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ThisWorkbook"/>
  <mc:AlternateContent xmlns:mc="http://schemas.openxmlformats.org/markup-compatibility/2006">
    <mc:Choice Requires="x15">
      <x15ac:absPath xmlns:x15ac="http://schemas.microsoft.com/office/spreadsheetml/2010/11/ac" url="C:\Users\k21\OneDrive - Oak Ridge National Laboratory\EPA Tools\DCC\2019_Jan_PublicQA\"/>
    </mc:Choice>
  </mc:AlternateContent>
  <xr:revisionPtr revIDLastSave="889" documentId="13_ncr:1_{036A352C-1A8F-4D1A-9458-D9BEF5B07F77}" xr6:coauthVersionLast="45" xr6:coauthVersionMax="45" xr10:uidLastSave="{CC9A61BC-D768-419D-B483-0EA918AB6440}"/>
  <bookViews>
    <workbookView xWindow="-120" yWindow="-120" windowWidth="29040" windowHeight="15840" tabRatio="791" xr2:uid="{00000000-000D-0000-FFFF-FFFF00000000}"/>
  </bookViews>
  <sheets>
    <sheet name="Instructions" sheetId="49" r:id="rId1"/>
    <sheet name="RadSpec" sheetId="1" r:id="rId2"/>
    <sheet name="d" sheetId="2" r:id="rId3"/>
    <sheet name="Irr" sheetId="36" r:id="rId4"/>
    <sheet name="dir" sheetId="26" r:id="rId5"/>
    <sheet name="b2s" sheetId="27" r:id="rId6"/>
    <sheet name="b2w" sheetId="28" r:id="rId7"/>
    <sheet name="d_ss_Bv" sheetId="25" r:id="rId8"/>
    <sheet name="d_res" sheetId="4" r:id="rId9"/>
    <sheet name="d_far" sheetId="17" r:id="rId10"/>
    <sheet name="d_rec" sheetId="15" r:id="rId11"/>
    <sheet name="d_sgw" sheetId="19" r:id="rId12"/>
    <sheet name="def_acf" sheetId="21" r:id="rId13"/>
    <sheet name="s_RadSpec" sheetId="46" r:id="rId14"/>
    <sheet name="ss" sheetId="3" r:id="rId15"/>
    <sheet name="s_Irr" sheetId="35" r:id="rId16"/>
    <sheet name="s_dir" sheetId="29" r:id="rId17"/>
    <sheet name="s_b2s" sheetId="30" r:id="rId18"/>
    <sheet name="s_b2w" sheetId="31" r:id="rId19"/>
    <sheet name="s_res" sheetId="5" r:id="rId20"/>
    <sheet name="s_far" sheetId="18" r:id="rId21"/>
    <sheet name="s_rec" sheetId="37" r:id="rId22"/>
    <sheet name="s_sgw" sheetId="20" r:id="rId23"/>
    <sheet name="up_RadSpec" sheetId="33" r:id="rId24"/>
    <sheet name="up_Bv" sheetId="40" r:id="rId25"/>
    <sheet name="up_Irr" sheetId="44" r:id="rId26"/>
    <sheet name="up_dir" sheetId="41" r:id="rId27"/>
    <sheet name="up_b2s" sheetId="42" r:id="rId28"/>
    <sheet name="up_b2w" sheetId="43" r:id="rId29"/>
    <sheet name="up_res" sheetId="32" r:id="rId30"/>
    <sheet name="up_far" sheetId="38" r:id="rId31"/>
    <sheet name="up_rec" sheetId="16" r:id="rId32"/>
    <sheet name="up_sgw" sheetId="45" r:id="rId33"/>
  </sheets>
  <definedNames>
    <definedName name="_xlnm._FilterDatabase" localSheetId="5" hidden="1">b2s!$A$1:$AZ$76</definedName>
    <definedName name="_xlnm._FilterDatabase" localSheetId="6" hidden="1">b2w!$A$1:$AZ$76</definedName>
    <definedName name="_xlnm._FilterDatabase" localSheetId="9" hidden="1">d_far!$A$1:$BB$76</definedName>
    <definedName name="_xlnm._FilterDatabase" localSheetId="10" hidden="1">d_rec!$A$1:$W$76</definedName>
    <definedName name="_xlnm._FilterDatabase" localSheetId="8" hidden="1">d_res!$A$1:$V$76</definedName>
    <definedName name="_xlnm._FilterDatabase" localSheetId="11" hidden="1">d_sgw!$A$1:$F$76</definedName>
    <definedName name="_xlnm._FilterDatabase" localSheetId="7" hidden="1">d_ss_Bv!$A$1:$Z$30</definedName>
    <definedName name="_xlnm._FilterDatabase" localSheetId="12" hidden="1">def_acf!$A$1:$G$30</definedName>
    <definedName name="_xlnm._FilterDatabase" localSheetId="4" hidden="1">dir!$A$1:$AZ$76</definedName>
    <definedName name="_xlnm._FilterDatabase" localSheetId="3" hidden="1">Irr!$A$1:$BV$30</definedName>
    <definedName name="_xlnm._FilterDatabase" localSheetId="1" hidden="1">RadSpec!$A$1:$BH$30</definedName>
    <definedName name="_xlnm._FilterDatabase" localSheetId="17" hidden="1">s_b2s!$A$1:$CX$76</definedName>
    <definedName name="_xlnm._FilterDatabase" localSheetId="18" hidden="1">s_b2w!$A$1:$CX$76</definedName>
    <definedName name="_xlnm._FilterDatabase" localSheetId="16" hidden="1">s_dir!$A$1:$BY$76</definedName>
    <definedName name="_xlnm._FilterDatabase" localSheetId="20" hidden="1">s_far!$A$1:$DN$76</definedName>
    <definedName name="_xlnm._FilterDatabase" localSheetId="15" hidden="1">s_Irr!$A$1:$BV$30</definedName>
    <definedName name="_xlnm._FilterDatabase" localSheetId="13" hidden="1">s_RadSpec!$A$1:$BH$30</definedName>
    <definedName name="_xlnm._FilterDatabase" localSheetId="21" hidden="1">s_rec!$A$1:$AR$76</definedName>
    <definedName name="_xlnm._FilterDatabase" localSheetId="19" hidden="1">s_res!$A$1:$AP$76</definedName>
    <definedName name="_xlnm._FilterDatabase" localSheetId="22" hidden="1">s_sgw!$A$1:$F$76</definedName>
    <definedName name="_xlnm._FilterDatabase" localSheetId="27" hidden="1">up_b2s!$A$1:$CX$76</definedName>
    <definedName name="_xlnm._FilterDatabase" localSheetId="28" hidden="1">up_b2w!$A$1:$CX$76</definedName>
    <definedName name="_xlnm._FilterDatabase" localSheetId="24" hidden="1">up_Bv!$A$1:$Z$30</definedName>
    <definedName name="_xlnm._FilterDatabase" localSheetId="26" hidden="1">up_dir!$A$1:$BY$76</definedName>
    <definedName name="_xlnm._FilterDatabase" localSheetId="30" hidden="1">up_far!$A$1:$DN$76</definedName>
    <definedName name="_xlnm._FilterDatabase" localSheetId="25" hidden="1">up_Irr!$A$1:$BV$1299</definedName>
    <definedName name="_xlnm._FilterDatabase" localSheetId="23" hidden="1">up_RadSpec!$A$1:$BI$1299</definedName>
    <definedName name="_xlnm._FilterDatabase" localSheetId="31" hidden="1">up_rec!$A$1:$AF$1299</definedName>
    <definedName name="_xlnm._FilterDatabase" localSheetId="29" hidden="1">up_res!$A$1:$AO$1299</definedName>
    <definedName name="_xlnm._FilterDatabase" localSheetId="32" hidden="1">up_sgw!$A$1:$F$1299</definedName>
    <definedName name="A_wind">d!$B$34</definedName>
    <definedName name="AAF_far_a">d!$K$17</definedName>
    <definedName name="AAF_far_c">d!$K$16</definedName>
    <definedName name="AAF_rec_a">d!$H$17</definedName>
    <definedName name="AAF_rec_c">d!$H$16</definedName>
    <definedName name="AAF_res_a">d!$E$18</definedName>
    <definedName name="AAF_res_c">d!$E$17</definedName>
    <definedName name="As">d!$B$33</definedName>
    <definedName name="B_wind">d!$B$35</definedName>
    <definedName name="C_wind">d!$B$36</definedName>
    <definedName name="CF_apple">d!$N$2</definedName>
    <definedName name="CF_asparagus">d!$N$3</definedName>
    <definedName name="CF_beet">d!$N$4</definedName>
    <definedName name="CF_berries">d!$N$5</definedName>
    <definedName name="CF_broccoli">d!$N$6</definedName>
    <definedName name="CF_cabbage">d!$N$7</definedName>
    <definedName name="CF_carrot">d!$N$8</definedName>
    <definedName name="CF_cereal">d!$N$24</definedName>
    <definedName name="CF_citrus">d!$N$9</definedName>
    <definedName name="CF_corn">d!$N$10</definedName>
    <definedName name="CF_cucumber">d!$N$11</definedName>
    <definedName name="CF_far_beef">d!$Q$2</definedName>
    <definedName name="CF_far_dairy">d!$Q$3</definedName>
    <definedName name="CF_far_egg">d!$Q$5</definedName>
    <definedName name="CF_far_fish">d!$Q$6</definedName>
    <definedName name="CF_far_poultry">d!$Q$4</definedName>
    <definedName name="CF_far_produce">d!$N$2</definedName>
    <definedName name="CF_far_sheep">d!$Q$8</definedName>
    <definedName name="CF_far_swine">d!$Q$7</definedName>
    <definedName name="CF_fowl">d!$H$40</definedName>
    <definedName name="CF_game">d!$H$41</definedName>
    <definedName name="CF_lettuce">d!$N$12</definedName>
    <definedName name="CF_lima_bean">d!$N$13</definedName>
    <definedName name="CF_okra">d!$N$14</definedName>
    <definedName name="CF_onion">d!$N$15</definedName>
    <definedName name="CF_peach">d!$N$16</definedName>
    <definedName name="CF_pear">d!$N$17</definedName>
    <definedName name="CF_peas">d!$N$18</definedName>
    <definedName name="CF_potato">d!$N$19</definedName>
    <definedName name="CF_pumpkin">d!$N$20</definedName>
    <definedName name="CF_res_fish">d!$E$31</definedName>
    <definedName name="CF_rice">d!$N$25</definedName>
    <definedName name="CF_snap_bean">d!$N$21</definedName>
    <definedName name="CF_strawberry">d!$N$22</definedName>
    <definedName name="CF_tomato">d!$N$23</definedName>
    <definedName name="d_a">d!$B$24</definedName>
    <definedName name="D_milk">d!$Q$43</definedName>
    <definedName name="d_s">d!$B$25</definedName>
    <definedName name="DAF">d!$B$38</definedName>
    <definedName name="DF_i">d!$K$30</definedName>
    <definedName name="DFA_far_adj">d!$K$9</definedName>
    <definedName name="DFA_rec_adj">d!$H$9</definedName>
    <definedName name="DFA_res_adj">d!$E$9</definedName>
    <definedName name="DL">d!$B$2</definedName>
    <definedName name="dm">d!$B$26</definedName>
    <definedName name="ED_far">d!$K$4</definedName>
    <definedName name="ED_far_a">d!$K$3</definedName>
    <definedName name="ED_far_c">d!$K$2</definedName>
    <definedName name="ED_rec">d!$H$4</definedName>
    <definedName name="ED_rec_a">d!$H$3</definedName>
    <definedName name="ED_rec_c">d!$H$2</definedName>
    <definedName name="ED_res">d!$E$4</definedName>
    <definedName name="ED_res_a">d!$E$3</definedName>
    <definedName name="ED_res_c">d!$E$2</definedName>
    <definedName name="ED_s2gw">d!$B$19</definedName>
    <definedName name="EF_far">d!$K$20</definedName>
    <definedName name="EF_far_a">d!$K$19</definedName>
    <definedName name="EF_far_c">d!$K$18</definedName>
    <definedName name="EF_rec">d!$H$22</definedName>
    <definedName name="EF_rec_a">d!$H$21</definedName>
    <definedName name="EF_rec_c">d!$H$20</definedName>
    <definedName name="EF_res">d!$E$21</definedName>
    <definedName name="EF_res_a">d!$E$20</definedName>
    <definedName name="EF_res_c">d!$E$19</definedName>
    <definedName name="ET_event_far_a">d!$K$25</definedName>
    <definedName name="ET_event_far_c">d!$K$24</definedName>
    <definedName name="ET_event_rec_a">d!$H$27</definedName>
    <definedName name="ET_event_rec_c">d!$H$26</definedName>
    <definedName name="ET_event_res_a">d!$E$23</definedName>
    <definedName name="ET_event_res_c">d!$E$22</definedName>
    <definedName name="ET_far">d!$K$23</definedName>
    <definedName name="ET_far_a">d!$K$22</definedName>
    <definedName name="ET_far_c">d!$K$21</definedName>
    <definedName name="ET_far_i">d!$K$27</definedName>
    <definedName name="ET_far_o">d!$K$26</definedName>
    <definedName name="ET_rec">d!$H$23</definedName>
    <definedName name="ET_rec_a">d!$H$25</definedName>
    <definedName name="ET_rec_c">d!$H$24</definedName>
    <definedName name="ET_res">d!$E$26</definedName>
    <definedName name="ET_res_a">d!$E$25</definedName>
    <definedName name="ET_res_c">d!$E$24</definedName>
    <definedName name="ET_res_i">d!$E$30</definedName>
    <definedName name="ET_res_o">d!$E$29</definedName>
    <definedName name="EV_far_a">d!$K$29</definedName>
    <definedName name="EV_far_c">d!$K$28</definedName>
    <definedName name="EV_rec_a">d!$H$29</definedName>
    <definedName name="EV_rec_c">d!$H$28</definedName>
    <definedName name="EV_res_a">d!$E$28</definedName>
    <definedName name="EV_res_c">d!$E$27</definedName>
    <definedName name="F">d!$B$9</definedName>
    <definedName name="f_p_beef">d!$Q$51</definedName>
    <definedName name="f_p_dairy">d!$Q$46</definedName>
    <definedName name="f_p_egg">d!$Q$56</definedName>
    <definedName name="f_p_fowl">d!$H$32</definedName>
    <definedName name="f_p_game">d!$H$37</definedName>
    <definedName name="f_p_goat">d!$Q$78</definedName>
    <definedName name="f_p_goat_milk">d!$Q$83</definedName>
    <definedName name="f_p_poultry">d!$Q$61</definedName>
    <definedName name="f_p_sheep">d!$Q$73</definedName>
    <definedName name="f_p_sheep_milk">d!$Q$88</definedName>
    <definedName name="f_p_swine">d!$Q$66</definedName>
    <definedName name="f_s_beef">d!$Q$52</definedName>
    <definedName name="f_s_dairy">d!$Q$47</definedName>
    <definedName name="f_s_egg">d!$Q$57</definedName>
    <definedName name="f_s_fowl">d!$H$33</definedName>
    <definedName name="f_s_game">d!$H$38</definedName>
    <definedName name="f_s_goat">d!$Q$79</definedName>
    <definedName name="f_s_goat_milk">d!$Q$84</definedName>
    <definedName name="f_s_poultry">d!$Q$62</definedName>
    <definedName name="f_s_sheep">d!$Q$74</definedName>
    <definedName name="f_s_sheep_milk">d!$Q$89</definedName>
    <definedName name="f_s_swine">d!$Q$67</definedName>
    <definedName name="F_x">d!$B$30</definedName>
    <definedName name="GSF_a">d!$B$4</definedName>
    <definedName name="GSF_i">d!$B$5</definedName>
    <definedName name="GSF_o">d!$B$6</definedName>
    <definedName name="i">d!$B$21</definedName>
    <definedName name="I_f">d!$B$12</definedName>
    <definedName name="I_s2gw">d!$B$22</definedName>
    <definedName name="IFA_far_adj">d!$K$8</definedName>
    <definedName name="IFA_rec_adj">d!$H$8</definedName>
    <definedName name="IFA_res_adj">d!$E$8</definedName>
    <definedName name="IFAP_far_adj">d!$N$28</definedName>
    <definedName name="IFAP_res_adj">d!$E$34</definedName>
    <definedName name="IFAS_far_adj">d!$N$31</definedName>
    <definedName name="IFAS_res_adj">d!$E$37</definedName>
    <definedName name="IFB_far_adj">d!$Q$14</definedName>
    <definedName name="IFBE_far_adj">d!$N$37</definedName>
    <definedName name="IFBE_res_adj">d!$E$43</definedName>
    <definedName name="IFBR_far_adj">d!$N$40</definedName>
    <definedName name="IFBR_res_adj">d!$E$46</definedName>
    <definedName name="IFBT_far_adj">d!$N$34</definedName>
    <definedName name="IFBT_res_adj">d!$E$40</definedName>
    <definedName name="IFCB_far_adj">d!$N$43</definedName>
    <definedName name="IFCB_res_adj">d!$E$49</definedName>
    <definedName name="IFCG_far_adj">d!$N$49</definedName>
    <definedName name="IFCG_res_adj">d!$E$55</definedName>
    <definedName name="IFCI_far_adj">d!$N$52</definedName>
    <definedName name="IFCI_res_adj">d!$E$58</definedName>
    <definedName name="IFCO_far_adj">d!$N$55</definedName>
    <definedName name="IFCO_res_adj">d!$E$61</definedName>
    <definedName name="IFCR_far_adj">d!$N$46</definedName>
    <definedName name="IFCR_res_adj">d!$E$52</definedName>
    <definedName name="IFCU_far_adj">d!$N$58</definedName>
    <definedName name="IFCU_res_adj">d!$E$64</definedName>
    <definedName name="IFD_far_adj">d!$Q$17</definedName>
    <definedName name="IFE_far_adj">d!$Q$20</definedName>
    <definedName name="IFFI_far_adj">d!$Q$26</definedName>
    <definedName name="IFGM_far_adj">d!$Q$41</definedName>
    <definedName name="IFGO_far_adj">d!$Q$35</definedName>
    <definedName name="IFLE_far_adj">d!$N$61</definedName>
    <definedName name="IFLE_res_adj">d!$E$67</definedName>
    <definedName name="IFLI_far_adj">d!$N$64</definedName>
    <definedName name="IFLI_res_adj">d!$E$70</definedName>
    <definedName name="IFOK_far_adj">d!$N$67</definedName>
    <definedName name="IFOK_res_adj">d!$E$73</definedName>
    <definedName name="IFON_far_adj">d!$N$70</definedName>
    <definedName name="IFON_res_adj">d!$E$76</definedName>
    <definedName name="IFP_far_adj">d!$Q$23</definedName>
    <definedName name="IFPC_far_adj">d!$N$73</definedName>
    <definedName name="IFPC_res_adj">d!$E$79</definedName>
    <definedName name="IFPE_far_adj">d!$N$79</definedName>
    <definedName name="IFPE_res_adj">d!$E$85</definedName>
    <definedName name="IFPR_far_adj">d!$N$76</definedName>
    <definedName name="IFPR_res_adj">d!$E$82</definedName>
    <definedName name="IFPT_far_adj">d!$N$82</definedName>
    <definedName name="IFPT_res_adj">d!$E$88</definedName>
    <definedName name="IFPU_far_adj">d!$N$85</definedName>
    <definedName name="IFPU_res_adj">d!$E$91</definedName>
    <definedName name="IFRI_far_adj">d!$N$88</definedName>
    <definedName name="IFRI_res_adj">d!$E$94</definedName>
    <definedName name="IFS_far_adj">d!$K$12</definedName>
    <definedName name="IFS_rec_adj">d!$H$12</definedName>
    <definedName name="IFS_res_adj">d!$E$12</definedName>
    <definedName name="IFSH_far_adj">d!$Q$32</definedName>
    <definedName name="IFSM_far_adj">d!$Q$38</definedName>
    <definedName name="IFSN_far_adj">d!$N$91</definedName>
    <definedName name="IFSN_res_adj">d!$E$97</definedName>
    <definedName name="IFST_far_adj">d!$N$94</definedName>
    <definedName name="IFST_res_adj">d!$E$100</definedName>
    <definedName name="IFSW_far_adj">d!$Q$29</definedName>
    <definedName name="IFTO_far_adj">d!$N$97</definedName>
    <definedName name="IFTO_res_adj">d!$E$103</definedName>
    <definedName name="IFW_far_adj">d!$K$15</definedName>
    <definedName name="IFW_rec_adj">d!$H$15</definedName>
    <definedName name="IFW_res_adj">d!$E$15</definedName>
    <definedName name="Ir">d!$B$8</definedName>
    <definedName name="IRA_far_a">d!$K$7</definedName>
    <definedName name="IRA_far_c">d!$K$6</definedName>
    <definedName name="IRA_rec_a">d!$H$7</definedName>
    <definedName name="IRA_rec_c">d!$H$6</definedName>
    <definedName name="IRA_res_a">d!$E$7</definedName>
    <definedName name="IRA_res_c">d!$E$6</definedName>
    <definedName name="IRAP_far_a">d!$N$27</definedName>
    <definedName name="IRAP_far_c">d!$N$26</definedName>
    <definedName name="IRAP_res_a">d!$E$33</definedName>
    <definedName name="IRAP_res_c">d!$E$32</definedName>
    <definedName name="IRAS_far_a">d!$N$30</definedName>
    <definedName name="IRAS_far_c">d!$N$29</definedName>
    <definedName name="IRAS_res_a">d!$E$36</definedName>
    <definedName name="IRAS_res_c">d!$E$35</definedName>
    <definedName name="IRB_far_a">d!$Q$13</definedName>
    <definedName name="IRB_far_c">d!$Q$12</definedName>
    <definedName name="IRBE_far_a">d!$N$36</definedName>
    <definedName name="IRBE_far_c">d!$N$35</definedName>
    <definedName name="IRBE_res_a">d!$E$42</definedName>
    <definedName name="IRBE_res_c">d!$E$41</definedName>
    <definedName name="IRBR_far_a">d!$N$39</definedName>
    <definedName name="IRBR_far_c">d!$N$38</definedName>
    <definedName name="IRBR_res_a">d!$E$45</definedName>
    <definedName name="IRBR_res_c">d!$E$44</definedName>
    <definedName name="IRBT_far_a">d!$N$33</definedName>
    <definedName name="IRBT_far_c">d!$N$32</definedName>
    <definedName name="IRBT_res_a">d!$E$39</definedName>
    <definedName name="IRBT_res_c">d!$E$38</definedName>
    <definedName name="IRCB_far_a">d!$N$42</definedName>
    <definedName name="IRCB_far_c">d!$N$41</definedName>
    <definedName name="IRCB_res_a">d!$E$48</definedName>
    <definedName name="IRCB_res_c">d!$E$47</definedName>
    <definedName name="IRCG_far_a">d!$N$48</definedName>
    <definedName name="IRCG_far_c">d!$N$47</definedName>
    <definedName name="IRCG_res_a">d!$E$54</definedName>
    <definedName name="IRCG_res_c">d!$E$53</definedName>
    <definedName name="IRCI_far_a">d!$N$51</definedName>
    <definedName name="IRCI_far_c">d!$N$50</definedName>
    <definedName name="IRCI_res_a">d!$E$57</definedName>
    <definedName name="IRCI_res_c">d!$E$56</definedName>
    <definedName name="IRCO_far_a">d!$N$54</definedName>
    <definedName name="IRCO_far_c">d!$N$53</definedName>
    <definedName name="IRCO_res_a">d!$E$60</definedName>
    <definedName name="IRCO_res_c">d!$E$59</definedName>
    <definedName name="IRCR_far_a">d!$N$45</definedName>
    <definedName name="IRCR_far_c">d!$N$44</definedName>
    <definedName name="IRCR_res_a">d!$E$51</definedName>
    <definedName name="IRCR_res_c">d!$E$50</definedName>
    <definedName name="IRCU_far_a">d!$N$57</definedName>
    <definedName name="IRCU_far_c">d!$N$56</definedName>
    <definedName name="IRCU_res_a">d!$E$63</definedName>
    <definedName name="IRCU_res_c">d!$E$62</definedName>
    <definedName name="IRD_far_a">d!$Q$16</definedName>
    <definedName name="IRD_far_c">d!$Q$15</definedName>
    <definedName name="IRE_far_a">d!$Q$19</definedName>
    <definedName name="IRE_far_c">d!$Q$18</definedName>
    <definedName name="IRF_res">d!$E$16</definedName>
    <definedName name="IRFI_far_a">d!$Q$25</definedName>
    <definedName name="IRFI_far_c">d!$Q$24</definedName>
    <definedName name="IRGF_rec">d!$H$19</definedName>
    <definedName name="IRGL_rec">d!$H$18</definedName>
    <definedName name="IRGM_far_a">d!$Q$40</definedName>
    <definedName name="IRGM_far_c">d!$Q$39</definedName>
    <definedName name="IRGO_far_a">d!$Q$34</definedName>
    <definedName name="IRGO_far_c">d!$Q$33</definedName>
    <definedName name="IRLE_far_a">d!$N$60</definedName>
    <definedName name="IRLE_far_c">d!$N$59</definedName>
    <definedName name="IRLE_res_a">d!$E$66</definedName>
    <definedName name="IRLE_res_c">d!$E$65</definedName>
    <definedName name="IRLI_far_a">d!$N$63</definedName>
    <definedName name="IRLI_far_c">d!$N$62</definedName>
    <definedName name="IRLI_res_a">d!$E$69</definedName>
    <definedName name="IRLI_res_c">d!$E$68</definedName>
    <definedName name="IROK_far_a">d!$N$66</definedName>
    <definedName name="IROK_far_c">d!$N$65</definedName>
    <definedName name="IROK_res_a">d!$E$72</definedName>
    <definedName name="IROK_res_c">d!$E$71</definedName>
    <definedName name="IRON_far_a">d!$N$69</definedName>
    <definedName name="IRON_far_c">d!$N$68</definedName>
    <definedName name="IRON_res_a">d!$E$75</definedName>
    <definedName name="IRON_res_c">d!$E$74</definedName>
    <definedName name="IRP_far_a">d!$Q$22</definedName>
    <definedName name="IRP_far_c">d!$Q$21</definedName>
    <definedName name="IRPC_far_a">d!$N$72</definedName>
    <definedName name="IRPC_far_c">d!$N$71</definedName>
    <definedName name="IRPC_res_a">d!$E$78</definedName>
    <definedName name="IRPC_res_c">d!$E$77</definedName>
    <definedName name="IRPE_far_a">d!$N$78</definedName>
    <definedName name="IRPE_far_c">d!$N$77</definedName>
    <definedName name="IRPE_res_a">d!$E$84</definedName>
    <definedName name="IRPE_res_c">d!$E$83</definedName>
    <definedName name="IRPR_far_a">d!$N$75</definedName>
    <definedName name="IRPR_far_c">d!$N$74</definedName>
    <definedName name="IRPR_res_a">d!$E$81</definedName>
    <definedName name="IRPR_res_c">d!$E$80</definedName>
    <definedName name="IRPT_far_a">d!$N$81</definedName>
    <definedName name="IRPT_far_c">d!$N$80</definedName>
    <definedName name="IRPT_res_a">d!$E$87</definedName>
    <definedName name="IRPT_res_c">d!$E$86</definedName>
    <definedName name="IRPU_far_a">d!$N$84</definedName>
    <definedName name="IRPU_far_c">d!$N$83</definedName>
    <definedName name="IRPU_res_a">d!$E$90</definedName>
    <definedName name="IRPU_res_c">d!$E$89</definedName>
    <definedName name="IRRI_far_a">d!$N$87</definedName>
    <definedName name="IRRI_far_c">d!$N$86</definedName>
    <definedName name="IRRI_res_a">d!$E$93</definedName>
    <definedName name="IRRI_res_c">d!$E$92</definedName>
    <definedName name="IRS_far_a">d!$K$11</definedName>
    <definedName name="IRS_far_c">d!$K$10</definedName>
    <definedName name="IRS_rec_a">d!$H$11</definedName>
    <definedName name="IRS_rec_c">d!$H$10</definedName>
    <definedName name="IRS_res_a">d!$E$11</definedName>
    <definedName name="IRS_res_c">d!$E$10</definedName>
    <definedName name="IRSH_far_a">d!$Q$31</definedName>
    <definedName name="IRSH_far_c">d!$Q$30</definedName>
    <definedName name="IRSM_far_a">d!$Q$37</definedName>
    <definedName name="IRSM_far_c">d!$Q$36</definedName>
    <definedName name="IRSN_far_a">d!$N$90</definedName>
    <definedName name="IRSN_far_c">d!$N$89</definedName>
    <definedName name="IRSN_res_a">d!$E$96</definedName>
    <definedName name="IRSN_res_c">d!$E$95</definedName>
    <definedName name="IRST_far_a">d!$N$93</definedName>
    <definedName name="IRST_far_c">d!$N$92</definedName>
    <definedName name="IRST_res_a">d!$E$99</definedName>
    <definedName name="IRST_res_c">d!$E$98</definedName>
    <definedName name="IRSW_far_a">d!$Q$28</definedName>
    <definedName name="IRSW_far_c">d!$Q$27</definedName>
    <definedName name="IRTO_far_a">d!$N$96</definedName>
    <definedName name="IRTO_far_c">d!$N$95</definedName>
    <definedName name="IRTO_res_a">d!$E$102</definedName>
    <definedName name="IRTO_res_c">d!$E$101</definedName>
    <definedName name="IRW_far_a">d!$K$14</definedName>
    <definedName name="IRW_far_c">d!$K$13</definedName>
    <definedName name="IRW_rec_a">d!$H$14</definedName>
    <definedName name="IRW_rec_c">d!$H$13</definedName>
    <definedName name="IRW_res_a">d!$E$14</definedName>
    <definedName name="IRW_res_c">d!$E$13</definedName>
    <definedName name="K">d!$B$3</definedName>
    <definedName name="K_s2gw">d!$B$20</definedName>
    <definedName name="L_s2gw">d!$B$23</definedName>
    <definedName name="lambda_HL">d!$B$7</definedName>
    <definedName name="MLF_apple">d!$N$98</definedName>
    <definedName name="MLF_asparagus">d!$N$99</definedName>
    <definedName name="MLF_beet">d!$N$100</definedName>
    <definedName name="MLF_berries">d!$N$101</definedName>
    <definedName name="MLF_broccoli">d!$N$102</definedName>
    <definedName name="MLF_cabbage">d!$N$103</definedName>
    <definedName name="MLF_carrot">d!$N$104</definedName>
    <definedName name="MLF_cereal">d!$N$120</definedName>
    <definedName name="MLF_citrus">d!$N$105</definedName>
    <definedName name="MLF_corn">d!$N$106</definedName>
    <definedName name="MLF_cucumber">d!$N$107</definedName>
    <definedName name="MLF_lettuce">d!$N$108</definedName>
    <definedName name="MLF_lima_bean">d!$N$109</definedName>
    <definedName name="MLF_okra">d!$N$110</definedName>
    <definedName name="MLF_onion">d!$N$111</definedName>
    <definedName name="MLF_pasture">d!$Q$68</definedName>
    <definedName name="MLF_peach">d!$N$112</definedName>
    <definedName name="MLF_pear">d!$N$113</definedName>
    <definedName name="MLF_peas">d!$N$114</definedName>
    <definedName name="MLF_potato">d!$N$115</definedName>
    <definedName name="MLF_pumpkin">d!$N$116</definedName>
    <definedName name="MLF_rice">d!$N$121</definedName>
    <definedName name="MLF_snap_bean">d!$N$117</definedName>
    <definedName name="MLF_strawberry">d!$N$118</definedName>
    <definedName name="MLF_tomato">d!$N$119</definedName>
    <definedName name="P">d!$B$11</definedName>
    <definedName name="PEF_wind">d!$B$27</definedName>
    <definedName name="Q_C_wind">d!$B$32</definedName>
    <definedName name="Q_p_beef">d!$Q$49</definedName>
    <definedName name="Q_p_dairy">d!$Q$44</definedName>
    <definedName name="Q_p_egg">d!$Q$54</definedName>
    <definedName name="Q_p_fowl">d!$H$30</definedName>
    <definedName name="Q_p_game">d!$H$35</definedName>
    <definedName name="Q_p_goat">d!$Q$76</definedName>
    <definedName name="Q_p_goat_milk">d!$Q$81</definedName>
    <definedName name="Q_p_poultry">d!$Q$59</definedName>
    <definedName name="Q_p_sheep">d!$Q$71</definedName>
    <definedName name="Q_p_sheep_milk">d!$Q$86</definedName>
    <definedName name="Q_p_swine">d!$Q$64</definedName>
    <definedName name="Q_s_beef">d!$Q$50</definedName>
    <definedName name="Q_s_dairy">d!$Q$45</definedName>
    <definedName name="Q_s_egg">d!$Q$55</definedName>
    <definedName name="Q_s_fowl">d!$H$31</definedName>
    <definedName name="Q_s_game">d!$H$36</definedName>
    <definedName name="Q_s_poultry">d!$Q$60</definedName>
    <definedName name="Q_s_sheep">d!$Q$72</definedName>
    <definedName name="Q_s_sheep_milk">d!$Q$87</definedName>
    <definedName name="Q_s_swine">d!$Q$65</definedName>
    <definedName name="Q_w_beef">d!$Q$48</definedName>
    <definedName name="Q_w_dairy">d!$Q$42</definedName>
    <definedName name="Q_w_egg">d!$Q$53</definedName>
    <definedName name="Q_w_fowl">d!$H$34</definedName>
    <definedName name="Q_w_game">d!$H$39</definedName>
    <definedName name="Q_w_goat">d!$Q$75</definedName>
    <definedName name="Q_w_goat_milk">d!$Q$80</definedName>
    <definedName name="Q_w_poultry">d!$Q$58</definedName>
    <definedName name="Q_w_sheep">d!$Q$70</definedName>
    <definedName name="Q_w_sheep_milk">d!$Q$85</definedName>
    <definedName name="Q_w_swine">d!$Q$63</definedName>
    <definedName name="R_es_past">d!$Q$69</definedName>
    <definedName name="s_A_wind">ss!$B$34</definedName>
    <definedName name="s_AAF_far_a">ss!$K$17</definedName>
    <definedName name="s_AAF_far_c">ss!$K$16</definedName>
    <definedName name="s_AAF_rec_a">ss!$H$17</definedName>
    <definedName name="s_AAF_rec_c">ss!$H$16</definedName>
    <definedName name="s_AAF_res_a">ss!$E$18</definedName>
    <definedName name="s_AAF_res_c">ss!$E$17</definedName>
    <definedName name="s_As">ss!$B$33</definedName>
    <definedName name="s_B_wind">ss!$B$35</definedName>
    <definedName name="s_C">ss!$B$38</definedName>
    <definedName name="s_C_wind">ss!$B$36</definedName>
    <definedName name="s_CF_apple">ss!$N$2</definedName>
    <definedName name="s_CF_asparagus">ss!$N$3</definedName>
    <definedName name="s_CF_beet">ss!$N$4</definedName>
    <definedName name="s_CF_berries">ss!$N$5</definedName>
    <definedName name="s_CF_broccoli">ss!$N$6</definedName>
    <definedName name="s_CF_cabbage">ss!$N$7</definedName>
    <definedName name="s_CF_carrot">ss!$N$8</definedName>
    <definedName name="s_CF_cereal">ss!$N$24</definedName>
    <definedName name="s_CF_citrus">ss!$N$9</definedName>
    <definedName name="s_CF_corn">ss!$N$10</definedName>
    <definedName name="s_CF_cucumber">ss!$N$11</definedName>
    <definedName name="s_CF_far_beef">ss!$Q$2</definedName>
    <definedName name="s_CF_far_dairy">ss!$Q$3</definedName>
    <definedName name="s_CF_far_egg">ss!$Q$5</definedName>
    <definedName name="s_CF_far_fish">ss!$Q$6</definedName>
    <definedName name="s_CF_far_goat">ss!$Q$9</definedName>
    <definedName name="s_CF_far_goat_milk">ss!$Q$11</definedName>
    <definedName name="s_CF_far_poultry">ss!$Q$4</definedName>
    <definedName name="s_CF_far_sheep">ss!$Q$8</definedName>
    <definedName name="s_CF_far_sheep_milk">ss!$Q$10</definedName>
    <definedName name="s_CF_far_swine">ss!$Q$7</definedName>
    <definedName name="s_CF_fowl">ss!$H$40</definedName>
    <definedName name="s_CF_game">ss!$H$41</definedName>
    <definedName name="s_CF_lettuce">ss!$N$12</definedName>
    <definedName name="s_CF_lima_bean">ss!$N$13</definedName>
    <definedName name="s_CF_okra">ss!$N$14</definedName>
    <definedName name="s_CF_onion">ss!$N$15</definedName>
    <definedName name="s_CF_peach">ss!$N$16</definedName>
    <definedName name="s_CF_pear">ss!$N$17</definedName>
    <definedName name="s_CF_peas">ss!$N$18</definedName>
    <definedName name="s_CF_potato">ss!$N$19</definedName>
    <definedName name="s_CF_pumpkin">ss!$N$20</definedName>
    <definedName name="s_CF_res_fish">ss!$E$31</definedName>
    <definedName name="s_CF_rice">ss!$N$25</definedName>
    <definedName name="s_CF_snap_bean">ss!$N$21</definedName>
    <definedName name="s_CF_strawberry">ss!$N$22</definedName>
    <definedName name="s_CF_tomato">ss!$N$23</definedName>
    <definedName name="s_d_a">ss!$B$24</definedName>
    <definedName name="s_D_milk">ss!$Q$43</definedName>
    <definedName name="s_d_s">ss!$B$25</definedName>
    <definedName name="s_DAF">ss!$B$40</definedName>
    <definedName name="s_DF_i">ss!$K$30</definedName>
    <definedName name="s_DFA_far_adj">ss!$K$9</definedName>
    <definedName name="s_DFA_rec_adj">ss!$H$9</definedName>
    <definedName name="s_DFA_res_adj">ss!$E$9</definedName>
    <definedName name="s_DL">ss!$B$2</definedName>
    <definedName name="s_dm">ss!$B$26</definedName>
    <definedName name="s_ED_far">ss!$K$4</definedName>
    <definedName name="s_ED_far_a">ss!$K$3</definedName>
    <definedName name="s_ED_far_c">ss!$K$2</definedName>
    <definedName name="s_ED_rec">ss!$H$4</definedName>
    <definedName name="s_ED_rec_a">ss!$H$3</definedName>
    <definedName name="s_ED_rec_c">ss!$H$2</definedName>
    <definedName name="s_ED_res">ss!$E$4</definedName>
    <definedName name="s_ED_res_a">ss!$E$3</definedName>
    <definedName name="s_ED_res_c">ss!$E$2</definedName>
    <definedName name="s_ED_s2gw">ss!$B$19</definedName>
    <definedName name="s_EF_far">ss!$K$20</definedName>
    <definedName name="s_EF_far_a">ss!$K$19</definedName>
    <definedName name="s_EF_far_c">ss!$K$18</definedName>
    <definedName name="s_EF_rec">ss!$H$22</definedName>
    <definedName name="s_EF_rec_a">ss!$H$21</definedName>
    <definedName name="s_EF_rec_c">ss!$H$20</definedName>
    <definedName name="s_EF_res">ss!$E$21</definedName>
    <definedName name="s_EF_res_a">ss!$E$20</definedName>
    <definedName name="s_EF_res_c">ss!$E$19</definedName>
    <definedName name="s_ET_event_far_a">ss!$K$25</definedName>
    <definedName name="s_ET_event_far_c">ss!$K$24</definedName>
    <definedName name="s_ET_event_rec_a">ss!$H$27</definedName>
    <definedName name="s_ET_event_rec_c">ss!$H$26</definedName>
    <definedName name="s_ET_event_res_a">ss!$E$23</definedName>
    <definedName name="s_ET_event_res_c">ss!$E$22</definedName>
    <definedName name="s_ET_far">ss!$K$23</definedName>
    <definedName name="s_ET_far_a">ss!$K$22</definedName>
    <definedName name="s_ET_far_c">ss!$K$21</definedName>
    <definedName name="s_ET_far_i">ss!$K$27</definedName>
    <definedName name="s_ET_far_o">ss!$K$26</definedName>
    <definedName name="s_ET_rec">ss!$H$23</definedName>
    <definedName name="s_ET_rec_a">ss!$H$25</definedName>
    <definedName name="s_ET_rec_c">ss!$H$24</definedName>
    <definedName name="s_ET_res">ss!$E$26</definedName>
    <definedName name="s_ET_res_a">ss!$E$25</definedName>
    <definedName name="s_ET_res_c">ss!$E$24</definedName>
    <definedName name="s_ET_res_i">ss!$E$30</definedName>
    <definedName name="s_ET_res_o">ss!$E$29</definedName>
    <definedName name="s_EV_far_a">ss!$K$29</definedName>
    <definedName name="s_EV_far_c">ss!$K$28</definedName>
    <definedName name="s_EV_rec_a">ss!$H$29</definedName>
    <definedName name="s_EV_rec_c">ss!$H$28</definedName>
    <definedName name="s_EV_res_a">ss!$E$28</definedName>
    <definedName name="s_EV_res_c">ss!$E$27</definedName>
    <definedName name="s_F">ss!$B$9</definedName>
    <definedName name="s_f_p_beef">ss!$Q$51</definedName>
    <definedName name="s_f_p_dairy">ss!$Q$46</definedName>
    <definedName name="s_f_p_egg">ss!$Q$56</definedName>
    <definedName name="s_f_p_fowl">ss!$H$32</definedName>
    <definedName name="s_f_p_game">ss!$H$37</definedName>
    <definedName name="s_f_p_goat">ss!$Q$78</definedName>
    <definedName name="s_f_p_goat_milk">ss!$Q$83</definedName>
    <definedName name="s_f_p_poultry">ss!$Q$61</definedName>
    <definedName name="s_f_p_sheep">ss!$Q$73</definedName>
    <definedName name="s_f_p_sheep_milk">ss!$Q$88</definedName>
    <definedName name="s_f_p_swine">ss!$Q$66</definedName>
    <definedName name="s_f_s_beef">ss!$Q$52</definedName>
    <definedName name="s_f_s_dairy">ss!$Q$47</definedName>
    <definedName name="s_f_s_egg">ss!$Q$57</definedName>
    <definedName name="s_f_s_fowl">ss!$H$33</definedName>
    <definedName name="s_f_s_game">ss!$H$38</definedName>
    <definedName name="s_f_s_goat">ss!$Q$79</definedName>
    <definedName name="s_f_s_goat_milk">ss!$Q$84</definedName>
    <definedName name="s_f_s_poultry">ss!$Q$62</definedName>
    <definedName name="s_f_s_sheep">ss!$Q$74</definedName>
    <definedName name="s_f_s_sheep_milk">ss!$Q$89</definedName>
    <definedName name="s_f_s_swine">ss!$Q$67</definedName>
    <definedName name="s_F_x">ss!$B$30</definedName>
    <definedName name="s_GSF_a">ss!$B$4</definedName>
    <definedName name="s_GSF_i">ss!$B$5</definedName>
    <definedName name="s_GSF_o">ss!$B$6</definedName>
    <definedName name="s_I_f">ss!$B$12</definedName>
    <definedName name="s_i_s2gw">ss!$B$21</definedName>
    <definedName name="s_IFA_far_adj">ss!$K$8</definedName>
    <definedName name="s_IFA_rec_adj">ss!$H$8</definedName>
    <definedName name="s_IFA_res_adj">ss!$E$8</definedName>
    <definedName name="s_IFAP_far_adj">ss!$N$28</definedName>
    <definedName name="s_IFAP_res_adj">ss!$E$34</definedName>
    <definedName name="s_IFAS_far_adj">ss!$N$31</definedName>
    <definedName name="s_IFAS_res_adj">ss!$E$37</definedName>
    <definedName name="s_IFB_far_adj">ss!$Q$14</definedName>
    <definedName name="s_IFBE_far_adj">ss!$N$37</definedName>
    <definedName name="s_IFBE_res_adj">ss!$E$43</definedName>
    <definedName name="s_IFBR_far_adj">ss!$N$40</definedName>
    <definedName name="s_IFBR_res_adj">ss!$E$46</definedName>
    <definedName name="s_IFBT_far_adj">ss!$N$34</definedName>
    <definedName name="s_IFBT_res_adj">ss!$E$40</definedName>
    <definedName name="s_IFCB_far_adj">ss!$N$43</definedName>
    <definedName name="s_IFCB_res_adj">ss!$E$49</definedName>
    <definedName name="s_IFCG_far_adj">ss!$N$49</definedName>
    <definedName name="s_IFCG_res_adj">ss!$E$55</definedName>
    <definedName name="s_IFCI_far_adj">ss!$N$52</definedName>
    <definedName name="s_IFCI_res_adj">ss!$E$58</definedName>
    <definedName name="s_IFCO_far_adj">ss!$N$55</definedName>
    <definedName name="s_IFCO_res_adj">ss!$E$61</definedName>
    <definedName name="s_IFCR_far_adj">ss!$N$46</definedName>
    <definedName name="s_IFCR_res_adj">ss!$E$52</definedName>
    <definedName name="s_IFCU_far_adj">ss!$N$58</definedName>
    <definedName name="s_IFCU_res_adj">ss!$E$64</definedName>
    <definedName name="s_IFD_far_adj">ss!$Q$17</definedName>
    <definedName name="s_IFE_far_adj">ss!$Q$20</definedName>
    <definedName name="s_IFFI_far_adj">ss!$Q$26</definedName>
    <definedName name="s_IFGM_far_adj">ss!$Q$41</definedName>
    <definedName name="s_IFGO_far_adj">ss!$Q$35</definedName>
    <definedName name="s_IFLE_far_adj">ss!$N$61</definedName>
    <definedName name="s_IFLE_res_adj">ss!$E$67</definedName>
    <definedName name="s_IFLI_far_adj">ss!$N$64</definedName>
    <definedName name="s_IFLI_res_adj">ss!$E$70</definedName>
    <definedName name="s_IFOK_far_adj">ss!$N$67</definedName>
    <definedName name="s_IFOK_res_adj">ss!$E$73</definedName>
    <definedName name="s_IFON_far_adj">ss!$N$70</definedName>
    <definedName name="s_IFON_res_adj">ss!$E$76</definedName>
    <definedName name="s_IFP_far_adj">ss!$Q$23</definedName>
    <definedName name="s_IFPC_far_adj">ss!$N$73</definedName>
    <definedName name="s_IFPC_res_adj">ss!$E$79</definedName>
    <definedName name="s_IFPE_far_adj">ss!$N$79</definedName>
    <definedName name="s_IFPE_res_adj">ss!$E$85</definedName>
    <definedName name="s_IFPR_far_adj">ss!$N$76</definedName>
    <definedName name="s_IFPR_res_adj">ss!$E$82</definedName>
    <definedName name="s_IFPT_far_adj">ss!$N$82</definedName>
    <definedName name="s_IFPT_res_adj">ss!$E$88</definedName>
    <definedName name="s_IFPU_far_adj">ss!$N$85</definedName>
    <definedName name="s_IFPU_res_adj">ss!$E$91</definedName>
    <definedName name="s_IFRI_far_adj">ss!$N$88</definedName>
    <definedName name="s_IFRI_res_adj">ss!$E$94</definedName>
    <definedName name="s_IFS_far_adj">ss!$K$12</definedName>
    <definedName name="s_IFS_rec_adj">ss!$H$12</definedName>
    <definedName name="s_IFS_res_adj">ss!$E$12</definedName>
    <definedName name="s_IFSH_far_adj">ss!$Q$32</definedName>
    <definedName name="s_IFSM_far_adj">ss!$Q$38</definedName>
    <definedName name="s_IFSN_far_adj">ss!$N$91</definedName>
    <definedName name="s_IFSN_res_adj">ss!$E$97</definedName>
    <definedName name="s_IFST_far_adj">ss!$N$94</definedName>
    <definedName name="s_IFST_res_adj">ss!$E$100</definedName>
    <definedName name="s_IFSW_far_adj">ss!$Q$29</definedName>
    <definedName name="s_IFTO_far_adj">ss!$N$97</definedName>
    <definedName name="s_IFTO_res_adj">ss!$E$103</definedName>
    <definedName name="s_IFW_far_adj">ss!$K$15</definedName>
    <definedName name="s_IFW_rec_adj">ss!$H$15</definedName>
    <definedName name="s_IFW_res_adj">ss!$E$15</definedName>
    <definedName name="s_Ir">ss!$B$8</definedName>
    <definedName name="s_IRA_far_a">ss!$K$7</definedName>
    <definedName name="s_IRA_far_c">ss!$K$6</definedName>
    <definedName name="s_IRA_rec_a">ss!$H$7</definedName>
    <definedName name="s_IRA_rec_c">ss!$H$6</definedName>
    <definedName name="s_IRA_res_a">ss!$E$7</definedName>
    <definedName name="s_IRA_res_c">ss!$E$6</definedName>
    <definedName name="s_IRAP_far_a">ss!$N$27</definedName>
    <definedName name="s_IRAP_far_c">ss!$N$26</definedName>
    <definedName name="s_IRAP_res_a">ss!$E$33</definedName>
    <definedName name="s_IRAP_res_c">ss!$E$32</definedName>
    <definedName name="s_IRAS_far_a">ss!$N$30</definedName>
    <definedName name="s_IRAS_far_c">ss!$N$29</definedName>
    <definedName name="s_IRAS_res_a">ss!$E$36</definedName>
    <definedName name="s_IRAS_res_c">ss!$E$35</definedName>
    <definedName name="s_IRB_far_a">ss!$Q$13</definedName>
    <definedName name="s_IRB_far_c">ss!$Q$12</definedName>
    <definedName name="s_IRBE_far_a">ss!$N$36</definedName>
    <definedName name="s_IRBE_far_c">ss!$N$35</definedName>
    <definedName name="s_IRBE_res_a">ss!$E$42</definedName>
    <definedName name="s_IRBE_res_c">ss!$E$41</definedName>
    <definedName name="s_IRBR_far_a">ss!$N$39</definedName>
    <definedName name="s_IRBR_far_c">ss!$N$38</definedName>
    <definedName name="s_IRBR_res_a">ss!$E$45</definedName>
    <definedName name="s_IRBR_res_c">ss!$E$44</definedName>
    <definedName name="s_IRBT_far_a">ss!$N$33</definedName>
    <definedName name="s_IRBT_far_c">ss!$N$32</definedName>
    <definedName name="s_IRBT_res_a">ss!$E$39</definedName>
    <definedName name="s_IRBT_res_c">ss!$E$38</definedName>
    <definedName name="s_IRCB_far_a">ss!$N$42</definedName>
    <definedName name="s_IRCB_far_c">ss!$N$41</definedName>
    <definedName name="s_IRCB_res_a">ss!$E$48</definedName>
    <definedName name="s_IRCB_res_c">ss!$E$47</definedName>
    <definedName name="s_IRCG_far_a">ss!$N$48</definedName>
    <definedName name="s_IRCG_far_c">ss!$N$47</definedName>
    <definedName name="s_IRCG_res_a">ss!$E$54</definedName>
    <definedName name="s_IRCG_res_c">ss!$E$53</definedName>
    <definedName name="s_IRCI_far_a">ss!$N$51</definedName>
    <definedName name="s_IRCI_far_c">ss!$N$50</definedName>
    <definedName name="s_IRCI_res_a">ss!$E$57</definedName>
    <definedName name="s_IRCI_res_c">ss!$E$56</definedName>
    <definedName name="s_IRCO_far_a">ss!$N$54</definedName>
    <definedName name="s_IRCO_far_c">ss!$N$53</definedName>
    <definedName name="s_IRCO_res_a">ss!$E$60</definedName>
    <definedName name="s_IRCO_res_c">ss!$E$59</definedName>
    <definedName name="s_IRCR_far_a">ss!$N$45</definedName>
    <definedName name="s_IRCR_far_c">ss!$N$44</definedName>
    <definedName name="s_IRCR_res_a">ss!$E$51</definedName>
    <definedName name="s_IRCR_res_c">ss!$E$50</definedName>
    <definedName name="s_IRCU_far_a">ss!$N$57</definedName>
    <definedName name="s_IRCU_far_c">ss!$N$56</definedName>
    <definedName name="s_IRCU_res_a">ss!$E$63</definedName>
    <definedName name="s_IRCU_res_c">ss!$E$62</definedName>
    <definedName name="s_IRD_far_a">ss!$Q$16</definedName>
    <definedName name="s_IRD_far_c">ss!$Q$15</definedName>
    <definedName name="s_IRE_far_a">ss!$Q$19</definedName>
    <definedName name="s_IRE_far_c">ss!$Q$18</definedName>
    <definedName name="s_IRF_res">ss!$E$16</definedName>
    <definedName name="s_IRFI_far_a">ss!$Q$25</definedName>
    <definedName name="s_IRFI_far_c">ss!$Q$24</definedName>
    <definedName name="s_IRGF_rec">ss!$H$19</definedName>
    <definedName name="s_IRGL_rec">ss!$H$18</definedName>
    <definedName name="s_IRGM_far_a">ss!$Q$40</definedName>
    <definedName name="s_IRGM_far_c">ss!$Q$39</definedName>
    <definedName name="s_IRGO_far_a">ss!$Q$34</definedName>
    <definedName name="s_IRGO_far_c">ss!$Q$33</definedName>
    <definedName name="s_IRLE_far_a">ss!$N$60</definedName>
    <definedName name="s_IRLE_far_c">ss!$N$59</definedName>
    <definedName name="s_IRLE_res_a">ss!$E$66</definedName>
    <definedName name="s_IRLE_res_c">ss!$E$65</definedName>
    <definedName name="s_IRLI_far_a">ss!$N$63</definedName>
    <definedName name="s_IRLI_far_c">ss!$N$62</definedName>
    <definedName name="s_IRLI_res_a">ss!$E$69</definedName>
    <definedName name="s_IRLI_res_c">ss!$E$68</definedName>
    <definedName name="s_IROK_far_a">ss!$N$66</definedName>
    <definedName name="s_IROK_far_c">ss!$N$65</definedName>
    <definedName name="s_IROK_res_a">ss!$E$72</definedName>
    <definedName name="s_IROK_res_c">ss!$E$71</definedName>
    <definedName name="s_IRON_far_a">ss!$N$69</definedName>
    <definedName name="s_IRON_far_c">ss!$N$68</definedName>
    <definedName name="s_IRON_res_a">ss!$E$75</definedName>
    <definedName name="s_IRON_res_c">ss!$E$74</definedName>
    <definedName name="s_IRP_far_a">ss!$Q$22</definedName>
    <definedName name="s_IRP_far_c">ss!$Q$21</definedName>
    <definedName name="s_IRPC_far_a">ss!$N$72</definedName>
    <definedName name="s_IRPC_far_c">ss!$N$71</definedName>
    <definedName name="s_IRPC_res_a">ss!$E$78</definedName>
    <definedName name="s_IRPC_res_c">ss!$E$77</definedName>
    <definedName name="s_IRPE_far_a">ss!$N$78</definedName>
    <definedName name="s_IRPE_far_c">ss!$N$77</definedName>
    <definedName name="s_IRPE_res_a">ss!$E$84</definedName>
    <definedName name="s_IRPE_res_c">ss!$E$83</definedName>
    <definedName name="s_IRPR_far_a">ss!$N$75</definedName>
    <definedName name="s_IRPR_far_c">ss!$N$74</definedName>
    <definedName name="s_IRPR_res_a">ss!$E$81</definedName>
    <definedName name="s_IRPR_res_c">ss!$E$80</definedName>
    <definedName name="s_IRPT_far_a">ss!$N$81</definedName>
    <definedName name="s_IRPT_far_c">ss!$N$80</definedName>
    <definedName name="s_IRPT_res_a">ss!$E$87</definedName>
    <definedName name="s_IRPT_res_c">ss!$E$86</definedName>
    <definedName name="s_IRPU_far_a">ss!$N$84</definedName>
    <definedName name="s_IRPU_far_c">ss!$N$83</definedName>
    <definedName name="s_IRPU_res_a">ss!$E$90</definedName>
    <definedName name="s_IRPU_res_c">ss!$E$89</definedName>
    <definedName name="s_IRRI_far_a">ss!$N$87</definedName>
    <definedName name="s_IRRI_far_c">ss!$N$86</definedName>
    <definedName name="s_IRRI_res_a">ss!$E$93</definedName>
    <definedName name="s_IRRI_res_c">ss!$E$92</definedName>
    <definedName name="s_IRS_far_a">ss!$K$11</definedName>
    <definedName name="s_IRS_far_c">ss!$K$10</definedName>
    <definedName name="s_IRS_rec_a">ss!$H$11</definedName>
    <definedName name="s_IRS_rec_c">ss!$H$10</definedName>
    <definedName name="s_IRS_res_a">ss!$E$11</definedName>
    <definedName name="s_IRS_res_c">ss!$E$10</definedName>
    <definedName name="s_IRSH_far_a">ss!$Q$31</definedName>
    <definedName name="s_IRSH_far_c">ss!$Q$30</definedName>
    <definedName name="s_IRSM_far_a">ss!$Q$37</definedName>
    <definedName name="s_IRSM_far_c">ss!$Q$36</definedName>
    <definedName name="s_IRSN_far_a">ss!$N$90</definedName>
    <definedName name="s_IRSN_far_c">ss!$N$89</definedName>
    <definedName name="s_IRSN_res_a">ss!$E$96</definedName>
    <definedName name="s_IRSN_res_c">ss!$E$95</definedName>
    <definedName name="s_IRST_far_a">ss!$N$93</definedName>
    <definedName name="s_IRST_far_c">ss!$N$92</definedName>
    <definedName name="s_IRST_res_a">ss!$E$99</definedName>
    <definedName name="s_IRST_res_c">ss!$E$98</definedName>
    <definedName name="s_IRSW_far_a">ss!$Q$28</definedName>
    <definedName name="s_IRSW_far_c">ss!$Q$27</definedName>
    <definedName name="s_IRTO_far_a">ss!$N$96</definedName>
    <definedName name="s_IRTO_far_c">ss!$N$95</definedName>
    <definedName name="s_IRTO_res_a">ss!$E$102</definedName>
    <definedName name="s_IRTO_res_c">ss!$E$101</definedName>
    <definedName name="s_IRW_far_a">ss!$K$14</definedName>
    <definedName name="s_IRW_far_c">ss!$K$13</definedName>
    <definedName name="s_IRW_rec_a">ss!$H$14</definedName>
    <definedName name="s_IRW_rec_c">ss!$H$13</definedName>
    <definedName name="s_IRW_res_a">ss!$E$14</definedName>
    <definedName name="s_IRW_res_c">ss!$E$13</definedName>
    <definedName name="s_K">ss!$B$3</definedName>
    <definedName name="s_K_s2gw">ss!$B$20</definedName>
    <definedName name="s_L_s2gw">ss!$B$23</definedName>
    <definedName name="s_lambda_HL">ss!$B$7</definedName>
    <definedName name="s_ls2gw">ss!$B$22</definedName>
    <definedName name="s_MLF_apple">ss!$N$98</definedName>
    <definedName name="s_MLF_asparagus">ss!$N$99</definedName>
    <definedName name="s_MLF_beet">ss!$N$100</definedName>
    <definedName name="s_MLF_berries">ss!$N$101</definedName>
    <definedName name="s_MLF_broccoli">ss!$N$102</definedName>
    <definedName name="s_MLF_cabbage">ss!$N$103</definedName>
    <definedName name="s_MLF_carrot">ss!$N$104</definedName>
    <definedName name="s_MLF_cereal">ss!$N$120</definedName>
    <definedName name="s_MLF_citrus">ss!$N$105</definedName>
    <definedName name="s_MLF_corn">ss!$N$106</definedName>
    <definedName name="s_MLF_cucumber">ss!$N$107</definedName>
    <definedName name="s_MLF_lettuce">ss!$N$108</definedName>
    <definedName name="s_MLF_lima_bean">ss!$N$109</definedName>
    <definedName name="s_MLF_okra">ss!$N$110</definedName>
    <definedName name="s_MLF_onion">ss!$N$111</definedName>
    <definedName name="s_MLF_pasture">ss!$Q$68</definedName>
    <definedName name="s_MLF_peach">ss!$N$112</definedName>
    <definedName name="s_MLF_pear">ss!$N$113</definedName>
    <definedName name="s_MLF_peas">ss!$N$114</definedName>
    <definedName name="s_MLF_potato">ss!$N$115</definedName>
    <definedName name="s_MLF_pumpkin">ss!$N$116</definedName>
    <definedName name="s_MLF_rice">ss!$N$121</definedName>
    <definedName name="s_MLF_snap_bean">ss!$N$117</definedName>
    <definedName name="s_MLF_strawberry">ss!$N$118</definedName>
    <definedName name="s_MLF_tomato">ss!$N$119</definedName>
    <definedName name="s_P">ss!$B$11</definedName>
    <definedName name="s_PEF_wind">ss!$B$27</definedName>
    <definedName name="s_Q_C_wind">ss!$B$32</definedName>
    <definedName name="s_Q_p_beef">ss!$Q$49</definedName>
    <definedName name="s_Q_p_dairy">ss!$Q$44</definedName>
    <definedName name="s_Q_p_egg">ss!$Q$54</definedName>
    <definedName name="s_Q_p_fowl">ss!$H$30</definedName>
    <definedName name="s_Q_p_game">ss!$H$35</definedName>
    <definedName name="s_Q_p_goat">ss!$Q$76</definedName>
    <definedName name="s_Q_p_goat_milk">ss!$Q$81</definedName>
    <definedName name="s_Q_p_poultry">ss!$Q$59</definedName>
    <definedName name="s_Q_p_sheep">ss!$Q$71</definedName>
    <definedName name="s_Q_p_sheep_milk">ss!$Q$86</definedName>
    <definedName name="s_Q_p_swine">ss!$Q$64</definedName>
    <definedName name="s_Q_s_beef">ss!$Q$50</definedName>
    <definedName name="s_Q_s_dairy">ss!$Q$45</definedName>
    <definedName name="s_Q_s_egg">ss!$Q$55</definedName>
    <definedName name="s_Q_s_fowl">ss!$H$31</definedName>
    <definedName name="s_Q_s_game">ss!$H$36</definedName>
    <definedName name="s_Q_s_goat">ss!$Q$77</definedName>
    <definedName name="s_Q_s_goat_milk">ss!$Q$82</definedName>
    <definedName name="s_Q_s_poultry">ss!$Q$60</definedName>
    <definedName name="s_Q_s_sheep">ss!$Q$72</definedName>
    <definedName name="s_Q_s_sheep_milk">ss!$Q$87</definedName>
    <definedName name="s_Q_s_swine">ss!$Q$65</definedName>
    <definedName name="s_Q_w_beef">ss!$Q$48</definedName>
    <definedName name="s_Q_w_dairy">ss!$Q$42</definedName>
    <definedName name="s_Q_w_egg">ss!$Q$53</definedName>
    <definedName name="s_Q_w_fowl">ss!$H$34</definedName>
    <definedName name="s_Q_w_game">ss!$H$39</definedName>
    <definedName name="s_Q_w_goat">ss!$Q$75</definedName>
    <definedName name="s_Q_w_goat_milk">ss!$Q$80</definedName>
    <definedName name="s_Q_w_poultry">ss!$Q$58</definedName>
    <definedName name="s_Q_w_sheep">ss!$Q$70</definedName>
    <definedName name="s_Q_w_sheep_milk">ss!$Q$85</definedName>
    <definedName name="s_Q_w_swine">ss!$Q$63</definedName>
    <definedName name="s_R_es_past">ss!$Q$69</definedName>
    <definedName name="s_T">ss!$B$15</definedName>
    <definedName name="s_t_b">ss!$B$10</definedName>
    <definedName name="s_t_far">ss!$K$5</definedName>
    <definedName name="s_t_rec">ss!$H$5</definedName>
    <definedName name="s_t_res">ss!$E$5</definedName>
    <definedName name="s_t_v">ss!$B$13</definedName>
    <definedName name="s_t_w">ss!$B$16</definedName>
    <definedName name="s_TR">ss!$B$2</definedName>
    <definedName name="s_Um">ss!$B$28</definedName>
    <definedName name="s_Ut">ss!$B$29</definedName>
    <definedName name="s_V">ss!$B$31</definedName>
    <definedName name="s_x">ss!$B$39</definedName>
    <definedName name="s_Y_v">ss!$B$14</definedName>
    <definedName name="s_θw">ss!$B$18</definedName>
    <definedName name="s_ρb">ss!$B$17</definedName>
    <definedName name="T">d!$B$15</definedName>
    <definedName name="t_b">d!$B$10</definedName>
    <definedName name="t_far">d!$K$5</definedName>
    <definedName name="t_rec">d!$H$5</definedName>
    <definedName name="t_res">d!$E$5</definedName>
    <definedName name="t_v">d!$B$13</definedName>
    <definedName name="t_w">d!$B$16</definedName>
    <definedName name="TR">d!$B$2</definedName>
    <definedName name="Um">d!$B$28</definedName>
    <definedName name="Ut">d!$B$29</definedName>
    <definedName name="V">d!$B$31</definedName>
    <definedName name="Y_v">d!$B$14</definedName>
    <definedName name="θw">d!$B$18</definedName>
    <definedName name="ρb">d!$B$17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J2" i="37" l="1"/>
  <c r="AJ3" i="37"/>
  <c r="AJ4" i="37"/>
  <c r="AJ5" i="37"/>
  <c r="AJ6" i="37"/>
  <c r="AJ7" i="37"/>
  <c r="AJ8" i="37"/>
  <c r="AJ9" i="37"/>
  <c r="S63" i="5" l="1"/>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AD61" i="30"/>
  <c r="AE61" i="30"/>
  <c r="AF61" i="30"/>
  <c r="AG61" i="30"/>
  <c r="AH61" i="30"/>
  <c r="AI61" i="30"/>
  <c r="AJ61" i="30"/>
  <c r="AK61" i="30"/>
  <c r="AL61" i="30"/>
  <c r="AM61" i="30"/>
  <c r="AN61" i="30"/>
  <c r="AO61" i="30"/>
  <c r="AP61" i="30"/>
  <c r="AQ61" i="30"/>
  <c r="AR61" i="30"/>
  <c r="AS61" i="30"/>
  <c r="AT61" i="30"/>
  <c r="AU61" i="30"/>
  <c r="AV61" i="30"/>
  <c r="AW61" i="30"/>
  <c r="AX61" i="30"/>
  <c r="AY61" i="30"/>
  <c r="AZ61" i="30"/>
  <c r="AD62" i="30"/>
  <c r="AE62" i="30"/>
  <c r="AF62" i="30"/>
  <c r="AG62" i="30"/>
  <c r="AH62" i="30"/>
  <c r="AI62" i="30"/>
  <c r="AJ62" i="30"/>
  <c r="AK62" i="30"/>
  <c r="AL62" i="30"/>
  <c r="AM62" i="30"/>
  <c r="AN62" i="30"/>
  <c r="AO62" i="30"/>
  <c r="AP62" i="30"/>
  <c r="AQ62" i="30"/>
  <c r="AR62" i="30"/>
  <c r="AS62" i="30"/>
  <c r="AT62" i="30"/>
  <c r="AU62" i="30"/>
  <c r="AV62" i="30"/>
  <c r="AW62" i="30"/>
  <c r="AX62" i="30"/>
  <c r="AY62" i="30"/>
  <c r="AZ62" i="30"/>
  <c r="AD64" i="30"/>
  <c r="AE64" i="30"/>
  <c r="AE63" i="30" s="1"/>
  <c r="AF64" i="30"/>
  <c r="AG64" i="30"/>
  <c r="AH64" i="30"/>
  <c r="AI64" i="30"/>
  <c r="AI63" i="30" s="1"/>
  <c r="AJ64" i="30"/>
  <c r="AJ63" i="30" s="1"/>
  <c r="AK64" i="30"/>
  <c r="AK63" i="30" s="1"/>
  <c r="AL64" i="30"/>
  <c r="AL63" i="30" s="1"/>
  <c r="AM64" i="30"/>
  <c r="AM63" i="30" s="1"/>
  <c r="AN64" i="30"/>
  <c r="AO64" i="30"/>
  <c r="AP64" i="30"/>
  <c r="AQ64" i="30"/>
  <c r="AQ63" i="30" s="1"/>
  <c r="AR64" i="30"/>
  <c r="AS64" i="30"/>
  <c r="AT64" i="30"/>
  <c r="AU64" i="30"/>
  <c r="AU63" i="30" s="1"/>
  <c r="AV64" i="30"/>
  <c r="AV63" i="30" s="1"/>
  <c r="AW64" i="30"/>
  <c r="AW63" i="30" s="1"/>
  <c r="AX64" i="30"/>
  <c r="AX63" i="30" s="1"/>
  <c r="AY64" i="30"/>
  <c r="AY63" i="30" s="1"/>
  <c r="AZ64" i="30"/>
  <c r="AD65" i="30"/>
  <c r="AE65" i="30"/>
  <c r="AF65" i="30"/>
  <c r="AF63" i="30" s="1"/>
  <c r="AG65" i="30"/>
  <c r="AH65" i="30"/>
  <c r="AI65" i="30"/>
  <c r="AJ65" i="30"/>
  <c r="AK65" i="30"/>
  <c r="AL65" i="30"/>
  <c r="AM65" i="30"/>
  <c r="AN65" i="30"/>
  <c r="AO65" i="30"/>
  <c r="AP65" i="30"/>
  <c r="AQ65" i="30"/>
  <c r="AR65" i="30"/>
  <c r="AR63" i="30" s="1"/>
  <c r="AS65" i="30"/>
  <c r="AT65" i="30"/>
  <c r="AU65" i="30"/>
  <c r="AV65" i="30"/>
  <c r="AW65" i="30"/>
  <c r="AX65" i="30"/>
  <c r="AY65" i="30"/>
  <c r="AZ65" i="30"/>
  <c r="AD66" i="30"/>
  <c r="AE66" i="30"/>
  <c r="AF66" i="30"/>
  <c r="AG66" i="30"/>
  <c r="AG63" i="30" s="1"/>
  <c r="AH66" i="30"/>
  <c r="AI66" i="30"/>
  <c r="AJ66" i="30"/>
  <c r="AK66" i="30"/>
  <c r="AL66" i="30"/>
  <c r="AM66" i="30"/>
  <c r="AN66" i="30"/>
  <c r="AN63" i="30" s="1"/>
  <c r="AO66" i="30"/>
  <c r="AP66" i="30"/>
  <c r="AQ66" i="30"/>
  <c r="AR66" i="30"/>
  <c r="AS66" i="30"/>
  <c r="AS63" i="30" s="1"/>
  <c r="AT66" i="30"/>
  <c r="AU66" i="30"/>
  <c r="AV66" i="30"/>
  <c r="AW66" i="30"/>
  <c r="AX66" i="30"/>
  <c r="AY66" i="30"/>
  <c r="AZ66" i="30"/>
  <c r="AZ63" i="30" s="1"/>
  <c r="AD67" i="30"/>
  <c r="AE67" i="30"/>
  <c r="AF67" i="30"/>
  <c r="AG67" i="30"/>
  <c r="AH67" i="30"/>
  <c r="AH63" i="30" s="1"/>
  <c r="AI67" i="30"/>
  <c r="AJ67" i="30"/>
  <c r="AK67" i="30"/>
  <c r="AL67" i="30"/>
  <c r="AM67" i="30"/>
  <c r="AN67" i="30"/>
  <c r="AO67" i="30"/>
  <c r="AO63" i="30" s="1"/>
  <c r="AP67" i="30"/>
  <c r="AQ67" i="30"/>
  <c r="AR67" i="30"/>
  <c r="AS67" i="30"/>
  <c r="AT67" i="30"/>
  <c r="AT63" i="30" s="1"/>
  <c r="AU67" i="30"/>
  <c r="AV67" i="30"/>
  <c r="AW67" i="30"/>
  <c r="AX67" i="30"/>
  <c r="AY67" i="30"/>
  <c r="AZ67" i="30"/>
  <c r="AD68" i="30"/>
  <c r="AE68" i="30"/>
  <c r="AF68" i="30"/>
  <c r="AG68" i="30"/>
  <c r="AH68" i="30"/>
  <c r="AI68" i="30"/>
  <c r="AJ68" i="30"/>
  <c r="AK68" i="30"/>
  <c r="AL68" i="30"/>
  <c r="AM68" i="30"/>
  <c r="AN68" i="30"/>
  <c r="AO68" i="30"/>
  <c r="AP68" i="30"/>
  <c r="AQ68" i="30"/>
  <c r="AR68" i="30"/>
  <c r="AS68" i="30"/>
  <c r="AT68" i="30"/>
  <c r="AU68" i="30"/>
  <c r="AV68" i="30"/>
  <c r="AW68" i="30"/>
  <c r="AX68" i="30"/>
  <c r="AY68" i="30"/>
  <c r="AZ68" i="30"/>
  <c r="AD69" i="30"/>
  <c r="AE69" i="30"/>
  <c r="AF69" i="30"/>
  <c r="AG69" i="30"/>
  <c r="AH69" i="30"/>
  <c r="AI69" i="30"/>
  <c r="AJ69" i="30"/>
  <c r="AK69" i="30"/>
  <c r="AL69" i="30"/>
  <c r="AM69" i="30"/>
  <c r="AN69" i="30"/>
  <c r="AO69" i="30"/>
  <c r="AP69" i="30"/>
  <c r="AQ69" i="30"/>
  <c r="AR69" i="30"/>
  <c r="AS69" i="30"/>
  <c r="AT69" i="30"/>
  <c r="AU69" i="30"/>
  <c r="AV69" i="30"/>
  <c r="AW69" i="30"/>
  <c r="AX69" i="30"/>
  <c r="AY69" i="30"/>
  <c r="AZ69" i="30"/>
  <c r="AD70" i="30"/>
  <c r="AE70" i="30"/>
  <c r="AF70" i="30"/>
  <c r="AG70" i="30"/>
  <c r="AH70" i="30"/>
  <c r="AI70" i="30"/>
  <c r="AJ70" i="30"/>
  <c r="AK70" i="30"/>
  <c r="AL70" i="30"/>
  <c r="AM70" i="30"/>
  <c r="AN70" i="30"/>
  <c r="AO70" i="30"/>
  <c r="AP70" i="30"/>
  <c r="AQ70" i="30"/>
  <c r="AR70" i="30"/>
  <c r="AS70" i="30"/>
  <c r="AT70" i="30"/>
  <c r="AU70" i="30"/>
  <c r="AV70" i="30"/>
  <c r="AW70" i="30"/>
  <c r="AX70" i="30"/>
  <c r="AY70" i="30"/>
  <c r="AZ70" i="30"/>
  <c r="AD71" i="30"/>
  <c r="AE71" i="30"/>
  <c r="AF71" i="30"/>
  <c r="AG71" i="30"/>
  <c r="AH71" i="30"/>
  <c r="AI71" i="30"/>
  <c r="AJ71" i="30"/>
  <c r="AK71" i="30"/>
  <c r="AL71" i="30"/>
  <c r="AM71" i="30"/>
  <c r="AN71" i="30"/>
  <c r="AO71" i="30"/>
  <c r="AP71" i="30"/>
  <c r="AQ71" i="30"/>
  <c r="AR71" i="30"/>
  <c r="AS71" i="30"/>
  <c r="AT71" i="30"/>
  <c r="AU71" i="30"/>
  <c r="AV71" i="30"/>
  <c r="AW71" i="30"/>
  <c r="AX71" i="30"/>
  <c r="AY71" i="30"/>
  <c r="AZ71" i="30"/>
  <c r="AD72" i="30"/>
  <c r="AE72" i="30"/>
  <c r="AF72" i="30"/>
  <c r="AG72" i="30"/>
  <c r="AH72" i="30"/>
  <c r="AI72" i="30"/>
  <c r="AJ72" i="30"/>
  <c r="AK72" i="30"/>
  <c r="AL72" i="30"/>
  <c r="AM72" i="30"/>
  <c r="AN72" i="30"/>
  <c r="AO72" i="30"/>
  <c r="AP72" i="30"/>
  <c r="AQ72" i="30"/>
  <c r="AR72" i="30"/>
  <c r="AS72" i="30"/>
  <c r="AT72" i="30"/>
  <c r="AU72" i="30"/>
  <c r="AV72" i="30"/>
  <c r="AW72" i="30"/>
  <c r="AX72" i="30"/>
  <c r="AY72" i="30"/>
  <c r="AZ72" i="30"/>
  <c r="AD73" i="30"/>
  <c r="AE73" i="30"/>
  <c r="AF73" i="30"/>
  <c r="AG73" i="30"/>
  <c r="AH73" i="30"/>
  <c r="AI73" i="30"/>
  <c r="AJ73" i="30"/>
  <c r="AK73" i="30"/>
  <c r="AL73" i="30"/>
  <c r="AM73" i="30"/>
  <c r="AN73" i="30"/>
  <c r="AO73" i="30"/>
  <c r="AP73" i="30"/>
  <c r="AQ73" i="30"/>
  <c r="AR73" i="30"/>
  <c r="AS73" i="30"/>
  <c r="AT73" i="30"/>
  <c r="AU73" i="30"/>
  <c r="AV73" i="30"/>
  <c r="AW73" i="30"/>
  <c r="AX73" i="30"/>
  <c r="AY73" i="30"/>
  <c r="AZ73" i="30"/>
  <c r="AD74" i="30"/>
  <c r="AE74" i="30"/>
  <c r="AF74" i="30"/>
  <c r="AG74" i="30"/>
  <c r="AH74" i="30"/>
  <c r="AI74" i="30"/>
  <c r="AJ74" i="30"/>
  <c r="AK74" i="30"/>
  <c r="AL74" i="30"/>
  <c r="AM74" i="30"/>
  <c r="AN74" i="30"/>
  <c r="AO74" i="30"/>
  <c r="AP74" i="30"/>
  <c r="AQ74" i="30"/>
  <c r="AR74" i="30"/>
  <c r="AS74" i="30"/>
  <c r="AT74" i="30"/>
  <c r="AU74" i="30"/>
  <c r="AV74" i="30"/>
  <c r="AW74" i="30"/>
  <c r="AX74" i="30"/>
  <c r="AY74" i="30"/>
  <c r="AZ74" i="30"/>
  <c r="AD75" i="30"/>
  <c r="AD63" i="30" s="1"/>
  <c r="AE75" i="30"/>
  <c r="AF75" i="30"/>
  <c r="AG75" i="30"/>
  <c r="AH75" i="30"/>
  <c r="AI75" i="30"/>
  <c r="AJ75" i="30"/>
  <c r="AK75" i="30"/>
  <c r="AL75" i="30"/>
  <c r="AM75" i="30"/>
  <c r="AN75" i="30"/>
  <c r="AO75" i="30"/>
  <c r="AP75" i="30"/>
  <c r="AP63" i="30" s="1"/>
  <c r="AQ75" i="30"/>
  <c r="AR75" i="30"/>
  <c r="AS75" i="30"/>
  <c r="AT75" i="30"/>
  <c r="AU75" i="30"/>
  <c r="AV75" i="30"/>
  <c r="AW75" i="30"/>
  <c r="AX75" i="30"/>
  <c r="AY75" i="30"/>
  <c r="AZ75" i="30"/>
  <c r="AD76" i="30"/>
  <c r="AE76" i="30"/>
  <c r="AF76" i="30"/>
  <c r="AG76" i="30"/>
  <c r="AH76" i="30"/>
  <c r="AI76" i="30"/>
  <c r="AJ76" i="30"/>
  <c r="AK76" i="30"/>
  <c r="AL76" i="30"/>
  <c r="AM76" i="30"/>
  <c r="AN76" i="30"/>
  <c r="AO76" i="30"/>
  <c r="AP76" i="30"/>
  <c r="AQ76" i="30"/>
  <c r="AR76" i="30"/>
  <c r="AS76" i="30"/>
  <c r="AT76" i="30"/>
  <c r="AU76" i="30"/>
  <c r="AV76" i="30"/>
  <c r="AW76" i="30"/>
  <c r="AX76" i="30"/>
  <c r="AY76" i="30"/>
  <c r="AZ76" i="30"/>
  <c r="CX76" i="43"/>
  <c r="CW76" i="43"/>
  <c r="CV76" i="43"/>
  <c r="CU76" i="43"/>
  <c r="CT76" i="43"/>
  <c r="CS76" i="43"/>
  <c r="CR76" i="43"/>
  <c r="CQ76" i="43"/>
  <c r="CP76" i="43"/>
  <c r="CO76" i="43"/>
  <c r="CN76" i="43"/>
  <c r="CM76" i="43"/>
  <c r="CL76" i="43"/>
  <c r="CK76" i="43"/>
  <c r="CJ76" i="43"/>
  <c r="CI76" i="43"/>
  <c r="CH76" i="43"/>
  <c r="CG76" i="43"/>
  <c r="CF76" i="43"/>
  <c r="CE76" i="43"/>
  <c r="CD76" i="43"/>
  <c r="CC76" i="43"/>
  <c r="CB76" i="43"/>
  <c r="C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CX75" i="43"/>
  <c r="CW75" i="43"/>
  <c r="CV75" i="43"/>
  <c r="CU75" i="43"/>
  <c r="CT75" i="43"/>
  <c r="CS75" i="43"/>
  <c r="CR75" i="43"/>
  <c r="CQ75" i="43"/>
  <c r="CP75" i="43"/>
  <c r="CO75" i="43"/>
  <c r="CN75" i="43"/>
  <c r="CM75" i="43"/>
  <c r="CL75" i="43"/>
  <c r="CK75" i="43"/>
  <c r="CJ75" i="43"/>
  <c r="CI75" i="43"/>
  <c r="CH75" i="43"/>
  <c r="CG75" i="43"/>
  <c r="CF75" i="43"/>
  <c r="CE75" i="43"/>
  <c r="CD75" i="43"/>
  <c r="CC75" i="43"/>
  <c r="CB75" i="43"/>
  <c r="CA75" i="43"/>
  <c r="AZ75" i="43"/>
  <c r="AY75" i="43"/>
  <c r="AX75" i="43"/>
  <c r="AW75" i="43"/>
  <c r="AV75" i="43"/>
  <c r="AU75" i="43"/>
  <c r="AT75" i="43"/>
  <c r="AS75" i="43"/>
  <c r="AR75" i="43"/>
  <c r="AQ75" i="43"/>
  <c r="AP75" i="43"/>
  <c r="AO75" i="43"/>
  <c r="AN75" i="43"/>
  <c r="AM75" i="43"/>
  <c r="AL75" i="43"/>
  <c r="AK75" i="43"/>
  <c r="AJ75" i="43"/>
  <c r="AI75" i="43"/>
  <c r="AH75" i="43"/>
  <c r="AG75" i="43"/>
  <c r="AF75" i="43"/>
  <c r="AE75" i="43"/>
  <c r="AD75" i="43"/>
  <c r="AC75" i="43"/>
  <c r="CX74" i="43"/>
  <c r="CW74" i="43"/>
  <c r="CV74" i="43"/>
  <c r="CU74" i="43"/>
  <c r="CT74" i="43"/>
  <c r="CS74" i="43"/>
  <c r="CR74" i="43"/>
  <c r="CQ74" i="43"/>
  <c r="CP74" i="43"/>
  <c r="CO74" i="43"/>
  <c r="CN74" i="43"/>
  <c r="CM74" i="43"/>
  <c r="CL74" i="43"/>
  <c r="CK74" i="43"/>
  <c r="CJ74" i="43"/>
  <c r="CI74" i="43"/>
  <c r="CH74" i="43"/>
  <c r="CG74" i="43"/>
  <c r="CF74" i="43"/>
  <c r="CE74" i="43"/>
  <c r="CD74" i="43"/>
  <c r="CC74" i="43"/>
  <c r="CB74" i="43"/>
  <c r="CA74" i="43"/>
  <c r="AZ74" i="43"/>
  <c r="AY74" i="43"/>
  <c r="AX74" i="43"/>
  <c r="AW74" i="43"/>
  <c r="AV74" i="43"/>
  <c r="AU74" i="43"/>
  <c r="AT74" i="43"/>
  <c r="AS74" i="43"/>
  <c r="AR74" i="43"/>
  <c r="AQ74" i="43"/>
  <c r="AP74" i="43"/>
  <c r="AO74" i="43"/>
  <c r="AN74" i="43"/>
  <c r="AM74" i="43"/>
  <c r="AL74" i="43"/>
  <c r="AK74" i="43"/>
  <c r="AJ74" i="43"/>
  <c r="AI74" i="43"/>
  <c r="AH74" i="43"/>
  <c r="AG74" i="43"/>
  <c r="AF74" i="43"/>
  <c r="AE74" i="43"/>
  <c r="AD74" i="43"/>
  <c r="AC74" i="43"/>
  <c r="CX73" i="43"/>
  <c r="CW73" i="43"/>
  <c r="CV73" i="43"/>
  <c r="CU73" i="43"/>
  <c r="CT73" i="43"/>
  <c r="CS73" i="43"/>
  <c r="CR73" i="43"/>
  <c r="CQ73" i="43"/>
  <c r="CP73" i="43"/>
  <c r="CO73" i="43"/>
  <c r="CN73" i="43"/>
  <c r="CM73" i="43"/>
  <c r="CL73" i="43"/>
  <c r="CK73" i="43"/>
  <c r="CJ73" i="43"/>
  <c r="CI73" i="43"/>
  <c r="CH73" i="43"/>
  <c r="CG73" i="43"/>
  <c r="CF73" i="43"/>
  <c r="CE73" i="43"/>
  <c r="CD73" i="43"/>
  <c r="CC73" i="43"/>
  <c r="CB73" i="43"/>
  <c r="CA73" i="43"/>
  <c r="AZ73" i="43"/>
  <c r="AY73" i="43"/>
  <c r="AX73" i="43"/>
  <c r="AW73" i="43"/>
  <c r="AV73" i="43"/>
  <c r="AU73" i="43"/>
  <c r="AT73" i="43"/>
  <c r="AS73" i="43"/>
  <c r="AR73" i="43"/>
  <c r="AQ73" i="43"/>
  <c r="AP73" i="43"/>
  <c r="AO73" i="43"/>
  <c r="AN73" i="43"/>
  <c r="AM73" i="43"/>
  <c r="AL73" i="43"/>
  <c r="AK73" i="43"/>
  <c r="AJ73" i="43"/>
  <c r="AI73" i="43"/>
  <c r="AH73" i="43"/>
  <c r="AG73" i="43"/>
  <c r="AF73" i="43"/>
  <c r="AE73" i="43"/>
  <c r="AD73" i="43"/>
  <c r="AC73" i="43"/>
  <c r="CX72" i="43"/>
  <c r="CW72" i="43"/>
  <c r="CV72" i="43"/>
  <c r="CU72" i="43"/>
  <c r="CT72" i="43"/>
  <c r="CS72" i="43"/>
  <c r="CR72" i="43"/>
  <c r="CQ72" i="43"/>
  <c r="CP72" i="43"/>
  <c r="CO72" i="43"/>
  <c r="CN72" i="43"/>
  <c r="CM72" i="43"/>
  <c r="CL72" i="43"/>
  <c r="CK72" i="43"/>
  <c r="CJ72" i="43"/>
  <c r="CI72" i="43"/>
  <c r="CH72" i="43"/>
  <c r="CG72" i="43"/>
  <c r="CF72" i="43"/>
  <c r="CE72" i="43"/>
  <c r="CD72" i="43"/>
  <c r="CC72" i="43"/>
  <c r="CB72" i="43"/>
  <c r="CA72" i="43"/>
  <c r="AZ72" i="43"/>
  <c r="AY72" i="43"/>
  <c r="AX72" i="43"/>
  <c r="AW72" i="43"/>
  <c r="AV72" i="43"/>
  <c r="AU72" i="43"/>
  <c r="AT72" i="43"/>
  <c r="AS72" i="43"/>
  <c r="AR72" i="43"/>
  <c r="AQ72" i="43"/>
  <c r="AP72" i="43"/>
  <c r="AO72" i="43"/>
  <c r="AN72" i="43"/>
  <c r="AM72" i="43"/>
  <c r="AL72" i="43"/>
  <c r="AK72" i="43"/>
  <c r="AJ72" i="43"/>
  <c r="AI72" i="43"/>
  <c r="AH72" i="43"/>
  <c r="AG72" i="43"/>
  <c r="AF72" i="43"/>
  <c r="AE72" i="43"/>
  <c r="AD72" i="43"/>
  <c r="AC72" i="43"/>
  <c r="CX71" i="43"/>
  <c r="CW71" i="43"/>
  <c r="CV71" i="43"/>
  <c r="CU71" i="43"/>
  <c r="CT71" i="43"/>
  <c r="CS71" i="43"/>
  <c r="CR71" i="43"/>
  <c r="CQ71" i="43"/>
  <c r="CP71" i="43"/>
  <c r="CO71" i="43"/>
  <c r="CN71" i="43"/>
  <c r="CM71" i="43"/>
  <c r="CL71" i="43"/>
  <c r="CK71" i="43"/>
  <c r="CJ71" i="43"/>
  <c r="CI71" i="43"/>
  <c r="CH71" i="43"/>
  <c r="CG71" i="43"/>
  <c r="CF71" i="43"/>
  <c r="CE71" i="43"/>
  <c r="CD71" i="43"/>
  <c r="CC71" i="43"/>
  <c r="CB71" i="43"/>
  <c r="CA71" i="43"/>
  <c r="AZ71" i="43"/>
  <c r="AY71" i="43"/>
  <c r="AX71" i="43"/>
  <c r="AW71" i="43"/>
  <c r="AV71" i="43"/>
  <c r="AU71" i="43"/>
  <c r="AT71" i="43"/>
  <c r="AS71" i="43"/>
  <c r="AR71" i="43"/>
  <c r="AQ71" i="43"/>
  <c r="AP71" i="43"/>
  <c r="AO71" i="43"/>
  <c r="AN71" i="43"/>
  <c r="AM71" i="43"/>
  <c r="AL71" i="43"/>
  <c r="AK71" i="43"/>
  <c r="AJ71" i="43"/>
  <c r="AI71" i="43"/>
  <c r="AH71" i="43"/>
  <c r="AG71" i="43"/>
  <c r="AF71" i="43"/>
  <c r="AE71" i="43"/>
  <c r="AD71" i="43"/>
  <c r="AC71" i="43"/>
  <c r="CX70" i="43"/>
  <c r="CW70" i="43"/>
  <c r="CV70" i="43"/>
  <c r="CU70" i="43"/>
  <c r="CT70" i="43"/>
  <c r="CS70" i="43"/>
  <c r="CR70" i="43"/>
  <c r="CQ70" i="43"/>
  <c r="CP70" i="43"/>
  <c r="CO70" i="43"/>
  <c r="CN70" i="43"/>
  <c r="CM70" i="43"/>
  <c r="CL70" i="43"/>
  <c r="CK70" i="43"/>
  <c r="CJ70" i="43"/>
  <c r="CI70" i="43"/>
  <c r="CH70" i="43"/>
  <c r="CG70" i="43"/>
  <c r="CF70" i="43"/>
  <c r="CE70" i="43"/>
  <c r="CD70" i="43"/>
  <c r="CC70" i="43"/>
  <c r="CB70" i="43"/>
  <c r="CA70" i="43"/>
  <c r="AZ70" i="43"/>
  <c r="AY70" i="43"/>
  <c r="AX70" i="43"/>
  <c r="AW70" i="43"/>
  <c r="AV70" i="43"/>
  <c r="AU70" i="43"/>
  <c r="AT70" i="43"/>
  <c r="AS70" i="43"/>
  <c r="AR70" i="43"/>
  <c r="AQ70" i="43"/>
  <c r="AP70" i="43"/>
  <c r="AO70" i="43"/>
  <c r="AN70" i="43"/>
  <c r="AM70" i="43"/>
  <c r="AL70" i="43"/>
  <c r="AK70" i="43"/>
  <c r="AJ70" i="43"/>
  <c r="AI70" i="43"/>
  <c r="AH70" i="43"/>
  <c r="AG70" i="43"/>
  <c r="AF70" i="43"/>
  <c r="AE70" i="43"/>
  <c r="AD70" i="43"/>
  <c r="AC70" i="43"/>
  <c r="CX69" i="43"/>
  <c r="CW69" i="43"/>
  <c r="CV69" i="43"/>
  <c r="CU69" i="43"/>
  <c r="CT69" i="43"/>
  <c r="CS69" i="43"/>
  <c r="CR69" i="43"/>
  <c r="CQ69" i="43"/>
  <c r="CP69" i="43"/>
  <c r="CO69" i="43"/>
  <c r="CN69" i="43"/>
  <c r="CM69" i="43"/>
  <c r="CL69" i="43"/>
  <c r="CK69" i="43"/>
  <c r="CJ69" i="43"/>
  <c r="CI69" i="43"/>
  <c r="CH69" i="43"/>
  <c r="CG69" i="43"/>
  <c r="CF69" i="43"/>
  <c r="CE69" i="43"/>
  <c r="CD69" i="43"/>
  <c r="CC69" i="43"/>
  <c r="CB69" i="43"/>
  <c r="CA69" i="43"/>
  <c r="AZ69" i="43"/>
  <c r="AY69" i="43"/>
  <c r="AX69" i="43"/>
  <c r="AW69" i="43"/>
  <c r="AV69" i="43"/>
  <c r="AU69" i="43"/>
  <c r="AT69" i="43"/>
  <c r="AS69" i="43"/>
  <c r="AR69" i="43"/>
  <c r="AQ69" i="43"/>
  <c r="AP69" i="43"/>
  <c r="AO69" i="43"/>
  <c r="AN69" i="43"/>
  <c r="AM69" i="43"/>
  <c r="AL69" i="43"/>
  <c r="AK69" i="43"/>
  <c r="AJ69" i="43"/>
  <c r="AI69" i="43"/>
  <c r="AH69" i="43"/>
  <c r="AG69" i="43"/>
  <c r="AF69" i="43"/>
  <c r="AE69" i="43"/>
  <c r="AD69" i="43"/>
  <c r="AC69" i="43"/>
  <c r="CX68" i="43"/>
  <c r="CW68" i="43"/>
  <c r="CV68" i="43"/>
  <c r="CU68" i="43"/>
  <c r="CT68" i="43"/>
  <c r="CS68" i="43"/>
  <c r="CR68" i="43"/>
  <c r="CQ68" i="43"/>
  <c r="CP68" i="43"/>
  <c r="CO68" i="43"/>
  <c r="CN68" i="43"/>
  <c r="CM68" i="43"/>
  <c r="CL68" i="43"/>
  <c r="CK68" i="43"/>
  <c r="CJ68" i="43"/>
  <c r="CI68" i="43"/>
  <c r="CH68" i="43"/>
  <c r="CG68" i="43"/>
  <c r="CF68" i="43"/>
  <c r="CE68" i="43"/>
  <c r="CD68" i="43"/>
  <c r="CC68" i="43"/>
  <c r="CB68" i="43"/>
  <c r="CA68" i="43"/>
  <c r="AZ68" i="43"/>
  <c r="AY68" i="43"/>
  <c r="AX68" i="43"/>
  <c r="AW68" i="43"/>
  <c r="AV68" i="43"/>
  <c r="AU68" i="43"/>
  <c r="AT68" i="43"/>
  <c r="AS68" i="43"/>
  <c r="AR68" i="43"/>
  <c r="AQ68" i="43"/>
  <c r="AP68" i="43"/>
  <c r="AO68" i="43"/>
  <c r="AN68" i="43"/>
  <c r="AM68" i="43"/>
  <c r="AL68" i="43"/>
  <c r="AK68" i="43"/>
  <c r="AJ68" i="43"/>
  <c r="AI68" i="43"/>
  <c r="AH68" i="43"/>
  <c r="AG68" i="43"/>
  <c r="AF68" i="43"/>
  <c r="AE68" i="43"/>
  <c r="AD68" i="43"/>
  <c r="AC68" i="43"/>
  <c r="CX67" i="43"/>
  <c r="CW67" i="43"/>
  <c r="CV67" i="43"/>
  <c r="CU67" i="43"/>
  <c r="CT67" i="43"/>
  <c r="CS67" i="43"/>
  <c r="CR67" i="43"/>
  <c r="CQ67" i="43"/>
  <c r="CP67" i="43"/>
  <c r="CO67" i="43"/>
  <c r="CN67" i="43"/>
  <c r="CM67" i="43"/>
  <c r="CL67" i="43"/>
  <c r="CK67" i="43"/>
  <c r="CJ67" i="43"/>
  <c r="CI67" i="43"/>
  <c r="CH67" i="43"/>
  <c r="CG67" i="43"/>
  <c r="CF67" i="43"/>
  <c r="CE67" i="43"/>
  <c r="CD67" i="43"/>
  <c r="CC67" i="43"/>
  <c r="CB67" i="43"/>
  <c r="CA67" i="43"/>
  <c r="AZ67" i="43"/>
  <c r="AY67" i="43"/>
  <c r="AX67" i="43"/>
  <c r="AW67" i="43"/>
  <c r="AV67" i="43"/>
  <c r="AU67" i="43"/>
  <c r="AT67" i="43"/>
  <c r="AS67" i="43"/>
  <c r="AR67" i="43"/>
  <c r="AQ67" i="43"/>
  <c r="AP67" i="43"/>
  <c r="AO67" i="43"/>
  <c r="AN67" i="43"/>
  <c r="AM67" i="43"/>
  <c r="AL67" i="43"/>
  <c r="AK67" i="43"/>
  <c r="AJ67" i="43"/>
  <c r="AI67" i="43"/>
  <c r="AH67" i="43"/>
  <c r="AG67" i="43"/>
  <c r="AF67" i="43"/>
  <c r="AE67" i="43"/>
  <c r="AD67" i="43"/>
  <c r="AC67" i="43"/>
  <c r="CX66" i="43"/>
  <c r="CW66" i="43"/>
  <c r="CV66" i="43"/>
  <c r="CU66" i="43"/>
  <c r="CT66" i="43"/>
  <c r="CS66" i="43"/>
  <c r="CR66" i="43"/>
  <c r="CQ66" i="43"/>
  <c r="CP66" i="43"/>
  <c r="CO66" i="43"/>
  <c r="CN66" i="43"/>
  <c r="CM66" i="43"/>
  <c r="CL66" i="43"/>
  <c r="CK66" i="43"/>
  <c r="CJ66" i="43"/>
  <c r="CI66" i="43"/>
  <c r="CH66" i="43"/>
  <c r="CG66" i="43"/>
  <c r="CF66" i="43"/>
  <c r="CE66" i="43"/>
  <c r="CD66" i="43"/>
  <c r="CC66" i="43"/>
  <c r="CB66" i="43"/>
  <c r="CA66" i="43"/>
  <c r="AZ66" i="43"/>
  <c r="AY66" i="43"/>
  <c r="AX66" i="43"/>
  <c r="AW66" i="43"/>
  <c r="AV66" i="43"/>
  <c r="AU66" i="43"/>
  <c r="AT66" i="43"/>
  <c r="AS66" i="43"/>
  <c r="AR66" i="43"/>
  <c r="AQ66" i="43"/>
  <c r="AP66" i="43"/>
  <c r="AO66" i="43"/>
  <c r="AN66" i="43"/>
  <c r="AM66" i="43"/>
  <c r="AL66" i="43"/>
  <c r="AK66" i="43"/>
  <c r="AJ66" i="43"/>
  <c r="AI66" i="43"/>
  <c r="AH66" i="43"/>
  <c r="AG66" i="43"/>
  <c r="AF66" i="43"/>
  <c r="AE66" i="43"/>
  <c r="AD66" i="43"/>
  <c r="AC66" i="43"/>
  <c r="CX65" i="43"/>
  <c r="CW65" i="43"/>
  <c r="CV65" i="43"/>
  <c r="CU65" i="43"/>
  <c r="CT65" i="43"/>
  <c r="CS65" i="43"/>
  <c r="CR65" i="43"/>
  <c r="CQ65" i="43"/>
  <c r="CP65" i="43"/>
  <c r="CO65" i="43"/>
  <c r="CN65" i="43"/>
  <c r="CM65" i="43"/>
  <c r="CL65" i="43"/>
  <c r="CK65" i="43"/>
  <c r="CJ65" i="43"/>
  <c r="CI65" i="43"/>
  <c r="CH65" i="43"/>
  <c r="CG65" i="43"/>
  <c r="CF65" i="43"/>
  <c r="CE65" i="43"/>
  <c r="CD65" i="43"/>
  <c r="CC65" i="43"/>
  <c r="CB65" i="43"/>
  <c r="CA65" i="43"/>
  <c r="AZ65" i="43"/>
  <c r="AY65" i="43"/>
  <c r="AX65" i="43"/>
  <c r="AW65" i="43"/>
  <c r="AV65" i="43"/>
  <c r="AU65" i="43"/>
  <c r="AT65" i="43"/>
  <c r="AS65" i="43"/>
  <c r="AR65" i="43"/>
  <c r="AQ65" i="43"/>
  <c r="AP65" i="43"/>
  <c r="AO65" i="43"/>
  <c r="AN65" i="43"/>
  <c r="AM65" i="43"/>
  <c r="AL65" i="43"/>
  <c r="AK65" i="43"/>
  <c r="AJ65" i="43"/>
  <c r="AI65" i="43"/>
  <c r="AH65" i="43"/>
  <c r="AG65" i="43"/>
  <c r="AF65" i="43"/>
  <c r="AE65" i="43"/>
  <c r="AD65" i="43"/>
  <c r="AC65" i="43"/>
  <c r="CX64" i="43"/>
  <c r="CW64" i="43"/>
  <c r="CV64" i="43"/>
  <c r="CU64" i="43"/>
  <c r="CT64" i="43"/>
  <c r="CS64" i="43"/>
  <c r="CR64" i="43"/>
  <c r="CQ64" i="43"/>
  <c r="CP64" i="43"/>
  <c r="CO64" i="43"/>
  <c r="CN64" i="43"/>
  <c r="CM64" i="43"/>
  <c r="CL64" i="43"/>
  <c r="CK64" i="43"/>
  <c r="CJ64" i="43"/>
  <c r="CI64" i="43"/>
  <c r="CH64" i="43"/>
  <c r="CG64" i="43"/>
  <c r="CF64" i="43"/>
  <c r="CE64" i="43"/>
  <c r="CD64" i="43"/>
  <c r="CC64" i="43"/>
  <c r="CB64" i="43"/>
  <c r="CA64" i="43"/>
  <c r="AZ64" i="43"/>
  <c r="AY64" i="43"/>
  <c r="AX64" i="43"/>
  <c r="AW64" i="43"/>
  <c r="AV64" i="43"/>
  <c r="AU64" i="43"/>
  <c r="AT64" i="43"/>
  <c r="AS64" i="43"/>
  <c r="AR64" i="43"/>
  <c r="AQ64" i="43"/>
  <c r="AP64" i="43"/>
  <c r="AO64" i="43"/>
  <c r="AN64" i="43"/>
  <c r="AM64" i="43"/>
  <c r="AL64" i="43"/>
  <c r="AK64" i="43"/>
  <c r="AJ64" i="43"/>
  <c r="AI64" i="43"/>
  <c r="AH64" i="43"/>
  <c r="AG64" i="43"/>
  <c r="AF64" i="43"/>
  <c r="AE64" i="43"/>
  <c r="AD64" i="43"/>
  <c r="AC64" i="43"/>
  <c r="CX62" i="43"/>
  <c r="CW62" i="43"/>
  <c r="CV62" i="43"/>
  <c r="CU62" i="43"/>
  <c r="CT62" i="43"/>
  <c r="CS62" i="43"/>
  <c r="CR62" i="43"/>
  <c r="CQ62" i="43"/>
  <c r="CP62" i="43"/>
  <c r="CO62" i="43"/>
  <c r="CN62" i="43"/>
  <c r="CM62" i="43"/>
  <c r="CL62" i="43"/>
  <c r="CK62" i="43"/>
  <c r="CJ62" i="43"/>
  <c r="CI62" i="43"/>
  <c r="CH62" i="43"/>
  <c r="CG62" i="43"/>
  <c r="CF62" i="43"/>
  <c r="CE62" i="43"/>
  <c r="CD62" i="43"/>
  <c r="CC62" i="43"/>
  <c r="CB62" i="43"/>
  <c r="CA62" i="43"/>
  <c r="AZ62" i="43"/>
  <c r="AY62" i="43"/>
  <c r="AX62" i="43"/>
  <c r="AW62" i="43"/>
  <c r="AV62" i="43"/>
  <c r="AU62" i="43"/>
  <c r="AT62" i="43"/>
  <c r="AS62" i="43"/>
  <c r="AR62" i="43"/>
  <c r="AQ62" i="43"/>
  <c r="AP62" i="43"/>
  <c r="AO62" i="43"/>
  <c r="AN62" i="43"/>
  <c r="AM62" i="43"/>
  <c r="AL62" i="43"/>
  <c r="AK62" i="43"/>
  <c r="AJ62" i="43"/>
  <c r="AI62" i="43"/>
  <c r="AH62" i="43"/>
  <c r="AG62" i="43"/>
  <c r="AF62" i="43"/>
  <c r="AE62" i="43"/>
  <c r="AD62" i="43"/>
  <c r="AC62" i="43"/>
  <c r="CX61" i="43"/>
  <c r="CW61" i="43"/>
  <c r="CV61" i="43"/>
  <c r="CU61" i="43"/>
  <c r="CT61" i="43"/>
  <c r="CS61" i="43"/>
  <c r="CR61" i="43"/>
  <c r="CQ61" i="43"/>
  <c r="CP61" i="43"/>
  <c r="CO61" i="43"/>
  <c r="CN61" i="43"/>
  <c r="CM61" i="43"/>
  <c r="CL61" i="43"/>
  <c r="CK61" i="43"/>
  <c r="CJ61" i="43"/>
  <c r="CI61" i="43"/>
  <c r="CH61" i="43"/>
  <c r="CG61" i="43"/>
  <c r="CF61" i="43"/>
  <c r="CE61" i="43"/>
  <c r="CD61" i="43"/>
  <c r="CC61" i="43"/>
  <c r="CB61" i="43"/>
  <c r="CA61" i="43"/>
  <c r="AZ61" i="43"/>
  <c r="AY61" i="43"/>
  <c r="AX61" i="43"/>
  <c r="AW61" i="43"/>
  <c r="AV61" i="43"/>
  <c r="AU61" i="43"/>
  <c r="AT61" i="43"/>
  <c r="AS61" i="43"/>
  <c r="AR61" i="43"/>
  <c r="AQ61" i="43"/>
  <c r="AP61" i="43"/>
  <c r="AO61" i="43"/>
  <c r="AN61" i="43"/>
  <c r="AM61" i="43"/>
  <c r="AL61" i="43"/>
  <c r="AK61" i="43"/>
  <c r="AJ61" i="43"/>
  <c r="AI61" i="43"/>
  <c r="AH61" i="43"/>
  <c r="AG61" i="43"/>
  <c r="AF61" i="43"/>
  <c r="AE61" i="43"/>
  <c r="AD61" i="43"/>
  <c r="AC61" i="43"/>
  <c r="CX60" i="43"/>
  <c r="CW60" i="43"/>
  <c r="CV60" i="43"/>
  <c r="CU60" i="43"/>
  <c r="CT60" i="43"/>
  <c r="CS60" i="43"/>
  <c r="CR60" i="43"/>
  <c r="CQ60" i="43"/>
  <c r="CP60" i="43"/>
  <c r="CO60" i="43"/>
  <c r="CN60" i="43"/>
  <c r="CM60" i="43"/>
  <c r="CL60" i="43"/>
  <c r="CK60" i="43"/>
  <c r="CJ60" i="43"/>
  <c r="CI60" i="43"/>
  <c r="CH60" i="43"/>
  <c r="CG60" i="43"/>
  <c r="CF60" i="43"/>
  <c r="CE60" i="43"/>
  <c r="CD60" i="43"/>
  <c r="CC60" i="43"/>
  <c r="CB60" i="43"/>
  <c r="CA60" i="43"/>
  <c r="AZ60" i="43"/>
  <c r="AY60" i="43"/>
  <c r="AX60" i="43"/>
  <c r="AW60" i="43"/>
  <c r="AV60" i="43"/>
  <c r="AU60" i="43"/>
  <c r="AT60" i="43"/>
  <c r="AS60" i="43"/>
  <c r="AR60" i="43"/>
  <c r="AQ60" i="43"/>
  <c r="AP60" i="43"/>
  <c r="AO60" i="43"/>
  <c r="AN60" i="43"/>
  <c r="AM60" i="43"/>
  <c r="AL60" i="43"/>
  <c r="AK60" i="43"/>
  <c r="AJ60" i="43"/>
  <c r="AI60" i="43"/>
  <c r="AH60" i="43"/>
  <c r="AG60" i="43"/>
  <c r="AF60" i="43"/>
  <c r="AE60" i="43"/>
  <c r="AD60" i="43"/>
  <c r="AC60" i="43"/>
  <c r="CX59" i="43"/>
  <c r="CW59" i="43"/>
  <c r="CV59" i="43"/>
  <c r="CU59" i="43"/>
  <c r="CT59" i="43"/>
  <c r="CS59" i="43"/>
  <c r="CR59" i="43"/>
  <c r="CQ59" i="43"/>
  <c r="CP59" i="43"/>
  <c r="CO59" i="43"/>
  <c r="CN59" i="43"/>
  <c r="CM59" i="43"/>
  <c r="CL59" i="43"/>
  <c r="CK59" i="43"/>
  <c r="CJ59" i="43"/>
  <c r="CI59" i="43"/>
  <c r="CH59" i="43"/>
  <c r="CG59" i="43"/>
  <c r="CF59" i="43"/>
  <c r="CE59" i="43"/>
  <c r="CD59" i="43"/>
  <c r="CC59" i="43"/>
  <c r="CB59" i="43"/>
  <c r="CA59" i="43"/>
  <c r="AZ59" i="43"/>
  <c r="AY59" i="43"/>
  <c r="AX59" i="43"/>
  <c r="AW59" i="43"/>
  <c r="AV59" i="43"/>
  <c r="AU59" i="43"/>
  <c r="AT59" i="43"/>
  <c r="AS59" i="43"/>
  <c r="AR59" i="43"/>
  <c r="AQ59" i="43"/>
  <c r="AP59" i="43"/>
  <c r="AO59" i="43"/>
  <c r="AN59" i="43"/>
  <c r="AM59" i="43"/>
  <c r="AL59" i="43"/>
  <c r="AK59" i="43"/>
  <c r="AJ59" i="43"/>
  <c r="AI59" i="43"/>
  <c r="AH59" i="43"/>
  <c r="AG59" i="43"/>
  <c r="AF59" i="43"/>
  <c r="AE59" i="43"/>
  <c r="AD59" i="43"/>
  <c r="AC59" i="43"/>
  <c r="CX58" i="43"/>
  <c r="CW58" i="43"/>
  <c r="CV58" i="43"/>
  <c r="CU58" i="43"/>
  <c r="CT58" i="43"/>
  <c r="CS58" i="43"/>
  <c r="CR58" i="43"/>
  <c r="CQ58" i="43"/>
  <c r="CP58" i="43"/>
  <c r="CO58" i="43"/>
  <c r="CN58" i="43"/>
  <c r="CM58" i="43"/>
  <c r="CL58" i="43"/>
  <c r="CK58" i="43"/>
  <c r="CJ58" i="43"/>
  <c r="CI58" i="43"/>
  <c r="CH58" i="43"/>
  <c r="CG58" i="43"/>
  <c r="CF58" i="43"/>
  <c r="CE58" i="43"/>
  <c r="CD58" i="43"/>
  <c r="CC58" i="43"/>
  <c r="CB58" i="43"/>
  <c r="C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CX57" i="43"/>
  <c r="CW57" i="43"/>
  <c r="CV57" i="43"/>
  <c r="CU57" i="43"/>
  <c r="CT57" i="43"/>
  <c r="CS57" i="43"/>
  <c r="CR57" i="43"/>
  <c r="CQ57" i="43"/>
  <c r="CP57" i="43"/>
  <c r="CO57" i="43"/>
  <c r="CN57" i="43"/>
  <c r="CM57" i="43"/>
  <c r="CL57" i="43"/>
  <c r="CK57" i="43"/>
  <c r="CJ57" i="43"/>
  <c r="CI57" i="43"/>
  <c r="CH57" i="43"/>
  <c r="CG57" i="43"/>
  <c r="CF57" i="43"/>
  <c r="CE57" i="43"/>
  <c r="CD57" i="43"/>
  <c r="CC57" i="43"/>
  <c r="CB57" i="43"/>
  <c r="C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AC57" i="43"/>
  <c r="CX56" i="43"/>
  <c r="CW56" i="43"/>
  <c r="CV56" i="43"/>
  <c r="CU56" i="43"/>
  <c r="CT56" i="43"/>
  <c r="CS56" i="43"/>
  <c r="CR56" i="43"/>
  <c r="CQ56" i="43"/>
  <c r="CP56" i="43"/>
  <c r="CO56" i="43"/>
  <c r="CN56" i="43"/>
  <c r="CM56" i="43"/>
  <c r="CL56" i="43"/>
  <c r="CK56" i="43"/>
  <c r="CJ56" i="43"/>
  <c r="CI56" i="43"/>
  <c r="CH56" i="43"/>
  <c r="CG56" i="43"/>
  <c r="CF56" i="43"/>
  <c r="CE56" i="43"/>
  <c r="CD56" i="43"/>
  <c r="CC56" i="43"/>
  <c r="CB56" i="43"/>
  <c r="CA56" i="43"/>
  <c r="AZ56" i="43"/>
  <c r="AY56" i="43"/>
  <c r="AX56" i="43"/>
  <c r="AW56" i="43"/>
  <c r="AV56" i="43"/>
  <c r="AU56" i="43"/>
  <c r="AT56" i="43"/>
  <c r="AS56" i="43"/>
  <c r="AR56" i="43"/>
  <c r="AQ56" i="43"/>
  <c r="AP56" i="43"/>
  <c r="AO56" i="43"/>
  <c r="AN56" i="43"/>
  <c r="AM56" i="43"/>
  <c r="AL56" i="43"/>
  <c r="AK56" i="43"/>
  <c r="AJ56" i="43"/>
  <c r="AI56" i="43"/>
  <c r="AH56" i="43"/>
  <c r="AG56" i="43"/>
  <c r="AF56" i="43"/>
  <c r="AE56" i="43"/>
  <c r="AD56" i="43"/>
  <c r="AC56" i="43"/>
  <c r="CX55" i="43"/>
  <c r="CW55" i="43"/>
  <c r="CV55" i="43"/>
  <c r="CU55" i="43"/>
  <c r="CT55" i="43"/>
  <c r="CS55" i="43"/>
  <c r="CR55" i="43"/>
  <c r="CQ55" i="43"/>
  <c r="CP55" i="43"/>
  <c r="CO55" i="43"/>
  <c r="CN55" i="43"/>
  <c r="CM55" i="43"/>
  <c r="CL55" i="43"/>
  <c r="CK55" i="43"/>
  <c r="CJ55" i="43"/>
  <c r="CI55" i="43"/>
  <c r="CH55" i="43"/>
  <c r="CG55" i="43"/>
  <c r="CF55" i="43"/>
  <c r="CE55" i="43"/>
  <c r="CD55" i="43"/>
  <c r="CC55" i="43"/>
  <c r="CB55" i="43"/>
  <c r="CA55" i="43"/>
  <c r="AZ55" i="43"/>
  <c r="AY55" i="43"/>
  <c r="AX55" i="43"/>
  <c r="AW55" i="43"/>
  <c r="AV55" i="43"/>
  <c r="AU55" i="43"/>
  <c r="AT55" i="43"/>
  <c r="AS55" i="43"/>
  <c r="AR55" i="43"/>
  <c r="AQ55" i="43"/>
  <c r="AP55" i="43"/>
  <c r="AO55" i="43"/>
  <c r="AN55" i="43"/>
  <c r="AM55" i="43"/>
  <c r="AL55" i="43"/>
  <c r="AK55" i="43"/>
  <c r="AJ55" i="43"/>
  <c r="AI55" i="43"/>
  <c r="AH55" i="43"/>
  <c r="AG55" i="43"/>
  <c r="AF55" i="43"/>
  <c r="AE55" i="43"/>
  <c r="AD55" i="43"/>
  <c r="AC55" i="43"/>
  <c r="CX54" i="43"/>
  <c r="CW54" i="43"/>
  <c r="CV54" i="43"/>
  <c r="CU54" i="43"/>
  <c r="CT54" i="43"/>
  <c r="CS54" i="43"/>
  <c r="CR54" i="43"/>
  <c r="CQ54" i="43"/>
  <c r="CP54" i="43"/>
  <c r="CO54" i="43"/>
  <c r="CN54" i="43"/>
  <c r="CM54" i="43"/>
  <c r="CL54" i="43"/>
  <c r="CK54" i="43"/>
  <c r="CJ54" i="43"/>
  <c r="CI54" i="43"/>
  <c r="CH54" i="43"/>
  <c r="CG54" i="43"/>
  <c r="CF54" i="43"/>
  <c r="CE54" i="43"/>
  <c r="CD54" i="43"/>
  <c r="CC54" i="43"/>
  <c r="CB54" i="43"/>
  <c r="CA54" i="43"/>
  <c r="AZ54" i="43"/>
  <c r="AY54" i="43"/>
  <c r="AX54" i="43"/>
  <c r="AW54" i="43"/>
  <c r="AV54" i="43"/>
  <c r="AU54" i="43"/>
  <c r="AT54" i="43"/>
  <c r="AS54" i="43"/>
  <c r="AR54" i="43"/>
  <c r="AQ54" i="43"/>
  <c r="AP54" i="43"/>
  <c r="AO54" i="43"/>
  <c r="AN54" i="43"/>
  <c r="AM54" i="43"/>
  <c r="AL54" i="43"/>
  <c r="AK54" i="43"/>
  <c r="AJ54" i="43"/>
  <c r="AI54" i="43"/>
  <c r="AH54" i="43"/>
  <c r="AG54" i="43"/>
  <c r="AF54" i="43"/>
  <c r="AE54" i="43"/>
  <c r="AD54" i="43"/>
  <c r="AC54" i="43"/>
  <c r="CX53" i="43"/>
  <c r="CW53" i="43"/>
  <c r="CV53" i="43"/>
  <c r="CU53" i="43"/>
  <c r="CT53" i="43"/>
  <c r="CS53" i="43"/>
  <c r="CR53" i="43"/>
  <c r="CQ53" i="43"/>
  <c r="CP53" i="43"/>
  <c r="CO53" i="43"/>
  <c r="CN53" i="43"/>
  <c r="CM53" i="43"/>
  <c r="CL53" i="43"/>
  <c r="CK53" i="43"/>
  <c r="CJ53" i="43"/>
  <c r="CI53" i="43"/>
  <c r="CH53" i="43"/>
  <c r="CG53" i="43"/>
  <c r="CF53" i="43"/>
  <c r="CE53" i="43"/>
  <c r="CD53" i="43"/>
  <c r="CC53" i="43"/>
  <c r="CB53" i="43"/>
  <c r="CA53" i="43"/>
  <c r="AZ53" i="43"/>
  <c r="AY53" i="43"/>
  <c r="AX53" i="43"/>
  <c r="AW53" i="43"/>
  <c r="AV53" i="43"/>
  <c r="AU53" i="43"/>
  <c r="AT53" i="43"/>
  <c r="AS53" i="43"/>
  <c r="AR53" i="43"/>
  <c r="AQ53" i="43"/>
  <c r="AP53" i="43"/>
  <c r="AO53" i="43"/>
  <c r="AN53" i="43"/>
  <c r="AM53" i="43"/>
  <c r="AL53" i="43"/>
  <c r="AK53" i="43"/>
  <c r="AJ53" i="43"/>
  <c r="AI53" i="43"/>
  <c r="AH53" i="43"/>
  <c r="AG53" i="43"/>
  <c r="AF53" i="43"/>
  <c r="AE53" i="43"/>
  <c r="AD53" i="43"/>
  <c r="AC53" i="43"/>
  <c r="CX52" i="43"/>
  <c r="CW52" i="43"/>
  <c r="CV52" i="43"/>
  <c r="CU52" i="43"/>
  <c r="CT52" i="43"/>
  <c r="CS52" i="43"/>
  <c r="CR52" i="43"/>
  <c r="CQ52" i="43"/>
  <c r="CP52" i="43"/>
  <c r="CO52" i="43"/>
  <c r="CN52" i="43"/>
  <c r="CM52" i="43"/>
  <c r="CL52" i="43"/>
  <c r="CK52" i="43"/>
  <c r="CJ52" i="43"/>
  <c r="CI52" i="43"/>
  <c r="CH52" i="43"/>
  <c r="CG52" i="43"/>
  <c r="CF52" i="43"/>
  <c r="CE52" i="43"/>
  <c r="CD52" i="43"/>
  <c r="CC52" i="43"/>
  <c r="CB52" i="43"/>
  <c r="CA52" i="43"/>
  <c r="AZ52" i="43"/>
  <c r="AY52" i="43"/>
  <c r="AX52" i="43"/>
  <c r="AW52" i="43"/>
  <c r="AV52" i="43"/>
  <c r="AU52" i="43"/>
  <c r="AT52" i="43"/>
  <c r="AS52" i="43"/>
  <c r="AR52" i="43"/>
  <c r="AQ52" i="43"/>
  <c r="AP52" i="43"/>
  <c r="AO52" i="43"/>
  <c r="AN52" i="43"/>
  <c r="AM52" i="43"/>
  <c r="AL52" i="43"/>
  <c r="AK52" i="43"/>
  <c r="AJ52" i="43"/>
  <c r="AI52" i="43"/>
  <c r="AH52" i="43"/>
  <c r="AG52" i="43"/>
  <c r="AF52" i="43"/>
  <c r="AE52" i="43"/>
  <c r="AD52" i="43"/>
  <c r="AC52" i="43"/>
  <c r="CX51" i="43"/>
  <c r="CW51" i="43"/>
  <c r="CV51" i="43"/>
  <c r="CU51" i="43"/>
  <c r="CT51" i="43"/>
  <c r="CS51" i="43"/>
  <c r="CR51" i="43"/>
  <c r="CQ51" i="43"/>
  <c r="CP51" i="43"/>
  <c r="CO51" i="43"/>
  <c r="CN51" i="43"/>
  <c r="CM51" i="43"/>
  <c r="CL51" i="43"/>
  <c r="CK51" i="43"/>
  <c r="CJ51" i="43"/>
  <c r="CI51" i="43"/>
  <c r="CH51" i="43"/>
  <c r="CG51" i="43"/>
  <c r="CF51" i="43"/>
  <c r="CE51" i="43"/>
  <c r="CD51" i="43"/>
  <c r="CC51" i="43"/>
  <c r="CB51" i="43"/>
  <c r="CA51" i="43"/>
  <c r="AZ51" i="43"/>
  <c r="AY51" i="43"/>
  <c r="AX51" i="43"/>
  <c r="AW51" i="43"/>
  <c r="AV51" i="43"/>
  <c r="AU51" i="43"/>
  <c r="AT51" i="43"/>
  <c r="AS51" i="43"/>
  <c r="AR51" i="43"/>
  <c r="AQ51" i="43"/>
  <c r="AP51" i="43"/>
  <c r="AO51" i="43"/>
  <c r="AN51" i="43"/>
  <c r="AM51" i="43"/>
  <c r="AL51" i="43"/>
  <c r="AK51" i="43"/>
  <c r="AJ51" i="43"/>
  <c r="AI51" i="43"/>
  <c r="AH51" i="43"/>
  <c r="AG51" i="43"/>
  <c r="AF51" i="43"/>
  <c r="AE51" i="43"/>
  <c r="AD51" i="43"/>
  <c r="AC51" i="43"/>
  <c r="CX50" i="43"/>
  <c r="CW50" i="43"/>
  <c r="CV50" i="43"/>
  <c r="CU50" i="43"/>
  <c r="CT50" i="43"/>
  <c r="CS50" i="43"/>
  <c r="CR50" i="43"/>
  <c r="CQ50" i="43"/>
  <c r="CP50" i="43"/>
  <c r="CO50" i="43"/>
  <c r="CN50" i="43"/>
  <c r="CM50" i="43"/>
  <c r="CL50" i="43"/>
  <c r="CK50" i="43"/>
  <c r="CJ50" i="43"/>
  <c r="CI50" i="43"/>
  <c r="CH50" i="43"/>
  <c r="CG50" i="43"/>
  <c r="CF50" i="43"/>
  <c r="CE50" i="43"/>
  <c r="CD50" i="43"/>
  <c r="CC50" i="43"/>
  <c r="CB50" i="43"/>
  <c r="CA50" i="43"/>
  <c r="AZ50" i="43"/>
  <c r="AY50" i="43"/>
  <c r="AX50" i="43"/>
  <c r="AW50" i="43"/>
  <c r="AV50" i="43"/>
  <c r="AU50" i="43"/>
  <c r="AT50" i="43"/>
  <c r="AS50" i="43"/>
  <c r="AR50" i="43"/>
  <c r="AQ50" i="43"/>
  <c r="AP50" i="43"/>
  <c r="AO50" i="43"/>
  <c r="AN50" i="43"/>
  <c r="AM50" i="43"/>
  <c r="AL50" i="43"/>
  <c r="AK50" i="43"/>
  <c r="AJ50" i="43"/>
  <c r="AI50" i="43"/>
  <c r="AH50" i="43"/>
  <c r="AG50" i="43"/>
  <c r="AF50" i="43"/>
  <c r="AE50" i="43"/>
  <c r="AD50" i="43"/>
  <c r="AC50" i="43"/>
  <c r="CX49" i="43"/>
  <c r="CW49" i="43"/>
  <c r="CV49" i="43"/>
  <c r="CU49" i="43"/>
  <c r="CT49" i="43"/>
  <c r="CS49" i="43"/>
  <c r="CR49" i="43"/>
  <c r="CQ49" i="43"/>
  <c r="CP49" i="43"/>
  <c r="CO49" i="43"/>
  <c r="CN49" i="43"/>
  <c r="CM49" i="43"/>
  <c r="CL49" i="43"/>
  <c r="CK49" i="43"/>
  <c r="CJ49" i="43"/>
  <c r="CI49" i="43"/>
  <c r="CH49" i="43"/>
  <c r="CG49" i="43"/>
  <c r="CF49" i="43"/>
  <c r="CE49" i="43"/>
  <c r="CD49" i="43"/>
  <c r="CC49" i="43"/>
  <c r="CB49" i="43"/>
  <c r="CA49" i="43"/>
  <c r="AZ49" i="43"/>
  <c r="AY49" i="43"/>
  <c r="AX49" i="43"/>
  <c r="AW49" i="43"/>
  <c r="AV49" i="43"/>
  <c r="AU49" i="43"/>
  <c r="AT49" i="43"/>
  <c r="AS49" i="43"/>
  <c r="AR49" i="43"/>
  <c r="AQ49" i="43"/>
  <c r="AP49" i="43"/>
  <c r="AO49" i="43"/>
  <c r="AN49" i="43"/>
  <c r="AM49" i="43"/>
  <c r="AL49" i="43"/>
  <c r="AK49" i="43"/>
  <c r="AJ49" i="43"/>
  <c r="AI49" i="43"/>
  <c r="AH49" i="43"/>
  <c r="AG49" i="43"/>
  <c r="AF49" i="43"/>
  <c r="AE49" i="43"/>
  <c r="AD49" i="43"/>
  <c r="AC49" i="43"/>
  <c r="CX76" i="42"/>
  <c r="CW76" i="42"/>
  <c r="CV76" i="42"/>
  <c r="CU76" i="42"/>
  <c r="CT76" i="42"/>
  <c r="CS76" i="42"/>
  <c r="CR76" i="42"/>
  <c r="CQ76" i="42"/>
  <c r="CP76" i="42"/>
  <c r="CO76" i="42"/>
  <c r="CN76" i="42"/>
  <c r="CM76" i="42"/>
  <c r="CL76" i="42"/>
  <c r="CK76" i="42"/>
  <c r="CJ76" i="42"/>
  <c r="CI76" i="42"/>
  <c r="CH76" i="42"/>
  <c r="CG76" i="42"/>
  <c r="CF76" i="42"/>
  <c r="CE76" i="42"/>
  <c r="CD76" i="42"/>
  <c r="CC76" i="42"/>
  <c r="CB76" i="42"/>
  <c r="CA76" i="42"/>
  <c r="AZ76" i="42"/>
  <c r="AY76" i="42"/>
  <c r="AX76" i="42"/>
  <c r="AW76" i="42"/>
  <c r="AV76" i="42"/>
  <c r="AU76" i="42"/>
  <c r="AT76" i="42"/>
  <c r="AS76" i="42"/>
  <c r="AR76" i="42"/>
  <c r="AQ76" i="42"/>
  <c r="AP76" i="42"/>
  <c r="AO76" i="42"/>
  <c r="AN76" i="42"/>
  <c r="AM76" i="42"/>
  <c r="AL76" i="42"/>
  <c r="AK76" i="42"/>
  <c r="AJ76" i="42"/>
  <c r="AI76" i="42"/>
  <c r="AH76" i="42"/>
  <c r="AG76" i="42"/>
  <c r="AF76" i="42"/>
  <c r="AE76" i="42"/>
  <c r="AD76" i="42"/>
  <c r="AC76" i="42"/>
  <c r="CX75" i="42"/>
  <c r="CW75" i="42"/>
  <c r="CV75" i="42"/>
  <c r="CU75" i="42"/>
  <c r="CT75" i="42"/>
  <c r="CS75" i="42"/>
  <c r="CR75" i="42"/>
  <c r="CQ75" i="42"/>
  <c r="CP75" i="42"/>
  <c r="CO75" i="42"/>
  <c r="CN75" i="42"/>
  <c r="CM75" i="42"/>
  <c r="CL75" i="42"/>
  <c r="CK75" i="42"/>
  <c r="CJ75" i="42"/>
  <c r="CI75" i="42"/>
  <c r="CH75" i="42"/>
  <c r="CG75" i="42"/>
  <c r="CF75" i="42"/>
  <c r="CE75" i="42"/>
  <c r="CD75" i="42"/>
  <c r="CC75" i="42"/>
  <c r="CB75" i="42"/>
  <c r="CA75" i="42"/>
  <c r="AZ75" i="42"/>
  <c r="AY75" i="42"/>
  <c r="AX75" i="42"/>
  <c r="AW75" i="42"/>
  <c r="AV75" i="42"/>
  <c r="AU75" i="42"/>
  <c r="AT75" i="42"/>
  <c r="AS75" i="42"/>
  <c r="AR75" i="42"/>
  <c r="AQ75" i="42"/>
  <c r="AP75" i="42"/>
  <c r="AO75" i="42"/>
  <c r="AN75" i="42"/>
  <c r="AM75" i="42"/>
  <c r="AL75" i="42"/>
  <c r="AK75" i="42"/>
  <c r="AJ75" i="42"/>
  <c r="AI75" i="42"/>
  <c r="AH75" i="42"/>
  <c r="AG75" i="42"/>
  <c r="AF75" i="42"/>
  <c r="AE75" i="42"/>
  <c r="AD75" i="42"/>
  <c r="AC75" i="42"/>
  <c r="CX74" i="42"/>
  <c r="CW74" i="42"/>
  <c r="CV74" i="42"/>
  <c r="CU74" i="42"/>
  <c r="CT74" i="42"/>
  <c r="CS74" i="42"/>
  <c r="CR74" i="42"/>
  <c r="CQ74" i="42"/>
  <c r="CP74" i="42"/>
  <c r="CO74" i="42"/>
  <c r="CN74" i="42"/>
  <c r="CM74" i="42"/>
  <c r="CL74" i="42"/>
  <c r="CK74" i="42"/>
  <c r="CJ74" i="42"/>
  <c r="CI74" i="42"/>
  <c r="CH74" i="42"/>
  <c r="CG74" i="42"/>
  <c r="CF74" i="42"/>
  <c r="CE74" i="42"/>
  <c r="CD74" i="42"/>
  <c r="CC74" i="42"/>
  <c r="CB74" i="42"/>
  <c r="CA74" i="42"/>
  <c r="AZ74" i="42"/>
  <c r="AY74" i="42"/>
  <c r="AX74" i="42"/>
  <c r="AW74" i="42"/>
  <c r="AV74" i="42"/>
  <c r="AU74" i="42"/>
  <c r="AT74" i="42"/>
  <c r="AS74" i="42"/>
  <c r="AR74" i="42"/>
  <c r="AQ74" i="42"/>
  <c r="AP74" i="42"/>
  <c r="AO74" i="42"/>
  <c r="AN74" i="42"/>
  <c r="AM74" i="42"/>
  <c r="AL74" i="42"/>
  <c r="AK74" i="42"/>
  <c r="AJ74" i="42"/>
  <c r="AI74" i="42"/>
  <c r="AH74" i="42"/>
  <c r="AG74" i="42"/>
  <c r="AF74" i="42"/>
  <c r="AE74" i="42"/>
  <c r="AD74" i="42"/>
  <c r="AC74" i="42"/>
  <c r="CX73" i="42"/>
  <c r="CW73" i="42"/>
  <c r="CV73" i="42"/>
  <c r="CU73" i="42"/>
  <c r="CT73" i="42"/>
  <c r="CS73" i="42"/>
  <c r="CR73" i="42"/>
  <c r="CQ73" i="42"/>
  <c r="CP73" i="42"/>
  <c r="CO73" i="42"/>
  <c r="CN73" i="42"/>
  <c r="CM73" i="42"/>
  <c r="CL73" i="42"/>
  <c r="CK73" i="42"/>
  <c r="CJ73" i="42"/>
  <c r="CI73" i="42"/>
  <c r="CH73" i="42"/>
  <c r="CG73" i="42"/>
  <c r="CF73" i="42"/>
  <c r="CE73" i="42"/>
  <c r="CD73" i="42"/>
  <c r="CC73" i="42"/>
  <c r="CB73" i="42"/>
  <c r="CA73" i="42"/>
  <c r="AZ73" i="42"/>
  <c r="AY73" i="42"/>
  <c r="AX73" i="42"/>
  <c r="AW73" i="42"/>
  <c r="AV73" i="42"/>
  <c r="AU73" i="42"/>
  <c r="AT73" i="42"/>
  <c r="AS73" i="42"/>
  <c r="AR73" i="42"/>
  <c r="AQ73" i="42"/>
  <c r="AP73" i="42"/>
  <c r="AO73" i="42"/>
  <c r="AN73" i="42"/>
  <c r="AM73" i="42"/>
  <c r="AL73" i="42"/>
  <c r="AK73" i="42"/>
  <c r="AJ73" i="42"/>
  <c r="AI73" i="42"/>
  <c r="AH73" i="42"/>
  <c r="AG73" i="42"/>
  <c r="AF73" i="42"/>
  <c r="AE73" i="42"/>
  <c r="AD73" i="42"/>
  <c r="AC73" i="42"/>
  <c r="CX72" i="42"/>
  <c r="CW72" i="42"/>
  <c r="CV72" i="42"/>
  <c r="CU72" i="42"/>
  <c r="CT72" i="42"/>
  <c r="CS72" i="42"/>
  <c r="CR72" i="42"/>
  <c r="CQ72" i="42"/>
  <c r="CP72" i="42"/>
  <c r="CO72" i="42"/>
  <c r="CN72" i="42"/>
  <c r="CM72" i="42"/>
  <c r="CL72" i="42"/>
  <c r="CK72" i="42"/>
  <c r="CJ72" i="42"/>
  <c r="CI72" i="42"/>
  <c r="CH72" i="42"/>
  <c r="CG72" i="42"/>
  <c r="CF72" i="42"/>
  <c r="CE72" i="42"/>
  <c r="CD72" i="42"/>
  <c r="CC72" i="42"/>
  <c r="CB72" i="42"/>
  <c r="CA72" i="42"/>
  <c r="AZ72" i="42"/>
  <c r="AY72" i="42"/>
  <c r="AX72" i="42"/>
  <c r="AW72" i="42"/>
  <c r="AV72" i="42"/>
  <c r="AU72" i="42"/>
  <c r="AT72" i="42"/>
  <c r="AS72" i="42"/>
  <c r="AR72" i="42"/>
  <c r="AQ72" i="42"/>
  <c r="AP72" i="42"/>
  <c r="AO72" i="42"/>
  <c r="AN72" i="42"/>
  <c r="AM72" i="42"/>
  <c r="AL72" i="42"/>
  <c r="AK72" i="42"/>
  <c r="AJ72" i="42"/>
  <c r="AI72" i="42"/>
  <c r="AH72" i="42"/>
  <c r="AG72" i="42"/>
  <c r="AF72" i="42"/>
  <c r="AE72" i="42"/>
  <c r="AD72" i="42"/>
  <c r="AC72" i="42"/>
  <c r="CX71" i="42"/>
  <c r="CW71" i="42"/>
  <c r="CV71" i="42"/>
  <c r="CU71" i="42"/>
  <c r="CT71" i="42"/>
  <c r="CS71" i="42"/>
  <c r="CR71" i="42"/>
  <c r="CQ71" i="42"/>
  <c r="CP71" i="42"/>
  <c r="CO71" i="42"/>
  <c r="CN71" i="42"/>
  <c r="CM71" i="42"/>
  <c r="CL71" i="42"/>
  <c r="CK71" i="42"/>
  <c r="CJ71" i="42"/>
  <c r="CI71" i="42"/>
  <c r="CH71" i="42"/>
  <c r="CG71" i="42"/>
  <c r="CF71" i="42"/>
  <c r="CE71" i="42"/>
  <c r="CD71" i="42"/>
  <c r="CC71" i="42"/>
  <c r="CB71" i="42"/>
  <c r="CA71" i="42"/>
  <c r="AZ71" i="42"/>
  <c r="AY71" i="42"/>
  <c r="AX71" i="42"/>
  <c r="AW71" i="42"/>
  <c r="AV71" i="42"/>
  <c r="AU71" i="42"/>
  <c r="AT71" i="42"/>
  <c r="AS71" i="42"/>
  <c r="AR71" i="42"/>
  <c r="AQ71" i="42"/>
  <c r="AP71" i="42"/>
  <c r="AO71" i="42"/>
  <c r="AN71" i="42"/>
  <c r="AM71" i="42"/>
  <c r="AL71" i="42"/>
  <c r="AK71" i="42"/>
  <c r="AJ71" i="42"/>
  <c r="AI71" i="42"/>
  <c r="AH71" i="42"/>
  <c r="AG71" i="42"/>
  <c r="AF71" i="42"/>
  <c r="AE71" i="42"/>
  <c r="AD71" i="42"/>
  <c r="AC71" i="42"/>
  <c r="CX70" i="42"/>
  <c r="CW70" i="42"/>
  <c r="CV70" i="42"/>
  <c r="CU70" i="42"/>
  <c r="CT70" i="42"/>
  <c r="CS70" i="42"/>
  <c r="CR70" i="42"/>
  <c r="CQ70" i="42"/>
  <c r="CP70" i="42"/>
  <c r="CO70" i="42"/>
  <c r="CN70" i="42"/>
  <c r="CM70" i="42"/>
  <c r="CL70" i="42"/>
  <c r="CK70" i="42"/>
  <c r="CJ70" i="42"/>
  <c r="CI70" i="42"/>
  <c r="CH70" i="42"/>
  <c r="CG70" i="42"/>
  <c r="CF70" i="42"/>
  <c r="CE70" i="42"/>
  <c r="CD70" i="42"/>
  <c r="CC70" i="42"/>
  <c r="CB70" i="42"/>
  <c r="CA70" i="42"/>
  <c r="AZ70" i="42"/>
  <c r="AY70" i="42"/>
  <c r="AX70" i="42"/>
  <c r="AW70" i="42"/>
  <c r="AV70" i="42"/>
  <c r="AU70" i="42"/>
  <c r="AT70" i="42"/>
  <c r="AS70" i="42"/>
  <c r="AR70" i="42"/>
  <c r="AQ70" i="42"/>
  <c r="AP70" i="42"/>
  <c r="AO70" i="42"/>
  <c r="AN70" i="42"/>
  <c r="AM70" i="42"/>
  <c r="AL70" i="42"/>
  <c r="AK70" i="42"/>
  <c r="AJ70" i="42"/>
  <c r="AI70" i="42"/>
  <c r="AH70" i="42"/>
  <c r="AG70" i="42"/>
  <c r="AF70" i="42"/>
  <c r="AE70" i="42"/>
  <c r="AD70" i="42"/>
  <c r="AC70" i="42"/>
  <c r="CX69" i="42"/>
  <c r="CW69" i="42"/>
  <c r="CV69" i="42"/>
  <c r="CU69" i="42"/>
  <c r="CT69" i="42"/>
  <c r="CS69" i="42"/>
  <c r="CR69" i="42"/>
  <c r="CQ69" i="42"/>
  <c r="CP69" i="42"/>
  <c r="CO69" i="42"/>
  <c r="CN69" i="42"/>
  <c r="CM69" i="42"/>
  <c r="CL69" i="42"/>
  <c r="CK69" i="42"/>
  <c r="CJ69" i="42"/>
  <c r="CI69" i="42"/>
  <c r="CH69" i="42"/>
  <c r="CG69" i="42"/>
  <c r="CF69" i="42"/>
  <c r="CE69" i="42"/>
  <c r="CD69" i="42"/>
  <c r="CC69" i="42"/>
  <c r="CB69" i="42"/>
  <c r="CA69" i="42"/>
  <c r="AZ69" i="42"/>
  <c r="AY69" i="42"/>
  <c r="AX69" i="42"/>
  <c r="AW69" i="42"/>
  <c r="AV69" i="42"/>
  <c r="AU69" i="42"/>
  <c r="AT69" i="42"/>
  <c r="AS69" i="42"/>
  <c r="AR69" i="42"/>
  <c r="AQ69" i="42"/>
  <c r="AP69" i="42"/>
  <c r="AO69" i="42"/>
  <c r="AN69" i="42"/>
  <c r="AM69" i="42"/>
  <c r="AL69" i="42"/>
  <c r="AK69" i="42"/>
  <c r="AJ69" i="42"/>
  <c r="AI69" i="42"/>
  <c r="AH69" i="42"/>
  <c r="AG69" i="42"/>
  <c r="AF69" i="42"/>
  <c r="AE69" i="42"/>
  <c r="AD69" i="42"/>
  <c r="AC69" i="42"/>
  <c r="CX68" i="42"/>
  <c r="CW68" i="42"/>
  <c r="CV68" i="42"/>
  <c r="CU68" i="42"/>
  <c r="CT68" i="42"/>
  <c r="CS68" i="42"/>
  <c r="CR68" i="42"/>
  <c r="CQ68" i="42"/>
  <c r="CP68" i="42"/>
  <c r="CO68" i="42"/>
  <c r="CN68" i="42"/>
  <c r="CM68" i="42"/>
  <c r="CL68" i="42"/>
  <c r="CK68" i="42"/>
  <c r="CJ68" i="42"/>
  <c r="CI68" i="42"/>
  <c r="CH68" i="42"/>
  <c r="CG68" i="42"/>
  <c r="CF68" i="42"/>
  <c r="CE68" i="42"/>
  <c r="CD68" i="42"/>
  <c r="CC68" i="42"/>
  <c r="CB68" i="42"/>
  <c r="CA68" i="42"/>
  <c r="AZ68" i="42"/>
  <c r="AY68" i="42"/>
  <c r="AX68" i="42"/>
  <c r="AW68" i="42"/>
  <c r="AV68" i="42"/>
  <c r="AU68" i="42"/>
  <c r="AT68" i="42"/>
  <c r="AS68" i="42"/>
  <c r="AR68" i="42"/>
  <c r="AQ68" i="42"/>
  <c r="AP68" i="42"/>
  <c r="AO68" i="42"/>
  <c r="AN68" i="42"/>
  <c r="AM68" i="42"/>
  <c r="AL68" i="42"/>
  <c r="AK68" i="42"/>
  <c r="AJ68" i="42"/>
  <c r="AI68" i="42"/>
  <c r="AH68" i="42"/>
  <c r="AG68" i="42"/>
  <c r="AF68" i="42"/>
  <c r="AE68" i="42"/>
  <c r="AD68" i="42"/>
  <c r="AC68" i="42"/>
  <c r="CX67" i="42"/>
  <c r="CW67" i="42"/>
  <c r="CV67" i="42"/>
  <c r="CU67" i="42"/>
  <c r="CT67" i="42"/>
  <c r="CS67" i="42"/>
  <c r="CR67" i="42"/>
  <c r="CQ67" i="42"/>
  <c r="CP67" i="42"/>
  <c r="CO67" i="42"/>
  <c r="CN67" i="42"/>
  <c r="CM67" i="42"/>
  <c r="CL67" i="42"/>
  <c r="CK67" i="42"/>
  <c r="CJ67" i="42"/>
  <c r="CI67" i="42"/>
  <c r="CH67" i="42"/>
  <c r="CG67" i="42"/>
  <c r="CF67" i="42"/>
  <c r="CE67" i="42"/>
  <c r="CD67" i="42"/>
  <c r="CC67" i="42"/>
  <c r="CB67" i="42"/>
  <c r="CA67" i="42"/>
  <c r="AZ67" i="42"/>
  <c r="AY67" i="42"/>
  <c r="AX67" i="42"/>
  <c r="AW67" i="42"/>
  <c r="AV67" i="42"/>
  <c r="AU67" i="42"/>
  <c r="AT67" i="42"/>
  <c r="AS67" i="42"/>
  <c r="AR67" i="42"/>
  <c r="AQ67" i="42"/>
  <c r="AP67" i="42"/>
  <c r="AO67" i="42"/>
  <c r="AN67" i="42"/>
  <c r="AM67" i="42"/>
  <c r="AL67" i="42"/>
  <c r="AK67" i="42"/>
  <c r="AJ67" i="42"/>
  <c r="AI67" i="42"/>
  <c r="AH67" i="42"/>
  <c r="AG67" i="42"/>
  <c r="AF67" i="42"/>
  <c r="AE67" i="42"/>
  <c r="AD67" i="42"/>
  <c r="AC67" i="42"/>
  <c r="CX66" i="42"/>
  <c r="CW66" i="42"/>
  <c r="CV66" i="42"/>
  <c r="CU66" i="42"/>
  <c r="CT66" i="42"/>
  <c r="CS66" i="42"/>
  <c r="CR66" i="42"/>
  <c r="CQ66" i="42"/>
  <c r="CP66" i="42"/>
  <c r="CO66" i="42"/>
  <c r="CN66" i="42"/>
  <c r="CM66" i="42"/>
  <c r="CL66" i="42"/>
  <c r="CK66" i="42"/>
  <c r="CJ66" i="42"/>
  <c r="CI66" i="42"/>
  <c r="CH66" i="42"/>
  <c r="CG66" i="42"/>
  <c r="CF66" i="42"/>
  <c r="CE66" i="42"/>
  <c r="CD66" i="42"/>
  <c r="CC66" i="42"/>
  <c r="CB66" i="42"/>
  <c r="C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AC66" i="42"/>
  <c r="CX65" i="42"/>
  <c r="CW65" i="42"/>
  <c r="CV65" i="42"/>
  <c r="CU65" i="42"/>
  <c r="CT65" i="42"/>
  <c r="CS65" i="42"/>
  <c r="CR65" i="42"/>
  <c r="CQ65" i="42"/>
  <c r="CP65" i="42"/>
  <c r="CO65" i="42"/>
  <c r="CN65" i="42"/>
  <c r="CM65" i="42"/>
  <c r="CL65" i="42"/>
  <c r="CK65" i="42"/>
  <c r="CJ65" i="42"/>
  <c r="CI65" i="42"/>
  <c r="CH65" i="42"/>
  <c r="CG65" i="42"/>
  <c r="CF65" i="42"/>
  <c r="CE65" i="42"/>
  <c r="CD65" i="42"/>
  <c r="CC65" i="42"/>
  <c r="CB65" i="42"/>
  <c r="CA65" i="42"/>
  <c r="AZ65" i="42"/>
  <c r="AY65" i="42"/>
  <c r="AX65" i="42"/>
  <c r="AW65" i="42"/>
  <c r="AV65" i="42"/>
  <c r="AU65" i="42"/>
  <c r="AT65" i="42"/>
  <c r="AS65" i="42"/>
  <c r="AR65" i="42"/>
  <c r="AQ65" i="42"/>
  <c r="AP65" i="42"/>
  <c r="AO65" i="42"/>
  <c r="AN65" i="42"/>
  <c r="AM65" i="42"/>
  <c r="AL65" i="42"/>
  <c r="AK65" i="42"/>
  <c r="AJ65" i="42"/>
  <c r="AI65" i="42"/>
  <c r="AH65" i="42"/>
  <c r="AG65" i="42"/>
  <c r="AF65" i="42"/>
  <c r="AE65" i="42"/>
  <c r="AD65" i="42"/>
  <c r="AC65" i="42"/>
  <c r="CX64" i="42"/>
  <c r="CW64" i="42"/>
  <c r="CV64" i="42"/>
  <c r="CU64" i="42"/>
  <c r="CT64" i="42"/>
  <c r="CS64" i="42"/>
  <c r="CR64" i="42"/>
  <c r="CQ64" i="42"/>
  <c r="CP64" i="42"/>
  <c r="CO64" i="42"/>
  <c r="CN64" i="42"/>
  <c r="CM64" i="42"/>
  <c r="CL64" i="42"/>
  <c r="CK64" i="42"/>
  <c r="CJ64" i="42"/>
  <c r="CI64" i="42"/>
  <c r="CH64" i="42"/>
  <c r="CG64" i="42"/>
  <c r="CF64" i="42"/>
  <c r="CE64" i="42"/>
  <c r="CD64" i="42"/>
  <c r="CC64" i="42"/>
  <c r="CB64" i="42"/>
  <c r="CA64" i="42"/>
  <c r="AZ64" i="42"/>
  <c r="AY64" i="42"/>
  <c r="AX64" i="42"/>
  <c r="AW64" i="42"/>
  <c r="AV64" i="42"/>
  <c r="AU64" i="42"/>
  <c r="AT64" i="42"/>
  <c r="AS64" i="42"/>
  <c r="AR64" i="42"/>
  <c r="AQ64" i="42"/>
  <c r="AP64" i="42"/>
  <c r="AO64" i="42"/>
  <c r="AN64" i="42"/>
  <c r="AM64" i="42"/>
  <c r="AL64" i="42"/>
  <c r="AK64" i="42"/>
  <c r="AJ64" i="42"/>
  <c r="AI64" i="42"/>
  <c r="AH64" i="42"/>
  <c r="AG64" i="42"/>
  <c r="AF64" i="42"/>
  <c r="AE64" i="42"/>
  <c r="AD64" i="42"/>
  <c r="AC64" i="42"/>
  <c r="CX62" i="42"/>
  <c r="CW62" i="42"/>
  <c r="CV62" i="42"/>
  <c r="CU62" i="42"/>
  <c r="CT62" i="42"/>
  <c r="CS62" i="42"/>
  <c r="CR62" i="42"/>
  <c r="CQ62" i="42"/>
  <c r="CP62" i="42"/>
  <c r="CO62" i="42"/>
  <c r="CN62" i="42"/>
  <c r="CM62" i="42"/>
  <c r="CL62" i="42"/>
  <c r="CK62" i="42"/>
  <c r="CJ62" i="42"/>
  <c r="CI62" i="42"/>
  <c r="CH62" i="42"/>
  <c r="CG62" i="42"/>
  <c r="CF62" i="42"/>
  <c r="CE62" i="42"/>
  <c r="CD62" i="42"/>
  <c r="CC62" i="42"/>
  <c r="CB62" i="42"/>
  <c r="CA62" i="42"/>
  <c r="AZ62" i="42"/>
  <c r="AY62" i="42"/>
  <c r="AX62" i="42"/>
  <c r="AW62" i="42"/>
  <c r="AV62" i="42"/>
  <c r="AU62" i="42"/>
  <c r="AT62" i="42"/>
  <c r="AS62" i="42"/>
  <c r="AR62" i="42"/>
  <c r="AQ62" i="42"/>
  <c r="AP62" i="42"/>
  <c r="AO62" i="42"/>
  <c r="AN62" i="42"/>
  <c r="AM62" i="42"/>
  <c r="AL62" i="42"/>
  <c r="AK62" i="42"/>
  <c r="AJ62" i="42"/>
  <c r="AI62" i="42"/>
  <c r="AH62" i="42"/>
  <c r="AG62" i="42"/>
  <c r="AF62" i="42"/>
  <c r="AE62" i="42"/>
  <c r="AD62" i="42"/>
  <c r="AC62" i="42"/>
  <c r="CX61" i="42"/>
  <c r="CW61" i="42"/>
  <c r="CV61" i="42"/>
  <c r="CU61" i="42"/>
  <c r="CT61" i="42"/>
  <c r="CS61" i="42"/>
  <c r="CR61" i="42"/>
  <c r="CQ61" i="42"/>
  <c r="CP61" i="42"/>
  <c r="CO61" i="42"/>
  <c r="CN61" i="42"/>
  <c r="CM61" i="42"/>
  <c r="CL61" i="42"/>
  <c r="CK61" i="42"/>
  <c r="CJ61" i="42"/>
  <c r="CI61" i="42"/>
  <c r="CH61" i="42"/>
  <c r="CG61" i="42"/>
  <c r="CF61" i="42"/>
  <c r="CE61" i="42"/>
  <c r="CD61" i="42"/>
  <c r="CC61" i="42"/>
  <c r="CB61" i="42"/>
  <c r="CA61" i="42"/>
  <c r="AZ61" i="42"/>
  <c r="AY61" i="42"/>
  <c r="AX61" i="42"/>
  <c r="AW61" i="42"/>
  <c r="AV61" i="42"/>
  <c r="AU61" i="42"/>
  <c r="AT61" i="42"/>
  <c r="AS61" i="42"/>
  <c r="AR61" i="42"/>
  <c r="AQ61" i="42"/>
  <c r="AP61" i="42"/>
  <c r="AO61" i="42"/>
  <c r="AN61" i="42"/>
  <c r="AM61" i="42"/>
  <c r="AL61" i="42"/>
  <c r="AK61" i="42"/>
  <c r="AJ61" i="42"/>
  <c r="AI61" i="42"/>
  <c r="AH61" i="42"/>
  <c r="AG61" i="42"/>
  <c r="AF61" i="42"/>
  <c r="AE61" i="42"/>
  <c r="AD61" i="42"/>
  <c r="AC61" i="42"/>
  <c r="CX60" i="42"/>
  <c r="CW60" i="42"/>
  <c r="CV60" i="42"/>
  <c r="CU60" i="42"/>
  <c r="CT60" i="42"/>
  <c r="CS60" i="42"/>
  <c r="CR60" i="42"/>
  <c r="CQ60" i="42"/>
  <c r="CP60" i="42"/>
  <c r="CO60" i="42"/>
  <c r="CN60" i="42"/>
  <c r="CM60" i="42"/>
  <c r="CL60" i="42"/>
  <c r="CK60" i="42"/>
  <c r="CJ60" i="42"/>
  <c r="CI60" i="42"/>
  <c r="CH60" i="42"/>
  <c r="CG60" i="42"/>
  <c r="CF60" i="42"/>
  <c r="CE60" i="42"/>
  <c r="CD60" i="42"/>
  <c r="CC60" i="42"/>
  <c r="CB60" i="42"/>
  <c r="CA60" i="42"/>
  <c r="AZ60" i="42"/>
  <c r="AY60" i="42"/>
  <c r="AX60" i="42"/>
  <c r="AW60" i="42"/>
  <c r="AV60" i="42"/>
  <c r="AU60" i="42"/>
  <c r="AT60" i="42"/>
  <c r="AS60" i="42"/>
  <c r="AR60" i="42"/>
  <c r="AQ60" i="42"/>
  <c r="AP60" i="42"/>
  <c r="AO60" i="42"/>
  <c r="AN60" i="42"/>
  <c r="AM60" i="42"/>
  <c r="AL60" i="42"/>
  <c r="AK60" i="42"/>
  <c r="AJ60" i="42"/>
  <c r="AI60" i="42"/>
  <c r="AH60" i="42"/>
  <c r="AG60" i="42"/>
  <c r="AF60" i="42"/>
  <c r="AE60" i="42"/>
  <c r="AD60" i="42"/>
  <c r="AC60" i="42"/>
  <c r="CX59" i="42"/>
  <c r="CW59" i="42"/>
  <c r="CV59" i="42"/>
  <c r="CU59" i="42"/>
  <c r="CT59" i="42"/>
  <c r="CS59" i="42"/>
  <c r="CR59" i="42"/>
  <c r="CQ59" i="42"/>
  <c r="CP59" i="42"/>
  <c r="CO59" i="42"/>
  <c r="CN59" i="42"/>
  <c r="CM59" i="42"/>
  <c r="CL59" i="42"/>
  <c r="CK59" i="42"/>
  <c r="CJ59" i="42"/>
  <c r="CI59" i="42"/>
  <c r="CH59" i="42"/>
  <c r="CG59" i="42"/>
  <c r="CF59" i="42"/>
  <c r="CE59" i="42"/>
  <c r="CD59" i="42"/>
  <c r="CC59" i="42"/>
  <c r="CB59" i="42"/>
  <c r="CA59" i="42"/>
  <c r="AZ59" i="42"/>
  <c r="AY59" i="42"/>
  <c r="AX59" i="42"/>
  <c r="AW59" i="42"/>
  <c r="AV59" i="42"/>
  <c r="AU59" i="42"/>
  <c r="AT59" i="42"/>
  <c r="AS59" i="42"/>
  <c r="AR59" i="42"/>
  <c r="AQ59" i="42"/>
  <c r="AP59" i="42"/>
  <c r="AO59" i="42"/>
  <c r="AN59" i="42"/>
  <c r="AM59" i="42"/>
  <c r="AL59" i="42"/>
  <c r="AK59" i="42"/>
  <c r="AJ59" i="42"/>
  <c r="AI59" i="42"/>
  <c r="AH59" i="42"/>
  <c r="AG59" i="42"/>
  <c r="AF59" i="42"/>
  <c r="AE59" i="42"/>
  <c r="AD59" i="42"/>
  <c r="AC59" i="42"/>
  <c r="CX58" i="42"/>
  <c r="CW58" i="42"/>
  <c r="CV58" i="42"/>
  <c r="CU58" i="42"/>
  <c r="CT58" i="42"/>
  <c r="CS58" i="42"/>
  <c r="CR58" i="42"/>
  <c r="CQ58" i="42"/>
  <c r="CP58" i="42"/>
  <c r="CO58" i="42"/>
  <c r="CN58" i="42"/>
  <c r="CM58" i="42"/>
  <c r="CL58" i="42"/>
  <c r="CK58" i="42"/>
  <c r="CJ58" i="42"/>
  <c r="CI58" i="42"/>
  <c r="CH58" i="42"/>
  <c r="CG58" i="42"/>
  <c r="CF58" i="42"/>
  <c r="CE58" i="42"/>
  <c r="CD58" i="42"/>
  <c r="CC58" i="42"/>
  <c r="CB58" i="42"/>
  <c r="CA58" i="42"/>
  <c r="AZ58" i="42"/>
  <c r="AY58" i="42"/>
  <c r="AX58" i="42"/>
  <c r="AW58" i="42"/>
  <c r="AV58" i="42"/>
  <c r="AU58" i="42"/>
  <c r="AT58" i="42"/>
  <c r="AS58" i="42"/>
  <c r="AR58" i="42"/>
  <c r="AQ58" i="42"/>
  <c r="AP58" i="42"/>
  <c r="AO58" i="42"/>
  <c r="AN58" i="42"/>
  <c r="AM58" i="42"/>
  <c r="AL58" i="42"/>
  <c r="AK58" i="42"/>
  <c r="AJ58" i="42"/>
  <c r="AI58" i="42"/>
  <c r="AH58" i="42"/>
  <c r="AG58" i="42"/>
  <c r="AF58" i="42"/>
  <c r="AE58" i="42"/>
  <c r="AD58" i="42"/>
  <c r="AC58" i="42"/>
  <c r="CX57" i="42"/>
  <c r="CW57" i="42"/>
  <c r="CV57" i="42"/>
  <c r="CU57" i="42"/>
  <c r="CT57" i="42"/>
  <c r="CS57" i="42"/>
  <c r="CR57" i="42"/>
  <c r="CQ57" i="42"/>
  <c r="CP57" i="42"/>
  <c r="CO57" i="42"/>
  <c r="CN57" i="42"/>
  <c r="CM57" i="42"/>
  <c r="CL57" i="42"/>
  <c r="CK57" i="42"/>
  <c r="CJ57" i="42"/>
  <c r="CI57" i="42"/>
  <c r="CH57" i="42"/>
  <c r="CG57" i="42"/>
  <c r="CF57" i="42"/>
  <c r="CE57" i="42"/>
  <c r="CD57" i="42"/>
  <c r="CC57" i="42"/>
  <c r="CB57" i="42"/>
  <c r="CA57" i="42"/>
  <c r="AZ57" i="42"/>
  <c r="AY57" i="42"/>
  <c r="AX57" i="42"/>
  <c r="AW57" i="42"/>
  <c r="AV57" i="42"/>
  <c r="AU57" i="42"/>
  <c r="AT57" i="42"/>
  <c r="AS57" i="42"/>
  <c r="AR57" i="42"/>
  <c r="AQ57" i="42"/>
  <c r="AP57" i="42"/>
  <c r="AO57" i="42"/>
  <c r="AN57" i="42"/>
  <c r="AM57" i="42"/>
  <c r="AL57" i="42"/>
  <c r="AK57" i="42"/>
  <c r="AJ57" i="42"/>
  <c r="AI57" i="42"/>
  <c r="AH57" i="42"/>
  <c r="AG57" i="42"/>
  <c r="AF57" i="42"/>
  <c r="AE57" i="42"/>
  <c r="AD57" i="42"/>
  <c r="AC57" i="42"/>
  <c r="CX56" i="42"/>
  <c r="CW56" i="42"/>
  <c r="CV56" i="42"/>
  <c r="CU56" i="42"/>
  <c r="CT56" i="42"/>
  <c r="CS56" i="42"/>
  <c r="CR56" i="42"/>
  <c r="CQ56" i="42"/>
  <c r="CP56" i="42"/>
  <c r="CO56" i="42"/>
  <c r="CN56" i="42"/>
  <c r="CM56" i="42"/>
  <c r="CL56" i="42"/>
  <c r="CK56" i="42"/>
  <c r="CJ56" i="42"/>
  <c r="CI56" i="42"/>
  <c r="CH56" i="42"/>
  <c r="CG56" i="42"/>
  <c r="CF56" i="42"/>
  <c r="CE56" i="42"/>
  <c r="CD56" i="42"/>
  <c r="CC56" i="42"/>
  <c r="CB56" i="42"/>
  <c r="C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AC56" i="42"/>
  <c r="CX55" i="42"/>
  <c r="CW55" i="42"/>
  <c r="CV55" i="42"/>
  <c r="CU55" i="42"/>
  <c r="CT55" i="42"/>
  <c r="CS55" i="42"/>
  <c r="CR55" i="42"/>
  <c r="CQ55" i="42"/>
  <c r="CP55" i="42"/>
  <c r="CO55" i="42"/>
  <c r="CN55" i="42"/>
  <c r="CM55" i="42"/>
  <c r="CL55" i="42"/>
  <c r="CK55" i="42"/>
  <c r="CJ55" i="42"/>
  <c r="CI55" i="42"/>
  <c r="CH55" i="42"/>
  <c r="CG55" i="42"/>
  <c r="CF55" i="42"/>
  <c r="CE55" i="42"/>
  <c r="CD55" i="42"/>
  <c r="CC55" i="42"/>
  <c r="CB55" i="42"/>
  <c r="C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AC55" i="42"/>
  <c r="CX54" i="42"/>
  <c r="CW54" i="42"/>
  <c r="CV54" i="42"/>
  <c r="CU54" i="42"/>
  <c r="CT54" i="42"/>
  <c r="CS54" i="42"/>
  <c r="CR54" i="42"/>
  <c r="CQ54" i="42"/>
  <c r="CP54" i="42"/>
  <c r="CO54" i="42"/>
  <c r="CN54" i="42"/>
  <c r="CM54" i="42"/>
  <c r="CL54" i="42"/>
  <c r="CK54" i="42"/>
  <c r="CJ54" i="42"/>
  <c r="CI54" i="42"/>
  <c r="CH54" i="42"/>
  <c r="CG54" i="42"/>
  <c r="CF54" i="42"/>
  <c r="CE54" i="42"/>
  <c r="CD54" i="42"/>
  <c r="CC54" i="42"/>
  <c r="CB54" i="42"/>
  <c r="CA54" i="42"/>
  <c r="AZ54" i="42"/>
  <c r="AY54" i="42"/>
  <c r="AX54" i="42"/>
  <c r="AW54" i="42"/>
  <c r="AV54" i="42"/>
  <c r="AU54" i="42"/>
  <c r="AT54" i="42"/>
  <c r="AS54" i="42"/>
  <c r="AR54" i="42"/>
  <c r="AQ54" i="42"/>
  <c r="AP54" i="42"/>
  <c r="AO54" i="42"/>
  <c r="AN54" i="42"/>
  <c r="AM54" i="42"/>
  <c r="AL54" i="42"/>
  <c r="AK54" i="42"/>
  <c r="AJ54" i="42"/>
  <c r="AI54" i="42"/>
  <c r="AH54" i="42"/>
  <c r="AG54" i="42"/>
  <c r="AF54" i="42"/>
  <c r="AE54" i="42"/>
  <c r="AD54" i="42"/>
  <c r="AC54" i="42"/>
  <c r="CX53" i="42"/>
  <c r="CW53" i="42"/>
  <c r="CV53" i="42"/>
  <c r="CU53" i="42"/>
  <c r="CT53" i="42"/>
  <c r="CS53" i="42"/>
  <c r="CR53" i="42"/>
  <c r="CQ53" i="42"/>
  <c r="CP53" i="42"/>
  <c r="CO53" i="42"/>
  <c r="CN53" i="42"/>
  <c r="CM53" i="42"/>
  <c r="CL53" i="42"/>
  <c r="CK53" i="42"/>
  <c r="CJ53" i="42"/>
  <c r="CI53" i="42"/>
  <c r="CH53" i="42"/>
  <c r="CG53" i="42"/>
  <c r="CF53" i="42"/>
  <c r="CE53" i="42"/>
  <c r="CD53" i="42"/>
  <c r="CC53" i="42"/>
  <c r="CB53" i="42"/>
  <c r="CA53" i="42"/>
  <c r="AZ53" i="42"/>
  <c r="AY53" i="42"/>
  <c r="AX53" i="42"/>
  <c r="AW53" i="42"/>
  <c r="AV53" i="42"/>
  <c r="AU53" i="42"/>
  <c r="AT53" i="42"/>
  <c r="AS53" i="42"/>
  <c r="AR53" i="42"/>
  <c r="AQ53" i="42"/>
  <c r="AP53" i="42"/>
  <c r="AO53" i="42"/>
  <c r="AN53" i="42"/>
  <c r="AM53" i="42"/>
  <c r="AL53" i="42"/>
  <c r="AK53" i="42"/>
  <c r="AJ53" i="42"/>
  <c r="AI53" i="42"/>
  <c r="AH53" i="42"/>
  <c r="AG53" i="42"/>
  <c r="AF53" i="42"/>
  <c r="AE53" i="42"/>
  <c r="AD53" i="42"/>
  <c r="AC53" i="42"/>
  <c r="CX52" i="42"/>
  <c r="CW52" i="42"/>
  <c r="CV52" i="42"/>
  <c r="CU52" i="42"/>
  <c r="CT52" i="42"/>
  <c r="CS52" i="42"/>
  <c r="CR52" i="42"/>
  <c r="CQ52" i="42"/>
  <c r="CP52" i="42"/>
  <c r="CO52" i="42"/>
  <c r="CN52" i="42"/>
  <c r="CM52" i="42"/>
  <c r="CL52" i="42"/>
  <c r="CK52" i="42"/>
  <c r="CJ52" i="42"/>
  <c r="CI52" i="42"/>
  <c r="CH52" i="42"/>
  <c r="CG52" i="42"/>
  <c r="CF52" i="42"/>
  <c r="CE52" i="42"/>
  <c r="CD52" i="42"/>
  <c r="CC52" i="42"/>
  <c r="CB52" i="42"/>
  <c r="CA52" i="42"/>
  <c r="AZ52" i="42"/>
  <c r="AY52" i="42"/>
  <c r="AX52" i="42"/>
  <c r="AW52" i="42"/>
  <c r="AV52" i="42"/>
  <c r="AU52" i="42"/>
  <c r="AT52" i="42"/>
  <c r="AS52" i="42"/>
  <c r="AR52" i="42"/>
  <c r="AQ52" i="42"/>
  <c r="AP52" i="42"/>
  <c r="AO52" i="42"/>
  <c r="AN52" i="42"/>
  <c r="AM52" i="42"/>
  <c r="AL52" i="42"/>
  <c r="AK52" i="42"/>
  <c r="AJ52" i="42"/>
  <c r="AI52" i="42"/>
  <c r="AH52" i="42"/>
  <c r="AG52" i="42"/>
  <c r="AF52" i="42"/>
  <c r="AE52" i="42"/>
  <c r="AD52" i="42"/>
  <c r="AC52" i="42"/>
  <c r="CX51" i="42"/>
  <c r="CW51" i="42"/>
  <c r="CV51" i="42"/>
  <c r="CU51" i="42"/>
  <c r="CT51" i="42"/>
  <c r="CS51" i="42"/>
  <c r="CR51" i="42"/>
  <c r="CQ51" i="42"/>
  <c r="CP51" i="42"/>
  <c r="CO51" i="42"/>
  <c r="CN51" i="42"/>
  <c r="CM51" i="42"/>
  <c r="CL51" i="42"/>
  <c r="CK51" i="42"/>
  <c r="CJ51" i="42"/>
  <c r="CI51" i="42"/>
  <c r="CH51" i="42"/>
  <c r="CG51" i="42"/>
  <c r="CF51" i="42"/>
  <c r="CE51" i="42"/>
  <c r="CD51" i="42"/>
  <c r="CC51" i="42"/>
  <c r="CB51" i="42"/>
  <c r="CA51" i="42"/>
  <c r="AZ51" i="42"/>
  <c r="AY51" i="42"/>
  <c r="AX51" i="42"/>
  <c r="AW51" i="42"/>
  <c r="AV51" i="42"/>
  <c r="AU51" i="42"/>
  <c r="AT51" i="42"/>
  <c r="AS51" i="42"/>
  <c r="AR51" i="42"/>
  <c r="AQ51" i="42"/>
  <c r="AP51" i="42"/>
  <c r="AO51" i="42"/>
  <c r="AN51" i="42"/>
  <c r="AM51" i="42"/>
  <c r="AL51" i="42"/>
  <c r="AK51" i="42"/>
  <c r="AJ51" i="42"/>
  <c r="AI51" i="42"/>
  <c r="AH51" i="42"/>
  <c r="AG51" i="42"/>
  <c r="AF51" i="42"/>
  <c r="AE51" i="42"/>
  <c r="AD51" i="42"/>
  <c r="AC51" i="42"/>
  <c r="CX50" i="42"/>
  <c r="CW50" i="42"/>
  <c r="CV50" i="42"/>
  <c r="CU50" i="42"/>
  <c r="CT50" i="42"/>
  <c r="CS50" i="42"/>
  <c r="CR50" i="42"/>
  <c r="CQ50" i="42"/>
  <c r="CP50" i="42"/>
  <c r="CO50" i="42"/>
  <c r="CN50" i="42"/>
  <c r="CM50" i="42"/>
  <c r="CL50" i="42"/>
  <c r="CK50" i="42"/>
  <c r="CJ50" i="42"/>
  <c r="CI50" i="42"/>
  <c r="CH50" i="42"/>
  <c r="CG50" i="42"/>
  <c r="CF50" i="42"/>
  <c r="CE50" i="42"/>
  <c r="CD50" i="42"/>
  <c r="CC50" i="42"/>
  <c r="CB50" i="42"/>
  <c r="C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AC50" i="42"/>
  <c r="CX49" i="42"/>
  <c r="CW49" i="42"/>
  <c r="CV49" i="42"/>
  <c r="CU49" i="42"/>
  <c r="CT49" i="42"/>
  <c r="CS49" i="42"/>
  <c r="CR49" i="42"/>
  <c r="CQ49" i="42"/>
  <c r="CP49" i="42"/>
  <c r="CO49" i="42"/>
  <c r="CN49" i="42"/>
  <c r="CM49" i="42"/>
  <c r="CL49" i="42"/>
  <c r="CK49" i="42"/>
  <c r="CJ49" i="42"/>
  <c r="CI49" i="42"/>
  <c r="CH49" i="42"/>
  <c r="CG49" i="42"/>
  <c r="CF49" i="42"/>
  <c r="CE49" i="42"/>
  <c r="CD49" i="42"/>
  <c r="CC49" i="42"/>
  <c r="CB49" i="42"/>
  <c r="CA49" i="42"/>
  <c r="AZ49" i="42"/>
  <c r="AY49" i="42"/>
  <c r="AX49" i="42"/>
  <c r="AW49" i="42"/>
  <c r="AV49" i="42"/>
  <c r="AU49" i="42"/>
  <c r="AT49" i="42"/>
  <c r="AS49" i="42"/>
  <c r="AR49" i="42"/>
  <c r="AQ49" i="42"/>
  <c r="AP49" i="42"/>
  <c r="AO49" i="42"/>
  <c r="AN49" i="42"/>
  <c r="AM49" i="42"/>
  <c r="AL49" i="42"/>
  <c r="AK49" i="42"/>
  <c r="AJ49" i="42"/>
  <c r="AI49" i="42"/>
  <c r="AH49" i="42"/>
  <c r="AG49" i="42"/>
  <c r="AF49" i="42"/>
  <c r="AE49" i="42"/>
  <c r="AD49" i="42"/>
  <c r="AC49" i="42"/>
  <c r="CX76" i="30"/>
  <c r="CW76" i="30"/>
  <c r="CV76" i="30"/>
  <c r="CU76" i="30"/>
  <c r="CT76" i="30"/>
  <c r="CS76" i="30"/>
  <c r="CR76" i="30"/>
  <c r="CQ76" i="30"/>
  <c r="CP76" i="30"/>
  <c r="CO76" i="30"/>
  <c r="CN76" i="30"/>
  <c r="CM76" i="30"/>
  <c r="CL76" i="30"/>
  <c r="CK76" i="30"/>
  <c r="CJ76" i="30"/>
  <c r="CI76" i="30"/>
  <c r="CH76" i="30"/>
  <c r="CG76" i="30"/>
  <c r="CF76" i="30"/>
  <c r="CE76" i="30"/>
  <c r="CD76" i="30"/>
  <c r="CC76" i="30"/>
  <c r="CB76" i="30"/>
  <c r="CA76" i="30"/>
  <c r="AC76" i="30"/>
  <c r="CX75" i="30"/>
  <c r="CW75" i="30"/>
  <c r="CV75" i="30"/>
  <c r="CU75" i="30"/>
  <c r="CT75" i="30"/>
  <c r="CS75" i="30"/>
  <c r="CR75" i="30"/>
  <c r="CQ75" i="30"/>
  <c r="CP75" i="30"/>
  <c r="CO75" i="30"/>
  <c r="CN75" i="30"/>
  <c r="CM75" i="30"/>
  <c r="CL75" i="30"/>
  <c r="CK75" i="30"/>
  <c r="CJ75" i="30"/>
  <c r="CI75" i="30"/>
  <c r="CH75" i="30"/>
  <c r="CG75" i="30"/>
  <c r="CF75" i="30"/>
  <c r="CE75" i="30"/>
  <c r="CD75" i="30"/>
  <c r="CC75" i="30"/>
  <c r="CB75" i="30"/>
  <c r="CA75" i="30"/>
  <c r="AC75" i="30"/>
  <c r="CX74" i="30"/>
  <c r="CW74" i="30"/>
  <c r="CV74" i="30"/>
  <c r="CU74" i="30"/>
  <c r="CT74" i="30"/>
  <c r="CS74" i="30"/>
  <c r="CR74" i="30"/>
  <c r="CQ74" i="30"/>
  <c r="CP74" i="30"/>
  <c r="CO74" i="30"/>
  <c r="CN74" i="30"/>
  <c r="CM74" i="30"/>
  <c r="CL74" i="30"/>
  <c r="CK74" i="30"/>
  <c r="CJ74" i="30"/>
  <c r="CI74" i="30"/>
  <c r="CH74" i="30"/>
  <c r="CG74" i="30"/>
  <c r="CF74" i="30"/>
  <c r="CE74" i="30"/>
  <c r="CD74" i="30"/>
  <c r="CC74" i="30"/>
  <c r="CB74" i="30"/>
  <c r="CA74" i="30"/>
  <c r="AC74" i="30"/>
  <c r="CX73" i="30"/>
  <c r="CW73" i="30"/>
  <c r="CV73" i="30"/>
  <c r="CU73" i="30"/>
  <c r="CT73" i="30"/>
  <c r="CS73" i="30"/>
  <c r="CR73" i="30"/>
  <c r="CQ73" i="30"/>
  <c r="CP73" i="30"/>
  <c r="CO73" i="30"/>
  <c r="CN73" i="30"/>
  <c r="CM73" i="30"/>
  <c r="CL73" i="30"/>
  <c r="CK73" i="30"/>
  <c r="CJ73" i="30"/>
  <c r="CI73" i="30"/>
  <c r="CH73" i="30"/>
  <c r="CG73" i="30"/>
  <c r="CF73" i="30"/>
  <c r="CE73" i="30"/>
  <c r="CD73" i="30"/>
  <c r="CC73" i="30"/>
  <c r="CB73" i="30"/>
  <c r="CA73" i="30"/>
  <c r="AC73" i="30"/>
  <c r="CX72" i="30"/>
  <c r="CW72" i="30"/>
  <c r="CV72" i="30"/>
  <c r="CU72" i="30"/>
  <c r="CT72" i="30"/>
  <c r="CS72" i="30"/>
  <c r="CR72" i="30"/>
  <c r="CQ72" i="30"/>
  <c r="CP72" i="30"/>
  <c r="CO72" i="30"/>
  <c r="CN72" i="30"/>
  <c r="CM72" i="30"/>
  <c r="CL72" i="30"/>
  <c r="CK72" i="30"/>
  <c r="CJ72" i="30"/>
  <c r="CI72" i="30"/>
  <c r="CH72" i="30"/>
  <c r="CG72" i="30"/>
  <c r="CF72" i="30"/>
  <c r="CE72" i="30"/>
  <c r="CD72" i="30"/>
  <c r="CC72" i="30"/>
  <c r="CB72" i="30"/>
  <c r="CA72" i="30"/>
  <c r="AC72" i="30"/>
  <c r="CX71" i="30"/>
  <c r="CW71" i="30"/>
  <c r="CV71" i="30"/>
  <c r="CU71" i="30"/>
  <c r="CT71" i="30"/>
  <c r="CS71" i="30"/>
  <c r="CR71" i="30"/>
  <c r="CQ71" i="30"/>
  <c r="CP71" i="30"/>
  <c r="CO71" i="30"/>
  <c r="CN71" i="30"/>
  <c r="CM71" i="30"/>
  <c r="CL71" i="30"/>
  <c r="CK71" i="30"/>
  <c r="CJ71" i="30"/>
  <c r="CI71" i="30"/>
  <c r="CH71" i="30"/>
  <c r="CG71" i="30"/>
  <c r="CF71" i="30"/>
  <c r="CE71" i="30"/>
  <c r="CD71" i="30"/>
  <c r="CC71" i="30"/>
  <c r="CB71" i="30"/>
  <c r="CA71" i="30"/>
  <c r="AC71" i="30"/>
  <c r="CX70" i="30"/>
  <c r="CW70" i="30"/>
  <c r="CV70" i="30"/>
  <c r="CU70" i="30"/>
  <c r="CT70" i="30"/>
  <c r="CS70" i="30"/>
  <c r="CR70" i="30"/>
  <c r="CQ70" i="30"/>
  <c r="CP70" i="30"/>
  <c r="CO70" i="30"/>
  <c r="CN70" i="30"/>
  <c r="CM70" i="30"/>
  <c r="CL70" i="30"/>
  <c r="CK70" i="30"/>
  <c r="CJ70" i="30"/>
  <c r="CI70" i="30"/>
  <c r="CH70" i="30"/>
  <c r="CG70" i="30"/>
  <c r="CF70" i="30"/>
  <c r="CE70" i="30"/>
  <c r="CD70" i="30"/>
  <c r="CC70" i="30"/>
  <c r="CB70" i="30"/>
  <c r="CA70" i="30"/>
  <c r="AC70" i="30"/>
  <c r="CX69" i="30"/>
  <c r="CW69" i="30"/>
  <c r="CV69" i="30"/>
  <c r="CU69" i="30"/>
  <c r="CT69" i="30"/>
  <c r="CS69" i="30"/>
  <c r="CR69" i="30"/>
  <c r="CQ69" i="30"/>
  <c r="CP69" i="30"/>
  <c r="CO69" i="30"/>
  <c r="CN69" i="30"/>
  <c r="CM69" i="30"/>
  <c r="CL69" i="30"/>
  <c r="CK69" i="30"/>
  <c r="CJ69" i="30"/>
  <c r="CI69" i="30"/>
  <c r="CH69" i="30"/>
  <c r="CG69" i="30"/>
  <c r="CF69" i="30"/>
  <c r="CE69" i="30"/>
  <c r="CD69" i="30"/>
  <c r="CC69" i="30"/>
  <c r="CB69" i="30"/>
  <c r="CA69" i="30"/>
  <c r="AC69" i="30"/>
  <c r="CX68" i="30"/>
  <c r="CW68" i="30"/>
  <c r="CV68" i="30"/>
  <c r="CU68" i="30"/>
  <c r="CT68" i="30"/>
  <c r="CS68" i="30"/>
  <c r="CR68" i="30"/>
  <c r="CQ68" i="30"/>
  <c r="CP68" i="30"/>
  <c r="CO68" i="30"/>
  <c r="CN68" i="30"/>
  <c r="CM68" i="30"/>
  <c r="CL68" i="30"/>
  <c r="CK68" i="30"/>
  <c r="CJ68" i="30"/>
  <c r="CI68" i="30"/>
  <c r="CH68" i="30"/>
  <c r="CG68" i="30"/>
  <c r="CF68" i="30"/>
  <c r="CE68" i="30"/>
  <c r="CD68" i="30"/>
  <c r="CC68" i="30"/>
  <c r="CB68" i="30"/>
  <c r="CA68" i="30"/>
  <c r="AC68" i="30"/>
  <c r="CX67" i="30"/>
  <c r="CW67" i="30"/>
  <c r="CV67" i="30"/>
  <c r="CU67" i="30"/>
  <c r="CT67" i="30"/>
  <c r="CS67" i="30"/>
  <c r="CR67" i="30"/>
  <c r="CQ67" i="30"/>
  <c r="CP67" i="30"/>
  <c r="CO67" i="30"/>
  <c r="CN67" i="30"/>
  <c r="CM67" i="30"/>
  <c r="CL67" i="30"/>
  <c r="CK67" i="30"/>
  <c r="CJ67" i="30"/>
  <c r="CI67" i="30"/>
  <c r="CH67" i="30"/>
  <c r="CG67" i="30"/>
  <c r="CF67" i="30"/>
  <c r="CE67" i="30"/>
  <c r="CD67" i="30"/>
  <c r="CC67" i="30"/>
  <c r="CB67" i="30"/>
  <c r="CA67" i="30"/>
  <c r="AC67" i="30"/>
  <c r="CX66" i="30"/>
  <c r="CW66" i="30"/>
  <c r="CV66" i="30"/>
  <c r="CU66" i="30"/>
  <c r="CT66" i="30"/>
  <c r="CS66" i="30"/>
  <c r="CR66" i="30"/>
  <c r="CQ66" i="30"/>
  <c r="CP66" i="30"/>
  <c r="CO66" i="30"/>
  <c r="CN66" i="30"/>
  <c r="CM66" i="30"/>
  <c r="CL66" i="30"/>
  <c r="CK66" i="30"/>
  <c r="CJ66" i="30"/>
  <c r="CI66" i="30"/>
  <c r="CH66" i="30"/>
  <c r="CG66" i="30"/>
  <c r="CF66" i="30"/>
  <c r="CE66" i="30"/>
  <c r="CD66" i="30"/>
  <c r="CC66" i="30"/>
  <c r="CB66" i="30"/>
  <c r="CA66" i="30"/>
  <c r="AC66" i="30"/>
  <c r="CX65" i="30"/>
  <c r="CW65" i="30"/>
  <c r="CV65" i="30"/>
  <c r="CU65" i="30"/>
  <c r="CT65" i="30"/>
  <c r="CS65" i="30"/>
  <c r="CR65" i="30"/>
  <c r="CQ65" i="30"/>
  <c r="CP65" i="30"/>
  <c r="CO65" i="30"/>
  <c r="CN65" i="30"/>
  <c r="CM65" i="30"/>
  <c r="CL65" i="30"/>
  <c r="CK65" i="30"/>
  <c r="CJ65" i="30"/>
  <c r="CI65" i="30"/>
  <c r="CH65" i="30"/>
  <c r="CG65" i="30"/>
  <c r="CF65" i="30"/>
  <c r="CE65" i="30"/>
  <c r="CD65" i="30"/>
  <c r="CC65" i="30"/>
  <c r="CB65" i="30"/>
  <c r="CA65" i="30"/>
  <c r="AC65" i="30"/>
  <c r="CX64" i="30"/>
  <c r="CW64" i="30"/>
  <c r="CV64" i="30"/>
  <c r="CU64" i="30"/>
  <c r="CT64" i="30"/>
  <c r="CS64" i="30"/>
  <c r="CR64" i="30"/>
  <c r="CQ64" i="30"/>
  <c r="CP64" i="30"/>
  <c r="CO64" i="30"/>
  <c r="CN64" i="30"/>
  <c r="CM64" i="30"/>
  <c r="CL64" i="30"/>
  <c r="CK64" i="30"/>
  <c r="CJ64" i="30"/>
  <c r="CI64" i="30"/>
  <c r="CH64" i="30"/>
  <c r="CG64" i="30"/>
  <c r="CF64" i="30"/>
  <c r="CE64" i="30"/>
  <c r="CD64" i="30"/>
  <c r="CC64" i="30"/>
  <c r="CB64" i="30"/>
  <c r="CA64" i="30"/>
  <c r="AC64" i="30"/>
  <c r="CX62" i="30"/>
  <c r="CW62" i="30"/>
  <c r="CV62" i="30"/>
  <c r="CU62" i="30"/>
  <c r="CT62" i="30"/>
  <c r="CS62" i="30"/>
  <c r="CR62" i="30"/>
  <c r="CQ62" i="30"/>
  <c r="CP62" i="30"/>
  <c r="CO62" i="30"/>
  <c r="CN62" i="30"/>
  <c r="CM62" i="30"/>
  <c r="CL62" i="30"/>
  <c r="CK62" i="30"/>
  <c r="CJ62" i="30"/>
  <c r="CI62" i="30"/>
  <c r="CH62" i="30"/>
  <c r="CG62" i="30"/>
  <c r="CF62" i="30"/>
  <c r="CE62" i="30"/>
  <c r="CD62" i="30"/>
  <c r="CC62" i="30"/>
  <c r="CB62" i="30"/>
  <c r="CA62" i="30"/>
  <c r="AC62" i="30"/>
  <c r="CX61" i="30"/>
  <c r="CW61" i="30"/>
  <c r="CV61" i="30"/>
  <c r="CU61" i="30"/>
  <c r="CT61" i="30"/>
  <c r="CS61" i="30"/>
  <c r="CR61" i="30"/>
  <c r="CQ61" i="30"/>
  <c r="CP61" i="30"/>
  <c r="CO61" i="30"/>
  <c r="CN61" i="30"/>
  <c r="CM61" i="30"/>
  <c r="CL61" i="30"/>
  <c r="CK61" i="30"/>
  <c r="CJ61" i="30"/>
  <c r="CI61" i="30"/>
  <c r="CH61" i="30"/>
  <c r="CG61" i="30"/>
  <c r="CF61" i="30"/>
  <c r="CE61" i="30"/>
  <c r="CD61" i="30"/>
  <c r="CC61" i="30"/>
  <c r="CB61" i="30"/>
  <c r="CA61" i="30"/>
  <c r="AC61" i="30"/>
  <c r="CX60" i="30"/>
  <c r="CW60" i="30"/>
  <c r="CV60" i="30"/>
  <c r="CU60" i="30"/>
  <c r="CT60" i="30"/>
  <c r="CS60" i="30"/>
  <c r="CR60" i="30"/>
  <c r="CQ60" i="30"/>
  <c r="CP60" i="30"/>
  <c r="CO60" i="30"/>
  <c r="CN60" i="30"/>
  <c r="CM60" i="30"/>
  <c r="CL60" i="30"/>
  <c r="CK60" i="30"/>
  <c r="CJ60" i="30"/>
  <c r="CI60" i="30"/>
  <c r="CH60" i="30"/>
  <c r="CG60" i="30"/>
  <c r="CF60" i="30"/>
  <c r="CE60" i="30"/>
  <c r="CD60" i="30"/>
  <c r="CC60" i="30"/>
  <c r="CB60" i="30"/>
  <c r="CA60" i="30"/>
  <c r="AC60" i="30"/>
  <c r="CX59" i="30"/>
  <c r="CW59" i="30"/>
  <c r="CV59" i="30"/>
  <c r="CU59" i="30"/>
  <c r="CT59" i="30"/>
  <c r="CS59" i="30"/>
  <c r="CR59" i="30"/>
  <c r="CQ59" i="30"/>
  <c r="CP59" i="30"/>
  <c r="CO59" i="30"/>
  <c r="CN59" i="30"/>
  <c r="CM59" i="30"/>
  <c r="CL59" i="30"/>
  <c r="CK59" i="30"/>
  <c r="CJ59" i="30"/>
  <c r="CI59" i="30"/>
  <c r="CH59" i="30"/>
  <c r="CG59" i="30"/>
  <c r="CF59" i="30"/>
  <c r="CE59" i="30"/>
  <c r="CD59" i="30"/>
  <c r="CC59" i="30"/>
  <c r="CB59" i="30"/>
  <c r="CA59" i="30"/>
  <c r="AC59" i="30"/>
  <c r="CX58" i="30"/>
  <c r="CW58" i="30"/>
  <c r="CV58" i="30"/>
  <c r="CU58" i="30"/>
  <c r="CT58" i="30"/>
  <c r="CS58" i="30"/>
  <c r="CR58" i="30"/>
  <c r="CQ58" i="30"/>
  <c r="CP58" i="30"/>
  <c r="CO58" i="30"/>
  <c r="CN58" i="30"/>
  <c r="CM58" i="30"/>
  <c r="CL58" i="30"/>
  <c r="CK58" i="30"/>
  <c r="CJ58" i="30"/>
  <c r="CI58" i="30"/>
  <c r="CH58" i="30"/>
  <c r="CG58" i="30"/>
  <c r="CF58" i="30"/>
  <c r="CE58" i="30"/>
  <c r="CD58" i="30"/>
  <c r="CC58" i="30"/>
  <c r="CB58" i="30"/>
  <c r="CA58" i="30"/>
  <c r="AC58" i="30"/>
  <c r="CX57" i="30"/>
  <c r="CW57" i="30"/>
  <c r="CV57" i="30"/>
  <c r="CU57" i="30"/>
  <c r="CT57" i="30"/>
  <c r="CS57" i="30"/>
  <c r="CR57" i="30"/>
  <c r="CQ57" i="30"/>
  <c r="CP57" i="30"/>
  <c r="CO57" i="30"/>
  <c r="CN57" i="30"/>
  <c r="CM57" i="30"/>
  <c r="CL57" i="30"/>
  <c r="CK57" i="30"/>
  <c r="CJ57" i="30"/>
  <c r="CI57" i="30"/>
  <c r="CH57" i="30"/>
  <c r="CG57" i="30"/>
  <c r="CF57" i="30"/>
  <c r="CE57" i="30"/>
  <c r="CD57" i="30"/>
  <c r="CC57" i="30"/>
  <c r="CB57" i="30"/>
  <c r="CA57" i="30"/>
  <c r="AC57" i="30"/>
  <c r="CX56" i="30"/>
  <c r="CW56" i="30"/>
  <c r="CV56" i="30"/>
  <c r="CU56" i="30"/>
  <c r="CT56" i="30"/>
  <c r="CS56" i="30"/>
  <c r="CR56" i="30"/>
  <c r="CQ56" i="30"/>
  <c r="CP56" i="30"/>
  <c r="CO56" i="30"/>
  <c r="CN56" i="30"/>
  <c r="CM56" i="30"/>
  <c r="CL56" i="30"/>
  <c r="CK56" i="30"/>
  <c r="CJ56" i="30"/>
  <c r="CI56" i="30"/>
  <c r="CH56" i="30"/>
  <c r="CG56" i="30"/>
  <c r="CF56" i="30"/>
  <c r="CE56" i="30"/>
  <c r="CD56" i="30"/>
  <c r="CC56" i="30"/>
  <c r="CB56" i="30"/>
  <c r="CA56" i="30"/>
  <c r="AC56" i="30"/>
  <c r="CX55" i="30"/>
  <c r="CW55" i="30"/>
  <c r="CV55" i="30"/>
  <c r="CU55" i="30"/>
  <c r="CT55" i="30"/>
  <c r="CS55" i="30"/>
  <c r="CR55" i="30"/>
  <c r="CQ55" i="30"/>
  <c r="CP55" i="30"/>
  <c r="CO55" i="30"/>
  <c r="CN55" i="30"/>
  <c r="CM55" i="30"/>
  <c r="CL55" i="30"/>
  <c r="CK55" i="30"/>
  <c r="CJ55" i="30"/>
  <c r="CI55" i="30"/>
  <c r="CH55" i="30"/>
  <c r="CG55" i="30"/>
  <c r="CF55" i="30"/>
  <c r="CE55" i="30"/>
  <c r="CD55" i="30"/>
  <c r="CC55" i="30"/>
  <c r="CB55" i="30"/>
  <c r="CA55" i="30"/>
  <c r="AC55" i="30"/>
  <c r="CX54" i="30"/>
  <c r="CW54" i="30"/>
  <c r="CV54" i="30"/>
  <c r="CU54" i="30"/>
  <c r="CT54" i="30"/>
  <c r="CS54" i="30"/>
  <c r="CR54" i="30"/>
  <c r="CQ54" i="30"/>
  <c r="CP54" i="30"/>
  <c r="CO54" i="30"/>
  <c r="CN54" i="30"/>
  <c r="CM54" i="30"/>
  <c r="CL54" i="30"/>
  <c r="CK54" i="30"/>
  <c r="CJ54" i="30"/>
  <c r="CI54" i="30"/>
  <c r="CH54" i="30"/>
  <c r="CG54" i="30"/>
  <c r="CF54" i="30"/>
  <c r="CE54" i="30"/>
  <c r="CD54" i="30"/>
  <c r="CC54" i="30"/>
  <c r="CB54" i="30"/>
  <c r="CA54" i="30"/>
  <c r="AC54" i="30"/>
  <c r="CX53" i="30"/>
  <c r="CW53" i="30"/>
  <c r="CV53" i="30"/>
  <c r="CU53" i="30"/>
  <c r="CT53" i="30"/>
  <c r="CS53" i="30"/>
  <c r="CR53" i="30"/>
  <c r="CQ53" i="30"/>
  <c r="CP53" i="30"/>
  <c r="CO53" i="30"/>
  <c r="CN53" i="30"/>
  <c r="CM53" i="30"/>
  <c r="CL53" i="30"/>
  <c r="CK53" i="30"/>
  <c r="CJ53" i="30"/>
  <c r="CI53" i="30"/>
  <c r="CH53" i="30"/>
  <c r="CG53" i="30"/>
  <c r="CF53" i="30"/>
  <c r="CE53" i="30"/>
  <c r="CD53" i="30"/>
  <c r="CC53" i="30"/>
  <c r="CB53" i="30"/>
  <c r="CA53" i="30"/>
  <c r="AC53" i="30"/>
  <c r="CX52" i="30"/>
  <c r="CW52" i="30"/>
  <c r="CV52" i="30"/>
  <c r="CU52" i="30"/>
  <c r="CT52" i="30"/>
  <c r="CS52" i="30"/>
  <c r="CR52" i="30"/>
  <c r="CQ52" i="30"/>
  <c r="CP52" i="30"/>
  <c r="CO52" i="30"/>
  <c r="CN52" i="30"/>
  <c r="CM52" i="30"/>
  <c r="CL52" i="30"/>
  <c r="CK52" i="30"/>
  <c r="CJ52" i="30"/>
  <c r="CI52" i="30"/>
  <c r="CH52" i="30"/>
  <c r="CG52" i="30"/>
  <c r="CF52" i="30"/>
  <c r="CE52" i="30"/>
  <c r="CD52" i="30"/>
  <c r="CC52" i="30"/>
  <c r="CB52" i="30"/>
  <c r="CA52" i="30"/>
  <c r="AC52" i="30"/>
  <c r="CX51" i="30"/>
  <c r="CW51" i="30"/>
  <c r="CV51" i="30"/>
  <c r="CU51" i="30"/>
  <c r="CT51" i="30"/>
  <c r="CS51" i="30"/>
  <c r="CR51" i="30"/>
  <c r="CQ51" i="30"/>
  <c r="CP51" i="30"/>
  <c r="CO51" i="30"/>
  <c r="CN51" i="30"/>
  <c r="CM51" i="30"/>
  <c r="CL51" i="30"/>
  <c r="CK51" i="30"/>
  <c r="CJ51" i="30"/>
  <c r="CI51" i="30"/>
  <c r="CH51" i="30"/>
  <c r="CG51" i="30"/>
  <c r="CF51" i="30"/>
  <c r="CE51" i="30"/>
  <c r="CD51" i="30"/>
  <c r="CC51" i="30"/>
  <c r="CB51" i="30"/>
  <c r="CA51" i="30"/>
  <c r="AC51" i="30"/>
  <c r="CX50" i="30"/>
  <c r="CW50" i="30"/>
  <c r="CV50" i="30"/>
  <c r="CU50" i="30"/>
  <c r="CT50" i="30"/>
  <c r="CS50" i="30"/>
  <c r="CR50" i="30"/>
  <c r="CQ50" i="30"/>
  <c r="CP50" i="30"/>
  <c r="CO50" i="30"/>
  <c r="CN50" i="30"/>
  <c r="CM50" i="30"/>
  <c r="CL50" i="30"/>
  <c r="CK50" i="30"/>
  <c r="CJ50" i="30"/>
  <c r="CI50" i="30"/>
  <c r="CH50" i="30"/>
  <c r="CG50" i="30"/>
  <c r="CF50" i="30"/>
  <c r="CE50" i="30"/>
  <c r="CD50" i="30"/>
  <c r="CC50" i="30"/>
  <c r="CB50" i="30"/>
  <c r="CA50" i="30"/>
  <c r="AC50" i="30"/>
  <c r="CX49" i="30"/>
  <c r="CW49" i="30"/>
  <c r="CV49" i="30"/>
  <c r="CU49" i="30"/>
  <c r="CT49" i="30"/>
  <c r="CS49" i="30"/>
  <c r="CR49" i="30"/>
  <c r="CQ49" i="30"/>
  <c r="CP49" i="30"/>
  <c r="CO49" i="30"/>
  <c r="CN49" i="30"/>
  <c r="CM49" i="30"/>
  <c r="CL49" i="30"/>
  <c r="CK49" i="30"/>
  <c r="CJ49" i="30"/>
  <c r="CI49" i="30"/>
  <c r="CH49" i="30"/>
  <c r="CG49" i="30"/>
  <c r="CF49" i="30"/>
  <c r="CE49" i="30"/>
  <c r="CD49" i="30"/>
  <c r="CC49" i="30"/>
  <c r="CB49" i="30"/>
  <c r="CA49" i="30"/>
  <c r="AC49" i="30"/>
  <c r="C3" i="5"/>
  <c r="D2" i="29"/>
  <c r="DH76" i="18" l="1"/>
  <c r="DH75" i="18"/>
  <c r="DH74" i="18" s="1"/>
  <c r="DH73" i="18" s="1"/>
  <c r="DH72" i="18" s="1"/>
  <c r="DH71" i="18" s="1"/>
  <c r="DH70" i="18" s="1"/>
  <c r="DH69" i="18" s="1"/>
  <c r="DH68" i="18" s="1"/>
  <c r="DH67" i="18" s="1"/>
  <c r="DH66" i="18" s="1"/>
  <c r="DH65" i="18" s="1"/>
  <c r="DH64" i="18" s="1"/>
  <c r="DH63" i="18" s="1"/>
  <c r="DH62" i="18" s="1"/>
  <c r="DH61" i="18" s="1"/>
  <c r="DH60" i="18" s="1"/>
  <c r="DH59" i="18" s="1"/>
  <c r="DH58" i="18" s="1"/>
  <c r="DH57" i="18" s="1"/>
  <c r="DH56" i="18" s="1"/>
  <c r="DH55" i="18" s="1"/>
  <c r="DH54" i="18" s="1"/>
  <c r="DH53" i="18" s="1"/>
  <c r="DH52" i="18" s="1"/>
  <c r="DH51" i="18" s="1"/>
  <c r="DH50" i="18" s="1"/>
  <c r="DH49" i="18" s="1"/>
  <c r="DH48" i="18" s="1"/>
  <c r="DH47" i="18" s="1"/>
  <c r="DH46" i="18" s="1"/>
  <c r="DH45" i="18" s="1"/>
  <c r="DH44" i="18" s="1"/>
  <c r="DH43" i="18" s="1"/>
  <c r="DH42" i="18" s="1"/>
  <c r="DH41" i="18" s="1"/>
  <c r="DH40" i="18" s="1"/>
  <c r="DH39" i="18" s="1"/>
  <c r="DH38" i="18" s="1"/>
  <c r="DH37" i="18" s="1"/>
  <c r="DH36" i="18" s="1"/>
  <c r="DH35" i="18" s="1"/>
  <c r="DH34" i="18" s="1"/>
  <c r="DH33" i="18" s="1"/>
  <c r="DH32" i="18" s="1"/>
  <c r="DH31" i="18" s="1"/>
  <c r="DH76" i="38"/>
  <c r="DH75" i="38" s="1"/>
  <c r="DH74" i="38" s="1"/>
  <c r="DH73" i="38" s="1"/>
  <c r="DH72" i="38" s="1"/>
  <c r="DH71" i="38" s="1"/>
  <c r="DH70" i="38" s="1"/>
  <c r="DH69" i="38" s="1"/>
  <c r="DH68" i="38" s="1"/>
  <c r="DH67" i="38" s="1"/>
  <c r="DH66" i="38" s="1"/>
  <c r="DH65" i="38" s="1"/>
  <c r="DH64" i="38" s="1"/>
  <c r="DH63" i="38" s="1"/>
  <c r="DH62" i="38" s="1"/>
  <c r="DH61" i="38" s="1"/>
  <c r="DH60" i="38" s="1"/>
  <c r="DH59" i="38" s="1"/>
  <c r="DH58" i="38" s="1"/>
  <c r="DH57" i="38" s="1"/>
  <c r="DH56" i="38" s="1"/>
  <c r="DH55" i="38" s="1"/>
  <c r="DH54" i="38" s="1"/>
  <c r="DH53" i="38" s="1"/>
  <c r="DH52" i="38" s="1"/>
  <c r="DH51" i="38" s="1"/>
  <c r="DH50" i="38" s="1"/>
  <c r="DH49" i="38" s="1"/>
  <c r="DH48" i="38" s="1"/>
  <c r="DH47" i="38" s="1"/>
  <c r="DH46" i="38" s="1"/>
  <c r="DH45" i="38" s="1"/>
  <c r="DH44" i="38" s="1"/>
  <c r="DH43" i="38" s="1"/>
  <c r="DH42" i="38" s="1"/>
  <c r="DH41" i="38" s="1"/>
  <c r="DH40" i="38" s="1"/>
  <c r="DH39" i="38" s="1"/>
  <c r="DH38" i="38" s="1"/>
  <c r="DH37" i="38" s="1"/>
  <c r="DH36" i="38" s="1"/>
  <c r="DH35" i="38" s="1"/>
  <c r="DH34" i="38" s="1"/>
  <c r="DH33" i="38" s="1"/>
  <c r="DH32" i="38" s="1"/>
  <c r="DH31" i="38" s="1"/>
  <c r="E3" i="16"/>
  <c r="E32" i="16" s="1"/>
  <c r="E4" i="16"/>
  <c r="E40" i="16" s="1"/>
  <c r="E5" i="16"/>
  <c r="E53" i="16" s="1"/>
  <c r="E6" i="16"/>
  <c r="E47" i="16" s="1"/>
  <c r="E7" i="16"/>
  <c r="E59" i="16" s="1"/>
  <c r="E8" i="16"/>
  <c r="E9" i="16"/>
  <c r="E10" i="16"/>
  <c r="E11" i="16"/>
  <c r="E39" i="16" s="1"/>
  <c r="E12" i="16"/>
  <c r="E60" i="16" s="1"/>
  <c r="E13" i="16"/>
  <c r="E33" i="16" s="1"/>
  <c r="E14" i="16"/>
  <c r="E15" i="16"/>
  <c r="E44" i="16" s="1"/>
  <c r="E16" i="16"/>
  <c r="E72" i="16" s="1"/>
  <c r="E17" i="16"/>
  <c r="E66" i="16" s="1"/>
  <c r="E18" i="16"/>
  <c r="E75" i="16" s="1"/>
  <c r="E19" i="16"/>
  <c r="E20" i="16"/>
  <c r="E70" i="16" s="1"/>
  <c r="E21" i="16"/>
  <c r="E51" i="16" s="1"/>
  <c r="E22" i="16"/>
  <c r="E23" i="16"/>
  <c r="E49" i="16" s="1"/>
  <c r="E24" i="16"/>
  <c r="E55" i="16" s="1"/>
  <c r="E25" i="16"/>
  <c r="E64" i="16" s="1"/>
  <c r="E26" i="16"/>
  <c r="E36" i="16" s="1"/>
  <c r="E27" i="16"/>
  <c r="E76" i="16" s="1"/>
  <c r="E28" i="16"/>
  <c r="E43" i="16" s="1"/>
  <c r="E29" i="16"/>
  <c r="E71" i="16" s="1"/>
  <c r="E30" i="16"/>
  <c r="E35" i="16" s="1"/>
  <c r="E2" i="16"/>
  <c r="E38" i="16" s="1"/>
  <c r="E68" i="16"/>
  <c r="E54" i="16"/>
  <c r="E46" i="16"/>
  <c r="E42" i="16"/>
  <c r="E41" i="16"/>
  <c r="E37" i="16"/>
  <c r="E34" i="16"/>
  <c r="BC2" i="33"/>
  <c r="BD2" i="33"/>
  <c r="AZ3" i="33"/>
  <c r="AZ4" i="33"/>
  <c r="AZ5" i="33"/>
  <c r="AZ6" i="33"/>
  <c r="AZ7" i="33"/>
  <c r="AZ8" i="33"/>
  <c r="AZ9" i="33"/>
  <c r="AZ10" i="33"/>
  <c r="AZ11" i="33"/>
  <c r="AZ12" i="33"/>
  <c r="AZ13" i="33"/>
  <c r="AZ14" i="33"/>
  <c r="AZ15" i="33"/>
  <c r="AZ16" i="33"/>
  <c r="AZ17" i="33"/>
  <c r="AZ18" i="33"/>
  <c r="AZ19" i="33"/>
  <c r="AZ20" i="33"/>
  <c r="AZ21" i="33"/>
  <c r="AZ22" i="33"/>
  <c r="AZ23" i="33"/>
  <c r="AZ24" i="33"/>
  <c r="AZ25" i="33"/>
  <c r="AZ26" i="33"/>
  <c r="AZ27" i="33"/>
  <c r="AZ28" i="33"/>
  <c r="AZ29" i="33"/>
  <c r="AZ30" i="33"/>
  <c r="AZ2" i="33"/>
  <c r="BF3" i="33"/>
  <c r="BF4" i="33"/>
  <c r="BF5" i="33"/>
  <c r="BF6" i="33"/>
  <c r="BF7" i="33"/>
  <c r="BF8" i="33"/>
  <c r="BF9" i="33"/>
  <c r="BF10" i="33"/>
  <c r="BF11" i="33"/>
  <c r="BF12" i="33"/>
  <c r="BF13" i="33"/>
  <c r="BF14" i="33"/>
  <c r="BF15" i="33"/>
  <c r="BF16" i="33"/>
  <c r="BF17" i="33"/>
  <c r="BF18" i="33"/>
  <c r="BF19" i="33"/>
  <c r="BF20" i="33"/>
  <c r="BF21" i="33"/>
  <c r="BF22" i="33"/>
  <c r="BF23" i="33"/>
  <c r="BF24" i="33"/>
  <c r="BF25" i="33"/>
  <c r="BF26" i="33"/>
  <c r="BF27" i="33"/>
  <c r="BF28" i="33"/>
  <c r="BF29" i="33"/>
  <c r="BF30" i="33"/>
  <c r="BF2" i="33"/>
  <c r="E56" i="16" l="1"/>
  <c r="E69" i="16"/>
  <c r="E74" i="16"/>
  <c r="E58" i="16"/>
  <c r="E65" i="16"/>
  <c r="E57" i="16"/>
  <c r="E61" i="16"/>
  <c r="E67" i="16"/>
  <c r="E31" i="16"/>
  <c r="E73" i="16"/>
  <c r="E50" i="16"/>
  <c r="E62" i="16"/>
  <c r="E52" i="16"/>
  <c r="E45" i="16"/>
  <c r="E63" i="16" l="1"/>
  <c r="E48" i="16"/>
  <c r="K17" i="3" l="1"/>
  <c r="N85" i="3" s="1"/>
  <c r="AU10" i="29" s="1"/>
  <c r="AU46" i="29" s="1"/>
  <c r="K16" i="3"/>
  <c r="N61" i="3" s="1"/>
  <c r="AM30" i="29" s="1"/>
  <c r="AM35" i="29" s="1"/>
  <c r="H17" i="3"/>
  <c r="H16" i="3"/>
  <c r="H12" i="3" s="1"/>
  <c r="E18" i="3"/>
  <c r="E17" i="3"/>
  <c r="E67" i="3" s="1"/>
  <c r="E43" i="3"/>
  <c r="G26" i="29" s="1"/>
  <c r="G36" i="29" s="1"/>
  <c r="K15" i="3"/>
  <c r="BQ26" i="38" s="1"/>
  <c r="BQ36" i="38" s="1"/>
  <c r="H15" i="3"/>
  <c r="E5" i="3"/>
  <c r="AJ30" i="16"/>
  <c r="AJ35" i="16" s="1"/>
  <c r="AG30" i="16"/>
  <c r="AG35" i="16" s="1"/>
  <c r="V30" i="16"/>
  <c r="V35" i="16" s="1"/>
  <c r="O30" i="16"/>
  <c r="O35" i="16" s="1"/>
  <c r="N30" i="16"/>
  <c r="N35" i="16" s="1"/>
  <c r="M30" i="16"/>
  <c r="M35" i="16" s="1"/>
  <c r="L30" i="16"/>
  <c r="L35" i="16" s="1"/>
  <c r="K30" i="16"/>
  <c r="K35" i="16" s="1"/>
  <c r="AJ29" i="16"/>
  <c r="AG29" i="16"/>
  <c r="V29" i="16"/>
  <c r="O29" i="16"/>
  <c r="N29" i="16"/>
  <c r="M29" i="16"/>
  <c r="L29" i="16"/>
  <c r="K29" i="16"/>
  <c r="AJ28" i="16"/>
  <c r="AJ43" i="16" s="1"/>
  <c r="AG28" i="16"/>
  <c r="AG43" i="16" s="1"/>
  <c r="V28" i="16"/>
  <c r="V43" i="16" s="1"/>
  <c r="O28" i="16"/>
  <c r="O43" i="16" s="1"/>
  <c r="N28" i="16"/>
  <c r="N43" i="16" s="1"/>
  <c r="M28" i="16"/>
  <c r="M43" i="16" s="1"/>
  <c r="L28" i="16"/>
  <c r="L43" i="16" s="1"/>
  <c r="K28" i="16"/>
  <c r="K43" i="16" s="1"/>
  <c r="AJ27" i="16"/>
  <c r="AG27" i="16"/>
  <c r="V27" i="16"/>
  <c r="O27" i="16"/>
  <c r="N27" i="16"/>
  <c r="M27" i="16"/>
  <c r="L27" i="16"/>
  <c r="K27" i="16"/>
  <c r="AJ26" i="16"/>
  <c r="AJ36" i="16" s="1"/>
  <c r="AG26" i="16"/>
  <c r="AG36" i="16" s="1"/>
  <c r="V26" i="16"/>
  <c r="V36" i="16" s="1"/>
  <c r="O26" i="16"/>
  <c r="O36" i="16" s="1"/>
  <c r="N26" i="16"/>
  <c r="N36" i="16" s="1"/>
  <c r="M26" i="16"/>
  <c r="M36" i="16" s="1"/>
  <c r="L26" i="16"/>
  <c r="L36" i="16" s="1"/>
  <c r="K26" i="16"/>
  <c r="K36" i="16" s="1"/>
  <c r="AJ25" i="16"/>
  <c r="AG25" i="16"/>
  <c r="V25" i="16"/>
  <c r="O25" i="16"/>
  <c r="N25" i="16"/>
  <c r="M25" i="16"/>
  <c r="L25" i="16"/>
  <c r="K25" i="16"/>
  <c r="AJ24" i="16"/>
  <c r="AG24" i="16"/>
  <c r="V24" i="16"/>
  <c r="O24" i="16"/>
  <c r="N24" i="16"/>
  <c r="M24" i="16"/>
  <c r="L24" i="16"/>
  <c r="K24" i="16"/>
  <c r="AJ23" i="16"/>
  <c r="AJ49" i="16" s="1"/>
  <c r="AG23" i="16"/>
  <c r="AG49" i="16" s="1"/>
  <c r="V23" i="16"/>
  <c r="V49" i="16" s="1"/>
  <c r="O23" i="16"/>
  <c r="O49" i="16" s="1"/>
  <c r="N23" i="16"/>
  <c r="N49" i="16" s="1"/>
  <c r="M23" i="16"/>
  <c r="M49" i="16" s="1"/>
  <c r="L23" i="16"/>
  <c r="L49" i="16" s="1"/>
  <c r="K23" i="16"/>
  <c r="K49" i="16" s="1"/>
  <c r="AJ22" i="16"/>
  <c r="AJ37" i="16" s="1"/>
  <c r="AG22" i="16"/>
  <c r="AG37" i="16" s="1"/>
  <c r="V22" i="16"/>
  <c r="V37" i="16" s="1"/>
  <c r="O22" i="16"/>
  <c r="O37" i="16" s="1"/>
  <c r="N22" i="16"/>
  <c r="N37" i="16" s="1"/>
  <c r="M22" i="16"/>
  <c r="M37" i="16" s="1"/>
  <c r="L22" i="16"/>
  <c r="L37" i="16" s="1"/>
  <c r="K22" i="16"/>
  <c r="K37" i="16" s="1"/>
  <c r="AJ21" i="16"/>
  <c r="AG21" i="16"/>
  <c r="V21" i="16"/>
  <c r="O21" i="16"/>
  <c r="N21" i="16"/>
  <c r="M21" i="16"/>
  <c r="L21" i="16"/>
  <c r="K21" i="16"/>
  <c r="AJ20" i="16"/>
  <c r="AG20" i="16"/>
  <c r="V20" i="16"/>
  <c r="O20" i="16"/>
  <c r="N20" i="16"/>
  <c r="M20" i="16"/>
  <c r="L20" i="16"/>
  <c r="K20" i="16"/>
  <c r="AJ19" i="16"/>
  <c r="AJ42" i="16" s="1"/>
  <c r="AG19" i="16"/>
  <c r="AG42" i="16" s="1"/>
  <c r="V19" i="16"/>
  <c r="V42" i="16" s="1"/>
  <c r="O19" i="16"/>
  <c r="O42" i="16" s="1"/>
  <c r="N19" i="16"/>
  <c r="N42" i="16" s="1"/>
  <c r="M19" i="16"/>
  <c r="M42" i="16" s="1"/>
  <c r="L19" i="16"/>
  <c r="L42" i="16" s="1"/>
  <c r="K19" i="16"/>
  <c r="K42" i="16" s="1"/>
  <c r="AJ18" i="16"/>
  <c r="AG18" i="16"/>
  <c r="V18" i="16"/>
  <c r="O18" i="16"/>
  <c r="N18" i="16"/>
  <c r="M18" i="16"/>
  <c r="L18" i="16"/>
  <c r="K18" i="16"/>
  <c r="AJ17" i="16"/>
  <c r="AG17" i="16"/>
  <c r="V17" i="16"/>
  <c r="O17" i="16"/>
  <c r="N17" i="16"/>
  <c r="M17" i="16"/>
  <c r="L17" i="16"/>
  <c r="K17" i="16"/>
  <c r="AJ16" i="16"/>
  <c r="AG16" i="16"/>
  <c r="V16" i="16"/>
  <c r="O16" i="16"/>
  <c r="N16" i="16"/>
  <c r="M16" i="16"/>
  <c r="L16" i="16"/>
  <c r="K16" i="16"/>
  <c r="AJ15" i="16"/>
  <c r="AJ44" i="16" s="1"/>
  <c r="AG15" i="16"/>
  <c r="AG44" i="16" s="1"/>
  <c r="V15" i="16"/>
  <c r="V44" i="16" s="1"/>
  <c r="O15" i="16"/>
  <c r="O44" i="16" s="1"/>
  <c r="N15" i="16"/>
  <c r="N44" i="16" s="1"/>
  <c r="M15" i="16"/>
  <c r="M44" i="16" s="1"/>
  <c r="L15" i="16"/>
  <c r="L44" i="16" s="1"/>
  <c r="K15" i="16"/>
  <c r="K44" i="16" s="1"/>
  <c r="AJ14" i="16"/>
  <c r="AJ34" i="16" s="1"/>
  <c r="AG14" i="16"/>
  <c r="AG34" i="16" s="1"/>
  <c r="V14" i="16"/>
  <c r="V34" i="16" s="1"/>
  <c r="O14" i="16"/>
  <c r="O34" i="16" s="1"/>
  <c r="N14" i="16"/>
  <c r="N34" i="16" s="1"/>
  <c r="M14" i="16"/>
  <c r="M34" i="16" s="1"/>
  <c r="L14" i="16"/>
  <c r="L34" i="16" s="1"/>
  <c r="K14" i="16"/>
  <c r="K34" i="16" s="1"/>
  <c r="AJ13" i="16"/>
  <c r="AJ33" i="16" s="1"/>
  <c r="AG13" i="16"/>
  <c r="AG33" i="16" s="1"/>
  <c r="V13" i="16"/>
  <c r="V33" i="16" s="1"/>
  <c r="O13" i="16"/>
  <c r="O33" i="16" s="1"/>
  <c r="N13" i="16"/>
  <c r="N33" i="16" s="1"/>
  <c r="M13" i="16"/>
  <c r="M33" i="16" s="1"/>
  <c r="L13" i="16"/>
  <c r="L33" i="16" s="1"/>
  <c r="K13" i="16"/>
  <c r="K33" i="16" s="1"/>
  <c r="AJ12" i="16"/>
  <c r="AG12" i="16"/>
  <c r="V12" i="16"/>
  <c r="O12" i="16"/>
  <c r="N12" i="16"/>
  <c r="M12" i="16"/>
  <c r="L12" i="16"/>
  <c r="K12" i="16"/>
  <c r="AJ11" i="16"/>
  <c r="AJ39" i="16" s="1"/>
  <c r="AG11" i="16"/>
  <c r="AG39" i="16" s="1"/>
  <c r="V11" i="16"/>
  <c r="V39" i="16" s="1"/>
  <c r="O11" i="16"/>
  <c r="O39" i="16" s="1"/>
  <c r="N11" i="16"/>
  <c r="N39" i="16" s="1"/>
  <c r="M11" i="16"/>
  <c r="M39" i="16" s="1"/>
  <c r="L11" i="16"/>
  <c r="L39" i="16" s="1"/>
  <c r="K11" i="16"/>
  <c r="K39" i="16" s="1"/>
  <c r="AJ10" i="16"/>
  <c r="AJ46" i="16" s="1"/>
  <c r="AG10" i="16"/>
  <c r="AG46" i="16" s="1"/>
  <c r="V10" i="16"/>
  <c r="V46" i="16" s="1"/>
  <c r="O10" i="16"/>
  <c r="O46" i="16" s="1"/>
  <c r="N10" i="16"/>
  <c r="N46" i="16" s="1"/>
  <c r="M10" i="16"/>
  <c r="M46" i="16" s="1"/>
  <c r="L10" i="16"/>
  <c r="L46" i="16" s="1"/>
  <c r="K10" i="16"/>
  <c r="K46" i="16" s="1"/>
  <c r="AJ9" i="16"/>
  <c r="AG9" i="16"/>
  <c r="V9" i="16"/>
  <c r="O9" i="16"/>
  <c r="N9" i="16"/>
  <c r="M9" i="16"/>
  <c r="L9" i="16"/>
  <c r="K9" i="16"/>
  <c r="AJ8" i="16"/>
  <c r="AJ41" i="16" s="1"/>
  <c r="AG8" i="16"/>
  <c r="AG41" i="16" s="1"/>
  <c r="V8" i="16"/>
  <c r="V41" i="16" s="1"/>
  <c r="O8" i="16"/>
  <c r="O41" i="16" s="1"/>
  <c r="N8" i="16"/>
  <c r="N41" i="16" s="1"/>
  <c r="M8" i="16"/>
  <c r="M41" i="16" s="1"/>
  <c r="L8" i="16"/>
  <c r="L41" i="16" s="1"/>
  <c r="K8" i="16"/>
  <c r="K41" i="16" s="1"/>
  <c r="AJ7" i="16"/>
  <c r="AG7" i="16"/>
  <c r="V7" i="16"/>
  <c r="O7" i="16"/>
  <c r="N7" i="16"/>
  <c r="M7" i="16"/>
  <c r="L7" i="16"/>
  <c r="K7" i="16"/>
  <c r="AJ6" i="16"/>
  <c r="AJ47" i="16" s="1"/>
  <c r="AG6" i="16"/>
  <c r="AG47" i="16" s="1"/>
  <c r="V6" i="16"/>
  <c r="V47" i="16" s="1"/>
  <c r="O6" i="16"/>
  <c r="O47" i="16" s="1"/>
  <c r="N6" i="16"/>
  <c r="N47" i="16" s="1"/>
  <c r="M6" i="16"/>
  <c r="M47" i="16" s="1"/>
  <c r="L6" i="16"/>
  <c r="L47" i="16" s="1"/>
  <c r="K6" i="16"/>
  <c r="K47" i="16" s="1"/>
  <c r="AJ5" i="16"/>
  <c r="AG5" i="16"/>
  <c r="V5" i="16"/>
  <c r="O5" i="16"/>
  <c r="N5" i="16"/>
  <c r="M5" i="16"/>
  <c r="L5" i="16"/>
  <c r="K5" i="16"/>
  <c r="AJ4" i="16"/>
  <c r="AJ40" i="16" s="1"/>
  <c r="AG4" i="16"/>
  <c r="AG40" i="16" s="1"/>
  <c r="V4" i="16"/>
  <c r="V40" i="16" s="1"/>
  <c r="O4" i="16"/>
  <c r="O40" i="16" s="1"/>
  <c r="N4" i="16"/>
  <c r="N40" i="16" s="1"/>
  <c r="M4" i="16"/>
  <c r="M40" i="16" s="1"/>
  <c r="L4" i="16"/>
  <c r="L40" i="16" s="1"/>
  <c r="K4" i="16"/>
  <c r="K40" i="16" s="1"/>
  <c r="AJ3" i="16"/>
  <c r="AJ32" i="16" s="1"/>
  <c r="AG3" i="16"/>
  <c r="AG32" i="16" s="1"/>
  <c r="V3" i="16"/>
  <c r="V32" i="16" s="1"/>
  <c r="O3" i="16"/>
  <c r="O32" i="16" s="1"/>
  <c r="N3" i="16"/>
  <c r="N32" i="16" s="1"/>
  <c r="M3" i="16"/>
  <c r="M32" i="16" s="1"/>
  <c r="L3" i="16"/>
  <c r="L32" i="16" s="1"/>
  <c r="K3" i="16"/>
  <c r="K32" i="16" s="1"/>
  <c r="AJ2" i="16"/>
  <c r="AJ38" i="16" s="1"/>
  <c r="AG2" i="16"/>
  <c r="AG38" i="16" s="1"/>
  <c r="V2" i="16"/>
  <c r="V38" i="16" s="1"/>
  <c r="O2" i="16"/>
  <c r="O38" i="16" s="1"/>
  <c r="N2" i="16"/>
  <c r="N38" i="16" s="1"/>
  <c r="M2" i="16"/>
  <c r="M38" i="16" s="1"/>
  <c r="L2" i="16"/>
  <c r="L38" i="16" s="1"/>
  <c r="K2" i="16"/>
  <c r="K38" i="16" s="1"/>
  <c r="DJ30" i="38"/>
  <c r="DJ35" i="38" s="1"/>
  <c r="BR30" i="38"/>
  <c r="BR35" i="38" s="1"/>
  <c r="DJ29" i="38"/>
  <c r="BR29" i="38"/>
  <c r="DJ28" i="38"/>
  <c r="DJ43" i="38" s="1"/>
  <c r="BR28" i="38"/>
  <c r="BR43" i="38" s="1"/>
  <c r="DJ27" i="38"/>
  <c r="BR27" i="38"/>
  <c r="DJ26" i="38"/>
  <c r="DJ36" i="38" s="1"/>
  <c r="BR26" i="38"/>
  <c r="BR36" i="38" s="1"/>
  <c r="DJ25" i="38"/>
  <c r="DJ24" i="38"/>
  <c r="BR24" i="38"/>
  <c r="DJ23" i="38"/>
  <c r="DJ49" i="38" s="1"/>
  <c r="DJ22" i="38"/>
  <c r="DJ37" i="38" s="1"/>
  <c r="BR22" i="38"/>
  <c r="BR37" i="38" s="1"/>
  <c r="DJ21" i="38"/>
  <c r="BR21" i="38"/>
  <c r="DJ20" i="38"/>
  <c r="BR20" i="38"/>
  <c r="DJ19" i="38"/>
  <c r="DJ42" i="38" s="1"/>
  <c r="BR19" i="38"/>
  <c r="BR42" i="38" s="1"/>
  <c r="DJ18" i="38"/>
  <c r="BR18" i="38"/>
  <c r="DJ17" i="38"/>
  <c r="BR17" i="38"/>
  <c r="DJ16" i="38"/>
  <c r="BR16" i="38"/>
  <c r="DJ15" i="38"/>
  <c r="DJ44" i="38" s="1"/>
  <c r="BR15" i="38"/>
  <c r="BR44" i="38" s="1"/>
  <c r="DJ14" i="38"/>
  <c r="DJ34" i="38" s="1"/>
  <c r="BR14" i="38"/>
  <c r="BR34" i="38" s="1"/>
  <c r="DJ13" i="38"/>
  <c r="DJ33" i="38" s="1"/>
  <c r="BR13" i="38"/>
  <c r="BR33" i="38" s="1"/>
  <c r="DJ12" i="38"/>
  <c r="BR12" i="38"/>
  <c r="DJ11" i="38"/>
  <c r="DJ39" i="38" s="1"/>
  <c r="BR11" i="38"/>
  <c r="BR39" i="38" s="1"/>
  <c r="DJ10" i="38"/>
  <c r="DJ46" i="38" s="1"/>
  <c r="BR10" i="38"/>
  <c r="BR46" i="38" s="1"/>
  <c r="BR45" i="38" s="1"/>
  <c r="DJ9" i="38"/>
  <c r="BR9" i="38"/>
  <c r="DJ8" i="38"/>
  <c r="DJ41" i="38" s="1"/>
  <c r="BR8" i="38"/>
  <c r="BR41" i="38" s="1"/>
  <c r="DJ7" i="38"/>
  <c r="BR7" i="38"/>
  <c r="DJ6" i="38"/>
  <c r="DJ47" i="38" s="1"/>
  <c r="BR6" i="38"/>
  <c r="BR47" i="38" s="1"/>
  <c r="DJ5" i="38"/>
  <c r="BR5" i="38"/>
  <c r="DJ4" i="38"/>
  <c r="DJ40" i="38" s="1"/>
  <c r="BR4" i="38"/>
  <c r="BR40" i="38" s="1"/>
  <c r="DJ3" i="38"/>
  <c r="DJ32" i="38" s="1"/>
  <c r="BR3" i="38"/>
  <c r="BR32" i="38" s="1"/>
  <c r="DJ2" i="38"/>
  <c r="DJ38" i="38" s="1"/>
  <c r="BR2" i="38"/>
  <c r="BR38" i="38" s="1"/>
  <c r="AN30" i="32"/>
  <c r="AN35" i="32" s="1"/>
  <c r="AE30" i="32"/>
  <c r="AE35" i="32" s="1"/>
  <c r="Y30" i="32"/>
  <c r="Y35" i="32" s="1"/>
  <c r="AN29" i="32"/>
  <c r="AE29" i="32"/>
  <c r="Y29" i="32"/>
  <c r="AN28" i="32"/>
  <c r="AN43" i="32" s="1"/>
  <c r="AE28" i="32"/>
  <c r="AE43" i="32" s="1"/>
  <c r="Y28" i="32"/>
  <c r="Y43" i="32" s="1"/>
  <c r="AN27" i="32"/>
  <c r="AE27" i="32"/>
  <c r="Y27" i="32"/>
  <c r="AN26" i="32"/>
  <c r="AN36" i="32" s="1"/>
  <c r="AE26" i="32"/>
  <c r="AE36" i="32" s="1"/>
  <c r="Y26" i="32"/>
  <c r="Y36" i="32" s="1"/>
  <c r="AN25" i="32"/>
  <c r="Y25" i="32"/>
  <c r="AN24" i="32"/>
  <c r="AE24" i="32"/>
  <c r="Y24" i="32"/>
  <c r="AN23" i="32"/>
  <c r="AN49" i="32" s="1"/>
  <c r="Y23" i="32"/>
  <c r="Y49" i="32" s="1"/>
  <c r="AN22" i="32"/>
  <c r="AN37" i="32" s="1"/>
  <c r="AE22" i="32"/>
  <c r="AE37" i="32" s="1"/>
  <c r="Y22" i="32"/>
  <c r="Y37" i="32" s="1"/>
  <c r="AN21" i="32"/>
  <c r="AE21" i="32"/>
  <c r="Y21" i="32"/>
  <c r="AN20" i="32"/>
  <c r="AE20" i="32"/>
  <c r="Y20" i="32"/>
  <c r="AN19" i="32"/>
  <c r="AN42" i="32" s="1"/>
  <c r="AE19" i="32"/>
  <c r="AE42" i="32" s="1"/>
  <c r="Y19" i="32"/>
  <c r="Y42" i="32" s="1"/>
  <c r="AN18" i="32"/>
  <c r="AE18" i="32"/>
  <c r="Y18" i="32"/>
  <c r="AN17" i="32"/>
  <c r="AE17" i="32"/>
  <c r="Y17" i="32"/>
  <c r="AN16" i="32"/>
  <c r="AE16" i="32"/>
  <c r="Y16" i="32"/>
  <c r="AN15" i="32"/>
  <c r="AN44" i="32" s="1"/>
  <c r="AE15" i="32"/>
  <c r="AE44" i="32" s="1"/>
  <c r="Y15" i="32"/>
  <c r="Y44" i="32" s="1"/>
  <c r="AN14" i="32"/>
  <c r="AN34" i="32" s="1"/>
  <c r="AE14" i="32"/>
  <c r="AE34" i="32" s="1"/>
  <c r="Y14" i="32"/>
  <c r="Y34" i="32" s="1"/>
  <c r="AN13" i="32"/>
  <c r="AN33" i="32" s="1"/>
  <c r="AE13" i="32"/>
  <c r="AE33" i="32" s="1"/>
  <c r="Y13" i="32"/>
  <c r="Y33" i="32" s="1"/>
  <c r="AN12" i="32"/>
  <c r="AE12" i="32"/>
  <c r="Y12" i="32"/>
  <c r="AN11" i="32"/>
  <c r="AN39" i="32" s="1"/>
  <c r="AE11" i="32"/>
  <c r="AE39" i="32" s="1"/>
  <c r="Y11" i="32"/>
  <c r="Y39" i="32" s="1"/>
  <c r="AN10" i="32"/>
  <c r="AN46" i="32" s="1"/>
  <c r="AE10" i="32"/>
  <c r="AE46" i="32" s="1"/>
  <c r="Y10" i="32"/>
  <c r="Y46" i="32" s="1"/>
  <c r="AN9" i="32"/>
  <c r="AE9" i="32"/>
  <c r="Y9" i="32"/>
  <c r="AN8" i="32"/>
  <c r="AN41" i="32" s="1"/>
  <c r="AE8" i="32"/>
  <c r="AE41" i="32" s="1"/>
  <c r="Y8" i="32"/>
  <c r="Y41" i="32" s="1"/>
  <c r="AN7" i="32"/>
  <c r="AE7" i="32"/>
  <c r="Y7" i="32"/>
  <c r="AN6" i="32"/>
  <c r="AN47" i="32" s="1"/>
  <c r="AE6" i="32"/>
  <c r="AE47" i="32" s="1"/>
  <c r="Y6" i="32"/>
  <c r="Y47" i="32" s="1"/>
  <c r="AN5" i="32"/>
  <c r="AE5" i="32"/>
  <c r="Y5" i="32"/>
  <c r="AN4" i="32"/>
  <c r="AN40" i="32" s="1"/>
  <c r="AE4" i="32"/>
  <c r="AE40" i="32" s="1"/>
  <c r="Y4" i="32"/>
  <c r="Y40" i="32" s="1"/>
  <c r="AN3" i="32"/>
  <c r="AN32" i="32" s="1"/>
  <c r="AE3" i="32"/>
  <c r="AE32" i="32" s="1"/>
  <c r="Y3" i="32"/>
  <c r="Y32" i="32" s="1"/>
  <c r="AN2" i="32"/>
  <c r="AN38" i="32" s="1"/>
  <c r="AE2" i="32"/>
  <c r="AE38" i="32" s="1"/>
  <c r="Y2" i="32"/>
  <c r="Y38" i="32" s="1"/>
  <c r="AJ30" i="37"/>
  <c r="AJ35" i="37" s="1"/>
  <c r="AG30" i="37"/>
  <c r="V30" i="37"/>
  <c r="V35" i="37" s="1"/>
  <c r="O30" i="37"/>
  <c r="O35" i="37" s="1"/>
  <c r="N30" i="37"/>
  <c r="N35" i="37" s="1"/>
  <c r="M30" i="37"/>
  <c r="M35" i="37" s="1"/>
  <c r="L30" i="37"/>
  <c r="L35" i="37" s="1"/>
  <c r="K30" i="37"/>
  <c r="K35" i="37" s="1"/>
  <c r="E30" i="37"/>
  <c r="E35" i="37" s="1"/>
  <c r="AJ29" i="37"/>
  <c r="AG29" i="37"/>
  <c r="V29" i="37"/>
  <c r="O29" i="37"/>
  <c r="N29" i="37"/>
  <c r="M29" i="37"/>
  <c r="L29" i="37"/>
  <c r="K29" i="37"/>
  <c r="E29" i="37"/>
  <c r="AJ28" i="37"/>
  <c r="AJ43" i="37" s="1"/>
  <c r="AG28" i="37"/>
  <c r="V28" i="37"/>
  <c r="V43" i="37" s="1"/>
  <c r="O28" i="37"/>
  <c r="O43" i="37" s="1"/>
  <c r="N28" i="37"/>
  <c r="N43" i="37" s="1"/>
  <c r="M28" i="37"/>
  <c r="M43" i="37" s="1"/>
  <c r="L28" i="37"/>
  <c r="L43" i="37" s="1"/>
  <c r="K28" i="37"/>
  <c r="K43" i="37" s="1"/>
  <c r="E28" i="37"/>
  <c r="E43" i="37" s="1"/>
  <c r="AJ27" i="37"/>
  <c r="AG27" i="37"/>
  <c r="V27" i="37"/>
  <c r="O27" i="37"/>
  <c r="N27" i="37"/>
  <c r="M27" i="37"/>
  <c r="L27" i="37"/>
  <c r="K27" i="37"/>
  <c r="E27" i="37"/>
  <c r="AJ26" i="37"/>
  <c r="AJ36" i="37" s="1"/>
  <c r="AG26" i="37"/>
  <c r="V26" i="37"/>
  <c r="V36" i="37" s="1"/>
  <c r="O26" i="37"/>
  <c r="O36" i="37" s="1"/>
  <c r="N26" i="37"/>
  <c r="N36" i="37" s="1"/>
  <c r="M26" i="37"/>
  <c r="M36" i="37" s="1"/>
  <c r="L26" i="37"/>
  <c r="L36" i="37" s="1"/>
  <c r="K26" i="37"/>
  <c r="K36" i="37" s="1"/>
  <c r="E26" i="37"/>
  <c r="E36" i="37" s="1"/>
  <c r="AJ25" i="37"/>
  <c r="AG25" i="37"/>
  <c r="V25" i="37"/>
  <c r="O25" i="37"/>
  <c r="N25" i="37"/>
  <c r="M25" i="37"/>
  <c r="L25" i="37"/>
  <c r="K25" i="37"/>
  <c r="E25" i="37"/>
  <c r="AJ24" i="37"/>
  <c r="AG24" i="37"/>
  <c r="V24" i="37"/>
  <c r="O24" i="37"/>
  <c r="N24" i="37"/>
  <c r="M24" i="37"/>
  <c r="L24" i="37"/>
  <c r="K24" i="37"/>
  <c r="E24" i="37"/>
  <c r="AJ23" i="37"/>
  <c r="AJ49" i="37" s="1"/>
  <c r="AG23" i="37"/>
  <c r="V23" i="37"/>
  <c r="V49" i="37" s="1"/>
  <c r="O23" i="37"/>
  <c r="O49" i="37" s="1"/>
  <c r="N23" i="37"/>
  <c r="N49" i="37" s="1"/>
  <c r="M23" i="37"/>
  <c r="M49" i="37" s="1"/>
  <c r="L23" i="37"/>
  <c r="L49" i="37" s="1"/>
  <c r="K23" i="37"/>
  <c r="K49" i="37" s="1"/>
  <c r="E23" i="37"/>
  <c r="E49" i="37" s="1"/>
  <c r="AJ22" i="37"/>
  <c r="AJ37" i="37" s="1"/>
  <c r="AG22" i="37"/>
  <c r="V22" i="37"/>
  <c r="V37" i="37" s="1"/>
  <c r="O22" i="37"/>
  <c r="O37" i="37" s="1"/>
  <c r="N22" i="37"/>
  <c r="N37" i="37" s="1"/>
  <c r="M22" i="37"/>
  <c r="M37" i="37" s="1"/>
  <c r="L22" i="37"/>
  <c r="L37" i="37" s="1"/>
  <c r="K22" i="37"/>
  <c r="K37" i="37" s="1"/>
  <c r="E22" i="37"/>
  <c r="E37" i="37" s="1"/>
  <c r="AJ21" i="37"/>
  <c r="AG21" i="37"/>
  <c r="V21" i="37"/>
  <c r="O21" i="37"/>
  <c r="N21" i="37"/>
  <c r="M21" i="37"/>
  <c r="L21" i="37"/>
  <c r="K21" i="37"/>
  <c r="E21" i="37"/>
  <c r="AJ20" i="37"/>
  <c r="AG20" i="37"/>
  <c r="V20" i="37"/>
  <c r="O20" i="37"/>
  <c r="N20" i="37"/>
  <c r="M20" i="37"/>
  <c r="L20" i="37"/>
  <c r="K20" i="37"/>
  <c r="E20" i="37"/>
  <c r="AJ19" i="37"/>
  <c r="AJ42" i="37" s="1"/>
  <c r="AG19" i="37"/>
  <c r="V19" i="37"/>
  <c r="V42" i="37" s="1"/>
  <c r="O19" i="37"/>
  <c r="O42" i="37" s="1"/>
  <c r="N19" i="37"/>
  <c r="N42" i="37" s="1"/>
  <c r="M19" i="37"/>
  <c r="M42" i="37" s="1"/>
  <c r="L19" i="37"/>
  <c r="L42" i="37" s="1"/>
  <c r="K19" i="37"/>
  <c r="K42" i="37" s="1"/>
  <c r="E19" i="37"/>
  <c r="E42" i="37" s="1"/>
  <c r="AJ18" i="37"/>
  <c r="AG18" i="37"/>
  <c r="V18" i="37"/>
  <c r="O18" i="37"/>
  <c r="N18" i="37"/>
  <c r="M18" i="37"/>
  <c r="L18" i="37"/>
  <c r="K18" i="37"/>
  <c r="E18" i="37"/>
  <c r="AJ17" i="37"/>
  <c r="AG17" i="37"/>
  <c r="V17" i="37"/>
  <c r="O17" i="37"/>
  <c r="N17" i="37"/>
  <c r="M17" i="37"/>
  <c r="L17" i="37"/>
  <c r="K17" i="37"/>
  <c r="E17" i="37"/>
  <c r="AJ16" i="37"/>
  <c r="AG16" i="37"/>
  <c r="V16" i="37"/>
  <c r="O16" i="37"/>
  <c r="N16" i="37"/>
  <c r="M16" i="37"/>
  <c r="L16" i="37"/>
  <c r="K16" i="37"/>
  <c r="E16" i="37"/>
  <c r="AJ15" i="37"/>
  <c r="AJ44" i="37" s="1"/>
  <c r="AG15" i="37"/>
  <c r="V15" i="37"/>
  <c r="V44" i="37" s="1"/>
  <c r="O15" i="37"/>
  <c r="O44" i="37" s="1"/>
  <c r="N15" i="37"/>
  <c r="N44" i="37" s="1"/>
  <c r="M15" i="37"/>
  <c r="M44" i="37" s="1"/>
  <c r="L15" i="37"/>
  <c r="L44" i="37" s="1"/>
  <c r="K15" i="37"/>
  <c r="K44" i="37" s="1"/>
  <c r="E15" i="37"/>
  <c r="E44" i="37" s="1"/>
  <c r="AJ14" i="37"/>
  <c r="AJ34" i="37" s="1"/>
  <c r="AG14" i="37"/>
  <c r="V14" i="37"/>
  <c r="V34" i="37" s="1"/>
  <c r="O14" i="37"/>
  <c r="O34" i="37" s="1"/>
  <c r="N14" i="37"/>
  <c r="N34" i="37" s="1"/>
  <c r="M14" i="37"/>
  <c r="M34" i="37" s="1"/>
  <c r="L14" i="37"/>
  <c r="L34" i="37" s="1"/>
  <c r="K14" i="37"/>
  <c r="K34" i="37" s="1"/>
  <c r="E14" i="37"/>
  <c r="E34" i="37" s="1"/>
  <c r="AJ13" i="37"/>
  <c r="AJ33" i="37" s="1"/>
  <c r="AG13" i="37"/>
  <c r="V13" i="37"/>
  <c r="V33" i="37" s="1"/>
  <c r="O13" i="37"/>
  <c r="O33" i="37" s="1"/>
  <c r="N13" i="37"/>
  <c r="N33" i="37" s="1"/>
  <c r="M13" i="37"/>
  <c r="M33" i="37" s="1"/>
  <c r="L13" i="37"/>
  <c r="L33" i="37" s="1"/>
  <c r="K13" i="37"/>
  <c r="K33" i="37" s="1"/>
  <c r="E13" i="37"/>
  <c r="E33" i="37" s="1"/>
  <c r="AJ12" i="37"/>
  <c r="AG12" i="37"/>
  <c r="V12" i="37"/>
  <c r="O12" i="37"/>
  <c r="N12" i="37"/>
  <c r="M12" i="37"/>
  <c r="L12" i="37"/>
  <c r="K12" i="37"/>
  <c r="E12" i="37"/>
  <c r="AJ11" i="37"/>
  <c r="AJ39" i="37" s="1"/>
  <c r="AG11" i="37"/>
  <c r="V11" i="37"/>
  <c r="V39" i="37" s="1"/>
  <c r="O11" i="37"/>
  <c r="O39" i="37" s="1"/>
  <c r="N11" i="37"/>
  <c r="N39" i="37" s="1"/>
  <c r="M11" i="37"/>
  <c r="M39" i="37" s="1"/>
  <c r="L11" i="37"/>
  <c r="L39" i="37" s="1"/>
  <c r="K11" i="37"/>
  <c r="K39" i="37" s="1"/>
  <c r="E11" i="37"/>
  <c r="E39" i="37" s="1"/>
  <c r="AJ10" i="37"/>
  <c r="AJ46" i="37" s="1"/>
  <c r="AG10" i="37"/>
  <c r="V10" i="37"/>
  <c r="V46" i="37" s="1"/>
  <c r="O10" i="37"/>
  <c r="O46" i="37" s="1"/>
  <c r="N10" i="37"/>
  <c r="N46" i="37" s="1"/>
  <c r="M10" i="37"/>
  <c r="M46" i="37" s="1"/>
  <c r="L10" i="37"/>
  <c r="L46" i="37" s="1"/>
  <c r="K10" i="37"/>
  <c r="K46" i="37" s="1"/>
  <c r="E10" i="37"/>
  <c r="E46" i="37" s="1"/>
  <c r="AG9" i="37"/>
  <c r="V9" i="37"/>
  <c r="O9" i="37"/>
  <c r="N9" i="37"/>
  <c r="M9" i="37"/>
  <c r="L9" i="37"/>
  <c r="K9" i="37"/>
  <c r="E9" i="37"/>
  <c r="AJ41" i="37"/>
  <c r="AG8" i="37"/>
  <c r="V8" i="37"/>
  <c r="V41" i="37" s="1"/>
  <c r="O8" i="37"/>
  <c r="O41" i="37" s="1"/>
  <c r="N8" i="37"/>
  <c r="N41" i="37" s="1"/>
  <c r="M8" i="37"/>
  <c r="M41" i="37" s="1"/>
  <c r="L8" i="37"/>
  <c r="L41" i="37" s="1"/>
  <c r="K8" i="37"/>
  <c r="K41" i="37" s="1"/>
  <c r="E8" i="37"/>
  <c r="E41" i="37" s="1"/>
  <c r="AG7" i="37"/>
  <c r="V7" i="37"/>
  <c r="O7" i="37"/>
  <c r="N7" i="37"/>
  <c r="M7" i="37"/>
  <c r="L7" i="37"/>
  <c r="K7" i="37"/>
  <c r="E7" i="37"/>
  <c r="AJ47" i="37"/>
  <c r="AG6" i="37"/>
  <c r="V6" i="37"/>
  <c r="V47" i="37" s="1"/>
  <c r="O6" i="37"/>
  <c r="O47" i="37" s="1"/>
  <c r="N6" i="37"/>
  <c r="N47" i="37" s="1"/>
  <c r="M6" i="37"/>
  <c r="M47" i="37" s="1"/>
  <c r="L6" i="37"/>
  <c r="L47" i="37" s="1"/>
  <c r="K6" i="37"/>
  <c r="K47" i="37" s="1"/>
  <c r="E6" i="37"/>
  <c r="E47" i="37" s="1"/>
  <c r="AG5" i="37"/>
  <c r="V5" i="37"/>
  <c r="O5" i="37"/>
  <c r="N5" i="37"/>
  <c r="M5" i="37"/>
  <c r="L5" i="37"/>
  <c r="K5" i="37"/>
  <c r="E5" i="37"/>
  <c r="AJ40" i="37"/>
  <c r="AG4" i="37"/>
  <c r="V4" i="37"/>
  <c r="V40" i="37" s="1"/>
  <c r="O4" i="37"/>
  <c r="O40" i="37" s="1"/>
  <c r="N4" i="37"/>
  <c r="N40" i="37" s="1"/>
  <c r="M4" i="37"/>
  <c r="M40" i="37" s="1"/>
  <c r="L4" i="37"/>
  <c r="L40" i="37" s="1"/>
  <c r="K4" i="37"/>
  <c r="K40" i="37" s="1"/>
  <c r="E4" i="37"/>
  <c r="E40" i="37" s="1"/>
  <c r="AJ32" i="37"/>
  <c r="AG3" i="37"/>
  <c r="V3" i="37"/>
  <c r="V32" i="37" s="1"/>
  <c r="O3" i="37"/>
  <c r="O32" i="37" s="1"/>
  <c r="N3" i="37"/>
  <c r="N32" i="37" s="1"/>
  <c r="M3" i="37"/>
  <c r="M32" i="37" s="1"/>
  <c r="L3" i="37"/>
  <c r="L32" i="37" s="1"/>
  <c r="K3" i="37"/>
  <c r="K32" i="37" s="1"/>
  <c r="E3" i="37"/>
  <c r="E32" i="37" s="1"/>
  <c r="AJ38" i="37"/>
  <c r="AG2" i="37"/>
  <c r="V2" i="37"/>
  <c r="V38" i="37" s="1"/>
  <c r="O2" i="37"/>
  <c r="O38" i="37" s="1"/>
  <c r="N2" i="37"/>
  <c r="N38" i="37" s="1"/>
  <c r="M2" i="37"/>
  <c r="M38" i="37" s="1"/>
  <c r="L2" i="37"/>
  <c r="L38" i="37" s="1"/>
  <c r="K2" i="37"/>
  <c r="K38" i="37" s="1"/>
  <c r="E2" i="37"/>
  <c r="E38" i="37" s="1"/>
  <c r="DJ30" i="18"/>
  <c r="DJ35" i="18" s="1"/>
  <c r="BR30" i="18"/>
  <c r="BR35" i="18" s="1"/>
  <c r="AA30" i="18"/>
  <c r="AA35" i="18" s="1"/>
  <c r="DJ29" i="18"/>
  <c r="BR29" i="18"/>
  <c r="AA29" i="18"/>
  <c r="DJ28" i="18"/>
  <c r="DJ43" i="18" s="1"/>
  <c r="BR28" i="18"/>
  <c r="BR43" i="18" s="1"/>
  <c r="AA28" i="18"/>
  <c r="AA43" i="18" s="1"/>
  <c r="DJ27" i="18"/>
  <c r="BR27" i="18"/>
  <c r="AA27" i="18"/>
  <c r="DJ26" i="18"/>
  <c r="DJ36" i="18" s="1"/>
  <c r="BR26" i="18"/>
  <c r="BR36" i="18" s="1"/>
  <c r="AA26" i="18"/>
  <c r="AA36" i="18" s="1"/>
  <c r="DJ25" i="18"/>
  <c r="AA25" i="18"/>
  <c r="DJ24" i="18"/>
  <c r="BR24" i="18"/>
  <c r="AA24" i="18"/>
  <c r="DJ23" i="18"/>
  <c r="DJ49" i="18" s="1"/>
  <c r="AA23" i="18"/>
  <c r="AA49" i="18" s="1"/>
  <c r="DJ22" i="18"/>
  <c r="DJ37" i="18" s="1"/>
  <c r="BR22" i="18"/>
  <c r="BR37" i="18" s="1"/>
  <c r="BQ22" i="18"/>
  <c r="BQ37" i="18" s="1"/>
  <c r="AA22" i="18"/>
  <c r="AA37" i="18" s="1"/>
  <c r="DJ21" i="18"/>
  <c r="BR21" i="18"/>
  <c r="AA21" i="18"/>
  <c r="DJ20" i="18"/>
  <c r="BR20" i="18"/>
  <c r="AA20" i="18"/>
  <c r="DJ19" i="18"/>
  <c r="DJ42" i="18" s="1"/>
  <c r="BR19" i="18"/>
  <c r="BR42" i="18" s="1"/>
  <c r="BQ19" i="18"/>
  <c r="BQ42" i="18" s="1"/>
  <c r="AA19" i="18"/>
  <c r="AA42" i="18" s="1"/>
  <c r="DJ18" i="18"/>
  <c r="BR18" i="18"/>
  <c r="AA18" i="18"/>
  <c r="DJ17" i="18"/>
  <c r="BR17" i="18"/>
  <c r="AA17" i="18"/>
  <c r="DJ16" i="18"/>
  <c r="BR16" i="18"/>
  <c r="AA16" i="18"/>
  <c r="DJ15" i="18"/>
  <c r="DJ44" i="18" s="1"/>
  <c r="BR15" i="18"/>
  <c r="BR44" i="18" s="1"/>
  <c r="AA15" i="18"/>
  <c r="AA44" i="18" s="1"/>
  <c r="DJ14" i="18"/>
  <c r="DJ34" i="18" s="1"/>
  <c r="BR14" i="18"/>
  <c r="BR34" i="18" s="1"/>
  <c r="AA14" i="18"/>
  <c r="AA34" i="18" s="1"/>
  <c r="DJ13" i="18"/>
  <c r="DJ33" i="18" s="1"/>
  <c r="BR13" i="18"/>
  <c r="BR33" i="18" s="1"/>
  <c r="BQ13" i="18"/>
  <c r="BQ33" i="18" s="1"/>
  <c r="AA13" i="18"/>
  <c r="AA33" i="18" s="1"/>
  <c r="DJ12" i="18"/>
  <c r="BR12" i="18"/>
  <c r="AA12" i="18"/>
  <c r="DJ11" i="18"/>
  <c r="DJ39" i="18" s="1"/>
  <c r="BR11" i="18"/>
  <c r="BR39" i="18" s="1"/>
  <c r="AA11" i="18"/>
  <c r="AA39" i="18" s="1"/>
  <c r="DJ10" i="18"/>
  <c r="DJ46" i="18" s="1"/>
  <c r="DJ45" i="18" s="1"/>
  <c r="BR10" i="18"/>
  <c r="BR46" i="18" s="1"/>
  <c r="BQ10" i="18"/>
  <c r="BQ46" i="18" s="1"/>
  <c r="AA10" i="18"/>
  <c r="AA46" i="18" s="1"/>
  <c r="DJ9" i="18"/>
  <c r="BR9" i="18"/>
  <c r="AA9" i="18"/>
  <c r="DJ8" i="18"/>
  <c r="DJ41" i="18" s="1"/>
  <c r="BR8" i="18"/>
  <c r="BR41" i="18" s="1"/>
  <c r="AA8" i="18"/>
  <c r="AA41" i="18" s="1"/>
  <c r="DJ7" i="18"/>
  <c r="BR7" i="18"/>
  <c r="BQ7" i="18"/>
  <c r="AA7" i="18"/>
  <c r="DJ6" i="18"/>
  <c r="DJ47" i="18" s="1"/>
  <c r="BR6" i="18"/>
  <c r="BR47" i="18" s="1"/>
  <c r="AA6" i="18"/>
  <c r="AA47" i="18" s="1"/>
  <c r="DJ5" i="18"/>
  <c r="BR5" i="18"/>
  <c r="AA5" i="18"/>
  <c r="DJ4" i="18"/>
  <c r="DJ40" i="18" s="1"/>
  <c r="BR4" i="18"/>
  <c r="BR40" i="18" s="1"/>
  <c r="BQ4" i="18"/>
  <c r="BQ40" i="18" s="1"/>
  <c r="AA4" i="18"/>
  <c r="AA40" i="18" s="1"/>
  <c r="DJ3" i="18"/>
  <c r="DJ32" i="18" s="1"/>
  <c r="BR3" i="18"/>
  <c r="BR32" i="18" s="1"/>
  <c r="AA3" i="18"/>
  <c r="AA32" i="18" s="1"/>
  <c r="DJ2" i="18"/>
  <c r="DJ38" i="18" s="1"/>
  <c r="BR2" i="18"/>
  <c r="BR38" i="18" s="1"/>
  <c r="AA2" i="18"/>
  <c r="AA38" i="18" s="1"/>
  <c r="AN30" i="5"/>
  <c r="AN35" i="5" s="1"/>
  <c r="AE30" i="5"/>
  <c r="AE35" i="5" s="1"/>
  <c r="Y30" i="5"/>
  <c r="Y35" i="5" s="1"/>
  <c r="R30" i="5"/>
  <c r="R35" i="5" s="1"/>
  <c r="Q30" i="5"/>
  <c r="Q35" i="5" s="1"/>
  <c r="P30" i="5"/>
  <c r="P35" i="5" s="1"/>
  <c r="O30" i="5"/>
  <c r="O35" i="5" s="1"/>
  <c r="N30" i="5"/>
  <c r="N35" i="5" s="1"/>
  <c r="E30" i="5"/>
  <c r="E35" i="5" s="1"/>
  <c r="AN29" i="5"/>
  <c r="AE29" i="5"/>
  <c r="Y29" i="5"/>
  <c r="R29" i="5"/>
  <c r="Q29" i="5"/>
  <c r="P29" i="5"/>
  <c r="O29" i="5"/>
  <c r="N29" i="5"/>
  <c r="E29" i="5"/>
  <c r="AN28" i="5"/>
  <c r="AN43" i="5" s="1"/>
  <c r="AE28" i="5"/>
  <c r="AE43" i="5" s="1"/>
  <c r="Y28" i="5"/>
  <c r="Y43" i="5" s="1"/>
  <c r="R28" i="5"/>
  <c r="R43" i="5" s="1"/>
  <c r="Q28" i="5"/>
  <c r="Q43" i="5" s="1"/>
  <c r="P28" i="5"/>
  <c r="P43" i="5" s="1"/>
  <c r="O28" i="5"/>
  <c r="O43" i="5" s="1"/>
  <c r="N28" i="5"/>
  <c r="N43" i="5" s="1"/>
  <c r="E28" i="5"/>
  <c r="E43" i="5" s="1"/>
  <c r="AN27" i="5"/>
  <c r="AE27" i="5"/>
  <c r="Y27" i="5"/>
  <c r="R27" i="5"/>
  <c r="Q27" i="5"/>
  <c r="P27" i="5"/>
  <c r="O27" i="5"/>
  <c r="N27" i="5"/>
  <c r="E27" i="5"/>
  <c r="AN26" i="5"/>
  <c r="AN36" i="5" s="1"/>
  <c r="AE26" i="5"/>
  <c r="AE36" i="5" s="1"/>
  <c r="Y26" i="5"/>
  <c r="Y36" i="5" s="1"/>
  <c r="R26" i="5"/>
  <c r="R36" i="5" s="1"/>
  <c r="Q26" i="5"/>
  <c r="Q36" i="5" s="1"/>
  <c r="P26" i="5"/>
  <c r="P36" i="5" s="1"/>
  <c r="O26" i="5"/>
  <c r="O36" i="5" s="1"/>
  <c r="N26" i="5"/>
  <c r="N36" i="5" s="1"/>
  <c r="E26" i="5"/>
  <c r="E36" i="5" s="1"/>
  <c r="AN25" i="5"/>
  <c r="Y25" i="5"/>
  <c r="R25" i="5"/>
  <c r="Q25" i="5"/>
  <c r="P25" i="5"/>
  <c r="O25" i="5"/>
  <c r="N25" i="5"/>
  <c r="E25" i="5"/>
  <c r="AN24" i="5"/>
  <c r="AE24" i="5"/>
  <c r="Y24" i="5"/>
  <c r="R24" i="5"/>
  <c r="Q24" i="5"/>
  <c r="P24" i="5"/>
  <c r="O24" i="5"/>
  <c r="N24" i="5"/>
  <c r="E24" i="5"/>
  <c r="AN23" i="5"/>
  <c r="AN49" i="5" s="1"/>
  <c r="Y23" i="5"/>
  <c r="Y49" i="5" s="1"/>
  <c r="R23" i="5"/>
  <c r="R49" i="5" s="1"/>
  <c r="Q23" i="5"/>
  <c r="Q49" i="5" s="1"/>
  <c r="P23" i="5"/>
  <c r="P49" i="5" s="1"/>
  <c r="O23" i="5"/>
  <c r="O49" i="5" s="1"/>
  <c r="N23" i="5"/>
  <c r="N49" i="5" s="1"/>
  <c r="E23" i="5"/>
  <c r="E49" i="5" s="1"/>
  <c r="AN22" i="5"/>
  <c r="AN37" i="5" s="1"/>
  <c r="AE22" i="5"/>
  <c r="AE37" i="5" s="1"/>
  <c r="Y22" i="5"/>
  <c r="Y37" i="5" s="1"/>
  <c r="R22" i="5"/>
  <c r="R37" i="5" s="1"/>
  <c r="Q22" i="5"/>
  <c r="Q37" i="5" s="1"/>
  <c r="P22" i="5"/>
  <c r="P37" i="5" s="1"/>
  <c r="O22" i="5"/>
  <c r="O37" i="5" s="1"/>
  <c r="N22" i="5"/>
  <c r="N37" i="5" s="1"/>
  <c r="E22" i="5"/>
  <c r="E37" i="5" s="1"/>
  <c r="AN21" i="5"/>
  <c r="AE21" i="5"/>
  <c r="Y21" i="5"/>
  <c r="R21" i="5"/>
  <c r="Q21" i="5"/>
  <c r="P21" i="5"/>
  <c r="O21" i="5"/>
  <c r="N21" i="5"/>
  <c r="E21" i="5"/>
  <c r="AN20" i="5"/>
  <c r="AE20" i="5"/>
  <c r="Y20" i="5"/>
  <c r="R20" i="5"/>
  <c r="Q20" i="5"/>
  <c r="P20" i="5"/>
  <c r="O20" i="5"/>
  <c r="N20" i="5"/>
  <c r="E20" i="5"/>
  <c r="AN19" i="5"/>
  <c r="AN42" i="5" s="1"/>
  <c r="AE19" i="5"/>
  <c r="AE42" i="5" s="1"/>
  <c r="Y19" i="5"/>
  <c r="Y42" i="5" s="1"/>
  <c r="R19" i="5"/>
  <c r="R42" i="5" s="1"/>
  <c r="Q19" i="5"/>
  <c r="Q42" i="5" s="1"/>
  <c r="P19" i="5"/>
  <c r="P42" i="5" s="1"/>
  <c r="O19" i="5"/>
  <c r="O42" i="5" s="1"/>
  <c r="N19" i="5"/>
  <c r="N42" i="5" s="1"/>
  <c r="E19" i="5"/>
  <c r="E42" i="5" s="1"/>
  <c r="AN18" i="5"/>
  <c r="AE18" i="5"/>
  <c r="Y18" i="5"/>
  <c r="R18" i="5"/>
  <c r="Q18" i="5"/>
  <c r="P18" i="5"/>
  <c r="O18" i="5"/>
  <c r="N18" i="5"/>
  <c r="E18" i="5"/>
  <c r="AN17" i="5"/>
  <c r="AE17" i="5"/>
  <c r="Y17" i="5"/>
  <c r="R17" i="5"/>
  <c r="Q17" i="5"/>
  <c r="P17" i="5"/>
  <c r="O17" i="5"/>
  <c r="N17" i="5"/>
  <c r="E17" i="5"/>
  <c r="AN16" i="5"/>
  <c r="AE16" i="5"/>
  <c r="Y16" i="5"/>
  <c r="R16" i="5"/>
  <c r="Q16" i="5"/>
  <c r="P16" i="5"/>
  <c r="O16" i="5"/>
  <c r="N16" i="5"/>
  <c r="E16" i="5"/>
  <c r="AN15" i="5"/>
  <c r="AN44" i="5" s="1"/>
  <c r="AE15" i="5"/>
  <c r="AE44" i="5" s="1"/>
  <c r="Y15" i="5"/>
  <c r="Y44" i="5" s="1"/>
  <c r="R15" i="5"/>
  <c r="R44" i="5" s="1"/>
  <c r="Q15" i="5"/>
  <c r="Q44" i="5" s="1"/>
  <c r="P15" i="5"/>
  <c r="P44" i="5" s="1"/>
  <c r="O15" i="5"/>
  <c r="O44" i="5" s="1"/>
  <c r="N15" i="5"/>
  <c r="N44" i="5" s="1"/>
  <c r="E15" i="5"/>
  <c r="E44" i="5" s="1"/>
  <c r="AN14" i="5"/>
  <c r="AN34" i="5" s="1"/>
  <c r="AE14" i="5"/>
  <c r="AE34" i="5" s="1"/>
  <c r="Y14" i="5"/>
  <c r="Y34" i="5" s="1"/>
  <c r="R14" i="5"/>
  <c r="R34" i="5" s="1"/>
  <c r="Q14" i="5"/>
  <c r="Q34" i="5" s="1"/>
  <c r="P14" i="5"/>
  <c r="P34" i="5" s="1"/>
  <c r="O14" i="5"/>
  <c r="O34" i="5" s="1"/>
  <c r="N14" i="5"/>
  <c r="N34" i="5" s="1"/>
  <c r="E14" i="5"/>
  <c r="E34" i="5" s="1"/>
  <c r="AN13" i="5"/>
  <c r="AN33" i="5" s="1"/>
  <c r="AE13" i="5"/>
  <c r="AE33" i="5" s="1"/>
  <c r="Y13" i="5"/>
  <c r="Y33" i="5" s="1"/>
  <c r="R13" i="5"/>
  <c r="R33" i="5" s="1"/>
  <c r="Q13" i="5"/>
  <c r="Q33" i="5" s="1"/>
  <c r="P13" i="5"/>
  <c r="P33" i="5" s="1"/>
  <c r="O13" i="5"/>
  <c r="O33" i="5" s="1"/>
  <c r="N13" i="5"/>
  <c r="N33" i="5" s="1"/>
  <c r="E13" i="5"/>
  <c r="E33" i="5" s="1"/>
  <c r="AN12" i="5"/>
  <c r="AE12" i="5"/>
  <c r="Y12" i="5"/>
  <c r="R12" i="5"/>
  <c r="Q12" i="5"/>
  <c r="P12" i="5"/>
  <c r="O12" i="5"/>
  <c r="N12" i="5"/>
  <c r="E12" i="5"/>
  <c r="AN11" i="5"/>
  <c r="AN39" i="5" s="1"/>
  <c r="AE11" i="5"/>
  <c r="AE39" i="5" s="1"/>
  <c r="Y11" i="5"/>
  <c r="Y39" i="5" s="1"/>
  <c r="R11" i="5"/>
  <c r="R39" i="5" s="1"/>
  <c r="Q11" i="5"/>
  <c r="Q39" i="5" s="1"/>
  <c r="P11" i="5"/>
  <c r="P39" i="5" s="1"/>
  <c r="O11" i="5"/>
  <c r="O39" i="5" s="1"/>
  <c r="N11" i="5"/>
  <c r="N39" i="5" s="1"/>
  <c r="E11" i="5"/>
  <c r="E39" i="5" s="1"/>
  <c r="AN10" i="5"/>
  <c r="AN46" i="5" s="1"/>
  <c r="AE10" i="5"/>
  <c r="AE46" i="5" s="1"/>
  <c r="Y10" i="5"/>
  <c r="Y46" i="5" s="1"/>
  <c r="R10" i="5"/>
  <c r="R46" i="5" s="1"/>
  <c r="Q10" i="5"/>
  <c r="Q46" i="5" s="1"/>
  <c r="P10" i="5"/>
  <c r="P46" i="5" s="1"/>
  <c r="O10" i="5"/>
  <c r="O46" i="5" s="1"/>
  <c r="N10" i="5"/>
  <c r="N46" i="5" s="1"/>
  <c r="E10" i="5"/>
  <c r="E46" i="5" s="1"/>
  <c r="AN9" i="5"/>
  <c r="AE9" i="5"/>
  <c r="Y9" i="5"/>
  <c r="R9" i="5"/>
  <c r="Q9" i="5"/>
  <c r="P9" i="5"/>
  <c r="O9" i="5"/>
  <c r="N9" i="5"/>
  <c r="E9" i="5"/>
  <c r="AN8" i="5"/>
  <c r="AN41" i="5" s="1"/>
  <c r="AE8" i="5"/>
  <c r="AE41" i="5" s="1"/>
  <c r="Y8" i="5"/>
  <c r="Y41" i="5" s="1"/>
  <c r="R8" i="5"/>
  <c r="R41" i="5" s="1"/>
  <c r="Q8" i="5"/>
  <c r="Q41" i="5" s="1"/>
  <c r="P8" i="5"/>
  <c r="P41" i="5" s="1"/>
  <c r="O8" i="5"/>
  <c r="O41" i="5" s="1"/>
  <c r="N8" i="5"/>
  <c r="N41" i="5" s="1"/>
  <c r="E8" i="5"/>
  <c r="E41" i="5" s="1"/>
  <c r="AN7" i="5"/>
  <c r="AE7" i="5"/>
  <c r="Y7" i="5"/>
  <c r="R7" i="5"/>
  <c r="Q7" i="5"/>
  <c r="P7" i="5"/>
  <c r="O7" i="5"/>
  <c r="N7" i="5"/>
  <c r="E7" i="5"/>
  <c r="AN6" i="5"/>
  <c r="AN47" i="5" s="1"/>
  <c r="AN45" i="5" s="1"/>
  <c r="AE6" i="5"/>
  <c r="AE47" i="5" s="1"/>
  <c r="Y6" i="5"/>
  <c r="Y47" i="5" s="1"/>
  <c r="R6" i="5"/>
  <c r="R47" i="5" s="1"/>
  <c r="Q6" i="5"/>
  <c r="Q47" i="5" s="1"/>
  <c r="Q45" i="5" s="1"/>
  <c r="P6" i="5"/>
  <c r="P47" i="5" s="1"/>
  <c r="O6" i="5"/>
  <c r="O47" i="5" s="1"/>
  <c r="N6" i="5"/>
  <c r="N47" i="5" s="1"/>
  <c r="E6" i="5"/>
  <c r="E47" i="5" s="1"/>
  <c r="AN5" i="5"/>
  <c r="AE5" i="5"/>
  <c r="Y5" i="5"/>
  <c r="R5" i="5"/>
  <c r="Q5" i="5"/>
  <c r="P5" i="5"/>
  <c r="O5" i="5"/>
  <c r="N5" i="5"/>
  <c r="E5" i="5"/>
  <c r="AN4" i="5"/>
  <c r="AN40" i="5" s="1"/>
  <c r="AE4" i="5"/>
  <c r="AE40" i="5" s="1"/>
  <c r="Y4" i="5"/>
  <c r="Y40" i="5" s="1"/>
  <c r="R4" i="5"/>
  <c r="R40" i="5" s="1"/>
  <c r="Q4" i="5"/>
  <c r="Q40" i="5" s="1"/>
  <c r="P4" i="5"/>
  <c r="P40" i="5" s="1"/>
  <c r="O4" i="5"/>
  <c r="O40" i="5" s="1"/>
  <c r="N4" i="5"/>
  <c r="N40" i="5" s="1"/>
  <c r="E4" i="5"/>
  <c r="E40" i="5" s="1"/>
  <c r="AN3" i="5"/>
  <c r="AN32" i="5" s="1"/>
  <c r="AE3" i="5"/>
  <c r="AE32" i="5" s="1"/>
  <c r="Y3" i="5"/>
  <c r="Y32" i="5" s="1"/>
  <c r="R3" i="5"/>
  <c r="R32" i="5" s="1"/>
  <c r="Q3" i="5"/>
  <c r="Q32" i="5" s="1"/>
  <c r="P3" i="5"/>
  <c r="P32" i="5" s="1"/>
  <c r="O3" i="5"/>
  <c r="O32" i="5" s="1"/>
  <c r="N3" i="5"/>
  <c r="N32" i="5" s="1"/>
  <c r="E3" i="5"/>
  <c r="E32" i="5" s="1"/>
  <c r="AN2" i="5"/>
  <c r="AN38" i="5" s="1"/>
  <c r="AE2" i="5"/>
  <c r="AE38" i="5" s="1"/>
  <c r="Y2" i="5"/>
  <c r="Y38" i="5" s="1"/>
  <c r="R2" i="5"/>
  <c r="R38" i="5" s="1"/>
  <c r="Q2" i="5"/>
  <c r="Q38" i="5" s="1"/>
  <c r="P2" i="5"/>
  <c r="P38" i="5" s="1"/>
  <c r="O2" i="5"/>
  <c r="O38" i="5" s="1"/>
  <c r="N2" i="5"/>
  <c r="N38" i="5" s="1"/>
  <c r="E2" i="5"/>
  <c r="E38" i="5" s="1"/>
  <c r="U30" i="15"/>
  <c r="R30" i="15"/>
  <c r="M30" i="15"/>
  <c r="K30" i="15"/>
  <c r="J30" i="15"/>
  <c r="I30" i="15"/>
  <c r="H30" i="15"/>
  <c r="G30" i="15"/>
  <c r="E30" i="15"/>
  <c r="U29" i="15"/>
  <c r="R29" i="15"/>
  <c r="M29" i="15"/>
  <c r="K29" i="15"/>
  <c r="J29" i="15"/>
  <c r="I29" i="15"/>
  <c r="H29" i="15"/>
  <c r="G29" i="15"/>
  <c r="E29" i="15"/>
  <c r="U28" i="15"/>
  <c r="R28" i="15"/>
  <c r="M28" i="15"/>
  <c r="K28" i="15"/>
  <c r="J28" i="15"/>
  <c r="I28" i="15"/>
  <c r="H28" i="15"/>
  <c r="G28" i="15"/>
  <c r="E28" i="15"/>
  <c r="U27" i="15"/>
  <c r="R27" i="15"/>
  <c r="M27" i="15"/>
  <c r="K27" i="15"/>
  <c r="J27" i="15"/>
  <c r="I27" i="15"/>
  <c r="H27" i="15"/>
  <c r="G27" i="15"/>
  <c r="E27" i="15"/>
  <c r="U26" i="15"/>
  <c r="R26" i="15"/>
  <c r="M26" i="15"/>
  <c r="K26" i="15"/>
  <c r="J26" i="15"/>
  <c r="I26" i="15"/>
  <c r="H26" i="15"/>
  <c r="G26" i="15"/>
  <c r="E26" i="15"/>
  <c r="U25" i="15"/>
  <c r="R25" i="15"/>
  <c r="M25" i="15"/>
  <c r="K25" i="15"/>
  <c r="J25" i="15"/>
  <c r="I25" i="15"/>
  <c r="H25" i="15"/>
  <c r="G25" i="15"/>
  <c r="E25" i="15"/>
  <c r="U24" i="15"/>
  <c r="R24" i="15"/>
  <c r="M24" i="15"/>
  <c r="K24" i="15"/>
  <c r="J24" i="15"/>
  <c r="I24" i="15"/>
  <c r="H24" i="15"/>
  <c r="G24" i="15"/>
  <c r="E24" i="15"/>
  <c r="U23" i="15"/>
  <c r="R23" i="15"/>
  <c r="M23" i="15"/>
  <c r="K23" i="15"/>
  <c r="J23" i="15"/>
  <c r="I23" i="15"/>
  <c r="H23" i="15"/>
  <c r="G23" i="15"/>
  <c r="E23" i="15"/>
  <c r="U22" i="15"/>
  <c r="R22" i="15"/>
  <c r="M22" i="15"/>
  <c r="K22" i="15"/>
  <c r="J22" i="15"/>
  <c r="I22" i="15"/>
  <c r="H22" i="15"/>
  <c r="G22" i="15"/>
  <c r="E22" i="15"/>
  <c r="U21" i="15"/>
  <c r="R21" i="15"/>
  <c r="M21" i="15"/>
  <c r="K21" i="15"/>
  <c r="J21" i="15"/>
  <c r="I21" i="15"/>
  <c r="H21" i="15"/>
  <c r="G21" i="15"/>
  <c r="E21" i="15"/>
  <c r="U20" i="15"/>
  <c r="R20" i="15"/>
  <c r="M20" i="15"/>
  <c r="K20" i="15"/>
  <c r="J20" i="15"/>
  <c r="I20" i="15"/>
  <c r="H20" i="15"/>
  <c r="G20" i="15"/>
  <c r="E20" i="15"/>
  <c r="U19" i="15"/>
  <c r="R19" i="15"/>
  <c r="M19" i="15"/>
  <c r="K19" i="15"/>
  <c r="J19" i="15"/>
  <c r="I19" i="15"/>
  <c r="H19" i="15"/>
  <c r="G19" i="15"/>
  <c r="E19" i="15"/>
  <c r="U18" i="15"/>
  <c r="R18" i="15"/>
  <c r="M18" i="15"/>
  <c r="K18" i="15"/>
  <c r="J18" i="15"/>
  <c r="I18" i="15"/>
  <c r="H18" i="15"/>
  <c r="G18" i="15"/>
  <c r="E18" i="15"/>
  <c r="U17" i="15"/>
  <c r="R17" i="15"/>
  <c r="M17" i="15"/>
  <c r="K17" i="15"/>
  <c r="J17" i="15"/>
  <c r="I17" i="15"/>
  <c r="H17" i="15"/>
  <c r="G17" i="15"/>
  <c r="E17" i="15"/>
  <c r="U16" i="15"/>
  <c r="R16" i="15"/>
  <c r="M16" i="15"/>
  <c r="K16" i="15"/>
  <c r="J16" i="15"/>
  <c r="I16" i="15"/>
  <c r="H16" i="15"/>
  <c r="G16" i="15"/>
  <c r="E16" i="15"/>
  <c r="U15" i="15"/>
  <c r="R15" i="15"/>
  <c r="M15" i="15"/>
  <c r="K15" i="15"/>
  <c r="J15" i="15"/>
  <c r="I15" i="15"/>
  <c r="H15" i="15"/>
  <c r="G15" i="15"/>
  <c r="E15" i="15"/>
  <c r="U14" i="15"/>
  <c r="R14" i="15"/>
  <c r="M14" i="15"/>
  <c r="K14" i="15"/>
  <c r="J14" i="15"/>
  <c r="I14" i="15"/>
  <c r="H14" i="15"/>
  <c r="G14" i="15"/>
  <c r="E14" i="15"/>
  <c r="U13" i="15"/>
  <c r="R13" i="15"/>
  <c r="M13" i="15"/>
  <c r="K13" i="15"/>
  <c r="J13" i="15"/>
  <c r="I13" i="15"/>
  <c r="H13" i="15"/>
  <c r="G13" i="15"/>
  <c r="E13" i="15"/>
  <c r="U12" i="15"/>
  <c r="R12" i="15"/>
  <c r="M12" i="15"/>
  <c r="K12" i="15"/>
  <c r="J12" i="15"/>
  <c r="I12" i="15"/>
  <c r="H12" i="15"/>
  <c r="G12" i="15"/>
  <c r="E12" i="15"/>
  <c r="U11" i="15"/>
  <c r="R11" i="15"/>
  <c r="M11" i="15"/>
  <c r="K11" i="15"/>
  <c r="J11" i="15"/>
  <c r="I11" i="15"/>
  <c r="H11" i="15"/>
  <c r="G11" i="15"/>
  <c r="E11" i="15"/>
  <c r="U10" i="15"/>
  <c r="R10" i="15"/>
  <c r="M10" i="15"/>
  <c r="K10" i="15"/>
  <c r="J10" i="15"/>
  <c r="I10" i="15"/>
  <c r="H10" i="15"/>
  <c r="G10" i="15"/>
  <c r="E10" i="15"/>
  <c r="U9" i="15"/>
  <c r="R9" i="15"/>
  <c r="M9" i="15"/>
  <c r="K9" i="15"/>
  <c r="J9" i="15"/>
  <c r="I9" i="15"/>
  <c r="H9" i="15"/>
  <c r="G9" i="15"/>
  <c r="E9" i="15"/>
  <c r="U8" i="15"/>
  <c r="R8" i="15"/>
  <c r="M8" i="15"/>
  <c r="K8" i="15"/>
  <c r="J8" i="15"/>
  <c r="I8" i="15"/>
  <c r="H8" i="15"/>
  <c r="G8" i="15"/>
  <c r="E8" i="15"/>
  <c r="U7" i="15"/>
  <c r="R7" i="15"/>
  <c r="M7" i="15"/>
  <c r="K7" i="15"/>
  <c r="J7" i="15"/>
  <c r="I7" i="15"/>
  <c r="H7" i="15"/>
  <c r="G7" i="15"/>
  <c r="E7" i="15"/>
  <c r="U6" i="15"/>
  <c r="R6" i="15"/>
  <c r="M6" i="15"/>
  <c r="K6" i="15"/>
  <c r="J6" i="15"/>
  <c r="I6" i="15"/>
  <c r="H6" i="15"/>
  <c r="G6" i="15"/>
  <c r="E6" i="15"/>
  <c r="U5" i="15"/>
  <c r="R5" i="15"/>
  <c r="M5" i="15"/>
  <c r="K5" i="15"/>
  <c r="J5" i="15"/>
  <c r="I5" i="15"/>
  <c r="H5" i="15"/>
  <c r="G5" i="15"/>
  <c r="E5" i="15"/>
  <c r="U4" i="15"/>
  <c r="R4" i="15"/>
  <c r="M4" i="15"/>
  <c r="K4" i="15"/>
  <c r="J4" i="15"/>
  <c r="I4" i="15"/>
  <c r="H4" i="15"/>
  <c r="G4" i="15"/>
  <c r="E4" i="15"/>
  <c r="U3" i="15"/>
  <c r="R3" i="15"/>
  <c r="M3" i="15"/>
  <c r="K3" i="15"/>
  <c r="J3" i="15"/>
  <c r="I3" i="15"/>
  <c r="H3" i="15"/>
  <c r="G3" i="15"/>
  <c r="E3" i="15"/>
  <c r="U2" i="15"/>
  <c r="R2" i="15"/>
  <c r="M2" i="15"/>
  <c r="K2" i="15"/>
  <c r="J2" i="15"/>
  <c r="I2" i="15"/>
  <c r="H2" i="15"/>
  <c r="G2" i="15"/>
  <c r="E2" i="15"/>
  <c r="BA30" i="17"/>
  <c r="AF30" i="17"/>
  <c r="BA29" i="17"/>
  <c r="AF29" i="17"/>
  <c r="BA28" i="17"/>
  <c r="AF28" i="17"/>
  <c r="BA27" i="17"/>
  <c r="AF27" i="17"/>
  <c r="BA26" i="17"/>
  <c r="AF26" i="17"/>
  <c r="BA25" i="17"/>
  <c r="BA24" i="17"/>
  <c r="AF24" i="17"/>
  <c r="BA23" i="17"/>
  <c r="BA22" i="17"/>
  <c r="AF22" i="17"/>
  <c r="BA21" i="17"/>
  <c r="AF21" i="17"/>
  <c r="BA20" i="17"/>
  <c r="AF20" i="17"/>
  <c r="BA19" i="17"/>
  <c r="AF19" i="17"/>
  <c r="BA18" i="17"/>
  <c r="AF18" i="17"/>
  <c r="BA17" i="17"/>
  <c r="AF17" i="17"/>
  <c r="BA16" i="17"/>
  <c r="AF16" i="17"/>
  <c r="BA15" i="17"/>
  <c r="AF15" i="17"/>
  <c r="BA14" i="17"/>
  <c r="AF14" i="17"/>
  <c r="BA13" i="17"/>
  <c r="AF13" i="17"/>
  <c r="BA12" i="17"/>
  <c r="AF12" i="17"/>
  <c r="BA11" i="17"/>
  <c r="AF11" i="17"/>
  <c r="BA10" i="17"/>
  <c r="AF10" i="17"/>
  <c r="BA9" i="17"/>
  <c r="AF9" i="17"/>
  <c r="BA8" i="17"/>
  <c r="AF8" i="17"/>
  <c r="BA7" i="17"/>
  <c r="AF7" i="17"/>
  <c r="BA6" i="17"/>
  <c r="AF6" i="17"/>
  <c r="BA5" i="17"/>
  <c r="AF5" i="17"/>
  <c r="BA4" i="17"/>
  <c r="AF4" i="17"/>
  <c r="BA3" i="17"/>
  <c r="AF3" i="17"/>
  <c r="BA2" i="17"/>
  <c r="AF2" i="17"/>
  <c r="V30" i="4"/>
  <c r="R30" i="4"/>
  <c r="O30" i="4"/>
  <c r="V29" i="4"/>
  <c r="R29" i="4"/>
  <c r="O29" i="4"/>
  <c r="V28" i="4"/>
  <c r="R28" i="4"/>
  <c r="O28" i="4"/>
  <c r="V27" i="4"/>
  <c r="R27" i="4"/>
  <c r="O27" i="4"/>
  <c r="V26" i="4"/>
  <c r="R26" i="4"/>
  <c r="O26" i="4"/>
  <c r="V25" i="4"/>
  <c r="O25" i="4"/>
  <c r="V24" i="4"/>
  <c r="R24" i="4"/>
  <c r="O24" i="4"/>
  <c r="V23" i="4"/>
  <c r="O23" i="4"/>
  <c r="V22" i="4"/>
  <c r="R22" i="4"/>
  <c r="O22" i="4"/>
  <c r="V21" i="4"/>
  <c r="R21" i="4"/>
  <c r="O21" i="4"/>
  <c r="V20" i="4"/>
  <c r="R20" i="4"/>
  <c r="O20" i="4"/>
  <c r="V19" i="4"/>
  <c r="R19" i="4"/>
  <c r="O19" i="4"/>
  <c r="V18" i="4"/>
  <c r="R18" i="4"/>
  <c r="O18" i="4"/>
  <c r="V17" i="4"/>
  <c r="R17" i="4"/>
  <c r="O17" i="4"/>
  <c r="V16" i="4"/>
  <c r="R16" i="4"/>
  <c r="O16" i="4"/>
  <c r="V15" i="4"/>
  <c r="R15" i="4"/>
  <c r="O15" i="4"/>
  <c r="V14" i="4"/>
  <c r="R14" i="4"/>
  <c r="O14" i="4"/>
  <c r="V13" i="4"/>
  <c r="R13" i="4"/>
  <c r="O13" i="4"/>
  <c r="V12" i="4"/>
  <c r="R12" i="4"/>
  <c r="O12" i="4"/>
  <c r="V11" i="4"/>
  <c r="R11" i="4"/>
  <c r="O11" i="4"/>
  <c r="V10" i="4"/>
  <c r="R10" i="4"/>
  <c r="O10" i="4"/>
  <c r="V9" i="4"/>
  <c r="R9" i="4"/>
  <c r="O9" i="4"/>
  <c r="V8" i="4"/>
  <c r="R8" i="4"/>
  <c r="O8" i="4"/>
  <c r="V7" i="4"/>
  <c r="R7" i="4"/>
  <c r="O7" i="4"/>
  <c r="V6" i="4"/>
  <c r="R6" i="4"/>
  <c r="O6" i="4"/>
  <c r="V5" i="4"/>
  <c r="R5" i="4"/>
  <c r="O5" i="4"/>
  <c r="V4" i="4"/>
  <c r="R4" i="4"/>
  <c r="O4" i="4"/>
  <c r="V3" i="4"/>
  <c r="R3" i="4"/>
  <c r="O3" i="4"/>
  <c r="V2" i="4"/>
  <c r="R2" i="4"/>
  <c r="O2" i="4"/>
  <c r="X24" i="26"/>
  <c r="V22" i="26"/>
  <c r="AA21" i="26"/>
  <c r="S21" i="26"/>
  <c r="O18" i="26"/>
  <c r="X17" i="26"/>
  <c r="V17" i="26"/>
  <c r="O16" i="26"/>
  <c r="AF13" i="26"/>
  <c r="X13" i="26"/>
  <c r="O13" i="26"/>
  <c r="G13" i="26"/>
  <c r="X12" i="26"/>
  <c r="O11" i="26"/>
  <c r="AO10" i="26"/>
  <c r="AL10" i="26"/>
  <c r="AA10" i="26"/>
  <c r="AW9" i="26"/>
  <c r="AO9" i="26"/>
  <c r="AL9" i="26"/>
  <c r="AW8" i="26"/>
  <c r="AO8" i="26"/>
  <c r="AJ8" i="26"/>
  <c r="AA8" i="26"/>
  <c r="AW7" i="26"/>
  <c r="AS7" i="26"/>
  <c r="AL7" i="26"/>
  <c r="AF7" i="26"/>
  <c r="AO6" i="26"/>
  <c r="AL6" i="26"/>
  <c r="AJ6" i="26"/>
  <c r="W6" i="26"/>
  <c r="AO5" i="26"/>
  <c r="AL5" i="26"/>
  <c r="AJ5" i="26"/>
  <c r="W5" i="26"/>
  <c r="AO4" i="26"/>
  <c r="AL4" i="26"/>
  <c r="AJ4" i="26"/>
  <c r="AC4" i="26"/>
  <c r="D4" i="26"/>
  <c r="AY3" i="26"/>
  <c r="AO3" i="26"/>
  <c r="AJ3" i="26"/>
  <c r="W3" i="26"/>
  <c r="S3" i="26"/>
  <c r="M3" i="26"/>
  <c r="K3" i="26"/>
  <c r="G3" i="26"/>
  <c r="F3" i="26"/>
  <c r="AY2" i="26"/>
  <c r="W2" i="26"/>
  <c r="S2" i="26"/>
  <c r="R2" i="26"/>
  <c r="M2" i="26"/>
  <c r="F2" i="26"/>
  <c r="E103" i="2"/>
  <c r="Y3" i="26" s="1"/>
  <c r="E100" i="2"/>
  <c r="X20" i="26" s="1"/>
  <c r="E97" i="2"/>
  <c r="W4" i="26" s="1"/>
  <c r="E94" i="2"/>
  <c r="Z29" i="26" s="1"/>
  <c r="E91" i="2"/>
  <c r="V19" i="26" s="1"/>
  <c r="E88" i="2"/>
  <c r="U7" i="26" s="1"/>
  <c r="E85" i="2"/>
  <c r="T7" i="26" s="1"/>
  <c r="E82" i="2"/>
  <c r="S20" i="26" s="1"/>
  <c r="E79" i="2"/>
  <c r="R8" i="26" s="1"/>
  <c r="E76" i="2"/>
  <c r="Q19" i="26" s="1"/>
  <c r="E73" i="2"/>
  <c r="P4" i="26" s="1"/>
  <c r="E70" i="2"/>
  <c r="O20" i="26" s="1"/>
  <c r="E67" i="2"/>
  <c r="N6" i="26" s="1"/>
  <c r="E64" i="2"/>
  <c r="M8" i="26" s="1"/>
  <c r="E61" i="2"/>
  <c r="L26" i="26" s="1"/>
  <c r="E58" i="2"/>
  <c r="K2" i="26" s="1"/>
  <c r="E55" i="2"/>
  <c r="AA20" i="26" s="1"/>
  <c r="E52" i="2"/>
  <c r="J7" i="26" s="1"/>
  <c r="E49" i="2"/>
  <c r="I7" i="26" s="1"/>
  <c r="E46" i="2"/>
  <c r="H7" i="26" s="1"/>
  <c r="E43" i="2"/>
  <c r="G21" i="26" s="1"/>
  <c r="E40" i="2"/>
  <c r="F7" i="26" s="1"/>
  <c r="E37" i="2"/>
  <c r="E18" i="26" s="1"/>
  <c r="E34" i="2"/>
  <c r="D7" i="26" s="1"/>
  <c r="E15" i="2"/>
  <c r="E12" i="2"/>
  <c r="E9" i="2"/>
  <c r="E8" i="2"/>
  <c r="H15" i="2"/>
  <c r="H12" i="2"/>
  <c r="H9" i="2"/>
  <c r="H8" i="2"/>
  <c r="N97" i="2"/>
  <c r="AX8" i="26" s="1"/>
  <c r="N94" i="2"/>
  <c r="AW24" i="26" s="1"/>
  <c r="N91" i="2"/>
  <c r="N88" i="2"/>
  <c r="AY6" i="26" s="1"/>
  <c r="N85" i="2"/>
  <c r="AU18" i="26" s="1"/>
  <c r="N82" i="2"/>
  <c r="AT9" i="26" s="1"/>
  <c r="N79" i="2"/>
  <c r="AS9" i="26" s="1"/>
  <c r="N76" i="2"/>
  <c r="AR25" i="26" s="1"/>
  <c r="N73" i="2"/>
  <c r="AQ7" i="26" s="1"/>
  <c r="N70" i="2"/>
  <c r="AP19" i="26" s="1"/>
  <c r="N67" i="2"/>
  <c r="AO7" i="26" s="1"/>
  <c r="N64" i="2"/>
  <c r="AN25" i="26" s="1"/>
  <c r="N61" i="2"/>
  <c r="AM6" i="26" s="1"/>
  <c r="N58" i="2"/>
  <c r="AL11" i="26" s="1"/>
  <c r="N55" i="2"/>
  <c r="AK18" i="26" s="1"/>
  <c r="N52" i="2"/>
  <c r="AJ2" i="26" s="1"/>
  <c r="N49" i="2"/>
  <c r="N46" i="2"/>
  <c r="N43" i="2"/>
  <c r="AH29" i="26" s="1"/>
  <c r="Q41" i="2"/>
  <c r="N40" i="2"/>
  <c r="AG7" i="26" s="1"/>
  <c r="Q38" i="2"/>
  <c r="N37" i="2"/>
  <c r="AF18" i="26" s="1"/>
  <c r="Q35" i="2"/>
  <c r="N34" i="2"/>
  <c r="AE7" i="26" s="1"/>
  <c r="Q32" i="2"/>
  <c r="N31" i="2"/>
  <c r="AD18" i="26" s="1"/>
  <c r="Q29" i="2"/>
  <c r="N28" i="2"/>
  <c r="AC8" i="26" s="1"/>
  <c r="Q26" i="2"/>
  <c r="Q23" i="2"/>
  <c r="Q20" i="2"/>
  <c r="Q17" i="2"/>
  <c r="K15" i="2"/>
  <c r="Q14" i="2"/>
  <c r="K12" i="2"/>
  <c r="K9" i="2"/>
  <c r="K8" i="2"/>
  <c r="AK6" i="37" l="1"/>
  <c r="AH6" i="37"/>
  <c r="AK2" i="37"/>
  <c r="AH2" i="37"/>
  <c r="AH13" i="37"/>
  <c r="AK13" i="37"/>
  <c r="AK17" i="37"/>
  <c r="AH17" i="37"/>
  <c r="AK21" i="37"/>
  <c r="AH21" i="37"/>
  <c r="AH25" i="37"/>
  <c r="AK25" i="37"/>
  <c r="AK29" i="37"/>
  <c r="AH29" i="37"/>
  <c r="AK9" i="37"/>
  <c r="AH9" i="37"/>
  <c r="K31" i="37"/>
  <c r="AK5" i="37"/>
  <c r="AH5" i="37"/>
  <c r="AH12" i="37"/>
  <c r="AK12" i="37"/>
  <c r="AK16" i="37"/>
  <c r="AH16" i="37"/>
  <c r="AK20" i="37"/>
  <c r="AH20" i="37"/>
  <c r="AH24" i="37"/>
  <c r="AK24" i="37"/>
  <c r="AK28" i="37"/>
  <c r="AH28" i="37"/>
  <c r="AK8" i="37"/>
  <c r="AH8" i="37"/>
  <c r="AK4" i="37"/>
  <c r="AH4" i="37"/>
  <c r="AH11" i="37"/>
  <c r="AK11" i="37"/>
  <c r="AK15" i="37"/>
  <c r="AH15" i="37"/>
  <c r="AK19" i="37"/>
  <c r="AH19" i="37"/>
  <c r="AH23" i="37"/>
  <c r="AK23" i="37"/>
  <c r="AH27" i="37"/>
  <c r="AK27" i="37"/>
  <c r="AK7" i="37"/>
  <c r="AH7" i="37"/>
  <c r="AH3" i="37"/>
  <c r="AK3" i="37"/>
  <c r="AH10" i="37"/>
  <c r="AK10" i="37"/>
  <c r="AH14" i="37"/>
  <c r="AK14" i="37"/>
  <c r="AK18" i="37"/>
  <c r="AH18" i="37"/>
  <c r="AK22" i="37"/>
  <c r="AH22" i="37"/>
  <c r="AH26" i="37"/>
  <c r="AK26" i="37"/>
  <c r="AK30" i="37"/>
  <c r="AH30" i="37"/>
  <c r="AG40" i="37"/>
  <c r="AG41" i="37"/>
  <c r="AG43" i="37"/>
  <c r="AG33" i="37"/>
  <c r="AG32" i="37"/>
  <c r="AG39" i="37"/>
  <c r="AG44" i="37"/>
  <c r="AG42" i="37"/>
  <c r="AG49" i="37"/>
  <c r="AG38" i="37"/>
  <c r="AG47" i="37"/>
  <c r="AG45" i="37" s="1"/>
  <c r="AG46" i="37"/>
  <c r="AG34" i="37"/>
  <c r="AG37" i="37"/>
  <c r="AG36" i="37"/>
  <c r="AG35" i="37"/>
  <c r="BR45" i="18"/>
  <c r="DJ31" i="18"/>
  <c r="K45" i="16"/>
  <c r="Q31" i="5"/>
  <c r="L31" i="37"/>
  <c r="M31" i="37"/>
  <c r="E45" i="5"/>
  <c r="Y60" i="5"/>
  <c r="Y74" i="5"/>
  <c r="AE55" i="5"/>
  <c r="AE69" i="5"/>
  <c r="AG53" i="37"/>
  <c r="AG67" i="37"/>
  <c r="AG9" i="26"/>
  <c r="P2" i="26"/>
  <c r="D3" i="26"/>
  <c r="AL3" i="26"/>
  <c r="AF4" i="26"/>
  <c r="AF5" i="26"/>
  <c r="AF6" i="26"/>
  <c r="AJ7" i="26"/>
  <c r="AG8" i="26"/>
  <c r="AJ9" i="26"/>
  <c r="AH10" i="26"/>
  <c r="AW12" i="26"/>
  <c r="X16" i="26"/>
  <c r="X21" i="26"/>
  <c r="O31" i="5"/>
  <c r="AN53" i="5"/>
  <c r="AN67" i="5"/>
  <c r="O59" i="5"/>
  <c r="O73" i="5"/>
  <c r="AN68" i="5"/>
  <c r="AN54" i="5"/>
  <c r="R60" i="5"/>
  <c r="R74" i="5"/>
  <c r="R58" i="5"/>
  <c r="R72" i="5"/>
  <c r="AN66" i="5"/>
  <c r="AN52" i="5"/>
  <c r="R70" i="5"/>
  <c r="R56" i="5"/>
  <c r="AN65" i="5"/>
  <c r="AN51" i="5"/>
  <c r="Y69" i="5"/>
  <c r="Y55" i="5"/>
  <c r="Q62" i="5"/>
  <c r="Q76" i="5"/>
  <c r="AA59" i="18"/>
  <c r="AA73" i="18"/>
  <c r="AA61" i="18"/>
  <c r="AA75" i="18"/>
  <c r="DJ65" i="18"/>
  <c r="DJ51" i="18"/>
  <c r="E31" i="37"/>
  <c r="V67" i="37"/>
  <c r="V53" i="37"/>
  <c r="E59" i="37"/>
  <c r="E73" i="37"/>
  <c r="V54" i="37"/>
  <c r="V68" i="37"/>
  <c r="M60" i="37"/>
  <c r="M74" i="37"/>
  <c r="M72" i="37"/>
  <c r="M58" i="37"/>
  <c r="V66" i="37"/>
  <c r="V52" i="37"/>
  <c r="M70" i="37"/>
  <c r="M56" i="37"/>
  <c r="V65" i="37"/>
  <c r="V51" i="37"/>
  <c r="M69" i="37"/>
  <c r="M55" i="37"/>
  <c r="V50" i="37"/>
  <c r="V64" i="37"/>
  <c r="E76" i="37"/>
  <c r="E62" i="37"/>
  <c r="V71" i="37"/>
  <c r="V57" i="37"/>
  <c r="Y72" i="5"/>
  <c r="Y58" i="5"/>
  <c r="AE74" i="5"/>
  <c r="AE60" i="5"/>
  <c r="Y62" i="5"/>
  <c r="Y76" i="5"/>
  <c r="O56" i="37"/>
  <c r="O70" i="37"/>
  <c r="R59" i="5"/>
  <c r="R73" i="5"/>
  <c r="O45" i="5"/>
  <c r="AN74" i="5"/>
  <c r="AN60" i="5"/>
  <c r="AN72" i="5"/>
  <c r="AN58" i="5"/>
  <c r="O61" i="5"/>
  <c r="O75" i="5"/>
  <c r="AN56" i="5"/>
  <c r="AN70" i="5"/>
  <c r="E64" i="5"/>
  <c r="E50" i="5"/>
  <c r="AE62" i="5"/>
  <c r="AE76" i="5"/>
  <c r="N57" i="5"/>
  <c r="N71" i="5"/>
  <c r="DJ59" i="18"/>
  <c r="DJ73" i="18"/>
  <c r="AA62" i="18"/>
  <c r="AA76" i="18"/>
  <c r="M73" i="37"/>
  <c r="M59" i="37"/>
  <c r="E45" i="37"/>
  <c r="V60" i="37"/>
  <c r="V74" i="37"/>
  <c r="V72" i="37"/>
  <c r="V58" i="37"/>
  <c r="E75" i="37"/>
  <c r="E61" i="37"/>
  <c r="V56" i="37"/>
  <c r="V70" i="37"/>
  <c r="V55" i="37"/>
  <c r="V69" i="37"/>
  <c r="M62" i="37"/>
  <c r="M76" i="37"/>
  <c r="N60" i="37"/>
  <c r="N74" i="37"/>
  <c r="AG51" i="37"/>
  <c r="AG65" i="37"/>
  <c r="Q59" i="5"/>
  <c r="Q73" i="5"/>
  <c r="AQ4" i="26"/>
  <c r="Y31" i="5"/>
  <c r="E67" i="5"/>
  <c r="E53" i="5"/>
  <c r="Y59" i="5"/>
  <c r="Y73" i="5"/>
  <c r="E54" i="5"/>
  <c r="E68" i="5"/>
  <c r="P45" i="5"/>
  <c r="E66" i="5"/>
  <c r="E52" i="5"/>
  <c r="P61" i="5"/>
  <c r="P75" i="5"/>
  <c r="E65" i="5"/>
  <c r="E51" i="5"/>
  <c r="N64" i="5"/>
  <c r="N50" i="5"/>
  <c r="AN76" i="5"/>
  <c r="AN62" i="5"/>
  <c r="O57" i="5"/>
  <c r="O71" i="5"/>
  <c r="BR76" i="18"/>
  <c r="BR62" i="18"/>
  <c r="N31" i="37"/>
  <c r="N59" i="37"/>
  <c r="N73" i="37"/>
  <c r="K45" i="37"/>
  <c r="AG60" i="37"/>
  <c r="AG74" i="37"/>
  <c r="AG58" i="37"/>
  <c r="AG72" i="37"/>
  <c r="K75" i="37"/>
  <c r="K61" i="37"/>
  <c r="AG56" i="37"/>
  <c r="AG70" i="37"/>
  <c r="AG55" i="37"/>
  <c r="AG69" i="37"/>
  <c r="N76" i="37"/>
  <c r="N62" i="37"/>
  <c r="Y70" i="5"/>
  <c r="Y56" i="5"/>
  <c r="BR75" i="18"/>
  <c r="BR61" i="18"/>
  <c r="N45" i="5"/>
  <c r="AP9" i="26"/>
  <c r="AC2" i="26"/>
  <c r="R3" i="26"/>
  <c r="F4" i="26"/>
  <c r="AY4" i="26"/>
  <c r="AY5" i="26"/>
  <c r="D8" i="26"/>
  <c r="G9" i="26"/>
  <c r="D10" i="26"/>
  <c r="X11" i="26"/>
  <c r="V14" i="26"/>
  <c r="AA18" i="26"/>
  <c r="D26" i="26"/>
  <c r="AE31" i="5"/>
  <c r="N67" i="5"/>
  <c r="N53" i="5"/>
  <c r="AE73" i="5"/>
  <c r="AE59" i="5"/>
  <c r="N68" i="5"/>
  <c r="N54" i="5"/>
  <c r="N66" i="5"/>
  <c r="N52" i="5"/>
  <c r="Q61" i="5"/>
  <c r="Q75" i="5"/>
  <c r="N65" i="5"/>
  <c r="N51" i="5"/>
  <c r="O64" i="5"/>
  <c r="O50" i="5"/>
  <c r="P57" i="5"/>
  <c r="P71" i="5"/>
  <c r="AA74" i="18"/>
  <c r="AA60" i="18"/>
  <c r="DJ76" i="18"/>
  <c r="DJ62" i="18"/>
  <c r="O31" i="37"/>
  <c r="O59" i="37"/>
  <c r="O73" i="37"/>
  <c r="L45" i="37"/>
  <c r="AJ74" i="37"/>
  <c r="AJ60" i="37"/>
  <c r="AJ72" i="37"/>
  <c r="AJ58" i="37"/>
  <c r="L75" i="37"/>
  <c r="L61" i="37"/>
  <c r="AJ70" i="37"/>
  <c r="AJ56" i="37"/>
  <c r="AJ55" i="37"/>
  <c r="AJ69" i="37"/>
  <c r="O62" i="37"/>
  <c r="O76" i="37"/>
  <c r="N67" i="3"/>
  <c r="AG54" i="37"/>
  <c r="AG68" i="37"/>
  <c r="AG52" i="37"/>
  <c r="AG66" i="37"/>
  <c r="AG50" i="37"/>
  <c r="AG64" i="37"/>
  <c r="AP7" i="26"/>
  <c r="AE70" i="5"/>
  <c r="AE56" i="5"/>
  <c r="AJ53" i="37"/>
  <c r="AJ67" i="37"/>
  <c r="O74" i="37"/>
  <c r="O60" i="37"/>
  <c r="AJ51" i="37"/>
  <c r="AJ65" i="37"/>
  <c r="AQ8" i="26"/>
  <c r="V23" i="26"/>
  <c r="AQ6" i="26"/>
  <c r="V18" i="26"/>
  <c r="AF2" i="26"/>
  <c r="G4" i="26"/>
  <c r="D5" i="26"/>
  <c r="D6" i="26"/>
  <c r="H8" i="26"/>
  <c r="H9" i="26"/>
  <c r="G10" i="26"/>
  <c r="AA11" i="26"/>
  <c r="X14" i="26"/>
  <c r="G19" i="26"/>
  <c r="AN31" i="5"/>
  <c r="O67" i="5"/>
  <c r="O53" i="5"/>
  <c r="AN73" i="5"/>
  <c r="AN59" i="5"/>
  <c r="O68" i="5"/>
  <c r="O54" i="5"/>
  <c r="R45" i="5"/>
  <c r="R31" i="5"/>
  <c r="O66" i="5"/>
  <c r="O52" i="5"/>
  <c r="R61" i="5"/>
  <c r="R75" i="5"/>
  <c r="O65" i="5"/>
  <c r="O51" i="5"/>
  <c r="E55" i="5"/>
  <c r="E69" i="5"/>
  <c r="P64" i="5"/>
  <c r="P50" i="5"/>
  <c r="Q57" i="5"/>
  <c r="Q71" i="5"/>
  <c r="AA53" i="18"/>
  <c r="AA67" i="18"/>
  <c r="BR74" i="18"/>
  <c r="BR60" i="18"/>
  <c r="AA58" i="18"/>
  <c r="AA72" i="18"/>
  <c r="V31" i="37"/>
  <c r="E67" i="37"/>
  <c r="E53" i="37"/>
  <c r="V59" i="37"/>
  <c r="V73" i="37"/>
  <c r="E68" i="37"/>
  <c r="E54" i="37"/>
  <c r="M45" i="37"/>
  <c r="E66" i="37"/>
  <c r="E52" i="37"/>
  <c r="M61" i="37"/>
  <c r="M75" i="37"/>
  <c r="E51" i="37"/>
  <c r="E65" i="37"/>
  <c r="E50" i="37"/>
  <c r="E64" i="37"/>
  <c r="V76" i="37"/>
  <c r="V62" i="37"/>
  <c r="E57" i="37"/>
  <c r="E71" i="37"/>
  <c r="DJ45" i="38"/>
  <c r="P59" i="5"/>
  <c r="P73" i="5"/>
  <c r="E75" i="5"/>
  <c r="E61" i="5"/>
  <c r="E57" i="5"/>
  <c r="E71" i="5"/>
  <c r="L59" i="37"/>
  <c r="L73" i="37"/>
  <c r="O58" i="37"/>
  <c r="O72" i="37"/>
  <c r="AJ64" i="37"/>
  <c r="AJ50" i="37"/>
  <c r="V2" i="26"/>
  <c r="AQ5" i="26"/>
  <c r="V3" i="26"/>
  <c r="M4" i="26"/>
  <c r="G5" i="26"/>
  <c r="G6" i="26"/>
  <c r="G7" i="26"/>
  <c r="I8" i="26"/>
  <c r="M9" i="26"/>
  <c r="I10" i="26"/>
  <c r="AF11" i="26"/>
  <c r="O15" i="26"/>
  <c r="O19" i="26"/>
  <c r="P67" i="5"/>
  <c r="P53" i="5"/>
  <c r="P68" i="5"/>
  <c r="P54" i="5"/>
  <c r="Y45" i="5"/>
  <c r="E74" i="5"/>
  <c r="E60" i="5"/>
  <c r="P31" i="5"/>
  <c r="E58" i="5"/>
  <c r="E72" i="5"/>
  <c r="P66" i="5"/>
  <c r="P52" i="5"/>
  <c r="Y61" i="5"/>
  <c r="Y75" i="5"/>
  <c r="E56" i="5"/>
  <c r="E70" i="5"/>
  <c r="P65" i="5"/>
  <c r="P51" i="5"/>
  <c r="N55" i="5"/>
  <c r="N69" i="5"/>
  <c r="Q64" i="5"/>
  <c r="Q50" i="5"/>
  <c r="R71" i="5"/>
  <c r="R57" i="5"/>
  <c r="BR67" i="18"/>
  <c r="BR53" i="18"/>
  <c r="AA54" i="18"/>
  <c r="AA68" i="18"/>
  <c r="DJ60" i="18"/>
  <c r="DJ74" i="18"/>
  <c r="BR58" i="18"/>
  <c r="BR72" i="18"/>
  <c r="AA56" i="18"/>
  <c r="AA70" i="18"/>
  <c r="AA69" i="18"/>
  <c r="AA55" i="18"/>
  <c r="K53" i="37"/>
  <c r="K67" i="37"/>
  <c r="AG59" i="37"/>
  <c r="AG73" i="37"/>
  <c r="K54" i="37"/>
  <c r="K68" i="37"/>
  <c r="N45" i="37"/>
  <c r="K52" i="37"/>
  <c r="K66" i="37"/>
  <c r="N61" i="37"/>
  <c r="N75" i="37"/>
  <c r="K65" i="37"/>
  <c r="K51" i="37"/>
  <c r="K50" i="37"/>
  <c r="K64" i="37"/>
  <c r="AG62" i="37"/>
  <c r="AG76" i="37"/>
  <c r="K71" i="37"/>
  <c r="K57" i="37"/>
  <c r="R62" i="5"/>
  <c r="R76" i="5"/>
  <c r="K76" i="37"/>
  <c r="K62" i="37"/>
  <c r="AQ3" i="26"/>
  <c r="AN69" i="5"/>
  <c r="AN55" i="5"/>
  <c r="DJ75" i="18"/>
  <c r="DJ61" i="18"/>
  <c r="L62" i="37"/>
  <c r="L76" i="37"/>
  <c r="AL2" i="26"/>
  <c r="R4" i="26"/>
  <c r="M5" i="26"/>
  <c r="M6" i="26"/>
  <c r="M7" i="26"/>
  <c r="R9" i="26"/>
  <c r="O10" i="26"/>
  <c r="V15" i="26"/>
  <c r="X19" i="26"/>
  <c r="Q67" i="5"/>
  <c r="Q53" i="5"/>
  <c r="Q68" i="5"/>
  <c r="Q54" i="5"/>
  <c r="AE45" i="5"/>
  <c r="N60" i="5"/>
  <c r="N74" i="5"/>
  <c r="N58" i="5"/>
  <c r="N72" i="5"/>
  <c r="Q66" i="5"/>
  <c r="Q52" i="5"/>
  <c r="AE61" i="5"/>
  <c r="AE75" i="5"/>
  <c r="N56" i="5"/>
  <c r="N70" i="5"/>
  <c r="Q65" i="5"/>
  <c r="Q51" i="5"/>
  <c r="O55" i="5"/>
  <c r="O69" i="5"/>
  <c r="R64" i="5"/>
  <c r="R50" i="5"/>
  <c r="E76" i="5"/>
  <c r="E62" i="5"/>
  <c r="Y71" i="5"/>
  <c r="Y57" i="5"/>
  <c r="DJ67" i="18"/>
  <c r="DJ53" i="18"/>
  <c r="BR68" i="18"/>
  <c r="BR54" i="18"/>
  <c r="DJ72" i="18"/>
  <c r="DJ58" i="18"/>
  <c r="BR70" i="18"/>
  <c r="BR56" i="18"/>
  <c r="BR69" i="18"/>
  <c r="BR55" i="18"/>
  <c r="AJ31" i="37"/>
  <c r="L67" i="37"/>
  <c r="L53" i="37"/>
  <c r="AJ59" i="37"/>
  <c r="AJ73" i="37"/>
  <c r="L68" i="37"/>
  <c r="L54" i="37"/>
  <c r="O45" i="37"/>
  <c r="L52" i="37"/>
  <c r="L66" i="37"/>
  <c r="O61" i="37"/>
  <c r="O75" i="37"/>
  <c r="L51" i="37"/>
  <c r="L65" i="37"/>
  <c r="L64" i="37"/>
  <c r="L50" i="37"/>
  <c r="AJ76" i="37"/>
  <c r="AJ62" i="37"/>
  <c r="L71" i="37"/>
  <c r="L57" i="37"/>
  <c r="N70" i="37"/>
  <c r="N56" i="37"/>
  <c r="AG57" i="37"/>
  <c r="AG71" i="37"/>
  <c r="N61" i="5"/>
  <c r="N75" i="5"/>
  <c r="BR73" i="18"/>
  <c r="BR59" i="18"/>
  <c r="AJ68" i="37"/>
  <c r="AJ54" i="37"/>
  <c r="AJ57" i="37"/>
  <c r="AJ71" i="37"/>
  <c r="G2" i="26"/>
  <c r="AO2" i="26"/>
  <c r="AC3" i="26"/>
  <c r="S4" i="26"/>
  <c r="R5" i="26"/>
  <c r="R6" i="26"/>
  <c r="R7" i="26"/>
  <c r="S8" i="26"/>
  <c r="T9" i="26"/>
  <c r="S10" i="26"/>
  <c r="AW11" i="26"/>
  <c r="AA15" i="26"/>
  <c r="V20" i="26"/>
  <c r="R67" i="5"/>
  <c r="R53" i="5"/>
  <c r="R68" i="5"/>
  <c r="R54" i="5"/>
  <c r="O60" i="5"/>
  <c r="O74" i="5"/>
  <c r="O58" i="5"/>
  <c r="O72" i="5"/>
  <c r="R66" i="5"/>
  <c r="R52" i="5"/>
  <c r="AN61" i="5"/>
  <c r="AN75" i="5"/>
  <c r="O56" i="5"/>
  <c r="O70" i="5"/>
  <c r="R51" i="5"/>
  <c r="R65" i="5"/>
  <c r="P55" i="5"/>
  <c r="P69" i="5"/>
  <c r="Y50" i="5"/>
  <c r="Y64" i="5"/>
  <c r="N76" i="5"/>
  <c r="N62" i="5"/>
  <c r="AE71" i="5"/>
  <c r="AE57" i="5"/>
  <c r="DJ68" i="18"/>
  <c r="DJ54" i="18"/>
  <c r="AA66" i="18"/>
  <c r="AA52" i="18"/>
  <c r="DJ70" i="18"/>
  <c r="DJ56" i="18"/>
  <c r="DJ69" i="18"/>
  <c r="DJ55" i="18"/>
  <c r="AA57" i="18"/>
  <c r="AA71" i="18"/>
  <c r="M67" i="37"/>
  <c r="M53" i="37"/>
  <c r="M68" i="37"/>
  <c r="M54" i="37"/>
  <c r="V45" i="37"/>
  <c r="E60" i="37"/>
  <c r="E74" i="37"/>
  <c r="E58" i="37"/>
  <c r="E72" i="37"/>
  <c r="M66" i="37"/>
  <c r="M52" i="37"/>
  <c r="V75" i="37"/>
  <c r="V61" i="37"/>
  <c r="E70" i="37"/>
  <c r="E56" i="37"/>
  <c r="M65" i="37"/>
  <c r="M51" i="37"/>
  <c r="E69" i="37"/>
  <c r="E55" i="37"/>
  <c r="M64" i="37"/>
  <c r="M50" i="37"/>
  <c r="M57" i="37"/>
  <c r="M71" i="37"/>
  <c r="BQ73" i="18"/>
  <c r="BQ59" i="18"/>
  <c r="K73" i="37"/>
  <c r="K59" i="37"/>
  <c r="N58" i="37"/>
  <c r="N72" i="37"/>
  <c r="N69" i="37"/>
  <c r="N55" i="37"/>
  <c r="AE72" i="5"/>
  <c r="AE58" i="5"/>
  <c r="AJ66" i="37"/>
  <c r="AJ52" i="37"/>
  <c r="O69" i="37"/>
  <c r="O55" i="37"/>
  <c r="G11" i="26"/>
  <c r="AQ2" i="26"/>
  <c r="AF3" i="26"/>
  <c r="S5" i="26"/>
  <c r="S6" i="26"/>
  <c r="S7" i="26"/>
  <c r="V8" i="26"/>
  <c r="AA9" i="26"/>
  <c r="V10" i="26"/>
  <c r="S12" i="26"/>
  <c r="G16" i="26"/>
  <c r="E31" i="5"/>
  <c r="Y53" i="5"/>
  <c r="Y67" i="5"/>
  <c r="E59" i="5"/>
  <c r="E73" i="5"/>
  <c r="Y68" i="5"/>
  <c r="Y54" i="5"/>
  <c r="P60" i="5"/>
  <c r="P74" i="5"/>
  <c r="P58" i="5"/>
  <c r="P72" i="5"/>
  <c r="Y52" i="5"/>
  <c r="Y66" i="5"/>
  <c r="P56" i="5"/>
  <c r="P70" i="5"/>
  <c r="Y51" i="5"/>
  <c r="Y65" i="5"/>
  <c r="Q69" i="5"/>
  <c r="Q55" i="5"/>
  <c r="AN50" i="5"/>
  <c r="AN64" i="5"/>
  <c r="O62" i="5"/>
  <c r="O76" i="5"/>
  <c r="AN71" i="5"/>
  <c r="AN57" i="5"/>
  <c r="AA45" i="18"/>
  <c r="BR66" i="18"/>
  <c r="BR52" i="18"/>
  <c r="AA65" i="18"/>
  <c r="AA51" i="18"/>
  <c r="AA64" i="18"/>
  <c r="AA50" i="18"/>
  <c r="BR71" i="18"/>
  <c r="BR57" i="18"/>
  <c r="N67" i="37"/>
  <c r="N53" i="37"/>
  <c r="N68" i="37"/>
  <c r="N54" i="37"/>
  <c r="K60" i="37"/>
  <c r="K74" i="37"/>
  <c r="K72" i="37"/>
  <c r="K58" i="37"/>
  <c r="N66" i="37"/>
  <c r="N52" i="37"/>
  <c r="AG61" i="37"/>
  <c r="AG75" i="37"/>
  <c r="K70" i="37"/>
  <c r="K56" i="37"/>
  <c r="N65" i="37"/>
  <c r="N51" i="37"/>
  <c r="K69" i="37"/>
  <c r="K55" i="37"/>
  <c r="N64" i="37"/>
  <c r="N50" i="37"/>
  <c r="N71" i="37"/>
  <c r="N57" i="37"/>
  <c r="N31" i="5"/>
  <c r="AE53" i="5"/>
  <c r="AE67" i="5"/>
  <c r="N59" i="5"/>
  <c r="N73" i="5"/>
  <c r="AE54" i="5"/>
  <c r="AE68" i="5"/>
  <c r="Q60" i="5"/>
  <c r="Q74" i="5"/>
  <c r="Q58" i="5"/>
  <c r="Q72" i="5"/>
  <c r="AE52" i="5"/>
  <c r="AE66" i="5"/>
  <c r="Q70" i="5"/>
  <c r="Q56" i="5"/>
  <c r="AE51" i="5"/>
  <c r="AE65" i="5"/>
  <c r="R69" i="5"/>
  <c r="R55" i="5"/>
  <c r="P62" i="5"/>
  <c r="P76" i="5"/>
  <c r="AA31" i="18"/>
  <c r="DJ66" i="18"/>
  <c r="DJ52" i="18"/>
  <c r="BR65" i="18"/>
  <c r="BR51" i="18"/>
  <c r="DJ64" i="18"/>
  <c r="DJ50" i="18"/>
  <c r="DJ71" i="18"/>
  <c r="DJ57" i="18"/>
  <c r="O67" i="37"/>
  <c r="O53" i="37"/>
  <c r="O68" i="37"/>
  <c r="O54" i="37"/>
  <c r="AJ45" i="37"/>
  <c r="L74" i="37"/>
  <c r="L60" i="37"/>
  <c r="L58" i="37"/>
  <c r="L72" i="37"/>
  <c r="O52" i="37"/>
  <c r="O66" i="37"/>
  <c r="AJ61" i="37"/>
  <c r="AJ75" i="37"/>
  <c r="L70" i="37"/>
  <c r="L56" i="37"/>
  <c r="O65" i="37"/>
  <c r="O51" i="37"/>
  <c r="L69" i="37"/>
  <c r="L55" i="37"/>
  <c r="O64" i="37"/>
  <c r="O50" i="37"/>
  <c r="O57" i="37"/>
  <c r="O71" i="37"/>
  <c r="L45" i="16"/>
  <c r="N31" i="16"/>
  <c r="V45" i="16"/>
  <c r="K64" i="16"/>
  <c r="K50" i="16"/>
  <c r="N67" i="16"/>
  <c r="N53" i="16"/>
  <c r="N66" i="16"/>
  <c r="N52" i="16"/>
  <c r="N70" i="16"/>
  <c r="N56" i="16"/>
  <c r="N57" i="16"/>
  <c r="N71" i="16"/>
  <c r="K59" i="16"/>
  <c r="K73" i="16"/>
  <c r="M73" i="16"/>
  <c r="M59" i="16"/>
  <c r="M45" i="16"/>
  <c r="M58" i="16"/>
  <c r="M72" i="16"/>
  <c r="M64" i="16"/>
  <c r="M50" i="16"/>
  <c r="O57" i="16"/>
  <c r="O71" i="16"/>
  <c r="L73" i="16"/>
  <c r="L59" i="16"/>
  <c r="N73" i="16"/>
  <c r="N59" i="16"/>
  <c r="N45" i="16"/>
  <c r="N72" i="16"/>
  <c r="N58" i="16"/>
  <c r="N64" i="16"/>
  <c r="N50" i="16"/>
  <c r="V67" i="16"/>
  <c r="V53" i="16"/>
  <c r="V71" i="16"/>
  <c r="V57" i="16"/>
  <c r="K31" i="16"/>
  <c r="O73" i="16"/>
  <c r="O59" i="16"/>
  <c r="K68" i="16"/>
  <c r="K54" i="16"/>
  <c r="O45" i="16"/>
  <c r="K74" i="16"/>
  <c r="K60" i="16"/>
  <c r="O58" i="16"/>
  <c r="O72" i="16"/>
  <c r="K61" i="16"/>
  <c r="K75" i="16"/>
  <c r="K65" i="16"/>
  <c r="K51" i="16"/>
  <c r="K69" i="16"/>
  <c r="K55" i="16"/>
  <c r="O64" i="16"/>
  <c r="O50" i="16"/>
  <c r="K76" i="16"/>
  <c r="K62" i="16"/>
  <c r="V66" i="16"/>
  <c r="V52" i="16"/>
  <c r="L31" i="16"/>
  <c r="V73" i="16"/>
  <c r="V59" i="16"/>
  <c r="L68" i="16"/>
  <c r="L54" i="16"/>
  <c r="L74" i="16"/>
  <c r="L60" i="16"/>
  <c r="V72" i="16"/>
  <c r="V58" i="16"/>
  <c r="L61" i="16"/>
  <c r="L75" i="16"/>
  <c r="L65" i="16"/>
  <c r="L51" i="16"/>
  <c r="L55" i="16"/>
  <c r="L69" i="16"/>
  <c r="V50" i="16"/>
  <c r="V64" i="16"/>
  <c r="L76" i="16"/>
  <c r="L62" i="16"/>
  <c r="M31" i="16"/>
  <c r="M68" i="16"/>
  <c r="M54" i="16"/>
  <c r="M74" i="16"/>
  <c r="M60" i="16"/>
  <c r="M61" i="16"/>
  <c r="M75" i="16"/>
  <c r="M65" i="16"/>
  <c r="M51" i="16"/>
  <c r="M55" i="16"/>
  <c r="M69" i="16"/>
  <c r="M76" i="16"/>
  <c r="M62" i="16"/>
  <c r="O70" i="16"/>
  <c r="O56" i="16"/>
  <c r="L58" i="16"/>
  <c r="L72" i="16"/>
  <c r="N54" i="16"/>
  <c r="N68" i="16"/>
  <c r="N60" i="16"/>
  <c r="N74" i="16"/>
  <c r="N75" i="16"/>
  <c r="N61" i="16"/>
  <c r="N51" i="16"/>
  <c r="N65" i="16"/>
  <c r="N69" i="16"/>
  <c r="N55" i="16"/>
  <c r="N76" i="16"/>
  <c r="N62" i="16"/>
  <c r="O52" i="16"/>
  <c r="O66" i="16"/>
  <c r="L64" i="16"/>
  <c r="L50" i="16"/>
  <c r="O31" i="16"/>
  <c r="K67" i="16"/>
  <c r="K53" i="16"/>
  <c r="O54" i="16"/>
  <c r="O68" i="16"/>
  <c r="O60" i="16"/>
  <c r="O74" i="16"/>
  <c r="K66" i="16"/>
  <c r="K52" i="16"/>
  <c r="O75" i="16"/>
  <c r="O61" i="16"/>
  <c r="K70" i="16"/>
  <c r="K56" i="16"/>
  <c r="O51" i="16"/>
  <c r="O65" i="16"/>
  <c r="O55" i="16"/>
  <c r="O69" i="16"/>
  <c r="O76" i="16"/>
  <c r="O62" i="16"/>
  <c r="K71" i="16"/>
  <c r="K57" i="16"/>
  <c r="V31" i="16"/>
  <c r="L67" i="16"/>
  <c r="L53" i="16"/>
  <c r="V68" i="16"/>
  <c r="V54" i="16"/>
  <c r="V74" i="16"/>
  <c r="V60" i="16"/>
  <c r="L52" i="16"/>
  <c r="L66" i="16"/>
  <c r="V61" i="16"/>
  <c r="V75" i="16"/>
  <c r="L70" i="16"/>
  <c r="L56" i="16"/>
  <c r="V65" i="16"/>
  <c r="V51" i="16"/>
  <c r="V55" i="16"/>
  <c r="V69" i="16"/>
  <c r="V62" i="16"/>
  <c r="V76" i="16"/>
  <c r="L71" i="16"/>
  <c r="L57" i="16"/>
  <c r="O67" i="16"/>
  <c r="O53" i="16"/>
  <c r="K72" i="16"/>
  <c r="K58" i="16"/>
  <c r="V56" i="16"/>
  <c r="V70" i="16"/>
  <c r="M67" i="16"/>
  <c r="M53" i="16"/>
  <c r="M52" i="16"/>
  <c r="M66" i="16"/>
  <c r="M70" i="16"/>
  <c r="M56" i="16"/>
  <c r="M71" i="16"/>
  <c r="M57" i="16"/>
  <c r="DJ76" i="38"/>
  <c r="DJ62" i="38"/>
  <c r="DJ59" i="38"/>
  <c r="DJ73" i="38"/>
  <c r="BR31" i="38"/>
  <c r="BR68" i="38"/>
  <c r="BR54" i="38"/>
  <c r="BR65" i="38"/>
  <c r="BR51" i="38"/>
  <c r="DJ31" i="38"/>
  <c r="DJ68" i="38"/>
  <c r="DJ54" i="38"/>
  <c r="DJ65" i="38"/>
  <c r="DJ51" i="38"/>
  <c r="BR58" i="38"/>
  <c r="BR72" i="38"/>
  <c r="BR71" i="38"/>
  <c r="BR57" i="38"/>
  <c r="DJ58" i="38"/>
  <c r="DJ72" i="38"/>
  <c r="DJ71" i="38"/>
  <c r="DJ57" i="38"/>
  <c r="BR76" i="38"/>
  <c r="BR62" i="38"/>
  <c r="DJ70" i="38"/>
  <c r="DJ56" i="38"/>
  <c r="BR67" i="38"/>
  <c r="BR53" i="38"/>
  <c r="BR52" i="38"/>
  <c r="BR66" i="38"/>
  <c r="DJ53" i="38"/>
  <c r="DJ67" i="38"/>
  <c r="DJ52" i="38"/>
  <c r="DJ66" i="38"/>
  <c r="BR55" i="38"/>
  <c r="BR69" i="38"/>
  <c r="BR70" i="38"/>
  <c r="BR56" i="38"/>
  <c r="BR74" i="38"/>
  <c r="BR60" i="38"/>
  <c r="BR61" i="38"/>
  <c r="BR75" i="38"/>
  <c r="DJ69" i="38"/>
  <c r="DJ55" i="38"/>
  <c r="DJ74" i="38"/>
  <c r="DJ60" i="38"/>
  <c r="DJ75" i="38"/>
  <c r="DJ61" i="38"/>
  <c r="DJ64" i="38"/>
  <c r="DJ50" i="38"/>
  <c r="BR73" i="38"/>
  <c r="BR59" i="38"/>
  <c r="AN31" i="32"/>
  <c r="AE45" i="32"/>
  <c r="Y76" i="32"/>
  <c r="Y62" i="32"/>
  <c r="Y45" i="32"/>
  <c r="Y75" i="32"/>
  <c r="Y61" i="32"/>
  <c r="AE61" i="32"/>
  <c r="AE75" i="32"/>
  <c r="AN45" i="32"/>
  <c r="AN75" i="32"/>
  <c r="AN61" i="32"/>
  <c r="AE76" i="32"/>
  <c r="AE62" i="32"/>
  <c r="Y31" i="32"/>
  <c r="Y73" i="32"/>
  <c r="Y59" i="32"/>
  <c r="AN62" i="32"/>
  <c r="AN76" i="32"/>
  <c r="AE31" i="32"/>
  <c r="AE73" i="32"/>
  <c r="AE59" i="32"/>
  <c r="AN59" i="32"/>
  <c r="AN73" i="32"/>
  <c r="Y69" i="32"/>
  <c r="Y55" i="32"/>
  <c r="Y60" i="32"/>
  <c r="Y74" i="32"/>
  <c r="Y58" i="32"/>
  <c r="Y72" i="32"/>
  <c r="Y70" i="32"/>
  <c r="Y56" i="32"/>
  <c r="AE69" i="32"/>
  <c r="AE55" i="32"/>
  <c r="AE60" i="32"/>
  <c r="AE74" i="32"/>
  <c r="AE72" i="32"/>
  <c r="AE58" i="32"/>
  <c r="AE56" i="32"/>
  <c r="AE70" i="32"/>
  <c r="AN69" i="32"/>
  <c r="AN55" i="32"/>
  <c r="Y71" i="32"/>
  <c r="Y57" i="32"/>
  <c r="AN74" i="32"/>
  <c r="AN60" i="32"/>
  <c r="AN72" i="32"/>
  <c r="AN58" i="32"/>
  <c r="AN70" i="32"/>
  <c r="AN56" i="32"/>
  <c r="Y64" i="32"/>
  <c r="Y50" i="32"/>
  <c r="AE57" i="32"/>
  <c r="AE71" i="32"/>
  <c r="Y67" i="32"/>
  <c r="Y53" i="32"/>
  <c r="Y68" i="32"/>
  <c r="Y54" i="32"/>
  <c r="Y52" i="32"/>
  <c r="Y66" i="32"/>
  <c r="Y65" i="32"/>
  <c r="Y51" i="32"/>
  <c r="AN50" i="32"/>
  <c r="AN64" i="32"/>
  <c r="AN71" i="32"/>
  <c r="AN57" i="32"/>
  <c r="AE53" i="32"/>
  <c r="AE67" i="32"/>
  <c r="AE68" i="32"/>
  <c r="AE54" i="32"/>
  <c r="AE52" i="32"/>
  <c r="AE66" i="32"/>
  <c r="AE65" i="32"/>
  <c r="AE51" i="32"/>
  <c r="AN67" i="32"/>
  <c r="AN53" i="32"/>
  <c r="AN68" i="32"/>
  <c r="AN54" i="32"/>
  <c r="AN66" i="32"/>
  <c r="AN52" i="32"/>
  <c r="AN65" i="32"/>
  <c r="AN51" i="32"/>
  <c r="AJ45" i="16"/>
  <c r="AG31" i="16"/>
  <c r="AG57" i="16"/>
  <c r="AG71" i="16"/>
  <c r="AG74" i="16"/>
  <c r="AG60" i="16"/>
  <c r="AG72" i="16"/>
  <c r="AG58" i="16"/>
  <c r="AG70" i="16"/>
  <c r="AG56" i="16"/>
  <c r="AG69" i="16"/>
  <c r="AG55" i="16"/>
  <c r="AG68" i="16"/>
  <c r="AG54" i="16"/>
  <c r="AG64" i="16"/>
  <c r="AG50" i="16"/>
  <c r="AG73" i="16"/>
  <c r="AG59" i="16"/>
  <c r="AG76" i="16"/>
  <c r="AG62" i="16"/>
  <c r="AG67" i="16"/>
  <c r="AG53" i="16"/>
  <c r="AG65" i="16"/>
  <c r="AG51" i="16"/>
  <c r="AG66" i="16"/>
  <c r="AG52" i="16"/>
  <c r="AG45" i="16"/>
  <c r="AG75" i="16"/>
  <c r="AG61" i="16"/>
  <c r="AJ67" i="16"/>
  <c r="AJ53" i="16"/>
  <c r="AJ54" i="16"/>
  <c r="AJ68" i="16"/>
  <c r="AJ66" i="16"/>
  <c r="AJ52" i="16"/>
  <c r="AJ65" i="16"/>
  <c r="AJ51" i="16"/>
  <c r="AJ64" i="16"/>
  <c r="AJ50" i="16"/>
  <c r="AJ71" i="16"/>
  <c r="AJ57" i="16"/>
  <c r="AJ60" i="16"/>
  <c r="AJ74" i="16"/>
  <c r="AJ72" i="16"/>
  <c r="AJ58" i="16"/>
  <c r="AJ70" i="16"/>
  <c r="AJ56" i="16"/>
  <c r="AJ69" i="16"/>
  <c r="AJ55" i="16"/>
  <c r="AJ31" i="16"/>
  <c r="AJ73" i="16"/>
  <c r="AJ59" i="16"/>
  <c r="AJ76" i="16"/>
  <c r="AJ62" i="16"/>
  <c r="AJ75" i="16"/>
  <c r="AJ61" i="16"/>
  <c r="E28" i="17"/>
  <c r="E22" i="17"/>
  <c r="E16" i="17"/>
  <c r="E10" i="17"/>
  <c r="E4" i="17"/>
  <c r="E27" i="17"/>
  <c r="E21" i="17"/>
  <c r="E15" i="17"/>
  <c r="E9" i="17"/>
  <c r="E3" i="17"/>
  <c r="E26" i="17"/>
  <c r="E20" i="17"/>
  <c r="E14" i="17"/>
  <c r="E8" i="17"/>
  <c r="E2" i="17"/>
  <c r="E25" i="17"/>
  <c r="E19" i="17"/>
  <c r="E13" i="17"/>
  <c r="E7" i="17"/>
  <c r="E30" i="17"/>
  <c r="E24" i="17"/>
  <c r="E18" i="17"/>
  <c r="E12" i="17"/>
  <c r="E6" i="17"/>
  <c r="E29" i="17"/>
  <c r="E23" i="17"/>
  <c r="E17" i="17"/>
  <c r="E11" i="17"/>
  <c r="E5" i="17"/>
  <c r="AI30" i="26"/>
  <c r="AI29" i="26"/>
  <c r="AI28" i="26"/>
  <c r="AI27" i="26"/>
  <c r="AI26" i="26"/>
  <c r="AI24" i="26"/>
  <c r="AI23" i="26"/>
  <c r="K30" i="26"/>
  <c r="K29" i="26"/>
  <c r="K28" i="26"/>
  <c r="K27" i="26"/>
  <c r="K26" i="26"/>
  <c r="K24" i="26"/>
  <c r="K23" i="26"/>
  <c r="K22" i="26"/>
  <c r="K21" i="26"/>
  <c r="K20" i="26"/>
  <c r="K19" i="26"/>
  <c r="K18" i="26"/>
  <c r="K17" i="26"/>
  <c r="K16" i="26"/>
  <c r="K15" i="26"/>
  <c r="K14" i="26"/>
  <c r="K13" i="26"/>
  <c r="K12" i="26"/>
  <c r="K11" i="26"/>
  <c r="K10" i="26"/>
  <c r="K25" i="26"/>
  <c r="AX2" i="26"/>
  <c r="AX3" i="26"/>
  <c r="AZ24" i="26"/>
  <c r="AZ23" i="26"/>
  <c r="AZ22" i="26"/>
  <c r="AZ21" i="26"/>
  <c r="AZ30" i="26"/>
  <c r="AZ29" i="26"/>
  <c r="AZ28" i="26"/>
  <c r="AZ27" i="26"/>
  <c r="AZ26" i="26"/>
  <c r="AZ25" i="26"/>
  <c r="S27" i="4"/>
  <c r="S21" i="4"/>
  <c r="S15" i="4"/>
  <c r="S9" i="4"/>
  <c r="S3" i="4"/>
  <c r="S26" i="4"/>
  <c r="S20" i="4"/>
  <c r="S14" i="4"/>
  <c r="S8" i="4"/>
  <c r="S2" i="4"/>
  <c r="S30" i="4"/>
  <c r="S24" i="4"/>
  <c r="S18" i="4"/>
  <c r="S12" i="4"/>
  <c r="S6" i="4"/>
  <c r="S29" i="4"/>
  <c r="S23" i="4"/>
  <c r="S17" i="4"/>
  <c r="S11" i="4"/>
  <c r="S28" i="4"/>
  <c r="S22" i="4"/>
  <c r="S16" i="4"/>
  <c r="S10" i="4"/>
  <c r="S4" i="4"/>
  <c r="S25" i="4"/>
  <c r="S13" i="4"/>
  <c r="S19" i="4"/>
  <c r="S7" i="4"/>
  <c r="S5" i="4"/>
  <c r="W30" i="26"/>
  <c r="W29" i="26"/>
  <c r="W28" i="26"/>
  <c r="W27" i="26"/>
  <c r="W26" i="26"/>
  <c r="W24" i="26"/>
  <c r="W23" i="26"/>
  <c r="W22" i="26"/>
  <c r="W21" i="26"/>
  <c r="W20" i="26"/>
  <c r="W19" i="26"/>
  <c r="W18" i="26"/>
  <c r="W17" i="26"/>
  <c r="W16" i="26"/>
  <c r="W15" i="26"/>
  <c r="W14" i="26"/>
  <c r="W13" i="26"/>
  <c r="W12" i="26"/>
  <c r="W11" i="26"/>
  <c r="W10" i="26"/>
  <c r="W25" i="26"/>
  <c r="Z3" i="26"/>
  <c r="Z4" i="26"/>
  <c r="AM4" i="26"/>
  <c r="Z6" i="26"/>
  <c r="U9" i="26"/>
  <c r="AP14" i="26"/>
  <c r="AP17" i="26"/>
  <c r="H26" i="17"/>
  <c r="H20" i="17"/>
  <c r="H14" i="17"/>
  <c r="H8" i="17"/>
  <c r="H2" i="17"/>
  <c r="H25" i="17"/>
  <c r="H19" i="17"/>
  <c r="H13" i="17"/>
  <c r="H7" i="17"/>
  <c r="H30" i="17"/>
  <c r="H24" i="17"/>
  <c r="H18" i="17"/>
  <c r="H12" i="17"/>
  <c r="H6" i="17"/>
  <c r="H29" i="17"/>
  <c r="H23" i="17"/>
  <c r="H17" i="17"/>
  <c r="H11" i="17"/>
  <c r="H5" i="17"/>
  <c r="H28" i="17"/>
  <c r="H22" i="17"/>
  <c r="H16" i="17"/>
  <c r="H10" i="17"/>
  <c r="H4" i="17"/>
  <c r="H27" i="17"/>
  <c r="H21" i="17"/>
  <c r="H15" i="17"/>
  <c r="H9" i="17"/>
  <c r="H3" i="17"/>
  <c r="AJ25" i="26"/>
  <c r="AJ30" i="26"/>
  <c r="AJ29" i="26"/>
  <c r="AJ28" i="26"/>
  <c r="AJ27" i="26"/>
  <c r="AJ26" i="26"/>
  <c r="AJ24" i="26"/>
  <c r="AJ23" i="26"/>
  <c r="AJ22" i="26"/>
  <c r="AJ21" i="26"/>
  <c r="AJ20" i="26"/>
  <c r="AJ19" i="26"/>
  <c r="AJ18" i="26"/>
  <c r="AJ17" i="26"/>
  <c r="AJ16" i="26"/>
  <c r="AJ15" i="26"/>
  <c r="AJ14" i="26"/>
  <c r="AJ13" i="26"/>
  <c r="AJ12" i="26"/>
  <c r="AJ11" i="26"/>
  <c r="AJ10" i="26"/>
  <c r="AY24" i="26"/>
  <c r="AY23" i="26"/>
  <c r="AY22" i="26"/>
  <c r="AY21" i="26"/>
  <c r="AY20" i="26"/>
  <c r="AY19" i="26"/>
  <c r="AY18" i="26"/>
  <c r="AY17" i="26"/>
  <c r="AY16" i="26"/>
  <c r="AY15" i="26"/>
  <c r="AY14" i="26"/>
  <c r="AY13" i="26"/>
  <c r="AY12" i="26"/>
  <c r="AY11" i="26"/>
  <c r="AY10" i="26"/>
  <c r="AY9" i="26"/>
  <c r="AY8" i="26"/>
  <c r="AY7" i="26"/>
  <c r="AY30" i="26"/>
  <c r="AY29" i="26"/>
  <c r="AY28" i="26"/>
  <c r="AY27" i="26"/>
  <c r="AY26" i="26"/>
  <c r="AY25" i="26"/>
  <c r="C27" i="4"/>
  <c r="C21" i="4"/>
  <c r="C15" i="4"/>
  <c r="C9" i="4"/>
  <c r="C3" i="4"/>
  <c r="C26" i="4"/>
  <c r="C20" i="4"/>
  <c r="C14" i="4"/>
  <c r="C8" i="4"/>
  <c r="C2" i="4"/>
  <c r="C30" i="4"/>
  <c r="C24" i="4"/>
  <c r="C18" i="4"/>
  <c r="C12" i="4"/>
  <c r="C6" i="4"/>
  <c r="C29" i="4"/>
  <c r="C23" i="4"/>
  <c r="C17" i="4"/>
  <c r="C11" i="4"/>
  <c r="C28" i="4"/>
  <c r="C22" i="4"/>
  <c r="C16" i="4"/>
  <c r="C10" i="4"/>
  <c r="C4" i="4"/>
  <c r="C13" i="4"/>
  <c r="C19" i="4"/>
  <c r="C5" i="4"/>
  <c r="C7" i="4"/>
  <c r="C25" i="4"/>
  <c r="M26" i="26"/>
  <c r="M24" i="26"/>
  <c r="M23" i="26"/>
  <c r="M22" i="26"/>
  <c r="M21" i="26"/>
  <c r="M20" i="26"/>
  <c r="M19" i="26"/>
  <c r="M18" i="26"/>
  <c r="M17" i="26"/>
  <c r="M16" i="26"/>
  <c r="M15" i="26"/>
  <c r="M14" i="26"/>
  <c r="M13" i="26"/>
  <c r="M30" i="26"/>
  <c r="M29" i="26"/>
  <c r="M28" i="26"/>
  <c r="M27" i="26"/>
  <c r="X30" i="26"/>
  <c r="X29" i="26"/>
  <c r="X28" i="26"/>
  <c r="X27" i="26"/>
  <c r="X26" i="26"/>
  <c r="X25" i="26"/>
  <c r="O2" i="26"/>
  <c r="AA2" i="26"/>
  <c r="AN2" i="26"/>
  <c r="AZ2" i="26"/>
  <c r="O3" i="26"/>
  <c r="AA3" i="26"/>
  <c r="AN3" i="26"/>
  <c r="AZ3" i="26"/>
  <c r="O4" i="26"/>
  <c r="AA4" i="26"/>
  <c r="AN4" i="26"/>
  <c r="AZ4" i="26"/>
  <c r="O5" i="26"/>
  <c r="AA5" i="26"/>
  <c r="AN5" i="26"/>
  <c r="AZ5" i="26"/>
  <c r="O6" i="26"/>
  <c r="AA6" i="26"/>
  <c r="AN6" i="26"/>
  <c r="AZ6" i="26"/>
  <c r="O7" i="26"/>
  <c r="AA7" i="26"/>
  <c r="E8" i="26"/>
  <c r="AF8" i="26"/>
  <c r="AS8" i="26"/>
  <c r="I9" i="26"/>
  <c r="V9" i="26"/>
  <c r="AK9" i="26"/>
  <c r="AZ9" i="26"/>
  <c r="U10" i="26"/>
  <c r="AN10" i="26"/>
  <c r="J11" i="26"/>
  <c r="AD11" i="26"/>
  <c r="AZ11" i="26"/>
  <c r="AA12" i="26"/>
  <c r="E13" i="26"/>
  <c r="AI13" i="26"/>
  <c r="O14" i="26"/>
  <c r="AR14" i="26"/>
  <c r="X15" i="26"/>
  <c r="E16" i="26"/>
  <c r="AI16" i="26"/>
  <c r="O17" i="26"/>
  <c r="AR17" i="26"/>
  <c r="X18" i="26"/>
  <c r="E19" i="26"/>
  <c r="AI19" i="26"/>
  <c r="AR20" i="26"/>
  <c r="AF21" i="26"/>
  <c r="X22" i="26"/>
  <c r="X23" i="26"/>
  <c r="AH26" i="26"/>
  <c r="AH28" i="26"/>
  <c r="AH30" i="26"/>
  <c r="Y30" i="26"/>
  <c r="Y29" i="26"/>
  <c r="Y28" i="26"/>
  <c r="Y27" i="26"/>
  <c r="Y26" i="26"/>
  <c r="Y24" i="26"/>
  <c r="Y23" i="26"/>
  <c r="Y22" i="26"/>
  <c r="Y21" i="26"/>
  <c r="Y20" i="26"/>
  <c r="Y19" i="26"/>
  <c r="Y18" i="26"/>
  <c r="Y17" i="26"/>
  <c r="Y16" i="26"/>
  <c r="Y15" i="26"/>
  <c r="Y14" i="26"/>
  <c r="Y13" i="26"/>
  <c r="Y25" i="26"/>
  <c r="P3" i="26"/>
  <c r="P5" i="26"/>
  <c r="AC5" i="26"/>
  <c r="P6" i="26"/>
  <c r="AC6" i="26"/>
  <c r="P7" i="26"/>
  <c r="AC7" i="26"/>
  <c r="AT8" i="26"/>
  <c r="E12" i="26"/>
  <c r="AD12" i="26"/>
  <c r="AK13" i="26"/>
  <c r="Q14" i="26"/>
  <c r="AK16" i="26"/>
  <c r="Q17" i="26"/>
  <c r="AU17" i="26"/>
  <c r="AK19" i="26"/>
  <c r="Q20" i="26"/>
  <c r="AU20" i="26"/>
  <c r="AI21" i="26"/>
  <c r="AF22" i="26"/>
  <c r="AF23" i="26"/>
  <c r="H25" i="26"/>
  <c r="AR26" i="26"/>
  <c r="AR28" i="26"/>
  <c r="AR30" i="26"/>
  <c r="AV30" i="26"/>
  <c r="AV29" i="26"/>
  <c r="AV28" i="26"/>
  <c r="AV27" i="26"/>
  <c r="AV26" i="26"/>
  <c r="AV24" i="26"/>
  <c r="AV23" i="26"/>
  <c r="AV22" i="26"/>
  <c r="AV21" i="26"/>
  <c r="AV20" i="26"/>
  <c r="AV19" i="26"/>
  <c r="AV18" i="26"/>
  <c r="AV17" i="26"/>
  <c r="AV16" i="26"/>
  <c r="AV15" i="26"/>
  <c r="AV14" i="26"/>
  <c r="AV13" i="26"/>
  <c r="AV12" i="26"/>
  <c r="AV11" i="26"/>
  <c r="AV10" i="26"/>
  <c r="F8" i="26"/>
  <c r="J9" i="26"/>
  <c r="W9" i="26"/>
  <c r="L11" i="26"/>
  <c r="AU14" i="26"/>
  <c r="AZ28" i="17"/>
  <c r="AF23" i="17"/>
  <c r="AZ22" i="17"/>
  <c r="AZ16" i="17"/>
  <c r="AZ10" i="17"/>
  <c r="AZ4" i="17"/>
  <c r="AZ27" i="17"/>
  <c r="AZ21" i="17"/>
  <c r="AZ15" i="17"/>
  <c r="AZ9" i="17"/>
  <c r="AZ3" i="17"/>
  <c r="AZ26" i="17"/>
  <c r="AZ20" i="17"/>
  <c r="AZ14" i="17"/>
  <c r="AZ8" i="17"/>
  <c r="AZ2" i="17"/>
  <c r="AZ25" i="17"/>
  <c r="AZ19" i="17"/>
  <c r="AZ13" i="17"/>
  <c r="AZ7" i="17"/>
  <c r="AZ30" i="17"/>
  <c r="AF25" i="17"/>
  <c r="AZ24" i="17"/>
  <c r="AZ18" i="17"/>
  <c r="AZ12" i="17"/>
  <c r="AZ6" i="17"/>
  <c r="AZ29" i="17"/>
  <c r="AZ23" i="17"/>
  <c r="AZ17" i="17"/>
  <c r="AZ11" i="17"/>
  <c r="AZ5" i="17"/>
  <c r="AL30" i="26"/>
  <c r="AL29" i="26"/>
  <c r="AL28" i="26"/>
  <c r="AL27" i="26"/>
  <c r="AL26" i="26"/>
  <c r="AL24" i="26"/>
  <c r="AL23" i="26"/>
  <c r="AL22" i="26"/>
  <c r="AL21" i="26"/>
  <c r="AL20" i="26"/>
  <c r="AL19" i="26"/>
  <c r="AL18" i="26"/>
  <c r="AL17" i="26"/>
  <c r="AL16" i="26"/>
  <c r="AL15" i="26"/>
  <c r="AL14" i="26"/>
  <c r="AL13" i="26"/>
  <c r="AL25" i="26"/>
  <c r="AW30" i="26"/>
  <c r="AW29" i="26"/>
  <c r="AW28" i="26"/>
  <c r="AW27" i="26"/>
  <c r="AW26" i="26"/>
  <c r="AW25" i="26"/>
  <c r="D2" i="26"/>
  <c r="D30" i="26"/>
  <c r="D29" i="26"/>
  <c r="D28" i="26"/>
  <c r="D27" i="26"/>
  <c r="D25" i="26"/>
  <c r="D24" i="26"/>
  <c r="D23" i="26"/>
  <c r="D22" i="26"/>
  <c r="D21" i="26"/>
  <c r="D20" i="26"/>
  <c r="D19" i="26"/>
  <c r="D18" i="26"/>
  <c r="D17" i="26"/>
  <c r="D16" i="26"/>
  <c r="D15" i="26"/>
  <c r="D14" i="26"/>
  <c r="D13" i="26"/>
  <c r="D12" i="26"/>
  <c r="O24" i="26"/>
  <c r="O23" i="26"/>
  <c r="O22" i="26"/>
  <c r="O25" i="26"/>
  <c r="O30" i="26"/>
  <c r="O29" i="26"/>
  <c r="O28" i="26"/>
  <c r="O27" i="26"/>
  <c r="O26" i="26"/>
  <c r="E2" i="26"/>
  <c r="Q2" i="26"/>
  <c r="AD2" i="26"/>
  <c r="AP2" i="26"/>
  <c r="E3" i="26"/>
  <c r="Q3" i="26"/>
  <c r="AD3" i="26"/>
  <c r="AP3" i="26"/>
  <c r="E4" i="26"/>
  <c r="Q4" i="26"/>
  <c r="AD4" i="26"/>
  <c r="AP4" i="26"/>
  <c r="E5" i="26"/>
  <c r="Q5" i="26"/>
  <c r="AD5" i="26"/>
  <c r="AP5" i="26"/>
  <c r="E6" i="26"/>
  <c r="Q6" i="26"/>
  <c r="AD6" i="26"/>
  <c r="AP6" i="26"/>
  <c r="E7" i="26"/>
  <c r="Q7" i="26"/>
  <c r="AD7" i="26"/>
  <c r="G8" i="26"/>
  <c r="T8" i="26"/>
  <c r="AH8" i="26"/>
  <c r="AU8" i="26"/>
  <c r="K9" i="26"/>
  <c r="X9" i="26"/>
  <c r="AN9" i="26"/>
  <c r="E10" i="26"/>
  <c r="X10" i="26"/>
  <c r="AP10" i="26"/>
  <c r="M11" i="26"/>
  <c r="AI11" i="26"/>
  <c r="G12" i="26"/>
  <c r="AF12" i="26"/>
  <c r="J13" i="26"/>
  <c r="AN13" i="26"/>
  <c r="S14" i="26"/>
  <c r="AW14" i="26"/>
  <c r="AD15" i="26"/>
  <c r="J16" i="26"/>
  <c r="AN16" i="26"/>
  <c r="S17" i="26"/>
  <c r="AW17" i="26"/>
  <c r="J19" i="26"/>
  <c r="AN19" i="26"/>
  <c r="AW20" i="26"/>
  <c r="AK21" i="26"/>
  <c r="AI22" i="26"/>
  <c r="AK23" i="26"/>
  <c r="M25" i="26"/>
  <c r="AX26" i="26"/>
  <c r="AX28" i="26"/>
  <c r="AX30" i="26"/>
  <c r="P30" i="26"/>
  <c r="P29" i="26"/>
  <c r="P28" i="26"/>
  <c r="P27" i="26"/>
  <c r="P26" i="26"/>
  <c r="P24" i="26"/>
  <c r="P23" i="26"/>
  <c r="P22" i="26"/>
  <c r="P21" i="26"/>
  <c r="P20" i="26"/>
  <c r="P19" i="26"/>
  <c r="P18" i="26"/>
  <c r="P17" i="26"/>
  <c r="P16" i="26"/>
  <c r="P15" i="26"/>
  <c r="P14" i="26"/>
  <c r="P13" i="26"/>
  <c r="P12" i="26"/>
  <c r="P25" i="26"/>
  <c r="AE4" i="26"/>
  <c r="F5" i="26"/>
  <c r="AE5" i="26"/>
  <c r="F6" i="26"/>
  <c r="AE6" i="26"/>
  <c r="AR7" i="26"/>
  <c r="U8" i="26"/>
  <c r="AI8" i="26"/>
  <c r="AV8" i="26"/>
  <c r="L9" i="26"/>
  <c r="Y9" i="26"/>
  <c r="Y10" i="26"/>
  <c r="AR10" i="26"/>
  <c r="AK11" i="26"/>
  <c r="J12" i="26"/>
  <c r="AI12" i="26"/>
  <c r="L13" i="26"/>
  <c r="AP13" i="26"/>
  <c r="AZ14" i="26"/>
  <c r="AF15" i="26"/>
  <c r="L16" i="26"/>
  <c r="AP16" i="26"/>
  <c r="AZ17" i="26"/>
  <c r="L19" i="26"/>
  <c r="AZ20" i="26"/>
  <c r="AN21" i="26"/>
  <c r="AK22" i="26"/>
  <c r="AR23" i="26"/>
  <c r="U25" i="26"/>
  <c r="J27" i="26"/>
  <c r="J29" i="26"/>
  <c r="N24" i="26"/>
  <c r="N23" i="26"/>
  <c r="N22" i="26"/>
  <c r="N21" i="26"/>
  <c r="N20" i="26"/>
  <c r="N19" i="26"/>
  <c r="N18" i="26"/>
  <c r="N17" i="26"/>
  <c r="N16" i="26"/>
  <c r="N15" i="26"/>
  <c r="N14" i="26"/>
  <c r="N13" i="26"/>
  <c r="N12" i="26"/>
  <c r="N11" i="26"/>
  <c r="N10" i="26"/>
  <c r="N9" i="26"/>
  <c r="N8" i="26"/>
  <c r="N25" i="26"/>
  <c r="N30" i="26"/>
  <c r="N29" i="26"/>
  <c r="N28" i="26"/>
  <c r="N27" i="26"/>
  <c r="N26" i="26"/>
  <c r="AM30" i="26"/>
  <c r="AM29" i="26"/>
  <c r="AM28" i="26"/>
  <c r="AM27" i="26"/>
  <c r="AM26" i="26"/>
  <c r="AM24" i="26"/>
  <c r="AM23" i="26"/>
  <c r="AM22" i="26"/>
  <c r="AM21" i="26"/>
  <c r="AM20" i="26"/>
  <c r="AM19" i="26"/>
  <c r="AM18" i="26"/>
  <c r="AM17" i="26"/>
  <c r="AM16" i="26"/>
  <c r="AM15" i="26"/>
  <c r="AM14" i="26"/>
  <c r="AM13" i="26"/>
  <c r="AM12" i="26"/>
  <c r="AM11" i="26"/>
  <c r="AM10" i="26"/>
  <c r="AM9" i="26"/>
  <c r="AM8" i="26"/>
  <c r="AM7" i="26"/>
  <c r="AM25" i="26"/>
  <c r="F30" i="26"/>
  <c r="F29" i="26"/>
  <c r="F28" i="26"/>
  <c r="F27" i="26"/>
  <c r="F26" i="26"/>
  <c r="F25" i="26"/>
  <c r="F24" i="26"/>
  <c r="F23" i="26"/>
  <c r="F22" i="26"/>
  <c r="F21" i="26"/>
  <c r="F20" i="26"/>
  <c r="F19" i="26"/>
  <c r="F18" i="26"/>
  <c r="F17" i="26"/>
  <c r="F16" i="26"/>
  <c r="F15" i="26"/>
  <c r="F14" i="26"/>
  <c r="F13" i="26"/>
  <c r="F12" i="26"/>
  <c r="F11" i="26"/>
  <c r="F10" i="26"/>
  <c r="AR2" i="26"/>
  <c r="L12" i="26"/>
  <c r="AK12" i="26"/>
  <c r="AR13" i="26"/>
  <c r="E15" i="26"/>
  <c r="AI15" i="26"/>
  <c r="AR16" i="26"/>
  <c r="AI18" i="26"/>
  <c r="AR19" i="26"/>
  <c r="AR21" i="26"/>
  <c r="AR22" i="26"/>
  <c r="AW23" i="26"/>
  <c r="Z25" i="26"/>
  <c r="Q27" i="26"/>
  <c r="Q29" i="26"/>
  <c r="Q28" i="4"/>
  <c r="Q22" i="4"/>
  <c r="Q16" i="4"/>
  <c r="Q10" i="4"/>
  <c r="Q4" i="4"/>
  <c r="Q27" i="4"/>
  <c r="Q21" i="4"/>
  <c r="Q15" i="4"/>
  <c r="Q9" i="4"/>
  <c r="Q3" i="4"/>
  <c r="Q25" i="4"/>
  <c r="Q19" i="4"/>
  <c r="Q13" i="4"/>
  <c r="Q7" i="4"/>
  <c r="Q30" i="4"/>
  <c r="Q24" i="4"/>
  <c r="Q18" i="4"/>
  <c r="Q12" i="4"/>
  <c r="Q29" i="4"/>
  <c r="Q23" i="4"/>
  <c r="Q17" i="4"/>
  <c r="Q11" i="4"/>
  <c r="Q5" i="4"/>
  <c r="Q14" i="4"/>
  <c r="Q8" i="4"/>
  <c r="Q6" i="4"/>
  <c r="Q20" i="4"/>
  <c r="Q26" i="4"/>
  <c r="Q2" i="4"/>
  <c r="AE30" i="26"/>
  <c r="AE29" i="26"/>
  <c r="AE28" i="26"/>
  <c r="AE27" i="26"/>
  <c r="AE26" i="26"/>
  <c r="AE25" i="26"/>
  <c r="AE24" i="26"/>
  <c r="AE23" i="26"/>
  <c r="AE22" i="26"/>
  <c r="AE21" i="26"/>
  <c r="AE20" i="26"/>
  <c r="AE19" i="26"/>
  <c r="AE18" i="26"/>
  <c r="AE17" i="26"/>
  <c r="AE16" i="26"/>
  <c r="AE15" i="26"/>
  <c r="AE14" i="26"/>
  <c r="AE13" i="26"/>
  <c r="AE12" i="26"/>
  <c r="AE11" i="26"/>
  <c r="AE10" i="26"/>
  <c r="AE9" i="26"/>
  <c r="AE2" i="26"/>
  <c r="AE3" i="26"/>
  <c r="AR5" i="26"/>
  <c r="AT10" i="26"/>
  <c r="P11" i="26"/>
  <c r="F27" i="17"/>
  <c r="F21" i="17"/>
  <c r="F15" i="17"/>
  <c r="F9" i="17"/>
  <c r="F3" i="17"/>
  <c r="F26" i="17"/>
  <c r="F20" i="17"/>
  <c r="F14" i="17"/>
  <c r="F8" i="17"/>
  <c r="F2" i="17"/>
  <c r="F25" i="17"/>
  <c r="F19" i="17"/>
  <c r="F13" i="17"/>
  <c r="F7" i="17"/>
  <c r="F30" i="17"/>
  <c r="F24" i="17"/>
  <c r="F18" i="17"/>
  <c r="F12" i="17"/>
  <c r="F6" i="17"/>
  <c r="F29" i="17"/>
  <c r="F23" i="17"/>
  <c r="F17" i="17"/>
  <c r="F11" i="17"/>
  <c r="F5" i="17"/>
  <c r="F28" i="17"/>
  <c r="F22" i="17"/>
  <c r="F16" i="17"/>
  <c r="F10" i="17"/>
  <c r="F4" i="17"/>
  <c r="AF25" i="26"/>
  <c r="AF30" i="26"/>
  <c r="AF29" i="26"/>
  <c r="AF28" i="26"/>
  <c r="AF27" i="26"/>
  <c r="AF26" i="26"/>
  <c r="AO30" i="26"/>
  <c r="AO29" i="26"/>
  <c r="AO28" i="26"/>
  <c r="AO27" i="26"/>
  <c r="AO26" i="26"/>
  <c r="AO24" i="26"/>
  <c r="AO23" i="26"/>
  <c r="AO22" i="26"/>
  <c r="AO21" i="26"/>
  <c r="AO20" i="26"/>
  <c r="AO19" i="26"/>
  <c r="AO18" i="26"/>
  <c r="AO17" i="26"/>
  <c r="AO16" i="26"/>
  <c r="AO15" i="26"/>
  <c r="AO14" i="26"/>
  <c r="AO13" i="26"/>
  <c r="AO12" i="26"/>
  <c r="AO25" i="26"/>
  <c r="G25" i="26"/>
  <c r="G30" i="26"/>
  <c r="G29" i="26"/>
  <c r="G28" i="26"/>
  <c r="G27" i="26"/>
  <c r="G26" i="26"/>
  <c r="R30" i="26"/>
  <c r="R29" i="26"/>
  <c r="R28" i="26"/>
  <c r="R27" i="26"/>
  <c r="R26" i="26"/>
  <c r="R25" i="26"/>
  <c r="R24" i="26"/>
  <c r="R23" i="26"/>
  <c r="R22" i="26"/>
  <c r="R21" i="26"/>
  <c r="R20" i="26"/>
  <c r="R19" i="26"/>
  <c r="R18" i="26"/>
  <c r="R17" i="26"/>
  <c r="R16" i="26"/>
  <c r="R15" i="26"/>
  <c r="R14" i="26"/>
  <c r="R13" i="26"/>
  <c r="R12" i="26"/>
  <c r="R11" i="26"/>
  <c r="R10" i="26"/>
  <c r="H2" i="26"/>
  <c r="T2" i="26"/>
  <c r="AG2" i="26"/>
  <c r="AS2" i="26"/>
  <c r="H3" i="26"/>
  <c r="T3" i="26"/>
  <c r="AG3" i="26"/>
  <c r="AS3" i="26"/>
  <c r="H4" i="26"/>
  <c r="T4" i="26"/>
  <c r="AG4" i="26"/>
  <c r="AS4" i="26"/>
  <c r="H5" i="26"/>
  <c r="T5" i="26"/>
  <c r="AG5" i="26"/>
  <c r="AS5" i="26"/>
  <c r="H6" i="26"/>
  <c r="T6" i="26"/>
  <c r="AG6" i="26"/>
  <c r="AS6" i="26"/>
  <c r="AT7" i="26"/>
  <c r="J8" i="26"/>
  <c r="W8" i="26"/>
  <c r="AK8" i="26"/>
  <c r="O9" i="26"/>
  <c r="AC9" i="26"/>
  <c r="AR9" i="26"/>
  <c r="J10" i="26"/>
  <c r="AC10" i="26"/>
  <c r="AU10" i="26"/>
  <c r="Q11" i="26"/>
  <c r="AN11" i="26"/>
  <c r="M12" i="26"/>
  <c r="AL12" i="26"/>
  <c r="Q13" i="26"/>
  <c r="AU13" i="26"/>
  <c r="AA14" i="26"/>
  <c r="G15" i="26"/>
  <c r="AK15" i="26"/>
  <c r="Q16" i="26"/>
  <c r="AU16" i="26"/>
  <c r="AA17" i="26"/>
  <c r="G18" i="26"/>
  <c r="AU19" i="26"/>
  <c r="J21" i="26"/>
  <c r="AU21" i="26"/>
  <c r="AU22" i="26"/>
  <c r="G24" i="26"/>
  <c r="AI25" i="26"/>
  <c r="Z27" i="26"/>
  <c r="AD24" i="26"/>
  <c r="AD23" i="26"/>
  <c r="AD22" i="26"/>
  <c r="AD21" i="26"/>
  <c r="AD25" i="26"/>
  <c r="AD30" i="26"/>
  <c r="AD29" i="26"/>
  <c r="AD28" i="26"/>
  <c r="AD27" i="26"/>
  <c r="AD26" i="26"/>
  <c r="AX24" i="26"/>
  <c r="AX23" i="26"/>
  <c r="AX22" i="26"/>
  <c r="AX21" i="26"/>
  <c r="AX20" i="26"/>
  <c r="AX19" i="26"/>
  <c r="AX18" i="26"/>
  <c r="AX17" i="26"/>
  <c r="AX16" i="26"/>
  <c r="AX15" i="26"/>
  <c r="AX14" i="26"/>
  <c r="AX13" i="26"/>
  <c r="AX12" i="26"/>
  <c r="AX25" i="26"/>
  <c r="J25" i="17"/>
  <c r="J19" i="17"/>
  <c r="J13" i="17"/>
  <c r="J7" i="17"/>
  <c r="J30" i="17"/>
  <c r="J24" i="17"/>
  <c r="J18" i="17"/>
  <c r="J12" i="17"/>
  <c r="J6" i="17"/>
  <c r="J29" i="17"/>
  <c r="J23" i="17"/>
  <c r="J17" i="17"/>
  <c r="J11" i="17"/>
  <c r="J5" i="17"/>
  <c r="J28" i="17"/>
  <c r="J22" i="17"/>
  <c r="J16" i="17"/>
  <c r="J10" i="17"/>
  <c r="J4" i="17"/>
  <c r="J27" i="17"/>
  <c r="J21" i="17"/>
  <c r="J15" i="17"/>
  <c r="J9" i="17"/>
  <c r="J3" i="17"/>
  <c r="J26" i="17"/>
  <c r="J20" i="17"/>
  <c r="J14" i="17"/>
  <c r="J8" i="17"/>
  <c r="J2" i="17"/>
  <c r="Q24" i="26"/>
  <c r="Q23" i="26"/>
  <c r="Q22" i="26"/>
  <c r="Q21" i="26"/>
  <c r="Q25" i="26"/>
  <c r="Q26" i="26"/>
  <c r="AR3" i="26"/>
  <c r="AE30" i="17"/>
  <c r="AE24" i="17"/>
  <c r="AE18" i="17"/>
  <c r="AE12" i="17"/>
  <c r="AE6" i="17"/>
  <c r="AE29" i="17"/>
  <c r="AE23" i="17"/>
  <c r="AE17" i="17"/>
  <c r="AE11" i="17"/>
  <c r="AE5" i="17"/>
  <c r="AE28" i="17"/>
  <c r="AE22" i="17"/>
  <c r="AE16" i="17"/>
  <c r="AE10" i="17"/>
  <c r="AE4" i="17"/>
  <c r="AE27" i="17"/>
  <c r="AE21" i="17"/>
  <c r="AE15" i="17"/>
  <c r="AE9" i="17"/>
  <c r="AE3" i="17"/>
  <c r="AE26" i="17"/>
  <c r="AE20" i="17"/>
  <c r="AE14" i="17"/>
  <c r="AE8" i="17"/>
  <c r="AE2" i="17"/>
  <c r="AE25" i="17"/>
  <c r="AE19" i="17"/>
  <c r="AE13" i="17"/>
  <c r="AE7" i="17"/>
  <c r="AP30" i="26"/>
  <c r="AP29" i="26"/>
  <c r="AP28" i="26"/>
  <c r="AP27" i="26"/>
  <c r="AP26" i="26"/>
  <c r="AP24" i="26"/>
  <c r="AP23" i="26"/>
  <c r="AP22" i="26"/>
  <c r="AP21" i="26"/>
  <c r="AP25" i="26"/>
  <c r="L25" i="15"/>
  <c r="L19" i="15"/>
  <c r="L13" i="15"/>
  <c r="L7" i="15"/>
  <c r="L30" i="15"/>
  <c r="L24" i="15"/>
  <c r="L18" i="15"/>
  <c r="L12" i="15"/>
  <c r="L6" i="15"/>
  <c r="L29" i="15"/>
  <c r="L23" i="15"/>
  <c r="L17" i="15"/>
  <c r="L11" i="15"/>
  <c r="L5" i="15"/>
  <c r="L28" i="15"/>
  <c r="L22" i="15"/>
  <c r="L16" i="15"/>
  <c r="L10" i="15"/>
  <c r="L4" i="15"/>
  <c r="L27" i="15"/>
  <c r="L21" i="15"/>
  <c r="L15" i="15"/>
  <c r="L9" i="15"/>
  <c r="L3" i="15"/>
  <c r="L26" i="15"/>
  <c r="L20" i="15"/>
  <c r="L14" i="15"/>
  <c r="L8" i="15"/>
  <c r="L2" i="15"/>
  <c r="H24" i="26"/>
  <c r="H23" i="26"/>
  <c r="H22" i="26"/>
  <c r="H21" i="26"/>
  <c r="H20" i="26"/>
  <c r="H19" i="26"/>
  <c r="H18" i="26"/>
  <c r="H17" i="26"/>
  <c r="H16" i="26"/>
  <c r="H15" i="26"/>
  <c r="H14" i="26"/>
  <c r="H13" i="26"/>
  <c r="H12" i="26"/>
  <c r="H11" i="26"/>
  <c r="H10" i="26"/>
  <c r="H30" i="26"/>
  <c r="H29" i="26"/>
  <c r="H28" i="26"/>
  <c r="H27" i="26"/>
  <c r="H26" i="26"/>
  <c r="S25" i="26"/>
  <c r="S30" i="26"/>
  <c r="S29" i="26"/>
  <c r="S28" i="26"/>
  <c r="S27" i="26"/>
  <c r="I2" i="26"/>
  <c r="U2" i="26"/>
  <c r="AH2" i="26"/>
  <c r="AT2" i="26"/>
  <c r="I3" i="26"/>
  <c r="U3" i="26"/>
  <c r="AH3" i="26"/>
  <c r="AT3" i="26"/>
  <c r="I4" i="26"/>
  <c r="U4" i="26"/>
  <c r="AH4" i="26"/>
  <c r="AT4" i="26"/>
  <c r="I5" i="26"/>
  <c r="U5" i="26"/>
  <c r="AH5" i="26"/>
  <c r="AT5" i="26"/>
  <c r="I6" i="26"/>
  <c r="U6" i="26"/>
  <c r="AH6" i="26"/>
  <c r="AT6" i="26"/>
  <c r="AH7" i="26"/>
  <c r="AU7" i="26"/>
  <c r="K8" i="26"/>
  <c r="X8" i="26"/>
  <c r="AL8" i="26"/>
  <c r="AZ8" i="26"/>
  <c r="P9" i="26"/>
  <c r="AD9" i="26"/>
  <c r="L10" i="26"/>
  <c r="AD10" i="26"/>
  <c r="AW10" i="26"/>
  <c r="S11" i="26"/>
  <c r="AO11" i="26"/>
  <c r="O12" i="26"/>
  <c r="AN12" i="26"/>
  <c r="S13" i="26"/>
  <c r="AW13" i="26"/>
  <c r="AD14" i="26"/>
  <c r="J15" i="26"/>
  <c r="AN15" i="26"/>
  <c r="S16" i="26"/>
  <c r="AW16" i="26"/>
  <c r="AD17" i="26"/>
  <c r="J18" i="26"/>
  <c r="AN18" i="26"/>
  <c r="S19" i="26"/>
  <c r="AW19" i="26"/>
  <c r="AD20" i="26"/>
  <c r="L21" i="26"/>
  <c r="AW21" i="26"/>
  <c r="AW22" i="26"/>
  <c r="L24" i="26"/>
  <c r="AH27" i="26"/>
  <c r="AK30" i="26"/>
  <c r="AK29" i="26"/>
  <c r="AK28" i="26"/>
  <c r="AK27" i="26"/>
  <c r="AK26" i="26"/>
  <c r="AK25" i="26"/>
  <c r="AG29" i="17"/>
  <c r="AG23" i="17"/>
  <c r="AG17" i="17"/>
  <c r="AG11" i="17"/>
  <c r="AG5" i="17"/>
  <c r="AG28" i="17"/>
  <c r="AG22" i="17"/>
  <c r="AG16" i="17"/>
  <c r="AG10" i="17"/>
  <c r="AG4" i="17"/>
  <c r="AG27" i="17"/>
  <c r="AG21" i="17"/>
  <c r="AG15" i="17"/>
  <c r="AG9" i="17"/>
  <c r="AG3" i="17"/>
  <c r="AG26" i="17"/>
  <c r="AG20" i="17"/>
  <c r="AG14" i="17"/>
  <c r="AG8" i="17"/>
  <c r="AG2" i="17"/>
  <c r="AG25" i="17"/>
  <c r="AG19" i="17"/>
  <c r="AG13" i="17"/>
  <c r="AG7" i="17"/>
  <c r="AG30" i="17"/>
  <c r="AG24" i="17"/>
  <c r="AG18" i="17"/>
  <c r="AG12" i="17"/>
  <c r="AG6" i="17"/>
  <c r="E25" i="26"/>
  <c r="E24" i="26"/>
  <c r="E23" i="26"/>
  <c r="E22" i="26"/>
  <c r="E21" i="26"/>
  <c r="E30" i="26"/>
  <c r="E29" i="26"/>
  <c r="E28" i="26"/>
  <c r="E27" i="26"/>
  <c r="E26" i="26"/>
  <c r="AN30" i="26"/>
  <c r="AN29" i="26"/>
  <c r="AN28" i="26"/>
  <c r="AN27" i="26"/>
  <c r="AN26" i="26"/>
  <c r="AN24" i="26"/>
  <c r="AN23" i="26"/>
  <c r="AN22" i="26"/>
  <c r="AR4" i="26"/>
  <c r="AR6" i="26"/>
  <c r="G27" i="17"/>
  <c r="G21" i="17"/>
  <c r="G15" i="17"/>
  <c r="G9" i="17"/>
  <c r="G3" i="17"/>
  <c r="G26" i="17"/>
  <c r="G20" i="17"/>
  <c r="G14" i="17"/>
  <c r="G8" i="17"/>
  <c r="G2" i="17"/>
  <c r="G25" i="17"/>
  <c r="G19" i="17"/>
  <c r="G13" i="17"/>
  <c r="G7" i="17"/>
  <c r="G30" i="17"/>
  <c r="G24" i="17"/>
  <c r="G18" i="17"/>
  <c r="G12" i="17"/>
  <c r="G6" i="17"/>
  <c r="G29" i="17"/>
  <c r="G23" i="17"/>
  <c r="G17" i="17"/>
  <c r="G11" i="17"/>
  <c r="G5" i="17"/>
  <c r="G28" i="17"/>
  <c r="G22" i="17"/>
  <c r="G16" i="17"/>
  <c r="G10" i="17"/>
  <c r="G4" i="17"/>
  <c r="AG24" i="26"/>
  <c r="AG23" i="26"/>
  <c r="AG22" i="26"/>
  <c r="AG21" i="26"/>
  <c r="AG20" i="26"/>
  <c r="AG19" i="26"/>
  <c r="AG18" i="26"/>
  <c r="AG17" i="26"/>
  <c r="AG16" i="26"/>
  <c r="AG15" i="26"/>
  <c r="AG14" i="26"/>
  <c r="AG13" i="26"/>
  <c r="AG12" i="26"/>
  <c r="AG11" i="26"/>
  <c r="AG10" i="26"/>
  <c r="AG25" i="26"/>
  <c r="AG30" i="26"/>
  <c r="AG29" i="26"/>
  <c r="AG28" i="26"/>
  <c r="AG27" i="26"/>
  <c r="AG26" i="26"/>
  <c r="AQ30" i="26"/>
  <c r="AQ29" i="26"/>
  <c r="AQ28" i="26"/>
  <c r="AQ27" i="26"/>
  <c r="AQ26" i="26"/>
  <c r="AQ25" i="26"/>
  <c r="AQ24" i="26"/>
  <c r="AQ23" i="26"/>
  <c r="AQ22" i="26"/>
  <c r="AQ21" i="26"/>
  <c r="AQ20" i="26"/>
  <c r="AQ19" i="26"/>
  <c r="AQ18" i="26"/>
  <c r="AQ17" i="26"/>
  <c r="AQ16" i="26"/>
  <c r="AQ15" i="26"/>
  <c r="AQ14" i="26"/>
  <c r="AQ13" i="26"/>
  <c r="AQ12" i="26"/>
  <c r="AQ11" i="26"/>
  <c r="AQ10" i="26"/>
  <c r="AQ9" i="26"/>
  <c r="P30" i="15"/>
  <c r="P24" i="15"/>
  <c r="P18" i="15"/>
  <c r="P12" i="15"/>
  <c r="P6" i="15"/>
  <c r="P29" i="15"/>
  <c r="P23" i="15"/>
  <c r="P17" i="15"/>
  <c r="P11" i="15"/>
  <c r="P5" i="15"/>
  <c r="P28" i="15"/>
  <c r="P22" i="15"/>
  <c r="P16" i="15"/>
  <c r="P10" i="15"/>
  <c r="P4" i="15"/>
  <c r="P27" i="15"/>
  <c r="P21" i="15"/>
  <c r="P15" i="15"/>
  <c r="P9" i="15"/>
  <c r="P3" i="15"/>
  <c r="P26" i="15"/>
  <c r="P20" i="15"/>
  <c r="P14" i="15"/>
  <c r="P8" i="15"/>
  <c r="P2" i="15"/>
  <c r="P25" i="15"/>
  <c r="P19" i="15"/>
  <c r="P13" i="15"/>
  <c r="P7" i="15"/>
  <c r="I25" i="26"/>
  <c r="I30" i="26"/>
  <c r="I29" i="26"/>
  <c r="I28" i="26"/>
  <c r="I27" i="26"/>
  <c r="I26" i="26"/>
  <c r="I24" i="26"/>
  <c r="I23" i="26"/>
  <c r="I22" i="26"/>
  <c r="I21" i="26"/>
  <c r="I20" i="26"/>
  <c r="I19" i="26"/>
  <c r="I18" i="26"/>
  <c r="I17" i="26"/>
  <c r="I16" i="26"/>
  <c r="I15" i="26"/>
  <c r="I14" i="26"/>
  <c r="I13" i="26"/>
  <c r="I12" i="26"/>
  <c r="I11" i="26"/>
  <c r="T24" i="26"/>
  <c r="T23" i="26"/>
  <c r="T22" i="26"/>
  <c r="T21" i="26"/>
  <c r="T20" i="26"/>
  <c r="T19" i="26"/>
  <c r="T18" i="26"/>
  <c r="T17" i="26"/>
  <c r="T16" i="26"/>
  <c r="T15" i="26"/>
  <c r="T14" i="26"/>
  <c r="T13" i="26"/>
  <c r="T12" i="26"/>
  <c r="T11" i="26"/>
  <c r="T10" i="26"/>
  <c r="T25" i="26"/>
  <c r="T30" i="26"/>
  <c r="T29" i="26"/>
  <c r="T28" i="26"/>
  <c r="T27" i="26"/>
  <c r="T26" i="26"/>
  <c r="J2" i="26"/>
  <c r="AI2" i="26"/>
  <c r="AU2" i="26"/>
  <c r="J3" i="26"/>
  <c r="AI3" i="26"/>
  <c r="AU3" i="26"/>
  <c r="J4" i="26"/>
  <c r="V4" i="26"/>
  <c r="AI4" i="26"/>
  <c r="AU4" i="26"/>
  <c r="J5" i="26"/>
  <c r="V5" i="26"/>
  <c r="AI5" i="26"/>
  <c r="AU5" i="26"/>
  <c r="J6" i="26"/>
  <c r="V6" i="26"/>
  <c r="AI6" i="26"/>
  <c r="AU6" i="26"/>
  <c r="V7" i="26"/>
  <c r="AI7" i="26"/>
  <c r="AV7" i="26"/>
  <c r="L8" i="26"/>
  <c r="Y8" i="26"/>
  <c r="AN8" i="26"/>
  <c r="D9" i="26"/>
  <c r="Q9" i="26"/>
  <c r="AF9" i="26"/>
  <c r="M10" i="26"/>
  <c r="AF10" i="26"/>
  <c r="AX10" i="26"/>
  <c r="V11" i="26"/>
  <c r="AP11" i="26"/>
  <c r="Q12" i="26"/>
  <c r="AP12" i="26"/>
  <c r="V13" i="26"/>
  <c r="AZ13" i="26"/>
  <c r="AF14" i="26"/>
  <c r="L15" i="26"/>
  <c r="AP15" i="26"/>
  <c r="V16" i="26"/>
  <c r="AZ16" i="26"/>
  <c r="AF17" i="26"/>
  <c r="L18" i="26"/>
  <c r="AP18" i="26"/>
  <c r="AZ19" i="26"/>
  <c r="AF20" i="26"/>
  <c r="O21" i="26"/>
  <c r="G22" i="26"/>
  <c r="G23" i="26"/>
  <c r="S24" i="26"/>
  <c r="AV25" i="26"/>
  <c r="AR27" i="26"/>
  <c r="AR29" i="26"/>
  <c r="J26" i="26"/>
  <c r="J24" i="26"/>
  <c r="J25" i="26"/>
  <c r="AV3" i="26"/>
  <c r="K4" i="26"/>
  <c r="K5" i="26"/>
  <c r="AV5" i="26"/>
  <c r="AR11" i="26"/>
  <c r="AR15" i="26"/>
  <c r="E20" i="26"/>
  <c r="AI20" i="26"/>
  <c r="J22" i="26"/>
  <c r="J23" i="26"/>
  <c r="AX27" i="26"/>
  <c r="AX29" i="26"/>
  <c r="U30" i="26"/>
  <c r="U29" i="26"/>
  <c r="U28" i="26"/>
  <c r="U27" i="26"/>
  <c r="U26" i="26"/>
  <c r="U24" i="26"/>
  <c r="U23" i="26"/>
  <c r="U22" i="26"/>
  <c r="U21" i="26"/>
  <c r="U20" i="26"/>
  <c r="U19" i="26"/>
  <c r="U18" i="26"/>
  <c r="U17" i="26"/>
  <c r="U16" i="26"/>
  <c r="U15" i="26"/>
  <c r="U14" i="26"/>
  <c r="U13" i="26"/>
  <c r="U12" i="26"/>
  <c r="U11" i="26"/>
  <c r="AV2" i="26"/>
  <c r="AV4" i="26"/>
  <c r="K6" i="26"/>
  <c r="AV6" i="26"/>
  <c r="K7" i="26"/>
  <c r="W7" i="26"/>
  <c r="E9" i="26"/>
  <c r="AU9" i="26"/>
  <c r="AZ10" i="26"/>
  <c r="AR12" i="26"/>
  <c r="E14" i="26"/>
  <c r="AI14" i="26"/>
  <c r="E17" i="26"/>
  <c r="AI17" i="26"/>
  <c r="AR18" i="26"/>
  <c r="D28" i="17"/>
  <c r="D22" i="17"/>
  <c r="D16" i="17"/>
  <c r="D10" i="17"/>
  <c r="D4" i="17"/>
  <c r="D27" i="17"/>
  <c r="D21" i="17"/>
  <c r="D15" i="17"/>
  <c r="D9" i="17"/>
  <c r="D3" i="17"/>
  <c r="D26" i="17"/>
  <c r="D20" i="17"/>
  <c r="D14" i="17"/>
  <c r="D8" i="17"/>
  <c r="D2" i="17"/>
  <c r="D25" i="17"/>
  <c r="D19" i="17"/>
  <c r="D13" i="17"/>
  <c r="D7" i="17"/>
  <c r="D30" i="17"/>
  <c r="D24" i="17"/>
  <c r="D18" i="17"/>
  <c r="D12" i="17"/>
  <c r="D6" i="17"/>
  <c r="D29" i="17"/>
  <c r="D23" i="17"/>
  <c r="D17" i="17"/>
  <c r="D11" i="17"/>
  <c r="D5" i="17"/>
  <c r="AH25" i="26"/>
  <c r="AH24" i="26"/>
  <c r="AH23" i="26"/>
  <c r="AH22" i="26"/>
  <c r="AH21" i="26"/>
  <c r="AH20" i="26"/>
  <c r="AH19" i="26"/>
  <c r="AH18" i="26"/>
  <c r="AH17" i="26"/>
  <c r="AH16" i="26"/>
  <c r="AH15" i="26"/>
  <c r="AH14" i="26"/>
  <c r="AH13" i="26"/>
  <c r="AH12" i="26"/>
  <c r="AH11" i="26"/>
  <c r="AS30" i="26"/>
  <c r="AS29" i="26"/>
  <c r="AS28" i="26"/>
  <c r="AS27" i="26"/>
  <c r="AS26" i="26"/>
  <c r="AS24" i="26"/>
  <c r="AS23" i="26"/>
  <c r="AS22" i="26"/>
  <c r="AS21" i="26"/>
  <c r="AS20" i="26"/>
  <c r="AS19" i="26"/>
  <c r="AS18" i="26"/>
  <c r="AS17" i="26"/>
  <c r="AS16" i="26"/>
  <c r="AS15" i="26"/>
  <c r="AS14" i="26"/>
  <c r="AS13" i="26"/>
  <c r="AS12" i="26"/>
  <c r="AS11" i="26"/>
  <c r="AS10" i="26"/>
  <c r="AS25" i="26"/>
  <c r="O30" i="15"/>
  <c r="O24" i="15"/>
  <c r="O18" i="15"/>
  <c r="O12" i="15"/>
  <c r="O6" i="15"/>
  <c r="O29" i="15"/>
  <c r="O23" i="15"/>
  <c r="O17" i="15"/>
  <c r="O11" i="15"/>
  <c r="O5" i="15"/>
  <c r="O28" i="15"/>
  <c r="O22" i="15"/>
  <c r="O16" i="15"/>
  <c r="O10" i="15"/>
  <c r="O4" i="15"/>
  <c r="O27" i="15"/>
  <c r="O21" i="15"/>
  <c r="O15" i="15"/>
  <c r="O9" i="15"/>
  <c r="O3" i="15"/>
  <c r="O26" i="15"/>
  <c r="O20" i="15"/>
  <c r="O14" i="15"/>
  <c r="O8" i="15"/>
  <c r="O2" i="15"/>
  <c r="O25" i="15"/>
  <c r="O19" i="15"/>
  <c r="O13" i="15"/>
  <c r="O7" i="15"/>
  <c r="AA30" i="26"/>
  <c r="AA29" i="26"/>
  <c r="AA28" i="26"/>
  <c r="AA27" i="26"/>
  <c r="AA26" i="26"/>
  <c r="AA24" i="26"/>
  <c r="AA23" i="26"/>
  <c r="AA22" i="26"/>
  <c r="AA25" i="26"/>
  <c r="V25" i="26"/>
  <c r="V30" i="26"/>
  <c r="V29" i="26"/>
  <c r="V28" i="26"/>
  <c r="V27" i="26"/>
  <c r="V26" i="26"/>
  <c r="V24" i="26"/>
  <c r="L2" i="26"/>
  <c r="X2" i="26"/>
  <c r="AK2" i="26"/>
  <c r="AW2" i="26"/>
  <c r="L3" i="26"/>
  <c r="X3" i="26"/>
  <c r="AK3" i="26"/>
  <c r="AW3" i="26"/>
  <c r="L4" i="26"/>
  <c r="X4" i="26"/>
  <c r="AK4" i="26"/>
  <c r="AW4" i="26"/>
  <c r="L5" i="26"/>
  <c r="X5" i="26"/>
  <c r="AK5" i="26"/>
  <c r="AW5" i="26"/>
  <c r="L6" i="26"/>
  <c r="X6" i="26"/>
  <c r="AK6" i="26"/>
  <c r="AW6" i="26"/>
  <c r="L7" i="26"/>
  <c r="X7" i="26"/>
  <c r="AK7" i="26"/>
  <c r="AX7" i="26"/>
  <c r="O8" i="26"/>
  <c r="AP8" i="26"/>
  <c r="F9" i="26"/>
  <c r="S9" i="26"/>
  <c r="AH9" i="26"/>
  <c r="AV9" i="26"/>
  <c r="P10" i="26"/>
  <c r="AI10" i="26"/>
  <c r="D11" i="26"/>
  <c r="Y11" i="26"/>
  <c r="AU11" i="26"/>
  <c r="V12" i="26"/>
  <c r="AU12" i="26"/>
  <c r="AA13" i="26"/>
  <c r="G14" i="26"/>
  <c r="AK14" i="26"/>
  <c r="Q15" i="26"/>
  <c r="AU15" i="26"/>
  <c r="AA16" i="26"/>
  <c r="G17" i="26"/>
  <c r="AK17" i="26"/>
  <c r="Q18" i="26"/>
  <c r="AA19" i="26"/>
  <c r="G20" i="26"/>
  <c r="AK20" i="26"/>
  <c r="V21" i="26"/>
  <c r="L22" i="26"/>
  <c r="L23" i="26"/>
  <c r="AF24" i="26"/>
  <c r="J28" i="26"/>
  <c r="J30" i="26"/>
  <c r="C29" i="15"/>
  <c r="C23" i="15"/>
  <c r="C17" i="15"/>
  <c r="C11" i="15"/>
  <c r="C5" i="15"/>
  <c r="C28" i="15"/>
  <c r="C22" i="15"/>
  <c r="C16" i="15"/>
  <c r="C10" i="15"/>
  <c r="C4" i="15"/>
  <c r="C27" i="15"/>
  <c r="C21" i="15"/>
  <c r="C15" i="15"/>
  <c r="C9" i="15"/>
  <c r="C3" i="15"/>
  <c r="C26" i="15"/>
  <c r="C20" i="15"/>
  <c r="C14" i="15"/>
  <c r="C8" i="15"/>
  <c r="C2" i="15"/>
  <c r="C25" i="15"/>
  <c r="C19" i="15"/>
  <c r="C13" i="15"/>
  <c r="C7" i="15"/>
  <c r="C30" i="15"/>
  <c r="C24" i="15"/>
  <c r="C18" i="15"/>
  <c r="C12" i="15"/>
  <c r="C6" i="15"/>
  <c r="N29" i="4"/>
  <c r="N23" i="4"/>
  <c r="N17" i="4"/>
  <c r="N11" i="4"/>
  <c r="N5" i="4"/>
  <c r="N28" i="4"/>
  <c r="N22" i="4"/>
  <c r="N16" i="4"/>
  <c r="N10" i="4"/>
  <c r="N4" i="4"/>
  <c r="R25" i="4"/>
  <c r="N26" i="4"/>
  <c r="N20" i="4"/>
  <c r="N14" i="4"/>
  <c r="N8" i="4"/>
  <c r="N2" i="4"/>
  <c r="N25" i="4"/>
  <c r="N19" i="4"/>
  <c r="N13" i="4"/>
  <c r="R23" i="4"/>
  <c r="N30" i="4"/>
  <c r="N24" i="4"/>
  <c r="N18" i="4"/>
  <c r="N12" i="4"/>
  <c r="N6" i="4"/>
  <c r="N7" i="4"/>
  <c r="N15" i="4"/>
  <c r="N9" i="4"/>
  <c r="N21" i="4"/>
  <c r="N27" i="4"/>
  <c r="N3" i="4"/>
  <c r="Y4" i="26"/>
  <c r="AX4" i="26"/>
  <c r="Y5" i="26"/>
  <c r="AX5" i="26"/>
  <c r="Y6" i="26"/>
  <c r="AX6" i="26"/>
  <c r="Y7" i="26"/>
  <c r="AZ7" i="26"/>
  <c r="P8" i="26"/>
  <c r="AD8" i="26"/>
  <c r="AI9" i="26"/>
  <c r="Q10" i="26"/>
  <c r="AK10" i="26"/>
  <c r="E11" i="26"/>
  <c r="AD13" i="26"/>
  <c r="J14" i="26"/>
  <c r="AN14" i="26"/>
  <c r="S15" i="26"/>
  <c r="AW15" i="26"/>
  <c r="AD16" i="26"/>
  <c r="J17" i="26"/>
  <c r="AN17" i="26"/>
  <c r="S18" i="26"/>
  <c r="AW18" i="26"/>
  <c r="AD19" i="26"/>
  <c r="J20" i="26"/>
  <c r="AN20" i="26"/>
  <c r="S22" i="26"/>
  <c r="S23" i="26"/>
  <c r="AK24" i="26"/>
  <c r="S26" i="26"/>
  <c r="Q28" i="26"/>
  <c r="Q30" i="26"/>
  <c r="I26" i="17"/>
  <c r="I20" i="17"/>
  <c r="I14" i="17"/>
  <c r="I8" i="17"/>
  <c r="I2" i="17"/>
  <c r="I25" i="17"/>
  <c r="I19" i="17"/>
  <c r="I13" i="17"/>
  <c r="I7" i="17"/>
  <c r="I30" i="17"/>
  <c r="I24" i="17"/>
  <c r="I18" i="17"/>
  <c r="I12" i="17"/>
  <c r="I6" i="17"/>
  <c r="I29" i="17"/>
  <c r="I23" i="17"/>
  <c r="I17" i="17"/>
  <c r="I11" i="17"/>
  <c r="I5" i="17"/>
  <c r="I28" i="17"/>
  <c r="I22" i="17"/>
  <c r="I16" i="17"/>
  <c r="I10" i="17"/>
  <c r="I4" i="17"/>
  <c r="I27" i="17"/>
  <c r="I21" i="17"/>
  <c r="I15" i="17"/>
  <c r="I9" i="17"/>
  <c r="I3" i="17"/>
  <c r="AT25" i="26"/>
  <c r="AT30" i="26"/>
  <c r="AT29" i="26"/>
  <c r="AT28" i="26"/>
  <c r="AT27" i="26"/>
  <c r="AT26" i="26"/>
  <c r="AT24" i="26"/>
  <c r="AT23" i="26"/>
  <c r="AT22" i="26"/>
  <c r="AT21" i="26"/>
  <c r="AT20" i="26"/>
  <c r="AT19" i="26"/>
  <c r="AT18" i="26"/>
  <c r="AT17" i="26"/>
  <c r="AT16" i="26"/>
  <c r="AT15" i="26"/>
  <c r="AT14" i="26"/>
  <c r="AT13" i="26"/>
  <c r="AT12" i="26"/>
  <c r="AT11" i="26"/>
  <c r="Z24" i="26"/>
  <c r="Z23" i="26"/>
  <c r="Z22" i="26"/>
  <c r="Z21" i="26"/>
  <c r="Z20" i="26"/>
  <c r="Z19" i="26"/>
  <c r="Z18" i="26"/>
  <c r="Z17" i="26"/>
  <c r="Z16" i="26"/>
  <c r="Z15" i="26"/>
  <c r="Z14" i="26"/>
  <c r="Z13" i="26"/>
  <c r="Z12" i="26"/>
  <c r="Z11" i="26"/>
  <c r="Z10" i="26"/>
  <c r="Z9" i="26"/>
  <c r="Z8" i="26"/>
  <c r="Y2" i="26"/>
  <c r="AC30" i="26"/>
  <c r="AC29" i="26"/>
  <c r="AC28" i="26"/>
  <c r="AC27" i="26"/>
  <c r="AC26" i="26"/>
  <c r="AC24" i="26"/>
  <c r="AC23" i="26"/>
  <c r="AC22" i="26"/>
  <c r="AC21" i="26"/>
  <c r="AC20" i="26"/>
  <c r="AC19" i="26"/>
  <c r="AC18" i="26"/>
  <c r="AC17" i="26"/>
  <c r="AC16" i="26"/>
  <c r="AC15" i="26"/>
  <c r="AC14" i="26"/>
  <c r="AC13" i="26"/>
  <c r="AC12" i="26"/>
  <c r="AC25" i="26"/>
  <c r="AU25" i="26"/>
  <c r="AU30" i="26"/>
  <c r="AU29" i="26"/>
  <c r="AU28" i="26"/>
  <c r="AU27" i="26"/>
  <c r="AU26" i="26"/>
  <c r="AU24" i="26"/>
  <c r="AU23" i="26"/>
  <c r="L30" i="26"/>
  <c r="L29" i="26"/>
  <c r="L28" i="26"/>
  <c r="L27" i="26"/>
  <c r="L25" i="26"/>
  <c r="N2" i="26"/>
  <c r="Z2" i="26"/>
  <c r="AM2" i="26"/>
  <c r="N3" i="26"/>
  <c r="AM3" i="26"/>
  <c r="N4" i="26"/>
  <c r="N5" i="26"/>
  <c r="Z5" i="26"/>
  <c r="AM5" i="26"/>
  <c r="N7" i="26"/>
  <c r="Z7" i="26"/>
  <c r="AN7" i="26"/>
  <c r="Q8" i="26"/>
  <c r="AE8" i="26"/>
  <c r="AR8" i="26"/>
  <c r="AX9" i="26"/>
  <c r="AC11" i="26"/>
  <c r="AX11" i="26"/>
  <c r="Y12" i="26"/>
  <c r="AZ12" i="26"/>
  <c r="L14" i="26"/>
  <c r="AZ15" i="26"/>
  <c r="AF16" i="26"/>
  <c r="L17" i="26"/>
  <c r="AZ18" i="26"/>
  <c r="AF19" i="26"/>
  <c r="L20" i="26"/>
  <c r="AP20" i="26"/>
  <c r="AR24" i="26"/>
  <c r="Z26" i="26"/>
  <c r="Z28" i="26"/>
  <c r="Z30" i="26"/>
  <c r="Q20" i="3"/>
  <c r="E85" i="3"/>
  <c r="T3" i="29" s="1"/>
  <c r="T32" i="29" s="1"/>
  <c r="Q32" i="3"/>
  <c r="K29" i="38" s="1"/>
  <c r="N88" i="3"/>
  <c r="AY9" i="29" s="1"/>
  <c r="Q38" i="3"/>
  <c r="M7" i="18" s="1"/>
  <c r="N97" i="3"/>
  <c r="AX7" i="29" s="1"/>
  <c r="Q41" i="3"/>
  <c r="L19" i="38" s="1"/>
  <c r="L42" i="38" s="1"/>
  <c r="E103" i="3"/>
  <c r="Y9" i="41" s="1"/>
  <c r="N43" i="3"/>
  <c r="AH12" i="29" s="1"/>
  <c r="E82" i="3"/>
  <c r="S26" i="29" s="1"/>
  <c r="S36" i="29" s="1"/>
  <c r="E46" i="3"/>
  <c r="H5" i="29" s="1"/>
  <c r="E49" i="3"/>
  <c r="I12" i="29" s="1"/>
  <c r="E9" i="3"/>
  <c r="E12" i="3"/>
  <c r="C2" i="32" s="1"/>
  <c r="E64" i="3"/>
  <c r="M8" i="29" s="1"/>
  <c r="M41" i="29" s="1"/>
  <c r="K12" i="3"/>
  <c r="Y19" i="38" s="1"/>
  <c r="Y42" i="38" s="1"/>
  <c r="Q23" i="3"/>
  <c r="N49" i="3"/>
  <c r="AZ8" i="29" s="1"/>
  <c r="AZ41" i="29" s="1"/>
  <c r="Q26" i="3"/>
  <c r="N52" i="3"/>
  <c r="AJ9" i="29" s="1"/>
  <c r="N31" i="3"/>
  <c r="AD10" i="29" s="1"/>
  <c r="AD46" i="29" s="1"/>
  <c r="N58" i="3"/>
  <c r="AL9" i="29" s="1"/>
  <c r="N34" i="3"/>
  <c r="AE8" i="29" s="1"/>
  <c r="AE41" i="29" s="1"/>
  <c r="N73" i="3"/>
  <c r="AQ26" i="41" s="1"/>
  <c r="AQ36" i="41" s="1"/>
  <c r="BQ16" i="18"/>
  <c r="K8" i="3"/>
  <c r="N37" i="3"/>
  <c r="AF24" i="29" s="1"/>
  <c r="N64" i="3"/>
  <c r="AN9" i="29" s="1"/>
  <c r="N55" i="3"/>
  <c r="AK4" i="29" s="1"/>
  <c r="AK40" i="29" s="1"/>
  <c r="H9" i="3"/>
  <c r="AB18" i="16" s="1"/>
  <c r="BQ23" i="38"/>
  <c r="BQ49" i="38" s="1"/>
  <c r="Q17" i="3"/>
  <c r="G28" i="38" s="1"/>
  <c r="G43" i="38" s="1"/>
  <c r="N40" i="3"/>
  <c r="AG2" i="29" s="1"/>
  <c r="AG38" i="29" s="1"/>
  <c r="N91" i="3"/>
  <c r="AV7" i="29" s="1"/>
  <c r="BQ26" i="18"/>
  <c r="BQ36" i="18" s="1"/>
  <c r="BQ29" i="18"/>
  <c r="BQ2" i="38"/>
  <c r="BQ38" i="38" s="1"/>
  <c r="BQ5" i="38"/>
  <c r="BQ8" i="38"/>
  <c r="BQ41" i="38" s="1"/>
  <c r="BQ11" i="38"/>
  <c r="BQ39" i="38" s="1"/>
  <c r="BQ14" i="38"/>
  <c r="BQ34" i="38" s="1"/>
  <c r="BQ17" i="38"/>
  <c r="BQ20" i="38"/>
  <c r="BQ30" i="38"/>
  <c r="BQ35" i="38" s="1"/>
  <c r="BQ28" i="38"/>
  <c r="BQ43" i="38" s="1"/>
  <c r="N94" i="3"/>
  <c r="AW4" i="29" s="1"/>
  <c r="AW40" i="29" s="1"/>
  <c r="BQ27" i="38"/>
  <c r="BQ2" i="18"/>
  <c r="BQ38" i="18" s="1"/>
  <c r="BQ5" i="18"/>
  <c r="BQ8" i="18"/>
  <c r="BQ41" i="18" s="1"/>
  <c r="BQ11" i="18"/>
  <c r="BQ39" i="18" s="1"/>
  <c r="BQ14" i="18"/>
  <c r="BQ34" i="18" s="1"/>
  <c r="BQ17" i="18"/>
  <c r="BQ20" i="18"/>
  <c r="BQ23" i="18"/>
  <c r="BQ49" i="18" s="1"/>
  <c r="BQ24" i="38"/>
  <c r="N28" i="3"/>
  <c r="AC17" i="29" s="1"/>
  <c r="N70" i="3"/>
  <c r="AP9" i="29" s="1"/>
  <c r="BQ27" i="18"/>
  <c r="BQ30" i="18"/>
  <c r="BQ35" i="18" s="1"/>
  <c r="BQ3" i="38"/>
  <c r="BQ32" i="38" s="1"/>
  <c r="BQ6" i="38"/>
  <c r="BQ47" i="38" s="1"/>
  <c r="BQ9" i="38"/>
  <c r="BQ12" i="38"/>
  <c r="BQ15" i="38"/>
  <c r="BQ44" i="38" s="1"/>
  <c r="BQ18" i="38"/>
  <c r="K9" i="3"/>
  <c r="BS2" i="18" s="1"/>
  <c r="BS38" i="18" s="1"/>
  <c r="Q29" i="3"/>
  <c r="N46" i="3"/>
  <c r="AI9" i="29" s="1"/>
  <c r="BQ24" i="18"/>
  <c r="N76" i="3"/>
  <c r="AR11" i="29" s="1"/>
  <c r="AR39" i="29" s="1"/>
  <c r="BQ3" i="18"/>
  <c r="BQ32" i="18" s="1"/>
  <c r="BQ6" i="18"/>
  <c r="BQ47" i="18" s="1"/>
  <c r="BQ45" i="18" s="1"/>
  <c r="BQ9" i="18"/>
  <c r="BQ12" i="18"/>
  <c r="BQ15" i="18"/>
  <c r="BQ44" i="18" s="1"/>
  <c r="BQ18" i="18"/>
  <c r="BQ21" i="18"/>
  <c r="BQ25" i="38"/>
  <c r="N79" i="3"/>
  <c r="AS2" i="29" s="1"/>
  <c r="AS38" i="29" s="1"/>
  <c r="BQ22" i="38"/>
  <c r="BQ37" i="38" s="1"/>
  <c r="N82" i="3"/>
  <c r="AT10" i="29" s="1"/>
  <c r="AT46" i="29" s="1"/>
  <c r="BQ28" i="18"/>
  <c r="BQ43" i="18" s="1"/>
  <c r="BQ4" i="38"/>
  <c r="BQ40" i="38" s="1"/>
  <c r="BQ7" i="38"/>
  <c r="BQ10" i="38"/>
  <c r="BQ46" i="38" s="1"/>
  <c r="BQ45" i="38" s="1"/>
  <c r="BQ13" i="38"/>
  <c r="BQ33" i="38" s="1"/>
  <c r="BQ16" i="38"/>
  <c r="BQ19" i="38"/>
  <c r="BQ42" i="38" s="1"/>
  <c r="BQ29" i="38"/>
  <c r="Q14" i="3"/>
  <c r="Q35" i="3"/>
  <c r="BQ25" i="18"/>
  <c r="H8" i="3"/>
  <c r="U26" i="16" s="1"/>
  <c r="U36" i="16" s="1"/>
  <c r="E91" i="3"/>
  <c r="V30" i="29" s="1"/>
  <c r="V35" i="29" s="1"/>
  <c r="E34" i="3"/>
  <c r="D17" i="29" s="1"/>
  <c r="E73" i="3"/>
  <c r="P17" i="29" s="1"/>
  <c r="E15" i="3"/>
  <c r="AD27" i="32" s="1"/>
  <c r="E97" i="3"/>
  <c r="W10" i="29" s="1"/>
  <c r="W46" i="29" s="1"/>
  <c r="E55" i="3"/>
  <c r="AA4" i="29" s="1"/>
  <c r="AA40" i="29" s="1"/>
  <c r="E79" i="3"/>
  <c r="R9" i="29" s="1"/>
  <c r="E100" i="3"/>
  <c r="X4" i="29" s="1"/>
  <c r="X40" i="29" s="1"/>
  <c r="E61" i="3"/>
  <c r="L5" i="29" s="1"/>
  <c r="E94" i="3"/>
  <c r="Z9" i="29" s="1"/>
  <c r="E8" i="3"/>
  <c r="X9" i="5" s="1"/>
  <c r="E37" i="3"/>
  <c r="E26" i="41" s="1"/>
  <c r="E36" i="41" s="1"/>
  <c r="E52" i="3"/>
  <c r="J9" i="29" s="1"/>
  <c r="E70" i="3"/>
  <c r="O30" i="41" s="1"/>
  <c r="O35" i="41" s="1"/>
  <c r="E88" i="3"/>
  <c r="U16" i="29" s="1"/>
  <c r="E40" i="3"/>
  <c r="F8" i="29" s="1"/>
  <c r="F41" i="29" s="1"/>
  <c r="E58" i="3"/>
  <c r="K9" i="29" s="1"/>
  <c r="E76" i="3"/>
  <c r="Q11" i="29" s="1"/>
  <c r="Q39" i="29" s="1"/>
  <c r="BQ21" i="38"/>
  <c r="G25" i="29"/>
  <c r="AG3" i="29"/>
  <c r="AG32" i="29" s="1"/>
  <c r="AO7" i="29"/>
  <c r="AO10" i="29"/>
  <c r="AO46" i="29" s="1"/>
  <c r="AC12" i="29"/>
  <c r="P13" i="29"/>
  <c r="P33" i="29" s="1"/>
  <c r="T2" i="29"/>
  <c r="T38" i="29" s="1"/>
  <c r="G19" i="29"/>
  <c r="G42" i="29" s="1"/>
  <c r="P6" i="29"/>
  <c r="P47" i="29" s="1"/>
  <c r="G22" i="29"/>
  <c r="G37" i="29" s="1"/>
  <c r="G24" i="38"/>
  <c r="G14" i="38"/>
  <c r="G34" i="38" s="1"/>
  <c r="G19" i="38"/>
  <c r="G42" i="38" s="1"/>
  <c r="G7" i="18"/>
  <c r="G3" i="18"/>
  <c r="G32" i="18" s="1"/>
  <c r="G16" i="18"/>
  <c r="AG30" i="41"/>
  <c r="AG35" i="41" s="1"/>
  <c r="AG27" i="41"/>
  <c r="AG24" i="41"/>
  <c r="AG22" i="41"/>
  <c r="AG37" i="41" s="1"/>
  <c r="AG20" i="41"/>
  <c r="AG19" i="41"/>
  <c r="AG42" i="41" s="1"/>
  <c r="AG15" i="41"/>
  <c r="AG44" i="41" s="1"/>
  <c r="AG12" i="41"/>
  <c r="AG8" i="41"/>
  <c r="AG41" i="41" s="1"/>
  <c r="AG6" i="41"/>
  <c r="AG47" i="41" s="1"/>
  <c r="AG5" i="41"/>
  <c r="AG28" i="29"/>
  <c r="AG43" i="29" s="1"/>
  <c r="AG27" i="29"/>
  <c r="AG25" i="29"/>
  <c r="AG22" i="29"/>
  <c r="AG37" i="29" s="1"/>
  <c r="AG21" i="29"/>
  <c r="AG17" i="29"/>
  <c r="AG12" i="29"/>
  <c r="AG11" i="29"/>
  <c r="AG39" i="29" s="1"/>
  <c r="AG8" i="29"/>
  <c r="AG41" i="29" s="1"/>
  <c r="AG5" i="29"/>
  <c r="AQ16" i="29"/>
  <c r="AD25" i="32"/>
  <c r="AD13" i="32"/>
  <c r="AD33" i="32" s="1"/>
  <c r="AD7" i="32"/>
  <c r="AD24" i="32"/>
  <c r="AD12" i="32"/>
  <c r="AD17" i="32"/>
  <c r="AD8" i="32"/>
  <c r="AD41" i="32" s="1"/>
  <c r="AD6" i="32"/>
  <c r="AD47" i="32" s="1"/>
  <c r="AD4" i="32"/>
  <c r="AD40" i="32" s="1"/>
  <c r="AD21" i="5"/>
  <c r="AD9" i="5"/>
  <c r="AD26" i="5"/>
  <c r="AD36" i="5" s="1"/>
  <c r="AD19" i="5"/>
  <c r="AD42" i="5" s="1"/>
  <c r="AD13" i="5"/>
  <c r="AD33" i="5" s="1"/>
  <c r="AD24" i="5"/>
  <c r="AD18" i="5"/>
  <c r="AD12" i="5"/>
  <c r="AD17" i="5"/>
  <c r="AD10" i="5"/>
  <c r="AD46" i="5" s="1"/>
  <c r="AD4" i="5"/>
  <c r="AD40" i="5" s="1"/>
  <c r="AD2" i="5"/>
  <c r="AD38" i="5" s="1"/>
  <c r="AD8" i="5"/>
  <c r="AD41" i="5" s="1"/>
  <c r="N30" i="41"/>
  <c r="N35" i="41" s="1"/>
  <c r="N28" i="41"/>
  <c r="N43" i="41" s="1"/>
  <c r="N27" i="41"/>
  <c r="N26" i="41"/>
  <c r="N36" i="41" s="1"/>
  <c r="N25" i="41"/>
  <c r="N24" i="41"/>
  <c r="N23" i="41"/>
  <c r="N49" i="41" s="1"/>
  <c r="N29" i="41"/>
  <c r="N20" i="41"/>
  <c r="N17" i="41"/>
  <c r="N14" i="41"/>
  <c r="N34" i="41" s="1"/>
  <c r="N11" i="41"/>
  <c r="N39" i="41" s="1"/>
  <c r="N15" i="41"/>
  <c r="N44" i="41" s="1"/>
  <c r="N19" i="41"/>
  <c r="N42" i="41" s="1"/>
  <c r="N22" i="41"/>
  <c r="N37" i="41" s="1"/>
  <c r="N13" i="41"/>
  <c r="N33" i="41" s="1"/>
  <c r="N16" i="41"/>
  <c r="N18" i="41"/>
  <c r="N12" i="41"/>
  <c r="N9" i="41"/>
  <c r="N6" i="41"/>
  <c r="N47" i="41" s="1"/>
  <c r="N3" i="41"/>
  <c r="N32" i="41" s="1"/>
  <c r="N21" i="41"/>
  <c r="N8" i="41"/>
  <c r="N41" i="41" s="1"/>
  <c r="N5" i="41"/>
  <c r="N2" i="41"/>
  <c r="N38" i="41" s="1"/>
  <c r="N10" i="41"/>
  <c r="N46" i="41" s="1"/>
  <c r="N45" i="41" s="1"/>
  <c r="N7" i="41"/>
  <c r="N4" i="41"/>
  <c r="N40" i="41" s="1"/>
  <c r="N26" i="29"/>
  <c r="N36" i="29" s="1"/>
  <c r="N25" i="29"/>
  <c r="N24" i="29"/>
  <c r="N23" i="29"/>
  <c r="N49" i="29" s="1"/>
  <c r="N22" i="29"/>
  <c r="N37" i="29" s="1"/>
  <c r="N21" i="29"/>
  <c r="N20" i="29"/>
  <c r="N19" i="29"/>
  <c r="N42" i="29" s="1"/>
  <c r="N18" i="29"/>
  <c r="N17" i="29"/>
  <c r="N16" i="29"/>
  <c r="N15" i="29"/>
  <c r="N44" i="29" s="1"/>
  <c r="N14" i="29"/>
  <c r="N34" i="29" s="1"/>
  <c r="N13" i="29"/>
  <c r="N33" i="29" s="1"/>
  <c r="N12" i="29"/>
  <c r="N30" i="29"/>
  <c r="N35" i="29" s="1"/>
  <c r="N29" i="29"/>
  <c r="N28" i="29"/>
  <c r="N43" i="29" s="1"/>
  <c r="N27" i="29"/>
  <c r="Y28" i="41"/>
  <c r="Y43" i="41" s="1"/>
  <c r="Y27" i="41"/>
  <c r="Y24" i="41"/>
  <c r="Y23" i="41"/>
  <c r="Y49" i="41" s="1"/>
  <c r="Y22" i="41"/>
  <c r="Y37" i="41" s="1"/>
  <c r="Y12" i="41"/>
  <c r="Y10" i="41"/>
  <c r="Y46" i="41" s="1"/>
  <c r="Y7" i="41"/>
  <c r="Y6" i="41"/>
  <c r="Y47" i="41" s="1"/>
  <c r="Y3" i="41"/>
  <c r="Y32" i="41" s="1"/>
  <c r="Y2" i="41"/>
  <c r="Y38" i="41" s="1"/>
  <c r="Y18" i="41"/>
  <c r="Y11" i="41"/>
  <c r="Y39" i="41" s="1"/>
  <c r="Y21" i="41"/>
  <c r="Y15" i="41"/>
  <c r="Y44" i="41" s="1"/>
  <c r="Y13" i="41"/>
  <c r="Y33" i="41" s="1"/>
  <c r="Y26" i="29"/>
  <c r="Y36" i="29" s="1"/>
  <c r="Y25" i="29"/>
  <c r="Y24" i="29"/>
  <c r="Y22" i="29"/>
  <c r="Y37" i="29" s="1"/>
  <c r="Y21" i="29"/>
  <c r="Y18" i="29"/>
  <c r="Y17" i="29"/>
  <c r="Y14" i="29"/>
  <c r="Y34" i="29" s="1"/>
  <c r="Y13" i="29"/>
  <c r="Y33" i="29" s="1"/>
  <c r="Y12" i="29"/>
  <c r="Y30" i="29"/>
  <c r="Y35" i="29" s="1"/>
  <c r="Y29" i="29"/>
  <c r="AH2" i="29"/>
  <c r="AH38" i="29" s="1"/>
  <c r="AH3" i="29"/>
  <c r="AH32" i="29" s="1"/>
  <c r="AT3" i="29"/>
  <c r="AT32" i="29" s="1"/>
  <c r="AH4" i="29"/>
  <c r="AH40" i="29" s="1"/>
  <c r="V5" i="29"/>
  <c r="AU6" i="29"/>
  <c r="AU47" i="29" s="1"/>
  <c r="AU45" i="29" s="1"/>
  <c r="G8" i="29"/>
  <c r="G41" i="29" s="1"/>
  <c r="AL8" i="29"/>
  <c r="AL41" i="29" s="1"/>
  <c r="AU9" i="29"/>
  <c r="AP10" i="29"/>
  <c r="AP46" i="29" s="1"/>
  <c r="N11" i="29"/>
  <c r="N39" i="29" s="1"/>
  <c r="S13" i="29"/>
  <c r="S33" i="29" s="1"/>
  <c r="G14" i="29"/>
  <c r="G34" i="29" s="1"/>
  <c r="AT15" i="29"/>
  <c r="AT44" i="29" s="1"/>
  <c r="G17" i="29"/>
  <c r="S19" i="29"/>
  <c r="S42" i="29" s="1"/>
  <c r="S22" i="29"/>
  <c r="S37" i="29" s="1"/>
  <c r="S25" i="29"/>
  <c r="AM28" i="29"/>
  <c r="AM43" i="29" s="1"/>
  <c r="C27" i="32"/>
  <c r="C21" i="32"/>
  <c r="C15" i="32"/>
  <c r="C9" i="32"/>
  <c r="C26" i="32"/>
  <c r="C20" i="32"/>
  <c r="C14" i="32"/>
  <c r="C25" i="32"/>
  <c r="C30" i="32"/>
  <c r="C24" i="32"/>
  <c r="C18" i="32"/>
  <c r="C12" i="32"/>
  <c r="C6" i="32"/>
  <c r="C29" i="32"/>
  <c r="C23" i="32"/>
  <c r="C17" i="32"/>
  <c r="C11" i="32"/>
  <c r="C28" i="32"/>
  <c r="C22" i="32"/>
  <c r="C16" i="32"/>
  <c r="C10" i="32"/>
  <c r="C4" i="32"/>
  <c r="C8" i="32"/>
  <c r="C7" i="32"/>
  <c r="C5" i="32"/>
  <c r="C19" i="32"/>
  <c r="C3" i="32"/>
  <c r="C13" i="32"/>
  <c r="C26" i="5"/>
  <c r="C36" i="5" s="1"/>
  <c r="C20" i="5"/>
  <c r="C14" i="5"/>
  <c r="C34" i="5" s="1"/>
  <c r="C8" i="5"/>
  <c r="C41" i="5" s="1"/>
  <c r="C2" i="5"/>
  <c r="C38" i="5" s="1"/>
  <c r="C25" i="5"/>
  <c r="C19" i="5"/>
  <c r="C42" i="5" s="1"/>
  <c r="C13" i="5"/>
  <c r="C33" i="5" s="1"/>
  <c r="C30" i="5"/>
  <c r="C35" i="5" s="1"/>
  <c r="C24" i="5"/>
  <c r="C18" i="5"/>
  <c r="C12" i="5"/>
  <c r="C6" i="5"/>
  <c r="C47" i="5" s="1"/>
  <c r="C29" i="5"/>
  <c r="C23" i="5"/>
  <c r="C49" i="5" s="1"/>
  <c r="C17" i="5"/>
  <c r="C11" i="5"/>
  <c r="C39" i="5" s="1"/>
  <c r="C5" i="5"/>
  <c r="C28" i="5"/>
  <c r="C43" i="5" s="1"/>
  <c r="C22" i="5"/>
  <c r="C37" i="5" s="1"/>
  <c r="C16" i="5"/>
  <c r="C10" i="5"/>
  <c r="C46" i="5" s="1"/>
  <c r="C27" i="5"/>
  <c r="C21" i="5"/>
  <c r="C15" i="5"/>
  <c r="C44" i="5" s="1"/>
  <c r="C9" i="5"/>
  <c r="C32" i="5"/>
  <c r="C4" i="5"/>
  <c r="C40" i="5" s="1"/>
  <c r="C7" i="5"/>
  <c r="E30" i="38"/>
  <c r="E35" i="38" s="1"/>
  <c r="E28" i="38"/>
  <c r="E43" i="38" s="1"/>
  <c r="E26" i="38"/>
  <c r="E36" i="38" s="1"/>
  <c r="E24" i="38"/>
  <c r="E22" i="38"/>
  <c r="E37" i="38" s="1"/>
  <c r="E20" i="38"/>
  <c r="E18" i="38"/>
  <c r="E16" i="38"/>
  <c r="E14" i="38"/>
  <c r="E34" i="38" s="1"/>
  <c r="E12" i="38"/>
  <c r="E10" i="38"/>
  <c r="E46" i="38" s="1"/>
  <c r="E8" i="38"/>
  <c r="E41" i="38" s="1"/>
  <c r="E6" i="38"/>
  <c r="E47" i="38" s="1"/>
  <c r="E4" i="38"/>
  <c r="E40" i="38" s="1"/>
  <c r="E2" i="38"/>
  <c r="E38" i="38" s="1"/>
  <c r="E29" i="38"/>
  <c r="E27" i="38"/>
  <c r="E25" i="38"/>
  <c r="E23" i="38"/>
  <c r="E49" i="38" s="1"/>
  <c r="E21" i="38"/>
  <c r="E19" i="38"/>
  <c r="E42" i="38" s="1"/>
  <c r="E17" i="38"/>
  <c r="E15" i="38"/>
  <c r="E44" i="38" s="1"/>
  <c r="E13" i="38"/>
  <c r="E33" i="38" s="1"/>
  <c r="E11" i="38"/>
  <c r="E39" i="38" s="1"/>
  <c r="E9" i="38"/>
  <c r="E7" i="38"/>
  <c r="E5" i="38"/>
  <c r="E3" i="38"/>
  <c r="E32" i="38" s="1"/>
  <c r="E29" i="18"/>
  <c r="E27" i="18"/>
  <c r="E26" i="18"/>
  <c r="E36" i="18" s="1"/>
  <c r="E24" i="18"/>
  <c r="E22" i="18"/>
  <c r="E37" i="18" s="1"/>
  <c r="E20" i="18"/>
  <c r="E18" i="18"/>
  <c r="E16" i="18"/>
  <c r="E14" i="18"/>
  <c r="E34" i="18" s="1"/>
  <c r="E12" i="18"/>
  <c r="E10" i="18"/>
  <c r="E46" i="18" s="1"/>
  <c r="E8" i="18"/>
  <c r="E41" i="18" s="1"/>
  <c r="E6" i="18"/>
  <c r="E47" i="18" s="1"/>
  <c r="E4" i="18"/>
  <c r="E40" i="18" s="1"/>
  <c r="E2" i="18"/>
  <c r="E38" i="18" s="1"/>
  <c r="E28" i="18"/>
  <c r="E43" i="18" s="1"/>
  <c r="E25" i="18"/>
  <c r="E23" i="18"/>
  <c r="E49" i="18" s="1"/>
  <c r="E21" i="18"/>
  <c r="E19" i="18"/>
  <c r="E42" i="18" s="1"/>
  <c r="E17" i="18"/>
  <c r="E15" i="18"/>
  <c r="E44" i="18" s="1"/>
  <c r="E13" i="18"/>
  <c r="E33" i="18" s="1"/>
  <c r="E11" i="18"/>
  <c r="E39" i="18" s="1"/>
  <c r="E9" i="18"/>
  <c r="E7" i="18"/>
  <c r="E5" i="18"/>
  <c r="E3" i="18"/>
  <c r="E32" i="18" s="1"/>
  <c r="E30" i="18"/>
  <c r="E35" i="18" s="1"/>
  <c r="L23" i="38"/>
  <c r="L49" i="38" s="1"/>
  <c r="L21" i="38"/>
  <c r="L15" i="38"/>
  <c r="L44" i="38" s="1"/>
  <c r="L13" i="38"/>
  <c r="L33" i="38" s="1"/>
  <c r="L7" i="38"/>
  <c r="L28" i="38"/>
  <c r="L43" i="38" s="1"/>
  <c r="L26" i="38"/>
  <c r="L36" i="38" s="1"/>
  <c r="L20" i="38"/>
  <c r="L18" i="38"/>
  <c r="L12" i="38"/>
  <c r="L4" i="38"/>
  <c r="L40" i="38" s="1"/>
  <c r="L2" i="38"/>
  <c r="L38" i="38" s="1"/>
  <c r="L23" i="18"/>
  <c r="L49" i="18" s="1"/>
  <c r="L21" i="18"/>
  <c r="L15" i="18"/>
  <c r="L44" i="18" s="1"/>
  <c r="L7" i="18"/>
  <c r="L5" i="18"/>
  <c r="L30" i="18"/>
  <c r="L35" i="18" s="1"/>
  <c r="L24" i="18"/>
  <c r="L18" i="18"/>
  <c r="L10" i="18"/>
  <c r="L46" i="18" s="1"/>
  <c r="L8" i="18"/>
  <c r="L41" i="18" s="1"/>
  <c r="L2" i="18"/>
  <c r="L38" i="18" s="1"/>
  <c r="L26" i="18"/>
  <c r="L36" i="18" s="1"/>
  <c r="AR29" i="41"/>
  <c r="AR27" i="41"/>
  <c r="AR26" i="41"/>
  <c r="AR36" i="41" s="1"/>
  <c r="AR24" i="41"/>
  <c r="AR23" i="41"/>
  <c r="AR49" i="41" s="1"/>
  <c r="AR11" i="41"/>
  <c r="AR39" i="41" s="1"/>
  <c r="AR18" i="41"/>
  <c r="AR13" i="41"/>
  <c r="AR33" i="41" s="1"/>
  <c r="AR10" i="41"/>
  <c r="AR46" i="41" s="1"/>
  <c r="AR9" i="41"/>
  <c r="AR7" i="41"/>
  <c r="AR6" i="41"/>
  <c r="AR47" i="41" s="1"/>
  <c r="AR4" i="41"/>
  <c r="AR40" i="41" s="1"/>
  <c r="AR3" i="41"/>
  <c r="AR32" i="41" s="1"/>
  <c r="AR2" i="41"/>
  <c r="AR38" i="41" s="1"/>
  <c r="AR17" i="41"/>
  <c r="AR20" i="41"/>
  <c r="AR30" i="41"/>
  <c r="AR35" i="41" s="1"/>
  <c r="AR22" i="41"/>
  <c r="AR37" i="41" s="1"/>
  <c r="AR21" i="41"/>
  <c r="AR12" i="41"/>
  <c r="AR16" i="41"/>
  <c r="AR19" i="41"/>
  <c r="AR42" i="41" s="1"/>
  <c r="AR30" i="29"/>
  <c r="AR35" i="29" s="1"/>
  <c r="AR29" i="29"/>
  <c r="AR28" i="29"/>
  <c r="AR43" i="29" s="1"/>
  <c r="AR27" i="29"/>
  <c r="U18" i="16"/>
  <c r="U17" i="16"/>
  <c r="U22" i="16"/>
  <c r="U37" i="16" s="1"/>
  <c r="U4" i="16"/>
  <c r="U40" i="16" s="1"/>
  <c r="U29" i="37"/>
  <c r="U2" i="37"/>
  <c r="U38" i="37" s="1"/>
  <c r="U8" i="37"/>
  <c r="U41" i="37" s="1"/>
  <c r="U5" i="37"/>
  <c r="D29" i="41"/>
  <c r="D17" i="41"/>
  <c r="D6" i="41"/>
  <c r="D23" i="29"/>
  <c r="O22" i="41"/>
  <c r="O37" i="41" s="1"/>
  <c r="O9" i="41"/>
  <c r="O24" i="29"/>
  <c r="O12" i="29"/>
  <c r="J2" i="29"/>
  <c r="J38" i="29" s="1"/>
  <c r="V2" i="29"/>
  <c r="V38" i="29" s="1"/>
  <c r="AI2" i="29"/>
  <c r="AI38" i="29" s="1"/>
  <c r="AU2" i="29"/>
  <c r="AU38" i="29" s="1"/>
  <c r="J3" i="29"/>
  <c r="J32" i="29" s="1"/>
  <c r="V3" i="29"/>
  <c r="V32" i="29" s="1"/>
  <c r="AI3" i="29"/>
  <c r="AI32" i="29" s="1"/>
  <c r="AU3" i="29"/>
  <c r="AU32" i="29" s="1"/>
  <c r="J4" i="29"/>
  <c r="J40" i="29" s="1"/>
  <c r="V4" i="29"/>
  <c r="V40" i="29" s="1"/>
  <c r="AI4" i="29"/>
  <c r="AI40" i="29" s="1"/>
  <c r="AU4" i="29"/>
  <c r="AU40" i="29" s="1"/>
  <c r="J5" i="29"/>
  <c r="AM5" i="29"/>
  <c r="R6" i="29"/>
  <c r="R47" i="29" s="1"/>
  <c r="AH6" i="29"/>
  <c r="AH47" i="29" s="1"/>
  <c r="AV6" i="29"/>
  <c r="AV47" i="29" s="1"/>
  <c r="N7" i="29"/>
  <c r="AC7" i="29"/>
  <c r="AM8" i="29"/>
  <c r="AM41" i="29" s="1"/>
  <c r="AH9" i="29"/>
  <c r="AV9" i="29"/>
  <c r="N10" i="29"/>
  <c r="N46" i="29" s="1"/>
  <c r="AC10" i="29"/>
  <c r="AR10" i="29"/>
  <c r="AR46" i="29" s="1"/>
  <c r="P11" i="29"/>
  <c r="P39" i="29" s="1"/>
  <c r="AT11" i="29"/>
  <c r="AT39" i="29" s="1"/>
  <c r="G29" i="29"/>
  <c r="D30" i="38"/>
  <c r="D35" i="38" s="1"/>
  <c r="D28" i="38"/>
  <c r="D43" i="38" s="1"/>
  <c r="D26" i="38"/>
  <c r="D36" i="38" s="1"/>
  <c r="D24" i="38"/>
  <c r="D22" i="38"/>
  <c r="D37" i="38" s="1"/>
  <c r="D20" i="38"/>
  <c r="D18" i="38"/>
  <c r="D16" i="38"/>
  <c r="D14" i="38"/>
  <c r="D34" i="38" s="1"/>
  <c r="D12" i="38"/>
  <c r="D10" i="38"/>
  <c r="D46" i="38" s="1"/>
  <c r="D8" i="38"/>
  <c r="D41" i="38" s="1"/>
  <c r="D6" i="38"/>
  <c r="D47" i="38" s="1"/>
  <c r="D4" i="38"/>
  <c r="D40" i="38" s="1"/>
  <c r="D2" i="38"/>
  <c r="D38" i="38" s="1"/>
  <c r="D29" i="38"/>
  <c r="D27" i="38"/>
  <c r="D25" i="38"/>
  <c r="D23" i="38"/>
  <c r="D49" i="38" s="1"/>
  <c r="D21" i="38"/>
  <c r="D19" i="38"/>
  <c r="D42" i="38" s="1"/>
  <c r="D17" i="38"/>
  <c r="D15" i="38"/>
  <c r="D44" i="38" s="1"/>
  <c r="D13" i="38"/>
  <c r="D33" i="38" s="1"/>
  <c r="D11" i="38"/>
  <c r="D39" i="38" s="1"/>
  <c r="D9" i="38"/>
  <c r="D7" i="38"/>
  <c r="D5" i="38"/>
  <c r="D3" i="38"/>
  <c r="D32" i="38" s="1"/>
  <c r="D26" i="18"/>
  <c r="D36" i="18" s="1"/>
  <c r="D24" i="18"/>
  <c r="D22" i="18"/>
  <c r="D37" i="18" s="1"/>
  <c r="D20" i="18"/>
  <c r="D18" i="18"/>
  <c r="D16" i="18"/>
  <c r="D14" i="18"/>
  <c r="D34" i="18" s="1"/>
  <c r="D12" i="18"/>
  <c r="D10" i="18"/>
  <c r="D46" i="18" s="1"/>
  <c r="D8" i="18"/>
  <c r="D41" i="18" s="1"/>
  <c r="D6" i="18"/>
  <c r="D47" i="18" s="1"/>
  <c r="D4" i="18"/>
  <c r="D40" i="18" s="1"/>
  <c r="D2" i="18"/>
  <c r="D38" i="18" s="1"/>
  <c r="D29" i="18"/>
  <c r="D28" i="18"/>
  <c r="D43" i="18" s="1"/>
  <c r="D25" i="18"/>
  <c r="D23" i="18"/>
  <c r="D49" i="18" s="1"/>
  <c r="D21" i="18"/>
  <c r="D19" i="18"/>
  <c r="D42" i="18" s="1"/>
  <c r="D17" i="18"/>
  <c r="D15" i="18"/>
  <c r="D44" i="18" s="1"/>
  <c r="D13" i="18"/>
  <c r="D33" i="18" s="1"/>
  <c r="D11" i="18"/>
  <c r="D39" i="18" s="1"/>
  <c r="D9" i="18"/>
  <c r="D7" i="18"/>
  <c r="D5" i="18"/>
  <c r="D3" i="18"/>
  <c r="D32" i="18" s="1"/>
  <c r="D27" i="18"/>
  <c r="D30" i="18"/>
  <c r="D35" i="18" s="1"/>
  <c r="AH29" i="41"/>
  <c r="AH28" i="41"/>
  <c r="AH43" i="41" s="1"/>
  <c r="AH27" i="41"/>
  <c r="AH26" i="41"/>
  <c r="AH36" i="41" s="1"/>
  <c r="AH25" i="41"/>
  <c r="AH24" i="41"/>
  <c r="AH23" i="41"/>
  <c r="AH49" i="41" s="1"/>
  <c r="AH22" i="41"/>
  <c r="AH37" i="41" s="1"/>
  <c r="AH21" i="41"/>
  <c r="AH20" i="41"/>
  <c r="AH19" i="41"/>
  <c r="AH42" i="41" s="1"/>
  <c r="AH18" i="41"/>
  <c r="AH17" i="41"/>
  <c r="AH30" i="41"/>
  <c r="AH35" i="41" s="1"/>
  <c r="AH15" i="41"/>
  <c r="AH44" i="41" s="1"/>
  <c r="AH13" i="41"/>
  <c r="AH33" i="41" s="1"/>
  <c r="AH10" i="41"/>
  <c r="AH46" i="41" s="1"/>
  <c r="AH45" i="41" s="1"/>
  <c r="AH9" i="41"/>
  <c r="AH8" i="41"/>
  <c r="AH41" i="41" s="1"/>
  <c r="AH7" i="41"/>
  <c r="AH6" i="41"/>
  <c r="AH47" i="41" s="1"/>
  <c r="AH5" i="41"/>
  <c r="AH4" i="41"/>
  <c r="AH40" i="41" s="1"/>
  <c r="AH3" i="41"/>
  <c r="AH32" i="41" s="1"/>
  <c r="AH2" i="41"/>
  <c r="AH38" i="41" s="1"/>
  <c r="AH16" i="41"/>
  <c r="AH12" i="41"/>
  <c r="AH14" i="41"/>
  <c r="AH34" i="41" s="1"/>
  <c r="AH11" i="41"/>
  <c r="AH39" i="41" s="1"/>
  <c r="AH30" i="29"/>
  <c r="AH35" i="29" s="1"/>
  <c r="AH29" i="29"/>
  <c r="AH28" i="29"/>
  <c r="AH43" i="29" s="1"/>
  <c r="AH27" i="29"/>
  <c r="AH26" i="29"/>
  <c r="AH36" i="29" s="1"/>
  <c r="AH25" i="29"/>
  <c r="AH24" i="29"/>
  <c r="AH23" i="29"/>
  <c r="AH49" i="29" s="1"/>
  <c r="AH22" i="29"/>
  <c r="AH37" i="29" s="1"/>
  <c r="AH21" i="29"/>
  <c r="AH20" i="29"/>
  <c r="AH19" i="29"/>
  <c r="AH42" i="29" s="1"/>
  <c r="AH18" i="29"/>
  <c r="AH17" i="29"/>
  <c r="AH16" i="29"/>
  <c r="AS30" i="41"/>
  <c r="AS35" i="41" s="1"/>
  <c r="AS29" i="41"/>
  <c r="AS28" i="41"/>
  <c r="AS43" i="41" s="1"/>
  <c r="AS27" i="41"/>
  <c r="AS26" i="41"/>
  <c r="AS36" i="41" s="1"/>
  <c r="AS25" i="41"/>
  <c r="AS24" i="41"/>
  <c r="AS23" i="41"/>
  <c r="AS49" i="41" s="1"/>
  <c r="AS22" i="41"/>
  <c r="AS37" i="41" s="1"/>
  <c r="AS21" i="41"/>
  <c r="AS20" i="41"/>
  <c r="AS19" i="41"/>
  <c r="AS42" i="41" s="1"/>
  <c r="AS18" i="41"/>
  <c r="AS17" i="41"/>
  <c r="AS16" i="41"/>
  <c r="AS15" i="41"/>
  <c r="AS44" i="41" s="1"/>
  <c r="AS14" i="41"/>
  <c r="AS34" i="41" s="1"/>
  <c r="AS13" i="41"/>
  <c r="AS33" i="41" s="1"/>
  <c r="AS12" i="41"/>
  <c r="AS11" i="41"/>
  <c r="AS39" i="41" s="1"/>
  <c r="AS10" i="41"/>
  <c r="AS46" i="41" s="1"/>
  <c r="AS45" i="41" s="1"/>
  <c r="AS9" i="41"/>
  <c r="AS8" i="41"/>
  <c r="AS41" i="41" s="1"/>
  <c r="AS7" i="41"/>
  <c r="AS6" i="41"/>
  <c r="AS47" i="41" s="1"/>
  <c r="AS5" i="41"/>
  <c r="AS4" i="41"/>
  <c r="AS40" i="41" s="1"/>
  <c r="AS3" i="41"/>
  <c r="AS32" i="41" s="1"/>
  <c r="AS2" i="41"/>
  <c r="AS38" i="41" s="1"/>
  <c r="AS30" i="29"/>
  <c r="AS35" i="29" s="1"/>
  <c r="AS29" i="29"/>
  <c r="AS28" i="29"/>
  <c r="AS43" i="29" s="1"/>
  <c r="AS27" i="29"/>
  <c r="AS26" i="29"/>
  <c r="AS36" i="29" s="1"/>
  <c r="AS25" i="29"/>
  <c r="AS24" i="29"/>
  <c r="AS23" i="29"/>
  <c r="AS49" i="29" s="1"/>
  <c r="AS22" i="29"/>
  <c r="AS37" i="29" s="1"/>
  <c r="AS21" i="29"/>
  <c r="AS20" i="29"/>
  <c r="AS19" i="29"/>
  <c r="AS42" i="29" s="1"/>
  <c r="AS18" i="29"/>
  <c r="AS17" i="29"/>
  <c r="AS16" i="29"/>
  <c r="AS15" i="29"/>
  <c r="AS44" i="29" s="1"/>
  <c r="AS14" i="29"/>
  <c r="AS34" i="29" s="1"/>
  <c r="AS13" i="29"/>
  <c r="AS33" i="29" s="1"/>
  <c r="AS12" i="29"/>
  <c r="AS11" i="29"/>
  <c r="AS39" i="29" s="1"/>
  <c r="AS10" i="29"/>
  <c r="AS46" i="29" s="1"/>
  <c r="AS9" i="29"/>
  <c r="AS8" i="29"/>
  <c r="AS41" i="29" s="1"/>
  <c r="AS7" i="29"/>
  <c r="AS6" i="29"/>
  <c r="AS47" i="29" s="1"/>
  <c r="AS5" i="29"/>
  <c r="AB19" i="16"/>
  <c r="AB42" i="16" s="1"/>
  <c r="AB13" i="16"/>
  <c r="AB33" i="16" s="1"/>
  <c r="AB7" i="16"/>
  <c r="AB30" i="16"/>
  <c r="AB35" i="16" s="1"/>
  <c r="AB24" i="16"/>
  <c r="AB12" i="16"/>
  <c r="AB6" i="16"/>
  <c r="AB47" i="16" s="1"/>
  <c r="AB29" i="16"/>
  <c r="AB5" i="16"/>
  <c r="AB28" i="16"/>
  <c r="AB43" i="16" s="1"/>
  <c r="AB22" i="16"/>
  <c r="AB37" i="16" s="1"/>
  <c r="AB16" i="16"/>
  <c r="AB10" i="16"/>
  <c r="AB46" i="16" s="1"/>
  <c r="AB27" i="16"/>
  <c r="AB21" i="16"/>
  <c r="AB15" i="16"/>
  <c r="AB44" i="16" s="1"/>
  <c r="AB26" i="16"/>
  <c r="AB36" i="16" s="1"/>
  <c r="AB8" i="16"/>
  <c r="AB41" i="16" s="1"/>
  <c r="AB14" i="16"/>
  <c r="AB34" i="16" s="1"/>
  <c r="AB30" i="37"/>
  <c r="AB35" i="37" s="1"/>
  <c r="AB24" i="37"/>
  <c r="AB18" i="37"/>
  <c r="AB12" i="37"/>
  <c r="AB29" i="37"/>
  <c r="AB23" i="37"/>
  <c r="AB49" i="37" s="1"/>
  <c r="AB17" i="37"/>
  <c r="AB11" i="37"/>
  <c r="AB39" i="37" s="1"/>
  <c r="AB2" i="16"/>
  <c r="AB38" i="16" s="1"/>
  <c r="AB28" i="37"/>
  <c r="AB43" i="37" s="1"/>
  <c r="AB22" i="37"/>
  <c r="AB37" i="37" s="1"/>
  <c r="AB16" i="37"/>
  <c r="AB10" i="37"/>
  <c r="AB46" i="37" s="1"/>
  <c r="AB27" i="37"/>
  <c r="AB21" i="37"/>
  <c r="AB15" i="37"/>
  <c r="AB44" i="37" s="1"/>
  <c r="AB9" i="37"/>
  <c r="AB3" i="37"/>
  <c r="AB32" i="37" s="1"/>
  <c r="AB26" i="37"/>
  <c r="AB36" i="37" s="1"/>
  <c r="AB20" i="37"/>
  <c r="AB20" i="16"/>
  <c r="AB25" i="37"/>
  <c r="AB19" i="37"/>
  <c r="AB42" i="37" s="1"/>
  <c r="AB13" i="37"/>
  <c r="AB33" i="37" s="1"/>
  <c r="AB7" i="37"/>
  <c r="AB14" i="37"/>
  <c r="AB34" i="37" s="1"/>
  <c r="AB8" i="37"/>
  <c r="AB41" i="37" s="1"/>
  <c r="AB6" i="37"/>
  <c r="AB47" i="37" s="1"/>
  <c r="AB5" i="37"/>
  <c r="AB4" i="37"/>
  <c r="AB40" i="37" s="1"/>
  <c r="AB2" i="37"/>
  <c r="AB38" i="37" s="1"/>
  <c r="P28" i="41"/>
  <c r="P43" i="41" s="1"/>
  <c r="P27" i="41"/>
  <c r="P26" i="41"/>
  <c r="P36" i="41" s="1"/>
  <c r="P25" i="41"/>
  <c r="P24" i="41"/>
  <c r="P23" i="41"/>
  <c r="P49" i="41" s="1"/>
  <c r="P22" i="41"/>
  <c r="P37" i="41" s="1"/>
  <c r="P21" i="41"/>
  <c r="P20" i="41"/>
  <c r="P19" i="41"/>
  <c r="P42" i="41" s="1"/>
  <c r="P18" i="41"/>
  <c r="P17" i="41"/>
  <c r="P16" i="41"/>
  <c r="P15" i="41"/>
  <c r="P44" i="41" s="1"/>
  <c r="P29" i="41"/>
  <c r="P30" i="41"/>
  <c r="P35" i="41" s="1"/>
  <c r="P13" i="41"/>
  <c r="P33" i="41" s="1"/>
  <c r="P12" i="41"/>
  <c r="P10" i="41"/>
  <c r="P46" i="41" s="1"/>
  <c r="P9" i="41"/>
  <c r="P8" i="41"/>
  <c r="P41" i="41" s="1"/>
  <c r="P7" i="41"/>
  <c r="P6" i="41"/>
  <c r="P47" i="41" s="1"/>
  <c r="P5" i="41"/>
  <c r="P4" i="41"/>
  <c r="P40" i="41" s="1"/>
  <c r="P3" i="41"/>
  <c r="P32" i="41" s="1"/>
  <c r="P2" i="41"/>
  <c r="P38" i="41" s="1"/>
  <c r="P30" i="29"/>
  <c r="P35" i="29" s="1"/>
  <c r="P29" i="29"/>
  <c r="P28" i="29"/>
  <c r="P43" i="29" s="1"/>
  <c r="P11" i="41"/>
  <c r="P39" i="41" s="1"/>
  <c r="P14" i="41"/>
  <c r="P34" i="41" s="1"/>
  <c r="P26" i="29"/>
  <c r="P36" i="29" s="1"/>
  <c r="P25" i="29"/>
  <c r="P24" i="29"/>
  <c r="P23" i="29"/>
  <c r="P49" i="29" s="1"/>
  <c r="P22" i="29"/>
  <c r="P37" i="29" s="1"/>
  <c r="P21" i="29"/>
  <c r="P20" i="29"/>
  <c r="P19" i="29"/>
  <c r="P42" i="29" s="1"/>
  <c r="P18" i="29"/>
  <c r="P27" i="29"/>
  <c r="AJ2" i="29"/>
  <c r="AJ38" i="29" s="1"/>
  <c r="AV2" i="29"/>
  <c r="AV38" i="29" s="1"/>
  <c r="K3" i="29"/>
  <c r="K32" i="29" s="1"/>
  <c r="AJ3" i="29"/>
  <c r="AJ32" i="29" s="1"/>
  <c r="AV3" i="29"/>
  <c r="AV32" i="29" s="1"/>
  <c r="AJ4" i="29"/>
  <c r="AJ40" i="29" s="1"/>
  <c r="AV4" i="29"/>
  <c r="AV40" i="29" s="1"/>
  <c r="Y5" i="29"/>
  <c r="S6" i="29"/>
  <c r="S47" i="29" s="1"/>
  <c r="AI6" i="29"/>
  <c r="AI47" i="29" s="1"/>
  <c r="AX6" i="29"/>
  <c r="AX47" i="29" s="1"/>
  <c r="AD7" i="29"/>
  <c r="AR7" i="29"/>
  <c r="J8" i="29"/>
  <c r="J41" i="29" s="1"/>
  <c r="Y8" i="29"/>
  <c r="Y41" i="29" s="1"/>
  <c r="S9" i="29"/>
  <c r="AX9" i="29"/>
  <c r="AV11" i="29"/>
  <c r="AV39" i="29" s="1"/>
  <c r="AJ12" i="29"/>
  <c r="G15" i="29"/>
  <c r="G44" i="29" s="1"/>
  <c r="G16" i="29"/>
  <c r="S17" i="29"/>
  <c r="AR19" i="29"/>
  <c r="AR42" i="29" s="1"/>
  <c r="AR22" i="29"/>
  <c r="AR37" i="29" s="1"/>
  <c r="AR25" i="29"/>
  <c r="V29" i="29"/>
  <c r="I29" i="38"/>
  <c r="I27" i="38"/>
  <c r="I25" i="38"/>
  <c r="I23" i="38"/>
  <c r="I49" i="38" s="1"/>
  <c r="I21" i="38"/>
  <c r="I19" i="38"/>
  <c r="I42" i="38" s="1"/>
  <c r="I17" i="38"/>
  <c r="I15" i="38"/>
  <c r="I44" i="38" s="1"/>
  <c r="I13" i="38"/>
  <c r="I33" i="38" s="1"/>
  <c r="I11" i="38"/>
  <c r="I39" i="38" s="1"/>
  <c r="I9" i="38"/>
  <c r="I7" i="38"/>
  <c r="I5" i="38"/>
  <c r="I22" i="38"/>
  <c r="I37" i="38" s="1"/>
  <c r="I10" i="38"/>
  <c r="I46" i="38" s="1"/>
  <c r="I3" i="38"/>
  <c r="I32" i="38" s="1"/>
  <c r="I12" i="38"/>
  <c r="I24" i="38"/>
  <c r="I14" i="38"/>
  <c r="I34" i="38" s="1"/>
  <c r="I26" i="38"/>
  <c r="I36" i="38" s="1"/>
  <c r="I16" i="38"/>
  <c r="I4" i="38"/>
  <c r="I40" i="38" s="1"/>
  <c r="I2" i="38"/>
  <c r="I38" i="38" s="1"/>
  <c r="I28" i="38"/>
  <c r="I43" i="38" s="1"/>
  <c r="I18" i="38"/>
  <c r="I6" i="38"/>
  <c r="I47" i="38" s="1"/>
  <c r="I30" i="38"/>
  <c r="I35" i="38" s="1"/>
  <c r="I20" i="38"/>
  <c r="I8" i="38"/>
  <c r="I41" i="38" s="1"/>
  <c r="I28" i="18"/>
  <c r="I43" i="18" s="1"/>
  <c r="I25" i="18"/>
  <c r="I23" i="18"/>
  <c r="I49" i="18" s="1"/>
  <c r="I21" i="18"/>
  <c r="I19" i="18"/>
  <c r="I42" i="18" s="1"/>
  <c r="I17" i="18"/>
  <c r="I15" i="18"/>
  <c r="I44" i="18" s="1"/>
  <c r="I13" i="18"/>
  <c r="I33" i="18" s="1"/>
  <c r="I11" i="18"/>
  <c r="I39" i="18" s="1"/>
  <c r="I9" i="18"/>
  <c r="I7" i="18"/>
  <c r="I5" i="18"/>
  <c r="I3" i="18"/>
  <c r="I32" i="18" s="1"/>
  <c r="I27" i="18"/>
  <c r="I30" i="18"/>
  <c r="I35" i="18" s="1"/>
  <c r="I26" i="18"/>
  <c r="I36" i="18" s="1"/>
  <c r="I24" i="18"/>
  <c r="I22" i="18"/>
  <c r="I37" i="18" s="1"/>
  <c r="I20" i="18"/>
  <c r="I18" i="18"/>
  <c r="I16" i="18"/>
  <c r="I14" i="18"/>
  <c r="I34" i="18" s="1"/>
  <c r="I12" i="18"/>
  <c r="I10" i="18"/>
  <c r="I46" i="18" s="1"/>
  <c r="I8" i="18"/>
  <c r="I41" i="18" s="1"/>
  <c r="I6" i="18"/>
  <c r="I47" i="18" s="1"/>
  <c r="I4" i="18"/>
  <c r="I40" i="18" s="1"/>
  <c r="I2" i="18"/>
  <c r="I38" i="18" s="1"/>
  <c r="I29" i="18"/>
  <c r="AI28" i="41"/>
  <c r="AI43" i="41" s="1"/>
  <c r="AI27" i="41"/>
  <c r="AI26" i="41"/>
  <c r="AI36" i="41" s="1"/>
  <c r="AI25" i="41"/>
  <c r="AI24" i="41"/>
  <c r="AI23" i="41"/>
  <c r="AI49" i="41" s="1"/>
  <c r="AI22" i="41"/>
  <c r="AI37" i="41" s="1"/>
  <c r="AI21" i="41"/>
  <c r="AI20" i="41"/>
  <c r="AI19" i="41"/>
  <c r="AI42" i="41" s="1"/>
  <c r="AI18" i="41"/>
  <c r="AI17" i="41"/>
  <c r="AI16" i="41"/>
  <c r="AI15" i="41"/>
  <c r="AI44" i="41" s="1"/>
  <c r="AI14" i="41"/>
  <c r="AI34" i="41" s="1"/>
  <c r="AI30" i="41"/>
  <c r="AI35" i="41" s="1"/>
  <c r="AI29" i="41"/>
  <c r="AI13" i="41"/>
  <c r="AI33" i="41" s="1"/>
  <c r="AI10" i="41"/>
  <c r="AI46" i="41" s="1"/>
  <c r="AI9" i="41"/>
  <c r="AI8" i="41"/>
  <c r="AI41" i="41" s="1"/>
  <c r="AI7" i="41"/>
  <c r="AI6" i="41"/>
  <c r="AI47" i="41" s="1"/>
  <c r="AI5" i="41"/>
  <c r="AI4" i="41"/>
  <c r="AI40" i="41" s="1"/>
  <c r="AI3" i="41"/>
  <c r="AI32" i="41" s="1"/>
  <c r="AI2" i="41"/>
  <c r="AI38" i="41" s="1"/>
  <c r="AI12" i="41"/>
  <c r="AI11" i="41"/>
  <c r="AI39" i="41" s="1"/>
  <c r="AI30" i="29"/>
  <c r="AI35" i="29" s="1"/>
  <c r="AI29" i="29"/>
  <c r="AI28" i="29"/>
  <c r="AI43" i="29" s="1"/>
  <c r="AI27" i="29"/>
  <c r="AI26" i="29"/>
  <c r="AI36" i="29" s="1"/>
  <c r="AI25" i="29"/>
  <c r="AI24" i="29"/>
  <c r="AI23" i="29"/>
  <c r="AI49" i="29" s="1"/>
  <c r="AI22" i="29"/>
  <c r="AI37" i="29" s="1"/>
  <c r="AI21" i="29"/>
  <c r="AI20" i="29"/>
  <c r="AI19" i="29"/>
  <c r="AI42" i="29" s="1"/>
  <c r="AI18" i="29"/>
  <c r="AI17" i="29"/>
  <c r="AI16" i="29"/>
  <c r="AI15" i="29"/>
  <c r="AI44" i="29" s="1"/>
  <c r="AI14" i="29"/>
  <c r="AI34" i="29" s="1"/>
  <c r="AI13" i="29"/>
  <c r="AI33" i="29" s="1"/>
  <c r="AI12" i="29"/>
  <c r="AI11" i="29"/>
  <c r="AI39" i="29" s="1"/>
  <c r="AT29" i="41"/>
  <c r="AT28" i="41"/>
  <c r="AT43" i="41" s="1"/>
  <c r="AT27" i="41"/>
  <c r="AT26" i="41"/>
  <c r="AT36" i="41" s="1"/>
  <c r="AT25" i="41"/>
  <c r="AT24" i="41"/>
  <c r="AT23" i="41"/>
  <c r="AT49" i="41" s="1"/>
  <c r="AT22" i="41"/>
  <c r="AT37" i="41" s="1"/>
  <c r="AT21" i="41"/>
  <c r="AT20" i="41"/>
  <c r="AT19" i="41"/>
  <c r="AT42" i="41" s="1"/>
  <c r="AT18" i="41"/>
  <c r="AT17" i="41"/>
  <c r="AT16" i="41"/>
  <c r="AT30" i="41"/>
  <c r="AT35" i="41" s="1"/>
  <c r="AT11" i="41"/>
  <c r="AT39" i="41" s="1"/>
  <c r="AT14" i="41"/>
  <c r="AT34" i="41" s="1"/>
  <c r="AT13" i="41"/>
  <c r="AT33" i="41" s="1"/>
  <c r="AT10" i="41"/>
  <c r="AT46" i="41" s="1"/>
  <c r="AT9" i="41"/>
  <c r="AT8" i="41"/>
  <c r="AT41" i="41" s="1"/>
  <c r="AT7" i="41"/>
  <c r="AT6" i="41"/>
  <c r="AT47" i="41" s="1"/>
  <c r="AT5" i="41"/>
  <c r="AT4" i="41"/>
  <c r="AT40" i="41" s="1"/>
  <c r="AT3" i="41"/>
  <c r="AT32" i="41" s="1"/>
  <c r="AT2" i="41"/>
  <c r="AT38" i="41" s="1"/>
  <c r="AT15" i="41"/>
  <c r="AT44" i="41" s="1"/>
  <c r="AT12" i="41"/>
  <c r="AT30" i="29"/>
  <c r="AT35" i="29" s="1"/>
  <c r="AT29" i="29"/>
  <c r="AT28" i="29"/>
  <c r="AT43" i="29" s="1"/>
  <c r="AT27" i="29"/>
  <c r="AT26" i="29"/>
  <c r="AT36" i="29" s="1"/>
  <c r="AT25" i="29"/>
  <c r="AT24" i="29"/>
  <c r="AT23" i="29"/>
  <c r="AT49" i="29" s="1"/>
  <c r="AT22" i="29"/>
  <c r="AT37" i="29" s="1"/>
  <c r="AT21" i="29"/>
  <c r="AT20" i="29"/>
  <c r="AT19" i="29"/>
  <c r="AT42" i="29" s="1"/>
  <c r="AT18" i="29"/>
  <c r="AT17" i="29"/>
  <c r="AT16" i="29"/>
  <c r="C25" i="16"/>
  <c r="C19" i="16"/>
  <c r="C42" i="16" s="1"/>
  <c r="C13" i="16"/>
  <c r="C33" i="16" s="1"/>
  <c r="C7" i="16"/>
  <c r="C30" i="16"/>
  <c r="C35" i="16" s="1"/>
  <c r="C24" i="16"/>
  <c r="C18" i="16"/>
  <c r="C12" i="16"/>
  <c r="C6" i="16"/>
  <c r="C47" i="16" s="1"/>
  <c r="C29" i="16"/>
  <c r="C23" i="16"/>
  <c r="C49" i="16" s="1"/>
  <c r="C17" i="16"/>
  <c r="C11" i="16"/>
  <c r="C39" i="16" s="1"/>
  <c r="C5" i="16"/>
  <c r="C28" i="16"/>
  <c r="C43" i="16" s="1"/>
  <c r="C22" i="16"/>
  <c r="C37" i="16" s="1"/>
  <c r="C16" i="16"/>
  <c r="C10" i="16"/>
  <c r="C46" i="16" s="1"/>
  <c r="C4" i="16"/>
  <c r="C40" i="16" s="1"/>
  <c r="C27" i="16"/>
  <c r="C21" i="16"/>
  <c r="C15" i="16"/>
  <c r="C44" i="16" s="1"/>
  <c r="C9" i="16"/>
  <c r="C3" i="16"/>
  <c r="C32" i="16" s="1"/>
  <c r="C26" i="16"/>
  <c r="C36" i="16" s="1"/>
  <c r="C20" i="16"/>
  <c r="C14" i="16"/>
  <c r="C34" i="16" s="1"/>
  <c r="C8" i="16"/>
  <c r="C41" i="16" s="1"/>
  <c r="C2" i="16"/>
  <c r="C38" i="16" s="1"/>
  <c r="C29" i="37"/>
  <c r="C23" i="37"/>
  <c r="C49" i="37" s="1"/>
  <c r="C17" i="37"/>
  <c r="C11" i="37"/>
  <c r="C39" i="37" s="1"/>
  <c r="C28" i="37"/>
  <c r="C43" i="37" s="1"/>
  <c r="C22" i="37"/>
  <c r="C37" i="37" s="1"/>
  <c r="C16" i="37"/>
  <c r="C10" i="37"/>
  <c r="C46" i="37" s="1"/>
  <c r="C4" i="37"/>
  <c r="C40" i="37" s="1"/>
  <c r="C27" i="37"/>
  <c r="C21" i="37"/>
  <c r="C15" i="37"/>
  <c r="C44" i="37" s="1"/>
  <c r="C9" i="37"/>
  <c r="C26" i="37"/>
  <c r="C36" i="37" s="1"/>
  <c r="C20" i="37"/>
  <c r="C14" i="37"/>
  <c r="C34" i="37" s="1"/>
  <c r="C8" i="37"/>
  <c r="C41" i="37" s="1"/>
  <c r="C25" i="37"/>
  <c r="C19" i="37"/>
  <c r="C42" i="37" s="1"/>
  <c r="C13" i="37"/>
  <c r="C33" i="37" s="1"/>
  <c r="C24" i="37"/>
  <c r="C7" i="37"/>
  <c r="C6" i="37"/>
  <c r="C47" i="37" s="1"/>
  <c r="C30" i="37"/>
  <c r="C35" i="37" s="1"/>
  <c r="C5" i="37"/>
  <c r="C3" i="37"/>
  <c r="C32" i="37" s="1"/>
  <c r="C2" i="37"/>
  <c r="C38" i="37" s="1"/>
  <c r="C12" i="37"/>
  <c r="C18" i="37"/>
  <c r="F30" i="41"/>
  <c r="F35" i="41" s="1"/>
  <c r="F29" i="41"/>
  <c r="F28" i="41"/>
  <c r="F43" i="41" s="1"/>
  <c r="F27" i="41"/>
  <c r="F26" i="41"/>
  <c r="F36" i="41" s="1"/>
  <c r="F25" i="41"/>
  <c r="F24" i="41"/>
  <c r="F23" i="41"/>
  <c r="F49" i="41" s="1"/>
  <c r="F22" i="41"/>
  <c r="F37" i="41" s="1"/>
  <c r="F21" i="41"/>
  <c r="F20" i="41"/>
  <c r="F19" i="41"/>
  <c r="F42" i="41" s="1"/>
  <c r="F18" i="41"/>
  <c r="F17" i="41"/>
  <c r="F16" i="41"/>
  <c r="F15" i="41"/>
  <c r="F44" i="41" s="1"/>
  <c r="F14" i="41"/>
  <c r="F34" i="41" s="1"/>
  <c r="F13" i="41"/>
  <c r="F33" i="41" s="1"/>
  <c r="F12" i="41"/>
  <c r="F11" i="41"/>
  <c r="F39" i="41" s="1"/>
  <c r="F10" i="41"/>
  <c r="F46" i="41" s="1"/>
  <c r="F9" i="41"/>
  <c r="F8" i="41"/>
  <c r="F41" i="41" s="1"/>
  <c r="F7" i="41"/>
  <c r="F6" i="41"/>
  <c r="F47" i="41" s="1"/>
  <c r="F5" i="41"/>
  <c r="F4" i="41"/>
  <c r="F40" i="41" s="1"/>
  <c r="F3" i="41"/>
  <c r="F32" i="41" s="1"/>
  <c r="F2" i="41"/>
  <c r="F38" i="41" s="1"/>
  <c r="F30" i="29"/>
  <c r="F35" i="29" s="1"/>
  <c r="F29" i="29"/>
  <c r="F28" i="29"/>
  <c r="F43" i="29" s="1"/>
  <c r="F27" i="29"/>
  <c r="F26" i="29"/>
  <c r="F36" i="29" s="1"/>
  <c r="F25" i="29"/>
  <c r="F24" i="29"/>
  <c r="F23" i="29"/>
  <c r="F49" i="29" s="1"/>
  <c r="F22" i="29"/>
  <c r="F37" i="29" s="1"/>
  <c r="F21" i="29"/>
  <c r="F20" i="29"/>
  <c r="F19" i="29"/>
  <c r="F42" i="29" s="1"/>
  <c r="F18" i="29"/>
  <c r="F17" i="29"/>
  <c r="F16" i="29"/>
  <c r="F15" i="29"/>
  <c r="F44" i="29" s="1"/>
  <c r="F14" i="29"/>
  <c r="F34" i="29" s="1"/>
  <c r="F13" i="29"/>
  <c r="F33" i="29" s="1"/>
  <c r="F12" i="29"/>
  <c r="F11" i="29"/>
  <c r="F39" i="29" s="1"/>
  <c r="Q29" i="41"/>
  <c r="Q12" i="41"/>
  <c r="Q24" i="41"/>
  <c r="Q19" i="29"/>
  <c r="Q42" i="29" s="1"/>
  <c r="L2" i="29"/>
  <c r="L38" i="29" s="1"/>
  <c r="X2" i="29"/>
  <c r="X38" i="29" s="1"/>
  <c r="AK2" i="29"/>
  <c r="AK38" i="29" s="1"/>
  <c r="AW2" i="29"/>
  <c r="AW38" i="29" s="1"/>
  <c r="L3" i="29"/>
  <c r="L32" i="29" s="1"/>
  <c r="X3" i="29"/>
  <c r="X32" i="29" s="1"/>
  <c r="AK3" i="29"/>
  <c r="AK32" i="29" s="1"/>
  <c r="AW3" i="29"/>
  <c r="AW32" i="29" s="1"/>
  <c r="L4" i="29"/>
  <c r="L40" i="29" s="1"/>
  <c r="Z5" i="29"/>
  <c r="AO5" i="29"/>
  <c r="F6" i="29"/>
  <c r="F47" i="29" s="1"/>
  <c r="U6" i="29"/>
  <c r="U47" i="29" s="1"/>
  <c r="AJ6" i="29"/>
  <c r="AJ47" i="29" s="1"/>
  <c r="P7" i="29"/>
  <c r="AE7" i="29"/>
  <c r="AT7" i="29"/>
  <c r="Z8" i="29"/>
  <c r="Z41" i="29" s="1"/>
  <c r="AO8" i="29"/>
  <c r="AO41" i="29" s="1"/>
  <c r="F9" i="29"/>
  <c r="U9" i="29"/>
  <c r="P10" i="29"/>
  <c r="P46" i="29" s="1"/>
  <c r="AE10" i="29"/>
  <c r="AE46" i="29" s="1"/>
  <c r="S11" i="29"/>
  <c r="S39" i="29" s="1"/>
  <c r="AO12" i="29"/>
  <c r="AC13" i="29"/>
  <c r="P14" i="29"/>
  <c r="P34" i="29" s="1"/>
  <c r="G20" i="29"/>
  <c r="G23" i="29"/>
  <c r="G49" i="29" s="1"/>
  <c r="AM29" i="29"/>
  <c r="X30" i="41"/>
  <c r="X35" i="41" s="1"/>
  <c r="X29" i="41"/>
  <c r="X28" i="41"/>
  <c r="X43" i="41" s="1"/>
  <c r="X27" i="41"/>
  <c r="X26" i="41"/>
  <c r="X36" i="41" s="1"/>
  <c r="X25" i="41"/>
  <c r="X24" i="41"/>
  <c r="X23" i="41"/>
  <c r="X49" i="41" s="1"/>
  <c r="X22" i="41"/>
  <c r="X37" i="41" s="1"/>
  <c r="X21" i="41"/>
  <c r="X16" i="41"/>
  <c r="X12" i="41"/>
  <c r="X10" i="41"/>
  <c r="X46" i="41" s="1"/>
  <c r="X9" i="41"/>
  <c r="X8" i="41"/>
  <c r="X41" i="41" s="1"/>
  <c r="X7" i="41"/>
  <c r="X6" i="41"/>
  <c r="X47" i="41" s="1"/>
  <c r="X5" i="41"/>
  <c r="X4" i="41"/>
  <c r="X40" i="41" s="1"/>
  <c r="X3" i="41"/>
  <c r="X32" i="41" s="1"/>
  <c r="X2" i="41"/>
  <c r="X38" i="41" s="1"/>
  <c r="X18" i="41"/>
  <c r="X14" i="41"/>
  <c r="X34" i="41" s="1"/>
  <c r="X11" i="41"/>
  <c r="X39" i="41" s="1"/>
  <c r="X20" i="41"/>
  <c r="X17" i="41"/>
  <c r="X15" i="41"/>
  <c r="X44" i="41" s="1"/>
  <c r="X13" i="41"/>
  <c r="X33" i="41" s="1"/>
  <c r="X30" i="29"/>
  <c r="X35" i="29" s="1"/>
  <c r="X29" i="29"/>
  <c r="X28" i="29"/>
  <c r="X43" i="29" s="1"/>
  <c r="X27" i="29"/>
  <c r="X19" i="41"/>
  <c r="X42" i="41" s="1"/>
  <c r="X26" i="29"/>
  <c r="X36" i="29" s="1"/>
  <c r="X25" i="29"/>
  <c r="X24" i="29"/>
  <c r="X23" i="29"/>
  <c r="X49" i="29" s="1"/>
  <c r="X22" i="29"/>
  <c r="X37" i="29" s="1"/>
  <c r="X21" i="29"/>
  <c r="X20" i="29"/>
  <c r="X19" i="29"/>
  <c r="X42" i="29" s="1"/>
  <c r="X18" i="29"/>
  <c r="X17" i="29"/>
  <c r="X16" i="29"/>
  <c r="X15" i="29"/>
  <c r="X44" i="29" s="1"/>
  <c r="X14" i="29"/>
  <c r="X34" i="29" s="1"/>
  <c r="X13" i="29"/>
  <c r="X33" i="29" s="1"/>
  <c r="X12" i="29"/>
  <c r="X11" i="29"/>
  <c r="X39" i="29" s="1"/>
  <c r="X10" i="29"/>
  <c r="X46" i="29" s="1"/>
  <c r="X9" i="29"/>
  <c r="X8" i="29"/>
  <c r="X41" i="29" s="1"/>
  <c r="X7" i="29"/>
  <c r="X6" i="29"/>
  <c r="X47" i="29" s="1"/>
  <c r="X5" i="29"/>
  <c r="AC30" i="41"/>
  <c r="AC28" i="41"/>
  <c r="AC27" i="41"/>
  <c r="AC26" i="41"/>
  <c r="AC25" i="41"/>
  <c r="AC24" i="41"/>
  <c r="AC23" i="41"/>
  <c r="AC22" i="41"/>
  <c r="AC21" i="41"/>
  <c r="AC20" i="41"/>
  <c r="AC19" i="41"/>
  <c r="AC18" i="41"/>
  <c r="AC17" i="41"/>
  <c r="AC16" i="41"/>
  <c r="AC15" i="41"/>
  <c r="AC29" i="41"/>
  <c r="AC14" i="41"/>
  <c r="AC11" i="41"/>
  <c r="AC13" i="41"/>
  <c r="AC12" i="41"/>
  <c r="AC10" i="41"/>
  <c r="AC9" i="41"/>
  <c r="AC8" i="41"/>
  <c r="AC7" i="41"/>
  <c r="AC6" i="41"/>
  <c r="AC5" i="41"/>
  <c r="AC4" i="41"/>
  <c r="AC3" i="41"/>
  <c r="AC2" i="41"/>
  <c r="AC30" i="29"/>
  <c r="AC29" i="29"/>
  <c r="AC28" i="29"/>
  <c r="AC27" i="29"/>
  <c r="AC26" i="29"/>
  <c r="AC25" i="29"/>
  <c r="AC24" i="29"/>
  <c r="AC23" i="29"/>
  <c r="AC22" i="29"/>
  <c r="AC21" i="29"/>
  <c r="AC20" i="29"/>
  <c r="AC19" i="29"/>
  <c r="AC18" i="29"/>
  <c r="AZ28" i="41"/>
  <c r="AZ43" i="41" s="1"/>
  <c r="AZ27" i="41"/>
  <c r="AZ26" i="41"/>
  <c r="AZ36" i="41" s="1"/>
  <c r="AZ25" i="41"/>
  <c r="AZ24" i="41"/>
  <c r="AZ23" i="41"/>
  <c r="AZ49" i="41" s="1"/>
  <c r="AZ22" i="41"/>
  <c r="AZ37" i="41" s="1"/>
  <c r="AZ21" i="41"/>
  <c r="AZ30" i="41"/>
  <c r="AZ35" i="41" s="1"/>
  <c r="AZ29" i="41"/>
  <c r="AZ15" i="41"/>
  <c r="AZ44" i="41" s="1"/>
  <c r="AZ17" i="41"/>
  <c r="AZ12" i="41"/>
  <c r="AZ20" i="41"/>
  <c r="AZ19" i="41"/>
  <c r="AZ42" i="41" s="1"/>
  <c r="AZ16" i="41"/>
  <c r="AZ11" i="41"/>
  <c r="AZ39" i="41" s="1"/>
  <c r="AZ14" i="41"/>
  <c r="AZ34" i="41" s="1"/>
  <c r="AZ18" i="41"/>
  <c r="AZ13" i="41"/>
  <c r="AZ33" i="41" s="1"/>
  <c r="AZ10" i="41"/>
  <c r="AZ46" i="41" s="1"/>
  <c r="AZ9" i="41"/>
  <c r="AZ8" i="41"/>
  <c r="AZ41" i="41" s="1"/>
  <c r="AZ7" i="41"/>
  <c r="AZ6" i="41"/>
  <c r="AZ47" i="41" s="1"/>
  <c r="AZ5" i="41"/>
  <c r="AZ4" i="41"/>
  <c r="AZ40" i="41" s="1"/>
  <c r="AZ3" i="41"/>
  <c r="AZ32" i="41" s="1"/>
  <c r="AZ2" i="41"/>
  <c r="AZ38" i="41" s="1"/>
  <c r="AZ30" i="29"/>
  <c r="AZ35" i="29" s="1"/>
  <c r="AZ29" i="29"/>
  <c r="AZ28" i="29"/>
  <c r="AZ43" i="29" s="1"/>
  <c r="AZ27" i="29"/>
  <c r="AZ26" i="29"/>
  <c r="AZ36" i="29" s="1"/>
  <c r="AZ25" i="29"/>
  <c r="AZ24" i="29"/>
  <c r="AZ23" i="29"/>
  <c r="AZ49" i="29" s="1"/>
  <c r="AZ22" i="29"/>
  <c r="AZ37" i="29" s="1"/>
  <c r="AZ21" i="29"/>
  <c r="AZ20" i="29"/>
  <c r="AZ19" i="29"/>
  <c r="AZ42" i="29" s="1"/>
  <c r="AZ18" i="29"/>
  <c r="AZ17" i="29"/>
  <c r="AZ16" i="29"/>
  <c r="AZ15" i="29"/>
  <c r="AZ44" i="29" s="1"/>
  <c r="AZ14" i="29"/>
  <c r="AZ34" i="29" s="1"/>
  <c r="AZ13" i="29"/>
  <c r="AZ33" i="29" s="1"/>
  <c r="AZ12" i="29"/>
  <c r="AZ11" i="29"/>
  <c r="AZ39" i="29" s="1"/>
  <c r="AZ10" i="29"/>
  <c r="AZ46" i="29" s="1"/>
  <c r="AU29" i="41"/>
  <c r="AU28" i="41"/>
  <c r="AU43" i="41" s="1"/>
  <c r="AU27" i="41"/>
  <c r="AU26" i="41"/>
  <c r="AU36" i="41" s="1"/>
  <c r="AU25" i="41"/>
  <c r="AU24" i="41"/>
  <c r="AU23" i="41"/>
  <c r="AU49" i="41" s="1"/>
  <c r="AU22" i="41"/>
  <c r="AU37" i="41" s="1"/>
  <c r="AU21" i="41"/>
  <c r="AU20" i="41"/>
  <c r="AU19" i="41"/>
  <c r="AU42" i="41" s="1"/>
  <c r="AU18" i="41"/>
  <c r="AU17" i="41"/>
  <c r="AU16" i="41"/>
  <c r="AU15" i="41"/>
  <c r="AU44" i="41" s="1"/>
  <c r="AU14" i="41"/>
  <c r="AU34" i="41" s="1"/>
  <c r="AU30" i="41"/>
  <c r="AU35" i="41" s="1"/>
  <c r="AU13" i="41"/>
  <c r="AU33" i="41" s="1"/>
  <c r="AU10" i="41"/>
  <c r="AU46" i="41" s="1"/>
  <c r="AU9" i="41"/>
  <c r="AU8" i="41"/>
  <c r="AU41" i="41" s="1"/>
  <c r="AU7" i="41"/>
  <c r="AU6" i="41"/>
  <c r="AU47" i="41" s="1"/>
  <c r="AU5" i="41"/>
  <c r="AU4" i="41"/>
  <c r="AU40" i="41" s="1"/>
  <c r="AU3" i="41"/>
  <c r="AU32" i="41" s="1"/>
  <c r="AU2" i="41"/>
  <c r="AU38" i="41" s="1"/>
  <c r="AU12" i="41"/>
  <c r="AU11" i="41"/>
  <c r="AU39" i="41" s="1"/>
  <c r="AU30" i="29"/>
  <c r="AU35" i="29" s="1"/>
  <c r="AU29" i="29"/>
  <c r="AU28" i="29"/>
  <c r="AU43" i="29" s="1"/>
  <c r="AU27" i="29"/>
  <c r="AU26" i="29"/>
  <c r="AU36" i="29" s="1"/>
  <c r="AU25" i="29"/>
  <c r="AU24" i="29"/>
  <c r="AU23" i="29"/>
  <c r="AU49" i="29" s="1"/>
  <c r="AU22" i="29"/>
  <c r="AU37" i="29" s="1"/>
  <c r="AU21" i="29"/>
  <c r="AU20" i="29"/>
  <c r="AU19" i="29"/>
  <c r="AU42" i="29" s="1"/>
  <c r="AU18" i="29"/>
  <c r="AU17" i="29"/>
  <c r="AU16" i="29"/>
  <c r="AU15" i="29"/>
  <c r="AU44" i="29" s="1"/>
  <c r="AU14" i="29"/>
  <c r="AU34" i="29" s="1"/>
  <c r="AU13" i="29"/>
  <c r="AU33" i="29" s="1"/>
  <c r="AU12" i="29"/>
  <c r="AU11" i="29"/>
  <c r="AU39" i="29" s="1"/>
  <c r="AA26" i="16"/>
  <c r="AA36" i="16" s="1"/>
  <c r="AA20" i="16"/>
  <c r="AA14" i="16"/>
  <c r="AA34" i="16" s="1"/>
  <c r="AA8" i="16"/>
  <c r="AA41" i="16" s="1"/>
  <c r="AA2" i="16"/>
  <c r="AA38" i="16" s="1"/>
  <c r="AA25" i="16"/>
  <c r="AA19" i="16"/>
  <c r="AA42" i="16" s="1"/>
  <c r="AA13" i="16"/>
  <c r="AA33" i="16" s="1"/>
  <c r="AA7" i="16"/>
  <c r="AA30" i="16"/>
  <c r="AA35" i="16" s="1"/>
  <c r="AA24" i="16"/>
  <c r="AA18" i="16"/>
  <c r="AA12" i="16"/>
  <c r="AA6" i="16"/>
  <c r="AA47" i="16" s="1"/>
  <c r="AA29" i="16"/>
  <c r="AA23" i="16"/>
  <c r="AA49" i="16" s="1"/>
  <c r="AA17" i="16"/>
  <c r="AA11" i="16"/>
  <c r="AA39" i="16" s="1"/>
  <c r="AA5" i="16"/>
  <c r="AA28" i="16"/>
  <c r="AA43" i="16" s="1"/>
  <c r="AA22" i="16"/>
  <c r="AA37" i="16" s="1"/>
  <c r="AA16" i="16"/>
  <c r="AA10" i="16"/>
  <c r="AA46" i="16" s="1"/>
  <c r="AA4" i="16"/>
  <c r="AA40" i="16" s="1"/>
  <c r="AA27" i="16"/>
  <c r="AA21" i="16"/>
  <c r="AA15" i="16"/>
  <c r="AA44" i="16" s="1"/>
  <c r="AA9" i="16"/>
  <c r="AA3" i="16"/>
  <c r="AA32" i="16" s="1"/>
  <c r="AA30" i="37"/>
  <c r="AA35" i="37" s="1"/>
  <c r="AA24" i="37"/>
  <c r="AA18" i="37"/>
  <c r="AA12" i="37"/>
  <c r="AA29" i="37"/>
  <c r="AA23" i="37"/>
  <c r="AA49" i="37" s="1"/>
  <c r="AA17" i="37"/>
  <c r="AA11" i="37"/>
  <c r="AA39" i="37" s="1"/>
  <c r="AA5" i="37"/>
  <c r="AA28" i="37"/>
  <c r="AA43" i="37" s="1"/>
  <c r="AA22" i="37"/>
  <c r="AA37" i="37" s="1"/>
  <c r="AA16" i="37"/>
  <c r="AA10" i="37"/>
  <c r="AA46" i="37" s="1"/>
  <c r="AA27" i="37"/>
  <c r="AA21" i="37"/>
  <c r="AA15" i="37"/>
  <c r="AA44" i="37" s="1"/>
  <c r="AA9" i="37"/>
  <c r="AA26" i="37"/>
  <c r="AA36" i="37" s="1"/>
  <c r="AA20" i="37"/>
  <c r="AA14" i="37"/>
  <c r="AA34" i="37" s="1"/>
  <c r="AA13" i="37"/>
  <c r="AA33" i="37" s="1"/>
  <c r="AA19" i="37"/>
  <c r="AA42" i="37" s="1"/>
  <c r="AA7" i="37"/>
  <c r="AA8" i="37"/>
  <c r="AA41" i="37" s="1"/>
  <c r="AA6" i="37"/>
  <c r="AA47" i="37" s="1"/>
  <c r="AA45" i="37" s="1"/>
  <c r="AA25" i="37"/>
  <c r="AA4" i="37"/>
  <c r="AA40" i="37" s="1"/>
  <c r="AA3" i="37"/>
  <c r="AA32" i="37" s="1"/>
  <c r="AA2" i="37"/>
  <c r="AA38" i="37" s="1"/>
  <c r="G30" i="41"/>
  <c r="G35" i="41" s="1"/>
  <c r="G29" i="41"/>
  <c r="G28" i="41"/>
  <c r="G43" i="41" s="1"/>
  <c r="G27" i="41"/>
  <c r="G26" i="41"/>
  <c r="G36" i="41" s="1"/>
  <c r="G25" i="41"/>
  <c r="G18" i="41"/>
  <c r="G21" i="41"/>
  <c r="G12" i="41"/>
  <c r="G20" i="41"/>
  <c r="G17" i="41"/>
  <c r="G22" i="41"/>
  <c r="G37" i="41" s="1"/>
  <c r="G10" i="41"/>
  <c r="G46" i="41" s="1"/>
  <c r="G9" i="41"/>
  <c r="G8" i="41"/>
  <c r="G41" i="41" s="1"/>
  <c r="G7" i="41"/>
  <c r="G6" i="41"/>
  <c r="G47" i="41" s="1"/>
  <c r="G5" i="41"/>
  <c r="G4" i="41"/>
  <c r="G40" i="41" s="1"/>
  <c r="G3" i="41"/>
  <c r="G32" i="41" s="1"/>
  <c r="G2" i="41"/>
  <c r="G38" i="41" s="1"/>
  <c r="G23" i="41"/>
  <c r="G49" i="41" s="1"/>
  <c r="G15" i="41"/>
  <c r="G44" i="41" s="1"/>
  <c r="G14" i="41"/>
  <c r="G34" i="41" s="1"/>
  <c r="G11" i="41"/>
  <c r="G39" i="41" s="1"/>
  <c r="G19" i="41"/>
  <c r="G42" i="41" s="1"/>
  <c r="G24" i="41"/>
  <c r="G13" i="41"/>
  <c r="G33" i="41" s="1"/>
  <c r="G16" i="41"/>
  <c r="G27" i="29"/>
  <c r="R29" i="41"/>
  <c r="R30" i="41"/>
  <c r="R35" i="41" s="1"/>
  <c r="R28" i="41"/>
  <c r="R43" i="41" s="1"/>
  <c r="R27" i="41"/>
  <c r="R26" i="41"/>
  <c r="R36" i="41" s="1"/>
  <c r="R25" i="41"/>
  <c r="R24" i="41"/>
  <c r="R23" i="41"/>
  <c r="R49" i="41" s="1"/>
  <c r="R22" i="41"/>
  <c r="R37" i="41" s="1"/>
  <c r="R21" i="41"/>
  <c r="R20" i="41"/>
  <c r="R19" i="41"/>
  <c r="R42" i="41" s="1"/>
  <c r="R18" i="41"/>
  <c r="R17" i="41"/>
  <c r="R16" i="41"/>
  <c r="R15" i="41"/>
  <c r="R44" i="41" s="1"/>
  <c r="R14" i="41"/>
  <c r="R34" i="41" s="1"/>
  <c r="R13" i="41"/>
  <c r="R33" i="41" s="1"/>
  <c r="R12" i="41"/>
  <c r="R11" i="41"/>
  <c r="R39" i="41" s="1"/>
  <c r="R10" i="41"/>
  <c r="R46" i="41" s="1"/>
  <c r="R45" i="41" s="1"/>
  <c r="R9" i="41"/>
  <c r="R8" i="41"/>
  <c r="R41" i="41" s="1"/>
  <c r="R7" i="41"/>
  <c r="R6" i="41"/>
  <c r="R47" i="41" s="1"/>
  <c r="R5" i="41"/>
  <c r="R4" i="41"/>
  <c r="R40" i="41" s="1"/>
  <c r="R3" i="41"/>
  <c r="R32" i="41" s="1"/>
  <c r="R2" i="41"/>
  <c r="R38" i="41" s="1"/>
  <c r="R30" i="29"/>
  <c r="R35" i="29" s="1"/>
  <c r="R29" i="29"/>
  <c r="R28" i="29"/>
  <c r="R43" i="29" s="1"/>
  <c r="R27" i="29"/>
  <c r="R26" i="29"/>
  <c r="R36" i="29" s="1"/>
  <c r="R25" i="29"/>
  <c r="R24" i="29"/>
  <c r="R23" i="29"/>
  <c r="R49" i="29" s="1"/>
  <c r="R22" i="29"/>
  <c r="R37" i="29" s="1"/>
  <c r="R21" i="29"/>
  <c r="R20" i="29"/>
  <c r="R19" i="29"/>
  <c r="R42" i="29" s="1"/>
  <c r="R18" i="29"/>
  <c r="R17" i="29"/>
  <c r="R16" i="29"/>
  <c r="R15" i="29"/>
  <c r="R44" i="29" s="1"/>
  <c r="R14" i="29"/>
  <c r="R34" i="29" s="1"/>
  <c r="R13" i="29"/>
  <c r="R33" i="29" s="1"/>
  <c r="R12" i="29"/>
  <c r="R11" i="29"/>
  <c r="R39" i="29" s="1"/>
  <c r="Y2" i="29"/>
  <c r="Y38" i="29" s="1"/>
  <c r="AL2" i="29"/>
  <c r="AL38" i="29" s="1"/>
  <c r="AX2" i="29"/>
  <c r="AX38" i="29" s="1"/>
  <c r="Y3" i="29"/>
  <c r="Y32" i="29" s="1"/>
  <c r="AL3" i="29"/>
  <c r="AL32" i="29" s="1"/>
  <c r="AX3" i="29"/>
  <c r="AX32" i="29" s="1"/>
  <c r="Y4" i="29"/>
  <c r="Y40" i="29" s="1"/>
  <c r="AL4" i="29"/>
  <c r="AL40" i="29" s="1"/>
  <c r="AX4" i="29"/>
  <c r="AX40" i="29" s="1"/>
  <c r="AP5" i="29"/>
  <c r="G6" i="29"/>
  <c r="G47" i="29" s="1"/>
  <c r="V6" i="29"/>
  <c r="V47" i="29" s="1"/>
  <c r="AL6" i="29"/>
  <c r="AL47" i="29" s="1"/>
  <c r="AZ6" i="29"/>
  <c r="AZ47" i="29" s="1"/>
  <c r="AZ45" i="29" s="1"/>
  <c r="Q7" i="29"/>
  <c r="AU7" i="29"/>
  <c r="AP8" i="29"/>
  <c r="AP41" i="29" s="1"/>
  <c r="G9" i="29"/>
  <c r="V9" i="29"/>
  <c r="AZ9" i="29"/>
  <c r="AV10" i="29"/>
  <c r="AV46" i="29" s="1"/>
  <c r="AV45" i="29" s="1"/>
  <c r="U11" i="29"/>
  <c r="U39" i="29" s="1"/>
  <c r="G12" i="29"/>
  <c r="AR12" i="29"/>
  <c r="S14" i="29"/>
  <c r="S34" i="29" s="1"/>
  <c r="P15" i="29"/>
  <c r="P44" i="29" s="1"/>
  <c r="P16" i="29"/>
  <c r="S20" i="29"/>
  <c r="S23" i="29"/>
  <c r="S49" i="29" s="1"/>
  <c r="G30" i="29"/>
  <c r="G35" i="29" s="1"/>
  <c r="M28" i="41"/>
  <c r="M43" i="41" s="1"/>
  <c r="M27" i="41"/>
  <c r="M7" i="41"/>
  <c r="M6" i="41"/>
  <c r="M47" i="41" s="1"/>
  <c r="M13" i="41"/>
  <c r="M33" i="41" s="1"/>
  <c r="M16" i="41"/>
  <c r="M18" i="29"/>
  <c r="M17" i="29"/>
  <c r="H30" i="38"/>
  <c r="H35" i="38" s="1"/>
  <c r="H28" i="38"/>
  <c r="H43" i="38" s="1"/>
  <c r="H26" i="38"/>
  <c r="H36" i="38" s="1"/>
  <c r="H24" i="38"/>
  <c r="H22" i="38"/>
  <c r="H37" i="38" s="1"/>
  <c r="H20" i="38"/>
  <c r="H18" i="38"/>
  <c r="H16" i="38"/>
  <c r="H14" i="38"/>
  <c r="H34" i="38" s="1"/>
  <c r="H12" i="38"/>
  <c r="H10" i="38"/>
  <c r="H46" i="38" s="1"/>
  <c r="H8" i="38"/>
  <c r="H41" i="38" s="1"/>
  <c r="H6" i="38"/>
  <c r="H47" i="38" s="1"/>
  <c r="H4" i="38"/>
  <c r="H40" i="38" s="1"/>
  <c r="H2" i="38"/>
  <c r="H38" i="38" s="1"/>
  <c r="H29" i="38"/>
  <c r="H27" i="38"/>
  <c r="H25" i="38"/>
  <c r="H23" i="38"/>
  <c r="H49" i="38" s="1"/>
  <c r="H21" i="38"/>
  <c r="H19" i="38"/>
  <c r="H42" i="38" s="1"/>
  <c r="H17" i="38"/>
  <c r="H15" i="38"/>
  <c r="H44" i="38" s="1"/>
  <c r="H13" i="38"/>
  <c r="H33" i="38" s="1"/>
  <c r="H11" i="38"/>
  <c r="H39" i="38" s="1"/>
  <c r="H9" i="38"/>
  <c r="H7" i="38"/>
  <c r="H5" i="38"/>
  <c r="H3" i="38"/>
  <c r="H32" i="38" s="1"/>
  <c r="H29" i="18"/>
  <c r="H28" i="18"/>
  <c r="H43" i="18" s="1"/>
  <c r="H25" i="18"/>
  <c r="H23" i="18"/>
  <c r="H49" i="18" s="1"/>
  <c r="H21" i="18"/>
  <c r="H19" i="18"/>
  <c r="H42" i="18" s="1"/>
  <c r="H17" i="18"/>
  <c r="H15" i="18"/>
  <c r="H44" i="18" s="1"/>
  <c r="H13" i="18"/>
  <c r="H33" i="18" s="1"/>
  <c r="H11" i="18"/>
  <c r="H39" i="18" s="1"/>
  <c r="H9" i="18"/>
  <c r="H7" i="18"/>
  <c r="H5" i="18"/>
  <c r="H3" i="18"/>
  <c r="H32" i="18" s="1"/>
  <c r="H27" i="18"/>
  <c r="H30" i="18"/>
  <c r="H35" i="18" s="1"/>
  <c r="H26" i="18"/>
  <c r="H36" i="18" s="1"/>
  <c r="H24" i="18"/>
  <c r="H22" i="18"/>
  <c r="H37" i="18" s="1"/>
  <c r="H20" i="18"/>
  <c r="H18" i="18"/>
  <c r="H16" i="18"/>
  <c r="H14" i="18"/>
  <c r="H34" i="18" s="1"/>
  <c r="H12" i="18"/>
  <c r="H10" i="18"/>
  <c r="H46" i="18" s="1"/>
  <c r="H45" i="18" s="1"/>
  <c r="H8" i="18"/>
  <c r="H41" i="18" s="1"/>
  <c r="H6" i="18"/>
  <c r="H47" i="18" s="1"/>
  <c r="H4" i="18"/>
  <c r="H40" i="18" s="1"/>
  <c r="H2" i="18"/>
  <c r="H38" i="18" s="1"/>
  <c r="AJ28" i="41"/>
  <c r="AJ43" i="41" s="1"/>
  <c r="AJ27" i="41"/>
  <c r="AJ26" i="41"/>
  <c r="AJ36" i="41" s="1"/>
  <c r="AJ25" i="41"/>
  <c r="AJ24" i="41"/>
  <c r="AJ23" i="41"/>
  <c r="AJ49" i="41" s="1"/>
  <c r="AJ22" i="41"/>
  <c r="AJ37" i="41" s="1"/>
  <c r="AJ30" i="41"/>
  <c r="AJ35" i="41" s="1"/>
  <c r="AJ29" i="41"/>
  <c r="AJ13" i="41"/>
  <c r="AJ33" i="41" s="1"/>
  <c r="AJ21" i="41"/>
  <c r="AJ20" i="41"/>
  <c r="AJ17" i="41"/>
  <c r="AJ15" i="41"/>
  <c r="AJ44" i="41" s="1"/>
  <c r="AJ10" i="41"/>
  <c r="AJ46" i="41" s="1"/>
  <c r="AJ45" i="41" s="1"/>
  <c r="AJ9" i="41"/>
  <c r="AJ8" i="41"/>
  <c r="AJ41" i="41" s="1"/>
  <c r="AJ7" i="41"/>
  <c r="AJ6" i="41"/>
  <c r="AJ47" i="41" s="1"/>
  <c r="AJ5" i="41"/>
  <c r="AJ4" i="41"/>
  <c r="AJ40" i="41" s="1"/>
  <c r="AJ3" i="41"/>
  <c r="AJ32" i="41" s="1"/>
  <c r="AJ2" i="41"/>
  <c r="AJ38" i="41" s="1"/>
  <c r="AJ12" i="41"/>
  <c r="AJ19" i="41"/>
  <c r="AJ42" i="41" s="1"/>
  <c r="AJ16" i="41"/>
  <c r="AJ11" i="41"/>
  <c r="AJ39" i="41" s="1"/>
  <c r="AJ18" i="41"/>
  <c r="AJ14" i="41"/>
  <c r="AJ34" i="41" s="1"/>
  <c r="AJ30" i="29"/>
  <c r="AJ35" i="29" s="1"/>
  <c r="AJ29" i="29"/>
  <c r="AJ28" i="29"/>
  <c r="AJ43" i="29" s="1"/>
  <c r="AJ27" i="29"/>
  <c r="AJ26" i="29"/>
  <c r="AJ36" i="29" s="1"/>
  <c r="AJ25" i="29"/>
  <c r="AJ24" i="29"/>
  <c r="AJ23" i="29"/>
  <c r="AJ49" i="29" s="1"/>
  <c r="AJ22" i="29"/>
  <c r="AJ37" i="29" s="1"/>
  <c r="AJ21" i="29"/>
  <c r="AJ20" i="29"/>
  <c r="AJ19" i="29"/>
  <c r="AJ42" i="29" s="1"/>
  <c r="AJ18" i="29"/>
  <c r="AJ17" i="29"/>
  <c r="AJ16" i="29"/>
  <c r="AJ15" i="29"/>
  <c r="AJ44" i="29" s="1"/>
  <c r="AJ14" i="29"/>
  <c r="AJ34" i="29" s="1"/>
  <c r="AY23" i="41"/>
  <c r="AY49" i="41" s="1"/>
  <c r="AY14" i="41"/>
  <c r="AY34" i="41" s="1"/>
  <c r="AY30" i="29"/>
  <c r="AY35" i="29" s="1"/>
  <c r="AY18" i="29"/>
  <c r="H30" i="41"/>
  <c r="H35" i="41" s="1"/>
  <c r="H29" i="41"/>
  <c r="H28" i="41"/>
  <c r="H43" i="41" s="1"/>
  <c r="H27" i="41"/>
  <c r="H26" i="41"/>
  <c r="H36" i="41" s="1"/>
  <c r="H25" i="41"/>
  <c r="H24" i="41"/>
  <c r="H23" i="41"/>
  <c r="H49" i="41" s="1"/>
  <c r="H22" i="41"/>
  <c r="H37" i="41" s="1"/>
  <c r="H21" i="41"/>
  <c r="H20" i="41"/>
  <c r="H19" i="41"/>
  <c r="H42" i="41" s="1"/>
  <c r="H18" i="41"/>
  <c r="H17" i="41"/>
  <c r="H16" i="41"/>
  <c r="H15" i="41"/>
  <c r="H44" i="41" s="1"/>
  <c r="H14" i="41"/>
  <c r="H34" i="41" s="1"/>
  <c r="H13" i="41"/>
  <c r="H33" i="41" s="1"/>
  <c r="H12" i="41"/>
  <c r="H11" i="41"/>
  <c r="H39" i="41" s="1"/>
  <c r="H10" i="41"/>
  <c r="H46" i="41" s="1"/>
  <c r="H9" i="41"/>
  <c r="H8" i="41"/>
  <c r="H41" i="41" s="1"/>
  <c r="H7" i="41"/>
  <c r="H6" i="41"/>
  <c r="H47" i="41" s="1"/>
  <c r="H5" i="41"/>
  <c r="H4" i="41"/>
  <c r="H40" i="41" s="1"/>
  <c r="H3" i="41"/>
  <c r="H32" i="41" s="1"/>
  <c r="H2" i="41"/>
  <c r="H38" i="41" s="1"/>
  <c r="H30" i="29"/>
  <c r="H35" i="29" s="1"/>
  <c r="H29" i="29"/>
  <c r="H28" i="29"/>
  <c r="H43" i="29" s="1"/>
  <c r="H26" i="29"/>
  <c r="H36" i="29" s="1"/>
  <c r="H25" i="29"/>
  <c r="H24" i="29"/>
  <c r="H23" i="29"/>
  <c r="H49" i="29" s="1"/>
  <c r="H22" i="29"/>
  <c r="H37" i="29" s="1"/>
  <c r="H21" i="29"/>
  <c r="H20" i="29"/>
  <c r="H19" i="29"/>
  <c r="H42" i="29" s="1"/>
  <c r="H18" i="29"/>
  <c r="H17" i="29"/>
  <c r="H16" i="29"/>
  <c r="H15" i="29"/>
  <c r="H44" i="29" s="1"/>
  <c r="H14" i="29"/>
  <c r="H34" i="29" s="1"/>
  <c r="H13" i="29"/>
  <c r="H33" i="29" s="1"/>
  <c r="H12" i="29"/>
  <c r="H11" i="29"/>
  <c r="H39" i="29" s="1"/>
  <c r="H10" i="29"/>
  <c r="H46" i="29" s="1"/>
  <c r="H9" i="29"/>
  <c r="H8" i="29"/>
  <c r="H41" i="29" s="1"/>
  <c r="H7" i="29"/>
  <c r="H6" i="29"/>
  <c r="H47" i="29" s="1"/>
  <c r="S30" i="41"/>
  <c r="S35" i="41" s="1"/>
  <c r="S28" i="41"/>
  <c r="S43" i="41" s="1"/>
  <c r="S27" i="41"/>
  <c r="S26" i="41"/>
  <c r="S36" i="41" s="1"/>
  <c r="S25" i="41"/>
  <c r="S24" i="41"/>
  <c r="S19" i="41"/>
  <c r="S42" i="41" s="1"/>
  <c r="S13" i="41"/>
  <c r="S33" i="41" s="1"/>
  <c r="S29" i="41"/>
  <c r="S22" i="41"/>
  <c r="S37" i="41" s="1"/>
  <c r="S16" i="41"/>
  <c r="S23" i="41"/>
  <c r="S49" i="41" s="1"/>
  <c r="S18" i="41"/>
  <c r="S12" i="41"/>
  <c r="S10" i="41"/>
  <c r="S46" i="41" s="1"/>
  <c r="S45" i="41" s="1"/>
  <c r="S9" i="41"/>
  <c r="S8" i="41"/>
  <c r="S41" i="41" s="1"/>
  <c r="S7" i="41"/>
  <c r="S6" i="41"/>
  <c r="S47" i="41" s="1"/>
  <c r="S5" i="41"/>
  <c r="S4" i="41"/>
  <c r="S40" i="41" s="1"/>
  <c r="S3" i="41"/>
  <c r="S32" i="41" s="1"/>
  <c r="S2" i="41"/>
  <c r="S38" i="41" s="1"/>
  <c r="S21" i="41"/>
  <c r="S20" i="41"/>
  <c r="S17" i="41"/>
  <c r="S14" i="41"/>
  <c r="S34" i="41" s="1"/>
  <c r="S11" i="41"/>
  <c r="S39" i="41" s="1"/>
  <c r="S15" i="41"/>
  <c r="S44" i="41" s="1"/>
  <c r="S30" i="29"/>
  <c r="S35" i="29" s="1"/>
  <c r="S29" i="29"/>
  <c r="S28" i="29"/>
  <c r="S43" i="29" s="1"/>
  <c r="S27" i="29"/>
  <c r="N2" i="29"/>
  <c r="N38" i="29" s="1"/>
  <c r="Z2" i="29"/>
  <c r="Z38" i="29" s="1"/>
  <c r="AM2" i="29"/>
  <c r="AM38" i="29" s="1"/>
  <c r="N3" i="29"/>
  <c r="N32" i="29" s="1"/>
  <c r="Z3" i="29"/>
  <c r="Z32" i="29" s="1"/>
  <c r="AM3" i="29"/>
  <c r="AM32" i="29" s="1"/>
  <c r="N4" i="29"/>
  <c r="N40" i="29" s="1"/>
  <c r="Z4" i="29"/>
  <c r="Z40" i="29" s="1"/>
  <c r="AM4" i="29"/>
  <c r="AM40" i="29" s="1"/>
  <c r="N5" i="29"/>
  <c r="AC5" i="29"/>
  <c r="W6" i="29"/>
  <c r="W47" i="29" s="1"/>
  <c r="AM6" i="29"/>
  <c r="AM47" i="29" s="1"/>
  <c r="R7" i="29"/>
  <c r="AH7" i="29"/>
  <c r="N8" i="29"/>
  <c r="N41" i="29" s="1"/>
  <c r="AC8" i="29"/>
  <c r="AQ8" i="29"/>
  <c r="AQ41" i="29" s="1"/>
  <c r="AM9" i="29"/>
  <c r="R10" i="29"/>
  <c r="R46" i="29" s="1"/>
  <c r="R45" i="29" s="1"/>
  <c r="AH10" i="29"/>
  <c r="AH46" i="29" s="1"/>
  <c r="AH45" i="29" s="1"/>
  <c r="W11" i="29"/>
  <c r="W39" i="29" s="1"/>
  <c r="AT12" i="29"/>
  <c r="AH13" i="29"/>
  <c r="AH33" i="29" s="1"/>
  <c r="U14" i="29"/>
  <c r="U34" i="29" s="1"/>
  <c r="S15" i="29"/>
  <c r="S44" i="29" s="1"/>
  <c r="S16" i="29"/>
  <c r="AO17" i="29"/>
  <c r="AD29" i="41"/>
  <c r="AD14" i="41"/>
  <c r="AD34" i="41" s="1"/>
  <c r="AD11" i="41"/>
  <c r="AD39" i="41" s="1"/>
  <c r="AD26" i="41"/>
  <c r="AD36" i="41" s="1"/>
  <c r="AD22" i="41"/>
  <c r="AD37" i="41" s="1"/>
  <c r="AD21" i="41"/>
  <c r="AD20" i="41"/>
  <c r="AD17" i="41"/>
  <c r="AD23" i="41"/>
  <c r="AD49" i="41" s="1"/>
  <c r="AD15" i="41"/>
  <c r="AD44" i="41" s="1"/>
  <c r="AD13" i="41"/>
  <c r="AD33" i="41" s="1"/>
  <c r="AD28" i="41"/>
  <c r="AD43" i="41" s="1"/>
  <c r="AD25" i="41"/>
  <c r="AD19" i="41"/>
  <c r="AD42" i="41" s="1"/>
  <c r="AD16" i="41"/>
  <c r="AD12" i="41"/>
  <c r="AD10" i="41"/>
  <c r="AD46" i="41" s="1"/>
  <c r="AD9" i="41"/>
  <c r="AD8" i="41"/>
  <c r="AD41" i="41" s="1"/>
  <c r="AD7" i="41"/>
  <c r="AD6" i="41"/>
  <c r="AD47" i="41" s="1"/>
  <c r="AD5" i="41"/>
  <c r="AD4" i="41"/>
  <c r="AD40" i="41" s="1"/>
  <c r="AD3" i="41"/>
  <c r="AD32" i="41" s="1"/>
  <c r="AD2" i="41"/>
  <c r="AD38" i="41" s="1"/>
  <c r="AD27" i="41"/>
  <c r="AD24" i="41"/>
  <c r="AD30" i="41"/>
  <c r="AD35" i="41" s="1"/>
  <c r="AD18" i="41"/>
  <c r="AD26" i="29"/>
  <c r="AD36" i="29" s="1"/>
  <c r="AD25" i="29"/>
  <c r="AD24" i="29"/>
  <c r="AD23" i="29"/>
  <c r="AD49" i="29" s="1"/>
  <c r="AD22" i="29"/>
  <c r="AD37" i="29" s="1"/>
  <c r="AD21" i="29"/>
  <c r="AD20" i="29"/>
  <c r="AD19" i="29"/>
  <c r="AD42" i="29" s="1"/>
  <c r="AD18" i="29"/>
  <c r="AD17" i="29"/>
  <c r="AD16" i="29"/>
  <c r="AD15" i="29"/>
  <c r="AD44" i="29" s="1"/>
  <c r="AD14" i="29"/>
  <c r="AD34" i="29" s="1"/>
  <c r="AD13" i="29"/>
  <c r="AD33" i="29" s="1"/>
  <c r="AD12" i="29"/>
  <c r="AD30" i="29"/>
  <c r="AD35" i="29" s="1"/>
  <c r="AD29" i="29"/>
  <c r="AD28" i="29"/>
  <c r="AD43" i="29" s="1"/>
  <c r="AD27" i="29"/>
  <c r="AK30" i="41"/>
  <c r="AK35" i="41" s="1"/>
  <c r="AK29" i="41"/>
  <c r="AK28" i="41"/>
  <c r="AK43" i="41" s="1"/>
  <c r="AK27" i="41"/>
  <c r="AK26" i="41"/>
  <c r="AK36" i="41" s="1"/>
  <c r="AK25" i="41"/>
  <c r="AK24" i="41"/>
  <c r="AK23" i="41"/>
  <c r="AK49" i="41" s="1"/>
  <c r="AK22" i="41"/>
  <c r="AK37" i="41" s="1"/>
  <c r="AK21" i="41"/>
  <c r="AK20" i="41"/>
  <c r="AK17" i="41"/>
  <c r="AK15" i="41"/>
  <c r="AK44" i="41" s="1"/>
  <c r="AK10" i="41"/>
  <c r="AK46" i="41" s="1"/>
  <c r="AK45" i="41" s="1"/>
  <c r="AK9" i="41"/>
  <c r="AK8" i="41"/>
  <c r="AK41" i="41" s="1"/>
  <c r="AK7" i="41"/>
  <c r="AK6" i="41"/>
  <c r="AK47" i="41" s="1"/>
  <c r="AK5" i="41"/>
  <c r="AK4" i="41"/>
  <c r="AK40" i="41" s="1"/>
  <c r="AK3" i="41"/>
  <c r="AK32" i="41" s="1"/>
  <c r="AK2" i="41"/>
  <c r="AK38" i="41" s="1"/>
  <c r="AK12" i="41"/>
  <c r="AK19" i="41"/>
  <c r="AK42" i="41" s="1"/>
  <c r="AK16" i="41"/>
  <c r="AK11" i="41"/>
  <c r="AK39" i="41" s="1"/>
  <c r="AK18" i="41"/>
  <c r="AK14" i="41"/>
  <c r="AK34" i="41" s="1"/>
  <c r="AK30" i="29"/>
  <c r="AK35" i="29" s="1"/>
  <c r="AK29" i="29"/>
  <c r="AK28" i="29"/>
  <c r="AK43" i="29" s="1"/>
  <c r="AK27" i="29"/>
  <c r="AK13" i="41"/>
  <c r="AK33" i="41" s="1"/>
  <c r="AK26" i="29"/>
  <c r="AK36" i="29" s="1"/>
  <c r="AK25" i="29"/>
  <c r="AK24" i="29"/>
  <c r="AK23" i="29"/>
  <c r="AK49" i="29" s="1"/>
  <c r="AK22" i="29"/>
  <c r="AK37" i="29" s="1"/>
  <c r="AK21" i="29"/>
  <c r="AK20" i="29"/>
  <c r="AK19" i="29"/>
  <c r="AK42" i="29" s="1"/>
  <c r="AK18" i="29"/>
  <c r="AK17" i="29"/>
  <c r="AK16" i="29"/>
  <c r="AK15" i="29"/>
  <c r="AK44" i="29" s="1"/>
  <c r="AK14" i="29"/>
  <c r="AK34" i="29" s="1"/>
  <c r="AK13" i="29"/>
  <c r="AK33" i="29" s="1"/>
  <c r="AK12" i="29"/>
  <c r="AK11" i="29"/>
  <c r="AK39" i="29" s="1"/>
  <c r="AK10" i="29"/>
  <c r="AK46" i="29" s="1"/>
  <c r="AK45" i="29" s="1"/>
  <c r="AK9" i="29"/>
  <c r="AK8" i="29"/>
  <c r="AK41" i="29" s="1"/>
  <c r="AK7" i="29"/>
  <c r="AK6" i="29"/>
  <c r="AK47" i="29" s="1"/>
  <c r="AK5" i="29"/>
  <c r="AV29" i="41"/>
  <c r="AV28" i="41"/>
  <c r="AV43" i="41" s="1"/>
  <c r="AV27" i="41"/>
  <c r="AV26" i="41"/>
  <c r="AV36" i="41" s="1"/>
  <c r="AV25" i="41"/>
  <c r="AV24" i="41"/>
  <c r="AV23" i="41"/>
  <c r="AV49" i="41" s="1"/>
  <c r="AV22" i="41"/>
  <c r="AV37" i="41" s="1"/>
  <c r="AV21" i="41"/>
  <c r="AV30" i="41"/>
  <c r="AV35" i="41" s="1"/>
  <c r="AV14" i="41"/>
  <c r="AV34" i="41" s="1"/>
  <c r="AV18" i="41"/>
  <c r="AV13" i="41"/>
  <c r="AV33" i="41" s="1"/>
  <c r="AV10" i="41"/>
  <c r="AV46" i="41" s="1"/>
  <c r="AV9" i="41"/>
  <c r="AV8" i="41"/>
  <c r="AV41" i="41" s="1"/>
  <c r="AV7" i="41"/>
  <c r="AV6" i="41"/>
  <c r="AV47" i="41" s="1"/>
  <c r="AV5" i="41"/>
  <c r="AV4" i="41"/>
  <c r="AV40" i="41" s="1"/>
  <c r="AV3" i="41"/>
  <c r="AV32" i="41" s="1"/>
  <c r="AV2" i="41"/>
  <c r="AV38" i="41" s="1"/>
  <c r="AV15" i="41"/>
  <c r="AV44" i="41" s="1"/>
  <c r="AV17" i="41"/>
  <c r="AV12" i="41"/>
  <c r="AV20" i="41"/>
  <c r="AV19" i="41"/>
  <c r="AV42" i="41" s="1"/>
  <c r="AV16" i="41"/>
  <c r="AV11" i="41"/>
  <c r="AV39" i="41" s="1"/>
  <c r="AV30" i="29"/>
  <c r="AV35" i="29" s="1"/>
  <c r="AV29" i="29"/>
  <c r="AV28" i="29"/>
  <c r="AV43" i="29" s="1"/>
  <c r="AV27" i="29"/>
  <c r="AV26" i="29"/>
  <c r="AV36" i="29" s="1"/>
  <c r="AV25" i="29"/>
  <c r="AV24" i="29"/>
  <c r="AV23" i="29"/>
  <c r="AV49" i="29" s="1"/>
  <c r="AV22" i="29"/>
  <c r="AV37" i="29" s="1"/>
  <c r="AV21" i="29"/>
  <c r="AV20" i="29"/>
  <c r="AV19" i="29"/>
  <c r="AV42" i="29" s="1"/>
  <c r="AV18" i="29"/>
  <c r="AV17" i="29"/>
  <c r="AV16" i="29"/>
  <c r="AV15" i="29"/>
  <c r="AV44" i="29" s="1"/>
  <c r="AV14" i="29"/>
  <c r="AV34" i="29" s="1"/>
  <c r="I18" i="41"/>
  <c r="I2" i="41"/>
  <c r="I38" i="41" s="1"/>
  <c r="I23" i="29"/>
  <c r="I49" i="29" s="1"/>
  <c r="T30" i="41"/>
  <c r="T35" i="41" s="1"/>
  <c r="T29" i="41"/>
  <c r="T28" i="41"/>
  <c r="T43" i="41" s="1"/>
  <c r="T27" i="41"/>
  <c r="T26" i="41"/>
  <c r="T36" i="41" s="1"/>
  <c r="T25" i="41"/>
  <c r="T24" i="41"/>
  <c r="T23" i="41"/>
  <c r="T49" i="41" s="1"/>
  <c r="T22" i="41"/>
  <c r="T37" i="41" s="1"/>
  <c r="T21" i="41"/>
  <c r="T20" i="41"/>
  <c r="T19" i="41"/>
  <c r="T42" i="41" s="1"/>
  <c r="T18" i="41"/>
  <c r="T17" i="41"/>
  <c r="T16" i="41"/>
  <c r="T15" i="41"/>
  <c r="T44" i="41" s="1"/>
  <c r="T14" i="41"/>
  <c r="T34" i="41" s="1"/>
  <c r="T13" i="41"/>
  <c r="T33" i="41" s="1"/>
  <c r="T12" i="41"/>
  <c r="T11" i="41"/>
  <c r="T39" i="41" s="1"/>
  <c r="T10" i="41"/>
  <c r="T46" i="41" s="1"/>
  <c r="T9" i="41"/>
  <c r="T8" i="41"/>
  <c r="T41" i="41" s="1"/>
  <c r="T7" i="41"/>
  <c r="T6" i="41"/>
  <c r="T47" i="41" s="1"/>
  <c r="T5" i="41"/>
  <c r="T4" i="41"/>
  <c r="T40" i="41" s="1"/>
  <c r="T3" i="41"/>
  <c r="T32" i="41" s="1"/>
  <c r="T2" i="41"/>
  <c r="T38" i="41" s="1"/>
  <c r="T30" i="29"/>
  <c r="T35" i="29" s="1"/>
  <c r="T29" i="29"/>
  <c r="T28" i="29"/>
  <c r="T43" i="29" s="1"/>
  <c r="T27" i="29"/>
  <c r="T26" i="29"/>
  <c r="T36" i="29" s="1"/>
  <c r="T25" i="29"/>
  <c r="T24" i="29"/>
  <c r="T23" i="29"/>
  <c r="T49" i="29" s="1"/>
  <c r="T22" i="29"/>
  <c r="T37" i="29" s="1"/>
  <c r="T21" i="29"/>
  <c r="T20" i="29"/>
  <c r="T19" i="29"/>
  <c r="T42" i="29" s="1"/>
  <c r="T18" i="29"/>
  <c r="T17" i="29"/>
  <c r="T16" i="29"/>
  <c r="T15" i="29"/>
  <c r="T44" i="29" s="1"/>
  <c r="T14" i="29"/>
  <c r="T34" i="29" s="1"/>
  <c r="T13" i="29"/>
  <c r="T33" i="29" s="1"/>
  <c r="T12" i="29"/>
  <c r="T11" i="29"/>
  <c r="T39" i="29" s="1"/>
  <c r="T10" i="29"/>
  <c r="T46" i="29" s="1"/>
  <c r="T9" i="29"/>
  <c r="T8" i="29"/>
  <c r="T41" i="29" s="1"/>
  <c r="T7" i="29"/>
  <c r="T6" i="29"/>
  <c r="T47" i="29" s="1"/>
  <c r="T5" i="29"/>
  <c r="AZ2" i="29"/>
  <c r="AZ38" i="29" s="1"/>
  <c r="AZ3" i="29"/>
  <c r="AZ32" i="29" s="1"/>
  <c r="AZ4" i="29"/>
  <c r="AZ40" i="29" s="1"/>
  <c r="AD5" i="29"/>
  <c r="AR5" i="29"/>
  <c r="J6" i="29"/>
  <c r="J47" i="29" s="1"/>
  <c r="Y6" i="29"/>
  <c r="Y47" i="29" s="1"/>
  <c r="S7" i="29"/>
  <c r="AI7" i="29"/>
  <c r="AD8" i="29"/>
  <c r="AD41" i="29" s="1"/>
  <c r="AR8" i="29"/>
  <c r="AR41" i="29" s="1"/>
  <c r="Y9" i="29"/>
  <c r="S10" i="29"/>
  <c r="S46" i="29" s="1"/>
  <c r="S45" i="29" s="1"/>
  <c r="AI10" i="29"/>
  <c r="AI46" i="29" s="1"/>
  <c r="D11" i="29"/>
  <c r="AC11" i="29"/>
  <c r="AV12" i="29"/>
  <c r="AJ13" i="29"/>
  <c r="AJ33" i="29" s="1"/>
  <c r="U15" i="29"/>
  <c r="U44" i="29" s="1"/>
  <c r="AR17" i="29"/>
  <c r="AR20" i="29"/>
  <c r="AR23" i="29"/>
  <c r="AR49" i="29" s="1"/>
  <c r="AR26" i="29"/>
  <c r="AR36" i="29" s="1"/>
  <c r="M29" i="38"/>
  <c r="M27" i="38"/>
  <c r="M25" i="38"/>
  <c r="M23" i="38"/>
  <c r="M49" i="38" s="1"/>
  <c r="M21" i="38"/>
  <c r="M19" i="38"/>
  <c r="M42" i="38" s="1"/>
  <c r="M17" i="38"/>
  <c r="M15" i="38"/>
  <c r="M44" i="38" s="1"/>
  <c r="M13" i="38"/>
  <c r="M33" i="38" s="1"/>
  <c r="M11" i="38"/>
  <c r="M39" i="38" s="1"/>
  <c r="M9" i="38"/>
  <c r="M7" i="38"/>
  <c r="M5" i="38"/>
  <c r="M3" i="38"/>
  <c r="M32" i="38" s="1"/>
  <c r="M30" i="38"/>
  <c r="M35" i="38" s="1"/>
  <c r="M28" i="38"/>
  <c r="M43" i="38" s="1"/>
  <c r="M26" i="38"/>
  <c r="M36" i="38" s="1"/>
  <c r="M24" i="38"/>
  <c r="M22" i="38"/>
  <c r="M37" i="38" s="1"/>
  <c r="M20" i="38"/>
  <c r="M18" i="38"/>
  <c r="M16" i="38"/>
  <c r="M14" i="38"/>
  <c r="M34" i="38" s="1"/>
  <c r="M12" i="38"/>
  <c r="M10" i="38"/>
  <c r="M46" i="38" s="1"/>
  <c r="M45" i="38" s="1"/>
  <c r="M8" i="38"/>
  <c r="M41" i="38" s="1"/>
  <c r="M6" i="38"/>
  <c r="M47" i="38" s="1"/>
  <c r="M4" i="38"/>
  <c r="M40" i="38" s="1"/>
  <c r="M2" i="38"/>
  <c r="M38" i="38" s="1"/>
  <c r="M29" i="18"/>
  <c r="M27" i="18"/>
  <c r="M30" i="18"/>
  <c r="M35" i="18" s="1"/>
  <c r="M24" i="18"/>
  <c r="M22" i="18"/>
  <c r="M37" i="18" s="1"/>
  <c r="M20" i="18"/>
  <c r="M18" i="18"/>
  <c r="M16" i="18"/>
  <c r="M14" i="18"/>
  <c r="M34" i="18" s="1"/>
  <c r="M12" i="18"/>
  <c r="M10" i="18"/>
  <c r="M46" i="18" s="1"/>
  <c r="M8" i="18"/>
  <c r="M41" i="18" s="1"/>
  <c r="M6" i="18"/>
  <c r="M47" i="18" s="1"/>
  <c r="M4" i="18"/>
  <c r="M40" i="18" s="1"/>
  <c r="M2" i="18"/>
  <c r="M38" i="18" s="1"/>
  <c r="M26" i="18"/>
  <c r="M36" i="18" s="1"/>
  <c r="M9" i="18"/>
  <c r="M11" i="18"/>
  <c r="M39" i="18" s="1"/>
  <c r="M13" i="18"/>
  <c r="M33" i="18" s="1"/>
  <c r="M15" i="18"/>
  <c r="M44" i="18" s="1"/>
  <c r="M17" i="18"/>
  <c r="M19" i="18"/>
  <c r="M42" i="18" s="1"/>
  <c r="M21" i="18"/>
  <c r="M23" i="18"/>
  <c r="M49" i="18" s="1"/>
  <c r="M28" i="18"/>
  <c r="M43" i="18" s="1"/>
  <c r="M25" i="18"/>
  <c r="M3" i="18"/>
  <c r="M32" i="18" s="1"/>
  <c r="M5" i="18"/>
  <c r="K9" i="38"/>
  <c r="K7" i="38"/>
  <c r="K14" i="38"/>
  <c r="K34" i="38" s="1"/>
  <c r="K12" i="38"/>
  <c r="K21" i="18"/>
  <c r="K19" i="18"/>
  <c r="K42" i="18" s="1"/>
  <c r="K22" i="18"/>
  <c r="K37" i="18" s="1"/>
  <c r="K20" i="18"/>
  <c r="AL28" i="41"/>
  <c r="AL43" i="41" s="1"/>
  <c r="AL27" i="41"/>
  <c r="AL26" i="41"/>
  <c r="AL36" i="41" s="1"/>
  <c r="AL25" i="41"/>
  <c r="AL24" i="41"/>
  <c r="AL23" i="41"/>
  <c r="AL49" i="41" s="1"/>
  <c r="AL22" i="41"/>
  <c r="AL37" i="41" s="1"/>
  <c r="AL21" i="41"/>
  <c r="AL30" i="41"/>
  <c r="AL35" i="41" s="1"/>
  <c r="AL29" i="41"/>
  <c r="AL20" i="41"/>
  <c r="AL10" i="41"/>
  <c r="AL46" i="41" s="1"/>
  <c r="AL45" i="41" s="1"/>
  <c r="AL9" i="41"/>
  <c r="AL8" i="41"/>
  <c r="AL41" i="41" s="1"/>
  <c r="AL7" i="41"/>
  <c r="AL6" i="41"/>
  <c r="AL47" i="41" s="1"/>
  <c r="AL5" i="41"/>
  <c r="AL4" i="41"/>
  <c r="AL40" i="41" s="1"/>
  <c r="AL3" i="41"/>
  <c r="AL32" i="41" s="1"/>
  <c r="AL2" i="41"/>
  <c r="AL38" i="41" s="1"/>
  <c r="AL12" i="41"/>
  <c r="AL19" i="41"/>
  <c r="AL42" i="41" s="1"/>
  <c r="AL16" i="41"/>
  <c r="AL11" i="41"/>
  <c r="AL39" i="41" s="1"/>
  <c r="AL18" i="41"/>
  <c r="AL14" i="41"/>
  <c r="AL34" i="41" s="1"/>
  <c r="AL13" i="41"/>
  <c r="AL33" i="41" s="1"/>
  <c r="AL17" i="41"/>
  <c r="AL15" i="41"/>
  <c r="AL44" i="41" s="1"/>
  <c r="AL30" i="29"/>
  <c r="AL35" i="29" s="1"/>
  <c r="AL29" i="29"/>
  <c r="AL28" i="29"/>
  <c r="AL43" i="29" s="1"/>
  <c r="AL27" i="29"/>
  <c r="AL26" i="29"/>
  <c r="AL36" i="29" s="1"/>
  <c r="AL25" i="29"/>
  <c r="AL24" i="29"/>
  <c r="AL23" i="29"/>
  <c r="AL49" i="29" s="1"/>
  <c r="AL22" i="29"/>
  <c r="AL37" i="29" s="1"/>
  <c r="AL21" i="29"/>
  <c r="AL20" i="29"/>
  <c r="AL19" i="29"/>
  <c r="AL42" i="29" s="1"/>
  <c r="AL18" i="29"/>
  <c r="AL17" i="29"/>
  <c r="AL16" i="29"/>
  <c r="AL15" i="29"/>
  <c r="AL44" i="29" s="1"/>
  <c r="AL14" i="29"/>
  <c r="AL34" i="29" s="1"/>
  <c r="AL13" i="29"/>
  <c r="AL33" i="29" s="1"/>
  <c r="AL12" i="29"/>
  <c r="AL11" i="29"/>
  <c r="AL39" i="29" s="1"/>
  <c r="AW30" i="41"/>
  <c r="AW35" i="41" s="1"/>
  <c r="AW29" i="41"/>
  <c r="AW28" i="41"/>
  <c r="AW43" i="41" s="1"/>
  <c r="AW27" i="41"/>
  <c r="AW26" i="41"/>
  <c r="AW36" i="41" s="1"/>
  <c r="AW25" i="41"/>
  <c r="AW24" i="41"/>
  <c r="AW23" i="41"/>
  <c r="AW49" i="41" s="1"/>
  <c r="AW22" i="41"/>
  <c r="AW37" i="41" s="1"/>
  <c r="AW21" i="41"/>
  <c r="AW20" i="41"/>
  <c r="AW14" i="41"/>
  <c r="AW34" i="41" s="1"/>
  <c r="AW18" i="41"/>
  <c r="AW13" i="41"/>
  <c r="AW33" i="41" s="1"/>
  <c r="AW10" i="41"/>
  <c r="AW46" i="41" s="1"/>
  <c r="AW9" i="41"/>
  <c r="AW8" i="41"/>
  <c r="AW41" i="41" s="1"/>
  <c r="AW7" i="41"/>
  <c r="AW6" i="41"/>
  <c r="AW47" i="41" s="1"/>
  <c r="AW5" i="41"/>
  <c r="AW4" i="41"/>
  <c r="AW40" i="41" s="1"/>
  <c r="AW3" i="41"/>
  <c r="AW32" i="41" s="1"/>
  <c r="AW2" i="41"/>
  <c r="AW38" i="41" s="1"/>
  <c r="AW15" i="41"/>
  <c r="AW44" i="41" s="1"/>
  <c r="AW17" i="41"/>
  <c r="AW12" i="41"/>
  <c r="AW19" i="41"/>
  <c r="AW42" i="41" s="1"/>
  <c r="AW16" i="41"/>
  <c r="AW11" i="41"/>
  <c r="AW39" i="41" s="1"/>
  <c r="AW30" i="29"/>
  <c r="AW35" i="29" s="1"/>
  <c r="AW29" i="29"/>
  <c r="AW28" i="29"/>
  <c r="AW43" i="29" s="1"/>
  <c r="AW27" i="29"/>
  <c r="AW26" i="29"/>
  <c r="AW36" i="29" s="1"/>
  <c r="AW25" i="29"/>
  <c r="AW24" i="29"/>
  <c r="AW23" i="29"/>
  <c r="AW49" i="29" s="1"/>
  <c r="AW22" i="29"/>
  <c r="AW37" i="29" s="1"/>
  <c r="AW21" i="29"/>
  <c r="AW20" i="29"/>
  <c r="AW19" i="29"/>
  <c r="AW42" i="29" s="1"/>
  <c r="AW18" i="29"/>
  <c r="AW17" i="29"/>
  <c r="AW16" i="29"/>
  <c r="AW15" i="29"/>
  <c r="AW44" i="29" s="1"/>
  <c r="AW14" i="29"/>
  <c r="AW34" i="29" s="1"/>
  <c r="AW13" i="29"/>
  <c r="AW33" i="29" s="1"/>
  <c r="AW12" i="29"/>
  <c r="AW11" i="29"/>
  <c r="AW39" i="29" s="1"/>
  <c r="AW10" i="29"/>
  <c r="AW46" i="29" s="1"/>
  <c r="AW9" i="29"/>
  <c r="AW8" i="29"/>
  <c r="AW41" i="29" s="1"/>
  <c r="AW7" i="29"/>
  <c r="AW6" i="29"/>
  <c r="AW47" i="29" s="1"/>
  <c r="AW5" i="29"/>
  <c r="J30" i="41"/>
  <c r="J35" i="41" s="1"/>
  <c r="J28" i="41"/>
  <c r="J43" i="41" s="1"/>
  <c r="J27" i="41"/>
  <c r="J26" i="41"/>
  <c r="J36" i="41" s="1"/>
  <c r="J25" i="41"/>
  <c r="J24" i="41"/>
  <c r="J23" i="41"/>
  <c r="J49" i="41" s="1"/>
  <c r="J22" i="41"/>
  <c r="J37" i="41" s="1"/>
  <c r="J21" i="41"/>
  <c r="J20" i="41"/>
  <c r="J19" i="41"/>
  <c r="J42" i="41" s="1"/>
  <c r="J18" i="41"/>
  <c r="J17" i="41"/>
  <c r="J16" i="41"/>
  <c r="J15" i="41"/>
  <c r="J44" i="41" s="1"/>
  <c r="J29" i="41"/>
  <c r="J12" i="41"/>
  <c r="J10" i="41"/>
  <c r="J46" i="41" s="1"/>
  <c r="J9" i="41"/>
  <c r="J8" i="41"/>
  <c r="J41" i="41" s="1"/>
  <c r="J7" i="41"/>
  <c r="J6" i="41"/>
  <c r="J47" i="41" s="1"/>
  <c r="J5" i="41"/>
  <c r="J4" i="41"/>
  <c r="J40" i="41" s="1"/>
  <c r="J3" i="41"/>
  <c r="J32" i="41" s="1"/>
  <c r="J2" i="41"/>
  <c r="J38" i="41" s="1"/>
  <c r="J14" i="41"/>
  <c r="J34" i="41" s="1"/>
  <c r="J11" i="41"/>
  <c r="J39" i="41" s="1"/>
  <c r="J13" i="41"/>
  <c r="J33" i="41" s="1"/>
  <c r="J30" i="29"/>
  <c r="J35" i="29" s="1"/>
  <c r="J29" i="29"/>
  <c r="J28" i="29"/>
  <c r="J43" i="29" s="1"/>
  <c r="J26" i="29"/>
  <c r="J36" i="29" s="1"/>
  <c r="J25" i="29"/>
  <c r="J24" i="29"/>
  <c r="J23" i="29"/>
  <c r="J49" i="29" s="1"/>
  <c r="J22" i="29"/>
  <c r="J37" i="29" s="1"/>
  <c r="J21" i="29"/>
  <c r="J20" i="29"/>
  <c r="J19" i="29"/>
  <c r="J42" i="29" s="1"/>
  <c r="J18" i="29"/>
  <c r="J17" i="29"/>
  <c r="J16" i="29"/>
  <c r="J15" i="29"/>
  <c r="J44" i="29" s="1"/>
  <c r="J14" i="29"/>
  <c r="J34" i="29" s="1"/>
  <c r="J13" i="29"/>
  <c r="J33" i="29" s="1"/>
  <c r="J12" i="29"/>
  <c r="J27" i="29"/>
  <c r="U30" i="41"/>
  <c r="U35" i="41" s="1"/>
  <c r="U28" i="41"/>
  <c r="U43" i="41" s="1"/>
  <c r="U27" i="41"/>
  <c r="U26" i="41"/>
  <c r="U36" i="41" s="1"/>
  <c r="U25" i="41"/>
  <c r="U24" i="41"/>
  <c r="U23" i="41"/>
  <c r="U49" i="41" s="1"/>
  <c r="U22" i="41"/>
  <c r="U37" i="41" s="1"/>
  <c r="U21" i="41"/>
  <c r="U20" i="41"/>
  <c r="U19" i="41"/>
  <c r="U42" i="41" s="1"/>
  <c r="U18" i="41"/>
  <c r="U17" i="41"/>
  <c r="U29" i="41"/>
  <c r="U13" i="41"/>
  <c r="U33" i="41" s="1"/>
  <c r="U16" i="41"/>
  <c r="U12" i="41"/>
  <c r="U10" i="41"/>
  <c r="U46" i="41" s="1"/>
  <c r="U9" i="41"/>
  <c r="U8" i="41"/>
  <c r="U41" i="41" s="1"/>
  <c r="U7" i="41"/>
  <c r="U6" i="41"/>
  <c r="U47" i="41" s="1"/>
  <c r="U5" i="41"/>
  <c r="U4" i="41"/>
  <c r="U40" i="41" s="1"/>
  <c r="U3" i="41"/>
  <c r="U32" i="41" s="1"/>
  <c r="U2" i="41"/>
  <c r="U38" i="41" s="1"/>
  <c r="U14" i="41"/>
  <c r="U34" i="41" s="1"/>
  <c r="U11" i="41"/>
  <c r="U39" i="41" s="1"/>
  <c r="U15" i="41"/>
  <c r="U44" i="41" s="1"/>
  <c r="U30" i="29"/>
  <c r="U35" i="29" s="1"/>
  <c r="U29" i="29"/>
  <c r="U28" i="29"/>
  <c r="U43" i="29" s="1"/>
  <c r="U27" i="29"/>
  <c r="U26" i="29"/>
  <c r="U36" i="29" s="1"/>
  <c r="U25" i="29"/>
  <c r="U24" i="29"/>
  <c r="U23" i="29"/>
  <c r="U49" i="29" s="1"/>
  <c r="U22" i="29"/>
  <c r="U37" i="29" s="1"/>
  <c r="U21" i="29"/>
  <c r="U20" i="29"/>
  <c r="U19" i="29"/>
  <c r="U42" i="29" s="1"/>
  <c r="U18" i="29"/>
  <c r="U17" i="29"/>
  <c r="P2" i="29"/>
  <c r="P38" i="29" s="1"/>
  <c r="AC2" i="29"/>
  <c r="AO2" i="29"/>
  <c r="AO38" i="29" s="1"/>
  <c r="P3" i="29"/>
  <c r="P32" i="29" s="1"/>
  <c r="AC3" i="29"/>
  <c r="AO3" i="29"/>
  <c r="AO32" i="29" s="1"/>
  <c r="P4" i="29"/>
  <c r="P40" i="29" s="1"/>
  <c r="AC4" i="29"/>
  <c r="AO4" i="29"/>
  <c r="AO40" i="29" s="1"/>
  <c r="P5" i="29"/>
  <c r="AE5" i="29"/>
  <c r="AT5" i="29"/>
  <c r="Z6" i="29"/>
  <c r="Z47" i="29" s="1"/>
  <c r="AO6" i="29"/>
  <c r="AO47" i="29" s="1"/>
  <c r="F7" i="29"/>
  <c r="U7" i="29"/>
  <c r="AJ7" i="29"/>
  <c r="P8" i="29"/>
  <c r="P41" i="29" s="1"/>
  <c r="AT8" i="29"/>
  <c r="AT41" i="29" s="1"/>
  <c r="AO9" i="29"/>
  <c r="F10" i="29"/>
  <c r="F46" i="29" s="1"/>
  <c r="F45" i="29" s="1"/>
  <c r="U10" i="29"/>
  <c r="U46" i="29" s="1"/>
  <c r="AJ10" i="29"/>
  <c r="AJ46" i="29" s="1"/>
  <c r="AJ45" i="29" s="1"/>
  <c r="AD11" i="29"/>
  <c r="AD39" i="29" s="1"/>
  <c r="P12" i="29"/>
  <c r="AO13" i="29"/>
  <c r="AO33" i="29" s="1"/>
  <c r="AC14" i="29"/>
  <c r="AC15" i="29"/>
  <c r="AC16" i="29"/>
  <c r="G18" i="29"/>
  <c r="G21" i="29"/>
  <c r="G24" i="29"/>
  <c r="H27" i="29"/>
  <c r="DI30" i="38"/>
  <c r="DI35" i="38" s="1"/>
  <c r="DI28" i="38"/>
  <c r="DI43" i="38" s="1"/>
  <c r="DI26" i="38"/>
  <c r="DI36" i="38" s="1"/>
  <c r="DI24" i="38"/>
  <c r="DI22" i="38"/>
  <c r="DI37" i="38" s="1"/>
  <c r="DI20" i="38"/>
  <c r="DI18" i="38"/>
  <c r="DI16" i="38"/>
  <c r="DI14" i="38"/>
  <c r="DI34" i="38" s="1"/>
  <c r="DI12" i="38"/>
  <c r="DI10" i="38"/>
  <c r="DI46" i="38" s="1"/>
  <c r="DI8" i="38"/>
  <c r="DI41" i="38" s="1"/>
  <c r="DI6" i="38"/>
  <c r="DI47" i="38" s="1"/>
  <c r="DI4" i="38"/>
  <c r="DI40" i="38" s="1"/>
  <c r="DI2" i="38"/>
  <c r="DI38" i="38" s="1"/>
  <c r="DI29" i="38"/>
  <c r="DI27" i="38"/>
  <c r="DI25" i="38"/>
  <c r="DI23" i="38"/>
  <c r="DI49" i="38" s="1"/>
  <c r="DI21" i="38"/>
  <c r="DI19" i="38"/>
  <c r="DI42" i="38" s="1"/>
  <c r="DI17" i="38"/>
  <c r="DI15" i="38"/>
  <c r="DI44" i="38" s="1"/>
  <c r="DI13" i="38"/>
  <c r="DI33" i="38" s="1"/>
  <c r="DI11" i="38"/>
  <c r="DI39" i="38" s="1"/>
  <c r="DI9" i="38"/>
  <c r="DI7" i="38"/>
  <c r="DI5" i="38"/>
  <c r="DI3" i="38"/>
  <c r="DI32" i="38" s="1"/>
  <c r="BR25" i="38"/>
  <c r="BR23" i="38"/>
  <c r="BR49" i="38" s="1"/>
  <c r="DI26" i="18"/>
  <c r="DI36" i="18" s="1"/>
  <c r="DI29" i="18"/>
  <c r="DI25" i="18"/>
  <c r="DI23" i="18"/>
  <c r="DI49" i="18" s="1"/>
  <c r="DI21" i="18"/>
  <c r="DI19" i="18"/>
  <c r="DI42" i="18" s="1"/>
  <c r="DI17" i="18"/>
  <c r="DI15" i="18"/>
  <c r="DI44" i="18" s="1"/>
  <c r="DI13" i="18"/>
  <c r="DI33" i="18" s="1"/>
  <c r="DI11" i="18"/>
  <c r="DI39" i="18" s="1"/>
  <c r="DI9" i="18"/>
  <c r="DI7" i="18"/>
  <c r="DI5" i="18"/>
  <c r="DI3" i="18"/>
  <c r="DI32" i="18" s="1"/>
  <c r="DI28" i="18"/>
  <c r="DI43" i="18" s="1"/>
  <c r="BR25" i="18"/>
  <c r="BR23" i="18"/>
  <c r="BR49" i="18" s="1"/>
  <c r="DI27" i="18"/>
  <c r="DI30" i="18"/>
  <c r="DI35" i="18" s="1"/>
  <c r="DI24" i="18"/>
  <c r="DI22" i="18"/>
  <c r="DI37" i="18" s="1"/>
  <c r="DI20" i="18"/>
  <c r="DI18" i="18"/>
  <c r="DI16" i="18"/>
  <c r="DI14" i="18"/>
  <c r="DI34" i="18" s="1"/>
  <c r="DI12" i="18"/>
  <c r="DI10" i="18"/>
  <c r="DI46" i="18" s="1"/>
  <c r="DI8" i="18"/>
  <c r="DI41" i="18" s="1"/>
  <c r="DI6" i="18"/>
  <c r="DI47" i="18" s="1"/>
  <c r="DI4" i="18"/>
  <c r="DI40" i="18" s="1"/>
  <c r="DI2" i="18"/>
  <c r="DI38" i="18" s="1"/>
  <c r="AE29" i="41"/>
  <c r="AE30" i="41"/>
  <c r="AE35" i="41" s="1"/>
  <c r="AE28" i="41"/>
  <c r="AE43" i="41" s="1"/>
  <c r="AE27" i="41"/>
  <c r="AE26" i="41"/>
  <c r="AE36" i="41" s="1"/>
  <c r="AE25" i="41"/>
  <c r="AE24" i="41"/>
  <c r="AE23" i="41"/>
  <c r="AE49" i="41" s="1"/>
  <c r="AE22" i="41"/>
  <c r="AE37" i="41" s="1"/>
  <c r="AE21" i="41"/>
  <c r="AE20" i="41"/>
  <c r="AE19" i="41"/>
  <c r="AE42" i="41" s="1"/>
  <c r="AE18" i="41"/>
  <c r="AE17" i="41"/>
  <c r="AE16" i="41"/>
  <c r="AE15" i="41"/>
  <c r="AE44" i="41" s="1"/>
  <c r="AE14" i="41"/>
  <c r="AE34" i="41" s="1"/>
  <c r="AE13" i="41"/>
  <c r="AE33" i="41" s="1"/>
  <c r="AE12" i="41"/>
  <c r="AE11" i="41"/>
  <c r="AE39" i="41" s="1"/>
  <c r="AE10" i="41"/>
  <c r="AE46" i="41" s="1"/>
  <c r="AE45" i="41" s="1"/>
  <c r="AE9" i="41"/>
  <c r="AE8" i="41"/>
  <c r="AE41" i="41" s="1"/>
  <c r="AE7" i="41"/>
  <c r="AE6" i="41"/>
  <c r="AE47" i="41" s="1"/>
  <c r="AE5" i="41"/>
  <c r="AE4" i="41"/>
  <c r="AE40" i="41" s="1"/>
  <c r="AE3" i="41"/>
  <c r="AE32" i="41" s="1"/>
  <c r="AE2" i="41"/>
  <c r="AE38" i="41" s="1"/>
  <c r="AE30" i="29"/>
  <c r="AE35" i="29" s="1"/>
  <c r="AE29" i="29"/>
  <c r="AE28" i="29"/>
  <c r="AE43" i="29" s="1"/>
  <c r="AE27" i="29"/>
  <c r="AE26" i="29"/>
  <c r="AE36" i="29" s="1"/>
  <c r="AE25" i="29"/>
  <c r="AE24" i="29"/>
  <c r="AE23" i="29"/>
  <c r="AE49" i="29" s="1"/>
  <c r="AE22" i="29"/>
  <c r="AE37" i="29" s="1"/>
  <c r="AE21" i="29"/>
  <c r="AE20" i="29"/>
  <c r="AE19" i="29"/>
  <c r="AE42" i="29" s="1"/>
  <c r="AE18" i="29"/>
  <c r="AE17" i="29"/>
  <c r="AE16" i="29"/>
  <c r="AE15" i="29"/>
  <c r="AE44" i="29" s="1"/>
  <c r="AE14" i="29"/>
  <c r="AE34" i="29" s="1"/>
  <c r="AE13" i="29"/>
  <c r="AE33" i="29" s="1"/>
  <c r="AE12" i="29"/>
  <c r="AE11" i="29"/>
  <c r="AE39" i="29" s="1"/>
  <c r="AM28" i="41"/>
  <c r="AM43" i="41" s="1"/>
  <c r="AM27" i="41"/>
  <c r="AM26" i="41"/>
  <c r="AM36" i="41" s="1"/>
  <c r="AM25" i="41"/>
  <c r="AM24" i="41"/>
  <c r="AM23" i="41"/>
  <c r="AM49" i="41" s="1"/>
  <c r="AM30" i="41"/>
  <c r="AM35" i="41" s="1"/>
  <c r="AM29" i="41"/>
  <c r="AM21" i="41"/>
  <c r="AM12" i="41"/>
  <c r="AM19" i="41"/>
  <c r="AM42" i="41" s="1"/>
  <c r="AM16" i="41"/>
  <c r="AM11" i="41"/>
  <c r="AM39" i="41" s="1"/>
  <c r="AM18" i="41"/>
  <c r="AM14" i="41"/>
  <c r="AM34" i="41" s="1"/>
  <c r="AM13" i="41"/>
  <c r="AM33" i="41" s="1"/>
  <c r="AM17" i="41"/>
  <c r="AM15" i="41"/>
  <c r="AM44" i="41" s="1"/>
  <c r="AM9" i="41"/>
  <c r="AM6" i="41"/>
  <c r="AM47" i="41" s="1"/>
  <c r="AM3" i="41"/>
  <c r="AM32" i="41" s="1"/>
  <c r="AM22" i="41"/>
  <c r="AM37" i="41" s="1"/>
  <c r="AM20" i="41"/>
  <c r="AM8" i="41"/>
  <c r="AM41" i="41" s="1"/>
  <c r="AM5" i="41"/>
  <c r="AM2" i="41"/>
  <c r="AM38" i="41" s="1"/>
  <c r="AM10" i="41"/>
  <c r="AM46" i="41" s="1"/>
  <c r="AM7" i="41"/>
  <c r="AM4" i="41"/>
  <c r="AM40" i="41" s="1"/>
  <c r="AM26" i="29"/>
  <c r="AM36" i="29" s="1"/>
  <c r="AM25" i="29"/>
  <c r="AM24" i="29"/>
  <c r="AM23" i="29"/>
  <c r="AM49" i="29" s="1"/>
  <c r="AM22" i="29"/>
  <c r="AM37" i="29" s="1"/>
  <c r="AM21" i="29"/>
  <c r="AM20" i="29"/>
  <c r="AM19" i="29"/>
  <c r="AM42" i="29" s="1"/>
  <c r="AM18" i="29"/>
  <c r="AM17" i="29"/>
  <c r="AM16" i="29"/>
  <c r="AM15" i="29"/>
  <c r="AM44" i="29" s="1"/>
  <c r="AM14" i="29"/>
  <c r="AM34" i="29" s="1"/>
  <c r="AM13" i="29"/>
  <c r="AM33" i="29" s="1"/>
  <c r="AM12" i="29"/>
  <c r="AM11" i="29"/>
  <c r="AM39" i="29" s="1"/>
  <c r="AX28" i="41"/>
  <c r="AX43" i="41" s="1"/>
  <c r="AX27" i="41"/>
  <c r="AX26" i="41"/>
  <c r="AX36" i="41" s="1"/>
  <c r="AX25" i="41"/>
  <c r="AX24" i="41"/>
  <c r="AX23" i="41"/>
  <c r="AX49" i="41" s="1"/>
  <c r="AX22" i="41"/>
  <c r="AX37" i="41" s="1"/>
  <c r="AX21" i="41"/>
  <c r="AX30" i="41"/>
  <c r="AX35" i="41" s="1"/>
  <c r="AX29" i="41"/>
  <c r="AX18" i="41"/>
  <c r="AX13" i="41"/>
  <c r="AX33" i="41" s="1"/>
  <c r="AX10" i="41"/>
  <c r="AX46" i="41" s="1"/>
  <c r="AX9" i="41"/>
  <c r="AX8" i="41"/>
  <c r="AX41" i="41" s="1"/>
  <c r="AX7" i="41"/>
  <c r="AX6" i="41"/>
  <c r="AX47" i="41" s="1"/>
  <c r="AX5" i="41"/>
  <c r="AX4" i="41"/>
  <c r="AX40" i="41" s="1"/>
  <c r="AX3" i="41"/>
  <c r="AX32" i="41" s="1"/>
  <c r="AX2" i="41"/>
  <c r="AX38" i="41" s="1"/>
  <c r="AX15" i="41"/>
  <c r="AX44" i="41" s="1"/>
  <c r="AX17" i="41"/>
  <c r="AX12" i="41"/>
  <c r="AX20" i="41"/>
  <c r="AX19" i="41"/>
  <c r="AX42" i="41" s="1"/>
  <c r="AX16" i="41"/>
  <c r="AX11" i="41"/>
  <c r="AX39" i="41" s="1"/>
  <c r="AX14" i="41"/>
  <c r="AX34" i="41" s="1"/>
  <c r="AX30" i="29"/>
  <c r="AX35" i="29" s="1"/>
  <c r="AX29" i="29"/>
  <c r="AX28" i="29"/>
  <c r="AX43" i="29" s="1"/>
  <c r="AX27" i="29"/>
  <c r="AX26" i="29"/>
  <c r="AX36" i="29" s="1"/>
  <c r="AX25" i="29"/>
  <c r="AX24" i="29"/>
  <c r="AX23" i="29"/>
  <c r="AX49" i="29" s="1"/>
  <c r="AX22" i="29"/>
  <c r="AX37" i="29" s="1"/>
  <c r="AX21" i="29"/>
  <c r="AX20" i="29"/>
  <c r="AX19" i="29"/>
  <c r="AX42" i="29" s="1"/>
  <c r="AX18" i="29"/>
  <c r="AX17" i="29"/>
  <c r="AX16" i="29"/>
  <c r="AX15" i="29"/>
  <c r="AX44" i="29" s="1"/>
  <c r="AX14" i="29"/>
  <c r="AX34" i="29" s="1"/>
  <c r="AX13" i="29"/>
  <c r="AX33" i="29" s="1"/>
  <c r="AX12" i="29"/>
  <c r="AX11" i="29"/>
  <c r="AX39" i="29" s="1"/>
  <c r="AX10" i="29"/>
  <c r="AX46" i="29" s="1"/>
  <c r="AA18" i="41"/>
  <c r="AA9" i="41"/>
  <c r="AA22" i="29"/>
  <c r="AA37" i="29" s="1"/>
  <c r="AA30" i="29"/>
  <c r="AA35" i="29" s="1"/>
  <c r="V30" i="41"/>
  <c r="V35" i="41" s="1"/>
  <c r="V28" i="41"/>
  <c r="V43" i="41" s="1"/>
  <c r="V27" i="41"/>
  <c r="V26" i="41"/>
  <c r="V36" i="41" s="1"/>
  <c r="V25" i="41"/>
  <c r="V24" i="41"/>
  <c r="V23" i="41"/>
  <c r="V49" i="41" s="1"/>
  <c r="V22" i="41"/>
  <c r="V37" i="41" s="1"/>
  <c r="V21" i="41"/>
  <c r="V20" i="41"/>
  <c r="V19" i="41"/>
  <c r="V42" i="41" s="1"/>
  <c r="V18" i="41"/>
  <c r="V17" i="41"/>
  <c r="V16" i="41"/>
  <c r="V15" i="41"/>
  <c r="V44" i="41" s="1"/>
  <c r="V29" i="41"/>
  <c r="V12" i="41"/>
  <c r="V10" i="41"/>
  <c r="V46" i="41" s="1"/>
  <c r="V45" i="41" s="1"/>
  <c r="V9" i="41"/>
  <c r="V8" i="41"/>
  <c r="V41" i="41" s="1"/>
  <c r="V7" i="41"/>
  <c r="V6" i="41"/>
  <c r="V47" i="41" s="1"/>
  <c r="V5" i="41"/>
  <c r="V4" i="41"/>
  <c r="V40" i="41" s="1"/>
  <c r="V3" i="41"/>
  <c r="V32" i="41" s="1"/>
  <c r="V2" i="41"/>
  <c r="V38" i="41" s="1"/>
  <c r="V14" i="41"/>
  <c r="V34" i="41" s="1"/>
  <c r="V11" i="41"/>
  <c r="V39" i="41" s="1"/>
  <c r="V13" i="41"/>
  <c r="V33" i="41" s="1"/>
  <c r="V26" i="29"/>
  <c r="V36" i="29" s="1"/>
  <c r="V25" i="29"/>
  <c r="V24" i="29"/>
  <c r="V23" i="29"/>
  <c r="V49" i="29" s="1"/>
  <c r="V22" i="29"/>
  <c r="V37" i="29" s="1"/>
  <c r="V21" i="29"/>
  <c r="V20" i="29"/>
  <c r="V19" i="29"/>
  <c r="V42" i="29" s="1"/>
  <c r="V18" i="29"/>
  <c r="V17" i="29"/>
  <c r="V16" i="29"/>
  <c r="V15" i="29"/>
  <c r="V44" i="29" s="1"/>
  <c r="V14" i="29"/>
  <c r="V34" i="29" s="1"/>
  <c r="V13" i="29"/>
  <c r="V33" i="29" s="1"/>
  <c r="V12" i="29"/>
  <c r="V11" i="29"/>
  <c r="V39" i="29" s="1"/>
  <c r="AD2" i="29"/>
  <c r="AD38" i="29" s="1"/>
  <c r="AP2" i="29"/>
  <c r="AP38" i="29" s="1"/>
  <c r="AD3" i="29"/>
  <c r="AD32" i="29" s="1"/>
  <c r="AP3" i="29"/>
  <c r="AP32" i="29" s="1"/>
  <c r="AD4" i="29"/>
  <c r="AD40" i="29" s="1"/>
  <c r="AP4" i="29"/>
  <c r="AP40" i="29" s="1"/>
  <c r="AF5" i="29"/>
  <c r="AU5" i="29"/>
  <c r="AP6" i="29"/>
  <c r="AP47" i="29" s="1"/>
  <c r="G7" i="29"/>
  <c r="V7" i="29"/>
  <c r="AL7" i="29"/>
  <c r="AZ7" i="29"/>
  <c r="AU8" i="29"/>
  <c r="AU41" i="29" s="1"/>
  <c r="M9" i="29"/>
  <c r="AA9" i="29"/>
  <c r="G10" i="29"/>
  <c r="G46" i="29" s="1"/>
  <c r="G45" i="29" s="1"/>
  <c r="V10" i="29"/>
  <c r="V46" i="29" s="1"/>
  <c r="V45" i="29" s="1"/>
  <c r="AL10" i="29"/>
  <c r="AL46" i="29" s="1"/>
  <c r="AL45" i="29" s="1"/>
  <c r="G11" i="29"/>
  <c r="G39" i="29" s="1"/>
  <c r="S12" i="29"/>
  <c r="G13" i="29"/>
  <c r="G33" i="29" s="1"/>
  <c r="AR13" i="29"/>
  <c r="AR33" i="29" s="1"/>
  <c r="AF16" i="29"/>
  <c r="S18" i="29"/>
  <c r="S21" i="29"/>
  <c r="S24" i="29"/>
  <c r="V27" i="29"/>
  <c r="F30" i="38"/>
  <c r="F35" i="38" s="1"/>
  <c r="F28" i="38"/>
  <c r="F43" i="38" s="1"/>
  <c r="F26" i="38"/>
  <c r="F36" i="38" s="1"/>
  <c r="F24" i="38"/>
  <c r="F22" i="38"/>
  <c r="F37" i="38" s="1"/>
  <c r="F20" i="38"/>
  <c r="F18" i="38"/>
  <c r="F16" i="38"/>
  <c r="F14" i="38"/>
  <c r="F34" i="38" s="1"/>
  <c r="F12" i="38"/>
  <c r="F10" i="38"/>
  <c r="F46" i="38" s="1"/>
  <c r="F8" i="38"/>
  <c r="F41" i="38" s="1"/>
  <c r="F6" i="38"/>
  <c r="F47" i="38" s="1"/>
  <c r="F4" i="38"/>
  <c r="F40" i="38" s="1"/>
  <c r="F2" i="38"/>
  <c r="F38" i="38" s="1"/>
  <c r="F29" i="38"/>
  <c r="F27" i="38"/>
  <c r="F25" i="38"/>
  <c r="F23" i="38"/>
  <c r="F49" i="38" s="1"/>
  <c r="F21" i="38"/>
  <c r="F19" i="38"/>
  <c r="F42" i="38" s="1"/>
  <c r="F17" i="38"/>
  <c r="F15" i="38"/>
  <c r="F44" i="38" s="1"/>
  <c r="F13" i="38"/>
  <c r="F33" i="38" s="1"/>
  <c r="F11" i="38"/>
  <c r="F39" i="38" s="1"/>
  <c r="F9" i="38"/>
  <c r="F7" i="38"/>
  <c r="F5" i="38"/>
  <c r="F3" i="38"/>
  <c r="F32" i="38" s="1"/>
  <c r="F26" i="18"/>
  <c r="F36" i="18" s="1"/>
  <c r="F24" i="18"/>
  <c r="F22" i="18"/>
  <c r="F37" i="18" s="1"/>
  <c r="F20" i="18"/>
  <c r="F18" i="18"/>
  <c r="F16" i="18"/>
  <c r="F14" i="18"/>
  <c r="F34" i="18" s="1"/>
  <c r="F12" i="18"/>
  <c r="F10" i="18"/>
  <c r="F46" i="18" s="1"/>
  <c r="F8" i="18"/>
  <c r="F41" i="18" s="1"/>
  <c r="F6" i="18"/>
  <c r="F47" i="18" s="1"/>
  <c r="F4" i="18"/>
  <c r="F40" i="18" s="1"/>
  <c r="F2" i="18"/>
  <c r="F38" i="18" s="1"/>
  <c r="F29" i="18"/>
  <c r="F28" i="18"/>
  <c r="F43" i="18" s="1"/>
  <c r="F25" i="18"/>
  <c r="F23" i="18"/>
  <c r="F49" i="18" s="1"/>
  <c r="F21" i="18"/>
  <c r="F19" i="18"/>
  <c r="F42" i="18" s="1"/>
  <c r="F17" i="18"/>
  <c r="F15" i="18"/>
  <c r="F44" i="18" s="1"/>
  <c r="F13" i="18"/>
  <c r="F33" i="18" s="1"/>
  <c r="F11" i="18"/>
  <c r="F39" i="18" s="1"/>
  <c r="F9" i="18"/>
  <c r="F7" i="18"/>
  <c r="F5" i="18"/>
  <c r="F3" i="18"/>
  <c r="F32" i="18" s="1"/>
  <c r="F30" i="18"/>
  <c r="F35" i="18" s="1"/>
  <c r="F27" i="18"/>
  <c r="BS30" i="38"/>
  <c r="BS35" i="38" s="1"/>
  <c r="BS28" i="38"/>
  <c r="BS43" i="38" s="1"/>
  <c r="BS26" i="38"/>
  <c r="BS36" i="38" s="1"/>
  <c r="BS24" i="38"/>
  <c r="BS22" i="38"/>
  <c r="BS37" i="38" s="1"/>
  <c r="BS20" i="38"/>
  <c r="BS18" i="38"/>
  <c r="BS16" i="38"/>
  <c r="BS14" i="38"/>
  <c r="BS34" i="38" s="1"/>
  <c r="BS12" i="38"/>
  <c r="BS10" i="38"/>
  <c r="BS46" i="38" s="1"/>
  <c r="BS8" i="38"/>
  <c r="BS41" i="38" s="1"/>
  <c r="BS6" i="38"/>
  <c r="BS47" i="38" s="1"/>
  <c r="BS4" i="38"/>
  <c r="BS40" i="38" s="1"/>
  <c r="BS2" i="38"/>
  <c r="BS38" i="38" s="1"/>
  <c r="BS29" i="38"/>
  <c r="BS27" i="38"/>
  <c r="BS25" i="38"/>
  <c r="BS23" i="38"/>
  <c r="BS49" i="38" s="1"/>
  <c r="BS21" i="38"/>
  <c r="BS19" i="38"/>
  <c r="BS42" i="38" s="1"/>
  <c r="BS17" i="38"/>
  <c r="BS15" i="38"/>
  <c r="BS44" i="38" s="1"/>
  <c r="BS13" i="38"/>
  <c r="BS33" i="38" s="1"/>
  <c r="BS11" i="38"/>
  <c r="BS39" i="38" s="1"/>
  <c r="BS9" i="38"/>
  <c r="BS7" i="38"/>
  <c r="BS5" i="38"/>
  <c r="BS3" i="38"/>
  <c r="BS32" i="38" s="1"/>
  <c r="BS30" i="18"/>
  <c r="BS35" i="18" s="1"/>
  <c r="BS28" i="18"/>
  <c r="BS43" i="18" s="1"/>
  <c r="BS26" i="18"/>
  <c r="BS36" i="18" s="1"/>
  <c r="BS29" i="18"/>
  <c r="BS25" i="18"/>
  <c r="BS23" i="18"/>
  <c r="BS49" i="18" s="1"/>
  <c r="BS21" i="18"/>
  <c r="BS19" i="18"/>
  <c r="BS42" i="18" s="1"/>
  <c r="BS17" i="18"/>
  <c r="BS15" i="18"/>
  <c r="BS44" i="18" s="1"/>
  <c r="BS13" i="18"/>
  <c r="BS33" i="18" s="1"/>
  <c r="BS11" i="18"/>
  <c r="BS39" i="18" s="1"/>
  <c r="BS9" i="18"/>
  <c r="BS7" i="18"/>
  <c r="BS5" i="18"/>
  <c r="BS3" i="18"/>
  <c r="BS32" i="18" s="1"/>
  <c r="BS27" i="18"/>
  <c r="BS4" i="18"/>
  <c r="BS40" i="18" s="1"/>
  <c r="BS6" i="18"/>
  <c r="BS47" i="18" s="1"/>
  <c r="BS8" i="18"/>
  <c r="BS41" i="18" s="1"/>
  <c r="BS10" i="18"/>
  <c r="BS46" i="18" s="1"/>
  <c r="BS12" i="18"/>
  <c r="BS14" i="18"/>
  <c r="BS34" i="18" s="1"/>
  <c r="BS16" i="18"/>
  <c r="BS18" i="18"/>
  <c r="BS20" i="18"/>
  <c r="BS22" i="18"/>
  <c r="BS37" i="18" s="1"/>
  <c r="J29" i="38"/>
  <c r="J27" i="38"/>
  <c r="J25" i="38"/>
  <c r="J23" i="38"/>
  <c r="J49" i="38" s="1"/>
  <c r="J21" i="38"/>
  <c r="J19" i="38"/>
  <c r="J42" i="38" s="1"/>
  <c r="J17" i="38"/>
  <c r="J15" i="38"/>
  <c r="J44" i="38" s="1"/>
  <c r="J13" i="38"/>
  <c r="J33" i="38" s="1"/>
  <c r="J11" i="38"/>
  <c r="J39" i="38" s="1"/>
  <c r="J9" i="38"/>
  <c r="J7" i="38"/>
  <c r="J5" i="38"/>
  <c r="J3" i="38"/>
  <c r="J32" i="38" s="1"/>
  <c r="J30" i="38"/>
  <c r="J35" i="38" s="1"/>
  <c r="J28" i="38"/>
  <c r="J43" i="38" s="1"/>
  <c r="J26" i="38"/>
  <c r="J36" i="38" s="1"/>
  <c r="J24" i="38"/>
  <c r="J22" i="38"/>
  <c r="J37" i="38" s="1"/>
  <c r="J20" i="38"/>
  <c r="J18" i="38"/>
  <c r="J16" i="38"/>
  <c r="J14" i="38"/>
  <c r="J34" i="38" s="1"/>
  <c r="J12" i="38"/>
  <c r="J10" i="38"/>
  <c r="J46" i="38" s="1"/>
  <c r="J8" i="38"/>
  <c r="J41" i="38" s="1"/>
  <c r="J6" i="38"/>
  <c r="J47" i="38" s="1"/>
  <c r="J4" i="38"/>
  <c r="J40" i="38" s="1"/>
  <c r="J2" i="38"/>
  <c r="J38" i="38" s="1"/>
  <c r="J28" i="18"/>
  <c r="J43" i="18" s="1"/>
  <c r="J25" i="18"/>
  <c r="J23" i="18"/>
  <c r="J49" i="18" s="1"/>
  <c r="J21" i="18"/>
  <c r="J19" i="18"/>
  <c r="J42" i="18" s="1"/>
  <c r="J17" i="18"/>
  <c r="J15" i="18"/>
  <c r="J44" i="18" s="1"/>
  <c r="J13" i="18"/>
  <c r="J33" i="18" s="1"/>
  <c r="J11" i="18"/>
  <c r="J39" i="18" s="1"/>
  <c r="J9" i="18"/>
  <c r="J7" i="18"/>
  <c r="J5" i="18"/>
  <c r="J3" i="18"/>
  <c r="J32" i="18" s="1"/>
  <c r="J27" i="18"/>
  <c r="J30" i="18"/>
  <c r="J35" i="18" s="1"/>
  <c r="J26" i="18"/>
  <c r="J36" i="18" s="1"/>
  <c r="J24" i="18"/>
  <c r="J22" i="18"/>
  <c r="J37" i="18" s="1"/>
  <c r="J20" i="18"/>
  <c r="J18" i="18"/>
  <c r="J16" i="18"/>
  <c r="J14" i="18"/>
  <c r="J34" i="18" s="1"/>
  <c r="J12" i="18"/>
  <c r="J10" i="18"/>
  <c r="J46" i="18" s="1"/>
  <c r="J8" i="18"/>
  <c r="J41" i="18" s="1"/>
  <c r="J6" i="18"/>
  <c r="J47" i="18" s="1"/>
  <c r="J4" i="18"/>
  <c r="J40" i="18" s="1"/>
  <c r="J2" i="18"/>
  <c r="J38" i="18" s="1"/>
  <c r="J29" i="18"/>
  <c r="X29" i="32"/>
  <c r="X23" i="32"/>
  <c r="X49" i="32" s="1"/>
  <c r="X17" i="32"/>
  <c r="X11" i="32"/>
  <c r="X39" i="32" s="1"/>
  <c r="X28" i="32"/>
  <c r="X43" i="32" s="1"/>
  <c r="X22" i="32"/>
  <c r="X37" i="32" s="1"/>
  <c r="X16" i="32"/>
  <c r="X27" i="32"/>
  <c r="X26" i="32"/>
  <c r="X36" i="32" s="1"/>
  <c r="X20" i="32"/>
  <c r="X14" i="32"/>
  <c r="X34" i="32" s="1"/>
  <c r="X8" i="32"/>
  <c r="X41" i="32" s="1"/>
  <c r="X2" i="32"/>
  <c r="X38" i="32" s="1"/>
  <c r="X25" i="32"/>
  <c r="X19" i="32"/>
  <c r="X42" i="32" s="1"/>
  <c r="X13" i="32"/>
  <c r="X33" i="32" s="1"/>
  <c r="AE23" i="32"/>
  <c r="AE49" i="32" s="1"/>
  <c r="X30" i="32"/>
  <c r="X35" i="32" s="1"/>
  <c r="X24" i="32"/>
  <c r="X18" i="32"/>
  <c r="X12" i="32"/>
  <c r="X6" i="32"/>
  <c r="X47" i="32" s="1"/>
  <c r="X10" i="32"/>
  <c r="X46" i="32" s="1"/>
  <c r="X9" i="32"/>
  <c r="X7" i="32"/>
  <c r="X5" i="32"/>
  <c r="X4" i="32"/>
  <c r="X40" i="32" s="1"/>
  <c r="X3" i="32"/>
  <c r="X32" i="32" s="1"/>
  <c r="AE25" i="32"/>
  <c r="X21" i="32"/>
  <c r="X15" i="32"/>
  <c r="X44" i="32" s="1"/>
  <c r="X28" i="5"/>
  <c r="X43" i="5" s="1"/>
  <c r="Z43" i="5" s="1"/>
  <c r="X22" i="5"/>
  <c r="X37" i="5" s="1"/>
  <c r="Z37" i="5" s="1"/>
  <c r="X16" i="5"/>
  <c r="X10" i="5"/>
  <c r="X46" i="5" s="1"/>
  <c r="X4" i="5"/>
  <c r="X40" i="5" s="1"/>
  <c r="Z40" i="5" s="1"/>
  <c r="X27" i="5"/>
  <c r="X21" i="5"/>
  <c r="X15" i="5"/>
  <c r="X44" i="5" s="1"/>
  <c r="Z44" i="5" s="1"/>
  <c r="AE25" i="5"/>
  <c r="X26" i="5"/>
  <c r="X36" i="5" s="1"/>
  <c r="Z36" i="5" s="1"/>
  <c r="X20" i="5"/>
  <c r="X14" i="5"/>
  <c r="X34" i="5" s="1"/>
  <c r="Z34" i="5" s="1"/>
  <c r="X8" i="5"/>
  <c r="X41" i="5" s="1"/>
  <c r="Z41" i="5" s="1"/>
  <c r="X2" i="5"/>
  <c r="X38" i="5" s="1"/>
  <c r="Z38" i="5" s="1"/>
  <c r="X25" i="5"/>
  <c r="X19" i="5"/>
  <c r="X42" i="5" s="1"/>
  <c r="Z42" i="5" s="1"/>
  <c r="X13" i="5"/>
  <c r="X33" i="5" s="1"/>
  <c r="Z33" i="5" s="1"/>
  <c r="X7" i="5"/>
  <c r="AE23" i="5"/>
  <c r="AE49" i="5" s="1"/>
  <c r="X30" i="5"/>
  <c r="X35" i="5" s="1"/>
  <c r="Z35" i="5" s="1"/>
  <c r="X24" i="5"/>
  <c r="X18" i="5"/>
  <c r="X12" i="5"/>
  <c r="X29" i="5"/>
  <c r="X23" i="5"/>
  <c r="X49" i="5" s="1"/>
  <c r="Z49" i="5" s="1"/>
  <c r="X17" i="5"/>
  <c r="X11" i="5"/>
  <c r="X39" i="5" s="1"/>
  <c r="Z39" i="5" s="1"/>
  <c r="X5" i="5"/>
  <c r="X3" i="5"/>
  <c r="X32" i="5" s="1"/>
  <c r="X6" i="5"/>
  <c r="X47" i="5" s="1"/>
  <c r="Z47" i="5" s="1"/>
  <c r="K21" i="41"/>
  <c r="K10" i="41"/>
  <c r="K46" i="41" s="1"/>
  <c r="K14" i="41"/>
  <c r="K34" i="41" s="1"/>
  <c r="K11" i="41"/>
  <c r="K39" i="41" s="1"/>
  <c r="K24" i="29"/>
  <c r="K23" i="29"/>
  <c r="K49" i="29" s="1"/>
  <c r="Z30" i="41"/>
  <c r="Z35" i="41" s="1"/>
  <c r="Z28" i="41"/>
  <c r="Z43" i="41" s="1"/>
  <c r="Z27" i="41"/>
  <c r="Z26" i="41"/>
  <c r="Z36" i="41" s="1"/>
  <c r="Z25" i="41"/>
  <c r="Z24" i="41"/>
  <c r="Z23" i="41"/>
  <c r="Z49" i="41" s="1"/>
  <c r="Z29" i="41"/>
  <c r="Z18" i="41"/>
  <c r="Z22" i="41"/>
  <c r="Z37" i="41" s="1"/>
  <c r="Z14" i="41"/>
  <c r="Z34" i="41" s="1"/>
  <c r="Z11" i="41"/>
  <c r="Z39" i="41" s="1"/>
  <c r="Z21" i="41"/>
  <c r="Z20" i="41"/>
  <c r="Z17" i="41"/>
  <c r="Z15" i="41"/>
  <c r="Z44" i="41" s="1"/>
  <c r="Z13" i="41"/>
  <c r="Z33" i="41" s="1"/>
  <c r="Z19" i="41"/>
  <c r="Z42" i="41" s="1"/>
  <c r="Z16" i="41"/>
  <c r="Z9" i="41"/>
  <c r="Z6" i="41"/>
  <c r="Z47" i="41" s="1"/>
  <c r="Z3" i="41"/>
  <c r="Z32" i="41" s="1"/>
  <c r="Z12" i="41"/>
  <c r="Z8" i="41"/>
  <c r="Z41" i="41" s="1"/>
  <c r="Z5" i="41"/>
  <c r="Z2" i="41"/>
  <c r="Z38" i="41" s="1"/>
  <c r="Z10" i="41"/>
  <c r="Z46" i="41" s="1"/>
  <c r="Z45" i="41" s="1"/>
  <c r="Z7" i="41"/>
  <c r="Z4" i="41"/>
  <c r="Z40" i="41" s="1"/>
  <c r="Z26" i="29"/>
  <c r="Z36" i="29" s="1"/>
  <c r="Z25" i="29"/>
  <c r="Z24" i="29"/>
  <c r="Z23" i="29"/>
  <c r="Z49" i="29" s="1"/>
  <c r="Z22" i="29"/>
  <c r="Z37" i="29" s="1"/>
  <c r="Z21" i="29"/>
  <c r="Z20" i="29"/>
  <c r="Z19" i="29"/>
  <c r="Z42" i="29" s="1"/>
  <c r="Z18" i="29"/>
  <c r="Z17" i="29"/>
  <c r="Z16" i="29"/>
  <c r="Z15" i="29"/>
  <c r="Z44" i="29" s="1"/>
  <c r="Z14" i="29"/>
  <c r="Z34" i="29" s="1"/>
  <c r="Z13" i="29"/>
  <c r="Z33" i="29" s="1"/>
  <c r="Z12" i="29"/>
  <c r="Z11" i="29"/>
  <c r="Z39" i="29" s="1"/>
  <c r="Z30" i="29"/>
  <c r="Z35" i="29" s="1"/>
  <c r="Z29" i="29"/>
  <c r="Z28" i="29"/>
  <c r="Z43" i="29" s="1"/>
  <c r="Z27" i="29"/>
  <c r="F2" i="29"/>
  <c r="F38" i="29" s="1"/>
  <c r="R2" i="29"/>
  <c r="R38" i="29" s="1"/>
  <c r="AE2" i="29"/>
  <c r="AE38" i="29" s="1"/>
  <c r="F3" i="29"/>
  <c r="F32" i="29" s="1"/>
  <c r="R3" i="29"/>
  <c r="R32" i="29" s="1"/>
  <c r="AE3" i="29"/>
  <c r="AE32" i="29" s="1"/>
  <c r="AQ3" i="29"/>
  <c r="AQ32" i="29" s="1"/>
  <c r="F4" i="29"/>
  <c r="F40" i="29" s="1"/>
  <c r="R4" i="29"/>
  <c r="R40" i="29" s="1"/>
  <c r="AE4" i="29"/>
  <c r="AE40" i="29" s="1"/>
  <c r="F5" i="29"/>
  <c r="R5" i="29"/>
  <c r="AH5" i="29"/>
  <c r="AV5" i="29"/>
  <c r="N6" i="29"/>
  <c r="N47" i="29" s="1"/>
  <c r="AC6" i="29"/>
  <c r="AM7" i="29"/>
  <c r="R8" i="29"/>
  <c r="R41" i="29" s="1"/>
  <c r="AH8" i="29"/>
  <c r="AH41" i="29" s="1"/>
  <c r="AV8" i="29"/>
  <c r="AV41" i="29" s="1"/>
  <c r="N9" i="29"/>
  <c r="AC9" i="29"/>
  <c r="AM10" i="29"/>
  <c r="AM46" i="29" s="1"/>
  <c r="AM45" i="29" s="1"/>
  <c r="AH11" i="29"/>
  <c r="AH39" i="29" s="1"/>
  <c r="U12" i="29"/>
  <c r="AT13" i="29"/>
  <c r="AT33" i="29" s="1"/>
  <c r="AH14" i="29"/>
  <c r="AH34" i="29" s="1"/>
  <c r="AH15" i="29"/>
  <c r="AH44" i="29" s="1"/>
  <c r="AM27" i="29"/>
  <c r="AP30" i="41"/>
  <c r="AP35" i="41" s="1"/>
  <c r="AP29" i="41"/>
  <c r="AP26" i="41"/>
  <c r="AP36" i="41" s="1"/>
  <c r="AP19" i="41"/>
  <c r="AP42" i="41" s="1"/>
  <c r="AP16" i="41"/>
  <c r="AP23" i="41"/>
  <c r="AP49" i="41" s="1"/>
  <c r="AP11" i="41"/>
  <c r="AP39" i="41" s="1"/>
  <c r="AP28" i="41"/>
  <c r="AP43" i="41" s="1"/>
  <c r="AP25" i="41"/>
  <c r="AP18" i="41"/>
  <c r="AP14" i="41"/>
  <c r="AP34" i="41" s="1"/>
  <c r="AP13" i="41"/>
  <c r="AP33" i="41" s="1"/>
  <c r="AP27" i="41"/>
  <c r="AP24" i="41"/>
  <c r="AP17" i="41"/>
  <c r="AP15" i="41"/>
  <c r="AP44" i="41" s="1"/>
  <c r="AP10" i="41"/>
  <c r="AP46" i="41" s="1"/>
  <c r="AP45" i="41" s="1"/>
  <c r="AP9" i="41"/>
  <c r="AP8" i="41"/>
  <c r="AP41" i="41" s="1"/>
  <c r="AP7" i="41"/>
  <c r="AP6" i="41"/>
  <c r="AP47" i="41" s="1"/>
  <c r="AP5" i="41"/>
  <c r="AP4" i="41"/>
  <c r="AP40" i="41" s="1"/>
  <c r="AP3" i="41"/>
  <c r="AP32" i="41" s="1"/>
  <c r="AP2" i="41"/>
  <c r="AP38" i="41" s="1"/>
  <c r="AP20" i="41"/>
  <c r="AP22" i="41"/>
  <c r="AP37" i="41" s="1"/>
  <c r="AP21" i="41"/>
  <c r="AP12" i="41"/>
  <c r="AP26" i="29"/>
  <c r="AP36" i="29" s="1"/>
  <c r="AP25" i="29"/>
  <c r="AP24" i="29"/>
  <c r="AP23" i="29"/>
  <c r="AP49" i="29" s="1"/>
  <c r="AP22" i="29"/>
  <c r="AP37" i="29" s="1"/>
  <c r="AP21" i="29"/>
  <c r="AP20" i="29"/>
  <c r="AP19" i="29"/>
  <c r="AP42" i="29" s="1"/>
  <c r="AP18" i="29"/>
  <c r="AP17" i="29"/>
  <c r="AP16" i="29"/>
  <c r="AP15" i="29"/>
  <c r="AP44" i="29" s="1"/>
  <c r="AP14" i="29"/>
  <c r="AP34" i="29" s="1"/>
  <c r="AP13" i="29"/>
  <c r="AP33" i="29" s="1"/>
  <c r="AP12" i="29"/>
  <c r="AP11" i="29"/>
  <c r="AP39" i="29" s="1"/>
  <c r="AP30" i="29"/>
  <c r="AP35" i="29" s="1"/>
  <c r="AP29" i="29"/>
  <c r="AP28" i="29"/>
  <c r="AP43" i="29" s="1"/>
  <c r="AP27" i="29"/>
  <c r="Y21" i="38"/>
  <c r="Y26" i="38"/>
  <c r="Y36" i="38" s="1"/>
  <c r="Y2" i="38"/>
  <c r="Y38" i="38" s="1"/>
  <c r="Y6" i="18"/>
  <c r="Y47" i="18" s="1"/>
  <c r="Y13" i="18"/>
  <c r="Y33" i="18" s="1"/>
  <c r="AF25" i="41"/>
  <c r="AF24" i="41"/>
  <c r="AF8" i="41"/>
  <c r="AF41" i="41" s="1"/>
  <c r="AF7" i="41"/>
  <c r="AF30" i="29"/>
  <c r="AF35" i="29" s="1"/>
  <c r="AF29" i="29"/>
  <c r="AO28" i="41"/>
  <c r="AO43" i="41" s="1"/>
  <c r="AO27" i="41"/>
  <c r="AO26" i="41"/>
  <c r="AO36" i="41" s="1"/>
  <c r="AO25" i="41"/>
  <c r="AO24" i="41"/>
  <c r="AO23" i="41"/>
  <c r="AO49" i="41" s="1"/>
  <c r="AO22" i="41"/>
  <c r="AO37" i="41" s="1"/>
  <c r="AO21" i="41"/>
  <c r="AO20" i="41"/>
  <c r="AO19" i="41"/>
  <c r="AO42" i="41" s="1"/>
  <c r="AO18" i="41"/>
  <c r="AO17" i="41"/>
  <c r="AO16" i="41"/>
  <c r="AO15" i="41"/>
  <c r="AO44" i="41" s="1"/>
  <c r="AO14" i="41"/>
  <c r="AO34" i="41" s="1"/>
  <c r="AO30" i="41"/>
  <c r="AO35" i="41" s="1"/>
  <c r="AO29" i="41"/>
  <c r="AO11" i="41"/>
  <c r="AO39" i="41" s="1"/>
  <c r="AO13" i="41"/>
  <c r="AO33" i="41" s="1"/>
  <c r="AO10" i="41"/>
  <c r="AO46" i="41" s="1"/>
  <c r="AO9" i="41"/>
  <c r="AO8" i="41"/>
  <c r="AO41" i="41" s="1"/>
  <c r="AO7" i="41"/>
  <c r="AO6" i="41"/>
  <c r="AO47" i="41" s="1"/>
  <c r="AO5" i="41"/>
  <c r="AO4" i="41"/>
  <c r="AO40" i="41" s="1"/>
  <c r="AO3" i="41"/>
  <c r="AO32" i="41" s="1"/>
  <c r="AO2" i="41"/>
  <c r="AO38" i="41" s="1"/>
  <c r="AO30" i="29"/>
  <c r="AO35" i="29" s="1"/>
  <c r="AO29" i="29"/>
  <c r="AO28" i="29"/>
  <c r="AO43" i="29" s="1"/>
  <c r="AO27" i="29"/>
  <c r="AO12" i="41"/>
  <c r="AO26" i="29"/>
  <c r="AO36" i="29" s="1"/>
  <c r="AO25" i="29"/>
  <c r="AO24" i="29"/>
  <c r="AO23" i="29"/>
  <c r="AO49" i="29" s="1"/>
  <c r="AO22" i="29"/>
  <c r="AO37" i="29" s="1"/>
  <c r="AO21" i="29"/>
  <c r="AO20" i="29"/>
  <c r="AO19" i="29"/>
  <c r="AO42" i="29" s="1"/>
  <c r="AO18" i="29"/>
  <c r="AF27" i="32"/>
  <c r="AF21" i="32"/>
  <c r="AF15" i="32"/>
  <c r="AF44" i="32" s="1"/>
  <c r="AF9" i="32"/>
  <c r="AF26" i="32"/>
  <c r="AF36" i="32" s="1"/>
  <c r="AF20" i="32"/>
  <c r="AF14" i="32"/>
  <c r="AF34" i="32" s="1"/>
  <c r="AF25" i="32"/>
  <c r="AF30" i="32"/>
  <c r="AF35" i="32" s="1"/>
  <c r="AF24" i="32"/>
  <c r="AF18" i="32"/>
  <c r="AF12" i="32"/>
  <c r="AF6" i="32"/>
  <c r="AF47" i="32" s="1"/>
  <c r="AF29" i="32"/>
  <c r="AF23" i="32"/>
  <c r="AF49" i="32" s="1"/>
  <c r="AF17" i="32"/>
  <c r="AF11" i="32"/>
  <c r="AF39" i="32" s="1"/>
  <c r="AF28" i="32"/>
  <c r="AF43" i="32" s="1"/>
  <c r="AF22" i="32"/>
  <c r="AF37" i="32" s="1"/>
  <c r="AF16" i="32"/>
  <c r="AF10" i="32"/>
  <c r="AF46" i="32" s="1"/>
  <c r="AF4" i="32"/>
  <c r="AF40" i="32" s="1"/>
  <c r="AF8" i="32"/>
  <c r="AF41" i="32" s="1"/>
  <c r="AF7" i="32"/>
  <c r="AF5" i="32"/>
  <c r="AF3" i="32"/>
  <c r="AF32" i="32" s="1"/>
  <c r="AF19" i="32"/>
  <c r="AF42" i="32" s="1"/>
  <c r="AF2" i="32"/>
  <c r="AF38" i="32" s="1"/>
  <c r="AF13" i="32"/>
  <c r="AF33" i="32" s="1"/>
  <c r="AF26" i="5"/>
  <c r="AF36" i="5" s="1"/>
  <c r="AF20" i="5"/>
  <c r="AF14" i="5"/>
  <c r="AF34" i="5" s="1"/>
  <c r="AF8" i="5"/>
  <c r="AF41" i="5" s="1"/>
  <c r="AF2" i="5"/>
  <c r="AF38" i="5" s="1"/>
  <c r="AF25" i="5"/>
  <c r="AF19" i="5"/>
  <c r="AF42" i="5" s="1"/>
  <c r="AF13" i="5"/>
  <c r="AF33" i="5" s="1"/>
  <c r="AF30" i="5"/>
  <c r="AF35" i="5" s="1"/>
  <c r="AF24" i="5"/>
  <c r="AF18" i="5"/>
  <c r="AF12" i="5"/>
  <c r="AF6" i="5"/>
  <c r="AF47" i="5" s="1"/>
  <c r="AF29" i="5"/>
  <c r="AF23" i="5"/>
  <c r="AF49" i="5" s="1"/>
  <c r="AF17" i="5"/>
  <c r="AF11" i="5"/>
  <c r="AF39" i="5" s="1"/>
  <c r="AF5" i="5"/>
  <c r="AF28" i="5"/>
  <c r="AF43" i="5" s="1"/>
  <c r="AF22" i="5"/>
  <c r="AF37" i="5" s="1"/>
  <c r="AF16" i="5"/>
  <c r="AF10" i="5"/>
  <c r="AF46" i="5" s="1"/>
  <c r="AF27" i="5"/>
  <c r="AF21" i="5"/>
  <c r="AF15" i="5"/>
  <c r="AF44" i="5" s="1"/>
  <c r="AF9" i="5"/>
  <c r="AF3" i="5"/>
  <c r="AF32" i="5" s="1"/>
  <c r="AF4" i="5"/>
  <c r="AF40" i="5" s="1"/>
  <c r="AF7" i="5"/>
  <c r="L30" i="41"/>
  <c r="L35" i="41" s="1"/>
  <c r="L29" i="41"/>
  <c r="L28" i="41"/>
  <c r="L43" i="41" s="1"/>
  <c r="L27" i="41"/>
  <c r="L26" i="41"/>
  <c r="L36" i="41" s="1"/>
  <c r="L25" i="41"/>
  <c r="L24" i="41"/>
  <c r="L23" i="41"/>
  <c r="L49" i="41" s="1"/>
  <c r="L22" i="41"/>
  <c r="L37" i="41" s="1"/>
  <c r="L21" i="41"/>
  <c r="L10" i="41"/>
  <c r="L46" i="41" s="1"/>
  <c r="L9" i="41"/>
  <c r="L8" i="41"/>
  <c r="L41" i="41" s="1"/>
  <c r="L7" i="41"/>
  <c r="L6" i="41"/>
  <c r="L47" i="41" s="1"/>
  <c r="L5" i="41"/>
  <c r="L4" i="41"/>
  <c r="L40" i="41" s="1"/>
  <c r="L3" i="41"/>
  <c r="L32" i="41" s="1"/>
  <c r="L2" i="41"/>
  <c r="L38" i="41" s="1"/>
  <c r="L20" i="41"/>
  <c r="L17" i="41"/>
  <c r="L14" i="41"/>
  <c r="L34" i="41" s="1"/>
  <c r="L11" i="41"/>
  <c r="L39" i="41" s="1"/>
  <c r="L15" i="41"/>
  <c r="L44" i="41" s="1"/>
  <c r="L19" i="41"/>
  <c r="L42" i="41" s="1"/>
  <c r="L13" i="41"/>
  <c r="L33" i="41" s="1"/>
  <c r="L16" i="41"/>
  <c r="L18" i="41"/>
  <c r="L12" i="41"/>
  <c r="L30" i="29"/>
  <c r="L35" i="29" s="1"/>
  <c r="L29" i="29"/>
  <c r="L28" i="29"/>
  <c r="L43" i="29" s="1"/>
  <c r="L27" i="29"/>
  <c r="L26" i="29"/>
  <c r="L36" i="29" s="1"/>
  <c r="L25" i="29"/>
  <c r="L24" i="29"/>
  <c r="L23" i="29"/>
  <c r="L49" i="29" s="1"/>
  <c r="L22" i="29"/>
  <c r="L37" i="29" s="1"/>
  <c r="L21" i="29"/>
  <c r="L20" i="29"/>
  <c r="L19" i="29"/>
  <c r="L42" i="29" s="1"/>
  <c r="L18" i="29"/>
  <c r="L17" i="29"/>
  <c r="L16" i="29"/>
  <c r="L15" i="29"/>
  <c r="L44" i="29" s="1"/>
  <c r="L14" i="29"/>
  <c r="L34" i="29" s="1"/>
  <c r="L13" i="29"/>
  <c r="L33" i="29" s="1"/>
  <c r="L12" i="29"/>
  <c r="L11" i="29"/>
  <c r="L39" i="29" s="1"/>
  <c r="L10" i="29"/>
  <c r="L46" i="29" s="1"/>
  <c r="L9" i="29"/>
  <c r="L8" i="29"/>
  <c r="L41" i="29" s="1"/>
  <c r="L7" i="29"/>
  <c r="L6" i="29"/>
  <c r="L47" i="29" s="1"/>
  <c r="W16" i="41"/>
  <c r="W12" i="41"/>
  <c r="W14" i="41"/>
  <c r="W34" i="41" s="1"/>
  <c r="W11" i="41"/>
  <c r="W39" i="41" s="1"/>
  <c r="W21" i="29"/>
  <c r="W20" i="29"/>
  <c r="G2" i="29"/>
  <c r="G38" i="29" s="1"/>
  <c r="S2" i="29"/>
  <c r="S38" i="29" s="1"/>
  <c r="AF2" i="29"/>
  <c r="AF38" i="29" s="1"/>
  <c r="AR2" i="29"/>
  <c r="AR38" i="29" s="1"/>
  <c r="G3" i="29"/>
  <c r="G32" i="29" s="1"/>
  <c r="S3" i="29"/>
  <c r="S32" i="29" s="1"/>
  <c r="AR3" i="29"/>
  <c r="AR32" i="29" s="1"/>
  <c r="G4" i="29"/>
  <c r="G40" i="29" s="1"/>
  <c r="S4" i="29"/>
  <c r="S40" i="29" s="1"/>
  <c r="AR4" i="29"/>
  <c r="AR40" i="29" s="1"/>
  <c r="G5" i="29"/>
  <c r="S5" i="29"/>
  <c r="AI5" i="29"/>
  <c r="AX5" i="29"/>
  <c r="AD6" i="29"/>
  <c r="AD47" i="29" s="1"/>
  <c r="AR6" i="29"/>
  <c r="AR47" i="29" s="1"/>
  <c r="J7" i="29"/>
  <c r="Y7" i="29"/>
  <c r="S8" i="29"/>
  <c r="S41" i="29" s="1"/>
  <c r="AI8" i="29"/>
  <c r="AI41" i="29" s="1"/>
  <c r="AX8" i="29"/>
  <c r="AX41" i="29" s="1"/>
  <c r="AD9" i="29"/>
  <c r="AR9" i="29"/>
  <c r="J10" i="29"/>
  <c r="J46" i="29" s="1"/>
  <c r="J45" i="29" s="1"/>
  <c r="Y10" i="29"/>
  <c r="Y46" i="29" s="1"/>
  <c r="Y45" i="29" s="1"/>
  <c r="J11" i="29"/>
  <c r="J39" i="29" s="1"/>
  <c r="AJ11" i="29"/>
  <c r="AJ39" i="29" s="1"/>
  <c r="AV13" i="29"/>
  <c r="AV33" i="29" s="1"/>
  <c r="AO14" i="29"/>
  <c r="AO34" i="29" s="1"/>
  <c r="AO15" i="29"/>
  <c r="AO44" i="29" s="1"/>
  <c r="AR16" i="29"/>
  <c r="AR18" i="29"/>
  <c r="AR21" i="29"/>
  <c r="AR24" i="29"/>
  <c r="G28" i="29"/>
  <c r="G43" i="29" s="1"/>
  <c r="G18" i="18"/>
  <c r="CF27" i="38"/>
  <c r="CF26" i="38"/>
  <c r="CF18" i="38"/>
  <c r="CF17" i="38"/>
  <c r="CF12" i="38"/>
  <c r="CF9" i="38"/>
  <c r="CF7" i="38"/>
  <c r="CF5" i="38"/>
  <c r="CF4" i="38"/>
  <c r="CF3" i="38"/>
  <c r="CF11" i="38"/>
  <c r="BH30" i="33"/>
  <c r="BG30" i="33"/>
  <c r="BD30" i="33"/>
  <c r="BC30" i="33"/>
  <c r="AI30" i="33"/>
  <c r="Q30" i="32" s="1"/>
  <c r="AH30" i="33"/>
  <c r="P30" i="32" s="1"/>
  <c r="AG30" i="33"/>
  <c r="O30" i="32" s="1"/>
  <c r="AF30" i="33"/>
  <c r="AE30" i="33"/>
  <c r="R30" i="32" s="1"/>
  <c r="BH29" i="33"/>
  <c r="BG29" i="33"/>
  <c r="BD29" i="33"/>
  <c r="BC29" i="33"/>
  <c r="AI29" i="33"/>
  <c r="Q29" i="32" s="1"/>
  <c r="AH29" i="33"/>
  <c r="P29" i="32" s="1"/>
  <c r="AG29" i="33"/>
  <c r="O29" i="32" s="1"/>
  <c r="AF29" i="33"/>
  <c r="AE29" i="33"/>
  <c r="R29" i="32" s="1"/>
  <c r="BH28" i="33"/>
  <c r="BG28" i="33"/>
  <c r="BD28" i="33"/>
  <c r="BC28" i="33"/>
  <c r="AI28" i="33"/>
  <c r="Q28" i="32" s="1"/>
  <c r="AH28" i="33"/>
  <c r="P28" i="32" s="1"/>
  <c r="AG28" i="33"/>
  <c r="O28" i="32" s="1"/>
  <c r="AF28" i="33"/>
  <c r="AE28" i="33"/>
  <c r="R28" i="32" s="1"/>
  <c r="BH27" i="33"/>
  <c r="BG27" i="33"/>
  <c r="BD27" i="33"/>
  <c r="BC27" i="33"/>
  <c r="AI27" i="33"/>
  <c r="Q27" i="32" s="1"/>
  <c r="AH27" i="33"/>
  <c r="P27" i="32" s="1"/>
  <c r="AG27" i="33"/>
  <c r="O27" i="32" s="1"/>
  <c r="AF27" i="33"/>
  <c r="AE27" i="33"/>
  <c r="R27" i="32" s="1"/>
  <c r="BH26" i="33"/>
  <c r="BG26" i="33"/>
  <c r="BD26" i="33"/>
  <c r="BC26" i="33"/>
  <c r="AI26" i="33"/>
  <c r="Q26" i="32" s="1"/>
  <c r="AH26" i="33"/>
  <c r="P26" i="32" s="1"/>
  <c r="AG26" i="33"/>
  <c r="O26" i="32" s="1"/>
  <c r="AF26" i="33"/>
  <c r="AE26" i="33"/>
  <c r="R26" i="32" s="1"/>
  <c r="BH25" i="33"/>
  <c r="BG25" i="33"/>
  <c r="BD25" i="33"/>
  <c r="BC25" i="33"/>
  <c r="AI25" i="33"/>
  <c r="Q25" i="32" s="1"/>
  <c r="AH25" i="33"/>
  <c r="P25" i="32" s="1"/>
  <c r="AG25" i="33"/>
  <c r="O25" i="32" s="1"/>
  <c r="AF25" i="33"/>
  <c r="AE25" i="33"/>
  <c r="R25" i="32" s="1"/>
  <c r="BH24" i="33"/>
  <c r="BG24" i="33"/>
  <c r="BD24" i="33"/>
  <c r="BC24" i="33"/>
  <c r="AI24" i="33"/>
  <c r="Q24" i="32" s="1"/>
  <c r="AH24" i="33"/>
  <c r="P24" i="32" s="1"/>
  <c r="AG24" i="33"/>
  <c r="O24" i="32" s="1"/>
  <c r="AF24" i="33"/>
  <c r="AE24" i="33"/>
  <c r="R24" i="32" s="1"/>
  <c r="BH23" i="33"/>
  <c r="BG23" i="33"/>
  <c r="BD23" i="33"/>
  <c r="BC23" i="33"/>
  <c r="AI23" i="33"/>
  <c r="Q23" i="32" s="1"/>
  <c r="AH23" i="33"/>
  <c r="P23" i="32" s="1"/>
  <c r="AG23" i="33"/>
  <c r="O23" i="32" s="1"/>
  <c r="AF23" i="33"/>
  <c r="AE23" i="33"/>
  <c r="R23" i="32" s="1"/>
  <c r="BH22" i="33"/>
  <c r="BG22" i="33"/>
  <c r="BD22" i="33"/>
  <c r="BC22" i="33"/>
  <c r="AI22" i="33"/>
  <c r="Q22" i="32" s="1"/>
  <c r="AH22" i="33"/>
  <c r="P22" i="32" s="1"/>
  <c r="AG22" i="33"/>
  <c r="O22" i="32" s="1"/>
  <c r="AF22" i="33"/>
  <c r="AE22" i="33"/>
  <c r="R22" i="32" s="1"/>
  <c r="BH21" i="33"/>
  <c r="BG21" i="33"/>
  <c r="BD21" i="33"/>
  <c r="BC21" i="33"/>
  <c r="AI21" i="33"/>
  <c r="Q21" i="32" s="1"/>
  <c r="AH21" i="33"/>
  <c r="P21" i="32" s="1"/>
  <c r="AG21" i="33"/>
  <c r="O21" i="32" s="1"/>
  <c r="AF21" i="33"/>
  <c r="AE21" i="33"/>
  <c r="R21" i="32" s="1"/>
  <c r="BH20" i="33"/>
  <c r="BG20" i="33"/>
  <c r="BD20" i="33"/>
  <c r="BC20" i="33"/>
  <c r="AI20" i="33"/>
  <c r="Q20" i="32" s="1"/>
  <c r="AH20" i="33"/>
  <c r="P20" i="32" s="1"/>
  <c r="AG20" i="33"/>
  <c r="O20" i="32" s="1"/>
  <c r="AF20" i="33"/>
  <c r="AE20" i="33"/>
  <c r="R20" i="32" s="1"/>
  <c r="BH19" i="33"/>
  <c r="BG19" i="33"/>
  <c r="BD19" i="33"/>
  <c r="BC19" i="33"/>
  <c r="AI19" i="33"/>
  <c r="Q19" i="32" s="1"/>
  <c r="AH19" i="33"/>
  <c r="P19" i="32" s="1"/>
  <c r="AG19" i="33"/>
  <c r="O19" i="32" s="1"/>
  <c r="AF19" i="33"/>
  <c r="AE19" i="33"/>
  <c r="R19" i="32" s="1"/>
  <c r="BH18" i="33"/>
  <c r="BG18" i="33"/>
  <c r="BD18" i="33"/>
  <c r="BC18" i="33"/>
  <c r="AI18" i="33"/>
  <c r="Q18" i="32" s="1"/>
  <c r="AH18" i="33"/>
  <c r="P18" i="32" s="1"/>
  <c r="AG18" i="33"/>
  <c r="O18" i="32" s="1"/>
  <c r="AF18" i="33"/>
  <c r="AE18" i="33"/>
  <c r="R18" i="32" s="1"/>
  <c r="BH17" i="33"/>
  <c r="BG17" i="33"/>
  <c r="BD17" i="33"/>
  <c r="BC17" i="33"/>
  <c r="AI17" i="33"/>
  <c r="Q17" i="32" s="1"/>
  <c r="AH17" i="33"/>
  <c r="P17" i="32" s="1"/>
  <c r="AG17" i="33"/>
  <c r="O17" i="32" s="1"/>
  <c r="AF17" i="33"/>
  <c r="AE17" i="33"/>
  <c r="R17" i="32" s="1"/>
  <c r="BH16" i="33"/>
  <c r="BG16" i="33"/>
  <c r="BD16" i="33"/>
  <c r="BC16" i="33"/>
  <c r="AI16" i="33"/>
  <c r="Q16" i="32" s="1"/>
  <c r="AH16" i="33"/>
  <c r="P16" i="32" s="1"/>
  <c r="AG16" i="33"/>
  <c r="O16" i="32" s="1"/>
  <c r="AF16" i="33"/>
  <c r="AE16" i="33"/>
  <c r="R16" i="32" s="1"/>
  <c r="BH15" i="33"/>
  <c r="BG15" i="33"/>
  <c r="BD15" i="33"/>
  <c r="BC15" i="33"/>
  <c r="AI15" i="33"/>
  <c r="Q15" i="32" s="1"/>
  <c r="AH15" i="33"/>
  <c r="P15" i="32" s="1"/>
  <c r="AG15" i="33"/>
  <c r="O15" i="32" s="1"/>
  <c r="AF15" i="33"/>
  <c r="AE15" i="33"/>
  <c r="R15" i="32" s="1"/>
  <c r="BH14" i="33"/>
  <c r="BG14" i="33"/>
  <c r="BD14" i="33"/>
  <c r="BC14" i="33"/>
  <c r="AI14" i="33"/>
  <c r="Q14" i="32" s="1"/>
  <c r="AH14" i="33"/>
  <c r="P14" i="32" s="1"/>
  <c r="AG14" i="33"/>
  <c r="O14" i="32" s="1"/>
  <c r="AF14" i="33"/>
  <c r="AE14" i="33"/>
  <c r="R14" i="32" s="1"/>
  <c r="BH13" i="33"/>
  <c r="BG13" i="33"/>
  <c r="BD13" i="33"/>
  <c r="BC13" i="33"/>
  <c r="AI13" i="33"/>
  <c r="Q13" i="32" s="1"/>
  <c r="AH13" i="33"/>
  <c r="P13" i="32" s="1"/>
  <c r="AG13" i="33"/>
  <c r="O13" i="32" s="1"/>
  <c r="AF13" i="33"/>
  <c r="AE13" i="33"/>
  <c r="R13" i="32" s="1"/>
  <c r="BH12" i="33"/>
  <c r="BG12" i="33"/>
  <c r="BD12" i="33"/>
  <c r="BC12" i="33"/>
  <c r="AI12" i="33"/>
  <c r="Q12" i="32" s="1"/>
  <c r="AH12" i="33"/>
  <c r="P12" i="32" s="1"/>
  <c r="AG12" i="33"/>
  <c r="O12" i="32" s="1"/>
  <c r="AF12" i="33"/>
  <c r="AE12" i="33"/>
  <c r="R12" i="32" s="1"/>
  <c r="BH11" i="33"/>
  <c r="BG11" i="33"/>
  <c r="BD11" i="33"/>
  <c r="BC11" i="33"/>
  <c r="AI11" i="33"/>
  <c r="Q11" i="32" s="1"/>
  <c r="AH11" i="33"/>
  <c r="P11" i="32" s="1"/>
  <c r="AG11" i="33"/>
  <c r="O11" i="32" s="1"/>
  <c r="AF11" i="33"/>
  <c r="AE11" i="33"/>
  <c r="R11" i="32" s="1"/>
  <c r="BH10" i="33"/>
  <c r="BG10" i="33"/>
  <c r="BD10" i="33"/>
  <c r="BC10" i="33"/>
  <c r="AI10" i="33"/>
  <c r="Q10" i="32" s="1"/>
  <c r="AH10" i="33"/>
  <c r="P10" i="32" s="1"/>
  <c r="AG10" i="33"/>
  <c r="O10" i="32" s="1"/>
  <c r="AF10" i="33"/>
  <c r="AE10" i="33"/>
  <c r="R10" i="32" s="1"/>
  <c r="BH9" i="33"/>
  <c r="BG9" i="33"/>
  <c r="BD9" i="33"/>
  <c r="BC9" i="33"/>
  <c r="AI9" i="33"/>
  <c r="Q9" i="32" s="1"/>
  <c r="AH9" i="33"/>
  <c r="P9" i="32" s="1"/>
  <c r="AG9" i="33"/>
  <c r="O9" i="32" s="1"/>
  <c r="AF9" i="33"/>
  <c r="AE9" i="33"/>
  <c r="R9" i="32" s="1"/>
  <c r="BH8" i="33"/>
  <c r="BG8" i="33"/>
  <c r="BD8" i="33"/>
  <c r="BC8" i="33"/>
  <c r="AI8" i="33"/>
  <c r="Q8" i="32" s="1"/>
  <c r="AH8" i="33"/>
  <c r="P8" i="32" s="1"/>
  <c r="AG8" i="33"/>
  <c r="O8" i="32" s="1"/>
  <c r="AF8" i="33"/>
  <c r="AE8" i="33"/>
  <c r="R8" i="32" s="1"/>
  <c r="BH7" i="33"/>
  <c r="BG7" i="33"/>
  <c r="BD7" i="33"/>
  <c r="BC7" i="33"/>
  <c r="AI7" i="33"/>
  <c r="Q7" i="32" s="1"/>
  <c r="AH7" i="33"/>
  <c r="P7" i="32" s="1"/>
  <c r="AG7" i="33"/>
  <c r="O7" i="32" s="1"/>
  <c r="AF7" i="33"/>
  <c r="AE7" i="33"/>
  <c r="R7" i="32" s="1"/>
  <c r="BH6" i="33"/>
  <c r="BG6" i="33"/>
  <c r="BD6" i="33"/>
  <c r="BC6" i="33"/>
  <c r="AI6" i="33"/>
  <c r="Q6" i="32" s="1"/>
  <c r="AH6" i="33"/>
  <c r="P6" i="32" s="1"/>
  <c r="AG6" i="33"/>
  <c r="O6" i="32" s="1"/>
  <c r="AF6" i="33"/>
  <c r="AE6" i="33"/>
  <c r="R6" i="32" s="1"/>
  <c r="BH5" i="33"/>
  <c r="BG5" i="33"/>
  <c r="BD5" i="33"/>
  <c r="BC5" i="33"/>
  <c r="AI5" i="33"/>
  <c r="Q5" i="32" s="1"/>
  <c r="AH5" i="33"/>
  <c r="P5" i="32" s="1"/>
  <c r="AG5" i="33"/>
  <c r="O5" i="32" s="1"/>
  <c r="AF5" i="33"/>
  <c r="AE5" i="33"/>
  <c r="R5" i="32" s="1"/>
  <c r="BH4" i="33"/>
  <c r="BG4" i="33"/>
  <c r="BD4" i="33"/>
  <c r="BC4" i="33"/>
  <c r="AI4" i="33"/>
  <c r="Q4" i="32" s="1"/>
  <c r="AH4" i="33"/>
  <c r="P4" i="32" s="1"/>
  <c r="AG4" i="33"/>
  <c r="O4" i="32" s="1"/>
  <c r="AF4" i="33"/>
  <c r="AE4" i="33"/>
  <c r="R4" i="32" s="1"/>
  <c r="BH3" i="33"/>
  <c r="BG3" i="33"/>
  <c r="BD3" i="33"/>
  <c r="BC3" i="33"/>
  <c r="AI3" i="33"/>
  <c r="Q3" i="32" s="1"/>
  <c r="AH3" i="33"/>
  <c r="P3" i="32" s="1"/>
  <c r="AG3" i="33"/>
  <c r="O3" i="32" s="1"/>
  <c r="AF3" i="33"/>
  <c r="AE3" i="33"/>
  <c r="R3" i="32" s="1"/>
  <c r="BH2" i="33"/>
  <c r="BG2" i="33"/>
  <c r="AR2" i="44"/>
  <c r="AI2" i="33"/>
  <c r="Q2" i="32" s="1"/>
  <c r="AH2" i="33"/>
  <c r="P2" i="32" s="1"/>
  <c r="AG2" i="33"/>
  <c r="O2" i="32" s="1"/>
  <c r="AF2" i="33"/>
  <c r="AE2" i="33"/>
  <c r="R2" i="32" s="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2" i="19"/>
  <c r="AG31" i="37" l="1"/>
  <c r="AB45" i="37"/>
  <c r="AJ48" i="37"/>
  <c r="O48" i="37"/>
  <c r="AX45" i="41"/>
  <c r="H31" i="18"/>
  <c r="AI45" i="41"/>
  <c r="P45" i="29"/>
  <c r="DJ48" i="18"/>
  <c r="AG48" i="37"/>
  <c r="AM31" i="41"/>
  <c r="F45" i="18"/>
  <c r="M45" i="18"/>
  <c r="D45" i="18"/>
  <c r="Y45" i="41"/>
  <c r="L31" i="41"/>
  <c r="AZ31" i="29"/>
  <c r="M48" i="37"/>
  <c r="L48" i="37"/>
  <c r="AF45" i="5"/>
  <c r="AA48" i="18"/>
  <c r="E48" i="37"/>
  <c r="AO45" i="41"/>
  <c r="J45" i="18"/>
  <c r="H45" i="41"/>
  <c r="P48" i="5"/>
  <c r="N48" i="37"/>
  <c r="K48" i="37"/>
  <c r="V48" i="37"/>
  <c r="AU31" i="41"/>
  <c r="AZ31" i="41"/>
  <c r="M31" i="18"/>
  <c r="R48" i="5"/>
  <c r="N48" i="5"/>
  <c r="AW45" i="29"/>
  <c r="G45" i="41"/>
  <c r="BQ31" i="18"/>
  <c r="AF31" i="5"/>
  <c r="U45" i="41"/>
  <c r="J45" i="41"/>
  <c r="X45" i="29"/>
  <c r="AT45" i="41"/>
  <c r="Y54" i="41"/>
  <c r="Y68" i="41"/>
  <c r="AF75" i="5"/>
  <c r="AF61" i="5"/>
  <c r="AF73" i="41"/>
  <c r="AF59" i="41"/>
  <c r="Z52" i="41"/>
  <c r="Z66" i="41"/>
  <c r="U75" i="29"/>
  <c r="U61" i="29"/>
  <c r="J55" i="41"/>
  <c r="J69" i="41"/>
  <c r="AD66" i="29"/>
  <c r="AD52" i="29"/>
  <c r="S65" i="41"/>
  <c r="S51" i="41"/>
  <c r="AY75" i="29"/>
  <c r="AY61" i="29"/>
  <c r="H75" i="18"/>
  <c r="H61" i="18"/>
  <c r="M62" i="41"/>
  <c r="M76" i="41"/>
  <c r="AC54" i="41"/>
  <c r="AC68" i="41"/>
  <c r="F66" i="41"/>
  <c r="F52" i="41"/>
  <c r="AH70" i="29"/>
  <c r="AH56" i="29"/>
  <c r="AV68" i="29"/>
  <c r="AV54" i="29"/>
  <c r="Y65" i="29"/>
  <c r="Y51" i="29"/>
  <c r="S67" i="29"/>
  <c r="S53" i="29"/>
  <c r="L60" i="41"/>
  <c r="L74" i="41"/>
  <c r="Y4" i="38"/>
  <c r="Y40" i="38" s="1"/>
  <c r="BS64" i="18"/>
  <c r="BS50" i="18"/>
  <c r="M68" i="29"/>
  <c r="M54" i="29"/>
  <c r="AA10" i="41"/>
  <c r="AA46" i="41" s="1"/>
  <c r="P67" i="29"/>
  <c r="P53" i="29"/>
  <c r="AW69" i="29"/>
  <c r="AW55" i="29"/>
  <c r="K51" i="18"/>
  <c r="K65" i="18"/>
  <c r="AV66" i="29"/>
  <c r="AV52" i="29"/>
  <c r="H73" i="29"/>
  <c r="H59" i="29"/>
  <c r="R58" i="29"/>
  <c r="R72" i="29"/>
  <c r="AA70" i="37"/>
  <c r="AA56" i="37"/>
  <c r="AU66" i="41"/>
  <c r="AU52" i="41"/>
  <c r="X70" i="29"/>
  <c r="X56" i="29"/>
  <c r="AT66" i="29"/>
  <c r="AT52" i="29"/>
  <c r="P59" i="41"/>
  <c r="P73" i="41"/>
  <c r="K68" i="29"/>
  <c r="K54" i="29"/>
  <c r="E63" i="37"/>
  <c r="E63" i="5"/>
  <c r="AR65" i="29"/>
  <c r="AR51" i="29"/>
  <c r="AR68" i="29"/>
  <c r="AR54" i="29"/>
  <c r="G67" i="29"/>
  <c r="G53" i="29"/>
  <c r="W22" i="29"/>
  <c r="W37" i="29" s="1"/>
  <c r="W18" i="41"/>
  <c r="W19" i="41"/>
  <c r="W42" i="41" s="1"/>
  <c r="L70" i="29"/>
  <c r="L56" i="29"/>
  <c r="L61" i="41"/>
  <c r="L75" i="41"/>
  <c r="L53" i="41"/>
  <c r="L67" i="41"/>
  <c r="L62" i="41"/>
  <c r="L76" i="41"/>
  <c r="AF72" i="5"/>
  <c r="AF58" i="5"/>
  <c r="AO76" i="29"/>
  <c r="AO62" i="29"/>
  <c r="AO65" i="41"/>
  <c r="AO51" i="41"/>
  <c r="AF14" i="41"/>
  <c r="AF34" i="41" s="1"/>
  <c r="AF9" i="41"/>
  <c r="AF26" i="41"/>
  <c r="AF36" i="41" s="1"/>
  <c r="Y17" i="18"/>
  <c r="Y10" i="18"/>
  <c r="Y46" i="18" s="1"/>
  <c r="Y6" i="38"/>
  <c r="Y47" i="38" s="1"/>
  <c r="Y30" i="38"/>
  <c r="Y35" i="38" s="1"/>
  <c r="Y25" i="38"/>
  <c r="AP72" i="29"/>
  <c r="AP58" i="29"/>
  <c r="AP65" i="41"/>
  <c r="AP51" i="41"/>
  <c r="R67" i="29"/>
  <c r="R53" i="29"/>
  <c r="Z76" i="29"/>
  <c r="Z62" i="29"/>
  <c r="Z53" i="41"/>
  <c r="Z67" i="41"/>
  <c r="Z51" i="41"/>
  <c r="Z65" i="41"/>
  <c r="K25" i="29"/>
  <c r="K17" i="41"/>
  <c r="K12" i="41"/>
  <c r="X53" i="5"/>
  <c r="Z53" i="5" s="1"/>
  <c r="X67" i="5"/>
  <c r="Z67" i="5" s="1"/>
  <c r="X45" i="5"/>
  <c r="Z46" i="5"/>
  <c r="Z45" i="5" s="1"/>
  <c r="X45" i="32"/>
  <c r="AN21" i="41"/>
  <c r="J75" i="18"/>
  <c r="J61" i="18"/>
  <c r="J31" i="18"/>
  <c r="J45" i="38"/>
  <c r="BS71" i="18"/>
  <c r="BS57" i="18"/>
  <c r="F67" i="18"/>
  <c r="F53" i="18"/>
  <c r="F71" i="18"/>
  <c r="F57" i="18"/>
  <c r="F69" i="18"/>
  <c r="F55" i="18"/>
  <c r="AF15" i="29"/>
  <c r="AF44" i="29" s="1"/>
  <c r="Q5" i="29"/>
  <c r="V64" i="29"/>
  <c r="V50" i="29"/>
  <c r="V54" i="41"/>
  <c r="V68" i="41"/>
  <c r="AA12" i="29"/>
  <c r="AA24" i="29"/>
  <c r="AA12" i="41"/>
  <c r="AA22" i="41"/>
  <c r="AA37" i="41" s="1"/>
  <c r="AX31" i="29"/>
  <c r="AX71" i="41"/>
  <c r="AX57" i="41"/>
  <c r="AM31" i="29"/>
  <c r="AM64" i="29"/>
  <c r="AM50" i="29"/>
  <c r="AM68" i="41"/>
  <c r="AM54" i="41"/>
  <c r="AE72" i="29"/>
  <c r="AE58" i="29"/>
  <c r="DI45" i="18"/>
  <c r="DI64" i="18"/>
  <c r="DI50" i="18"/>
  <c r="G65" i="29"/>
  <c r="G51" i="29"/>
  <c r="U70" i="29"/>
  <c r="U56" i="29"/>
  <c r="U72" i="41"/>
  <c r="U58" i="41"/>
  <c r="J57" i="41"/>
  <c r="J71" i="41"/>
  <c r="AW64" i="29"/>
  <c r="AW50" i="29"/>
  <c r="AW70" i="41"/>
  <c r="AW56" i="41"/>
  <c r="AL74" i="29"/>
  <c r="AL60" i="29"/>
  <c r="AL55" i="29"/>
  <c r="AL69" i="29"/>
  <c r="K29" i="18"/>
  <c r="K24" i="18"/>
  <c r="K23" i="18"/>
  <c r="K49" i="18" s="1"/>
  <c r="K16" i="38"/>
  <c r="K11" i="38"/>
  <c r="K39" i="38" s="1"/>
  <c r="M64" i="18"/>
  <c r="M50" i="18"/>
  <c r="M76" i="18"/>
  <c r="M62" i="18"/>
  <c r="W14" i="29"/>
  <c r="W34" i="29" s="1"/>
  <c r="S73" i="29"/>
  <c r="S59" i="29"/>
  <c r="T73" i="29"/>
  <c r="T59" i="29"/>
  <c r="AV75" i="29"/>
  <c r="AV61" i="29"/>
  <c r="AV69" i="41"/>
  <c r="AV55" i="41"/>
  <c r="AK72" i="41"/>
  <c r="AK58" i="41"/>
  <c r="AD50" i="41"/>
  <c r="AD64" i="41"/>
  <c r="AD71" i="41"/>
  <c r="AD57" i="41"/>
  <c r="N67" i="29"/>
  <c r="N53" i="29"/>
  <c r="S31" i="41"/>
  <c r="H56" i="29"/>
  <c r="H70" i="29"/>
  <c r="H72" i="41"/>
  <c r="H58" i="41"/>
  <c r="AY20" i="29"/>
  <c r="AY18" i="41"/>
  <c r="AY11" i="41"/>
  <c r="AY39" i="41" s="1"/>
  <c r="AY25" i="41"/>
  <c r="AJ72" i="41"/>
  <c r="AJ58" i="41"/>
  <c r="AJ76" i="41"/>
  <c r="AJ62" i="41"/>
  <c r="H52" i="18"/>
  <c r="H66" i="18"/>
  <c r="M27" i="29"/>
  <c r="M19" i="29"/>
  <c r="M42" i="29" s="1"/>
  <c r="M19" i="41"/>
  <c r="M42" i="41" s="1"/>
  <c r="M8" i="41"/>
  <c r="M41" i="41" s="1"/>
  <c r="M30" i="41"/>
  <c r="M35" i="41" s="1"/>
  <c r="R66" i="29"/>
  <c r="R52" i="29"/>
  <c r="R71" i="29"/>
  <c r="R57" i="29"/>
  <c r="R74" i="41"/>
  <c r="R60" i="41"/>
  <c r="R69" i="41"/>
  <c r="R55" i="41"/>
  <c r="AU74" i="29"/>
  <c r="AU60" i="29"/>
  <c r="AU69" i="29"/>
  <c r="AU55" i="29"/>
  <c r="AU67" i="41"/>
  <c r="AU53" i="41"/>
  <c r="AU75" i="41"/>
  <c r="AU61" i="41"/>
  <c r="AZ67" i="41"/>
  <c r="AZ53" i="41"/>
  <c r="AZ70" i="41"/>
  <c r="AZ56" i="41"/>
  <c r="AZ76" i="41"/>
  <c r="AZ62" i="41"/>
  <c r="AC43" i="29"/>
  <c r="AC74" i="41"/>
  <c r="AC60" i="41"/>
  <c r="AC37" i="41"/>
  <c r="X68" i="29"/>
  <c r="X54" i="29"/>
  <c r="X65" i="29"/>
  <c r="X51" i="29"/>
  <c r="U68" i="29"/>
  <c r="U54" i="29"/>
  <c r="AO67" i="29"/>
  <c r="AO53" i="29"/>
  <c r="Q28" i="29"/>
  <c r="Q43" i="29" s="1"/>
  <c r="Q21" i="29"/>
  <c r="Q21" i="41"/>
  <c r="Q23" i="41"/>
  <c r="Q49" i="41" s="1"/>
  <c r="F74" i="29"/>
  <c r="F60" i="29"/>
  <c r="F69" i="29"/>
  <c r="F55" i="29"/>
  <c r="F73" i="41"/>
  <c r="F59" i="41"/>
  <c r="C75" i="37"/>
  <c r="C61" i="37"/>
  <c r="AT61" i="29"/>
  <c r="AT75" i="29"/>
  <c r="AT69" i="41"/>
  <c r="AT55" i="41"/>
  <c r="AI66" i="29"/>
  <c r="AI52" i="29"/>
  <c r="AI71" i="29"/>
  <c r="AI57" i="29"/>
  <c r="I45" i="18"/>
  <c r="I67" i="18"/>
  <c r="I53" i="18"/>
  <c r="K14" i="29"/>
  <c r="K34" i="29" s="1"/>
  <c r="P56" i="41"/>
  <c r="P70" i="41"/>
  <c r="AB60" i="37"/>
  <c r="AB74" i="37"/>
  <c r="AS75" i="29"/>
  <c r="AS61" i="29"/>
  <c r="AS64" i="41"/>
  <c r="AS50" i="41"/>
  <c r="AH72" i="41"/>
  <c r="AH58" i="41"/>
  <c r="BS24" i="18"/>
  <c r="O54" i="41"/>
  <c r="O68" i="41"/>
  <c r="AR70" i="41"/>
  <c r="AR56" i="41"/>
  <c r="L12" i="18"/>
  <c r="L9" i="18"/>
  <c r="L6" i="38"/>
  <c r="L47" i="38" s="1"/>
  <c r="L30" i="38"/>
  <c r="L35" i="38" s="1"/>
  <c r="L25" i="38"/>
  <c r="E72" i="18"/>
  <c r="E58" i="18"/>
  <c r="C53" i="5"/>
  <c r="C67" i="5"/>
  <c r="C50" i="5"/>
  <c r="C64" i="5"/>
  <c r="V8" i="29"/>
  <c r="V41" i="29" s="1"/>
  <c r="Y11" i="29"/>
  <c r="Y39" i="29" s="1"/>
  <c r="Y23" i="29"/>
  <c r="Y49" i="29" s="1"/>
  <c r="Y14" i="41"/>
  <c r="Y34" i="41" s="1"/>
  <c r="Y29" i="41"/>
  <c r="N56" i="41"/>
  <c r="N70" i="41"/>
  <c r="G23" i="18"/>
  <c r="G49" i="18" s="1"/>
  <c r="BQ68" i="18"/>
  <c r="BQ54" i="18"/>
  <c r="N63" i="5"/>
  <c r="V63" i="37"/>
  <c r="AN48" i="5"/>
  <c r="X76" i="5"/>
  <c r="Z76" i="5" s="1"/>
  <c r="X62" i="5"/>
  <c r="K70" i="18"/>
  <c r="K56" i="18"/>
  <c r="N51" i="41"/>
  <c r="N65" i="41"/>
  <c r="AR69" i="29"/>
  <c r="AR55" i="29"/>
  <c r="W58" i="41"/>
  <c r="W72" i="41"/>
  <c r="Z75" i="29"/>
  <c r="Z61" i="29"/>
  <c r="K51" i="41"/>
  <c r="K65" i="41"/>
  <c r="V69" i="29"/>
  <c r="V55" i="29"/>
  <c r="AX66" i="41"/>
  <c r="AX52" i="41"/>
  <c r="J50" i="41"/>
  <c r="J64" i="41"/>
  <c r="AD61" i="29"/>
  <c r="AD75" i="29"/>
  <c r="AY10" i="29"/>
  <c r="AY46" i="29" s="1"/>
  <c r="S72" i="41"/>
  <c r="S58" i="41"/>
  <c r="AY13" i="41"/>
  <c r="AY33" i="41" s="1"/>
  <c r="H70" i="18"/>
  <c r="H56" i="18"/>
  <c r="AU71" i="41"/>
  <c r="AU57" i="41"/>
  <c r="AC46" i="41"/>
  <c r="X59" i="41"/>
  <c r="X73" i="41"/>
  <c r="Q27" i="41"/>
  <c r="AI68" i="41"/>
  <c r="AI54" i="41"/>
  <c r="AB53" i="37"/>
  <c r="AB67" i="37"/>
  <c r="AS66" i="29"/>
  <c r="AS52" i="29"/>
  <c r="AH74" i="41"/>
  <c r="AH60" i="41"/>
  <c r="W45" i="29"/>
  <c r="AF69" i="29"/>
  <c r="AF55" i="29"/>
  <c r="AR75" i="29"/>
  <c r="AR61" i="29"/>
  <c r="AD68" i="29"/>
  <c r="AD54" i="29"/>
  <c r="W27" i="29"/>
  <c r="W23" i="29"/>
  <c r="W49" i="29" s="1"/>
  <c r="W2" i="41"/>
  <c r="W38" i="41" s="1"/>
  <c r="W29" i="41"/>
  <c r="L68" i="29"/>
  <c r="L54" i="29"/>
  <c r="L65" i="29"/>
  <c r="L51" i="29"/>
  <c r="L58" i="41"/>
  <c r="L72" i="41"/>
  <c r="AF11" i="41"/>
  <c r="AF39" i="41" s="1"/>
  <c r="AF10" i="41"/>
  <c r="AF46" i="41" s="1"/>
  <c r="AF27" i="41"/>
  <c r="Y19" i="18"/>
  <c r="Y42" i="18" s="1"/>
  <c r="Y12" i="18"/>
  <c r="Y8" i="38"/>
  <c r="Y41" i="38" s="1"/>
  <c r="Y3" i="38"/>
  <c r="Y32" i="38" s="1"/>
  <c r="Y27" i="38"/>
  <c r="AP52" i="29"/>
  <c r="AP66" i="29"/>
  <c r="AP66" i="41"/>
  <c r="AP52" i="41"/>
  <c r="AB9" i="29"/>
  <c r="AC68" i="29"/>
  <c r="AC54" i="29"/>
  <c r="F67" i="29"/>
  <c r="F53" i="29"/>
  <c r="Z56" i="29"/>
  <c r="Z70" i="29"/>
  <c r="K27" i="29"/>
  <c r="K26" i="29"/>
  <c r="K36" i="29" s="1"/>
  <c r="K20" i="41"/>
  <c r="K29" i="41"/>
  <c r="X64" i="5"/>
  <c r="Z64" i="5" s="1"/>
  <c r="X50" i="5"/>
  <c r="Z50" i="5" s="1"/>
  <c r="X58" i="5"/>
  <c r="X72" i="5"/>
  <c r="Z72" i="5" s="1"/>
  <c r="AN17" i="41"/>
  <c r="J70" i="18"/>
  <c r="J56" i="18"/>
  <c r="BS67" i="18"/>
  <c r="BS53" i="18"/>
  <c r="F73" i="18"/>
  <c r="F59" i="18"/>
  <c r="AF14" i="29"/>
  <c r="AF34" i="29" s="1"/>
  <c r="AF8" i="29"/>
  <c r="AF41" i="29" s="1"/>
  <c r="V55" i="41"/>
  <c r="V69" i="41"/>
  <c r="AA13" i="29"/>
  <c r="AA33" i="29" s="1"/>
  <c r="AA25" i="29"/>
  <c r="AA16" i="41"/>
  <c r="AA23" i="41"/>
  <c r="AA49" i="41" s="1"/>
  <c r="AX76" i="29"/>
  <c r="AX62" i="29"/>
  <c r="AE66" i="29"/>
  <c r="AE52" i="29"/>
  <c r="AE71" i="29"/>
  <c r="AE57" i="29"/>
  <c r="AE74" i="41"/>
  <c r="AE60" i="41"/>
  <c r="AE69" i="41"/>
  <c r="AE55" i="41"/>
  <c r="DI74" i="18"/>
  <c r="DI60" i="18"/>
  <c r="DI31" i="18"/>
  <c r="DI57" i="18"/>
  <c r="DI71" i="18"/>
  <c r="G75" i="29"/>
  <c r="G61" i="29"/>
  <c r="AC40" i="29"/>
  <c r="U51" i="29"/>
  <c r="U65" i="29"/>
  <c r="U76" i="41"/>
  <c r="U62" i="41"/>
  <c r="J70" i="29"/>
  <c r="J56" i="29"/>
  <c r="J62" i="41"/>
  <c r="J76" i="41"/>
  <c r="AW31" i="41"/>
  <c r="AW65" i="41"/>
  <c r="AW51" i="41"/>
  <c r="AL64" i="29"/>
  <c r="AL50" i="29"/>
  <c r="AL72" i="41"/>
  <c r="AL58" i="41"/>
  <c r="AL70" i="41"/>
  <c r="AL56" i="41"/>
  <c r="K2" i="18"/>
  <c r="K38" i="18" s="1"/>
  <c r="K27" i="18"/>
  <c r="K25" i="18"/>
  <c r="K18" i="38"/>
  <c r="K61" i="38" s="1"/>
  <c r="K13" i="38"/>
  <c r="K33" i="38" s="1"/>
  <c r="M71" i="18"/>
  <c r="M57" i="18"/>
  <c r="T70" i="29"/>
  <c r="T56" i="29"/>
  <c r="T31" i="41"/>
  <c r="T76" i="41"/>
  <c r="T62" i="41"/>
  <c r="AV73" i="41"/>
  <c r="AV59" i="41"/>
  <c r="AV64" i="41"/>
  <c r="AV50" i="41"/>
  <c r="AK60" i="29"/>
  <c r="AK74" i="29"/>
  <c r="AK55" i="29"/>
  <c r="AK69" i="29"/>
  <c r="AK66" i="41"/>
  <c r="AK52" i="41"/>
  <c r="AD76" i="29"/>
  <c r="AD62" i="29"/>
  <c r="AD70" i="29"/>
  <c r="AD56" i="29"/>
  <c r="AF26" i="29"/>
  <c r="AF36" i="29" s="1"/>
  <c r="AY4" i="29"/>
  <c r="AY40" i="29" s="1"/>
  <c r="S76" i="29"/>
  <c r="S62" i="29"/>
  <c r="S71" i="41"/>
  <c r="S57" i="41"/>
  <c r="H68" i="29"/>
  <c r="H54" i="29"/>
  <c r="H65" i="29"/>
  <c r="H51" i="29"/>
  <c r="H67" i="41"/>
  <c r="H53" i="41"/>
  <c r="H66" i="41"/>
  <c r="H52" i="41"/>
  <c r="H71" i="41"/>
  <c r="H57" i="41"/>
  <c r="AY21" i="29"/>
  <c r="AY4" i="41"/>
  <c r="AY40" i="41" s="1"/>
  <c r="AY16" i="41"/>
  <c r="AY26" i="41"/>
  <c r="AY36" i="41" s="1"/>
  <c r="AJ66" i="41"/>
  <c r="AJ52" i="41"/>
  <c r="H69" i="18"/>
  <c r="H55" i="18"/>
  <c r="M28" i="29"/>
  <c r="M43" i="29" s="1"/>
  <c r="M20" i="29"/>
  <c r="M15" i="41"/>
  <c r="M44" i="41" s="1"/>
  <c r="M9" i="41"/>
  <c r="AF10" i="29"/>
  <c r="AF46" i="29" s="1"/>
  <c r="M3" i="29"/>
  <c r="M32" i="29" s="1"/>
  <c r="R75" i="29"/>
  <c r="R61" i="29"/>
  <c r="R64" i="41"/>
  <c r="R50" i="41"/>
  <c r="AA54" i="37"/>
  <c r="AA68" i="37"/>
  <c r="AA71" i="37"/>
  <c r="AA57" i="37"/>
  <c r="AU50" i="29"/>
  <c r="AU64" i="29"/>
  <c r="AZ74" i="41"/>
  <c r="AZ60" i="41"/>
  <c r="AC71" i="29"/>
  <c r="AC57" i="29"/>
  <c r="AC33" i="41"/>
  <c r="AB33" i="41" s="1"/>
  <c r="AB13" i="41"/>
  <c r="AB23" i="41"/>
  <c r="AC49" i="41"/>
  <c r="X52" i="41"/>
  <c r="X66" i="41"/>
  <c r="X54" i="41"/>
  <c r="X68" i="41"/>
  <c r="X57" i="41"/>
  <c r="X71" i="41"/>
  <c r="F68" i="29"/>
  <c r="F54" i="29"/>
  <c r="Z67" i="29"/>
  <c r="Z53" i="29"/>
  <c r="Q29" i="29"/>
  <c r="Q22" i="29"/>
  <c r="Q37" i="29" s="1"/>
  <c r="Q2" i="41"/>
  <c r="Q38" i="41" s="1"/>
  <c r="Q25" i="41"/>
  <c r="F64" i="29"/>
  <c r="F50" i="29"/>
  <c r="F70" i="41"/>
  <c r="F56" i="41"/>
  <c r="C60" i="37"/>
  <c r="C74" i="37"/>
  <c r="AT74" i="41"/>
  <c r="AT60" i="41"/>
  <c r="AT64" i="41"/>
  <c r="AT50" i="41"/>
  <c r="AI61" i="29"/>
  <c r="AI75" i="29"/>
  <c r="I74" i="18"/>
  <c r="I60" i="18"/>
  <c r="I59" i="18"/>
  <c r="I73" i="18"/>
  <c r="W13" i="29"/>
  <c r="W33" i="29" s="1"/>
  <c r="Y67" i="29"/>
  <c r="Y53" i="29"/>
  <c r="W2" i="29"/>
  <c r="W38" i="29" s="1"/>
  <c r="P54" i="41"/>
  <c r="P68" i="41"/>
  <c r="P51" i="41"/>
  <c r="P65" i="41"/>
  <c r="AB65" i="37"/>
  <c r="AB51" i="37"/>
  <c r="AB61" i="37"/>
  <c r="AB75" i="37"/>
  <c r="AS73" i="29"/>
  <c r="AS59" i="29"/>
  <c r="AH66" i="41"/>
  <c r="AH52" i="41"/>
  <c r="AH71" i="41"/>
  <c r="AH57" i="41"/>
  <c r="D51" i="18"/>
  <c r="D65" i="18"/>
  <c r="D72" i="18"/>
  <c r="D58" i="18"/>
  <c r="G71" i="29"/>
  <c r="G57" i="29"/>
  <c r="W8" i="29"/>
  <c r="W41" i="29" s="1"/>
  <c r="AR66" i="41"/>
  <c r="AR52" i="41"/>
  <c r="AR55" i="41"/>
  <c r="AR69" i="41"/>
  <c r="L14" i="18"/>
  <c r="L34" i="18" s="1"/>
  <c r="L11" i="18"/>
  <c r="L39" i="18" s="1"/>
  <c r="L8" i="38"/>
  <c r="L41" i="38" s="1"/>
  <c r="L3" i="38"/>
  <c r="L32" i="38" s="1"/>
  <c r="L27" i="38"/>
  <c r="E51" i="18"/>
  <c r="E65" i="18"/>
  <c r="E75" i="18"/>
  <c r="E61" i="18"/>
  <c r="C59" i="5"/>
  <c r="C73" i="5"/>
  <c r="Y60" i="29"/>
  <c r="Y74" i="29"/>
  <c r="Y69" i="29"/>
  <c r="Y55" i="29"/>
  <c r="Y61" i="41"/>
  <c r="Y75" i="41"/>
  <c r="N74" i="29"/>
  <c r="N60" i="29"/>
  <c r="N69" i="29"/>
  <c r="N55" i="29"/>
  <c r="N54" i="41"/>
  <c r="N68" i="41"/>
  <c r="N57" i="41"/>
  <c r="N71" i="41"/>
  <c r="AD52" i="5"/>
  <c r="AD66" i="5"/>
  <c r="AG74" i="29"/>
  <c r="AG60" i="29"/>
  <c r="G30" i="18"/>
  <c r="G35" i="18" s="1"/>
  <c r="AJ8" i="29"/>
  <c r="AJ41" i="29" s="1"/>
  <c r="U72" i="29"/>
  <c r="U58" i="29"/>
  <c r="P66" i="29"/>
  <c r="P52" i="29"/>
  <c r="BQ67" i="18"/>
  <c r="BQ53" i="18"/>
  <c r="BQ72" i="18"/>
  <c r="BQ58" i="18"/>
  <c r="DJ63" i="18"/>
  <c r="AO11" i="29"/>
  <c r="AO39" i="29" s="1"/>
  <c r="AO16" i="29"/>
  <c r="AN63" i="5"/>
  <c r="F56" i="18"/>
  <c r="F70" i="18"/>
  <c r="V51" i="41"/>
  <c r="V65" i="41"/>
  <c r="AE65" i="41"/>
  <c r="AE51" i="41"/>
  <c r="AE53" i="29"/>
  <c r="AE67" i="29"/>
  <c r="AL76" i="41"/>
  <c r="AL62" i="41"/>
  <c r="G60" i="29"/>
  <c r="G74" i="29"/>
  <c r="AZ72" i="41"/>
  <c r="AZ58" i="41"/>
  <c r="AI62" i="29"/>
  <c r="AI76" i="29"/>
  <c r="G72" i="29"/>
  <c r="G58" i="29"/>
  <c r="AO74" i="41"/>
  <c r="AO60" i="41"/>
  <c r="Y15" i="18"/>
  <c r="Y44" i="18" s="1"/>
  <c r="Y23" i="38"/>
  <c r="Y49" i="38" s="1"/>
  <c r="F31" i="18"/>
  <c r="AX75" i="41"/>
  <c r="AX61" i="41"/>
  <c r="AE76" i="29"/>
  <c r="AE62" i="29"/>
  <c r="AW74" i="29"/>
  <c r="AW60" i="29"/>
  <c r="AL75" i="41"/>
  <c r="AL61" i="41"/>
  <c r="T75" i="29"/>
  <c r="T61" i="29"/>
  <c r="AV71" i="29"/>
  <c r="AV57" i="29"/>
  <c r="AK71" i="41"/>
  <c r="AK57" i="41"/>
  <c r="H31" i="41"/>
  <c r="M61" i="29"/>
  <c r="M75" i="29"/>
  <c r="AC76" i="29"/>
  <c r="AC62" i="29"/>
  <c r="X62" i="41"/>
  <c r="X76" i="41"/>
  <c r="Q18" i="41"/>
  <c r="C64" i="37"/>
  <c r="C50" i="37"/>
  <c r="AT57" i="29"/>
  <c r="AT71" i="29"/>
  <c r="AB71" i="37"/>
  <c r="AB57" i="37"/>
  <c r="AS69" i="41"/>
  <c r="AS55" i="41"/>
  <c r="AH76" i="41"/>
  <c r="AH62" i="41"/>
  <c r="AH68" i="29"/>
  <c r="AH54" i="29"/>
  <c r="L59" i="18"/>
  <c r="L73" i="18"/>
  <c r="S50" i="29"/>
  <c r="S64" i="29"/>
  <c r="Y60" i="41"/>
  <c r="Y74" i="41"/>
  <c r="G73" i="18"/>
  <c r="G59" i="18"/>
  <c r="AR72" i="29"/>
  <c r="AR58" i="29"/>
  <c r="AF4" i="29"/>
  <c r="AF40" i="29" s="1"/>
  <c r="W28" i="29"/>
  <c r="W43" i="29" s="1"/>
  <c r="W3" i="41"/>
  <c r="W32" i="41" s="1"/>
  <c r="W22" i="41"/>
  <c r="W37" i="41" s="1"/>
  <c r="L59" i="41"/>
  <c r="L73" i="41"/>
  <c r="L57" i="41"/>
  <c r="L71" i="41"/>
  <c r="AO61" i="29"/>
  <c r="AO75" i="29"/>
  <c r="AO71" i="29"/>
  <c r="AO57" i="29"/>
  <c r="AF18" i="41"/>
  <c r="AF19" i="41"/>
  <c r="AF42" i="41" s="1"/>
  <c r="AF28" i="41"/>
  <c r="AF43" i="41" s="1"/>
  <c r="Y21" i="18"/>
  <c r="Y14" i="18"/>
  <c r="Y34" i="18" s="1"/>
  <c r="Y10" i="38"/>
  <c r="Y46" i="38" s="1"/>
  <c r="Y5" i="38"/>
  <c r="Y29" i="38"/>
  <c r="AP61" i="29"/>
  <c r="AP75" i="29"/>
  <c r="AP70" i="41"/>
  <c r="AP56" i="41"/>
  <c r="AP69" i="41"/>
  <c r="AP55" i="41"/>
  <c r="AP71" i="41"/>
  <c r="AP57" i="41"/>
  <c r="N68" i="29"/>
  <c r="N54" i="29"/>
  <c r="Z71" i="29"/>
  <c r="Z57" i="29"/>
  <c r="Z51" i="29"/>
  <c r="Z65" i="29"/>
  <c r="Z60" i="41"/>
  <c r="Z74" i="41"/>
  <c r="K15" i="29"/>
  <c r="K44" i="29" s="1"/>
  <c r="K28" i="29"/>
  <c r="K43" i="29" s="1"/>
  <c r="K2" i="41"/>
  <c r="K38" i="41" s="1"/>
  <c r="K22" i="41"/>
  <c r="K37" i="41" s="1"/>
  <c r="X66" i="5"/>
  <c r="X52" i="5"/>
  <c r="Z52" i="5" s="1"/>
  <c r="AN24" i="41"/>
  <c r="J66" i="18"/>
  <c r="J52" i="18"/>
  <c r="BS70" i="18"/>
  <c r="BS56" i="18"/>
  <c r="BS73" i="18"/>
  <c r="BS59" i="18"/>
  <c r="F68" i="18"/>
  <c r="F54" i="18"/>
  <c r="Q8" i="29"/>
  <c r="Q41" i="29" s="1"/>
  <c r="V60" i="41"/>
  <c r="V74" i="41"/>
  <c r="V50" i="41"/>
  <c r="V64" i="41"/>
  <c r="AA14" i="29"/>
  <c r="AA34" i="29" s="1"/>
  <c r="AA26" i="29"/>
  <c r="AA36" i="29" s="1"/>
  <c r="AA19" i="41"/>
  <c r="AA42" i="41" s="1"/>
  <c r="AA24" i="41"/>
  <c r="AX72" i="29"/>
  <c r="AX58" i="29"/>
  <c r="AX31" i="41"/>
  <c r="AX65" i="41"/>
  <c r="AX51" i="41"/>
  <c r="AM66" i="41"/>
  <c r="AM52" i="41"/>
  <c r="AM69" i="41"/>
  <c r="AM55" i="41"/>
  <c r="AE75" i="29"/>
  <c r="AE61" i="29"/>
  <c r="AE64" i="41"/>
  <c r="AE50" i="41"/>
  <c r="DI67" i="18"/>
  <c r="DI53" i="18"/>
  <c r="AC72" i="29"/>
  <c r="AC58" i="29"/>
  <c r="AY7" i="29"/>
  <c r="U71" i="41"/>
  <c r="U57" i="41"/>
  <c r="J65" i="29"/>
  <c r="J51" i="29"/>
  <c r="J58" i="41"/>
  <c r="J72" i="41"/>
  <c r="AW76" i="29"/>
  <c r="AW62" i="29"/>
  <c r="AL31" i="29"/>
  <c r="AL71" i="41"/>
  <c r="AL57" i="41"/>
  <c r="K4" i="18"/>
  <c r="K40" i="18" s="1"/>
  <c r="K3" i="18"/>
  <c r="K32" i="18" s="1"/>
  <c r="K26" i="18"/>
  <c r="K36" i="18" s="1"/>
  <c r="K20" i="38"/>
  <c r="K15" i="38"/>
  <c r="K44" i="38" s="1"/>
  <c r="AV74" i="29"/>
  <c r="AV60" i="29"/>
  <c r="T68" i="29"/>
  <c r="T54" i="29"/>
  <c r="T65" i="29"/>
  <c r="T51" i="29"/>
  <c r="T72" i="41"/>
  <c r="T58" i="41"/>
  <c r="AV70" i="29"/>
  <c r="AV56" i="29"/>
  <c r="AV72" i="41"/>
  <c r="AV58" i="41"/>
  <c r="AK64" i="29"/>
  <c r="AK50" i="29"/>
  <c r="AK74" i="41"/>
  <c r="AK60" i="41"/>
  <c r="AK70" i="41"/>
  <c r="AK56" i="41"/>
  <c r="AD65" i="29"/>
  <c r="AD51" i="29"/>
  <c r="AF23" i="29"/>
  <c r="AF49" i="29" s="1"/>
  <c r="AM68" i="29"/>
  <c r="AM54" i="29"/>
  <c r="S67" i="41"/>
  <c r="S53" i="41"/>
  <c r="H45" i="29"/>
  <c r="H75" i="41"/>
  <c r="H61" i="41"/>
  <c r="AY22" i="29"/>
  <c r="AY37" i="29" s="1"/>
  <c r="AY7" i="41"/>
  <c r="AY19" i="41"/>
  <c r="AY42" i="41" s="1"/>
  <c r="AY27" i="41"/>
  <c r="AJ69" i="29"/>
  <c r="AJ55" i="29"/>
  <c r="AJ74" i="41"/>
  <c r="AJ60" i="41"/>
  <c r="AJ70" i="41"/>
  <c r="AJ56" i="41"/>
  <c r="H65" i="18"/>
  <c r="H51" i="18"/>
  <c r="M29" i="29"/>
  <c r="M21" i="29"/>
  <c r="M11" i="41"/>
  <c r="M39" i="41" s="1"/>
  <c r="M10" i="41"/>
  <c r="M46" i="41" s="1"/>
  <c r="M45" i="41" s="1"/>
  <c r="Q10" i="29"/>
  <c r="Q46" i="29" s="1"/>
  <c r="G66" i="41"/>
  <c r="G52" i="41"/>
  <c r="AA31" i="37"/>
  <c r="AA74" i="37"/>
  <c r="AA60" i="37"/>
  <c r="AU73" i="41"/>
  <c r="AU59" i="41"/>
  <c r="AU70" i="41"/>
  <c r="AU56" i="41"/>
  <c r="AZ74" i="29"/>
  <c r="AZ60" i="29"/>
  <c r="AZ69" i="29"/>
  <c r="AZ55" i="29"/>
  <c r="AZ73" i="41"/>
  <c r="AZ59" i="41"/>
  <c r="AZ66" i="41"/>
  <c r="AZ52" i="41"/>
  <c r="AB18" i="29"/>
  <c r="AC61" i="29"/>
  <c r="AC75" i="29"/>
  <c r="AB30" i="29"/>
  <c r="AB35" i="29" s="1"/>
  <c r="AC35" i="29"/>
  <c r="AB11" i="41"/>
  <c r="AC39" i="41"/>
  <c r="AB39" i="41" s="1"/>
  <c r="AC69" i="41"/>
  <c r="AC55" i="41"/>
  <c r="X56" i="41"/>
  <c r="X70" i="41"/>
  <c r="X45" i="41"/>
  <c r="Q30" i="29"/>
  <c r="Q35" i="29" s="1"/>
  <c r="Q23" i="29"/>
  <c r="Q49" i="29" s="1"/>
  <c r="Q3" i="41"/>
  <c r="Q32" i="41" s="1"/>
  <c r="Q28" i="41"/>
  <c r="Q43" i="41" s="1"/>
  <c r="F68" i="41"/>
  <c r="F54" i="41"/>
  <c r="F65" i="41"/>
  <c r="F51" i="41"/>
  <c r="C70" i="37"/>
  <c r="C56" i="37"/>
  <c r="C66" i="37"/>
  <c r="C52" i="37"/>
  <c r="AT56" i="29"/>
  <c r="AT70" i="29"/>
  <c r="AI71" i="41"/>
  <c r="AI57" i="41"/>
  <c r="AI69" i="41"/>
  <c r="AI55" i="41"/>
  <c r="I68" i="18"/>
  <c r="I54" i="18"/>
  <c r="AJ74" i="29"/>
  <c r="AJ60" i="29"/>
  <c r="K5" i="29"/>
  <c r="K2" i="29"/>
  <c r="K38" i="29" s="1"/>
  <c r="P45" i="41"/>
  <c r="AB62" i="37"/>
  <c r="AB76" i="37"/>
  <c r="AB69" i="37"/>
  <c r="AB55" i="37"/>
  <c r="AS56" i="29"/>
  <c r="AS70" i="29"/>
  <c r="AS31" i="41"/>
  <c r="AS62" i="41"/>
  <c r="AS76" i="41"/>
  <c r="AH69" i="29"/>
  <c r="AH55" i="29"/>
  <c r="AH31" i="41"/>
  <c r="AH75" i="41"/>
  <c r="AH61" i="41"/>
  <c r="D61" i="18"/>
  <c r="D75" i="18"/>
  <c r="AF25" i="29"/>
  <c r="AB7" i="29"/>
  <c r="AC73" i="29"/>
  <c r="AC59" i="29"/>
  <c r="AU31" i="29"/>
  <c r="D49" i="29"/>
  <c r="AR76" i="29"/>
  <c r="AR62" i="29"/>
  <c r="L16" i="18"/>
  <c r="L13" i="18"/>
  <c r="L33" i="18" s="1"/>
  <c r="L10" i="38"/>
  <c r="L46" i="38" s="1"/>
  <c r="L5" i="38"/>
  <c r="L29" i="38"/>
  <c r="E70" i="18"/>
  <c r="E56" i="18"/>
  <c r="C52" i="5"/>
  <c r="C66" i="5"/>
  <c r="G52" i="29"/>
  <c r="G66" i="29"/>
  <c r="Y64" i="29"/>
  <c r="Y50" i="29"/>
  <c r="N64" i="29"/>
  <c r="N50" i="29"/>
  <c r="N60" i="41"/>
  <c r="N74" i="41"/>
  <c r="AD74" i="5"/>
  <c r="AD60" i="5"/>
  <c r="AG66" i="29"/>
  <c r="AG52" i="29"/>
  <c r="AG70" i="41"/>
  <c r="AG56" i="41"/>
  <c r="G11" i="38"/>
  <c r="G39" i="38" s="1"/>
  <c r="D66" i="29"/>
  <c r="D52" i="29"/>
  <c r="BQ71" i="18"/>
  <c r="BQ57" i="18"/>
  <c r="I74" i="29"/>
  <c r="I60" i="29"/>
  <c r="O63" i="37"/>
  <c r="Y45" i="18"/>
  <c r="AP68" i="41"/>
  <c r="AP54" i="41"/>
  <c r="AX69" i="29"/>
  <c r="AX55" i="29"/>
  <c r="AE68" i="41"/>
  <c r="AE54" i="41"/>
  <c r="H76" i="29"/>
  <c r="H62" i="29"/>
  <c r="J66" i="29"/>
  <c r="J52" i="29"/>
  <c r="AW75" i="41"/>
  <c r="AW61" i="41"/>
  <c r="T67" i="29"/>
  <c r="T53" i="29"/>
  <c r="AK54" i="29"/>
  <c r="AK68" i="29"/>
  <c r="AD69" i="41"/>
  <c r="AD55" i="41"/>
  <c r="AJ68" i="41"/>
  <c r="AJ54" i="41"/>
  <c r="M58" i="41"/>
  <c r="M72" i="41"/>
  <c r="AC36" i="29"/>
  <c r="F71" i="41"/>
  <c r="F57" i="41"/>
  <c r="AT68" i="41"/>
  <c r="AT54" i="41"/>
  <c r="I62" i="18"/>
  <c r="I76" i="18"/>
  <c r="P61" i="41"/>
  <c r="P75" i="41"/>
  <c r="AS72" i="29"/>
  <c r="AS58" i="29"/>
  <c r="AG67" i="29"/>
  <c r="AG53" i="29"/>
  <c r="AY54" i="29"/>
  <c r="AY68" i="29"/>
  <c r="Y28" i="38"/>
  <c r="Y43" i="38" s="1"/>
  <c r="AF58" i="29"/>
  <c r="AF72" i="29"/>
  <c r="AA11" i="29"/>
  <c r="AA39" i="29" s="1"/>
  <c r="AL68" i="41"/>
  <c r="AL54" i="41"/>
  <c r="AJ65" i="29"/>
  <c r="AJ51" i="29"/>
  <c r="G71" i="41"/>
  <c r="G57" i="41"/>
  <c r="Q20" i="29"/>
  <c r="AI58" i="29"/>
  <c r="AI72" i="29"/>
  <c r="AS71" i="29"/>
  <c r="AS57" i="29"/>
  <c r="N52" i="41"/>
  <c r="N66" i="41"/>
  <c r="AG74" i="41"/>
  <c r="AG60" i="41"/>
  <c r="AO69" i="41"/>
  <c r="AO55" i="41"/>
  <c r="AF30" i="41"/>
  <c r="AF35" i="41" s="1"/>
  <c r="Y12" i="38"/>
  <c r="Z31" i="41"/>
  <c r="K29" i="29"/>
  <c r="K23" i="41"/>
  <c r="K49" i="41" s="1"/>
  <c r="BS75" i="18"/>
  <c r="BS61" i="18"/>
  <c r="AZ73" i="29"/>
  <c r="AZ59" i="29"/>
  <c r="Q4" i="29"/>
  <c r="Q40" i="29" s="1"/>
  <c r="V72" i="29"/>
  <c r="V58" i="29"/>
  <c r="V57" i="41"/>
  <c r="V71" i="41"/>
  <c r="AA15" i="29"/>
  <c r="AA44" i="29" s="1"/>
  <c r="AA2" i="41"/>
  <c r="AA38" i="41" s="1"/>
  <c r="AA13" i="41"/>
  <c r="AA33" i="41" s="1"/>
  <c r="AA25" i="41"/>
  <c r="AX66" i="29"/>
  <c r="AX52" i="29"/>
  <c r="AX71" i="29"/>
  <c r="AX57" i="29"/>
  <c r="AM72" i="29"/>
  <c r="AM58" i="29"/>
  <c r="AM73" i="41"/>
  <c r="AM59" i="41"/>
  <c r="AM64" i="41"/>
  <c r="AM50" i="41"/>
  <c r="DI72" i="18"/>
  <c r="DI58" i="18"/>
  <c r="DI73" i="18"/>
  <c r="DI59" i="18"/>
  <c r="AC44" i="29"/>
  <c r="AJ73" i="29"/>
  <c r="AJ59" i="29"/>
  <c r="AO31" i="29"/>
  <c r="U31" i="41"/>
  <c r="U66" i="41"/>
  <c r="U52" i="41"/>
  <c r="J31" i="41"/>
  <c r="J52" i="41"/>
  <c r="J66" i="41"/>
  <c r="AW72" i="29"/>
  <c r="AW58" i="29"/>
  <c r="AW67" i="41"/>
  <c r="AW53" i="41"/>
  <c r="AL76" i="29"/>
  <c r="AL62" i="29"/>
  <c r="AL74" i="41"/>
  <c r="AL60" i="41"/>
  <c r="K6" i="18"/>
  <c r="K47" i="18" s="1"/>
  <c r="K5" i="18"/>
  <c r="K28" i="18"/>
  <c r="K43" i="18" s="1"/>
  <c r="K22" i="38"/>
  <c r="K37" i="38" s="1"/>
  <c r="K17" i="38"/>
  <c r="M65" i="18"/>
  <c r="M51" i="18"/>
  <c r="K12" i="29"/>
  <c r="AR67" i="29"/>
  <c r="AR53" i="29"/>
  <c r="T45" i="29"/>
  <c r="T67" i="41"/>
  <c r="T53" i="41"/>
  <c r="T66" i="41"/>
  <c r="T52" i="41"/>
  <c r="T71" i="41"/>
  <c r="T57" i="41"/>
  <c r="AV65" i="29"/>
  <c r="AV51" i="29"/>
  <c r="AV68" i="41"/>
  <c r="AV54" i="41"/>
  <c r="AV62" i="41"/>
  <c r="AV76" i="41"/>
  <c r="AK65" i="41"/>
  <c r="AK51" i="41"/>
  <c r="AD57" i="29"/>
  <c r="AD71" i="29"/>
  <c r="AD67" i="41"/>
  <c r="AD53" i="41"/>
  <c r="AF20" i="29"/>
  <c r="W9" i="29"/>
  <c r="S71" i="29"/>
  <c r="S57" i="29"/>
  <c r="H73" i="41"/>
  <c r="H59" i="41"/>
  <c r="AY11" i="29"/>
  <c r="AY39" i="29" s="1"/>
  <c r="AY23" i="29"/>
  <c r="AY49" i="29" s="1"/>
  <c r="AY10" i="41"/>
  <c r="AY46" i="41" s="1"/>
  <c r="AY20" i="41"/>
  <c r="AY28" i="41"/>
  <c r="AY43" i="41" s="1"/>
  <c r="AJ64" i="29"/>
  <c r="AJ50" i="29"/>
  <c r="AJ65" i="41"/>
  <c r="AJ51" i="41"/>
  <c r="M30" i="29"/>
  <c r="M35" i="29" s="1"/>
  <c r="M22" i="29"/>
  <c r="M37" i="29" s="1"/>
  <c r="M14" i="41"/>
  <c r="M34" i="41" s="1"/>
  <c r="M21" i="41"/>
  <c r="S70" i="29"/>
  <c r="S56" i="29"/>
  <c r="AZ68" i="29"/>
  <c r="AZ54" i="29"/>
  <c r="AP67" i="29"/>
  <c r="AP53" i="29"/>
  <c r="R70" i="29"/>
  <c r="R56" i="29"/>
  <c r="R31" i="41"/>
  <c r="R76" i="41"/>
  <c r="R62" i="41"/>
  <c r="G70" i="41"/>
  <c r="G56" i="41"/>
  <c r="AA65" i="37"/>
  <c r="AA51" i="37"/>
  <c r="AA75" i="37"/>
  <c r="AA61" i="37"/>
  <c r="AU76" i="29"/>
  <c r="AU62" i="29"/>
  <c r="AU65" i="41"/>
  <c r="AU51" i="41"/>
  <c r="AZ50" i="29"/>
  <c r="AZ64" i="29"/>
  <c r="AC42" i="29"/>
  <c r="AC38" i="41"/>
  <c r="AC34" i="41"/>
  <c r="AB34" i="41" s="1"/>
  <c r="AB14" i="41"/>
  <c r="AC64" i="41"/>
  <c r="AC50" i="41"/>
  <c r="X60" i="29"/>
  <c r="X74" i="29"/>
  <c r="X69" i="29"/>
  <c r="X55" i="29"/>
  <c r="X60" i="41"/>
  <c r="X74" i="41"/>
  <c r="AM71" i="29"/>
  <c r="AM57" i="29"/>
  <c r="AW31" i="29"/>
  <c r="Q12" i="29"/>
  <c r="Q24" i="29"/>
  <c r="Q4" i="41"/>
  <c r="Q40" i="41" s="1"/>
  <c r="Q16" i="41"/>
  <c r="F76" i="29"/>
  <c r="F62" i="29"/>
  <c r="F45" i="41"/>
  <c r="AT65" i="29"/>
  <c r="AT51" i="29"/>
  <c r="AT62" i="41"/>
  <c r="AT76" i="41"/>
  <c r="AI70" i="29"/>
  <c r="AI56" i="29"/>
  <c r="AI74" i="41"/>
  <c r="AI60" i="41"/>
  <c r="AI64" i="41"/>
  <c r="AI50" i="41"/>
  <c r="I72" i="18"/>
  <c r="I58" i="18"/>
  <c r="P62" i="29"/>
  <c r="P76" i="29"/>
  <c r="P60" i="41"/>
  <c r="P74" i="41"/>
  <c r="AB73" i="37"/>
  <c r="AB59" i="37"/>
  <c r="AS68" i="29"/>
  <c r="AS54" i="29"/>
  <c r="AS65" i="29"/>
  <c r="AS51" i="29"/>
  <c r="AS72" i="41"/>
  <c r="AS58" i="41"/>
  <c r="AH50" i="29"/>
  <c r="AH64" i="29"/>
  <c r="D76" i="18"/>
  <c r="D62" i="18"/>
  <c r="D64" i="18"/>
  <c r="D50" i="18"/>
  <c r="D70" i="18"/>
  <c r="D56" i="18"/>
  <c r="AF22" i="29"/>
  <c r="AF37" i="29" s="1"/>
  <c r="N73" i="29"/>
  <c r="N59" i="29"/>
  <c r="AI31" i="29"/>
  <c r="D47" i="41"/>
  <c r="AR76" i="41"/>
  <c r="AR62" i="41"/>
  <c r="L61" i="18"/>
  <c r="L75" i="18"/>
  <c r="E50" i="18"/>
  <c r="E64" i="18"/>
  <c r="C31" i="5"/>
  <c r="V67" i="29"/>
  <c r="V53" i="29"/>
  <c r="Y55" i="41"/>
  <c r="Y69" i="41"/>
  <c r="N31" i="29"/>
  <c r="N61" i="41"/>
  <c r="N75" i="41"/>
  <c r="N55" i="41"/>
  <c r="N69" i="41"/>
  <c r="AD75" i="5"/>
  <c r="AD61" i="5"/>
  <c r="AG65" i="29"/>
  <c r="AG51" i="29"/>
  <c r="AC74" i="29"/>
  <c r="AC60" i="29"/>
  <c r="J68" i="29"/>
  <c r="J54" i="29"/>
  <c r="BQ76" i="18"/>
  <c r="BQ62" i="18"/>
  <c r="H67" i="29"/>
  <c r="H53" i="29"/>
  <c r="O63" i="5"/>
  <c r="Z62" i="5"/>
  <c r="AA68" i="29"/>
  <c r="AA54" i="29"/>
  <c r="AA54" i="41"/>
  <c r="AA68" i="41"/>
  <c r="U69" i="41"/>
  <c r="U55" i="41"/>
  <c r="M55" i="18"/>
  <c r="M69" i="18"/>
  <c r="AV72" i="29"/>
  <c r="AV58" i="29"/>
  <c r="AK68" i="41"/>
  <c r="AK54" i="41"/>
  <c r="AD58" i="41"/>
  <c r="AD72" i="41"/>
  <c r="AJ75" i="41"/>
  <c r="AJ61" i="41"/>
  <c r="M66" i="29"/>
  <c r="M52" i="29"/>
  <c r="Q73" i="29"/>
  <c r="Q59" i="29"/>
  <c r="G69" i="41"/>
  <c r="G55" i="41"/>
  <c r="AZ64" i="41"/>
  <c r="AZ50" i="41"/>
  <c r="Q57" i="41"/>
  <c r="Q71" i="41"/>
  <c r="Y51" i="41"/>
  <c r="Y65" i="41"/>
  <c r="K63" i="37"/>
  <c r="AO68" i="41"/>
  <c r="AO54" i="41"/>
  <c r="AA23" i="29"/>
  <c r="AA49" i="29" s="1"/>
  <c r="AM60" i="29"/>
  <c r="AM74" i="29"/>
  <c r="U64" i="41"/>
  <c r="U50" i="41"/>
  <c r="AI73" i="29"/>
  <c r="AI59" i="29"/>
  <c r="AC53" i="29"/>
  <c r="AC67" i="29"/>
  <c r="H76" i="41"/>
  <c r="H62" i="41"/>
  <c r="AA66" i="37"/>
  <c r="AA52" i="37"/>
  <c r="I31" i="18"/>
  <c r="P50" i="29"/>
  <c r="P64" i="29"/>
  <c r="AS67" i="29"/>
  <c r="AS53" i="29"/>
  <c r="O69" i="29"/>
  <c r="O55" i="29"/>
  <c r="N31" i="41"/>
  <c r="BQ74" i="18"/>
  <c r="BQ60" i="18"/>
  <c r="L45" i="29"/>
  <c r="W29" i="29"/>
  <c r="AF12" i="41"/>
  <c r="Y16" i="18"/>
  <c r="K16" i="29"/>
  <c r="W30" i="29"/>
  <c r="W35" i="29" s="1"/>
  <c r="W26" i="29"/>
  <c r="W36" i="29" s="1"/>
  <c r="W5" i="41"/>
  <c r="W24" i="41"/>
  <c r="L74" i="29"/>
  <c r="L60" i="29"/>
  <c r="L69" i="29"/>
  <c r="L55" i="29"/>
  <c r="L54" i="41"/>
  <c r="L68" i="41"/>
  <c r="AF73" i="5"/>
  <c r="AF59" i="5"/>
  <c r="AO70" i="29"/>
  <c r="AO56" i="29"/>
  <c r="AO64" i="41"/>
  <c r="AO50" i="41"/>
  <c r="AF16" i="41"/>
  <c r="AF15" i="41"/>
  <c r="AF44" i="41" s="1"/>
  <c r="AF29" i="41"/>
  <c r="Y25" i="18"/>
  <c r="Y18" i="18"/>
  <c r="Y14" i="38"/>
  <c r="Y34" i="38" s="1"/>
  <c r="Y9" i="38"/>
  <c r="AP70" i="29"/>
  <c r="AP56" i="29"/>
  <c r="AP31" i="41"/>
  <c r="AM76" i="29"/>
  <c r="AM62" i="29"/>
  <c r="Z61" i="41"/>
  <c r="Z75" i="41"/>
  <c r="K17" i="29"/>
  <c r="K30" i="29"/>
  <c r="K35" i="29" s="1"/>
  <c r="K4" i="41"/>
  <c r="K40" i="41" s="1"/>
  <c r="K24" i="41"/>
  <c r="X71" i="5"/>
  <c r="Z71" i="5" s="1"/>
  <c r="X57" i="5"/>
  <c r="Z57" i="5" s="1"/>
  <c r="J65" i="18"/>
  <c r="J51" i="18"/>
  <c r="BS58" i="18"/>
  <c r="BS72" i="18"/>
  <c r="S60" i="29"/>
  <c r="S74" i="29"/>
  <c r="AL73" i="29"/>
  <c r="AL59" i="29"/>
  <c r="AP31" i="29"/>
  <c r="V66" i="29"/>
  <c r="V52" i="29"/>
  <c r="V62" i="41"/>
  <c r="V76" i="41"/>
  <c r="AA16" i="29"/>
  <c r="AA3" i="41"/>
  <c r="AA32" i="41" s="1"/>
  <c r="AA15" i="41"/>
  <c r="AA44" i="41" s="1"/>
  <c r="AA26" i="41"/>
  <c r="AA36" i="41" s="1"/>
  <c r="AX75" i="29"/>
  <c r="AX61" i="29"/>
  <c r="AX67" i="41"/>
  <c r="AX53" i="41"/>
  <c r="AM66" i="29"/>
  <c r="AM52" i="29"/>
  <c r="AM45" i="41"/>
  <c r="AE70" i="29"/>
  <c r="AE56" i="29"/>
  <c r="AE31" i="41"/>
  <c r="AE76" i="41"/>
  <c r="AE62" i="41"/>
  <c r="DI75" i="18"/>
  <c r="DI61" i="18"/>
  <c r="DI68" i="18"/>
  <c r="DI54" i="18"/>
  <c r="AC34" i="29"/>
  <c r="U59" i="29"/>
  <c r="U73" i="29"/>
  <c r="AC32" i="29"/>
  <c r="U55" i="29"/>
  <c r="U69" i="29"/>
  <c r="U75" i="41"/>
  <c r="U61" i="41"/>
  <c r="J76" i="29"/>
  <c r="J62" i="29"/>
  <c r="J61" i="41"/>
  <c r="J75" i="41"/>
  <c r="AW53" i="29"/>
  <c r="AW67" i="29"/>
  <c r="AW66" i="29"/>
  <c r="AW52" i="29"/>
  <c r="AW57" i="29"/>
  <c r="AW71" i="29"/>
  <c r="AW69" i="41"/>
  <c r="AW55" i="41"/>
  <c r="AL72" i="29"/>
  <c r="AL58" i="29"/>
  <c r="AL65" i="41"/>
  <c r="AL51" i="41"/>
  <c r="K8" i="18"/>
  <c r="K41" i="18" s="1"/>
  <c r="K7" i="18"/>
  <c r="K30" i="18"/>
  <c r="K35" i="18" s="1"/>
  <c r="K24" i="38"/>
  <c r="K55" i="38" s="1"/>
  <c r="K19" i="38"/>
  <c r="K42" i="38" s="1"/>
  <c r="M60" i="18"/>
  <c r="M74" i="18"/>
  <c r="AC39" i="29"/>
  <c r="AD67" i="29"/>
  <c r="AD53" i="29"/>
  <c r="T75" i="41"/>
  <c r="T61" i="41"/>
  <c r="AV70" i="41"/>
  <c r="AV56" i="41"/>
  <c r="AV45" i="41"/>
  <c r="AK31" i="41"/>
  <c r="AO66" i="29"/>
  <c r="AO52" i="29"/>
  <c r="S73" i="41"/>
  <c r="S59" i="41"/>
  <c r="S69" i="41"/>
  <c r="S55" i="41"/>
  <c r="H60" i="29"/>
  <c r="H74" i="29"/>
  <c r="H69" i="29"/>
  <c r="H55" i="29"/>
  <c r="H70" i="41"/>
  <c r="H56" i="41"/>
  <c r="AY12" i="29"/>
  <c r="AY24" i="29"/>
  <c r="AY2" i="41"/>
  <c r="AY38" i="41" s="1"/>
  <c r="AY12" i="41"/>
  <c r="AB12" i="41" s="1"/>
  <c r="AJ31" i="41"/>
  <c r="H76" i="18"/>
  <c r="H62" i="18"/>
  <c r="H64" i="18"/>
  <c r="H50" i="18"/>
  <c r="M11" i="29"/>
  <c r="M39" i="29" s="1"/>
  <c r="M23" i="29"/>
  <c r="M49" i="29" s="1"/>
  <c r="M17" i="41"/>
  <c r="M29" i="41"/>
  <c r="AF17" i="29"/>
  <c r="V68" i="29"/>
  <c r="V54" i="29"/>
  <c r="AA5" i="29"/>
  <c r="R65" i="29"/>
  <c r="R51" i="29"/>
  <c r="R72" i="41"/>
  <c r="R58" i="41"/>
  <c r="G74" i="41"/>
  <c r="G60" i="41"/>
  <c r="AA64" i="37"/>
  <c r="AA50" i="37"/>
  <c r="AA76" i="37"/>
  <c r="AA62" i="37"/>
  <c r="AA69" i="37"/>
  <c r="AA55" i="37"/>
  <c r="AU72" i="29"/>
  <c r="AU58" i="29"/>
  <c r="AU68" i="41"/>
  <c r="AU54" i="41"/>
  <c r="AZ68" i="41"/>
  <c r="AZ54" i="41"/>
  <c r="AZ71" i="41"/>
  <c r="AZ57" i="41"/>
  <c r="AB20" i="29"/>
  <c r="AC70" i="29"/>
  <c r="AC56" i="29"/>
  <c r="AC32" i="41"/>
  <c r="AC71" i="41"/>
  <c r="AC57" i="41"/>
  <c r="AC36" i="41"/>
  <c r="AB36" i="41" s="1"/>
  <c r="AB26" i="41"/>
  <c r="X64" i="29"/>
  <c r="X50" i="29"/>
  <c r="X58" i="41"/>
  <c r="X72" i="41"/>
  <c r="K8" i="29"/>
  <c r="K41" i="29" s="1"/>
  <c r="AK31" i="29"/>
  <c r="Q13" i="29"/>
  <c r="Q33" i="29" s="1"/>
  <c r="Q25" i="29"/>
  <c r="Q5" i="41"/>
  <c r="Q22" i="41"/>
  <c r="Q37" i="41" s="1"/>
  <c r="F72" i="29"/>
  <c r="F58" i="29"/>
  <c r="C67" i="37"/>
  <c r="C53" i="37"/>
  <c r="C54" i="37"/>
  <c r="C68" i="37"/>
  <c r="C71" i="37"/>
  <c r="C57" i="37"/>
  <c r="AT31" i="41"/>
  <c r="AT72" i="41"/>
  <c r="AT58" i="41"/>
  <c r="AI65" i="29"/>
  <c r="AI51" i="29"/>
  <c r="I75" i="18"/>
  <c r="I61" i="18"/>
  <c r="AX68" i="29"/>
  <c r="AX54" i="29"/>
  <c r="P75" i="29"/>
  <c r="P61" i="29"/>
  <c r="P71" i="29"/>
  <c r="P57" i="29"/>
  <c r="P55" i="41"/>
  <c r="P69" i="41"/>
  <c r="AB31" i="37"/>
  <c r="AB72" i="37"/>
  <c r="AB58" i="37"/>
  <c r="AS45" i="29"/>
  <c r="AS67" i="41"/>
  <c r="AS53" i="41"/>
  <c r="AS66" i="41"/>
  <c r="AS52" i="41"/>
  <c r="AS71" i="41"/>
  <c r="AS57" i="41"/>
  <c r="AH67" i="41"/>
  <c r="AH53" i="41"/>
  <c r="AH70" i="41"/>
  <c r="AH56" i="41"/>
  <c r="AF19" i="29"/>
  <c r="AF42" i="29" s="1"/>
  <c r="V31" i="29"/>
  <c r="D52" i="41"/>
  <c r="D66" i="41"/>
  <c r="AR71" i="29"/>
  <c r="AR57" i="29"/>
  <c r="AR71" i="41"/>
  <c r="AR57" i="41"/>
  <c r="L20" i="18"/>
  <c r="L17" i="18"/>
  <c r="L14" i="38"/>
  <c r="L34" i="38" s="1"/>
  <c r="L9" i="38"/>
  <c r="E31" i="18"/>
  <c r="E69" i="18"/>
  <c r="E55" i="18"/>
  <c r="C68" i="5"/>
  <c r="C54" i="5"/>
  <c r="C71" i="5"/>
  <c r="C57" i="5"/>
  <c r="C56" i="5"/>
  <c r="C70" i="5"/>
  <c r="Y15" i="29"/>
  <c r="Y44" i="29" s="1"/>
  <c r="Y31" i="29" s="1"/>
  <c r="Y16" i="41"/>
  <c r="Y4" i="41"/>
  <c r="Y40" i="41" s="1"/>
  <c r="Y25" i="41"/>
  <c r="N58" i="41"/>
  <c r="N72" i="41"/>
  <c r="N50" i="41"/>
  <c r="N64" i="41"/>
  <c r="AD69" i="5"/>
  <c r="AD55" i="5"/>
  <c r="AG69" i="41"/>
  <c r="AG55" i="41"/>
  <c r="G21" i="38"/>
  <c r="H4" i="29"/>
  <c r="H40" i="29" s="1"/>
  <c r="BQ69" i="18"/>
  <c r="BQ55" i="18"/>
  <c r="AP68" i="29"/>
  <c r="AP54" i="29"/>
  <c r="AV73" i="29"/>
  <c r="AV59" i="29"/>
  <c r="AV48" i="29" s="1"/>
  <c r="AL68" i="29"/>
  <c r="AL54" i="29"/>
  <c r="AJ63" i="37"/>
  <c r="R63" i="5"/>
  <c r="O48" i="5"/>
  <c r="E48" i="5"/>
  <c r="W56" i="29"/>
  <c r="W70" i="29"/>
  <c r="L50" i="41"/>
  <c r="L64" i="41"/>
  <c r="AF57" i="29"/>
  <c r="AF71" i="29"/>
  <c r="J54" i="18"/>
  <c r="J68" i="18"/>
  <c r="V59" i="41"/>
  <c r="V73" i="41"/>
  <c r="AA61" i="41"/>
  <c r="AA75" i="41"/>
  <c r="AM65" i="41"/>
  <c r="AM51" i="41"/>
  <c r="M67" i="18"/>
  <c r="M53" i="18"/>
  <c r="T71" i="29"/>
  <c r="T57" i="29"/>
  <c r="AK75" i="41"/>
  <c r="AK61" i="41"/>
  <c r="AB20" i="41"/>
  <c r="AC56" i="41"/>
  <c r="AC70" i="41"/>
  <c r="Q55" i="41"/>
  <c r="Q69" i="41"/>
  <c r="C72" i="37"/>
  <c r="C58" i="37"/>
  <c r="O60" i="29"/>
  <c r="O74" i="29"/>
  <c r="N51" i="29"/>
  <c r="N65" i="29"/>
  <c r="AO70" i="41"/>
  <c r="AO56" i="41"/>
  <c r="Y8" i="18"/>
  <c r="Y41" i="18" s="1"/>
  <c r="AH67" i="29"/>
  <c r="AH53" i="29"/>
  <c r="K69" i="29"/>
  <c r="K55" i="29"/>
  <c r="BS76" i="18"/>
  <c r="BS62" i="18"/>
  <c r="AF67" i="29"/>
  <c r="AF53" i="29"/>
  <c r="AX64" i="29"/>
  <c r="AX50" i="29"/>
  <c r="AO68" i="29"/>
  <c r="AO54" i="29"/>
  <c r="J60" i="41"/>
  <c r="J74" i="41"/>
  <c r="AY19" i="29"/>
  <c r="AY42" i="29" s="1"/>
  <c r="M59" i="41"/>
  <c r="M73" i="41"/>
  <c r="AC65" i="41"/>
  <c r="AC51" i="41"/>
  <c r="AI65" i="41"/>
  <c r="AI51" i="41"/>
  <c r="AB54" i="37"/>
  <c r="AB68" i="37"/>
  <c r="AS74" i="41"/>
  <c r="AS60" i="41"/>
  <c r="D74" i="18"/>
  <c r="D60" i="18"/>
  <c r="E66" i="18"/>
  <c r="E52" i="18"/>
  <c r="N71" i="29"/>
  <c r="N57" i="29"/>
  <c r="W24" i="29"/>
  <c r="W25" i="29"/>
  <c r="W4" i="41"/>
  <c r="W40" i="41" s="1"/>
  <c r="W23" i="41"/>
  <c r="W49" i="41" s="1"/>
  <c r="AF53" i="5"/>
  <c r="AF67" i="5"/>
  <c r="AF50" i="5"/>
  <c r="AF64" i="5"/>
  <c r="AO71" i="41"/>
  <c r="AO57" i="41"/>
  <c r="AF13" i="41"/>
  <c r="AF33" i="41" s="1"/>
  <c r="Y23" i="18"/>
  <c r="Y49" i="18" s="1"/>
  <c r="Y7" i="38"/>
  <c r="AP76" i="29"/>
  <c r="AP62" i="29"/>
  <c r="AP62" i="41"/>
  <c r="AP76" i="41"/>
  <c r="K3" i="41"/>
  <c r="K32" i="41" s="1"/>
  <c r="J71" i="18"/>
  <c r="J57" i="18"/>
  <c r="J69" i="18"/>
  <c r="J55" i="18"/>
  <c r="BS68" i="18"/>
  <c r="BS54" i="18"/>
  <c r="Y73" i="29"/>
  <c r="Y59" i="29"/>
  <c r="W15" i="29"/>
  <c r="W44" i="29" s="1"/>
  <c r="W13" i="41"/>
  <c r="W33" i="41" s="1"/>
  <c r="W6" i="41"/>
  <c r="W47" i="41" s="1"/>
  <c r="W25" i="41"/>
  <c r="L64" i="29"/>
  <c r="L50" i="29"/>
  <c r="L45" i="41"/>
  <c r="AF52" i="5"/>
  <c r="AF66" i="5"/>
  <c r="AF45" i="32"/>
  <c r="AO65" i="29"/>
  <c r="AO51" i="29"/>
  <c r="AO31" i="41"/>
  <c r="AF2" i="41"/>
  <c r="AF38" i="41" s="1"/>
  <c r="AF23" i="41"/>
  <c r="AF49" i="41" s="1"/>
  <c r="Y3" i="18"/>
  <c r="Y32" i="18" s="1"/>
  <c r="Y28" i="18"/>
  <c r="Y43" i="18" s="1"/>
  <c r="Y20" i="18"/>
  <c r="Y16" i="38"/>
  <c r="Y11" i="38"/>
  <c r="Y39" i="38" s="1"/>
  <c r="AP71" i="29"/>
  <c r="AP57" i="29"/>
  <c r="AP65" i="29"/>
  <c r="AP51" i="29"/>
  <c r="AF21" i="29"/>
  <c r="Z74" i="29"/>
  <c r="Z60" i="29"/>
  <c r="Z69" i="29"/>
  <c r="Z55" i="29"/>
  <c r="Z54" i="41"/>
  <c r="Z68" i="41"/>
  <c r="Z57" i="41"/>
  <c r="Z71" i="41"/>
  <c r="K18" i="29"/>
  <c r="K18" i="41"/>
  <c r="K5" i="41"/>
  <c r="K25" i="41"/>
  <c r="X60" i="5"/>
  <c r="Z60" i="5" s="1"/>
  <c r="X74" i="5"/>
  <c r="X70" i="5"/>
  <c r="Z70" i="5" s="1"/>
  <c r="X56" i="5"/>
  <c r="Z56" i="5" s="1"/>
  <c r="BS31" i="18"/>
  <c r="AF11" i="29"/>
  <c r="AF39" i="29" s="1"/>
  <c r="V73" i="29"/>
  <c r="V59" i="29"/>
  <c r="AD31" i="29"/>
  <c r="V75" i="29"/>
  <c r="V61" i="29"/>
  <c r="V58" i="41"/>
  <c r="V72" i="41"/>
  <c r="AA17" i="29"/>
  <c r="C17" i="29" s="1"/>
  <c r="AA4" i="41"/>
  <c r="AA40" i="41" s="1"/>
  <c r="AA17" i="41"/>
  <c r="AA27" i="41"/>
  <c r="AX69" i="41"/>
  <c r="AX55" i="41"/>
  <c r="AM75" i="29"/>
  <c r="AM61" i="29"/>
  <c r="AM75" i="41"/>
  <c r="AM61" i="41"/>
  <c r="AM62" i="41"/>
  <c r="AM76" i="41"/>
  <c r="AE65" i="29"/>
  <c r="AE51" i="29"/>
  <c r="AE72" i="41"/>
  <c r="AE58" i="41"/>
  <c r="DI70" i="18"/>
  <c r="DI56" i="18"/>
  <c r="F73" i="29"/>
  <c r="F59" i="29"/>
  <c r="P31" i="29"/>
  <c r="U50" i="29"/>
  <c r="U64" i="29"/>
  <c r="U67" i="41"/>
  <c r="U53" i="41"/>
  <c r="J74" i="29"/>
  <c r="J60" i="29"/>
  <c r="J69" i="29"/>
  <c r="J55" i="29"/>
  <c r="J53" i="41"/>
  <c r="J67" i="41"/>
  <c r="AW61" i="29"/>
  <c r="AW75" i="29"/>
  <c r="AW73" i="41"/>
  <c r="AW59" i="41"/>
  <c r="AW64" i="41"/>
  <c r="AW50" i="41"/>
  <c r="AL66" i="29"/>
  <c r="AL52" i="29"/>
  <c r="AL71" i="29"/>
  <c r="AL57" i="29"/>
  <c r="AL31" i="41"/>
  <c r="K10" i="18"/>
  <c r="K46" i="18" s="1"/>
  <c r="K9" i="18"/>
  <c r="K2" i="38"/>
  <c r="K38" i="38" s="1"/>
  <c r="K26" i="38"/>
  <c r="K36" i="38" s="1"/>
  <c r="K21" i="38"/>
  <c r="M52" i="18"/>
  <c r="M66" i="18"/>
  <c r="D39" i="29"/>
  <c r="T60" i="29"/>
  <c r="T74" i="29"/>
  <c r="T69" i="29"/>
  <c r="T55" i="29"/>
  <c r="T73" i="41"/>
  <c r="T59" i="41"/>
  <c r="AV74" i="41"/>
  <c r="AV60" i="41"/>
  <c r="AV71" i="41"/>
  <c r="AV57" i="41"/>
  <c r="AK72" i="29"/>
  <c r="AK58" i="29"/>
  <c r="AK76" i="29"/>
  <c r="AK62" i="29"/>
  <c r="AD74" i="29"/>
  <c r="AD60" i="29"/>
  <c r="AD69" i="29"/>
  <c r="AD55" i="29"/>
  <c r="AD73" i="41"/>
  <c r="AD59" i="41"/>
  <c r="AD52" i="41"/>
  <c r="AD66" i="41"/>
  <c r="S72" i="29"/>
  <c r="S58" i="29"/>
  <c r="AC41" i="29"/>
  <c r="AY3" i="29"/>
  <c r="AY32" i="29" s="1"/>
  <c r="S64" i="41"/>
  <c r="S50" i="41"/>
  <c r="H64" i="29"/>
  <c r="H50" i="29"/>
  <c r="H68" i="41"/>
  <c r="H54" i="41"/>
  <c r="H65" i="41"/>
  <c r="H51" i="41"/>
  <c r="AY13" i="29"/>
  <c r="AY33" i="29" s="1"/>
  <c r="AY25" i="29"/>
  <c r="AY5" i="41"/>
  <c r="AY17" i="41"/>
  <c r="AJ76" i="29"/>
  <c r="AJ62" i="29"/>
  <c r="AJ71" i="41"/>
  <c r="AJ57" i="41"/>
  <c r="M12" i="29"/>
  <c r="M24" i="29"/>
  <c r="M20" i="41"/>
  <c r="M22" i="41"/>
  <c r="M37" i="41" s="1"/>
  <c r="P58" i="29"/>
  <c r="P72" i="29"/>
  <c r="G68" i="29"/>
  <c r="G54" i="29"/>
  <c r="M5" i="29"/>
  <c r="M2" i="29"/>
  <c r="M38" i="29" s="1"/>
  <c r="R67" i="41"/>
  <c r="R53" i="41"/>
  <c r="R66" i="41"/>
  <c r="R52" i="41"/>
  <c r="G31" i="41"/>
  <c r="G65" i="41"/>
  <c r="G51" i="41"/>
  <c r="AU66" i="29"/>
  <c r="AU52" i="29"/>
  <c r="AU57" i="29"/>
  <c r="AU71" i="29"/>
  <c r="AU45" i="41"/>
  <c r="AZ62" i="29"/>
  <c r="AZ76" i="29"/>
  <c r="AZ45" i="41"/>
  <c r="AB21" i="29"/>
  <c r="AC65" i="29"/>
  <c r="AC51" i="29"/>
  <c r="AC40" i="41"/>
  <c r="AB40" i="41" s="1"/>
  <c r="AB4" i="41"/>
  <c r="AC44" i="41"/>
  <c r="AC76" i="41"/>
  <c r="AB27" i="41"/>
  <c r="AC62" i="41"/>
  <c r="X61" i="41"/>
  <c r="X75" i="41"/>
  <c r="X51" i="41"/>
  <c r="X65" i="41"/>
  <c r="G56" i="29"/>
  <c r="G70" i="29"/>
  <c r="AT73" i="29"/>
  <c r="AT59" i="29"/>
  <c r="X31" i="29"/>
  <c r="Q14" i="29"/>
  <c r="Q34" i="29" s="1"/>
  <c r="Q26" i="29"/>
  <c r="Q36" i="29" s="1"/>
  <c r="Q6" i="41"/>
  <c r="Q47" i="41" s="1"/>
  <c r="Q13" i="41"/>
  <c r="Q33" i="41" s="1"/>
  <c r="F52" i="29"/>
  <c r="F66" i="29"/>
  <c r="F71" i="29"/>
  <c r="F57" i="29"/>
  <c r="F74" i="41"/>
  <c r="F60" i="41"/>
  <c r="F69" i="41"/>
  <c r="F55" i="41"/>
  <c r="C31" i="37"/>
  <c r="AT66" i="41"/>
  <c r="AT52" i="41"/>
  <c r="AT71" i="41"/>
  <c r="AT57" i="41"/>
  <c r="AI31" i="41"/>
  <c r="AI76" i="41"/>
  <c r="AI62" i="41"/>
  <c r="I56" i="18"/>
  <c r="I70" i="18"/>
  <c r="V71" i="29"/>
  <c r="V57" i="29"/>
  <c r="S68" i="29"/>
  <c r="S54" i="29"/>
  <c r="W4" i="29"/>
  <c r="W40" i="29" s="1"/>
  <c r="P50" i="41"/>
  <c r="P64" i="41"/>
  <c r="AS48" i="29"/>
  <c r="AS75" i="41"/>
  <c r="AS61" i="41"/>
  <c r="AH76" i="29"/>
  <c r="AH62" i="29"/>
  <c r="AH65" i="41"/>
  <c r="AH51" i="41"/>
  <c r="D67" i="18"/>
  <c r="D53" i="18"/>
  <c r="D57" i="18"/>
  <c r="D71" i="18"/>
  <c r="D55" i="18"/>
  <c r="D69" i="18"/>
  <c r="J31" i="29"/>
  <c r="D57" i="41"/>
  <c r="D71" i="41"/>
  <c r="L29" i="18"/>
  <c r="L22" i="18"/>
  <c r="L37" i="18" s="1"/>
  <c r="L19" i="18"/>
  <c r="L42" i="18" s="1"/>
  <c r="L16" i="38"/>
  <c r="L11" i="38"/>
  <c r="L39" i="38" s="1"/>
  <c r="E67" i="18"/>
  <c r="E53" i="18"/>
  <c r="Y16" i="29"/>
  <c r="Y19" i="41"/>
  <c r="Y42" i="41" s="1"/>
  <c r="Y5" i="41"/>
  <c r="Y26" i="41"/>
  <c r="Y36" i="41" s="1"/>
  <c r="N72" i="29"/>
  <c r="N58" i="29"/>
  <c r="N59" i="41"/>
  <c r="N73" i="41"/>
  <c r="AG64" i="29"/>
  <c r="AG50" i="29"/>
  <c r="AG76" i="41"/>
  <c r="AG62" i="41"/>
  <c r="G6" i="38"/>
  <c r="G47" i="38" s="1"/>
  <c r="AO45" i="29"/>
  <c r="X68" i="5"/>
  <c r="Z68" i="5" s="1"/>
  <c r="X54" i="5"/>
  <c r="BQ64" i="18"/>
  <c r="BQ50" i="18"/>
  <c r="AI54" i="29"/>
  <c r="AI68" i="29"/>
  <c r="AC66" i="29"/>
  <c r="AC63" i="29" s="1"/>
  <c r="AC52" i="29"/>
  <c r="AD45" i="29"/>
  <c r="AH74" i="29"/>
  <c r="AH60" i="29"/>
  <c r="Y63" i="5"/>
  <c r="Q63" i="5"/>
  <c r="AV53" i="29"/>
  <c r="AV67" i="29"/>
  <c r="S75" i="29"/>
  <c r="S61" i="29"/>
  <c r="AX74" i="41"/>
  <c r="AX60" i="41"/>
  <c r="DI65" i="18"/>
  <c r="DI51" i="18"/>
  <c r="AW66" i="41"/>
  <c r="AW52" i="41"/>
  <c r="T66" i="29"/>
  <c r="T52" i="29"/>
  <c r="AJ64" i="41"/>
  <c r="AJ50" i="41"/>
  <c r="R76" i="29"/>
  <c r="R62" i="29"/>
  <c r="AU72" i="41"/>
  <c r="AU58" i="41"/>
  <c r="AT72" i="29"/>
  <c r="AT58" i="29"/>
  <c r="P69" i="29"/>
  <c r="P55" i="29"/>
  <c r="AN68" i="29"/>
  <c r="AN54" i="29"/>
  <c r="AP74" i="41"/>
  <c r="AP60" i="41"/>
  <c r="G69" i="29"/>
  <c r="G55" i="29"/>
  <c r="AY21" i="41"/>
  <c r="AB21" i="41" s="1"/>
  <c r="AZ65" i="29"/>
  <c r="AZ51" i="29"/>
  <c r="AH65" i="29"/>
  <c r="AH51" i="29"/>
  <c r="AF3" i="29"/>
  <c r="AF32" i="29" s="1"/>
  <c r="AO76" i="41"/>
  <c r="AO62" i="41"/>
  <c r="AF3" i="41"/>
  <c r="AF32" i="41" s="1"/>
  <c r="AF17" i="41"/>
  <c r="Y5" i="18"/>
  <c r="Y29" i="18"/>
  <c r="Y22" i="18"/>
  <c r="Y37" i="18" s="1"/>
  <c r="Y18" i="38"/>
  <c r="Y13" i="38"/>
  <c r="Y33" i="38" s="1"/>
  <c r="AP67" i="41"/>
  <c r="AP53" i="41"/>
  <c r="AP75" i="41"/>
  <c r="AP61" i="41"/>
  <c r="AF18" i="29"/>
  <c r="AM59" i="29"/>
  <c r="AM73" i="29"/>
  <c r="AE31" i="29"/>
  <c r="Z50" i="29"/>
  <c r="Z64" i="29"/>
  <c r="Z58" i="41"/>
  <c r="Z72" i="41"/>
  <c r="K19" i="29"/>
  <c r="K42" i="29" s="1"/>
  <c r="K16" i="41"/>
  <c r="K6" i="41"/>
  <c r="K47" i="41" s="1"/>
  <c r="K45" i="41" s="1"/>
  <c r="K26" i="41"/>
  <c r="K36" i="41" s="1"/>
  <c r="X75" i="5"/>
  <c r="Z75" i="5" s="1"/>
  <c r="X61" i="5"/>
  <c r="Z61" i="5" s="1"/>
  <c r="J76" i="18"/>
  <c r="J62" i="18"/>
  <c r="J64" i="18"/>
  <c r="J50" i="18"/>
  <c r="BS74" i="18"/>
  <c r="BS60" i="18"/>
  <c r="F52" i="18"/>
  <c r="F66" i="18"/>
  <c r="F74" i="18"/>
  <c r="F60" i="18"/>
  <c r="G73" i="29"/>
  <c r="G59" i="29"/>
  <c r="Q3" i="29"/>
  <c r="Q32" i="29" s="1"/>
  <c r="V31" i="41"/>
  <c r="V52" i="41"/>
  <c r="V66" i="41"/>
  <c r="AA18" i="29"/>
  <c r="AA5" i="41"/>
  <c r="AA20" i="41"/>
  <c r="AA28" i="41"/>
  <c r="AA43" i="41" s="1"/>
  <c r="AX70" i="29"/>
  <c r="AX56" i="29"/>
  <c r="AX73" i="41"/>
  <c r="AX59" i="41"/>
  <c r="AX64" i="41"/>
  <c r="AX50" i="41"/>
  <c r="AM67" i="41"/>
  <c r="AM53" i="41"/>
  <c r="AE67" i="41"/>
  <c r="AE53" i="41"/>
  <c r="AE66" i="41"/>
  <c r="AE52" i="41"/>
  <c r="P60" i="29"/>
  <c r="P74" i="29"/>
  <c r="U70" i="41"/>
  <c r="U56" i="41"/>
  <c r="J64" i="29"/>
  <c r="J50" i="29"/>
  <c r="J56" i="41"/>
  <c r="J70" i="41"/>
  <c r="AW73" i="29"/>
  <c r="AW59" i="29"/>
  <c r="AL61" i="29"/>
  <c r="AL75" i="29"/>
  <c r="K12" i="18"/>
  <c r="K11" i="18"/>
  <c r="K39" i="18" s="1"/>
  <c r="K4" i="38"/>
  <c r="K40" i="38" s="1"/>
  <c r="K28" i="38"/>
  <c r="K43" i="38" s="1"/>
  <c r="K23" i="38"/>
  <c r="K49" i="38" s="1"/>
  <c r="M58" i="18"/>
  <c r="M72" i="18"/>
  <c r="AI45" i="29"/>
  <c r="T31" i="29"/>
  <c r="T50" i="29"/>
  <c r="T64" i="29"/>
  <c r="T70" i="41"/>
  <c r="T56" i="41"/>
  <c r="AV69" i="29"/>
  <c r="AV55" i="29"/>
  <c r="AV66" i="41"/>
  <c r="AV52" i="41"/>
  <c r="AV75" i="41"/>
  <c r="AV61" i="41"/>
  <c r="AK67" i="29"/>
  <c r="AK53" i="29"/>
  <c r="AK66" i="29"/>
  <c r="AK52" i="29"/>
  <c r="AK67" i="41"/>
  <c r="AK53" i="41"/>
  <c r="AK69" i="41"/>
  <c r="AK55" i="41"/>
  <c r="AD64" i="29"/>
  <c r="AD50" i="29"/>
  <c r="AD56" i="41"/>
  <c r="AD70" i="41"/>
  <c r="S68" i="41"/>
  <c r="S54" i="41"/>
  <c r="AY14" i="29"/>
  <c r="AY34" i="29" s="1"/>
  <c r="AY26" i="29"/>
  <c r="AY36" i="29" s="1"/>
  <c r="AY8" i="41"/>
  <c r="AY41" i="41" s="1"/>
  <c r="AY15" i="41"/>
  <c r="AY44" i="41" s="1"/>
  <c r="AJ72" i="29"/>
  <c r="AJ58" i="29"/>
  <c r="AJ67" i="41"/>
  <c r="AJ53" i="41"/>
  <c r="H53" i="18"/>
  <c r="H67" i="18"/>
  <c r="H57" i="18"/>
  <c r="H71" i="18"/>
  <c r="M13" i="29"/>
  <c r="M33" i="29" s="1"/>
  <c r="M25" i="29"/>
  <c r="M2" i="41"/>
  <c r="M38" i="41" s="1"/>
  <c r="M23" i="41"/>
  <c r="M49" i="41" s="1"/>
  <c r="R75" i="41"/>
  <c r="R61" i="41"/>
  <c r="R71" i="41"/>
  <c r="R57" i="41"/>
  <c r="G75" i="41"/>
  <c r="G61" i="41"/>
  <c r="AA72" i="37"/>
  <c r="AA58" i="37"/>
  <c r="AU61" i="29"/>
  <c r="AU75" i="29"/>
  <c r="AU69" i="41"/>
  <c r="AU55" i="41"/>
  <c r="AZ58" i="29"/>
  <c r="AZ72" i="29"/>
  <c r="AZ65" i="41"/>
  <c r="AZ51" i="41"/>
  <c r="AB22" i="29"/>
  <c r="AB37" i="29" s="1"/>
  <c r="AC37" i="29"/>
  <c r="AC67" i="41"/>
  <c r="AB5" i="41"/>
  <c r="AC53" i="41"/>
  <c r="AB16" i="41"/>
  <c r="AC72" i="41"/>
  <c r="AC58" i="41"/>
  <c r="AC43" i="41"/>
  <c r="AB43" i="41" s="1"/>
  <c r="AB28" i="41"/>
  <c r="AE73" i="29"/>
  <c r="AE59" i="29"/>
  <c r="L31" i="29"/>
  <c r="Q15" i="29"/>
  <c r="Q44" i="29" s="1"/>
  <c r="Q11" i="41"/>
  <c r="Q39" i="41" s="1"/>
  <c r="Q7" i="41"/>
  <c r="Q19" i="41"/>
  <c r="Q42" i="41" s="1"/>
  <c r="F75" i="29"/>
  <c r="F61" i="29"/>
  <c r="F48" i="29" s="1"/>
  <c r="F64" i="41"/>
  <c r="F50" i="41"/>
  <c r="C65" i="37"/>
  <c r="C51" i="37"/>
  <c r="AT69" i="29"/>
  <c r="AT55" i="29"/>
  <c r="AT67" i="41"/>
  <c r="AT53" i="41"/>
  <c r="AT75" i="41"/>
  <c r="AT61" i="41"/>
  <c r="AI48" i="29"/>
  <c r="AI72" i="41"/>
  <c r="AI58" i="41"/>
  <c r="I52" i="18"/>
  <c r="I66" i="18"/>
  <c r="AR64" i="29"/>
  <c r="AR50" i="29"/>
  <c r="K4" i="29"/>
  <c r="K40" i="29" s="1"/>
  <c r="P70" i="29"/>
  <c r="P56" i="29"/>
  <c r="P57" i="41"/>
  <c r="P71" i="41"/>
  <c r="AB50" i="37"/>
  <c r="AB64" i="37"/>
  <c r="AS74" i="29"/>
  <c r="AS60" i="29"/>
  <c r="AS69" i="29"/>
  <c r="AS55" i="29"/>
  <c r="AS73" i="41"/>
  <c r="AS59" i="41"/>
  <c r="AH72" i="29"/>
  <c r="AH58" i="29"/>
  <c r="AH73" i="41"/>
  <c r="AH59" i="41"/>
  <c r="D73" i="18"/>
  <c r="D59" i="18"/>
  <c r="U67" i="37"/>
  <c r="U53" i="37"/>
  <c r="AR73" i="41"/>
  <c r="AR59" i="41"/>
  <c r="L55" i="18"/>
  <c r="L69" i="18"/>
  <c r="L65" i="18"/>
  <c r="L51" i="18"/>
  <c r="E73" i="18"/>
  <c r="E59" i="18"/>
  <c r="E76" i="18"/>
  <c r="E62" i="18"/>
  <c r="C65" i="5"/>
  <c r="C51" i="5"/>
  <c r="C74" i="5"/>
  <c r="C60" i="5"/>
  <c r="AH31" i="29"/>
  <c r="Y66" i="29"/>
  <c r="Y52" i="29"/>
  <c r="Y62" i="41"/>
  <c r="Y76" i="41"/>
  <c r="N52" i="29"/>
  <c r="N66" i="29"/>
  <c r="N62" i="41"/>
  <c r="N76" i="41"/>
  <c r="AG62" i="29"/>
  <c r="AG76" i="29"/>
  <c r="AO73" i="29"/>
  <c r="AO59" i="29"/>
  <c r="Z68" i="29"/>
  <c r="Z54" i="29"/>
  <c r="AJ54" i="29"/>
  <c r="AJ68" i="29"/>
  <c r="Y48" i="5"/>
  <c r="Z58" i="5"/>
  <c r="AI67" i="29"/>
  <c r="AI53" i="29"/>
  <c r="AF62" i="5"/>
  <c r="AF76" i="5"/>
  <c r="AF69" i="41"/>
  <c r="AF55" i="41"/>
  <c r="U74" i="29"/>
  <c r="U60" i="29"/>
  <c r="X73" i="5"/>
  <c r="Z73" i="5" s="1"/>
  <c r="X59" i="5"/>
  <c r="Z59" i="5" s="1"/>
  <c r="F50" i="18"/>
  <c r="F64" i="18"/>
  <c r="T69" i="41"/>
  <c r="T55" i="41"/>
  <c r="X73" i="29"/>
  <c r="X59" i="29"/>
  <c r="F67" i="41"/>
  <c r="F53" i="41"/>
  <c r="I50" i="18"/>
  <c r="I64" i="18"/>
  <c r="L73" i="29"/>
  <c r="L59" i="29"/>
  <c r="AL48" i="29"/>
  <c r="T64" i="41"/>
  <c r="T50" i="41"/>
  <c r="G68" i="41"/>
  <c r="G54" i="41"/>
  <c r="Q27" i="29"/>
  <c r="D66" i="18"/>
  <c r="D52" i="18"/>
  <c r="S31" i="29"/>
  <c r="L62" i="29"/>
  <c r="L76" i="29"/>
  <c r="AF54" i="5"/>
  <c r="AF68" i="5"/>
  <c r="AO67" i="41"/>
  <c r="AO53" i="41"/>
  <c r="Y7" i="18"/>
  <c r="Y15" i="38"/>
  <c r="Y44" i="38" s="1"/>
  <c r="Z55" i="41"/>
  <c r="Z69" i="41"/>
  <c r="K27" i="41"/>
  <c r="V76" i="29"/>
  <c r="V62" i="29"/>
  <c r="AA21" i="41"/>
  <c r="AE71" i="41"/>
  <c r="AE57" i="41"/>
  <c r="AC38" i="29"/>
  <c r="U65" i="41"/>
  <c r="U51" i="41"/>
  <c r="J51" i="41"/>
  <c r="J65" i="41"/>
  <c r="AW72" i="41"/>
  <c r="AW58" i="41"/>
  <c r="AW62" i="41"/>
  <c r="AW76" i="41"/>
  <c r="AL69" i="41"/>
  <c r="AL55" i="41"/>
  <c r="K13" i="18"/>
  <c r="K33" i="18" s="1"/>
  <c r="K30" i="38"/>
  <c r="K35" i="38" s="1"/>
  <c r="K25" i="38"/>
  <c r="I75" i="41"/>
  <c r="I61" i="41"/>
  <c r="AK64" i="41"/>
  <c r="AK50" i="41"/>
  <c r="AD54" i="41"/>
  <c r="AD68" i="41"/>
  <c r="AD65" i="41"/>
  <c r="AD51" i="41"/>
  <c r="AH73" i="29"/>
  <c r="AH59" i="29"/>
  <c r="S76" i="41"/>
  <c r="S62" i="41"/>
  <c r="AY15" i="29"/>
  <c r="AY44" i="29" s="1"/>
  <c r="AY27" i="29"/>
  <c r="AY3" i="41"/>
  <c r="AY32" i="41" s="1"/>
  <c r="AY29" i="41"/>
  <c r="AB29" i="41" s="1"/>
  <c r="AJ66" i="29"/>
  <c r="AJ52" i="29"/>
  <c r="AJ71" i="29"/>
  <c r="AJ57" i="29"/>
  <c r="H74" i="18"/>
  <c r="H60" i="18"/>
  <c r="H59" i="18"/>
  <c r="H73" i="18"/>
  <c r="M14" i="29"/>
  <c r="M34" i="29" s="1"/>
  <c r="M26" i="29"/>
  <c r="M36" i="29" s="1"/>
  <c r="M3" i="41"/>
  <c r="M32" i="41" s="1"/>
  <c r="M24" i="41"/>
  <c r="AA8" i="29"/>
  <c r="AA41" i="29" s="1"/>
  <c r="R74" i="29"/>
  <c r="R60" i="29"/>
  <c r="R69" i="29"/>
  <c r="R55" i="29"/>
  <c r="R73" i="41"/>
  <c r="R59" i="41"/>
  <c r="G76" i="29"/>
  <c r="G62" i="29"/>
  <c r="G67" i="41"/>
  <c r="G53" i="41"/>
  <c r="G64" i="41"/>
  <c r="G50" i="41"/>
  <c r="AA73" i="37"/>
  <c r="AA59" i="37"/>
  <c r="AU64" i="41"/>
  <c r="AU50" i="41"/>
  <c r="AZ66" i="29"/>
  <c r="AZ52" i="29"/>
  <c r="AZ71" i="29"/>
  <c r="AZ57" i="29"/>
  <c r="AZ75" i="41"/>
  <c r="AZ61" i="41"/>
  <c r="AB23" i="29"/>
  <c r="AB49" i="29" s="1"/>
  <c r="AC49" i="29"/>
  <c r="AC47" i="41"/>
  <c r="AB17" i="41"/>
  <c r="AC52" i="41"/>
  <c r="AC66" i="41"/>
  <c r="AC35" i="41"/>
  <c r="X72" i="29"/>
  <c r="X58" i="29"/>
  <c r="X76" i="29"/>
  <c r="X62" i="29"/>
  <c r="X31" i="41"/>
  <c r="AB13" i="29"/>
  <c r="AB33" i="29" s="1"/>
  <c r="AC33" i="29"/>
  <c r="P73" i="29"/>
  <c r="P59" i="29"/>
  <c r="Q16" i="29"/>
  <c r="Q14" i="41"/>
  <c r="Q34" i="41" s="1"/>
  <c r="Q8" i="41"/>
  <c r="Q41" i="41" s="1"/>
  <c r="Q26" i="41"/>
  <c r="Q36" i="41" s="1"/>
  <c r="C73" i="37"/>
  <c r="C59" i="37"/>
  <c r="C76" i="37"/>
  <c r="C62" i="37"/>
  <c r="AT64" i="29"/>
  <c r="AT50" i="29"/>
  <c r="AI74" i="29"/>
  <c r="AI60" i="29"/>
  <c r="AI69" i="29"/>
  <c r="AI55" i="29"/>
  <c r="AI67" i="41"/>
  <c r="AI53" i="41"/>
  <c r="AI66" i="41"/>
  <c r="AI52" i="41"/>
  <c r="I71" i="18"/>
  <c r="I57" i="18"/>
  <c r="I69" i="18"/>
  <c r="I55" i="18"/>
  <c r="AV31" i="29"/>
  <c r="P65" i="29"/>
  <c r="P51" i="29"/>
  <c r="P31" i="41"/>
  <c r="P62" i="41"/>
  <c r="P76" i="41"/>
  <c r="AS64" i="29"/>
  <c r="AS50" i="29"/>
  <c r="AS70" i="41"/>
  <c r="AS56" i="41"/>
  <c r="AH66" i="29"/>
  <c r="AH52" i="29"/>
  <c r="AH71" i="29"/>
  <c r="AH57" i="29"/>
  <c r="D68" i="18"/>
  <c r="D54" i="18"/>
  <c r="AR45" i="29"/>
  <c r="AM67" i="29"/>
  <c r="AM53" i="29"/>
  <c r="AR72" i="41"/>
  <c r="AR58" i="41"/>
  <c r="AR68" i="41"/>
  <c r="AR54" i="41"/>
  <c r="E54" i="18"/>
  <c r="E68" i="18"/>
  <c r="E71" i="18"/>
  <c r="E57" i="18"/>
  <c r="C62" i="5"/>
  <c r="C76" i="5"/>
  <c r="C75" i="5"/>
  <c r="C61" i="5"/>
  <c r="AP45" i="29"/>
  <c r="Y75" i="29"/>
  <c r="Y61" i="29"/>
  <c r="Y59" i="41"/>
  <c r="Y73" i="41"/>
  <c r="N75" i="29"/>
  <c r="N61" i="29"/>
  <c r="AQ72" i="29"/>
  <c r="AQ58" i="29"/>
  <c r="G72" i="18"/>
  <c r="G58" i="18"/>
  <c r="L67" i="29"/>
  <c r="L53" i="29"/>
  <c r="AA63" i="18"/>
  <c r="Q48" i="5"/>
  <c r="M63" i="37"/>
  <c r="P63" i="5"/>
  <c r="L63" i="37"/>
  <c r="Z74" i="5"/>
  <c r="L75" i="29"/>
  <c r="L61" i="29"/>
  <c r="Z52" i="29"/>
  <c r="Z66" i="29"/>
  <c r="AU67" i="29"/>
  <c r="AU53" i="29"/>
  <c r="AX74" i="29"/>
  <c r="AX60" i="29"/>
  <c r="T74" i="41"/>
  <c r="T60" i="41"/>
  <c r="AK65" i="29"/>
  <c r="AK51" i="29"/>
  <c r="AZ70" i="29"/>
  <c r="AZ56" i="29"/>
  <c r="Q60" i="41"/>
  <c r="Q74" i="41"/>
  <c r="AI70" i="41"/>
  <c r="AI56" i="41"/>
  <c r="AR75" i="41"/>
  <c r="AR61" i="41"/>
  <c r="E60" i="18"/>
  <c r="E74" i="18"/>
  <c r="AU68" i="29"/>
  <c r="AU54" i="29"/>
  <c r="W65" i="29"/>
  <c r="W51" i="29"/>
  <c r="AF50" i="41"/>
  <c r="AF64" i="41"/>
  <c r="AP72" i="41"/>
  <c r="AP58" i="41"/>
  <c r="Z56" i="41"/>
  <c r="Z70" i="41"/>
  <c r="X31" i="5"/>
  <c r="Z32" i="5"/>
  <c r="Z31" i="5" s="1"/>
  <c r="AN15" i="29"/>
  <c r="AN44" i="29" s="1"/>
  <c r="AM69" i="29"/>
  <c r="AM55" i="29"/>
  <c r="BR64" i="18"/>
  <c r="BR63" i="18" s="1"/>
  <c r="BR50" i="18"/>
  <c r="BR48" i="18" s="1"/>
  <c r="U74" i="41"/>
  <c r="U60" i="41"/>
  <c r="AD31" i="41"/>
  <c r="F75" i="41"/>
  <c r="F61" i="41"/>
  <c r="K13" i="29"/>
  <c r="K33" i="29" s="1"/>
  <c r="W17" i="29"/>
  <c r="W17" i="41"/>
  <c r="W8" i="41"/>
  <c r="W41" i="41" s="1"/>
  <c r="W27" i="41"/>
  <c r="L52" i="41"/>
  <c r="L66" i="41"/>
  <c r="AF71" i="5"/>
  <c r="AF57" i="5"/>
  <c r="AF20" i="41"/>
  <c r="Y24" i="18"/>
  <c r="AP64" i="41"/>
  <c r="AP50" i="41"/>
  <c r="AP48" i="41" s="1"/>
  <c r="R31" i="29"/>
  <c r="K20" i="29"/>
  <c r="K7" i="41"/>
  <c r="X69" i="5"/>
  <c r="Z69" i="5" s="1"/>
  <c r="X55" i="5"/>
  <c r="Z55" i="5" s="1"/>
  <c r="BS66" i="18"/>
  <c r="BS52" i="18"/>
  <c r="V70" i="29"/>
  <c r="V56" i="29"/>
  <c r="AA27" i="29"/>
  <c r="AA6" i="41"/>
  <c r="AA47" i="41" s="1"/>
  <c r="AA30" i="41"/>
  <c r="AA35" i="41" s="1"/>
  <c r="AE75" i="41"/>
  <c r="AE61" i="41"/>
  <c r="DI55" i="18"/>
  <c r="DI69" i="18"/>
  <c r="U73" i="41"/>
  <c r="U59" i="41"/>
  <c r="J59" i="41"/>
  <c r="J73" i="41"/>
  <c r="AW70" i="29"/>
  <c r="AW56" i="29"/>
  <c r="AW68" i="41"/>
  <c r="AW54" i="41"/>
  <c r="AL67" i="41"/>
  <c r="AL53" i="41"/>
  <c r="K14" i="18"/>
  <c r="K34" i="18" s="1"/>
  <c r="K6" i="38"/>
  <c r="K47" i="38" s="1"/>
  <c r="M75" i="18"/>
  <c r="M61" i="18"/>
  <c r="AA3" i="29"/>
  <c r="AA32" i="29" s="1"/>
  <c r="T68" i="41"/>
  <c r="T54" i="41"/>
  <c r="T65" i="41"/>
  <c r="T51" i="41"/>
  <c r="AK61" i="29"/>
  <c r="AK75" i="29"/>
  <c r="AK71" i="29"/>
  <c r="AK57" i="29"/>
  <c r="G31" i="29"/>
  <c r="W18" i="29"/>
  <c r="W20" i="41"/>
  <c r="W9" i="41"/>
  <c r="W28" i="41"/>
  <c r="W43" i="41" s="1"/>
  <c r="L72" i="29"/>
  <c r="L58" i="29"/>
  <c r="L56" i="41"/>
  <c r="L70" i="41"/>
  <c r="AO69" i="29"/>
  <c r="AO55" i="29"/>
  <c r="AO66" i="41"/>
  <c r="AO52" i="41"/>
  <c r="AF27" i="29"/>
  <c r="AF5" i="41"/>
  <c r="AF21" i="41"/>
  <c r="Y9" i="18"/>
  <c r="Y2" i="18"/>
  <c r="Y38" i="18" s="1"/>
  <c r="Y30" i="18"/>
  <c r="Y35" i="18" s="1"/>
  <c r="Y22" i="38"/>
  <c r="Y37" i="38" s="1"/>
  <c r="Y17" i="38"/>
  <c r="Y52" i="38" s="1"/>
  <c r="AP74" i="29"/>
  <c r="AP60" i="29"/>
  <c r="AP69" i="29"/>
  <c r="AP55" i="29"/>
  <c r="AP73" i="41"/>
  <c r="AP59" i="41"/>
  <c r="AC47" i="29"/>
  <c r="F31" i="29"/>
  <c r="Z50" i="41"/>
  <c r="Z64" i="41"/>
  <c r="K21" i="29"/>
  <c r="K19" i="41"/>
  <c r="K42" i="41" s="1"/>
  <c r="K8" i="41"/>
  <c r="K41" i="41" s="1"/>
  <c r="K28" i="41"/>
  <c r="K43" i="41" s="1"/>
  <c r="J67" i="18"/>
  <c r="J53" i="18"/>
  <c r="F65" i="18"/>
  <c r="F51" i="18"/>
  <c r="F58" i="18"/>
  <c r="F72" i="18"/>
  <c r="S69" i="29"/>
  <c r="S55" i="29"/>
  <c r="AA6" i="29"/>
  <c r="AA47" i="29" s="1"/>
  <c r="V65" i="29"/>
  <c r="V51" i="29"/>
  <c r="V53" i="41"/>
  <c r="V67" i="41"/>
  <c r="AA28" i="29"/>
  <c r="AA43" i="29" s="1"/>
  <c r="AA20" i="29"/>
  <c r="AA7" i="41"/>
  <c r="AA11" i="41"/>
  <c r="AA39" i="41" s="1"/>
  <c r="AX45" i="29"/>
  <c r="AX68" i="41"/>
  <c r="AX54" i="41"/>
  <c r="AX76" i="41"/>
  <c r="AX62" i="41"/>
  <c r="AM65" i="29"/>
  <c r="AM51" i="29"/>
  <c r="AM70" i="41"/>
  <c r="AM56" i="41"/>
  <c r="AE74" i="29"/>
  <c r="AE60" i="29"/>
  <c r="AE69" i="29"/>
  <c r="AE55" i="29"/>
  <c r="AE73" i="41"/>
  <c r="AE59" i="41"/>
  <c r="DI66" i="18"/>
  <c r="DI63" i="18" s="1"/>
  <c r="DI52" i="18"/>
  <c r="K6" i="29"/>
  <c r="K47" i="29" s="1"/>
  <c r="AW68" i="29"/>
  <c r="AW54" i="29"/>
  <c r="AW65" i="29"/>
  <c r="AW51" i="29"/>
  <c r="AW45" i="41"/>
  <c r="AL70" i="29"/>
  <c r="AL56" i="29"/>
  <c r="AL66" i="41"/>
  <c r="AL52" i="41"/>
  <c r="AL64" i="41"/>
  <c r="AL50" i="41"/>
  <c r="K16" i="18"/>
  <c r="K15" i="18"/>
  <c r="K44" i="18" s="1"/>
  <c r="K8" i="38"/>
  <c r="K41" i="38" s="1"/>
  <c r="K3" i="38"/>
  <c r="K32" i="38" s="1"/>
  <c r="K27" i="38"/>
  <c r="K76" i="38" s="1"/>
  <c r="M70" i="18"/>
  <c r="M56" i="18"/>
  <c r="Y68" i="29"/>
  <c r="Y54" i="29"/>
  <c r="T76" i="29"/>
  <c r="T62" i="29"/>
  <c r="T45" i="41"/>
  <c r="AK73" i="29"/>
  <c r="AK59" i="29"/>
  <c r="AK73" i="41"/>
  <c r="AK59" i="41"/>
  <c r="AD61" i="41"/>
  <c r="AD75" i="41"/>
  <c r="AD45" i="41"/>
  <c r="R59" i="29"/>
  <c r="R73" i="29"/>
  <c r="S66" i="41"/>
  <c r="S52" i="41"/>
  <c r="S74" i="41"/>
  <c r="S60" i="41"/>
  <c r="H72" i="29"/>
  <c r="H58" i="29"/>
  <c r="H71" i="29"/>
  <c r="H57" i="29"/>
  <c r="H74" i="41"/>
  <c r="H60" i="41"/>
  <c r="H69" i="41"/>
  <c r="H55" i="41"/>
  <c r="AY16" i="29"/>
  <c r="AB16" i="29" s="1"/>
  <c r="AY28" i="29"/>
  <c r="AY43" i="29" s="1"/>
  <c r="AY6" i="41"/>
  <c r="AY47" i="41" s="1"/>
  <c r="AY30" i="41"/>
  <c r="AY35" i="41" s="1"/>
  <c r="AJ75" i="29"/>
  <c r="AJ61" i="29"/>
  <c r="AJ73" i="41"/>
  <c r="AJ59" i="41"/>
  <c r="H68" i="18"/>
  <c r="H54" i="18"/>
  <c r="M15" i="29"/>
  <c r="M44" i="29" s="1"/>
  <c r="M12" i="41"/>
  <c r="M4" i="41"/>
  <c r="M40" i="41" s="1"/>
  <c r="M25" i="41"/>
  <c r="AF13" i="29"/>
  <c r="AF33" i="29" s="1"/>
  <c r="AU73" i="29"/>
  <c r="AU59" i="29"/>
  <c r="R50" i="29"/>
  <c r="R64" i="29"/>
  <c r="R70" i="41"/>
  <c r="R56" i="41"/>
  <c r="G72" i="41"/>
  <c r="G58" i="41"/>
  <c r="AU70" i="29"/>
  <c r="AU56" i="29"/>
  <c r="AU74" i="41"/>
  <c r="AU60" i="41"/>
  <c r="AZ75" i="29"/>
  <c r="AZ61" i="29"/>
  <c r="AB24" i="29"/>
  <c r="AC69" i="29"/>
  <c r="AC55" i="29"/>
  <c r="AB7" i="41"/>
  <c r="AC73" i="41"/>
  <c r="AC59" i="41"/>
  <c r="AB18" i="41"/>
  <c r="AC75" i="41"/>
  <c r="AC61" i="41"/>
  <c r="X53" i="29"/>
  <c r="X67" i="29"/>
  <c r="X66" i="29"/>
  <c r="X52" i="29"/>
  <c r="X55" i="41"/>
  <c r="X69" i="41"/>
  <c r="AO74" i="29"/>
  <c r="AO60" i="29"/>
  <c r="AY6" i="29"/>
  <c r="AY47" i="29" s="1"/>
  <c r="Q17" i="29"/>
  <c r="Q17" i="41"/>
  <c r="Q9" i="41"/>
  <c r="Q15" i="41"/>
  <c r="Q44" i="41" s="1"/>
  <c r="F70" i="29"/>
  <c r="F56" i="29"/>
  <c r="F31" i="41"/>
  <c r="F76" i="41"/>
  <c r="F62" i="41"/>
  <c r="C69" i="37"/>
  <c r="C55" i="37"/>
  <c r="AT73" i="41"/>
  <c r="AT59" i="41"/>
  <c r="AT70" i="41"/>
  <c r="AT56" i="41"/>
  <c r="AI50" i="29"/>
  <c r="AI64" i="29"/>
  <c r="AI75" i="41"/>
  <c r="AI61" i="41"/>
  <c r="I51" i="18"/>
  <c r="I65" i="18"/>
  <c r="AR73" i="29"/>
  <c r="AR59" i="29"/>
  <c r="AJ31" i="29"/>
  <c r="P58" i="41"/>
  <c r="P72" i="41"/>
  <c r="AB70" i="37"/>
  <c r="AB56" i="37"/>
  <c r="AS68" i="41"/>
  <c r="AS54" i="41"/>
  <c r="AS65" i="41"/>
  <c r="AS51" i="41"/>
  <c r="AH75" i="29"/>
  <c r="AH61" i="29"/>
  <c r="AH68" i="41"/>
  <c r="AH54" i="41"/>
  <c r="AH69" i="41"/>
  <c r="AH55" i="41"/>
  <c r="AB10" i="29"/>
  <c r="AB46" i="29" s="1"/>
  <c r="AC46" i="29"/>
  <c r="AC45" i="29" s="1"/>
  <c r="W5" i="29"/>
  <c r="AR74" i="41"/>
  <c r="AR60" i="41"/>
  <c r="AR45" i="41"/>
  <c r="L4" i="18"/>
  <c r="L40" i="18" s="1"/>
  <c r="L27" i="18"/>
  <c r="L25" i="18"/>
  <c r="L22" i="38"/>
  <c r="L37" i="38" s="1"/>
  <c r="L31" i="38" s="1"/>
  <c r="L17" i="38"/>
  <c r="L66" i="38" s="1"/>
  <c r="C45" i="5"/>
  <c r="C69" i="5"/>
  <c r="C55" i="5"/>
  <c r="AA10" i="29"/>
  <c r="AA46" i="29" s="1"/>
  <c r="Y27" i="29"/>
  <c r="Y19" i="29"/>
  <c r="Y42" i="29" s="1"/>
  <c r="Y17" i="41"/>
  <c r="Y8" i="41"/>
  <c r="Y41" i="41" s="1"/>
  <c r="Y30" i="41"/>
  <c r="Y35" i="41" s="1"/>
  <c r="N53" i="41"/>
  <c r="N67" i="41"/>
  <c r="AD54" i="5"/>
  <c r="AD68" i="5"/>
  <c r="AQ4" i="41"/>
  <c r="AQ40" i="41" s="1"/>
  <c r="AG67" i="41"/>
  <c r="AG53" i="41"/>
  <c r="G2" i="18"/>
  <c r="G38" i="18" s="1"/>
  <c r="G64" i="29"/>
  <c r="G50" i="29"/>
  <c r="BQ65" i="18"/>
  <c r="BQ51" i="18"/>
  <c r="BQ70" i="18"/>
  <c r="BQ56" i="18"/>
  <c r="AX73" i="29"/>
  <c r="AX59" i="29"/>
  <c r="AX48" i="29" s="1"/>
  <c r="W60" i="41"/>
  <c r="W74" i="41"/>
  <c r="Z62" i="41"/>
  <c r="Z76" i="41"/>
  <c r="AR66" i="29"/>
  <c r="AR52" i="29"/>
  <c r="H75" i="29"/>
  <c r="H61" i="29"/>
  <c r="AJ70" i="29"/>
  <c r="AJ56" i="29"/>
  <c r="L67" i="18"/>
  <c r="L53" i="18"/>
  <c r="Y71" i="29"/>
  <c r="Y57" i="29"/>
  <c r="AF55" i="5"/>
  <c r="AF69" i="5"/>
  <c r="J72" i="18"/>
  <c r="J58" i="18"/>
  <c r="V74" i="29"/>
  <c r="V60" i="29"/>
  <c r="AA29" i="41"/>
  <c r="AM71" i="41"/>
  <c r="AM57" i="41"/>
  <c r="J75" i="29"/>
  <c r="J61" i="29"/>
  <c r="AV67" i="41"/>
  <c r="AV53" i="41"/>
  <c r="AD76" i="41"/>
  <c r="AD62" i="41"/>
  <c r="AY24" i="41"/>
  <c r="AB24" i="41" s="1"/>
  <c r="J73" i="29"/>
  <c r="J59" i="29"/>
  <c r="W16" i="29"/>
  <c r="W15" i="41"/>
  <c r="W44" i="41" s="1"/>
  <c r="W7" i="41"/>
  <c r="W26" i="41"/>
  <c r="W36" i="41" s="1"/>
  <c r="L51" i="41"/>
  <c r="L65" i="41"/>
  <c r="W12" i="29"/>
  <c r="AF56" i="5"/>
  <c r="AF70" i="5"/>
  <c r="AO72" i="41"/>
  <c r="AO58" i="41"/>
  <c r="AF4" i="41"/>
  <c r="AF40" i="41" s="1"/>
  <c r="Y26" i="18"/>
  <c r="Y36" i="18" s="1"/>
  <c r="Y20" i="38"/>
  <c r="W7" i="29"/>
  <c r="Z31" i="29"/>
  <c r="K13" i="41"/>
  <c r="K33" i="41" s="1"/>
  <c r="AE50" i="5"/>
  <c r="AE64" i="5"/>
  <c r="AE63" i="5" s="1"/>
  <c r="V61" i="41"/>
  <c r="V75" i="41"/>
  <c r="AA19" i="29"/>
  <c r="AA42" i="29" s="1"/>
  <c r="AX65" i="29"/>
  <c r="AX51" i="29"/>
  <c r="AX72" i="41"/>
  <c r="AX58" i="41"/>
  <c r="AM70" i="29"/>
  <c r="AM56" i="29"/>
  <c r="AM72" i="41"/>
  <c r="AM58" i="41"/>
  <c r="U76" i="29"/>
  <c r="U62" i="29"/>
  <c r="AV64" i="29"/>
  <c r="AV50" i="29"/>
  <c r="G61" i="18"/>
  <c r="G75" i="18"/>
  <c r="AX53" i="29"/>
  <c r="AX67" i="29"/>
  <c r="W19" i="29"/>
  <c r="W42" i="29" s="1"/>
  <c r="W21" i="41"/>
  <c r="W10" i="41"/>
  <c r="W46" i="41" s="1"/>
  <c r="W45" i="41" s="1"/>
  <c r="W30" i="41"/>
  <c r="W35" i="41" s="1"/>
  <c r="L66" i="29"/>
  <c r="L52" i="29"/>
  <c r="L48" i="29" s="1"/>
  <c r="L71" i="29"/>
  <c r="L57" i="29"/>
  <c r="L55" i="41"/>
  <c r="L69" i="41"/>
  <c r="AF65" i="5"/>
  <c r="AF51" i="5"/>
  <c r="AF74" i="5"/>
  <c r="AF60" i="5"/>
  <c r="AO64" i="29"/>
  <c r="AO50" i="29"/>
  <c r="AO73" i="41"/>
  <c r="AO59" i="41"/>
  <c r="AO75" i="41"/>
  <c r="AO61" i="41"/>
  <c r="AF28" i="29"/>
  <c r="AF43" i="29" s="1"/>
  <c r="AF6" i="41"/>
  <c r="AF47" i="41" s="1"/>
  <c r="AF22" i="41"/>
  <c r="AF37" i="41" s="1"/>
  <c r="Y11" i="18"/>
  <c r="Y39" i="18" s="1"/>
  <c r="Y4" i="18"/>
  <c r="Y40" i="18" s="1"/>
  <c r="Y27" i="18"/>
  <c r="Y24" i="38"/>
  <c r="AP64" i="29"/>
  <c r="AP50" i="29"/>
  <c r="Z72" i="29"/>
  <c r="Z58" i="29"/>
  <c r="Z59" i="41"/>
  <c r="Z73" i="41"/>
  <c r="K22" i="29"/>
  <c r="K37" i="29" s="1"/>
  <c r="K31" i="29" s="1"/>
  <c r="K15" i="41"/>
  <c r="K44" i="41" s="1"/>
  <c r="K9" i="41"/>
  <c r="K30" i="41"/>
  <c r="K35" i="41" s="1"/>
  <c r="AE48" i="5"/>
  <c r="X51" i="5"/>
  <c r="Z51" i="5" s="1"/>
  <c r="X65" i="5"/>
  <c r="Z65" i="5" s="1"/>
  <c r="J60" i="18"/>
  <c r="J74" i="18"/>
  <c r="J73" i="18"/>
  <c r="J59" i="18"/>
  <c r="BS45" i="18"/>
  <c r="BS51" i="18"/>
  <c r="BS65" i="18"/>
  <c r="F76" i="18"/>
  <c r="F62" i="18"/>
  <c r="F48" i="18"/>
  <c r="F75" i="18"/>
  <c r="F61" i="18"/>
  <c r="S65" i="29"/>
  <c r="S51" i="29"/>
  <c r="M6" i="29"/>
  <c r="M47" i="29" s="1"/>
  <c r="Q2" i="29"/>
  <c r="Q38" i="29" s="1"/>
  <c r="V56" i="41"/>
  <c r="V70" i="41"/>
  <c r="AA29" i="29"/>
  <c r="AA21" i="29"/>
  <c r="AA8" i="41"/>
  <c r="AA41" i="41" s="1"/>
  <c r="AA14" i="41"/>
  <c r="AA34" i="41" s="1"/>
  <c r="AX70" i="41"/>
  <c r="AX56" i="41"/>
  <c r="AM74" i="41"/>
  <c r="AM60" i="41"/>
  <c r="AE64" i="29"/>
  <c r="AE50" i="29"/>
  <c r="AE70" i="41"/>
  <c r="AE56" i="41"/>
  <c r="DI76" i="18"/>
  <c r="DI62" i="18"/>
  <c r="U45" i="29"/>
  <c r="AT67" i="29"/>
  <c r="AT53" i="29"/>
  <c r="U66" i="29"/>
  <c r="U52" i="29"/>
  <c r="U48" i="29" s="1"/>
  <c r="U71" i="29"/>
  <c r="U57" i="29"/>
  <c r="U68" i="41"/>
  <c r="U54" i="41"/>
  <c r="U48" i="41" s="1"/>
  <c r="J72" i="29"/>
  <c r="J58" i="29"/>
  <c r="J57" i="29"/>
  <c r="J71" i="29"/>
  <c r="J54" i="41"/>
  <c r="J68" i="41"/>
  <c r="AW74" i="41"/>
  <c r="AW60" i="41"/>
  <c r="AW71" i="41"/>
  <c r="AW57" i="41"/>
  <c r="AL65" i="29"/>
  <c r="AL51" i="29"/>
  <c r="AL73" i="41"/>
  <c r="AL59" i="41"/>
  <c r="K18" i="18"/>
  <c r="K17" i="18"/>
  <c r="K10" i="38"/>
  <c r="K46" i="38" s="1"/>
  <c r="K5" i="38"/>
  <c r="M68" i="18"/>
  <c r="M54" i="18"/>
  <c r="AR56" i="29"/>
  <c r="AR70" i="29"/>
  <c r="AA2" i="29"/>
  <c r="AA38" i="29" s="1"/>
  <c r="T72" i="29"/>
  <c r="T58" i="29"/>
  <c r="AV76" i="29"/>
  <c r="AV62" i="29"/>
  <c r="AV31" i="41"/>
  <c r="AV65" i="41"/>
  <c r="AV51" i="41"/>
  <c r="AK70" i="29"/>
  <c r="AK56" i="29"/>
  <c r="AK76" i="41"/>
  <c r="AK62" i="41"/>
  <c r="AD72" i="29"/>
  <c r="AD58" i="29"/>
  <c r="AD74" i="41"/>
  <c r="AD60" i="41"/>
  <c r="AT74" i="29"/>
  <c r="AT60" i="29"/>
  <c r="AY2" i="29"/>
  <c r="AY38" i="29" s="1"/>
  <c r="S70" i="41"/>
  <c r="S56" i="41"/>
  <c r="S75" i="41"/>
  <c r="S61" i="41"/>
  <c r="H66" i="29"/>
  <c r="H52" i="29"/>
  <c r="H48" i="29" s="1"/>
  <c r="H64" i="41"/>
  <c r="H50" i="41"/>
  <c r="H48" i="41" s="1"/>
  <c r="AY17" i="29"/>
  <c r="AB17" i="29" s="1"/>
  <c r="AY29" i="29"/>
  <c r="AY9" i="41"/>
  <c r="AY22" i="41"/>
  <c r="AY37" i="41" s="1"/>
  <c r="AJ69" i="41"/>
  <c r="AJ55" i="41"/>
  <c r="H72" i="18"/>
  <c r="H58" i="18"/>
  <c r="M16" i="29"/>
  <c r="M18" i="41"/>
  <c r="M5" i="41"/>
  <c r="M26" i="41"/>
  <c r="M36" i="41" s="1"/>
  <c r="AR60" i="29"/>
  <c r="AR74" i="29"/>
  <c r="AF7" i="29"/>
  <c r="M4" i="29"/>
  <c r="M40" i="29" s="1"/>
  <c r="R68" i="41"/>
  <c r="R54" i="41"/>
  <c r="R65" i="41"/>
  <c r="R51" i="41"/>
  <c r="R48" i="41" s="1"/>
  <c r="G73" i="41"/>
  <c r="G59" i="41"/>
  <c r="G76" i="41"/>
  <c r="G62" i="41"/>
  <c r="AA53" i="37"/>
  <c r="AA67" i="37"/>
  <c r="AU65" i="29"/>
  <c r="AU51" i="29"/>
  <c r="AU62" i="41"/>
  <c r="AU76" i="41"/>
  <c r="AZ69" i="41"/>
  <c r="AZ55" i="41"/>
  <c r="AB25" i="29"/>
  <c r="AC64" i="29"/>
  <c r="AC50" i="29"/>
  <c r="AB8" i="41"/>
  <c r="AC41" i="41"/>
  <c r="AB41" i="41" s="1"/>
  <c r="AB19" i="41"/>
  <c r="AC42" i="41"/>
  <c r="AB42" i="41" s="1"/>
  <c r="X75" i="29"/>
  <c r="X61" i="29"/>
  <c r="X71" i="29"/>
  <c r="X57" i="29"/>
  <c r="X53" i="41"/>
  <c r="X67" i="41"/>
  <c r="X50" i="41"/>
  <c r="X48" i="41" s="1"/>
  <c r="X64" i="41"/>
  <c r="Q18" i="29"/>
  <c r="Q20" i="41"/>
  <c r="Q10" i="41"/>
  <c r="Q46" i="41" s="1"/>
  <c r="Q45" i="41" s="1"/>
  <c r="Q30" i="41"/>
  <c r="Q35" i="41" s="1"/>
  <c r="F65" i="29"/>
  <c r="F51" i="29"/>
  <c r="F72" i="41"/>
  <c r="F58" i="41"/>
  <c r="C45" i="37"/>
  <c r="AT76" i="29"/>
  <c r="AT62" i="29"/>
  <c r="AT65" i="41"/>
  <c r="AT51" i="41"/>
  <c r="AI73" i="41"/>
  <c r="AI59" i="41"/>
  <c r="S66" i="29"/>
  <c r="S52" i="29"/>
  <c r="S48" i="29" s="1"/>
  <c r="AD73" i="29"/>
  <c r="AD59" i="29"/>
  <c r="W3" i="29"/>
  <c r="W32" i="29" s="1"/>
  <c r="W31" i="29" s="1"/>
  <c r="P53" i="41"/>
  <c r="P67" i="41"/>
  <c r="P52" i="41"/>
  <c r="P66" i="41"/>
  <c r="AB66" i="37"/>
  <c r="AB52" i="37"/>
  <c r="AS76" i="29"/>
  <c r="AS62" i="29"/>
  <c r="AH64" i="41"/>
  <c r="AH50" i="41"/>
  <c r="AH48" i="41" s="1"/>
  <c r="D31" i="18"/>
  <c r="N45" i="29"/>
  <c r="J67" i="29"/>
  <c r="J53" i="29"/>
  <c r="U71" i="37"/>
  <c r="U57" i="37"/>
  <c r="AR51" i="41"/>
  <c r="AR65" i="41"/>
  <c r="L6" i="18"/>
  <c r="L47" i="18" s="1"/>
  <c r="L45" i="18" s="1"/>
  <c r="L3" i="18"/>
  <c r="L32" i="18" s="1"/>
  <c r="L31" i="18" s="1"/>
  <c r="L28" i="18"/>
  <c r="L43" i="18" s="1"/>
  <c r="L24" i="38"/>
  <c r="L55" i="38" s="1"/>
  <c r="E45" i="18"/>
  <c r="C58" i="5"/>
  <c r="C72" i="5"/>
  <c r="M10" i="29"/>
  <c r="M46" i="29" s="1"/>
  <c r="M45" i="29" s="1"/>
  <c r="Y28" i="29"/>
  <c r="Y43" i="29" s="1"/>
  <c r="Y20" i="29"/>
  <c r="Y20" i="41"/>
  <c r="N76" i="29"/>
  <c r="N62" i="29"/>
  <c r="N70" i="29"/>
  <c r="N56" i="29"/>
  <c r="AD65" i="5"/>
  <c r="AD51" i="5"/>
  <c r="AQ19" i="41"/>
  <c r="AQ42" i="41" s="1"/>
  <c r="G22" i="18"/>
  <c r="G37" i="18" s="1"/>
  <c r="AE6" i="29"/>
  <c r="AE47" i="29" s="1"/>
  <c r="AE45" i="29" s="1"/>
  <c r="R68" i="29"/>
  <c r="R54" i="29"/>
  <c r="R48" i="29" s="1"/>
  <c r="BQ75" i="18"/>
  <c r="BQ61" i="18"/>
  <c r="BQ66" i="18"/>
  <c r="BQ52" i="18"/>
  <c r="BQ48" i="18" s="1"/>
  <c r="M73" i="18"/>
  <c r="M59" i="18"/>
  <c r="N63" i="37"/>
  <c r="AG63" i="37"/>
  <c r="AB45" i="16"/>
  <c r="M48" i="16"/>
  <c r="L48" i="16"/>
  <c r="K48" i="16"/>
  <c r="N48" i="16"/>
  <c r="O48" i="16"/>
  <c r="O63" i="16"/>
  <c r="V48" i="16"/>
  <c r="C75" i="16"/>
  <c r="C61" i="16"/>
  <c r="AB71" i="16"/>
  <c r="AB57" i="16"/>
  <c r="U61" i="16"/>
  <c r="U75" i="16"/>
  <c r="C45" i="16"/>
  <c r="C55" i="16"/>
  <c r="C69" i="16"/>
  <c r="C65" i="16"/>
  <c r="C51" i="16"/>
  <c r="C72" i="16"/>
  <c r="C58" i="16"/>
  <c r="AB74" i="16"/>
  <c r="AB60" i="16"/>
  <c r="C73" i="16"/>
  <c r="C59" i="16"/>
  <c r="AB55" i="16"/>
  <c r="AB69" i="16"/>
  <c r="M63" i="16"/>
  <c r="AB70" i="16"/>
  <c r="AB56" i="16"/>
  <c r="N63" i="16"/>
  <c r="C70" i="16"/>
  <c r="C56" i="16"/>
  <c r="C53" i="16"/>
  <c r="C67" i="16"/>
  <c r="AB65" i="16"/>
  <c r="AB51" i="16"/>
  <c r="AB73" i="16"/>
  <c r="AB59" i="16"/>
  <c r="AB75" i="16"/>
  <c r="AB61" i="16"/>
  <c r="C64" i="16"/>
  <c r="C50" i="16"/>
  <c r="AB76" i="16"/>
  <c r="AB62" i="16"/>
  <c r="C31" i="16"/>
  <c r="C66" i="16"/>
  <c r="C52" i="16"/>
  <c r="V63" i="16"/>
  <c r="C76" i="16"/>
  <c r="C62" i="16"/>
  <c r="AB53" i="16"/>
  <c r="AB67" i="16"/>
  <c r="C68" i="16"/>
  <c r="C54" i="16"/>
  <c r="AB72" i="16"/>
  <c r="AB58" i="16"/>
  <c r="L63" i="16"/>
  <c r="C74" i="16"/>
  <c r="C60" i="16"/>
  <c r="AA45" i="16"/>
  <c r="C71" i="16"/>
  <c r="C57" i="16"/>
  <c r="U66" i="16"/>
  <c r="U52" i="16"/>
  <c r="K63" i="16"/>
  <c r="H45" i="38"/>
  <c r="D45" i="38"/>
  <c r="BQ31" i="38"/>
  <c r="DJ48" i="38"/>
  <c r="I74" i="38"/>
  <c r="I60" i="38"/>
  <c r="Y45" i="38"/>
  <c r="Y53" i="38"/>
  <c r="Y67" i="38"/>
  <c r="Y57" i="38"/>
  <c r="Y71" i="38"/>
  <c r="J54" i="38"/>
  <c r="J68" i="38"/>
  <c r="BS75" i="38"/>
  <c r="BS61" i="38"/>
  <c r="F31" i="38"/>
  <c r="F62" i="38"/>
  <c r="F76" i="38"/>
  <c r="DI65" i="38"/>
  <c r="DI51" i="38"/>
  <c r="DI58" i="38"/>
  <c r="DI72" i="38"/>
  <c r="K56" i="38"/>
  <c r="K70" i="38"/>
  <c r="M51" i="38"/>
  <c r="M65" i="38"/>
  <c r="H52" i="38"/>
  <c r="H66" i="38"/>
  <c r="H60" i="38"/>
  <c r="H74" i="38"/>
  <c r="I45" i="38"/>
  <c r="I64" i="38"/>
  <c r="I50" i="38"/>
  <c r="D52" i="38"/>
  <c r="D66" i="38"/>
  <c r="D60" i="38"/>
  <c r="D74" i="38"/>
  <c r="L45" i="38"/>
  <c r="L67" i="38"/>
  <c r="L53" i="38"/>
  <c r="L57" i="38"/>
  <c r="L71" i="38"/>
  <c r="E45" i="38"/>
  <c r="J58" i="38"/>
  <c r="J72" i="38"/>
  <c r="BS64" i="38"/>
  <c r="BS50" i="38"/>
  <c r="BS70" i="38"/>
  <c r="BS56" i="38"/>
  <c r="F53" i="38"/>
  <c r="F67" i="38"/>
  <c r="F71" i="38"/>
  <c r="F57" i="38"/>
  <c r="F55" i="38"/>
  <c r="F69" i="38"/>
  <c r="DI75" i="38"/>
  <c r="DI61" i="38"/>
  <c r="K66" i="38"/>
  <c r="K52" i="38"/>
  <c r="I76" i="38"/>
  <c r="I62" i="38"/>
  <c r="L60" i="38"/>
  <c r="L74" i="38"/>
  <c r="L59" i="38"/>
  <c r="L73" i="38"/>
  <c r="E52" i="38"/>
  <c r="E66" i="38"/>
  <c r="E60" i="38"/>
  <c r="E74" i="38"/>
  <c r="BQ76" i="38"/>
  <c r="BQ62" i="38"/>
  <c r="J53" i="38"/>
  <c r="J67" i="38"/>
  <c r="F61" i="38"/>
  <c r="F75" i="38"/>
  <c r="BS51" i="38"/>
  <c r="BS65" i="38"/>
  <c r="I56" i="38"/>
  <c r="I70" i="38"/>
  <c r="Y60" i="38"/>
  <c r="Y74" i="38"/>
  <c r="Y68" i="38"/>
  <c r="Y54" i="38"/>
  <c r="J75" i="38"/>
  <c r="J61" i="38"/>
  <c r="BS31" i="38"/>
  <c r="BS76" i="38"/>
  <c r="BS62" i="38"/>
  <c r="F73" i="38"/>
  <c r="F59" i="38"/>
  <c r="BR64" i="38"/>
  <c r="BR63" i="38" s="1"/>
  <c r="BR50" i="38"/>
  <c r="BR48" i="38" s="1"/>
  <c r="DI64" i="38"/>
  <c r="DI50" i="38"/>
  <c r="DI70" i="38"/>
  <c r="DI56" i="38"/>
  <c r="K69" i="38"/>
  <c r="M50" i="38"/>
  <c r="M64" i="38"/>
  <c r="H51" i="38"/>
  <c r="H65" i="38"/>
  <c r="H58" i="38"/>
  <c r="H72" i="38"/>
  <c r="I61" i="38"/>
  <c r="I75" i="38"/>
  <c r="I53" i="38"/>
  <c r="I67" i="38"/>
  <c r="I57" i="38"/>
  <c r="I71" i="38"/>
  <c r="D51" i="38"/>
  <c r="D65" i="38"/>
  <c r="D58" i="38"/>
  <c r="D72" i="38"/>
  <c r="L54" i="38"/>
  <c r="L68" i="38"/>
  <c r="G51" i="38"/>
  <c r="G65" i="38"/>
  <c r="F56" i="38"/>
  <c r="F70" i="38"/>
  <c r="I31" i="38"/>
  <c r="BQ73" i="38"/>
  <c r="BQ59" i="38"/>
  <c r="Y73" i="38"/>
  <c r="Y59" i="38"/>
  <c r="Y72" i="38"/>
  <c r="Y58" i="38"/>
  <c r="J56" i="38"/>
  <c r="J70" i="38"/>
  <c r="BS67" i="38"/>
  <c r="BS53" i="38"/>
  <c r="BS57" i="38"/>
  <c r="BS71" i="38"/>
  <c r="BS69" i="38"/>
  <c r="BS55" i="38"/>
  <c r="F54" i="38"/>
  <c r="F68" i="38"/>
  <c r="DI31" i="38"/>
  <c r="DI76" i="38"/>
  <c r="DI62" i="38"/>
  <c r="K51" i="38"/>
  <c r="K65" i="38"/>
  <c r="M31" i="38"/>
  <c r="M62" i="38"/>
  <c r="M76" i="38"/>
  <c r="H75" i="38"/>
  <c r="H61" i="38"/>
  <c r="I59" i="38"/>
  <c r="I73" i="38"/>
  <c r="D61" i="38"/>
  <c r="D75" i="38"/>
  <c r="L58" i="38"/>
  <c r="L72" i="38"/>
  <c r="E51" i="38"/>
  <c r="E65" i="38"/>
  <c r="E72" i="38"/>
  <c r="E58" i="38"/>
  <c r="J59" i="38"/>
  <c r="J73" i="38"/>
  <c r="Y61" i="38"/>
  <c r="Y75" i="38"/>
  <c r="J52" i="38"/>
  <c r="J66" i="38"/>
  <c r="BS73" i="38"/>
  <c r="BS59" i="38"/>
  <c r="DI67" i="38"/>
  <c r="DI53" i="38"/>
  <c r="DI71" i="38"/>
  <c r="DI57" i="38"/>
  <c r="DI69" i="38"/>
  <c r="DI55" i="38"/>
  <c r="M53" i="38"/>
  <c r="M67" i="38"/>
  <c r="M57" i="38"/>
  <c r="M71" i="38"/>
  <c r="H50" i="38"/>
  <c r="H64" i="38"/>
  <c r="H56" i="38"/>
  <c r="H70" i="38"/>
  <c r="I54" i="38"/>
  <c r="I68" i="38"/>
  <c r="D50" i="38"/>
  <c r="D64" i="38"/>
  <c r="D56" i="38"/>
  <c r="D70" i="38"/>
  <c r="L61" i="38"/>
  <c r="L75" i="38"/>
  <c r="E61" i="38"/>
  <c r="E75" i="38"/>
  <c r="BQ55" i="38"/>
  <c r="BQ69" i="38"/>
  <c r="Y64" i="38"/>
  <c r="Y50" i="38"/>
  <c r="M52" i="38"/>
  <c r="M66" i="38"/>
  <c r="J60" i="38"/>
  <c r="J74" i="38"/>
  <c r="Y56" i="38"/>
  <c r="Y70" i="38"/>
  <c r="J55" i="38"/>
  <c r="J69" i="38"/>
  <c r="BS54" i="38"/>
  <c r="BS68" i="38"/>
  <c r="DI73" i="38"/>
  <c r="DI59" i="38"/>
  <c r="K64" i="38"/>
  <c r="K50" i="38"/>
  <c r="M60" i="38"/>
  <c r="M74" i="38"/>
  <c r="M59" i="38"/>
  <c r="M73" i="38"/>
  <c r="H31" i="38"/>
  <c r="H62" i="38"/>
  <c r="H76" i="38"/>
  <c r="D31" i="38"/>
  <c r="D62" i="38"/>
  <c r="D76" i="38"/>
  <c r="L56" i="38"/>
  <c r="L70" i="38"/>
  <c r="E50" i="38"/>
  <c r="E64" i="38"/>
  <c r="E56" i="38"/>
  <c r="E70" i="38"/>
  <c r="G55" i="38"/>
  <c r="G69" i="38"/>
  <c r="BQ64" i="38"/>
  <c r="BQ50" i="38"/>
  <c r="BQ70" i="38"/>
  <c r="BQ56" i="38"/>
  <c r="L50" i="38"/>
  <c r="L64" i="38"/>
  <c r="Y76" i="38"/>
  <c r="Y62" i="38"/>
  <c r="L62" i="38"/>
  <c r="L76" i="38"/>
  <c r="J65" i="38"/>
  <c r="J51" i="38"/>
  <c r="F45" i="38"/>
  <c r="DI68" i="38"/>
  <c r="DI54" i="38"/>
  <c r="K31" i="38"/>
  <c r="M68" i="38"/>
  <c r="M54" i="38"/>
  <c r="H53" i="38"/>
  <c r="H67" i="38"/>
  <c r="H57" i="38"/>
  <c r="H71" i="38"/>
  <c r="H55" i="38"/>
  <c r="H69" i="38"/>
  <c r="I58" i="38"/>
  <c r="I72" i="38"/>
  <c r="D53" i="38"/>
  <c r="D67" i="38"/>
  <c r="D71" i="38"/>
  <c r="D57" i="38"/>
  <c r="D69" i="38"/>
  <c r="D55" i="38"/>
  <c r="E31" i="38"/>
  <c r="E62" i="38"/>
  <c r="E76" i="38"/>
  <c r="BQ71" i="38"/>
  <c r="BQ57" i="38"/>
  <c r="BQ61" i="38"/>
  <c r="BQ75" i="38"/>
  <c r="BQ52" i="38"/>
  <c r="BQ66" i="38"/>
  <c r="J57" i="38"/>
  <c r="J71" i="38"/>
  <c r="DI52" i="38"/>
  <c r="DI66" i="38"/>
  <c r="K58" i="38"/>
  <c r="K72" i="38"/>
  <c r="BQ67" i="38"/>
  <c r="BQ53" i="38"/>
  <c r="Y31" i="38"/>
  <c r="BS72" i="38"/>
  <c r="BS58" i="38"/>
  <c r="M55" i="38"/>
  <c r="M69" i="38"/>
  <c r="Y69" i="38"/>
  <c r="Y55" i="38"/>
  <c r="F52" i="38"/>
  <c r="F66" i="38"/>
  <c r="F60" i="38"/>
  <c r="F74" i="38"/>
  <c r="K45" i="38"/>
  <c r="K53" i="38"/>
  <c r="K67" i="38"/>
  <c r="K57" i="38"/>
  <c r="K71" i="38"/>
  <c r="M58" i="38"/>
  <c r="M72" i="38"/>
  <c r="H73" i="38"/>
  <c r="H59" i="38"/>
  <c r="D59" i="38"/>
  <c r="D73" i="38"/>
  <c r="L69" i="38"/>
  <c r="E53" i="38"/>
  <c r="E67" i="38"/>
  <c r="E57" i="38"/>
  <c r="E71" i="38"/>
  <c r="E55" i="38"/>
  <c r="E69" i="38"/>
  <c r="BQ65" i="38"/>
  <c r="BQ51" i="38"/>
  <c r="DI74" i="38"/>
  <c r="DI60" i="38"/>
  <c r="F50" i="38"/>
  <c r="F64" i="38"/>
  <c r="Y65" i="38"/>
  <c r="Y51" i="38"/>
  <c r="J50" i="38"/>
  <c r="J64" i="38"/>
  <c r="BS45" i="38"/>
  <c r="K60" i="38"/>
  <c r="K74" i="38"/>
  <c r="K59" i="38"/>
  <c r="K73" i="38"/>
  <c r="M61" i="38"/>
  <c r="M75" i="38"/>
  <c r="H54" i="38"/>
  <c r="H68" i="38"/>
  <c r="I52" i="38"/>
  <c r="I66" i="38"/>
  <c r="D54" i="38"/>
  <c r="D68" i="38"/>
  <c r="L65" i="38"/>
  <c r="L51" i="38"/>
  <c r="E59" i="38"/>
  <c r="E73" i="38"/>
  <c r="BQ58" i="38"/>
  <c r="BQ72" i="38"/>
  <c r="BQ74" i="38"/>
  <c r="BQ60" i="38"/>
  <c r="DJ63" i="38"/>
  <c r="I51" i="38"/>
  <c r="I65" i="38"/>
  <c r="J31" i="38"/>
  <c r="J62" i="38"/>
  <c r="J76" i="38"/>
  <c r="BS66" i="38"/>
  <c r="BS52" i="38"/>
  <c r="BS60" i="38"/>
  <c r="BS74" i="38"/>
  <c r="F51" i="38"/>
  <c r="F65" i="38"/>
  <c r="F58" i="38"/>
  <c r="F72" i="38"/>
  <c r="DI45" i="38"/>
  <c r="K54" i="38"/>
  <c r="K68" i="38"/>
  <c r="M56" i="38"/>
  <c r="M70" i="38"/>
  <c r="I55" i="38"/>
  <c r="I69" i="38"/>
  <c r="E54" i="38"/>
  <c r="E68" i="38"/>
  <c r="BQ68" i="38"/>
  <c r="BQ54" i="38"/>
  <c r="X31" i="32"/>
  <c r="Y48" i="32"/>
  <c r="AN48" i="32"/>
  <c r="AF70" i="32"/>
  <c r="AF56" i="32"/>
  <c r="X66" i="32"/>
  <c r="X52" i="32"/>
  <c r="X53" i="32"/>
  <c r="X67" i="32"/>
  <c r="X64" i="32"/>
  <c r="X50" i="32"/>
  <c r="AF66" i="32"/>
  <c r="AF52" i="32"/>
  <c r="AF68" i="32"/>
  <c r="AF54" i="32"/>
  <c r="X59" i="32"/>
  <c r="X73" i="32"/>
  <c r="X71" i="32"/>
  <c r="X57" i="32"/>
  <c r="X54" i="32"/>
  <c r="X68" i="32"/>
  <c r="AF31" i="32"/>
  <c r="AF71" i="32"/>
  <c r="AF57" i="32"/>
  <c r="AF51" i="32"/>
  <c r="AF65" i="32"/>
  <c r="AD76" i="32"/>
  <c r="AD62" i="32"/>
  <c r="AF67" i="32"/>
  <c r="AF53" i="32"/>
  <c r="AF76" i="32"/>
  <c r="AF62" i="32"/>
  <c r="X70" i="32"/>
  <c r="X56" i="32"/>
  <c r="AD52" i="32"/>
  <c r="AD66" i="32"/>
  <c r="AF59" i="32"/>
  <c r="AF73" i="32"/>
  <c r="AF74" i="32"/>
  <c r="AF60" i="32"/>
  <c r="X60" i="32"/>
  <c r="X74" i="32"/>
  <c r="AD60" i="32"/>
  <c r="AD74" i="32"/>
  <c r="AF75" i="32"/>
  <c r="AF61" i="32"/>
  <c r="X75" i="32"/>
  <c r="X61" i="32"/>
  <c r="X76" i="32"/>
  <c r="X62" i="32"/>
  <c r="AD69" i="32"/>
  <c r="AD55" i="32"/>
  <c r="AN63" i="32"/>
  <c r="AF55" i="32"/>
  <c r="AF69" i="32"/>
  <c r="X69" i="32"/>
  <c r="X55" i="32"/>
  <c r="X72" i="32"/>
  <c r="X58" i="32"/>
  <c r="AD73" i="32"/>
  <c r="AD59" i="32"/>
  <c r="Y63" i="32"/>
  <c r="X65" i="32"/>
  <c r="X51" i="32"/>
  <c r="AF72" i="32"/>
  <c r="AF58" i="32"/>
  <c r="AF64" i="32"/>
  <c r="AF50" i="32"/>
  <c r="AE64" i="32"/>
  <c r="AE63" i="32" s="1"/>
  <c r="AE50" i="32"/>
  <c r="AE48" i="32" s="1"/>
  <c r="AD64" i="32"/>
  <c r="AD50" i="32"/>
  <c r="AG48" i="16"/>
  <c r="AA31" i="16"/>
  <c r="AA71" i="16"/>
  <c r="AA57" i="16"/>
  <c r="AA65" i="16"/>
  <c r="AA51" i="16"/>
  <c r="AA70" i="16"/>
  <c r="AA56" i="16"/>
  <c r="AA76" i="16"/>
  <c r="AA62" i="16"/>
  <c r="AA74" i="16"/>
  <c r="AA60" i="16"/>
  <c r="AA61" i="16"/>
  <c r="AA75" i="16"/>
  <c r="AA55" i="16"/>
  <c r="AA69" i="16"/>
  <c r="AA72" i="16"/>
  <c r="AA58" i="16"/>
  <c r="AA73" i="16"/>
  <c r="AA59" i="16"/>
  <c r="AA67" i="16"/>
  <c r="AA53" i="16"/>
  <c r="AA64" i="16"/>
  <c r="AA50" i="16"/>
  <c r="AA66" i="16"/>
  <c r="AA52" i="16"/>
  <c r="AA68" i="16"/>
  <c r="AA54" i="16"/>
  <c r="AJ48" i="16"/>
  <c r="AG63" i="16"/>
  <c r="AJ63" i="16"/>
  <c r="AT4" i="29"/>
  <c r="AT40" i="29" s="1"/>
  <c r="AT2" i="29"/>
  <c r="AT38" i="29" s="1"/>
  <c r="AP7" i="29"/>
  <c r="AL5" i="29"/>
  <c r="AQ7" i="29"/>
  <c r="AR15" i="41"/>
  <c r="AR44" i="41" s="1"/>
  <c r="AR14" i="41"/>
  <c r="AR34" i="41" s="1"/>
  <c r="AZ5" i="29"/>
  <c r="AQ15" i="29"/>
  <c r="AQ44" i="29" s="1"/>
  <c r="AQ3" i="41"/>
  <c r="AQ32" i="41" s="1"/>
  <c r="AQ18" i="41"/>
  <c r="AG10" i="29"/>
  <c r="AG46" i="29" s="1"/>
  <c r="AG4" i="41"/>
  <c r="AG40" i="41" s="1"/>
  <c r="AG23" i="41"/>
  <c r="AG49" i="41" s="1"/>
  <c r="AQ6" i="29"/>
  <c r="AQ47" i="29" s="1"/>
  <c r="AQ17" i="29"/>
  <c r="AQ5" i="41"/>
  <c r="AQ20" i="41"/>
  <c r="AQ20" i="29"/>
  <c r="AQ6" i="41"/>
  <c r="AQ47" i="41" s="1"/>
  <c r="AQ22" i="41"/>
  <c r="AQ37" i="41" s="1"/>
  <c r="AG16" i="29"/>
  <c r="AG7" i="41"/>
  <c r="AG29" i="41"/>
  <c r="AQ21" i="29"/>
  <c r="AQ7" i="41"/>
  <c r="AQ23" i="41"/>
  <c r="AQ49" i="41" s="1"/>
  <c r="AQ2" i="29"/>
  <c r="AQ38" i="29" s="1"/>
  <c r="AR5" i="41"/>
  <c r="AR25" i="41"/>
  <c r="AF9" i="29"/>
  <c r="AQ22" i="29"/>
  <c r="AQ37" i="29" s="1"/>
  <c r="AQ8" i="41"/>
  <c r="AQ41" i="41" s="1"/>
  <c r="AQ24" i="41"/>
  <c r="AG20" i="29"/>
  <c r="AG10" i="41"/>
  <c r="AG46" i="41" s="1"/>
  <c r="AG45" i="41" s="1"/>
  <c r="AT6" i="29"/>
  <c r="AT47" i="29" s="1"/>
  <c r="AT45" i="29" s="1"/>
  <c r="AQ9" i="29"/>
  <c r="AQ23" i="29"/>
  <c r="AQ49" i="29" s="1"/>
  <c r="AQ10" i="41"/>
  <c r="AQ46" i="41" s="1"/>
  <c r="AQ27" i="41"/>
  <c r="AQ24" i="29"/>
  <c r="AQ11" i="41"/>
  <c r="AQ39" i="41" s="1"/>
  <c r="AQ28" i="41"/>
  <c r="AQ43" i="41" s="1"/>
  <c r="AQ5" i="29"/>
  <c r="AR8" i="41"/>
  <c r="AR41" i="41" s="1"/>
  <c r="AR28" i="41"/>
  <c r="AR43" i="41" s="1"/>
  <c r="AQ10" i="29"/>
  <c r="AQ46" i="29" s="1"/>
  <c r="AQ25" i="29"/>
  <c r="AQ12" i="41"/>
  <c r="AQ29" i="41"/>
  <c r="AG23" i="29"/>
  <c r="AG49" i="29" s="1"/>
  <c r="AG16" i="41"/>
  <c r="AQ4" i="29"/>
  <c r="AQ40" i="29" s="1"/>
  <c r="AQ11" i="29"/>
  <c r="AQ39" i="29" s="1"/>
  <c r="AQ27" i="29"/>
  <c r="AQ15" i="41"/>
  <c r="AQ44" i="41" s="1"/>
  <c r="AQ30" i="41"/>
  <c r="AQ35" i="41" s="1"/>
  <c r="AQ12" i="29"/>
  <c r="AQ28" i="29"/>
  <c r="AQ43" i="29" s="1"/>
  <c r="AQ16" i="41"/>
  <c r="AF6" i="29"/>
  <c r="AF47" i="29" s="1"/>
  <c r="AQ13" i="29"/>
  <c r="AQ33" i="29" s="1"/>
  <c r="AQ29" i="29"/>
  <c r="AQ17" i="41"/>
  <c r="D3" i="29"/>
  <c r="I22" i="29"/>
  <c r="I37" i="29" s="1"/>
  <c r="I15" i="41"/>
  <c r="I44" i="41" s="1"/>
  <c r="I17" i="41"/>
  <c r="I30" i="41"/>
  <c r="I35" i="41" s="1"/>
  <c r="O7" i="29"/>
  <c r="O11" i="29"/>
  <c r="O39" i="29" s="1"/>
  <c r="O23" i="29"/>
  <c r="O49" i="29" s="1"/>
  <c r="O8" i="41"/>
  <c r="O41" i="41" s="1"/>
  <c r="O29" i="41"/>
  <c r="D22" i="29"/>
  <c r="D5" i="41"/>
  <c r="D16" i="41"/>
  <c r="D28" i="41"/>
  <c r="I5" i="29"/>
  <c r="AD5" i="5"/>
  <c r="AD25" i="5"/>
  <c r="AD30" i="32"/>
  <c r="AD35" i="32" s="1"/>
  <c r="O6" i="29"/>
  <c r="O47" i="29" s="1"/>
  <c r="O5" i="29"/>
  <c r="I24" i="29"/>
  <c r="I3" i="41"/>
  <c r="I32" i="41" s="1"/>
  <c r="I19" i="41"/>
  <c r="I42" i="41" s="1"/>
  <c r="O13" i="29"/>
  <c r="O33" i="29" s="1"/>
  <c r="O25" i="29"/>
  <c r="O10" i="41"/>
  <c r="O46" i="41" s="1"/>
  <c r="O23" i="41"/>
  <c r="O49" i="41" s="1"/>
  <c r="D24" i="29"/>
  <c r="D7" i="41"/>
  <c r="D18" i="41"/>
  <c r="I25" i="29"/>
  <c r="I4" i="41"/>
  <c r="I40" i="41" s="1"/>
  <c r="I20" i="41"/>
  <c r="O14" i="29"/>
  <c r="O34" i="29" s="1"/>
  <c r="O26" i="29"/>
  <c r="O36" i="29" s="1"/>
  <c r="O21" i="41"/>
  <c r="O24" i="41"/>
  <c r="D25" i="29"/>
  <c r="D8" i="41"/>
  <c r="D19" i="41"/>
  <c r="I4" i="29"/>
  <c r="I40" i="29" s="1"/>
  <c r="D5" i="29"/>
  <c r="O4" i="29"/>
  <c r="O40" i="29" s="1"/>
  <c r="I26" i="29"/>
  <c r="I36" i="29" s="1"/>
  <c r="I5" i="41"/>
  <c r="I21" i="41"/>
  <c r="D7" i="29"/>
  <c r="I16" i="29"/>
  <c r="D6" i="29"/>
  <c r="O15" i="29"/>
  <c r="O44" i="29" s="1"/>
  <c r="O20" i="41"/>
  <c r="O12" i="41"/>
  <c r="O25" i="41"/>
  <c r="D26" i="29"/>
  <c r="D9" i="41"/>
  <c r="D20" i="41"/>
  <c r="AD16" i="5"/>
  <c r="AD20" i="32"/>
  <c r="AD15" i="32"/>
  <c r="AD44" i="32" s="1"/>
  <c r="I28" i="29"/>
  <c r="I43" i="29" s="1"/>
  <c r="I6" i="41"/>
  <c r="I47" i="41" s="1"/>
  <c r="I22" i="41"/>
  <c r="I37" i="41" s="1"/>
  <c r="I15" i="29"/>
  <c r="I44" i="29" s="1"/>
  <c r="O10" i="29"/>
  <c r="O46" i="29" s="1"/>
  <c r="O16" i="29"/>
  <c r="O17" i="41"/>
  <c r="O18" i="41"/>
  <c r="O26" i="41"/>
  <c r="O36" i="41" s="1"/>
  <c r="D27" i="29"/>
  <c r="D10" i="41"/>
  <c r="D21" i="41"/>
  <c r="AD11" i="5"/>
  <c r="AD39" i="5" s="1"/>
  <c r="AD2" i="32"/>
  <c r="AD38" i="32" s="1"/>
  <c r="AD28" i="32"/>
  <c r="AD43" i="32" s="1"/>
  <c r="T4" i="29"/>
  <c r="T40" i="29" s="1"/>
  <c r="O9" i="29"/>
  <c r="I27" i="29"/>
  <c r="I29" i="29"/>
  <c r="I7" i="41"/>
  <c r="I23" i="41"/>
  <c r="I49" i="41" s="1"/>
  <c r="D9" i="29"/>
  <c r="O17" i="29"/>
  <c r="O2" i="41"/>
  <c r="O38" i="41" s="1"/>
  <c r="O16" i="41"/>
  <c r="O27" i="41"/>
  <c r="D28" i="29"/>
  <c r="D11" i="41"/>
  <c r="D22" i="41"/>
  <c r="I3" i="29"/>
  <c r="I32" i="29" s="1"/>
  <c r="I11" i="29"/>
  <c r="I39" i="29" s="1"/>
  <c r="I7" i="29"/>
  <c r="O8" i="29"/>
  <c r="O41" i="29" s="1"/>
  <c r="O3" i="29"/>
  <c r="O32" i="29" s="1"/>
  <c r="I17" i="29"/>
  <c r="I30" i="29"/>
  <c r="I35" i="29" s="1"/>
  <c r="I8" i="41"/>
  <c r="I41" i="41" s="1"/>
  <c r="I24" i="41"/>
  <c r="D10" i="29"/>
  <c r="I6" i="29"/>
  <c r="I47" i="29" s="1"/>
  <c r="O18" i="29"/>
  <c r="O3" i="41"/>
  <c r="O32" i="41" s="1"/>
  <c r="O13" i="41"/>
  <c r="O33" i="41" s="1"/>
  <c r="O28" i="41"/>
  <c r="O43" i="41" s="1"/>
  <c r="D29" i="29"/>
  <c r="D14" i="41"/>
  <c r="D23" i="41"/>
  <c r="D4" i="29"/>
  <c r="I18" i="29"/>
  <c r="I13" i="41"/>
  <c r="I33" i="41" s="1"/>
  <c r="I9" i="41"/>
  <c r="I25" i="41"/>
  <c r="D16" i="29"/>
  <c r="O27" i="29"/>
  <c r="O19" i="29"/>
  <c r="O42" i="29" s="1"/>
  <c r="O4" i="41"/>
  <c r="O40" i="41" s="1"/>
  <c r="O19" i="41"/>
  <c r="O42" i="41" s="1"/>
  <c r="D18" i="29"/>
  <c r="D30" i="29"/>
  <c r="D12" i="41"/>
  <c r="D24" i="41"/>
  <c r="I10" i="29"/>
  <c r="I46" i="29" s="1"/>
  <c r="I45" i="29" s="1"/>
  <c r="D13" i="29"/>
  <c r="I19" i="29"/>
  <c r="I42" i="29" s="1"/>
  <c r="I16" i="41"/>
  <c r="I10" i="41"/>
  <c r="I46" i="41" s="1"/>
  <c r="I45" i="41" s="1"/>
  <c r="I26" i="41"/>
  <c r="I36" i="41" s="1"/>
  <c r="D12" i="29"/>
  <c r="D15" i="29"/>
  <c r="I8" i="29"/>
  <c r="I41" i="29" s="1"/>
  <c r="O28" i="29"/>
  <c r="O43" i="29" s="1"/>
  <c r="O20" i="29"/>
  <c r="O5" i="41"/>
  <c r="O15" i="41"/>
  <c r="O44" i="41" s="1"/>
  <c r="D19" i="29"/>
  <c r="D2" i="41"/>
  <c r="D13" i="41"/>
  <c r="D25" i="41"/>
  <c r="I2" i="29"/>
  <c r="I38" i="29" s="1"/>
  <c r="D14" i="29"/>
  <c r="D8" i="29"/>
  <c r="O2" i="29"/>
  <c r="O38" i="29" s="1"/>
  <c r="I20" i="29"/>
  <c r="I11" i="41"/>
  <c r="I39" i="41" s="1"/>
  <c r="I12" i="41"/>
  <c r="I27" i="41"/>
  <c r="I9" i="29"/>
  <c r="I14" i="29"/>
  <c r="I34" i="29" s="1"/>
  <c r="O29" i="29"/>
  <c r="O21" i="29"/>
  <c r="O6" i="41"/>
  <c r="O47" i="41" s="1"/>
  <c r="O11" i="41"/>
  <c r="O39" i="41" s="1"/>
  <c r="D20" i="29"/>
  <c r="D3" i="41"/>
  <c r="D30" i="41"/>
  <c r="D26" i="41"/>
  <c r="I13" i="29"/>
  <c r="I33" i="29" s="1"/>
  <c r="I21" i="29"/>
  <c r="I14" i="41"/>
  <c r="I34" i="41" s="1"/>
  <c r="I29" i="41"/>
  <c r="I28" i="41"/>
  <c r="I43" i="41" s="1"/>
  <c r="O30" i="29"/>
  <c r="O35" i="29" s="1"/>
  <c r="O22" i="29"/>
  <c r="O37" i="29" s="1"/>
  <c r="O7" i="41"/>
  <c r="O14" i="41"/>
  <c r="O34" i="41" s="1"/>
  <c r="D21" i="29"/>
  <c r="D4" i="41"/>
  <c r="D15" i="41"/>
  <c r="D27" i="41"/>
  <c r="U3" i="29"/>
  <c r="U32" i="29" s="1"/>
  <c r="AD29" i="5"/>
  <c r="AD3" i="32"/>
  <c r="AD32" i="32" s="1"/>
  <c r="AD10" i="32"/>
  <c r="AD46" i="32" s="1"/>
  <c r="AD45" i="32" s="1"/>
  <c r="U13" i="29"/>
  <c r="U33" i="29" s="1"/>
  <c r="U4" i="29"/>
  <c r="U40" i="29" s="1"/>
  <c r="AA3" i="38"/>
  <c r="AA32" i="38" s="1"/>
  <c r="N3" i="32"/>
  <c r="E3" i="32"/>
  <c r="AA7" i="38"/>
  <c r="N7" i="32"/>
  <c r="E7" i="32"/>
  <c r="AA11" i="38"/>
  <c r="AA39" i="38" s="1"/>
  <c r="N11" i="32"/>
  <c r="E11" i="32"/>
  <c r="AA15" i="38"/>
  <c r="AA44" i="38" s="1"/>
  <c r="N15" i="32"/>
  <c r="E15" i="32"/>
  <c r="AA19" i="38"/>
  <c r="AA42" i="38" s="1"/>
  <c r="N19" i="32"/>
  <c r="E19" i="32"/>
  <c r="AA23" i="38"/>
  <c r="AA49" i="38" s="1"/>
  <c r="N23" i="32"/>
  <c r="E23" i="32"/>
  <c r="AA27" i="38"/>
  <c r="N27" i="32"/>
  <c r="E27" i="32"/>
  <c r="N6" i="32"/>
  <c r="E6" i="32"/>
  <c r="AA6" i="38"/>
  <c r="AA47" i="38" s="1"/>
  <c r="N10" i="32"/>
  <c r="E10" i="32"/>
  <c r="AA10" i="38"/>
  <c r="AA46" i="38" s="1"/>
  <c r="N14" i="32"/>
  <c r="E14" i="32"/>
  <c r="AA14" i="38"/>
  <c r="AA34" i="38" s="1"/>
  <c r="N18" i="32"/>
  <c r="E18" i="32"/>
  <c r="AA18" i="38"/>
  <c r="N22" i="32"/>
  <c r="E22" i="32"/>
  <c r="AA22" i="38"/>
  <c r="AA37" i="38" s="1"/>
  <c r="N26" i="32"/>
  <c r="E26" i="32"/>
  <c r="AA26" i="38"/>
  <c r="AA36" i="38" s="1"/>
  <c r="N30" i="32"/>
  <c r="E30" i="32"/>
  <c r="AA30" i="38"/>
  <c r="AA35" i="38" s="1"/>
  <c r="N2" i="32"/>
  <c r="E2" i="32"/>
  <c r="AA2" i="38"/>
  <c r="AA38" i="38" s="1"/>
  <c r="E5" i="32"/>
  <c r="AA5" i="38"/>
  <c r="N5" i="32"/>
  <c r="E9" i="32"/>
  <c r="AA9" i="38"/>
  <c r="N9" i="32"/>
  <c r="E13" i="32"/>
  <c r="AA13" i="38"/>
  <c r="AA33" i="38" s="1"/>
  <c r="N13" i="32"/>
  <c r="E17" i="32"/>
  <c r="AA17" i="38"/>
  <c r="N17" i="32"/>
  <c r="E21" i="32"/>
  <c r="AA21" i="38"/>
  <c r="N21" i="32"/>
  <c r="AA25" i="38"/>
  <c r="N25" i="32"/>
  <c r="E25" i="32"/>
  <c r="AA29" i="38"/>
  <c r="N29" i="32"/>
  <c r="E29" i="32"/>
  <c r="AA4" i="38"/>
  <c r="AA40" i="38" s="1"/>
  <c r="N4" i="32"/>
  <c r="E4" i="32"/>
  <c r="AA8" i="38"/>
  <c r="AA41" i="38" s="1"/>
  <c r="N8" i="32"/>
  <c r="E8" i="32"/>
  <c r="AA12" i="38"/>
  <c r="N12" i="32"/>
  <c r="E12" i="32"/>
  <c r="AA16" i="38"/>
  <c r="N16" i="32"/>
  <c r="E16" i="32"/>
  <c r="AA20" i="38"/>
  <c r="N20" i="32"/>
  <c r="E20" i="32"/>
  <c r="AA24" i="38"/>
  <c r="N24" i="32"/>
  <c r="E24" i="32"/>
  <c r="AA28" i="38"/>
  <c r="AA43" i="38" s="1"/>
  <c r="N28" i="32"/>
  <c r="E28" i="32"/>
  <c r="G8" i="18"/>
  <c r="G41" i="18" s="1"/>
  <c r="G25" i="18"/>
  <c r="G10" i="38"/>
  <c r="G46" i="38" s="1"/>
  <c r="G45" i="38" s="1"/>
  <c r="AR15" i="29"/>
  <c r="AR44" i="29" s="1"/>
  <c r="G6" i="18"/>
  <c r="G47" i="18" s="1"/>
  <c r="G29" i="18"/>
  <c r="G12" i="38"/>
  <c r="AY8" i="29"/>
  <c r="AY41" i="29" s="1"/>
  <c r="Q9" i="29"/>
  <c r="G24" i="18"/>
  <c r="G5" i="38"/>
  <c r="G22" i="38"/>
  <c r="G37" i="38" s="1"/>
  <c r="H3" i="29"/>
  <c r="H32" i="29" s="1"/>
  <c r="H31" i="29" s="1"/>
  <c r="G20" i="18"/>
  <c r="G13" i="38"/>
  <c r="G33" i="38" s="1"/>
  <c r="G30" i="38"/>
  <c r="G35" i="38" s="1"/>
  <c r="H2" i="29"/>
  <c r="H38" i="29" s="1"/>
  <c r="AF12" i="29"/>
  <c r="AA7" i="29"/>
  <c r="G9" i="18"/>
  <c r="G25" i="38"/>
  <c r="M7" i="29"/>
  <c r="G19" i="18"/>
  <c r="G42" i="18" s="1"/>
  <c r="G27" i="38"/>
  <c r="G21" i="18"/>
  <c r="G29" i="38"/>
  <c r="AE9" i="29"/>
  <c r="Z10" i="29"/>
  <c r="Z46" i="29" s="1"/>
  <c r="Z45" i="29" s="1"/>
  <c r="AY5" i="29"/>
  <c r="AN16" i="29"/>
  <c r="AN2" i="41"/>
  <c r="AN38" i="41" s="1"/>
  <c r="AN13" i="41"/>
  <c r="AN33" i="41" s="1"/>
  <c r="AN25" i="41"/>
  <c r="AQ14" i="29"/>
  <c r="AQ34" i="29" s="1"/>
  <c r="AQ26" i="29"/>
  <c r="AQ36" i="29" s="1"/>
  <c r="AQ9" i="41"/>
  <c r="AQ21" i="41"/>
  <c r="AG9" i="29"/>
  <c r="AG24" i="29"/>
  <c r="AG11" i="41"/>
  <c r="AG39" i="41" s="1"/>
  <c r="AG28" i="41"/>
  <c r="AG43" i="41" s="1"/>
  <c r="G27" i="18"/>
  <c r="G3" i="38"/>
  <c r="G32" i="38" s="1"/>
  <c r="G8" i="38"/>
  <c r="G41" i="38" s="1"/>
  <c r="AN10" i="29"/>
  <c r="AN46" i="29" s="1"/>
  <c r="AN17" i="29"/>
  <c r="AN3" i="41"/>
  <c r="AN32" i="41" s="1"/>
  <c r="AN14" i="41"/>
  <c r="AN34" i="41" s="1"/>
  <c r="AN26" i="41"/>
  <c r="AN36" i="41" s="1"/>
  <c r="AS3" i="29"/>
  <c r="AS32" i="29" s="1"/>
  <c r="AS31" i="29" s="1"/>
  <c r="AN18" i="29"/>
  <c r="AN4" i="41"/>
  <c r="AN40" i="41" s="1"/>
  <c r="AN18" i="41"/>
  <c r="AN27" i="41"/>
  <c r="AN27" i="29"/>
  <c r="AN19" i="29"/>
  <c r="AN42" i="29" s="1"/>
  <c r="AN5" i="41"/>
  <c r="AN11" i="41"/>
  <c r="AN39" i="41" s="1"/>
  <c r="AN28" i="41"/>
  <c r="AN43" i="41" s="1"/>
  <c r="AN4" i="29"/>
  <c r="AN40" i="29" s="1"/>
  <c r="AN28" i="29"/>
  <c r="AN43" i="29" s="1"/>
  <c r="AN20" i="29"/>
  <c r="AN6" i="41"/>
  <c r="AN47" i="41" s="1"/>
  <c r="AN16" i="41"/>
  <c r="AQ18" i="29"/>
  <c r="AQ30" i="29"/>
  <c r="AQ35" i="29" s="1"/>
  <c r="AQ13" i="41"/>
  <c r="AQ33" i="41" s="1"/>
  <c r="AQ25" i="41"/>
  <c r="AG13" i="29"/>
  <c r="AG33" i="29" s="1"/>
  <c r="AG29" i="29"/>
  <c r="AG17" i="41"/>
  <c r="G14" i="18"/>
  <c r="G34" i="18" s="1"/>
  <c r="G11" i="18"/>
  <c r="G39" i="18" s="1"/>
  <c r="G15" i="38"/>
  <c r="G44" i="38" s="1"/>
  <c r="G16" i="38"/>
  <c r="AJ5" i="29"/>
  <c r="AN29" i="29"/>
  <c r="AN21" i="29"/>
  <c r="AN7" i="41"/>
  <c r="AN19" i="41"/>
  <c r="AN42" i="41" s="1"/>
  <c r="AQ19" i="29"/>
  <c r="AQ42" i="29" s="1"/>
  <c r="AQ2" i="41"/>
  <c r="AQ38" i="41" s="1"/>
  <c r="AQ14" i="41"/>
  <c r="AQ34" i="41" s="1"/>
  <c r="AG15" i="29"/>
  <c r="AG44" i="29" s="1"/>
  <c r="AG3" i="41"/>
  <c r="AG32" i="41" s="1"/>
  <c r="AG18" i="41"/>
  <c r="G10" i="18"/>
  <c r="G46" i="18" s="1"/>
  <c r="G45" i="18" s="1"/>
  <c r="G17" i="18"/>
  <c r="G17" i="38"/>
  <c r="G20" i="38"/>
  <c r="AN30" i="29"/>
  <c r="AN35" i="29" s="1"/>
  <c r="AN22" i="29"/>
  <c r="AN37" i="29" s="1"/>
  <c r="AN8" i="41"/>
  <c r="AN41" i="41" s="1"/>
  <c r="AN12" i="41"/>
  <c r="AN3" i="29"/>
  <c r="AN32" i="29" s="1"/>
  <c r="AN11" i="29"/>
  <c r="AN39" i="29" s="1"/>
  <c r="AN23" i="29"/>
  <c r="AN49" i="29" s="1"/>
  <c r="AN9" i="41"/>
  <c r="AN29" i="41"/>
  <c r="AN5" i="29"/>
  <c r="AN12" i="29"/>
  <c r="AN24" i="29"/>
  <c r="AN10" i="41"/>
  <c r="AN46" i="41" s="1"/>
  <c r="AN45" i="41" s="1"/>
  <c r="AN30" i="41"/>
  <c r="AN35" i="41" s="1"/>
  <c r="AN6" i="29"/>
  <c r="AN47" i="29" s="1"/>
  <c r="AN45" i="29" s="1"/>
  <c r="AN13" i="29"/>
  <c r="AN33" i="29" s="1"/>
  <c r="AN25" i="29"/>
  <c r="AN20" i="41"/>
  <c r="AN22" i="41"/>
  <c r="AN37" i="41" s="1"/>
  <c r="AN7" i="29"/>
  <c r="AN14" i="29"/>
  <c r="AN34" i="29" s="1"/>
  <c r="AN26" i="29"/>
  <c r="AN36" i="29" s="1"/>
  <c r="AN15" i="41"/>
  <c r="AN44" i="41" s="1"/>
  <c r="AN23" i="41"/>
  <c r="AN49" i="41" s="1"/>
  <c r="AN2" i="29"/>
  <c r="AN38" i="29" s="1"/>
  <c r="AN8" i="29"/>
  <c r="AN41" i="29" s="1"/>
  <c r="AB11" i="16"/>
  <c r="AB39" i="16" s="1"/>
  <c r="AB25" i="16"/>
  <c r="U7" i="16"/>
  <c r="AB3" i="16"/>
  <c r="AB32" i="16" s="1"/>
  <c r="AB17" i="16"/>
  <c r="U14" i="16"/>
  <c r="U34" i="16" s="1"/>
  <c r="AB9" i="16"/>
  <c r="AB23" i="16"/>
  <c r="AB49" i="16" s="1"/>
  <c r="U3" i="37"/>
  <c r="U32" i="37" s="1"/>
  <c r="U3" i="16"/>
  <c r="U32" i="16" s="1"/>
  <c r="AB4" i="16"/>
  <c r="AB40" i="16" s="1"/>
  <c r="U16" i="37"/>
  <c r="U10" i="37"/>
  <c r="U46" i="37" s="1"/>
  <c r="U2" i="16"/>
  <c r="U38" i="16" s="1"/>
  <c r="U24" i="37"/>
  <c r="U15" i="16"/>
  <c r="U44" i="16" s="1"/>
  <c r="U30" i="37"/>
  <c r="U35" i="37" s="1"/>
  <c r="U13" i="37"/>
  <c r="U33" i="37" s="1"/>
  <c r="U20" i="37"/>
  <c r="U30" i="16"/>
  <c r="U35" i="16" s="1"/>
  <c r="U27" i="37"/>
  <c r="U16" i="16"/>
  <c r="U20" i="16"/>
  <c r="U22" i="37"/>
  <c r="U37" i="37" s="1"/>
  <c r="U23" i="16"/>
  <c r="U49" i="16" s="1"/>
  <c r="U21" i="16"/>
  <c r="U11" i="37"/>
  <c r="U39" i="37" s="1"/>
  <c r="U29" i="16"/>
  <c r="U4" i="37"/>
  <c r="U40" i="37" s="1"/>
  <c r="U23" i="37"/>
  <c r="U49" i="37" s="1"/>
  <c r="U6" i="16"/>
  <c r="U47" i="16" s="1"/>
  <c r="U14" i="37"/>
  <c r="U34" i="37" s="1"/>
  <c r="U19" i="37"/>
  <c r="U42" i="37" s="1"/>
  <c r="U8" i="16"/>
  <c r="U41" i="16" s="1"/>
  <c r="U7" i="37"/>
  <c r="U17" i="37"/>
  <c r="U10" i="16"/>
  <c r="U46" i="16" s="1"/>
  <c r="U45" i="16" s="1"/>
  <c r="U24" i="16"/>
  <c r="U9" i="16"/>
  <c r="U26" i="37"/>
  <c r="U36" i="37" s="1"/>
  <c r="U6" i="37"/>
  <c r="U47" i="37" s="1"/>
  <c r="U28" i="16"/>
  <c r="U43" i="16" s="1"/>
  <c r="U13" i="16"/>
  <c r="U33" i="16" s="1"/>
  <c r="U27" i="16"/>
  <c r="U15" i="37"/>
  <c r="U44" i="37" s="1"/>
  <c r="U12" i="37"/>
  <c r="U5" i="16"/>
  <c r="U19" i="16"/>
  <c r="U42" i="16" s="1"/>
  <c r="U21" i="37"/>
  <c r="U18" i="37"/>
  <c r="U11" i="16"/>
  <c r="U39" i="16" s="1"/>
  <c r="U25" i="16"/>
  <c r="U9" i="37"/>
  <c r="U28" i="37"/>
  <c r="U43" i="37" s="1"/>
  <c r="U25" i="37"/>
  <c r="U12" i="16"/>
  <c r="AG14" i="29"/>
  <c r="AG34" i="29" s="1"/>
  <c r="AG26" i="29"/>
  <c r="AG36" i="29" s="1"/>
  <c r="AG9" i="41"/>
  <c r="AG21" i="41"/>
  <c r="G12" i="18"/>
  <c r="G5" i="18"/>
  <c r="G28" i="18"/>
  <c r="G43" i="18" s="1"/>
  <c r="G23" i="38"/>
  <c r="G49" i="38" s="1"/>
  <c r="G18" i="38"/>
  <c r="AG4" i="29"/>
  <c r="AG40" i="29" s="1"/>
  <c r="AR14" i="29"/>
  <c r="AR34" i="29" s="1"/>
  <c r="AR31" i="29" s="1"/>
  <c r="AT14" i="29"/>
  <c r="AT34" i="29" s="1"/>
  <c r="AT31" i="29" s="1"/>
  <c r="AG6" i="29"/>
  <c r="AG47" i="29" s="1"/>
  <c r="AG18" i="29"/>
  <c r="AG30" i="29"/>
  <c r="AG35" i="29" s="1"/>
  <c r="AG13" i="41"/>
  <c r="AG33" i="41" s="1"/>
  <c r="AG25" i="41"/>
  <c r="G26" i="18"/>
  <c r="G36" i="18" s="1"/>
  <c r="G13" i="18"/>
  <c r="G33" i="18" s="1"/>
  <c r="G31" i="18" s="1"/>
  <c r="G7" i="38"/>
  <c r="G2" i="38"/>
  <c r="G38" i="38" s="1"/>
  <c r="G26" i="38"/>
  <c r="G36" i="38" s="1"/>
  <c r="AG7" i="29"/>
  <c r="AG19" i="29"/>
  <c r="AG42" i="29" s="1"/>
  <c r="AG2" i="41"/>
  <c r="AG38" i="41" s="1"/>
  <c r="AG14" i="41"/>
  <c r="AG34" i="41" s="1"/>
  <c r="AG26" i="41"/>
  <c r="AG36" i="41" s="1"/>
  <c r="G4" i="18"/>
  <c r="G40" i="18" s="1"/>
  <c r="G15" i="18"/>
  <c r="G44" i="18" s="1"/>
  <c r="G9" i="38"/>
  <c r="G4" i="38"/>
  <c r="G40" i="38" s="1"/>
  <c r="AT9" i="29"/>
  <c r="AS4" i="29"/>
  <c r="AS40" i="29" s="1"/>
  <c r="Q6" i="29"/>
  <c r="Q47" i="29" s="1"/>
  <c r="AD22" i="5"/>
  <c r="AD37" i="5" s="1"/>
  <c r="AD14" i="5"/>
  <c r="AD34" i="5" s="1"/>
  <c r="AD5" i="32"/>
  <c r="AD16" i="32"/>
  <c r="AD28" i="5"/>
  <c r="AD43" i="5" s="1"/>
  <c r="AD20" i="5"/>
  <c r="AD11" i="32"/>
  <c r="AD39" i="32" s="1"/>
  <c r="AD22" i="32"/>
  <c r="AD37" i="32" s="1"/>
  <c r="U2" i="29"/>
  <c r="U38" i="29" s="1"/>
  <c r="K11" i="29"/>
  <c r="K39" i="29" s="1"/>
  <c r="E10" i="29"/>
  <c r="E46" i="29" s="1"/>
  <c r="AD23" i="5"/>
  <c r="AD49" i="5" s="1"/>
  <c r="AD15" i="5"/>
  <c r="AD44" i="5" s="1"/>
  <c r="AD18" i="32"/>
  <c r="E18" i="29"/>
  <c r="E30" i="29"/>
  <c r="E35" i="29" s="1"/>
  <c r="E11" i="41"/>
  <c r="E39" i="41" s="1"/>
  <c r="E29" i="41"/>
  <c r="K7" i="29"/>
  <c r="E19" i="29"/>
  <c r="E42" i="29" s="1"/>
  <c r="E27" i="41"/>
  <c r="E14" i="41"/>
  <c r="E34" i="41" s="1"/>
  <c r="E18" i="41"/>
  <c r="AD6" i="5"/>
  <c r="AD47" i="5" s="1"/>
  <c r="AD45" i="5" s="1"/>
  <c r="AD3" i="5"/>
  <c r="AD32" i="5" s="1"/>
  <c r="AD9" i="32"/>
  <c r="AD19" i="32"/>
  <c r="AD42" i="32" s="1"/>
  <c r="P9" i="29"/>
  <c r="E8" i="29"/>
  <c r="E41" i="29" s="1"/>
  <c r="E20" i="29"/>
  <c r="E19" i="41"/>
  <c r="E42" i="41" s="1"/>
  <c r="E15" i="41"/>
  <c r="E44" i="41" s="1"/>
  <c r="E13" i="41"/>
  <c r="E33" i="41" s="1"/>
  <c r="E3" i="29"/>
  <c r="E32" i="29" s="1"/>
  <c r="E21" i="29"/>
  <c r="E2" i="41"/>
  <c r="E38" i="41" s="1"/>
  <c r="E23" i="41"/>
  <c r="E49" i="41" s="1"/>
  <c r="E16" i="41"/>
  <c r="AD26" i="32"/>
  <c r="AD36" i="32" s="1"/>
  <c r="Z7" i="29"/>
  <c r="V28" i="29"/>
  <c r="V43" i="29" s="1"/>
  <c r="E22" i="29"/>
  <c r="E37" i="29" s="1"/>
  <c r="E3" i="41"/>
  <c r="E32" i="41" s="1"/>
  <c r="E22" i="41"/>
  <c r="E37" i="41" s="1"/>
  <c r="E24" i="41"/>
  <c r="E23" i="29"/>
  <c r="E49" i="29" s="1"/>
  <c r="E4" i="41"/>
  <c r="E40" i="41" s="1"/>
  <c r="E25" i="41"/>
  <c r="E30" i="41"/>
  <c r="E35" i="41" s="1"/>
  <c r="AD30" i="5"/>
  <c r="AD35" i="5" s="1"/>
  <c r="AD27" i="5"/>
  <c r="AD23" i="32"/>
  <c r="AD49" i="32" s="1"/>
  <c r="AD21" i="32"/>
  <c r="U5" i="29"/>
  <c r="E12" i="29"/>
  <c r="E24" i="29"/>
  <c r="E5" i="41"/>
  <c r="E28" i="41"/>
  <c r="E43" i="41" s="1"/>
  <c r="AD7" i="5"/>
  <c r="AD14" i="32"/>
  <c r="AD34" i="32" s="1"/>
  <c r="AD29" i="32"/>
  <c r="K10" i="29"/>
  <c r="K46" i="29" s="1"/>
  <c r="K45" i="29" s="1"/>
  <c r="E5" i="29"/>
  <c r="E2" i="29"/>
  <c r="E38" i="29" s="1"/>
  <c r="E11" i="29"/>
  <c r="E39" i="29" s="1"/>
  <c r="E7" i="29"/>
  <c r="E13" i="29"/>
  <c r="E33" i="29" s="1"/>
  <c r="E25" i="29"/>
  <c r="E6" i="41"/>
  <c r="E47" i="41" s="1"/>
  <c r="E17" i="41"/>
  <c r="E6" i="29"/>
  <c r="E47" i="29" s="1"/>
  <c r="E14" i="29"/>
  <c r="E34" i="29" s="1"/>
  <c r="E26" i="29"/>
  <c r="E36" i="29" s="1"/>
  <c r="E7" i="41"/>
  <c r="E20" i="41"/>
  <c r="E15" i="29"/>
  <c r="E44" i="29" s="1"/>
  <c r="E27" i="29"/>
  <c r="E8" i="41"/>
  <c r="E41" i="41" s="1"/>
  <c r="E12" i="41"/>
  <c r="E9" i="29"/>
  <c r="E16" i="29"/>
  <c r="E28" i="29"/>
  <c r="E43" i="29" s="1"/>
  <c r="E9" i="41"/>
  <c r="E21" i="41"/>
  <c r="E4" i="29"/>
  <c r="E40" i="29" s="1"/>
  <c r="E17" i="29"/>
  <c r="E29" i="29"/>
  <c r="E10" i="41"/>
  <c r="E46" i="41" s="1"/>
  <c r="U8" i="29"/>
  <c r="U41" i="29" s="1"/>
  <c r="CF14" i="38"/>
  <c r="CF22" i="38"/>
  <c r="CF8" i="38"/>
  <c r="BU2" i="44"/>
  <c r="BT2" i="44"/>
  <c r="BS2" i="44"/>
  <c r="BO2" i="44"/>
  <c r="BK2" i="44"/>
  <c r="BG2" i="44"/>
  <c r="BC2" i="44"/>
  <c r="AY2" i="44"/>
  <c r="BV2" i="44"/>
  <c r="BR2" i="44"/>
  <c r="BN2" i="44"/>
  <c r="BJ2" i="44"/>
  <c r="BF2" i="44"/>
  <c r="BB2" i="44"/>
  <c r="AW3" i="44"/>
  <c r="AS3" i="44"/>
  <c r="AO3" i="44"/>
  <c r="AK3" i="44"/>
  <c r="AG3" i="44"/>
  <c r="AC3" i="44"/>
  <c r="Y3" i="44"/>
  <c r="U3" i="44"/>
  <c r="Q3" i="44"/>
  <c r="M3" i="44"/>
  <c r="I3" i="44"/>
  <c r="E3" i="44"/>
  <c r="AV3" i="44"/>
  <c r="AR3" i="44"/>
  <c r="AN3" i="44"/>
  <c r="AJ3" i="44"/>
  <c r="AF3" i="44"/>
  <c r="AB3" i="44"/>
  <c r="X3" i="44"/>
  <c r="T3" i="44"/>
  <c r="P3" i="44"/>
  <c r="L3" i="44"/>
  <c r="H3" i="44"/>
  <c r="D3" i="44"/>
  <c r="AU3" i="44"/>
  <c r="AQ3" i="44"/>
  <c r="AM3" i="44"/>
  <c r="AI3" i="44"/>
  <c r="AE3" i="44"/>
  <c r="AA3" i="44"/>
  <c r="W3" i="44"/>
  <c r="S3" i="44"/>
  <c r="O3" i="44"/>
  <c r="K3" i="44"/>
  <c r="G3" i="44"/>
  <c r="C3" i="44"/>
  <c r="AX3" i="44"/>
  <c r="AT3" i="44"/>
  <c r="AP3" i="44"/>
  <c r="AL3" i="44"/>
  <c r="AH3" i="44"/>
  <c r="AD3" i="44"/>
  <c r="Z3" i="44"/>
  <c r="V3" i="44"/>
  <c r="R3" i="44"/>
  <c r="N3" i="44"/>
  <c r="J3" i="44"/>
  <c r="F3" i="44"/>
  <c r="BU6" i="44"/>
  <c r="BQ6" i="44"/>
  <c r="BM6" i="44"/>
  <c r="BI6" i="44"/>
  <c r="BE6" i="44"/>
  <c r="BA6" i="44"/>
  <c r="BT6" i="44"/>
  <c r="BP6" i="44"/>
  <c r="BL6" i="44"/>
  <c r="BH6" i="44"/>
  <c r="BD6" i="44"/>
  <c r="AZ6" i="44"/>
  <c r="BS6" i="44"/>
  <c r="BO6" i="44"/>
  <c r="BK6" i="44"/>
  <c r="BG6" i="44"/>
  <c r="BC6" i="44"/>
  <c r="AY6" i="44"/>
  <c r="BV6" i="44"/>
  <c r="BR6" i="44"/>
  <c r="BN6" i="44"/>
  <c r="BJ6" i="44"/>
  <c r="BF6" i="44"/>
  <c r="BB6" i="44"/>
  <c r="AW7" i="44"/>
  <c r="AS7" i="44"/>
  <c r="AO7" i="44"/>
  <c r="AK7" i="44"/>
  <c r="AG7" i="44"/>
  <c r="AC7" i="44"/>
  <c r="Y7" i="44"/>
  <c r="U7" i="44"/>
  <c r="Q7" i="44"/>
  <c r="M7" i="44"/>
  <c r="I7" i="44"/>
  <c r="E7" i="44"/>
  <c r="AV7" i="44"/>
  <c r="AR7" i="44"/>
  <c r="AN7" i="44"/>
  <c r="AJ7" i="44"/>
  <c r="AF7" i="44"/>
  <c r="AB7" i="44"/>
  <c r="X7" i="44"/>
  <c r="T7" i="44"/>
  <c r="P7" i="44"/>
  <c r="L7" i="44"/>
  <c r="H7" i="44"/>
  <c r="D7" i="44"/>
  <c r="AU7" i="44"/>
  <c r="AQ7" i="44"/>
  <c r="AM7" i="44"/>
  <c r="AI7" i="44"/>
  <c r="AE7" i="44"/>
  <c r="AA7" i="44"/>
  <c r="W7" i="44"/>
  <c r="S7" i="44"/>
  <c r="O7" i="44"/>
  <c r="K7" i="44"/>
  <c r="G7" i="44"/>
  <c r="C7" i="44"/>
  <c r="AX7" i="44"/>
  <c r="AT7" i="44"/>
  <c r="AP7" i="44"/>
  <c r="AL7" i="44"/>
  <c r="AH7" i="44"/>
  <c r="AD7" i="44"/>
  <c r="Z7" i="44"/>
  <c r="V7" i="44"/>
  <c r="R7" i="44"/>
  <c r="N7" i="44"/>
  <c r="J7" i="44"/>
  <c r="F7" i="44"/>
  <c r="BU10" i="44"/>
  <c r="BQ10" i="44"/>
  <c r="BM10" i="44"/>
  <c r="BI10" i="44"/>
  <c r="BE10" i="44"/>
  <c r="BA10" i="44"/>
  <c r="BT10" i="44"/>
  <c r="BP10" i="44"/>
  <c r="BL10" i="44"/>
  <c r="BH10" i="44"/>
  <c r="BD10" i="44"/>
  <c r="AZ10" i="44"/>
  <c r="BS10" i="44"/>
  <c r="BO10" i="44"/>
  <c r="BK10" i="44"/>
  <c r="BG10" i="44"/>
  <c r="BC10" i="44"/>
  <c r="AY10" i="44"/>
  <c r="BV10" i="44"/>
  <c r="BR10" i="44"/>
  <c r="BN10" i="44"/>
  <c r="BJ10" i="44"/>
  <c r="BF10" i="44"/>
  <c r="BB10" i="44"/>
  <c r="AW11" i="44"/>
  <c r="AS11" i="44"/>
  <c r="AO11" i="44"/>
  <c r="AK11" i="44"/>
  <c r="AG11" i="44"/>
  <c r="AC11" i="44"/>
  <c r="Y11" i="44"/>
  <c r="U11" i="44"/>
  <c r="Q11" i="44"/>
  <c r="M11" i="44"/>
  <c r="I11" i="44"/>
  <c r="E11" i="44"/>
  <c r="AV11" i="44"/>
  <c r="AR11" i="44"/>
  <c r="AN11" i="44"/>
  <c r="AJ11" i="44"/>
  <c r="AF11" i="44"/>
  <c r="AB11" i="44"/>
  <c r="X11" i="44"/>
  <c r="T11" i="44"/>
  <c r="P11" i="44"/>
  <c r="L11" i="44"/>
  <c r="H11" i="44"/>
  <c r="D11" i="44"/>
  <c r="AU11" i="44"/>
  <c r="AQ11" i="44"/>
  <c r="AM11" i="44"/>
  <c r="AI11" i="44"/>
  <c r="AE11" i="44"/>
  <c r="AA11" i="44"/>
  <c r="W11" i="44"/>
  <c r="S11" i="44"/>
  <c r="O11" i="44"/>
  <c r="K11" i="44"/>
  <c r="G11" i="44"/>
  <c r="C11" i="44"/>
  <c r="AX11" i="44"/>
  <c r="AT11" i="44"/>
  <c r="AP11" i="44"/>
  <c r="AL11" i="44"/>
  <c r="AH11" i="44"/>
  <c r="AD11" i="44"/>
  <c r="Z11" i="44"/>
  <c r="V11" i="44"/>
  <c r="R11" i="44"/>
  <c r="N11" i="44"/>
  <c r="J11" i="44"/>
  <c r="F11" i="44"/>
  <c r="BU14" i="44"/>
  <c r="BQ14" i="44"/>
  <c r="BM14" i="44"/>
  <c r="BI14" i="44"/>
  <c r="BE14" i="44"/>
  <c r="BA14" i="44"/>
  <c r="BT14" i="44"/>
  <c r="BP14" i="44"/>
  <c r="BL14" i="44"/>
  <c r="BH14" i="44"/>
  <c r="BD14" i="44"/>
  <c r="AZ14" i="44"/>
  <c r="BS14" i="44"/>
  <c r="BO14" i="44"/>
  <c r="BK14" i="44"/>
  <c r="BG14" i="44"/>
  <c r="BC14" i="44"/>
  <c r="AY14" i="44"/>
  <c r="BV14" i="44"/>
  <c r="BR14" i="44"/>
  <c r="BN14" i="44"/>
  <c r="BJ14" i="44"/>
  <c r="BF14" i="44"/>
  <c r="BB14" i="44"/>
  <c r="AW15" i="44"/>
  <c r="AS15" i="44"/>
  <c r="AO15" i="44"/>
  <c r="AK15" i="44"/>
  <c r="AG15" i="44"/>
  <c r="AC15" i="44"/>
  <c r="Y15" i="44"/>
  <c r="U15" i="44"/>
  <c r="Q15" i="44"/>
  <c r="M15" i="44"/>
  <c r="I15" i="44"/>
  <c r="E15" i="44"/>
  <c r="AV15" i="44"/>
  <c r="AR15" i="44"/>
  <c r="AN15" i="44"/>
  <c r="AJ15" i="44"/>
  <c r="AF15" i="44"/>
  <c r="AB15" i="44"/>
  <c r="X15" i="44"/>
  <c r="T15" i="44"/>
  <c r="P15" i="44"/>
  <c r="L15" i="44"/>
  <c r="H15" i="44"/>
  <c r="D15" i="44"/>
  <c r="AU15" i="44"/>
  <c r="AQ15" i="44"/>
  <c r="AM15" i="44"/>
  <c r="AI15" i="44"/>
  <c r="AE15" i="44"/>
  <c r="AA15" i="44"/>
  <c r="W15" i="44"/>
  <c r="S15" i="44"/>
  <c r="O15" i="44"/>
  <c r="K15" i="44"/>
  <c r="G15" i="44"/>
  <c r="C15" i="44"/>
  <c r="AX15" i="44"/>
  <c r="AT15" i="44"/>
  <c r="AP15" i="44"/>
  <c r="AL15" i="44"/>
  <c r="AH15" i="44"/>
  <c r="AD15" i="44"/>
  <c r="Z15" i="44"/>
  <c r="V15" i="44"/>
  <c r="R15" i="44"/>
  <c r="N15" i="44"/>
  <c r="J15" i="44"/>
  <c r="F15" i="44"/>
  <c r="BU18" i="44"/>
  <c r="BQ18" i="44"/>
  <c r="BM18" i="44"/>
  <c r="BI18" i="44"/>
  <c r="BE18" i="44"/>
  <c r="BA18" i="44"/>
  <c r="BT18" i="44"/>
  <c r="BP18" i="44"/>
  <c r="BL18" i="44"/>
  <c r="BH18" i="44"/>
  <c r="BD18" i="44"/>
  <c r="AZ18" i="44"/>
  <c r="BS18" i="44"/>
  <c r="BO18" i="44"/>
  <c r="BK18" i="44"/>
  <c r="BG18" i="44"/>
  <c r="BC18" i="44"/>
  <c r="AY18" i="44"/>
  <c r="BV18" i="44"/>
  <c r="BR18" i="44"/>
  <c r="BN18" i="44"/>
  <c r="BJ18" i="44"/>
  <c r="BF18" i="44"/>
  <c r="BB18" i="44"/>
  <c r="AW19" i="44"/>
  <c r="AS19" i="44"/>
  <c r="AO19" i="44"/>
  <c r="AK19" i="44"/>
  <c r="AG19" i="44"/>
  <c r="AC19" i="44"/>
  <c r="Y19" i="44"/>
  <c r="U19" i="44"/>
  <c r="Q19" i="44"/>
  <c r="M19" i="44"/>
  <c r="I19" i="44"/>
  <c r="E19" i="44"/>
  <c r="AV19" i="44"/>
  <c r="AR19" i="44"/>
  <c r="AN19" i="44"/>
  <c r="AJ19" i="44"/>
  <c r="AF19" i="44"/>
  <c r="AB19" i="44"/>
  <c r="X19" i="44"/>
  <c r="T19" i="44"/>
  <c r="P19" i="44"/>
  <c r="L19" i="44"/>
  <c r="H19" i="44"/>
  <c r="D19" i="44"/>
  <c r="AU19" i="44"/>
  <c r="AQ19" i="44"/>
  <c r="AM19" i="44"/>
  <c r="AI19" i="44"/>
  <c r="AE19" i="44"/>
  <c r="AA19" i="44"/>
  <c r="W19" i="44"/>
  <c r="S19" i="44"/>
  <c r="O19" i="44"/>
  <c r="K19" i="44"/>
  <c r="G19" i="44"/>
  <c r="C19" i="44"/>
  <c r="AX19" i="44"/>
  <c r="AT19" i="44"/>
  <c r="AP19" i="44"/>
  <c r="AL19" i="44"/>
  <c r="AH19" i="44"/>
  <c r="AD19" i="44"/>
  <c r="Z19" i="44"/>
  <c r="V19" i="44"/>
  <c r="R19" i="44"/>
  <c r="N19" i="44"/>
  <c r="J19" i="44"/>
  <c r="F19" i="44"/>
  <c r="BU22" i="44"/>
  <c r="BQ22" i="44"/>
  <c r="BM22" i="44"/>
  <c r="BI22" i="44"/>
  <c r="BE22" i="44"/>
  <c r="BA22" i="44"/>
  <c r="BT22" i="44"/>
  <c r="BP22" i="44"/>
  <c r="BL22" i="44"/>
  <c r="BH22" i="44"/>
  <c r="BD22" i="44"/>
  <c r="AZ22" i="44"/>
  <c r="BS22" i="44"/>
  <c r="BO22" i="44"/>
  <c r="BK22" i="44"/>
  <c r="BG22" i="44"/>
  <c r="BC22" i="44"/>
  <c r="AY22" i="44"/>
  <c r="BV22" i="44"/>
  <c r="BR22" i="44"/>
  <c r="BN22" i="44"/>
  <c r="BJ22" i="44"/>
  <c r="BF22" i="44"/>
  <c r="BB22" i="44"/>
  <c r="AW23" i="44"/>
  <c r="AS23" i="44"/>
  <c r="AO23" i="44"/>
  <c r="AK23" i="44"/>
  <c r="AG23" i="44"/>
  <c r="AC23" i="44"/>
  <c r="Y23" i="44"/>
  <c r="U23" i="44"/>
  <c r="Q23" i="44"/>
  <c r="M23" i="44"/>
  <c r="I23" i="44"/>
  <c r="E23" i="44"/>
  <c r="AV23" i="44"/>
  <c r="AR23" i="44"/>
  <c r="AN23" i="44"/>
  <c r="AJ23" i="44"/>
  <c r="AF23" i="44"/>
  <c r="AB23" i="44"/>
  <c r="X23" i="44"/>
  <c r="T23" i="44"/>
  <c r="P23" i="44"/>
  <c r="L23" i="44"/>
  <c r="H23" i="44"/>
  <c r="D23" i="44"/>
  <c r="AU23" i="44"/>
  <c r="AQ23" i="44"/>
  <c r="AM23" i="44"/>
  <c r="AI23" i="44"/>
  <c r="AE23" i="44"/>
  <c r="AA23" i="44"/>
  <c r="W23" i="44"/>
  <c r="S23" i="44"/>
  <c r="O23" i="44"/>
  <c r="K23" i="44"/>
  <c r="G23" i="44"/>
  <c r="C23" i="44"/>
  <c r="AX23" i="44"/>
  <c r="AT23" i="44"/>
  <c r="AP23" i="44"/>
  <c r="AL23" i="44"/>
  <c r="AH23" i="44"/>
  <c r="AD23" i="44"/>
  <c r="Z23" i="44"/>
  <c r="V23" i="44"/>
  <c r="R23" i="44"/>
  <c r="N23" i="44"/>
  <c r="J23" i="44"/>
  <c r="F23" i="44"/>
  <c r="BU26" i="44"/>
  <c r="BQ26" i="44"/>
  <c r="BM26" i="44"/>
  <c r="BI26" i="44"/>
  <c r="BE26" i="44"/>
  <c r="BA26" i="44"/>
  <c r="BT26" i="44"/>
  <c r="BP26" i="44"/>
  <c r="BL26" i="44"/>
  <c r="BH26" i="44"/>
  <c r="BD26" i="44"/>
  <c r="AZ26" i="44"/>
  <c r="BS26" i="44"/>
  <c r="BO26" i="44"/>
  <c r="BK26" i="44"/>
  <c r="BG26" i="44"/>
  <c r="BC26" i="44"/>
  <c r="AY26" i="44"/>
  <c r="BV26" i="44"/>
  <c r="BR26" i="44"/>
  <c r="BN26" i="44"/>
  <c r="BJ26" i="44"/>
  <c r="BF26" i="44"/>
  <c r="BB26" i="44"/>
  <c r="AW27" i="44"/>
  <c r="AS27" i="44"/>
  <c r="AO27" i="44"/>
  <c r="AK27" i="44"/>
  <c r="AG27" i="44"/>
  <c r="AC27" i="44"/>
  <c r="Y27" i="44"/>
  <c r="U27" i="44"/>
  <c r="Q27" i="44"/>
  <c r="M27" i="44"/>
  <c r="I27" i="44"/>
  <c r="E27" i="44"/>
  <c r="AV27" i="44"/>
  <c r="AR27" i="44"/>
  <c r="AN27" i="44"/>
  <c r="AJ27" i="44"/>
  <c r="AF27" i="44"/>
  <c r="AB27" i="44"/>
  <c r="X27" i="44"/>
  <c r="T27" i="44"/>
  <c r="P27" i="44"/>
  <c r="L27" i="44"/>
  <c r="H27" i="44"/>
  <c r="D27" i="44"/>
  <c r="AU27" i="44"/>
  <c r="AQ27" i="44"/>
  <c r="AM27" i="44"/>
  <c r="AI27" i="44"/>
  <c r="AE27" i="44"/>
  <c r="AA27" i="44"/>
  <c r="W27" i="44"/>
  <c r="S27" i="44"/>
  <c r="O27" i="44"/>
  <c r="K27" i="44"/>
  <c r="G27" i="44"/>
  <c r="C27" i="44"/>
  <c r="AX27" i="44"/>
  <c r="AT27" i="44"/>
  <c r="AP27" i="44"/>
  <c r="AL27" i="44"/>
  <c r="AH27" i="44"/>
  <c r="AD27" i="44"/>
  <c r="Z27" i="44"/>
  <c r="V27" i="44"/>
  <c r="R27" i="44"/>
  <c r="N27" i="44"/>
  <c r="J27" i="44"/>
  <c r="F27" i="44"/>
  <c r="BU30" i="44"/>
  <c r="BQ30" i="44"/>
  <c r="BM30" i="44"/>
  <c r="BI30" i="44"/>
  <c r="BE30" i="44"/>
  <c r="BA30" i="44"/>
  <c r="BT30" i="44"/>
  <c r="BP30" i="44"/>
  <c r="BL30" i="44"/>
  <c r="BH30" i="44"/>
  <c r="BD30" i="44"/>
  <c r="AZ30" i="44"/>
  <c r="BS30" i="44"/>
  <c r="BO30" i="44"/>
  <c r="BK30" i="44"/>
  <c r="BG30" i="44"/>
  <c r="BC30" i="44"/>
  <c r="AY30" i="44"/>
  <c r="BV30" i="44"/>
  <c r="BR30" i="44"/>
  <c r="BN30" i="44"/>
  <c r="BJ30" i="44"/>
  <c r="BF30" i="44"/>
  <c r="BB30" i="44"/>
  <c r="D2" i="44"/>
  <c r="H2" i="44"/>
  <c r="L2" i="44"/>
  <c r="P2" i="44"/>
  <c r="T2" i="44"/>
  <c r="X2" i="44"/>
  <c r="AB2" i="44"/>
  <c r="AF2" i="44"/>
  <c r="AJ2" i="44"/>
  <c r="AN2" i="44"/>
  <c r="AV2" i="44"/>
  <c r="BD2" i="44"/>
  <c r="BL2" i="44"/>
  <c r="BU3" i="44"/>
  <c r="BQ3" i="44"/>
  <c r="BM3" i="44"/>
  <c r="BI3" i="44"/>
  <c r="BE3" i="44"/>
  <c r="BA3" i="44"/>
  <c r="BT3" i="44"/>
  <c r="BP3" i="44"/>
  <c r="BL3" i="44"/>
  <c r="BH3" i="44"/>
  <c r="BD3" i="44"/>
  <c r="AZ3" i="44"/>
  <c r="BS3" i="44"/>
  <c r="BO3" i="44"/>
  <c r="BK3" i="44"/>
  <c r="BG3" i="44"/>
  <c r="BC3" i="44"/>
  <c r="AY3" i="44"/>
  <c r="BV3" i="44"/>
  <c r="BR3" i="44"/>
  <c r="BN3" i="44"/>
  <c r="BJ3" i="44"/>
  <c r="BF3" i="44"/>
  <c r="BB3" i="44"/>
  <c r="AW4" i="44"/>
  <c r="AS4" i="44"/>
  <c r="AO4" i="44"/>
  <c r="AK4" i="44"/>
  <c r="AG4" i="44"/>
  <c r="AC4" i="44"/>
  <c r="Y4" i="44"/>
  <c r="U4" i="44"/>
  <c r="Q4" i="44"/>
  <c r="M4" i="44"/>
  <c r="I4" i="44"/>
  <c r="E4" i="44"/>
  <c r="AV4" i="44"/>
  <c r="AR4" i="44"/>
  <c r="AN4" i="44"/>
  <c r="AJ4" i="44"/>
  <c r="AF4" i="44"/>
  <c r="AB4" i="44"/>
  <c r="X4" i="44"/>
  <c r="T4" i="44"/>
  <c r="P4" i="44"/>
  <c r="L4" i="44"/>
  <c r="H4" i="44"/>
  <c r="D4" i="44"/>
  <c r="AU4" i="44"/>
  <c r="AQ4" i="44"/>
  <c r="AM4" i="44"/>
  <c r="AI4" i="44"/>
  <c r="AE4" i="44"/>
  <c r="AA4" i="44"/>
  <c r="W4" i="44"/>
  <c r="S4" i="44"/>
  <c r="O4" i="44"/>
  <c r="K4" i="44"/>
  <c r="G4" i="44"/>
  <c r="C4" i="44"/>
  <c r="AX4" i="44"/>
  <c r="AT4" i="44"/>
  <c r="AP4" i="44"/>
  <c r="AL4" i="44"/>
  <c r="AH4" i="44"/>
  <c r="AD4" i="44"/>
  <c r="Z4" i="44"/>
  <c r="V4" i="44"/>
  <c r="R4" i="44"/>
  <c r="N4" i="44"/>
  <c r="J4" i="44"/>
  <c r="F4" i="44"/>
  <c r="BU7" i="44"/>
  <c r="BQ7" i="44"/>
  <c r="BM7" i="44"/>
  <c r="BI7" i="44"/>
  <c r="BE7" i="44"/>
  <c r="BA7" i="44"/>
  <c r="BT7" i="44"/>
  <c r="BP7" i="44"/>
  <c r="BL7" i="44"/>
  <c r="BH7" i="44"/>
  <c r="BD7" i="44"/>
  <c r="AZ7" i="44"/>
  <c r="BS7" i="44"/>
  <c r="BO7" i="44"/>
  <c r="BK7" i="44"/>
  <c r="BG7" i="44"/>
  <c r="BC7" i="44"/>
  <c r="AY7" i="44"/>
  <c r="BV7" i="44"/>
  <c r="BR7" i="44"/>
  <c r="BN7" i="44"/>
  <c r="BJ7" i="44"/>
  <c r="BF7" i="44"/>
  <c r="BB7" i="44"/>
  <c r="AW8" i="44"/>
  <c r="AS8" i="44"/>
  <c r="AO8" i="44"/>
  <c r="AK8" i="44"/>
  <c r="AG8" i="44"/>
  <c r="AC8" i="44"/>
  <c r="Y8" i="44"/>
  <c r="U8" i="44"/>
  <c r="Q8" i="44"/>
  <c r="M8" i="44"/>
  <c r="I8" i="44"/>
  <c r="E8" i="44"/>
  <c r="AV8" i="44"/>
  <c r="AR8" i="44"/>
  <c r="AN8" i="44"/>
  <c r="AJ8" i="44"/>
  <c r="AF8" i="44"/>
  <c r="AB8" i="44"/>
  <c r="X8" i="44"/>
  <c r="T8" i="44"/>
  <c r="P8" i="44"/>
  <c r="L8" i="44"/>
  <c r="H8" i="44"/>
  <c r="D8" i="44"/>
  <c r="AU8" i="44"/>
  <c r="AQ8" i="44"/>
  <c r="AM8" i="44"/>
  <c r="AI8" i="44"/>
  <c r="AE8" i="44"/>
  <c r="AA8" i="44"/>
  <c r="W8" i="44"/>
  <c r="S8" i="44"/>
  <c r="O8" i="44"/>
  <c r="K8" i="44"/>
  <c r="G8" i="44"/>
  <c r="C8" i="44"/>
  <c r="AX8" i="44"/>
  <c r="AT8" i="44"/>
  <c r="AP8" i="44"/>
  <c r="AL8" i="44"/>
  <c r="AH8" i="44"/>
  <c r="AD8" i="44"/>
  <c r="Z8" i="44"/>
  <c r="V8" i="44"/>
  <c r="R8" i="44"/>
  <c r="N8" i="44"/>
  <c r="J8" i="44"/>
  <c r="F8" i="44"/>
  <c r="BU11" i="44"/>
  <c r="BQ11" i="44"/>
  <c r="BM11" i="44"/>
  <c r="BI11" i="44"/>
  <c r="BE11" i="44"/>
  <c r="BA11" i="44"/>
  <c r="BT11" i="44"/>
  <c r="BP11" i="44"/>
  <c r="BL11" i="44"/>
  <c r="BH11" i="44"/>
  <c r="BD11" i="44"/>
  <c r="AZ11" i="44"/>
  <c r="BS11" i="44"/>
  <c r="BO11" i="44"/>
  <c r="BK11" i="44"/>
  <c r="BG11" i="44"/>
  <c r="BC11" i="44"/>
  <c r="AY11" i="44"/>
  <c r="BV11" i="44"/>
  <c r="BR11" i="44"/>
  <c r="BN11" i="44"/>
  <c r="BJ11" i="44"/>
  <c r="BF11" i="44"/>
  <c r="BB11" i="44"/>
  <c r="AW12" i="44"/>
  <c r="AS12" i="44"/>
  <c r="AO12" i="44"/>
  <c r="AK12" i="44"/>
  <c r="AG12" i="44"/>
  <c r="AC12" i="44"/>
  <c r="Y12" i="44"/>
  <c r="U12" i="44"/>
  <c r="Q12" i="44"/>
  <c r="M12" i="44"/>
  <c r="I12" i="44"/>
  <c r="E12" i="44"/>
  <c r="AV12" i="44"/>
  <c r="AR12" i="44"/>
  <c r="AN12" i="44"/>
  <c r="AJ12" i="44"/>
  <c r="AF12" i="44"/>
  <c r="AB12" i="44"/>
  <c r="X12" i="44"/>
  <c r="T12" i="44"/>
  <c r="P12" i="44"/>
  <c r="L12" i="44"/>
  <c r="H12" i="44"/>
  <c r="D12" i="44"/>
  <c r="AU12" i="44"/>
  <c r="AQ12" i="44"/>
  <c r="AM12" i="44"/>
  <c r="AI12" i="44"/>
  <c r="AE12" i="44"/>
  <c r="AA12" i="44"/>
  <c r="W12" i="44"/>
  <c r="S12" i="44"/>
  <c r="O12" i="44"/>
  <c r="K12" i="44"/>
  <c r="G12" i="44"/>
  <c r="C12" i="44"/>
  <c r="AX12" i="44"/>
  <c r="AT12" i="44"/>
  <c r="AP12" i="44"/>
  <c r="AL12" i="44"/>
  <c r="AH12" i="44"/>
  <c r="AD12" i="44"/>
  <c r="Z12" i="44"/>
  <c r="V12" i="44"/>
  <c r="R12" i="44"/>
  <c r="N12" i="44"/>
  <c r="J12" i="44"/>
  <c r="F12" i="44"/>
  <c r="BU15" i="44"/>
  <c r="BQ15" i="44"/>
  <c r="BM15" i="44"/>
  <c r="BI15" i="44"/>
  <c r="BE15" i="44"/>
  <c r="BA15" i="44"/>
  <c r="BT15" i="44"/>
  <c r="BP15" i="44"/>
  <c r="BL15" i="44"/>
  <c r="BH15" i="44"/>
  <c r="BD15" i="44"/>
  <c r="AZ15" i="44"/>
  <c r="BS15" i="44"/>
  <c r="BO15" i="44"/>
  <c r="BK15" i="44"/>
  <c r="BG15" i="44"/>
  <c r="BC15" i="44"/>
  <c r="AY15" i="44"/>
  <c r="BV15" i="44"/>
  <c r="BR15" i="44"/>
  <c r="BN15" i="44"/>
  <c r="BJ15" i="44"/>
  <c r="BF15" i="44"/>
  <c r="BB15" i="44"/>
  <c r="AW16" i="44"/>
  <c r="AS16" i="44"/>
  <c r="AO16" i="44"/>
  <c r="AK16" i="44"/>
  <c r="AG16" i="44"/>
  <c r="AC16" i="44"/>
  <c r="Y16" i="44"/>
  <c r="U16" i="44"/>
  <c r="Q16" i="44"/>
  <c r="M16" i="44"/>
  <c r="I16" i="44"/>
  <c r="E16" i="44"/>
  <c r="AV16" i="44"/>
  <c r="AR16" i="44"/>
  <c r="AN16" i="44"/>
  <c r="AJ16" i="44"/>
  <c r="AF16" i="44"/>
  <c r="AB16" i="44"/>
  <c r="X16" i="44"/>
  <c r="T16" i="44"/>
  <c r="P16" i="44"/>
  <c r="L16" i="44"/>
  <c r="H16" i="44"/>
  <c r="D16" i="44"/>
  <c r="AU16" i="44"/>
  <c r="AQ16" i="44"/>
  <c r="AM16" i="44"/>
  <c r="AI16" i="44"/>
  <c r="AE16" i="44"/>
  <c r="AA16" i="44"/>
  <c r="W16" i="44"/>
  <c r="S16" i="44"/>
  <c r="O16" i="44"/>
  <c r="K16" i="44"/>
  <c r="G16" i="44"/>
  <c r="C16" i="44"/>
  <c r="AX16" i="44"/>
  <c r="AT16" i="44"/>
  <c r="AP16" i="44"/>
  <c r="AL16" i="44"/>
  <c r="AH16" i="44"/>
  <c r="AD16" i="44"/>
  <c r="Z16" i="44"/>
  <c r="V16" i="44"/>
  <c r="R16" i="44"/>
  <c r="N16" i="44"/>
  <c r="J16" i="44"/>
  <c r="F16" i="44"/>
  <c r="BU19" i="44"/>
  <c r="BQ19" i="44"/>
  <c r="BM19" i="44"/>
  <c r="BI19" i="44"/>
  <c r="BE19" i="44"/>
  <c r="BA19" i="44"/>
  <c r="BT19" i="44"/>
  <c r="BP19" i="44"/>
  <c r="BL19" i="44"/>
  <c r="BH19" i="44"/>
  <c r="BD19" i="44"/>
  <c r="AZ19" i="44"/>
  <c r="BS19" i="44"/>
  <c r="BO19" i="44"/>
  <c r="BK19" i="44"/>
  <c r="BG19" i="44"/>
  <c r="BC19" i="44"/>
  <c r="AY19" i="44"/>
  <c r="BV19" i="44"/>
  <c r="BR19" i="44"/>
  <c r="BN19" i="44"/>
  <c r="BJ19" i="44"/>
  <c r="BF19" i="44"/>
  <c r="BB19" i="44"/>
  <c r="AW20" i="44"/>
  <c r="AS20" i="44"/>
  <c r="AO20" i="44"/>
  <c r="AK20" i="44"/>
  <c r="AG20" i="44"/>
  <c r="AC20" i="44"/>
  <c r="Y20" i="44"/>
  <c r="U20" i="44"/>
  <c r="Q20" i="44"/>
  <c r="M20" i="44"/>
  <c r="I20" i="44"/>
  <c r="E20" i="44"/>
  <c r="AV20" i="44"/>
  <c r="AR20" i="44"/>
  <c r="AN20" i="44"/>
  <c r="AJ20" i="44"/>
  <c r="AF20" i="44"/>
  <c r="AB20" i="44"/>
  <c r="X20" i="44"/>
  <c r="T20" i="44"/>
  <c r="P20" i="44"/>
  <c r="L20" i="44"/>
  <c r="H20" i="44"/>
  <c r="D20" i="44"/>
  <c r="AU20" i="44"/>
  <c r="AQ20" i="44"/>
  <c r="AM20" i="44"/>
  <c r="AI20" i="44"/>
  <c r="AE20" i="44"/>
  <c r="AA20" i="44"/>
  <c r="W20" i="44"/>
  <c r="S20" i="44"/>
  <c r="O20" i="44"/>
  <c r="K20" i="44"/>
  <c r="G20" i="44"/>
  <c r="C20" i="44"/>
  <c r="AX20" i="44"/>
  <c r="AT20" i="44"/>
  <c r="AP20" i="44"/>
  <c r="AL20" i="44"/>
  <c r="AH20" i="44"/>
  <c r="AD20" i="44"/>
  <c r="Z20" i="44"/>
  <c r="V20" i="44"/>
  <c r="R20" i="44"/>
  <c r="N20" i="44"/>
  <c r="J20" i="44"/>
  <c r="F20" i="44"/>
  <c r="BU23" i="44"/>
  <c r="BQ23" i="44"/>
  <c r="BM23" i="44"/>
  <c r="BI23" i="44"/>
  <c r="BE23" i="44"/>
  <c r="BA23" i="44"/>
  <c r="BT23" i="44"/>
  <c r="BP23" i="44"/>
  <c r="BL23" i="44"/>
  <c r="BH23" i="44"/>
  <c r="BD23" i="44"/>
  <c r="AZ23" i="44"/>
  <c r="BS23" i="44"/>
  <c r="BO23" i="44"/>
  <c r="BK23" i="44"/>
  <c r="BG23" i="44"/>
  <c r="BC23" i="44"/>
  <c r="AY23" i="44"/>
  <c r="BV23" i="44"/>
  <c r="BR23" i="44"/>
  <c r="BN23" i="44"/>
  <c r="BJ23" i="44"/>
  <c r="BF23" i="44"/>
  <c r="BB23" i="44"/>
  <c r="AW24" i="44"/>
  <c r="AS24" i="44"/>
  <c r="AO24" i="44"/>
  <c r="AK24" i="44"/>
  <c r="AG24" i="44"/>
  <c r="AC24" i="44"/>
  <c r="Y24" i="44"/>
  <c r="U24" i="44"/>
  <c r="Q24" i="44"/>
  <c r="M24" i="44"/>
  <c r="I24" i="44"/>
  <c r="E24" i="44"/>
  <c r="AV24" i="44"/>
  <c r="AR24" i="44"/>
  <c r="AN24" i="44"/>
  <c r="AJ24" i="44"/>
  <c r="AF24" i="44"/>
  <c r="AB24" i="44"/>
  <c r="X24" i="44"/>
  <c r="T24" i="44"/>
  <c r="P24" i="44"/>
  <c r="L24" i="44"/>
  <c r="H24" i="44"/>
  <c r="D24" i="44"/>
  <c r="AU24" i="44"/>
  <c r="AQ24" i="44"/>
  <c r="AM24" i="44"/>
  <c r="AI24" i="44"/>
  <c r="AE24" i="44"/>
  <c r="AA24" i="44"/>
  <c r="W24" i="44"/>
  <c r="S24" i="44"/>
  <c r="O24" i="44"/>
  <c r="K24" i="44"/>
  <c r="G24" i="44"/>
  <c r="C24" i="44"/>
  <c r="AX24" i="44"/>
  <c r="AT24" i="44"/>
  <c r="AP24" i="44"/>
  <c r="AL24" i="44"/>
  <c r="AH24" i="44"/>
  <c r="AD24" i="44"/>
  <c r="Z24" i="44"/>
  <c r="V24" i="44"/>
  <c r="R24" i="44"/>
  <c r="N24" i="44"/>
  <c r="J24" i="44"/>
  <c r="F24" i="44"/>
  <c r="BU27" i="44"/>
  <c r="BQ27" i="44"/>
  <c r="BM27" i="44"/>
  <c r="BI27" i="44"/>
  <c r="BE27" i="44"/>
  <c r="BA27" i="44"/>
  <c r="BT27" i="44"/>
  <c r="BP27" i="44"/>
  <c r="BL27" i="44"/>
  <c r="BH27" i="44"/>
  <c r="BD27" i="44"/>
  <c r="AZ27" i="44"/>
  <c r="BS27" i="44"/>
  <c r="BO27" i="44"/>
  <c r="BK27" i="44"/>
  <c r="BG27" i="44"/>
  <c r="BC27" i="44"/>
  <c r="AY27" i="44"/>
  <c r="BV27" i="44"/>
  <c r="BR27" i="44"/>
  <c r="BN27" i="44"/>
  <c r="BJ27" i="44"/>
  <c r="BF27" i="44"/>
  <c r="BB27" i="44"/>
  <c r="AW28" i="44"/>
  <c r="AS28" i="44"/>
  <c r="AO28" i="44"/>
  <c r="AK28" i="44"/>
  <c r="AG28" i="44"/>
  <c r="AC28" i="44"/>
  <c r="Y28" i="44"/>
  <c r="U28" i="44"/>
  <c r="Q28" i="44"/>
  <c r="M28" i="44"/>
  <c r="I28" i="44"/>
  <c r="E28" i="44"/>
  <c r="AV28" i="44"/>
  <c r="AR28" i="44"/>
  <c r="AN28" i="44"/>
  <c r="AJ28" i="44"/>
  <c r="AF28" i="44"/>
  <c r="AB28" i="44"/>
  <c r="X28" i="44"/>
  <c r="T28" i="44"/>
  <c r="P28" i="44"/>
  <c r="L28" i="44"/>
  <c r="H28" i="44"/>
  <c r="D28" i="44"/>
  <c r="AU28" i="44"/>
  <c r="AQ28" i="44"/>
  <c r="AM28" i="44"/>
  <c r="AI28" i="44"/>
  <c r="AE28" i="44"/>
  <c r="AA28" i="44"/>
  <c r="W28" i="44"/>
  <c r="S28" i="44"/>
  <c r="O28" i="44"/>
  <c r="K28" i="44"/>
  <c r="G28" i="44"/>
  <c r="C28" i="44"/>
  <c r="AX28" i="44"/>
  <c r="AT28" i="44"/>
  <c r="AP28" i="44"/>
  <c r="AL28" i="44"/>
  <c r="AH28" i="44"/>
  <c r="AD28" i="44"/>
  <c r="Z28" i="44"/>
  <c r="V28" i="44"/>
  <c r="R28" i="44"/>
  <c r="N28" i="44"/>
  <c r="J28" i="44"/>
  <c r="F28" i="44"/>
  <c r="E2" i="44"/>
  <c r="I2" i="44"/>
  <c r="M2" i="44"/>
  <c r="Q2" i="44"/>
  <c r="U2" i="44"/>
  <c r="Y2" i="44"/>
  <c r="AC2" i="44"/>
  <c r="AG2" i="44"/>
  <c r="AK2" i="44"/>
  <c r="AO2" i="44"/>
  <c r="AW2" i="44"/>
  <c r="BE2" i="44"/>
  <c r="BM2" i="44"/>
  <c r="BU4" i="44"/>
  <c r="BQ4" i="44"/>
  <c r="BM4" i="44"/>
  <c r="BI4" i="44"/>
  <c r="BE4" i="44"/>
  <c r="BA4" i="44"/>
  <c r="BT4" i="44"/>
  <c r="BP4" i="44"/>
  <c r="BL4" i="44"/>
  <c r="BH4" i="44"/>
  <c r="BD4" i="44"/>
  <c r="AZ4" i="44"/>
  <c r="BS4" i="44"/>
  <c r="BO4" i="44"/>
  <c r="BK4" i="44"/>
  <c r="BG4" i="44"/>
  <c r="BC4" i="44"/>
  <c r="AY4" i="44"/>
  <c r="BV4" i="44"/>
  <c r="BR4" i="44"/>
  <c r="BN4" i="44"/>
  <c r="BJ4" i="44"/>
  <c r="BF4" i="44"/>
  <c r="BB4" i="44"/>
  <c r="AW5" i="44"/>
  <c r="AS5" i="44"/>
  <c r="AO5" i="44"/>
  <c r="AK5" i="44"/>
  <c r="AG5" i="44"/>
  <c r="AC5" i="44"/>
  <c r="Y5" i="44"/>
  <c r="U5" i="44"/>
  <c r="Q5" i="44"/>
  <c r="M5" i="44"/>
  <c r="I5" i="44"/>
  <c r="E5" i="44"/>
  <c r="AV5" i="44"/>
  <c r="AR5" i="44"/>
  <c r="AN5" i="44"/>
  <c r="AJ5" i="44"/>
  <c r="AF5" i="44"/>
  <c r="AB5" i="44"/>
  <c r="X5" i="44"/>
  <c r="T5" i="44"/>
  <c r="P5" i="44"/>
  <c r="L5" i="44"/>
  <c r="H5" i="44"/>
  <c r="D5" i="44"/>
  <c r="AU5" i="44"/>
  <c r="AQ5" i="44"/>
  <c r="AM5" i="44"/>
  <c r="AI5" i="44"/>
  <c r="AE5" i="44"/>
  <c r="AA5" i="44"/>
  <c r="W5" i="44"/>
  <c r="S5" i="44"/>
  <c r="O5" i="44"/>
  <c r="K5" i="44"/>
  <c r="G5" i="44"/>
  <c r="C5" i="44"/>
  <c r="AX5" i="44"/>
  <c r="AT5" i="44"/>
  <c r="AP5" i="44"/>
  <c r="AL5" i="44"/>
  <c r="AH5" i="44"/>
  <c r="AD5" i="44"/>
  <c r="Z5" i="44"/>
  <c r="V5" i="44"/>
  <c r="R5" i="44"/>
  <c r="N5" i="44"/>
  <c r="J5" i="44"/>
  <c r="F5" i="44"/>
  <c r="BU8" i="44"/>
  <c r="BQ8" i="44"/>
  <c r="BM8" i="44"/>
  <c r="BI8" i="44"/>
  <c r="BE8" i="44"/>
  <c r="BA8" i="44"/>
  <c r="BT8" i="44"/>
  <c r="BP8" i="44"/>
  <c r="BL8" i="44"/>
  <c r="BH8" i="44"/>
  <c r="BD8" i="44"/>
  <c r="AZ8" i="44"/>
  <c r="BS8" i="44"/>
  <c r="BO8" i="44"/>
  <c r="BK8" i="44"/>
  <c r="BG8" i="44"/>
  <c r="BC8" i="44"/>
  <c r="AY8" i="44"/>
  <c r="BV8" i="44"/>
  <c r="BR8" i="44"/>
  <c r="BN8" i="44"/>
  <c r="BJ8" i="44"/>
  <c r="BF8" i="44"/>
  <c r="BB8" i="44"/>
  <c r="AW9" i="44"/>
  <c r="AS9" i="44"/>
  <c r="AO9" i="44"/>
  <c r="AK9" i="44"/>
  <c r="AG9" i="44"/>
  <c r="AC9" i="44"/>
  <c r="Y9" i="44"/>
  <c r="U9" i="44"/>
  <c r="Q9" i="44"/>
  <c r="M9" i="44"/>
  <c r="I9" i="44"/>
  <c r="E9" i="44"/>
  <c r="AV9" i="44"/>
  <c r="AR9" i="44"/>
  <c r="AN9" i="44"/>
  <c r="AJ9" i="44"/>
  <c r="AF9" i="44"/>
  <c r="AB9" i="44"/>
  <c r="X9" i="44"/>
  <c r="T9" i="44"/>
  <c r="P9" i="44"/>
  <c r="L9" i="44"/>
  <c r="H9" i="44"/>
  <c r="D9" i="44"/>
  <c r="AU9" i="44"/>
  <c r="AQ9" i="44"/>
  <c r="AM9" i="44"/>
  <c r="AI9" i="44"/>
  <c r="AE9" i="44"/>
  <c r="AA9" i="44"/>
  <c r="W9" i="44"/>
  <c r="S9" i="44"/>
  <c r="O9" i="44"/>
  <c r="K9" i="44"/>
  <c r="G9" i="44"/>
  <c r="C9" i="44"/>
  <c r="AX9" i="44"/>
  <c r="AT9" i="44"/>
  <c r="AP9" i="44"/>
  <c r="AL9" i="44"/>
  <c r="AH9" i="44"/>
  <c r="AD9" i="44"/>
  <c r="Z9" i="44"/>
  <c r="V9" i="44"/>
  <c r="R9" i="44"/>
  <c r="N9" i="44"/>
  <c r="J9" i="44"/>
  <c r="F9" i="44"/>
  <c r="BU12" i="44"/>
  <c r="BQ12" i="44"/>
  <c r="BM12" i="44"/>
  <c r="BI12" i="44"/>
  <c r="BE12" i="44"/>
  <c r="BA12" i="44"/>
  <c r="BT12" i="44"/>
  <c r="BP12" i="44"/>
  <c r="BL12" i="44"/>
  <c r="BH12" i="44"/>
  <c r="BD12" i="44"/>
  <c r="AZ12" i="44"/>
  <c r="BS12" i="44"/>
  <c r="BO12" i="44"/>
  <c r="BK12" i="44"/>
  <c r="BG12" i="44"/>
  <c r="BC12" i="44"/>
  <c r="AY12" i="44"/>
  <c r="BV12" i="44"/>
  <c r="BR12" i="44"/>
  <c r="BN12" i="44"/>
  <c r="BJ12" i="44"/>
  <c r="BF12" i="44"/>
  <c r="BB12" i="44"/>
  <c r="AW13" i="44"/>
  <c r="AS13" i="44"/>
  <c r="AO13" i="44"/>
  <c r="AK13" i="44"/>
  <c r="AG13" i="44"/>
  <c r="AC13" i="44"/>
  <c r="Y13" i="44"/>
  <c r="U13" i="44"/>
  <c r="Q13" i="44"/>
  <c r="M13" i="44"/>
  <c r="I13" i="44"/>
  <c r="E13" i="44"/>
  <c r="AV13" i="44"/>
  <c r="AR13" i="44"/>
  <c r="AN13" i="44"/>
  <c r="AJ13" i="44"/>
  <c r="AF13" i="44"/>
  <c r="AB13" i="44"/>
  <c r="X13" i="44"/>
  <c r="T13" i="44"/>
  <c r="P13" i="44"/>
  <c r="L13" i="44"/>
  <c r="H13" i="44"/>
  <c r="D13" i="44"/>
  <c r="AU13" i="44"/>
  <c r="AQ13" i="44"/>
  <c r="AM13" i="44"/>
  <c r="AI13" i="44"/>
  <c r="AE13" i="44"/>
  <c r="AA13" i="44"/>
  <c r="W13" i="44"/>
  <c r="S13" i="44"/>
  <c r="O13" i="44"/>
  <c r="K13" i="44"/>
  <c r="G13" i="44"/>
  <c r="C13" i="44"/>
  <c r="AX13" i="44"/>
  <c r="AT13" i="44"/>
  <c r="AP13" i="44"/>
  <c r="AL13" i="44"/>
  <c r="AH13" i="44"/>
  <c r="AD13" i="44"/>
  <c r="Z13" i="44"/>
  <c r="V13" i="44"/>
  <c r="R13" i="44"/>
  <c r="N13" i="44"/>
  <c r="J13" i="44"/>
  <c r="F13" i="44"/>
  <c r="BU16" i="44"/>
  <c r="BQ16" i="44"/>
  <c r="BM16" i="44"/>
  <c r="BI16" i="44"/>
  <c r="BE16" i="44"/>
  <c r="BA16" i="44"/>
  <c r="BT16" i="44"/>
  <c r="BP16" i="44"/>
  <c r="BL16" i="44"/>
  <c r="BH16" i="44"/>
  <c r="BD16" i="44"/>
  <c r="AZ16" i="44"/>
  <c r="BS16" i="44"/>
  <c r="BO16" i="44"/>
  <c r="BK16" i="44"/>
  <c r="BG16" i="44"/>
  <c r="BC16" i="44"/>
  <c r="AY16" i="44"/>
  <c r="BV16" i="44"/>
  <c r="BR16" i="44"/>
  <c r="BN16" i="44"/>
  <c r="BJ16" i="44"/>
  <c r="BF16" i="44"/>
  <c r="BB16" i="44"/>
  <c r="AW17" i="44"/>
  <c r="AS17" i="44"/>
  <c r="AO17" i="44"/>
  <c r="AK17" i="44"/>
  <c r="AG17" i="44"/>
  <c r="AC17" i="44"/>
  <c r="Y17" i="44"/>
  <c r="U17" i="44"/>
  <c r="Q17" i="44"/>
  <c r="M17" i="44"/>
  <c r="I17" i="44"/>
  <c r="E17" i="44"/>
  <c r="AV17" i="44"/>
  <c r="AR17" i="44"/>
  <c r="AN17" i="44"/>
  <c r="AJ17" i="44"/>
  <c r="AF17" i="44"/>
  <c r="AB17" i="44"/>
  <c r="X17" i="44"/>
  <c r="T17" i="44"/>
  <c r="P17" i="44"/>
  <c r="L17" i="44"/>
  <c r="H17" i="44"/>
  <c r="D17" i="44"/>
  <c r="AU17" i="44"/>
  <c r="AQ17" i="44"/>
  <c r="AM17" i="44"/>
  <c r="AI17" i="44"/>
  <c r="AE17" i="44"/>
  <c r="AA17" i="44"/>
  <c r="W17" i="44"/>
  <c r="S17" i="44"/>
  <c r="O17" i="44"/>
  <c r="K17" i="44"/>
  <c r="G17" i="44"/>
  <c r="C17" i="44"/>
  <c r="AX17" i="44"/>
  <c r="AT17" i="44"/>
  <c r="AP17" i="44"/>
  <c r="AL17" i="44"/>
  <c r="AH17" i="44"/>
  <c r="AD17" i="44"/>
  <c r="Z17" i="44"/>
  <c r="V17" i="44"/>
  <c r="R17" i="44"/>
  <c r="N17" i="44"/>
  <c r="J17" i="44"/>
  <c r="F17" i="44"/>
  <c r="BU20" i="44"/>
  <c r="BQ20" i="44"/>
  <c r="BM20" i="44"/>
  <c r="BI20" i="44"/>
  <c r="BE20" i="44"/>
  <c r="BA20" i="44"/>
  <c r="BT20" i="44"/>
  <c r="BP20" i="44"/>
  <c r="BL20" i="44"/>
  <c r="BH20" i="44"/>
  <c r="BD20" i="44"/>
  <c r="AZ20" i="44"/>
  <c r="BS20" i="44"/>
  <c r="BO20" i="44"/>
  <c r="BK20" i="44"/>
  <c r="BG20" i="44"/>
  <c r="BC20" i="44"/>
  <c r="AY20" i="44"/>
  <c r="BV20" i="44"/>
  <c r="BR20" i="44"/>
  <c r="BN20" i="44"/>
  <c r="BJ20" i="44"/>
  <c r="BF20" i="44"/>
  <c r="BB20" i="44"/>
  <c r="AW21" i="44"/>
  <c r="AS21" i="44"/>
  <c r="AO21" i="44"/>
  <c r="AK21" i="44"/>
  <c r="AG21" i="44"/>
  <c r="AC21" i="44"/>
  <c r="Y21" i="44"/>
  <c r="U21" i="44"/>
  <c r="Q21" i="44"/>
  <c r="M21" i="44"/>
  <c r="I21" i="44"/>
  <c r="E21" i="44"/>
  <c r="AV21" i="44"/>
  <c r="AR21" i="44"/>
  <c r="AN21" i="44"/>
  <c r="AJ21" i="44"/>
  <c r="AF21" i="44"/>
  <c r="AB21" i="44"/>
  <c r="X21" i="44"/>
  <c r="T21" i="44"/>
  <c r="P21" i="44"/>
  <c r="L21" i="44"/>
  <c r="H21" i="44"/>
  <c r="D21" i="44"/>
  <c r="AU21" i="44"/>
  <c r="AQ21" i="44"/>
  <c r="AM21" i="44"/>
  <c r="AI21" i="44"/>
  <c r="AE21" i="44"/>
  <c r="AA21" i="44"/>
  <c r="W21" i="44"/>
  <c r="S21" i="44"/>
  <c r="O21" i="44"/>
  <c r="K21" i="44"/>
  <c r="G21" i="44"/>
  <c r="C21" i="44"/>
  <c r="AX21" i="44"/>
  <c r="AT21" i="44"/>
  <c r="AP21" i="44"/>
  <c r="AL21" i="44"/>
  <c r="AH21" i="44"/>
  <c r="AD21" i="44"/>
  <c r="Z21" i="44"/>
  <c r="V21" i="44"/>
  <c r="R21" i="44"/>
  <c r="N21" i="44"/>
  <c r="J21" i="44"/>
  <c r="F21" i="44"/>
  <c r="BU24" i="44"/>
  <c r="BQ24" i="44"/>
  <c r="BM24" i="44"/>
  <c r="BI24" i="44"/>
  <c r="BE24" i="44"/>
  <c r="BA24" i="44"/>
  <c r="BT24" i="44"/>
  <c r="BP24" i="44"/>
  <c r="BL24" i="44"/>
  <c r="BH24" i="44"/>
  <c r="BD24" i="44"/>
  <c r="AZ24" i="44"/>
  <c r="BS24" i="44"/>
  <c r="BO24" i="44"/>
  <c r="BK24" i="44"/>
  <c r="BG24" i="44"/>
  <c r="BC24" i="44"/>
  <c r="AY24" i="44"/>
  <c r="BV24" i="44"/>
  <c r="BR24" i="44"/>
  <c r="BN24" i="44"/>
  <c r="BJ24" i="44"/>
  <c r="BF24" i="44"/>
  <c r="BB24" i="44"/>
  <c r="AW25" i="44"/>
  <c r="AS25" i="44"/>
  <c r="AO25" i="44"/>
  <c r="AK25" i="44"/>
  <c r="AG25" i="44"/>
  <c r="AC25" i="44"/>
  <c r="Y25" i="44"/>
  <c r="U25" i="44"/>
  <c r="Q25" i="44"/>
  <c r="M25" i="44"/>
  <c r="I25" i="44"/>
  <c r="E25" i="44"/>
  <c r="AV25" i="44"/>
  <c r="AR25" i="44"/>
  <c r="AN25" i="44"/>
  <c r="AJ25" i="44"/>
  <c r="AF25" i="44"/>
  <c r="AB25" i="44"/>
  <c r="X25" i="44"/>
  <c r="T25" i="44"/>
  <c r="P25" i="44"/>
  <c r="L25" i="44"/>
  <c r="H25" i="44"/>
  <c r="D25" i="44"/>
  <c r="AU25" i="44"/>
  <c r="AQ25" i="44"/>
  <c r="AM25" i="44"/>
  <c r="AI25" i="44"/>
  <c r="AE25" i="44"/>
  <c r="AA25" i="44"/>
  <c r="W25" i="44"/>
  <c r="S25" i="44"/>
  <c r="O25" i="44"/>
  <c r="K25" i="44"/>
  <c r="G25" i="44"/>
  <c r="C25" i="44"/>
  <c r="AX25" i="44"/>
  <c r="AT25" i="44"/>
  <c r="AP25" i="44"/>
  <c r="AL25" i="44"/>
  <c r="AH25" i="44"/>
  <c r="AD25" i="44"/>
  <c r="Z25" i="44"/>
  <c r="V25" i="44"/>
  <c r="R25" i="44"/>
  <c r="N25" i="44"/>
  <c r="J25" i="44"/>
  <c r="F25" i="44"/>
  <c r="BU28" i="44"/>
  <c r="BQ28" i="44"/>
  <c r="BM28" i="44"/>
  <c r="BI28" i="44"/>
  <c r="BE28" i="44"/>
  <c r="BA28" i="44"/>
  <c r="BT28" i="44"/>
  <c r="BP28" i="44"/>
  <c r="BL28" i="44"/>
  <c r="BH28" i="44"/>
  <c r="BD28" i="44"/>
  <c r="AZ28" i="44"/>
  <c r="BS28" i="44"/>
  <c r="BO28" i="44"/>
  <c r="BK28" i="44"/>
  <c r="BG28" i="44"/>
  <c r="BC28" i="44"/>
  <c r="AY28" i="44"/>
  <c r="BV28" i="44"/>
  <c r="BR28" i="44"/>
  <c r="BN28" i="44"/>
  <c r="BJ28" i="44"/>
  <c r="BF28" i="44"/>
  <c r="BB28" i="44"/>
  <c r="AW29" i="44"/>
  <c r="AS29" i="44"/>
  <c r="AO29" i="44"/>
  <c r="AK29" i="44"/>
  <c r="AG29" i="44"/>
  <c r="AC29" i="44"/>
  <c r="Y29" i="44"/>
  <c r="U29" i="44"/>
  <c r="Q29" i="44"/>
  <c r="M29" i="44"/>
  <c r="I29" i="44"/>
  <c r="E29" i="44"/>
  <c r="AV29" i="44"/>
  <c r="AR29" i="44"/>
  <c r="AN29" i="44"/>
  <c r="AJ29" i="44"/>
  <c r="AF29" i="44"/>
  <c r="AB29" i="44"/>
  <c r="X29" i="44"/>
  <c r="T29" i="44"/>
  <c r="P29" i="44"/>
  <c r="L29" i="44"/>
  <c r="H29" i="44"/>
  <c r="D29" i="44"/>
  <c r="AU29" i="44"/>
  <c r="AQ29" i="44"/>
  <c r="AM29" i="44"/>
  <c r="AI29" i="44"/>
  <c r="AE29" i="44"/>
  <c r="AA29" i="44"/>
  <c r="W29" i="44"/>
  <c r="S29" i="44"/>
  <c r="O29" i="44"/>
  <c r="K29" i="44"/>
  <c r="G29" i="44"/>
  <c r="C29" i="44"/>
  <c r="AX29" i="44"/>
  <c r="AT29" i="44"/>
  <c r="AP29" i="44"/>
  <c r="AL29" i="44"/>
  <c r="AH29" i="44"/>
  <c r="AD29" i="44"/>
  <c r="Z29" i="44"/>
  <c r="V29" i="44"/>
  <c r="R29" i="44"/>
  <c r="N29" i="44"/>
  <c r="J29" i="44"/>
  <c r="F29" i="44"/>
  <c r="F2" i="44"/>
  <c r="J2" i="44"/>
  <c r="N2" i="44"/>
  <c r="R2" i="44"/>
  <c r="V2" i="44"/>
  <c r="Z2" i="44"/>
  <c r="AD2" i="44"/>
  <c r="AH2" i="44"/>
  <c r="AL2" i="44"/>
  <c r="AZ2" i="44"/>
  <c r="BH2" i="44"/>
  <c r="BP2" i="44"/>
  <c r="AU2" i="44"/>
  <c r="AQ2" i="44"/>
  <c r="AX2" i="44"/>
  <c r="AT2" i="44"/>
  <c r="AP2" i="44"/>
  <c r="BU5" i="44"/>
  <c r="BQ5" i="44"/>
  <c r="BM5" i="44"/>
  <c r="BI5" i="44"/>
  <c r="BE5" i="44"/>
  <c r="BA5" i="44"/>
  <c r="BT5" i="44"/>
  <c r="BP5" i="44"/>
  <c r="BL5" i="44"/>
  <c r="BH5" i="44"/>
  <c r="BD5" i="44"/>
  <c r="AZ5" i="44"/>
  <c r="BS5" i="44"/>
  <c r="BO5" i="44"/>
  <c r="BK5" i="44"/>
  <c r="BG5" i="44"/>
  <c r="BC5" i="44"/>
  <c r="AY5" i="44"/>
  <c r="BV5" i="44"/>
  <c r="BR5" i="44"/>
  <c r="BN5" i="44"/>
  <c r="BJ5" i="44"/>
  <c r="BF5" i="44"/>
  <c r="BB5" i="44"/>
  <c r="AW6" i="44"/>
  <c r="AS6" i="44"/>
  <c r="AO6" i="44"/>
  <c r="AK6" i="44"/>
  <c r="AG6" i="44"/>
  <c r="AC6" i="44"/>
  <c r="Y6" i="44"/>
  <c r="U6" i="44"/>
  <c r="Q6" i="44"/>
  <c r="M6" i="44"/>
  <c r="I6" i="44"/>
  <c r="E6" i="44"/>
  <c r="AV6" i="44"/>
  <c r="AR6" i="44"/>
  <c r="AN6" i="44"/>
  <c r="AJ6" i="44"/>
  <c r="AF6" i="44"/>
  <c r="AB6" i="44"/>
  <c r="X6" i="44"/>
  <c r="T6" i="44"/>
  <c r="P6" i="44"/>
  <c r="L6" i="44"/>
  <c r="H6" i="44"/>
  <c r="D6" i="44"/>
  <c r="AU6" i="44"/>
  <c r="AQ6" i="44"/>
  <c r="AM6" i="44"/>
  <c r="AI6" i="44"/>
  <c r="AE6" i="44"/>
  <c r="AA6" i="44"/>
  <c r="W6" i="44"/>
  <c r="S6" i="44"/>
  <c r="O6" i="44"/>
  <c r="K6" i="44"/>
  <c r="G6" i="44"/>
  <c r="C6" i="44"/>
  <c r="AX6" i="44"/>
  <c r="AT6" i="44"/>
  <c r="AP6" i="44"/>
  <c r="AL6" i="44"/>
  <c r="AH6" i="44"/>
  <c r="AD6" i="44"/>
  <c r="Z6" i="44"/>
  <c r="V6" i="44"/>
  <c r="R6" i="44"/>
  <c r="N6" i="44"/>
  <c r="J6" i="44"/>
  <c r="F6" i="44"/>
  <c r="BU9" i="44"/>
  <c r="BQ9" i="44"/>
  <c r="BM9" i="44"/>
  <c r="BI9" i="44"/>
  <c r="BE9" i="44"/>
  <c r="BA9" i="44"/>
  <c r="BT9" i="44"/>
  <c r="BP9" i="44"/>
  <c r="BL9" i="44"/>
  <c r="BH9" i="44"/>
  <c r="BD9" i="44"/>
  <c r="AZ9" i="44"/>
  <c r="BS9" i="44"/>
  <c r="BO9" i="44"/>
  <c r="BK9" i="44"/>
  <c r="BG9" i="44"/>
  <c r="BC9" i="44"/>
  <c r="AY9" i="44"/>
  <c r="BV9" i="44"/>
  <c r="BR9" i="44"/>
  <c r="BN9" i="44"/>
  <c r="BJ9" i="44"/>
  <c r="BF9" i="44"/>
  <c r="BB9" i="44"/>
  <c r="AW10" i="44"/>
  <c r="AS10" i="44"/>
  <c r="AO10" i="44"/>
  <c r="AK10" i="44"/>
  <c r="AG10" i="44"/>
  <c r="AC10" i="44"/>
  <c r="Y10" i="44"/>
  <c r="U10" i="44"/>
  <c r="Q10" i="44"/>
  <c r="M10" i="44"/>
  <c r="I10" i="44"/>
  <c r="E10" i="44"/>
  <c r="AV10" i="44"/>
  <c r="AR10" i="44"/>
  <c r="AN10" i="44"/>
  <c r="AJ10" i="44"/>
  <c r="AF10" i="44"/>
  <c r="AB10" i="44"/>
  <c r="X10" i="44"/>
  <c r="T10" i="44"/>
  <c r="P10" i="44"/>
  <c r="L10" i="44"/>
  <c r="H10" i="44"/>
  <c r="D10" i="44"/>
  <c r="AU10" i="44"/>
  <c r="AQ10" i="44"/>
  <c r="AM10" i="44"/>
  <c r="AI10" i="44"/>
  <c r="AE10" i="44"/>
  <c r="AA10" i="44"/>
  <c r="W10" i="44"/>
  <c r="S10" i="44"/>
  <c r="O10" i="44"/>
  <c r="K10" i="44"/>
  <c r="G10" i="44"/>
  <c r="C10" i="44"/>
  <c r="AX10" i="44"/>
  <c r="AT10" i="44"/>
  <c r="AP10" i="44"/>
  <c r="AL10" i="44"/>
  <c r="AH10" i="44"/>
  <c r="AD10" i="44"/>
  <c r="Z10" i="44"/>
  <c r="V10" i="44"/>
  <c r="R10" i="44"/>
  <c r="N10" i="44"/>
  <c r="J10" i="44"/>
  <c r="F10" i="44"/>
  <c r="BU13" i="44"/>
  <c r="BQ13" i="44"/>
  <c r="BM13" i="44"/>
  <c r="BI13" i="44"/>
  <c r="BE13" i="44"/>
  <c r="BA13" i="44"/>
  <c r="BT13" i="44"/>
  <c r="BP13" i="44"/>
  <c r="BL13" i="44"/>
  <c r="BH13" i="44"/>
  <c r="BD13" i="44"/>
  <c r="AZ13" i="44"/>
  <c r="BS13" i="44"/>
  <c r="BO13" i="44"/>
  <c r="BK13" i="44"/>
  <c r="BG13" i="44"/>
  <c r="BC13" i="44"/>
  <c r="AY13" i="44"/>
  <c r="BV13" i="44"/>
  <c r="BR13" i="44"/>
  <c r="BN13" i="44"/>
  <c r="BJ13" i="44"/>
  <c r="BF13" i="44"/>
  <c r="BB13" i="44"/>
  <c r="AW14" i="44"/>
  <c r="AS14" i="44"/>
  <c r="AO14" i="44"/>
  <c r="AK14" i="44"/>
  <c r="AG14" i="44"/>
  <c r="AC14" i="44"/>
  <c r="Y14" i="44"/>
  <c r="U14" i="44"/>
  <c r="Q14" i="44"/>
  <c r="M14" i="44"/>
  <c r="I14" i="44"/>
  <c r="E14" i="44"/>
  <c r="AV14" i="44"/>
  <c r="AR14" i="44"/>
  <c r="AN14" i="44"/>
  <c r="AJ14" i="44"/>
  <c r="AF14" i="44"/>
  <c r="AB14" i="44"/>
  <c r="X14" i="44"/>
  <c r="T14" i="44"/>
  <c r="P14" i="44"/>
  <c r="L14" i="44"/>
  <c r="H14" i="44"/>
  <c r="D14" i="44"/>
  <c r="AU14" i="44"/>
  <c r="AQ14" i="44"/>
  <c r="AM14" i="44"/>
  <c r="AI14" i="44"/>
  <c r="AE14" i="44"/>
  <c r="AA14" i="44"/>
  <c r="W14" i="44"/>
  <c r="S14" i="44"/>
  <c r="O14" i="44"/>
  <c r="K14" i="44"/>
  <c r="G14" i="44"/>
  <c r="C14" i="44"/>
  <c r="AX14" i="44"/>
  <c r="AT14" i="44"/>
  <c r="AP14" i="44"/>
  <c r="AL14" i="44"/>
  <c r="AH14" i="44"/>
  <c r="AD14" i="44"/>
  <c r="Z14" i="44"/>
  <c r="V14" i="44"/>
  <c r="R14" i="44"/>
  <c r="N14" i="44"/>
  <c r="J14" i="44"/>
  <c r="F14" i="44"/>
  <c r="BU17" i="44"/>
  <c r="BQ17" i="44"/>
  <c r="BM17" i="44"/>
  <c r="BI17" i="44"/>
  <c r="BE17" i="44"/>
  <c r="BA17" i="44"/>
  <c r="BT17" i="44"/>
  <c r="BP17" i="44"/>
  <c r="BL17" i="44"/>
  <c r="BH17" i="44"/>
  <c r="BD17" i="44"/>
  <c r="AZ17" i="44"/>
  <c r="BS17" i="44"/>
  <c r="BO17" i="44"/>
  <c r="BK17" i="44"/>
  <c r="BG17" i="44"/>
  <c r="BC17" i="44"/>
  <c r="AY17" i="44"/>
  <c r="BV17" i="44"/>
  <c r="BR17" i="44"/>
  <c r="BN17" i="44"/>
  <c r="BJ17" i="44"/>
  <c r="BF17" i="44"/>
  <c r="BB17" i="44"/>
  <c r="AW18" i="44"/>
  <c r="AS18" i="44"/>
  <c r="AO18" i="44"/>
  <c r="AK18" i="44"/>
  <c r="AG18" i="44"/>
  <c r="AC18" i="44"/>
  <c r="Y18" i="44"/>
  <c r="U18" i="44"/>
  <c r="Q18" i="44"/>
  <c r="M18" i="44"/>
  <c r="I18" i="44"/>
  <c r="E18" i="44"/>
  <c r="AV18" i="44"/>
  <c r="AR18" i="44"/>
  <c r="AN18" i="44"/>
  <c r="AJ18" i="44"/>
  <c r="AF18" i="44"/>
  <c r="AB18" i="44"/>
  <c r="X18" i="44"/>
  <c r="T18" i="44"/>
  <c r="P18" i="44"/>
  <c r="L18" i="44"/>
  <c r="H18" i="44"/>
  <c r="D18" i="44"/>
  <c r="AU18" i="44"/>
  <c r="AQ18" i="44"/>
  <c r="AM18" i="44"/>
  <c r="AI18" i="44"/>
  <c r="AE18" i="44"/>
  <c r="AA18" i="44"/>
  <c r="W18" i="44"/>
  <c r="S18" i="44"/>
  <c r="O18" i="44"/>
  <c r="K18" i="44"/>
  <c r="G18" i="44"/>
  <c r="C18" i="44"/>
  <c r="AX18" i="44"/>
  <c r="AT18" i="44"/>
  <c r="AP18" i="44"/>
  <c r="AL18" i="44"/>
  <c r="AH18" i="44"/>
  <c r="AD18" i="44"/>
  <c r="Z18" i="44"/>
  <c r="V18" i="44"/>
  <c r="R18" i="44"/>
  <c r="N18" i="44"/>
  <c r="J18" i="44"/>
  <c r="F18" i="44"/>
  <c r="BU21" i="44"/>
  <c r="BQ21" i="44"/>
  <c r="BM21" i="44"/>
  <c r="BI21" i="44"/>
  <c r="BE21" i="44"/>
  <c r="BA21" i="44"/>
  <c r="BT21" i="44"/>
  <c r="BP21" i="44"/>
  <c r="BL21" i="44"/>
  <c r="BH21" i="44"/>
  <c r="BD21" i="44"/>
  <c r="AZ21" i="44"/>
  <c r="BS21" i="44"/>
  <c r="BO21" i="44"/>
  <c r="BK21" i="44"/>
  <c r="BG21" i="44"/>
  <c r="BC21" i="44"/>
  <c r="AY21" i="44"/>
  <c r="BV21" i="44"/>
  <c r="BR21" i="44"/>
  <c r="BN21" i="44"/>
  <c r="BJ21" i="44"/>
  <c r="BF21" i="44"/>
  <c r="BB21" i="44"/>
  <c r="AW22" i="44"/>
  <c r="AS22" i="44"/>
  <c r="AO22" i="44"/>
  <c r="AK22" i="44"/>
  <c r="AG22" i="44"/>
  <c r="AC22" i="44"/>
  <c r="Y22" i="44"/>
  <c r="U22" i="44"/>
  <c r="Q22" i="44"/>
  <c r="M22" i="44"/>
  <c r="I22" i="44"/>
  <c r="E22" i="44"/>
  <c r="AV22" i="44"/>
  <c r="AR22" i="44"/>
  <c r="AN22" i="44"/>
  <c r="AJ22" i="44"/>
  <c r="AF22" i="44"/>
  <c r="AB22" i="44"/>
  <c r="X22" i="44"/>
  <c r="T22" i="44"/>
  <c r="P22" i="44"/>
  <c r="L22" i="44"/>
  <c r="H22" i="44"/>
  <c r="D22" i="44"/>
  <c r="AU22" i="44"/>
  <c r="AQ22" i="44"/>
  <c r="AM22" i="44"/>
  <c r="AI22" i="44"/>
  <c r="AE22" i="44"/>
  <c r="AA22" i="44"/>
  <c r="W22" i="44"/>
  <c r="S22" i="44"/>
  <c r="O22" i="44"/>
  <c r="K22" i="44"/>
  <c r="G22" i="44"/>
  <c r="C22" i="44"/>
  <c r="AX22" i="44"/>
  <c r="AT22" i="44"/>
  <c r="AP22" i="44"/>
  <c r="AL22" i="44"/>
  <c r="AH22" i="44"/>
  <c r="AD22" i="44"/>
  <c r="Z22" i="44"/>
  <c r="V22" i="44"/>
  <c r="R22" i="44"/>
  <c r="N22" i="44"/>
  <c r="J22" i="44"/>
  <c r="F22" i="44"/>
  <c r="BU25" i="44"/>
  <c r="BQ25" i="44"/>
  <c r="BM25" i="44"/>
  <c r="BI25" i="44"/>
  <c r="BE25" i="44"/>
  <c r="BA25" i="44"/>
  <c r="BT25" i="44"/>
  <c r="BP25" i="44"/>
  <c r="BL25" i="44"/>
  <c r="BH25" i="44"/>
  <c r="BD25" i="44"/>
  <c r="AZ25" i="44"/>
  <c r="BS25" i="44"/>
  <c r="BO25" i="44"/>
  <c r="BK25" i="44"/>
  <c r="BG25" i="44"/>
  <c r="BC25" i="44"/>
  <c r="AY25" i="44"/>
  <c r="BV25" i="44"/>
  <c r="BR25" i="44"/>
  <c r="BN25" i="44"/>
  <c r="BJ25" i="44"/>
  <c r="BF25" i="44"/>
  <c r="BB25" i="44"/>
  <c r="AW26" i="44"/>
  <c r="AS26" i="44"/>
  <c r="AO26" i="44"/>
  <c r="AK26" i="44"/>
  <c r="AG26" i="44"/>
  <c r="AC26" i="44"/>
  <c r="Y26" i="44"/>
  <c r="U26" i="44"/>
  <c r="Q26" i="44"/>
  <c r="M26" i="44"/>
  <c r="I26" i="44"/>
  <c r="E26" i="44"/>
  <c r="AV26" i="44"/>
  <c r="AR26" i="44"/>
  <c r="AN26" i="44"/>
  <c r="AJ26" i="44"/>
  <c r="AF26" i="44"/>
  <c r="AB26" i="44"/>
  <c r="X26" i="44"/>
  <c r="T26" i="44"/>
  <c r="P26" i="44"/>
  <c r="L26" i="44"/>
  <c r="H26" i="44"/>
  <c r="D26" i="44"/>
  <c r="AU26" i="44"/>
  <c r="AQ26" i="44"/>
  <c r="AM26" i="44"/>
  <c r="AI26" i="44"/>
  <c r="AE26" i="44"/>
  <c r="AA26" i="44"/>
  <c r="W26" i="44"/>
  <c r="S26" i="44"/>
  <c r="O26" i="44"/>
  <c r="K26" i="44"/>
  <c r="G26" i="44"/>
  <c r="C26" i="44"/>
  <c r="AX26" i="44"/>
  <c r="AT26" i="44"/>
  <c r="AP26" i="44"/>
  <c r="AL26" i="44"/>
  <c r="AH26" i="44"/>
  <c r="AD26" i="44"/>
  <c r="Z26" i="44"/>
  <c r="V26" i="44"/>
  <c r="R26" i="44"/>
  <c r="N26" i="44"/>
  <c r="J26" i="44"/>
  <c r="F26" i="44"/>
  <c r="BU29" i="44"/>
  <c r="BQ29" i="44"/>
  <c r="BM29" i="44"/>
  <c r="BI29" i="44"/>
  <c r="BE29" i="44"/>
  <c r="BA29" i="44"/>
  <c r="BT29" i="44"/>
  <c r="BP29" i="44"/>
  <c r="BL29" i="44"/>
  <c r="BH29" i="44"/>
  <c r="BD29" i="44"/>
  <c r="AZ29" i="44"/>
  <c r="BS29" i="44"/>
  <c r="BO29" i="44"/>
  <c r="BK29" i="44"/>
  <c r="BG29" i="44"/>
  <c r="BC29" i="44"/>
  <c r="AY29" i="44"/>
  <c r="BV29" i="44"/>
  <c r="BR29" i="44"/>
  <c r="BN29" i="44"/>
  <c r="BJ29" i="44"/>
  <c r="BF29" i="44"/>
  <c r="BB29" i="44"/>
  <c r="AW30" i="44"/>
  <c r="AS30" i="44"/>
  <c r="AO30" i="44"/>
  <c r="AK30" i="44"/>
  <c r="AG30" i="44"/>
  <c r="AC30" i="44"/>
  <c r="Y30" i="44"/>
  <c r="U30" i="44"/>
  <c r="Q30" i="44"/>
  <c r="M30" i="44"/>
  <c r="I30" i="44"/>
  <c r="E30" i="44"/>
  <c r="AV30" i="44"/>
  <c r="AR30" i="44"/>
  <c r="AN30" i="44"/>
  <c r="AJ30" i="44"/>
  <c r="AF30" i="44"/>
  <c r="AB30" i="44"/>
  <c r="X30" i="44"/>
  <c r="T30" i="44"/>
  <c r="P30" i="44"/>
  <c r="L30" i="44"/>
  <c r="H30" i="44"/>
  <c r="D30" i="44"/>
  <c r="AU30" i="44"/>
  <c r="AQ30" i="44"/>
  <c r="AM30" i="44"/>
  <c r="AI30" i="44"/>
  <c r="AE30" i="44"/>
  <c r="AA30" i="44"/>
  <c r="W30" i="44"/>
  <c r="S30" i="44"/>
  <c r="O30" i="44"/>
  <c r="K30" i="44"/>
  <c r="G30" i="44"/>
  <c r="C30" i="44"/>
  <c r="AX30" i="44"/>
  <c r="AT30" i="44"/>
  <c r="AP30" i="44"/>
  <c r="AL30" i="44"/>
  <c r="AH30" i="44"/>
  <c r="AD30" i="44"/>
  <c r="Z30" i="44"/>
  <c r="V30" i="44"/>
  <c r="R30" i="44"/>
  <c r="N30" i="44"/>
  <c r="J30" i="44"/>
  <c r="F30" i="44"/>
  <c r="C2" i="44"/>
  <c r="G2" i="44"/>
  <c r="K2" i="44"/>
  <c r="O2" i="44"/>
  <c r="S2" i="44"/>
  <c r="W2" i="44"/>
  <c r="AA2" i="44"/>
  <c r="AE2" i="44"/>
  <c r="AI2" i="44"/>
  <c r="AM2" i="44"/>
  <c r="AS2" i="44"/>
  <c r="BA2" i="44"/>
  <c r="BI2" i="44"/>
  <c r="BQ2" i="44"/>
  <c r="CF13" i="38"/>
  <c r="CF2" i="38"/>
  <c r="CF6" i="38"/>
  <c r="CF10" i="38"/>
  <c r="CF30" i="38"/>
  <c r="CF15" i="38"/>
  <c r="CF19" i="38"/>
  <c r="CF16" i="38"/>
  <c r="CF20" i="38"/>
  <c r="CF24" i="38"/>
  <c r="CF28" i="38"/>
  <c r="CF21" i="38"/>
  <c r="CF29" i="38"/>
  <c r="X48" i="29" l="1"/>
  <c r="K31" i="18"/>
  <c r="AU48" i="29"/>
  <c r="T48" i="41"/>
  <c r="AT48" i="41"/>
  <c r="AQ45" i="29"/>
  <c r="AG45" i="29"/>
  <c r="AJ48" i="29"/>
  <c r="AX48" i="41"/>
  <c r="AA63" i="37"/>
  <c r="U45" i="37"/>
  <c r="AG31" i="29"/>
  <c r="AH48" i="29"/>
  <c r="G48" i="41"/>
  <c r="D48" i="18"/>
  <c r="F48" i="41"/>
  <c r="AZ48" i="41"/>
  <c r="AJ48" i="41"/>
  <c r="AW48" i="41"/>
  <c r="AL48" i="41"/>
  <c r="AK48" i="41"/>
  <c r="M48" i="18"/>
  <c r="V48" i="41"/>
  <c r="AL63" i="41"/>
  <c r="AY31" i="41"/>
  <c r="T48" i="29"/>
  <c r="E45" i="41"/>
  <c r="AO48" i="41"/>
  <c r="AI48" i="41"/>
  <c r="AR31" i="41"/>
  <c r="Z48" i="41"/>
  <c r="J48" i="29"/>
  <c r="F63" i="18"/>
  <c r="P48" i="41"/>
  <c r="N48" i="41"/>
  <c r="AD31" i="5"/>
  <c r="H48" i="18"/>
  <c r="AB48" i="37"/>
  <c r="AK48" i="29"/>
  <c r="AF63" i="5"/>
  <c r="AW48" i="29"/>
  <c r="AQ45" i="41"/>
  <c r="AD48" i="29"/>
  <c r="L48" i="41"/>
  <c r="Y31" i="41"/>
  <c r="N48" i="29"/>
  <c r="S48" i="41"/>
  <c r="J48" i="41"/>
  <c r="AE48" i="41"/>
  <c r="AQ31" i="29"/>
  <c r="AU48" i="41"/>
  <c r="AM48" i="29"/>
  <c r="V48" i="29"/>
  <c r="AV48" i="41"/>
  <c r="H63" i="29"/>
  <c r="AR48" i="29"/>
  <c r="AS48" i="41"/>
  <c r="AD48" i="41"/>
  <c r="AB15" i="41"/>
  <c r="G48" i="29"/>
  <c r="AB2" i="41"/>
  <c r="AM48" i="41"/>
  <c r="C66" i="29"/>
  <c r="C52" i="29"/>
  <c r="AB72" i="29"/>
  <c r="AB58" i="29"/>
  <c r="AB52" i="29"/>
  <c r="AB66" i="29"/>
  <c r="E74" i="29"/>
  <c r="E60" i="29"/>
  <c r="U65" i="37"/>
  <c r="U51" i="37"/>
  <c r="AN64" i="41"/>
  <c r="AN50" i="41"/>
  <c r="I64" i="29"/>
  <c r="I50" i="29"/>
  <c r="E68" i="29"/>
  <c r="E54" i="29"/>
  <c r="E64" i="29"/>
  <c r="E50" i="29"/>
  <c r="E69" i="29"/>
  <c r="E55" i="29"/>
  <c r="G67" i="18"/>
  <c r="G53" i="18"/>
  <c r="U75" i="37"/>
  <c r="U61" i="37"/>
  <c r="AN74" i="41"/>
  <c r="AN60" i="41"/>
  <c r="AG71" i="29"/>
  <c r="AG57" i="29"/>
  <c r="AN66" i="29"/>
  <c r="AN52" i="29"/>
  <c r="M73" i="29"/>
  <c r="M59" i="29"/>
  <c r="G55" i="18"/>
  <c r="G69" i="18"/>
  <c r="O59" i="41"/>
  <c r="O73" i="41"/>
  <c r="C14" i="29"/>
  <c r="C34" i="29" s="1"/>
  <c r="D34" i="29"/>
  <c r="C12" i="29"/>
  <c r="D74" i="29"/>
  <c r="D60" i="29"/>
  <c r="I73" i="29"/>
  <c r="I59" i="29"/>
  <c r="I73" i="41"/>
  <c r="I59" i="41"/>
  <c r="O61" i="41"/>
  <c r="O75" i="41"/>
  <c r="D54" i="41"/>
  <c r="C54" i="41" s="1"/>
  <c r="C9" i="41"/>
  <c r="D68" i="41"/>
  <c r="C68" i="41" s="1"/>
  <c r="O67" i="29"/>
  <c r="O53" i="29"/>
  <c r="AQ72" i="41"/>
  <c r="AQ58" i="41"/>
  <c r="AQ64" i="29"/>
  <c r="AQ50" i="29"/>
  <c r="AQ65" i="29"/>
  <c r="AQ51" i="29"/>
  <c r="Q52" i="41"/>
  <c r="Q66" i="41"/>
  <c r="M50" i="41"/>
  <c r="M64" i="41"/>
  <c r="K72" i="18"/>
  <c r="K58" i="18"/>
  <c r="W62" i="41"/>
  <c r="W76" i="41"/>
  <c r="C48" i="37"/>
  <c r="G63" i="41"/>
  <c r="M55" i="41"/>
  <c r="M69" i="41"/>
  <c r="AY71" i="41"/>
  <c r="AB71" i="41" s="1"/>
  <c r="AY57" i="41"/>
  <c r="AB57" i="41" s="1"/>
  <c r="M63" i="18"/>
  <c r="AY31" i="29"/>
  <c r="AB8" i="29"/>
  <c r="AB41" i="29" s="1"/>
  <c r="K45" i="18"/>
  <c r="Q53" i="41"/>
  <c r="Q67" i="41"/>
  <c r="AF71" i="41"/>
  <c r="AF57" i="41"/>
  <c r="W71" i="29"/>
  <c r="W57" i="29"/>
  <c r="AA48" i="37"/>
  <c r="M51" i="41"/>
  <c r="M65" i="41"/>
  <c r="K53" i="18"/>
  <c r="K67" i="18"/>
  <c r="AX63" i="29"/>
  <c r="K67" i="29"/>
  <c r="K53" i="29"/>
  <c r="C63" i="37"/>
  <c r="AB75" i="29"/>
  <c r="AB61" i="29"/>
  <c r="X63" i="5"/>
  <c r="Z66" i="5"/>
  <c r="Z63" i="5" s="1"/>
  <c r="M70" i="29"/>
  <c r="M56" i="29"/>
  <c r="K69" i="18"/>
  <c r="K55" i="18"/>
  <c r="E60" i="41"/>
  <c r="E74" i="41"/>
  <c r="AC48" i="41"/>
  <c r="AB49" i="41"/>
  <c r="E73" i="29"/>
  <c r="E59" i="29"/>
  <c r="U67" i="29"/>
  <c r="U53" i="29"/>
  <c r="E70" i="29"/>
  <c r="E56" i="29"/>
  <c r="E57" i="41"/>
  <c r="E71" i="41"/>
  <c r="AD70" i="5"/>
  <c r="AD56" i="5"/>
  <c r="AG65" i="41"/>
  <c r="AG51" i="41"/>
  <c r="U66" i="37"/>
  <c r="U52" i="37"/>
  <c r="U72" i="37"/>
  <c r="U58" i="37"/>
  <c r="AQ64" i="41"/>
  <c r="AQ50" i="41"/>
  <c r="G68" i="18"/>
  <c r="G54" i="18"/>
  <c r="O65" i="29"/>
  <c r="O51" i="29"/>
  <c r="D50" i="41"/>
  <c r="D64" i="41"/>
  <c r="C25" i="41"/>
  <c r="O62" i="29"/>
  <c r="O76" i="29"/>
  <c r="O31" i="41"/>
  <c r="I31" i="29"/>
  <c r="I62" i="29"/>
  <c r="I76" i="29"/>
  <c r="O72" i="29"/>
  <c r="O58" i="29"/>
  <c r="O50" i="41"/>
  <c r="O64" i="41"/>
  <c r="C5" i="29"/>
  <c r="D67" i="29"/>
  <c r="D53" i="29"/>
  <c r="D61" i="41"/>
  <c r="C61" i="41" s="1"/>
  <c r="D75" i="41"/>
  <c r="C75" i="41" s="1"/>
  <c r="C18" i="41"/>
  <c r="O73" i="29"/>
  <c r="O59" i="29"/>
  <c r="AQ60" i="29"/>
  <c r="AQ74" i="29"/>
  <c r="AG70" i="29"/>
  <c r="AG56" i="29"/>
  <c r="AG73" i="41"/>
  <c r="AG59" i="41"/>
  <c r="AQ75" i="41"/>
  <c r="AQ61" i="41"/>
  <c r="J48" i="18"/>
  <c r="AA57" i="41"/>
  <c r="C57" i="41" s="1"/>
  <c r="AA71" i="41"/>
  <c r="C71" i="41" s="1"/>
  <c r="M60" i="41"/>
  <c r="M74" i="41"/>
  <c r="AY72" i="29"/>
  <c r="AY58" i="29"/>
  <c r="K65" i="29"/>
  <c r="K51" i="29"/>
  <c r="K70" i="29"/>
  <c r="K56" i="29"/>
  <c r="W52" i="41"/>
  <c r="W66" i="41"/>
  <c r="AY62" i="29"/>
  <c r="AY76" i="29"/>
  <c r="AK63" i="41"/>
  <c r="Y71" i="18"/>
  <c r="Y57" i="18"/>
  <c r="P63" i="41"/>
  <c r="AB51" i="29"/>
  <c r="AB65" i="29"/>
  <c r="M56" i="41"/>
  <c r="M70" i="41"/>
  <c r="E48" i="18"/>
  <c r="AW63" i="29"/>
  <c r="AC31" i="29"/>
  <c r="AF72" i="41"/>
  <c r="AF58" i="41"/>
  <c r="AI63" i="41"/>
  <c r="Q58" i="41"/>
  <c r="Q72" i="41"/>
  <c r="AT63" i="41"/>
  <c r="Q71" i="29"/>
  <c r="Q57" i="29"/>
  <c r="AV63" i="41"/>
  <c r="K64" i="18"/>
  <c r="K50" i="18"/>
  <c r="K56" i="41"/>
  <c r="K70" i="41"/>
  <c r="Q62" i="41"/>
  <c r="Q76" i="41"/>
  <c r="AY45" i="29"/>
  <c r="BS69" i="18"/>
  <c r="BS63" i="18" s="1"/>
  <c r="BS55" i="18"/>
  <c r="AY64" i="41"/>
  <c r="AY50" i="41"/>
  <c r="AB50" i="41" s="1"/>
  <c r="K60" i="41"/>
  <c r="K74" i="41"/>
  <c r="O52" i="41"/>
  <c r="O66" i="41"/>
  <c r="K59" i="41"/>
  <c r="K73" i="41"/>
  <c r="AA50" i="41"/>
  <c r="AA64" i="41"/>
  <c r="E76" i="29"/>
  <c r="E62" i="29"/>
  <c r="AG68" i="41"/>
  <c r="AG54" i="41"/>
  <c r="U59" i="37"/>
  <c r="U73" i="37"/>
  <c r="AN73" i="41"/>
  <c r="AN59" i="41"/>
  <c r="AN76" i="29"/>
  <c r="AN62" i="29"/>
  <c r="AA73" i="29"/>
  <c r="AA59" i="29"/>
  <c r="O71" i="29"/>
  <c r="O57" i="29"/>
  <c r="C13" i="41"/>
  <c r="D33" i="41"/>
  <c r="C33" i="41" s="1"/>
  <c r="I72" i="41"/>
  <c r="I58" i="41"/>
  <c r="C16" i="29"/>
  <c r="D72" i="29"/>
  <c r="D58" i="29"/>
  <c r="O75" i="29"/>
  <c r="O61" i="29"/>
  <c r="C22" i="41"/>
  <c r="D37" i="41"/>
  <c r="C37" i="41" s="1"/>
  <c r="O54" i="29"/>
  <c r="O68" i="29"/>
  <c r="O45" i="29"/>
  <c r="O60" i="41"/>
  <c r="O74" i="41"/>
  <c r="C7" i="41"/>
  <c r="D59" i="41"/>
  <c r="D73" i="41"/>
  <c r="AD64" i="5"/>
  <c r="AD50" i="5"/>
  <c r="AQ69" i="41"/>
  <c r="AQ55" i="41"/>
  <c r="AG72" i="29"/>
  <c r="AG58" i="29"/>
  <c r="AQ31" i="41"/>
  <c r="L52" i="38"/>
  <c r="L64" i="18"/>
  <c r="L50" i="18"/>
  <c r="Z63" i="41"/>
  <c r="W66" i="29"/>
  <c r="W52" i="29"/>
  <c r="Q76" i="29"/>
  <c r="Q62" i="29"/>
  <c r="AX63" i="41"/>
  <c r="Q31" i="29"/>
  <c r="Y67" i="18"/>
  <c r="Y53" i="18"/>
  <c r="M69" i="29"/>
  <c r="M55" i="29"/>
  <c r="AA62" i="41"/>
  <c r="AA76" i="41"/>
  <c r="E63" i="18"/>
  <c r="N63" i="41"/>
  <c r="C48" i="5"/>
  <c r="AB3" i="41"/>
  <c r="K73" i="18"/>
  <c r="K59" i="18"/>
  <c r="AB3" i="29"/>
  <c r="AB32" i="29" s="1"/>
  <c r="AA31" i="41"/>
  <c r="W55" i="41"/>
  <c r="W69" i="41"/>
  <c r="AB25" i="41"/>
  <c r="K71" i="29"/>
  <c r="K57" i="29"/>
  <c r="AB73" i="29"/>
  <c r="AB59" i="29"/>
  <c r="W31" i="41"/>
  <c r="K76" i="18"/>
  <c r="K62" i="18"/>
  <c r="AB28" i="29"/>
  <c r="AB43" i="29" s="1"/>
  <c r="AD63" i="41"/>
  <c r="K52" i="41"/>
  <c r="K66" i="41"/>
  <c r="AA45" i="41"/>
  <c r="C2" i="29"/>
  <c r="C38" i="29" s="1"/>
  <c r="D38" i="29"/>
  <c r="Z73" i="29"/>
  <c r="Z59" i="29"/>
  <c r="Z48" i="29" s="1"/>
  <c r="P68" i="29"/>
  <c r="P54" i="29"/>
  <c r="AG75" i="29"/>
  <c r="AG61" i="29"/>
  <c r="U60" i="37"/>
  <c r="U74" i="37"/>
  <c r="AN55" i="29"/>
  <c r="AN69" i="29"/>
  <c r="AN65" i="29"/>
  <c r="AN51" i="29"/>
  <c r="AN76" i="41"/>
  <c r="AN62" i="41"/>
  <c r="G76" i="18"/>
  <c r="G62" i="18"/>
  <c r="AN72" i="29"/>
  <c r="AN58" i="29"/>
  <c r="AF74" i="29"/>
  <c r="AF60" i="29"/>
  <c r="G57" i="18"/>
  <c r="G71" i="18"/>
  <c r="I71" i="41"/>
  <c r="I57" i="41"/>
  <c r="C2" i="41"/>
  <c r="D38" i="41"/>
  <c r="C38" i="41" s="1"/>
  <c r="I64" i="41"/>
  <c r="I50" i="41"/>
  <c r="C11" i="41"/>
  <c r="D39" i="41"/>
  <c r="C39" i="41" s="1"/>
  <c r="O56" i="41"/>
  <c r="O70" i="41"/>
  <c r="C19" i="41"/>
  <c r="D42" i="41"/>
  <c r="C42" i="41" s="1"/>
  <c r="C24" i="29"/>
  <c r="D55" i="29"/>
  <c r="D69" i="29"/>
  <c r="AD53" i="5"/>
  <c r="AD67" i="5"/>
  <c r="I66" i="41"/>
  <c r="I52" i="41"/>
  <c r="AQ67" i="29"/>
  <c r="AQ53" i="29"/>
  <c r="BQ63" i="18"/>
  <c r="AH63" i="41"/>
  <c r="L76" i="18"/>
  <c r="L62" i="18"/>
  <c r="AB35" i="41"/>
  <c r="AF52" i="41"/>
  <c r="AF66" i="41"/>
  <c r="M60" i="29"/>
  <c r="M74" i="29"/>
  <c r="AA52" i="41"/>
  <c r="AA66" i="41"/>
  <c r="Y56" i="18"/>
  <c r="Y70" i="18"/>
  <c r="L63" i="41"/>
  <c r="C17" i="41"/>
  <c r="AB32" i="41"/>
  <c r="AC31" i="41"/>
  <c r="AB31" i="41" s="1"/>
  <c r="AA67" i="29"/>
  <c r="AA53" i="29"/>
  <c r="AA72" i="29"/>
  <c r="AA58" i="29"/>
  <c r="AO63" i="41"/>
  <c r="W53" i="41"/>
  <c r="W67" i="41"/>
  <c r="Q69" i="29"/>
  <c r="Q55" i="29"/>
  <c r="AM63" i="41"/>
  <c r="AF64" i="29"/>
  <c r="AF50" i="29"/>
  <c r="I63" i="18"/>
  <c r="AE63" i="41"/>
  <c r="AA55" i="41"/>
  <c r="AA69" i="41"/>
  <c r="AF75" i="41"/>
  <c r="AF61" i="41"/>
  <c r="Q61" i="41"/>
  <c r="Q75" i="41"/>
  <c r="K62" i="29"/>
  <c r="K76" i="29"/>
  <c r="F63" i="41"/>
  <c r="AY75" i="41"/>
  <c r="AB75" i="41" s="1"/>
  <c r="AY61" i="41"/>
  <c r="K50" i="29"/>
  <c r="K64" i="29"/>
  <c r="W61" i="41"/>
  <c r="W75" i="41"/>
  <c r="AV63" i="29"/>
  <c r="W72" i="29"/>
  <c r="W58" i="29"/>
  <c r="K57" i="41"/>
  <c r="K71" i="41"/>
  <c r="E71" i="29"/>
  <c r="E57" i="29"/>
  <c r="E56" i="41"/>
  <c r="E70" i="41"/>
  <c r="E67" i="29"/>
  <c r="E53" i="29"/>
  <c r="AD76" i="5"/>
  <c r="AD62" i="5"/>
  <c r="E75" i="29"/>
  <c r="E61" i="29"/>
  <c r="U76" i="37"/>
  <c r="U62" i="37"/>
  <c r="U31" i="37"/>
  <c r="AN60" i="29"/>
  <c r="AN74" i="29"/>
  <c r="AN71" i="29"/>
  <c r="AN57" i="29"/>
  <c r="AQ75" i="29"/>
  <c r="AQ61" i="29"/>
  <c r="AN75" i="41"/>
  <c r="AN61" i="41"/>
  <c r="AY53" i="29"/>
  <c r="AY67" i="29"/>
  <c r="AD57" i="5"/>
  <c r="AD71" i="5"/>
  <c r="I68" i="29"/>
  <c r="I54" i="29"/>
  <c r="C19" i="29"/>
  <c r="C42" i="29" s="1"/>
  <c r="D42" i="29"/>
  <c r="C13" i="29"/>
  <c r="C33" i="29" s="1"/>
  <c r="D33" i="29"/>
  <c r="I68" i="41"/>
  <c r="I54" i="41"/>
  <c r="C10" i="29"/>
  <c r="C46" i="29" s="1"/>
  <c r="D46" i="29"/>
  <c r="C28" i="29"/>
  <c r="C43" i="29" s="1"/>
  <c r="D43" i="29"/>
  <c r="C8" i="41"/>
  <c r="D41" i="41"/>
  <c r="C41" i="41" s="1"/>
  <c r="I67" i="29"/>
  <c r="I53" i="29"/>
  <c r="AQ76" i="29"/>
  <c r="AQ62" i="29"/>
  <c r="AZ67" i="29"/>
  <c r="AZ53" i="29"/>
  <c r="Y66" i="38"/>
  <c r="AF73" i="29"/>
  <c r="AF59" i="29"/>
  <c r="AY68" i="41"/>
  <c r="AB68" i="41" s="1"/>
  <c r="AY54" i="41"/>
  <c r="U63" i="29"/>
  <c r="AY69" i="41"/>
  <c r="AB69" i="41" s="1"/>
  <c r="AY55" i="41"/>
  <c r="AB55" i="41" s="1"/>
  <c r="AP63" i="41"/>
  <c r="Q58" i="29"/>
  <c r="Q72" i="29"/>
  <c r="AB30" i="41"/>
  <c r="Y73" i="18"/>
  <c r="Y59" i="18"/>
  <c r="AF31" i="41"/>
  <c r="AJ63" i="41"/>
  <c r="C11" i="29"/>
  <c r="C39" i="29" s="1"/>
  <c r="AL63" i="29"/>
  <c r="AF48" i="5"/>
  <c r="C66" i="41"/>
  <c r="AY74" i="41"/>
  <c r="AB74" i="41" s="1"/>
  <c r="AY60" i="41"/>
  <c r="J63" i="29"/>
  <c r="Q74" i="29"/>
  <c r="Q60" i="29"/>
  <c r="AC63" i="41"/>
  <c r="AB64" i="41"/>
  <c r="Q70" i="29"/>
  <c r="Q56" i="29"/>
  <c r="D63" i="18"/>
  <c r="AH63" i="29"/>
  <c r="AO72" i="29"/>
  <c r="AO63" i="29" s="1"/>
  <c r="AO58" i="29"/>
  <c r="AO48" i="29" s="1"/>
  <c r="R63" i="41"/>
  <c r="L63" i="29"/>
  <c r="AB46" i="41"/>
  <c r="AC45" i="41"/>
  <c r="J63" i="41"/>
  <c r="Y57" i="41"/>
  <c r="Y71" i="41"/>
  <c r="AY70" i="29"/>
  <c r="AY56" i="29"/>
  <c r="Q67" i="29"/>
  <c r="Q53" i="29"/>
  <c r="C26" i="29"/>
  <c r="C36" i="29" s="1"/>
  <c r="D36" i="29"/>
  <c r="K62" i="41"/>
  <c r="K76" i="41"/>
  <c r="AY65" i="41"/>
  <c r="AB65" i="41" s="1"/>
  <c r="AY51" i="41"/>
  <c r="AB51" i="41" s="1"/>
  <c r="Q64" i="29"/>
  <c r="Q50" i="29"/>
  <c r="E66" i="29"/>
  <c r="E52" i="29"/>
  <c r="E59" i="41"/>
  <c r="E73" i="41"/>
  <c r="E58" i="41"/>
  <c r="E72" i="41"/>
  <c r="AN67" i="29"/>
  <c r="AN53" i="29"/>
  <c r="G52" i="18"/>
  <c r="G66" i="18"/>
  <c r="G63" i="18" s="1"/>
  <c r="AJ53" i="29"/>
  <c r="AJ67" i="29"/>
  <c r="AN72" i="41"/>
  <c r="AN58" i="41"/>
  <c r="U31" i="29"/>
  <c r="I51" i="29"/>
  <c r="I65" i="29"/>
  <c r="I76" i="41"/>
  <c r="I62" i="41"/>
  <c r="I69" i="41"/>
  <c r="I55" i="41"/>
  <c r="O62" i="41"/>
  <c r="O76" i="41"/>
  <c r="C6" i="29"/>
  <c r="C47" i="29" s="1"/>
  <c r="D47" i="29"/>
  <c r="C25" i="29"/>
  <c r="D50" i="29"/>
  <c r="D64" i="29"/>
  <c r="O45" i="41"/>
  <c r="C28" i="41"/>
  <c r="D43" i="41"/>
  <c r="C43" i="41" s="1"/>
  <c r="AF68" i="29"/>
  <c r="AF54" i="29"/>
  <c r="AQ70" i="29"/>
  <c r="AQ56" i="29"/>
  <c r="H48" i="38"/>
  <c r="AY71" i="29"/>
  <c r="AY57" i="29"/>
  <c r="K52" i="18"/>
  <c r="K66" i="18"/>
  <c r="Y52" i="41"/>
  <c r="Y66" i="41"/>
  <c r="Y68" i="18"/>
  <c r="Y54" i="18"/>
  <c r="AA76" i="29"/>
  <c r="AA62" i="29"/>
  <c r="Y69" i="18"/>
  <c r="Y55" i="18"/>
  <c r="P48" i="29"/>
  <c r="AZ63" i="29"/>
  <c r="AB63" i="37"/>
  <c r="K74" i="18"/>
  <c r="K60" i="18"/>
  <c r="AF75" i="29"/>
  <c r="AF61" i="29"/>
  <c r="S63" i="29"/>
  <c r="AA52" i="29"/>
  <c r="AA66" i="29"/>
  <c r="Y31" i="18"/>
  <c r="W50" i="41"/>
  <c r="W64" i="41"/>
  <c r="K31" i="41"/>
  <c r="C52" i="41"/>
  <c r="V63" i="29"/>
  <c r="AB5" i="29"/>
  <c r="K74" i="29"/>
  <c r="K60" i="29"/>
  <c r="Q45" i="29"/>
  <c r="F63" i="29"/>
  <c r="W57" i="41"/>
  <c r="W71" i="41"/>
  <c r="AB10" i="41"/>
  <c r="AS63" i="41"/>
  <c r="Q66" i="29"/>
  <c r="Q52" i="29"/>
  <c r="M31" i="41"/>
  <c r="AG73" i="29"/>
  <c r="AG59" i="29"/>
  <c r="U64" i="37"/>
  <c r="U50" i="37"/>
  <c r="U70" i="37"/>
  <c r="U56" i="37"/>
  <c r="AN71" i="41"/>
  <c r="AN57" i="41"/>
  <c r="AN75" i="29"/>
  <c r="AN61" i="29"/>
  <c r="AG69" i="29"/>
  <c r="AG55" i="29"/>
  <c r="AE68" i="29"/>
  <c r="AE63" i="29" s="1"/>
  <c r="AE54" i="29"/>
  <c r="AE48" i="29" s="1"/>
  <c r="D62" i="41"/>
  <c r="C62" i="41" s="1"/>
  <c r="D76" i="41"/>
  <c r="C76" i="41" s="1"/>
  <c r="C27" i="41"/>
  <c r="I74" i="41"/>
  <c r="I60" i="41"/>
  <c r="O53" i="41"/>
  <c r="O67" i="41"/>
  <c r="D55" i="41"/>
  <c r="C55" i="41" s="1"/>
  <c r="D69" i="41"/>
  <c r="C69" i="41" s="1"/>
  <c r="C24" i="41"/>
  <c r="I75" i="29"/>
  <c r="I61" i="29"/>
  <c r="O58" i="41"/>
  <c r="O72" i="41"/>
  <c r="I72" i="29"/>
  <c r="I58" i="29"/>
  <c r="O55" i="41"/>
  <c r="O69" i="41"/>
  <c r="O64" i="29"/>
  <c r="O50" i="29"/>
  <c r="D58" i="41"/>
  <c r="D72" i="41"/>
  <c r="C16" i="41"/>
  <c r="C3" i="29"/>
  <c r="C32" i="29" s="1"/>
  <c r="D32" i="29"/>
  <c r="AQ69" i="29"/>
  <c r="AQ55" i="29"/>
  <c r="AR64" i="41"/>
  <c r="AR50" i="41"/>
  <c r="AQ70" i="41"/>
  <c r="AQ56" i="41"/>
  <c r="Y56" i="41"/>
  <c r="Y70" i="41"/>
  <c r="Q56" i="41"/>
  <c r="Q70" i="41"/>
  <c r="AY66" i="29"/>
  <c r="AY52" i="29"/>
  <c r="AY48" i="29" s="1"/>
  <c r="K75" i="18"/>
  <c r="K61" i="18"/>
  <c r="W74" i="29"/>
  <c r="W60" i="29"/>
  <c r="AR63" i="29"/>
  <c r="AB69" i="29"/>
  <c r="AB55" i="29"/>
  <c r="AA59" i="41"/>
  <c r="AA73" i="41"/>
  <c r="AB6" i="29"/>
  <c r="AB47" i="29" s="1"/>
  <c r="AB45" i="29" s="1"/>
  <c r="AF65" i="41"/>
  <c r="AF51" i="41"/>
  <c r="AF56" i="41"/>
  <c r="AF70" i="41"/>
  <c r="AB2" i="29"/>
  <c r="AB38" i="29" s="1"/>
  <c r="T63" i="41"/>
  <c r="N63" i="29"/>
  <c r="X48" i="5"/>
  <c r="Z54" i="5"/>
  <c r="Z48" i="5" s="1"/>
  <c r="AW63" i="41"/>
  <c r="Y50" i="41"/>
  <c r="Y64" i="41"/>
  <c r="AB70" i="29"/>
  <c r="AB56" i="29"/>
  <c r="AF66" i="29"/>
  <c r="AF52" i="29"/>
  <c r="AF48" i="29" s="1"/>
  <c r="AY69" i="29"/>
  <c r="AY55" i="29"/>
  <c r="AB14" i="29"/>
  <c r="AB34" i="29" s="1"/>
  <c r="AM63" i="29"/>
  <c r="W68" i="29"/>
  <c r="W54" i="29"/>
  <c r="L72" i="18"/>
  <c r="L58" i="18"/>
  <c r="AB29" i="29"/>
  <c r="AA58" i="41"/>
  <c r="AA72" i="41"/>
  <c r="Y74" i="18"/>
  <c r="Y60" i="18"/>
  <c r="L68" i="18"/>
  <c r="L54" i="18"/>
  <c r="M76" i="29"/>
  <c r="M62" i="29"/>
  <c r="AN65" i="41"/>
  <c r="AN51" i="41"/>
  <c r="E31" i="41"/>
  <c r="AG64" i="41"/>
  <c r="AG50" i="41"/>
  <c r="E51" i="41"/>
  <c r="E65" i="41"/>
  <c r="E50" i="41"/>
  <c r="E64" i="41"/>
  <c r="AN73" i="29"/>
  <c r="AN59" i="29"/>
  <c r="AN68" i="41"/>
  <c r="AN54" i="41"/>
  <c r="AG75" i="41"/>
  <c r="AG61" i="41"/>
  <c r="AN70" i="29"/>
  <c r="AN56" i="29"/>
  <c r="AG68" i="29"/>
  <c r="AG63" i="29" s="1"/>
  <c r="AG54" i="29"/>
  <c r="G70" i="18"/>
  <c r="G56" i="18"/>
  <c r="G64" i="18"/>
  <c r="G50" i="18"/>
  <c r="C15" i="41"/>
  <c r="D44" i="41"/>
  <c r="C44" i="41" s="1"/>
  <c r="C26" i="41"/>
  <c r="D36" i="41"/>
  <c r="C36" i="41" s="1"/>
  <c r="O70" i="29"/>
  <c r="O56" i="29"/>
  <c r="D60" i="41"/>
  <c r="D74" i="41"/>
  <c r="C12" i="41"/>
  <c r="C4" i="29"/>
  <c r="C40" i="29" s="1"/>
  <c r="D40" i="29"/>
  <c r="D51" i="41"/>
  <c r="C21" i="41"/>
  <c r="D65" i="41"/>
  <c r="C7" i="29"/>
  <c r="D59" i="29"/>
  <c r="D73" i="29"/>
  <c r="O51" i="41"/>
  <c r="O65" i="41"/>
  <c r="O31" i="29"/>
  <c r="D53" i="41"/>
  <c r="D67" i="41"/>
  <c r="C5" i="41"/>
  <c r="AQ66" i="41"/>
  <c r="AQ52" i="41"/>
  <c r="AG72" i="41"/>
  <c r="AG58" i="41"/>
  <c r="AQ76" i="41"/>
  <c r="AQ62" i="41"/>
  <c r="AR53" i="41"/>
  <c r="AR67" i="41"/>
  <c r="AQ67" i="41"/>
  <c r="AQ53" i="41"/>
  <c r="AQ73" i="29"/>
  <c r="AQ59" i="29"/>
  <c r="R63" i="29"/>
  <c r="Y70" i="29"/>
  <c r="Y56" i="29"/>
  <c r="Q75" i="29"/>
  <c r="Q61" i="29"/>
  <c r="Y62" i="18"/>
  <c r="Y76" i="18"/>
  <c r="W51" i="41"/>
  <c r="W65" i="41"/>
  <c r="Y76" i="29"/>
  <c r="Y62" i="29"/>
  <c r="AA70" i="29"/>
  <c r="AA56" i="29"/>
  <c r="AF67" i="41"/>
  <c r="AF53" i="41"/>
  <c r="W54" i="41"/>
  <c r="W68" i="41"/>
  <c r="AU63" i="41"/>
  <c r="M64" i="29"/>
  <c r="M50" i="29"/>
  <c r="K58" i="41"/>
  <c r="K72" i="41"/>
  <c r="T63" i="29"/>
  <c r="Y53" i="41"/>
  <c r="Y67" i="41"/>
  <c r="L71" i="18"/>
  <c r="L57" i="18"/>
  <c r="M67" i="29"/>
  <c r="M53" i="29"/>
  <c r="K50" i="41"/>
  <c r="K64" i="41"/>
  <c r="M57" i="41"/>
  <c r="M71" i="41"/>
  <c r="AY74" i="29"/>
  <c r="AY60" i="29"/>
  <c r="DI48" i="18"/>
  <c r="K55" i="41"/>
  <c r="K69" i="41"/>
  <c r="K72" i="29"/>
  <c r="K58" i="29"/>
  <c r="AB12" i="29"/>
  <c r="C6" i="41"/>
  <c r="AF70" i="29"/>
  <c r="AF56" i="29"/>
  <c r="AB26" i="29"/>
  <c r="AB36" i="29" s="1"/>
  <c r="Q31" i="41"/>
  <c r="AY62" i="41"/>
  <c r="AB62" i="41" s="1"/>
  <c r="AY76" i="41"/>
  <c r="AB76" i="41" s="1"/>
  <c r="V63" i="41"/>
  <c r="M31" i="29"/>
  <c r="AY72" i="41"/>
  <c r="AB72" i="41" s="1"/>
  <c r="AY58" i="41"/>
  <c r="AB58" i="41" s="1"/>
  <c r="AA64" i="29"/>
  <c r="AA50" i="29"/>
  <c r="AN66" i="41"/>
  <c r="AN52" i="41"/>
  <c r="AS63" i="29"/>
  <c r="L74" i="18"/>
  <c r="L60" i="18"/>
  <c r="AI63" i="29"/>
  <c r="X63" i="29"/>
  <c r="H63" i="18"/>
  <c r="Y65" i="18"/>
  <c r="Y51" i="18"/>
  <c r="E54" i="41"/>
  <c r="E68" i="41"/>
  <c r="AD59" i="5"/>
  <c r="AD73" i="5"/>
  <c r="E51" i="29"/>
  <c r="E65" i="29"/>
  <c r="E61" i="41"/>
  <c r="E75" i="41"/>
  <c r="E45" i="29"/>
  <c r="U68" i="37"/>
  <c r="U54" i="37"/>
  <c r="AG31" i="41"/>
  <c r="AQ65" i="41"/>
  <c r="AQ51" i="41"/>
  <c r="G65" i="18"/>
  <c r="G51" i="18"/>
  <c r="D40" i="41"/>
  <c r="C40" i="41" s="1"/>
  <c r="C4" i="41"/>
  <c r="C30" i="41"/>
  <c r="D35" i="41"/>
  <c r="C35" i="41" s="1"/>
  <c r="I56" i="29"/>
  <c r="I70" i="29"/>
  <c r="C30" i="29"/>
  <c r="C35" i="29" s="1"/>
  <c r="D35" i="29"/>
  <c r="D49" i="41"/>
  <c r="C23" i="41"/>
  <c r="I52" i="29"/>
  <c r="I66" i="29"/>
  <c r="O66" i="29"/>
  <c r="O52" i="29"/>
  <c r="O48" i="29" s="1"/>
  <c r="C10" i="41"/>
  <c r="D46" i="41"/>
  <c r="I65" i="41"/>
  <c r="I51" i="41"/>
  <c r="C22" i="29"/>
  <c r="C37" i="29" s="1"/>
  <c r="D37" i="29"/>
  <c r="AQ71" i="29"/>
  <c r="AQ57" i="29"/>
  <c r="AQ66" i="29"/>
  <c r="AQ52" i="29"/>
  <c r="AQ48" i="29" s="1"/>
  <c r="AL53" i="29"/>
  <c r="AL67" i="29"/>
  <c r="K62" i="38"/>
  <c r="X63" i="41"/>
  <c r="M53" i="41"/>
  <c r="M67" i="41"/>
  <c r="H63" i="41"/>
  <c r="W73" i="29"/>
  <c r="W59" i="29"/>
  <c r="AA45" i="29"/>
  <c r="W67" i="29"/>
  <c r="W53" i="29"/>
  <c r="AF76" i="29"/>
  <c r="AF62" i="29"/>
  <c r="W56" i="41"/>
  <c r="W70" i="41"/>
  <c r="BS48" i="18"/>
  <c r="Z63" i="29"/>
  <c r="AB47" i="41"/>
  <c r="AJ63" i="29"/>
  <c r="Q59" i="41"/>
  <c r="Q73" i="41"/>
  <c r="AK63" i="29"/>
  <c r="AA56" i="41"/>
  <c r="AA70" i="41"/>
  <c r="C29" i="41"/>
  <c r="AB44" i="41"/>
  <c r="AY66" i="41"/>
  <c r="AB66" i="41" s="1"/>
  <c r="AY52" i="41"/>
  <c r="AB52" i="41" s="1"/>
  <c r="S63" i="41"/>
  <c r="K53" i="41"/>
  <c r="K67" i="41"/>
  <c r="AF65" i="29"/>
  <c r="AF51" i="29"/>
  <c r="Y58" i="41"/>
  <c r="Y72" i="41"/>
  <c r="M52" i="41"/>
  <c r="M66" i="41"/>
  <c r="AB11" i="29"/>
  <c r="AB39" i="29" s="1"/>
  <c r="Y58" i="18"/>
  <c r="Y72" i="18"/>
  <c r="C47" i="41"/>
  <c r="AB38" i="41"/>
  <c r="AY73" i="29"/>
  <c r="AY59" i="29"/>
  <c r="J63" i="18"/>
  <c r="AB27" i="29"/>
  <c r="AF45" i="29"/>
  <c r="AA31" i="29"/>
  <c r="AF76" i="41"/>
  <c r="AF62" i="41"/>
  <c r="W76" i="29"/>
  <c r="W62" i="29"/>
  <c r="AB37" i="41"/>
  <c r="AA60" i="41"/>
  <c r="AA74" i="41"/>
  <c r="Y52" i="18"/>
  <c r="Y48" i="18" s="1"/>
  <c r="Y66" i="18"/>
  <c r="K73" i="29"/>
  <c r="K59" i="29"/>
  <c r="G74" i="18"/>
  <c r="G60" i="18"/>
  <c r="AN67" i="41"/>
  <c r="AN53" i="41"/>
  <c r="Q54" i="29"/>
  <c r="Q68" i="29"/>
  <c r="I71" i="29"/>
  <c r="I57" i="29"/>
  <c r="AG71" i="41"/>
  <c r="AG57" i="41"/>
  <c r="P63" i="29"/>
  <c r="E52" i="41"/>
  <c r="E66" i="41"/>
  <c r="E31" i="29"/>
  <c r="AT68" i="29"/>
  <c r="AT63" i="29" s="1"/>
  <c r="AT54" i="29"/>
  <c r="AT48" i="29" s="1"/>
  <c r="AN70" i="41"/>
  <c r="AN56" i="41"/>
  <c r="AQ68" i="41"/>
  <c r="AQ54" i="41"/>
  <c r="C21" i="29"/>
  <c r="D65" i="29"/>
  <c r="D51" i="29"/>
  <c r="C3" i="41"/>
  <c r="D32" i="41"/>
  <c r="C18" i="29"/>
  <c r="D75" i="29"/>
  <c r="D61" i="29"/>
  <c r="C14" i="41"/>
  <c r="D34" i="41"/>
  <c r="C34" i="41" s="1"/>
  <c r="C9" i="29"/>
  <c r="D68" i="29"/>
  <c r="D63" i="29" s="1"/>
  <c r="D54" i="29"/>
  <c r="C27" i="29"/>
  <c r="D76" i="29"/>
  <c r="D62" i="29"/>
  <c r="AD72" i="5"/>
  <c r="AD63" i="5" s="1"/>
  <c r="AD58" i="5"/>
  <c r="AD48" i="5" s="1"/>
  <c r="I67" i="41"/>
  <c r="I53" i="41"/>
  <c r="I31" i="41"/>
  <c r="O57" i="41"/>
  <c r="O71" i="41"/>
  <c r="AQ71" i="41"/>
  <c r="AQ57" i="41"/>
  <c r="AP73" i="29"/>
  <c r="AP63" i="29" s="1"/>
  <c r="AP59" i="29"/>
  <c r="AP48" i="29" s="1"/>
  <c r="K75" i="38"/>
  <c r="M61" i="41"/>
  <c r="M75" i="41"/>
  <c r="AA65" i="29"/>
  <c r="AA51" i="29"/>
  <c r="K54" i="41"/>
  <c r="K68" i="41"/>
  <c r="W75" i="29"/>
  <c r="W61" i="29"/>
  <c r="AB6" i="41"/>
  <c r="AA51" i="41"/>
  <c r="AA65" i="41"/>
  <c r="AA53" i="41"/>
  <c r="AA67" i="41"/>
  <c r="Y72" i="29"/>
  <c r="Y63" i="29" s="1"/>
  <c r="Y58" i="29"/>
  <c r="Y48" i="29" s="1"/>
  <c r="G63" i="29"/>
  <c r="AY67" i="41"/>
  <c r="AB67" i="41" s="1"/>
  <c r="AY53" i="41"/>
  <c r="AB53" i="41" s="1"/>
  <c r="K61" i="41"/>
  <c r="K75" i="41"/>
  <c r="W50" i="29"/>
  <c r="W64" i="29"/>
  <c r="AB56" i="41"/>
  <c r="L66" i="18"/>
  <c r="L63" i="18" s="1"/>
  <c r="L52" i="18"/>
  <c r="L48" i="18" s="1"/>
  <c r="Y75" i="18"/>
  <c r="Y61" i="18"/>
  <c r="AF74" i="41"/>
  <c r="AF60" i="41"/>
  <c r="U63" i="41"/>
  <c r="AZ63" i="41"/>
  <c r="AY70" i="41"/>
  <c r="AB70" i="41" s="1"/>
  <c r="AY56" i="41"/>
  <c r="AB15" i="29"/>
  <c r="AB44" i="29" s="1"/>
  <c r="AZ48" i="29"/>
  <c r="M65" i="29"/>
  <c r="M51" i="29"/>
  <c r="AY73" i="41"/>
  <c r="AB73" i="41" s="1"/>
  <c r="AY59" i="41"/>
  <c r="AB59" i="41" s="1"/>
  <c r="AN69" i="41"/>
  <c r="AN55" i="41"/>
  <c r="M54" i="41"/>
  <c r="M68" i="41"/>
  <c r="AY65" i="29"/>
  <c r="AY51" i="29"/>
  <c r="AF45" i="41"/>
  <c r="Q51" i="41"/>
  <c r="Q65" i="41"/>
  <c r="AB22" i="41"/>
  <c r="AA69" i="29"/>
  <c r="AA55" i="29"/>
  <c r="AB54" i="41"/>
  <c r="K57" i="18"/>
  <c r="K71" i="18"/>
  <c r="E72" i="29"/>
  <c r="E58" i="29"/>
  <c r="E53" i="41"/>
  <c r="E67" i="41"/>
  <c r="E55" i="41"/>
  <c r="E69" i="41"/>
  <c r="E62" i="41"/>
  <c r="E76" i="41"/>
  <c r="U69" i="37"/>
  <c r="U55" i="37"/>
  <c r="AN50" i="29"/>
  <c r="AN64" i="29"/>
  <c r="AN31" i="29"/>
  <c r="AG66" i="41"/>
  <c r="AG52" i="41"/>
  <c r="AN31" i="41"/>
  <c r="C20" i="29"/>
  <c r="D70" i="29"/>
  <c r="D56" i="29"/>
  <c r="C8" i="29"/>
  <c r="C41" i="29" s="1"/>
  <c r="D41" i="29"/>
  <c r="C15" i="29"/>
  <c r="C44" i="29" s="1"/>
  <c r="D44" i="29"/>
  <c r="C29" i="29"/>
  <c r="D71" i="29"/>
  <c r="D57" i="29"/>
  <c r="D56" i="41"/>
  <c r="C20" i="41"/>
  <c r="D70" i="41"/>
  <c r="C70" i="41" s="1"/>
  <c r="I70" i="41"/>
  <c r="I56" i="41"/>
  <c r="I69" i="29"/>
  <c r="I55" i="29"/>
  <c r="AQ74" i="41"/>
  <c r="AQ60" i="41"/>
  <c r="AQ68" i="29"/>
  <c r="AQ63" i="29" s="1"/>
  <c r="AQ54" i="29"/>
  <c r="AQ73" i="41"/>
  <c r="AQ59" i="41"/>
  <c r="AB50" i="29"/>
  <c r="AB64" i="29"/>
  <c r="M72" i="29"/>
  <c r="M63" i="29" s="1"/>
  <c r="M58" i="29"/>
  <c r="M48" i="29" s="1"/>
  <c r="AA71" i="29"/>
  <c r="AA57" i="29"/>
  <c r="W59" i="41"/>
  <c r="W73" i="41"/>
  <c r="Q54" i="41"/>
  <c r="Q68" i="41"/>
  <c r="AB61" i="41"/>
  <c r="AF31" i="29"/>
  <c r="AC48" i="29"/>
  <c r="AA75" i="29"/>
  <c r="AA61" i="29"/>
  <c r="AU63" i="29"/>
  <c r="AY64" i="29"/>
  <c r="AY50" i="29"/>
  <c r="K68" i="18"/>
  <c r="K54" i="18"/>
  <c r="K61" i="29"/>
  <c r="K75" i="29"/>
  <c r="W55" i="29"/>
  <c r="W69" i="29"/>
  <c r="L70" i="18"/>
  <c r="L56" i="18"/>
  <c r="K66" i="29"/>
  <c r="K52" i="29"/>
  <c r="Y50" i="18"/>
  <c r="Y64" i="18"/>
  <c r="I48" i="18"/>
  <c r="AB19" i="29"/>
  <c r="AB42" i="29" s="1"/>
  <c r="AY45" i="41"/>
  <c r="C63" i="5"/>
  <c r="C23" i="29"/>
  <c r="C49" i="29" s="1"/>
  <c r="M57" i="29"/>
  <c r="M71" i="29"/>
  <c r="Q50" i="41"/>
  <c r="Q64" i="41"/>
  <c r="AB4" i="29"/>
  <c r="AB40" i="29" s="1"/>
  <c r="AB68" i="29"/>
  <c r="AB63" i="29" s="1"/>
  <c r="AB54" i="29"/>
  <c r="AB48" i="29" s="1"/>
  <c r="AD63" i="29"/>
  <c r="Q65" i="29"/>
  <c r="Q51" i="29"/>
  <c r="AB60" i="41"/>
  <c r="AA60" i="29"/>
  <c r="AA74" i="29"/>
  <c r="AF54" i="41"/>
  <c r="AF68" i="41"/>
  <c r="AB9" i="41"/>
  <c r="AB31" i="16"/>
  <c r="C48" i="16"/>
  <c r="U72" i="16"/>
  <c r="U58" i="16"/>
  <c r="U31" i="16"/>
  <c r="U74" i="16"/>
  <c r="U60" i="16"/>
  <c r="U76" i="16"/>
  <c r="U62" i="16"/>
  <c r="C63" i="16"/>
  <c r="AB68" i="16"/>
  <c r="AB54" i="16"/>
  <c r="AB66" i="16"/>
  <c r="AB52" i="16"/>
  <c r="U64" i="16"/>
  <c r="U50" i="16"/>
  <c r="U71" i="16"/>
  <c r="U57" i="16"/>
  <c r="U68" i="16"/>
  <c r="U54" i="16"/>
  <c r="U73" i="16"/>
  <c r="U59" i="16"/>
  <c r="U55" i="16"/>
  <c r="U69" i="16"/>
  <c r="U65" i="16"/>
  <c r="U51" i="16"/>
  <c r="AB64" i="16"/>
  <c r="AB50" i="16"/>
  <c r="U67" i="16"/>
  <c r="U53" i="16"/>
  <c r="U70" i="16"/>
  <c r="U56" i="16"/>
  <c r="Y48" i="38"/>
  <c r="J48" i="38"/>
  <c r="E48" i="38"/>
  <c r="F48" i="38"/>
  <c r="K48" i="38"/>
  <c r="I48" i="38"/>
  <c r="L48" i="38"/>
  <c r="D48" i="38"/>
  <c r="BQ48" i="38"/>
  <c r="DI48" i="38"/>
  <c r="BS48" i="38"/>
  <c r="M48" i="38"/>
  <c r="G52" i="38"/>
  <c r="G66" i="38"/>
  <c r="G31" i="38"/>
  <c r="G74" i="38"/>
  <c r="G60" i="38"/>
  <c r="AA69" i="38"/>
  <c r="AA55" i="38"/>
  <c r="L63" i="38"/>
  <c r="DI63" i="38"/>
  <c r="AA56" i="38"/>
  <c r="AA70" i="38"/>
  <c r="AA76" i="38"/>
  <c r="AA62" i="38"/>
  <c r="D63" i="38"/>
  <c r="AA52" i="38"/>
  <c r="AA66" i="38"/>
  <c r="G72" i="38"/>
  <c r="G58" i="38"/>
  <c r="BS63" i="38"/>
  <c r="G57" i="38"/>
  <c r="G71" i="38"/>
  <c r="Y63" i="38"/>
  <c r="M63" i="38"/>
  <c r="G61" i="38"/>
  <c r="G75" i="38"/>
  <c r="AA72" i="38"/>
  <c r="AA58" i="38"/>
  <c r="AA71" i="38"/>
  <c r="AA57" i="38"/>
  <c r="AA73" i="38"/>
  <c r="AA59" i="38"/>
  <c r="J63" i="38"/>
  <c r="BQ63" i="38"/>
  <c r="I63" i="38"/>
  <c r="G59" i="38"/>
  <c r="G73" i="38"/>
  <c r="G62" i="38"/>
  <c r="G76" i="38"/>
  <c r="AA45" i="38"/>
  <c r="G53" i="38"/>
  <c r="G67" i="38"/>
  <c r="AA68" i="38"/>
  <c r="AA54" i="38"/>
  <c r="AA75" i="38"/>
  <c r="AA61" i="38"/>
  <c r="G54" i="38"/>
  <c r="G68" i="38"/>
  <c r="AA60" i="38"/>
  <c r="AA74" i="38"/>
  <c r="AA64" i="38"/>
  <c r="AA50" i="38"/>
  <c r="AA31" i="38"/>
  <c r="H63" i="38"/>
  <c r="G56" i="38"/>
  <c r="G70" i="38"/>
  <c r="G50" i="38"/>
  <c r="G64" i="38"/>
  <c r="F63" i="38"/>
  <c r="K63" i="38"/>
  <c r="AA65" i="38"/>
  <c r="AA51" i="38"/>
  <c r="AA67" i="38"/>
  <c r="AA53" i="38"/>
  <c r="E63" i="38"/>
  <c r="AF48" i="32"/>
  <c r="X48" i="32"/>
  <c r="AD56" i="32"/>
  <c r="AD70" i="32"/>
  <c r="X63" i="32"/>
  <c r="AF63" i="32"/>
  <c r="AD65" i="32"/>
  <c r="AD51" i="32"/>
  <c r="AD72" i="32"/>
  <c r="AD58" i="32"/>
  <c r="AD31" i="32"/>
  <c r="AD53" i="32"/>
  <c r="AD67" i="32"/>
  <c r="AD68" i="32"/>
  <c r="AD54" i="32"/>
  <c r="AD61" i="32"/>
  <c r="AD75" i="32"/>
  <c r="AD57" i="32"/>
  <c r="AD71" i="32"/>
  <c r="AA48" i="16"/>
  <c r="AA63" i="16"/>
  <c r="AE30" i="16"/>
  <c r="AE27" i="16"/>
  <c r="AE24" i="16"/>
  <c r="AE23" i="16"/>
  <c r="AE49" i="16" s="1"/>
  <c r="AE22" i="16"/>
  <c r="AE19" i="16"/>
  <c r="AE17" i="16"/>
  <c r="AE15" i="16"/>
  <c r="AE14" i="16"/>
  <c r="AE7" i="16"/>
  <c r="AE3" i="16"/>
  <c r="AE32" i="16" s="1"/>
  <c r="AE21" i="16"/>
  <c r="AE16" i="16"/>
  <c r="AE9" i="16"/>
  <c r="AE8" i="16"/>
  <c r="AE5" i="16"/>
  <c r="AE20" i="16"/>
  <c r="AE12" i="16"/>
  <c r="AE29" i="16"/>
  <c r="AE25" i="16"/>
  <c r="AE18" i="16"/>
  <c r="AE6" i="16"/>
  <c r="AE28" i="16"/>
  <c r="AE4" i="16"/>
  <c r="AE26" i="16"/>
  <c r="AE36" i="16" s="1"/>
  <c r="AE2" i="16"/>
  <c r="AE10" i="16"/>
  <c r="AE46" i="16" s="1"/>
  <c r="AE13" i="16"/>
  <c r="AE11" i="16"/>
  <c r="AE22" i="37"/>
  <c r="AE37" i="37" s="1"/>
  <c r="AE18" i="37"/>
  <c r="AE14" i="37"/>
  <c r="AE34" i="37" s="1"/>
  <c r="AE10" i="37"/>
  <c r="AE46" i="37" s="1"/>
  <c r="AE45" i="37" s="1"/>
  <c r="AE6" i="37"/>
  <c r="AE47" i="37" s="1"/>
  <c r="AE2" i="37"/>
  <c r="AE38" i="37" s="1"/>
  <c r="AE28" i="37"/>
  <c r="AE43" i="37" s="1"/>
  <c r="AE26" i="37"/>
  <c r="AE36" i="37" s="1"/>
  <c r="AE19" i="37"/>
  <c r="AE42" i="37" s="1"/>
  <c r="AE11" i="37"/>
  <c r="AE39" i="37" s="1"/>
  <c r="AE7" i="37"/>
  <c r="AE29" i="37"/>
  <c r="AE27" i="37"/>
  <c r="AE25" i="37"/>
  <c r="AE21" i="37"/>
  <c r="AE17" i="37"/>
  <c r="AE13" i="37"/>
  <c r="AE33" i="37" s="1"/>
  <c r="AE9" i="37"/>
  <c r="AE5" i="37"/>
  <c r="AE20" i="37"/>
  <c r="AE16" i="37"/>
  <c r="AE12" i="37"/>
  <c r="AE8" i="37"/>
  <c r="AE41" i="37" s="1"/>
  <c r="AE4" i="37"/>
  <c r="AE40" i="37" s="1"/>
  <c r="AE30" i="37"/>
  <c r="AE35" i="37" s="1"/>
  <c r="AE24" i="37"/>
  <c r="AE23" i="37"/>
  <c r="AE49" i="37" s="1"/>
  <c r="AE15" i="37"/>
  <c r="AE44" i="37" s="1"/>
  <c r="AE3" i="37"/>
  <c r="AE32" i="37" s="1"/>
  <c r="I48" i="41" l="1"/>
  <c r="M48" i="41"/>
  <c r="C58" i="41"/>
  <c r="Q48" i="41"/>
  <c r="K48" i="18"/>
  <c r="E48" i="41"/>
  <c r="E48" i="29"/>
  <c r="AA48" i="29"/>
  <c r="AF63" i="41"/>
  <c r="AG48" i="29"/>
  <c r="W48" i="41"/>
  <c r="D45" i="29"/>
  <c r="AA48" i="41"/>
  <c r="W48" i="29"/>
  <c r="O48" i="41"/>
  <c r="K48" i="41"/>
  <c r="AQ48" i="41"/>
  <c r="AF48" i="41"/>
  <c r="C45" i="29"/>
  <c r="Q48" i="29"/>
  <c r="AG48" i="41"/>
  <c r="AN48" i="41"/>
  <c r="C65" i="41"/>
  <c r="C59" i="29"/>
  <c r="C73" i="29"/>
  <c r="AE53" i="37"/>
  <c r="AE67" i="37"/>
  <c r="AE68" i="37"/>
  <c r="AE54" i="37"/>
  <c r="AE31" i="37"/>
  <c r="AB76" i="29"/>
  <c r="AB62" i="29"/>
  <c r="C46" i="41"/>
  <c r="D45" i="41"/>
  <c r="C45" i="41" s="1"/>
  <c r="D48" i="29"/>
  <c r="AB71" i="29"/>
  <c r="AB57" i="29"/>
  <c r="AR63" i="41"/>
  <c r="W63" i="41"/>
  <c r="C69" i="29"/>
  <c r="C55" i="29"/>
  <c r="AE51" i="37"/>
  <c r="AE65" i="37"/>
  <c r="C56" i="41"/>
  <c r="O63" i="29"/>
  <c r="Y48" i="41"/>
  <c r="D31" i="29"/>
  <c r="AA63" i="29"/>
  <c r="E63" i="29"/>
  <c r="W63" i="29"/>
  <c r="K63" i="18"/>
  <c r="C70" i="29"/>
  <c r="C56" i="29"/>
  <c r="AE64" i="37"/>
  <c r="AE50" i="37"/>
  <c r="C75" i="29"/>
  <c r="C61" i="29"/>
  <c r="I63" i="29"/>
  <c r="C51" i="41"/>
  <c r="AN48" i="29"/>
  <c r="AY63" i="29"/>
  <c r="C31" i="29"/>
  <c r="C73" i="41"/>
  <c r="M63" i="41"/>
  <c r="AN63" i="29"/>
  <c r="AQ63" i="41"/>
  <c r="AE55" i="37"/>
  <c r="AE69" i="37"/>
  <c r="AE61" i="37"/>
  <c r="AE75" i="37"/>
  <c r="AE76" i="37"/>
  <c r="AE62" i="37"/>
  <c r="AE57" i="37"/>
  <c r="AE71" i="37"/>
  <c r="D31" i="41"/>
  <c r="C31" i="41" s="1"/>
  <c r="C32" i="41"/>
  <c r="I48" i="29"/>
  <c r="C59" i="41"/>
  <c r="U48" i="37"/>
  <c r="C50" i="29"/>
  <c r="C64" i="29"/>
  <c r="AE59" i="37"/>
  <c r="AE73" i="37"/>
  <c r="C67" i="41"/>
  <c r="E63" i="41"/>
  <c r="C72" i="41"/>
  <c r="C72" i="29"/>
  <c r="C58" i="29"/>
  <c r="U63" i="37"/>
  <c r="C74" i="29"/>
  <c r="C60" i="29"/>
  <c r="C71" i="29"/>
  <c r="C57" i="29"/>
  <c r="C49" i="41"/>
  <c r="D48" i="41"/>
  <c r="C48" i="41" s="1"/>
  <c r="C53" i="41"/>
  <c r="C67" i="29"/>
  <c r="C53" i="29"/>
  <c r="D63" i="41"/>
  <c r="C64" i="41"/>
  <c r="AA63" i="41"/>
  <c r="AE72" i="37"/>
  <c r="AE58" i="37"/>
  <c r="Q63" i="41"/>
  <c r="K48" i="29"/>
  <c r="C76" i="29"/>
  <c r="C62" i="29"/>
  <c r="C74" i="41"/>
  <c r="AB53" i="29"/>
  <c r="AB67" i="29"/>
  <c r="AB45" i="41"/>
  <c r="I63" i="41"/>
  <c r="AB31" i="29"/>
  <c r="O63" i="41"/>
  <c r="C50" i="41"/>
  <c r="AE66" i="37"/>
  <c r="AE52" i="37"/>
  <c r="AE70" i="37"/>
  <c r="AE56" i="37"/>
  <c r="K63" i="29"/>
  <c r="C65" i="29"/>
  <c r="C51" i="29"/>
  <c r="AB74" i="29"/>
  <c r="AB60" i="29"/>
  <c r="K63" i="41"/>
  <c r="C60" i="41"/>
  <c r="Y63" i="18"/>
  <c r="AE74" i="37"/>
  <c r="AE60" i="37"/>
  <c r="Q63" i="29"/>
  <c r="AY48" i="41"/>
  <c r="AB48" i="41" s="1"/>
  <c r="AN63" i="41"/>
  <c r="Y63" i="41"/>
  <c r="C54" i="29"/>
  <c r="C48" i="29" s="1"/>
  <c r="C68" i="29"/>
  <c r="AG63" i="41"/>
  <c r="AF63" i="29"/>
  <c r="AR48" i="41"/>
  <c r="AY63" i="41"/>
  <c r="AB63" i="41" s="1"/>
  <c r="G48" i="18"/>
  <c r="C63" i="29"/>
  <c r="U48" i="16"/>
  <c r="AB48" i="16"/>
  <c r="AB63" i="16"/>
  <c r="U63" i="16"/>
  <c r="G63" i="38"/>
  <c r="G48" i="38"/>
  <c r="AA48" i="38"/>
  <c r="AA63" i="38"/>
  <c r="AD48" i="32"/>
  <c r="AD63" i="32"/>
  <c r="AE43" i="16"/>
  <c r="AE35" i="16"/>
  <c r="AE38" i="16"/>
  <c r="AE50" i="16"/>
  <c r="AE64" i="16"/>
  <c r="AE72" i="16"/>
  <c r="AE58" i="16"/>
  <c r="AE44" i="16"/>
  <c r="AE39" i="16"/>
  <c r="AE71" i="16"/>
  <c r="AE57" i="16"/>
  <c r="AE67" i="16"/>
  <c r="AE53" i="16"/>
  <c r="AE65" i="16"/>
  <c r="AE51" i="16"/>
  <c r="AE66" i="16"/>
  <c r="AE52" i="16"/>
  <c r="AE69" i="16"/>
  <c r="AE55" i="16"/>
  <c r="AE75" i="16"/>
  <c r="AE61" i="16"/>
  <c r="AE56" i="16"/>
  <c r="AE70" i="16"/>
  <c r="AE68" i="16"/>
  <c r="AE54" i="16"/>
  <c r="AE34" i="16"/>
  <c r="AE37" i="16"/>
  <c r="I30" i="32"/>
  <c r="I35" i="32" s="1"/>
  <c r="I25" i="32"/>
  <c r="I21" i="32"/>
  <c r="I19" i="32"/>
  <c r="I42" i="32" s="1"/>
  <c r="I11" i="32"/>
  <c r="I39" i="32" s="1"/>
  <c r="I10" i="32"/>
  <c r="I46" i="32" s="1"/>
  <c r="I8" i="32"/>
  <c r="I41" i="32" s="1"/>
  <c r="I7" i="32"/>
  <c r="I4" i="32"/>
  <c r="I40" i="32" s="1"/>
  <c r="I27" i="32"/>
  <c r="I26" i="32"/>
  <c r="I36" i="32" s="1"/>
  <c r="I22" i="32"/>
  <c r="I37" i="32" s="1"/>
  <c r="I16" i="32"/>
  <c r="I15" i="32"/>
  <c r="I44" i="32" s="1"/>
  <c r="I14" i="32"/>
  <c r="I34" i="32" s="1"/>
  <c r="I9" i="32"/>
  <c r="I5" i="32"/>
  <c r="I2" i="32"/>
  <c r="I38" i="32" s="1"/>
  <c r="I29" i="32"/>
  <c r="I28" i="32"/>
  <c r="I43" i="32" s="1"/>
  <c r="I24" i="32"/>
  <c r="I17" i="32"/>
  <c r="I12" i="32"/>
  <c r="I6" i="32"/>
  <c r="I47" i="32" s="1"/>
  <c r="I23" i="32"/>
  <c r="I49" i="32" s="1"/>
  <c r="I3" i="32"/>
  <c r="I32" i="32" s="1"/>
  <c r="I13" i="32"/>
  <c r="I33" i="32" s="1"/>
  <c r="I18" i="32"/>
  <c r="I20" i="32"/>
  <c r="AE33" i="16"/>
  <c r="AE40" i="16"/>
  <c r="AE47" i="16"/>
  <c r="AE45" i="16" s="1"/>
  <c r="AE60" i="16"/>
  <c r="AE74" i="16"/>
  <c r="AE41" i="16"/>
  <c r="AE73" i="16"/>
  <c r="AE59" i="16"/>
  <c r="AE42" i="16"/>
  <c r="AE62" i="16"/>
  <c r="AE76" i="16"/>
  <c r="I30" i="5"/>
  <c r="I35" i="5" s="1"/>
  <c r="I27" i="5"/>
  <c r="I25" i="5"/>
  <c r="I20" i="5"/>
  <c r="I17" i="5"/>
  <c r="I14" i="5"/>
  <c r="I34" i="5" s="1"/>
  <c r="I7" i="5"/>
  <c r="I4" i="5"/>
  <c r="I40" i="5" s="1"/>
  <c r="I26" i="5"/>
  <c r="I36" i="5" s="1"/>
  <c r="I21" i="5"/>
  <c r="I16" i="5"/>
  <c r="I8" i="5"/>
  <c r="I41" i="5" s="1"/>
  <c r="I22" i="5"/>
  <c r="I37" i="5" s="1"/>
  <c r="I18" i="5"/>
  <c r="I15" i="5"/>
  <c r="I44" i="5" s="1"/>
  <c r="I5" i="5"/>
  <c r="I2" i="5"/>
  <c r="I38" i="5" s="1"/>
  <c r="I29" i="5"/>
  <c r="I19" i="5"/>
  <c r="I42" i="5" s="1"/>
  <c r="I11" i="5"/>
  <c r="I39" i="5" s="1"/>
  <c r="I9" i="5"/>
  <c r="I6" i="5"/>
  <c r="I47" i="5" s="1"/>
  <c r="I3" i="5"/>
  <c r="I32" i="5" s="1"/>
  <c r="I23" i="5"/>
  <c r="I49" i="5" s="1"/>
  <c r="I13" i="5"/>
  <c r="I33" i="5" s="1"/>
  <c r="I10" i="5"/>
  <c r="I46" i="5" s="1"/>
  <c r="I12" i="5"/>
  <c r="I28" i="5"/>
  <c r="I43" i="5" s="1"/>
  <c r="I24" i="5"/>
  <c r="AE48" i="37" l="1"/>
  <c r="C63" i="41"/>
  <c r="I69" i="5"/>
  <c r="I55" i="5"/>
  <c r="I66" i="5"/>
  <c r="I52" i="5"/>
  <c r="I74" i="5"/>
  <c r="I60" i="5"/>
  <c r="I50" i="5"/>
  <c r="I64" i="5"/>
  <c r="I75" i="5"/>
  <c r="I61" i="5"/>
  <c r="AE31" i="16"/>
  <c r="I70" i="5"/>
  <c r="I56" i="5"/>
  <c r="I45" i="5"/>
  <c r="AE63" i="37"/>
  <c r="I53" i="5"/>
  <c r="I67" i="5"/>
  <c r="I62" i="5"/>
  <c r="I76" i="5"/>
  <c r="I31" i="5"/>
  <c r="I65" i="5"/>
  <c r="I51" i="5"/>
  <c r="I48" i="5" s="1"/>
  <c r="AE48" i="16"/>
  <c r="I68" i="5"/>
  <c r="I54" i="5"/>
  <c r="I58" i="5"/>
  <c r="I72" i="5"/>
  <c r="I59" i="5"/>
  <c r="I73" i="5"/>
  <c r="I71" i="5"/>
  <c r="I57" i="5"/>
  <c r="AE63" i="16"/>
  <c r="I45" i="32"/>
  <c r="I31" i="32"/>
  <c r="C36" i="32"/>
  <c r="I69" i="32"/>
  <c r="I55" i="32"/>
  <c r="C76" i="32"/>
  <c r="C62" i="32"/>
  <c r="C43" i="32"/>
  <c r="I64" i="32"/>
  <c r="I50" i="32"/>
  <c r="I75" i="32"/>
  <c r="I61" i="32"/>
  <c r="C32" i="32"/>
  <c r="C39" i="32"/>
  <c r="C42" i="32"/>
  <c r="C71" i="32"/>
  <c r="C57" i="32"/>
  <c r="C33" i="32"/>
  <c r="I76" i="32"/>
  <c r="I62" i="32"/>
  <c r="C34" i="32"/>
  <c r="I70" i="32"/>
  <c r="I56" i="32"/>
  <c r="C41" i="32"/>
  <c r="C72" i="32"/>
  <c r="C58" i="32"/>
  <c r="C64" i="32"/>
  <c r="C50" i="32"/>
  <c r="C68" i="32"/>
  <c r="C54" i="32"/>
  <c r="C46" i="32"/>
  <c r="C40" i="32"/>
  <c r="C60" i="32"/>
  <c r="C74" i="32"/>
  <c r="C70" i="32"/>
  <c r="C56" i="32"/>
  <c r="C35" i="32"/>
  <c r="I74" i="32"/>
  <c r="I60" i="32"/>
  <c r="I71" i="32"/>
  <c r="I57" i="32"/>
  <c r="C66" i="32"/>
  <c r="C52" i="32"/>
  <c r="I67" i="32"/>
  <c r="I53" i="32"/>
  <c r="I72" i="32"/>
  <c r="I58" i="32"/>
  <c r="C38" i="32"/>
  <c r="C75" i="32"/>
  <c r="C61" i="32"/>
  <c r="I73" i="32"/>
  <c r="I59" i="32"/>
  <c r="C59" i="32"/>
  <c r="C73" i="32"/>
  <c r="C44" i="32"/>
  <c r="C49" i="32"/>
  <c r="C69" i="32"/>
  <c r="C55" i="32"/>
  <c r="I66" i="32"/>
  <c r="I52" i="32"/>
  <c r="C67" i="32"/>
  <c r="C53" i="32"/>
  <c r="C65" i="32"/>
  <c r="C51" i="32"/>
  <c r="I68" i="32"/>
  <c r="I54" i="32"/>
  <c r="C47" i="32"/>
  <c r="C37" i="32"/>
  <c r="I65" i="32"/>
  <c r="I51" i="32"/>
  <c r="I63" i="5" l="1"/>
  <c r="I48" i="32"/>
  <c r="I63" i="32"/>
  <c r="C48" i="32"/>
  <c r="C63" i="32"/>
  <c r="C31" i="32"/>
  <c r="C45" i="32"/>
  <c r="C35" i="19" l="1"/>
  <c r="E35" i="19" s="1"/>
  <c r="C76" i="19"/>
  <c r="C62" i="19"/>
  <c r="R35" i="4" l="1"/>
  <c r="R43" i="4"/>
  <c r="R36" i="4"/>
  <c r="R37" i="4"/>
  <c r="R42" i="4"/>
  <c r="R44" i="4"/>
  <c r="R34" i="4"/>
  <c r="R33" i="4"/>
  <c r="R39" i="4"/>
  <c r="R46" i="4"/>
  <c r="R41" i="4"/>
  <c r="R47" i="4"/>
  <c r="R40" i="4"/>
  <c r="R38" i="4"/>
  <c r="R54" i="4" l="1"/>
  <c r="R68" i="4"/>
  <c r="R55" i="4"/>
  <c r="R69" i="4"/>
  <c r="R59" i="4"/>
  <c r="R73" i="4"/>
  <c r="R52" i="4"/>
  <c r="R66" i="4"/>
  <c r="R56" i="4"/>
  <c r="R70" i="4"/>
  <c r="R57" i="4"/>
  <c r="R71" i="4"/>
  <c r="R53" i="4"/>
  <c r="R67" i="4"/>
  <c r="R60" i="4"/>
  <c r="R74" i="4"/>
  <c r="R61" i="4"/>
  <c r="R75" i="4"/>
  <c r="R62" i="4"/>
  <c r="R76" i="4"/>
  <c r="R45" i="4"/>
  <c r="R58" i="4"/>
  <c r="R72" i="4"/>
  <c r="R51" i="4"/>
  <c r="R65" i="4"/>
  <c r="C46" i="19" l="1"/>
  <c r="C47" i="19"/>
  <c r="E47" i="19" s="1"/>
  <c r="E46" i="19" l="1"/>
  <c r="E45" i="19" s="1"/>
  <c r="C45" i="19"/>
  <c r="E10" i="19"/>
  <c r="BV25" i="35" l="1"/>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P25" i="35"/>
  <c r="O25" i="35"/>
  <c r="N25" i="35"/>
  <c r="M25" i="35"/>
  <c r="L25" i="35"/>
  <c r="K25" i="35"/>
  <c r="J25" i="35"/>
  <c r="I25" i="35"/>
  <c r="H25" i="35"/>
  <c r="G25" i="35"/>
  <c r="F25" i="35"/>
  <c r="E25" i="35"/>
  <c r="D25" i="35"/>
  <c r="C25"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D30" i="46"/>
  <c r="BC30" i="46"/>
  <c r="BD29" i="46"/>
  <c r="BC29" i="46"/>
  <c r="BD28" i="46"/>
  <c r="BC28" i="46"/>
  <c r="BD27" i="46"/>
  <c r="BC27" i="46"/>
  <c r="BD26" i="46"/>
  <c r="BC26" i="46"/>
  <c r="BD25" i="46"/>
  <c r="BC25" i="46"/>
  <c r="BD24" i="46"/>
  <c r="BC24" i="46"/>
  <c r="BD23" i="46"/>
  <c r="BC23" i="46"/>
  <c r="BD22" i="46"/>
  <c r="BC22" i="46"/>
  <c r="BD21" i="46"/>
  <c r="BC21" i="46"/>
  <c r="BD20" i="46"/>
  <c r="BC20" i="46"/>
  <c r="BD19" i="46"/>
  <c r="BC19" i="46"/>
  <c r="BD18" i="46"/>
  <c r="BC18" i="46"/>
  <c r="BD17" i="46"/>
  <c r="BC17" i="46"/>
  <c r="BD16" i="46"/>
  <c r="BC16" i="46"/>
  <c r="BD15" i="46"/>
  <c r="BC15" i="46"/>
  <c r="BD14" i="46"/>
  <c r="BC14" i="46"/>
  <c r="BD13" i="46"/>
  <c r="BC13" i="46"/>
  <c r="BD12" i="46"/>
  <c r="BC12" i="46"/>
  <c r="BD11" i="46"/>
  <c r="BC11" i="46"/>
  <c r="BD10" i="46"/>
  <c r="BC10" i="46"/>
  <c r="BD9" i="46"/>
  <c r="BS9" i="35" s="1"/>
  <c r="BC9" i="46"/>
  <c r="AU9" i="35" s="1"/>
  <c r="BD8" i="46"/>
  <c r="BS8" i="35" s="1"/>
  <c r="BC8" i="46"/>
  <c r="AU8" i="35" s="1"/>
  <c r="BD7" i="46"/>
  <c r="BS7" i="35" s="1"/>
  <c r="BC7" i="46"/>
  <c r="AU7" i="35" s="1"/>
  <c r="BD6" i="46"/>
  <c r="BS6" i="35" s="1"/>
  <c r="BC6" i="46"/>
  <c r="AU6" i="35" s="1"/>
  <c r="BD5" i="46"/>
  <c r="BS5" i="35" s="1"/>
  <c r="BC5" i="46"/>
  <c r="AU5" i="35" s="1"/>
  <c r="BD4" i="46"/>
  <c r="BS4" i="35" s="1"/>
  <c r="BC4" i="46"/>
  <c r="AU4" i="35" s="1"/>
  <c r="BD3" i="46"/>
  <c r="BS3" i="35" s="1"/>
  <c r="BC3" i="46"/>
  <c r="BD2" i="46"/>
  <c r="BS2" i="35" s="1"/>
  <c r="BC2" i="46"/>
  <c r="AU2" i="35" s="1"/>
  <c r="BH30" i="46"/>
  <c r="BG30" i="46"/>
  <c r="AI30" i="46"/>
  <c r="AH30" i="46"/>
  <c r="AG30" i="46"/>
  <c r="AF30" i="46"/>
  <c r="AE30" i="46"/>
  <c r="BH29" i="46"/>
  <c r="BG29" i="46"/>
  <c r="AI29" i="46"/>
  <c r="AH29" i="46"/>
  <c r="AG29" i="46"/>
  <c r="AF29" i="46"/>
  <c r="AE29" i="46"/>
  <c r="BH28" i="46"/>
  <c r="BG28" i="46"/>
  <c r="AI28" i="46"/>
  <c r="AH28" i="46"/>
  <c r="AG28" i="46"/>
  <c r="AF28" i="46"/>
  <c r="AE28" i="46"/>
  <c r="BH27" i="46"/>
  <c r="BG27" i="46"/>
  <c r="AI27" i="46"/>
  <c r="AH27" i="46"/>
  <c r="AG27" i="46"/>
  <c r="AF27" i="46"/>
  <c r="AE27" i="46"/>
  <c r="BH26" i="46"/>
  <c r="BG26" i="46"/>
  <c r="AI26" i="46"/>
  <c r="AH26" i="46"/>
  <c r="AG26" i="46"/>
  <c r="AF26" i="46"/>
  <c r="AE26" i="46"/>
  <c r="BH25" i="46"/>
  <c r="BG25" i="46"/>
  <c r="AI25" i="46"/>
  <c r="AH25" i="46"/>
  <c r="AG25" i="46"/>
  <c r="AF25" i="46"/>
  <c r="AE25" i="46"/>
  <c r="BH24" i="46"/>
  <c r="BG24" i="46"/>
  <c r="AI24" i="46"/>
  <c r="AH24" i="46"/>
  <c r="AG24" i="46"/>
  <c r="AF24" i="46"/>
  <c r="AE24" i="46"/>
  <c r="BH23" i="46"/>
  <c r="BG23" i="46"/>
  <c r="AI23" i="46"/>
  <c r="AH23" i="46"/>
  <c r="AG23" i="46"/>
  <c r="AF23" i="46"/>
  <c r="AE23" i="46"/>
  <c r="BH22" i="46"/>
  <c r="BG22" i="46"/>
  <c r="AI22" i="46"/>
  <c r="AH22" i="46"/>
  <c r="AG22" i="46"/>
  <c r="AF22" i="46"/>
  <c r="AE22" i="46"/>
  <c r="BH21" i="46"/>
  <c r="BG21" i="46"/>
  <c r="AI21" i="46"/>
  <c r="AH21" i="46"/>
  <c r="AG21" i="46"/>
  <c r="AF21" i="46"/>
  <c r="AE21" i="46"/>
  <c r="BH20" i="46"/>
  <c r="BG20" i="46"/>
  <c r="AI20" i="46"/>
  <c r="AH20" i="46"/>
  <c r="AG20" i="46"/>
  <c r="AF20" i="46"/>
  <c r="AE20" i="46"/>
  <c r="BH19" i="46"/>
  <c r="BG19" i="46"/>
  <c r="AI19" i="46"/>
  <c r="AH19" i="46"/>
  <c r="AG19" i="46"/>
  <c r="AF19" i="46"/>
  <c r="AE19" i="46"/>
  <c r="BH18" i="46"/>
  <c r="BG18" i="46"/>
  <c r="AI18" i="46"/>
  <c r="AH18" i="46"/>
  <c r="AG18" i="46"/>
  <c r="AF18" i="46"/>
  <c r="AE18" i="46"/>
  <c r="BH17" i="46"/>
  <c r="BG17" i="46"/>
  <c r="AI17" i="46"/>
  <c r="AH17" i="46"/>
  <c r="AG17" i="46"/>
  <c r="AF17" i="46"/>
  <c r="AE17" i="46"/>
  <c r="BH16" i="46"/>
  <c r="BG16" i="46"/>
  <c r="AI16" i="46"/>
  <c r="AH16" i="46"/>
  <c r="AG16" i="46"/>
  <c r="AF16" i="46"/>
  <c r="AE16" i="46"/>
  <c r="BH15" i="46"/>
  <c r="BG15" i="46"/>
  <c r="AI15" i="46"/>
  <c r="AH15" i="46"/>
  <c r="AG15" i="46"/>
  <c r="AF15" i="46"/>
  <c r="AE15" i="46"/>
  <c r="BH14" i="46"/>
  <c r="BG14" i="46"/>
  <c r="AI14" i="46"/>
  <c r="AH14" i="46"/>
  <c r="AG14" i="46"/>
  <c r="AF14" i="46"/>
  <c r="AE14" i="46"/>
  <c r="BH13" i="46"/>
  <c r="BG13" i="46"/>
  <c r="AI13" i="46"/>
  <c r="AH13" i="46"/>
  <c r="AG13" i="46"/>
  <c r="AF13" i="46"/>
  <c r="AE13" i="46"/>
  <c r="BH12" i="46"/>
  <c r="BG12" i="46"/>
  <c r="AI12" i="46"/>
  <c r="AH12" i="46"/>
  <c r="AG12" i="46"/>
  <c r="AF12" i="46"/>
  <c r="AE12" i="46"/>
  <c r="BH11" i="46"/>
  <c r="BG11" i="46"/>
  <c r="AI11" i="46"/>
  <c r="AH11" i="46"/>
  <c r="AG11" i="46"/>
  <c r="AF11" i="46"/>
  <c r="AE11" i="46"/>
  <c r="BH10" i="46"/>
  <c r="BG10" i="46"/>
  <c r="AI10" i="46"/>
  <c r="AH10" i="46"/>
  <c r="AG10" i="46"/>
  <c r="AF10" i="46"/>
  <c r="AE10" i="46"/>
  <c r="BH9" i="46"/>
  <c r="BG9" i="46"/>
  <c r="AI9" i="46"/>
  <c r="AH9" i="46"/>
  <c r="AG9" i="46"/>
  <c r="AF9" i="46"/>
  <c r="AE9" i="46"/>
  <c r="BH8" i="46"/>
  <c r="BG8" i="46"/>
  <c r="AI8" i="46"/>
  <c r="AH8" i="46"/>
  <c r="AG8" i="46"/>
  <c r="AF8" i="46"/>
  <c r="AE8" i="46"/>
  <c r="BH7" i="46"/>
  <c r="BG7" i="46"/>
  <c r="AI7" i="46"/>
  <c r="AH7" i="46"/>
  <c r="AG7" i="46"/>
  <c r="AF7" i="46"/>
  <c r="AE7" i="46"/>
  <c r="BH6" i="46"/>
  <c r="BG6" i="46"/>
  <c r="AI6" i="46"/>
  <c r="AH6" i="46"/>
  <c r="AG6" i="46"/>
  <c r="AF6" i="46"/>
  <c r="AE6" i="46"/>
  <c r="BH5" i="46"/>
  <c r="BG5" i="46"/>
  <c r="AI5" i="46"/>
  <c r="AH5" i="46"/>
  <c r="AG5" i="46"/>
  <c r="AF5" i="46"/>
  <c r="AE5" i="46"/>
  <c r="BH4" i="46"/>
  <c r="BG4" i="46"/>
  <c r="AI4" i="46"/>
  <c r="AH4" i="46"/>
  <c r="AG4" i="46"/>
  <c r="AF4" i="46"/>
  <c r="AE4" i="46"/>
  <c r="BH3" i="46"/>
  <c r="BG3" i="46"/>
  <c r="AI3" i="46"/>
  <c r="AH3" i="46"/>
  <c r="AG3" i="46"/>
  <c r="AF3" i="46"/>
  <c r="AE3" i="46"/>
  <c r="BH2" i="46"/>
  <c r="BG2" i="46"/>
  <c r="AI2" i="46"/>
  <c r="AH2" i="46"/>
  <c r="AG2" i="46"/>
  <c r="AF2" i="46"/>
  <c r="AE2" i="46"/>
  <c r="AU3" i="35" l="1"/>
  <c r="AA3" i="35"/>
  <c r="BT10" i="35"/>
  <c r="BP10" i="35"/>
  <c r="BL10" i="35"/>
  <c r="BH10" i="35"/>
  <c r="BD10" i="35"/>
  <c r="AZ10" i="35"/>
  <c r="BS10" i="35"/>
  <c r="BO10" i="35"/>
  <c r="BK10" i="35"/>
  <c r="BG10" i="35"/>
  <c r="BC10" i="35"/>
  <c r="AY10" i="35"/>
  <c r="BV10" i="35"/>
  <c r="BR10" i="35"/>
  <c r="BN10" i="35"/>
  <c r="BJ10" i="35"/>
  <c r="BF10" i="35"/>
  <c r="BB10" i="35"/>
  <c r="BU10" i="35"/>
  <c r="BQ10" i="35"/>
  <c r="BM10" i="35"/>
  <c r="BI10" i="35"/>
  <c r="BE10" i="35"/>
  <c r="BA10" i="35"/>
  <c r="BT11" i="35"/>
  <c r="BP11" i="35"/>
  <c r="BL11" i="35"/>
  <c r="BH11" i="35"/>
  <c r="BD11" i="35"/>
  <c r="AZ11" i="35"/>
  <c r="BS11" i="35"/>
  <c r="BO11" i="35"/>
  <c r="BK11" i="35"/>
  <c r="BG11" i="35"/>
  <c r="BC11" i="35"/>
  <c r="AY11" i="35"/>
  <c r="BV11" i="35"/>
  <c r="BR11" i="35"/>
  <c r="BN11" i="35"/>
  <c r="BJ11" i="35"/>
  <c r="BF11" i="35"/>
  <c r="BB11" i="35"/>
  <c r="BU11" i="35"/>
  <c r="BQ11" i="35"/>
  <c r="BM11" i="35"/>
  <c r="BI11" i="35"/>
  <c r="BE11" i="35"/>
  <c r="BA11" i="35"/>
  <c r="BV12" i="35"/>
  <c r="BR12" i="35"/>
  <c r="BN12" i="35"/>
  <c r="BJ12" i="35"/>
  <c r="BF12" i="35"/>
  <c r="BB12" i="35"/>
  <c r="BS12" i="35"/>
  <c r="BM12" i="35"/>
  <c r="BH12" i="35"/>
  <c r="BC12" i="35"/>
  <c r="BQ12" i="35"/>
  <c r="BL12" i="35"/>
  <c r="BG12" i="35"/>
  <c r="BA12" i="35"/>
  <c r="BU12" i="35"/>
  <c r="BP12" i="35"/>
  <c r="BK12" i="35"/>
  <c r="BE12" i="35"/>
  <c r="AZ12" i="35"/>
  <c r="BT12" i="35"/>
  <c r="BO12" i="35"/>
  <c r="BI12" i="35"/>
  <c r="BD12" i="35"/>
  <c r="AY12" i="35"/>
  <c r="BU15" i="35"/>
  <c r="BQ15" i="35"/>
  <c r="BM15" i="35"/>
  <c r="BI15" i="35"/>
  <c r="BE15" i="35"/>
  <c r="BA15" i="35"/>
  <c r="BT15" i="35"/>
  <c r="BP15" i="35"/>
  <c r="BL15" i="35"/>
  <c r="BH15" i="35"/>
  <c r="BD15" i="35"/>
  <c r="AZ15" i="35"/>
  <c r="BS15" i="35"/>
  <c r="BO15" i="35"/>
  <c r="BK15" i="35"/>
  <c r="BG15" i="35"/>
  <c r="BC15" i="35"/>
  <c r="AY15" i="35"/>
  <c r="BV15" i="35"/>
  <c r="BR15" i="35"/>
  <c r="BN15" i="35"/>
  <c r="BJ15" i="35"/>
  <c r="BF15" i="35"/>
  <c r="BB15" i="35"/>
  <c r="BU17" i="35"/>
  <c r="BQ17" i="35"/>
  <c r="BM17" i="35"/>
  <c r="BI17" i="35"/>
  <c r="BE17" i="35"/>
  <c r="BA17" i="35"/>
  <c r="BT17" i="35"/>
  <c r="BP17" i="35"/>
  <c r="BL17" i="35"/>
  <c r="BH17" i="35"/>
  <c r="BD17" i="35"/>
  <c r="AZ17" i="35"/>
  <c r="BS17" i="35"/>
  <c r="BO17" i="35"/>
  <c r="BK17" i="35"/>
  <c r="BG17" i="35"/>
  <c r="BC17" i="35"/>
  <c r="AY17" i="35"/>
  <c r="BV17" i="35"/>
  <c r="BR17" i="35"/>
  <c r="BN17" i="35"/>
  <c r="BJ17" i="35"/>
  <c r="BF17" i="35"/>
  <c r="BB17" i="35"/>
  <c r="BV20" i="35"/>
  <c r="BR20" i="35"/>
  <c r="BN20" i="35"/>
  <c r="BJ20" i="35"/>
  <c r="BF20" i="35"/>
  <c r="BB20" i="35"/>
  <c r="BU20" i="35"/>
  <c r="BQ20" i="35"/>
  <c r="BM20" i="35"/>
  <c r="BI20" i="35"/>
  <c r="BE20" i="35"/>
  <c r="BA20" i="35"/>
  <c r="BT20" i="35"/>
  <c r="BP20" i="35"/>
  <c r="BL20" i="35"/>
  <c r="BH20" i="35"/>
  <c r="BD20" i="35"/>
  <c r="AZ20" i="35"/>
  <c r="BS20" i="35"/>
  <c r="BO20" i="35"/>
  <c r="BK20" i="35"/>
  <c r="BG20" i="35"/>
  <c r="BC20" i="35"/>
  <c r="AY20" i="35"/>
  <c r="BV22" i="35"/>
  <c r="BR22" i="35"/>
  <c r="BN22" i="35"/>
  <c r="BJ22" i="35"/>
  <c r="BF22" i="35"/>
  <c r="BB22" i="35"/>
  <c r="BU22" i="35"/>
  <c r="BQ22" i="35"/>
  <c r="BM22" i="35"/>
  <c r="BI22" i="35"/>
  <c r="BE22" i="35"/>
  <c r="BA22" i="35"/>
  <c r="BT22" i="35"/>
  <c r="BP22" i="35"/>
  <c r="BL22" i="35"/>
  <c r="BH22" i="35"/>
  <c r="BD22" i="35"/>
  <c r="AZ22" i="35"/>
  <c r="BS22" i="35"/>
  <c r="BO22" i="35"/>
  <c r="BK22" i="35"/>
  <c r="BG22" i="35"/>
  <c r="BC22" i="35"/>
  <c r="AY22" i="35"/>
  <c r="BT26" i="35"/>
  <c r="BP26" i="35"/>
  <c r="BL26" i="35"/>
  <c r="BH26" i="35"/>
  <c r="BD26" i="35"/>
  <c r="AZ26" i="35"/>
  <c r="BS26" i="35"/>
  <c r="BO26" i="35"/>
  <c r="BK26" i="35"/>
  <c r="BG26" i="35"/>
  <c r="BC26" i="35"/>
  <c r="AY26" i="35"/>
  <c r="BV26" i="35"/>
  <c r="BR26" i="35"/>
  <c r="BN26" i="35"/>
  <c r="BJ26" i="35"/>
  <c r="BF26" i="35"/>
  <c r="BB26" i="35"/>
  <c r="BU26" i="35"/>
  <c r="BQ26" i="35"/>
  <c r="BM26" i="35"/>
  <c r="BI26" i="35"/>
  <c r="BE26" i="35"/>
  <c r="BA26" i="35"/>
  <c r="BT27" i="35"/>
  <c r="BP27" i="35"/>
  <c r="BL27" i="35"/>
  <c r="BH27" i="35"/>
  <c r="BD27" i="35"/>
  <c r="AZ27" i="35"/>
  <c r="BS27" i="35"/>
  <c r="BO27" i="35"/>
  <c r="BK27" i="35"/>
  <c r="BG27" i="35"/>
  <c r="BC27" i="35"/>
  <c r="AY27" i="35"/>
  <c r="BV27" i="35"/>
  <c r="BR27" i="35"/>
  <c r="BN27" i="35"/>
  <c r="BJ27" i="35"/>
  <c r="BF27" i="35"/>
  <c r="BB27" i="35"/>
  <c r="BU27" i="35"/>
  <c r="BQ27" i="35"/>
  <c r="BM27" i="35"/>
  <c r="BI27" i="35"/>
  <c r="BE27" i="35"/>
  <c r="BA27" i="35"/>
  <c r="BT28" i="35"/>
  <c r="BP28" i="35"/>
  <c r="BL28" i="35"/>
  <c r="BH28" i="35"/>
  <c r="BD28" i="35"/>
  <c r="AZ28" i="35"/>
  <c r="BS28" i="35"/>
  <c r="BO28" i="35"/>
  <c r="BK28" i="35"/>
  <c r="BG28" i="35"/>
  <c r="BC28" i="35"/>
  <c r="AY28" i="35"/>
  <c r="BV28" i="35"/>
  <c r="BR28" i="35"/>
  <c r="BN28" i="35"/>
  <c r="BJ28" i="35"/>
  <c r="BF28" i="35"/>
  <c r="BB28" i="35"/>
  <c r="BU28" i="35"/>
  <c r="BQ28" i="35"/>
  <c r="BM28" i="35"/>
  <c r="BI28" i="35"/>
  <c r="BE28" i="35"/>
  <c r="BA28" i="35"/>
  <c r="BS30" i="35"/>
  <c r="BO30" i="35"/>
  <c r="BK30" i="35"/>
  <c r="BG30" i="35"/>
  <c r="BC30" i="35"/>
  <c r="AY30" i="35"/>
  <c r="BV30" i="35"/>
  <c r="BR30" i="35"/>
  <c r="BN30" i="35"/>
  <c r="BJ30" i="35"/>
  <c r="BF30" i="35"/>
  <c r="BB30" i="35"/>
  <c r="BU30" i="35"/>
  <c r="BQ30" i="35"/>
  <c r="BM30" i="35"/>
  <c r="BI30" i="35"/>
  <c r="BE30" i="35"/>
  <c r="BA30" i="35"/>
  <c r="BT30" i="35"/>
  <c r="BP30" i="35"/>
  <c r="BL30" i="35"/>
  <c r="BH30" i="35"/>
  <c r="BD30" i="35"/>
  <c r="AZ30" i="35"/>
  <c r="D2" i="35"/>
  <c r="H2" i="35"/>
  <c r="L2" i="35"/>
  <c r="P2" i="35"/>
  <c r="T2" i="35"/>
  <c r="X2" i="35"/>
  <c r="AB2" i="35"/>
  <c r="AF2" i="35"/>
  <c r="AJ2" i="35"/>
  <c r="AN2" i="35"/>
  <c r="AR2" i="35"/>
  <c r="AV2" i="35"/>
  <c r="AZ2" i="35"/>
  <c r="BD2" i="35"/>
  <c r="BH2" i="35"/>
  <c r="BL2" i="35"/>
  <c r="BP2" i="35"/>
  <c r="BT2" i="35"/>
  <c r="D3" i="35"/>
  <c r="H3" i="35"/>
  <c r="L3" i="35"/>
  <c r="P3" i="35"/>
  <c r="T3" i="35"/>
  <c r="X3" i="35"/>
  <c r="AB3" i="35"/>
  <c r="AF3" i="35"/>
  <c r="AJ3" i="35"/>
  <c r="AN3" i="35"/>
  <c r="AR3" i="35"/>
  <c r="AV3" i="35"/>
  <c r="AZ3" i="35"/>
  <c r="BD3" i="35"/>
  <c r="BH3" i="35"/>
  <c r="BL3" i="35"/>
  <c r="BP3" i="35"/>
  <c r="BT3" i="35"/>
  <c r="D4" i="35"/>
  <c r="H4" i="35"/>
  <c r="L4" i="35"/>
  <c r="P4" i="35"/>
  <c r="T4" i="35"/>
  <c r="X4" i="35"/>
  <c r="AB4" i="35"/>
  <c r="AF4" i="35"/>
  <c r="AJ4" i="35"/>
  <c r="AN4" i="35"/>
  <c r="AR4" i="35"/>
  <c r="AV4" i="35"/>
  <c r="AZ4" i="35"/>
  <c r="BD4" i="35"/>
  <c r="BH4" i="35"/>
  <c r="BL4" i="35"/>
  <c r="BP4" i="35"/>
  <c r="BT4" i="35"/>
  <c r="D5" i="35"/>
  <c r="H5" i="35"/>
  <c r="L5" i="35"/>
  <c r="P5" i="35"/>
  <c r="T5" i="35"/>
  <c r="X5" i="35"/>
  <c r="AB5" i="35"/>
  <c r="AF5" i="35"/>
  <c r="AJ5" i="35"/>
  <c r="AN5" i="35"/>
  <c r="AR5" i="35"/>
  <c r="AV5" i="35"/>
  <c r="AZ5" i="35"/>
  <c r="BD5" i="35"/>
  <c r="BH5" i="35"/>
  <c r="BL5" i="35"/>
  <c r="BP5" i="35"/>
  <c r="BT5" i="35"/>
  <c r="D6" i="35"/>
  <c r="H6" i="35"/>
  <c r="L6" i="35"/>
  <c r="P6" i="35"/>
  <c r="T6" i="35"/>
  <c r="X6" i="35"/>
  <c r="AB6" i="35"/>
  <c r="AF6" i="35"/>
  <c r="AJ6" i="35"/>
  <c r="AN6" i="35"/>
  <c r="AR6" i="35"/>
  <c r="AV6" i="35"/>
  <c r="AZ6" i="35"/>
  <c r="BD6" i="35"/>
  <c r="BH6" i="35"/>
  <c r="BL6" i="35"/>
  <c r="BP6" i="35"/>
  <c r="BT6" i="35"/>
  <c r="D7" i="35"/>
  <c r="H7" i="35"/>
  <c r="L7" i="35"/>
  <c r="P7" i="35"/>
  <c r="T7" i="35"/>
  <c r="X7" i="35"/>
  <c r="AB7" i="35"/>
  <c r="AF7" i="35"/>
  <c r="AJ7" i="35"/>
  <c r="AN7" i="35"/>
  <c r="AR7" i="35"/>
  <c r="AV7" i="35"/>
  <c r="AZ7" i="35"/>
  <c r="BD7" i="35"/>
  <c r="BH7" i="35"/>
  <c r="BL7" i="35"/>
  <c r="BP7" i="35"/>
  <c r="BT7" i="35"/>
  <c r="D8" i="35"/>
  <c r="H8" i="35"/>
  <c r="L8" i="35"/>
  <c r="P8" i="35"/>
  <c r="T8" i="35"/>
  <c r="X8" i="35"/>
  <c r="AB8" i="35"/>
  <c r="AF8" i="35"/>
  <c r="AJ8" i="35"/>
  <c r="AN8" i="35"/>
  <c r="AR8" i="35"/>
  <c r="AV8" i="35"/>
  <c r="AZ8" i="35"/>
  <c r="BD8" i="35"/>
  <c r="BH8" i="35"/>
  <c r="BL8" i="35"/>
  <c r="BP8" i="35"/>
  <c r="BT8" i="35"/>
  <c r="D9" i="35"/>
  <c r="H9" i="35"/>
  <c r="L9" i="35"/>
  <c r="P9" i="35"/>
  <c r="T9" i="35"/>
  <c r="X9" i="35"/>
  <c r="AB9" i="35"/>
  <c r="AF9" i="35"/>
  <c r="AJ9" i="35"/>
  <c r="AN9" i="35"/>
  <c r="AR9" i="35"/>
  <c r="AV9" i="35"/>
  <c r="AZ9" i="35"/>
  <c r="BD9" i="35"/>
  <c r="BH9" i="35"/>
  <c r="BL9" i="35"/>
  <c r="BP9" i="35"/>
  <c r="BT9" i="35"/>
  <c r="AW13" i="35"/>
  <c r="AS13" i="35"/>
  <c r="AO13" i="35"/>
  <c r="AK13" i="35"/>
  <c r="AG13" i="35"/>
  <c r="AC13" i="35"/>
  <c r="Y13" i="35"/>
  <c r="U13" i="35"/>
  <c r="Q13" i="35"/>
  <c r="M13" i="35"/>
  <c r="I13" i="35"/>
  <c r="E13" i="35"/>
  <c r="AV13" i="35"/>
  <c r="AR13" i="35"/>
  <c r="AN13" i="35"/>
  <c r="AJ13" i="35"/>
  <c r="AF13" i="35"/>
  <c r="AB13" i="35"/>
  <c r="X13" i="35"/>
  <c r="T13" i="35"/>
  <c r="P13" i="35"/>
  <c r="L13" i="35"/>
  <c r="H13" i="35"/>
  <c r="D13" i="35"/>
  <c r="AU13" i="35"/>
  <c r="AQ13" i="35"/>
  <c r="AM13" i="35"/>
  <c r="AI13" i="35"/>
  <c r="AE13" i="35"/>
  <c r="AA13" i="35"/>
  <c r="W13" i="35"/>
  <c r="S13" i="35"/>
  <c r="O13" i="35"/>
  <c r="K13" i="35"/>
  <c r="G13" i="35"/>
  <c r="C13" i="35"/>
  <c r="AX13" i="35"/>
  <c r="AT13" i="35"/>
  <c r="AP13" i="35"/>
  <c r="AL13" i="35"/>
  <c r="AH13" i="35"/>
  <c r="AD13" i="35"/>
  <c r="Z13" i="35"/>
  <c r="V13" i="35"/>
  <c r="R13" i="35"/>
  <c r="N13" i="35"/>
  <c r="J13" i="35"/>
  <c r="F13" i="35"/>
  <c r="AW14" i="35"/>
  <c r="AS14" i="35"/>
  <c r="AO14" i="35"/>
  <c r="AK14" i="35"/>
  <c r="AG14" i="35"/>
  <c r="AC14" i="35"/>
  <c r="Y14" i="35"/>
  <c r="U14" i="35"/>
  <c r="Q14" i="35"/>
  <c r="M14" i="35"/>
  <c r="I14" i="35"/>
  <c r="E14" i="35"/>
  <c r="AV14" i="35"/>
  <c r="AR14" i="35"/>
  <c r="AN14" i="35"/>
  <c r="AJ14" i="35"/>
  <c r="AF14" i="35"/>
  <c r="AB14" i="35"/>
  <c r="X14" i="35"/>
  <c r="T14" i="35"/>
  <c r="P14" i="35"/>
  <c r="L14" i="35"/>
  <c r="H14" i="35"/>
  <c r="D14" i="35"/>
  <c r="AU14" i="35"/>
  <c r="AQ14" i="35"/>
  <c r="AM14" i="35"/>
  <c r="AI14" i="35"/>
  <c r="AE14" i="35"/>
  <c r="AA14" i="35"/>
  <c r="W14" i="35"/>
  <c r="S14" i="35"/>
  <c r="O14" i="35"/>
  <c r="K14" i="35"/>
  <c r="G14" i="35"/>
  <c r="C14" i="35"/>
  <c r="AX14" i="35"/>
  <c r="AT14" i="35"/>
  <c r="AP14" i="35"/>
  <c r="AL14" i="35"/>
  <c r="AH14" i="35"/>
  <c r="AD14" i="35"/>
  <c r="Z14" i="35"/>
  <c r="V14" i="35"/>
  <c r="R14" i="35"/>
  <c r="N14" i="35"/>
  <c r="J14" i="35"/>
  <c r="F14" i="35"/>
  <c r="AW16" i="35"/>
  <c r="AS16" i="35"/>
  <c r="AO16" i="35"/>
  <c r="AK16" i="35"/>
  <c r="AG16" i="35"/>
  <c r="AC16" i="35"/>
  <c r="Y16" i="35"/>
  <c r="U16" i="35"/>
  <c r="Q16" i="35"/>
  <c r="M16" i="35"/>
  <c r="I16" i="35"/>
  <c r="E16" i="35"/>
  <c r="AV16" i="35"/>
  <c r="AR16" i="35"/>
  <c r="AN16" i="35"/>
  <c r="AJ16" i="35"/>
  <c r="AF16" i="35"/>
  <c r="AB16" i="35"/>
  <c r="X16" i="35"/>
  <c r="T16" i="35"/>
  <c r="P16" i="35"/>
  <c r="L16" i="35"/>
  <c r="H16" i="35"/>
  <c r="D16" i="35"/>
  <c r="AU16" i="35"/>
  <c r="AQ16" i="35"/>
  <c r="AM16" i="35"/>
  <c r="AI16" i="35"/>
  <c r="AE16" i="35"/>
  <c r="AA16" i="35"/>
  <c r="W16" i="35"/>
  <c r="S16" i="35"/>
  <c r="O16" i="35"/>
  <c r="K16" i="35"/>
  <c r="G16" i="35"/>
  <c r="C16" i="35"/>
  <c r="AX16" i="35"/>
  <c r="AT16" i="35"/>
  <c r="AP16" i="35"/>
  <c r="AL16" i="35"/>
  <c r="AH16" i="35"/>
  <c r="AD16" i="35"/>
  <c r="Z16" i="35"/>
  <c r="V16" i="35"/>
  <c r="R16" i="35"/>
  <c r="N16" i="35"/>
  <c r="J16" i="35"/>
  <c r="F16" i="35"/>
  <c r="AX18" i="35"/>
  <c r="AT18" i="35"/>
  <c r="AP18" i="35"/>
  <c r="AL18" i="35"/>
  <c r="AH18" i="35"/>
  <c r="AD18" i="35"/>
  <c r="Z18" i="35"/>
  <c r="V18" i="35"/>
  <c r="R18" i="35"/>
  <c r="N18" i="35"/>
  <c r="J18" i="35"/>
  <c r="F18" i="35"/>
  <c r="AW18" i="35"/>
  <c r="AS18" i="35"/>
  <c r="AO18" i="35"/>
  <c r="AK18" i="35"/>
  <c r="AG18" i="35"/>
  <c r="AC18" i="35"/>
  <c r="Y18" i="35"/>
  <c r="U18" i="35"/>
  <c r="Q18" i="35"/>
  <c r="M18" i="35"/>
  <c r="I18" i="35"/>
  <c r="E18" i="35"/>
  <c r="AV18" i="35"/>
  <c r="AR18" i="35"/>
  <c r="AN18" i="35"/>
  <c r="AJ18" i="35"/>
  <c r="AF18" i="35"/>
  <c r="AB18" i="35"/>
  <c r="X18" i="35"/>
  <c r="T18" i="35"/>
  <c r="P18" i="35"/>
  <c r="L18" i="35"/>
  <c r="H18" i="35"/>
  <c r="D18" i="35"/>
  <c r="AU18" i="35"/>
  <c r="AQ18" i="35"/>
  <c r="AM18" i="35"/>
  <c r="AI18" i="35"/>
  <c r="AE18" i="35"/>
  <c r="AA18" i="35"/>
  <c r="W18" i="35"/>
  <c r="S18" i="35"/>
  <c r="O18" i="35"/>
  <c r="K18" i="35"/>
  <c r="G18" i="35"/>
  <c r="C18" i="35"/>
  <c r="AX19" i="35"/>
  <c r="AT19" i="35"/>
  <c r="AP19" i="35"/>
  <c r="AL19" i="35"/>
  <c r="AH19" i="35"/>
  <c r="AD19" i="35"/>
  <c r="Z19" i="35"/>
  <c r="V19" i="35"/>
  <c r="R19" i="35"/>
  <c r="N19" i="35"/>
  <c r="J19" i="35"/>
  <c r="F19" i="35"/>
  <c r="AW19" i="35"/>
  <c r="AS19" i="35"/>
  <c r="AO19" i="35"/>
  <c r="AK19" i="35"/>
  <c r="AG19" i="35"/>
  <c r="AC19" i="35"/>
  <c r="Y19" i="35"/>
  <c r="U19" i="35"/>
  <c r="Q19" i="35"/>
  <c r="M19" i="35"/>
  <c r="I19" i="35"/>
  <c r="E19" i="35"/>
  <c r="AV19" i="35"/>
  <c r="AR19" i="35"/>
  <c r="AN19" i="35"/>
  <c r="AJ19" i="35"/>
  <c r="AF19" i="35"/>
  <c r="AB19" i="35"/>
  <c r="X19" i="35"/>
  <c r="T19" i="35"/>
  <c r="P19" i="35"/>
  <c r="L19" i="35"/>
  <c r="H19" i="35"/>
  <c r="D19" i="35"/>
  <c r="AU19" i="35"/>
  <c r="AQ19" i="35"/>
  <c r="AM19" i="35"/>
  <c r="AI19" i="35"/>
  <c r="AE19" i="35"/>
  <c r="AA19" i="35"/>
  <c r="W19" i="35"/>
  <c r="S19" i="35"/>
  <c r="O19" i="35"/>
  <c r="K19" i="35"/>
  <c r="G19" i="35"/>
  <c r="C19" i="35"/>
  <c r="AX21" i="35"/>
  <c r="AT21" i="35"/>
  <c r="AP21" i="35"/>
  <c r="AL21" i="35"/>
  <c r="AH21" i="35"/>
  <c r="AD21" i="35"/>
  <c r="Z21" i="35"/>
  <c r="V21" i="35"/>
  <c r="R21" i="35"/>
  <c r="N21" i="35"/>
  <c r="J21" i="35"/>
  <c r="F21" i="35"/>
  <c r="AW21" i="35"/>
  <c r="AS21" i="35"/>
  <c r="AO21" i="35"/>
  <c r="AK21" i="35"/>
  <c r="AG21" i="35"/>
  <c r="AC21" i="35"/>
  <c r="Y21" i="35"/>
  <c r="U21" i="35"/>
  <c r="Q21" i="35"/>
  <c r="M21" i="35"/>
  <c r="I21" i="35"/>
  <c r="E21" i="35"/>
  <c r="AV21" i="35"/>
  <c r="AR21" i="35"/>
  <c r="AN21" i="35"/>
  <c r="AJ21" i="35"/>
  <c r="AF21" i="35"/>
  <c r="AB21" i="35"/>
  <c r="X21" i="35"/>
  <c r="T21" i="35"/>
  <c r="P21" i="35"/>
  <c r="L21" i="35"/>
  <c r="H21" i="35"/>
  <c r="D21" i="35"/>
  <c r="AU21" i="35"/>
  <c r="AQ21" i="35"/>
  <c r="AM21" i="35"/>
  <c r="AI21" i="35"/>
  <c r="AE21" i="35"/>
  <c r="AA21" i="35"/>
  <c r="W21" i="35"/>
  <c r="S21" i="35"/>
  <c r="O21" i="35"/>
  <c r="K21" i="35"/>
  <c r="G21" i="35"/>
  <c r="C21" i="35"/>
  <c r="AX23" i="35"/>
  <c r="AT23" i="35"/>
  <c r="AP23" i="35"/>
  <c r="AL23" i="35"/>
  <c r="AH23" i="35"/>
  <c r="AD23" i="35"/>
  <c r="Z23" i="35"/>
  <c r="V23" i="35"/>
  <c r="R23" i="35"/>
  <c r="N23" i="35"/>
  <c r="J23" i="35"/>
  <c r="F23" i="35"/>
  <c r="AW23" i="35"/>
  <c r="AS23" i="35"/>
  <c r="AO23" i="35"/>
  <c r="AK23" i="35"/>
  <c r="AG23" i="35"/>
  <c r="AC23" i="35"/>
  <c r="Y23" i="35"/>
  <c r="U23" i="35"/>
  <c r="Q23" i="35"/>
  <c r="M23" i="35"/>
  <c r="I23" i="35"/>
  <c r="E23" i="35"/>
  <c r="AV23" i="35"/>
  <c r="AR23" i="35"/>
  <c r="AN23" i="35"/>
  <c r="AJ23" i="35"/>
  <c r="AF23" i="35"/>
  <c r="AB23" i="35"/>
  <c r="X23" i="35"/>
  <c r="T23" i="35"/>
  <c r="P23" i="35"/>
  <c r="L23" i="35"/>
  <c r="H23" i="35"/>
  <c r="D23" i="35"/>
  <c r="AU23" i="35"/>
  <c r="AQ23" i="35"/>
  <c r="AM23" i="35"/>
  <c r="AI23" i="35"/>
  <c r="AE23" i="35"/>
  <c r="AA23" i="35"/>
  <c r="W23" i="35"/>
  <c r="S23" i="35"/>
  <c r="O23" i="35"/>
  <c r="K23" i="35"/>
  <c r="G23" i="35"/>
  <c r="C23" i="35"/>
  <c r="AV29" i="35"/>
  <c r="AR29" i="35"/>
  <c r="AN29" i="35"/>
  <c r="AJ29" i="35"/>
  <c r="AF29" i="35"/>
  <c r="AB29" i="35"/>
  <c r="X29" i="35"/>
  <c r="T29" i="35"/>
  <c r="P29" i="35"/>
  <c r="L29" i="35"/>
  <c r="H29" i="35"/>
  <c r="D29" i="35"/>
  <c r="AU29" i="35"/>
  <c r="AQ29" i="35"/>
  <c r="AM29" i="35"/>
  <c r="AI29" i="35"/>
  <c r="AE29" i="35"/>
  <c r="AA29" i="35"/>
  <c r="W29" i="35"/>
  <c r="S29" i="35"/>
  <c r="O29" i="35"/>
  <c r="K29" i="35"/>
  <c r="G29" i="35"/>
  <c r="C29" i="35"/>
  <c r="AX29" i="35"/>
  <c r="AT29" i="35"/>
  <c r="AP29" i="35"/>
  <c r="AL29" i="35"/>
  <c r="AH29" i="35"/>
  <c r="AD29" i="35"/>
  <c r="Z29" i="35"/>
  <c r="V29" i="35"/>
  <c r="R29" i="35"/>
  <c r="N29" i="35"/>
  <c r="J29" i="35"/>
  <c r="F29" i="35"/>
  <c r="AW29" i="35"/>
  <c r="AS29" i="35"/>
  <c r="AO29" i="35"/>
  <c r="AK29" i="35"/>
  <c r="AG29" i="35"/>
  <c r="AC29" i="35"/>
  <c r="Y29" i="35"/>
  <c r="U29" i="35"/>
  <c r="Q29" i="35"/>
  <c r="M29" i="35"/>
  <c r="I29" i="35"/>
  <c r="E29" i="35"/>
  <c r="E2" i="35"/>
  <c r="I2" i="35"/>
  <c r="M2" i="35"/>
  <c r="Q2" i="35"/>
  <c r="U2" i="35"/>
  <c r="Y2" i="35"/>
  <c r="AC2" i="35"/>
  <c r="AG2" i="35"/>
  <c r="AK2" i="35"/>
  <c r="AO2" i="35"/>
  <c r="AS2" i="35"/>
  <c r="AW2" i="35"/>
  <c r="BA2" i="35"/>
  <c r="BE2" i="35"/>
  <c r="BI2" i="35"/>
  <c r="BM2" i="35"/>
  <c r="BQ2" i="35"/>
  <c r="BU2" i="35"/>
  <c r="E3" i="35"/>
  <c r="I3" i="35"/>
  <c r="M3" i="35"/>
  <c r="Q3" i="35"/>
  <c r="U3" i="35"/>
  <c r="Y3" i="35"/>
  <c r="AC3" i="35"/>
  <c r="AG3" i="35"/>
  <c r="AK3" i="35"/>
  <c r="AO3" i="35"/>
  <c r="AS3" i="35"/>
  <c r="AW3" i="35"/>
  <c r="BA3" i="35"/>
  <c r="BE3" i="35"/>
  <c r="BI3" i="35"/>
  <c r="BM3" i="35"/>
  <c r="BQ3" i="35"/>
  <c r="BU3" i="35"/>
  <c r="E4" i="35"/>
  <c r="I4" i="35"/>
  <c r="M4" i="35"/>
  <c r="Q4" i="35"/>
  <c r="U4" i="35"/>
  <c r="Y4" i="35"/>
  <c r="AC4" i="35"/>
  <c r="AG4" i="35"/>
  <c r="AK4" i="35"/>
  <c r="AO4" i="35"/>
  <c r="AS4" i="35"/>
  <c r="AW4" i="35"/>
  <c r="BA4" i="35"/>
  <c r="BE4" i="35"/>
  <c r="BI4" i="35"/>
  <c r="BM4" i="35"/>
  <c r="BQ4" i="35"/>
  <c r="BU4" i="35"/>
  <c r="E5" i="35"/>
  <c r="I5" i="35"/>
  <c r="M5" i="35"/>
  <c r="Q5" i="35"/>
  <c r="U5" i="35"/>
  <c r="Y5" i="35"/>
  <c r="AC5" i="35"/>
  <c r="AG5" i="35"/>
  <c r="AK5" i="35"/>
  <c r="AO5" i="35"/>
  <c r="AS5" i="35"/>
  <c r="AW5" i="35"/>
  <c r="BA5" i="35"/>
  <c r="BE5" i="35"/>
  <c r="BI5" i="35"/>
  <c r="BM5" i="35"/>
  <c r="BQ5" i="35"/>
  <c r="BU5" i="35"/>
  <c r="E6" i="35"/>
  <c r="I6" i="35"/>
  <c r="M6" i="35"/>
  <c r="Q6" i="35"/>
  <c r="U6" i="35"/>
  <c r="Y6" i="35"/>
  <c r="AC6" i="35"/>
  <c r="AG6" i="35"/>
  <c r="AK6" i="35"/>
  <c r="AO6" i="35"/>
  <c r="AS6" i="35"/>
  <c r="AW6" i="35"/>
  <c r="BA6" i="35"/>
  <c r="BE6" i="35"/>
  <c r="BI6" i="35"/>
  <c r="BM6" i="35"/>
  <c r="BQ6" i="35"/>
  <c r="BU6" i="35"/>
  <c r="E7" i="35"/>
  <c r="I7" i="35"/>
  <c r="M7" i="35"/>
  <c r="Q7" i="35"/>
  <c r="U7" i="35"/>
  <c r="Y7" i="35"/>
  <c r="AC7" i="35"/>
  <c r="AG7" i="35"/>
  <c r="AK7" i="35"/>
  <c r="AO7" i="35"/>
  <c r="AS7" i="35"/>
  <c r="AW7" i="35"/>
  <c r="BA7" i="35"/>
  <c r="BE7" i="35"/>
  <c r="BI7" i="35"/>
  <c r="BM7" i="35"/>
  <c r="BQ7" i="35"/>
  <c r="BU7" i="35"/>
  <c r="E8" i="35"/>
  <c r="I8" i="35"/>
  <c r="M8" i="35"/>
  <c r="Q8" i="35"/>
  <c r="U8" i="35"/>
  <c r="Y8" i="35"/>
  <c r="AC8" i="35"/>
  <c r="AG8" i="35"/>
  <c r="AK8" i="35"/>
  <c r="AO8" i="35"/>
  <c r="AS8" i="35"/>
  <c r="AW8" i="35"/>
  <c r="BA8" i="35"/>
  <c r="BE8" i="35"/>
  <c r="BI8" i="35"/>
  <c r="BM8" i="35"/>
  <c r="BQ8" i="35"/>
  <c r="BU8" i="35"/>
  <c r="E9" i="35"/>
  <c r="I9" i="35"/>
  <c r="M9" i="35"/>
  <c r="Q9" i="35"/>
  <c r="U9" i="35"/>
  <c r="Y9" i="35"/>
  <c r="AC9" i="35"/>
  <c r="AG9" i="35"/>
  <c r="AK9" i="35"/>
  <c r="AO9" i="35"/>
  <c r="AS9" i="35"/>
  <c r="AW9" i="35"/>
  <c r="BA9" i="35"/>
  <c r="BE9" i="35"/>
  <c r="BI9" i="35"/>
  <c r="BM9" i="35"/>
  <c r="BQ9" i="35"/>
  <c r="BU9" i="35"/>
  <c r="BU13" i="35"/>
  <c r="BQ13" i="35"/>
  <c r="BM13" i="35"/>
  <c r="BI13" i="35"/>
  <c r="BE13" i="35"/>
  <c r="BA13" i="35"/>
  <c r="BT13" i="35"/>
  <c r="BP13" i="35"/>
  <c r="BL13" i="35"/>
  <c r="BH13" i="35"/>
  <c r="BD13" i="35"/>
  <c r="AZ13" i="35"/>
  <c r="BS13" i="35"/>
  <c r="BO13" i="35"/>
  <c r="BK13" i="35"/>
  <c r="BG13" i="35"/>
  <c r="BC13" i="35"/>
  <c r="AY13" i="35"/>
  <c r="BV13" i="35"/>
  <c r="BR13" i="35"/>
  <c r="BN13" i="35"/>
  <c r="BJ13" i="35"/>
  <c r="BF13" i="35"/>
  <c r="BB13" i="35"/>
  <c r="BU14" i="35"/>
  <c r="BQ14" i="35"/>
  <c r="BM14" i="35"/>
  <c r="BI14" i="35"/>
  <c r="BE14" i="35"/>
  <c r="BA14" i="35"/>
  <c r="BT14" i="35"/>
  <c r="BP14" i="35"/>
  <c r="BL14" i="35"/>
  <c r="BH14" i="35"/>
  <c r="BD14" i="35"/>
  <c r="AZ14" i="35"/>
  <c r="BS14" i="35"/>
  <c r="BO14" i="35"/>
  <c r="BK14" i="35"/>
  <c r="BG14" i="35"/>
  <c r="BC14" i="35"/>
  <c r="AY14" i="35"/>
  <c r="BV14" i="35"/>
  <c r="BR14" i="35"/>
  <c r="BN14" i="35"/>
  <c r="BJ14" i="35"/>
  <c r="BF14" i="35"/>
  <c r="BB14" i="35"/>
  <c r="BU16" i="35"/>
  <c r="BQ16" i="35"/>
  <c r="BM16" i="35"/>
  <c r="BI16" i="35"/>
  <c r="BE16" i="35"/>
  <c r="BA16" i="35"/>
  <c r="BT16" i="35"/>
  <c r="BP16" i="35"/>
  <c r="BL16" i="35"/>
  <c r="BH16" i="35"/>
  <c r="BD16" i="35"/>
  <c r="AZ16" i="35"/>
  <c r="BS16" i="35"/>
  <c r="BO16" i="35"/>
  <c r="BK16" i="35"/>
  <c r="BG16" i="35"/>
  <c r="BC16" i="35"/>
  <c r="AY16" i="35"/>
  <c r="BV16" i="35"/>
  <c r="BR16" i="35"/>
  <c r="BN16" i="35"/>
  <c r="BJ16" i="35"/>
  <c r="BF16" i="35"/>
  <c r="BB16" i="35"/>
  <c r="BV18" i="35"/>
  <c r="BR18" i="35"/>
  <c r="BN18" i="35"/>
  <c r="BJ18" i="35"/>
  <c r="BF18" i="35"/>
  <c r="BB18" i="35"/>
  <c r="BU18" i="35"/>
  <c r="BQ18" i="35"/>
  <c r="BM18" i="35"/>
  <c r="BI18" i="35"/>
  <c r="BE18" i="35"/>
  <c r="BA18" i="35"/>
  <c r="BT18" i="35"/>
  <c r="BP18" i="35"/>
  <c r="BL18" i="35"/>
  <c r="BH18" i="35"/>
  <c r="BD18" i="35"/>
  <c r="AZ18" i="35"/>
  <c r="BS18" i="35"/>
  <c r="BO18" i="35"/>
  <c r="BK18" i="35"/>
  <c r="BG18" i="35"/>
  <c r="BC18" i="35"/>
  <c r="AY18" i="35"/>
  <c r="BV19" i="35"/>
  <c r="BR19" i="35"/>
  <c r="BN19" i="35"/>
  <c r="BJ19" i="35"/>
  <c r="BF19" i="35"/>
  <c r="BB19" i="35"/>
  <c r="BU19" i="35"/>
  <c r="BQ19" i="35"/>
  <c r="BM19" i="35"/>
  <c r="BI19" i="35"/>
  <c r="BE19" i="35"/>
  <c r="BA19" i="35"/>
  <c r="BT19" i="35"/>
  <c r="BP19" i="35"/>
  <c r="BL19" i="35"/>
  <c r="BH19" i="35"/>
  <c r="BD19" i="35"/>
  <c r="AZ19" i="35"/>
  <c r="BS19" i="35"/>
  <c r="BO19" i="35"/>
  <c r="BK19" i="35"/>
  <c r="BG19" i="35"/>
  <c r="BC19" i="35"/>
  <c r="AY19" i="35"/>
  <c r="BV21" i="35"/>
  <c r="BR21" i="35"/>
  <c r="BN21" i="35"/>
  <c r="BJ21" i="35"/>
  <c r="BF21" i="35"/>
  <c r="BB21" i="35"/>
  <c r="BU21" i="35"/>
  <c r="BQ21" i="35"/>
  <c r="BM21" i="35"/>
  <c r="BI21" i="35"/>
  <c r="BE21" i="35"/>
  <c r="BA21" i="35"/>
  <c r="BT21" i="35"/>
  <c r="BP21" i="35"/>
  <c r="BL21" i="35"/>
  <c r="BH21" i="35"/>
  <c r="BD21" i="35"/>
  <c r="AZ21" i="35"/>
  <c r="BS21" i="35"/>
  <c r="BO21" i="35"/>
  <c r="BK21" i="35"/>
  <c r="BG21" i="35"/>
  <c r="BC21" i="35"/>
  <c r="AY21" i="35"/>
  <c r="BV23" i="35"/>
  <c r="BR23" i="35"/>
  <c r="BN23" i="35"/>
  <c r="BJ23" i="35"/>
  <c r="BF23" i="35"/>
  <c r="BB23" i="35"/>
  <c r="BU23" i="35"/>
  <c r="BQ23" i="35"/>
  <c r="BM23" i="35"/>
  <c r="BI23" i="35"/>
  <c r="BE23" i="35"/>
  <c r="BA23" i="35"/>
  <c r="BT23" i="35"/>
  <c r="BP23" i="35"/>
  <c r="BL23" i="35"/>
  <c r="BH23" i="35"/>
  <c r="BD23" i="35"/>
  <c r="AZ23" i="35"/>
  <c r="BS23" i="35"/>
  <c r="BO23" i="35"/>
  <c r="BK23" i="35"/>
  <c r="BG23" i="35"/>
  <c r="BC23" i="35"/>
  <c r="AY23" i="35"/>
  <c r="BT29" i="35"/>
  <c r="BP29" i="35"/>
  <c r="BL29" i="35"/>
  <c r="BH29" i="35"/>
  <c r="BD29" i="35"/>
  <c r="AZ29" i="35"/>
  <c r="BS29" i="35"/>
  <c r="BO29" i="35"/>
  <c r="BK29" i="35"/>
  <c r="BG29" i="35"/>
  <c r="BC29" i="35"/>
  <c r="AY29" i="35"/>
  <c r="BV29" i="35"/>
  <c r="BR29" i="35"/>
  <c r="BN29" i="35"/>
  <c r="BJ29" i="35"/>
  <c r="BF29" i="35"/>
  <c r="BB29" i="35"/>
  <c r="BU29" i="35"/>
  <c r="BQ29" i="35"/>
  <c r="BM29" i="35"/>
  <c r="BI29" i="35"/>
  <c r="BE29" i="35"/>
  <c r="BA29" i="35"/>
  <c r="F2" i="35"/>
  <c r="J2" i="35"/>
  <c r="N2" i="35"/>
  <c r="R2" i="35"/>
  <c r="V2" i="35"/>
  <c r="Z2" i="35"/>
  <c r="AD2" i="35"/>
  <c r="AH2" i="35"/>
  <c r="AL2" i="35"/>
  <c r="AP2" i="35"/>
  <c r="AT2" i="35"/>
  <c r="AX2" i="35"/>
  <c r="BB2" i="35"/>
  <c r="BF2" i="35"/>
  <c r="BJ2" i="35"/>
  <c r="BN2" i="35"/>
  <c r="BR2" i="35"/>
  <c r="BV2" i="35"/>
  <c r="F3" i="35"/>
  <c r="J3" i="35"/>
  <c r="N3" i="35"/>
  <c r="R3" i="35"/>
  <c r="V3" i="35"/>
  <c r="Z3" i="35"/>
  <c r="AD3" i="35"/>
  <c r="AH3" i="35"/>
  <c r="AL3" i="35"/>
  <c r="AP3" i="35"/>
  <c r="AT3" i="35"/>
  <c r="AX3" i="35"/>
  <c r="BB3" i="35"/>
  <c r="BF3" i="35"/>
  <c r="BJ3" i="35"/>
  <c r="BN3" i="35"/>
  <c r="BR3" i="35"/>
  <c r="BV3" i="35"/>
  <c r="F4" i="35"/>
  <c r="J4" i="35"/>
  <c r="N4" i="35"/>
  <c r="R4" i="35"/>
  <c r="V4" i="35"/>
  <c r="Z4" i="35"/>
  <c r="AD4" i="35"/>
  <c r="AH4" i="35"/>
  <c r="AL4" i="35"/>
  <c r="AP4" i="35"/>
  <c r="AT4" i="35"/>
  <c r="AX4" i="35"/>
  <c r="BB4" i="35"/>
  <c r="BF4" i="35"/>
  <c r="BJ4" i="35"/>
  <c r="BN4" i="35"/>
  <c r="BR4" i="35"/>
  <c r="BV4" i="35"/>
  <c r="F5" i="35"/>
  <c r="J5" i="35"/>
  <c r="N5" i="35"/>
  <c r="R5" i="35"/>
  <c r="V5" i="35"/>
  <c r="Z5" i="35"/>
  <c r="AD5" i="35"/>
  <c r="AH5" i="35"/>
  <c r="AL5" i="35"/>
  <c r="AP5" i="35"/>
  <c r="AT5" i="35"/>
  <c r="AX5" i="35"/>
  <c r="BB5" i="35"/>
  <c r="BF5" i="35"/>
  <c r="BJ5" i="35"/>
  <c r="BN5" i="35"/>
  <c r="BR5" i="35"/>
  <c r="BV5" i="35"/>
  <c r="F6" i="35"/>
  <c r="J6" i="35"/>
  <c r="N6" i="35"/>
  <c r="R6" i="35"/>
  <c r="V6" i="35"/>
  <c r="Z6" i="35"/>
  <c r="AD6" i="35"/>
  <c r="AH6" i="35"/>
  <c r="AL6" i="35"/>
  <c r="AP6" i="35"/>
  <c r="AT6" i="35"/>
  <c r="AX6" i="35"/>
  <c r="BB6" i="35"/>
  <c r="BF6" i="35"/>
  <c r="BJ6" i="35"/>
  <c r="BN6" i="35"/>
  <c r="BR6" i="35"/>
  <c r="BV6" i="35"/>
  <c r="F7" i="35"/>
  <c r="J7" i="35"/>
  <c r="N7" i="35"/>
  <c r="R7" i="35"/>
  <c r="V7" i="35"/>
  <c r="Z7" i="35"/>
  <c r="AD7" i="35"/>
  <c r="AH7" i="35"/>
  <c r="AL7" i="35"/>
  <c r="AP7" i="35"/>
  <c r="AT7" i="35"/>
  <c r="AX7" i="35"/>
  <c r="BB7" i="35"/>
  <c r="BF7" i="35"/>
  <c r="BJ7" i="35"/>
  <c r="BN7" i="35"/>
  <c r="BR7" i="35"/>
  <c r="BV7" i="35"/>
  <c r="F8" i="35"/>
  <c r="J8" i="35"/>
  <c r="N8" i="35"/>
  <c r="R8" i="35"/>
  <c r="V8" i="35"/>
  <c r="Z8" i="35"/>
  <c r="AD8" i="35"/>
  <c r="AH8" i="35"/>
  <c r="AL8" i="35"/>
  <c r="AP8" i="35"/>
  <c r="AT8" i="35"/>
  <c r="AX8" i="35"/>
  <c r="BB8" i="35"/>
  <c r="BF8" i="35"/>
  <c r="BJ8" i="35"/>
  <c r="BN8" i="35"/>
  <c r="BR8" i="35"/>
  <c r="BV8" i="35"/>
  <c r="F9" i="35"/>
  <c r="J9" i="35"/>
  <c r="N9" i="35"/>
  <c r="R9" i="35"/>
  <c r="V9" i="35"/>
  <c r="Z9" i="35"/>
  <c r="AD9" i="35"/>
  <c r="AH9" i="35"/>
  <c r="AL9" i="35"/>
  <c r="AP9" i="35"/>
  <c r="AT9" i="35"/>
  <c r="AX9" i="35"/>
  <c r="BB9" i="35"/>
  <c r="BF9" i="35"/>
  <c r="BJ9" i="35"/>
  <c r="BN9" i="35"/>
  <c r="BR9" i="35"/>
  <c r="BV9" i="35"/>
  <c r="AV10" i="35"/>
  <c r="AR10" i="35"/>
  <c r="AN10" i="35"/>
  <c r="AJ10" i="35"/>
  <c r="AF10" i="35"/>
  <c r="AB10" i="35"/>
  <c r="X10" i="35"/>
  <c r="T10" i="35"/>
  <c r="P10" i="35"/>
  <c r="L10" i="35"/>
  <c r="H10" i="35"/>
  <c r="D10" i="35"/>
  <c r="AU10" i="35"/>
  <c r="AQ10" i="35"/>
  <c r="AM10" i="35"/>
  <c r="AI10" i="35"/>
  <c r="AE10" i="35"/>
  <c r="AA10" i="35"/>
  <c r="W10" i="35"/>
  <c r="S10" i="35"/>
  <c r="O10" i="35"/>
  <c r="K10" i="35"/>
  <c r="G10" i="35"/>
  <c r="C10" i="35"/>
  <c r="AX10" i="35"/>
  <c r="AT10" i="35"/>
  <c r="AP10" i="35"/>
  <c r="AL10" i="35"/>
  <c r="AH10" i="35"/>
  <c r="AD10" i="35"/>
  <c r="Z10" i="35"/>
  <c r="V10" i="35"/>
  <c r="R10" i="35"/>
  <c r="N10" i="35"/>
  <c r="J10" i="35"/>
  <c r="F10" i="35"/>
  <c r="AW10" i="35"/>
  <c r="AS10" i="35"/>
  <c r="AO10" i="35"/>
  <c r="AK10" i="35"/>
  <c r="AG10" i="35"/>
  <c r="AC10" i="35"/>
  <c r="Y10" i="35"/>
  <c r="U10" i="35"/>
  <c r="Q10" i="35"/>
  <c r="M10" i="35"/>
  <c r="I10" i="35"/>
  <c r="E10" i="35"/>
  <c r="AV11" i="35"/>
  <c r="AR11" i="35"/>
  <c r="AN11" i="35"/>
  <c r="AJ11" i="35"/>
  <c r="AF11" i="35"/>
  <c r="AB11" i="35"/>
  <c r="X11" i="35"/>
  <c r="T11" i="35"/>
  <c r="P11" i="35"/>
  <c r="L11" i="35"/>
  <c r="H11" i="35"/>
  <c r="D11" i="35"/>
  <c r="AU11" i="35"/>
  <c r="AQ11" i="35"/>
  <c r="AM11" i="35"/>
  <c r="AI11" i="35"/>
  <c r="AE11" i="35"/>
  <c r="AA11" i="35"/>
  <c r="W11" i="35"/>
  <c r="S11" i="35"/>
  <c r="O11" i="35"/>
  <c r="K11" i="35"/>
  <c r="G11" i="35"/>
  <c r="C11" i="35"/>
  <c r="AX11" i="35"/>
  <c r="AT11" i="35"/>
  <c r="AP11" i="35"/>
  <c r="AL11" i="35"/>
  <c r="AH11" i="35"/>
  <c r="AD11" i="35"/>
  <c r="Z11" i="35"/>
  <c r="V11" i="35"/>
  <c r="R11" i="35"/>
  <c r="N11" i="35"/>
  <c r="J11" i="35"/>
  <c r="F11" i="35"/>
  <c r="AW11" i="35"/>
  <c r="AS11" i="35"/>
  <c r="AO11" i="35"/>
  <c r="AK11" i="35"/>
  <c r="AG11" i="35"/>
  <c r="AC11" i="35"/>
  <c r="Y11" i="35"/>
  <c r="U11" i="35"/>
  <c r="Q11" i="35"/>
  <c r="M11" i="35"/>
  <c r="I11" i="35"/>
  <c r="E11" i="35"/>
  <c r="AX12" i="35"/>
  <c r="AT12" i="35"/>
  <c r="AP12" i="35"/>
  <c r="AL12" i="35"/>
  <c r="AH12" i="35"/>
  <c r="AD12" i="35"/>
  <c r="Z12" i="35"/>
  <c r="V12" i="35"/>
  <c r="R12" i="35"/>
  <c r="N12" i="35"/>
  <c r="J12" i="35"/>
  <c r="F12" i="35"/>
  <c r="AW12" i="35"/>
  <c r="AR12" i="35"/>
  <c r="AM12" i="35"/>
  <c r="AG12" i="35"/>
  <c r="AB12" i="35"/>
  <c r="W12" i="35"/>
  <c r="Q12" i="35"/>
  <c r="L12" i="35"/>
  <c r="G12" i="35"/>
  <c r="AV12" i="35"/>
  <c r="AQ12" i="35"/>
  <c r="AK12" i="35"/>
  <c r="AF12" i="35"/>
  <c r="AA12" i="35"/>
  <c r="U12" i="35"/>
  <c r="P12" i="35"/>
  <c r="K12" i="35"/>
  <c r="E12" i="35"/>
  <c r="AU12" i="35"/>
  <c r="AO12" i="35"/>
  <c r="AJ12" i="35"/>
  <c r="AE12" i="35"/>
  <c r="Y12" i="35"/>
  <c r="T12" i="35"/>
  <c r="O12" i="35"/>
  <c r="I12" i="35"/>
  <c r="D12" i="35"/>
  <c r="AS12" i="35"/>
  <c r="AN12" i="35"/>
  <c r="AI12" i="35"/>
  <c r="AC12" i="35"/>
  <c r="X12" i="35"/>
  <c r="S12" i="35"/>
  <c r="M12" i="35"/>
  <c r="H12" i="35"/>
  <c r="C12" i="35"/>
  <c r="AW15" i="35"/>
  <c r="AS15" i="35"/>
  <c r="AO15" i="35"/>
  <c r="AK15" i="35"/>
  <c r="AG15" i="35"/>
  <c r="AC15" i="35"/>
  <c r="Y15" i="35"/>
  <c r="U15" i="35"/>
  <c r="Q15" i="35"/>
  <c r="M15" i="35"/>
  <c r="I15" i="35"/>
  <c r="E15" i="35"/>
  <c r="AV15" i="35"/>
  <c r="AR15" i="35"/>
  <c r="AN15" i="35"/>
  <c r="AJ15" i="35"/>
  <c r="AF15" i="35"/>
  <c r="AB15" i="35"/>
  <c r="X15" i="35"/>
  <c r="T15" i="35"/>
  <c r="P15" i="35"/>
  <c r="L15" i="35"/>
  <c r="H15" i="35"/>
  <c r="D15" i="35"/>
  <c r="AU15" i="35"/>
  <c r="AQ15" i="35"/>
  <c r="AM15" i="35"/>
  <c r="AI15" i="35"/>
  <c r="AE15" i="35"/>
  <c r="AA15" i="35"/>
  <c r="W15" i="35"/>
  <c r="S15" i="35"/>
  <c r="O15" i="35"/>
  <c r="K15" i="35"/>
  <c r="G15" i="35"/>
  <c r="C15" i="35"/>
  <c r="AX15" i="35"/>
  <c r="AT15" i="35"/>
  <c r="AP15" i="35"/>
  <c r="AL15" i="35"/>
  <c r="AH15" i="35"/>
  <c r="AD15" i="35"/>
  <c r="Z15" i="35"/>
  <c r="V15" i="35"/>
  <c r="R15" i="35"/>
  <c r="N15" i="35"/>
  <c r="J15" i="35"/>
  <c r="F15" i="35"/>
  <c r="AW17" i="35"/>
  <c r="AS17" i="35"/>
  <c r="AO17" i="35"/>
  <c r="AK17" i="35"/>
  <c r="AG17" i="35"/>
  <c r="AC17" i="35"/>
  <c r="Y17" i="35"/>
  <c r="U17" i="35"/>
  <c r="Q17" i="35"/>
  <c r="M17" i="35"/>
  <c r="I17" i="35"/>
  <c r="E17" i="35"/>
  <c r="AV17" i="35"/>
  <c r="AR17" i="35"/>
  <c r="AN17" i="35"/>
  <c r="AJ17" i="35"/>
  <c r="AF17" i="35"/>
  <c r="AB17" i="35"/>
  <c r="X17" i="35"/>
  <c r="T17" i="35"/>
  <c r="P17" i="35"/>
  <c r="L17" i="35"/>
  <c r="H17" i="35"/>
  <c r="D17" i="35"/>
  <c r="AU17" i="35"/>
  <c r="AQ17" i="35"/>
  <c r="AM17" i="35"/>
  <c r="AI17" i="35"/>
  <c r="AE17" i="35"/>
  <c r="AA17" i="35"/>
  <c r="W17" i="35"/>
  <c r="S17" i="35"/>
  <c r="O17" i="35"/>
  <c r="K17" i="35"/>
  <c r="G17" i="35"/>
  <c r="C17" i="35"/>
  <c r="AX17" i="35"/>
  <c r="AT17" i="35"/>
  <c r="AP17" i="35"/>
  <c r="AL17" i="35"/>
  <c r="AH17" i="35"/>
  <c r="AD17" i="35"/>
  <c r="Z17" i="35"/>
  <c r="V17" i="35"/>
  <c r="R17" i="35"/>
  <c r="N17" i="35"/>
  <c r="J17" i="35"/>
  <c r="F17" i="35"/>
  <c r="AX20" i="35"/>
  <c r="AT20" i="35"/>
  <c r="AP20" i="35"/>
  <c r="AL20" i="35"/>
  <c r="AH20" i="35"/>
  <c r="AD20" i="35"/>
  <c r="Z20" i="35"/>
  <c r="V20" i="35"/>
  <c r="R20" i="35"/>
  <c r="N20" i="35"/>
  <c r="J20" i="35"/>
  <c r="F20" i="35"/>
  <c r="AW20" i="35"/>
  <c r="AS20" i="35"/>
  <c r="AO20" i="35"/>
  <c r="AK20" i="35"/>
  <c r="AG20" i="35"/>
  <c r="AC20" i="35"/>
  <c r="Y20" i="35"/>
  <c r="U20" i="35"/>
  <c r="Q20" i="35"/>
  <c r="M20" i="35"/>
  <c r="I20" i="35"/>
  <c r="E20" i="35"/>
  <c r="AV20" i="35"/>
  <c r="AR20" i="35"/>
  <c r="AN20" i="35"/>
  <c r="AJ20" i="35"/>
  <c r="AF20" i="35"/>
  <c r="AB20" i="35"/>
  <c r="X20" i="35"/>
  <c r="T20" i="35"/>
  <c r="P20" i="35"/>
  <c r="L20" i="35"/>
  <c r="H20" i="35"/>
  <c r="D20" i="35"/>
  <c r="AU20" i="35"/>
  <c r="AQ20" i="35"/>
  <c r="AM20" i="35"/>
  <c r="AI20" i="35"/>
  <c r="AE20" i="35"/>
  <c r="AA20" i="35"/>
  <c r="W20" i="35"/>
  <c r="S20" i="35"/>
  <c r="O20" i="35"/>
  <c r="K20" i="35"/>
  <c r="G20" i="35"/>
  <c r="C20" i="35"/>
  <c r="AX22" i="35"/>
  <c r="AT22" i="35"/>
  <c r="AP22" i="35"/>
  <c r="AL22" i="35"/>
  <c r="AH22" i="35"/>
  <c r="AD22" i="35"/>
  <c r="Z22" i="35"/>
  <c r="V22" i="35"/>
  <c r="R22" i="35"/>
  <c r="N22" i="35"/>
  <c r="J22" i="35"/>
  <c r="F22" i="35"/>
  <c r="AW22" i="35"/>
  <c r="AS22" i="35"/>
  <c r="AO22" i="35"/>
  <c r="AK22" i="35"/>
  <c r="AG22" i="35"/>
  <c r="AC22" i="35"/>
  <c r="Y22" i="35"/>
  <c r="U22" i="35"/>
  <c r="Q22" i="35"/>
  <c r="M22" i="35"/>
  <c r="I22" i="35"/>
  <c r="E22" i="35"/>
  <c r="AV22" i="35"/>
  <c r="AR22" i="35"/>
  <c r="AN22" i="35"/>
  <c r="AJ22" i="35"/>
  <c r="AF22" i="35"/>
  <c r="AB22" i="35"/>
  <c r="X22" i="35"/>
  <c r="T22" i="35"/>
  <c r="P22" i="35"/>
  <c r="L22" i="35"/>
  <c r="H22" i="35"/>
  <c r="D22" i="35"/>
  <c r="AU22" i="35"/>
  <c r="AQ22" i="35"/>
  <c r="AM22" i="35"/>
  <c r="AI22" i="35"/>
  <c r="AE22" i="35"/>
  <c r="AA22" i="35"/>
  <c r="W22" i="35"/>
  <c r="S22" i="35"/>
  <c r="O22" i="35"/>
  <c r="K22" i="35"/>
  <c r="G22" i="35"/>
  <c r="C22" i="35"/>
  <c r="AV26" i="35"/>
  <c r="AR26" i="35"/>
  <c r="AN26" i="35"/>
  <c r="AJ26" i="35"/>
  <c r="AF26" i="35"/>
  <c r="AB26" i="35"/>
  <c r="X26" i="35"/>
  <c r="T26" i="35"/>
  <c r="P26" i="35"/>
  <c r="L26" i="35"/>
  <c r="H26" i="35"/>
  <c r="D26" i="35"/>
  <c r="AU26" i="35"/>
  <c r="AQ26" i="35"/>
  <c r="AM26" i="35"/>
  <c r="AI26" i="35"/>
  <c r="AE26" i="35"/>
  <c r="AA26" i="35"/>
  <c r="W26" i="35"/>
  <c r="S26" i="35"/>
  <c r="O26" i="35"/>
  <c r="K26" i="35"/>
  <c r="G26" i="35"/>
  <c r="C26" i="35"/>
  <c r="AX26" i="35"/>
  <c r="AT26" i="35"/>
  <c r="AP26" i="35"/>
  <c r="AL26" i="35"/>
  <c r="AH26" i="35"/>
  <c r="AD26" i="35"/>
  <c r="Z26" i="35"/>
  <c r="V26" i="35"/>
  <c r="R26" i="35"/>
  <c r="N26" i="35"/>
  <c r="J26" i="35"/>
  <c r="F26" i="35"/>
  <c r="AW26" i="35"/>
  <c r="AS26" i="35"/>
  <c r="AO26" i="35"/>
  <c r="AK26" i="35"/>
  <c r="AG26" i="35"/>
  <c r="AC26" i="35"/>
  <c r="Y26" i="35"/>
  <c r="U26" i="35"/>
  <c r="Q26" i="35"/>
  <c r="M26" i="35"/>
  <c r="I26" i="35"/>
  <c r="E26" i="35"/>
  <c r="AV27" i="35"/>
  <c r="AR27" i="35"/>
  <c r="AN27" i="35"/>
  <c r="AJ27" i="35"/>
  <c r="AF27" i="35"/>
  <c r="AB27" i="35"/>
  <c r="X27" i="35"/>
  <c r="T27" i="35"/>
  <c r="P27" i="35"/>
  <c r="L27" i="35"/>
  <c r="H27" i="35"/>
  <c r="D27" i="35"/>
  <c r="AU27" i="35"/>
  <c r="AQ27" i="35"/>
  <c r="AM27" i="35"/>
  <c r="AI27" i="35"/>
  <c r="AE27" i="35"/>
  <c r="AA27" i="35"/>
  <c r="W27" i="35"/>
  <c r="S27" i="35"/>
  <c r="O27" i="35"/>
  <c r="K27" i="35"/>
  <c r="G27" i="35"/>
  <c r="C27" i="35"/>
  <c r="AX27" i="35"/>
  <c r="AT27" i="35"/>
  <c r="AP27" i="35"/>
  <c r="AL27" i="35"/>
  <c r="AH27" i="35"/>
  <c r="AD27" i="35"/>
  <c r="Z27" i="35"/>
  <c r="V27" i="35"/>
  <c r="R27" i="35"/>
  <c r="N27" i="35"/>
  <c r="J27" i="35"/>
  <c r="F27" i="35"/>
  <c r="AW27" i="35"/>
  <c r="AS27" i="35"/>
  <c r="AO27" i="35"/>
  <c r="AK27" i="35"/>
  <c r="AG27" i="35"/>
  <c r="AC27" i="35"/>
  <c r="Y27" i="35"/>
  <c r="U27" i="35"/>
  <c r="Q27" i="35"/>
  <c r="M27" i="35"/>
  <c r="I27" i="35"/>
  <c r="E27" i="35"/>
  <c r="AV28" i="35"/>
  <c r="AR28" i="35"/>
  <c r="AN28" i="35"/>
  <c r="AJ28" i="35"/>
  <c r="AF28" i="35"/>
  <c r="AB28" i="35"/>
  <c r="X28" i="35"/>
  <c r="T28" i="35"/>
  <c r="P28" i="35"/>
  <c r="L28" i="35"/>
  <c r="H28" i="35"/>
  <c r="D28" i="35"/>
  <c r="AU28" i="35"/>
  <c r="AQ28" i="35"/>
  <c r="AM28" i="35"/>
  <c r="AI28" i="35"/>
  <c r="AE28" i="35"/>
  <c r="AA28" i="35"/>
  <c r="W28" i="35"/>
  <c r="S28" i="35"/>
  <c r="O28" i="35"/>
  <c r="K28" i="35"/>
  <c r="G28" i="35"/>
  <c r="C28" i="35"/>
  <c r="AX28" i="35"/>
  <c r="AT28" i="35"/>
  <c r="AP28" i="35"/>
  <c r="AL28" i="35"/>
  <c r="AH28" i="35"/>
  <c r="AD28" i="35"/>
  <c r="Z28" i="35"/>
  <c r="V28" i="35"/>
  <c r="R28" i="35"/>
  <c r="N28" i="35"/>
  <c r="J28" i="35"/>
  <c r="F28" i="35"/>
  <c r="AW28" i="35"/>
  <c r="AS28" i="35"/>
  <c r="AO28" i="35"/>
  <c r="AK28" i="35"/>
  <c r="AG28" i="35"/>
  <c r="AC28" i="35"/>
  <c r="Y28" i="35"/>
  <c r="U28" i="35"/>
  <c r="Q28" i="35"/>
  <c r="M28" i="35"/>
  <c r="I28" i="35"/>
  <c r="E28" i="35"/>
  <c r="AU30" i="35"/>
  <c r="AQ30" i="35"/>
  <c r="AM30" i="35"/>
  <c r="AI30" i="35"/>
  <c r="AE30" i="35"/>
  <c r="AA30" i="35"/>
  <c r="W30" i="35"/>
  <c r="S30" i="35"/>
  <c r="O30" i="35"/>
  <c r="K30" i="35"/>
  <c r="G30" i="35"/>
  <c r="C30" i="35"/>
  <c r="AX30" i="35"/>
  <c r="AT30" i="35"/>
  <c r="AP30" i="35"/>
  <c r="AL30" i="35"/>
  <c r="AH30" i="35"/>
  <c r="AD30" i="35"/>
  <c r="Z30" i="35"/>
  <c r="V30" i="35"/>
  <c r="R30" i="35"/>
  <c r="N30" i="35"/>
  <c r="J30" i="35"/>
  <c r="F30" i="35"/>
  <c r="AW30" i="35"/>
  <c r="AS30" i="35"/>
  <c r="AO30" i="35"/>
  <c r="AK30" i="35"/>
  <c r="AG30" i="35"/>
  <c r="AC30" i="35"/>
  <c r="Y30" i="35"/>
  <c r="U30" i="35"/>
  <c r="Q30" i="35"/>
  <c r="M30" i="35"/>
  <c r="I30" i="35"/>
  <c r="E30" i="35"/>
  <c r="AV30" i="35"/>
  <c r="AR30" i="35"/>
  <c r="AN30" i="35"/>
  <c r="AJ30" i="35"/>
  <c r="AF30" i="35"/>
  <c r="AB30" i="35"/>
  <c r="X30" i="35"/>
  <c r="T30" i="35"/>
  <c r="P30" i="35"/>
  <c r="L30" i="35"/>
  <c r="H30" i="35"/>
  <c r="D30" i="35"/>
  <c r="C2" i="35"/>
  <c r="G2" i="35"/>
  <c r="K2" i="35"/>
  <c r="O2" i="35"/>
  <c r="S2" i="35"/>
  <c r="W2" i="35"/>
  <c r="AA2" i="35"/>
  <c r="AE2" i="35"/>
  <c r="AI2" i="35"/>
  <c r="AM2" i="35"/>
  <c r="AQ2" i="35"/>
  <c r="AY2" i="35"/>
  <c r="BC2" i="35"/>
  <c r="BG2" i="35"/>
  <c r="BK2" i="35"/>
  <c r="BO2" i="35"/>
  <c r="C3" i="35"/>
  <c r="G3" i="35"/>
  <c r="K3" i="35"/>
  <c r="O3" i="35"/>
  <c r="S3" i="35"/>
  <c r="W3" i="35"/>
  <c r="AE3" i="35"/>
  <c r="AI3" i="35"/>
  <c r="AM3" i="35"/>
  <c r="AQ3" i="35"/>
  <c r="AY3" i="35"/>
  <c r="BC3" i="35"/>
  <c r="BG3" i="35"/>
  <c r="BK3" i="35"/>
  <c r="BO3" i="35"/>
  <c r="C4" i="35"/>
  <c r="G4" i="35"/>
  <c r="K4" i="35"/>
  <c r="O4" i="35"/>
  <c r="S4" i="35"/>
  <c r="W4" i="35"/>
  <c r="AA4" i="35"/>
  <c r="AE4" i="35"/>
  <c r="AI4" i="35"/>
  <c r="AM4" i="35"/>
  <c r="AQ4" i="35"/>
  <c r="AY4" i="35"/>
  <c r="BC4" i="35"/>
  <c r="BG4" i="35"/>
  <c r="BK4" i="35"/>
  <c r="BO4" i="35"/>
  <c r="C5" i="35"/>
  <c r="G5" i="35"/>
  <c r="K5" i="35"/>
  <c r="O5" i="35"/>
  <c r="S5" i="35"/>
  <c r="W5" i="35"/>
  <c r="AA5" i="35"/>
  <c r="AE5" i="35"/>
  <c r="AI5" i="35"/>
  <c r="AM5" i="35"/>
  <c r="AQ5" i="35"/>
  <c r="AY5" i="35"/>
  <c r="BC5" i="35"/>
  <c r="BG5" i="35"/>
  <c r="BK5" i="35"/>
  <c r="BO5" i="35"/>
  <c r="C6" i="35"/>
  <c r="G6" i="35"/>
  <c r="K6" i="35"/>
  <c r="O6" i="35"/>
  <c r="S6" i="35"/>
  <c r="W6" i="35"/>
  <c r="AA6" i="35"/>
  <c r="AE6" i="35"/>
  <c r="AI6" i="35"/>
  <c r="AM6" i="35"/>
  <c r="AQ6" i="35"/>
  <c r="AY6" i="35"/>
  <c r="BC6" i="35"/>
  <c r="BG6" i="35"/>
  <c r="BK6" i="35"/>
  <c r="BO6" i="35"/>
  <c r="C7" i="35"/>
  <c r="G7" i="35"/>
  <c r="K7" i="35"/>
  <c r="O7" i="35"/>
  <c r="S7" i="35"/>
  <c r="W7" i="35"/>
  <c r="AA7" i="35"/>
  <c r="AE7" i="35"/>
  <c r="AI7" i="35"/>
  <c r="AM7" i="35"/>
  <c r="AQ7" i="35"/>
  <c r="AY7" i="35"/>
  <c r="BC7" i="35"/>
  <c r="BG7" i="35"/>
  <c r="BK7" i="35"/>
  <c r="BO7" i="35"/>
  <c r="C8" i="35"/>
  <c r="G8" i="35"/>
  <c r="K8" i="35"/>
  <c r="O8" i="35"/>
  <c r="S8" i="35"/>
  <c r="W8" i="35"/>
  <c r="AA8" i="35"/>
  <c r="AE8" i="35"/>
  <c r="AI8" i="35"/>
  <c r="AM8" i="35"/>
  <c r="AQ8" i="35"/>
  <c r="AY8" i="35"/>
  <c r="BC8" i="35"/>
  <c r="BG8" i="35"/>
  <c r="BK8" i="35"/>
  <c r="BO8" i="35"/>
  <c r="C9" i="35"/>
  <c r="G9" i="35"/>
  <c r="K9" i="35"/>
  <c r="O9" i="35"/>
  <c r="S9" i="35"/>
  <c r="W9" i="35"/>
  <c r="AA9" i="35"/>
  <c r="AE9" i="35"/>
  <c r="AI9" i="35"/>
  <c r="AM9" i="35"/>
  <c r="AQ9" i="35"/>
  <c r="AY9" i="35"/>
  <c r="BC9" i="35"/>
  <c r="BG9" i="35"/>
  <c r="BK9" i="35"/>
  <c r="BO9" i="35"/>
  <c r="B39" i="3" l="1"/>
  <c r="B30" i="3" s="1"/>
  <c r="BD2" i="1" l="1"/>
  <c r="DF30" i="38" l="1"/>
  <c r="DF35" i="38" s="1"/>
  <c r="DF27" i="38"/>
  <c r="DF25" i="38"/>
  <c r="DF21" i="38"/>
  <c r="DF26" i="38"/>
  <c r="DF36" i="38" s="1"/>
  <c r="DF20" i="38"/>
  <c r="DF16" i="38"/>
  <c r="DF12" i="38"/>
  <c r="DF9" i="38"/>
  <c r="DF6" i="38"/>
  <c r="DF47" i="38" s="1"/>
  <c r="DF29" i="38"/>
  <c r="DF28" i="38"/>
  <c r="DF43" i="38" s="1"/>
  <c r="DF19" i="38"/>
  <c r="DF42" i="38" s="1"/>
  <c r="DF23" i="38"/>
  <c r="DF49" i="38" s="1"/>
  <c r="DF3" i="38"/>
  <c r="DF32" i="38" s="1"/>
  <c r="V28" i="38"/>
  <c r="V43" i="38" s="1"/>
  <c r="V23" i="38"/>
  <c r="V49" i="38" s="1"/>
  <c r="V17" i="38"/>
  <c r="V15" i="38"/>
  <c r="V44" i="38" s="1"/>
  <c r="V13" i="38"/>
  <c r="V33" i="38" s="1"/>
  <c r="V11" i="38"/>
  <c r="V39" i="38" s="1"/>
  <c r="DF15" i="38"/>
  <c r="DF44" i="38" s="1"/>
  <c r="DF14" i="38"/>
  <c r="DF34" i="38" s="1"/>
  <c r="DF11" i="38"/>
  <c r="DF39" i="38" s="1"/>
  <c r="V26" i="38"/>
  <c r="V36" i="38" s="1"/>
  <c r="V24" i="38"/>
  <c r="V22" i="38"/>
  <c r="V37" i="38" s="1"/>
  <c r="V21" i="38"/>
  <c r="V10" i="38"/>
  <c r="V46" i="38" s="1"/>
  <c r="V5" i="38"/>
  <c r="V4" i="38"/>
  <c r="V40" i="38" s="1"/>
  <c r="V3" i="38"/>
  <c r="V32" i="38" s="1"/>
  <c r="V2" i="38"/>
  <c r="V38" i="38" s="1"/>
  <c r="DF17" i="38"/>
  <c r="DF10" i="38"/>
  <c r="DF46" i="38" s="1"/>
  <c r="DF45" i="38" s="1"/>
  <c r="DF2" i="38"/>
  <c r="DF38" i="38" s="1"/>
  <c r="V20" i="38"/>
  <c r="V9" i="38"/>
  <c r="V7" i="38"/>
  <c r="DF24" i="38"/>
  <c r="DF18" i="38"/>
  <c r="DF7" i="38"/>
  <c r="DF4" i="38"/>
  <c r="DF40" i="38" s="1"/>
  <c r="V29" i="38"/>
  <c r="V27" i="38"/>
  <c r="V18" i="38"/>
  <c r="V16" i="38"/>
  <c r="V12" i="38"/>
  <c r="DF13" i="38"/>
  <c r="DF33" i="38" s="1"/>
  <c r="DF5" i="38"/>
  <c r="V19" i="38"/>
  <c r="V42" i="38" s="1"/>
  <c r="V14" i="38"/>
  <c r="V34" i="38" s="1"/>
  <c r="DF22" i="38"/>
  <c r="DF37" i="38" s="1"/>
  <c r="DF8" i="38"/>
  <c r="DF41" i="38" s="1"/>
  <c r="V8" i="38"/>
  <c r="V41" i="38" s="1"/>
  <c r="V6" i="38"/>
  <c r="V47" i="38" s="1"/>
  <c r="V25" i="38"/>
  <c r="V30" i="38"/>
  <c r="V35" i="38" s="1"/>
  <c r="DF29" i="18"/>
  <c r="DF27" i="18"/>
  <c r="DF25" i="18"/>
  <c r="DF23" i="18"/>
  <c r="DF49" i="18" s="1"/>
  <c r="DF21" i="18"/>
  <c r="DF19" i="18"/>
  <c r="DF42" i="18" s="1"/>
  <c r="DF17" i="18"/>
  <c r="DF15" i="18"/>
  <c r="DF44" i="18" s="1"/>
  <c r="DF13" i="18"/>
  <c r="DF33" i="18" s="1"/>
  <c r="DF30" i="18"/>
  <c r="DF35" i="18" s="1"/>
  <c r="DF28" i="18"/>
  <c r="DF43" i="18" s="1"/>
  <c r="DF26" i="18"/>
  <c r="DF36" i="18" s="1"/>
  <c r="DF24" i="18"/>
  <c r="DF22" i="18"/>
  <c r="DF37" i="18" s="1"/>
  <c r="DF20" i="18"/>
  <c r="DF18" i="18"/>
  <c r="DF16" i="18"/>
  <c r="DF14" i="18"/>
  <c r="DF34" i="18" s="1"/>
  <c r="DF10" i="18"/>
  <c r="DF46" i="18" s="1"/>
  <c r="DF8" i="18"/>
  <c r="DF41" i="18" s="1"/>
  <c r="DF6" i="18"/>
  <c r="DF47" i="18" s="1"/>
  <c r="DF4" i="18"/>
  <c r="DF40" i="18" s="1"/>
  <c r="DF2" i="18"/>
  <c r="DF38" i="18" s="1"/>
  <c r="DF12" i="18"/>
  <c r="DF9" i="18"/>
  <c r="DF5" i="18"/>
  <c r="DF11" i="18"/>
  <c r="DF39" i="18" s="1"/>
  <c r="DF3" i="18"/>
  <c r="DF32" i="18" s="1"/>
  <c r="DF7" i="18"/>
  <c r="V30" i="18"/>
  <c r="V35" i="18" s="1"/>
  <c r="V31" i="18" s="1"/>
  <c r="V28" i="18"/>
  <c r="V43" i="18" s="1"/>
  <c r="V26" i="18"/>
  <c r="V36" i="18" s="1"/>
  <c r="V24" i="18"/>
  <c r="V22" i="18"/>
  <c r="V37" i="18" s="1"/>
  <c r="V20" i="18"/>
  <c r="V18" i="18"/>
  <c r="V16" i="18"/>
  <c r="V14" i="18"/>
  <c r="V34" i="18" s="1"/>
  <c r="V12" i="18"/>
  <c r="V11" i="18"/>
  <c r="V39" i="18" s="1"/>
  <c r="V9" i="18"/>
  <c r="V7" i="18"/>
  <c r="V5" i="18"/>
  <c r="V3" i="18"/>
  <c r="V32" i="18" s="1"/>
  <c r="V29" i="18"/>
  <c r="V27" i="18"/>
  <c r="V25" i="18"/>
  <c r="V23" i="18"/>
  <c r="V49" i="18" s="1"/>
  <c r="V21" i="18"/>
  <c r="V19" i="18"/>
  <c r="V42" i="18" s="1"/>
  <c r="V17" i="18"/>
  <c r="V15" i="18"/>
  <c r="V44" i="18" s="1"/>
  <c r="V13" i="18"/>
  <c r="V33" i="18" s="1"/>
  <c r="V10" i="18"/>
  <c r="V46" i="18" s="1"/>
  <c r="V45" i="18" s="1"/>
  <c r="V8" i="18"/>
  <c r="V41" i="18" s="1"/>
  <c r="V6" i="18"/>
  <c r="V47" i="18" s="1"/>
  <c r="V4" i="18"/>
  <c r="V40" i="18" s="1"/>
  <c r="V2" i="18"/>
  <c r="V38" i="18" s="1"/>
  <c r="DF64" i="18" l="1"/>
  <c r="DF50" i="18"/>
  <c r="DF53" i="18"/>
  <c r="DF67" i="18"/>
  <c r="DF76" i="18"/>
  <c r="DF62" i="18"/>
  <c r="DF54" i="18"/>
  <c r="DF68" i="18"/>
  <c r="V72" i="18"/>
  <c r="V58" i="18"/>
  <c r="V64" i="18"/>
  <c r="V50" i="18"/>
  <c r="V48" i="18" s="1"/>
  <c r="DF55" i="18"/>
  <c r="DF69" i="18"/>
  <c r="V75" i="18"/>
  <c r="V61" i="18"/>
  <c r="V76" i="18"/>
  <c r="V62" i="18"/>
  <c r="V71" i="18"/>
  <c r="V57" i="18"/>
  <c r="V55" i="18"/>
  <c r="V69" i="18"/>
  <c r="DF74" i="18"/>
  <c r="DF60" i="18"/>
  <c r="V56" i="18"/>
  <c r="V70" i="18"/>
  <c r="V74" i="18"/>
  <c r="V60" i="18"/>
  <c r="V67" i="18"/>
  <c r="V53" i="18"/>
  <c r="DF45" i="18"/>
  <c r="DF66" i="18"/>
  <c r="DF52" i="18"/>
  <c r="DF71" i="18"/>
  <c r="DF57" i="18"/>
  <c r="V73" i="18"/>
  <c r="V59" i="18"/>
  <c r="V68" i="18"/>
  <c r="V54" i="18"/>
  <c r="DF73" i="18"/>
  <c r="DF59" i="18"/>
  <c r="DF72" i="18"/>
  <c r="DF58" i="18"/>
  <c r="DF65" i="18"/>
  <c r="DF51" i="18"/>
  <c r="DF48" i="18" s="1"/>
  <c r="V65" i="18"/>
  <c r="V51" i="18"/>
  <c r="DF31" i="18"/>
  <c r="DF75" i="18"/>
  <c r="DF61" i="18"/>
  <c r="V66" i="18"/>
  <c r="V52" i="18"/>
  <c r="DF70" i="18"/>
  <c r="DF56" i="18"/>
  <c r="DF31" i="38"/>
  <c r="V31" i="38"/>
  <c r="V45" i="38"/>
  <c r="CC6" i="18"/>
  <c r="CC47" i="18" s="1"/>
  <c r="CC7" i="18"/>
  <c r="CC23" i="18"/>
  <c r="CC49" i="18" s="1"/>
  <c r="CC24" i="18"/>
  <c r="CC26" i="18"/>
  <c r="CC36" i="18" s="1"/>
  <c r="CC16" i="18"/>
  <c r="CC17" i="18"/>
  <c r="CC3" i="38"/>
  <c r="CC32" i="38" s="1"/>
  <c r="CC6" i="38"/>
  <c r="CC47" i="38" s="1"/>
  <c r="V62" i="38"/>
  <c r="V76" i="38"/>
  <c r="CC8" i="38"/>
  <c r="CC41" i="38" s="1"/>
  <c r="CC22" i="38"/>
  <c r="CC37" i="38" s="1"/>
  <c r="V56" i="38"/>
  <c r="V70" i="38"/>
  <c r="CC15" i="38"/>
  <c r="CC44" i="38" s="1"/>
  <c r="CC21" i="38"/>
  <c r="CC26" i="38"/>
  <c r="CC36" i="38" s="1"/>
  <c r="CC5" i="38"/>
  <c r="CC14" i="38"/>
  <c r="CC34" i="38" s="1"/>
  <c r="DF70" i="38"/>
  <c r="DF56" i="38"/>
  <c r="CC27" i="38"/>
  <c r="CC14" i="18"/>
  <c r="CC34" i="18" s="1"/>
  <c r="CC28" i="18"/>
  <c r="CC43" i="18" s="1"/>
  <c r="CC21" i="18"/>
  <c r="CC7" i="38"/>
  <c r="V60" i="38"/>
  <c r="V74" i="38"/>
  <c r="V57" i="38"/>
  <c r="V71" i="38"/>
  <c r="CC10" i="38"/>
  <c r="CC46" i="38" s="1"/>
  <c r="DF55" i="38"/>
  <c r="DF69" i="38"/>
  <c r="DF52" i="38"/>
  <c r="DF66" i="38"/>
  <c r="V67" i="38"/>
  <c r="V53" i="38"/>
  <c r="V55" i="38"/>
  <c r="V69" i="38"/>
  <c r="CC4" i="38"/>
  <c r="CC40" i="38" s="1"/>
  <c r="CC12" i="38"/>
  <c r="V52" i="38"/>
  <c r="V66" i="38"/>
  <c r="CC29" i="38"/>
  <c r="CC11" i="38"/>
  <c r="CC39" i="38" s="1"/>
  <c r="DF58" i="38"/>
  <c r="DF72" i="38"/>
  <c r="CC23" i="38"/>
  <c r="CC49" i="38" s="1"/>
  <c r="DF62" i="38"/>
  <c r="DF76" i="38"/>
  <c r="CC11" i="18"/>
  <c r="CC39" i="18" s="1"/>
  <c r="CC30" i="18"/>
  <c r="CC35" i="18" s="1"/>
  <c r="CC18" i="18"/>
  <c r="CC15" i="18"/>
  <c r="CC44" i="18" s="1"/>
  <c r="CC12" i="18"/>
  <c r="CC10" i="18"/>
  <c r="CC46" i="18" s="1"/>
  <c r="CC4" i="18"/>
  <c r="CC40" i="18" s="1"/>
  <c r="CC9" i="18"/>
  <c r="CC25" i="18"/>
  <c r="CC25" i="38"/>
  <c r="DF67" i="38"/>
  <c r="DF53" i="38"/>
  <c r="CC9" i="38"/>
  <c r="V58" i="38"/>
  <c r="V72" i="38"/>
  <c r="DF75" i="38"/>
  <c r="DF61" i="38"/>
  <c r="V73" i="38"/>
  <c r="V59" i="38"/>
  <c r="CC13" i="38"/>
  <c r="CC33" i="38" s="1"/>
  <c r="CC16" i="38"/>
  <c r="DF71" i="38"/>
  <c r="DF57" i="38"/>
  <c r="DF74" i="38"/>
  <c r="DF60" i="38"/>
  <c r="DF64" i="38"/>
  <c r="DF50" i="38"/>
  <c r="CC27" i="18"/>
  <c r="CC5" i="18"/>
  <c r="CC2" i="18"/>
  <c r="CC38" i="18" s="1"/>
  <c r="CC3" i="18"/>
  <c r="CC32" i="18" s="1"/>
  <c r="CC19" i="18"/>
  <c r="CC42" i="18" s="1"/>
  <c r="CC20" i="18"/>
  <c r="CC22" i="18"/>
  <c r="CC37" i="18" s="1"/>
  <c r="CC8" i="18"/>
  <c r="CC41" i="18" s="1"/>
  <c r="CC13" i="18"/>
  <c r="CC33" i="18" s="1"/>
  <c r="CC29" i="18"/>
  <c r="V64" i="38"/>
  <c r="V50" i="38"/>
  <c r="CC19" i="38"/>
  <c r="CC42" i="38" s="1"/>
  <c r="V75" i="38"/>
  <c r="V61" i="38"/>
  <c r="DF73" i="38"/>
  <c r="DF59" i="38"/>
  <c r="CC20" i="38"/>
  <c r="V68" i="38"/>
  <c r="V54" i="38"/>
  <c r="V51" i="38"/>
  <c r="V65" i="38"/>
  <c r="CC2" i="38"/>
  <c r="CC38" i="38" s="1"/>
  <c r="CC17" i="38"/>
  <c r="CC24" i="38"/>
  <c r="CC28" i="38"/>
  <c r="CC43" i="38" s="1"/>
  <c r="CC30" i="38"/>
  <c r="CC35" i="38" s="1"/>
  <c r="DF68" i="38"/>
  <c r="DF54" i="38"/>
  <c r="CC18" i="38"/>
  <c r="DF65" i="38"/>
  <c r="DF51" i="38"/>
  <c r="CC45" i="18" l="1"/>
  <c r="CC68" i="18"/>
  <c r="CC54" i="18"/>
  <c r="CC31" i="18"/>
  <c r="CC67" i="18"/>
  <c r="CC53" i="18"/>
  <c r="CC74" i="18"/>
  <c r="CC60" i="18"/>
  <c r="CC66" i="18"/>
  <c r="CC52" i="18"/>
  <c r="CC76" i="18"/>
  <c r="CC62" i="18"/>
  <c r="CC75" i="18"/>
  <c r="CC61" i="18"/>
  <c r="CC72" i="18"/>
  <c r="CC58" i="18"/>
  <c r="CC48" i="18" s="1"/>
  <c r="CC64" i="18"/>
  <c r="CC50" i="18"/>
  <c r="CC71" i="18"/>
  <c r="CC57" i="18"/>
  <c r="CC69" i="18"/>
  <c r="CC55" i="18"/>
  <c r="V63" i="18"/>
  <c r="CC70" i="18"/>
  <c r="CC56" i="18"/>
  <c r="CC65" i="18"/>
  <c r="CC51" i="18"/>
  <c r="CC73" i="18"/>
  <c r="CC59" i="18"/>
  <c r="DF63" i="18"/>
  <c r="DF48" i="38"/>
  <c r="DF63" i="38"/>
  <c r="V48" i="38"/>
  <c r="V63" i="38"/>
  <c r="CC76" i="38"/>
  <c r="CC62" i="38"/>
  <c r="CC52" i="38"/>
  <c r="CC66" i="38"/>
  <c r="CC45" i="38"/>
  <c r="CC70" i="38"/>
  <c r="CC56" i="38"/>
  <c r="CC58" i="38"/>
  <c r="CC72" i="38"/>
  <c r="CC31" i="38"/>
  <c r="CC67" i="38"/>
  <c r="CC53" i="38"/>
  <c r="CC75" i="38"/>
  <c r="CC61" i="38"/>
  <c r="CC68" i="38"/>
  <c r="CC54" i="38"/>
  <c r="CC74" i="38"/>
  <c r="CC60" i="38"/>
  <c r="CC71" i="38"/>
  <c r="CC57" i="38"/>
  <c r="CC69" i="38"/>
  <c r="CC55" i="38"/>
  <c r="CC65" i="38"/>
  <c r="CC51" i="38"/>
  <c r="CC73" i="38"/>
  <c r="CC59" i="38"/>
  <c r="CC64" i="38"/>
  <c r="CC50" i="38"/>
  <c r="CQ30" i="38"/>
  <c r="CQ24" i="38"/>
  <c r="CQ20" i="38"/>
  <c r="CQ10" i="38"/>
  <c r="CQ15" i="38"/>
  <c r="CQ18" i="38"/>
  <c r="CQ19" i="38"/>
  <c r="CQ16" i="38"/>
  <c r="CQ11" i="38"/>
  <c r="CQ26" i="38"/>
  <c r="CQ3" i="38"/>
  <c r="CQ28" i="38"/>
  <c r="CQ17" i="38"/>
  <c r="CQ9" i="38"/>
  <c r="CQ22" i="38"/>
  <c r="CQ2" i="38"/>
  <c r="CQ13" i="38"/>
  <c r="CQ25" i="38"/>
  <c r="CQ29" i="38"/>
  <c r="CQ12" i="38"/>
  <c r="CQ27" i="38"/>
  <c r="CQ21" i="38"/>
  <c r="CQ6" i="38"/>
  <c r="CQ23" i="38"/>
  <c r="CQ4" i="38"/>
  <c r="CQ7" i="38"/>
  <c r="CQ14" i="38"/>
  <c r="CQ5" i="38"/>
  <c r="CQ8" i="38"/>
  <c r="C43" i="19"/>
  <c r="E43" i="19" s="1"/>
  <c r="E27" i="19"/>
  <c r="C36" i="19"/>
  <c r="E36" i="19" s="1"/>
  <c r="C49" i="19"/>
  <c r="C37" i="19"/>
  <c r="E37" i="19" s="1"/>
  <c r="C42" i="19"/>
  <c r="E42" i="19" s="1"/>
  <c r="C44" i="19"/>
  <c r="E44" i="19" s="1"/>
  <c r="C34" i="19"/>
  <c r="E34" i="19" s="1"/>
  <c r="C33" i="19"/>
  <c r="E33" i="19" s="1"/>
  <c r="C39" i="19"/>
  <c r="E39" i="19" s="1"/>
  <c r="C41" i="19"/>
  <c r="E41" i="19" s="1"/>
  <c r="C40" i="19"/>
  <c r="E40" i="19" s="1"/>
  <c r="CC63" i="18" l="1"/>
  <c r="CC48" i="38"/>
  <c r="CC63" i="38"/>
  <c r="C38" i="19"/>
  <c r="E38" i="19" s="1"/>
  <c r="E2" i="19"/>
  <c r="C61" i="19"/>
  <c r="C75" i="19"/>
  <c r="C68" i="19"/>
  <c r="C54" i="19"/>
  <c r="C74" i="19"/>
  <c r="C60" i="19"/>
  <c r="C66" i="19"/>
  <c r="C52" i="19"/>
  <c r="C70" i="19"/>
  <c r="C56" i="19"/>
  <c r="C55" i="19"/>
  <c r="C69" i="19"/>
  <c r="C51" i="19"/>
  <c r="C65" i="19"/>
  <c r="C57" i="19"/>
  <c r="C71" i="19"/>
  <c r="C53" i="19"/>
  <c r="C67" i="19"/>
  <c r="C72" i="19"/>
  <c r="C58" i="19"/>
  <c r="C64" i="19"/>
  <c r="C50" i="19"/>
  <c r="E50" i="19" s="1"/>
  <c r="C59" i="19"/>
  <c r="C73" i="19"/>
  <c r="E8" i="19"/>
  <c r="E26" i="19"/>
  <c r="E30" i="19"/>
  <c r="E4" i="19"/>
  <c r="E13" i="19"/>
  <c r="E18" i="19"/>
  <c r="E19" i="19"/>
  <c r="E21" i="19"/>
  <c r="E5" i="19"/>
  <c r="E11" i="19"/>
  <c r="E12" i="19"/>
  <c r="E15" i="19"/>
  <c r="E17" i="19"/>
  <c r="E20" i="19"/>
  <c r="E22" i="19"/>
  <c r="E24" i="19"/>
  <c r="E28" i="19"/>
  <c r="E7" i="19"/>
  <c r="E9" i="19"/>
  <c r="E14" i="19"/>
  <c r="E16" i="19"/>
  <c r="E23" i="19"/>
  <c r="E25" i="19"/>
  <c r="E29" i="19"/>
  <c r="E6" i="19"/>
  <c r="C48" i="19" l="1"/>
  <c r="C63" i="19"/>
  <c r="E76" i="19" l="1"/>
  <c r="E62" i="19"/>
  <c r="E75" i="19"/>
  <c r="E61" i="19"/>
  <c r="E74" i="19"/>
  <c r="E60" i="19"/>
  <c r="E73" i="19"/>
  <c r="E59" i="19"/>
  <c r="E72" i="19"/>
  <c r="E58" i="19"/>
  <c r="E71" i="19"/>
  <c r="E57" i="19"/>
  <c r="E70" i="19"/>
  <c r="E56" i="19"/>
  <c r="E69" i="19"/>
  <c r="E55" i="19"/>
  <c r="E68" i="19"/>
  <c r="E54" i="19"/>
  <c r="E67" i="19"/>
  <c r="E53" i="19"/>
  <c r="E66" i="19"/>
  <c r="E52" i="19"/>
  <c r="E65" i="19"/>
  <c r="E51" i="19"/>
  <c r="E64" i="19"/>
  <c r="E49" i="19"/>
  <c r="BG22" i="1"/>
  <c r="E48" i="19" l="1"/>
  <c r="E63" i="19"/>
  <c r="AF43" i="17"/>
  <c r="AP43" i="17" s="1"/>
  <c r="AF36" i="17"/>
  <c r="AP36" i="17" s="1"/>
  <c r="AF37" i="17"/>
  <c r="AP37" i="17" s="1"/>
  <c r="AF42" i="17"/>
  <c r="AP42" i="17" s="1"/>
  <c r="AF44" i="17"/>
  <c r="AP44" i="17" s="1"/>
  <c r="AF34" i="17"/>
  <c r="AP34" i="17" s="1"/>
  <c r="AF33" i="17"/>
  <c r="AP33" i="17" s="1"/>
  <c r="AF39" i="17"/>
  <c r="AP39" i="17" s="1"/>
  <c r="AF46" i="17"/>
  <c r="AF41" i="17"/>
  <c r="AP41" i="17" s="1"/>
  <c r="AF47" i="17"/>
  <c r="AP47" i="17" s="1"/>
  <c r="AF40" i="17"/>
  <c r="AP40" i="17" s="1"/>
  <c r="AF38" i="17"/>
  <c r="AP38" i="17" s="1"/>
  <c r="C32" i="19"/>
  <c r="BB26" i="38" l="1"/>
  <c r="BB36" i="38" s="1"/>
  <c r="S26" i="38"/>
  <c r="S36" i="38" s="1"/>
  <c r="S24" i="38"/>
  <c r="S22" i="38"/>
  <c r="S37" i="38" s="1"/>
  <c r="S21" i="38"/>
  <c r="BB17" i="38"/>
  <c r="BB13" i="38"/>
  <c r="BB33" i="38" s="1"/>
  <c r="S10" i="38"/>
  <c r="S46" i="38" s="1"/>
  <c r="S45" i="38" s="1"/>
  <c r="BB5" i="38"/>
  <c r="S5" i="38"/>
  <c r="S4" i="38"/>
  <c r="S40" i="38" s="1"/>
  <c r="S3" i="38"/>
  <c r="S32" i="38" s="1"/>
  <c r="S2" i="38"/>
  <c r="S38" i="38" s="1"/>
  <c r="BB30" i="38"/>
  <c r="BB35" i="38" s="1"/>
  <c r="S25" i="38"/>
  <c r="BB21" i="38"/>
  <c r="S20" i="38"/>
  <c r="BB19" i="38"/>
  <c r="BB42" i="38" s="1"/>
  <c r="S19" i="38"/>
  <c r="S42" i="38" s="1"/>
  <c r="BB15" i="38"/>
  <c r="BB44" i="38" s="1"/>
  <c r="BB12" i="38"/>
  <c r="S12" i="38"/>
  <c r="BB11" i="38"/>
  <c r="BB39" i="38" s="1"/>
  <c r="BB8" i="38"/>
  <c r="BB41" i="38" s="1"/>
  <c r="BB6" i="38"/>
  <c r="BB47" i="38" s="1"/>
  <c r="S6" i="38"/>
  <c r="S47" i="38" s="1"/>
  <c r="BB4" i="38"/>
  <c r="BB40" i="38" s="1"/>
  <c r="S30" i="38"/>
  <c r="S35" i="38" s="1"/>
  <c r="S14" i="38"/>
  <c r="S34" i="38" s="1"/>
  <c r="S11" i="38"/>
  <c r="S39" i="38" s="1"/>
  <c r="BB10" i="38"/>
  <c r="BB46" i="38" s="1"/>
  <c r="BB3" i="38"/>
  <c r="BB32" i="38" s="1"/>
  <c r="BB2" i="38"/>
  <c r="BB38" i="38" s="1"/>
  <c r="BB28" i="38"/>
  <c r="BB43" i="38" s="1"/>
  <c r="S28" i="38"/>
  <c r="S43" i="38" s="1"/>
  <c r="BB25" i="38"/>
  <c r="BB22" i="38"/>
  <c r="BB37" i="38" s="1"/>
  <c r="S17" i="38"/>
  <c r="BB14" i="38"/>
  <c r="BB34" i="38" s="1"/>
  <c r="S13" i="38"/>
  <c r="S33" i="38" s="1"/>
  <c r="S9" i="38"/>
  <c r="S7" i="38"/>
  <c r="BB29" i="38"/>
  <c r="S29" i="38"/>
  <c r="BB23" i="38"/>
  <c r="BB49" i="38" s="1"/>
  <c r="S16" i="38"/>
  <c r="BB27" i="38"/>
  <c r="S18" i="38"/>
  <c r="S27" i="38"/>
  <c r="BB24" i="38"/>
  <c r="BB20" i="38"/>
  <c r="S8" i="38"/>
  <c r="S41" i="38" s="1"/>
  <c r="BB18" i="38"/>
  <c r="S15" i="38"/>
  <c r="S44" i="38" s="1"/>
  <c r="BB7" i="38"/>
  <c r="BB16" i="38"/>
  <c r="BB9" i="38"/>
  <c r="S23" i="38"/>
  <c r="S49" i="38" s="1"/>
  <c r="BB29" i="18"/>
  <c r="BB25" i="18"/>
  <c r="BB21" i="18"/>
  <c r="BB17" i="18"/>
  <c r="BB13" i="18"/>
  <c r="BB33" i="18" s="1"/>
  <c r="BB10" i="18"/>
  <c r="BB46" i="18" s="1"/>
  <c r="BB6" i="18"/>
  <c r="BB47" i="18" s="1"/>
  <c r="BB2" i="18"/>
  <c r="BB38" i="18" s="1"/>
  <c r="BB28" i="18"/>
  <c r="BB43" i="18" s="1"/>
  <c r="BB24" i="18"/>
  <c r="BB20" i="18"/>
  <c r="BB16" i="18"/>
  <c r="BB12" i="18"/>
  <c r="BB9" i="18"/>
  <c r="BB5" i="18"/>
  <c r="BB27" i="18"/>
  <c r="BB23" i="18"/>
  <c r="BB49" i="18" s="1"/>
  <c r="BB19" i="18"/>
  <c r="BB42" i="18" s="1"/>
  <c r="BB15" i="18"/>
  <c r="BB44" i="18" s="1"/>
  <c r="BB8" i="18"/>
  <c r="BB41" i="18" s="1"/>
  <c r="BB4" i="18"/>
  <c r="BB40" i="18" s="1"/>
  <c r="BB30" i="18"/>
  <c r="BB35" i="18" s="1"/>
  <c r="BB14" i="18"/>
  <c r="BB34" i="18" s="1"/>
  <c r="BB26" i="18"/>
  <c r="BB36" i="18" s="1"/>
  <c r="BB11" i="18"/>
  <c r="BB39" i="18" s="1"/>
  <c r="BB22" i="18"/>
  <c r="BB37" i="18" s="1"/>
  <c r="BB7" i="18"/>
  <c r="BB18" i="18"/>
  <c r="S29" i="18"/>
  <c r="S27" i="18"/>
  <c r="S25" i="18"/>
  <c r="S23" i="18"/>
  <c r="S49" i="18" s="1"/>
  <c r="S21" i="18"/>
  <c r="S19" i="18"/>
  <c r="S42" i="18" s="1"/>
  <c r="S17" i="18"/>
  <c r="S15" i="18"/>
  <c r="S44" i="18" s="1"/>
  <c r="S13" i="18"/>
  <c r="S33" i="18" s="1"/>
  <c r="S10" i="18"/>
  <c r="S46" i="18" s="1"/>
  <c r="S45" i="18" s="1"/>
  <c r="S8" i="18"/>
  <c r="S41" i="18" s="1"/>
  <c r="S6" i="18"/>
  <c r="S47" i="18" s="1"/>
  <c r="S4" i="18"/>
  <c r="S40" i="18" s="1"/>
  <c r="S2" i="18"/>
  <c r="S38" i="18" s="1"/>
  <c r="BB3" i="18"/>
  <c r="BB32" i="18" s="1"/>
  <c r="S24" i="18"/>
  <c r="S16" i="18"/>
  <c r="S9" i="18"/>
  <c r="S30" i="18"/>
  <c r="S35" i="18" s="1"/>
  <c r="S22" i="18"/>
  <c r="S37" i="18" s="1"/>
  <c r="S14" i="18"/>
  <c r="S34" i="18" s="1"/>
  <c r="S7" i="18"/>
  <c r="S26" i="18"/>
  <c r="S36" i="18" s="1"/>
  <c r="S18" i="18"/>
  <c r="S11" i="18"/>
  <c r="S39" i="18" s="1"/>
  <c r="S28" i="18"/>
  <c r="S43" i="18" s="1"/>
  <c r="S20" i="18"/>
  <c r="S12" i="18"/>
  <c r="S5" i="18"/>
  <c r="S3" i="18"/>
  <c r="S32" i="18" s="1"/>
  <c r="CF16" i="18"/>
  <c r="CF20" i="18"/>
  <c r="CF18" i="18"/>
  <c r="CF21" i="18"/>
  <c r="CF7" i="18"/>
  <c r="CF9" i="18"/>
  <c r="CF17" i="18"/>
  <c r="E32" i="19"/>
  <c r="C31" i="19"/>
  <c r="AF73" i="17"/>
  <c r="AP73" i="17" s="1"/>
  <c r="AF59" i="17"/>
  <c r="AP59" i="17" s="1"/>
  <c r="AF72" i="17"/>
  <c r="AP72" i="17" s="1"/>
  <c r="AF58" i="17"/>
  <c r="AP58" i="17" s="1"/>
  <c r="AF45" i="17"/>
  <c r="AP46" i="17"/>
  <c r="AF76" i="17"/>
  <c r="AP76" i="17" s="1"/>
  <c r="AF62" i="17"/>
  <c r="AP62" i="17" s="1"/>
  <c r="AP30" i="17"/>
  <c r="AF35" i="17"/>
  <c r="AP35" i="17" s="1"/>
  <c r="AM24" i="18"/>
  <c r="AF67" i="17"/>
  <c r="AP67" i="17" s="1"/>
  <c r="AF53" i="17"/>
  <c r="AP53" i="17" s="1"/>
  <c r="AF68" i="17"/>
  <c r="AP68" i="17" s="1"/>
  <c r="AF54" i="17"/>
  <c r="AP54" i="17" s="1"/>
  <c r="AF75" i="17"/>
  <c r="AP75" i="17" s="1"/>
  <c r="AF61" i="17"/>
  <c r="AP61" i="17" s="1"/>
  <c r="AP21" i="17"/>
  <c r="AF65" i="17"/>
  <c r="AP65" i="17" s="1"/>
  <c r="AF51" i="17"/>
  <c r="AP51" i="17" s="1"/>
  <c r="AF71" i="17"/>
  <c r="AP71" i="17" s="1"/>
  <c r="AF57" i="17"/>
  <c r="AP57" i="17" s="1"/>
  <c r="AF60" i="17"/>
  <c r="AP60" i="17" s="1"/>
  <c r="AF74" i="17"/>
  <c r="AP74" i="17" s="1"/>
  <c r="AP17" i="17"/>
  <c r="AF52" i="17"/>
  <c r="AP52" i="17" s="1"/>
  <c r="AF66" i="17"/>
  <c r="AP66" i="17" s="1"/>
  <c r="AF56" i="17"/>
  <c r="AP56" i="17" s="1"/>
  <c r="AF70" i="17"/>
  <c r="AP70" i="17" s="1"/>
  <c r="AF69" i="17"/>
  <c r="AP69" i="17" s="1"/>
  <c r="AF55" i="17"/>
  <c r="AP55" i="17" s="1"/>
  <c r="E3" i="19"/>
  <c r="CF15" i="18"/>
  <c r="CF19" i="18"/>
  <c r="CQ9" i="18"/>
  <c r="CF2" i="18"/>
  <c r="AP28" i="17"/>
  <c r="CF5" i="18"/>
  <c r="CF4" i="18"/>
  <c r="CQ6" i="18"/>
  <c r="CF8" i="18"/>
  <c r="AM9" i="18"/>
  <c r="CF10" i="18"/>
  <c r="CF6" i="18"/>
  <c r="CF11" i="18"/>
  <c r="CF12" i="18"/>
  <c r="CF22" i="18"/>
  <c r="CQ14" i="18"/>
  <c r="AM19" i="18"/>
  <c r="AM13" i="18"/>
  <c r="CF13" i="18"/>
  <c r="CF14" i="18"/>
  <c r="AM23" i="18"/>
  <c r="CF24" i="18"/>
  <c r="AM26" i="18"/>
  <c r="CF26" i="18"/>
  <c r="CF29" i="18"/>
  <c r="CF28" i="18"/>
  <c r="CF27" i="18"/>
  <c r="CF30" i="18"/>
  <c r="AP8" i="17"/>
  <c r="AP19" i="17"/>
  <c r="AP2" i="17"/>
  <c r="AP5" i="17"/>
  <c r="AP7" i="17"/>
  <c r="AP9" i="17"/>
  <c r="AP10" i="17"/>
  <c r="AP11" i="17"/>
  <c r="AP12" i="17"/>
  <c r="AP13" i="17"/>
  <c r="AP16" i="17"/>
  <c r="AP15" i="17"/>
  <c r="AP14" i="17"/>
  <c r="AP18" i="17"/>
  <c r="AP22" i="17"/>
  <c r="AP24" i="17"/>
  <c r="AP26" i="17"/>
  <c r="AP29" i="17"/>
  <c r="AP27" i="17"/>
  <c r="AP4" i="17"/>
  <c r="AP6" i="17"/>
  <c r="AP20" i="17"/>
  <c r="S59" i="18" l="1"/>
  <c r="S73" i="18"/>
  <c r="BB68" i="18"/>
  <c r="BB54" i="18"/>
  <c r="BB64" i="18"/>
  <c r="BB50" i="18"/>
  <c r="BB72" i="18"/>
  <c r="BB58" i="18"/>
  <c r="S66" i="18"/>
  <c r="S52" i="18"/>
  <c r="BB56" i="18"/>
  <c r="BB70" i="18"/>
  <c r="S31" i="18"/>
  <c r="S68" i="18"/>
  <c r="S54" i="18"/>
  <c r="BB55" i="18"/>
  <c r="BB69" i="18"/>
  <c r="S67" i="18"/>
  <c r="S53" i="18"/>
  <c r="S58" i="18"/>
  <c r="S72" i="18"/>
  <c r="S65" i="18"/>
  <c r="S51" i="18"/>
  <c r="S74" i="18"/>
  <c r="S60" i="18"/>
  <c r="S69" i="18"/>
  <c r="S55" i="18"/>
  <c r="S70" i="18"/>
  <c r="S56" i="18"/>
  <c r="BB31" i="18"/>
  <c r="S64" i="18"/>
  <c r="S50" i="18"/>
  <c r="S76" i="18"/>
  <c r="S62" i="18"/>
  <c r="S48" i="18" s="1"/>
  <c r="BB45" i="18"/>
  <c r="S71" i="18"/>
  <c r="S57" i="18"/>
  <c r="BB60" i="18"/>
  <c r="BB74" i="18"/>
  <c r="S75" i="18"/>
  <c r="S61" i="18"/>
  <c r="BB75" i="18"/>
  <c r="BB61" i="18"/>
  <c r="BB62" i="18"/>
  <c r="BB76" i="18"/>
  <c r="BB52" i="18"/>
  <c r="BB66" i="18"/>
  <c r="BB71" i="18"/>
  <c r="BB57" i="18"/>
  <c r="BB59" i="18"/>
  <c r="BB73" i="18"/>
  <c r="BB67" i="18"/>
  <c r="BB53" i="18"/>
  <c r="BB51" i="18"/>
  <c r="BB65" i="18"/>
  <c r="BB45" i="38"/>
  <c r="BB31" i="38"/>
  <c r="S31" i="38"/>
  <c r="AM2" i="18"/>
  <c r="BB59" i="38"/>
  <c r="BB73" i="38"/>
  <c r="BB57" i="38"/>
  <c r="BB71" i="38"/>
  <c r="AM25" i="38"/>
  <c r="S72" i="38"/>
  <c r="S58" i="38"/>
  <c r="AM4" i="38"/>
  <c r="BB64" i="38"/>
  <c r="BB50" i="38"/>
  <c r="AM3" i="38"/>
  <c r="AM11" i="38"/>
  <c r="AM26" i="38"/>
  <c r="AM15" i="38"/>
  <c r="AM23" i="38"/>
  <c r="BB56" i="38"/>
  <c r="BB70" i="38"/>
  <c r="AM2" i="38"/>
  <c r="AM28" i="38"/>
  <c r="S51" i="38"/>
  <c r="S65" i="38"/>
  <c r="AM10" i="38"/>
  <c r="AM22" i="38"/>
  <c r="AM15" i="18"/>
  <c r="BB69" i="38"/>
  <c r="BB55" i="38"/>
  <c r="AM13" i="38"/>
  <c r="AM12" i="38"/>
  <c r="S50" i="38"/>
  <c r="S64" i="38"/>
  <c r="BB68" i="38"/>
  <c r="BB54" i="38"/>
  <c r="BB61" i="38"/>
  <c r="BB75" i="38"/>
  <c r="S76" i="38"/>
  <c r="S62" i="38"/>
  <c r="AM14" i="38"/>
  <c r="AM17" i="38"/>
  <c r="AM16" i="38"/>
  <c r="S60" i="38"/>
  <c r="S74" i="38"/>
  <c r="S55" i="38"/>
  <c r="S69" i="38"/>
  <c r="AM7" i="38"/>
  <c r="AM30" i="38"/>
  <c r="AM27" i="38"/>
  <c r="AM19" i="38"/>
  <c r="AM24" i="38"/>
  <c r="BB62" i="38"/>
  <c r="BB76" i="38"/>
  <c r="S54" i="38"/>
  <c r="S68" i="38"/>
  <c r="BB65" i="38"/>
  <c r="BB51" i="38"/>
  <c r="BB53" i="38"/>
  <c r="BB67" i="38"/>
  <c r="AM8" i="38"/>
  <c r="BB72" i="38"/>
  <c r="BB58" i="38"/>
  <c r="S75" i="38"/>
  <c r="S61" i="38"/>
  <c r="S71" i="38"/>
  <c r="S57" i="38"/>
  <c r="S59" i="38"/>
  <c r="S73" i="38"/>
  <c r="S66" i="38"/>
  <c r="S52" i="38"/>
  <c r="AM20" i="38"/>
  <c r="BB74" i="38"/>
  <c r="BB60" i="38"/>
  <c r="S70" i="38"/>
  <c r="S56" i="38"/>
  <c r="AM5" i="38"/>
  <c r="S67" i="38"/>
  <c r="S53" i="38"/>
  <c r="BB66" i="38"/>
  <c r="BB52" i="38"/>
  <c r="AM9" i="38"/>
  <c r="AM18" i="38"/>
  <c r="AM6" i="38"/>
  <c r="AM21" i="38"/>
  <c r="AM29" i="38"/>
  <c r="AM4" i="18"/>
  <c r="AM22" i="18"/>
  <c r="AM30" i="18"/>
  <c r="AM25" i="18"/>
  <c r="AM10" i="18"/>
  <c r="AM18" i="18"/>
  <c r="AM6" i="18"/>
  <c r="AM12" i="18"/>
  <c r="AM5" i="18"/>
  <c r="AM20" i="18"/>
  <c r="AM17" i="18"/>
  <c r="AM11" i="18"/>
  <c r="AM8" i="18"/>
  <c r="AM28" i="18"/>
  <c r="AM14" i="18"/>
  <c r="AM7" i="18"/>
  <c r="AM27" i="18"/>
  <c r="AM21" i="18"/>
  <c r="AM29" i="18"/>
  <c r="AM16" i="18"/>
  <c r="E31" i="19"/>
  <c r="CQ29" i="18"/>
  <c r="CQ15" i="18"/>
  <c r="CQ17" i="18"/>
  <c r="CQ5" i="18"/>
  <c r="CQ27" i="18"/>
  <c r="CQ30" i="18"/>
  <c r="CQ26" i="18"/>
  <c r="CQ28" i="18"/>
  <c r="CQ24" i="18"/>
  <c r="CQ12" i="18"/>
  <c r="CQ16" i="18"/>
  <c r="CQ19" i="18"/>
  <c r="CQ13" i="18"/>
  <c r="CQ10" i="18"/>
  <c r="CQ7" i="18"/>
  <c r="CQ11" i="18"/>
  <c r="CQ8" i="18"/>
  <c r="CQ2" i="18"/>
  <c r="CQ22" i="18"/>
  <c r="CQ25" i="18"/>
  <c r="CQ21" i="18"/>
  <c r="CQ20" i="18"/>
  <c r="CQ18" i="18"/>
  <c r="CQ23" i="18"/>
  <c r="CQ4" i="18"/>
  <c r="BB48" i="18" l="1"/>
  <c r="S63" i="18"/>
  <c r="BB63" i="18"/>
  <c r="BB48" i="38"/>
  <c r="S48" i="38"/>
  <c r="BB63" i="38"/>
  <c r="S63" i="38"/>
  <c r="BC3" i="1" l="1"/>
  <c r="AP10" i="36"/>
  <c r="BD3" i="1" l="1"/>
  <c r="BH3" i="36" s="1"/>
  <c r="AS3" i="36"/>
  <c r="AK3" i="36"/>
  <c r="AC3" i="36"/>
  <c r="T3" i="36"/>
  <c r="L3" i="36"/>
  <c r="D3" i="36"/>
  <c r="AW3" i="36"/>
  <c r="AG3" i="36"/>
  <c r="X3" i="36"/>
  <c r="H3" i="36"/>
  <c r="AN3" i="36"/>
  <c r="W3" i="36"/>
  <c r="AU3" i="36"/>
  <c r="AA3" i="36"/>
  <c r="AR3" i="36"/>
  <c r="AJ3" i="36"/>
  <c r="AB3" i="36"/>
  <c r="S3" i="36"/>
  <c r="K3" i="36"/>
  <c r="C3" i="36"/>
  <c r="AO3" i="36"/>
  <c r="P3" i="36"/>
  <c r="AV3" i="36"/>
  <c r="AF3" i="36"/>
  <c r="O3" i="36"/>
  <c r="G3" i="36"/>
  <c r="E3" i="36"/>
  <c r="I3" i="36"/>
  <c r="M3" i="36"/>
  <c r="Q3" i="36"/>
  <c r="U3" i="36"/>
  <c r="Y3" i="36"/>
  <c r="AD3" i="36"/>
  <c r="AH3" i="36"/>
  <c r="AL3" i="36"/>
  <c r="AP3" i="36"/>
  <c r="AT3" i="36"/>
  <c r="AX3" i="36"/>
  <c r="F3" i="36"/>
  <c r="J3" i="36"/>
  <c r="N3" i="36"/>
  <c r="R3" i="36"/>
  <c r="V3" i="36"/>
  <c r="Z3" i="36"/>
  <c r="AE3" i="36"/>
  <c r="AI3" i="36"/>
  <c r="AM3" i="36"/>
  <c r="AQ3" i="36"/>
  <c r="BF3" i="36" l="1"/>
  <c r="BG3" i="36"/>
  <c r="BP3" i="36"/>
  <c r="BJ3" i="36"/>
  <c r="BI3" i="36"/>
  <c r="BK3" i="36"/>
  <c r="BM3" i="36"/>
  <c r="BR3" i="36"/>
  <c r="BB3" i="36"/>
  <c r="BL3" i="36"/>
  <c r="BN3" i="36"/>
  <c r="BQ3" i="36"/>
  <c r="AY3" i="36"/>
  <c r="BO3" i="36"/>
  <c r="AZ3" i="36"/>
  <c r="BT3" i="36"/>
  <c r="BE3" i="36"/>
  <c r="BU3" i="36"/>
  <c r="BC3" i="36"/>
  <c r="BS3" i="36"/>
  <c r="BA3" i="36"/>
  <c r="BV3" i="36"/>
  <c r="BD3" i="36"/>
  <c r="AD29" i="16" l="1"/>
  <c r="AD26" i="16"/>
  <c r="AD36" i="16" s="1"/>
  <c r="AF36" i="16" s="1"/>
  <c r="AD25" i="16"/>
  <c r="AD18" i="16"/>
  <c r="AD13" i="16"/>
  <c r="AD33" i="16" s="1"/>
  <c r="AF33" i="16" s="1"/>
  <c r="AD11" i="16"/>
  <c r="AD39" i="16" s="1"/>
  <c r="AF39" i="16" s="1"/>
  <c r="AD6" i="16"/>
  <c r="AD47" i="16" s="1"/>
  <c r="AF47" i="16" s="1"/>
  <c r="AD2" i="16"/>
  <c r="AD38" i="16" s="1"/>
  <c r="AF38" i="16" s="1"/>
  <c r="AD30" i="16"/>
  <c r="AD35" i="16" s="1"/>
  <c r="AF35" i="16" s="1"/>
  <c r="AD27" i="16"/>
  <c r="AD24" i="16"/>
  <c r="AD23" i="16"/>
  <c r="AD49" i="16" s="1"/>
  <c r="AF49" i="16" s="1"/>
  <c r="AD22" i="16"/>
  <c r="AD37" i="16" s="1"/>
  <c r="AF37" i="16" s="1"/>
  <c r="AD19" i="16"/>
  <c r="AD42" i="16" s="1"/>
  <c r="AF42" i="16" s="1"/>
  <c r="AD17" i="16"/>
  <c r="AD15" i="16"/>
  <c r="AD44" i="16" s="1"/>
  <c r="AF44" i="16" s="1"/>
  <c r="AD14" i="16"/>
  <c r="AD34" i="16" s="1"/>
  <c r="AF34" i="16" s="1"/>
  <c r="AD7" i="16"/>
  <c r="AD3" i="16"/>
  <c r="AD32" i="16" s="1"/>
  <c r="AF32" i="16" s="1"/>
  <c r="AD21" i="16"/>
  <c r="AD9" i="16"/>
  <c r="AD5" i="16"/>
  <c r="AD20" i="16"/>
  <c r="AD12" i="16"/>
  <c r="AD10" i="16"/>
  <c r="AD46" i="16" s="1"/>
  <c r="AF46" i="16" s="1"/>
  <c r="AD28" i="16"/>
  <c r="AD43" i="16" s="1"/>
  <c r="AF43" i="16" s="1"/>
  <c r="AD8" i="16"/>
  <c r="AD41" i="16" s="1"/>
  <c r="AF41" i="16" s="1"/>
  <c r="AD4" i="16"/>
  <c r="AD40" i="16" s="1"/>
  <c r="AF40" i="16" s="1"/>
  <c r="AD16" i="16"/>
  <c r="AD30" i="37"/>
  <c r="AD35" i="37" s="1"/>
  <c r="AF35" i="37" s="1"/>
  <c r="AD28" i="37"/>
  <c r="AD43" i="37" s="1"/>
  <c r="AF43" i="37" s="1"/>
  <c r="AD26" i="37"/>
  <c r="AD36" i="37" s="1"/>
  <c r="AF36" i="37" s="1"/>
  <c r="AD24" i="37"/>
  <c r="AD23" i="37"/>
  <c r="AD49" i="37" s="1"/>
  <c r="AD19" i="37"/>
  <c r="AD42" i="37" s="1"/>
  <c r="AF42" i="37" s="1"/>
  <c r="AD15" i="37"/>
  <c r="AD44" i="37" s="1"/>
  <c r="AF44" i="37" s="1"/>
  <c r="AD11" i="37"/>
  <c r="AD39" i="37" s="1"/>
  <c r="AF39" i="37" s="1"/>
  <c r="AD7" i="37"/>
  <c r="AD3" i="37"/>
  <c r="AD32" i="37" s="1"/>
  <c r="AD20" i="37"/>
  <c r="AD12" i="37"/>
  <c r="AD8" i="37"/>
  <c r="AD41" i="37" s="1"/>
  <c r="AF41" i="37" s="1"/>
  <c r="AD22" i="37"/>
  <c r="AD37" i="37" s="1"/>
  <c r="AF37" i="37" s="1"/>
  <c r="AD18" i="37"/>
  <c r="AD14" i="37"/>
  <c r="AD34" i="37" s="1"/>
  <c r="AF34" i="37" s="1"/>
  <c r="AD10" i="37"/>
  <c r="AD46" i="37" s="1"/>
  <c r="AD6" i="37"/>
  <c r="AD47" i="37" s="1"/>
  <c r="AF47" i="37" s="1"/>
  <c r="AD2" i="37"/>
  <c r="AD38" i="37" s="1"/>
  <c r="AF38" i="37" s="1"/>
  <c r="AD29" i="37"/>
  <c r="AD27" i="37"/>
  <c r="AD25" i="37"/>
  <c r="AD21" i="37"/>
  <c r="AD17" i="37"/>
  <c r="AD13" i="37"/>
  <c r="AD33" i="37" s="1"/>
  <c r="AF33" i="37" s="1"/>
  <c r="AD9" i="37"/>
  <c r="AD5" i="37"/>
  <c r="AD16" i="37"/>
  <c r="AD4" i="37"/>
  <c r="AD40" i="37" s="1"/>
  <c r="AF40" i="37" s="1"/>
  <c r="CV26" i="38"/>
  <c r="CV36" i="38" s="1"/>
  <c r="CV20" i="38"/>
  <c r="CV13" i="38"/>
  <c r="CV33" i="38" s="1"/>
  <c r="CV24" i="38"/>
  <c r="CV23" i="38"/>
  <c r="CV49" i="38" s="1"/>
  <c r="CV21" i="38"/>
  <c r="CV15" i="38"/>
  <c r="CV44" i="38" s="1"/>
  <c r="CV14" i="38"/>
  <c r="CV34" i="38" s="1"/>
  <c r="CV9" i="38"/>
  <c r="CV8" i="38"/>
  <c r="CV41" i="38" s="1"/>
  <c r="CV7" i="38"/>
  <c r="CV30" i="38"/>
  <c r="CV35" i="38" s="1"/>
  <c r="CV27" i="38"/>
  <c r="CV62" i="38" s="1"/>
  <c r="CV19" i="38"/>
  <c r="CV42" i="38" s="1"/>
  <c r="CV16" i="38"/>
  <c r="CV10" i="38"/>
  <c r="CV46" i="38" s="1"/>
  <c r="CV4" i="38"/>
  <c r="CV40" i="38" s="1"/>
  <c r="CV29" i="38"/>
  <c r="CV22" i="38"/>
  <c r="CV37" i="38" s="1"/>
  <c r="CV5" i="38"/>
  <c r="CV3" i="38"/>
  <c r="CV32" i="38" s="1"/>
  <c r="CV2" i="38"/>
  <c r="CV38" i="38" s="1"/>
  <c r="CV28" i="38"/>
  <c r="CV43" i="38" s="1"/>
  <c r="CV12" i="38"/>
  <c r="CV6" i="38"/>
  <c r="CV47" i="38" s="1"/>
  <c r="CV25" i="38"/>
  <c r="CV18" i="38"/>
  <c r="CV11" i="38"/>
  <c r="CV39" i="38" s="1"/>
  <c r="CV17" i="38"/>
  <c r="CV27" i="18"/>
  <c r="CV28" i="18"/>
  <c r="CV43" i="18" s="1"/>
  <c r="CV26" i="18"/>
  <c r="CV36" i="18" s="1"/>
  <c r="CV22" i="18"/>
  <c r="CV37" i="18" s="1"/>
  <c r="CV18" i="18"/>
  <c r="CV14" i="18"/>
  <c r="CV34" i="18" s="1"/>
  <c r="CV11" i="18"/>
  <c r="CV39" i="18" s="1"/>
  <c r="CV7" i="18"/>
  <c r="CV3" i="18"/>
  <c r="CV32" i="18" s="1"/>
  <c r="CV30" i="18"/>
  <c r="CV35" i="18" s="1"/>
  <c r="CV23" i="18"/>
  <c r="CV49" i="18" s="1"/>
  <c r="CV19" i="18"/>
  <c r="CV42" i="18" s="1"/>
  <c r="CV15" i="18"/>
  <c r="CV44" i="18" s="1"/>
  <c r="CV8" i="18"/>
  <c r="CV41" i="18" s="1"/>
  <c r="CV4" i="18"/>
  <c r="CV40" i="18" s="1"/>
  <c r="CV24" i="18"/>
  <c r="CV16" i="18"/>
  <c r="CV9" i="18"/>
  <c r="CV21" i="18"/>
  <c r="CV13" i="18"/>
  <c r="CV33" i="18" s="1"/>
  <c r="CV6" i="18"/>
  <c r="CV47" i="18" s="1"/>
  <c r="CV29" i="18"/>
  <c r="CV12" i="18"/>
  <c r="CV17" i="18"/>
  <c r="CV5" i="18"/>
  <c r="CV25" i="18"/>
  <c r="CV10" i="18"/>
  <c r="CV46" i="18" s="1"/>
  <c r="CV20" i="18"/>
  <c r="CV2" i="18"/>
  <c r="CV38" i="18" s="1"/>
  <c r="CV31" i="18" l="1"/>
  <c r="CV51" i="18"/>
  <c r="CV65" i="18"/>
  <c r="AF46" i="37"/>
  <c r="AD45" i="37"/>
  <c r="AF45" i="37" s="1"/>
  <c r="AF49" i="37"/>
  <c r="AD58" i="37"/>
  <c r="AF58" i="37" s="1"/>
  <c r="AD72" i="37"/>
  <c r="AF72" i="37" s="1"/>
  <c r="AD69" i="37"/>
  <c r="AF69" i="37" s="1"/>
  <c r="AD55" i="37"/>
  <c r="AF55" i="37" s="1"/>
  <c r="CV68" i="18"/>
  <c r="CV54" i="18"/>
  <c r="CV72" i="18"/>
  <c r="CV58" i="18"/>
  <c r="CV75" i="18"/>
  <c r="CV61" i="18"/>
  <c r="AD67" i="37"/>
  <c r="AF67" i="37" s="1"/>
  <c r="AD53" i="37"/>
  <c r="AF53" i="37" s="1"/>
  <c r="AD75" i="37"/>
  <c r="AF75" i="37" s="1"/>
  <c r="AD61" i="37"/>
  <c r="AF61" i="37" s="1"/>
  <c r="AD54" i="37"/>
  <c r="AF54" i="37" s="1"/>
  <c r="AD68" i="37"/>
  <c r="AF68" i="37" s="1"/>
  <c r="AD52" i="37"/>
  <c r="AF52" i="37" s="1"/>
  <c r="AD66" i="37"/>
  <c r="AF66" i="37" s="1"/>
  <c r="AD60" i="37"/>
  <c r="AF60" i="37" s="1"/>
  <c r="AD74" i="37"/>
  <c r="AF74" i="37" s="1"/>
  <c r="CV73" i="18"/>
  <c r="CV59" i="18"/>
  <c r="CV45" i="18"/>
  <c r="CV50" i="18"/>
  <c r="CV64" i="18"/>
  <c r="CV67" i="18"/>
  <c r="CV53" i="18"/>
  <c r="CV62" i="18"/>
  <c r="CV76" i="18"/>
  <c r="AD65" i="37"/>
  <c r="AF65" i="37" s="1"/>
  <c r="AD51" i="37"/>
  <c r="AF51" i="37" s="1"/>
  <c r="AD56" i="37"/>
  <c r="AF56" i="37" s="1"/>
  <c r="AD70" i="37"/>
  <c r="AF70" i="37" s="1"/>
  <c r="AD50" i="37"/>
  <c r="AF50" i="37" s="1"/>
  <c r="AD64" i="37"/>
  <c r="AF32" i="37"/>
  <c r="AD31" i="37"/>
  <c r="AF31" i="37" s="1"/>
  <c r="CV66" i="18"/>
  <c r="CV52" i="18"/>
  <c r="CV74" i="18"/>
  <c r="CV60" i="18"/>
  <c r="AD62" i="37"/>
  <c r="AF62" i="37" s="1"/>
  <c r="AD76" i="37"/>
  <c r="AF76" i="37" s="1"/>
  <c r="AD73" i="37"/>
  <c r="AF73" i="37" s="1"/>
  <c r="AD59" i="37"/>
  <c r="AF59" i="37" s="1"/>
  <c r="CV70" i="18"/>
  <c r="CV56" i="18"/>
  <c r="CV69" i="18"/>
  <c r="CV55" i="18"/>
  <c r="CV71" i="18"/>
  <c r="CV57" i="18"/>
  <c r="AD71" i="37"/>
  <c r="AF71" i="37" s="1"/>
  <c r="AD57" i="37"/>
  <c r="AF57" i="37" s="1"/>
  <c r="AD31" i="16"/>
  <c r="AF31" i="16" s="1"/>
  <c r="AD45" i="16"/>
  <c r="AF45" i="16" s="1"/>
  <c r="CV31" i="38"/>
  <c r="CV45" i="38"/>
  <c r="CV61" i="38"/>
  <c r="CV75" i="38"/>
  <c r="CV58" i="38"/>
  <c r="CV72" i="38"/>
  <c r="CG25" i="38"/>
  <c r="CV55" i="38"/>
  <c r="CV69" i="38"/>
  <c r="CG11" i="38"/>
  <c r="CV70" i="38"/>
  <c r="CV56" i="38"/>
  <c r="CG12" i="38"/>
  <c r="CG18" i="38"/>
  <c r="CG10" i="38"/>
  <c r="CG30" i="38"/>
  <c r="AC7" i="37"/>
  <c r="AC15" i="37"/>
  <c r="AC44" i="37" s="1"/>
  <c r="AC23" i="37"/>
  <c r="AC49" i="37" s="1"/>
  <c r="AC25" i="37"/>
  <c r="AC29" i="37"/>
  <c r="AC5" i="16"/>
  <c r="AD67" i="16"/>
  <c r="AF67" i="16" s="1"/>
  <c r="AD53" i="16"/>
  <c r="AF53" i="16" s="1"/>
  <c r="AD52" i="16"/>
  <c r="AF52" i="16" s="1"/>
  <c r="AD66" i="16"/>
  <c r="AF66" i="16" s="1"/>
  <c r="AD69" i="16"/>
  <c r="AF69" i="16" s="1"/>
  <c r="AD55" i="16"/>
  <c r="AF55" i="16" s="1"/>
  <c r="AD75" i="16"/>
  <c r="AF75" i="16" s="1"/>
  <c r="AD61" i="16"/>
  <c r="AF61" i="16" s="1"/>
  <c r="AC11" i="16"/>
  <c r="AC39" i="16" s="1"/>
  <c r="AC28" i="16"/>
  <c r="AC43" i="16" s="1"/>
  <c r="AC4" i="16"/>
  <c r="AC40" i="16" s="1"/>
  <c r="AC20" i="16"/>
  <c r="AC3" i="16"/>
  <c r="AC32" i="16" s="1"/>
  <c r="AC19" i="16"/>
  <c r="AC42" i="16" s="1"/>
  <c r="CG5" i="38"/>
  <c r="CV50" i="38"/>
  <c r="CV64" i="38"/>
  <c r="CG6" i="38"/>
  <c r="CV53" i="38"/>
  <c r="CV67" i="38"/>
  <c r="CG27" i="38"/>
  <c r="CV73" i="38"/>
  <c r="CV59" i="38"/>
  <c r="CG3" i="38"/>
  <c r="CG19" i="38"/>
  <c r="CG14" i="38"/>
  <c r="CG20" i="38"/>
  <c r="CG13" i="38"/>
  <c r="CG22" i="38"/>
  <c r="AC6" i="37"/>
  <c r="AC47" i="37" s="1"/>
  <c r="AC14" i="37"/>
  <c r="AC34" i="37" s="1"/>
  <c r="AC22" i="37"/>
  <c r="AC37" i="37" s="1"/>
  <c r="AC5" i="37"/>
  <c r="AC13" i="37"/>
  <c r="AC33" i="37" s="1"/>
  <c r="AC4" i="37"/>
  <c r="AC40" i="37" s="1"/>
  <c r="AC12" i="37"/>
  <c r="AC20" i="37"/>
  <c r="AC26" i="37"/>
  <c r="AC36" i="37" s="1"/>
  <c r="AC30" i="37"/>
  <c r="AC35" i="37" s="1"/>
  <c r="AD60" i="16"/>
  <c r="AF60" i="16" s="1"/>
  <c r="AD74" i="16"/>
  <c r="AF74" i="16" s="1"/>
  <c r="AD54" i="16"/>
  <c r="AF54" i="16" s="1"/>
  <c r="AD68" i="16"/>
  <c r="AF68" i="16" s="1"/>
  <c r="AD59" i="16"/>
  <c r="AF59" i="16" s="1"/>
  <c r="AD73" i="16"/>
  <c r="AF73" i="16" s="1"/>
  <c r="AD62" i="16"/>
  <c r="AF62" i="16" s="1"/>
  <c r="AD76" i="16"/>
  <c r="AF76" i="16" s="1"/>
  <c r="AD50" i="16"/>
  <c r="AD64" i="16"/>
  <c r="AF64" i="16" s="1"/>
  <c r="AC2" i="16"/>
  <c r="AC38" i="16" s="1"/>
  <c r="AC14" i="16"/>
  <c r="AC34" i="16" s="1"/>
  <c r="AC7" i="16"/>
  <c r="AC23" i="16"/>
  <c r="AC49" i="16" s="1"/>
  <c r="AC6" i="16"/>
  <c r="AC47" i="16" s="1"/>
  <c r="AC22" i="16"/>
  <c r="AC37" i="16" s="1"/>
  <c r="CG23" i="38"/>
  <c r="CV76" i="38"/>
  <c r="CV65" i="38"/>
  <c r="CV51" i="38"/>
  <c r="CG8" i="38"/>
  <c r="CG24" i="38"/>
  <c r="CG2" i="38"/>
  <c r="CG15" i="38"/>
  <c r="CG21" i="38"/>
  <c r="CG17" i="38"/>
  <c r="CG26" i="38"/>
  <c r="AC17" i="37"/>
  <c r="AC3" i="37"/>
  <c r="AC32" i="37" s="1"/>
  <c r="AC11" i="37"/>
  <c r="AC39" i="37" s="1"/>
  <c r="AC19" i="37"/>
  <c r="AC42" i="37" s="1"/>
  <c r="AC27" i="37"/>
  <c r="AD72" i="16"/>
  <c r="AF72" i="16" s="1"/>
  <c r="AD58" i="16"/>
  <c r="AF58" i="16" s="1"/>
  <c r="AC12" i="16"/>
  <c r="AD56" i="16"/>
  <c r="AF56" i="16" s="1"/>
  <c r="AD70" i="16"/>
  <c r="AF70" i="16" s="1"/>
  <c r="AD65" i="16"/>
  <c r="AF65" i="16" s="1"/>
  <c r="AD51" i="16"/>
  <c r="AF51" i="16" s="1"/>
  <c r="AC8" i="16"/>
  <c r="AC41" i="16" s="1"/>
  <c r="AC21" i="16"/>
  <c r="AC10" i="16"/>
  <c r="AC46" i="16" s="1"/>
  <c r="AC26" i="16"/>
  <c r="AC36" i="16" s="1"/>
  <c r="AC9" i="16"/>
  <c r="AC25" i="16"/>
  <c r="CV66" i="38"/>
  <c r="CV52" i="38"/>
  <c r="CV60" i="38"/>
  <c r="CV74" i="38"/>
  <c r="CV57" i="38"/>
  <c r="CV71" i="38"/>
  <c r="CV68" i="38"/>
  <c r="CV54" i="38"/>
  <c r="CG9" i="38"/>
  <c r="CG4" i="38"/>
  <c r="CG16" i="38"/>
  <c r="CG7" i="38"/>
  <c r="CG29" i="38"/>
  <c r="CG28" i="38"/>
  <c r="AC2" i="37"/>
  <c r="AC38" i="37" s="1"/>
  <c r="AC10" i="37"/>
  <c r="AC46" i="37" s="1"/>
  <c r="AC18" i="37"/>
  <c r="AC9" i="37"/>
  <c r="AC21" i="37"/>
  <c r="AC8" i="37"/>
  <c r="AC41" i="37" s="1"/>
  <c r="AC16" i="37"/>
  <c r="AC24" i="37"/>
  <c r="AC28" i="37"/>
  <c r="AC43" i="37" s="1"/>
  <c r="AC24" i="16"/>
  <c r="AC17" i="16"/>
  <c r="AC18" i="16"/>
  <c r="AD71" i="16"/>
  <c r="AF71" i="16" s="1"/>
  <c r="AD57" i="16"/>
  <c r="AF57" i="16" s="1"/>
  <c r="AC15" i="16"/>
  <c r="AC44" i="16" s="1"/>
  <c r="AC27" i="16"/>
  <c r="AC16" i="16"/>
  <c r="AC30" i="16"/>
  <c r="AC35" i="16" s="1"/>
  <c r="AC13" i="16"/>
  <c r="AC33" i="16" s="1"/>
  <c r="AC29" i="16"/>
  <c r="CG8" i="18"/>
  <c r="CG6" i="18"/>
  <c r="CG24" i="18"/>
  <c r="CG12" i="18"/>
  <c r="CG4" i="18"/>
  <c r="CG7" i="18"/>
  <c r="CG20" i="18"/>
  <c r="CG25" i="18"/>
  <c r="CG16" i="18"/>
  <c r="CG23" i="18"/>
  <c r="CG28" i="18"/>
  <c r="CG30" i="18"/>
  <c r="CG5" i="18"/>
  <c r="CG2" i="18"/>
  <c r="CG10" i="18"/>
  <c r="CG14" i="18"/>
  <c r="CG13" i="18"/>
  <c r="CG19" i="18"/>
  <c r="CG15" i="18"/>
  <c r="CG18" i="18"/>
  <c r="CG21" i="18"/>
  <c r="CG27" i="18"/>
  <c r="CG11" i="18"/>
  <c r="CG9" i="18"/>
  <c r="CG17" i="18"/>
  <c r="CG26" i="18"/>
  <c r="CG22" i="18"/>
  <c r="CG29" i="18"/>
  <c r="AC45" i="37" l="1"/>
  <c r="AD48" i="16"/>
  <c r="AF48" i="16" s="1"/>
  <c r="AF50" i="16"/>
  <c r="AC74" i="37"/>
  <c r="AC60" i="37"/>
  <c r="AC69" i="37"/>
  <c r="AC55" i="37"/>
  <c r="AC64" i="37"/>
  <c r="AC50" i="37"/>
  <c r="CV48" i="18"/>
  <c r="AC58" i="37"/>
  <c r="AC72" i="37"/>
  <c r="AC67" i="37"/>
  <c r="AC53" i="37"/>
  <c r="AC76" i="37"/>
  <c r="AC62" i="37"/>
  <c r="AC31" i="37"/>
  <c r="AC65" i="37"/>
  <c r="AC51" i="37"/>
  <c r="AC66" i="37"/>
  <c r="AC52" i="37"/>
  <c r="AC59" i="37"/>
  <c r="AC73" i="37"/>
  <c r="AF64" i="37"/>
  <c r="AD63" i="37"/>
  <c r="AF63" i="37" s="1"/>
  <c r="AD48" i="37"/>
  <c r="AF48" i="37" s="1"/>
  <c r="AC71" i="37"/>
  <c r="AC57" i="37"/>
  <c r="AC68" i="37"/>
  <c r="AC54" i="37"/>
  <c r="AC75" i="37"/>
  <c r="AC61" i="37"/>
  <c r="CV63" i="18"/>
  <c r="AC70" i="37"/>
  <c r="AC56" i="37"/>
  <c r="AD63" i="16"/>
  <c r="AF63" i="16" s="1"/>
  <c r="CV48" i="38"/>
  <c r="CV63" i="38"/>
  <c r="AC75" i="16"/>
  <c r="AC61" i="16"/>
  <c r="AC71" i="16"/>
  <c r="AC57" i="16"/>
  <c r="AC31" i="16"/>
  <c r="AC50" i="16"/>
  <c r="AC64" i="16"/>
  <c r="AC59" i="16"/>
  <c r="AC73" i="16"/>
  <c r="AC54" i="16"/>
  <c r="AC68" i="16"/>
  <c r="AC67" i="16"/>
  <c r="AC53" i="16"/>
  <c r="AC66" i="16"/>
  <c r="AC52" i="16"/>
  <c r="AC58" i="16"/>
  <c r="AC72" i="16"/>
  <c r="AC62" i="16"/>
  <c r="AC76" i="16"/>
  <c r="AC69" i="16"/>
  <c r="AC55" i="16"/>
  <c r="AC45" i="16"/>
  <c r="AC65" i="16"/>
  <c r="AC51" i="16"/>
  <c r="AC70" i="16"/>
  <c r="AC56" i="16"/>
  <c r="AC74" i="16"/>
  <c r="AC60" i="16"/>
  <c r="AC48" i="37" l="1"/>
  <c r="AC63" i="37"/>
  <c r="AC48" i="16"/>
  <c r="AC63" i="16"/>
  <c r="B26" i="3" l="1"/>
  <c r="B40" i="3" s="1"/>
  <c r="AP30" i="36"/>
  <c r="AP29" i="36"/>
  <c r="AP28" i="36"/>
  <c r="AP27" i="36"/>
  <c r="AP26"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U25" i="36"/>
  <c r="T25" i="36"/>
  <c r="S25" i="36"/>
  <c r="R25" i="36"/>
  <c r="Q25" i="36"/>
  <c r="P25" i="36"/>
  <c r="O25" i="36"/>
  <c r="N25" i="36"/>
  <c r="M25" i="36"/>
  <c r="L25" i="36"/>
  <c r="K25" i="36"/>
  <c r="J25" i="36"/>
  <c r="I25" i="36"/>
  <c r="H25" i="36"/>
  <c r="G25" i="36"/>
  <c r="F25" i="36"/>
  <c r="E25" i="36"/>
  <c r="D25" i="36"/>
  <c r="C25"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U24" i="36"/>
  <c r="T24" i="36"/>
  <c r="S24" i="36"/>
  <c r="R24" i="36"/>
  <c r="Q24" i="36"/>
  <c r="P24" i="36"/>
  <c r="O24" i="36"/>
  <c r="N24" i="36"/>
  <c r="M24" i="36"/>
  <c r="L24" i="36"/>
  <c r="K24" i="36"/>
  <c r="J24" i="36"/>
  <c r="I24" i="36"/>
  <c r="H24" i="36"/>
  <c r="G24" i="36"/>
  <c r="F24" i="36"/>
  <c r="E24" i="36"/>
  <c r="D24" i="36"/>
  <c r="C24" i="36"/>
  <c r="AP22" i="36"/>
  <c r="AP21" i="36"/>
  <c r="AP20" i="36"/>
  <c r="AP19" i="36"/>
  <c r="AP18" i="36"/>
  <c r="AP17" i="36"/>
  <c r="AP16" i="36"/>
  <c r="AP15" i="36"/>
  <c r="AP14" i="36"/>
  <c r="AP13" i="36"/>
  <c r="AP12" i="36"/>
  <c r="AP11" i="36"/>
  <c r="AP9" i="36"/>
  <c r="AP8" i="36"/>
  <c r="AP7" i="36"/>
  <c r="AP6" i="36"/>
  <c r="AP5" i="36"/>
  <c r="AP4" i="36"/>
  <c r="AP2" i="36"/>
  <c r="X28" i="16" l="1"/>
  <c r="X43" i="16" s="1"/>
  <c r="X26" i="16"/>
  <c r="X36" i="16" s="1"/>
  <c r="X24" i="16"/>
  <c r="X23" i="16"/>
  <c r="X49" i="16" s="1"/>
  <c r="X17" i="16"/>
  <c r="X11" i="16"/>
  <c r="X39" i="16" s="1"/>
  <c r="X6" i="16"/>
  <c r="X47" i="16" s="1"/>
  <c r="X30" i="16"/>
  <c r="X35" i="16" s="1"/>
  <c r="X22" i="16"/>
  <c r="X37" i="16" s="1"/>
  <c r="X21" i="16"/>
  <c r="X19" i="16"/>
  <c r="X42" i="16" s="1"/>
  <c r="X16" i="16"/>
  <c r="X15" i="16"/>
  <c r="X44" i="16" s="1"/>
  <c r="X14" i="16"/>
  <c r="X34" i="16" s="1"/>
  <c r="X13" i="16"/>
  <c r="X33" i="16" s="1"/>
  <c r="X12" i="16"/>
  <c r="X9" i="16"/>
  <c r="X5" i="16"/>
  <c r="X3" i="16"/>
  <c r="X32" i="16" s="1"/>
  <c r="X10" i="16"/>
  <c r="X46" i="16" s="1"/>
  <c r="X8" i="16"/>
  <c r="X41" i="16" s="1"/>
  <c r="X7" i="16"/>
  <c r="X4" i="16"/>
  <c r="X40" i="16" s="1"/>
  <c r="X2" i="16"/>
  <c r="X38" i="16" s="1"/>
  <c r="X29" i="16"/>
  <c r="X27" i="16"/>
  <c r="X25" i="16"/>
  <c r="X20" i="16"/>
  <c r="X18" i="16"/>
  <c r="X29" i="37"/>
  <c r="X27" i="37"/>
  <c r="X25" i="37"/>
  <c r="X22" i="37"/>
  <c r="X37" i="37" s="1"/>
  <c r="X18" i="37"/>
  <c r="X14" i="37"/>
  <c r="X34" i="37" s="1"/>
  <c r="X10" i="37"/>
  <c r="X46" i="37" s="1"/>
  <c r="X6" i="37"/>
  <c r="X47" i="37" s="1"/>
  <c r="X2" i="37"/>
  <c r="X38" i="37" s="1"/>
  <c r="X23" i="37"/>
  <c r="X49" i="37" s="1"/>
  <c r="X15" i="37"/>
  <c r="X44" i="37" s="1"/>
  <c r="X3" i="37"/>
  <c r="X32" i="37" s="1"/>
  <c r="X21" i="37"/>
  <c r="X17" i="37"/>
  <c r="X13" i="37"/>
  <c r="X33" i="37" s="1"/>
  <c r="X9" i="37"/>
  <c r="X5" i="37"/>
  <c r="X30" i="37"/>
  <c r="X35" i="37" s="1"/>
  <c r="X28" i="37"/>
  <c r="X43" i="37" s="1"/>
  <c r="X26" i="37"/>
  <c r="X36" i="37" s="1"/>
  <c r="X24" i="37"/>
  <c r="X20" i="37"/>
  <c r="X16" i="37"/>
  <c r="X12" i="37"/>
  <c r="X8" i="37"/>
  <c r="X41" i="37" s="1"/>
  <c r="X4" i="37"/>
  <c r="X40" i="37" s="1"/>
  <c r="X19" i="37"/>
  <c r="X42" i="37" s="1"/>
  <c r="X11" i="37"/>
  <c r="X39" i="37" s="1"/>
  <c r="X7" i="37"/>
  <c r="C30" i="45"/>
  <c r="C26" i="45"/>
  <c r="C22" i="45"/>
  <c r="C18" i="45"/>
  <c r="C14" i="45"/>
  <c r="C10" i="45"/>
  <c r="C6" i="45"/>
  <c r="C2" i="45"/>
  <c r="C27" i="20"/>
  <c r="C23" i="20"/>
  <c r="C49" i="20" s="1"/>
  <c r="C19" i="20"/>
  <c r="C42" i="20" s="1"/>
  <c r="E42" i="20" s="1"/>
  <c r="C15" i="20"/>
  <c r="C44" i="20" s="1"/>
  <c r="E44" i="20" s="1"/>
  <c r="C11" i="20"/>
  <c r="C39" i="20" s="1"/>
  <c r="E39" i="20" s="1"/>
  <c r="C7" i="20"/>
  <c r="C3" i="20"/>
  <c r="C32" i="20" s="1"/>
  <c r="C29" i="45"/>
  <c r="C25" i="45"/>
  <c r="C21" i="45"/>
  <c r="C17" i="45"/>
  <c r="C13" i="45"/>
  <c r="C9" i="45"/>
  <c r="C5" i="45"/>
  <c r="C30" i="20"/>
  <c r="C35" i="20" s="1"/>
  <c r="E35" i="20" s="1"/>
  <c r="C26" i="20"/>
  <c r="C36" i="20" s="1"/>
  <c r="E36" i="20" s="1"/>
  <c r="C22" i="20"/>
  <c r="C37" i="20" s="1"/>
  <c r="E37" i="20" s="1"/>
  <c r="C18" i="20"/>
  <c r="C14" i="20"/>
  <c r="C34" i="20" s="1"/>
  <c r="E34" i="20" s="1"/>
  <c r="C10" i="20"/>
  <c r="C46" i="20" s="1"/>
  <c r="C6" i="20"/>
  <c r="C47" i="20" s="1"/>
  <c r="E47" i="20" s="1"/>
  <c r="C2" i="20"/>
  <c r="C38" i="20" s="1"/>
  <c r="E38" i="20" s="1"/>
  <c r="C28" i="45"/>
  <c r="C20" i="45"/>
  <c r="C12" i="45"/>
  <c r="C4" i="45"/>
  <c r="C25" i="20"/>
  <c r="C17" i="20"/>
  <c r="C9" i="20"/>
  <c r="C27" i="45"/>
  <c r="C19" i="45"/>
  <c r="C11" i="45"/>
  <c r="C3" i="45"/>
  <c r="C24" i="20"/>
  <c r="C16" i="20"/>
  <c r="C8" i="20"/>
  <c r="C41" i="20" s="1"/>
  <c r="E41" i="20" s="1"/>
  <c r="C24" i="45"/>
  <c r="C8" i="45"/>
  <c r="C21" i="20"/>
  <c r="C5" i="20"/>
  <c r="C23" i="45"/>
  <c r="C7" i="45"/>
  <c r="C20" i="20"/>
  <c r="C4" i="20"/>
  <c r="C40" i="20" s="1"/>
  <c r="E40" i="20" s="1"/>
  <c r="C16" i="45"/>
  <c r="C13" i="20"/>
  <c r="C33" i="20" s="1"/>
  <c r="E33" i="20" s="1"/>
  <c r="C15" i="45"/>
  <c r="C12" i="20"/>
  <c r="C29" i="20"/>
  <c r="C28" i="20"/>
  <c r="C43" i="20" s="1"/>
  <c r="E43" i="20" s="1"/>
  <c r="B32" i="3"/>
  <c r="B27" i="3" s="1"/>
  <c r="H5" i="37" s="1"/>
  <c r="Q69" i="3"/>
  <c r="C75" i="20" l="1"/>
  <c r="C61" i="20"/>
  <c r="E61" i="20" s="1"/>
  <c r="C73" i="20"/>
  <c r="E73" i="20" s="1"/>
  <c r="C59" i="20"/>
  <c r="E59" i="20" s="1"/>
  <c r="X45" i="37"/>
  <c r="C66" i="20"/>
  <c r="E66" i="20" s="1"/>
  <c r="C52" i="20"/>
  <c r="E52" i="20" s="1"/>
  <c r="C65" i="20"/>
  <c r="E65" i="20" s="1"/>
  <c r="C51" i="20"/>
  <c r="E51" i="20" s="1"/>
  <c r="C64" i="20"/>
  <c r="E64" i="20" s="1"/>
  <c r="C50" i="20"/>
  <c r="E50" i="20" s="1"/>
  <c r="X68" i="37"/>
  <c r="X54" i="37"/>
  <c r="C68" i="20"/>
  <c r="E68" i="20" s="1"/>
  <c r="C54" i="20"/>
  <c r="E54" i="20" s="1"/>
  <c r="X53" i="37"/>
  <c r="X67" i="37"/>
  <c r="E49" i="20"/>
  <c r="E48" i="20" s="1"/>
  <c r="X64" i="37"/>
  <c r="X50" i="37"/>
  <c r="C71" i="20"/>
  <c r="E71" i="20" s="1"/>
  <c r="C57" i="20"/>
  <c r="E57" i="20" s="1"/>
  <c r="C62" i="20"/>
  <c r="E62" i="20" s="1"/>
  <c r="C76" i="20"/>
  <c r="E76" i="20" s="1"/>
  <c r="X66" i="37"/>
  <c r="X52" i="37"/>
  <c r="X76" i="37"/>
  <c r="X62" i="37"/>
  <c r="C74" i="20"/>
  <c r="E74" i="20" s="1"/>
  <c r="C60" i="20"/>
  <c r="E60" i="20" s="1"/>
  <c r="X51" i="37"/>
  <c r="X65" i="37"/>
  <c r="X57" i="37"/>
  <c r="X71" i="37"/>
  <c r="X59" i="37"/>
  <c r="X73" i="37"/>
  <c r="C72" i="20"/>
  <c r="E72" i="20" s="1"/>
  <c r="C58" i="20"/>
  <c r="E58" i="20" s="1"/>
  <c r="X74" i="37"/>
  <c r="X60" i="37"/>
  <c r="X31" i="37"/>
  <c r="C55" i="20"/>
  <c r="E55" i="20" s="1"/>
  <c r="C69" i="20"/>
  <c r="E69" i="20" s="1"/>
  <c r="X72" i="37"/>
  <c r="X58" i="37"/>
  <c r="H67" i="37"/>
  <c r="H53" i="37"/>
  <c r="X70" i="37"/>
  <c r="X56" i="37"/>
  <c r="C53" i="20"/>
  <c r="E53" i="20" s="1"/>
  <c r="C67" i="20"/>
  <c r="E67" i="20" s="1"/>
  <c r="X61" i="37"/>
  <c r="X75" i="37"/>
  <c r="E46" i="20"/>
  <c r="E45" i="20" s="1"/>
  <c r="C45" i="20"/>
  <c r="X55" i="37"/>
  <c r="X69" i="37"/>
  <c r="C70" i="20"/>
  <c r="E70" i="20" s="1"/>
  <c r="C56" i="20"/>
  <c r="E56" i="20" s="1"/>
  <c r="C31" i="20"/>
  <c r="E32" i="20"/>
  <c r="E31" i="20" s="1"/>
  <c r="X45" i="16"/>
  <c r="X31" i="16"/>
  <c r="H19" i="37"/>
  <c r="H42" i="37" s="1"/>
  <c r="H14" i="37"/>
  <c r="H34" i="37" s="1"/>
  <c r="H23" i="16"/>
  <c r="H49" i="16" s="1"/>
  <c r="H9" i="16"/>
  <c r="H3" i="16"/>
  <c r="H32" i="16" s="1"/>
  <c r="H25" i="37"/>
  <c r="H15" i="16"/>
  <c r="D27" i="16"/>
  <c r="D14" i="16"/>
  <c r="D34" i="16" s="1"/>
  <c r="D29" i="37"/>
  <c r="D20" i="37"/>
  <c r="D4" i="37"/>
  <c r="D40" i="37" s="1"/>
  <c r="Z28" i="38"/>
  <c r="Z43" i="38" s="1"/>
  <c r="Z4" i="38"/>
  <c r="Z40" i="38" s="1"/>
  <c r="Z7" i="38"/>
  <c r="Z24" i="18"/>
  <c r="Z26" i="18"/>
  <c r="Z36" i="18" s="1"/>
  <c r="Z15" i="18"/>
  <c r="Z44" i="18" s="1"/>
  <c r="D14" i="32"/>
  <c r="D23" i="32"/>
  <c r="D13" i="32"/>
  <c r="D27" i="32"/>
  <c r="D19" i="5"/>
  <c r="D42" i="5" s="1"/>
  <c r="D2" i="5"/>
  <c r="D38" i="5" s="1"/>
  <c r="D20" i="5"/>
  <c r="D21" i="16"/>
  <c r="D8" i="16"/>
  <c r="D41" i="16" s="1"/>
  <c r="D23" i="37"/>
  <c r="D49" i="37" s="1"/>
  <c r="D14" i="37"/>
  <c r="D34" i="37" s="1"/>
  <c r="D30" i="37"/>
  <c r="D35" i="37" s="1"/>
  <c r="D3" i="37"/>
  <c r="D32" i="37" s="1"/>
  <c r="Z26" i="38"/>
  <c r="Z36" i="38" s="1"/>
  <c r="Z21" i="38"/>
  <c r="Z22" i="18"/>
  <c r="Z37" i="18" s="1"/>
  <c r="Z13" i="18"/>
  <c r="Z33" i="18" s="1"/>
  <c r="D17" i="32"/>
  <c r="D2" i="32"/>
  <c r="D13" i="5"/>
  <c r="D33" i="5" s="1"/>
  <c r="D29" i="5"/>
  <c r="D26" i="5"/>
  <c r="D36" i="5" s="1"/>
  <c r="D10" i="5"/>
  <c r="D46" i="5" s="1"/>
  <c r="D28" i="16"/>
  <c r="D43" i="16" s="1"/>
  <c r="D15" i="16"/>
  <c r="D44" i="16" s="1"/>
  <c r="D2" i="16"/>
  <c r="D38" i="16" s="1"/>
  <c r="D17" i="37"/>
  <c r="D8" i="37"/>
  <c r="D41" i="37" s="1"/>
  <c r="D24" i="37"/>
  <c r="Z24" i="38"/>
  <c r="Z9" i="38"/>
  <c r="Z20" i="18"/>
  <c r="Z29" i="18"/>
  <c r="Z11" i="18"/>
  <c r="Z39" i="18" s="1"/>
  <c r="D11" i="32"/>
  <c r="D7" i="5"/>
  <c r="D23" i="5"/>
  <c r="D49" i="5" s="1"/>
  <c r="D4" i="5"/>
  <c r="D40" i="5" s="1"/>
  <c r="D22" i="16"/>
  <c r="D37" i="16" s="1"/>
  <c r="D9" i="16"/>
  <c r="D11" i="37"/>
  <c r="D39" i="37" s="1"/>
  <c r="D27" i="37"/>
  <c r="D2" i="37"/>
  <c r="D38" i="37" s="1"/>
  <c r="D18" i="37"/>
  <c r="Z22" i="38"/>
  <c r="Z37" i="38" s="1"/>
  <c r="Z2" i="38"/>
  <c r="Z38" i="38" s="1"/>
  <c r="Z18" i="18"/>
  <c r="Z9" i="18"/>
  <c r="D7" i="32"/>
  <c r="D8" i="32"/>
  <c r="D27" i="5"/>
  <c r="D3" i="5"/>
  <c r="D32" i="5" s="1"/>
  <c r="D11" i="5"/>
  <c r="D39" i="5" s="1"/>
  <c r="D16" i="16"/>
  <c r="D3" i="16"/>
  <c r="D32" i="16" s="1"/>
  <c r="D21" i="37"/>
  <c r="D12" i="37"/>
  <c r="Z20" i="38"/>
  <c r="Z23" i="38"/>
  <c r="Z49" i="38" s="1"/>
  <c r="Z16" i="18"/>
  <c r="Z7" i="18"/>
  <c r="D25" i="32"/>
  <c r="D6" i="32"/>
  <c r="D30" i="32"/>
  <c r="D9" i="32"/>
  <c r="D21" i="5"/>
  <c r="D18" i="5"/>
  <c r="D29" i="16"/>
  <c r="D10" i="16"/>
  <c r="D46" i="16" s="1"/>
  <c r="D15" i="37"/>
  <c r="D44" i="37" s="1"/>
  <c r="D6" i="37"/>
  <c r="D47" i="37" s="1"/>
  <c r="Z18" i="38"/>
  <c r="Z15" i="38"/>
  <c r="Z44" i="38" s="1"/>
  <c r="Z11" i="38"/>
  <c r="Z39" i="38" s="1"/>
  <c r="Z14" i="18"/>
  <c r="Z34" i="18" s="1"/>
  <c r="Z5" i="18"/>
  <c r="D28" i="32"/>
  <c r="D5" i="32"/>
  <c r="D21" i="32"/>
  <c r="D10" i="32"/>
  <c r="D15" i="5"/>
  <c r="D44" i="5" s="1"/>
  <c r="D5" i="5"/>
  <c r="D23" i="16"/>
  <c r="D49" i="16" s="1"/>
  <c r="D4" i="16"/>
  <c r="D40" i="16" s="1"/>
  <c r="D9" i="37"/>
  <c r="Z16" i="38"/>
  <c r="Z3" i="38"/>
  <c r="Z32" i="38" s="1"/>
  <c r="Z13" i="38"/>
  <c r="Z33" i="38" s="1"/>
  <c r="Z12" i="18"/>
  <c r="Z28" i="18"/>
  <c r="Z43" i="18" s="1"/>
  <c r="Z3" i="18"/>
  <c r="Z32" i="18" s="1"/>
  <c r="D24" i="32"/>
  <c r="D30" i="5"/>
  <c r="D35" i="5" s="1"/>
  <c r="D6" i="5"/>
  <c r="D47" i="5" s="1"/>
  <c r="D30" i="16"/>
  <c r="D35" i="16" s="1"/>
  <c r="D17" i="16"/>
  <c r="D28" i="37"/>
  <c r="D43" i="37" s="1"/>
  <c r="D13" i="37"/>
  <c r="D33" i="37" s="1"/>
  <c r="D12" i="5"/>
  <c r="Z14" i="38"/>
  <c r="Z34" i="38" s="1"/>
  <c r="Z27" i="38"/>
  <c r="Z25" i="38"/>
  <c r="Z10" i="18"/>
  <c r="Z46" i="18" s="1"/>
  <c r="Z25" i="18"/>
  <c r="D22" i="32"/>
  <c r="D18" i="32"/>
  <c r="D28" i="5"/>
  <c r="D43" i="5" s="1"/>
  <c r="D14" i="5"/>
  <c r="D34" i="5" s="1"/>
  <c r="D24" i="16"/>
  <c r="D11" i="16"/>
  <c r="D39" i="16" s="1"/>
  <c r="D13" i="16"/>
  <c r="D33" i="16" s="1"/>
  <c r="D22" i="37"/>
  <c r="D37" i="37" s="1"/>
  <c r="D25" i="37"/>
  <c r="Z12" i="38"/>
  <c r="Z17" i="38"/>
  <c r="Z8" i="18"/>
  <c r="Z41" i="18" s="1"/>
  <c r="Z23" i="18"/>
  <c r="Z49" i="18" s="1"/>
  <c r="D16" i="32"/>
  <c r="D4" i="32"/>
  <c r="D15" i="32"/>
  <c r="D8" i="5"/>
  <c r="D41" i="5" s="1"/>
  <c r="D18" i="16"/>
  <c r="D5" i="16"/>
  <c r="D19" i="16"/>
  <c r="D42" i="16" s="1"/>
  <c r="D16" i="37"/>
  <c r="D19" i="37"/>
  <c r="D42" i="37" s="1"/>
  <c r="D7" i="37"/>
  <c r="Z10" i="38"/>
  <c r="Z46" i="38" s="1"/>
  <c r="Z5" i="38"/>
  <c r="Z6" i="18"/>
  <c r="Z47" i="18" s="1"/>
  <c r="Z21" i="18"/>
  <c r="D19" i="32"/>
  <c r="D22" i="5"/>
  <c r="D37" i="5" s="1"/>
  <c r="D9" i="5"/>
  <c r="D12" i="16"/>
  <c r="D26" i="16"/>
  <c r="D36" i="16" s="1"/>
  <c r="D25" i="16"/>
  <c r="D5" i="37"/>
  <c r="Z8" i="38"/>
  <c r="Z41" i="38" s="1"/>
  <c r="Z29" i="38"/>
  <c r="Z27" i="18"/>
  <c r="Z4" i="18"/>
  <c r="Z40" i="18" s="1"/>
  <c r="Z19" i="18"/>
  <c r="Z42" i="18" s="1"/>
  <c r="D26" i="32"/>
  <c r="D12" i="32"/>
  <c r="D16" i="5"/>
  <c r="D6" i="16"/>
  <c r="D47" i="16" s="1"/>
  <c r="D20" i="16"/>
  <c r="D7" i="16"/>
  <c r="D26" i="37"/>
  <c r="D36" i="37" s="1"/>
  <c r="D10" i="37"/>
  <c r="D46" i="37" s="1"/>
  <c r="Z30" i="38"/>
  <c r="Z35" i="38" s="1"/>
  <c r="Z6" i="38"/>
  <c r="Z47" i="38" s="1"/>
  <c r="Z19" i="38"/>
  <c r="Z42" i="38" s="1"/>
  <c r="Z30" i="18"/>
  <c r="Z35" i="18" s="1"/>
  <c r="Z2" i="18"/>
  <c r="Z38" i="18" s="1"/>
  <c r="Z17" i="18"/>
  <c r="D20" i="32"/>
  <c r="D29" i="32"/>
  <c r="D3" i="32"/>
  <c r="D25" i="5"/>
  <c r="D17" i="5"/>
  <c r="D24" i="5"/>
  <c r="H3" i="37"/>
  <c r="H32" i="37" s="1"/>
  <c r="H12" i="37"/>
  <c r="H21" i="16"/>
  <c r="H13" i="16"/>
  <c r="H27" i="16"/>
  <c r="CF30" i="42"/>
  <c r="CF35" i="42" s="1"/>
  <c r="CF29" i="42"/>
  <c r="CF28" i="42"/>
  <c r="CF43" i="42" s="1"/>
  <c r="CF27" i="42"/>
  <c r="CF26" i="42"/>
  <c r="CF36" i="42" s="1"/>
  <c r="CF25" i="42"/>
  <c r="CF24" i="42"/>
  <c r="CF23" i="42"/>
  <c r="CF22" i="42"/>
  <c r="CF37" i="42" s="1"/>
  <c r="CF21" i="42"/>
  <c r="CF20" i="42"/>
  <c r="CF19" i="42"/>
  <c r="CF42" i="42" s="1"/>
  <c r="CF18" i="42"/>
  <c r="CF17" i="42"/>
  <c r="CF16" i="42"/>
  <c r="CF15" i="42"/>
  <c r="CF44" i="42" s="1"/>
  <c r="CF14" i="42"/>
  <c r="CF34" i="42" s="1"/>
  <c r="CF13" i="42"/>
  <c r="CF33" i="42" s="1"/>
  <c r="CF12" i="42"/>
  <c r="CF11" i="42"/>
  <c r="CF39" i="42" s="1"/>
  <c r="CF10" i="42"/>
  <c r="CF46" i="42" s="1"/>
  <c r="CF45" i="42" s="1"/>
  <c r="CF9" i="42"/>
  <c r="CF8" i="42"/>
  <c r="CF41" i="42" s="1"/>
  <c r="CF7" i="42"/>
  <c r="CF6" i="42"/>
  <c r="CF47" i="42" s="1"/>
  <c r="CF5" i="42"/>
  <c r="CF4" i="42"/>
  <c r="CF40" i="42" s="1"/>
  <c r="CF3" i="42"/>
  <c r="CF32" i="42" s="1"/>
  <c r="CF2" i="42"/>
  <c r="CF38" i="42" s="1"/>
  <c r="BG30" i="41"/>
  <c r="BG35" i="41" s="1"/>
  <c r="BG29" i="41"/>
  <c r="BG28" i="41"/>
  <c r="BG43" i="41" s="1"/>
  <c r="BG10" i="41"/>
  <c r="BG46" i="41" s="1"/>
  <c r="BG45" i="41" s="1"/>
  <c r="BG9" i="41"/>
  <c r="BG8" i="41"/>
  <c r="BG41" i="41" s="1"/>
  <c r="BG2" i="29"/>
  <c r="BG38" i="29" s="1"/>
  <c r="BG3" i="29"/>
  <c r="BG32" i="29" s="1"/>
  <c r="BG4" i="29"/>
  <c r="BG40" i="29" s="1"/>
  <c r="BG5" i="29"/>
  <c r="BG6" i="29"/>
  <c r="BG47" i="29" s="1"/>
  <c r="BG7" i="29"/>
  <c r="BG8" i="29"/>
  <c r="BG41" i="29" s="1"/>
  <c r="BG9" i="29"/>
  <c r="BG10" i="29"/>
  <c r="BG46" i="29" s="1"/>
  <c r="BG45" i="29" s="1"/>
  <c r="BG11" i="29"/>
  <c r="BG39" i="29" s="1"/>
  <c r="BG27" i="41"/>
  <c r="BG26" i="41"/>
  <c r="BG36" i="41" s="1"/>
  <c r="BG25" i="41"/>
  <c r="BG24" i="41"/>
  <c r="BG23" i="41"/>
  <c r="BG49" i="41" s="1"/>
  <c r="BG21" i="41"/>
  <c r="BG20" i="41"/>
  <c r="BG19" i="41"/>
  <c r="BG42" i="41" s="1"/>
  <c r="BG18" i="41"/>
  <c r="BG17" i="41"/>
  <c r="BG16" i="41"/>
  <c r="BG15" i="41"/>
  <c r="BG44" i="41" s="1"/>
  <c r="BG12" i="41"/>
  <c r="BG11" i="41"/>
  <c r="BG39" i="41" s="1"/>
  <c r="BG22" i="41"/>
  <c r="BG37" i="41" s="1"/>
  <c r="BG14" i="41"/>
  <c r="BG34" i="41" s="1"/>
  <c r="BG13" i="41"/>
  <c r="BG33" i="41" s="1"/>
  <c r="BG2" i="41"/>
  <c r="BG38" i="41" s="1"/>
  <c r="BG6" i="41"/>
  <c r="BG47" i="41" s="1"/>
  <c r="BG5" i="41"/>
  <c r="BG7" i="41"/>
  <c r="BG3" i="41"/>
  <c r="BG32" i="41" s="1"/>
  <c r="BG12" i="29"/>
  <c r="BG14" i="29"/>
  <c r="BG34" i="29" s="1"/>
  <c r="BG16" i="29"/>
  <c r="BG18" i="29"/>
  <c r="BG20" i="29"/>
  <c r="BG22" i="29"/>
  <c r="BG37" i="29" s="1"/>
  <c r="BG24" i="29"/>
  <c r="BG26" i="29"/>
  <c r="BG36" i="29" s="1"/>
  <c r="BG28" i="29"/>
  <c r="BG43" i="29" s="1"/>
  <c r="BG30" i="29"/>
  <c r="BG35" i="29" s="1"/>
  <c r="BG17" i="29"/>
  <c r="BG21" i="29"/>
  <c r="BG23" i="29"/>
  <c r="BG49" i="29" s="1"/>
  <c r="BG4" i="41"/>
  <c r="BG40" i="41" s="1"/>
  <c r="BG13" i="29"/>
  <c r="BG33" i="29" s="1"/>
  <c r="BG15" i="29"/>
  <c r="BG44" i="29" s="1"/>
  <c r="BG19" i="29"/>
  <c r="BG42" i="29" s="1"/>
  <c r="BG25" i="29"/>
  <c r="BG27" i="29"/>
  <c r="BG29" i="29"/>
  <c r="CF22" i="43"/>
  <c r="CF37" i="43" s="1"/>
  <c r="CF6" i="43"/>
  <c r="CF47" i="43" s="1"/>
  <c r="CF29" i="43"/>
  <c r="CF16" i="43"/>
  <c r="CF23" i="43"/>
  <c r="CF17" i="43"/>
  <c r="CF13" i="43"/>
  <c r="CF33" i="43" s="1"/>
  <c r="CF9" i="43"/>
  <c r="CF5" i="43"/>
  <c r="CF19" i="43"/>
  <c r="CF42" i="43" s="1"/>
  <c r="CF7" i="43"/>
  <c r="CF26" i="43"/>
  <c r="CF36" i="43" s="1"/>
  <c r="CF18" i="43"/>
  <c r="CF25" i="43"/>
  <c r="CF21" i="43"/>
  <c r="CF12" i="43"/>
  <c r="CF15" i="43"/>
  <c r="CF44" i="43" s="1"/>
  <c r="CF3" i="43"/>
  <c r="CF32" i="43" s="1"/>
  <c r="CF11" i="43"/>
  <c r="CF39" i="43" s="1"/>
  <c r="CF30" i="43"/>
  <c r="CF35" i="43" s="1"/>
  <c r="CF14" i="43"/>
  <c r="CF34" i="43" s="1"/>
  <c r="CF8" i="43"/>
  <c r="CF41" i="43" s="1"/>
  <c r="CF10" i="43"/>
  <c r="CF46" i="43" s="1"/>
  <c r="CF24" i="43"/>
  <c r="CF4" i="43"/>
  <c r="CF40" i="43" s="1"/>
  <c r="CF28" i="43"/>
  <c r="CF43" i="43" s="1"/>
  <c r="CF20" i="43"/>
  <c r="CF2" i="43"/>
  <c r="CF38" i="43" s="1"/>
  <c r="CF27" i="43"/>
  <c r="CF5" i="30"/>
  <c r="CF6" i="30"/>
  <c r="CF47" i="30" s="1"/>
  <c r="CF7" i="30"/>
  <c r="CF9" i="30"/>
  <c r="CF14" i="30"/>
  <c r="CF34" i="30" s="1"/>
  <c r="CF16" i="30"/>
  <c r="CF17" i="30"/>
  <c r="CF18" i="30"/>
  <c r="CF19" i="30"/>
  <c r="CF42" i="30" s="1"/>
  <c r="CF20" i="30"/>
  <c r="CF22" i="30"/>
  <c r="CF37" i="30" s="1"/>
  <c r="CF23" i="30"/>
  <c r="CF30" i="30"/>
  <c r="CF35" i="30" s="1"/>
  <c r="CF24" i="30"/>
  <c r="CF25" i="30"/>
  <c r="CF26" i="30"/>
  <c r="CF36" i="30" s="1"/>
  <c r="CF28" i="30"/>
  <c r="CF43" i="30" s="1"/>
  <c r="CF29" i="30"/>
  <c r="CF3" i="30"/>
  <c r="CF32" i="30" s="1"/>
  <c r="CF4" i="30"/>
  <c r="CF40" i="30" s="1"/>
  <c r="CF8" i="30"/>
  <c r="CF41" i="30" s="1"/>
  <c r="CF10" i="30"/>
  <c r="CF46" i="30" s="1"/>
  <c r="CF45" i="30" s="1"/>
  <c r="CF11" i="30"/>
  <c r="CF39" i="30" s="1"/>
  <c r="CF12" i="30"/>
  <c r="CF13" i="30"/>
  <c r="CF33" i="30" s="1"/>
  <c r="CF15" i="30"/>
  <c r="CF44" i="30" s="1"/>
  <c r="CF21" i="30"/>
  <c r="CF27" i="30"/>
  <c r="BK30" i="38"/>
  <c r="BK35" i="38" s="1"/>
  <c r="DC29" i="38"/>
  <c r="BK25" i="38"/>
  <c r="DC24" i="38"/>
  <c r="BK21" i="38"/>
  <c r="DC30" i="38"/>
  <c r="DC35" i="38" s="1"/>
  <c r="DC27" i="38"/>
  <c r="BK27" i="38"/>
  <c r="BK26" i="38"/>
  <c r="BK36" i="38" s="1"/>
  <c r="BK20" i="38"/>
  <c r="DC19" i="38"/>
  <c r="DC42" i="38" s="1"/>
  <c r="BK16" i="38"/>
  <c r="DC15" i="38"/>
  <c r="DC44" i="38" s="1"/>
  <c r="BK12" i="38"/>
  <c r="DC11" i="38"/>
  <c r="DC39" i="38" s="1"/>
  <c r="BK9" i="38"/>
  <c r="DC8" i="38"/>
  <c r="DC41" i="38" s="1"/>
  <c r="BK29" i="38"/>
  <c r="DC23" i="38"/>
  <c r="DC49" i="38" s="1"/>
  <c r="DC22" i="38"/>
  <c r="DC37" i="38" s="1"/>
  <c r="DC21" i="38"/>
  <c r="BK19" i="38"/>
  <c r="BK42" i="38" s="1"/>
  <c r="DC18" i="38"/>
  <c r="BK24" i="38"/>
  <c r="BK22" i="38"/>
  <c r="BK37" i="38" s="1"/>
  <c r="DC20" i="38"/>
  <c r="BK18" i="38"/>
  <c r="DC17" i="38"/>
  <c r="DC16" i="38"/>
  <c r="DC13" i="38"/>
  <c r="DC33" i="38" s="1"/>
  <c r="DC12" i="38"/>
  <c r="DC7" i="38"/>
  <c r="BK5" i="38"/>
  <c r="BK3" i="38"/>
  <c r="BK32" i="38" s="1"/>
  <c r="P25" i="38"/>
  <c r="P20" i="38"/>
  <c r="P19" i="38"/>
  <c r="P42" i="38" s="1"/>
  <c r="P12" i="38"/>
  <c r="P6" i="38"/>
  <c r="P47" i="38" s="1"/>
  <c r="DC28" i="38"/>
  <c r="DC43" i="38" s="1"/>
  <c r="DC25" i="38"/>
  <c r="BK15" i="38"/>
  <c r="BK44" i="38" s="1"/>
  <c r="DC10" i="38"/>
  <c r="DC46" i="38" s="1"/>
  <c r="DC9" i="38"/>
  <c r="DC6" i="38"/>
  <c r="DC47" i="38" s="1"/>
  <c r="DC5" i="38"/>
  <c r="DC4" i="38"/>
  <c r="DC40" i="38" s="1"/>
  <c r="DC2" i="38"/>
  <c r="DC38" i="38" s="1"/>
  <c r="P30" i="38"/>
  <c r="P35" i="38" s="1"/>
  <c r="P29" i="38"/>
  <c r="P27" i="38"/>
  <c r="P18" i="38"/>
  <c r="P16" i="38"/>
  <c r="P14" i="38"/>
  <c r="P34" i="38" s="1"/>
  <c r="P9" i="38"/>
  <c r="P8" i="38"/>
  <c r="P41" i="38" s="1"/>
  <c r="P7" i="38"/>
  <c r="DC26" i="38"/>
  <c r="DC36" i="38" s="1"/>
  <c r="BK11" i="38"/>
  <c r="BK39" i="38" s="1"/>
  <c r="BK7" i="38"/>
  <c r="P23" i="38"/>
  <c r="P49" i="38" s="1"/>
  <c r="P4" i="38"/>
  <c r="P40" i="38" s="1"/>
  <c r="DC14" i="38"/>
  <c r="DC34" i="38" s="1"/>
  <c r="BK8" i="38"/>
  <c r="BK41" i="38" s="1"/>
  <c r="P26" i="38"/>
  <c r="P36" i="38" s="1"/>
  <c r="P21" i="38"/>
  <c r="P11" i="38"/>
  <c r="P39" i="38" s="1"/>
  <c r="BK17" i="38"/>
  <c r="BK13" i="38"/>
  <c r="BK33" i="38" s="1"/>
  <c r="DC3" i="38"/>
  <c r="DC32" i="38" s="1"/>
  <c r="P28" i="38"/>
  <c r="P43" i="38" s="1"/>
  <c r="BK23" i="38"/>
  <c r="BK49" i="38" s="1"/>
  <c r="BK6" i="38"/>
  <c r="BK47" i="38" s="1"/>
  <c r="BK2" i="38"/>
  <c r="BK38" i="38" s="1"/>
  <c r="P17" i="38"/>
  <c r="P15" i="38"/>
  <c r="P44" i="38" s="1"/>
  <c r="BK14" i="38"/>
  <c r="BK34" i="38" s="1"/>
  <c r="BK10" i="38"/>
  <c r="BK46" i="38" s="1"/>
  <c r="P24" i="38"/>
  <c r="P22" i="38"/>
  <c r="P37" i="38" s="1"/>
  <c r="P2" i="38"/>
  <c r="P38" i="38" s="1"/>
  <c r="P13" i="38"/>
  <c r="P33" i="38" s="1"/>
  <c r="P5" i="38"/>
  <c r="P3" i="38"/>
  <c r="P32" i="38" s="1"/>
  <c r="BK4" i="38"/>
  <c r="BK40" i="38" s="1"/>
  <c r="BK28" i="38"/>
  <c r="BK43" i="38" s="1"/>
  <c r="P10" i="38"/>
  <c r="P46" i="38" s="1"/>
  <c r="P45" i="38" s="1"/>
  <c r="BZ6" i="18"/>
  <c r="BZ47" i="18" s="1"/>
  <c r="AE30" i="42"/>
  <c r="AE35" i="42" s="1"/>
  <c r="AE29" i="42"/>
  <c r="AE28" i="42"/>
  <c r="AE43" i="42" s="1"/>
  <c r="AE27" i="42"/>
  <c r="AE26" i="42"/>
  <c r="AE36" i="42" s="1"/>
  <c r="AE25" i="42"/>
  <c r="AE24" i="42"/>
  <c r="AE23" i="42"/>
  <c r="AE22" i="42"/>
  <c r="AE37" i="42" s="1"/>
  <c r="AE21" i="42"/>
  <c r="AE20" i="42"/>
  <c r="AE19" i="42"/>
  <c r="AE42" i="42" s="1"/>
  <c r="AE18" i="42"/>
  <c r="AE17" i="42"/>
  <c r="AE16" i="42"/>
  <c r="AE15" i="42"/>
  <c r="AE44" i="42" s="1"/>
  <c r="AE14" i="42"/>
  <c r="AE34" i="42" s="1"/>
  <c r="AE13" i="42"/>
  <c r="AE33" i="42" s="1"/>
  <c r="AE12" i="42"/>
  <c r="AE11" i="42"/>
  <c r="AE39" i="42" s="1"/>
  <c r="AE10" i="42"/>
  <c r="AE46" i="42" s="1"/>
  <c r="AE9" i="42"/>
  <c r="AE8" i="42"/>
  <c r="AE41" i="42" s="1"/>
  <c r="AE7" i="42"/>
  <c r="AE6" i="42"/>
  <c r="AE47" i="42" s="1"/>
  <c r="AE5" i="42"/>
  <c r="AE4" i="42"/>
  <c r="AE40" i="42" s="1"/>
  <c r="AE3" i="42"/>
  <c r="AE32" i="42" s="1"/>
  <c r="AE31" i="42" s="1"/>
  <c r="AE2" i="42"/>
  <c r="AE38" i="42" s="1"/>
  <c r="AE30" i="43"/>
  <c r="AE35" i="43" s="1"/>
  <c r="AE6" i="43"/>
  <c r="AE47" i="43" s="1"/>
  <c r="AE13" i="43"/>
  <c r="AE33" i="43" s="1"/>
  <c r="AE7" i="43"/>
  <c r="AE21" i="43"/>
  <c r="AE8" i="43"/>
  <c r="AE41" i="43" s="1"/>
  <c r="AE27" i="43"/>
  <c r="AE11" i="43"/>
  <c r="AE39" i="43" s="1"/>
  <c r="AE10" i="43"/>
  <c r="AE46" i="43" s="1"/>
  <c r="AE45" i="43" s="1"/>
  <c r="AE29" i="43"/>
  <c r="AE24" i="43"/>
  <c r="AE4" i="43"/>
  <c r="AE40" i="43" s="1"/>
  <c r="AE23" i="43"/>
  <c r="AE16" i="43"/>
  <c r="AE22" i="43"/>
  <c r="AE37" i="43" s="1"/>
  <c r="AE17" i="43"/>
  <c r="AE9" i="43"/>
  <c r="AE5" i="43"/>
  <c r="AE2" i="43"/>
  <c r="AE38" i="43" s="1"/>
  <c r="AE19" i="43"/>
  <c r="AE42" i="43" s="1"/>
  <c r="AE18" i="43"/>
  <c r="AE25" i="43"/>
  <c r="AE28" i="43"/>
  <c r="AE43" i="43" s="1"/>
  <c r="AE20" i="43"/>
  <c r="AE12" i="43"/>
  <c r="AE15" i="43"/>
  <c r="AE44" i="43" s="1"/>
  <c r="AE3" i="43"/>
  <c r="AE32" i="43" s="1"/>
  <c r="AE14" i="43"/>
  <c r="AE34" i="43" s="1"/>
  <c r="AE26" i="43"/>
  <c r="AE36" i="43" s="1"/>
  <c r="AE6" i="30"/>
  <c r="AE47" i="30" s="1"/>
  <c r="AE10" i="30"/>
  <c r="AE46" i="30" s="1"/>
  <c r="AE14" i="30"/>
  <c r="AE34" i="30" s="1"/>
  <c r="AE19" i="30"/>
  <c r="AE42" i="30" s="1"/>
  <c r="AE21" i="30"/>
  <c r="AE27" i="30"/>
  <c r="AE29" i="30"/>
  <c r="AE2" i="30"/>
  <c r="AE38" i="30" s="1"/>
  <c r="AE3" i="30"/>
  <c r="AE32" i="30" s="1"/>
  <c r="AE5" i="30"/>
  <c r="AE9" i="30"/>
  <c r="AE13" i="30"/>
  <c r="AE33" i="30" s="1"/>
  <c r="AE17" i="30"/>
  <c r="AE20" i="30"/>
  <c r="AE22" i="30"/>
  <c r="AE37" i="30" s="1"/>
  <c r="AE28" i="30"/>
  <c r="AE43" i="30" s="1"/>
  <c r="AE30" i="30"/>
  <c r="AE35" i="30" s="1"/>
  <c r="AE11" i="30"/>
  <c r="AE39" i="30" s="1"/>
  <c r="AE15" i="30"/>
  <c r="AE44" i="30" s="1"/>
  <c r="AE26" i="30"/>
  <c r="AE36" i="30" s="1"/>
  <c r="AE4" i="30"/>
  <c r="AE40" i="30" s="1"/>
  <c r="AE8" i="30"/>
  <c r="AE41" i="30" s="1"/>
  <c r="AE12" i="30"/>
  <c r="AE16" i="30"/>
  <c r="AE23" i="30"/>
  <c r="AE25" i="30"/>
  <c r="AE7" i="30"/>
  <c r="AE18" i="30"/>
  <c r="AE24" i="30"/>
  <c r="AT30" i="42"/>
  <c r="AT35" i="42" s="1"/>
  <c r="AT29" i="42"/>
  <c r="AT28" i="42"/>
  <c r="AT43" i="42" s="1"/>
  <c r="AT27" i="42"/>
  <c r="AT26" i="42"/>
  <c r="AT36" i="42" s="1"/>
  <c r="AT25" i="42"/>
  <c r="AT24" i="42"/>
  <c r="AT23" i="42"/>
  <c r="AT22" i="42"/>
  <c r="AT37" i="42" s="1"/>
  <c r="AT21" i="42"/>
  <c r="AT20" i="42"/>
  <c r="AT19" i="42"/>
  <c r="AT42" i="42" s="1"/>
  <c r="AT18" i="42"/>
  <c r="AT17" i="42"/>
  <c r="AT16" i="42"/>
  <c r="AT15" i="42"/>
  <c r="AT44" i="42" s="1"/>
  <c r="AT14" i="42"/>
  <c r="AT34" i="42" s="1"/>
  <c r="AT13" i="42"/>
  <c r="AT33" i="42" s="1"/>
  <c r="AT12" i="42"/>
  <c r="AT11" i="42"/>
  <c r="AT39" i="42" s="1"/>
  <c r="AT10" i="42"/>
  <c r="AT46" i="42" s="1"/>
  <c r="AT9" i="42"/>
  <c r="AT8" i="42"/>
  <c r="AT41" i="42" s="1"/>
  <c r="AT7" i="42"/>
  <c r="AT6" i="42"/>
  <c r="AT47" i="42" s="1"/>
  <c r="AT5" i="42"/>
  <c r="AT4" i="42"/>
  <c r="AT40" i="42" s="1"/>
  <c r="AT3" i="42"/>
  <c r="AT32" i="42" s="1"/>
  <c r="AT2" i="42"/>
  <c r="AT38" i="42" s="1"/>
  <c r="AT30" i="43"/>
  <c r="AT35" i="43" s="1"/>
  <c r="AT6" i="43"/>
  <c r="AT47" i="43" s="1"/>
  <c r="AT13" i="43"/>
  <c r="AT33" i="43" s="1"/>
  <c r="AT7" i="43"/>
  <c r="AT21" i="43"/>
  <c r="AT8" i="43"/>
  <c r="AT41" i="43" s="1"/>
  <c r="AT27" i="43"/>
  <c r="AT11" i="43"/>
  <c r="AT39" i="43" s="1"/>
  <c r="AT10" i="43"/>
  <c r="AT46" i="43" s="1"/>
  <c r="AT45" i="43" s="1"/>
  <c r="AT29" i="43"/>
  <c r="AT24" i="43"/>
  <c r="AT4" i="43"/>
  <c r="AT40" i="43" s="1"/>
  <c r="AT2" i="43"/>
  <c r="AT38" i="43" s="1"/>
  <c r="AT23" i="43"/>
  <c r="AT18" i="43"/>
  <c r="AT26" i="43"/>
  <c r="AT36" i="43" s="1"/>
  <c r="AT22" i="43"/>
  <c r="AT37" i="43" s="1"/>
  <c r="AT17" i="43"/>
  <c r="AT9" i="43"/>
  <c r="AT5" i="43"/>
  <c r="AT19" i="43"/>
  <c r="AT42" i="43" s="1"/>
  <c r="AT25" i="43"/>
  <c r="AT28" i="43"/>
  <c r="AT43" i="43" s="1"/>
  <c r="AT20" i="43"/>
  <c r="AT12" i="43"/>
  <c r="AT15" i="43"/>
  <c r="AT44" i="43" s="1"/>
  <c r="AT3" i="43"/>
  <c r="AT32" i="43" s="1"/>
  <c r="AT14" i="43"/>
  <c r="AT34" i="43" s="1"/>
  <c r="AT16" i="43"/>
  <c r="AT5" i="30"/>
  <c r="AT9" i="30"/>
  <c r="AT13" i="30"/>
  <c r="AT33" i="30" s="1"/>
  <c r="AT17" i="30"/>
  <c r="AT20" i="30"/>
  <c r="AT22" i="30"/>
  <c r="AT37" i="30" s="1"/>
  <c r="AT28" i="30"/>
  <c r="AT43" i="30" s="1"/>
  <c r="AT30" i="30"/>
  <c r="AT35" i="30" s="1"/>
  <c r="AT25" i="30"/>
  <c r="AT14" i="30"/>
  <c r="AT34" i="30" s="1"/>
  <c r="AT27" i="30"/>
  <c r="AT4" i="30"/>
  <c r="AT40" i="30" s="1"/>
  <c r="AT8" i="30"/>
  <c r="AT41" i="30" s="1"/>
  <c r="AT12" i="30"/>
  <c r="AT16" i="30"/>
  <c r="AT23" i="30"/>
  <c r="AT6" i="30"/>
  <c r="AT47" i="30" s="1"/>
  <c r="AT10" i="30"/>
  <c r="AT46" i="30" s="1"/>
  <c r="AT45" i="30" s="1"/>
  <c r="AT19" i="30"/>
  <c r="AT42" i="30" s="1"/>
  <c r="AT29" i="30"/>
  <c r="AT2" i="30"/>
  <c r="AT38" i="30" s="1"/>
  <c r="AT3" i="30"/>
  <c r="AT32" i="30" s="1"/>
  <c r="AT7" i="30"/>
  <c r="AT11" i="30"/>
  <c r="AT39" i="30" s="1"/>
  <c r="AT15" i="30"/>
  <c r="AT44" i="30" s="1"/>
  <c r="AT18" i="30"/>
  <c r="AT24" i="30"/>
  <c r="AT26" i="30"/>
  <c r="AT36" i="30" s="1"/>
  <c r="AT21" i="30"/>
  <c r="E17" i="20"/>
  <c r="E13" i="45"/>
  <c r="C33" i="45"/>
  <c r="E33" i="45" s="1"/>
  <c r="E18" i="45"/>
  <c r="C75" i="45"/>
  <c r="E75" i="45" s="1"/>
  <c r="C61" i="45"/>
  <c r="E61" i="45" s="1"/>
  <c r="H33" i="16"/>
  <c r="H44" i="16"/>
  <c r="CI30" i="42"/>
  <c r="CI35" i="42" s="1"/>
  <c r="CI29" i="42"/>
  <c r="CI28" i="42"/>
  <c r="CI43" i="42" s="1"/>
  <c r="CI27" i="42"/>
  <c r="CI26" i="42"/>
  <c r="CI36" i="42" s="1"/>
  <c r="CI25" i="42"/>
  <c r="CI24" i="42"/>
  <c r="CI23" i="42"/>
  <c r="CI22" i="42"/>
  <c r="CI37" i="42" s="1"/>
  <c r="CI21" i="42"/>
  <c r="CI20" i="42"/>
  <c r="CI19" i="42"/>
  <c r="CI42" i="42" s="1"/>
  <c r="CI4" i="42"/>
  <c r="CI40" i="42" s="1"/>
  <c r="CI3" i="42"/>
  <c r="CI32" i="42" s="1"/>
  <c r="CI2" i="42"/>
  <c r="CI38" i="42" s="1"/>
  <c r="CI17" i="42"/>
  <c r="CI15" i="42"/>
  <c r="CI44" i="42" s="1"/>
  <c r="CI13" i="42"/>
  <c r="CI33" i="42" s="1"/>
  <c r="CI11" i="42"/>
  <c r="CI39" i="42" s="1"/>
  <c r="CI9" i="42"/>
  <c r="CI7" i="42"/>
  <c r="CI5" i="42"/>
  <c r="BJ30" i="41"/>
  <c r="BJ35" i="41" s="1"/>
  <c r="CI18" i="42"/>
  <c r="CI16" i="42"/>
  <c r="CI14" i="42"/>
  <c r="CI34" i="42" s="1"/>
  <c r="CI12" i="42"/>
  <c r="CI10" i="42"/>
  <c r="CI46" i="42" s="1"/>
  <c r="CI8" i="42"/>
  <c r="CI41" i="42" s="1"/>
  <c r="CI6" i="42"/>
  <c r="CI47" i="42" s="1"/>
  <c r="BJ7" i="41"/>
  <c r="BJ6" i="41"/>
  <c r="BJ47" i="41" s="1"/>
  <c r="BJ5" i="41"/>
  <c r="BJ4" i="41"/>
  <c r="BJ40" i="41" s="1"/>
  <c r="BJ3" i="41"/>
  <c r="BJ32" i="41" s="1"/>
  <c r="BJ29" i="41"/>
  <c r="BJ28" i="41"/>
  <c r="BJ43" i="41" s="1"/>
  <c r="BJ10" i="41"/>
  <c r="BJ46" i="41" s="1"/>
  <c r="BJ45" i="41" s="1"/>
  <c r="BJ9" i="41"/>
  <c r="BJ8" i="41"/>
  <c r="BJ41" i="41" s="1"/>
  <c r="BJ27" i="41"/>
  <c r="BJ26" i="41"/>
  <c r="BJ36" i="41" s="1"/>
  <c r="BJ25" i="41"/>
  <c r="BJ24" i="41"/>
  <c r="BJ23" i="41"/>
  <c r="BJ49" i="41" s="1"/>
  <c r="BJ21" i="41"/>
  <c r="BJ20" i="41"/>
  <c r="BJ19" i="41"/>
  <c r="BJ42" i="41" s="1"/>
  <c r="BJ18" i="41"/>
  <c r="BJ17" i="41"/>
  <c r="BJ16" i="41"/>
  <c r="BJ15" i="41"/>
  <c r="BJ44" i="41" s="1"/>
  <c r="BJ12" i="41"/>
  <c r="BJ11" i="41"/>
  <c r="BJ39" i="41" s="1"/>
  <c r="BJ14" i="41"/>
  <c r="BJ34" i="41" s="1"/>
  <c r="BJ22" i="41"/>
  <c r="BJ37" i="41" s="1"/>
  <c r="BJ2" i="29"/>
  <c r="BJ38" i="29" s="1"/>
  <c r="BJ4" i="29"/>
  <c r="BJ40" i="29" s="1"/>
  <c r="BJ5" i="29"/>
  <c r="BJ6" i="29"/>
  <c r="BJ47" i="29" s="1"/>
  <c r="BJ8" i="29"/>
  <c r="BJ41" i="29" s="1"/>
  <c r="BJ10" i="29"/>
  <c r="BJ46" i="29" s="1"/>
  <c r="BJ45" i="29" s="1"/>
  <c r="BJ2" i="41"/>
  <c r="BJ38" i="41" s="1"/>
  <c r="BJ12" i="29"/>
  <c r="BJ13" i="29"/>
  <c r="BJ33" i="29" s="1"/>
  <c r="BJ14" i="29"/>
  <c r="BJ34" i="29" s="1"/>
  <c r="BJ15" i="29"/>
  <c r="BJ44" i="29" s="1"/>
  <c r="BJ16" i="29"/>
  <c r="BJ17" i="29"/>
  <c r="BJ18" i="29"/>
  <c r="BJ19" i="29"/>
  <c r="BJ42" i="29" s="1"/>
  <c r="BJ20" i="29"/>
  <c r="BJ21" i="29"/>
  <c r="BJ22" i="29"/>
  <c r="BJ37" i="29" s="1"/>
  <c r="BJ23" i="29"/>
  <c r="BJ49" i="29" s="1"/>
  <c r="BJ24" i="29"/>
  <c r="BJ25" i="29"/>
  <c r="BJ26" i="29"/>
  <c r="BJ36" i="29" s="1"/>
  <c r="BJ27" i="29"/>
  <c r="BJ28" i="29"/>
  <c r="BJ43" i="29" s="1"/>
  <c r="BJ29" i="29"/>
  <c r="BJ30" i="29"/>
  <c r="BJ35" i="29" s="1"/>
  <c r="BJ11" i="29"/>
  <c r="BJ39" i="29" s="1"/>
  <c r="BJ9" i="29"/>
  <c r="BJ7" i="29"/>
  <c r="BJ13" i="41"/>
  <c r="BJ33" i="41" s="1"/>
  <c r="BJ3" i="29"/>
  <c r="BJ32" i="29" s="1"/>
  <c r="CI29" i="43"/>
  <c r="CI8" i="43"/>
  <c r="CI41" i="43" s="1"/>
  <c r="CI24" i="43"/>
  <c r="CI16" i="43"/>
  <c r="CI30" i="43"/>
  <c r="CI35" i="43" s="1"/>
  <c r="CI22" i="43"/>
  <c r="CI37" i="43" s="1"/>
  <c r="CI17" i="43"/>
  <c r="CI13" i="43"/>
  <c r="CI33" i="43" s="1"/>
  <c r="CI9" i="43"/>
  <c r="CI5" i="43"/>
  <c r="CI19" i="43"/>
  <c r="CI42" i="43" s="1"/>
  <c r="CI26" i="43"/>
  <c r="CI36" i="43" s="1"/>
  <c r="CI25" i="43"/>
  <c r="CI21" i="43"/>
  <c r="CI15" i="43"/>
  <c r="CI44" i="43" s="1"/>
  <c r="CI3" i="43"/>
  <c r="CI32" i="43" s="1"/>
  <c r="CI2" i="43"/>
  <c r="CI38" i="43" s="1"/>
  <c r="CI10" i="43"/>
  <c r="CI46" i="43" s="1"/>
  <c r="CI45" i="43" s="1"/>
  <c r="CI18" i="43"/>
  <c r="CI20" i="43"/>
  <c r="CI12" i="43"/>
  <c r="CI14" i="43"/>
  <c r="CI34" i="43" s="1"/>
  <c r="CI27" i="43"/>
  <c r="CI11" i="43"/>
  <c r="CI39" i="43" s="1"/>
  <c r="CI4" i="43"/>
  <c r="CI40" i="43" s="1"/>
  <c r="CI23" i="43"/>
  <c r="CI6" i="43"/>
  <c r="CI47" i="43" s="1"/>
  <c r="CI7" i="43"/>
  <c r="CI28" i="43"/>
  <c r="CI43" i="43" s="1"/>
  <c r="CI3" i="30"/>
  <c r="CI32" i="30" s="1"/>
  <c r="CI4" i="30"/>
  <c r="CI40" i="30" s="1"/>
  <c r="CI5" i="30"/>
  <c r="CI6" i="30"/>
  <c r="CI47" i="30" s="1"/>
  <c r="CI7" i="30"/>
  <c r="CI8" i="30"/>
  <c r="CI41" i="30" s="1"/>
  <c r="CI9" i="30"/>
  <c r="CI10" i="30"/>
  <c r="CI46" i="30" s="1"/>
  <c r="CI45" i="30" s="1"/>
  <c r="CI11" i="30"/>
  <c r="CI39" i="30" s="1"/>
  <c r="CI12" i="30"/>
  <c r="CI13" i="30"/>
  <c r="CI33" i="30" s="1"/>
  <c r="CI14" i="30"/>
  <c r="CI34" i="30" s="1"/>
  <c r="CI15" i="30"/>
  <c r="CI44" i="30" s="1"/>
  <c r="CI16" i="30"/>
  <c r="CI17" i="30"/>
  <c r="CI18" i="30"/>
  <c r="CI19" i="30"/>
  <c r="CI42" i="30" s="1"/>
  <c r="CI20" i="30"/>
  <c r="CI21" i="30"/>
  <c r="CI22" i="30"/>
  <c r="CI37" i="30" s="1"/>
  <c r="CI23" i="30"/>
  <c r="CI24" i="30"/>
  <c r="CI25" i="30"/>
  <c r="CI26" i="30"/>
  <c r="CI36" i="30" s="1"/>
  <c r="CI27" i="30"/>
  <c r="CI28" i="30"/>
  <c r="CI43" i="30" s="1"/>
  <c r="CI29" i="30"/>
  <c r="CI30" i="30"/>
  <c r="CI35" i="30" s="1"/>
  <c r="CT30" i="42"/>
  <c r="CT35" i="42" s="1"/>
  <c r="CT29" i="42"/>
  <c r="CT28" i="42"/>
  <c r="CT43" i="42" s="1"/>
  <c r="CT27" i="42"/>
  <c r="CT26" i="42"/>
  <c r="CT36" i="42" s="1"/>
  <c r="CT25" i="42"/>
  <c r="CT24" i="42"/>
  <c r="CT23" i="42"/>
  <c r="CT22" i="42"/>
  <c r="CT37" i="42" s="1"/>
  <c r="CT21" i="42"/>
  <c r="CT20" i="42"/>
  <c r="CT19" i="42"/>
  <c r="CT42" i="42" s="1"/>
  <c r="CT18" i="42"/>
  <c r="CT17" i="42"/>
  <c r="CT15" i="42"/>
  <c r="CT44" i="42" s="1"/>
  <c r="CT13" i="42"/>
  <c r="CT33" i="42" s="1"/>
  <c r="CT11" i="42"/>
  <c r="CT39" i="42" s="1"/>
  <c r="CT9" i="42"/>
  <c r="CT7" i="42"/>
  <c r="CT5" i="42"/>
  <c r="CT4" i="42"/>
  <c r="CT40" i="42" s="1"/>
  <c r="CT3" i="42"/>
  <c r="CT32" i="42" s="1"/>
  <c r="CT2" i="42"/>
  <c r="CT38" i="42" s="1"/>
  <c r="CT16" i="42"/>
  <c r="CT14" i="42"/>
  <c r="CT34" i="42" s="1"/>
  <c r="CT12" i="42"/>
  <c r="CT10" i="42"/>
  <c r="CT46" i="42" s="1"/>
  <c r="CT8" i="42"/>
  <c r="CT41" i="42" s="1"/>
  <c r="CT6" i="42"/>
  <c r="CT47" i="42" s="1"/>
  <c r="BU29" i="41"/>
  <c r="BU22" i="41"/>
  <c r="BU37" i="41" s="1"/>
  <c r="BU14" i="41"/>
  <c r="BU34" i="41" s="1"/>
  <c r="BU13" i="41"/>
  <c r="BU33" i="41" s="1"/>
  <c r="BU2" i="41"/>
  <c r="BU38" i="41" s="1"/>
  <c r="BU7" i="41"/>
  <c r="BU6" i="41"/>
  <c r="BU47" i="41" s="1"/>
  <c r="BU5" i="41"/>
  <c r="BU4" i="41"/>
  <c r="BU40" i="41" s="1"/>
  <c r="BU3" i="41"/>
  <c r="BU32" i="41" s="1"/>
  <c r="BU28" i="41"/>
  <c r="BU43" i="41" s="1"/>
  <c r="BU10" i="41"/>
  <c r="BU46" i="41" s="1"/>
  <c r="BU45" i="41" s="1"/>
  <c r="BU9" i="41"/>
  <c r="BU8" i="41"/>
  <c r="BU41" i="41" s="1"/>
  <c r="BU2" i="29"/>
  <c r="BU38" i="29" s="1"/>
  <c r="BU3" i="29"/>
  <c r="BU32" i="29" s="1"/>
  <c r="BU4" i="29"/>
  <c r="BU40" i="29" s="1"/>
  <c r="BU27" i="41"/>
  <c r="BU24" i="41"/>
  <c r="BU21" i="41"/>
  <c r="BU19" i="41"/>
  <c r="BU42" i="41" s="1"/>
  <c r="BU11" i="41"/>
  <c r="BU39" i="41" s="1"/>
  <c r="BU30" i="41"/>
  <c r="BU35" i="41" s="1"/>
  <c r="BU17" i="41"/>
  <c r="BU15" i="41"/>
  <c r="BU44" i="41" s="1"/>
  <c r="BU6" i="29"/>
  <c r="BU47" i="29" s="1"/>
  <c r="BU8" i="29"/>
  <c r="BU41" i="29" s="1"/>
  <c r="BU10" i="29"/>
  <c r="BU46" i="29" s="1"/>
  <c r="BU45" i="29" s="1"/>
  <c r="BU12" i="29"/>
  <c r="BU13" i="29"/>
  <c r="BU33" i="29" s="1"/>
  <c r="BU14" i="29"/>
  <c r="BU34" i="29" s="1"/>
  <c r="BU15" i="29"/>
  <c r="BU44" i="29" s="1"/>
  <c r="BU16" i="29"/>
  <c r="BU17" i="29"/>
  <c r="BU18" i="29"/>
  <c r="BU19" i="29"/>
  <c r="BU42" i="29" s="1"/>
  <c r="BU20" i="29"/>
  <c r="BU21" i="29"/>
  <c r="BU22" i="29"/>
  <c r="BU37" i="29" s="1"/>
  <c r="BU23" i="29"/>
  <c r="BU49" i="29" s="1"/>
  <c r="BU24" i="29"/>
  <c r="BU25" i="29"/>
  <c r="BU26" i="29"/>
  <c r="BU36" i="29" s="1"/>
  <c r="BU27" i="29"/>
  <c r="BU28" i="29"/>
  <c r="BU43" i="29" s="1"/>
  <c r="BU29" i="29"/>
  <c r="BU30" i="29"/>
  <c r="BU35" i="29" s="1"/>
  <c r="BU26" i="41"/>
  <c r="BU36" i="41" s="1"/>
  <c r="BU25" i="41"/>
  <c r="BU23" i="41"/>
  <c r="BU49" i="41" s="1"/>
  <c r="BU20" i="41"/>
  <c r="BU12" i="41"/>
  <c r="BU5" i="29"/>
  <c r="BU7" i="29"/>
  <c r="BU9" i="29"/>
  <c r="BU16" i="41"/>
  <c r="BU11" i="29"/>
  <c r="BU39" i="29" s="1"/>
  <c r="BU18" i="41"/>
  <c r="CT18" i="43"/>
  <c r="CT22" i="43"/>
  <c r="CT37" i="43" s="1"/>
  <c r="CT17" i="43"/>
  <c r="CT9" i="43"/>
  <c r="CT5" i="43"/>
  <c r="CT19" i="43"/>
  <c r="CT42" i="43" s="1"/>
  <c r="CT25" i="43"/>
  <c r="CT28" i="43"/>
  <c r="CT43" i="43" s="1"/>
  <c r="CT20" i="43"/>
  <c r="CT12" i="43"/>
  <c r="CT15" i="43"/>
  <c r="CT44" i="43" s="1"/>
  <c r="CT3" i="43"/>
  <c r="CT32" i="43" s="1"/>
  <c r="CT14" i="43"/>
  <c r="CT34" i="43" s="1"/>
  <c r="CT16" i="43"/>
  <c r="CT26" i="43"/>
  <c r="CT36" i="43" s="1"/>
  <c r="CT2" i="43"/>
  <c r="CT38" i="43" s="1"/>
  <c r="CT4" i="43"/>
  <c r="CT40" i="43" s="1"/>
  <c r="CT23" i="43"/>
  <c r="CT30" i="43"/>
  <c r="CT35" i="43" s="1"/>
  <c r="CT6" i="43"/>
  <c r="CT47" i="43" s="1"/>
  <c r="CT13" i="43"/>
  <c r="CT33" i="43" s="1"/>
  <c r="CT7" i="43"/>
  <c r="CT21" i="43"/>
  <c r="CT8" i="43"/>
  <c r="CT41" i="43" s="1"/>
  <c r="CT27" i="43"/>
  <c r="CT11" i="43"/>
  <c r="CT39" i="43" s="1"/>
  <c r="CT10" i="43"/>
  <c r="CT46" i="43" s="1"/>
  <c r="CT45" i="43" s="1"/>
  <c r="CT29" i="43"/>
  <c r="CT24" i="43"/>
  <c r="CT3" i="30"/>
  <c r="CT32" i="30" s="1"/>
  <c r="CT4" i="30"/>
  <c r="CT40" i="30" s="1"/>
  <c r="CT5" i="30"/>
  <c r="CT6" i="30"/>
  <c r="CT47" i="30" s="1"/>
  <c r="CT7" i="30"/>
  <c r="CT8" i="30"/>
  <c r="CT41" i="30" s="1"/>
  <c r="CT9" i="30"/>
  <c r="CT10" i="30"/>
  <c r="CT46" i="30" s="1"/>
  <c r="CT45" i="30" s="1"/>
  <c r="CT11" i="30"/>
  <c r="CT39" i="30" s="1"/>
  <c r="CT12" i="30"/>
  <c r="CT13" i="30"/>
  <c r="CT33" i="30" s="1"/>
  <c r="CT14" i="30"/>
  <c r="CT34" i="30" s="1"/>
  <c r="CT15" i="30"/>
  <c r="CT44" i="30" s="1"/>
  <c r="CT16" i="30"/>
  <c r="CT17" i="30"/>
  <c r="CT18" i="30"/>
  <c r="CT19" i="30"/>
  <c r="CT42" i="30" s="1"/>
  <c r="CT20" i="30"/>
  <c r="CT21" i="30"/>
  <c r="CT22" i="30"/>
  <c r="CT37" i="30" s="1"/>
  <c r="CT23" i="30"/>
  <c r="CT24" i="30"/>
  <c r="CT25" i="30"/>
  <c r="CT26" i="30"/>
  <c r="CT36" i="30" s="1"/>
  <c r="CT27" i="30"/>
  <c r="CT28" i="30"/>
  <c r="CT43" i="30" s="1"/>
  <c r="CT29" i="30"/>
  <c r="CT30" i="30"/>
  <c r="CT35" i="30" s="1"/>
  <c r="AI29" i="32"/>
  <c r="AI27" i="32"/>
  <c r="AI25" i="32"/>
  <c r="AI7" i="32"/>
  <c r="AI6" i="32"/>
  <c r="AI47" i="32" s="1"/>
  <c r="AI30" i="32"/>
  <c r="AI35" i="32" s="1"/>
  <c r="AI28" i="32"/>
  <c r="AI43" i="32" s="1"/>
  <c r="AI21" i="32"/>
  <c r="AI16" i="32"/>
  <c r="AI14" i="32"/>
  <c r="AI34" i="32" s="1"/>
  <c r="AI11" i="32"/>
  <c r="AI39" i="32" s="1"/>
  <c r="AI9" i="32"/>
  <c r="AI3" i="32"/>
  <c r="AI32" i="32" s="1"/>
  <c r="AI23" i="32"/>
  <c r="AI49" i="32" s="1"/>
  <c r="AI17" i="32"/>
  <c r="AI13" i="32"/>
  <c r="AI33" i="32" s="1"/>
  <c r="AI5" i="32"/>
  <c r="AI22" i="32"/>
  <c r="AI37" i="32" s="1"/>
  <c r="AI19" i="32"/>
  <c r="AI42" i="32" s="1"/>
  <c r="AI12" i="32"/>
  <c r="AI4" i="32"/>
  <c r="AI40" i="32" s="1"/>
  <c r="AI20" i="32"/>
  <c r="AI15" i="32"/>
  <c r="AI44" i="32" s="1"/>
  <c r="AI8" i="32"/>
  <c r="AI41" i="32" s="1"/>
  <c r="AI18" i="32"/>
  <c r="AI24" i="32"/>
  <c r="AI10" i="32"/>
  <c r="AI46" i="32" s="1"/>
  <c r="AI45" i="32" s="1"/>
  <c r="AI26" i="32"/>
  <c r="AI36" i="32" s="1"/>
  <c r="AI2" i="32"/>
  <c r="AI38" i="32" s="1"/>
  <c r="AP30" i="42"/>
  <c r="AP35" i="42" s="1"/>
  <c r="AP29" i="42"/>
  <c r="AP28" i="42"/>
  <c r="AP43" i="42" s="1"/>
  <c r="AP27" i="42"/>
  <c r="AP26" i="42"/>
  <c r="AP36" i="42" s="1"/>
  <c r="AP25" i="42"/>
  <c r="AP24" i="42"/>
  <c r="AP23" i="42"/>
  <c r="AP22" i="42"/>
  <c r="AP37" i="42" s="1"/>
  <c r="AP21" i="42"/>
  <c r="AP20" i="42"/>
  <c r="AP19" i="42"/>
  <c r="AP42" i="42" s="1"/>
  <c r="AP18" i="42"/>
  <c r="AP17" i="42"/>
  <c r="AP16" i="42"/>
  <c r="AP15" i="42"/>
  <c r="AP44" i="42" s="1"/>
  <c r="AP14" i="42"/>
  <c r="AP34" i="42" s="1"/>
  <c r="AP13" i="42"/>
  <c r="AP33" i="42" s="1"/>
  <c r="AP12" i="42"/>
  <c r="AP11" i="42"/>
  <c r="AP39" i="42" s="1"/>
  <c r="AP10" i="42"/>
  <c r="AP46" i="42" s="1"/>
  <c r="AP45" i="42" s="1"/>
  <c r="AP9" i="42"/>
  <c r="AP8" i="42"/>
  <c r="AP41" i="42" s="1"/>
  <c r="AP7" i="42"/>
  <c r="AP6" i="42"/>
  <c r="AP47" i="42" s="1"/>
  <c r="AP5" i="42"/>
  <c r="AP4" i="42"/>
  <c r="AP40" i="42" s="1"/>
  <c r="AP3" i="42"/>
  <c r="AP32" i="42" s="1"/>
  <c r="AP2" i="42"/>
  <c r="AP38" i="42" s="1"/>
  <c r="AP26" i="43"/>
  <c r="AP36" i="43" s="1"/>
  <c r="AP21" i="43"/>
  <c r="AP2" i="43"/>
  <c r="AP38" i="43" s="1"/>
  <c r="AP15" i="43"/>
  <c r="AP44" i="43" s="1"/>
  <c r="AP27" i="43"/>
  <c r="AP4" i="43"/>
  <c r="AP40" i="43" s="1"/>
  <c r="AP30" i="43"/>
  <c r="AP35" i="43" s="1"/>
  <c r="AP13" i="43"/>
  <c r="AP33" i="43" s="1"/>
  <c r="AP5" i="43"/>
  <c r="AP19" i="43"/>
  <c r="AP42" i="43" s="1"/>
  <c r="AP7" i="43"/>
  <c r="AP18" i="43"/>
  <c r="AP25" i="43"/>
  <c r="AP28" i="43"/>
  <c r="AP43" i="43" s="1"/>
  <c r="AP20" i="43"/>
  <c r="AP12" i="43"/>
  <c r="AP3" i="43"/>
  <c r="AP32" i="43" s="1"/>
  <c r="AP8" i="43"/>
  <c r="AP41" i="43" s="1"/>
  <c r="AP11" i="43"/>
  <c r="AP39" i="43" s="1"/>
  <c r="AP10" i="43"/>
  <c r="AP46" i="43" s="1"/>
  <c r="AP29" i="43"/>
  <c r="AP24" i="43"/>
  <c r="AP16" i="43"/>
  <c r="AP23" i="43"/>
  <c r="AP22" i="43"/>
  <c r="AP37" i="43" s="1"/>
  <c r="AP6" i="43"/>
  <c r="AP47" i="43" s="1"/>
  <c r="AP45" i="43" s="1"/>
  <c r="AP17" i="43"/>
  <c r="AP9" i="43"/>
  <c r="AP14" i="43"/>
  <c r="AP34" i="43" s="1"/>
  <c r="AP5" i="30"/>
  <c r="AP9" i="30"/>
  <c r="AP13" i="30"/>
  <c r="AP33" i="30" s="1"/>
  <c r="AP17" i="30"/>
  <c r="AP20" i="30"/>
  <c r="AP22" i="30"/>
  <c r="AP37" i="30" s="1"/>
  <c r="AP28" i="30"/>
  <c r="AP43" i="30" s="1"/>
  <c r="AP30" i="30"/>
  <c r="AP35" i="30" s="1"/>
  <c r="AP6" i="30"/>
  <c r="AP47" i="30" s="1"/>
  <c r="AP10" i="30"/>
  <c r="AP46" i="30" s="1"/>
  <c r="AP45" i="30" s="1"/>
  <c r="AP19" i="30"/>
  <c r="AP42" i="30" s="1"/>
  <c r="AP21" i="30"/>
  <c r="AP29" i="30"/>
  <c r="AP2" i="30"/>
  <c r="AP38" i="30" s="1"/>
  <c r="AP4" i="30"/>
  <c r="AP40" i="30" s="1"/>
  <c r="AP8" i="30"/>
  <c r="AP41" i="30" s="1"/>
  <c r="AP12" i="30"/>
  <c r="AP16" i="30"/>
  <c r="AP23" i="30"/>
  <c r="AP25" i="30"/>
  <c r="AP14" i="30"/>
  <c r="AP34" i="30" s="1"/>
  <c r="AP27" i="30"/>
  <c r="AP3" i="30"/>
  <c r="AP32" i="30" s="1"/>
  <c r="AP31" i="30" s="1"/>
  <c r="AP7" i="30"/>
  <c r="AP11" i="30"/>
  <c r="AP39" i="30" s="1"/>
  <c r="AP15" i="30"/>
  <c r="AP44" i="30" s="1"/>
  <c r="AP18" i="30"/>
  <c r="AP24" i="30"/>
  <c r="AP26" i="30"/>
  <c r="AP36" i="30" s="1"/>
  <c r="E4" i="20"/>
  <c r="E11" i="45"/>
  <c r="C39" i="45"/>
  <c r="E39" i="45" s="1"/>
  <c r="E26" i="20"/>
  <c r="E2" i="45"/>
  <c r="C38" i="45"/>
  <c r="E38" i="45" s="1"/>
  <c r="H65" i="16"/>
  <c r="H51" i="16"/>
  <c r="X51" i="16"/>
  <c r="X65" i="16"/>
  <c r="X55" i="16"/>
  <c r="X69" i="16"/>
  <c r="CC30" i="42"/>
  <c r="CC35" i="42" s="1"/>
  <c r="CC29" i="42"/>
  <c r="CC28" i="42"/>
  <c r="CC43" i="42" s="1"/>
  <c r="CC27" i="42"/>
  <c r="CC26" i="42"/>
  <c r="CC36" i="42" s="1"/>
  <c r="CC25" i="42"/>
  <c r="CC24" i="42"/>
  <c r="CC23" i="42"/>
  <c r="CC22" i="42"/>
  <c r="CC37" i="42" s="1"/>
  <c r="CC21" i="42"/>
  <c r="CC20" i="42"/>
  <c r="CC19" i="42"/>
  <c r="CC42" i="42" s="1"/>
  <c r="CC18" i="42"/>
  <c r="CC16" i="42"/>
  <c r="CC14" i="42"/>
  <c r="CC34" i="42" s="1"/>
  <c r="CC12" i="42"/>
  <c r="CC10" i="42"/>
  <c r="CC46" i="42" s="1"/>
  <c r="CC45" i="42" s="1"/>
  <c r="CC8" i="42"/>
  <c r="CC41" i="42" s="1"/>
  <c r="CC6" i="42"/>
  <c r="CC47" i="42" s="1"/>
  <c r="CC4" i="42"/>
  <c r="CC40" i="42" s="1"/>
  <c r="CC3" i="42"/>
  <c r="CC32" i="42" s="1"/>
  <c r="CC2" i="42"/>
  <c r="CC38" i="42" s="1"/>
  <c r="CC13" i="42"/>
  <c r="CC33" i="42" s="1"/>
  <c r="CC5" i="42"/>
  <c r="BD30" i="41"/>
  <c r="BD35" i="41" s="1"/>
  <c r="BD27" i="41"/>
  <c r="BD26" i="41"/>
  <c r="BD36" i="41" s="1"/>
  <c r="BD25" i="41"/>
  <c r="BD24" i="41"/>
  <c r="BD23" i="41"/>
  <c r="BD49" i="41" s="1"/>
  <c r="BD21" i="41"/>
  <c r="BD20" i="41"/>
  <c r="BD19" i="41"/>
  <c r="BD42" i="41" s="1"/>
  <c r="BD18" i="41"/>
  <c r="BD17" i="41"/>
  <c r="BD16" i="41"/>
  <c r="BD15" i="41"/>
  <c r="BD44" i="41" s="1"/>
  <c r="BD12" i="41"/>
  <c r="BD11" i="41"/>
  <c r="BD39" i="41" s="1"/>
  <c r="CC11" i="42"/>
  <c r="CC39" i="42" s="1"/>
  <c r="BD22" i="41"/>
  <c r="BD37" i="41" s="1"/>
  <c r="BD14" i="41"/>
  <c r="BD34" i="41" s="1"/>
  <c r="BD13" i="41"/>
  <c r="BD33" i="41" s="1"/>
  <c r="BD2" i="41"/>
  <c r="BD38" i="41" s="1"/>
  <c r="BD2" i="29"/>
  <c r="BD38" i="29" s="1"/>
  <c r="BD3" i="29"/>
  <c r="BD32" i="29" s="1"/>
  <c r="BD4" i="29"/>
  <c r="BD40" i="29" s="1"/>
  <c r="BD5" i="29"/>
  <c r="CC17" i="42"/>
  <c r="CC9" i="42"/>
  <c r="BD7" i="41"/>
  <c r="BD6" i="41"/>
  <c r="BD47" i="41" s="1"/>
  <c r="BD5" i="41"/>
  <c r="BD4" i="41"/>
  <c r="BD40" i="41" s="1"/>
  <c r="BD3" i="41"/>
  <c r="BD32" i="41" s="1"/>
  <c r="CC15" i="42"/>
  <c r="CC44" i="42" s="1"/>
  <c r="BD28" i="41"/>
  <c r="BD43" i="41" s="1"/>
  <c r="BD9" i="41"/>
  <c r="BD6" i="29"/>
  <c r="BD47" i="29" s="1"/>
  <c r="BD8" i="29"/>
  <c r="BD41" i="29" s="1"/>
  <c r="BD10" i="29"/>
  <c r="BD46" i="29" s="1"/>
  <c r="BD12" i="29"/>
  <c r="BD13" i="29"/>
  <c r="BD33" i="29" s="1"/>
  <c r="BD14" i="29"/>
  <c r="BD34" i="29" s="1"/>
  <c r="BD15" i="29"/>
  <c r="BD44" i="29" s="1"/>
  <c r="BD16" i="29"/>
  <c r="BD17" i="29"/>
  <c r="BD18" i="29"/>
  <c r="BD19" i="29"/>
  <c r="BD42" i="29" s="1"/>
  <c r="BD20" i="29"/>
  <c r="BD21" i="29"/>
  <c r="BD22" i="29"/>
  <c r="BD37" i="29" s="1"/>
  <c r="BD23" i="29"/>
  <c r="BD49" i="29" s="1"/>
  <c r="BD24" i="29"/>
  <c r="BD25" i="29"/>
  <c r="BD26" i="29"/>
  <c r="BD36" i="29" s="1"/>
  <c r="BD27" i="29"/>
  <c r="BD28" i="29"/>
  <c r="BD43" i="29" s="1"/>
  <c r="BD29" i="29"/>
  <c r="BD30" i="29"/>
  <c r="BD35" i="29" s="1"/>
  <c r="CC7" i="42"/>
  <c r="BD10" i="41"/>
  <c r="BD46" i="41" s="1"/>
  <c r="BD45" i="41" s="1"/>
  <c r="BD29" i="41"/>
  <c r="BD8" i="41"/>
  <c r="BD41" i="41" s="1"/>
  <c r="BD7" i="29"/>
  <c r="BD9" i="29"/>
  <c r="BD11" i="29"/>
  <c r="BD39" i="29" s="1"/>
  <c r="CC22" i="43"/>
  <c r="CC37" i="43" s="1"/>
  <c r="CC17" i="43"/>
  <c r="CC9" i="43"/>
  <c r="CC5" i="43"/>
  <c r="CC2" i="43"/>
  <c r="CC38" i="43" s="1"/>
  <c r="CC19" i="43"/>
  <c r="CC42" i="43" s="1"/>
  <c r="CC18" i="43"/>
  <c r="CC25" i="43"/>
  <c r="CC28" i="43"/>
  <c r="CC43" i="43" s="1"/>
  <c r="CC20" i="43"/>
  <c r="CC12" i="43"/>
  <c r="CC15" i="43"/>
  <c r="CC44" i="43" s="1"/>
  <c r="CC3" i="43"/>
  <c r="CC32" i="43" s="1"/>
  <c r="CC14" i="43"/>
  <c r="CC34" i="43" s="1"/>
  <c r="CC16" i="43"/>
  <c r="CC26" i="43"/>
  <c r="CC36" i="43" s="1"/>
  <c r="CC10" i="43"/>
  <c r="CC46" i="43" s="1"/>
  <c r="CC4" i="43"/>
  <c r="CC40" i="43" s="1"/>
  <c r="CC23" i="43"/>
  <c r="CC30" i="43"/>
  <c r="CC35" i="43" s="1"/>
  <c r="CC6" i="43"/>
  <c r="CC47" i="43" s="1"/>
  <c r="CC13" i="43"/>
  <c r="CC33" i="43" s="1"/>
  <c r="CC7" i="43"/>
  <c r="CC21" i="43"/>
  <c r="CC8" i="43"/>
  <c r="CC41" i="43" s="1"/>
  <c r="CC27" i="43"/>
  <c r="CC11" i="43"/>
  <c r="CC39" i="43" s="1"/>
  <c r="CC29" i="43"/>
  <c r="CC24" i="43"/>
  <c r="CC3" i="30"/>
  <c r="CC32" i="30" s="1"/>
  <c r="CC4" i="30"/>
  <c r="CC40" i="30" s="1"/>
  <c r="CC5" i="30"/>
  <c r="CC6" i="30"/>
  <c r="CC47" i="30" s="1"/>
  <c r="CC7" i="30"/>
  <c r="CC8" i="30"/>
  <c r="CC41" i="30" s="1"/>
  <c r="CC9" i="30"/>
  <c r="CC10" i="30"/>
  <c r="CC46" i="30" s="1"/>
  <c r="CC45" i="30" s="1"/>
  <c r="CC11" i="30"/>
  <c r="CC39" i="30" s="1"/>
  <c r="CC12" i="30"/>
  <c r="CC13" i="30"/>
  <c r="CC33" i="30" s="1"/>
  <c r="CC14" i="30"/>
  <c r="CC34" i="30" s="1"/>
  <c r="CC15" i="30"/>
  <c r="CC44" i="30" s="1"/>
  <c r="CC16" i="30"/>
  <c r="CC17" i="30"/>
  <c r="CC18" i="30"/>
  <c r="CC19" i="30"/>
  <c r="CC42" i="30" s="1"/>
  <c r="CC20" i="30"/>
  <c r="CC21" i="30"/>
  <c r="CC22" i="30"/>
  <c r="CC37" i="30" s="1"/>
  <c r="CC23" i="30"/>
  <c r="CC24" i="30"/>
  <c r="CC25" i="30"/>
  <c r="CC26" i="30"/>
  <c r="CC36" i="30" s="1"/>
  <c r="CC27" i="30"/>
  <c r="CC28" i="30"/>
  <c r="CC43" i="30" s="1"/>
  <c r="CC29" i="30"/>
  <c r="CC30" i="30"/>
  <c r="CC35" i="30" s="1"/>
  <c r="CR30" i="42"/>
  <c r="CR35" i="42" s="1"/>
  <c r="CR29" i="42"/>
  <c r="CR28" i="42"/>
  <c r="CR43" i="42" s="1"/>
  <c r="CR27" i="42"/>
  <c r="CR26" i="42"/>
  <c r="CR36" i="42" s="1"/>
  <c r="CR25" i="42"/>
  <c r="CR24" i="42"/>
  <c r="CR23" i="42"/>
  <c r="CR22" i="42"/>
  <c r="CR37" i="42" s="1"/>
  <c r="CR21" i="42"/>
  <c r="CR20" i="42"/>
  <c r="CR19" i="42"/>
  <c r="CR42" i="42" s="1"/>
  <c r="CR18" i="42"/>
  <c r="CR17" i="42"/>
  <c r="CR16" i="42"/>
  <c r="CR15" i="42"/>
  <c r="CR44" i="42" s="1"/>
  <c r="CR14" i="42"/>
  <c r="CR34" i="42" s="1"/>
  <c r="CR13" i="42"/>
  <c r="CR33" i="42" s="1"/>
  <c r="CR12" i="42"/>
  <c r="CR11" i="42"/>
  <c r="CR39" i="42" s="1"/>
  <c r="CR10" i="42"/>
  <c r="CR46" i="42" s="1"/>
  <c r="CR9" i="42"/>
  <c r="CR8" i="42"/>
  <c r="CR41" i="42" s="1"/>
  <c r="CR7" i="42"/>
  <c r="CR6" i="42"/>
  <c r="CR47" i="42" s="1"/>
  <c r="CR5" i="42"/>
  <c r="CR4" i="42"/>
  <c r="CR40" i="42" s="1"/>
  <c r="CR3" i="42"/>
  <c r="CR32" i="42" s="1"/>
  <c r="CR2" i="42"/>
  <c r="CR38" i="42" s="1"/>
  <c r="BS30" i="41"/>
  <c r="BS35" i="41" s="1"/>
  <c r="BS29" i="41"/>
  <c r="BS28" i="41"/>
  <c r="BS43" i="41" s="1"/>
  <c r="BS10" i="41"/>
  <c r="BS46" i="41" s="1"/>
  <c r="BS9" i="41"/>
  <c r="BS8" i="41"/>
  <c r="BS41" i="41" s="1"/>
  <c r="BS2" i="29"/>
  <c r="BS38" i="29" s="1"/>
  <c r="BS3" i="29"/>
  <c r="BS32" i="29" s="1"/>
  <c r="BS4" i="29"/>
  <c r="BS40" i="29" s="1"/>
  <c r="BS5" i="29"/>
  <c r="BS6" i="29"/>
  <c r="BS47" i="29" s="1"/>
  <c r="BS7" i="29"/>
  <c r="BS8" i="29"/>
  <c r="BS41" i="29" s="1"/>
  <c r="BS9" i="29"/>
  <c r="BS10" i="29"/>
  <c r="BS46" i="29" s="1"/>
  <c r="BS11" i="29"/>
  <c r="BS39" i="29" s="1"/>
  <c r="BS27" i="41"/>
  <c r="BS26" i="41"/>
  <c r="BS36" i="41" s="1"/>
  <c r="BS25" i="41"/>
  <c r="BS24" i="41"/>
  <c r="BS23" i="41"/>
  <c r="BS49" i="41" s="1"/>
  <c r="BS21" i="41"/>
  <c r="BS20" i="41"/>
  <c r="BS19" i="41"/>
  <c r="BS42" i="41" s="1"/>
  <c r="BS18" i="41"/>
  <c r="BS17" i="41"/>
  <c r="BS16" i="41"/>
  <c r="BS15" i="41"/>
  <c r="BS44" i="41" s="1"/>
  <c r="BS12" i="41"/>
  <c r="BS11" i="41"/>
  <c r="BS39" i="41" s="1"/>
  <c r="BS22" i="41"/>
  <c r="BS37" i="41" s="1"/>
  <c r="BS14" i="41"/>
  <c r="BS34" i="41" s="1"/>
  <c r="BS13" i="41"/>
  <c r="BS33" i="41" s="1"/>
  <c r="BS2" i="41"/>
  <c r="BS38" i="41" s="1"/>
  <c r="BS4" i="41"/>
  <c r="BS40" i="41" s="1"/>
  <c r="BS6" i="41"/>
  <c r="BS47" i="41" s="1"/>
  <c r="BS5" i="41"/>
  <c r="BS12" i="29"/>
  <c r="BS14" i="29"/>
  <c r="BS34" i="29" s="1"/>
  <c r="BS16" i="29"/>
  <c r="BS18" i="29"/>
  <c r="BS20" i="29"/>
  <c r="BS22" i="29"/>
  <c r="BS37" i="29" s="1"/>
  <c r="BS24" i="29"/>
  <c r="BS26" i="29"/>
  <c r="BS36" i="29" s="1"/>
  <c r="BS28" i="29"/>
  <c r="BS43" i="29" s="1"/>
  <c r="BS30" i="29"/>
  <c r="BS35" i="29" s="1"/>
  <c r="BS3" i="41"/>
  <c r="BS32" i="41" s="1"/>
  <c r="BS13" i="29"/>
  <c r="BS33" i="29" s="1"/>
  <c r="BS15" i="29"/>
  <c r="BS44" i="29" s="1"/>
  <c r="BS17" i="29"/>
  <c r="BS19" i="29"/>
  <c r="BS42" i="29" s="1"/>
  <c r="BS21" i="29"/>
  <c r="BS23" i="29"/>
  <c r="BS49" i="29" s="1"/>
  <c r="BS25" i="29"/>
  <c r="BS27" i="29"/>
  <c r="BS29" i="29"/>
  <c r="BS7" i="41"/>
  <c r="CR26" i="43"/>
  <c r="CR36" i="43" s="1"/>
  <c r="CR22" i="43"/>
  <c r="CR37" i="43" s="1"/>
  <c r="CR17" i="43"/>
  <c r="CR9" i="43"/>
  <c r="CR5" i="43"/>
  <c r="CR19" i="43"/>
  <c r="CR42" i="43" s="1"/>
  <c r="CR25" i="43"/>
  <c r="CR28" i="43"/>
  <c r="CR43" i="43" s="1"/>
  <c r="CR20" i="43"/>
  <c r="CR12" i="43"/>
  <c r="CR15" i="43"/>
  <c r="CR44" i="43" s="1"/>
  <c r="CR3" i="43"/>
  <c r="CR32" i="43" s="1"/>
  <c r="CR14" i="43"/>
  <c r="CR34" i="43" s="1"/>
  <c r="CR16" i="43"/>
  <c r="CR18" i="43"/>
  <c r="CR29" i="43"/>
  <c r="CR24" i="43"/>
  <c r="CR2" i="43"/>
  <c r="CR38" i="43" s="1"/>
  <c r="CR30" i="43"/>
  <c r="CR35" i="43" s="1"/>
  <c r="CR6" i="43"/>
  <c r="CR47" i="43" s="1"/>
  <c r="CR13" i="43"/>
  <c r="CR33" i="43" s="1"/>
  <c r="CR7" i="43"/>
  <c r="CR21" i="43"/>
  <c r="CR8" i="43"/>
  <c r="CR41" i="43" s="1"/>
  <c r="CR27" i="43"/>
  <c r="CR11" i="43"/>
  <c r="CR39" i="43" s="1"/>
  <c r="CR10" i="43"/>
  <c r="CR46" i="43" s="1"/>
  <c r="CR45" i="43" s="1"/>
  <c r="CR4" i="43"/>
  <c r="CR40" i="43" s="1"/>
  <c r="CR23" i="43"/>
  <c r="CR3" i="30"/>
  <c r="CR32" i="30" s="1"/>
  <c r="CR5" i="30"/>
  <c r="CR8" i="30"/>
  <c r="CR41" i="30" s="1"/>
  <c r="CR14" i="30"/>
  <c r="CR34" i="30" s="1"/>
  <c r="CR20" i="30"/>
  <c r="CR22" i="30"/>
  <c r="CR37" i="30" s="1"/>
  <c r="CR30" i="30"/>
  <c r="CR35" i="30" s="1"/>
  <c r="CR23" i="30"/>
  <c r="CR24" i="30"/>
  <c r="CR25" i="30"/>
  <c r="CR28" i="30"/>
  <c r="CR43" i="30" s="1"/>
  <c r="CR4" i="30"/>
  <c r="CR40" i="30" s="1"/>
  <c r="CR6" i="30"/>
  <c r="CR47" i="30" s="1"/>
  <c r="CR7" i="30"/>
  <c r="CR9" i="30"/>
  <c r="CR10" i="30"/>
  <c r="CR46" i="30" s="1"/>
  <c r="CR45" i="30" s="1"/>
  <c r="CR11" i="30"/>
  <c r="CR39" i="30" s="1"/>
  <c r="CR12" i="30"/>
  <c r="CR13" i="30"/>
  <c r="CR33" i="30" s="1"/>
  <c r="CR15" i="30"/>
  <c r="CR44" i="30" s="1"/>
  <c r="CR16" i="30"/>
  <c r="CR17" i="30"/>
  <c r="CR18" i="30"/>
  <c r="CR19" i="30"/>
  <c r="CR42" i="30" s="1"/>
  <c r="CR21" i="30"/>
  <c r="CR26" i="30"/>
  <c r="CR36" i="30" s="1"/>
  <c r="CR27" i="30"/>
  <c r="CR29" i="30"/>
  <c r="DB30" i="38"/>
  <c r="DB35" i="38" s="1"/>
  <c r="BJ28" i="38"/>
  <c r="BJ43" i="38" s="1"/>
  <c r="DB27" i="38"/>
  <c r="BJ26" i="38"/>
  <c r="BJ36" i="38" s="1"/>
  <c r="DB25" i="38"/>
  <c r="BJ22" i="38"/>
  <c r="BJ37" i="38" s="1"/>
  <c r="DB21" i="38"/>
  <c r="DB29" i="38"/>
  <c r="DB28" i="38"/>
  <c r="DB43" i="38" s="1"/>
  <c r="BJ25" i="38"/>
  <c r="BJ24" i="38"/>
  <c r="BJ23" i="38"/>
  <c r="BJ49" i="38" s="1"/>
  <c r="DB20" i="38"/>
  <c r="BJ17" i="38"/>
  <c r="DB16" i="38"/>
  <c r="BJ13" i="38"/>
  <c r="BJ33" i="38" s="1"/>
  <c r="DB12" i="38"/>
  <c r="BJ10" i="38"/>
  <c r="BJ46" i="38" s="1"/>
  <c r="BJ45" i="38" s="1"/>
  <c r="DB9" i="38"/>
  <c r="BJ7" i="38"/>
  <c r="DB6" i="38"/>
  <c r="DB47" i="38" s="1"/>
  <c r="BJ27" i="38"/>
  <c r="BJ20" i="38"/>
  <c r="DB19" i="38"/>
  <c r="DB42" i="38" s="1"/>
  <c r="BJ29" i="38"/>
  <c r="DB26" i="38"/>
  <c r="DB36" i="38" s="1"/>
  <c r="DB15" i="38"/>
  <c r="DB44" i="38" s="1"/>
  <c r="DB14" i="38"/>
  <c r="DB34" i="38" s="1"/>
  <c r="DB11" i="38"/>
  <c r="DB39" i="38" s="1"/>
  <c r="BJ11" i="38"/>
  <c r="BJ39" i="38" s="1"/>
  <c r="BJ6" i="38"/>
  <c r="BJ47" i="38" s="1"/>
  <c r="BJ4" i="38"/>
  <c r="BJ40" i="38" s="1"/>
  <c r="DB3" i="38"/>
  <c r="DB32" i="38" s="1"/>
  <c r="BJ2" i="38"/>
  <c r="BJ38" i="38" s="1"/>
  <c r="O26" i="38"/>
  <c r="O36" i="38" s="1"/>
  <c r="O24" i="38"/>
  <c r="O22" i="38"/>
  <c r="O37" i="38" s="1"/>
  <c r="O21" i="38"/>
  <c r="O10" i="38"/>
  <c r="O46" i="38" s="1"/>
  <c r="O5" i="38"/>
  <c r="O4" i="38"/>
  <c r="O40" i="38" s="1"/>
  <c r="O3" i="38"/>
  <c r="O32" i="38" s="1"/>
  <c r="O2" i="38"/>
  <c r="O38" i="38" s="1"/>
  <c r="BJ30" i="38"/>
  <c r="BJ35" i="38" s="1"/>
  <c r="DB23" i="38"/>
  <c r="DB49" i="38" s="1"/>
  <c r="BJ19" i="38"/>
  <c r="BJ42" i="38" s="1"/>
  <c r="DB18" i="38"/>
  <c r="BJ18" i="38"/>
  <c r="DB17" i="38"/>
  <c r="DB13" i="38"/>
  <c r="DB33" i="38" s="1"/>
  <c r="DB8" i="38"/>
  <c r="DB41" i="38" s="1"/>
  <c r="DB7" i="38"/>
  <c r="BJ5" i="38"/>
  <c r="BJ3" i="38"/>
  <c r="BJ32" i="38" s="1"/>
  <c r="O25" i="38"/>
  <c r="O20" i="38"/>
  <c r="O19" i="38"/>
  <c r="O42" i="38" s="1"/>
  <c r="O12" i="38"/>
  <c r="O6" i="38"/>
  <c r="O47" i="38" s="1"/>
  <c r="DB22" i="38"/>
  <c r="DB37" i="38" s="1"/>
  <c r="BJ15" i="38"/>
  <c r="BJ44" i="38" s="1"/>
  <c r="BJ14" i="38"/>
  <c r="BJ34" i="38" s="1"/>
  <c r="BJ9" i="38"/>
  <c r="O29" i="38"/>
  <c r="O27" i="38"/>
  <c r="O18" i="38"/>
  <c r="O16" i="38"/>
  <c r="O15" i="38"/>
  <c r="O44" i="38" s="1"/>
  <c r="BJ16" i="38"/>
  <c r="BJ12" i="38"/>
  <c r="DB10" i="38"/>
  <c r="DB46" i="38" s="1"/>
  <c r="DB45" i="38" s="1"/>
  <c r="O23" i="38"/>
  <c r="O49" i="38" s="1"/>
  <c r="O8" i="38"/>
  <c r="O41" i="38" s="1"/>
  <c r="DB24" i="38"/>
  <c r="BJ21" i="38"/>
  <c r="BJ8" i="38"/>
  <c r="BJ41" i="38" s="1"/>
  <c r="DB2" i="38"/>
  <c r="DB38" i="38" s="1"/>
  <c r="O30" i="38"/>
  <c r="O35" i="38" s="1"/>
  <c r="DB4" i="38"/>
  <c r="DB40" i="38" s="1"/>
  <c r="O28" i="38"/>
  <c r="O43" i="38" s="1"/>
  <c r="O17" i="38"/>
  <c r="O14" i="38"/>
  <c r="O34" i="38" s="1"/>
  <c r="DB5" i="38"/>
  <c r="O9" i="38"/>
  <c r="O7" i="38"/>
  <c r="O11" i="38"/>
  <c r="O39" i="38" s="1"/>
  <c r="O13" i="38"/>
  <c r="O33" i="38" s="1"/>
  <c r="CT30" i="38"/>
  <c r="CT35" i="38" s="1"/>
  <c r="CT27" i="38"/>
  <c r="CT62" i="38" s="1"/>
  <c r="CT19" i="38"/>
  <c r="CT42" i="38" s="1"/>
  <c r="CT17" i="38"/>
  <c r="CT16" i="38"/>
  <c r="CT12" i="38"/>
  <c r="CT6" i="38"/>
  <c r="CT47" i="38" s="1"/>
  <c r="CT5" i="38"/>
  <c r="CT3" i="38"/>
  <c r="CT32" i="38" s="1"/>
  <c r="CT2" i="38"/>
  <c r="CT38" i="38" s="1"/>
  <c r="CT29" i="38"/>
  <c r="CT28" i="38"/>
  <c r="CT43" i="38" s="1"/>
  <c r="CT25" i="38"/>
  <c r="CT22" i="38"/>
  <c r="CT37" i="38" s="1"/>
  <c r="CT18" i="38"/>
  <c r="CT11" i="38"/>
  <c r="CT39" i="38" s="1"/>
  <c r="CT10" i="38"/>
  <c r="CT46" i="38" s="1"/>
  <c r="CT4" i="38"/>
  <c r="CT40" i="38" s="1"/>
  <c r="CT26" i="38"/>
  <c r="CT36" i="38" s="1"/>
  <c r="CT20" i="38"/>
  <c r="CT13" i="38"/>
  <c r="CT33" i="38" s="1"/>
  <c r="CT9" i="38"/>
  <c r="CT7" i="38"/>
  <c r="CT24" i="38"/>
  <c r="CT21" i="38"/>
  <c r="CT15" i="38"/>
  <c r="CT44" i="38" s="1"/>
  <c r="CT8" i="38"/>
  <c r="CT41" i="38" s="1"/>
  <c r="CT14" i="38"/>
  <c r="CT34" i="38" s="1"/>
  <c r="CT23" i="38"/>
  <c r="CT49" i="38" s="1"/>
  <c r="AF30" i="42"/>
  <c r="AF35" i="42" s="1"/>
  <c r="AF29" i="42"/>
  <c r="AF28" i="42"/>
  <c r="AF43" i="42" s="1"/>
  <c r="AF27" i="42"/>
  <c r="AF26" i="42"/>
  <c r="AF36" i="42" s="1"/>
  <c r="AF25" i="42"/>
  <c r="AF24" i="42"/>
  <c r="AF23" i="42"/>
  <c r="AF22" i="42"/>
  <c r="AF37" i="42" s="1"/>
  <c r="AF21" i="42"/>
  <c r="AF20" i="42"/>
  <c r="AF19" i="42"/>
  <c r="AF42" i="42" s="1"/>
  <c r="AF18" i="42"/>
  <c r="AF17" i="42"/>
  <c r="AF16" i="42"/>
  <c r="AF15" i="42"/>
  <c r="AF44" i="42" s="1"/>
  <c r="AF14" i="42"/>
  <c r="AF34" i="42" s="1"/>
  <c r="AF13" i="42"/>
  <c r="AF33" i="42" s="1"/>
  <c r="AF12" i="42"/>
  <c r="AF11" i="42"/>
  <c r="AF39" i="42" s="1"/>
  <c r="AF10" i="42"/>
  <c r="AF46" i="42" s="1"/>
  <c r="AF45" i="42" s="1"/>
  <c r="AF9" i="42"/>
  <c r="AF8" i="42"/>
  <c r="AF41" i="42" s="1"/>
  <c r="AF7" i="42"/>
  <c r="AF6" i="42"/>
  <c r="AF47" i="42" s="1"/>
  <c r="AF5" i="42"/>
  <c r="AF4" i="42"/>
  <c r="AF40" i="42" s="1"/>
  <c r="AF3" i="42"/>
  <c r="AF32" i="42" s="1"/>
  <c r="AF2" i="42"/>
  <c r="AF38" i="42" s="1"/>
  <c r="AF30" i="43"/>
  <c r="AF35" i="43" s="1"/>
  <c r="AF6" i="43"/>
  <c r="AF47" i="43" s="1"/>
  <c r="AF13" i="43"/>
  <c r="AF33" i="43" s="1"/>
  <c r="AF7" i="43"/>
  <c r="AF21" i="43"/>
  <c r="AF8" i="43"/>
  <c r="AF41" i="43" s="1"/>
  <c r="AF27" i="43"/>
  <c r="AF11" i="43"/>
  <c r="AF39" i="43" s="1"/>
  <c r="AF10" i="43"/>
  <c r="AF46" i="43" s="1"/>
  <c r="AF45" i="43" s="1"/>
  <c r="AF2" i="43"/>
  <c r="AF38" i="43" s="1"/>
  <c r="AF29" i="43"/>
  <c r="AF24" i="43"/>
  <c r="AF4" i="43"/>
  <c r="AF40" i="43" s="1"/>
  <c r="AF23" i="43"/>
  <c r="AF16" i="43"/>
  <c r="AF22" i="43"/>
  <c r="AF37" i="43" s="1"/>
  <c r="AF17" i="43"/>
  <c r="AF9" i="43"/>
  <c r="AF5" i="43"/>
  <c r="AF19" i="43"/>
  <c r="AF42" i="43" s="1"/>
  <c r="AF26" i="43"/>
  <c r="AF36" i="43" s="1"/>
  <c r="AF25" i="43"/>
  <c r="AF28" i="43"/>
  <c r="AF43" i="43" s="1"/>
  <c r="AF20" i="43"/>
  <c r="AF12" i="43"/>
  <c r="AF15" i="43"/>
  <c r="AF44" i="43" s="1"/>
  <c r="AF3" i="43"/>
  <c r="AF32" i="43" s="1"/>
  <c r="AF14" i="43"/>
  <c r="AF34" i="43" s="1"/>
  <c r="AF18" i="43"/>
  <c r="AF3" i="30"/>
  <c r="AF32" i="30" s="1"/>
  <c r="AF7" i="30"/>
  <c r="AF11" i="30"/>
  <c r="AF39" i="30" s="1"/>
  <c r="AF15" i="30"/>
  <c r="AF44" i="30" s="1"/>
  <c r="AF18" i="30"/>
  <c r="AF24" i="30"/>
  <c r="AF26" i="30"/>
  <c r="AF36" i="30" s="1"/>
  <c r="AF27" i="30"/>
  <c r="AF4" i="30"/>
  <c r="AF40" i="30" s="1"/>
  <c r="AF12" i="30"/>
  <c r="AF16" i="30"/>
  <c r="AF23" i="30"/>
  <c r="AF25" i="30"/>
  <c r="AF6" i="30"/>
  <c r="AF47" i="30" s="1"/>
  <c r="AF10" i="30"/>
  <c r="AF46" i="30" s="1"/>
  <c r="AF45" i="30" s="1"/>
  <c r="AF14" i="30"/>
  <c r="AF34" i="30" s="1"/>
  <c r="AF19" i="30"/>
  <c r="AF42" i="30" s="1"/>
  <c r="AF21" i="30"/>
  <c r="AF29" i="30"/>
  <c r="AF2" i="30"/>
  <c r="AF38" i="30" s="1"/>
  <c r="AF5" i="30"/>
  <c r="AF9" i="30"/>
  <c r="AF13" i="30"/>
  <c r="AF33" i="30" s="1"/>
  <c r="AF17" i="30"/>
  <c r="AF20" i="30"/>
  <c r="AF22" i="30"/>
  <c r="AF37" i="30" s="1"/>
  <c r="AF28" i="30"/>
  <c r="AF43" i="30" s="1"/>
  <c r="AF30" i="30"/>
  <c r="AF35" i="30" s="1"/>
  <c r="AF8" i="30"/>
  <c r="AF41" i="30" s="1"/>
  <c r="AX30" i="42"/>
  <c r="AX35" i="42" s="1"/>
  <c r="AX29" i="42"/>
  <c r="AX28" i="42"/>
  <c r="AX43" i="42" s="1"/>
  <c r="AX27" i="42"/>
  <c r="AX26" i="42"/>
  <c r="AX36" i="42" s="1"/>
  <c r="AX25" i="42"/>
  <c r="AX24" i="42"/>
  <c r="AX23" i="42"/>
  <c r="AX22" i="42"/>
  <c r="AX37" i="42" s="1"/>
  <c r="AX21" i="42"/>
  <c r="AX20" i="42"/>
  <c r="AX19" i="42"/>
  <c r="AX42" i="42" s="1"/>
  <c r="AX18" i="42"/>
  <c r="AX17" i="42"/>
  <c r="AX16" i="42"/>
  <c r="AX15" i="42"/>
  <c r="AX44" i="42" s="1"/>
  <c r="AX14" i="42"/>
  <c r="AX34" i="42" s="1"/>
  <c r="AX13" i="42"/>
  <c r="AX33" i="42" s="1"/>
  <c r="AX12" i="42"/>
  <c r="AX11" i="42"/>
  <c r="AX39" i="42" s="1"/>
  <c r="AX10" i="42"/>
  <c r="AX46" i="42" s="1"/>
  <c r="AX9" i="42"/>
  <c r="AX8" i="42"/>
  <c r="AX41" i="42" s="1"/>
  <c r="AX7" i="42"/>
  <c r="AX6" i="42"/>
  <c r="AX47" i="42" s="1"/>
  <c r="AX5" i="42"/>
  <c r="AX4" i="42"/>
  <c r="AX40" i="42" s="1"/>
  <c r="AX3" i="42"/>
  <c r="AX32" i="42" s="1"/>
  <c r="AX2" i="42"/>
  <c r="AX38" i="42" s="1"/>
  <c r="AX10" i="43"/>
  <c r="AX46" i="43" s="1"/>
  <c r="AX45" i="43" s="1"/>
  <c r="AX24" i="43"/>
  <c r="AX4" i="43"/>
  <c r="AX40" i="43" s="1"/>
  <c r="AX28" i="43"/>
  <c r="AX43" i="43" s="1"/>
  <c r="AX20" i="43"/>
  <c r="AX2" i="43"/>
  <c r="AX38" i="43" s="1"/>
  <c r="AX14" i="43"/>
  <c r="AX34" i="43" s="1"/>
  <c r="AX8" i="43"/>
  <c r="AX41" i="43" s="1"/>
  <c r="AX27" i="43"/>
  <c r="AX11" i="43"/>
  <c r="AX39" i="43" s="1"/>
  <c r="AX22" i="43"/>
  <c r="AX37" i="43" s="1"/>
  <c r="AX29" i="43"/>
  <c r="AX16" i="43"/>
  <c r="AX23" i="43"/>
  <c r="AX30" i="43"/>
  <c r="AX35" i="43" s="1"/>
  <c r="AX17" i="43"/>
  <c r="AX13" i="43"/>
  <c r="AX33" i="43" s="1"/>
  <c r="AX9" i="43"/>
  <c r="AX5" i="43"/>
  <c r="AX19" i="43"/>
  <c r="AX42" i="43" s="1"/>
  <c r="AX7" i="43"/>
  <c r="AX26" i="43"/>
  <c r="AX36" i="43" s="1"/>
  <c r="AX18" i="43"/>
  <c r="AX25" i="43"/>
  <c r="AX21" i="43"/>
  <c r="AX12" i="43"/>
  <c r="AX15" i="43"/>
  <c r="AX44" i="43" s="1"/>
  <c r="AX3" i="43"/>
  <c r="AX32" i="43" s="1"/>
  <c r="AX6" i="43"/>
  <c r="AX47" i="43" s="1"/>
  <c r="AX5" i="30"/>
  <c r="AX9" i="30"/>
  <c r="AX13" i="30"/>
  <c r="AX33" i="30" s="1"/>
  <c r="AX17" i="30"/>
  <c r="AX20" i="30"/>
  <c r="AX22" i="30"/>
  <c r="AX37" i="30" s="1"/>
  <c r="AX28" i="30"/>
  <c r="AX43" i="30" s="1"/>
  <c r="AX30" i="30"/>
  <c r="AX35" i="30" s="1"/>
  <c r="AX27" i="30"/>
  <c r="AX4" i="30"/>
  <c r="AX40" i="30" s="1"/>
  <c r="AX8" i="30"/>
  <c r="AX41" i="30" s="1"/>
  <c r="AX12" i="30"/>
  <c r="AX16" i="30"/>
  <c r="AX23" i="30"/>
  <c r="AX25" i="30"/>
  <c r="AX21" i="30"/>
  <c r="AX3" i="30"/>
  <c r="AX32" i="30" s="1"/>
  <c r="AX7" i="30"/>
  <c r="AX11" i="30"/>
  <c r="AX39" i="30" s="1"/>
  <c r="AX15" i="30"/>
  <c r="AX44" i="30" s="1"/>
  <c r="AX18" i="30"/>
  <c r="AX24" i="30"/>
  <c r="AX26" i="30"/>
  <c r="AX36" i="30" s="1"/>
  <c r="AX6" i="30"/>
  <c r="AX47" i="30" s="1"/>
  <c r="AX10" i="30"/>
  <c r="AX46" i="30" s="1"/>
  <c r="AX14" i="30"/>
  <c r="AX34" i="30" s="1"/>
  <c r="AX19" i="30"/>
  <c r="AX42" i="30" s="1"/>
  <c r="AX29" i="30"/>
  <c r="AX2" i="30"/>
  <c r="AX38" i="30" s="1"/>
  <c r="E16" i="20"/>
  <c r="E30" i="20"/>
  <c r="E6" i="45"/>
  <c r="C47" i="45"/>
  <c r="E47" i="45" s="1"/>
  <c r="H21" i="37"/>
  <c r="H10" i="37"/>
  <c r="H46" i="37" s="1"/>
  <c r="H27" i="37"/>
  <c r="H8" i="37"/>
  <c r="H41" i="37" s="1"/>
  <c r="H24" i="37"/>
  <c r="H5" i="16"/>
  <c r="X70" i="16"/>
  <c r="X56" i="16"/>
  <c r="X76" i="16"/>
  <c r="X62" i="16"/>
  <c r="X73" i="16"/>
  <c r="X59" i="16"/>
  <c r="H16" i="16"/>
  <c r="H6" i="16"/>
  <c r="H24" i="16"/>
  <c r="X74" i="16"/>
  <c r="X60" i="16"/>
  <c r="X72" i="16"/>
  <c r="X58" i="16"/>
  <c r="H7" i="16"/>
  <c r="X66" i="16"/>
  <c r="X52" i="16"/>
  <c r="H25" i="16"/>
  <c r="CM30" i="42"/>
  <c r="CM35" i="42" s="1"/>
  <c r="CM29" i="42"/>
  <c r="CM28" i="42"/>
  <c r="CM43" i="42" s="1"/>
  <c r="CM27" i="42"/>
  <c r="CM26" i="42"/>
  <c r="CM36" i="42" s="1"/>
  <c r="CM25" i="42"/>
  <c r="CM24" i="42"/>
  <c r="CM23" i="42"/>
  <c r="CM22" i="42"/>
  <c r="CM37" i="42" s="1"/>
  <c r="CM21" i="42"/>
  <c r="CM20" i="42"/>
  <c r="CM19" i="42"/>
  <c r="CM42" i="42" s="1"/>
  <c r="CM18" i="42"/>
  <c r="CM4" i="42"/>
  <c r="CM40" i="42" s="1"/>
  <c r="CM3" i="42"/>
  <c r="CM32" i="42" s="1"/>
  <c r="CM2" i="42"/>
  <c r="CM38" i="42" s="1"/>
  <c r="CM16" i="42"/>
  <c r="CM14" i="42"/>
  <c r="CM34" i="42" s="1"/>
  <c r="CM12" i="42"/>
  <c r="CM10" i="42"/>
  <c r="CM46" i="42" s="1"/>
  <c r="CM45" i="42" s="1"/>
  <c r="CM8" i="42"/>
  <c r="CM41" i="42" s="1"/>
  <c r="CM6" i="42"/>
  <c r="CM47" i="42" s="1"/>
  <c r="BN30" i="41"/>
  <c r="BN35" i="41" s="1"/>
  <c r="CM11" i="42"/>
  <c r="CM39" i="42" s="1"/>
  <c r="BN7" i="41"/>
  <c r="BN6" i="41"/>
  <c r="BN47" i="41" s="1"/>
  <c r="BN5" i="41"/>
  <c r="BN4" i="41"/>
  <c r="BN40" i="41" s="1"/>
  <c r="BN3" i="41"/>
  <c r="BN32" i="41" s="1"/>
  <c r="CM17" i="42"/>
  <c r="CM9" i="42"/>
  <c r="BN28" i="41"/>
  <c r="BN43" i="41" s="1"/>
  <c r="BN10" i="41"/>
  <c r="BN46" i="41" s="1"/>
  <c r="BN45" i="41" s="1"/>
  <c r="BN9" i="41"/>
  <c r="BN8" i="41"/>
  <c r="BN41" i="41" s="1"/>
  <c r="CM15" i="42"/>
  <c r="CM44" i="42" s="1"/>
  <c r="CM7" i="42"/>
  <c r="BN27" i="41"/>
  <c r="BN26" i="41"/>
  <c r="BN36" i="41" s="1"/>
  <c r="BN25" i="41"/>
  <c r="BN24" i="41"/>
  <c r="BN23" i="41"/>
  <c r="BN49" i="41" s="1"/>
  <c r="BN21" i="41"/>
  <c r="BN20" i="41"/>
  <c r="BN19" i="41"/>
  <c r="BN42" i="41" s="1"/>
  <c r="BN18" i="41"/>
  <c r="BN17" i="41"/>
  <c r="BN16" i="41"/>
  <c r="BN15" i="41"/>
  <c r="BN44" i="41" s="1"/>
  <c r="BN12" i="41"/>
  <c r="BN11" i="41"/>
  <c r="BN39" i="41" s="1"/>
  <c r="BN29" i="41"/>
  <c r="BN22" i="41"/>
  <c r="BN37" i="41" s="1"/>
  <c r="BN3" i="29"/>
  <c r="BN32" i="29" s="1"/>
  <c r="BN6" i="29"/>
  <c r="BN47" i="29" s="1"/>
  <c r="BN8" i="29"/>
  <c r="BN41" i="29" s="1"/>
  <c r="BN10" i="29"/>
  <c r="BN46" i="29" s="1"/>
  <c r="BN2" i="41"/>
  <c r="BN38" i="41" s="1"/>
  <c r="CM13" i="42"/>
  <c r="CM33" i="42" s="1"/>
  <c r="BN13" i="41"/>
  <c r="BN33" i="41" s="1"/>
  <c r="BN2" i="29"/>
  <c r="BN38" i="29" s="1"/>
  <c r="BN4" i="29"/>
  <c r="BN40" i="29" s="1"/>
  <c r="BN7" i="29"/>
  <c r="BN9" i="29"/>
  <c r="BN11" i="29"/>
  <c r="BN39" i="29" s="1"/>
  <c r="BN12" i="29"/>
  <c r="BN13" i="29"/>
  <c r="BN33" i="29" s="1"/>
  <c r="BN14" i="29"/>
  <c r="BN34" i="29" s="1"/>
  <c r="BN15" i="29"/>
  <c r="BN44" i="29" s="1"/>
  <c r="BN16" i="29"/>
  <c r="BN17" i="29"/>
  <c r="BN18" i="29"/>
  <c r="BN19" i="29"/>
  <c r="BN42" i="29" s="1"/>
  <c r="BN20" i="29"/>
  <c r="BN21" i="29"/>
  <c r="BN22" i="29"/>
  <c r="BN37" i="29" s="1"/>
  <c r="BN23" i="29"/>
  <c r="BN49" i="29" s="1"/>
  <c r="BN24" i="29"/>
  <c r="BN25" i="29"/>
  <c r="BN26" i="29"/>
  <c r="BN36" i="29" s="1"/>
  <c r="BN27" i="29"/>
  <c r="BN28" i="29"/>
  <c r="BN43" i="29" s="1"/>
  <c r="BN29" i="29"/>
  <c r="BN30" i="29"/>
  <c r="BN35" i="29" s="1"/>
  <c r="CM5" i="42"/>
  <c r="BN5" i="29"/>
  <c r="BN14" i="41"/>
  <c r="BN34" i="41" s="1"/>
  <c r="CM18" i="43"/>
  <c r="CM25" i="43"/>
  <c r="CM28" i="43"/>
  <c r="CM43" i="43" s="1"/>
  <c r="CM20" i="43"/>
  <c r="CM12" i="43"/>
  <c r="CM3" i="43"/>
  <c r="CM32" i="43" s="1"/>
  <c r="CM8" i="43"/>
  <c r="CM41" i="43" s="1"/>
  <c r="CM11" i="43"/>
  <c r="CM39" i="43" s="1"/>
  <c r="CM10" i="43"/>
  <c r="CM46" i="43" s="1"/>
  <c r="CM45" i="43" s="1"/>
  <c r="CM29" i="43"/>
  <c r="CM24" i="43"/>
  <c r="CM16" i="43"/>
  <c r="CM23" i="43"/>
  <c r="CM22" i="43"/>
  <c r="CM37" i="43" s="1"/>
  <c r="CM6" i="43"/>
  <c r="CM47" i="43" s="1"/>
  <c r="CM17" i="43"/>
  <c r="CM9" i="43"/>
  <c r="CM7" i="43"/>
  <c r="CM14" i="43"/>
  <c r="CM34" i="43" s="1"/>
  <c r="CM30" i="43"/>
  <c r="CM35" i="43" s="1"/>
  <c r="CM13" i="43"/>
  <c r="CM33" i="43" s="1"/>
  <c r="CM19" i="43"/>
  <c r="CM42" i="43" s="1"/>
  <c r="CM2" i="43"/>
  <c r="CM38" i="43" s="1"/>
  <c r="CM26" i="43"/>
  <c r="CM36" i="43" s="1"/>
  <c r="CM21" i="43"/>
  <c r="CM15" i="43"/>
  <c r="CM44" i="43" s="1"/>
  <c r="CM27" i="43"/>
  <c r="CM4" i="43"/>
  <c r="CM40" i="43" s="1"/>
  <c r="CM5" i="43"/>
  <c r="CM3" i="30"/>
  <c r="CM32" i="30" s="1"/>
  <c r="CM4" i="30"/>
  <c r="CM40" i="30" s="1"/>
  <c r="CM5" i="30"/>
  <c r="CM6" i="30"/>
  <c r="CM47" i="30" s="1"/>
  <c r="CM7" i="30"/>
  <c r="CM8" i="30"/>
  <c r="CM41" i="30" s="1"/>
  <c r="CM9" i="30"/>
  <c r="CM10" i="30"/>
  <c r="CM46" i="30" s="1"/>
  <c r="CM11" i="30"/>
  <c r="CM39" i="30" s="1"/>
  <c r="CM12" i="30"/>
  <c r="CM13" i="30"/>
  <c r="CM33" i="30" s="1"/>
  <c r="CM14" i="30"/>
  <c r="CM34" i="30" s="1"/>
  <c r="CM15" i="30"/>
  <c r="CM44" i="30" s="1"/>
  <c r="CM16" i="30"/>
  <c r="CM17" i="30"/>
  <c r="CM18" i="30"/>
  <c r="CM19" i="30"/>
  <c r="CM42" i="30" s="1"/>
  <c r="CM20" i="30"/>
  <c r="CM21" i="30"/>
  <c r="CM22" i="30"/>
  <c r="CM37" i="30" s="1"/>
  <c r="CM23" i="30"/>
  <c r="CM24" i="30"/>
  <c r="CM25" i="30"/>
  <c r="CM26" i="30"/>
  <c r="CM36" i="30" s="1"/>
  <c r="CM27" i="30"/>
  <c r="CM28" i="30"/>
  <c r="CM43" i="30" s="1"/>
  <c r="CM29" i="30"/>
  <c r="CM30" i="30"/>
  <c r="CM35" i="30" s="1"/>
  <c r="DL30" i="38"/>
  <c r="DL35" i="38" s="1"/>
  <c r="DN35" i="38" s="1"/>
  <c r="BC30" i="38"/>
  <c r="BC35" i="38" s="1"/>
  <c r="CU29" i="38"/>
  <c r="DL28" i="38"/>
  <c r="DL43" i="38" s="1"/>
  <c r="CU28" i="38"/>
  <c r="CU43" i="38" s="1"/>
  <c r="DL26" i="38"/>
  <c r="DL36" i="38" s="1"/>
  <c r="CU25" i="38"/>
  <c r="CU22" i="38"/>
  <c r="CU37" i="38" s="1"/>
  <c r="DL21" i="38"/>
  <c r="BC21" i="38"/>
  <c r="BC19" i="38"/>
  <c r="BC42" i="38" s="1"/>
  <c r="CU18" i="38"/>
  <c r="DL17" i="38"/>
  <c r="DL15" i="38"/>
  <c r="DL44" i="38" s="1"/>
  <c r="BC15" i="38"/>
  <c r="BC44" i="38" s="1"/>
  <c r="BC12" i="38"/>
  <c r="CU11" i="38"/>
  <c r="CU39" i="38" s="1"/>
  <c r="BC11" i="38"/>
  <c r="BC39" i="38" s="1"/>
  <c r="DL10" i="38"/>
  <c r="DL46" i="38" s="1"/>
  <c r="CU10" i="38"/>
  <c r="CU46" i="38" s="1"/>
  <c r="DL8" i="38"/>
  <c r="DL41" i="38" s="1"/>
  <c r="BC8" i="38"/>
  <c r="BC41" i="38" s="1"/>
  <c r="DL6" i="38"/>
  <c r="DL47" i="38" s="1"/>
  <c r="BC6" i="38"/>
  <c r="BC47" i="38" s="1"/>
  <c r="CU4" i="38"/>
  <c r="CU40" i="38" s="1"/>
  <c r="BC4" i="38"/>
  <c r="BC40" i="38" s="1"/>
  <c r="DL3" i="38"/>
  <c r="DL32" i="38" s="1"/>
  <c r="DL27" i="38"/>
  <c r="CU26" i="38"/>
  <c r="CU36" i="38" s="1"/>
  <c r="BC24" i="38"/>
  <c r="BC23" i="38"/>
  <c r="BC49" i="38" s="1"/>
  <c r="CU20" i="38"/>
  <c r="BC20" i="38"/>
  <c r="BC18" i="38"/>
  <c r="DL16" i="38"/>
  <c r="CU13" i="38"/>
  <c r="CU33" i="38" s="1"/>
  <c r="DL12" i="38"/>
  <c r="DL5" i="38"/>
  <c r="DL29" i="38"/>
  <c r="BC28" i="38"/>
  <c r="BC43" i="38" s="1"/>
  <c r="BC25" i="38"/>
  <c r="CU24" i="38"/>
  <c r="DL23" i="38"/>
  <c r="DL49" i="38" s="1"/>
  <c r="BC22" i="38"/>
  <c r="BC37" i="38" s="1"/>
  <c r="BC14" i="38"/>
  <c r="BC34" i="38" s="1"/>
  <c r="CU6" i="38"/>
  <c r="CU47" i="38" s="1"/>
  <c r="BC5" i="38"/>
  <c r="CU30" i="38"/>
  <c r="CU35" i="38" s="1"/>
  <c r="CU27" i="38"/>
  <c r="CU62" i="38" s="1"/>
  <c r="DL19" i="38"/>
  <c r="DL42" i="38" s="1"/>
  <c r="CU19" i="38"/>
  <c r="CU42" i="38" s="1"/>
  <c r="BC17" i="38"/>
  <c r="CU16" i="38"/>
  <c r="CU14" i="38"/>
  <c r="CU34" i="38" s="1"/>
  <c r="DL13" i="38"/>
  <c r="DL33" i="38" s="1"/>
  <c r="BC13" i="38"/>
  <c r="BC33" i="38" s="1"/>
  <c r="BC9" i="38"/>
  <c r="CU8" i="38"/>
  <c r="CU41" i="38" s="1"/>
  <c r="BC7" i="38"/>
  <c r="BC27" i="38"/>
  <c r="DL25" i="38"/>
  <c r="CU21" i="38"/>
  <c r="DL20" i="38"/>
  <c r="DL18" i="38"/>
  <c r="CU17" i="38"/>
  <c r="CU15" i="38"/>
  <c r="CU44" i="38" s="1"/>
  <c r="BC10" i="38"/>
  <c r="BC46" i="38" s="1"/>
  <c r="DL2" i="38"/>
  <c r="DL38" i="38" s="1"/>
  <c r="DL24" i="38"/>
  <c r="DL14" i="38"/>
  <c r="DL34" i="38" s="1"/>
  <c r="CU12" i="38"/>
  <c r="DL9" i="38"/>
  <c r="DL7" i="38"/>
  <c r="CU23" i="38"/>
  <c r="CU49" i="38" s="1"/>
  <c r="BC16" i="38"/>
  <c r="CU9" i="38"/>
  <c r="CU7" i="38"/>
  <c r="CU5" i="38"/>
  <c r="CU3" i="38"/>
  <c r="CU32" i="38" s="1"/>
  <c r="CU2" i="38"/>
  <c r="CU38" i="38" s="1"/>
  <c r="BC2" i="38"/>
  <c r="BC38" i="38" s="1"/>
  <c r="DL22" i="38"/>
  <c r="DL37" i="38" s="1"/>
  <c r="DL11" i="38"/>
  <c r="DL39" i="38" s="1"/>
  <c r="DL4" i="38"/>
  <c r="DL40" i="38" s="1"/>
  <c r="DN40" i="38" s="1"/>
  <c r="BC3" i="38"/>
  <c r="BC32" i="38" s="1"/>
  <c r="BC29" i="38"/>
  <c r="BC26" i="38"/>
  <c r="BC36" i="38" s="1"/>
  <c r="AI18" i="42"/>
  <c r="AI16" i="42"/>
  <c r="AI14" i="42"/>
  <c r="AI34" i="42" s="1"/>
  <c r="AI12" i="42"/>
  <c r="AI10" i="42"/>
  <c r="AI46" i="42" s="1"/>
  <c r="AI45" i="42" s="1"/>
  <c r="AI8" i="42"/>
  <c r="AI41" i="42" s="1"/>
  <c r="AI6" i="42"/>
  <c r="AI47" i="42" s="1"/>
  <c r="AI30" i="42"/>
  <c r="AI35" i="42" s="1"/>
  <c r="AI28" i="42"/>
  <c r="AI43" i="42" s="1"/>
  <c r="AI26" i="42"/>
  <c r="AI36" i="42" s="1"/>
  <c r="AI24" i="42"/>
  <c r="AI22" i="42"/>
  <c r="AI37" i="42" s="1"/>
  <c r="AI20" i="42"/>
  <c r="AI19" i="42"/>
  <c r="AI42" i="42" s="1"/>
  <c r="AI17" i="42"/>
  <c r="AI15" i="42"/>
  <c r="AI44" i="42" s="1"/>
  <c r="AI13" i="42"/>
  <c r="AI33" i="42" s="1"/>
  <c r="AI11" i="42"/>
  <c r="AI39" i="42" s="1"/>
  <c r="AI9" i="42"/>
  <c r="AI7" i="42"/>
  <c r="AI25" i="42"/>
  <c r="AI4" i="42"/>
  <c r="AI40" i="42" s="1"/>
  <c r="AI2" i="42"/>
  <c r="AI38" i="42" s="1"/>
  <c r="AI27" i="42"/>
  <c r="AI29" i="42"/>
  <c r="AI21" i="42"/>
  <c r="AI5" i="42"/>
  <c r="AI3" i="42"/>
  <c r="AI32" i="42" s="1"/>
  <c r="AI23" i="42"/>
  <c r="AI10" i="43"/>
  <c r="AI46" i="43" s="1"/>
  <c r="AI24" i="43"/>
  <c r="AI4" i="43"/>
  <c r="AI40" i="43" s="1"/>
  <c r="AI28" i="43"/>
  <c r="AI43" i="43" s="1"/>
  <c r="AI20" i="43"/>
  <c r="AI14" i="43"/>
  <c r="AI34" i="43" s="1"/>
  <c r="AI2" i="43"/>
  <c r="AI38" i="43" s="1"/>
  <c r="AI8" i="43"/>
  <c r="AI41" i="43" s="1"/>
  <c r="AI27" i="43"/>
  <c r="AI22" i="43"/>
  <c r="AI37" i="43" s="1"/>
  <c r="AI6" i="43"/>
  <c r="AI47" i="43" s="1"/>
  <c r="AI29" i="43"/>
  <c r="AI16" i="43"/>
  <c r="AI23" i="43"/>
  <c r="AI17" i="43"/>
  <c r="AI13" i="43"/>
  <c r="AI33" i="43" s="1"/>
  <c r="AI9" i="43"/>
  <c r="AI5" i="43"/>
  <c r="AI19" i="43"/>
  <c r="AI42" i="43" s="1"/>
  <c r="AI7" i="43"/>
  <c r="AI26" i="43"/>
  <c r="AI36" i="43" s="1"/>
  <c r="AI18" i="43"/>
  <c r="AI25" i="43"/>
  <c r="AI21" i="43"/>
  <c r="AI12" i="43"/>
  <c r="AI15" i="43"/>
  <c r="AI44" i="43" s="1"/>
  <c r="AI3" i="43"/>
  <c r="AI32" i="43" s="1"/>
  <c r="AI11" i="43"/>
  <c r="AI39" i="43" s="1"/>
  <c r="AI30" i="43"/>
  <c r="AI35" i="43" s="1"/>
  <c r="AI6" i="30"/>
  <c r="AI47" i="30" s="1"/>
  <c r="AI10" i="30"/>
  <c r="AI46" i="30" s="1"/>
  <c r="AI14" i="30"/>
  <c r="AI34" i="30" s="1"/>
  <c r="AI19" i="30"/>
  <c r="AI42" i="30" s="1"/>
  <c r="AI21" i="30"/>
  <c r="AI27" i="30"/>
  <c r="AI29" i="30"/>
  <c r="AI2" i="30"/>
  <c r="AI38" i="30" s="1"/>
  <c r="AI28" i="30"/>
  <c r="AI43" i="30" s="1"/>
  <c r="AI30" i="30"/>
  <c r="AI35" i="30" s="1"/>
  <c r="AI7" i="30"/>
  <c r="AI11" i="30"/>
  <c r="AI39" i="30" s="1"/>
  <c r="AI15" i="30"/>
  <c r="AI44" i="30" s="1"/>
  <c r="AI24" i="30"/>
  <c r="AI26" i="30"/>
  <c r="AI36" i="30" s="1"/>
  <c r="AI5" i="30"/>
  <c r="AI9" i="30"/>
  <c r="AI13" i="30"/>
  <c r="AI33" i="30" s="1"/>
  <c r="AI17" i="30"/>
  <c r="AI20" i="30"/>
  <c r="AI22" i="30"/>
  <c r="AI37" i="30" s="1"/>
  <c r="AI3" i="30"/>
  <c r="AI32" i="30" s="1"/>
  <c r="AI18" i="30"/>
  <c r="AI4" i="30"/>
  <c r="AI40" i="30" s="1"/>
  <c r="AI8" i="30"/>
  <c r="AI41" i="30" s="1"/>
  <c r="AI12" i="30"/>
  <c r="AI16" i="30"/>
  <c r="AI23" i="30"/>
  <c r="AI25" i="30"/>
  <c r="AW30" i="42"/>
  <c r="AW35" i="42" s="1"/>
  <c r="AW29" i="42"/>
  <c r="AW28" i="42"/>
  <c r="AW43" i="42" s="1"/>
  <c r="AW27" i="42"/>
  <c r="AW26" i="42"/>
  <c r="AW36" i="42" s="1"/>
  <c r="AW25" i="42"/>
  <c r="AW24" i="42"/>
  <c r="AW23" i="42"/>
  <c r="AW22" i="42"/>
  <c r="AW37" i="42" s="1"/>
  <c r="AW21" i="42"/>
  <c r="AW20" i="42"/>
  <c r="AW19" i="42"/>
  <c r="AW42" i="42" s="1"/>
  <c r="AW4" i="42"/>
  <c r="AW40" i="42" s="1"/>
  <c r="AW3" i="42"/>
  <c r="AW32" i="42" s="1"/>
  <c r="AW2" i="42"/>
  <c r="AW38" i="42" s="1"/>
  <c r="AW17" i="42"/>
  <c r="AW15" i="42"/>
  <c r="AW44" i="42" s="1"/>
  <c r="AW13" i="42"/>
  <c r="AW33" i="42" s="1"/>
  <c r="AW11" i="42"/>
  <c r="AW39" i="42" s="1"/>
  <c r="AW9" i="42"/>
  <c r="AW7" i="42"/>
  <c r="AW5" i="42"/>
  <c r="AW14" i="42"/>
  <c r="AW34" i="42" s="1"/>
  <c r="AW6" i="42"/>
  <c r="AW47" i="42" s="1"/>
  <c r="AW12" i="42"/>
  <c r="AW18" i="42"/>
  <c r="AW10" i="42"/>
  <c r="AW46" i="42" s="1"/>
  <c r="AW45" i="42" s="1"/>
  <c r="AW8" i="42"/>
  <c r="AW41" i="42" s="1"/>
  <c r="AW16" i="42"/>
  <c r="AW10" i="43"/>
  <c r="AW46" i="43" s="1"/>
  <c r="AW45" i="43" s="1"/>
  <c r="AW24" i="43"/>
  <c r="AW4" i="43"/>
  <c r="AW40" i="43" s="1"/>
  <c r="AW28" i="43"/>
  <c r="AW43" i="43" s="1"/>
  <c r="AW20" i="43"/>
  <c r="AW14" i="43"/>
  <c r="AW34" i="43" s="1"/>
  <c r="AW8" i="43"/>
  <c r="AW41" i="43" s="1"/>
  <c r="AW27" i="43"/>
  <c r="AW11" i="43"/>
  <c r="AW39" i="43" s="1"/>
  <c r="AW22" i="43"/>
  <c r="AW37" i="43" s="1"/>
  <c r="AW6" i="43"/>
  <c r="AW47" i="43" s="1"/>
  <c r="AW29" i="43"/>
  <c r="AW16" i="43"/>
  <c r="AW23" i="43"/>
  <c r="AW30" i="43"/>
  <c r="AW35" i="43" s="1"/>
  <c r="AW17" i="43"/>
  <c r="AW13" i="43"/>
  <c r="AW33" i="43" s="1"/>
  <c r="AW9" i="43"/>
  <c r="AW5" i="43"/>
  <c r="AW19" i="43"/>
  <c r="AW42" i="43" s="1"/>
  <c r="AW7" i="43"/>
  <c r="AW2" i="43"/>
  <c r="AW38" i="43" s="1"/>
  <c r="AW26" i="43"/>
  <c r="AW36" i="43" s="1"/>
  <c r="AW18" i="43"/>
  <c r="AW25" i="43"/>
  <c r="AW21" i="43"/>
  <c r="AW12" i="43"/>
  <c r="AW15" i="43"/>
  <c r="AW44" i="43" s="1"/>
  <c r="AW3" i="43"/>
  <c r="AW32" i="43" s="1"/>
  <c r="AW4" i="30"/>
  <c r="AW40" i="30" s="1"/>
  <c r="AW8" i="30"/>
  <c r="AW41" i="30" s="1"/>
  <c r="AW12" i="30"/>
  <c r="AW16" i="30"/>
  <c r="AW23" i="30"/>
  <c r="AW25" i="30"/>
  <c r="AW26" i="30"/>
  <c r="AW36" i="30" s="1"/>
  <c r="AW5" i="30"/>
  <c r="AW9" i="30"/>
  <c r="AW13" i="30"/>
  <c r="AW33" i="30" s="1"/>
  <c r="AW20" i="30"/>
  <c r="AW28" i="30"/>
  <c r="AW43" i="30" s="1"/>
  <c r="AW30" i="30"/>
  <c r="AW35" i="30" s="1"/>
  <c r="AW3" i="30"/>
  <c r="AW32" i="30" s="1"/>
  <c r="AW7" i="30"/>
  <c r="AW11" i="30"/>
  <c r="AW39" i="30" s="1"/>
  <c r="AW15" i="30"/>
  <c r="AW44" i="30" s="1"/>
  <c r="AW18" i="30"/>
  <c r="AW24" i="30"/>
  <c r="AW17" i="30"/>
  <c r="AW22" i="30"/>
  <c r="AW37" i="30" s="1"/>
  <c r="AW6" i="30"/>
  <c r="AW47" i="30" s="1"/>
  <c r="AW10" i="30"/>
  <c r="AW46" i="30" s="1"/>
  <c r="AW14" i="30"/>
  <c r="AW34" i="30" s="1"/>
  <c r="AW19" i="30"/>
  <c r="AW42" i="30" s="1"/>
  <c r="AW21" i="30"/>
  <c r="AW27" i="30"/>
  <c r="AW29" i="30"/>
  <c r="AW2" i="30"/>
  <c r="AW38" i="30" s="1"/>
  <c r="E5" i="20"/>
  <c r="C56" i="45"/>
  <c r="E56" i="45" s="1"/>
  <c r="C70" i="45"/>
  <c r="E70" i="45" s="1"/>
  <c r="E20" i="45"/>
  <c r="E15" i="20"/>
  <c r="X64" i="16"/>
  <c r="X50" i="16"/>
  <c r="X68" i="16"/>
  <c r="X54" i="16"/>
  <c r="CJ30" i="42"/>
  <c r="CJ35" i="42" s="1"/>
  <c r="CJ29" i="42"/>
  <c r="CJ28" i="42"/>
  <c r="CJ43" i="42" s="1"/>
  <c r="CJ27" i="42"/>
  <c r="CJ26" i="42"/>
  <c r="CJ36" i="42" s="1"/>
  <c r="CJ25" i="42"/>
  <c r="CJ24" i="42"/>
  <c r="CJ23" i="42"/>
  <c r="CJ22" i="42"/>
  <c r="CJ37" i="42" s="1"/>
  <c r="CJ21" i="42"/>
  <c r="CJ20" i="42"/>
  <c r="CJ19" i="42"/>
  <c r="CJ42" i="42" s="1"/>
  <c r="CJ18" i="42"/>
  <c r="CJ17" i="42"/>
  <c r="CJ16" i="42"/>
  <c r="CJ15" i="42"/>
  <c r="CJ44" i="42" s="1"/>
  <c r="CJ14" i="42"/>
  <c r="CJ34" i="42" s="1"/>
  <c r="CJ13" i="42"/>
  <c r="CJ33" i="42" s="1"/>
  <c r="CJ12" i="42"/>
  <c r="CJ11" i="42"/>
  <c r="CJ39" i="42" s="1"/>
  <c r="CJ10" i="42"/>
  <c r="CJ46" i="42" s="1"/>
  <c r="CJ9" i="42"/>
  <c r="CJ8" i="42"/>
  <c r="CJ41" i="42" s="1"/>
  <c r="CJ7" i="42"/>
  <c r="CJ6" i="42"/>
  <c r="CJ47" i="42" s="1"/>
  <c r="CJ5" i="42"/>
  <c r="CJ4" i="42"/>
  <c r="CJ40" i="42" s="1"/>
  <c r="CJ3" i="42"/>
  <c r="CJ32" i="42" s="1"/>
  <c r="CJ2" i="42"/>
  <c r="CJ38" i="42" s="1"/>
  <c r="BK30" i="41"/>
  <c r="BK35" i="41" s="1"/>
  <c r="BK29" i="41"/>
  <c r="BK28" i="41"/>
  <c r="BK43" i="41" s="1"/>
  <c r="BK10" i="41"/>
  <c r="BK46" i="41" s="1"/>
  <c r="BK9" i="41"/>
  <c r="BK8" i="41"/>
  <c r="BK41" i="41" s="1"/>
  <c r="BK2" i="29"/>
  <c r="BK38" i="29" s="1"/>
  <c r="BK3" i="29"/>
  <c r="BK32" i="29" s="1"/>
  <c r="BK4" i="29"/>
  <c r="BK40" i="29" s="1"/>
  <c r="BK5" i="29"/>
  <c r="BK6" i="29"/>
  <c r="BK47" i="29" s="1"/>
  <c r="BK7" i="29"/>
  <c r="BK8" i="29"/>
  <c r="BK41" i="29" s="1"/>
  <c r="BK9" i="29"/>
  <c r="BK10" i="29"/>
  <c r="BK46" i="29" s="1"/>
  <c r="BK45" i="29" s="1"/>
  <c r="BK11" i="29"/>
  <c r="BK39" i="29" s="1"/>
  <c r="BK27" i="41"/>
  <c r="BK26" i="41"/>
  <c r="BK36" i="41" s="1"/>
  <c r="BK25" i="41"/>
  <c r="BK24" i="41"/>
  <c r="BK23" i="41"/>
  <c r="BK49" i="41" s="1"/>
  <c r="BK21" i="41"/>
  <c r="BK20" i="41"/>
  <c r="BK19" i="41"/>
  <c r="BK42" i="41" s="1"/>
  <c r="BK18" i="41"/>
  <c r="BK17" i="41"/>
  <c r="BK16" i="41"/>
  <c r="BK15" i="41"/>
  <c r="BK44" i="41" s="1"/>
  <c r="BK12" i="41"/>
  <c r="BK11" i="41"/>
  <c r="BK39" i="41" s="1"/>
  <c r="BK22" i="41"/>
  <c r="BK37" i="41" s="1"/>
  <c r="BK14" i="41"/>
  <c r="BK34" i="41" s="1"/>
  <c r="BK13" i="41"/>
  <c r="BK33" i="41" s="1"/>
  <c r="BK2" i="41"/>
  <c r="BK38" i="41" s="1"/>
  <c r="BK5" i="41"/>
  <c r="BK7" i="41"/>
  <c r="BK3" i="41"/>
  <c r="BK32" i="41" s="1"/>
  <c r="BK4" i="41"/>
  <c r="BK40" i="41" s="1"/>
  <c r="BK13" i="29"/>
  <c r="BK33" i="29" s="1"/>
  <c r="BK15" i="29"/>
  <c r="BK44" i="29" s="1"/>
  <c r="BK17" i="29"/>
  <c r="BK19" i="29"/>
  <c r="BK42" i="29" s="1"/>
  <c r="BK21" i="29"/>
  <c r="BK23" i="29"/>
  <c r="BK49" i="29" s="1"/>
  <c r="BK25" i="29"/>
  <c r="BK27" i="29"/>
  <c r="BK29" i="29"/>
  <c r="BK6" i="41"/>
  <c r="BK47" i="41" s="1"/>
  <c r="BK12" i="29"/>
  <c r="BK14" i="29"/>
  <c r="BK34" i="29" s="1"/>
  <c r="BK31" i="29" s="1"/>
  <c r="BK16" i="29"/>
  <c r="BK18" i="29"/>
  <c r="BK20" i="29"/>
  <c r="BK22" i="29"/>
  <c r="BK37" i="29" s="1"/>
  <c r="BK24" i="29"/>
  <c r="BK26" i="29"/>
  <c r="BK36" i="29" s="1"/>
  <c r="BK28" i="29"/>
  <c r="BK43" i="29" s="1"/>
  <c r="BK30" i="29"/>
  <c r="BK35" i="29" s="1"/>
  <c r="CJ8" i="43"/>
  <c r="CJ41" i="43" s="1"/>
  <c r="CJ24" i="43"/>
  <c r="CJ16" i="43"/>
  <c r="CJ30" i="43"/>
  <c r="CJ35" i="43" s="1"/>
  <c r="CJ22" i="43"/>
  <c r="CJ37" i="43" s="1"/>
  <c r="CJ17" i="43"/>
  <c r="CJ13" i="43"/>
  <c r="CJ33" i="43" s="1"/>
  <c r="CJ9" i="43"/>
  <c r="CJ5" i="43"/>
  <c r="CJ19" i="43"/>
  <c r="CJ42" i="43" s="1"/>
  <c r="CJ26" i="43"/>
  <c r="CJ36" i="43" s="1"/>
  <c r="CJ25" i="43"/>
  <c r="CJ21" i="43"/>
  <c r="CJ15" i="43"/>
  <c r="CJ44" i="43" s="1"/>
  <c r="CJ3" i="43"/>
  <c r="CJ32" i="43" s="1"/>
  <c r="CJ10" i="43"/>
  <c r="CJ46" i="43" s="1"/>
  <c r="CJ29" i="43"/>
  <c r="CJ28" i="43"/>
  <c r="CJ43" i="43" s="1"/>
  <c r="CJ14" i="43"/>
  <c r="CJ34" i="43" s="1"/>
  <c r="CJ27" i="43"/>
  <c r="CJ11" i="43"/>
  <c r="CJ39" i="43" s="1"/>
  <c r="CJ4" i="43"/>
  <c r="CJ40" i="43" s="1"/>
  <c r="CJ2" i="43"/>
  <c r="CJ38" i="43" s="1"/>
  <c r="CJ23" i="43"/>
  <c r="CJ6" i="43"/>
  <c r="CJ47" i="43" s="1"/>
  <c r="CJ7" i="43"/>
  <c r="CJ18" i="43"/>
  <c r="CJ20" i="43"/>
  <c r="CJ12" i="43"/>
  <c r="CJ3" i="30"/>
  <c r="CJ32" i="30" s="1"/>
  <c r="CJ4" i="30"/>
  <c r="CJ40" i="30" s="1"/>
  <c r="CJ5" i="30"/>
  <c r="CJ8" i="30"/>
  <c r="CJ41" i="30" s="1"/>
  <c r="CJ15" i="30"/>
  <c r="CJ44" i="30" s="1"/>
  <c r="CJ17" i="30"/>
  <c r="CJ28" i="30"/>
  <c r="CJ43" i="30" s="1"/>
  <c r="CJ29" i="30"/>
  <c r="CJ20" i="30"/>
  <c r="CJ21" i="30"/>
  <c r="CJ22" i="30"/>
  <c r="CJ37" i="30" s="1"/>
  <c r="CJ23" i="30"/>
  <c r="CJ26" i="30"/>
  <c r="CJ36" i="30" s="1"/>
  <c r="CJ27" i="30"/>
  <c r="CJ6" i="30"/>
  <c r="CJ47" i="30" s="1"/>
  <c r="CJ7" i="30"/>
  <c r="CJ9" i="30"/>
  <c r="CJ10" i="30"/>
  <c r="CJ46" i="30" s="1"/>
  <c r="CJ11" i="30"/>
  <c r="CJ39" i="30" s="1"/>
  <c r="CJ12" i="30"/>
  <c r="CJ13" i="30"/>
  <c r="CJ33" i="30" s="1"/>
  <c r="CJ14" i="30"/>
  <c r="CJ34" i="30" s="1"/>
  <c r="CJ16" i="30"/>
  <c r="CJ18" i="30"/>
  <c r="CJ19" i="30"/>
  <c r="CJ42" i="30" s="1"/>
  <c r="CJ24" i="30"/>
  <c r="CJ25" i="30"/>
  <c r="CJ30" i="30"/>
  <c r="CJ35" i="30" s="1"/>
  <c r="AM30" i="42"/>
  <c r="AM35" i="42" s="1"/>
  <c r="AM29" i="42"/>
  <c r="AM28" i="42"/>
  <c r="AM43" i="42" s="1"/>
  <c r="AM27" i="42"/>
  <c r="AM26" i="42"/>
  <c r="AM36" i="42" s="1"/>
  <c r="AM25" i="42"/>
  <c r="AM24" i="42"/>
  <c r="AM23" i="42"/>
  <c r="AM22" i="42"/>
  <c r="AM37" i="42" s="1"/>
  <c r="AM21" i="42"/>
  <c r="AM20" i="42"/>
  <c r="AM19" i="42"/>
  <c r="AM42" i="42" s="1"/>
  <c r="AM17" i="42"/>
  <c r="AM15" i="42"/>
  <c r="AM44" i="42" s="1"/>
  <c r="AM13" i="42"/>
  <c r="AM33" i="42" s="1"/>
  <c r="AM11" i="42"/>
  <c r="AM39" i="42" s="1"/>
  <c r="AM9" i="42"/>
  <c r="AM7" i="42"/>
  <c r="AM5" i="42"/>
  <c r="AM4" i="42"/>
  <c r="AM40" i="42" s="1"/>
  <c r="AM3" i="42"/>
  <c r="AM32" i="42" s="1"/>
  <c r="AM2" i="42"/>
  <c r="AM38" i="42" s="1"/>
  <c r="AM16" i="42"/>
  <c r="AM8" i="42"/>
  <c r="AM41" i="42" s="1"/>
  <c r="AM14" i="42"/>
  <c r="AM34" i="42" s="1"/>
  <c r="AM6" i="42"/>
  <c r="AM47" i="42" s="1"/>
  <c r="AM12" i="42"/>
  <c r="AM18" i="42"/>
  <c r="AM10" i="42"/>
  <c r="AM46" i="42" s="1"/>
  <c r="AM14" i="43"/>
  <c r="AM34" i="43" s="1"/>
  <c r="AM27" i="43"/>
  <c r="AM11" i="43"/>
  <c r="AM39" i="43" s="1"/>
  <c r="AM4" i="43"/>
  <c r="AM40" i="43" s="1"/>
  <c r="AM23" i="43"/>
  <c r="AM6" i="43"/>
  <c r="AM47" i="43" s="1"/>
  <c r="AM2" i="43"/>
  <c r="AM38" i="43" s="1"/>
  <c r="AM7" i="43"/>
  <c r="AM18" i="43"/>
  <c r="AM28" i="43"/>
  <c r="AM43" i="43" s="1"/>
  <c r="AM20" i="43"/>
  <c r="AM12" i="43"/>
  <c r="AM21" i="43"/>
  <c r="AM3" i="43"/>
  <c r="AM32" i="43" s="1"/>
  <c r="AM31" i="43" s="1"/>
  <c r="AM29" i="43"/>
  <c r="AM8" i="43"/>
  <c r="AM41" i="43" s="1"/>
  <c r="AM24" i="43"/>
  <c r="AM16" i="43"/>
  <c r="AM30" i="43"/>
  <c r="AM35" i="43" s="1"/>
  <c r="AM22" i="43"/>
  <c r="AM37" i="43" s="1"/>
  <c r="AM17" i="43"/>
  <c r="AM13" i="43"/>
  <c r="AM33" i="43" s="1"/>
  <c r="AM9" i="43"/>
  <c r="AM5" i="43"/>
  <c r="AM19" i="43"/>
  <c r="AM42" i="43" s="1"/>
  <c r="AM26" i="43"/>
  <c r="AM36" i="43" s="1"/>
  <c r="AM25" i="43"/>
  <c r="AM15" i="43"/>
  <c r="AM44" i="43" s="1"/>
  <c r="AM10" i="43"/>
  <c r="AM46" i="43" s="1"/>
  <c r="AM45" i="43" s="1"/>
  <c r="AM6" i="30"/>
  <c r="AM47" i="30" s="1"/>
  <c r="AM10" i="30"/>
  <c r="AM46" i="30" s="1"/>
  <c r="AM14" i="30"/>
  <c r="AM34" i="30" s="1"/>
  <c r="AM19" i="30"/>
  <c r="AM42" i="30" s="1"/>
  <c r="AM21" i="30"/>
  <c r="AM27" i="30"/>
  <c r="AM29" i="30"/>
  <c r="AM2" i="30"/>
  <c r="AM38" i="30" s="1"/>
  <c r="AM18" i="30"/>
  <c r="AM5" i="30"/>
  <c r="AM9" i="30"/>
  <c r="AM13" i="30"/>
  <c r="AM33" i="30" s="1"/>
  <c r="AM17" i="30"/>
  <c r="AM20" i="30"/>
  <c r="AM22" i="30"/>
  <c r="AM37" i="30" s="1"/>
  <c r="AM28" i="30"/>
  <c r="AM43" i="30" s="1"/>
  <c r="AM30" i="30"/>
  <c r="AM35" i="30" s="1"/>
  <c r="AM7" i="30"/>
  <c r="AM24" i="30"/>
  <c r="AM4" i="30"/>
  <c r="AM40" i="30" s="1"/>
  <c r="AM8" i="30"/>
  <c r="AM41" i="30" s="1"/>
  <c r="AM12" i="30"/>
  <c r="AM16" i="30"/>
  <c r="AM23" i="30"/>
  <c r="AM25" i="30"/>
  <c r="AM3" i="30"/>
  <c r="AM32" i="30" s="1"/>
  <c r="AM11" i="30"/>
  <c r="AM39" i="30" s="1"/>
  <c r="AM15" i="30"/>
  <c r="AM44" i="30" s="1"/>
  <c r="AM26" i="30"/>
  <c r="AM36" i="30" s="1"/>
  <c r="AU30" i="42"/>
  <c r="AU35" i="42" s="1"/>
  <c r="AU29" i="42"/>
  <c r="AU28" i="42"/>
  <c r="AU43" i="42" s="1"/>
  <c r="AU27" i="42"/>
  <c r="AU26" i="42"/>
  <c r="AU36" i="42" s="1"/>
  <c r="AU25" i="42"/>
  <c r="AU24" i="42"/>
  <c r="AU23" i="42"/>
  <c r="AU22" i="42"/>
  <c r="AU37" i="42" s="1"/>
  <c r="AU21" i="42"/>
  <c r="AU20" i="42"/>
  <c r="AU19" i="42"/>
  <c r="AU42" i="42" s="1"/>
  <c r="AU18" i="42"/>
  <c r="AU17" i="42"/>
  <c r="AU16" i="42"/>
  <c r="AU15" i="42"/>
  <c r="AU44" i="42" s="1"/>
  <c r="AU14" i="42"/>
  <c r="AU34" i="42" s="1"/>
  <c r="AU13" i="42"/>
  <c r="AU33" i="42" s="1"/>
  <c r="AU12" i="42"/>
  <c r="AU11" i="42"/>
  <c r="AU39" i="42" s="1"/>
  <c r="AU10" i="42"/>
  <c r="AU46" i="42" s="1"/>
  <c r="AU9" i="42"/>
  <c r="AU8" i="42"/>
  <c r="AU41" i="42" s="1"/>
  <c r="AU7" i="42"/>
  <c r="AU6" i="42"/>
  <c r="AU47" i="42" s="1"/>
  <c r="AU5" i="42"/>
  <c r="AU4" i="42"/>
  <c r="AU40" i="42" s="1"/>
  <c r="AU3" i="42"/>
  <c r="AU32" i="42" s="1"/>
  <c r="AU31" i="42" s="1"/>
  <c r="AU2" i="42"/>
  <c r="AU38" i="42" s="1"/>
  <c r="AU30" i="43"/>
  <c r="AU35" i="43" s="1"/>
  <c r="AU6" i="43"/>
  <c r="AU47" i="43" s="1"/>
  <c r="AU13" i="43"/>
  <c r="AU33" i="43" s="1"/>
  <c r="AU7" i="43"/>
  <c r="AU21" i="43"/>
  <c r="AU8" i="43"/>
  <c r="AU41" i="43" s="1"/>
  <c r="AU27" i="43"/>
  <c r="AU11" i="43"/>
  <c r="AU39" i="43" s="1"/>
  <c r="AU10" i="43"/>
  <c r="AU46" i="43" s="1"/>
  <c r="AU45" i="43" s="1"/>
  <c r="AU29" i="43"/>
  <c r="AU24" i="43"/>
  <c r="AU4" i="43"/>
  <c r="AU40" i="43" s="1"/>
  <c r="AU23" i="43"/>
  <c r="AU16" i="43"/>
  <c r="AU26" i="43"/>
  <c r="AU36" i="43" s="1"/>
  <c r="AU22" i="43"/>
  <c r="AU37" i="43" s="1"/>
  <c r="AU17" i="43"/>
  <c r="AU9" i="43"/>
  <c r="AU5" i="43"/>
  <c r="AU2" i="43"/>
  <c r="AU38" i="43" s="1"/>
  <c r="AU19" i="43"/>
  <c r="AU42" i="43" s="1"/>
  <c r="AU25" i="43"/>
  <c r="AU28" i="43"/>
  <c r="AU43" i="43" s="1"/>
  <c r="AU20" i="43"/>
  <c r="AU12" i="43"/>
  <c r="AU15" i="43"/>
  <c r="AU44" i="43" s="1"/>
  <c r="AU3" i="43"/>
  <c r="AU32" i="43" s="1"/>
  <c r="AU14" i="43"/>
  <c r="AU34" i="43" s="1"/>
  <c r="AU18" i="43"/>
  <c r="AU6" i="30"/>
  <c r="AU47" i="30" s="1"/>
  <c r="AU10" i="30"/>
  <c r="AU46" i="30" s="1"/>
  <c r="AU14" i="30"/>
  <c r="AU34" i="30" s="1"/>
  <c r="AU19" i="30"/>
  <c r="AU42" i="30" s="1"/>
  <c r="AU21" i="30"/>
  <c r="AU27" i="30"/>
  <c r="AU29" i="30"/>
  <c r="AU2" i="30"/>
  <c r="AU38" i="30" s="1"/>
  <c r="AU11" i="30"/>
  <c r="AU39" i="30" s="1"/>
  <c r="AU15" i="30"/>
  <c r="AU44" i="30" s="1"/>
  <c r="AU18" i="30"/>
  <c r="AU26" i="30"/>
  <c r="AU36" i="30" s="1"/>
  <c r="AU5" i="30"/>
  <c r="AU9" i="30"/>
  <c r="AU13" i="30"/>
  <c r="AU33" i="30" s="1"/>
  <c r="AU17" i="30"/>
  <c r="AU20" i="30"/>
  <c r="AU22" i="30"/>
  <c r="AU37" i="30" s="1"/>
  <c r="AU28" i="30"/>
  <c r="AU43" i="30" s="1"/>
  <c r="AU30" i="30"/>
  <c r="AU35" i="30" s="1"/>
  <c r="AU3" i="30"/>
  <c r="AU32" i="30" s="1"/>
  <c r="AU7" i="30"/>
  <c r="AU24" i="30"/>
  <c r="AU4" i="30"/>
  <c r="AU40" i="30" s="1"/>
  <c r="AU8" i="30"/>
  <c r="AU41" i="30" s="1"/>
  <c r="AU12" i="30"/>
  <c r="AU16" i="30"/>
  <c r="AU23" i="30"/>
  <c r="AU25" i="30"/>
  <c r="E20" i="20"/>
  <c r="E19" i="45"/>
  <c r="C42" i="45"/>
  <c r="E42" i="45" s="1"/>
  <c r="E28" i="45"/>
  <c r="C43" i="45"/>
  <c r="E43" i="45" s="1"/>
  <c r="C52" i="45"/>
  <c r="E52" i="45" s="1"/>
  <c r="E17" i="45"/>
  <c r="C66" i="45"/>
  <c r="E66" i="45" s="1"/>
  <c r="E19" i="20"/>
  <c r="E22" i="45"/>
  <c r="C37" i="45"/>
  <c r="E37" i="45" s="1"/>
  <c r="H15" i="37"/>
  <c r="H44" i="37" s="1"/>
  <c r="BN26" i="38"/>
  <c r="BN36" i="38" s="1"/>
  <c r="BN13" i="38"/>
  <c r="BN33" i="38" s="1"/>
  <c r="BN20" i="38"/>
  <c r="BN8" i="38"/>
  <c r="BN41" i="38" s="1"/>
  <c r="BN11" i="38"/>
  <c r="BN39" i="38" s="1"/>
  <c r="BN12" i="38"/>
  <c r="BN15" i="38"/>
  <c r="BN44" i="38" s="1"/>
  <c r="BN28" i="38"/>
  <c r="BN43" i="38" s="1"/>
  <c r="BN17" i="38"/>
  <c r="BN7" i="38"/>
  <c r="BN25" i="38"/>
  <c r="BN4" i="38"/>
  <c r="BN40" i="38" s="1"/>
  <c r="BN6" i="38"/>
  <c r="BN47" i="38" s="1"/>
  <c r="BN18" i="38"/>
  <c r="BN21" i="38"/>
  <c r="BN24" i="38"/>
  <c r="BN30" i="38"/>
  <c r="BN35" i="38" s="1"/>
  <c r="BN14" i="38"/>
  <c r="BN34" i="38" s="1"/>
  <c r="BN27" i="38"/>
  <c r="BN5" i="38"/>
  <c r="BN22" i="38"/>
  <c r="BN37" i="38" s="1"/>
  <c r="BN10" i="38"/>
  <c r="BN46" i="38" s="1"/>
  <c r="BN23" i="38"/>
  <c r="BN49" i="38" s="1"/>
  <c r="BN9" i="38"/>
  <c r="BN2" i="38"/>
  <c r="BN38" i="38" s="1"/>
  <c r="BN3" i="38"/>
  <c r="BN32" i="38" s="1"/>
  <c r="BN16" i="38"/>
  <c r="BN29" i="38"/>
  <c r="BN19" i="38"/>
  <c r="BN42" i="38" s="1"/>
  <c r="AK15" i="38"/>
  <c r="AK44" i="38" s="1"/>
  <c r="AK28" i="18"/>
  <c r="AK43" i="18" s="1"/>
  <c r="AK6" i="18"/>
  <c r="AK47" i="18" s="1"/>
  <c r="AK23" i="18"/>
  <c r="AK49" i="18" s="1"/>
  <c r="AK26" i="18"/>
  <c r="AK36" i="18" s="1"/>
  <c r="AK17" i="18"/>
  <c r="AK14" i="38"/>
  <c r="AK34" i="38" s="1"/>
  <c r="AK10" i="38"/>
  <c r="AK46" i="38" s="1"/>
  <c r="AK27" i="18"/>
  <c r="AK2" i="18"/>
  <c r="AK38" i="18" s="1"/>
  <c r="AK19" i="18"/>
  <c r="AK42" i="18" s="1"/>
  <c r="AK22" i="18"/>
  <c r="AK37" i="18" s="1"/>
  <c r="AK13" i="18"/>
  <c r="AK33" i="18" s="1"/>
  <c r="AK20" i="38"/>
  <c r="AK17" i="38"/>
  <c r="AK24" i="38"/>
  <c r="AK30" i="38"/>
  <c r="AK35" i="38" s="1"/>
  <c r="AK24" i="18"/>
  <c r="AK16" i="18"/>
  <c r="AK6" i="38"/>
  <c r="AK47" i="38" s="1"/>
  <c r="AK5" i="38"/>
  <c r="AK27" i="38"/>
  <c r="AK4" i="38"/>
  <c r="AK40" i="38" s="1"/>
  <c r="AK23" i="38"/>
  <c r="AK49" i="38" s="1"/>
  <c r="AK3" i="18"/>
  <c r="AK32" i="18" s="1"/>
  <c r="AK8" i="18"/>
  <c r="AK41" i="18" s="1"/>
  <c r="AK11" i="18"/>
  <c r="AK39" i="18" s="1"/>
  <c r="AK4" i="18"/>
  <c r="AK40" i="18" s="1"/>
  <c r="AK13" i="38"/>
  <c r="AK33" i="38" s="1"/>
  <c r="AK18" i="38"/>
  <c r="AK22" i="38"/>
  <c r="AK37" i="38" s="1"/>
  <c r="AK21" i="38"/>
  <c r="AK14" i="18"/>
  <c r="AK34" i="18" s="1"/>
  <c r="AK21" i="18"/>
  <c r="AK12" i="38"/>
  <c r="AK30" i="18"/>
  <c r="AK35" i="18" s="1"/>
  <c r="AK15" i="18"/>
  <c r="AK44" i="18" s="1"/>
  <c r="AK10" i="18"/>
  <c r="AK46" i="18" s="1"/>
  <c r="AK9" i="18"/>
  <c r="AK28" i="38"/>
  <c r="AK43" i="38" s="1"/>
  <c r="AK7" i="18"/>
  <c r="AK3" i="38"/>
  <c r="AK32" i="38" s="1"/>
  <c r="AK8" i="38"/>
  <c r="AK41" i="38" s="1"/>
  <c r="AK26" i="38"/>
  <c r="AK36" i="38" s="1"/>
  <c r="AK7" i="38"/>
  <c r="AK29" i="38"/>
  <c r="AK11" i="38"/>
  <c r="AK39" i="38" s="1"/>
  <c r="AK25" i="38"/>
  <c r="AK16" i="38"/>
  <c r="AK5" i="18"/>
  <c r="AK20" i="18"/>
  <c r="AK29" i="18"/>
  <c r="AK2" i="38"/>
  <c r="AK38" i="38" s="1"/>
  <c r="AK18" i="18"/>
  <c r="AK12" i="18"/>
  <c r="AK25" i="18"/>
  <c r="AK9" i="38"/>
  <c r="AK19" i="38"/>
  <c r="AK42" i="38" s="1"/>
  <c r="CD22" i="43"/>
  <c r="CD37" i="43" s="1"/>
  <c r="CD17" i="43"/>
  <c r="CD9" i="43"/>
  <c r="CD5" i="43"/>
  <c r="CD19" i="43"/>
  <c r="CD42" i="43" s="1"/>
  <c r="CD26" i="43"/>
  <c r="CD36" i="43" s="1"/>
  <c r="CD25" i="43"/>
  <c r="CD28" i="43"/>
  <c r="CD43" i="43" s="1"/>
  <c r="CD20" i="43"/>
  <c r="CD12" i="43"/>
  <c r="CD15" i="43"/>
  <c r="CD44" i="43" s="1"/>
  <c r="CD3" i="43"/>
  <c r="CD32" i="43" s="1"/>
  <c r="CD14" i="43"/>
  <c r="CD34" i="43" s="1"/>
  <c r="CD16" i="43"/>
  <c r="CD18" i="43"/>
  <c r="CD10" i="43"/>
  <c r="CD46" i="43" s="1"/>
  <c r="CD45" i="43" s="1"/>
  <c r="CD29" i="43"/>
  <c r="CD24" i="43"/>
  <c r="CD30" i="43"/>
  <c r="CD35" i="43" s="1"/>
  <c r="CD6" i="43"/>
  <c r="CD47" i="43" s="1"/>
  <c r="CD13" i="43"/>
  <c r="CD33" i="43" s="1"/>
  <c r="CD7" i="43"/>
  <c r="CD21" i="43"/>
  <c r="CD8" i="43"/>
  <c r="CD41" i="43" s="1"/>
  <c r="CD27" i="43"/>
  <c r="CD11" i="43"/>
  <c r="CD39" i="43" s="1"/>
  <c r="CD2" i="43"/>
  <c r="CD38" i="43" s="1"/>
  <c r="CD4" i="43"/>
  <c r="CD40" i="43" s="1"/>
  <c r="CD23" i="43"/>
  <c r="CX30" i="42"/>
  <c r="CX35" i="42" s="1"/>
  <c r="CX29" i="42"/>
  <c r="CX28" i="42"/>
  <c r="CX43" i="42" s="1"/>
  <c r="CX27" i="42"/>
  <c r="CX26" i="42"/>
  <c r="CX36" i="42" s="1"/>
  <c r="CX25" i="42"/>
  <c r="CX24" i="42"/>
  <c r="CX23" i="42"/>
  <c r="CX22" i="42"/>
  <c r="CX37" i="42" s="1"/>
  <c r="CX21" i="42"/>
  <c r="CX20" i="42"/>
  <c r="CX16" i="42"/>
  <c r="CX14" i="42"/>
  <c r="CX34" i="42" s="1"/>
  <c r="CX12" i="42"/>
  <c r="CX10" i="42"/>
  <c r="CX46" i="42" s="1"/>
  <c r="CX8" i="42"/>
  <c r="CX41" i="42" s="1"/>
  <c r="CX6" i="42"/>
  <c r="CX47" i="42" s="1"/>
  <c r="CX19" i="42"/>
  <c r="CX42" i="42" s="1"/>
  <c r="CX18" i="42"/>
  <c r="CX4" i="42"/>
  <c r="CX40" i="42" s="1"/>
  <c r="CX3" i="42"/>
  <c r="CX32" i="42" s="1"/>
  <c r="CX2" i="42"/>
  <c r="CX38" i="42" s="1"/>
  <c r="CX17" i="42"/>
  <c r="CX9" i="42"/>
  <c r="BY22" i="41"/>
  <c r="BY37" i="41" s="1"/>
  <c r="BY14" i="41"/>
  <c r="BY34" i="41" s="1"/>
  <c r="BY13" i="41"/>
  <c r="BY33" i="41" s="1"/>
  <c r="BY2" i="41"/>
  <c r="BY38" i="41" s="1"/>
  <c r="CX15" i="42"/>
  <c r="CX44" i="42" s="1"/>
  <c r="CX7" i="42"/>
  <c r="BY30" i="41"/>
  <c r="BY35" i="41" s="1"/>
  <c r="BY7" i="41"/>
  <c r="BY6" i="41"/>
  <c r="BY47" i="41" s="1"/>
  <c r="BY5" i="41"/>
  <c r="BY4" i="41"/>
  <c r="BY40" i="41" s="1"/>
  <c r="BY3" i="41"/>
  <c r="BY32" i="41" s="1"/>
  <c r="CX13" i="42"/>
  <c r="CX33" i="42" s="1"/>
  <c r="CX5" i="42"/>
  <c r="BY29" i="41"/>
  <c r="BY28" i="41"/>
  <c r="BY43" i="41" s="1"/>
  <c r="BY10" i="41"/>
  <c r="BY46" i="41" s="1"/>
  <c r="BY45" i="41" s="1"/>
  <c r="BY9" i="41"/>
  <c r="BY8" i="41"/>
  <c r="BY41" i="41" s="1"/>
  <c r="BY2" i="29"/>
  <c r="BY38" i="29" s="1"/>
  <c r="BY3" i="29"/>
  <c r="BY32" i="29" s="1"/>
  <c r="BY4" i="29"/>
  <c r="BY40" i="29" s="1"/>
  <c r="CX11" i="42"/>
  <c r="CX39" i="42" s="1"/>
  <c r="BY17" i="41"/>
  <c r="BY15" i="41"/>
  <c r="BY44" i="41" s="1"/>
  <c r="BY5" i="29"/>
  <c r="BY6" i="29"/>
  <c r="BY47" i="29" s="1"/>
  <c r="BY8" i="29"/>
  <c r="BY41" i="29" s="1"/>
  <c r="BY10" i="29"/>
  <c r="BY46" i="29" s="1"/>
  <c r="BY45" i="29" s="1"/>
  <c r="BY26" i="41"/>
  <c r="BY36" i="41" s="1"/>
  <c r="BY25" i="41"/>
  <c r="BY23" i="41"/>
  <c r="BY49" i="41" s="1"/>
  <c r="BY20" i="41"/>
  <c r="BY12" i="41"/>
  <c r="BY12" i="29"/>
  <c r="BY13" i="29"/>
  <c r="BY33" i="29" s="1"/>
  <c r="BY14" i="29"/>
  <c r="BY34" i="29" s="1"/>
  <c r="BY15" i="29"/>
  <c r="BY44" i="29" s="1"/>
  <c r="BY16" i="29"/>
  <c r="BY17" i="29"/>
  <c r="BY18" i="29"/>
  <c r="BY19" i="29"/>
  <c r="BY42" i="29" s="1"/>
  <c r="BY20" i="29"/>
  <c r="BY21" i="29"/>
  <c r="BY22" i="29"/>
  <c r="BY37" i="29" s="1"/>
  <c r="BY23" i="29"/>
  <c r="BY49" i="29" s="1"/>
  <c r="BY24" i="29"/>
  <c r="BY25" i="29"/>
  <c r="BY26" i="29"/>
  <c r="BY36" i="29" s="1"/>
  <c r="BY27" i="29"/>
  <c r="BY28" i="29"/>
  <c r="BY43" i="29" s="1"/>
  <c r="BY29" i="29"/>
  <c r="BY30" i="29"/>
  <c r="BY35" i="29" s="1"/>
  <c r="BY18" i="41"/>
  <c r="BY16" i="41"/>
  <c r="BY7" i="29"/>
  <c r="BY9" i="29"/>
  <c r="BY11" i="29"/>
  <c r="BY39" i="29" s="1"/>
  <c r="BY24" i="41"/>
  <c r="BY21" i="41"/>
  <c r="BY27" i="41"/>
  <c r="BY19" i="41"/>
  <c r="BY42" i="41" s="1"/>
  <c r="BY11" i="41"/>
  <c r="BY39" i="41" s="1"/>
  <c r="CX30" i="43"/>
  <c r="CX35" i="43" s="1"/>
  <c r="CX6" i="43"/>
  <c r="CX47" i="43" s="1"/>
  <c r="CX45" i="43" s="1"/>
  <c r="CX29" i="43"/>
  <c r="CX16" i="43"/>
  <c r="CX23" i="43"/>
  <c r="CX17" i="43"/>
  <c r="CX13" i="43"/>
  <c r="CX33" i="43" s="1"/>
  <c r="CX9" i="43"/>
  <c r="CX5" i="43"/>
  <c r="CX19" i="43"/>
  <c r="CX42" i="43" s="1"/>
  <c r="CX7" i="43"/>
  <c r="CX26" i="43"/>
  <c r="CX36" i="43" s="1"/>
  <c r="CX18" i="43"/>
  <c r="CX2" i="43"/>
  <c r="CX38" i="43" s="1"/>
  <c r="CX25" i="43"/>
  <c r="CX21" i="43"/>
  <c r="CX12" i="43"/>
  <c r="CX15" i="43"/>
  <c r="CX44" i="43" s="1"/>
  <c r="CX3" i="43"/>
  <c r="CX32" i="43" s="1"/>
  <c r="CX11" i="43"/>
  <c r="CX39" i="43" s="1"/>
  <c r="CX22" i="43"/>
  <c r="CX37" i="43" s="1"/>
  <c r="CX10" i="43"/>
  <c r="CX46" i="43" s="1"/>
  <c r="CX24" i="43"/>
  <c r="CX4" i="43"/>
  <c r="CX40" i="43" s="1"/>
  <c r="CX28" i="43"/>
  <c r="CX43" i="43" s="1"/>
  <c r="CX20" i="43"/>
  <c r="CX14" i="43"/>
  <c r="CX34" i="43" s="1"/>
  <c r="CX8" i="43"/>
  <c r="CX41" i="43" s="1"/>
  <c r="CX27" i="43"/>
  <c r="CX3" i="30"/>
  <c r="CX32" i="30" s="1"/>
  <c r="CX4" i="30"/>
  <c r="CX40" i="30" s="1"/>
  <c r="CX5" i="30"/>
  <c r="CX6" i="30"/>
  <c r="CX47" i="30" s="1"/>
  <c r="CX7" i="30"/>
  <c r="CX8" i="30"/>
  <c r="CX41" i="30" s="1"/>
  <c r="CX9" i="30"/>
  <c r="CX10" i="30"/>
  <c r="CX46" i="30" s="1"/>
  <c r="CX45" i="30" s="1"/>
  <c r="CX11" i="30"/>
  <c r="CX39" i="30" s="1"/>
  <c r="CX12" i="30"/>
  <c r="CX13" i="30"/>
  <c r="CX33" i="30" s="1"/>
  <c r="CX14" i="30"/>
  <c r="CX34" i="30" s="1"/>
  <c r="CX15" i="30"/>
  <c r="CX44" i="30" s="1"/>
  <c r="CX16" i="30"/>
  <c r="CX17" i="30"/>
  <c r="CX18" i="30"/>
  <c r="CX19" i="30"/>
  <c r="CX42" i="30" s="1"/>
  <c r="CX20" i="30"/>
  <c r="CX21" i="30"/>
  <c r="CX22" i="30"/>
  <c r="CX37" i="30" s="1"/>
  <c r="CX23" i="30"/>
  <c r="CX24" i="30"/>
  <c r="CX25" i="30"/>
  <c r="CX26" i="30"/>
  <c r="CX36" i="30" s="1"/>
  <c r="CX27" i="30"/>
  <c r="CX28" i="30"/>
  <c r="CX43" i="30" s="1"/>
  <c r="CX29" i="30"/>
  <c r="CX30" i="30"/>
  <c r="CX35" i="30" s="1"/>
  <c r="CK30" i="42"/>
  <c r="CK35" i="42" s="1"/>
  <c r="CK29" i="42"/>
  <c r="CK28" i="42"/>
  <c r="CK43" i="42" s="1"/>
  <c r="CK27" i="42"/>
  <c r="CK26" i="42"/>
  <c r="CK36" i="42" s="1"/>
  <c r="CK25" i="42"/>
  <c r="CK24" i="42"/>
  <c r="CK23" i="42"/>
  <c r="CK22" i="42"/>
  <c r="CK37" i="42" s="1"/>
  <c r="CK21" i="42"/>
  <c r="CK20" i="42"/>
  <c r="CK19" i="42"/>
  <c r="CK42" i="42" s="1"/>
  <c r="CK18" i="42"/>
  <c r="CK17" i="42"/>
  <c r="CK16" i="42"/>
  <c r="CK15" i="42"/>
  <c r="CK44" i="42" s="1"/>
  <c r="CK14" i="42"/>
  <c r="CK34" i="42" s="1"/>
  <c r="CK13" i="42"/>
  <c r="CK33" i="42" s="1"/>
  <c r="CK12" i="42"/>
  <c r="CK11" i="42"/>
  <c r="CK39" i="42" s="1"/>
  <c r="CK10" i="42"/>
  <c r="CK46" i="42" s="1"/>
  <c r="CK9" i="42"/>
  <c r="CK8" i="42"/>
  <c r="CK41" i="42" s="1"/>
  <c r="CK7" i="42"/>
  <c r="CK6" i="42"/>
  <c r="CK47" i="42" s="1"/>
  <c r="CK5" i="42"/>
  <c r="BL29" i="41"/>
  <c r="CK4" i="42"/>
  <c r="CK40" i="42" s="1"/>
  <c r="CK3" i="42"/>
  <c r="CK32" i="42" s="1"/>
  <c r="CK2" i="42"/>
  <c r="CK38" i="42" s="1"/>
  <c r="BL30" i="41"/>
  <c r="BL35" i="41" s="1"/>
  <c r="BL27" i="41"/>
  <c r="BL26" i="41"/>
  <c r="BL36" i="41" s="1"/>
  <c r="BL25" i="41"/>
  <c r="BL24" i="41"/>
  <c r="BL23" i="41"/>
  <c r="BL49" i="41" s="1"/>
  <c r="BL21" i="41"/>
  <c r="BL20" i="41"/>
  <c r="BL19" i="41"/>
  <c r="BL42" i="41" s="1"/>
  <c r="BL18" i="41"/>
  <c r="BL17" i="41"/>
  <c r="BL16" i="41"/>
  <c r="BL15" i="41"/>
  <c r="BL44" i="41" s="1"/>
  <c r="BL12" i="41"/>
  <c r="BL11" i="41"/>
  <c r="BL39" i="41" s="1"/>
  <c r="BL22" i="41"/>
  <c r="BL37" i="41" s="1"/>
  <c r="BL14" i="41"/>
  <c r="BL34" i="41" s="1"/>
  <c r="BL13" i="41"/>
  <c r="BL33" i="41" s="1"/>
  <c r="BL2" i="41"/>
  <c r="BL38" i="41" s="1"/>
  <c r="BL2" i="29"/>
  <c r="BL38" i="29" s="1"/>
  <c r="BL3" i="29"/>
  <c r="BL32" i="29" s="1"/>
  <c r="BL4" i="29"/>
  <c r="BL40" i="29" s="1"/>
  <c r="BL5" i="29"/>
  <c r="BL7" i="41"/>
  <c r="BL6" i="41"/>
  <c r="BL47" i="41" s="1"/>
  <c r="BL5" i="41"/>
  <c r="BL4" i="41"/>
  <c r="BL40" i="41" s="1"/>
  <c r="BL3" i="41"/>
  <c r="BL32" i="41" s="1"/>
  <c r="BL8" i="41"/>
  <c r="BL41" i="41" s="1"/>
  <c r="BL7" i="29"/>
  <c r="BL9" i="29"/>
  <c r="BL11" i="29"/>
  <c r="BL39" i="29" s="1"/>
  <c r="BL12" i="29"/>
  <c r="BL13" i="29"/>
  <c r="BL33" i="29" s="1"/>
  <c r="BL14" i="29"/>
  <c r="BL34" i="29" s="1"/>
  <c r="BL15" i="29"/>
  <c r="BL44" i="29" s="1"/>
  <c r="BL16" i="29"/>
  <c r="BL17" i="29"/>
  <c r="BL18" i="29"/>
  <c r="BL19" i="29"/>
  <c r="BL42" i="29" s="1"/>
  <c r="BL20" i="29"/>
  <c r="BL21" i="29"/>
  <c r="BL22" i="29"/>
  <c r="BL37" i="29" s="1"/>
  <c r="BL23" i="29"/>
  <c r="BL49" i="29" s="1"/>
  <c r="BL24" i="29"/>
  <c r="BL25" i="29"/>
  <c r="BL26" i="29"/>
  <c r="BL36" i="29" s="1"/>
  <c r="BL27" i="29"/>
  <c r="BL28" i="29"/>
  <c r="BL43" i="29" s="1"/>
  <c r="BL29" i="29"/>
  <c r="BL30" i="29"/>
  <c r="BL35" i="29" s="1"/>
  <c r="BL28" i="41"/>
  <c r="BL43" i="41" s="1"/>
  <c r="BL9" i="41"/>
  <c r="BL6" i="29"/>
  <c r="BL47" i="29" s="1"/>
  <c r="BL8" i="29"/>
  <c r="BL41" i="29" s="1"/>
  <c r="BL10" i="29"/>
  <c r="BL46" i="29" s="1"/>
  <c r="BL10" i="41"/>
  <c r="BL46" i="41" s="1"/>
  <c r="BL45" i="41" s="1"/>
  <c r="CK8" i="43"/>
  <c r="CK41" i="43" s="1"/>
  <c r="CK24" i="43"/>
  <c r="CK16" i="43"/>
  <c r="CK30" i="43"/>
  <c r="CK35" i="43" s="1"/>
  <c r="CK22" i="43"/>
  <c r="CK37" i="43" s="1"/>
  <c r="CK17" i="43"/>
  <c r="CK13" i="43"/>
  <c r="CK33" i="43" s="1"/>
  <c r="CK9" i="43"/>
  <c r="CK5" i="43"/>
  <c r="CK19" i="43"/>
  <c r="CK42" i="43" s="1"/>
  <c r="CK26" i="43"/>
  <c r="CK36" i="43" s="1"/>
  <c r="CK25" i="43"/>
  <c r="CK21" i="43"/>
  <c r="CK15" i="43"/>
  <c r="CK44" i="43" s="1"/>
  <c r="CK3" i="43"/>
  <c r="CK32" i="43" s="1"/>
  <c r="CK10" i="43"/>
  <c r="CK46" i="43" s="1"/>
  <c r="CK29" i="43"/>
  <c r="CK18" i="43"/>
  <c r="CK20" i="43"/>
  <c r="CK12" i="43"/>
  <c r="CK14" i="43"/>
  <c r="CK34" i="43" s="1"/>
  <c r="CK27" i="43"/>
  <c r="CK11" i="43"/>
  <c r="CK39" i="43" s="1"/>
  <c r="CK4" i="43"/>
  <c r="CK40" i="43" s="1"/>
  <c r="CK23" i="43"/>
  <c r="CK6" i="43"/>
  <c r="CK47" i="43" s="1"/>
  <c r="CK2" i="43"/>
  <c r="CK38" i="43" s="1"/>
  <c r="CK7" i="43"/>
  <c r="CK28" i="43"/>
  <c r="CK43" i="43" s="1"/>
  <c r="CK3" i="30"/>
  <c r="CK32" i="30" s="1"/>
  <c r="CK4" i="30"/>
  <c r="CK40" i="30" s="1"/>
  <c r="CK5" i="30"/>
  <c r="CK6" i="30"/>
  <c r="CK47" i="30" s="1"/>
  <c r="CK7" i="30"/>
  <c r="CK8" i="30"/>
  <c r="CK41" i="30" s="1"/>
  <c r="CK9" i="30"/>
  <c r="CK10" i="30"/>
  <c r="CK46" i="30" s="1"/>
  <c r="CK45" i="30" s="1"/>
  <c r="CK11" i="30"/>
  <c r="CK39" i="30" s="1"/>
  <c r="CK12" i="30"/>
  <c r="CK13" i="30"/>
  <c r="CK33" i="30" s="1"/>
  <c r="CK14" i="30"/>
  <c r="CK34" i="30" s="1"/>
  <c r="CK15" i="30"/>
  <c r="CK44" i="30" s="1"/>
  <c r="CK16" i="30"/>
  <c r="CK17" i="30"/>
  <c r="CK18" i="30"/>
  <c r="CK19" i="30"/>
  <c r="CK42" i="30" s="1"/>
  <c r="CK20" i="30"/>
  <c r="CK21" i="30"/>
  <c r="CK22" i="30"/>
  <c r="CK37" i="30" s="1"/>
  <c r="CK23" i="30"/>
  <c r="CK24" i="30"/>
  <c r="CK25" i="30"/>
  <c r="CK26" i="30"/>
  <c r="CK36" i="30" s="1"/>
  <c r="CK27" i="30"/>
  <c r="CK28" i="30"/>
  <c r="CK43" i="30" s="1"/>
  <c r="CK29" i="30"/>
  <c r="CK30" i="30"/>
  <c r="CK35" i="30" s="1"/>
  <c r="CO16" i="42"/>
  <c r="CO14" i="42"/>
  <c r="CO34" i="42" s="1"/>
  <c r="CO12" i="42"/>
  <c r="CO10" i="42"/>
  <c r="CO46" i="42" s="1"/>
  <c r="CO45" i="42" s="1"/>
  <c r="CO8" i="42"/>
  <c r="CO41" i="42" s="1"/>
  <c r="CO6" i="42"/>
  <c r="CO47" i="42" s="1"/>
  <c r="BP29" i="41"/>
  <c r="CO30" i="42"/>
  <c r="CO35" i="42" s="1"/>
  <c r="CO28" i="42"/>
  <c r="CO43" i="42" s="1"/>
  <c r="CO26" i="42"/>
  <c r="CO36" i="42" s="1"/>
  <c r="CO24" i="42"/>
  <c r="CO22" i="42"/>
  <c r="CO37" i="42" s="1"/>
  <c r="CO20" i="42"/>
  <c r="CO19" i="42"/>
  <c r="CO42" i="42" s="1"/>
  <c r="CO18" i="42"/>
  <c r="CO17" i="42"/>
  <c r="CO15" i="42"/>
  <c r="CO44" i="42" s="1"/>
  <c r="CO13" i="42"/>
  <c r="CO33" i="42" s="1"/>
  <c r="CO11" i="42"/>
  <c r="CO39" i="42" s="1"/>
  <c r="CO9" i="42"/>
  <c r="CO7" i="42"/>
  <c r="CO5" i="42"/>
  <c r="CO27" i="42"/>
  <c r="CO4" i="42"/>
  <c r="CO40" i="42" s="1"/>
  <c r="CO2" i="42"/>
  <c r="CO38" i="42" s="1"/>
  <c r="BP27" i="41"/>
  <c r="BP26" i="41"/>
  <c r="BP36" i="41" s="1"/>
  <c r="BP25" i="41"/>
  <c r="BP24" i="41"/>
  <c r="BP23" i="41"/>
  <c r="BP49" i="41" s="1"/>
  <c r="BP21" i="41"/>
  <c r="BP20" i="41"/>
  <c r="BP19" i="41"/>
  <c r="BP42" i="41" s="1"/>
  <c r="BP18" i="41"/>
  <c r="BP17" i="41"/>
  <c r="BP16" i="41"/>
  <c r="BP15" i="41"/>
  <c r="BP44" i="41" s="1"/>
  <c r="BP12" i="41"/>
  <c r="BP11" i="41"/>
  <c r="BP39" i="41" s="1"/>
  <c r="CO29" i="42"/>
  <c r="CO21" i="42"/>
  <c r="BP22" i="41"/>
  <c r="BP37" i="41" s="1"/>
  <c r="BP14" i="41"/>
  <c r="BP34" i="41" s="1"/>
  <c r="BP13" i="41"/>
  <c r="BP33" i="41" s="1"/>
  <c r="BP2" i="41"/>
  <c r="BP38" i="41" s="1"/>
  <c r="BP2" i="29"/>
  <c r="BP38" i="29" s="1"/>
  <c r="BP3" i="29"/>
  <c r="BP32" i="29" s="1"/>
  <c r="BP4" i="29"/>
  <c r="BP40" i="29" s="1"/>
  <c r="BP5" i="29"/>
  <c r="CO23" i="42"/>
  <c r="CO3" i="42"/>
  <c r="CO32" i="42" s="1"/>
  <c r="BP30" i="41"/>
  <c r="BP35" i="41" s="1"/>
  <c r="BP7" i="41"/>
  <c r="BP6" i="41"/>
  <c r="BP47" i="41" s="1"/>
  <c r="BP5" i="41"/>
  <c r="BP4" i="41"/>
  <c r="BP40" i="41" s="1"/>
  <c r="BP3" i="41"/>
  <c r="BP32" i="41" s="1"/>
  <c r="BP12" i="29"/>
  <c r="BP13" i="29"/>
  <c r="BP33" i="29" s="1"/>
  <c r="BP14" i="29"/>
  <c r="BP34" i="29" s="1"/>
  <c r="BP15" i="29"/>
  <c r="BP44" i="29" s="1"/>
  <c r="BP16" i="29"/>
  <c r="BP17" i="29"/>
  <c r="BP18" i="29"/>
  <c r="BP19" i="29"/>
  <c r="BP42" i="29" s="1"/>
  <c r="BP20" i="29"/>
  <c r="BP21" i="29"/>
  <c r="BP22" i="29"/>
  <c r="BP37" i="29" s="1"/>
  <c r="BP23" i="29"/>
  <c r="BP49" i="29" s="1"/>
  <c r="BP24" i="29"/>
  <c r="BP25" i="29"/>
  <c r="BP26" i="29"/>
  <c r="BP36" i="29" s="1"/>
  <c r="BP27" i="29"/>
  <c r="BP28" i="29"/>
  <c r="BP43" i="29" s="1"/>
  <c r="BP29" i="29"/>
  <c r="BP30" i="29"/>
  <c r="BP35" i="29" s="1"/>
  <c r="CO25" i="42"/>
  <c r="BP28" i="41"/>
  <c r="BP43" i="41" s="1"/>
  <c r="BP9" i="41"/>
  <c r="BP6" i="29"/>
  <c r="BP47" i="29" s="1"/>
  <c r="BP45" i="29" s="1"/>
  <c r="BP8" i="29"/>
  <c r="BP41" i="29" s="1"/>
  <c r="BP10" i="29"/>
  <c r="BP46" i="29" s="1"/>
  <c r="BP10" i="41"/>
  <c r="BP46" i="41" s="1"/>
  <c r="BP45" i="41" s="1"/>
  <c r="BP8" i="41"/>
  <c r="BP41" i="41" s="1"/>
  <c r="BP11" i="29"/>
  <c r="BP39" i="29" s="1"/>
  <c r="BP9" i="29"/>
  <c r="BP7" i="29"/>
  <c r="CO14" i="43"/>
  <c r="CO34" i="43" s="1"/>
  <c r="CO18" i="43"/>
  <c r="CO25" i="43"/>
  <c r="CO28" i="43"/>
  <c r="CO43" i="43" s="1"/>
  <c r="CO20" i="43"/>
  <c r="CO12" i="43"/>
  <c r="CO3" i="43"/>
  <c r="CO32" i="43" s="1"/>
  <c r="CO2" i="43"/>
  <c r="CO38" i="43" s="1"/>
  <c r="CO8" i="43"/>
  <c r="CO41" i="43" s="1"/>
  <c r="CO11" i="43"/>
  <c r="CO39" i="43" s="1"/>
  <c r="CO10" i="43"/>
  <c r="CO46" i="43" s="1"/>
  <c r="CO45" i="43" s="1"/>
  <c r="CO29" i="43"/>
  <c r="CO24" i="43"/>
  <c r="CO16" i="43"/>
  <c r="CO23" i="43"/>
  <c r="CO22" i="43"/>
  <c r="CO37" i="43" s="1"/>
  <c r="CO6" i="43"/>
  <c r="CO47" i="43" s="1"/>
  <c r="CO17" i="43"/>
  <c r="CO9" i="43"/>
  <c r="CO7" i="43"/>
  <c r="CO30" i="43"/>
  <c r="CO35" i="43" s="1"/>
  <c r="CO19" i="43"/>
  <c r="CO42" i="43" s="1"/>
  <c r="CO26" i="43"/>
  <c r="CO36" i="43" s="1"/>
  <c r="CO21" i="43"/>
  <c r="CO15" i="43"/>
  <c r="CO44" i="43" s="1"/>
  <c r="CO27" i="43"/>
  <c r="CO4" i="43"/>
  <c r="CO40" i="43" s="1"/>
  <c r="CO13" i="43"/>
  <c r="CO33" i="43" s="1"/>
  <c r="CO5" i="43"/>
  <c r="CO3" i="30"/>
  <c r="CO32" i="30" s="1"/>
  <c r="CO4" i="30"/>
  <c r="CO40" i="30" s="1"/>
  <c r="CO5" i="30"/>
  <c r="CO6" i="30"/>
  <c r="CO47" i="30" s="1"/>
  <c r="CO7" i="30"/>
  <c r="CO8" i="30"/>
  <c r="CO41" i="30" s="1"/>
  <c r="CO9" i="30"/>
  <c r="CO10" i="30"/>
  <c r="CO46" i="30" s="1"/>
  <c r="CO45" i="30" s="1"/>
  <c r="CO11" i="30"/>
  <c r="CO39" i="30" s="1"/>
  <c r="CO12" i="30"/>
  <c r="CO13" i="30"/>
  <c r="CO33" i="30" s="1"/>
  <c r="CO14" i="30"/>
  <c r="CO34" i="30" s="1"/>
  <c r="CO15" i="30"/>
  <c r="CO44" i="30" s="1"/>
  <c r="CO16" i="30"/>
  <c r="CO17" i="30"/>
  <c r="CO18" i="30"/>
  <c r="CO19" i="30"/>
  <c r="CO42" i="30" s="1"/>
  <c r="CO20" i="30"/>
  <c r="CO21" i="30"/>
  <c r="CO22" i="30"/>
  <c r="CO37" i="30" s="1"/>
  <c r="CO23" i="30"/>
  <c r="CO24" i="30"/>
  <c r="CO25" i="30"/>
  <c r="CO26" i="30"/>
  <c r="CO36" i="30" s="1"/>
  <c r="CO27" i="30"/>
  <c r="CO28" i="30"/>
  <c r="CO43" i="30" s="1"/>
  <c r="CO29" i="30"/>
  <c r="CO30" i="30"/>
  <c r="CO35" i="30" s="1"/>
  <c r="CS30" i="42"/>
  <c r="CS35" i="42" s="1"/>
  <c r="CS29" i="42"/>
  <c r="CS28" i="42"/>
  <c r="CS43" i="42" s="1"/>
  <c r="CS27" i="42"/>
  <c r="CS26" i="42"/>
  <c r="CS36" i="42" s="1"/>
  <c r="CS25" i="42"/>
  <c r="CS24" i="42"/>
  <c r="CS23" i="42"/>
  <c r="CS22" i="42"/>
  <c r="CS37" i="42" s="1"/>
  <c r="CS21" i="42"/>
  <c r="CS20" i="42"/>
  <c r="CS19" i="42"/>
  <c r="CS42" i="42" s="1"/>
  <c r="CS18" i="42"/>
  <c r="BT29" i="41"/>
  <c r="CS17" i="42"/>
  <c r="CS15" i="42"/>
  <c r="CS44" i="42" s="1"/>
  <c r="CS13" i="42"/>
  <c r="CS33" i="42" s="1"/>
  <c r="CS11" i="42"/>
  <c r="CS39" i="42" s="1"/>
  <c r="CS9" i="42"/>
  <c r="CS7" i="42"/>
  <c r="CS5" i="42"/>
  <c r="CS4" i="42"/>
  <c r="CS40" i="42" s="1"/>
  <c r="CS3" i="42"/>
  <c r="CS32" i="42" s="1"/>
  <c r="CS2" i="42"/>
  <c r="CS38" i="42" s="1"/>
  <c r="CS10" i="42"/>
  <c r="CS46" i="42" s="1"/>
  <c r="BT30" i="41"/>
  <c r="BT35" i="41" s="1"/>
  <c r="BT27" i="41"/>
  <c r="BT26" i="41"/>
  <c r="BT36" i="41" s="1"/>
  <c r="BT25" i="41"/>
  <c r="BT24" i="41"/>
  <c r="BT23" i="41"/>
  <c r="BT49" i="41" s="1"/>
  <c r="BT21" i="41"/>
  <c r="BT20" i="41"/>
  <c r="BT19" i="41"/>
  <c r="BT42" i="41" s="1"/>
  <c r="BT18" i="41"/>
  <c r="BT17" i="41"/>
  <c r="BT16" i="41"/>
  <c r="BT15" i="41"/>
  <c r="BT44" i="41" s="1"/>
  <c r="BT12" i="41"/>
  <c r="BT11" i="41"/>
  <c r="BT39" i="41" s="1"/>
  <c r="CS16" i="42"/>
  <c r="CS8" i="42"/>
  <c r="CS41" i="42" s="1"/>
  <c r="BT22" i="41"/>
  <c r="BT37" i="41" s="1"/>
  <c r="BT14" i="41"/>
  <c r="BT34" i="41" s="1"/>
  <c r="BT13" i="41"/>
  <c r="BT33" i="41" s="1"/>
  <c r="BT2" i="41"/>
  <c r="BT38" i="41" s="1"/>
  <c r="BT2" i="29"/>
  <c r="BT38" i="29" s="1"/>
  <c r="BT3" i="29"/>
  <c r="BT32" i="29" s="1"/>
  <c r="BT4" i="29"/>
  <c r="BT40" i="29" s="1"/>
  <c r="BT5" i="29"/>
  <c r="CS14" i="42"/>
  <c r="CS34" i="42" s="1"/>
  <c r="CS6" i="42"/>
  <c r="CS47" i="42" s="1"/>
  <c r="BT7" i="41"/>
  <c r="BT6" i="41"/>
  <c r="BT47" i="41" s="1"/>
  <c r="BT5" i="41"/>
  <c r="BT4" i="41"/>
  <c r="BT40" i="41" s="1"/>
  <c r="BT3" i="41"/>
  <c r="BT32" i="41" s="1"/>
  <c r="BT28" i="41"/>
  <c r="BT43" i="41" s="1"/>
  <c r="BT9" i="41"/>
  <c r="BT6" i="29"/>
  <c r="BT47" i="29" s="1"/>
  <c r="BT45" i="29" s="1"/>
  <c r="BT8" i="29"/>
  <c r="BT41" i="29" s="1"/>
  <c r="BT10" i="29"/>
  <c r="BT46" i="29" s="1"/>
  <c r="BT12" i="29"/>
  <c r="BT13" i="29"/>
  <c r="BT33" i="29" s="1"/>
  <c r="BT14" i="29"/>
  <c r="BT34" i="29" s="1"/>
  <c r="BT15" i="29"/>
  <c r="BT44" i="29" s="1"/>
  <c r="BT16" i="29"/>
  <c r="BT17" i="29"/>
  <c r="BT18" i="29"/>
  <c r="BT19" i="29"/>
  <c r="BT42" i="29" s="1"/>
  <c r="BT20" i="29"/>
  <c r="BT21" i="29"/>
  <c r="BT22" i="29"/>
  <c r="BT37" i="29" s="1"/>
  <c r="BT23" i="29"/>
  <c r="BT49" i="29" s="1"/>
  <c r="BT24" i="29"/>
  <c r="BT25" i="29"/>
  <c r="BT26" i="29"/>
  <c r="BT36" i="29" s="1"/>
  <c r="BT27" i="29"/>
  <c r="BT28" i="29"/>
  <c r="BT43" i="29" s="1"/>
  <c r="BT29" i="29"/>
  <c r="BT30" i="29"/>
  <c r="BT35" i="29" s="1"/>
  <c r="BT10" i="41"/>
  <c r="BT46" i="41" s="1"/>
  <c r="BT8" i="41"/>
  <c r="BT41" i="41" s="1"/>
  <c r="BT7" i="29"/>
  <c r="BT9" i="29"/>
  <c r="BT11" i="29"/>
  <c r="BT39" i="29" s="1"/>
  <c r="CS12" i="42"/>
  <c r="CS26" i="43"/>
  <c r="CS36" i="43" s="1"/>
  <c r="CS22" i="43"/>
  <c r="CS37" i="43" s="1"/>
  <c r="CS17" i="43"/>
  <c r="CS9" i="43"/>
  <c r="CS5" i="43"/>
  <c r="CS2" i="43"/>
  <c r="CS38" i="43" s="1"/>
  <c r="CS19" i="43"/>
  <c r="CS42" i="43" s="1"/>
  <c r="CS25" i="43"/>
  <c r="CS28" i="43"/>
  <c r="CS43" i="43" s="1"/>
  <c r="CS20" i="43"/>
  <c r="CS12" i="43"/>
  <c r="CS15" i="43"/>
  <c r="CS44" i="43" s="1"/>
  <c r="CS3" i="43"/>
  <c r="CS32" i="43" s="1"/>
  <c r="CS14" i="43"/>
  <c r="CS34" i="43" s="1"/>
  <c r="CS16" i="43"/>
  <c r="CS18" i="43"/>
  <c r="CS29" i="43"/>
  <c r="CS24" i="43"/>
  <c r="CS30" i="43"/>
  <c r="CS35" i="43" s="1"/>
  <c r="CS6" i="43"/>
  <c r="CS47" i="43" s="1"/>
  <c r="CS13" i="43"/>
  <c r="CS33" i="43" s="1"/>
  <c r="CS7" i="43"/>
  <c r="CS21" i="43"/>
  <c r="CS8" i="43"/>
  <c r="CS41" i="43" s="1"/>
  <c r="CS27" i="43"/>
  <c r="CS11" i="43"/>
  <c r="CS39" i="43" s="1"/>
  <c r="CS10" i="43"/>
  <c r="CS46" i="43" s="1"/>
  <c r="CS4" i="43"/>
  <c r="CS40" i="43" s="1"/>
  <c r="CS23" i="43"/>
  <c r="CS3" i="30"/>
  <c r="CS32" i="30" s="1"/>
  <c r="CS4" i="30"/>
  <c r="CS40" i="30" s="1"/>
  <c r="CS5" i="30"/>
  <c r="CS6" i="30"/>
  <c r="CS47" i="30" s="1"/>
  <c r="CS7" i="30"/>
  <c r="CS8" i="30"/>
  <c r="CS41" i="30" s="1"/>
  <c r="CS9" i="30"/>
  <c r="CS10" i="30"/>
  <c r="CS46" i="30" s="1"/>
  <c r="CS45" i="30" s="1"/>
  <c r="CS11" i="30"/>
  <c r="CS39" i="30" s="1"/>
  <c r="CS12" i="30"/>
  <c r="CS13" i="30"/>
  <c r="CS33" i="30" s="1"/>
  <c r="CS14" i="30"/>
  <c r="CS34" i="30" s="1"/>
  <c r="CS15" i="30"/>
  <c r="CS44" i="30" s="1"/>
  <c r="CS16" i="30"/>
  <c r="CS17" i="30"/>
  <c r="CS18" i="30"/>
  <c r="CS19" i="30"/>
  <c r="CS42" i="30" s="1"/>
  <c r="CS20" i="30"/>
  <c r="CS21" i="30"/>
  <c r="CS22" i="30"/>
  <c r="CS37" i="30" s="1"/>
  <c r="CS23" i="30"/>
  <c r="CS24" i="30"/>
  <c r="CS25" i="30"/>
  <c r="CS26" i="30"/>
  <c r="CS36" i="30" s="1"/>
  <c r="CS27" i="30"/>
  <c r="CS28" i="30"/>
  <c r="CS43" i="30" s="1"/>
  <c r="CS29" i="30"/>
  <c r="CS30" i="30"/>
  <c r="CS35" i="30" s="1"/>
  <c r="CV30" i="42"/>
  <c r="CV35" i="42" s="1"/>
  <c r="CV29" i="42"/>
  <c r="CV28" i="42"/>
  <c r="CV43" i="42" s="1"/>
  <c r="CV27" i="42"/>
  <c r="CV26" i="42"/>
  <c r="CV36" i="42" s="1"/>
  <c r="CV25" i="42"/>
  <c r="CV24" i="42"/>
  <c r="CV23" i="42"/>
  <c r="CV22" i="42"/>
  <c r="CV37" i="42" s="1"/>
  <c r="CV21" i="42"/>
  <c r="CV20" i="42"/>
  <c r="CV19" i="42"/>
  <c r="CV42" i="42" s="1"/>
  <c r="CV18" i="42"/>
  <c r="CV17" i="42"/>
  <c r="CV16" i="42"/>
  <c r="CV15" i="42"/>
  <c r="CV44" i="42" s="1"/>
  <c r="CV14" i="42"/>
  <c r="CV34" i="42" s="1"/>
  <c r="CV13" i="42"/>
  <c r="CV33" i="42" s="1"/>
  <c r="CV12" i="42"/>
  <c r="CV11" i="42"/>
  <c r="CV39" i="42" s="1"/>
  <c r="CV10" i="42"/>
  <c r="CV46" i="42" s="1"/>
  <c r="CV9" i="42"/>
  <c r="CV8" i="42"/>
  <c r="CV41" i="42" s="1"/>
  <c r="CV7" i="42"/>
  <c r="CV6" i="42"/>
  <c r="CV47" i="42" s="1"/>
  <c r="CV5" i="42"/>
  <c r="CV4" i="42"/>
  <c r="CV40" i="42" s="1"/>
  <c r="CV3" i="42"/>
  <c r="CV32" i="42" s="1"/>
  <c r="CV2" i="42"/>
  <c r="CV38" i="42" s="1"/>
  <c r="BW30" i="41"/>
  <c r="BW35" i="41" s="1"/>
  <c r="BW29" i="41"/>
  <c r="BW28" i="41"/>
  <c r="BW43" i="41" s="1"/>
  <c r="BW10" i="41"/>
  <c r="BW46" i="41" s="1"/>
  <c r="BW9" i="41"/>
  <c r="BW8" i="41"/>
  <c r="BW41" i="41" s="1"/>
  <c r="BW2" i="29"/>
  <c r="BW38" i="29" s="1"/>
  <c r="BW3" i="29"/>
  <c r="BW32" i="29" s="1"/>
  <c r="BW4" i="29"/>
  <c r="BW40" i="29" s="1"/>
  <c r="BW5" i="29"/>
  <c r="BW6" i="29"/>
  <c r="BW47" i="29" s="1"/>
  <c r="BW7" i="29"/>
  <c r="BW8" i="29"/>
  <c r="BW41" i="29" s="1"/>
  <c r="BW9" i="29"/>
  <c r="BW10" i="29"/>
  <c r="BW46" i="29" s="1"/>
  <c r="BW11" i="29"/>
  <c r="BW39" i="29" s="1"/>
  <c r="BW27" i="41"/>
  <c r="BW26" i="41"/>
  <c r="BW36" i="41" s="1"/>
  <c r="BW25" i="41"/>
  <c r="BW24" i="41"/>
  <c r="BW23" i="41"/>
  <c r="BW49" i="41" s="1"/>
  <c r="BW21" i="41"/>
  <c r="BW20" i="41"/>
  <c r="BW19" i="41"/>
  <c r="BW42" i="41" s="1"/>
  <c r="BW18" i="41"/>
  <c r="BW17" i="41"/>
  <c r="BW16" i="41"/>
  <c r="BW15" i="41"/>
  <c r="BW44" i="41" s="1"/>
  <c r="BW12" i="41"/>
  <c r="BW11" i="41"/>
  <c r="BW39" i="41" s="1"/>
  <c r="BW22" i="41"/>
  <c r="BW37" i="41" s="1"/>
  <c r="BW14" i="41"/>
  <c r="BW34" i="41" s="1"/>
  <c r="BW13" i="41"/>
  <c r="BW33" i="41" s="1"/>
  <c r="BW2" i="41"/>
  <c r="BW38" i="41" s="1"/>
  <c r="BW6" i="41"/>
  <c r="BW47" i="41" s="1"/>
  <c r="BW5" i="41"/>
  <c r="BW7" i="41"/>
  <c r="BW3" i="41"/>
  <c r="BW32" i="41" s="1"/>
  <c r="BW4" i="41"/>
  <c r="BW40" i="41" s="1"/>
  <c r="BW12" i="29"/>
  <c r="BW14" i="29"/>
  <c r="BW34" i="29" s="1"/>
  <c r="BW16" i="29"/>
  <c r="BW18" i="29"/>
  <c r="BW20" i="29"/>
  <c r="BW22" i="29"/>
  <c r="BW37" i="29" s="1"/>
  <c r="BW24" i="29"/>
  <c r="BW26" i="29"/>
  <c r="BW36" i="29" s="1"/>
  <c r="BW28" i="29"/>
  <c r="BW43" i="29" s="1"/>
  <c r="BW30" i="29"/>
  <c r="BW35" i="29" s="1"/>
  <c r="BW19" i="29"/>
  <c r="BW42" i="29" s="1"/>
  <c r="BW25" i="29"/>
  <c r="BW27" i="29"/>
  <c r="BW13" i="29"/>
  <c r="BW33" i="29" s="1"/>
  <c r="BW15" i="29"/>
  <c r="BW44" i="29" s="1"/>
  <c r="BW17" i="29"/>
  <c r="BW21" i="29"/>
  <c r="BW23" i="29"/>
  <c r="BW49" i="29" s="1"/>
  <c r="BW29" i="29"/>
  <c r="CV29" i="43"/>
  <c r="CV16" i="43"/>
  <c r="CV23" i="43"/>
  <c r="CV30" i="43"/>
  <c r="CV35" i="43" s="1"/>
  <c r="CV17" i="43"/>
  <c r="CV13" i="43"/>
  <c r="CV33" i="43" s="1"/>
  <c r="CV9" i="43"/>
  <c r="CV5" i="43"/>
  <c r="CV19" i="43"/>
  <c r="CV42" i="43" s="1"/>
  <c r="CV7" i="43"/>
  <c r="CV26" i="43"/>
  <c r="CV36" i="43" s="1"/>
  <c r="CV18" i="43"/>
  <c r="CV25" i="43"/>
  <c r="CV21" i="43"/>
  <c r="CV12" i="43"/>
  <c r="CV15" i="43"/>
  <c r="CV44" i="43" s="1"/>
  <c r="CV3" i="43"/>
  <c r="CV32" i="43" s="1"/>
  <c r="CV11" i="43"/>
  <c r="CV39" i="43" s="1"/>
  <c r="CV22" i="43"/>
  <c r="CV37" i="43" s="1"/>
  <c r="CV6" i="43"/>
  <c r="CV47" i="43" s="1"/>
  <c r="CV45" i="43" s="1"/>
  <c r="CV8" i="43"/>
  <c r="CV41" i="43" s="1"/>
  <c r="CV27" i="43"/>
  <c r="CV10" i="43"/>
  <c r="CV46" i="43" s="1"/>
  <c r="CV24" i="43"/>
  <c r="CV4" i="43"/>
  <c r="CV40" i="43" s="1"/>
  <c r="CV28" i="43"/>
  <c r="CV43" i="43" s="1"/>
  <c r="CV20" i="43"/>
  <c r="CV2" i="43"/>
  <c r="CV38" i="43" s="1"/>
  <c r="CV14" i="43"/>
  <c r="CV34" i="43" s="1"/>
  <c r="CV4" i="30"/>
  <c r="CV40" i="30" s="1"/>
  <c r="CV6" i="30"/>
  <c r="CV47" i="30" s="1"/>
  <c r="CV7" i="30"/>
  <c r="CV8" i="30"/>
  <c r="CV41" i="30" s="1"/>
  <c r="CV9" i="30"/>
  <c r="CV15" i="30"/>
  <c r="CV44" i="30" s="1"/>
  <c r="CV16" i="30"/>
  <c r="CV17" i="30"/>
  <c r="CV18" i="30"/>
  <c r="CV19" i="30"/>
  <c r="CV42" i="30" s="1"/>
  <c r="CV28" i="30"/>
  <c r="CV43" i="30" s="1"/>
  <c r="CV29" i="30"/>
  <c r="CV20" i="30"/>
  <c r="CV21" i="30"/>
  <c r="CV22" i="30"/>
  <c r="CV37" i="30" s="1"/>
  <c r="CV26" i="30"/>
  <c r="CV36" i="30" s="1"/>
  <c r="CV27" i="30"/>
  <c r="CV3" i="30"/>
  <c r="CV32" i="30" s="1"/>
  <c r="CV5" i="30"/>
  <c r="CV10" i="30"/>
  <c r="CV46" i="30" s="1"/>
  <c r="CV11" i="30"/>
  <c r="CV39" i="30" s="1"/>
  <c r="CV12" i="30"/>
  <c r="CV13" i="30"/>
  <c r="CV33" i="30" s="1"/>
  <c r="CV14" i="30"/>
  <c r="CV34" i="30" s="1"/>
  <c r="CV23" i="30"/>
  <c r="CV24" i="30"/>
  <c r="CV25" i="30"/>
  <c r="CV30" i="30"/>
  <c r="CV35" i="30" s="1"/>
  <c r="CX30" i="38"/>
  <c r="CX35" i="38" s="1"/>
  <c r="BF28" i="38"/>
  <c r="BF43" i="38" s="1"/>
  <c r="CX27" i="38"/>
  <c r="BF26" i="38"/>
  <c r="BF36" i="38" s="1"/>
  <c r="CX25" i="38"/>
  <c r="BF22" i="38"/>
  <c r="BF37" i="38" s="1"/>
  <c r="CX21" i="38"/>
  <c r="BF27" i="38"/>
  <c r="CX20" i="38"/>
  <c r="BF17" i="38"/>
  <c r="CX16" i="38"/>
  <c r="BF13" i="38"/>
  <c r="BF33" i="38" s="1"/>
  <c r="CX12" i="38"/>
  <c r="BF10" i="38"/>
  <c r="BF46" i="38" s="1"/>
  <c r="CX9" i="38"/>
  <c r="BF7" i="38"/>
  <c r="CX6" i="38"/>
  <c r="CX47" i="38" s="1"/>
  <c r="BF30" i="38"/>
  <c r="BF35" i="38" s="1"/>
  <c r="BF29" i="38"/>
  <c r="CX24" i="38"/>
  <c r="CX23" i="38"/>
  <c r="CX49" i="38" s="1"/>
  <c r="CX22" i="38"/>
  <c r="CX37" i="38" s="1"/>
  <c r="BF20" i="38"/>
  <c r="CX19" i="38"/>
  <c r="CX42" i="38" s="1"/>
  <c r="CX29" i="38"/>
  <c r="BF25" i="38"/>
  <c r="BF23" i="38"/>
  <c r="BF49" i="38" s="1"/>
  <c r="CX17" i="38"/>
  <c r="CX13" i="38"/>
  <c r="CX33" i="38" s="1"/>
  <c r="CX8" i="38"/>
  <c r="CX41" i="38" s="1"/>
  <c r="CX7" i="38"/>
  <c r="BF5" i="38"/>
  <c r="BF4" i="38"/>
  <c r="BF40" i="38" s="1"/>
  <c r="CX3" i="38"/>
  <c r="CX32" i="38" s="1"/>
  <c r="BF2" i="38"/>
  <c r="BF38" i="38" s="1"/>
  <c r="T25" i="38"/>
  <c r="T20" i="38"/>
  <c r="T19" i="38"/>
  <c r="T42" i="38" s="1"/>
  <c r="T12" i="38"/>
  <c r="T6" i="38"/>
  <c r="T47" i="38" s="1"/>
  <c r="CX26" i="38"/>
  <c r="CX36" i="38" s="1"/>
  <c r="BF16" i="38"/>
  <c r="BF15" i="38"/>
  <c r="BF44" i="38" s="1"/>
  <c r="BF12" i="38"/>
  <c r="CX10" i="38"/>
  <c r="CX46" i="38" s="1"/>
  <c r="CX5" i="38"/>
  <c r="BF3" i="38"/>
  <c r="BF32" i="38" s="1"/>
  <c r="T30" i="38"/>
  <c r="T35" i="38" s="1"/>
  <c r="T29" i="38"/>
  <c r="T27" i="38"/>
  <c r="T18" i="38"/>
  <c r="T16" i="38"/>
  <c r="T14" i="38"/>
  <c r="T34" i="38" s="1"/>
  <c r="T9" i="38"/>
  <c r="T8" i="38"/>
  <c r="T41" i="38" s="1"/>
  <c r="T7" i="38"/>
  <c r="CX28" i="38"/>
  <c r="CX43" i="38" s="1"/>
  <c r="BF18" i="38"/>
  <c r="CX15" i="38"/>
  <c r="CX44" i="38" s="1"/>
  <c r="CX11" i="38"/>
  <c r="CX39" i="38" s="1"/>
  <c r="BF6" i="38"/>
  <c r="BF47" i="38" s="1"/>
  <c r="CX2" i="38"/>
  <c r="CX38" i="38" s="1"/>
  <c r="T28" i="38"/>
  <c r="T43" i="38" s="1"/>
  <c r="T17" i="38"/>
  <c r="T13" i="38"/>
  <c r="T33" i="38" s="1"/>
  <c r="T10" i="38"/>
  <c r="T46" i="38" s="1"/>
  <c r="T5" i="38"/>
  <c r="T3" i="38"/>
  <c r="T32" i="38" s="1"/>
  <c r="T2" i="38"/>
  <c r="T38" i="38" s="1"/>
  <c r="BF24" i="38"/>
  <c r="BF19" i="38"/>
  <c r="BF42" i="38" s="1"/>
  <c r="BF14" i="38"/>
  <c r="BF34" i="38" s="1"/>
  <c r="BF9" i="38"/>
  <c r="CX4" i="38"/>
  <c r="CX40" i="38" s="1"/>
  <c r="T24" i="38"/>
  <c r="T22" i="38"/>
  <c r="T37" i="38" s="1"/>
  <c r="T15" i="38"/>
  <c r="T44" i="38" s="1"/>
  <c r="BF21" i="38"/>
  <c r="CX18" i="38"/>
  <c r="CX14" i="38"/>
  <c r="CX34" i="38" s="1"/>
  <c r="BF11" i="38"/>
  <c r="BF39" i="38" s="1"/>
  <c r="T26" i="38"/>
  <c r="T36" i="38" s="1"/>
  <c r="T23" i="38"/>
  <c r="T49" i="38" s="1"/>
  <c r="T11" i="38"/>
  <c r="T39" i="38" s="1"/>
  <c r="T4" i="38"/>
  <c r="T40" i="38" s="1"/>
  <c r="T21" i="38"/>
  <c r="BF8" i="38"/>
  <c r="BF41" i="38" s="1"/>
  <c r="BO30" i="38"/>
  <c r="BO35" i="38" s="1"/>
  <c r="DG29" i="38"/>
  <c r="BO25" i="38"/>
  <c r="DG24" i="38"/>
  <c r="BO21" i="38"/>
  <c r="DG28" i="38"/>
  <c r="DG43" i="38" s="1"/>
  <c r="BO24" i="38"/>
  <c r="BO23" i="38"/>
  <c r="BO49" i="38" s="1"/>
  <c r="BO22" i="38"/>
  <c r="BO37" i="38" s="1"/>
  <c r="BO20" i="38"/>
  <c r="DG19" i="38"/>
  <c r="DG42" i="38" s="1"/>
  <c r="BO16" i="38"/>
  <c r="DG15" i="38"/>
  <c r="DG44" i="38" s="1"/>
  <c r="BO12" i="38"/>
  <c r="DG11" i="38"/>
  <c r="DG39" i="38" s="1"/>
  <c r="BO9" i="38"/>
  <c r="DG8" i="38"/>
  <c r="DG41" i="38" s="1"/>
  <c r="DG30" i="38"/>
  <c r="DG35" i="38" s="1"/>
  <c r="DG27" i="38"/>
  <c r="BO27" i="38"/>
  <c r="BO26" i="38"/>
  <c r="BO36" i="38" s="1"/>
  <c r="BO19" i="38"/>
  <c r="BO42" i="38" s="1"/>
  <c r="DG18" i="38"/>
  <c r="DG25" i="38"/>
  <c r="DG14" i="38"/>
  <c r="DG34" i="38" s="1"/>
  <c r="BO11" i="38"/>
  <c r="BO39" i="38" s="1"/>
  <c r="BO10" i="38"/>
  <c r="BO46" i="38" s="1"/>
  <c r="BO45" i="38" s="1"/>
  <c r="BO7" i="38"/>
  <c r="BO6" i="38"/>
  <c r="BO47" i="38" s="1"/>
  <c r="BO3" i="38"/>
  <c r="BO32" i="38" s="1"/>
  <c r="X25" i="38"/>
  <c r="X20" i="38"/>
  <c r="X19" i="38"/>
  <c r="X42" i="38" s="1"/>
  <c r="X12" i="38"/>
  <c r="X6" i="38"/>
  <c r="X47" i="38" s="1"/>
  <c r="DG22" i="38"/>
  <c r="DG37" i="38" s="1"/>
  <c r="DG16" i="38"/>
  <c r="DG13" i="38"/>
  <c r="DG33" i="38" s="1"/>
  <c r="DG12" i="38"/>
  <c r="DG7" i="38"/>
  <c r="BO5" i="38"/>
  <c r="DG4" i="38"/>
  <c r="DG40" i="38" s="1"/>
  <c r="DG2" i="38"/>
  <c r="DG38" i="38" s="1"/>
  <c r="X30" i="38"/>
  <c r="X35" i="38" s="1"/>
  <c r="X29" i="38"/>
  <c r="X27" i="38"/>
  <c r="X18" i="38"/>
  <c r="X16" i="38"/>
  <c r="X14" i="38"/>
  <c r="X34" i="38" s="1"/>
  <c r="X9" i="38"/>
  <c r="X8" i="38"/>
  <c r="X41" i="38" s="1"/>
  <c r="X7" i="38"/>
  <c r="DG23" i="38"/>
  <c r="DG49" i="38" s="1"/>
  <c r="BO8" i="38"/>
  <c r="BO41" i="38" s="1"/>
  <c r="BO2" i="38"/>
  <c r="BO38" i="38" s="1"/>
  <c r="X23" i="38"/>
  <c r="X49" i="38" s="1"/>
  <c r="X4" i="38"/>
  <c r="X40" i="38" s="1"/>
  <c r="BO29" i="38"/>
  <c r="BO18" i="38"/>
  <c r="BO17" i="38"/>
  <c r="BO13" i="38"/>
  <c r="BO33" i="38" s="1"/>
  <c r="DG9" i="38"/>
  <c r="DG5" i="38"/>
  <c r="BO4" i="38"/>
  <c r="BO40" i="38" s="1"/>
  <c r="DG3" i="38"/>
  <c r="DG32" i="38" s="1"/>
  <c r="X26" i="38"/>
  <c r="X36" i="38" s="1"/>
  <c r="X21" i="38"/>
  <c r="X11" i="38"/>
  <c r="X39" i="38" s="1"/>
  <c r="BO28" i="38"/>
  <c r="BO43" i="38" s="1"/>
  <c r="DG20" i="38"/>
  <c r="BO15" i="38"/>
  <c r="BO44" i="38" s="1"/>
  <c r="BO14" i="38"/>
  <c r="BO34" i="38" s="1"/>
  <c r="DG10" i="38"/>
  <c r="DG46" i="38" s="1"/>
  <c r="DG45" i="38" s="1"/>
  <c r="DG21" i="38"/>
  <c r="DG6" i="38"/>
  <c r="DG47" i="38" s="1"/>
  <c r="X13" i="38"/>
  <c r="X33" i="38" s="1"/>
  <c r="X5" i="38"/>
  <c r="X3" i="38"/>
  <c r="X32" i="38" s="1"/>
  <c r="DG26" i="38"/>
  <c r="DG36" i="38" s="1"/>
  <c r="DG17" i="38"/>
  <c r="X10" i="38"/>
  <c r="X46" i="38" s="1"/>
  <c r="X45" i="38" s="1"/>
  <c r="X17" i="38"/>
  <c r="X15" i="38"/>
  <c r="X44" i="38" s="1"/>
  <c r="X28" i="38"/>
  <c r="X43" i="38" s="1"/>
  <c r="X24" i="38"/>
  <c r="X2" i="38"/>
  <c r="X38" i="38" s="1"/>
  <c r="X22" i="38"/>
  <c r="X37" i="38" s="1"/>
  <c r="DG6" i="18"/>
  <c r="DG47" i="18" s="1"/>
  <c r="DG10" i="18"/>
  <c r="DG46" i="18" s="1"/>
  <c r="DG45" i="18" s="1"/>
  <c r="DG14" i="18"/>
  <c r="DG34" i="18" s="1"/>
  <c r="DG18" i="18"/>
  <c r="DG22" i="18"/>
  <c r="DG37" i="18" s="1"/>
  <c r="DG26" i="18"/>
  <c r="DG36" i="18" s="1"/>
  <c r="DG30" i="18"/>
  <c r="DG35" i="18" s="1"/>
  <c r="DG9" i="18"/>
  <c r="DG17" i="18"/>
  <c r="DG25" i="18"/>
  <c r="DG7" i="18"/>
  <c r="DG11" i="18"/>
  <c r="DG39" i="18" s="1"/>
  <c r="DG15" i="18"/>
  <c r="DG44" i="18" s="1"/>
  <c r="DG19" i="18"/>
  <c r="DG42" i="18" s="1"/>
  <c r="DG23" i="18"/>
  <c r="DG49" i="18" s="1"/>
  <c r="DG27" i="18"/>
  <c r="DG2" i="18"/>
  <c r="DG38" i="18" s="1"/>
  <c r="DG4" i="18"/>
  <c r="DG40" i="18" s="1"/>
  <c r="DG8" i="18"/>
  <c r="DG41" i="18" s="1"/>
  <c r="DG12" i="18"/>
  <c r="DG16" i="18"/>
  <c r="DG20" i="18"/>
  <c r="DG24" i="18"/>
  <c r="DG28" i="18"/>
  <c r="DG43" i="18" s="1"/>
  <c r="DG3" i="18"/>
  <c r="DG32" i="18" s="1"/>
  <c r="DG5" i="18"/>
  <c r="DG13" i="18"/>
  <c r="DG33" i="18" s="1"/>
  <c r="DG21" i="18"/>
  <c r="DG29" i="18"/>
  <c r="AO30" i="16"/>
  <c r="AO35" i="16" s="1"/>
  <c r="T30" i="16"/>
  <c r="T35" i="16" s="1"/>
  <c r="P30" i="16"/>
  <c r="P35" i="16" s="1"/>
  <c r="S29" i="16"/>
  <c r="R28" i="16"/>
  <c r="R43" i="16" s="1"/>
  <c r="I28" i="16"/>
  <c r="I43" i="16" s="1"/>
  <c r="AR27" i="16"/>
  <c r="Q27" i="16"/>
  <c r="AO26" i="16"/>
  <c r="AO36" i="16" s="1"/>
  <c r="T26" i="16"/>
  <c r="T36" i="16" s="1"/>
  <c r="P26" i="16"/>
  <c r="P36" i="16" s="1"/>
  <c r="S25" i="16"/>
  <c r="R24" i="16"/>
  <c r="I24" i="16"/>
  <c r="AR23" i="16"/>
  <c r="AR49" i="16" s="1"/>
  <c r="T23" i="16"/>
  <c r="T49" i="16" s="1"/>
  <c r="P23" i="16"/>
  <c r="P49" i="16" s="1"/>
  <c r="S22" i="16"/>
  <c r="S37" i="16" s="1"/>
  <c r="Q21" i="16"/>
  <c r="AO20" i="16"/>
  <c r="T20" i="16"/>
  <c r="P20" i="16"/>
  <c r="S19" i="16"/>
  <c r="S42" i="16" s="1"/>
  <c r="R18" i="16"/>
  <c r="I18" i="16"/>
  <c r="AR17" i="16"/>
  <c r="Q17" i="16"/>
  <c r="AO16" i="16"/>
  <c r="T16" i="16"/>
  <c r="P16" i="16"/>
  <c r="R15" i="16"/>
  <c r="R44" i="16" s="1"/>
  <c r="I15" i="16"/>
  <c r="I44" i="16" s="1"/>
  <c r="AR14" i="16"/>
  <c r="AR34" i="16" s="1"/>
  <c r="Q14" i="16"/>
  <c r="Q34" i="16" s="1"/>
  <c r="AO13" i="16"/>
  <c r="AO33" i="16" s="1"/>
  <c r="S13" i="16"/>
  <c r="S33" i="16" s="1"/>
  <c r="R12" i="16"/>
  <c r="I12" i="16"/>
  <c r="AR11" i="16"/>
  <c r="AR39" i="16" s="1"/>
  <c r="Q11" i="16"/>
  <c r="Q39" i="16" s="1"/>
  <c r="AO10" i="16"/>
  <c r="AO46" i="16" s="1"/>
  <c r="AO45" i="16" s="1"/>
  <c r="T10" i="16"/>
  <c r="T46" i="16" s="1"/>
  <c r="P10" i="16"/>
  <c r="P46" i="16" s="1"/>
  <c r="S9" i="16"/>
  <c r="R8" i="16"/>
  <c r="R41" i="16" s="1"/>
  <c r="I8" i="16"/>
  <c r="I41" i="16" s="1"/>
  <c r="AR7" i="16"/>
  <c r="T7" i="16"/>
  <c r="P7" i="16"/>
  <c r="S6" i="16"/>
  <c r="S47" i="16" s="1"/>
  <c r="Q5" i="16"/>
  <c r="AO4" i="16"/>
  <c r="AO40" i="16" s="1"/>
  <c r="T4" i="16"/>
  <c r="T40" i="16" s="1"/>
  <c r="P4" i="16"/>
  <c r="P40" i="16" s="1"/>
  <c r="S3" i="16"/>
  <c r="S32" i="16" s="1"/>
  <c r="S30" i="16"/>
  <c r="S35" i="16" s="1"/>
  <c r="R29" i="16"/>
  <c r="I29" i="16"/>
  <c r="AR28" i="16"/>
  <c r="AR43" i="16" s="1"/>
  <c r="Q28" i="16"/>
  <c r="Q43" i="16" s="1"/>
  <c r="AO27" i="16"/>
  <c r="T27" i="16"/>
  <c r="P27" i="16"/>
  <c r="S26" i="16"/>
  <c r="S36" i="16" s="1"/>
  <c r="R25" i="16"/>
  <c r="I25" i="16"/>
  <c r="AR24" i="16"/>
  <c r="Q24" i="16"/>
  <c r="AO23" i="16"/>
  <c r="AO49" i="16" s="1"/>
  <c r="S23" i="16"/>
  <c r="S49" i="16" s="1"/>
  <c r="R22" i="16"/>
  <c r="R37" i="16" s="1"/>
  <c r="I22" i="16"/>
  <c r="I37" i="16" s="1"/>
  <c r="AR21" i="16"/>
  <c r="T21" i="16"/>
  <c r="P21" i="16"/>
  <c r="S20" i="16"/>
  <c r="R19" i="16"/>
  <c r="R42" i="16" s="1"/>
  <c r="I19" i="16"/>
  <c r="I42" i="16" s="1"/>
  <c r="AR18" i="16"/>
  <c r="Q18" i="16"/>
  <c r="AO17" i="16"/>
  <c r="T17" i="16"/>
  <c r="P17" i="16"/>
  <c r="S16" i="16"/>
  <c r="Q15" i="16"/>
  <c r="Q44" i="16" s="1"/>
  <c r="AO14" i="16"/>
  <c r="AO34" i="16" s="1"/>
  <c r="T14" i="16"/>
  <c r="T34" i="16" s="1"/>
  <c r="P14" i="16"/>
  <c r="P34" i="16" s="1"/>
  <c r="R13" i="16"/>
  <c r="R33" i="16" s="1"/>
  <c r="I13" i="16"/>
  <c r="I33" i="16" s="1"/>
  <c r="AR12" i="16"/>
  <c r="Q12" i="16"/>
  <c r="AO11" i="16"/>
  <c r="AO39" i="16" s="1"/>
  <c r="T11" i="16"/>
  <c r="T39" i="16" s="1"/>
  <c r="P11" i="16"/>
  <c r="P39" i="16" s="1"/>
  <c r="S10" i="16"/>
  <c r="S46" i="16" s="1"/>
  <c r="S45" i="16" s="1"/>
  <c r="R9" i="16"/>
  <c r="I9" i="16"/>
  <c r="AR8" i="16"/>
  <c r="AR41" i="16" s="1"/>
  <c r="Q8" i="16"/>
  <c r="Q41" i="16" s="1"/>
  <c r="AO7" i="16"/>
  <c r="S7" i="16"/>
  <c r="R6" i="16"/>
  <c r="R47" i="16" s="1"/>
  <c r="I6" i="16"/>
  <c r="I47" i="16" s="1"/>
  <c r="AR5" i="16"/>
  <c r="T5" i="16"/>
  <c r="P5" i="16"/>
  <c r="S4" i="16"/>
  <c r="S40" i="16" s="1"/>
  <c r="R3" i="16"/>
  <c r="R32" i="16" s="1"/>
  <c r="I3" i="16"/>
  <c r="I32" i="16" s="1"/>
  <c r="AR2" i="16"/>
  <c r="AR38" i="16" s="1"/>
  <c r="Q2" i="16"/>
  <c r="Q38" i="16" s="1"/>
  <c r="R30" i="16"/>
  <c r="R35" i="16" s="1"/>
  <c r="I30" i="16"/>
  <c r="I35" i="16" s="1"/>
  <c r="Q29" i="16"/>
  <c r="P28" i="16"/>
  <c r="P43" i="16" s="1"/>
  <c r="AR25" i="16"/>
  <c r="AO24" i="16"/>
  <c r="T24" i="16"/>
  <c r="R23" i="16"/>
  <c r="R49" i="16" s="1"/>
  <c r="I23" i="16"/>
  <c r="I49" i="16" s="1"/>
  <c r="Q22" i="16"/>
  <c r="Q37" i="16" s="1"/>
  <c r="W20" i="16"/>
  <c r="AR19" i="16"/>
  <c r="AR42" i="16" s="1"/>
  <c r="AO18" i="16"/>
  <c r="T18" i="16"/>
  <c r="S17" i="16"/>
  <c r="R16" i="16"/>
  <c r="I16" i="16"/>
  <c r="P15" i="16"/>
  <c r="P44" i="16" s="1"/>
  <c r="AO12" i="16"/>
  <c r="T12" i="16"/>
  <c r="S11" i="16"/>
  <c r="S39" i="16" s="1"/>
  <c r="R10" i="16"/>
  <c r="R46" i="16" s="1"/>
  <c r="I10" i="16"/>
  <c r="I46" i="16" s="1"/>
  <c r="I45" i="16" s="1"/>
  <c r="Q9" i="16"/>
  <c r="P8" i="16"/>
  <c r="P41" i="16" s="1"/>
  <c r="AR6" i="16"/>
  <c r="AR47" i="16" s="1"/>
  <c r="AO5" i="16"/>
  <c r="S5" i="16"/>
  <c r="R4" i="16"/>
  <c r="R40" i="16" s="1"/>
  <c r="I4" i="16"/>
  <c r="I40" i="16" s="1"/>
  <c r="Q3" i="16"/>
  <c r="Q32" i="16" s="1"/>
  <c r="S2" i="16"/>
  <c r="S38" i="16" s="1"/>
  <c r="Q30" i="16"/>
  <c r="Q35" i="16" s="1"/>
  <c r="P29" i="16"/>
  <c r="AR26" i="16"/>
  <c r="AR36" i="16" s="1"/>
  <c r="AO25" i="16"/>
  <c r="T25" i="16"/>
  <c r="S24" i="16"/>
  <c r="Q23" i="16"/>
  <c r="Q49" i="16" s="1"/>
  <c r="P22" i="16"/>
  <c r="P37" i="16" s="1"/>
  <c r="AR20" i="16"/>
  <c r="AO19" i="16"/>
  <c r="AO42" i="16" s="1"/>
  <c r="T19" i="16"/>
  <c r="T42" i="16" s="1"/>
  <c r="S18" i="16"/>
  <c r="R17" i="16"/>
  <c r="I17" i="16"/>
  <c r="Q16" i="16"/>
  <c r="AR13" i="16"/>
  <c r="AR33" i="16" s="1"/>
  <c r="T13" i="16"/>
  <c r="T33" i="16" s="1"/>
  <c r="S12" i="16"/>
  <c r="R11" i="16"/>
  <c r="R39" i="16" s="1"/>
  <c r="I11" i="16"/>
  <c r="I39" i="16" s="1"/>
  <c r="Q10" i="16"/>
  <c r="Q46" i="16" s="1"/>
  <c r="P9" i="16"/>
  <c r="AO6" i="16"/>
  <c r="AO47" i="16" s="1"/>
  <c r="T6" i="16"/>
  <c r="T47" i="16" s="1"/>
  <c r="R5" i="16"/>
  <c r="I5" i="16"/>
  <c r="Q4" i="16"/>
  <c r="Q40" i="16" s="1"/>
  <c r="P3" i="16"/>
  <c r="P32" i="16" s="1"/>
  <c r="R2" i="16"/>
  <c r="R38" i="16" s="1"/>
  <c r="AR29" i="16"/>
  <c r="T28" i="16"/>
  <c r="T43" i="16" s="1"/>
  <c r="R26" i="16"/>
  <c r="R36" i="16" s="1"/>
  <c r="P24" i="16"/>
  <c r="AR22" i="16"/>
  <c r="AR37" i="16" s="1"/>
  <c r="S21" i="16"/>
  <c r="I20" i="16"/>
  <c r="Q19" i="16"/>
  <c r="Q42" i="16" s="1"/>
  <c r="AR15" i="16"/>
  <c r="AR44" i="16" s="1"/>
  <c r="S14" i="16"/>
  <c r="S34" i="16" s="1"/>
  <c r="P12" i="16"/>
  <c r="AO8" i="16"/>
  <c r="AO41" i="16" s="1"/>
  <c r="R7" i="16"/>
  <c r="AR3" i="16"/>
  <c r="AR32" i="16" s="1"/>
  <c r="AP30" i="16"/>
  <c r="AP35" i="16" s="1"/>
  <c r="Y30" i="16"/>
  <c r="Y35" i="16" s="1"/>
  <c r="Z35" i="16" s="1"/>
  <c r="AM26" i="16"/>
  <c r="AM36" i="16" s="1"/>
  <c r="AM22" i="16"/>
  <c r="AM37" i="16" s="1"/>
  <c r="Y22" i="16"/>
  <c r="AM21" i="16"/>
  <c r="Y21" i="16"/>
  <c r="AP20" i="16"/>
  <c r="Y19" i="16"/>
  <c r="AM16" i="16"/>
  <c r="Y16" i="16"/>
  <c r="Y15" i="16"/>
  <c r="AP14" i="16"/>
  <c r="AP34" i="16" s="1"/>
  <c r="Y14" i="16"/>
  <c r="Y13" i="16"/>
  <c r="AP12" i="16"/>
  <c r="Y12" i="16"/>
  <c r="AM11" i="16"/>
  <c r="AM39" i="16" s="1"/>
  <c r="AM9" i="16"/>
  <c r="Y9" i="16"/>
  <c r="AM5" i="16"/>
  <c r="Y5" i="16"/>
  <c r="AP4" i="16"/>
  <c r="AP40" i="16" s="1"/>
  <c r="Y3" i="16"/>
  <c r="Y32" i="16" s="1"/>
  <c r="Z32" i="16" s="1"/>
  <c r="AM2" i="16"/>
  <c r="AM38" i="16" s="1"/>
  <c r="AO29" i="16"/>
  <c r="S28" i="16"/>
  <c r="S43" i="16" s="1"/>
  <c r="I27" i="16"/>
  <c r="Q26" i="16"/>
  <c r="Q36" i="16" s="1"/>
  <c r="AO22" i="16"/>
  <c r="AO37" i="16" s="1"/>
  <c r="R21" i="16"/>
  <c r="P19" i="16"/>
  <c r="P42" i="16" s="1"/>
  <c r="AO15" i="16"/>
  <c r="AO44" i="16" s="1"/>
  <c r="R14" i="16"/>
  <c r="R34" i="16" s="1"/>
  <c r="AR10" i="16"/>
  <c r="AR46" i="16" s="1"/>
  <c r="AR45" i="16" s="1"/>
  <c r="T9" i="16"/>
  <c r="Q7" i="16"/>
  <c r="AO3" i="16"/>
  <c r="AO32" i="16" s="1"/>
  <c r="T2" i="16"/>
  <c r="T38" i="16" s="1"/>
  <c r="I2" i="16"/>
  <c r="I38" i="16" s="1"/>
  <c r="AM30" i="16"/>
  <c r="AM35" i="16" s="1"/>
  <c r="AP29" i="16"/>
  <c r="AP25" i="16"/>
  <c r="AP23" i="16"/>
  <c r="AP49" i="16" s="1"/>
  <c r="AM20" i="16"/>
  <c r="Y20" i="16"/>
  <c r="AM19" i="16"/>
  <c r="AM42" i="16" s="1"/>
  <c r="AP18" i="16"/>
  <c r="Y18" i="16"/>
  <c r="AM15" i="16"/>
  <c r="AM44" i="16" s="1"/>
  <c r="AM14" i="16"/>
  <c r="AM34" i="16" s="1"/>
  <c r="AM13" i="16"/>
  <c r="AM33" i="16" s="1"/>
  <c r="AM12" i="16"/>
  <c r="AP8" i="16"/>
  <c r="AP41" i="16" s="1"/>
  <c r="AP3" i="16"/>
  <c r="AP32" i="16" s="1"/>
  <c r="AO28" i="16"/>
  <c r="AO43" i="16" s="1"/>
  <c r="S27" i="16"/>
  <c r="I26" i="16"/>
  <c r="I36" i="16" s="1"/>
  <c r="AO21" i="16"/>
  <c r="R20" i="16"/>
  <c r="Q13" i="16"/>
  <c r="Q33" i="16" s="1"/>
  <c r="Q6" i="16"/>
  <c r="Q47" i="16" s="1"/>
  <c r="P2" i="16"/>
  <c r="P38" i="16" s="1"/>
  <c r="AM29" i="16"/>
  <c r="AP28" i="16"/>
  <c r="AP43" i="16" s="1"/>
  <c r="AP27" i="16"/>
  <c r="AM25" i="16"/>
  <c r="AP24" i="16"/>
  <c r="AM18" i="16"/>
  <c r="AP17" i="16"/>
  <c r="AP10" i="16"/>
  <c r="AP46" i="16" s="1"/>
  <c r="AP45" i="16" s="1"/>
  <c r="Y10" i="16"/>
  <c r="Y46" i="16" s="1"/>
  <c r="Z46" i="16" s="1"/>
  <c r="AM8" i="16"/>
  <c r="AM41" i="16" s="1"/>
  <c r="Y8" i="16"/>
  <c r="Y7" i="16"/>
  <c r="AM4" i="16"/>
  <c r="AM40" i="16" s="1"/>
  <c r="Y4" i="16"/>
  <c r="Y2" i="16"/>
  <c r="R27" i="16"/>
  <c r="Q20" i="16"/>
  <c r="P13" i="16"/>
  <c r="P33" i="16" s="1"/>
  <c r="P6" i="16"/>
  <c r="P47" i="16" s="1"/>
  <c r="AR4" i="16"/>
  <c r="AR40" i="16" s="1"/>
  <c r="T3" i="16"/>
  <c r="T32" i="16" s="1"/>
  <c r="AM28" i="16"/>
  <c r="AM43" i="16" s="1"/>
  <c r="Y28" i="16"/>
  <c r="AM27" i="16"/>
  <c r="AP26" i="16"/>
  <c r="AP36" i="16" s="1"/>
  <c r="Y26" i="16"/>
  <c r="AM24" i="16"/>
  <c r="Y23" i="16"/>
  <c r="Y49" i="16" s="1"/>
  <c r="Z49" i="16" s="1"/>
  <c r="AP19" i="16"/>
  <c r="AP42" i="16" s="1"/>
  <c r="AM17" i="16"/>
  <c r="AP16" i="16"/>
  <c r="AP13" i="16"/>
  <c r="AP33" i="16" s="1"/>
  <c r="AP11" i="16"/>
  <c r="AP39" i="16" s="1"/>
  <c r="Y11" i="16"/>
  <c r="AM10" i="16"/>
  <c r="AM46" i="16" s="1"/>
  <c r="AP2" i="16"/>
  <c r="AP38" i="16" s="1"/>
  <c r="Q25" i="16"/>
  <c r="P18" i="16"/>
  <c r="T15" i="16"/>
  <c r="T44" i="16" s="1"/>
  <c r="AR9" i="16"/>
  <c r="T8" i="16"/>
  <c r="T41" i="16" s="1"/>
  <c r="I7" i="16"/>
  <c r="AO2" i="16"/>
  <c r="AO38" i="16" s="1"/>
  <c r="I21" i="16"/>
  <c r="S15" i="16"/>
  <c r="S44" i="16" s="1"/>
  <c r="AO9" i="16"/>
  <c r="AR30" i="16"/>
  <c r="AR35" i="16" s="1"/>
  <c r="P25" i="16"/>
  <c r="I14" i="16"/>
  <c r="I34" i="16" s="1"/>
  <c r="S8" i="16"/>
  <c r="S41" i="16" s="1"/>
  <c r="AP9" i="16"/>
  <c r="AM6" i="16"/>
  <c r="AM47" i="16" s="1"/>
  <c r="T29" i="16"/>
  <c r="AP7" i="16"/>
  <c r="AR16" i="16"/>
  <c r="Y24" i="16"/>
  <c r="AP15" i="16"/>
  <c r="AP44" i="16" s="1"/>
  <c r="AM7" i="16"/>
  <c r="AP5" i="16"/>
  <c r="AM23" i="16"/>
  <c r="AM49" i="16" s="1"/>
  <c r="AP6" i="16"/>
  <c r="AP47" i="16" s="1"/>
  <c r="AM3" i="16"/>
  <c r="AM32" i="16" s="1"/>
  <c r="AP21" i="16"/>
  <c r="Y17" i="16"/>
  <c r="Y6" i="16"/>
  <c r="T22" i="16"/>
  <c r="T37" i="16" s="1"/>
  <c r="Y29" i="16"/>
  <c r="Y27" i="16"/>
  <c r="Y25" i="16"/>
  <c r="AP22" i="16"/>
  <c r="AP37" i="16" s="1"/>
  <c r="AR6" i="37"/>
  <c r="AR47" i="37" s="1"/>
  <c r="AR10" i="37"/>
  <c r="AR46" i="37" s="1"/>
  <c r="AR14" i="37"/>
  <c r="AR34" i="37" s="1"/>
  <c r="AR18" i="37"/>
  <c r="AR22" i="37"/>
  <c r="AR37" i="37" s="1"/>
  <c r="AR26" i="37"/>
  <c r="AR36" i="37" s="1"/>
  <c r="AR30" i="37"/>
  <c r="AR35" i="37" s="1"/>
  <c r="AO4" i="37"/>
  <c r="AO40" i="37" s="1"/>
  <c r="AO8" i="37"/>
  <c r="AO41" i="37" s="1"/>
  <c r="AO12" i="37"/>
  <c r="AO16" i="37"/>
  <c r="AO20" i="37"/>
  <c r="AO24" i="37"/>
  <c r="AO28" i="37"/>
  <c r="AO43" i="37" s="1"/>
  <c r="AM6" i="37"/>
  <c r="AM47" i="37" s="1"/>
  <c r="AM10" i="37"/>
  <c r="AM46" i="37" s="1"/>
  <c r="AM14" i="37"/>
  <c r="AM34" i="37" s="1"/>
  <c r="AM18" i="37"/>
  <c r="AM22" i="37"/>
  <c r="AM37" i="37" s="1"/>
  <c r="AM26" i="37"/>
  <c r="AM36" i="37" s="1"/>
  <c r="AM30" i="37"/>
  <c r="AM35" i="37" s="1"/>
  <c r="AP6" i="37"/>
  <c r="AP47" i="37" s="1"/>
  <c r="AP10" i="37"/>
  <c r="AP46" i="37" s="1"/>
  <c r="AP14" i="37"/>
  <c r="AP34" i="37" s="1"/>
  <c r="AP18" i="37"/>
  <c r="AP22" i="37"/>
  <c r="AP37" i="37" s="1"/>
  <c r="AP26" i="37"/>
  <c r="AP36" i="37" s="1"/>
  <c r="AP30" i="37"/>
  <c r="AP35" i="37" s="1"/>
  <c r="P3" i="37"/>
  <c r="P32" i="37" s="1"/>
  <c r="T3" i="37"/>
  <c r="T32" i="37" s="1"/>
  <c r="S4" i="37"/>
  <c r="S40" i="37" s="1"/>
  <c r="R5" i="37"/>
  <c r="Q6" i="37"/>
  <c r="Q47" i="37" s="1"/>
  <c r="P7" i="37"/>
  <c r="T7" i="37"/>
  <c r="S8" i="37"/>
  <c r="S41" i="37" s="1"/>
  <c r="R9" i="37"/>
  <c r="Q10" i="37"/>
  <c r="Q46" i="37" s="1"/>
  <c r="P11" i="37"/>
  <c r="P39" i="37" s="1"/>
  <c r="T11" i="37"/>
  <c r="T39" i="37" s="1"/>
  <c r="S12" i="37"/>
  <c r="R13" i="37"/>
  <c r="R33" i="37" s="1"/>
  <c r="Q14" i="37"/>
  <c r="Q34" i="37" s="1"/>
  <c r="P15" i="37"/>
  <c r="P44" i="37" s="1"/>
  <c r="T15" i="37"/>
  <c r="T44" i="37" s="1"/>
  <c r="S16" i="37"/>
  <c r="R17" i="37"/>
  <c r="Q18" i="37"/>
  <c r="P19" i="37"/>
  <c r="P42" i="37" s="1"/>
  <c r="T19" i="37"/>
  <c r="T42" i="37" s="1"/>
  <c r="S20" i="37"/>
  <c r="R21" i="37"/>
  <c r="Q22" i="37"/>
  <c r="Q37" i="37" s="1"/>
  <c r="P23" i="37"/>
  <c r="P49" i="37" s="1"/>
  <c r="T23" i="37"/>
  <c r="T49" i="37" s="1"/>
  <c r="S24" i="37"/>
  <c r="R25" i="37"/>
  <c r="Q26" i="37"/>
  <c r="Q36" i="37" s="1"/>
  <c r="P27" i="37"/>
  <c r="T27" i="37"/>
  <c r="S28" i="37"/>
  <c r="S43" i="37" s="1"/>
  <c r="R29" i="37"/>
  <c r="Q30" i="37"/>
  <c r="Q35" i="37" s="1"/>
  <c r="T2" i="37"/>
  <c r="T38" i="37" s="1"/>
  <c r="S2" i="37"/>
  <c r="S38" i="37" s="1"/>
  <c r="I5" i="37"/>
  <c r="I9" i="37"/>
  <c r="I13" i="37"/>
  <c r="I33" i="37" s="1"/>
  <c r="I17" i="37"/>
  <c r="I21" i="37"/>
  <c r="I25" i="37"/>
  <c r="I29" i="37"/>
  <c r="W17" i="37"/>
  <c r="W7" i="37"/>
  <c r="AR3" i="37"/>
  <c r="AR32" i="37" s="1"/>
  <c r="AR7" i="37"/>
  <c r="AR11" i="37"/>
  <c r="AR39" i="37" s="1"/>
  <c r="AR15" i="37"/>
  <c r="AR44" i="37" s="1"/>
  <c r="AR19" i="37"/>
  <c r="AR42" i="37" s="1"/>
  <c r="AR23" i="37"/>
  <c r="AR49" i="37" s="1"/>
  <c r="AR27" i="37"/>
  <c r="AR2" i="37"/>
  <c r="AR38" i="37" s="1"/>
  <c r="AO5" i="37"/>
  <c r="AO9" i="37"/>
  <c r="AO13" i="37"/>
  <c r="AO33" i="37" s="1"/>
  <c r="AO17" i="37"/>
  <c r="AO21" i="37"/>
  <c r="AO25" i="37"/>
  <c r="AO29" i="37"/>
  <c r="AM3" i="37"/>
  <c r="AM32" i="37" s="1"/>
  <c r="AM7" i="37"/>
  <c r="AM11" i="37"/>
  <c r="AM39" i="37" s="1"/>
  <c r="AM15" i="37"/>
  <c r="AM44" i="37" s="1"/>
  <c r="AM19" i="37"/>
  <c r="AM42" i="37" s="1"/>
  <c r="AM23" i="37"/>
  <c r="AM49" i="37" s="1"/>
  <c r="AM27" i="37"/>
  <c r="AP3" i="37"/>
  <c r="AP32" i="37" s="1"/>
  <c r="AP7" i="37"/>
  <c r="AP11" i="37"/>
  <c r="AP39" i="37" s="1"/>
  <c r="AP15" i="37"/>
  <c r="AP44" i="37" s="1"/>
  <c r="AP19" i="37"/>
  <c r="AP42" i="37" s="1"/>
  <c r="AP23" i="37"/>
  <c r="AP49" i="37" s="1"/>
  <c r="AP27" i="37"/>
  <c r="AP2" i="37"/>
  <c r="AP38" i="37" s="1"/>
  <c r="Q3" i="37"/>
  <c r="Q32" i="37" s="1"/>
  <c r="P4" i="37"/>
  <c r="P40" i="37" s="1"/>
  <c r="T4" i="37"/>
  <c r="T40" i="37" s="1"/>
  <c r="S5" i="37"/>
  <c r="R6" i="37"/>
  <c r="R47" i="37" s="1"/>
  <c r="Q7" i="37"/>
  <c r="P8" i="37"/>
  <c r="P41" i="37" s="1"/>
  <c r="T8" i="37"/>
  <c r="T41" i="37" s="1"/>
  <c r="S9" i="37"/>
  <c r="R10" i="37"/>
  <c r="R46" i="37" s="1"/>
  <c r="Q11" i="37"/>
  <c r="Q39" i="37" s="1"/>
  <c r="P12" i="37"/>
  <c r="T12" i="37"/>
  <c r="S13" i="37"/>
  <c r="S33" i="37" s="1"/>
  <c r="R14" i="37"/>
  <c r="R34" i="37" s="1"/>
  <c r="Q15" i="37"/>
  <c r="Q44" i="37" s="1"/>
  <c r="P16" i="37"/>
  <c r="T16" i="37"/>
  <c r="S17" i="37"/>
  <c r="R18" i="37"/>
  <c r="Q19" i="37"/>
  <c r="Q42" i="37" s="1"/>
  <c r="P20" i="37"/>
  <c r="T20" i="37"/>
  <c r="S21" i="37"/>
  <c r="R22" i="37"/>
  <c r="R37" i="37" s="1"/>
  <c r="Q23" i="37"/>
  <c r="Q49" i="37" s="1"/>
  <c r="P24" i="37"/>
  <c r="T24" i="37"/>
  <c r="S25" i="37"/>
  <c r="R26" i="37"/>
  <c r="R36" i="37" s="1"/>
  <c r="Q27" i="37"/>
  <c r="P28" i="37"/>
  <c r="P43" i="37" s="1"/>
  <c r="T28" i="37"/>
  <c r="T43" i="37" s="1"/>
  <c r="S29" i="37"/>
  <c r="R30" i="37"/>
  <c r="R35" i="37" s="1"/>
  <c r="P2" i="37"/>
  <c r="P38" i="37" s="1"/>
  <c r="I2" i="37"/>
  <c r="I38" i="37" s="1"/>
  <c r="I6" i="37"/>
  <c r="I47" i="37" s="1"/>
  <c r="I10" i="37"/>
  <c r="I46" i="37" s="1"/>
  <c r="I14" i="37"/>
  <c r="I34" i="37" s="1"/>
  <c r="I18" i="37"/>
  <c r="I22" i="37"/>
  <c r="I37" i="37" s="1"/>
  <c r="I26" i="37"/>
  <c r="I36" i="37" s="1"/>
  <c r="I30" i="37"/>
  <c r="I35" i="37" s="1"/>
  <c r="AR9" i="37"/>
  <c r="AR17" i="37"/>
  <c r="AR25" i="37"/>
  <c r="AO3" i="37"/>
  <c r="AO32" i="37" s="1"/>
  <c r="AO11" i="37"/>
  <c r="AO39" i="37" s="1"/>
  <c r="AO19" i="37"/>
  <c r="AO42" i="37" s="1"/>
  <c r="AO27" i="37"/>
  <c r="AM5" i="37"/>
  <c r="AM13" i="37"/>
  <c r="AM33" i="37" s="1"/>
  <c r="AM21" i="37"/>
  <c r="AM29" i="37"/>
  <c r="AP9" i="37"/>
  <c r="AP17" i="37"/>
  <c r="AP25" i="37"/>
  <c r="R4" i="37"/>
  <c r="R40" i="37" s="1"/>
  <c r="P6" i="37"/>
  <c r="P47" i="37" s="1"/>
  <c r="S7" i="37"/>
  <c r="Q9" i="37"/>
  <c r="T10" i="37"/>
  <c r="T46" i="37" s="1"/>
  <c r="R12" i="37"/>
  <c r="P14" i="37"/>
  <c r="P34" i="37" s="1"/>
  <c r="S15" i="37"/>
  <c r="S44" i="37" s="1"/>
  <c r="Q17" i="37"/>
  <c r="T18" i="37"/>
  <c r="R20" i="37"/>
  <c r="P22" i="37"/>
  <c r="P37" i="37" s="1"/>
  <c r="S23" i="37"/>
  <c r="S49" i="37" s="1"/>
  <c r="Q25" i="37"/>
  <c r="T26" i="37"/>
  <c r="T36" i="37" s="1"/>
  <c r="R28" i="37"/>
  <c r="R43" i="37" s="1"/>
  <c r="P30" i="37"/>
  <c r="P35" i="37" s="1"/>
  <c r="R2" i="37"/>
  <c r="R38" i="37" s="1"/>
  <c r="I8" i="37"/>
  <c r="I41" i="37" s="1"/>
  <c r="I16" i="37"/>
  <c r="I24" i="37"/>
  <c r="Y21" i="37"/>
  <c r="Y17" i="37"/>
  <c r="Y13" i="37"/>
  <c r="Y33" i="37" s="1"/>
  <c r="Z33" i="37" s="1"/>
  <c r="Y9" i="37"/>
  <c r="Y5" i="37"/>
  <c r="AR8" i="37"/>
  <c r="AR41" i="37" s="1"/>
  <c r="AR24" i="37"/>
  <c r="AO10" i="37"/>
  <c r="AO46" i="37" s="1"/>
  <c r="AP8" i="37"/>
  <c r="AP41" i="37" s="1"/>
  <c r="T5" i="37"/>
  <c r="Q12" i="37"/>
  <c r="Q20" i="37"/>
  <c r="R23" i="37"/>
  <c r="R49" i="37" s="1"/>
  <c r="S26" i="37"/>
  <c r="S36" i="37" s="1"/>
  <c r="T29" i="37"/>
  <c r="I7" i="37"/>
  <c r="I23" i="37"/>
  <c r="I49" i="37" s="1"/>
  <c r="Y25" i="37"/>
  <c r="Y22" i="37"/>
  <c r="Y37" i="37" s="1"/>
  <c r="Z37" i="37" s="1"/>
  <c r="Y14" i="37"/>
  <c r="Y34" i="37" s="1"/>
  <c r="Z34" i="37" s="1"/>
  <c r="Y2" i="37"/>
  <c r="Y38" i="37" s="1"/>
  <c r="Z38" i="37" s="1"/>
  <c r="AR4" i="37"/>
  <c r="AR40" i="37" s="1"/>
  <c r="AR12" i="37"/>
  <c r="AR20" i="37"/>
  <c r="AR28" i="37"/>
  <c r="AR43" i="37" s="1"/>
  <c r="AO6" i="37"/>
  <c r="AO47" i="37" s="1"/>
  <c r="AO14" i="37"/>
  <c r="AO34" i="37" s="1"/>
  <c r="AO22" i="37"/>
  <c r="AO37" i="37" s="1"/>
  <c r="AO30" i="37"/>
  <c r="AO35" i="37" s="1"/>
  <c r="AM8" i="37"/>
  <c r="AM41" i="37" s="1"/>
  <c r="AM16" i="37"/>
  <c r="AM24" i="37"/>
  <c r="AP4" i="37"/>
  <c r="AP40" i="37" s="1"/>
  <c r="AP12" i="37"/>
  <c r="AP20" i="37"/>
  <c r="AP28" i="37"/>
  <c r="AP43" i="37" s="1"/>
  <c r="R3" i="37"/>
  <c r="R32" i="37" s="1"/>
  <c r="P5" i="37"/>
  <c r="S6" i="37"/>
  <c r="S47" i="37" s="1"/>
  <c r="Q8" i="37"/>
  <c r="Q41" i="37" s="1"/>
  <c r="T9" i="37"/>
  <c r="R11" i="37"/>
  <c r="R39" i="37" s="1"/>
  <c r="P13" i="37"/>
  <c r="P33" i="37" s="1"/>
  <c r="S14" i="37"/>
  <c r="S34" i="37" s="1"/>
  <c r="Q16" i="37"/>
  <c r="T17" i="37"/>
  <c r="R19" i="37"/>
  <c r="R42" i="37" s="1"/>
  <c r="P21" i="37"/>
  <c r="S22" i="37"/>
  <c r="S37" i="37" s="1"/>
  <c r="Q24" i="37"/>
  <c r="T25" i="37"/>
  <c r="R27" i="37"/>
  <c r="P29" i="37"/>
  <c r="S30" i="37"/>
  <c r="S35" i="37" s="1"/>
  <c r="I3" i="37"/>
  <c r="I32" i="37" s="1"/>
  <c r="I11" i="37"/>
  <c r="I39" i="37" s="1"/>
  <c r="I19" i="37"/>
  <c r="I42" i="37" s="1"/>
  <c r="I27" i="37"/>
  <c r="Y30" i="37"/>
  <c r="Y35" i="37" s="1"/>
  <c r="Z35" i="37" s="1"/>
  <c r="Y28" i="37"/>
  <c r="Y43" i="37" s="1"/>
  <c r="Z43" i="37" s="1"/>
  <c r="Y26" i="37"/>
  <c r="Y36" i="37" s="1"/>
  <c r="Z36" i="37" s="1"/>
  <c r="Y24" i="37"/>
  <c r="Y20" i="37"/>
  <c r="Y16" i="37"/>
  <c r="Y12" i="37"/>
  <c r="Y8" i="37"/>
  <c r="Y41" i="37" s="1"/>
  <c r="Z41" i="37" s="1"/>
  <c r="Y4" i="37"/>
  <c r="Y40" i="37" s="1"/>
  <c r="Z40" i="37" s="1"/>
  <c r="AO26" i="37"/>
  <c r="AO36" i="37" s="1"/>
  <c r="AM4" i="37"/>
  <c r="AM40" i="37" s="1"/>
  <c r="AM20" i="37"/>
  <c r="AP16" i="37"/>
  <c r="AM2" i="37"/>
  <c r="AM38" i="37" s="1"/>
  <c r="R7" i="37"/>
  <c r="S10" i="37"/>
  <c r="S46" i="37" s="1"/>
  <c r="S45" i="37" s="1"/>
  <c r="R15" i="37"/>
  <c r="R44" i="37" s="1"/>
  <c r="S18" i="37"/>
  <c r="AR5" i="37"/>
  <c r="AR13" i="37"/>
  <c r="AR33" i="37" s="1"/>
  <c r="AR21" i="37"/>
  <c r="AR29" i="37"/>
  <c r="AO7" i="37"/>
  <c r="AO15" i="37"/>
  <c r="AO44" i="37" s="1"/>
  <c r="AO23" i="37"/>
  <c r="AO49" i="37" s="1"/>
  <c r="AM9" i="37"/>
  <c r="AM17" i="37"/>
  <c r="AM25" i="37"/>
  <c r="AP5" i="37"/>
  <c r="AP13" i="37"/>
  <c r="AP33" i="37" s="1"/>
  <c r="AP21" i="37"/>
  <c r="AP29" i="37"/>
  <c r="S3" i="37"/>
  <c r="S32" i="37" s="1"/>
  <c r="Q5" i="37"/>
  <c r="T6" i="37"/>
  <c r="T47" i="37" s="1"/>
  <c r="R8" i="37"/>
  <c r="R41" i="37" s="1"/>
  <c r="P10" i="37"/>
  <c r="P46" i="37" s="1"/>
  <c r="P45" i="37" s="1"/>
  <c r="S11" i="37"/>
  <c r="S39" i="37" s="1"/>
  <c r="Q13" i="37"/>
  <c r="Q33" i="37" s="1"/>
  <c r="T14" i="37"/>
  <c r="T34" i="37" s="1"/>
  <c r="R16" i="37"/>
  <c r="P18" i="37"/>
  <c r="S19" i="37"/>
  <c r="S42" i="37" s="1"/>
  <c r="Q21" i="37"/>
  <c r="T22" i="37"/>
  <c r="T37" i="37" s="1"/>
  <c r="R24" i="37"/>
  <c r="P26" i="37"/>
  <c r="P36" i="37" s="1"/>
  <c r="S27" i="37"/>
  <c r="Q29" i="37"/>
  <c r="T30" i="37"/>
  <c r="T35" i="37" s="1"/>
  <c r="I4" i="37"/>
  <c r="I40" i="37" s="1"/>
  <c r="I12" i="37"/>
  <c r="I20" i="37"/>
  <c r="I28" i="37"/>
  <c r="I43" i="37" s="1"/>
  <c r="Y23" i="37"/>
  <c r="Y49" i="37" s="1"/>
  <c r="Y19" i="37"/>
  <c r="Y42" i="37" s="1"/>
  <c r="Z42" i="37" s="1"/>
  <c r="Y15" i="37"/>
  <c r="Y44" i="37" s="1"/>
  <c r="Z44" i="37" s="1"/>
  <c r="Y11" i="37"/>
  <c r="Y39" i="37" s="1"/>
  <c r="Z39" i="37" s="1"/>
  <c r="Y7" i="37"/>
  <c r="Y3" i="37"/>
  <c r="Y32" i="37" s="1"/>
  <c r="Z32" i="37" s="1"/>
  <c r="AR16" i="37"/>
  <c r="AO2" i="37"/>
  <c r="AO38" i="37" s="1"/>
  <c r="AO18" i="37"/>
  <c r="AM12" i="37"/>
  <c r="AM28" i="37"/>
  <c r="AM43" i="37" s="1"/>
  <c r="AP24" i="37"/>
  <c r="Q4" i="37"/>
  <c r="Q40" i="37" s="1"/>
  <c r="P9" i="37"/>
  <c r="T13" i="37"/>
  <c r="T33" i="37" s="1"/>
  <c r="P17" i="37"/>
  <c r="T21" i="37"/>
  <c r="P25" i="37"/>
  <c r="Q28" i="37"/>
  <c r="Q43" i="37" s="1"/>
  <c r="Q2" i="37"/>
  <c r="Q38" i="37" s="1"/>
  <c r="I15" i="37"/>
  <c r="I44" i="37" s="1"/>
  <c r="Y29" i="37"/>
  <c r="Y27" i="37"/>
  <c r="Y18" i="37"/>
  <c r="Y10" i="37"/>
  <c r="Y46" i="37" s="1"/>
  <c r="Y6" i="37"/>
  <c r="Y47" i="37" s="1"/>
  <c r="Z47" i="37" s="1"/>
  <c r="AN21" i="16"/>
  <c r="AQ25" i="16"/>
  <c r="AQ2" i="16"/>
  <c r="AQ38" i="16" s="1"/>
  <c r="AQ10" i="16"/>
  <c r="AQ46" i="16" s="1"/>
  <c r="AN14" i="16"/>
  <c r="AN34" i="16" s="1"/>
  <c r="AN22" i="16"/>
  <c r="AN37" i="16" s="1"/>
  <c r="AQ30" i="16"/>
  <c r="AQ35" i="16" s="1"/>
  <c r="AQ23" i="16"/>
  <c r="AQ49" i="16" s="1"/>
  <c r="AN27" i="16"/>
  <c r="AN4" i="16"/>
  <c r="AN40" i="16" s="1"/>
  <c r="AQ16" i="16"/>
  <c r="AN20" i="16"/>
  <c r="AQ28" i="16"/>
  <c r="AQ43" i="16" s="1"/>
  <c r="AN9" i="16"/>
  <c r="AQ13" i="16"/>
  <c r="AQ33" i="16" s="1"/>
  <c r="AN25" i="16"/>
  <c r="AN29" i="16"/>
  <c r="AQ14" i="16"/>
  <c r="AQ34" i="16" s="1"/>
  <c r="AN30" i="16"/>
  <c r="AN35" i="16" s="1"/>
  <c r="AQ3" i="16"/>
  <c r="AQ32" i="16" s="1"/>
  <c r="AQ7" i="16"/>
  <c r="AQ11" i="16"/>
  <c r="AQ39" i="16" s="1"/>
  <c r="AQ15" i="16"/>
  <c r="AQ44" i="16" s="1"/>
  <c r="AQ19" i="16"/>
  <c r="AQ42" i="16" s="1"/>
  <c r="AN23" i="16"/>
  <c r="AN49" i="16" s="1"/>
  <c r="AQ27" i="16"/>
  <c r="AQ4" i="16"/>
  <c r="AQ40" i="16" s="1"/>
  <c r="AN8" i="16"/>
  <c r="AN41" i="16" s="1"/>
  <c r="AQ5" i="16"/>
  <c r="AN13" i="16"/>
  <c r="AN33" i="16" s="1"/>
  <c r="AQ17" i="16"/>
  <c r="AQ29" i="16"/>
  <c r="AN6" i="16"/>
  <c r="AN47" i="16" s="1"/>
  <c r="AN18" i="16"/>
  <c r="AQ22" i="16"/>
  <c r="AQ37" i="16" s="1"/>
  <c r="AQ26" i="16"/>
  <c r="AQ36" i="16" s="1"/>
  <c r="AN3" i="16"/>
  <c r="AN32" i="16" s="1"/>
  <c r="AN7" i="16"/>
  <c r="AN11" i="16"/>
  <c r="AN39" i="16" s="1"/>
  <c r="AN15" i="16"/>
  <c r="AN44" i="16" s="1"/>
  <c r="AQ8" i="16"/>
  <c r="AQ41" i="16" s="1"/>
  <c r="AN12" i="16"/>
  <c r="AN5" i="16"/>
  <c r="AQ9" i="16"/>
  <c r="AN26" i="16"/>
  <c r="AN36" i="16" s="1"/>
  <c r="AN28" i="16"/>
  <c r="AN43" i="16" s="1"/>
  <c r="AN17" i="16"/>
  <c r="AQ21" i="16"/>
  <c r="AN2" i="16"/>
  <c r="AN38" i="16" s="1"/>
  <c r="AN19" i="16"/>
  <c r="AN42" i="16" s="1"/>
  <c r="AQ12" i="16"/>
  <c r="AN16" i="16"/>
  <c r="AQ6" i="16"/>
  <c r="AQ47" i="16" s="1"/>
  <c r="AN10" i="16"/>
  <c r="AN46" i="16" s="1"/>
  <c r="AQ20" i="16"/>
  <c r="AN24" i="16"/>
  <c r="AQ18" i="16"/>
  <c r="AQ24" i="16"/>
  <c r="AN3" i="37"/>
  <c r="AN32" i="37" s="1"/>
  <c r="AQ10" i="37"/>
  <c r="AQ46" i="37" s="1"/>
  <c r="AQ14" i="37"/>
  <c r="AQ34" i="37" s="1"/>
  <c r="AQ18" i="37"/>
  <c r="AQ22" i="37"/>
  <c r="AQ37" i="37" s="1"/>
  <c r="AQ26" i="37"/>
  <c r="AQ36" i="37" s="1"/>
  <c r="AQ30" i="37"/>
  <c r="AQ35" i="37" s="1"/>
  <c r="AQ5" i="37"/>
  <c r="AQ9" i="37"/>
  <c r="AQ13" i="37"/>
  <c r="AQ33" i="37" s="1"/>
  <c r="AQ17" i="37"/>
  <c r="AQ21" i="37"/>
  <c r="AQ25" i="37"/>
  <c r="AQ29" i="37"/>
  <c r="AN4" i="37"/>
  <c r="AN40" i="37" s="1"/>
  <c r="AN8" i="37"/>
  <c r="AN41" i="37" s="1"/>
  <c r="AN12" i="37"/>
  <c r="AN16" i="37"/>
  <c r="AN20" i="37"/>
  <c r="AN24" i="37"/>
  <c r="AN28" i="37"/>
  <c r="AN43" i="37" s="1"/>
  <c r="AQ7" i="37"/>
  <c r="AQ11" i="37"/>
  <c r="AQ39" i="37" s="1"/>
  <c r="AQ15" i="37"/>
  <c r="AQ44" i="37" s="1"/>
  <c r="AQ19" i="37"/>
  <c r="AQ42" i="37" s="1"/>
  <c r="AQ23" i="37"/>
  <c r="AQ49" i="37" s="1"/>
  <c r="AQ27" i="37"/>
  <c r="AQ2" i="37"/>
  <c r="AQ38" i="37" s="1"/>
  <c r="AQ6" i="37"/>
  <c r="AQ47" i="37" s="1"/>
  <c r="AN10" i="37"/>
  <c r="AN46" i="37" s="1"/>
  <c r="AN14" i="37"/>
  <c r="AN34" i="37" s="1"/>
  <c r="AN18" i="37"/>
  <c r="AN22" i="37"/>
  <c r="AN37" i="37" s="1"/>
  <c r="AN26" i="37"/>
  <c r="AN36" i="37" s="1"/>
  <c r="AN30" i="37"/>
  <c r="AN35" i="37" s="1"/>
  <c r="AN5" i="37"/>
  <c r="AN9" i="37"/>
  <c r="AN13" i="37"/>
  <c r="AN33" i="37" s="1"/>
  <c r="AN17" i="37"/>
  <c r="AN21" i="37"/>
  <c r="AN25" i="37"/>
  <c r="AN29" i="37"/>
  <c r="AQ4" i="37"/>
  <c r="AQ40" i="37" s="1"/>
  <c r="AQ8" i="37"/>
  <c r="AQ41" i="37" s="1"/>
  <c r="AQ12" i="37"/>
  <c r="AQ16" i="37"/>
  <c r="AQ20" i="37"/>
  <c r="AQ24" i="37"/>
  <c r="AQ28" i="37"/>
  <c r="AQ43" i="37" s="1"/>
  <c r="AN7" i="37"/>
  <c r="AN11" i="37"/>
  <c r="AN39" i="37" s="1"/>
  <c r="AN15" i="37"/>
  <c r="AN44" i="37" s="1"/>
  <c r="AN19" i="37"/>
  <c r="AN42" i="37" s="1"/>
  <c r="AN23" i="37"/>
  <c r="AN49" i="37" s="1"/>
  <c r="AN27" i="37"/>
  <c r="AN2" i="37"/>
  <c r="AN38" i="37" s="1"/>
  <c r="AN6" i="37"/>
  <c r="AN47" i="37" s="1"/>
  <c r="AN45" i="37" s="1"/>
  <c r="AQ3" i="37"/>
  <c r="AQ32" i="37" s="1"/>
  <c r="AJ29" i="32"/>
  <c r="AJ30" i="32"/>
  <c r="AJ35" i="32" s="1"/>
  <c r="AA30" i="32"/>
  <c r="AA35" i="32" s="1"/>
  <c r="J29" i="32"/>
  <c r="AJ28" i="32"/>
  <c r="AJ43" i="32" s="1"/>
  <c r="AA28" i="32"/>
  <c r="AA43" i="32" s="1"/>
  <c r="J27" i="32"/>
  <c r="AJ26" i="32"/>
  <c r="AJ36" i="32" s="1"/>
  <c r="AJ24" i="32"/>
  <c r="J24" i="32"/>
  <c r="J23" i="32"/>
  <c r="J49" i="32" s="1"/>
  <c r="AJ20" i="32"/>
  <c r="AJ18" i="32"/>
  <c r="J18" i="32"/>
  <c r="AJ17" i="32"/>
  <c r="AA15" i="32"/>
  <c r="AA44" i="32" s="1"/>
  <c r="J14" i="32"/>
  <c r="J34" i="32" s="1"/>
  <c r="AJ10" i="32"/>
  <c r="AJ46" i="32" s="1"/>
  <c r="AJ9" i="32"/>
  <c r="AA9" i="32"/>
  <c r="J6" i="32"/>
  <c r="J47" i="32" s="1"/>
  <c r="AA5" i="32"/>
  <c r="AA29" i="32"/>
  <c r="J28" i="32"/>
  <c r="J43" i="32" s="1"/>
  <c r="AJ27" i="32"/>
  <c r="AA24" i="32"/>
  <c r="AJ23" i="32"/>
  <c r="AJ49" i="32" s="1"/>
  <c r="AA23" i="32"/>
  <c r="AA49" i="32" s="1"/>
  <c r="J17" i="32"/>
  <c r="AJ13" i="32"/>
  <c r="AJ33" i="32" s="1"/>
  <c r="AA13" i="32"/>
  <c r="AA33" i="32" s="1"/>
  <c r="J12" i="32"/>
  <c r="J10" i="32"/>
  <c r="J46" i="32" s="1"/>
  <c r="J8" i="32"/>
  <c r="J41" i="32" s="1"/>
  <c r="AA6" i="32"/>
  <c r="AA47" i="32" s="1"/>
  <c r="AJ5" i="32"/>
  <c r="AA25" i="32"/>
  <c r="AA21" i="32"/>
  <c r="AA20" i="32"/>
  <c r="AJ19" i="32"/>
  <c r="AJ42" i="32" s="1"/>
  <c r="AA18" i="32"/>
  <c r="J13" i="32"/>
  <c r="J33" i="32" s="1"/>
  <c r="AJ12" i="32"/>
  <c r="AA7" i="32"/>
  <c r="AJ6" i="32"/>
  <c r="AJ47" i="32" s="1"/>
  <c r="AA4" i="32"/>
  <c r="AA40" i="32" s="1"/>
  <c r="AA3" i="32"/>
  <c r="AA32" i="32" s="1"/>
  <c r="AA2" i="32"/>
  <c r="AA38" i="32" s="1"/>
  <c r="AJ25" i="32"/>
  <c r="J19" i="32"/>
  <c r="J42" i="32" s="1"/>
  <c r="AJ16" i="32"/>
  <c r="AJ15" i="32"/>
  <c r="AJ44" i="32" s="1"/>
  <c r="J15" i="32"/>
  <c r="J44" i="32" s="1"/>
  <c r="AA11" i="32"/>
  <c r="AA39" i="32" s="1"/>
  <c r="AJ8" i="32"/>
  <c r="AJ41" i="32" s="1"/>
  <c r="AA8" i="32"/>
  <c r="AA41" i="32" s="1"/>
  <c r="J3" i="32"/>
  <c r="J32" i="32" s="1"/>
  <c r="AA27" i="32"/>
  <c r="AA26" i="32"/>
  <c r="AA36" i="32" s="1"/>
  <c r="J25" i="32"/>
  <c r="AJ21" i="32"/>
  <c r="AA14" i="32"/>
  <c r="AA34" i="32" s="1"/>
  <c r="AA12" i="32"/>
  <c r="J11" i="32"/>
  <c r="J39" i="32" s="1"/>
  <c r="AA10" i="32"/>
  <c r="AA46" i="32" s="1"/>
  <c r="AJ3" i="32"/>
  <c r="AJ32" i="32" s="1"/>
  <c r="J2" i="32"/>
  <c r="J38" i="32" s="1"/>
  <c r="J26" i="32"/>
  <c r="J36" i="32" s="1"/>
  <c r="AA22" i="32"/>
  <c r="AA37" i="32" s="1"/>
  <c r="J20" i="32"/>
  <c r="AA17" i="32"/>
  <c r="AA16" i="32"/>
  <c r="AJ14" i="32"/>
  <c r="AJ34" i="32" s="1"/>
  <c r="AJ7" i="32"/>
  <c r="J5" i="32"/>
  <c r="AJ2" i="32"/>
  <c r="AJ38" i="32" s="1"/>
  <c r="AJ11" i="32"/>
  <c r="AJ39" i="32" s="1"/>
  <c r="J7" i="32"/>
  <c r="J4" i="32"/>
  <c r="J40" i="32" s="1"/>
  <c r="J22" i="32"/>
  <c r="J37" i="32" s="1"/>
  <c r="AA19" i="32"/>
  <c r="AA42" i="32" s="1"/>
  <c r="J16" i="32"/>
  <c r="J9" i="32"/>
  <c r="J30" i="32"/>
  <c r="J35" i="32" s="1"/>
  <c r="J21" i="32"/>
  <c r="AJ4" i="32"/>
  <c r="AJ40" i="32" s="1"/>
  <c r="AJ22" i="32"/>
  <c r="AJ37" i="32" s="1"/>
  <c r="AC30" i="42"/>
  <c r="AC29" i="42"/>
  <c r="AB29" i="42" s="1"/>
  <c r="AC28" i="42"/>
  <c r="AC27" i="42"/>
  <c r="AC26" i="42"/>
  <c r="AC25" i="42"/>
  <c r="AC24" i="42"/>
  <c r="AC23" i="42"/>
  <c r="AC22" i="42"/>
  <c r="AC21" i="42"/>
  <c r="AC20" i="42"/>
  <c r="AC19" i="42"/>
  <c r="AC5" i="42"/>
  <c r="AB5" i="42" s="1"/>
  <c r="AC4" i="42"/>
  <c r="AC3" i="42"/>
  <c r="AC2" i="42"/>
  <c r="AC17" i="42"/>
  <c r="AC15" i="42"/>
  <c r="AC13" i="42"/>
  <c r="AC11" i="42"/>
  <c r="AC9" i="42"/>
  <c r="AC7" i="42"/>
  <c r="AC18" i="42"/>
  <c r="AC16" i="42"/>
  <c r="AC14" i="42"/>
  <c r="AC12" i="42"/>
  <c r="AB12" i="42" s="1"/>
  <c r="AC10" i="42"/>
  <c r="AC8" i="42"/>
  <c r="AC6" i="42"/>
  <c r="AC30" i="43"/>
  <c r="AC6" i="43"/>
  <c r="AC13" i="43"/>
  <c r="AC7" i="43"/>
  <c r="AC21" i="43"/>
  <c r="AC8" i="43"/>
  <c r="AC27" i="43"/>
  <c r="AC11" i="43"/>
  <c r="AC2" i="43"/>
  <c r="AC10" i="43"/>
  <c r="AC29" i="43"/>
  <c r="AC24" i="43"/>
  <c r="AC4" i="43"/>
  <c r="AC23" i="43"/>
  <c r="AC18" i="43"/>
  <c r="AC22" i="43"/>
  <c r="AC17" i="43"/>
  <c r="AC9" i="43"/>
  <c r="AC5" i="43"/>
  <c r="AC19" i="43"/>
  <c r="AC25" i="43"/>
  <c r="AC28" i="43"/>
  <c r="AC20" i="43"/>
  <c r="AC12" i="43"/>
  <c r="AC15" i="43"/>
  <c r="AC3" i="43"/>
  <c r="AC14" i="43"/>
  <c r="AC16" i="43"/>
  <c r="AC26" i="43"/>
  <c r="AG30" i="42"/>
  <c r="AG35" i="42" s="1"/>
  <c r="AG29" i="42"/>
  <c r="AG28" i="42"/>
  <c r="AG43" i="42" s="1"/>
  <c r="AG27" i="42"/>
  <c r="AG26" i="42"/>
  <c r="AG36" i="42" s="1"/>
  <c r="AG25" i="42"/>
  <c r="AG24" i="42"/>
  <c r="AG23" i="42"/>
  <c r="AG22" i="42"/>
  <c r="AG37" i="42" s="1"/>
  <c r="AG21" i="42"/>
  <c r="AG20" i="42"/>
  <c r="AG19" i="42"/>
  <c r="AG42" i="42" s="1"/>
  <c r="AG5" i="42"/>
  <c r="AG4" i="42"/>
  <c r="AG40" i="42" s="1"/>
  <c r="AG3" i="42"/>
  <c r="AG32" i="42" s="1"/>
  <c r="AG2" i="42"/>
  <c r="AG38" i="42" s="1"/>
  <c r="AG18" i="42"/>
  <c r="AG16" i="42"/>
  <c r="AG14" i="42"/>
  <c r="AG34" i="42" s="1"/>
  <c r="AG12" i="42"/>
  <c r="AG10" i="42"/>
  <c r="AG46" i="42" s="1"/>
  <c r="AG8" i="42"/>
  <c r="AG41" i="42" s="1"/>
  <c r="AG6" i="42"/>
  <c r="AG47" i="42" s="1"/>
  <c r="AG17" i="42"/>
  <c r="AG9" i="42"/>
  <c r="AG15" i="42"/>
  <c r="AG44" i="42" s="1"/>
  <c r="AG7" i="42"/>
  <c r="AG13" i="42"/>
  <c r="AG33" i="42" s="1"/>
  <c r="AG11" i="42"/>
  <c r="AG39" i="42" s="1"/>
  <c r="AG10" i="43"/>
  <c r="AG46" i="43" s="1"/>
  <c r="AG24" i="43"/>
  <c r="AG4" i="43"/>
  <c r="AG40" i="43" s="1"/>
  <c r="AG28" i="43"/>
  <c r="AG43" i="43" s="1"/>
  <c r="AG20" i="43"/>
  <c r="AG14" i="43"/>
  <c r="AG34" i="43" s="1"/>
  <c r="AG8" i="43"/>
  <c r="AG41" i="43" s="1"/>
  <c r="AG27" i="43"/>
  <c r="AG30" i="43"/>
  <c r="AG35" i="43" s="1"/>
  <c r="AG6" i="43"/>
  <c r="AG47" i="43" s="1"/>
  <c r="AG29" i="43"/>
  <c r="AG16" i="43"/>
  <c r="AG23" i="43"/>
  <c r="AG17" i="43"/>
  <c r="AG13" i="43"/>
  <c r="AG33" i="43" s="1"/>
  <c r="AG9" i="43"/>
  <c r="AG5" i="43"/>
  <c r="AG19" i="43"/>
  <c r="AG42" i="43" s="1"/>
  <c r="AG7" i="43"/>
  <c r="AG2" i="43"/>
  <c r="AG38" i="43" s="1"/>
  <c r="AG26" i="43"/>
  <c r="AG36" i="43" s="1"/>
  <c r="AG18" i="43"/>
  <c r="AG25" i="43"/>
  <c r="AG21" i="43"/>
  <c r="AG12" i="43"/>
  <c r="AG15" i="43"/>
  <c r="AG44" i="43" s="1"/>
  <c r="AG3" i="43"/>
  <c r="AG32" i="43" s="1"/>
  <c r="AG11" i="43"/>
  <c r="AG39" i="43" s="1"/>
  <c r="AG22" i="43"/>
  <c r="AG37" i="43" s="1"/>
  <c r="AG4" i="30"/>
  <c r="AG40" i="30" s="1"/>
  <c r="AG8" i="30"/>
  <c r="AG41" i="30" s="1"/>
  <c r="AG12" i="30"/>
  <c r="AG16" i="30"/>
  <c r="AG23" i="30"/>
  <c r="AG25" i="30"/>
  <c r="AG26" i="30"/>
  <c r="AG36" i="30" s="1"/>
  <c r="AG22" i="30"/>
  <c r="AG37" i="30" s="1"/>
  <c r="AG3" i="30"/>
  <c r="AG32" i="30" s="1"/>
  <c r="AG7" i="30"/>
  <c r="AG11" i="30"/>
  <c r="AG39" i="30" s="1"/>
  <c r="AG15" i="30"/>
  <c r="AG44" i="30" s="1"/>
  <c r="AG18" i="30"/>
  <c r="AG24" i="30"/>
  <c r="AG5" i="30"/>
  <c r="AG9" i="30"/>
  <c r="AG13" i="30"/>
  <c r="AG33" i="30" s="1"/>
  <c r="AG17" i="30"/>
  <c r="AG20" i="30"/>
  <c r="AG28" i="30"/>
  <c r="AG43" i="30" s="1"/>
  <c r="AG30" i="30"/>
  <c r="AG35" i="30" s="1"/>
  <c r="AG6" i="30"/>
  <c r="AG47" i="30" s="1"/>
  <c r="AG10" i="30"/>
  <c r="AG46" i="30" s="1"/>
  <c r="AG14" i="30"/>
  <c r="AG34" i="30" s="1"/>
  <c r="AG19" i="30"/>
  <c r="AG42" i="30" s="1"/>
  <c r="AG21" i="30"/>
  <c r="AG27" i="30"/>
  <c r="AG29" i="30"/>
  <c r="AG2" i="30"/>
  <c r="AG38" i="30" s="1"/>
  <c r="AJ18" i="42"/>
  <c r="AJ17" i="42"/>
  <c r="AJ16" i="42"/>
  <c r="AJ15" i="42"/>
  <c r="AJ44" i="42" s="1"/>
  <c r="AJ14" i="42"/>
  <c r="AJ34" i="42" s="1"/>
  <c r="AJ13" i="42"/>
  <c r="AJ33" i="42" s="1"/>
  <c r="AJ12" i="42"/>
  <c r="AJ11" i="42"/>
  <c r="AJ39" i="42" s="1"/>
  <c r="AJ10" i="42"/>
  <c r="AJ46" i="42" s="1"/>
  <c r="AJ9" i="42"/>
  <c r="AJ8" i="42"/>
  <c r="AJ41" i="42" s="1"/>
  <c r="AJ7" i="42"/>
  <c r="AJ6" i="42"/>
  <c r="AJ47" i="42" s="1"/>
  <c r="AJ30" i="42"/>
  <c r="AJ35" i="42" s="1"/>
  <c r="AJ29" i="42"/>
  <c r="AJ28" i="42"/>
  <c r="AJ43" i="42" s="1"/>
  <c r="AJ27" i="42"/>
  <c r="AJ26" i="42"/>
  <c r="AJ36" i="42" s="1"/>
  <c r="AJ25" i="42"/>
  <c r="AJ24" i="42"/>
  <c r="AJ23" i="42"/>
  <c r="AJ22" i="42"/>
  <c r="AJ37" i="42" s="1"/>
  <c r="AJ21" i="42"/>
  <c r="AJ20" i="42"/>
  <c r="AJ19" i="42"/>
  <c r="AJ42" i="42" s="1"/>
  <c r="AJ5" i="42"/>
  <c r="AJ4" i="42"/>
  <c r="AJ40" i="42" s="1"/>
  <c r="AJ3" i="42"/>
  <c r="AJ32" i="42" s="1"/>
  <c r="AJ2" i="42"/>
  <c r="AJ38" i="42" s="1"/>
  <c r="AJ10" i="43"/>
  <c r="AJ46" i="43" s="1"/>
  <c r="AJ45" i="43" s="1"/>
  <c r="AJ24" i="43"/>
  <c r="AJ4" i="43"/>
  <c r="AJ40" i="43" s="1"/>
  <c r="AJ28" i="43"/>
  <c r="AJ43" i="43" s="1"/>
  <c r="AJ20" i="43"/>
  <c r="AJ14" i="43"/>
  <c r="AJ34" i="43" s="1"/>
  <c r="AJ8" i="43"/>
  <c r="AJ41" i="43" s="1"/>
  <c r="AJ27" i="43"/>
  <c r="AJ11" i="43"/>
  <c r="AJ39" i="43" s="1"/>
  <c r="AJ6" i="43"/>
  <c r="AJ47" i="43" s="1"/>
  <c r="AJ29" i="43"/>
  <c r="AJ16" i="43"/>
  <c r="AJ23" i="43"/>
  <c r="AJ30" i="43"/>
  <c r="AJ35" i="43" s="1"/>
  <c r="AJ22" i="43"/>
  <c r="AJ37" i="43" s="1"/>
  <c r="AJ17" i="43"/>
  <c r="AJ13" i="43"/>
  <c r="AJ33" i="43" s="1"/>
  <c r="AJ9" i="43"/>
  <c r="AJ5" i="43"/>
  <c r="AJ19" i="43"/>
  <c r="AJ42" i="43" s="1"/>
  <c r="AJ7" i="43"/>
  <c r="AJ26" i="43"/>
  <c r="AJ36" i="43" s="1"/>
  <c r="AJ18" i="43"/>
  <c r="AJ2" i="43"/>
  <c r="AJ38" i="43" s="1"/>
  <c r="AJ25" i="43"/>
  <c r="AJ21" i="43"/>
  <c r="AJ12" i="43"/>
  <c r="AJ15" i="43"/>
  <c r="AJ44" i="43" s="1"/>
  <c r="AJ3" i="43"/>
  <c r="AJ32" i="43" s="1"/>
  <c r="AJ3" i="30"/>
  <c r="AJ32" i="30" s="1"/>
  <c r="AJ7" i="30"/>
  <c r="AJ11" i="30"/>
  <c r="AJ39" i="30" s="1"/>
  <c r="AJ15" i="30"/>
  <c r="AJ44" i="30" s="1"/>
  <c r="AJ18" i="30"/>
  <c r="AJ24" i="30"/>
  <c r="AJ26" i="30"/>
  <c r="AJ36" i="30" s="1"/>
  <c r="AJ29" i="30"/>
  <c r="AJ2" i="30"/>
  <c r="AJ38" i="30" s="1"/>
  <c r="AJ8" i="30"/>
  <c r="AJ41" i="30" s="1"/>
  <c r="AJ6" i="30"/>
  <c r="AJ47" i="30" s="1"/>
  <c r="AJ10" i="30"/>
  <c r="AJ46" i="30" s="1"/>
  <c r="AJ14" i="30"/>
  <c r="AJ34" i="30" s="1"/>
  <c r="AJ19" i="30"/>
  <c r="AJ42" i="30" s="1"/>
  <c r="AJ21" i="30"/>
  <c r="AJ27" i="30"/>
  <c r="AJ12" i="30"/>
  <c r="AJ16" i="30"/>
  <c r="AJ23" i="30"/>
  <c r="AJ25" i="30"/>
  <c r="AJ5" i="30"/>
  <c r="AJ9" i="30"/>
  <c r="AJ13" i="30"/>
  <c r="AJ33" i="30" s="1"/>
  <c r="AJ17" i="30"/>
  <c r="AJ20" i="30"/>
  <c r="AJ22" i="30"/>
  <c r="AJ37" i="30" s="1"/>
  <c r="AJ28" i="30"/>
  <c r="AJ43" i="30" s="1"/>
  <c r="AJ30" i="30"/>
  <c r="AJ35" i="30" s="1"/>
  <c r="AJ4" i="30"/>
  <c r="AJ40" i="30" s="1"/>
  <c r="AN30" i="42"/>
  <c r="AN35" i="42" s="1"/>
  <c r="AN29" i="42"/>
  <c r="AN28" i="42"/>
  <c r="AN43" i="42" s="1"/>
  <c r="AN27" i="42"/>
  <c r="AN26" i="42"/>
  <c r="AN36" i="42" s="1"/>
  <c r="AN25" i="42"/>
  <c r="AN24" i="42"/>
  <c r="AN23" i="42"/>
  <c r="AN22" i="42"/>
  <c r="AN37" i="42" s="1"/>
  <c r="AN21" i="42"/>
  <c r="AN20" i="42"/>
  <c r="AN19" i="42"/>
  <c r="AN42" i="42" s="1"/>
  <c r="AN17" i="42"/>
  <c r="AN15" i="42"/>
  <c r="AN44" i="42" s="1"/>
  <c r="AN13" i="42"/>
  <c r="AN33" i="42" s="1"/>
  <c r="AN11" i="42"/>
  <c r="AN39" i="42" s="1"/>
  <c r="AN9" i="42"/>
  <c r="AN7" i="42"/>
  <c r="AN5" i="42"/>
  <c r="AN4" i="42"/>
  <c r="AN40" i="42" s="1"/>
  <c r="AN3" i="42"/>
  <c r="AN32" i="42" s="1"/>
  <c r="AN2" i="42"/>
  <c r="AN38" i="42" s="1"/>
  <c r="AN18" i="42"/>
  <c r="AN16" i="42"/>
  <c r="AN14" i="42"/>
  <c r="AN34" i="42" s="1"/>
  <c r="AN12" i="42"/>
  <c r="AN10" i="42"/>
  <c r="AN46" i="42" s="1"/>
  <c r="AN8" i="42"/>
  <c r="AN41" i="42" s="1"/>
  <c r="AN6" i="42"/>
  <c r="AN47" i="42" s="1"/>
  <c r="AN14" i="43"/>
  <c r="AN34" i="43" s="1"/>
  <c r="AN27" i="43"/>
  <c r="AN11" i="43"/>
  <c r="AN39" i="43" s="1"/>
  <c r="AN4" i="43"/>
  <c r="AN40" i="43" s="1"/>
  <c r="AN23" i="43"/>
  <c r="AN6" i="43"/>
  <c r="AN47" i="43" s="1"/>
  <c r="AN7" i="43"/>
  <c r="AN18" i="43"/>
  <c r="AN28" i="43"/>
  <c r="AN43" i="43" s="1"/>
  <c r="AN20" i="43"/>
  <c r="AN12" i="43"/>
  <c r="AN26" i="43"/>
  <c r="AN36" i="43" s="1"/>
  <c r="AN25" i="43"/>
  <c r="AN21" i="43"/>
  <c r="AN15" i="43"/>
  <c r="AN44" i="43" s="1"/>
  <c r="AN3" i="43"/>
  <c r="AN32" i="43" s="1"/>
  <c r="AN10" i="43"/>
  <c r="AN46" i="43" s="1"/>
  <c r="AN29" i="43"/>
  <c r="AN2" i="43"/>
  <c r="AN38" i="43" s="1"/>
  <c r="AN8" i="43"/>
  <c r="AN41" i="43" s="1"/>
  <c r="AN24" i="43"/>
  <c r="AN16" i="43"/>
  <c r="AN30" i="43"/>
  <c r="AN35" i="43" s="1"/>
  <c r="AN22" i="43"/>
  <c r="AN37" i="43" s="1"/>
  <c r="AN17" i="43"/>
  <c r="AN13" i="43"/>
  <c r="AN33" i="43" s="1"/>
  <c r="AN9" i="43"/>
  <c r="AN5" i="43"/>
  <c r="AN19" i="43"/>
  <c r="AN42" i="43" s="1"/>
  <c r="AN3" i="30"/>
  <c r="AN32" i="30" s="1"/>
  <c r="AN7" i="30"/>
  <c r="AN11" i="30"/>
  <c r="AN39" i="30" s="1"/>
  <c r="AN15" i="30"/>
  <c r="AN44" i="30" s="1"/>
  <c r="AN18" i="30"/>
  <c r="AN24" i="30"/>
  <c r="AN26" i="30"/>
  <c r="AN36" i="30" s="1"/>
  <c r="AN27" i="30"/>
  <c r="AN6" i="30"/>
  <c r="AN47" i="30" s="1"/>
  <c r="AN10" i="30"/>
  <c r="AN46" i="30" s="1"/>
  <c r="AN45" i="30" s="1"/>
  <c r="AN14" i="30"/>
  <c r="AN34" i="30" s="1"/>
  <c r="AN19" i="30"/>
  <c r="AN42" i="30" s="1"/>
  <c r="AN21" i="30"/>
  <c r="AN29" i="30"/>
  <c r="AN2" i="30"/>
  <c r="AN38" i="30" s="1"/>
  <c r="AN4" i="30"/>
  <c r="AN40" i="30" s="1"/>
  <c r="AN8" i="30"/>
  <c r="AN41" i="30" s="1"/>
  <c r="AN5" i="30"/>
  <c r="AN9" i="30"/>
  <c r="AN13" i="30"/>
  <c r="AN33" i="30" s="1"/>
  <c r="AN17" i="30"/>
  <c r="AN20" i="30"/>
  <c r="AN22" i="30"/>
  <c r="AN37" i="30" s="1"/>
  <c r="AN28" i="30"/>
  <c r="AN43" i="30" s="1"/>
  <c r="AN30" i="30"/>
  <c r="AN35" i="30" s="1"/>
  <c r="AN12" i="30"/>
  <c r="AN16" i="30"/>
  <c r="AN23" i="30"/>
  <c r="AN25" i="30"/>
  <c r="AR30" i="42"/>
  <c r="AR35" i="42" s="1"/>
  <c r="AR29" i="42"/>
  <c r="AR28" i="42"/>
  <c r="AR43" i="42" s="1"/>
  <c r="AR27" i="42"/>
  <c r="AR26" i="42"/>
  <c r="AR36" i="42" s="1"/>
  <c r="AR25" i="42"/>
  <c r="AR24" i="42"/>
  <c r="AR23" i="42"/>
  <c r="AR22" i="42"/>
  <c r="AR37" i="42" s="1"/>
  <c r="AR21" i="42"/>
  <c r="AR18" i="42"/>
  <c r="AR16" i="42"/>
  <c r="AR14" i="42"/>
  <c r="AR34" i="42" s="1"/>
  <c r="AR12" i="42"/>
  <c r="AR10" i="42"/>
  <c r="AR46" i="42" s="1"/>
  <c r="AR45" i="42" s="1"/>
  <c r="AR8" i="42"/>
  <c r="AR41" i="42" s="1"/>
  <c r="AR6" i="42"/>
  <c r="AR47" i="42" s="1"/>
  <c r="AR20" i="42"/>
  <c r="AR19" i="42"/>
  <c r="AR42" i="42" s="1"/>
  <c r="AR4" i="42"/>
  <c r="AR40" i="42" s="1"/>
  <c r="AR3" i="42"/>
  <c r="AR32" i="42" s="1"/>
  <c r="AR2" i="42"/>
  <c r="AR38" i="42" s="1"/>
  <c r="AR15" i="42"/>
  <c r="AR44" i="42" s="1"/>
  <c r="AR7" i="42"/>
  <c r="AR13" i="42"/>
  <c r="AR33" i="42" s="1"/>
  <c r="AR5" i="42"/>
  <c r="AR11" i="42"/>
  <c r="AR39" i="42" s="1"/>
  <c r="AR17" i="42"/>
  <c r="AR9" i="42"/>
  <c r="AR26" i="43"/>
  <c r="AR36" i="43" s="1"/>
  <c r="AR21" i="43"/>
  <c r="AR15" i="43"/>
  <c r="AR44" i="43" s="1"/>
  <c r="AR27" i="43"/>
  <c r="AR4" i="43"/>
  <c r="AR40" i="43" s="1"/>
  <c r="AR30" i="43"/>
  <c r="AR35" i="43" s="1"/>
  <c r="AR13" i="43"/>
  <c r="AR33" i="43" s="1"/>
  <c r="AR5" i="43"/>
  <c r="AR19" i="43"/>
  <c r="AR42" i="43" s="1"/>
  <c r="AR7" i="43"/>
  <c r="AR14" i="43"/>
  <c r="AR34" i="43" s="1"/>
  <c r="AR18" i="43"/>
  <c r="AR2" i="43"/>
  <c r="AR38" i="43" s="1"/>
  <c r="AR25" i="43"/>
  <c r="AR28" i="43"/>
  <c r="AR43" i="43" s="1"/>
  <c r="AR20" i="43"/>
  <c r="AR12" i="43"/>
  <c r="AR3" i="43"/>
  <c r="AR32" i="43" s="1"/>
  <c r="AR8" i="43"/>
  <c r="AR41" i="43" s="1"/>
  <c r="AR11" i="43"/>
  <c r="AR39" i="43" s="1"/>
  <c r="AR10" i="43"/>
  <c r="AR46" i="43" s="1"/>
  <c r="AR45" i="43" s="1"/>
  <c r="AR29" i="43"/>
  <c r="AR24" i="43"/>
  <c r="AR16" i="43"/>
  <c r="AR23" i="43"/>
  <c r="AR22" i="43"/>
  <c r="AR37" i="43" s="1"/>
  <c r="AR6" i="43"/>
  <c r="AR47" i="43" s="1"/>
  <c r="AR17" i="43"/>
  <c r="AR9" i="43"/>
  <c r="AR3" i="30"/>
  <c r="AR32" i="30" s="1"/>
  <c r="AR7" i="30"/>
  <c r="AR11" i="30"/>
  <c r="AR39" i="30" s="1"/>
  <c r="AR15" i="30"/>
  <c r="AR44" i="30" s="1"/>
  <c r="AR18" i="30"/>
  <c r="AR24" i="30"/>
  <c r="AR26" i="30"/>
  <c r="AR36" i="30" s="1"/>
  <c r="AR29" i="30"/>
  <c r="AR2" i="30"/>
  <c r="AR38" i="30" s="1"/>
  <c r="AR4" i="30"/>
  <c r="AR40" i="30" s="1"/>
  <c r="AR8" i="30"/>
  <c r="AR41" i="30" s="1"/>
  <c r="AR12" i="30"/>
  <c r="AR23" i="30"/>
  <c r="AR25" i="30"/>
  <c r="AR6" i="30"/>
  <c r="AR47" i="30" s="1"/>
  <c r="AR10" i="30"/>
  <c r="AR46" i="30" s="1"/>
  <c r="AR45" i="30" s="1"/>
  <c r="AR14" i="30"/>
  <c r="AR34" i="30" s="1"/>
  <c r="AR19" i="30"/>
  <c r="AR42" i="30" s="1"/>
  <c r="AR21" i="30"/>
  <c r="AR27" i="30"/>
  <c r="AR16" i="30"/>
  <c r="AR5" i="30"/>
  <c r="AR9" i="30"/>
  <c r="AR13" i="30"/>
  <c r="AR33" i="30" s="1"/>
  <c r="AR17" i="30"/>
  <c r="AR20" i="30"/>
  <c r="AR22" i="30"/>
  <c r="AR37" i="30" s="1"/>
  <c r="AR28" i="30"/>
  <c r="AR43" i="30" s="1"/>
  <c r="AR30" i="30"/>
  <c r="AR35" i="30" s="1"/>
  <c r="AY17" i="42"/>
  <c r="AY15" i="42"/>
  <c r="AY44" i="42" s="1"/>
  <c r="AY13" i="42"/>
  <c r="AY33" i="42" s="1"/>
  <c r="AY11" i="42"/>
  <c r="AY39" i="42" s="1"/>
  <c r="AY9" i="42"/>
  <c r="AY7" i="42"/>
  <c r="AY5" i="42"/>
  <c r="AY29" i="42"/>
  <c r="AY27" i="42"/>
  <c r="AY25" i="42"/>
  <c r="AY23" i="42"/>
  <c r="AY21" i="42"/>
  <c r="AY20" i="42"/>
  <c r="AY19" i="42"/>
  <c r="AY42" i="42" s="1"/>
  <c r="AY18" i="42"/>
  <c r="AY16" i="42"/>
  <c r="AY14" i="42"/>
  <c r="AY34" i="42" s="1"/>
  <c r="AY12" i="42"/>
  <c r="AY10" i="42"/>
  <c r="AY46" i="42" s="1"/>
  <c r="AY45" i="42" s="1"/>
  <c r="AY8" i="42"/>
  <c r="AY41" i="42" s="1"/>
  <c r="AY6" i="42"/>
  <c r="AY47" i="42" s="1"/>
  <c r="AY30" i="42"/>
  <c r="AY35" i="42" s="1"/>
  <c r="AY22" i="42"/>
  <c r="AY37" i="42" s="1"/>
  <c r="AY3" i="42"/>
  <c r="AY32" i="42" s="1"/>
  <c r="AY24" i="42"/>
  <c r="AY26" i="42"/>
  <c r="AY36" i="42" s="1"/>
  <c r="AY4" i="42"/>
  <c r="AY40" i="42" s="1"/>
  <c r="AY2" i="42"/>
  <c r="AY38" i="42" s="1"/>
  <c r="AY28" i="42"/>
  <c r="AY43" i="42" s="1"/>
  <c r="AY10" i="43"/>
  <c r="AY46" i="43" s="1"/>
  <c r="AY24" i="43"/>
  <c r="AY4" i="43"/>
  <c r="AY40" i="43" s="1"/>
  <c r="AY28" i="43"/>
  <c r="AY43" i="43" s="1"/>
  <c r="AY20" i="43"/>
  <c r="AY14" i="43"/>
  <c r="AY34" i="43" s="1"/>
  <c r="AY2" i="43"/>
  <c r="AY38" i="43" s="1"/>
  <c r="AY8" i="43"/>
  <c r="AY41" i="43" s="1"/>
  <c r="AY27" i="43"/>
  <c r="AY11" i="43"/>
  <c r="AY39" i="43" s="1"/>
  <c r="AY30" i="43"/>
  <c r="AY35" i="43" s="1"/>
  <c r="AY22" i="43"/>
  <c r="AY37" i="43" s="1"/>
  <c r="AY29" i="43"/>
  <c r="AY16" i="43"/>
  <c r="AY23" i="43"/>
  <c r="AY17" i="43"/>
  <c r="AY13" i="43"/>
  <c r="AY33" i="43" s="1"/>
  <c r="AY9" i="43"/>
  <c r="AY5" i="43"/>
  <c r="AY19" i="43"/>
  <c r="AY42" i="43" s="1"/>
  <c r="AY7" i="43"/>
  <c r="AY26" i="43"/>
  <c r="AY36" i="43" s="1"/>
  <c r="AY18" i="43"/>
  <c r="AY25" i="43"/>
  <c r="AY21" i="43"/>
  <c r="AY12" i="43"/>
  <c r="AY15" i="43"/>
  <c r="AY44" i="43" s="1"/>
  <c r="AY3" i="43"/>
  <c r="AY32" i="43" s="1"/>
  <c r="AY6" i="43"/>
  <c r="AY47" i="43" s="1"/>
  <c r="AY6" i="30"/>
  <c r="AY47" i="30" s="1"/>
  <c r="AY10" i="30"/>
  <c r="AY46" i="30" s="1"/>
  <c r="AY14" i="30"/>
  <c r="AY34" i="30" s="1"/>
  <c r="AY19" i="30"/>
  <c r="AY42" i="30" s="1"/>
  <c r="AY21" i="30"/>
  <c r="AY27" i="30"/>
  <c r="AY29" i="30"/>
  <c r="AY2" i="30"/>
  <c r="AY38" i="30" s="1"/>
  <c r="AY28" i="30"/>
  <c r="AY43" i="30" s="1"/>
  <c r="AY30" i="30"/>
  <c r="AY35" i="30" s="1"/>
  <c r="AY3" i="30"/>
  <c r="AY32" i="30" s="1"/>
  <c r="AY5" i="30"/>
  <c r="AY9" i="30"/>
  <c r="AY13" i="30"/>
  <c r="AY33" i="30" s="1"/>
  <c r="AY17" i="30"/>
  <c r="AY20" i="30"/>
  <c r="AY22" i="30"/>
  <c r="AY37" i="30" s="1"/>
  <c r="AY4" i="30"/>
  <c r="AY40" i="30" s="1"/>
  <c r="AY8" i="30"/>
  <c r="AY41" i="30" s="1"/>
  <c r="AY12" i="30"/>
  <c r="AY16" i="30"/>
  <c r="AY23" i="30"/>
  <c r="AY25" i="30"/>
  <c r="AY7" i="30"/>
  <c r="AY11" i="30"/>
  <c r="AY39" i="30" s="1"/>
  <c r="AY15" i="30"/>
  <c r="AY44" i="30" s="1"/>
  <c r="AY18" i="30"/>
  <c r="AY24" i="30"/>
  <c r="AY26" i="30"/>
  <c r="AY36" i="30" s="1"/>
  <c r="E28" i="20"/>
  <c r="E13" i="20"/>
  <c r="C73" i="45"/>
  <c r="E73" i="45" s="1"/>
  <c r="C59" i="45"/>
  <c r="E59" i="45" s="1"/>
  <c r="E7" i="45"/>
  <c r="E8" i="45"/>
  <c r="C41" i="45"/>
  <c r="E41" i="45" s="1"/>
  <c r="E24" i="20"/>
  <c r="C76" i="45"/>
  <c r="E76" i="45" s="1"/>
  <c r="C62" i="45"/>
  <c r="E62" i="45" s="1"/>
  <c r="E27" i="45"/>
  <c r="E4" i="45"/>
  <c r="C40" i="45"/>
  <c r="E40" i="45" s="1"/>
  <c r="E2" i="20"/>
  <c r="E18" i="20"/>
  <c r="C53" i="45"/>
  <c r="E53" i="45" s="1"/>
  <c r="E5" i="45"/>
  <c r="C67" i="45"/>
  <c r="E67" i="45" s="1"/>
  <c r="C51" i="45"/>
  <c r="E51" i="45" s="1"/>
  <c r="E21" i="45"/>
  <c r="C65" i="45"/>
  <c r="E7" i="20"/>
  <c r="E23" i="20"/>
  <c r="E10" i="45"/>
  <c r="C46" i="45"/>
  <c r="E26" i="45"/>
  <c r="C36" i="45"/>
  <c r="E36" i="45" s="1"/>
  <c r="W8" i="37"/>
  <c r="W41" i="37" s="1"/>
  <c r="H13" i="37"/>
  <c r="H33" i="37" s="1"/>
  <c r="H26" i="37"/>
  <c r="H36" i="37" s="1"/>
  <c r="H6" i="37"/>
  <c r="H47" i="37" s="1"/>
  <c r="H45" i="37" s="1"/>
  <c r="H22" i="37"/>
  <c r="H37" i="37" s="1"/>
  <c r="W6" i="37"/>
  <c r="W47" i="37" s="1"/>
  <c r="H11" i="37"/>
  <c r="H39" i="37" s="1"/>
  <c r="W22" i="37"/>
  <c r="W37" i="37" s="1"/>
  <c r="H29" i="37"/>
  <c r="W16" i="37"/>
  <c r="H28" i="37"/>
  <c r="H43" i="37" s="1"/>
  <c r="H4" i="37"/>
  <c r="H40" i="37" s="1"/>
  <c r="W15" i="37"/>
  <c r="W44" i="37" s="1"/>
  <c r="H20" i="37"/>
  <c r="W26" i="37"/>
  <c r="W36" i="37" s="1"/>
  <c r="W30" i="37"/>
  <c r="W35" i="37" s="1"/>
  <c r="H14" i="16"/>
  <c r="H12" i="16"/>
  <c r="X71" i="16"/>
  <c r="X57" i="16"/>
  <c r="H2" i="16"/>
  <c r="H19" i="16"/>
  <c r="H10" i="16"/>
  <c r="H46" i="16" s="1"/>
  <c r="W3" i="16"/>
  <c r="W32" i="16" s="1"/>
  <c r="X53" i="16"/>
  <c r="X67" i="16"/>
  <c r="H17" i="16"/>
  <c r="H28" i="16"/>
  <c r="W30" i="16"/>
  <c r="W35" i="16" s="1"/>
  <c r="H11" i="16"/>
  <c r="H20" i="16"/>
  <c r="H26" i="16"/>
  <c r="H29" i="16"/>
  <c r="W6" i="16"/>
  <c r="W47" i="16" s="1"/>
  <c r="W19" i="16"/>
  <c r="W42" i="16" s="1"/>
  <c r="CB30" i="42"/>
  <c r="CB35" i="42" s="1"/>
  <c r="CB29" i="42"/>
  <c r="CB28" i="42"/>
  <c r="CB43" i="42" s="1"/>
  <c r="CB27" i="42"/>
  <c r="CB26" i="42"/>
  <c r="CB36" i="42" s="1"/>
  <c r="CB25" i="42"/>
  <c r="CB24" i="42"/>
  <c r="CB23" i="42"/>
  <c r="CB22" i="42"/>
  <c r="CB37" i="42" s="1"/>
  <c r="CB21" i="42"/>
  <c r="CB20" i="42"/>
  <c r="CB19" i="42"/>
  <c r="CB42" i="42" s="1"/>
  <c r="CB18" i="42"/>
  <c r="CB17" i="42"/>
  <c r="CB16" i="42"/>
  <c r="CB15" i="42"/>
  <c r="CB44" i="42" s="1"/>
  <c r="CB14" i="42"/>
  <c r="CB34" i="42" s="1"/>
  <c r="CB13" i="42"/>
  <c r="CB33" i="42" s="1"/>
  <c r="CB12" i="42"/>
  <c r="CB11" i="42"/>
  <c r="CB39" i="42" s="1"/>
  <c r="CB10" i="42"/>
  <c r="CB46" i="42" s="1"/>
  <c r="CB45" i="42" s="1"/>
  <c r="CB9" i="42"/>
  <c r="CB8" i="42"/>
  <c r="CB41" i="42" s="1"/>
  <c r="CB7" i="42"/>
  <c r="CB6" i="42"/>
  <c r="CB47" i="42" s="1"/>
  <c r="CB5" i="42"/>
  <c r="CB4" i="42"/>
  <c r="CB40" i="42" s="1"/>
  <c r="CB3" i="42"/>
  <c r="CB32" i="42" s="1"/>
  <c r="CB2" i="42"/>
  <c r="CB38" i="42" s="1"/>
  <c r="BC30" i="41"/>
  <c r="BC35" i="41" s="1"/>
  <c r="BC29" i="41"/>
  <c r="BC28" i="41"/>
  <c r="BC43" i="41" s="1"/>
  <c r="BC10" i="41"/>
  <c r="BC46" i="41" s="1"/>
  <c r="BC9" i="41"/>
  <c r="BC8" i="41"/>
  <c r="BC41" i="41" s="1"/>
  <c r="BC2" i="29"/>
  <c r="BC38" i="29" s="1"/>
  <c r="BC3" i="29"/>
  <c r="BC32" i="29" s="1"/>
  <c r="BC4" i="29"/>
  <c r="BC40" i="29" s="1"/>
  <c r="BC5" i="29"/>
  <c r="BC6" i="29"/>
  <c r="BC47" i="29" s="1"/>
  <c r="BC7" i="29"/>
  <c r="BC8" i="29"/>
  <c r="BC41" i="29" s="1"/>
  <c r="BC9" i="29"/>
  <c r="BC10" i="29"/>
  <c r="BC46" i="29" s="1"/>
  <c r="BC45" i="29" s="1"/>
  <c r="BC11" i="29"/>
  <c r="BC39" i="29" s="1"/>
  <c r="BC12" i="29"/>
  <c r="BC27" i="41"/>
  <c r="BC26" i="41"/>
  <c r="BC36" i="41" s="1"/>
  <c r="BC25" i="41"/>
  <c r="BC24" i="41"/>
  <c r="BC23" i="41"/>
  <c r="BC49" i="41" s="1"/>
  <c r="BC21" i="41"/>
  <c r="BC20" i="41"/>
  <c r="BC19" i="41"/>
  <c r="BC42" i="41" s="1"/>
  <c r="BC18" i="41"/>
  <c r="BC17" i="41"/>
  <c r="BC16" i="41"/>
  <c r="BC15" i="41"/>
  <c r="BC44" i="41" s="1"/>
  <c r="BC12" i="41"/>
  <c r="BC11" i="41"/>
  <c r="BC39" i="41" s="1"/>
  <c r="BC22" i="41"/>
  <c r="BC37" i="41" s="1"/>
  <c r="BC14" i="41"/>
  <c r="BC34" i="41" s="1"/>
  <c r="BC13" i="41"/>
  <c r="BC33" i="41" s="1"/>
  <c r="BC2" i="41"/>
  <c r="BC38" i="41" s="1"/>
  <c r="BC4" i="41"/>
  <c r="BC40" i="41" s="1"/>
  <c r="BC6" i="41"/>
  <c r="BC47" i="41" s="1"/>
  <c r="BC5" i="41"/>
  <c r="BC7" i="41"/>
  <c r="BC14" i="29"/>
  <c r="BC34" i="29" s="1"/>
  <c r="BC16" i="29"/>
  <c r="BC18" i="29"/>
  <c r="BC20" i="29"/>
  <c r="BC22" i="29"/>
  <c r="BC37" i="29" s="1"/>
  <c r="BC24" i="29"/>
  <c r="BC26" i="29"/>
  <c r="BC36" i="29" s="1"/>
  <c r="BC28" i="29"/>
  <c r="BC43" i="29" s="1"/>
  <c r="BC30" i="29"/>
  <c r="BC35" i="29" s="1"/>
  <c r="BC3" i="41"/>
  <c r="BC32" i="41" s="1"/>
  <c r="BC13" i="29"/>
  <c r="BC33" i="29" s="1"/>
  <c r="BC15" i="29"/>
  <c r="BC44" i="29" s="1"/>
  <c r="BC17" i="29"/>
  <c r="BC19" i="29"/>
  <c r="BC42" i="29" s="1"/>
  <c r="BC21" i="29"/>
  <c r="BC23" i="29"/>
  <c r="BC49" i="29" s="1"/>
  <c r="BC25" i="29"/>
  <c r="BC27" i="29"/>
  <c r="BC29" i="29"/>
  <c r="CB22" i="43"/>
  <c r="CB37" i="43" s="1"/>
  <c r="CB17" i="43"/>
  <c r="CB9" i="43"/>
  <c r="CB5" i="43"/>
  <c r="CB19" i="43"/>
  <c r="CB42" i="43" s="1"/>
  <c r="CB25" i="43"/>
  <c r="CB28" i="43"/>
  <c r="CB43" i="43" s="1"/>
  <c r="CB20" i="43"/>
  <c r="CB12" i="43"/>
  <c r="CB15" i="43"/>
  <c r="CB44" i="43" s="1"/>
  <c r="CB3" i="43"/>
  <c r="CB32" i="43" s="1"/>
  <c r="CB14" i="43"/>
  <c r="CB34" i="43" s="1"/>
  <c r="CB16" i="43"/>
  <c r="CB26" i="43"/>
  <c r="CB36" i="43" s="1"/>
  <c r="CB18" i="43"/>
  <c r="CB10" i="43"/>
  <c r="CB46" i="43" s="1"/>
  <c r="CB24" i="43"/>
  <c r="CB4" i="43"/>
  <c r="CB40" i="43" s="1"/>
  <c r="CB23" i="43"/>
  <c r="CB30" i="43"/>
  <c r="CB35" i="43" s="1"/>
  <c r="CB6" i="43"/>
  <c r="CB47" i="43" s="1"/>
  <c r="CB13" i="43"/>
  <c r="CB33" i="43" s="1"/>
  <c r="CB7" i="43"/>
  <c r="CB21" i="43"/>
  <c r="CB8" i="43"/>
  <c r="CB41" i="43" s="1"/>
  <c r="CB27" i="43"/>
  <c r="CB11" i="43"/>
  <c r="CB39" i="43" s="1"/>
  <c r="CB29" i="43"/>
  <c r="CB2" i="43"/>
  <c r="CB38" i="43" s="1"/>
  <c r="CB3" i="30"/>
  <c r="CB32" i="30" s="1"/>
  <c r="CB4" i="30"/>
  <c r="CB40" i="30" s="1"/>
  <c r="CB6" i="30"/>
  <c r="CB47" i="30" s="1"/>
  <c r="CB45" i="30" s="1"/>
  <c r="CB8" i="30"/>
  <c r="CB41" i="30" s="1"/>
  <c r="CB15" i="30"/>
  <c r="CB44" i="30" s="1"/>
  <c r="CB21" i="30"/>
  <c r="CB22" i="30"/>
  <c r="CB37" i="30" s="1"/>
  <c r="CB24" i="30"/>
  <c r="CB25" i="30"/>
  <c r="CB26" i="30"/>
  <c r="CB36" i="30" s="1"/>
  <c r="CB27" i="30"/>
  <c r="CB28" i="30"/>
  <c r="CB43" i="30" s="1"/>
  <c r="CB30" i="30"/>
  <c r="CB35" i="30" s="1"/>
  <c r="CB5" i="30"/>
  <c r="CB7" i="30"/>
  <c r="CB9" i="30"/>
  <c r="CB10" i="30"/>
  <c r="CB46" i="30" s="1"/>
  <c r="CB11" i="30"/>
  <c r="CB39" i="30" s="1"/>
  <c r="CB12" i="30"/>
  <c r="CB13" i="30"/>
  <c r="CB33" i="30" s="1"/>
  <c r="CB14" i="30"/>
  <c r="CB34" i="30" s="1"/>
  <c r="CB16" i="30"/>
  <c r="CB17" i="30"/>
  <c r="CB18" i="30"/>
  <c r="CB19" i="30"/>
  <c r="CB42" i="30" s="1"/>
  <c r="CB20" i="30"/>
  <c r="CB23" i="30"/>
  <c r="CB29" i="30"/>
  <c r="CQ30" i="42"/>
  <c r="CQ35" i="42" s="1"/>
  <c r="CQ29" i="42"/>
  <c r="CQ28" i="42"/>
  <c r="CQ43" i="42" s="1"/>
  <c r="CQ27" i="42"/>
  <c r="CQ26" i="42"/>
  <c r="CQ36" i="42" s="1"/>
  <c r="CQ25" i="42"/>
  <c r="CQ24" i="42"/>
  <c r="CQ23" i="42"/>
  <c r="CQ22" i="42"/>
  <c r="CQ37" i="42" s="1"/>
  <c r="CQ21" i="42"/>
  <c r="CQ20" i="42"/>
  <c r="CQ19" i="42"/>
  <c r="CQ42" i="42" s="1"/>
  <c r="CQ18" i="42"/>
  <c r="CQ17" i="42"/>
  <c r="CQ16" i="42"/>
  <c r="CQ15" i="42"/>
  <c r="CQ44" i="42" s="1"/>
  <c r="CQ14" i="42"/>
  <c r="CQ34" i="42" s="1"/>
  <c r="CQ13" i="42"/>
  <c r="CQ33" i="42" s="1"/>
  <c r="CQ12" i="42"/>
  <c r="CQ11" i="42"/>
  <c r="CQ39" i="42" s="1"/>
  <c r="CQ10" i="42"/>
  <c r="CQ46" i="42" s="1"/>
  <c r="CQ45" i="42" s="1"/>
  <c r="CQ9" i="42"/>
  <c r="CQ8" i="42"/>
  <c r="CQ41" i="42" s="1"/>
  <c r="CQ7" i="42"/>
  <c r="CQ6" i="42"/>
  <c r="CQ47" i="42" s="1"/>
  <c r="CQ5" i="42"/>
  <c r="CQ4" i="42"/>
  <c r="CQ40" i="42" s="1"/>
  <c r="CQ3" i="42"/>
  <c r="CQ32" i="42" s="1"/>
  <c r="CQ2" i="42"/>
  <c r="CQ38" i="42" s="1"/>
  <c r="BR30" i="41"/>
  <c r="BR35" i="41" s="1"/>
  <c r="BR7" i="41"/>
  <c r="BR6" i="41"/>
  <c r="BR47" i="41" s="1"/>
  <c r="BR5" i="41"/>
  <c r="BR4" i="41"/>
  <c r="BR40" i="41" s="1"/>
  <c r="BR3" i="41"/>
  <c r="BR32" i="41" s="1"/>
  <c r="BR31" i="41" s="1"/>
  <c r="BR29" i="41"/>
  <c r="BR28" i="41"/>
  <c r="BR43" i="41" s="1"/>
  <c r="BR10" i="41"/>
  <c r="BR46" i="41" s="1"/>
  <c r="BR45" i="41" s="1"/>
  <c r="BR9" i="41"/>
  <c r="BR8" i="41"/>
  <c r="BR41" i="41" s="1"/>
  <c r="BR27" i="41"/>
  <c r="BR26" i="41"/>
  <c r="BR36" i="41" s="1"/>
  <c r="BR25" i="41"/>
  <c r="BR24" i="41"/>
  <c r="BR23" i="41"/>
  <c r="BR49" i="41" s="1"/>
  <c r="BR21" i="41"/>
  <c r="BR20" i="41"/>
  <c r="BR19" i="41"/>
  <c r="BR42" i="41" s="1"/>
  <c r="BR18" i="41"/>
  <c r="BR17" i="41"/>
  <c r="BR16" i="41"/>
  <c r="BR15" i="41"/>
  <c r="BR44" i="41" s="1"/>
  <c r="BR12" i="41"/>
  <c r="BR11" i="41"/>
  <c r="BR39" i="41" s="1"/>
  <c r="BR2" i="41"/>
  <c r="BR38" i="41" s="1"/>
  <c r="BR13" i="41"/>
  <c r="BR33" i="41" s="1"/>
  <c r="BR3" i="29"/>
  <c r="BR32" i="29" s="1"/>
  <c r="BR5" i="29"/>
  <c r="BR7" i="29"/>
  <c r="BR9" i="29"/>
  <c r="BR11" i="29"/>
  <c r="BR39" i="29" s="1"/>
  <c r="BR14" i="41"/>
  <c r="BR34" i="41" s="1"/>
  <c r="BR12" i="29"/>
  <c r="BR13" i="29"/>
  <c r="BR33" i="29" s="1"/>
  <c r="BR14" i="29"/>
  <c r="BR34" i="29" s="1"/>
  <c r="BR15" i="29"/>
  <c r="BR44" i="29" s="1"/>
  <c r="BR16" i="29"/>
  <c r="BR17" i="29"/>
  <c r="BR18" i="29"/>
  <c r="BR19" i="29"/>
  <c r="BR42" i="29" s="1"/>
  <c r="BR20" i="29"/>
  <c r="BR21" i="29"/>
  <c r="BR22" i="29"/>
  <c r="BR37" i="29" s="1"/>
  <c r="BR23" i="29"/>
  <c r="BR49" i="29" s="1"/>
  <c r="BR24" i="29"/>
  <c r="BR25" i="29"/>
  <c r="BR26" i="29"/>
  <c r="BR36" i="29" s="1"/>
  <c r="BR27" i="29"/>
  <c r="BR28" i="29"/>
  <c r="BR43" i="29" s="1"/>
  <c r="BR29" i="29"/>
  <c r="BR30" i="29"/>
  <c r="BR35" i="29" s="1"/>
  <c r="BR4" i="29"/>
  <c r="BR40" i="29" s="1"/>
  <c r="BR10" i="29"/>
  <c r="BR46" i="29" s="1"/>
  <c r="BR45" i="29" s="1"/>
  <c r="BR22" i="41"/>
  <c r="BR37" i="41" s="1"/>
  <c r="BR8" i="29"/>
  <c r="BR41" i="29" s="1"/>
  <c r="BR6" i="29"/>
  <c r="BR47" i="29" s="1"/>
  <c r="BR2" i="29"/>
  <c r="BR38" i="29" s="1"/>
  <c r="CQ22" i="43"/>
  <c r="CQ37" i="43" s="1"/>
  <c r="CQ17" i="43"/>
  <c r="CQ9" i="43"/>
  <c r="CQ5" i="43"/>
  <c r="CQ19" i="43"/>
  <c r="CQ42" i="43" s="1"/>
  <c r="CQ26" i="43"/>
  <c r="CQ36" i="43" s="1"/>
  <c r="CQ25" i="43"/>
  <c r="CQ28" i="43"/>
  <c r="CQ43" i="43" s="1"/>
  <c r="CQ20" i="43"/>
  <c r="CQ12" i="43"/>
  <c r="CQ15" i="43"/>
  <c r="CQ44" i="43" s="1"/>
  <c r="CQ3" i="43"/>
  <c r="CQ32" i="43" s="1"/>
  <c r="CQ14" i="43"/>
  <c r="CQ34" i="43" s="1"/>
  <c r="CQ16" i="43"/>
  <c r="CQ18" i="43"/>
  <c r="CQ2" i="43"/>
  <c r="CQ38" i="43" s="1"/>
  <c r="CQ4" i="43"/>
  <c r="CQ40" i="43" s="1"/>
  <c r="CQ23" i="43"/>
  <c r="CQ30" i="43"/>
  <c r="CQ35" i="43" s="1"/>
  <c r="CQ6" i="43"/>
  <c r="CQ47" i="43" s="1"/>
  <c r="CQ13" i="43"/>
  <c r="CQ33" i="43" s="1"/>
  <c r="CQ7" i="43"/>
  <c r="CQ21" i="43"/>
  <c r="CQ8" i="43"/>
  <c r="CQ41" i="43" s="1"/>
  <c r="CQ27" i="43"/>
  <c r="CQ11" i="43"/>
  <c r="CQ39" i="43" s="1"/>
  <c r="CQ10" i="43"/>
  <c r="CQ46" i="43" s="1"/>
  <c r="CQ29" i="43"/>
  <c r="CQ24" i="43"/>
  <c r="CQ3" i="30"/>
  <c r="CQ32" i="30" s="1"/>
  <c r="CQ4" i="30"/>
  <c r="CQ40" i="30" s="1"/>
  <c r="CQ5" i="30"/>
  <c r="CQ6" i="30"/>
  <c r="CQ47" i="30" s="1"/>
  <c r="CQ7" i="30"/>
  <c r="CQ8" i="30"/>
  <c r="CQ41" i="30" s="1"/>
  <c r="CQ9" i="30"/>
  <c r="CQ10" i="30"/>
  <c r="CQ46" i="30" s="1"/>
  <c r="CQ11" i="30"/>
  <c r="CQ39" i="30" s="1"/>
  <c r="CQ12" i="30"/>
  <c r="CQ13" i="30"/>
  <c r="CQ33" i="30" s="1"/>
  <c r="CQ14" i="30"/>
  <c r="CQ34" i="30" s="1"/>
  <c r="CQ15" i="30"/>
  <c r="CQ44" i="30" s="1"/>
  <c r="CQ16" i="30"/>
  <c r="CQ17" i="30"/>
  <c r="CQ18" i="30"/>
  <c r="CQ19" i="30"/>
  <c r="CQ42" i="30" s="1"/>
  <c r="CQ20" i="30"/>
  <c r="CQ21" i="30"/>
  <c r="CQ22" i="30"/>
  <c r="CQ37" i="30" s="1"/>
  <c r="CQ23" i="30"/>
  <c r="CQ24" i="30"/>
  <c r="CQ25" i="30"/>
  <c r="CQ26" i="30"/>
  <c r="CQ36" i="30" s="1"/>
  <c r="CQ27" i="30"/>
  <c r="CQ28" i="30"/>
  <c r="CQ43" i="30" s="1"/>
  <c r="CQ29" i="30"/>
  <c r="CQ30" i="30"/>
  <c r="CQ35" i="30" s="1"/>
  <c r="BG30" i="38"/>
  <c r="BG35" i="38" s="1"/>
  <c r="CY29" i="38"/>
  <c r="BG25" i="38"/>
  <c r="CY24" i="38"/>
  <c r="BG21" i="38"/>
  <c r="BG29" i="38"/>
  <c r="CY23" i="38"/>
  <c r="CY49" i="38" s="1"/>
  <c r="CY22" i="38"/>
  <c r="CY37" i="38" s="1"/>
  <c r="CY21" i="38"/>
  <c r="BG20" i="38"/>
  <c r="CY19" i="38"/>
  <c r="CY42" i="38" s="1"/>
  <c r="BG16" i="38"/>
  <c r="CY15" i="38"/>
  <c r="CY44" i="38" s="1"/>
  <c r="BG12" i="38"/>
  <c r="CY11" i="38"/>
  <c r="CY39" i="38" s="1"/>
  <c r="BG9" i="38"/>
  <c r="CY8" i="38"/>
  <c r="CY41" i="38" s="1"/>
  <c r="BG28" i="38"/>
  <c r="BG43" i="38" s="1"/>
  <c r="CY26" i="38"/>
  <c r="CY36" i="38" s="1"/>
  <c r="CY25" i="38"/>
  <c r="BG19" i="38"/>
  <c r="BG42" i="38" s="1"/>
  <c r="CY18" i="38"/>
  <c r="BG27" i="38"/>
  <c r="BG15" i="38"/>
  <c r="BG44" i="38" s="1"/>
  <c r="CY10" i="38"/>
  <c r="CY46" i="38" s="1"/>
  <c r="CY9" i="38"/>
  <c r="CY6" i="38"/>
  <c r="CY47" i="38" s="1"/>
  <c r="CY5" i="38"/>
  <c r="BG3" i="38"/>
  <c r="BG32" i="38" s="1"/>
  <c r="Q30" i="38"/>
  <c r="Q35" i="38" s="1"/>
  <c r="Q29" i="38"/>
  <c r="Q27" i="38"/>
  <c r="Q18" i="38"/>
  <c r="Q16" i="38"/>
  <c r="Q14" i="38"/>
  <c r="Q34" i="38" s="1"/>
  <c r="Q9" i="38"/>
  <c r="Q8" i="38"/>
  <c r="Q41" i="38" s="1"/>
  <c r="Q7" i="38"/>
  <c r="CY30" i="38"/>
  <c r="CY35" i="38" s="1"/>
  <c r="BG24" i="38"/>
  <c r="BG22" i="38"/>
  <c r="BG37" i="38" s="1"/>
  <c r="BG17" i="38"/>
  <c r="BG14" i="38"/>
  <c r="BG34" i="38" s="1"/>
  <c r="BG13" i="38"/>
  <c r="BG33" i="38" s="1"/>
  <c r="BG8" i="38"/>
  <c r="BG41" i="38" s="1"/>
  <c r="CY4" i="38"/>
  <c r="CY40" i="38" s="1"/>
  <c r="CY2" i="38"/>
  <c r="CY38" i="38" s="1"/>
  <c r="Q28" i="38"/>
  <c r="Q43" i="38" s="1"/>
  <c r="Q23" i="38"/>
  <c r="Q49" i="38" s="1"/>
  <c r="Q17" i="38"/>
  <c r="Q15" i="38"/>
  <c r="Q44" i="38" s="1"/>
  <c r="Q13" i="38"/>
  <c r="Q33" i="38" s="1"/>
  <c r="Q11" i="38"/>
  <c r="Q39" i="38" s="1"/>
  <c r="CY27" i="38"/>
  <c r="BG23" i="38"/>
  <c r="BG49" i="38" s="1"/>
  <c r="CY20" i="38"/>
  <c r="CY7" i="38"/>
  <c r="BG2" i="38"/>
  <c r="BG38" i="38" s="1"/>
  <c r="Q26" i="38"/>
  <c r="Q36" i="38" s="1"/>
  <c r="Q21" i="38"/>
  <c r="Q12" i="38"/>
  <c r="CY16" i="38"/>
  <c r="CY12" i="38"/>
  <c r="BG11" i="38"/>
  <c r="BG39" i="38" s="1"/>
  <c r="BG7" i="38"/>
  <c r="BG4" i="38"/>
  <c r="BG40" i="38" s="1"/>
  <c r="CY3" i="38"/>
  <c r="CY32" i="38" s="1"/>
  <c r="Q25" i="38"/>
  <c r="Q19" i="38"/>
  <c r="Q42" i="38" s="1"/>
  <c r="Q10" i="38"/>
  <c r="Q46" i="38" s="1"/>
  <c r="Q5" i="38"/>
  <c r="Q3" i="38"/>
  <c r="Q32" i="38" s="1"/>
  <c r="Q2" i="38"/>
  <c r="Q38" i="38" s="1"/>
  <c r="CY17" i="38"/>
  <c r="CY14" i="38"/>
  <c r="CY34" i="38" s="1"/>
  <c r="CY13" i="38"/>
  <c r="CY33" i="38" s="1"/>
  <c r="BG10" i="38"/>
  <c r="BG46" i="38" s="1"/>
  <c r="BG45" i="38" s="1"/>
  <c r="CY28" i="38"/>
  <c r="CY43" i="38" s="1"/>
  <c r="BG26" i="38"/>
  <c r="BG36" i="38" s="1"/>
  <c r="BG18" i="38"/>
  <c r="BG5" i="38"/>
  <c r="Q24" i="38"/>
  <c r="Q22" i="38"/>
  <c r="Q37" i="38" s="1"/>
  <c r="BG6" i="38"/>
  <c r="BG47" i="38" s="1"/>
  <c r="Q20" i="38"/>
  <c r="Q6" i="38"/>
  <c r="Q47" i="38" s="1"/>
  <c r="Q4" i="38"/>
  <c r="Q40" i="38" s="1"/>
  <c r="AB30" i="32"/>
  <c r="AB35" i="32" s="1"/>
  <c r="AB26" i="32"/>
  <c r="AB36" i="32" s="1"/>
  <c r="AB21" i="32"/>
  <c r="AB16" i="32"/>
  <c r="AO15" i="32"/>
  <c r="AO44" i="32" s="1"/>
  <c r="AO14" i="32"/>
  <c r="AO34" i="32" s="1"/>
  <c r="AO12" i="32"/>
  <c r="AB12" i="32"/>
  <c r="AO11" i="32"/>
  <c r="AO39" i="32" s="1"/>
  <c r="AB10" i="32"/>
  <c r="AB46" i="32" s="1"/>
  <c r="AB4" i="32"/>
  <c r="AB40" i="32" s="1"/>
  <c r="AO29" i="32"/>
  <c r="AB25" i="32"/>
  <c r="AO24" i="32"/>
  <c r="AO22" i="32"/>
  <c r="AO37" i="32" s="1"/>
  <c r="AB20" i="32"/>
  <c r="AO19" i="32"/>
  <c r="AO42" i="32" s="1"/>
  <c r="AB18" i="32"/>
  <c r="AB7" i="32"/>
  <c r="AB3" i="32"/>
  <c r="AB32" i="32" s="1"/>
  <c r="AO2" i="32"/>
  <c r="AO38" i="32" s="1"/>
  <c r="AB2" i="32"/>
  <c r="AB38" i="32" s="1"/>
  <c r="AO26" i="32"/>
  <c r="AO36" i="32" s="1"/>
  <c r="AO25" i="32"/>
  <c r="AB22" i="32"/>
  <c r="AB37" i="32" s="1"/>
  <c r="AO21" i="32"/>
  <c r="AO20" i="32"/>
  <c r="AB19" i="32"/>
  <c r="AB42" i="32" s="1"/>
  <c r="AO18" i="32"/>
  <c r="AB11" i="32"/>
  <c r="AB39" i="32" s="1"/>
  <c r="AO10" i="32"/>
  <c r="AO46" i="32" s="1"/>
  <c r="AO45" i="32" s="1"/>
  <c r="AO8" i="32"/>
  <c r="AO41" i="32" s="1"/>
  <c r="AO7" i="32"/>
  <c r="AO4" i="32"/>
  <c r="AO40" i="32" s="1"/>
  <c r="AB28" i="32"/>
  <c r="AB43" i="32" s="1"/>
  <c r="AB27" i="32"/>
  <c r="AB24" i="32"/>
  <c r="AB23" i="32"/>
  <c r="AB49" i="32" s="1"/>
  <c r="AO17" i="32"/>
  <c r="AB14" i="32"/>
  <c r="AB34" i="32" s="1"/>
  <c r="AO6" i="32"/>
  <c r="AO47" i="32" s="1"/>
  <c r="AO5" i="32"/>
  <c r="AO3" i="32"/>
  <c r="AO32" i="32" s="1"/>
  <c r="AO30" i="32"/>
  <c r="AO35" i="32" s="1"/>
  <c r="AB29" i="32"/>
  <c r="AB17" i="32"/>
  <c r="AB13" i="32"/>
  <c r="AB33" i="32" s="1"/>
  <c r="AB5" i="32"/>
  <c r="AO28" i="32"/>
  <c r="AO43" i="32" s="1"/>
  <c r="AO27" i="32"/>
  <c r="AO23" i="32"/>
  <c r="AO49" i="32" s="1"/>
  <c r="AO13" i="32"/>
  <c r="AO33" i="32" s="1"/>
  <c r="AB9" i="32"/>
  <c r="AB6" i="32"/>
  <c r="AB47" i="32" s="1"/>
  <c r="AB15" i="32"/>
  <c r="AB44" i="32" s="1"/>
  <c r="AB8" i="32"/>
  <c r="AB41" i="32" s="1"/>
  <c r="AO16" i="32"/>
  <c r="AO9" i="32"/>
  <c r="S3" i="32"/>
  <c r="S32" i="32" s="1"/>
  <c r="W4" i="32"/>
  <c r="W40" i="32" s="1"/>
  <c r="K7" i="32"/>
  <c r="V8" i="32"/>
  <c r="V41" i="32" s="1"/>
  <c r="O46" i="32"/>
  <c r="U13" i="32"/>
  <c r="U33" i="32" s="1"/>
  <c r="T14" i="32"/>
  <c r="T34" i="32" s="1"/>
  <c r="S15" i="32"/>
  <c r="S44" i="32" s="1"/>
  <c r="W16" i="32"/>
  <c r="K19" i="32"/>
  <c r="K42" i="32" s="1"/>
  <c r="E49" i="32"/>
  <c r="N49" i="32"/>
  <c r="V24" i="32"/>
  <c r="O36" i="32"/>
  <c r="R43" i="32"/>
  <c r="U29" i="32"/>
  <c r="T3" i="32"/>
  <c r="T32" i="32" s="1"/>
  <c r="S4" i="32"/>
  <c r="S40" i="32" s="1"/>
  <c r="W5" i="32"/>
  <c r="P47" i="32"/>
  <c r="E41" i="32"/>
  <c r="K8" i="32"/>
  <c r="K41" i="32" s="1"/>
  <c r="V9" i="32"/>
  <c r="K12" i="32"/>
  <c r="Q33" i="32"/>
  <c r="T15" i="32"/>
  <c r="T44" i="32" s="1"/>
  <c r="W17" i="32"/>
  <c r="K20" i="32"/>
  <c r="T23" i="32"/>
  <c r="T49" i="32" s="1"/>
  <c r="S24" i="32"/>
  <c r="W25" i="32"/>
  <c r="P36" i="32"/>
  <c r="N43" i="32"/>
  <c r="R38" i="32"/>
  <c r="U3" i="32"/>
  <c r="U32" i="32" s="1"/>
  <c r="O40" i="32"/>
  <c r="K5" i="32"/>
  <c r="W6" i="32"/>
  <c r="W47" i="32" s="1"/>
  <c r="U7" i="32"/>
  <c r="O41" i="32"/>
  <c r="R46" i="32"/>
  <c r="U11" i="32"/>
  <c r="U39" i="32" s="1"/>
  <c r="N33" i="32"/>
  <c r="R34" i="32"/>
  <c r="U15" i="32"/>
  <c r="U44" i="32" s="1"/>
  <c r="U19" i="32"/>
  <c r="U42" i="32" s="1"/>
  <c r="V22" i="32"/>
  <c r="V37" i="32" s="1"/>
  <c r="V26" i="32"/>
  <c r="V36" i="32" s="1"/>
  <c r="T28" i="32"/>
  <c r="T43" i="32" s="1"/>
  <c r="W30" i="32"/>
  <c r="W35" i="32" s="1"/>
  <c r="S2" i="32"/>
  <c r="S38" i="32" s="1"/>
  <c r="V3" i="32"/>
  <c r="V32" i="32" s="1"/>
  <c r="S6" i="32"/>
  <c r="S47" i="32" s="1"/>
  <c r="W7" i="32"/>
  <c r="U8" i="32"/>
  <c r="U41" i="32" s="1"/>
  <c r="T9" i="32"/>
  <c r="N46" i="32"/>
  <c r="W11" i="32"/>
  <c r="W39" i="32" s="1"/>
  <c r="K14" i="32"/>
  <c r="K34" i="32" s="1"/>
  <c r="V15" i="32"/>
  <c r="V44" i="32" s="1"/>
  <c r="K18" i="32"/>
  <c r="Q42" i="32"/>
  <c r="R49" i="32"/>
  <c r="U24" i="32"/>
  <c r="K26" i="32"/>
  <c r="K36" i="32" s="1"/>
  <c r="S30" i="32"/>
  <c r="S35" i="32" s="1"/>
  <c r="N32" i="32"/>
  <c r="R40" i="32"/>
  <c r="U5" i="32"/>
  <c r="T6" i="32"/>
  <c r="T47" i="32" s="1"/>
  <c r="W8" i="32"/>
  <c r="W41" i="32" s="1"/>
  <c r="E39" i="32"/>
  <c r="N39" i="32"/>
  <c r="V12" i="32"/>
  <c r="O34" i="32"/>
  <c r="U17" i="32"/>
  <c r="T18" i="32"/>
  <c r="E42" i="32"/>
  <c r="W20" i="32"/>
  <c r="K23" i="32"/>
  <c r="K49" i="32" s="1"/>
  <c r="V28" i="32"/>
  <c r="V43" i="32" s="1"/>
  <c r="P38" i="32"/>
  <c r="O32" i="32"/>
  <c r="N40" i="32"/>
  <c r="U6" i="32"/>
  <c r="U47" i="32" s="1"/>
  <c r="T7" i="32"/>
  <c r="W9" i="32"/>
  <c r="P46" i="32"/>
  <c r="V13" i="32"/>
  <c r="V33" i="32" s="1"/>
  <c r="O44" i="32"/>
  <c r="U18" i="32"/>
  <c r="V21" i="32"/>
  <c r="O49" i="32"/>
  <c r="U26" i="32"/>
  <c r="U36" i="32" s="1"/>
  <c r="E43" i="32"/>
  <c r="K28" i="32"/>
  <c r="K43" i="32" s="1"/>
  <c r="V29" i="32"/>
  <c r="V2" i="32"/>
  <c r="V38" i="32" s="1"/>
  <c r="S5" i="32"/>
  <c r="V6" i="32"/>
  <c r="V47" i="32" s="1"/>
  <c r="V10" i="32"/>
  <c r="V46" i="32" s="1"/>
  <c r="E33" i="32"/>
  <c r="K13" i="32"/>
  <c r="K33" i="32" s="1"/>
  <c r="V14" i="32"/>
  <c r="V34" i="32" s="1"/>
  <c r="V18" i="32"/>
  <c r="K21" i="32"/>
  <c r="Q37" i="32"/>
  <c r="K25" i="32"/>
  <c r="Q36" i="32"/>
  <c r="O43" i="32"/>
  <c r="S29" i="32"/>
  <c r="R35" i="32"/>
  <c r="E38" i="32"/>
  <c r="Q32" i="32"/>
  <c r="E47" i="32"/>
  <c r="N47" i="32"/>
  <c r="K10" i="32"/>
  <c r="K46" i="32" s="1"/>
  <c r="T2" i="32"/>
  <c r="T38" i="32" s="1"/>
  <c r="E32" i="32"/>
  <c r="K3" i="32"/>
  <c r="K32" i="32" s="1"/>
  <c r="V4" i="32"/>
  <c r="V40" i="32" s="1"/>
  <c r="O47" i="32"/>
  <c r="S7" i="32"/>
  <c r="R41" i="32"/>
  <c r="U9" i="32"/>
  <c r="S11" i="32"/>
  <c r="S39" i="32" s="1"/>
  <c r="K11" i="32"/>
  <c r="K39" i="32" s="1"/>
  <c r="N44" i="32"/>
  <c r="V16" i="32"/>
  <c r="S19" i="32"/>
  <c r="S42" i="32" s="1"/>
  <c r="U21" i="32"/>
  <c r="T22" i="32"/>
  <c r="T37" i="32" s="1"/>
  <c r="S23" i="32"/>
  <c r="S49" i="32" s="1"/>
  <c r="W24" i="32"/>
  <c r="K27" i="32"/>
  <c r="Q43" i="32"/>
  <c r="T30" i="32"/>
  <c r="T35" i="32" s="1"/>
  <c r="U2" i="32"/>
  <c r="U38" i="32" s="1"/>
  <c r="K4" i="32"/>
  <c r="K40" i="32" s="1"/>
  <c r="V5" i="32"/>
  <c r="S8" i="32"/>
  <c r="S41" i="32" s="1"/>
  <c r="U10" i="32"/>
  <c r="U46" i="32" s="1"/>
  <c r="U45" i="32" s="1"/>
  <c r="T11" i="32"/>
  <c r="T39" i="32" s="1"/>
  <c r="S12" i="32"/>
  <c r="W13" i="32"/>
  <c r="W33" i="32" s="1"/>
  <c r="P34" i="32"/>
  <c r="T19" i="32"/>
  <c r="T42" i="32" s="1"/>
  <c r="S20" i="32"/>
  <c r="W21" i="32"/>
  <c r="P37" i="32"/>
  <c r="K24" i="32"/>
  <c r="T27" i="32"/>
  <c r="W29" i="32"/>
  <c r="P35" i="32"/>
  <c r="Q38" i="32"/>
  <c r="Q47" i="32"/>
  <c r="S9" i="32"/>
  <c r="Q46" i="32"/>
  <c r="Q34" i="32"/>
  <c r="K17" i="32"/>
  <c r="T20" i="32"/>
  <c r="W22" i="32"/>
  <c r="W37" i="32" s="1"/>
  <c r="P49" i="32"/>
  <c r="T24" i="32"/>
  <c r="W26" i="32"/>
  <c r="W36" i="32" s="1"/>
  <c r="V30" i="32"/>
  <c r="V35" i="32" s="1"/>
  <c r="N38" i="32"/>
  <c r="W3" i="32"/>
  <c r="W32" i="32" s="1"/>
  <c r="P40" i="32"/>
  <c r="K6" i="32"/>
  <c r="V7" i="32"/>
  <c r="E46" i="32"/>
  <c r="Q39" i="32"/>
  <c r="O33" i="32"/>
  <c r="S14" i="32"/>
  <c r="S34" i="32" s="1"/>
  <c r="R44" i="32"/>
  <c r="U16" i="32"/>
  <c r="T17" i="32"/>
  <c r="W19" i="32"/>
  <c r="W42" i="32" s="1"/>
  <c r="E37" i="32"/>
  <c r="K22" i="32"/>
  <c r="K37" i="32" s="1"/>
  <c r="V23" i="32"/>
  <c r="V49" i="32" s="1"/>
  <c r="T25" i="32"/>
  <c r="S26" i="32"/>
  <c r="S36" i="32" s="1"/>
  <c r="W27" i="32"/>
  <c r="P43" i="32"/>
  <c r="K30" i="32"/>
  <c r="K35" i="32" s="1"/>
  <c r="P33" i="32"/>
  <c r="V20" i="32"/>
  <c r="W28" i="32"/>
  <c r="W43" i="32" s="1"/>
  <c r="N41" i="32"/>
  <c r="S16" i="32"/>
  <c r="O42" i="32"/>
  <c r="U30" i="32"/>
  <c r="U35" i="32" s="1"/>
  <c r="P32" i="32"/>
  <c r="P39" i="32"/>
  <c r="P44" i="32"/>
  <c r="P42" i="32"/>
  <c r="R37" i="32"/>
  <c r="R36" i="32"/>
  <c r="K29" i="32"/>
  <c r="S10" i="32"/>
  <c r="S46" i="32" s="1"/>
  <c r="U12" i="32"/>
  <c r="S18" i="32"/>
  <c r="V19" i="32"/>
  <c r="V42" i="32" s="1"/>
  <c r="Q49" i="32"/>
  <c r="N35" i="32"/>
  <c r="T10" i="32"/>
  <c r="T46" i="32" s="1"/>
  <c r="U25" i="32"/>
  <c r="R33" i="32"/>
  <c r="K16" i="32"/>
  <c r="T4" i="32"/>
  <c r="T40" i="32" s="1"/>
  <c r="T8" i="32"/>
  <c r="T41" i="32" s="1"/>
  <c r="T12" i="32"/>
  <c r="T16" i="32"/>
  <c r="U23" i="32"/>
  <c r="U49" i="32" s="1"/>
  <c r="U27" i="32"/>
  <c r="Q35" i="32"/>
  <c r="R32" i="32"/>
  <c r="N34" i="32"/>
  <c r="U20" i="32"/>
  <c r="S22" i="32"/>
  <c r="S37" i="32" s="1"/>
  <c r="T29" i="32"/>
  <c r="O38" i="32"/>
  <c r="E44" i="32"/>
  <c r="O37" i="32"/>
  <c r="T26" i="32"/>
  <c r="T36" i="32" s="1"/>
  <c r="U14" i="32"/>
  <c r="U34" i="32" s="1"/>
  <c r="V17" i="32"/>
  <c r="S28" i="32"/>
  <c r="S43" i="32" s="1"/>
  <c r="K9" i="32"/>
  <c r="S13" i="32"/>
  <c r="S33" i="32" s="1"/>
  <c r="S17" i="32"/>
  <c r="U4" i="32"/>
  <c r="U40" i="32" s="1"/>
  <c r="P41" i="32"/>
  <c r="R39" i="32"/>
  <c r="T13" i="32"/>
  <c r="T33" i="32" s="1"/>
  <c r="W15" i="32"/>
  <c r="W44" i="32" s="1"/>
  <c r="N37" i="32"/>
  <c r="E36" i="32"/>
  <c r="V27" i="32"/>
  <c r="Q41" i="32"/>
  <c r="E40" i="32"/>
  <c r="W14" i="32"/>
  <c r="W34" i="32" s="1"/>
  <c r="Q40" i="32"/>
  <c r="W12" i="32"/>
  <c r="S27" i="32"/>
  <c r="U22" i="32"/>
  <c r="U37" i="32" s="1"/>
  <c r="W2" i="32"/>
  <c r="W38" i="32" s="1"/>
  <c r="W18" i="32"/>
  <c r="K2" i="32"/>
  <c r="K38" i="32" s="1"/>
  <c r="V11" i="32"/>
  <c r="V39" i="32" s="1"/>
  <c r="R42" i="32"/>
  <c r="N36" i="32"/>
  <c r="N42" i="32"/>
  <c r="W10" i="32"/>
  <c r="W46" i="32" s="1"/>
  <c r="W45" i="32" s="1"/>
  <c r="T5" i="32"/>
  <c r="K15" i="32"/>
  <c r="K44" i="32" s="1"/>
  <c r="O35" i="32"/>
  <c r="O39" i="32"/>
  <c r="V25" i="32"/>
  <c r="R47" i="32"/>
  <c r="S21" i="32"/>
  <c r="E34" i="32"/>
  <c r="T21" i="32"/>
  <c r="U28" i="32"/>
  <c r="U43" i="32" s="1"/>
  <c r="S25" i="32"/>
  <c r="Q44" i="32"/>
  <c r="W23" i="32"/>
  <c r="W49" i="32" s="1"/>
  <c r="E35" i="32"/>
  <c r="K4" i="5"/>
  <c r="K40" i="5" s="1"/>
  <c r="U6" i="5"/>
  <c r="U47" i="5" s="1"/>
  <c r="S8" i="5"/>
  <c r="S41" i="5" s="1"/>
  <c r="W11" i="5"/>
  <c r="W39" i="5" s="1"/>
  <c r="S12" i="5"/>
  <c r="V15" i="5"/>
  <c r="V44" i="5" s="1"/>
  <c r="T17" i="5"/>
  <c r="K20" i="5"/>
  <c r="U22" i="5"/>
  <c r="U37" i="5" s="1"/>
  <c r="W27" i="5"/>
  <c r="S28" i="5"/>
  <c r="S43" i="5" s="1"/>
  <c r="T3" i="5"/>
  <c r="T32" i="5" s="1"/>
  <c r="K6" i="5"/>
  <c r="K47" i="5" s="1"/>
  <c r="U8" i="5"/>
  <c r="U41" i="5" s="1"/>
  <c r="S10" i="5"/>
  <c r="S46" i="5" s="1"/>
  <c r="S45" i="5" s="1"/>
  <c r="W13" i="5"/>
  <c r="W33" i="5" s="1"/>
  <c r="S14" i="5"/>
  <c r="S34" i="5" s="1"/>
  <c r="V17" i="5"/>
  <c r="T19" i="5"/>
  <c r="T42" i="5" s="1"/>
  <c r="K22" i="5"/>
  <c r="K37" i="5" s="1"/>
  <c r="U24" i="5"/>
  <c r="W29" i="5"/>
  <c r="S30" i="5"/>
  <c r="S35" i="5" s="1"/>
  <c r="V4" i="5"/>
  <c r="V40" i="5" s="1"/>
  <c r="T6" i="5"/>
  <c r="T47" i="5" s="1"/>
  <c r="K9" i="5"/>
  <c r="U11" i="5"/>
  <c r="U39" i="5" s="1"/>
  <c r="W16" i="5"/>
  <c r="S17" i="5"/>
  <c r="V20" i="5"/>
  <c r="T22" i="5"/>
  <c r="T37" i="5" s="1"/>
  <c r="K25" i="5"/>
  <c r="U27" i="5"/>
  <c r="V2" i="5"/>
  <c r="V38" i="5" s="1"/>
  <c r="T4" i="5"/>
  <c r="T40" i="5" s="1"/>
  <c r="K7" i="5"/>
  <c r="U9" i="5"/>
  <c r="S11" i="5"/>
  <c r="S39" i="5" s="1"/>
  <c r="W14" i="5"/>
  <c r="W34" i="5" s="1"/>
  <c r="S15" i="5"/>
  <c r="S44" i="5" s="1"/>
  <c r="V18" i="5"/>
  <c r="T20" i="5"/>
  <c r="K23" i="5"/>
  <c r="K49" i="5" s="1"/>
  <c r="U25" i="5"/>
  <c r="W30" i="5"/>
  <c r="W35" i="5" s="1"/>
  <c r="U2" i="5"/>
  <c r="U38" i="5" s="1"/>
  <c r="W7" i="5"/>
  <c r="V11" i="5"/>
  <c r="V39" i="5" s="1"/>
  <c r="T13" i="5"/>
  <c r="T33" i="5" s="1"/>
  <c r="K16" i="5"/>
  <c r="U18" i="5"/>
  <c r="W23" i="5"/>
  <c r="W49" i="5" s="1"/>
  <c r="S24" i="5"/>
  <c r="V27" i="5"/>
  <c r="T29" i="5"/>
  <c r="U4" i="5"/>
  <c r="U40" i="5" s="1"/>
  <c r="S6" i="5"/>
  <c r="S47" i="5" s="1"/>
  <c r="W9" i="5"/>
  <c r="V13" i="5"/>
  <c r="V33" i="5" s="1"/>
  <c r="T15" i="5"/>
  <c r="T44" i="5" s="1"/>
  <c r="K18" i="5"/>
  <c r="U20" i="5"/>
  <c r="W25" i="5"/>
  <c r="S26" i="5"/>
  <c r="S36" i="5" s="1"/>
  <c r="V29" i="5"/>
  <c r="T2" i="5"/>
  <c r="T38" i="5" s="1"/>
  <c r="K5" i="5"/>
  <c r="U7" i="5"/>
  <c r="S9" i="5"/>
  <c r="W12" i="5"/>
  <c r="S13" i="5"/>
  <c r="S33" i="5" s="1"/>
  <c r="V16" i="5"/>
  <c r="T18" i="5"/>
  <c r="K21" i="5"/>
  <c r="U23" i="5"/>
  <c r="U49" i="5" s="1"/>
  <c r="W28" i="5"/>
  <c r="W43" i="5" s="1"/>
  <c r="S29" i="5"/>
  <c r="U5" i="5"/>
  <c r="S7" i="5"/>
  <c r="W10" i="5"/>
  <c r="W46" i="5" s="1"/>
  <c r="V14" i="5"/>
  <c r="V34" i="5" s="1"/>
  <c r="T16" i="5"/>
  <c r="K19" i="5"/>
  <c r="K42" i="5" s="1"/>
  <c r="U21" i="5"/>
  <c r="W26" i="5"/>
  <c r="W36" i="5" s="1"/>
  <c r="S27" i="5"/>
  <c r="V30" i="5"/>
  <c r="V35" i="5" s="1"/>
  <c r="V3" i="5"/>
  <c r="V32" i="5" s="1"/>
  <c r="K8" i="5"/>
  <c r="K41" i="5" s="1"/>
  <c r="S16" i="5"/>
  <c r="K24" i="5"/>
  <c r="V5" i="5"/>
  <c r="T7" i="5"/>
  <c r="U12" i="5"/>
  <c r="W17" i="5"/>
  <c r="S18" i="5"/>
  <c r="T23" i="5"/>
  <c r="T49" i="5" s="1"/>
  <c r="U28" i="5"/>
  <c r="U43" i="5" s="1"/>
  <c r="W4" i="5"/>
  <c r="W40" i="5" s="1"/>
  <c r="V8" i="5"/>
  <c r="V41" i="5" s="1"/>
  <c r="K13" i="5"/>
  <c r="K33" i="5" s="1"/>
  <c r="W20" i="5"/>
  <c r="S21" i="5"/>
  <c r="T26" i="5"/>
  <c r="T36" i="5" s="1"/>
  <c r="K29" i="5"/>
  <c r="K3" i="5"/>
  <c r="K32" i="5" s="1"/>
  <c r="T8" i="5"/>
  <c r="T41" i="5" s="1"/>
  <c r="U13" i="5"/>
  <c r="U33" i="5" s="1"/>
  <c r="S19" i="5"/>
  <c r="S42" i="5" s="1"/>
  <c r="T24" i="5"/>
  <c r="U29" i="5"/>
  <c r="K2" i="5"/>
  <c r="K38" i="5" s="1"/>
  <c r="W3" i="5"/>
  <c r="W32" i="5" s="1"/>
  <c r="S4" i="5"/>
  <c r="S40" i="5" s="1"/>
  <c r="V7" i="5"/>
  <c r="T9" i="5"/>
  <c r="K12" i="5"/>
  <c r="U14" i="5"/>
  <c r="U34" i="5" s="1"/>
  <c r="W19" i="5"/>
  <c r="W42" i="5" s="1"/>
  <c r="S20" i="5"/>
  <c r="V23" i="5"/>
  <c r="V49" i="5" s="1"/>
  <c r="T25" i="5"/>
  <c r="K28" i="5"/>
  <c r="K43" i="5" s="1"/>
  <c r="U30" i="5"/>
  <c r="U35" i="5" s="1"/>
  <c r="W5" i="5"/>
  <c r="V9" i="5"/>
  <c r="T11" i="5"/>
  <c r="T39" i="5" s="1"/>
  <c r="K14" i="5"/>
  <c r="K34" i="5" s="1"/>
  <c r="U16" i="5"/>
  <c r="W21" i="5"/>
  <c r="S22" i="5"/>
  <c r="S37" i="5" s="1"/>
  <c r="V25" i="5"/>
  <c r="T27" i="5"/>
  <c r="K30" i="5"/>
  <c r="K35" i="5" s="1"/>
  <c r="U3" i="5"/>
  <c r="U32" i="5" s="1"/>
  <c r="W8" i="5"/>
  <c r="W41" i="5" s="1"/>
  <c r="V12" i="5"/>
  <c r="T14" i="5"/>
  <c r="T34" i="5" s="1"/>
  <c r="K17" i="5"/>
  <c r="U19" i="5"/>
  <c r="U42" i="5" s="1"/>
  <c r="W24" i="5"/>
  <c r="S25" i="5"/>
  <c r="V28" i="5"/>
  <c r="V43" i="5" s="1"/>
  <c r="T30" i="5"/>
  <c r="T35" i="5" s="1"/>
  <c r="S3" i="5"/>
  <c r="S32" i="5" s="1"/>
  <c r="W6" i="5"/>
  <c r="W47" i="5" s="1"/>
  <c r="V10" i="5"/>
  <c r="V46" i="5" s="1"/>
  <c r="V45" i="5" s="1"/>
  <c r="T12" i="5"/>
  <c r="K15" i="5"/>
  <c r="K44" i="5" s="1"/>
  <c r="U17" i="5"/>
  <c r="W22" i="5"/>
  <c r="W37" i="5" s="1"/>
  <c r="S23" i="5"/>
  <c r="S49" i="5" s="1"/>
  <c r="V26" i="5"/>
  <c r="V36" i="5" s="1"/>
  <c r="T28" i="5"/>
  <c r="T43" i="5" s="1"/>
  <c r="T5" i="5"/>
  <c r="U10" i="5"/>
  <c r="U46" i="5" s="1"/>
  <c r="U45" i="5" s="1"/>
  <c r="W15" i="5"/>
  <c r="W44" i="5" s="1"/>
  <c r="V19" i="5"/>
  <c r="V42" i="5" s="1"/>
  <c r="T21" i="5"/>
  <c r="U26" i="5"/>
  <c r="U36" i="5" s="1"/>
  <c r="U31" i="5" s="1"/>
  <c r="S2" i="5"/>
  <c r="S38" i="5" s="1"/>
  <c r="K10" i="5"/>
  <c r="K46" i="5" s="1"/>
  <c r="K45" i="5" s="1"/>
  <c r="V21" i="5"/>
  <c r="K26" i="5"/>
  <c r="K36" i="5" s="1"/>
  <c r="S5" i="5"/>
  <c r="T10" i="5"/>
  <c r="T46" i="5" s="1"/>
  <c r="T45" i="5" s="1"/>
  <c r="U15" i="5"/>
  <c r="U44" i="5" s="1"/>
  <c r="V24" i="5"/>
  <c r="W2" i="5"/>
  <c r="W38" i="5" s="1"/>
  <c r="V6" i="5"/>
  <c r="V47" i="5" s="1"/>
  <c r="K11" i="5"/>
  <c r="K39" i="5" s="1"/>
  <c r="W18" i="5"/>
  <c r="V22" i="5"/>
  <c r="V37" i="5" s="1"/>
  <c r="K27" i="5"/>
  <c r="AL30" i="42"/>
  <c r="AL35" i="42" s="1"/>
  <c r="AL29" i="42"/>
  <c r="AL28" i="42"/>
  <c r="AL43" i="42" s="1"/>
  <c r="AL27" i="42"/>
  <c r="AL26" i="42"/>
  <c r="AL36" i="42" s="1"/>
  <c r="AL25" i="42"/>
  <c r="AL24" i="42"/>
  <c r="AL23" i="42"/>
  <c r="AL22" i="42"/>
  <c r="AL37" i="42" s="1"/>
  <c r="AL21" i="42"/>
  <c r="AL20" i="42"/>
  <c r="AL19" i="42"/>
  <c r="AL42" i="42" s="1"/>
  <c r="AL18" i="42"/>
  <c r="AL17" i="42"/>
  <c r="AL16" i="42"/>
  <c r="AL15" i="42"/>
  <c r="AL44" i="42" s="1"/>
  <c r="AL14" i="42"/>
  <c r="AL34" i="42" s="1"/>
  <c r="AL13" i="42"/>
  <c r="AL33" i="42" s="1"/>
  <c r="AL12" i="42"/>
  <c r="AL11" i="42"/>
  <c r="AL39" i="42" s="1"/>
  <c r="AL10" i="42"/>
  <c r="AL46" i="42" s="1"/>
  <c r="AL45" i="42" s="1"/>
  <c r="AL9" i="42"/>
  <c r="AL8" i="42"/>
  <c r="AL41" i="42" s="1"/>
  <c r="AL7" i="42"/>
  <c r="AL6" i="42"/>
  <c r="AL47" i="42" s="1"/>
  <c r="AL5" i="42"/>
  <c r="AL4" i="42"/>
  <c r="AL40" i="42" s="1"/>
  <c r="AL3" i="42"/>
  <c r="AL32" i="42" s="1"/>
  <c r="AL2" i="42"/>
  <c r="AL38" i="42" s="1"/>
  <c r="AL14" i="43"/>
  <c r="AL34" i="43" s="1"/>
  <c r="AL27" i="43"/>
  <c r="AL11" i="43"/>
  <c r="AL39" i="43" s="1"/>
  <c r="AL4" i="43"/>
  <c r="AL40" i="43" s="1"/>
  <c r="AL2" i="43"/>
  <c r="AL38" i="43" s="1"/>
  <c r="AL23" i="43"/>
  <c r="AL6" i="43"/>
  <c r="AL47" i="43" s="1"/>
  <c r="AL7" i="43"/>
  <c r="AL18" i="43"/>
  <c r="AL28" i="43"/>
  <c r="AL43" i="43" s="1"/>
  <c r="AL20" i="43"/>
  <c r="AL12" i="43"/>
  <c r="AL26" i="43"/>
  <c r="AL36" i="43" s="1"/>
  <c r="AL25" i="43"/>
  <c r="AL15" i="43"/>
  <c r="AL44" i="43" s="1"/>
  <c r="AL3" i="43"/>
  <c r="AL32" i="43" s="1"/>
  <c r="AL10" i="43"/>
  <c r="AL46" i="43" s="1"/>
  <c r="AL45" i="43" s="1"/>
  <c r="AL8" i="43"/>
  <c r="AL41" i="43" s="1"/>
  <c r="AL24" i="43"/>
  <c r="AL16" i="43"/>
  <c r="AL30" i="43"/>
  <c r="AL35" i="43" s="1"/>
  <c r="AL22" i="43"/>
  <c r="AL37" i="43" s="1"/>
  <c r="AL17" i="43"/>
  <c r="AL13" i="43"/>
  <c r="AL33" i="43" s="1"/>
  <c r="AL9" i="43"/>
  <c r="AL5" i="43"/>
  <c r="AL19" i="43"/>
  <c r="AL42" i="43" s="1"/>
  <c r="AL21" i="43"/>
  <c r="AL29" i="43"/>
  <c r="AL5" i="30"/>
  <c r="AL9" i="30"/>
  <c r="AL13" i="30"/>
  <c r="AL33" i="30" s="1"/>
  <c r="AL17" i="30"/>
  <c r="AL20" i="30"/>
  <c r="AL22" i="30"/>
  <c r="AL37" i="30" s="1"/>
  <c r="AL28" i="30"/>
  <c r="AL43" i="30" s="1"/>
  <c r="AL30" i="30"/>
  <c r="AL35" i="30" s="1"/>
  <c r="AL25" i="30"/>
  <c r="AL14" i="30"/>
  <c r="AL34" i="30" s="1"/>
  <c r="AL4" i="30"/>
  <c r="AL40" i="30" s="1"/>
  <c r="AL8" i="30"/>
  <c r="AL41" i="30" s="1"/>
  <c r="AL12" i="30"/>
  <c r="AL16" i="30"/>
  <c r="AL23" i="30"/>
  <c r="AL6" i="30"/>
  <c r="AL47" i="30" s="1"/>
  <c r="AL10" i="30"/>
  <c r="AL46" i="30" s="1"/>
  <c r="AL45" i="30" s="1"/>
  <c r="AL21" i="30"/>
  <c r="AL2" i="30"/>
  <c r="AL38" i="30" s="1"/>
  <c r="AL3" i="30"/>
  <c r="AL32" i="30" s="1"/>
  <c r="AL7" i="30"/>
  <c r="AL11" i="30"/>
  <c r="AL39" i="30" s="1"/>
  <c r="AL15" i="30"/>
  <c r="AL44" i="30" s="1"/>
  <c r="AL18" i="30"/>
  <c r="AL24" i="30"/>
  <c r="AL26" i="30"/>
  <c r="AL36" i="30" s="1"/>
  <c r="AL19" i="30"/>
  <c r="AL42" i="30" s="1"/>
  <c r="AL27" i="30"/>
  <c r="AL29" i="30"/>
  <c r="E12" i="20"/>
  <c r="E8" i="20"/>
  <c r="E10" i="20"/>
  <c r="C57" i="45"/>
  <c r="E57" i="45" s="1"/>
  <c r="C71" i="45"/>
  <c r="E71" i="45" s="1"/>
  <c r="E29" i="45"/>
  <c r="W14" i="37"/>
  <c r="W34" i="37" s="1"/>
  <c r="W23" i="37"/>
  <c r="W49" i="37" s="1"/>
  <c r="H68" i="16"/>
  <c r="H54" i="16"/>
  <c r="H62" i="16"/>
  <c r="H76" i="16"/>
  <c r="CG18" i="42"/>
  <c r="CG17" i="42"/>
  <c r="CG16" i="42"/>
  <c r="CG15" i="42"/>
  <c r="CG44" i="42" s="1"/>
  <c r="CG14" i="42"/>
  <c r="CG34" i="42" s="1"/>
  <c r="CG13" i="42"/>
  <c r="CG33" i="42" s="1"/>
  <c r="CG12" i="42"/>
  <c r="CG11" i="42"/>
  <c r="CG39" i="42" s="1"/>
  <c r="CG10" i="42"/>
  <c r="CG46" i="42" s="1"/>
  <c r="CG9" i="42"/>
  <c r="CG8" i="42"/>
  <c r="CG41" i="42" s="1"/>
  <c r="CG7" i="42"/>
  <c r="CG6" i="42"/>
  <c r="CG47" i="42" s="1"/>
  <c r="CG5" i="42"/>
  <c r="CG29" i="42"/>
  <c r="CG27" i="42"/>
  <c r="CG25" i="42"/>
  <c r="CG23" i="42"/>
  <c r="CG21" i="42"/>
  <c r="CG30" i="42"/>
  <c r="CG35" i="42" s="1"/>
  <c r="CG28" i="42"/>
  <c r="CG43" i="42" s="1"/>
  <c r="CG26" i="42"/>
  <c r="CG36" i="42" s="1"/>
  <c r="CG24" i="42"/>
  <c r="CG22" i="42"/>
  <c r="CG37" i="42" s="1"/>
  <c r="BH27" i="41"/>
  <c r="BH26" i="41"/>
  <c r="BH36" i="41" s="1"/>
  <c r="BH25" i="41"/>
  <c r="BH24" i="41"/>
  <c r="BH23" i="41"/>
  <c r="BH49" i="41" s="1"/>
  <c r="BH21" i="41"/>
  <c r="BH20" i="41"/>
  <c r="BH19" i="41"/>
  <c r="BH42" i="41" s="1"/>
  <c r="BH18" i="41"/>
  <c r="BH17" i="41"/>
  <c r="BH16" i="41"/>
  <c r="BH15" i="41"/>
  <c r="BH44" i="41" s="1"/>
  <c r="BH12" i="41"/>
  <c r="BH11" i="41"/>
  <c r="BH39" i="41" s="1"/>
  <c r="CG4" i="42"/>
  <c r="CG40" i="42" s="1"/>
  <c r="CG2" i="42"/>
  <c r="CG38" i="42" s="1"/>
  <c r="BH22" i="41"/>
  <c r="BH37" i="41" s="1"/>
  <c r="BH14" i="41"/>
  <c r="BH34" i="41" s="1"/>
  <c r="BH13" i="41"/>
  <c r="BH33" i="41" s="1"/>
  <c r="BH2" i="41"/>
  <c r="BH38" i="41" s="1"/>
  <c r="BH2" i="29"/>
  <c r="BH38" i="29" s="1"/>
  <c r="BH3" i="29"/>
  <c r="BH32" i="29" s="1"/>
  <c r="BH4" i="29"/>
  <c r="BH40" i="29" s="1"/>
  <c r="BH5" i="29"/>
  <c r="CG19" i="42"/>
  <c r="CG42" i="42" s="1"/>
  <c r="BH30" i="41"/>
  <c r="BH35" i="41" s="1"/>
  <c r="BH7" i="41"/>
  <c r="BH6" i="41"/>
  <c r="BH47" i="41" s="1"/>
  <c r="BH5" i="41"/>
  <c r="BH4" i="41"/>
  <c r="BH40" i="41" s="1"/>
  <c r="BH3" i="41"/>
  <c r="BH32" i="41" s="1"/>
  <c r="BH31" i="41" s="1"/>
  <c r="BH10" i="41"/>
  <c r="BH46" i="41" s="1"/>
  <c r="BH45" i="41" s="1"/>
  <c r="BH12" i="29"/>
  <c r="BH13" i="29"/>
  <c r="BH33" i="29" s="1"/>
  <c r="BH14" i="29"/>
  <c r="BH34" i="29" s="1"/>
  <c r="BH15" i="29"/>
  <c r="BH44" i="29" s="1"/>
  <c r="BH16" i="29"/>
  <c r="BH17" i="29"/>
  <c r="BH18" i="29"/>
  <c r="BH19" i="29"/>
  <c r="BH42" i="29" s="1"/>
  <c r="BH20" i="29"/>
  <c r="BH21" i="29"/>
  <c r="BH22" i="29"/>
  <c r="BH37" i="29" s="1"/>
  <c r="BH23" i="29"/>
  <c r="BH49" i="29" s="1"/>
  <c r="BH24" i="29"/>
  <c r="BH25" i="29"/>
  <c r="BH26" i="29"/>
  <c r="BH36" i="29" s="1"/>
  <c r="BH27" i="29"/>
  <c r="BH28" i="29"/>
  <c r="BH43" i="29" s="1"/>
  <c r="BH29" i="29"/>
  <c r="BH30" i="29"/>
  <c r="BH35" i="29" s="1"/>
  <c r="BH29" i="41"/>
  <c r="BH8" i="41"/>
  <c r="BH41" i="41" s="1"/>
  <c r="BH7" i="29"/>
  <c r="BH9" i="29"/>
  <c r="BH11" i="29"/>
  <c r="BH39" i="29" s="1"/>
  <c r="CG3" i="42"/>
  <c r="CG32" i="42" s="1"/>
  <c r="CG20" i="42"/>
  <c r="BH28" i="41"/>
  <c r="BH43" i="41" s="1"/>
  <c r="BH6" i="29"/>
  <c r="BH47" i="29" s="1"/>
  <c r="BH10" i="29"/>
  <c r="BH46" i="29" s="1"/>
  <c r="BH9" i="41"/>
  <c r="BH8" i="29"/>
  <c r="BH41" i="29" s="1"/>
  <c r="CG29" i="43"/>
  <c r="CG16" i="43"/>
  <c r="CG23" i="43"/>
  <c r="CG17" i="43"/>
  <c r="CG13" i="43"/>
  <c r="CG33" i="43" s="1"/>
  <c r="CG9" i="43"/>
  <c r="CG5" i="43"/>
  <c r="CG19" i="43"/>
  <c r="CG42" i="43" s="1"/>
  <c r="CG7" i="43"/>
  <c r="CG26" i="43"/>
  <c r="CG36" i="43" s="1"/>
  <c r="CG18" i="43"/>
  <c r="CG25" i="43"/>
  <c r="CG21" i="43"/>
  <c r="CG12" i="43"/>
  <c r="CG15" i="43"/>
  <c r="CG44" i="43" s="1"/>
  <c r="CG3" i="43"/>
  <c r="CG32" i="43" s="1"/>
  <c r="CG31" i="43" s="1"/>
  <c r="CG11" i="43"/>
  <c r="CG39" i="43" s="1"/>
  <c r="CG30" i="43"/>
  <c r="CG35" i="43" s="1"/>
  <c r="CG22" i="43"/>
  <c r="CG37" i="43" s="1"/>
  <c r="CG6" i="43"/>
  <c r="CG47" i="43" s="1"/>
  <c r="CG14" i="43"/>
  <c r="CG34" i="43" s="1"/>
  <c r="CG10" i="43"/>
  <c r="CG46" i="43" s="1"/>
  <c r="CG45" i="43" s="1"/>
  <c r="CG24" i="43"/>
  <c r="CG4" i="43"/>
  <c r="CG40" i="43" s="1"/>
  <c r="CG28" i="43"/>
  <c r="CG43" i="43" s="1"/>
  <c r="CG20" i="43"/>
  <c r="CG2" i="43"/>
  <c r="CG38" i="43" s="1"/>
  <c r="CG8" i="43"/>
  <c r="CG41" i="43" s="1"/>
  <c r="CG27" i="43"/>
  <c r="CG3" i="30"/>
  <c r="CG32" i="30" s="1"/>
  <c r="CG4" i="30"/>
  <c r="CG40" i="30" s="1"/>
  <c r="CG5" i="30"/>
  <c r="CG6" i="30"/>
  <c r="CG47" i="30" s="1"/>
  <c r="CG7" i="30"/>
  <c r="CG8" i="30"/>
  <c r="CG41" i="30" s="1"/>
  <c r="CG9" i="30"/>
  <c r="CG10" i="30"/>
  <c r="CG46" i="30" s="1"/>
  <c r="CG45" i="30" s="1"/>
  <c r="CG11" i="30"/>
  <c r="CG39" i="30" s="1"/>
  <c r="CG12" i="30"/>
  <c r="CG13" i="30"/>
  <c r="CG33" i="30" s="1"/>
  <c r="CG14" i="30"/>
  <c r="CG34" i="30" s="1"/>
  <c r="CG15" i="30"/>
  <c r="CG44" i="30" s="1"/>
  <c r="CG16" i="30"/>
  <c r="CG17" i="30"/>
  <c r="CG18" i="30"/>
  <c r="CG19" i="30"/>
  <c r="CG42" i="30" s="1"/>
  <c r="CG20" i="30"/>
  <c r="CG21" i="30"/>
  <c r="CG22" i="30"/>
  <c r="CG37" i="30" s="1"/>
  <c r="CG23" i="30"/>
  <c r="CG24" i="30"/>
  <c r="CG25" i="30"/>
  <c r="CG26" i="30"/>
  <c r="CG36" i="30" s="1"/>
  <c r="CG27" i="30"/>
  <c r="CG28" i="30"/>
  <c r="CG43" i="30" s="1"/>
  <c r="CG29" i="30"/>
  <c r="CG30" i="30"/>
  <c r="CG35" i="30" s="1"/>
  <c r="CN30" i="42"/>
  <c r="CN35" i="42" s="1"/>
  <c r="CN29" i="42"/>
  <c r="CN28" i="42"/>
  <c r="CN43" i="42" s="1"/>
  <c r="CN27" i="42"/>
  <c r="CN26" i="42"/>
  <c r="CN36" i="42" s="1"/>
  <c r="CN25" i="42"/>
  <c r="CN24" i="42"/>
  <c r="CN23" i="42"/>
  <c r="CN22" i="42"/>
  <c r="CN37" i="42" s="1"/>
  <c r="CN21" i="42"/>
  <c r="CN20" i="42"/>
  <c r="CN19" i="42"/>
  <c r="CN42" i="42" s="1"/>
  <c r="CN18" i="42"/>
  <c r="CN17" i="42"/>
  <c r="CN16" i="42"/>
  <c r="CN15" i="42"/>
  <c r="CN44" i="42" s="1"/>
  <c r="CN14" i="42"/>
  <c r="CN34" i="42" s="1"/>
  <c r="CN13" i="42"/>
  <c r="CN33" i="42" s="1"/>
  <c r="CN12" i="42"/>
  <c r="CN11" i="42"/>
  <c r="CN39" i="42" s="1"/>
  <c r="CN10" i="42"/>
  <c r="CN46" i="42" s="1"/>
  <c r="CN9" i="42"/>
  <c r="CN8" i="42"/>
  <c r="CN41" i="42" s="1"/>
  <c r="CN7" i="42"/>
  <c r="CN6" i="42"/>
  <c r="CN47" i="42" s="1"/>
  <c r="CN5" i="42"/>
  <c r="CN4" i="42"/>
  <c r="CN40" i="42" s="1"/>
  <c r="CN3" i="42"/>
  <c r="CN32" i="42" s="1"/>
  <c r="CN2" i="42"/>
  <c r="CN38" i="42" s="1"/>
  <c r="BO30" i="41"/>
  <c r="BO35" i="41" s="1"/>
  <c r="BO29" i="41"/>
  <c r="BO28" i="41"/>
  <c r="BO43" i="41" s="1"/>
  <c r="BO10" i="41"/>
  <c r="BO46" i="41" s="1"/>
  <c r="BO9" i="41"/>
  <c r="BO8" i="41"/>
  <c r="BO41" i="41" s="1"/>
  <c r="BO2" i="29"/>
  <c r="BO38" i="29" s="1"/>
  <c r="BO3" i="29"/>
  <c r="BO32" i="29" s="1"/>
  <c r="BO4" i="29"/>
  <c r="BO40" i="29" s="1"/>
  <c r="BO5" i="29"/>
  <c r="BO6" i="29"/>
  <c r="BO47" i="29" s="1"/>
  <c r="BO7" i="29"/>
  <c r="BO8" i="29"/>
  <c r="BO41" i="29" s="1"/>
  <c r="BO9" i="29"/>
  <c r="BO10" i="29"/>
  <c r="BO46" i="29" s="1"/>
  <c r="BO45" i="29" s="1"/>
  <c r="BO11" i="29"/>
  <c r="BO39" i="29" s="1"/>
  <c r="BO27" i="41"/>
  <c r="BO26" i="41"/>
  <c r="BO36" i="41" s="1"/>
  <c r="BO25" i="41"/>
  <c r="BO24" i="41"/>
  <c r="BO23" i="41"/>
  <c r="BO49" i="41" s="1"/>
  <c r="BO21" i="41"/>
  <c r="BO20" i="41"/>
  <c r="BO19" i="41"/>
  <c r="BO42" i="41" s="1"/>
  <c r="BO18" i="41"/>
  <c r="BO17" i="41"/>
  <c r="BO16" i="41"/>
  <c r="BO15" i="41"/>
  <c r="BO44" i="41" s="1"/>
  <c r="BO12" i="41"/>
  <c r="BO11" i="41"/>
  <c r="BO39" i="41" s="1"/>
  <c r="BO22" i="41"/>
  <c r="BO37" i="41" s="1"/>
  <c r="BO14" i="41"/>
  <c r="BO34" i="41" s="1"/>
  <c r="BO13" i="41"/>
  <c r="BO33" i="41" s="1"/>
  <c r="BO2" i="41"/>
  <c r="BO38" i="41" s="1"/>
  <c r="BO7" i="41"/>
  <c r="BO3" i="41"/>
  <c r="BO32" i="41" s="1"/>
  <c r="BO4" i="41"/>
  <c r="BO40" i="41" s="1"/>
  <c r="BO6" i="41"/>
  <c r="BO47" i="41" s="1"/>
  <c r="BO5" i="41"/>
  <c r="BO13" i="29"/>
  <c r="BO33" i="29" s="1"/>
  <c r="BO15" i="29"/>
  <c r="BO44" i="29" s="1"/>
  <c r="BO17" i="29"/>
  <c r="BO19" i="29"/>
  <c r="BO42" i="29" s="1"/>
  <c r="BO21" i="29"/>
  <c r="BO23" i="29"/>
  <c r="BO49" i="29" s="1"/>
  <c r="BO25" i="29"/>
  <c r="BO27" i="29"/>
  <c r="BO29" i="29"/>
  <c r="BO20" i="29"/>
  <c r="BO22" i="29"/>
  <c r="BO37" i="29" s="1"/>
  <c r="BO24" i="29"/>
  <c r="BO28" i="29"/>
  <c r="BO43" i="29" s="1"/>
  <c r="BO30" i="29"/>
  <c r="BO35" i="29" s="1"/>
  <c r="BO12" i="29"/>
  <c r="BO14" i="29"/>
  <c r="BO34" i="29" s="1"/>
  <c r="BO16" i="29"/>
  <c r="BO18" i="29"/>
  <c r="BO26" i="29"/>
  <c r="BO36" i="29" s="1"/>
  <c r="CN18" i="43"/>
  <c r="CN25" i="43"/>
  <c r="CN28" i="43"/>
  <c r="CN43" i="43" s="1"/>
  <c r="CN20" i="43"/>
  <c r="CN12" i="43"/>
  <c r="CN3" i="43"/>
  <c r="CN32" i="43" s="1"/>
  <c r="CN8" i="43"/>
  <c r="CN41" i="43" s="1"/>
  <c r="CN11" i="43"/>
  <c r="CN39" i="43" s="1"/>
  <c r="CN10" i="43"/>
  <c r="CN46" i="43" s="1"/>
  <c r="CN29" i="43"/>
  <c r="CN24" i="43"/>
  <c r="CN16" i="43"/>
  <c r="CN23" i="43"/>
  <c r="CN22" i="43"/>
  <c r="CN37" i="43" s="1"/>
  <c r="CN6" i="43"/>
  <c r="CN47" i="43" s="1"/>
  <c r="CN17" i="43"/>
  <c r="CN9" i="43"/>
  <c r="CN7" i="43"/>
  <c r="CN14" i="43"/>
  <c r="CN34" i="43" s="1"/>
  <c r="CN13" i="43"/>
  <c r="CN33" i="43" s="1"/>
  <c r="CN5" i="43"/>
  <c r="CN26" i="43"/>
  <c r="CN36" i="43" s="1"/>
  <c r="CN21" i="43"/>
  <c r="CN2" i="43"/>
  <c r="CN38" i="43" s="1"/>
  <c r="CN15" i="43"/>
  <c r="CN44" i="43" s="1"/>
  <c r="CN27" i="43"/>
  <c r="CN4" i="43"/>
  <c r="CN40" i="43" s="1"/>
  <c r="CN30" i="43"/>
  <c r="CN35" i="43" s="1"/>
  <c r="CN19" i="43"/>
  <c r="CN42" i="43" s="1"/>
  <c r="CN4" i="30"/>
  <c r="CN40" i="30" s="1"/>
  <c r="CN6" i="30"/>
  <c r="CN47" i="30" s="1"/>
  <c r="CN45" i="30" s="1"/>
  <c r="CN7" i="30"/>
  <c r="CN9" i="30"/>
  <c r="CN15" i="30"/>
  <c r="CN44" i="30" s="1"/>
  <c r="CN16" i="30"/>
  <c r="CN18" i="30"/>
  <c r="CN19" i="30"/>
  <c r="CN42" i="30" s="1"/>
  <c r="CN21" i="30"/>
  <c r="CN23" i="30"/>
  <c r="CN24" i="30"/>
  <c r="CN25" i="30"/>
  <c r="CN26" i="30"/>
  <c r="CN36" i="30" s="1"/>
  <c r="CN27" i="30"/>
  <c r="CN17" i="30"/>
  <c r="CN29" i="30"/>
  <c r="CN30" i="30"/>
  <c r="CN35" i="30" s="1"/>
  <c r="CN3" i="30"/>
  <c r="CN32" i="30" s="1"/>
  <c r="CN5" i="30"/>
  <c r="CN8" i="30"/>
  <c r="CN41" i="30" s="1"/>
  <c r="CN10" i="30"/>
  <c r="CN46" i="30" s="1"/>
  <c r="CN11" i="30"/>
  <c r="CN39" i="30" s="1"/>
  <c r="CN12" i="30"/>
  <c r="CN13" i="30"/>
  <c r="CN33" i="30" s="1"/>
  <c r="CN14" i="30"/>
  <c r="CN34" i="30" s="1"/>
  <c r="CN20" i="30"/>
  <c r="CN22" i="30"/>
  <c r="CN37" i="30" s="1"/>
  <c r="CN28" i="30"/>
  <c r="CN43" i="30" s="1"/>
  <c r="CU30" i="42"/>
  <c r="CU35" i="42" s="1"/>
  <c r="CU29" i="42"/>
  <c r="CU28" i="42"/>
  <c r="CU43" i="42" s="1"/>
  <c r="CU27" i="42"/>
  <c r="CU26" i="42"/>
  <c r="CU36" i="42" s="1"/>
  <c r="CU25" i="42"/>
  <c r="CU24" i="42"/>
  <c r="CU23" i="42"/>
  <c r="CU22" i="42"/>
  <c r="CU37" i="42" s="1"/>
  <c r="CU21" i="42"/>
  <c r="CU20" i="42"/>
  <c r="CU19" i="42"/>
  <c r="CU42" i="42" s="1"/>
  <c r="CU18" i="42"/>
  <c r="CU17" i="42"/>
  <c r="CU16" i="42"/>
  <c r="CU15" i="42"/>
  <c r="CU44" i="42" s="1"/>
  <c r="CU14" i="42"/>
  <c r="CU34" i="42" s="1"/>
  <c r="CU13" i="42"/>
  <c r="CU33" i="42" s="1"/>
  <c r="CU12" i="42"/>
  <c r="CU11" i="42"/>
  <c r="CU39" i="42" s="1"/>
  <c r="CU10" i="42"/>
  <c r="CU46" i="42" s="1"/>
  <c r="CU9" i="42"/>
  <c r="CU8" i="42"/>
  <c r="CU41" i="42" s="1"/>
  <c r="CU7" i="42"/>
  <c r="CU6" i="42"/>
  <c r="CU47" i="42" s="1"/>
  <c r="CU5" i="42"/>
  <c r="CU4" i="42"/>
  <c r="CU40" i="42" s="1"/>
  <c r="CU3" i="42"/>
  <c r="CU32" i="42" s="1"/>
  <c r="CU2" i="42"/>
  <c r="CU38" i="42" s="1"/>
  <c r="BV30" i="41"/>
  <c r="BV35" i="41" s="1"/>
  <c r="BV7" i="41"/>
  <c r="BV6" i="41"/>
  <c r="BV47" i="41" s="1"/>
  <c r="BV5" i="41"/>
  <c r="BV4" i="41"/>
  <c r="BV40" i="41" s="1"/>
  <c r="BV3" i="41"/>
  <c r="BV32" i="41" s="1"/>
  <c r="BV28" i="41"/>
  <c r="BV43" i="41" s="1"/>
  <c r="BV10" i="41"/>
  <c r="BV46" i="41" s="1"/>
  <c r="BV45" i="41" s="1"/>
  <c r="BV9" i="41"/>
  <c r="BV8" i="41"/>
  <c r="BV41" i="41" s="1"/>
  <c r="BV27" i="41"/>
  <c r="BV26" i="41"/>
  <c r="BV36" i="41" s="1"/>
  <c r="BV25" i="41"/>
  <c r="BV24" i="41"/>
  <c r="BV23" i="41"/>
  <c r="BV49" i="41" s="1"/>
  <c r="BV21" i="41"/>
  <c r="BV20" i="41"/>
  <c r="BV19" i="41"/>
  <c r="BV42" i="41" s="1"/>
  <c r="BV18" i="41"/>
  <c r="BV17" i="41"/>
  <c r="BV16" i="41"/>
  <c r="BV15" i="41"/>
  <c r="BV44" i="41" s="1"/>
  <c r="BV12" i="41"/>
  <c r="BV11" i="41"/>
  <c r="BV39" i="41" s="1"/>
  <c r="BV13" i="41"/>
  <c r="BV33" i="41" s="1"/>
  <c r="BV2" i="29"/>
  <c r="BV38" i="29" s="1"/>
  <c r="BV4" i="29"/>
  <c r="BV40" i="29" s="1"/>
  <c r="BV7" i="29"/>
  <c r="BV9" i="29"/>
  <c r="BV11" i="29"/>
  <c r="BV39" i="29" s="1"/>
  <c r="BV14" i="41"/>
  <c r="BV34" i="41" s="1"/>
  <c r="BV22" i="41"/>
  <c r="BV37" i="41" s="1"/>
  <c r="BV3" i="29"/>
  <c r="BV32" i="29" s="1"/>
  <c r="BV6" i="29"/>
  <c r="BV47" i="29" s="1"/>
  <c r="BV8" i="29"/>
  <c r="BV41" i="29" s="1"/>
  <c r="BV10" i="29"/>
  <c r="BV46" i="29" s="1"/>
  <c r="BV45" i="29" s="1"/>
  <c r="BV12" i="29"/>
  <c r="BV13" i="29"/>
  <c r="BV33" i="29" s="1"/>
  <c r="BV31" i="29" s="1"/>
  <c r="BV14" i="29"/>
  <c r="BV34" i="29" s="1"/>
  <c r="BV15" i="29"/>
  <c r="BV44" i="29" s="1"/>
  <c r="BV16" i="29"/>
  <c r="BV17" i="29"/>
  <c r="BV18" i="29"/>
  <c r="BV19" i="29"/>
  <c r="BV42" i="29" s="1"/>
  <c r="BV20" i="29"/>
  <c r="BV21" i="29"/>
  <c r="BV22" i="29"/>
  <c r="BV37" i="29" s="1"/>
  <c r="BV23" i="29"/>
  <c r="BV49" i="29" s="1"/>
  <c r="BV24" i="29"/>
  <c r="BV25" i="29"/>
  <c r="BV26" i="29"/>
  <c r="BV36" i="29" s="1"/>
  <c r="BV27" i="29"/>
  <c r="BV28" i="29"/>
  <c r="BV43" i="29" s="1"/>
  <c r="BV29" i="29"/>
  <c r="BV30" i="29"/>
  <c r="BV35" i="29" s="1"/>
  <c r="BV2" i="41"/>
  <c r="BV38" i="41" s="1"/>
  <c r="BV29" i="41"/>
  <c r="BV5" i="29"/>
  <c r="CU22" i="43"/>
  <c r="CU37" i="43" s="1"/>
  <c r="CU6" i="43"/>
  <c r="CU47" i="43" s="1"/>
  <c r="CU29" i="43"/>
  <c r="CU16" i="43"/>
  <c r="CU23" i="43"/>
  <c r="CU30" i="43"/>
  <c r="CU35" i="43" s="1"/>
  <c r="CU17" i="43"/>
  <c r="CU13" i="43"/>
  <c r="CU33" i="43" s="1"/>
  <c r="CU9" i="43"/>
  <c r="CU5" i="43"/>
  <c r="CU19" i="43"/>
  <c r="CU42" i="43" s="1"/>
  <c r="CU7" i="43"/>
  <c r="CU2" i="43"/>
  <c r="CU38" i="43" s="1"/>
  <c r="CU26" i="43"/>
  <c r="CU36" i="43" s="1"/>
  <c r="CU18" i="43"/>
  <c r="CU25" i="43"/>
  <c r="CU21" i="43"/>
  <c r="CU12" i="43"/>
  <c r="CU15" i="43"/>
  <c r="CU44" i="43" s="1"/>
  <c r="CU3" i="43"/>
  <c r="CU32" i="43" s="1"/>
  <c r="CU11" i="43"/>
  <c r="CU39" i="43" s="1"/>
  <c r="CU27" i="43"/>
  <c r="CU10" i="43"/>
  <c r="CU46" i="43" s="1"/>
  <c r="CU45" i="43" s="1"/>
  <c r="CU24" i="43"/>
  <c r="CU4" i="43"/>
  <c r="CU40" i="43" s="1"/>
  <c r="CU28" i="43"/>
  <c r="CU43" i="43" s="1"/>
  <c r="CU20" i="43"/>
  <c r="CU14" i="43"/>
  <c r="CU34" i="43" s="1"/>
  <c r="CU8" i="43"/>
  <c r="CU41" i="43" s="1"/>
  <c r="CU3" i="30"/>
  <c r="CU32" i="30" s="1"/>
  <c r="CU4" i="30"/>
  <c r="CU40" i="30" s="1"/>
  <c r="CU5" i="30"/>
  <c r="CU6" i="30"/>
  <c r="CU47" i="30" s="1"/>
  <c r="CU7" i="30"/>
  <c r="CU8" i="30"/>
  <c r="CU41" i="30" s="1"/>
  <c r="CU9" i="30"/>
  <c r="CU10" i="30"/>
  <c r="CU46" i="30" s="1"/>
  <c r="CU45" i="30" s="1"/>
  <c r="CU11" i="30"/>
  <c r="CU39" i="30" s="1"/>
  <c r="CU12" i="30"/>
  <c r="CU13" i="30"/>
  <c r="CU33" i="30" s="1"/>
  <c r="CU14" i="30"/>
  <c r="CU34" i="30" s="1"/>
  <c r="CU15" i="30"/>
  <c r="CU44" i="30" s="1"/>
  <c r="CU16" i="30"/>
  <c r="CU17" i="30"/>
  <c r="CU18" i="30"/>
  <c r="CU19" i="30"/>
  <c r="CU42" i="30" s="1"/>
  <c r="CU20" i="30"/>
  <c r="CU21" i="30"/>
  <c r="CU22" i="30"/>
  <c r="CU37" i="30" s="1"/>
  <c r="CU23" i="30"/>
  <c r="CU24" i="30"/>
  <c r="CU25" i="30"/>
  <c r="CU26" i="30"/>
  <c r="CU36" i="30" s="1"/>
  <c r="CU27" i="30"/>
  <c r="CU28" i="30"/>
  <c r="CU43" i="30" s="1"/>
  <c r="CU29" i="30"/>
  <c r="CU30" i="30"/>
  <c r="CU35" i="30" s="1"/>
  <c r="BL29" i="38"/>
  <c r="DD28" i="38"/>
  <c r="DD43" i="38" s="1"/>
  <c r="BL24" i="38"/>
  <c r="DD23" i="38"/>
  <c r="DD49" i="38" s="1"/>
  <c r="DD22" i="38"/>
  <c r="DD37" i="38" s="1"/>
  <c r="DD21" i="38"/>
  <c r="BL19" i="38"/>
  <c r="BL42" i="38" s="1"/>
  <c r="DD18" i="38"/>
  <c r="BL15" i="38"/>
  <c r="BL44" i="38" s="1"/>
  <c r="DD14" i="38"/>
  <c r="DD34" i="38" s="1"/>
  <c r="BL8" i="38"/>
  <c r="BL41" i="38" s="1"/>
  <c r="DD7" i="38"/>
  <c r="BL6" i="38"/>
  <c r="BL47" i="38" s="1"/>
  <c r="DD5" i="38"/>
  <c r="BL30" i="38"/>
  <c r="BL35" i="38" s="1"/>
  <c r="BL28" i="38"/>
  <c r="BL43" i="38" s="1"/>
  <c r="DD26" i="38"/>
  <c r="DD36" i="38" s="1"/>
  <c r="DD25" i="38"/>
  <c r="DD24" i="38"/>
  <c r="BL18" i="38"/>
  <c r="DD17" i="38"/>
  <c r="DD27" i="38"/>
  <c r="BL26" i="38"/>
  <c r="BL36" i="38" s="1"/>
  <c r="DD10" i="38"/>
  <c r="DD46" i="38" s="1"/>
  <c r="DD9" i="38"/>
  <c r="DD8" i="38"/>
  <c r="DD41" i="38" s="1"/>
  <c r="DD6" i="38"/>
  <c r="DD47" i="38" s="1"/>
  <c r="DD4" i="38"/>
  <c r="DD40" i="38" s="1"/>
  <c r="DD2" i="38"/>
  <c r="DD38" i="38" s="1"/>
  <c r="U30" i="38"/>
  <c r="U35" i="38" s="1"/>
  <c r="U29" i="38"/>
  <c r="U27" i="38"/>
  <c r="U18" i="38"/>
  <c r="U16" i="38"/>
  <c r="U14" i="38"/>
  <c r="U34" i="38" s="1"/>
  <c r="U9" i="38"/>
  <c r="U8" i="38"/>
  <c r="U41" i="38" s="1"/>
  <c r="U7" i="38"/>
  <c r="BL23" i="38"/>
  <c r="BL49" i="38" s="1"/>
  <c r="BL21" i="38"/>
  <c r="BL17" i="38"/>
  <c r="BL16" i="38"/>
  <c r="BL14" i="38"/>
  <c r="BL34" i="38" s="1"/>
  <c r="BL13" i="38"/>
  <c r="BL33" i="38" s="1"/>
  <c r="BL12" i="38"/>
  <c r="U28" i="38"/>
  <c r="U43" i="38" s="1"/>
  <c r="U23" i="38"/>
  <c r="U49" i="38" s="1"/>
  <c r="U17" i="38"/>
  <c r="U15" i="38"/>
  <c r="U44" i="38" s="1"/>
  <c r="U13" i="38"/>
  <c r="U33" i="38" s="1"/>
  <c r="U11" i="38"/>
  <c r="U39" i="38" s="1"/>
  <c r="DD19" i="38"/>
  <c r="DD42" i="38" s="1"/>
  <c r="DD13" i="38"/>
  <c r="DD33" i="38" s="1"/>
  <c r="BL5" i="38"/>
  <c r="U24" i="38"/>
  <c r="U22" i="38"/>
  <c r="U37" i="38" s="1"/>
  <c r="U6" i="38"/>
  <c r="U47" i="38" s="1"/>
  <c r="BL25" i="38"/>
  <c r="BL10" i="38"/>
  <c r="BL46" i="38" s="1"/>
  <c r="BL3" i="38"/>
  <c r="BL32" i="38" s="1"/>
  <c r="BL2" i="38"/>
  <c r="BL38" i="38" s="1"/>
  <c r="U20" i="38"/>
  <c r="U4" i="38"/>
  <c r="U40" i="38" s="1"/>
  <c r="DD29" i="38"/>
  <c r="BL20" i="38"/>
  <c r="DD15" i="38"/>
  <c r="DD44" i="38" s="1"/>
  <c r="DD11" i="38"/>
  <c r="DD39" i="38" s="1"/>
  <c r="BL11" i="38"/>
  <c r="BL39" i="38" s="1"/>
  <c r="DD3" i="38"/>
  <c r="DD32" i="38" s="1"/>
  <c r="BL22" i="38"/>
  <c r="BL37" i="38" s="1"/>
  <c r="DD20" i="38"/>
  <c r="DD12" i="38"/>
  <c r="BL27" i="38"/>
  <c r="BL7" i="38"/>
  <c r="BL4" i="38"/>
  <c r="BL40" i="38" s="1"/>
  <c r="BL9" i="38"/>
  <c r="U26" i="38"/>
  <c r="U36" i="38" s="1"/>
  <c r="U2" i="38"/>
  <c r="U38" i="38" s="1"/>
  <c r="U19" i="38"/>
  <c r="U42" i="38" s="1"/>
  <c r="U12" i="38"/>
  <c r="U5" i="38"/>
  <c r="U3" i="38"/>
  <c r="U32" i="38" s="1"/>
  <c r="U21" i="38"/>
  <c r="U10" i="38"/>
  <c r="U46" i="38" s="1"/>
  <c r="U25" i="38"/>
  <c r="DD30" i="38"/>
  <c r="DD35" i="38" s="1"/>
  <c r="DD16" i="38"/>
  <c r="G19" i="16"/>
  <c r="G42" i="16" s="1"/>
  <c r="G18" i="16"/>
  <c r="G16" i="16"/>
  <c r="G13" i="16"/>
  <c r="G33" i="16" s="1"/>
  <c r="G12" i="16"/>
  <c r="G2" i="16"/>
  <c r="G38" i="16" s="1"/>
  <c r="G30" i="16"/>
  <c r="G35" i="16" s="1"/>
  <c r="G29" i="16"/>
  <c r="G27" i="16"/>
  <c r="G26" i="16"/>
  <c r="G36" i="16" s="1"/>
  <c r="G25" i="16"/>
  <c r="G20" i="16"/>
  <c r="G15" i="16"/>
  <c r="G44" i="16" s="1"/>
  <c r="G11" i="16"/>
  <c r="G39" i="16" s="1"/>
  <c r="G7" i="16"/>
  <c r="G4" i="16"/>
  <c r="G40" i="16" s="1"/>
  <c r="G17" i="16"/>
  <c r="G8" i="16"/>
  <c r="G41" i="16" s="1"/>
  <c r="G24" i="16"/>
  <c r="G23" i="16"/>
  <c r="G49" i="16" s="1"/>
  <c r="G22" i="16"/>
  <c r="G37" i="16" s="1"/>
  <c r="G10" i="16"/>
  <c r="G46" i="16" s="1"/>
  <c r="G6" i="16"/>
  <c r="G47" i="16" s="1"/>
  <c r="G21" i="16"/>
  <c r="G14" i="16"/>
  <c r="G34" i="16" s="1"/>
  <c r="G5" i="16"/>
  <c r="G28" i="16"/>
  <c r="G43" i="16" s="1"/>
  <c r="G9" i="16"/>
  <c r="G3" i="16"/>
  <c r="G32" i="16" s="1"/>
  <c r="J32" i="16" s="1"/>
  <c r="G30" i="37"/>
  <c r="G35" i="37" s="1"/>
  <c r="G28" i="37"/>
  <c r="G43" i="37" s="1"/>
  <c r="J43" i="37" s="1"/>
  <c r="G26" i="37"/>
  <c r="G36" i="37" s="1"/>
  <c r="G21" i="37"/>
  <c r="G17" i="37"/>
  <c r="G13" i="37"/>
  <c r="G33" i="37" s="1"/>
  <c r="J33" i="37" s="1"/>
  <c r="G9" i="37"/>
  <c r="G5" i="37"/>
  <c r="G18" i="37"/>
  <c r="G10" i="37"/>
  <c r="G46" i="37" s="1"/>
  <c r="G6" i="37"/>
  <c r="G47" i="37" s="1"/>
  <c r="G24" i="37"/>
  <c r="G20" i="37"/>
  <c r="G16" i="37"/>
  <c r="G12" i="37"/>
  <c r="G8" i="37"/>
  <c r="G41" i="37" s="1"/>
  <c r="J41" i="37" s="1"/>
  <c r="G4" i="37"/>
  <c r="G40" i="37" s="1"/>
  <c r="G29" i="37"/>
  <c r="G27" i="37"/>
  <c r="G25" i="37"/>
  <c r="G23" i="37"/>
  <c r="G49" i="37" s="1"/>
  <c r="G19" i="37"/>
  <c r="G42" i="37" s="1"/>
  <c r="G15" i="37"/>
  <c r="G44" i="37" s="1"/>
  <c r="G11" i="37"/>
  <c r="G39" i="37" s="1"/>
  <c r="J39" i="37" s="1"/>
  <c r="G7" i="37"/>
  <c r="G3" i="37"/>
  <c r="G32" i="37" s="1"/>
  <c r="G22" i="37"/>
  <c r="G37" i="37" s="1"/>
  <c r="G14" i="37"/>
  <c r="G34" i="37" s="1"/>
  <c r="G2" i="37"/>
  <c r="G38" i="37" s="1"/>
  <c r="AZ18" i="42"/>
  <c r="AZ17" i="42"/>
  <c r="AZ16" i="42"/>
  <c r="AZ15" i="42"/>
  <c r="AZ44" i="42" s="1"/>
  <c r="AZ14" i="42"/>
  <c r="AZ34" i="42" s="1"/>
  <c r="AZ13" i="42"/>
  <c r="AZ33" i="42" s="1"/>
  <c r="AZ12" i="42"/>
  <c r="AZ11" i="42"/>
  <c r="AZ39" i="42" s="1"/>
  <c r="AZ10" i="42"/>
  <c r="AZ46" i="42" s="1"/>
  <c r="AZ9" i="42"/>
  <c r="AZ8" i="42"/>
  <c r="AZ41" i="42" s="1"/>
  <c r="AZ7" i="42"/>
  <c r="AZ6" i="42"/>
  <c r="AZ47" i="42" s="1"/>
  <c r="AZ5" i="42"/>
  <c r="AZ30" i="42"/>
  <c r="AZ35" i="42" s="1"/>
  <c r="AZ29" i="42"/>
  <c r="AZ28" i="42"/>
  <c r="AZ43" i="42" s="1"/>
  <c r="AZ27" i="42"/>
  <c r="AZ26" i="42"/>
  <c r="AZ36" i="42" s="1"/>
  <c r="AZ25" i="42"/>
  <c r="AZ24" i="42"/>
  <c r="AZ23" i="42"/>
  <c r="AZ22" i="42"/>
  <c r="AZ37" i="42" s="1"/>
  <c r="AZ21" i="42"/>
  <c r="AZ20" i="42"/>
  <c r="AZ19" i="42"/>
  <c r="AZ42" i="42" s="1"/>
  <c r="AZ4" i="42"/>
  <c r="AZ40" i="42" s="1"/>
  <c r="AZ3" i="42"/>
  <c r="AZ32" i="42" s="1"/>
  <c r="AZ2" i="42"/>
  <c r="AZ38" i="42" s="1"/>
  <c r="AZ10" i="43"/>
  <c r="AZ46" i="43" s="1"/>
  <c r="AZ24" i="43"/>
  <c r="AZ4" i="43"/>
  <c r="AZ40" i="43" s="1"/>
  <c r="AZ28" i="43"/>
  <c r="AZ43" i="43" s="1"/>
  <c r="AZ20" i="43"/>
  <c r="AZ14" i="43"/>
  <c r="AZ34" i="43" s="1"/>
  <c r="AZ8" i="43"/>
  <c r="AZ41" i="43" s="1"/>
  <c r="AZ27" i="43"/>
  <c r="AZ11" i="43"/>
  <c r="AZ39" i="43" s="1"/>
  <c r="AZ22" i="43"/>
  <c r="AZ37" i="43" s="1"/>
  <c r="AZ30" i="43"/>
  <c r="AZ35" i="43" s="1"/>
  <c r="AZ6" i="43"/>
  <c r="AZ47" i="43" s="1"/>
  <c r="AZ29" i="43"/>
  <c r="AZ16" i="43"/>
  <c r="AZ23" i="43"/>
  <c r="AZ17" i="43"/>
  <c r="AZ13" i="43"/>
  <c r="AZ33" i="43" s="1"/>
  <c r="AZ9" i="43"/>
  <c r="AZ5" i="43"/>
  <c r="AZ19" i="43"/>
  <c r="AZ42" i="43" s="1"/>
  <c r="AZ7" i="43"/>
  <c r="AZ26" i="43"/>
  <c r="AZ36" i="43" s="1"/>
  <c r="AZ18" i="43"/>
  <c r="AZ2" i="43"/>
  <c r="AZ38" i="43" s="1"/>
  <c r="AZ25" i="43"/>
  <c r="AZ21" i="43"/>
  <c r="AZ12" i="43"/>
  <c r="AZ15" i="43"/>
  <c r="AZ44" i="43" s="1"/>
  <c r="AZ3" i="43"/>
  <c r="AZ32" i="43" s="1"/>
  <c r="AZ3" i="30"/>
  <c r="AZ32" i="30" s="1"/>
  <c r="AZ7" i="30"/>
  <c r="AZ11" i="30"/>
  <c r="AZ39" i="30" s="1"/>
  <c r="AZ15" i="30"/>
  <c r="AZ44" i="30" s="1"/>
  <c r="AZ18" i="30"/>
  <c r="AZ24" i="30"/>
  <c r="AZ26" i="30"/>
  <c r="AZ36" i="30" s="1"/>
  <c r="AZ29" i="30"/>
  <c r="AZ2" i="30"/>
  <c r="AZ38" i="30" s="1"/>
  <c r="AZ6" i="30"/>
  <c r="AZ47" i="30" s="1"/>
  <c r="AZ10" i="30"/>
  <c r="AZ46" i="30" s="1"/>
  <c r="AZ45" i="30" s="1"/>
  <c r="AZ14" i="30"/>
  <c r="AZ34" i="30" s="1"/>
  <c r="AZ19" i="30"/>
  <c r="AZ42" i="30" s="1"/>
  <c r="AZ21" i="30"/>
  <c r="AZ27" i="30"/>
  <c r="AZ5" i="30"/>
  <c r="AZ9" i="30"/>
  <c r="AZ13" i="30"/>
  <c r="AZ33" i="30" s="1"/>
  <c r="AZ17" i="30"/>
  <c r="AZ20" i="30"/>
  <c r="AZ22" i="30"/>
  <c r="AZ37" i="30" s="1"/>
  <c r="AZ28" i="30"/>
  <c r="AZ43" i="30" s="1"/>
  <c r="AZ30" i="30"/>
  <c r="AZ35" i="30" s="1"/>
  <c r="AZ4" i="30"/>
  <c r="AZ40" i="30" s="1"/>
  <c r="AZ8" i="30"/>
  <c r="AZ41" i="30" s="1"/>
  <c r="AZ12" i="30"/>
  <c r="AZ16" i="30"/>
  <c r="AZ23" i="30"/>
  <c r="AZ25" i="30"/>
  <c r="AQ18" i="42"/>
  <c r="AQ17" i="42"/>
  <c r="AQ16" i="42"/>
  <c r="AQ15" i="42"/>
  <c r="AQ44" i="42" s="1"/>
  <c r="AQ14" i="42"/>
  <c r="AQ34" i="42" s="1"/>
  <c r="AQ13" i="42"/>
  <c r="AQ33" i="42" s="1"/>
  <c r="AQ12" i="42"/>
  <c r="AQ11" i="42"/>
  <c r="AQ39" i="42" s="1"/>
  <c r="AQ10" i="42"/>
  <c r="AQ46" i="42" s="1"/>
  <c r="AQ45" i="42" s="1"/>
  <c r="AQ9" i="42"/>
  <c r="AQ8" i="42"/>
  <c r="AQ41" i="42" s="1"/>
  <c r="AQ7" i="42"/>
  <c r="AQ6" i="42"/>
  <c r="AQ47" i="42" s="1"/>
  <c r="AQ5" i="42"/>
  <c r="AQ30" i="42"/>
  <c r="AQ35" i="42" s="1"/>
  <c r="AQ28" i="42"/>
  <c r="AQ43" i="42" s="1"/>
  <c r="AQ26" i="42"/>
  <c r="AQ36" i="42" s="1"/>
  <c r="AQ24" i="42"/>
  <c r="AQ22" i="42"/>
  <c r="AQ37" i="42" s="1"/>
  <c r="AQ29" i="42"/>
  <c r="AQ27" i="42"/>
  <c r="AQ25" i="42"/>
  <c r="AQ23" i="42"/>
  <c r="AQ21" i="42"/>
  <c r="AQ20" i="42"/>
  <c r="AQ3" i="42"/>
  <c r="AQ32" i="42" s="1"/>
  <c r="AQ19" i="42"/>
  <c r="AQ42" i="42" s="1"/>
  <c r="AQ2" i="42"/>
  <c r="AQ38" i="42" s="1"/>
  <c r="AQ4" i="42"/>
  <c r="AQ40" i="42" s="1"/>
  <c r="AQ26" i="43"/>
  <c r="AQ36" i="43" s="1"/>
  <c r="AQ21" i="43"/>
  <c r="AQ15" i="43"/>
  <c r="AQ44" i="43" s="1"/>
  <c r="AQ27" i="43"/>
  <c r="AQ4" i="43"/>
  <c r="AQ40" i="43" s="1"/>
  <c r="AQ30" i="43"/>
  <c r="AQ35" i="43" s="1"/>
  <c r="AQ13" i="43"/>
  <c r="AQ33" i="43" s="1"/>
  <c r="AQ5" i="43"/>
  <c r="AQ19" i="43"/>
  <c r="AQ42" i="43" s="1"/>
  <c r="AQ22" i="43"/>
  <c r="AQ37" i="43" s="1"/>
  <c r="AQ17" i="43"/>
  <c r="AQ9" i="43"/>
  <c r="AQ14" i="43"/>
  <c r="AQ34" i="43" s="1"/>
  <c r="AQ18" i="43"/>
  <c r="AQ25" i="43"/>
  <c r="AQ28" i="43"/>
  <c r="AQ43" i="43" s="1"/>
  <c r="AQ20" i="43"/>
  <c r="AQ12" i="43"/>
  <c r="AQ3" i="43"/>
  <c r="AQ32" i="43" s="1"/>
  <c r="AQ2" i="43"/>
  <c r="AQ38" i="43" s="1"/>
  <c r="AQ8" i="43"/>
  <c r="AQ41" i="43" s="1"/>
  <c r="AQ11" i="43"/>
  <c r="AQ39" i="43" s="1"/>
  <c r="AQ10" i="43"/>
  <c r="AQ46" i="43" s="1"/>
  <c r="AQ29" i="43"/>
  <c r="AQ24" i="43"/>
  <c r="AQ16" i="43"/>
  <c r="AQ23" i="43"/>
  <c r="AQ6" i="43"/>
  <c r="AQ47" i="43" s="1"/>
  <c r="AQ7" i="43"/>
  <c r="AQ6" i="30"/>
  <c r="AQ47" i="30" s="1"/>
  <c r="AQ10" i="30"/>
  <c r="AQ46" i="30" s="1"/>
  <c r="AQ45" i="30" s="1"/>
  <c r="AQ14" i="30"/>
  <c r="AQ34" i="30" s="1"/>
  <c r="AQ19" i="30"/>
  <c r="AQ42" i="30" s="1"/>
  <c r="AQ21" i="30"/>
  <c r="AQ27" i="30"/>
  <c r="AQ29" i="30"/>
  <c r="AQ2" i="30"/>
  <c r="AQ38" i="30" s="1"/>
  <c r="AQ28" i="30"/>
  <c r="AQ43" i="30" s="1"/>
  <c r="AQ30" i="30"/>
  <c r="AQ35" i="30" s="1"/>
  <c r="AQ3" i="30"/>
  <c r="AQ32" i="30" s="1"/>
  <c r="AQ7" i="30"/>
  <c r="AQ24" i="30"/>
  <c r="AQ5" i="30"/>
  <c r="AQ9" i="30"/>
  <c r="AQ13" i="30"/>
  <c r="AQ33" i="30" s="1"/>
  <c r="AQ17" i="30"/>
  <c r="AQ20" i="30"/>
  <c r="AQ22" i="30"/>
  <c r="AQ37" i="30" s="1"/>
  <c r="AQ11" i="30"/>
  <c r="AQ39" i="30" s="1"/>
  <c r="AQ15" i="30"/>
  <c r="AQ44" i="30" s="1"/>
  <c r="AQ18" i="30"/>
  <c r="AQ26" i="30"/>
  <c r="AQ36" i="30" s="1"/>
  <c r="AQ4" i="30"/>
  <c r="AQ40" i="30" s="1"/>
  <c r="AQ8" i="30"/>
  <c r="AQ41" i="30" s="1"/>
  <c r="AQ12" i="30"/>
  <c r="AQ16" i="30"/>
  <c r="AQ23" i="30"/>
  <c r="AQ25" i="30"/>
  <c r="E15" i="45"/>
  <c r="C44" i="45"/>
  <c r="E44" i="45" s="1"/>
  <c r="E21" i="20"/>
  <c r="E25" i="20"/>
  <c r="E14" i="20"/>
  <c r="E3" i="20"/>
  <c r="CA30" i="42"/>
  <c r="CA29" i="42"/>
  <c r="CA28" i="42"/>
  <c r="CA27" i="42"/>
  <c r="CA26" i="42"/>
  <c r="CA25" i="42"/>
  <c r="CA24" i="42"/>
  <c r="CA23" i="42"/>
  <c r="CA22" i="42"/>
  <c r="CA21" i="42"/>
  <c r="CA20" i="42"/>
  <c r="CA19" i="42"/>
  <c r="CA18" i="42"/>
  <c r="BZ18" i="42" s="1"/>
  <c r="CA17" i="42"/>
  <c r="CA16" i="42"/>
  <c r="CA15" i="42"/>
  <c r="CA14" i="42"/>
  <c r="CA13" i="42"/>
  <c r="CA12" i="42"/>
  <c r="CA11" i="42"/>
  <c r="CA10" i="42"/>
  <c r="CA9" i="42"/>
  <c r="CA8" i="42"/>
  <c r="CA7" i="42"/>
  <c r="CA6" i="42"/>
  <c r="CA5" i="42"/>
  <c r="CA4" i="42"/>
  <c r="CA3" i="42"/>
  <c r="CA2" i="42"/>
  <c r="BB30" i="41"/>
  <c r="BB7" i="41"/>
  <c r="BB6" i="41"/>
  <c r="BB5" i="41"/>
  <c r="BB4" i="41"/>
  <c r="BB3" i="41"/>
  <c r="BB29" i="41"/>
  <c r="BB28" i="41"/>
  <c r="BB10" i="41"/>
  <c r="BB9" i="41"/>
  <c r="BB8" i="41"/>
  <c r="BB27" i="41"/>
  <c r="BB26" i="41"/>
  <c r="BB25" i="41"/>
  <c r="BB24" i="41"/>
  <c r="BB23" i="41"/>
  <c r="BB21" i="41"/>
  <c r="BB20" i="41"/>
  <c r="BB19" i="41"/>
  <c r="BB18" i="41"/>
  <c r="BB17" i="41"/>
  <c r="BB16" i="41"/>
  <c r="BB15" i="41"/>
  <c r="BB12" i="41"/>
  <c r="BB11" i="41"/>
  <c r="BB2" i="41"/>
  <c r="BB13" i="41"/>
  <c r="BB3" i="29"/>
  <c r="BB5" i="29"/>
  <c r="BB7" i="29"/>
  <c r="BB9" i="29"/>
  <c r="BB11" i="29"/>
  <c r="BB14" i="41"/>
  <c r="BB13" i="29"/>
  <c r="BB14" i="29"/>
  <c r="BB15" i="29"/>
  <c r="BB16" i="29"/>
  <c r="BB17" i="29"/>
  <c r="BB18" i="29"/>
  <c r="BB19" i="29"/>
  <c r="BB20" i="29"/>
  <c r="BB21" i="29"/>
  <c r="BB22" i="29"/>
  <c r="BB23" i="29"/>
  <c r="BB24" i="29"/>
  <c r="BB25" i="29"/>
  <c r="BB26" i="29"/>
  <c r="BB27" i="29"/>
  <c r="BB28" i="29"/>
  <c r="BB29" i="29"/>
  <c r="BB30" i="29"/>
  <c r="BB12" i="29"/>
  <c r="BB10" i="29"/>
  <c r="BB22" i="41"/>
  <c r="BB2" i="29"/>
  <c r="BB8" i="29"/>
  <c r="BB4" i="29"/>
  <c r="BB6" i="29"/>
  <c r="CA18" i="43"/>
  <c r="CA22" i="43"/>
  <c r="CA17" i="43"/>
  <c r="BZ17" i="43" s="1"/>
  <c r="CA9" i="43"/>
  <c r="CA5" i="43"/>
  <c r="CA19" i="43"/>
  <c r="CA25" i="43"/>
  <c r="CA28" i="43"/>
  <c r="CA20" i="43"/>
  <c r="CA12" i="43"/>
  <c r="BZ12" i="43" s="1"/>
  <c r="CA15" i="43"/>
  <c r="CA3" i="43"/>
  <c r="CA14" i="43"/>
  <c r="CA16" i="43"/>
  <c r="BZ16" i="43" s="1"/>
  <c r="CA26" i="43"/>
  <c r="CA10" i="43"/>
  <c r="CA29" i="43"/>
  <c r="CA24" i="43"/>
  <c r="CA30" i="43"/>
  <c r="CA6" i="43"/>
  <c r="CA13" i="43"/>
  <c r="CA7" i="43"/>
  <c r="BZ7" i="43" s="1"/>
  <c r="CA21" i="43"/>
  <c r="CA8" i="43"/>
  <c r="CA27" i="43"/>
  <c r="CA11" i="43"/>
  <c r="CA2" i="43"/>
  <c r="CA4" i="43"/>
  <c r="CA23" i="43"/>
  <c r="CA3" i="30"/>
  <c r="CA4" i="30"/>
  <c r="CA5" i="30"/>
  <c r="CA6" i="30"/>
  <c r="CA7" i="30"/>
  <c r="BZ7" i="30" s="1"/>
  <c r="CA8" i="30"/>
  <c r="CA9" i="30"/>
  <c r="CA10" i="30"/>
  <c r="CA11" i="30"/>
  <c r="CA12" i="30"/>
  <c r="BZ12" i="30" s="1"/>
  <c r="CA13" i="30"/>
  <c r="CA14" i="30"/>
  <c r="CA15" i="30"/>
  <c r="CA16" i="30"/>
  <c r="CA17" i="30"/>
  <c r="CA18" i="30"/>
  <c r="CA19" i="30"/>
  <c r="CA20" i="30"/>
  <c r="CA21" i="30"/>
  <c r="CA22" i="30"/>
  <c r="CA23" i="30"/>
  <c r="CA24" i="30"/>
  <c r="BZ24" i="30" s="1"/>
  <c r="CA25" i="30"/>
  <c r="CA26" i="30"/>
  <c r="CA27" i="30"/>
  <c r="CA28" i="30"/>
  <c r="CA29" i="30"/>
  <c r="CA30" i="30"/>
  <c r="CE30" i="42"/>
  <c r="CE35" i="42" s="1"/>
  <c r="CE29" i="42"/>
  <c r="CE28" i="42"/>
  <c r="CE43" i="42" s="1"/>
  <c r="CE27" i="42"/>
  <c r="CE26" i="42"/>
  <c r="CE36" i="42" s="1"/>
  <c r="CE25" i="42"/>
  <c r="CE24" i="42"/>
  <c r="CE23" i="42"/>
  <c r="CE22" i="42"/>
  <c r="CE37" i="42" s="1"/>
  <c r="CE21" i="42"/>
  <c r="CE20" i="42"/>
  <c r="CE19" i="42"/>
  <c r="CE42" i="42" s="1"/>
  <c r="CD30" i="42"/>
  <c r="CD35" i="42" s="1"/>
  <c r="CD29" i="42"/>
  <c r="CD28" i="42"/>
  <c r="CD43" i="42" s="1"/>
  <c r="CD27" i="42"/>
  <c r="CD26" i="42"/>
  <c r="CD36" i="42" s="1"/>
  <c r="CD25" i="42"/>
  <c r="CD24" i="42"/>
  <c r="CD23" i="42"/>
  <c r="CD22" i="42"/>
  <c r="CD37" i="42" s="1"/>
  <c r="CD21" i="42"/>
  <c r="CD20" i="42"/>
  <c r="CD19" i="42"/>
  <c r="CD42" i="42" s="1"/>
  <c r="CE18" i="42"/>
  <c r="CE17" i="42"/>
  <c r="CE16" i="42"/>
  <c r="CE15" i="42"/>
  <c r="CE44" i="42" s="1"/>
  <c r="CE14" i="42"/>
  <c r="CE34" i="42" s="1"/>
  <c r="CE13" i="42"/>
  <c r="CE33" i="42" s="1"/>
  <c r="CE12" i="42"/>
  <c r="CE11" i="42"/>
  <c r="CE39" i="42" s="1"/>
  <c r="CE10" i="42"/>
  <c r="CE46" i="42" s="1"/>
  <c r="CE9" i="42"/>
  <c r="CE8" i="42"/>
  <c r="CE41" i="42" s="1"/>
  <c r="CE7" i="42"/>
  <c r="CE6" i="42"/>
  <c r="CE47" i="42" s="1"/>
  <c r="CE5" i="42"/>
  <c r="CE4" i="42"/>
  <c r="CE40" i="42" s="1"/>
  <c r="CE3" i="42"/>
  <c r="CE32" i="42" s="1"/>
  <c r="CE2" i="42"/>
  <c r="CE38" i="42" s="1"/>
  <c r="CD18" i="42"/>
  <c r="CD16" i="42"/>
  <c r="CD14" i="42"/>
  <c r="CD34" i="42" s="1"/>
  <c r="CD12" i="42"/>
  <c r="CD10" i="42"/>
  <c r="CD46" i="42" s="1"/>
  <c r="CD8" i="42"/>
  <c r="CD41" i="42" s="1"/>
  <c r="CD6" i="42"/>
  <c r="CD47" i="42" s="1"/>
  <c r="CD4" i="42"/>
  <c r="CD40" i="42" s="1"/>
  <c r="CD3" i="42"/>
  <c r="CD32" i="42" s="1"/>
  <c r="CD2" i="42"/>
  <c r="CD38" i="42" s="1"/>
  <c r="BF30" i="41"/>
  <c r="BF35" i="41" s="1"/>
  <c r="CD17" i="42"/>
  <c r="CD15" i="42"/>
  <c r="CD44" i="42" s="1"/>
  <c r="CD13" i="42"/>
  <c r="CD33" i="42" s="1"/>
  <c r="CD11" i="42"/>
  <c r="CD39" i="42" s="1"/>
  <c r="CD9" i="42"/>
  <c r="CD7" i="42"/>
  <c r="CD5" i="42"/>
  <c r="BE22" i="41"/>
  <c r="BE37" i="41" s="1"/>
  <c r="BE14" i="41"/>
  <c r="BE34" i="41" s="1"/>
  <c r="BE13" i="41"/>
  <c r="BE33" i="41" s="1"/>
  <c r="BF7" i="41"/>
  <c r="BF6" i="41"/>
  <c r="BF47" i="41" s="1"/>
  <c r="BF5" i="41"/>
  <c r="BF4" i="41"/>
  <c r="BF40" i="41" s="1"/>
  <c r="BF3" i="41"/>
  <c r="BF32" i="41" s="1"/>
  <c r="BE2" i="41"/>
  <c r="BE38" i="41" s="1"/>
  <c r="BF29" i="41"/>
  <c r="BF28" i="41"/>
  <c r="BF43" i="41" s="1"/>
  <c r="BF10" i="41"/>
  <c r="BF46" i="41" s="1"/>
  <c r="BF9" i="41"/>
  <c r="BF8" i="41"/>
  <c r="BF41" i="41" s="1"/>
  <c r="BE7" i="41"/>
  <c r="BE6" i="41"/>
  <c r="BE47" i="41" s="1"/>
  <c r="BE5" i="41"/>
  <c r="BE4" i="41"/>
  <c r="BE40" i="41" s="1"/>
  <c r="BE3" i="41"/>
  <c r="BE32" i="41" s="1"/>
  <c r="BE31" i="41" s="1"/>
  <c r="BE29" i="41"/>
  <c r="BE28" i="41"/>
  <c r="BE43" i="41" s="1"/>
  <c r="BF27" i="41"/>
  <c r="BF26" i="41"/>
  <c r="BF36" i="41" s="1"/>
  <c r="BF25" i="41"/>
  <c r="BF24" i="41"/>
  <c r="BF23" i="41"/>
  <c r="BF49" i="41" s="1"/>
  <c r="BF21" i="41"/>
  <c r="BF20" i="41"/>
  <c r="BF19" i="41"/>
  <c r="BF42" i="41" s="1"/>
  <c r="BF18" i="41"/>
  <c r="BF17" i="41"/>
  <c r="BF16" i="41"/>
  <c r="BF15" i="41"/>
  <c r="BF44" i="41" s="1"/>
  <c r="BF12" i="41"/>
  <c r="BF11" i="41"/>
  <c r="BF39" i="41" s="1"/>
  <c r="BE10" i="41"/>
  <c r="BE46" i="41" s="1"/>
  <c r="BE9" i="41"/>
  <c r="BE8" i="41"/>
  <c r="BE41" i="41" s="1"/>
  <c r="BE2" i="29"/>
  <c r="BE38" i="29" s="1"/>
  <c r="BE3" i="29"/>
  <c r="BE32" i="29" s="1"/>
  <c r="BE4" i="29"/>
  <c r="BE40" i="29" s="1"/>
  <c r="BE27" i="41"/>
  <c r="BE24" i="41"/>
  <c r="BE21" i="41"/>
  <c r="BE19" i="41"/>
  <c r="BE42" i="41" s="1"/>
  <c r="BF13" i="41"/>
  <c r="BF33" i="41" s="1"/>
  <c r="BE11" i="41"/>
  <c r="BE39" i="41" s="1"/>
  <c r="BF2" i="29"/>
  <c r="BF38" i="29" s="1"/>
  <c r="BF4" i="29"/>
  <c r="BF40" i="29" s="1"/>
  <c r="BF7" i="29"/>
  <c r="BF9" i="29"/>
  <c r="BF11" i="29"/>
  <c r="BF39" i="29" s="1"/>
  <c r="BE17" i="41"/>
  <c r="BE15" i="41"/>
  <c r="BE44" i="41" s="1"/>
  <c r="BF14" i="41"/>
  <c r="BF34" i="41" s="1"/>
  <c r="BE6" i="29"/>
  <c r="BE47" i="29" s="1"/>
  <c r="BE8" i="29"/>
  <c r="BE41" i="29" s="1"/>
  <c r="BE10" i="29"/>
  <c r="BE46" i="29" s="1"/>
  <c r="BE45" i="29" s="1"/>
  <c r="BE12" i="29"/>
  <c r="BE13" i="29"/>
  <c r="BE33" i="29" s="1"/>
  <c r="BE14" i="29"/>
  <c r="BE34" i="29" s="1"/>
  <c r="BE15" i="29"/>
  <c r="BE44" i="29" s="1"/>
  <c r="BE16" i="29"/>
  <c r="BE17" i="29"/>
  <c r="BE18" i="29"/>
  <c r="BE19" i="29"/>
  <c r="BE42" i="29" s="1"/>
  <c r="BE20" i="29"/>
  <c r="BE21" i="29"/>
  <c r="BE22" i="29"/>
  <c r="BE37" i="29" s="1"/>
  <c r="BE23" i="29"/>
  <c r="BE49" i="29" s="1"/>
  <c r="BE24" i="29"/>
  <c r="BE25" i="29"/>
  <c r="BE26" i="29"/>
  <c r="BE36" i="29" s="1"/>
  <c r="BE27" i="29"/>
  <c r="BE28" i="29"/>
  <c r="BE43" i="29" s="1"/>
  <c r="BE29" i="29"/>
  <c r="BE30" i="29"/>
  <c r="BE35" i="29" s="1"/>
  <c r="BE26" i="41"/>
  <c r="BE36" i="41" s="1"/>
  <c r="BE25" i="41"/>
  <c r="BE23" i="41"/>
  <c r="BE49" i="41" s="1"/>
  <c r="BF22" i="41"/>
  <c r="BF37" i="41" s="1"/>
  <c r="BE20" i="41"/>
  <c r="BE12" i="41"/>
  <c r="BF3" i="29"/>
  <c r="BF32" i="29" s="1"/>
  <c r="BE5" i="29"/>
  <c r="BF6" i="29"/>
  <c r="BF47" i="29" s="1"/>
  <c r="BF8" i="29"/>
  <c r="BF41" i="29" s="1"/>
  <c r="BF10" i="29"/>
  <c r="BF46" i="29" s="1"/>
  <c r="BF12" i="29"/>
  <c r="BF13" i="29"/>
  <c r="BF33" i="29" s="1"/>
  <c r="BF14" i="29"/>
  <c r="BF34" i="29" s="1"/>
  <c r="BF15" i="29"/>
  <c r="BF44" i="29" s="1"/>
  <c r="BF16" i="29"/>
  <c r="BF17" i="29"/>
  <c r="BF18" i="29"/>
  <c r="BF19" i="29"/>
  <c r="BF42" i="29" s="1"/>
  <c r="BF20" i="29"/>
  <c r="BF21" i="29"/>
  <c r="BF22" i="29"/>
  <c r="BF37" i="29" s="1"/>
  <c r="BF23" i="29"/>
  <c r="BF49" i="29" s="1"/>
  <c r="BF24" i="29"/>
  <c r="BF25" i="29"/>
  <c r="BF26" i="29"/>
  <c r="BF36" i="29" s="1"/>
  <c r="BF27" i="29"/>
  <c r="BF28" i="29"/>
  <c r="BF43" i="29" s="1"/>
  <c r="BF29" i="29"/>
  <c r="BF30" i="29"/>
  <c r="BF35" i="29" s="1"/>
  <c r="BE18" i="41"/>
  <c r="BF5" i="29"/>
  <c r="BE9" i="29"/>
  <c r="BE30" i="41"/>
  <c r="BE35" i="41" s="1"/>
  <c r="BF2" i="41"/>
  <c r="BF38" i="41" s="1"/>
  <c r="BE7" i="29"/>
  <c r="BE16" i="41"/>
  <c r="BE11" i="29"/>
  <c r="BE39" i="29" s="1"/>
  <c r="CE6" i="43"/>
  <c r="CE47" i="43" s="1"/>
  <c r="CE29" i="43"/>
  <c r="CE16" i="43"/>
  <c r="CE23" i="43"/>
  <c r="CE17" i="43"/>
  <c r="CE13" i="43"/>
  <c r="CE33" i="43" s="1"/>
  <c r="CE9" i="43"/>
  <c r="CE5" i="43"/>
  <c r="CE19" i="43"/>
  <c r="CE42" i="43" s="1"/>
  <c r="CE7" i="43"/>
  <c r="CE2" i="43"/>
  <c r="CE38" i="43" s="1"/>
  <c r="CE26" i="43"/>
  <c r="CE36" i="43" s="1"/>
  <c r="CE18" i="43"/>
  <c r="CE25" i="43"/>
  <c r="CE21" i="43"/>
  <c r="CE12" i="43"/>
  <c r="CE15" i="43"/>
  <c r="CE44" i="43" s="1"/>
  <c r="CE3" i="43"/>
  <c r="CE32" i="43" s="1"/>
  <c r="CE30" i="43"/>
  <c r="CE35" i="43" s="1"/>
  <c r="CE11" i="43"/>
  <c r="CE39" i="43" s="1"/>
  <c r="CE22" i="43"/>
  <c r="CE37" i="43" s="1"/>
  <c r="CE14" i="43"/>
  <c r="CE34" i="43" s="1"/>
  <c r="CE8" i="43"/>
  <c r="CE41" i="43" s="1"/>
  <c r="CE27" i="43"/>
  <c r="CE10" i="43"/>
  <c r="CE46" i="43" s="1"/>
  <c r="CE45" i="43" s="1"/>
  <c r="CE24" i="43"/>
  <c r="CE4" i="43"/>
  <c r="CE40" i="43" s="1"/>
  <c r="CE28" i="43"/>
  <c r="CE43" i="43" s="1"/>
  <c r="CE20" i="43"/>
  <c r="CD3" i="30"/>
  <c r="CD32" i="30" s="1"/>
  <c r="CD4" i="30"/>
  <c r="CD40" i="30" s="1"/>
  <c r="CD5" i="30"/>
  <c r="CD6" i="30"/>
  <c r="CD47" i="30" s="1"/>
  <c r="CD7" i="30"/>
  <c r="CD8" i="30"/>
  <c r="CD41" i="30" s="1"/>
  <c r="CD9" i="30"/>
  <c r="CD10" i="30"/>
  <c r="CD46" i="30" s="1"/>
  <c r="CD11" i="30"/>
  <c r="CD39" i="30" s="1"/>
  <c r="CD12" i="30"/>
  <c r="CD13" i="30"/>
  <c r="CD33" i="30" s="1"/>
  <c r="CD14" i="30"/>
  <c r="CD34" i="30" s="1"/>
  <c r="CD15" i="30"/>
  <c r="CD44" i="30" s="1"/>
  <c r="CD16" i="30"/>
  <c r="CD17" i="30"/>
  <c r="CD18" i="30"/>
  <c r="CD19" i="30"/>
  <c r="CD42" i="30" s="1"/>
  <c r="CD20" i="30"/>
  <c r="CD21" i="30"/>
  <c r="CD22" i="30"/>
  <c r="CD37" i="30" s="1"/>
  <c r="CD23" i="30"/>
  <c r="CD24" i="30"/>
  <c r="CD25" i="30"/>
  <c r="CD26" i="30"/>
  <c r="CD36" i="30" s="1"/>
  <c r="CD27" i="30"/>
  <c r="CD28" i="30"/>
  <c r="CD43" i="30" s="1"/>
  <c r="CD29" i="30"/>
  <c r="CD30" i="30"/>
  <c r="CD35" i="30" s="1"/>
  <c r="CE3" i="30"/>
  <c r="CE32" i="30" s="1"/>
  <c r="CE4" i="30"/>
  <c r="CE40" i="30" s="1"/>
  <c r="CE5" i="30"/>
  <c r="CE6" i="30"/>
  <c r="CE47" i="30" s="1"/>
  <c r="CE7" i="30"/>
  <c r="CE8" i="30"/>
  <c r="CE41" i="30" s="1"/>
  <c r="CE9" i="30"/>
  <c r="CE10" i="30"/>
  <c r="CE46" i="30" s="1"/>
  <c r="CE11" i="30"/>
  <c r="CE39" i="30" s="1"/>
  <c r="CE12" i="30"/>
  <c r="CE13" i="30"/>
  <c r="CE33" i="30" s="1"/>
  <c r="CE14" i="30"/>
  <c r="CE34" i="30" s="1"/>
  <c r="CE15" i="30"/>
  <c r="CE44" i="30" s="1"/>
  <c r="CE16" i="30"/>
  <c r="CE17" i="30"/>
  <c r="CE18" i="30"/>
  <c r="CE19" i="30"/>
  <c r="CE42" i="30" s="1"/>
  <c r="CE20" i="30"/>
  <c r="CE21" i="30"/>
  <c r="CE22" i="30"/>
  <c r="CE37" i="30" s="1"/>
  <c r="CE23" i="30"/>
  <c r="CE24" i="30"/>
  <c r="CE25" i="30"/>
  <c r="CE26" i="30"/>
  <c r="CE36" i="30" s="1"/>
  <c r="CE27" i="30"/>
  <c r="CE28" i="30"/>
  <c r="CE43" i="30" s="1"/>
  <c r="CE29" i="30"/>
  <c r="CE30" i="30"/>
  <c r="CE35" i="30" s="1"/>
  <c r="CH30" i="42"/>
  <c r="CH35" i="42" s="1"/>
  <c r="CH29" i="42"/>
  <c r="CH28" i="42"/>
  <c r="CH43" i="42" s="1"/>
  <c r="CH27" i="42"/>
  <c r="CH26" i="42"/>
  <c r="CH36" i="42" s="1"/>
  <c r="CH25" i="42"/>
  <c r="CH24" i="42"/>
  <c r="CH23" i="42"/>
  <c r="CH22" i="42"/>
  <c r="CH37" i="42" s="1"/>
  <c r="CH21" i="42"/>
  <c r="CH17" i="42"/>
  <c r="CH15" i="42"/>
  <c r="CH44" i="42" s="1"/>
  <c r="CH13" i="42"/>
  <c r="CH33" i="42" s="1"/>
  <c r="CH11" i="42"/>
  <c r="CH39" i="42" s="1"/>
  <c r="CH9" i="42"/>
  <c r="CH7" i="42"/>
  <c r="CH5" i="42"/>
  <c r="CH20" i="42"/>
  <c r="CH19" i="42"/>
  <c r="CH42" i="42" s="1"/>
  <c r="CH4" i="42"/>
  <c r="CH40" i="42" s="1"/>
  <c r="CH3" i="42"/>
  <c r="CH32" i="42" s="1"/>
  <c r="CH2" i="42"/>
  <c r="CH38" i="42" s="1"/>
  <c r="CH12" i="42"/>
  <c r="BI22" i="41"/>
  <c r="BI37" i="41" s="1"/>
  <c r="BI14" i="41"/>
  <c r="BI34" i="41" s="1"/>
  <c r="BI13" i="41"/>
  <c r="BI33" i="41" s="1"/>
  <c r="BI2" i="41"/>
  <c r="BI38" i="41" s="1"/>
  <c r="CH18" i="42"/>
  <c r="CH10" i="42"/>
  <c r="CH46" i="42" s="1"/>
  <c r="BI30" i="41"/>
  <c r="BI35" i="41" s="1"/>
  <c r="BI7" i="41"/>
  <c r="BI6" i="41"/>
  <c r="BI47" i="41" s="1"/>
  <c r="BI5" i="41"/>
  <c r="BI4" i="41"/>
  <c r="BI40" i="41" s="1"/>
  <c r="BI3" i="41"/>
  <c r="BI32" i="41" s="1"/>
  <c r="CH16" i="42"/>
  <c r="CH8" i="42"/>
  <c r="CH41" i="42" s="1"/>
  <c r="BI29" i="41"/>
  <c r="BI28" i="41"/>
  <c r="BI43" i="41" s="1"/>
  <c r="BI10" i="41"/>
  <c r="BI46" i="41" s="1"/>
  <c r="BI9" i="41"/>
  <c r="BI8" i="41"/>
  <c r="BI41" i="41" s="1"/>
  <c r="BI2" i="29"/>
  <c r="BI38" i="29" s="1"/>
  <c r="BI3" i="29"/>
  <c r="BI32" i="29" s="1"/>
  <c r="BI4" i="29"/>
  <c r="BI40" i="29" s="1"/>
  <c r="BI17" i="41"/>
  <c r="BI15" i="41"/>
  <c r="BI44" i="41" s="1"/>
  <c r="BI5" i="29"/>
  <c r="BI6" i="29"/>
  <c r="BI47" i="29" s="1"/>
  <c r="BI8" i="29"/>
  <c r="BI41" i="29" s="1"/>
  <c r="BI10" i="29"/>
  <c r="BI46" i="29" s="1"/>
  <c r="CH14" i="42"/>
  <c r="CH34" i="42" s="1"/>
  <c r="BI26" i="41"/>
  <c r="BI36" i="41" s="1"/>
  <c r="BI25" i="41"/>
  <c r="BI23" i="41"/>
  <c r="BI49" i="41" s="1"/>
  <c r="BI20" i="41"/>
  <c r="BI12" i="41"/>
  <c r="BI12" i="29"/>
  <c r="BI13" i="29"/>
  <c r="BI33" i="29" s="1"/>
  <c r="BI31" i="29" s="1"/>
  <c r="BI14" i="29"/>
  <c r="BI34" i="29" s="1"/>
  <c r="BI15" i="29"/>
  <c r="BI44" i="29" s="1"/>
  <c r="BI16" i="29"/>
  <c r="BI17" i="29"/>
  <c r="BI18" i="29"/>
  <c r="BI19" i="29"/>
  <c r="BI42" i="29" s="1"/>
  <c r="BI20" i="29"/>
  <c r="BI21" i="29"/>
  <c r="BI22" i="29"/>
  <c r="BI37" i="29" s="1"/>
  <c r="BI23" i="29"/>
  <c r="BI49" i="29" s="1"/>
  <c r="BI24" i="29"/>
  <c r="BI25" i="29"/>
  <c r="BI26" i="29"/>
  <c r="BI36" i="29" s="1"/>
  <c r="BI27" i="29"/>
  <c r="BI28" i="29"/>
  <c r="BI43" i="29" s="1"/>
  <c r="BI29" i="29"/>
  <c r="BI30" i="29"/>
  <c r="BI35" i="29" s="1"/>
  <c r="CH6" i="42"/>
  <c r="CH47" i="42" s="1"/>
  <c r="BI18" i="41"/>
  <c r="BI16" i="41"/>
  <c r="BI7" i="29"/>
  <c r="BI9" i="29"/>
  <c r="BI11" i="29"/>
  <c r="BI39" i="29" s="1"/>
  <c r="BI19" i="41"/>
  <c r="BI42" i="41" s="1"/>
  <c r="BI11" i="41"/>
  <c r="BI39" i="41" s="1"/>
  <c r="BI24" i="41"/>
  <c r="BI21" i="41"/>
  <c r="BI27" i="41"/>
  <c r="CH29" i="43"/>
  <c r="CH16" i="43"/>
  <c r="CH23" i="43"/>
  <c r="CH30" i="43"/>
  <c r="CH35" i="43" s="1"/>
  <c r="CH22" i="43"/>
  <c r="CH37" i="43" s="1"/>
  <c r="CH17" i="43"/>
  <c r="CH13" i="43"/>
  <c r="CH33" i="43" s="1"/>
  <c r="CH9" i="43"/>
  <c r="CH5" i="43"/>
  <c r="CH19" i="43"/>
  <c r="CH42" i="43" s="1"/>
  <c r="CH7" i="43"/>
  <c r="CH26" i="43"/>
  <c r="CH36" i="43" s="1"/>
  <c r="CH18" i="43"/>
  <c r="CH2" i="43"/>
  <c r="CH38" i="43" s="1"/>
  <c r="CH25" i="43"/>
  <c r="CH21" i="43"/>
  <c r="CH12" i="43"/>
  <c r="CH15" i="43"/>
  <c r="CH44" i="43" s="1"/>
  <c r="CH3" i="43"/>
  <c r="CH32" i="43" s="1"/>
  <c r="CH11" i="43"/>
  <c r="CH39" i="43" s="1"/>
  <c r="CH6" i="43"/>
  <c r="CH47" i="43" s="1"/>
  <c r="CH8" i="43"/>
  <c r="CH41" i="43" s="1"/>
  <c r="CH27" i="43"/>
  <c r="CH10" i="43"/>
  <c r="CH46" i="43" s="1"/>
  <c r="CH24" i="43"/>
  <c r="CH4" i="43"/>
  <c r="CH40" i="43" s="1"/>
  <c r="CH28" i="43"/>
  <c r="CH43" i="43" s="1"/>
  <c r="CH20" i="43"/>
  <c r="CH14" i="43"/>
  <c r="CH34" i="43" s="1"/>
  <c r="CH3" i="30"/>
  <c r="CH32" i="30" s="1"/>
  <c r="CH4" i="30"/>
  <c r="CH40" i="30" s="1"/>
  <c r="CH5" i="30"/>
  <c r="CH6" i="30"/>
  <c r="CH47" i="30" s="1"/>
  <c r="CH7" i="30"/>
  <c r="CH8" i="30"/>
  <c r="CH41" i="30" s="1"/>
  <c r="CH9" i="30"/>
  <c r="CH10" i="30"/>
  <c r="CH46" i="30" s="1"/>
  <c r="CH11" i="30"/>
  <c r="CH39" i="30" s="1"/>
  <c r="CH12" i="30"/>
  <c r="CH13" i="30"/>
  <c r="CH33" i="30" s="1"/>
  <c r="CH14" i="30"/>
  <c r="CH34" i="30" s="1"/>
  <c r="CH15" i="30"/>
  <c r="CH44" i="30" s="1"/>
  <c r="CH16" i="30"/>
  <c r="CH17" i="30"/>
  <c r="CH18" i="30"/>
  <c r="CH19" i="30"/>
  <c r="CH42" i="30" s="1"/>
  <c r="CH20" i="30"/>
  <c r="CH21" i="30"/>
  <c r="CH22" i="30"/>
  <c r="CH37" i="30" s="1"/>
  <c r="CH23" i="30"/>
  <c r="CH24" i="30"/>
  <c r="CH25" i="30"/>
  <c r="CH26" i="30"/>
  <c r="CH36" i="30" s="1"/>
  <c r="CH27" i="30"/>
  <c r="CH28" i="30"/>
  <c r="CH43" i="30" s="1"/>
  <c r="CH29" i="30"/>
  <c r="CH30" i="30"/>
  <c r="CH35" i="30" s="1"/>
  <c r="CL30" i="42"/>
  <c r="CL35" i="42" s="1"/>
  <c r="CL29" i="42"/>
  <c r="CL28" i="42"/>
  <c r="CL43" i="42" s="1"/>
  <c r="CL27" i="42"/>
  <c r="CL26" i="42"/>
  <c r="CL36" i="42" s="1"/>
  <c r="CL25" i="42"/>
  <c r="CL24" i="42"/>
  <c r="CL23" i="42"/>
  <c r="CL22" i="42"/>
  <c r="CL37" i="42" s="1"/>
  <c r="CL21" i="42"/>
  <c r="CL20" i="42"/>
  <c r="CL19" i="42"/>
  <c r="CL42" i="42" s="1"/>
  <c r="CL18" i="42"/>
  <c r="CL17" i="42"/>
  <c r="CL16" i="42"/>
  <c r="CL15" i="42"/>
  <c r="CL44" i="42" s="1"/>
  <c r="CL14" i="42"/>
  <c r="CL34" i="42" s="1"/>
  <c r="CL13" i="42"/>
  <c r="CL33" i="42" s="1"/>
  <c r="CL12" i="42"/>
  <c r="CL11" i="42"/>
  <c r="CL39" i="42" s="1"/>
  <c r="CL10" i="42"/>
  <c r="CL46" i="42" s="1"/>
  <c r="CL9" i="42"/>
  <c r="CL8" i="42"/>
  <c r="CL41" i="42" s="1"/>
  <c r="CL7" i="42"/>
  <c r="CL6" i="42"/>
  <c r="CL47" i="42" s="1"/>
  <c r="CL5" i="42"/>
  <c r="CL4" i="42"/>
  <c r="CL40" i="42" s="1"/>
  <c r="CL3" i="42"/>
  <c r="CL32" i="42" s="1"/>
  <c r="CL2" i="42"/>
  <c r="CL38" i="42" s="1"/>
  <c r="BM29" i="41"/>
  <c r="BM22" i="41"/>
  <c r="BM37" i="41" s="1"/>
  <c r="BM14" i="41"/>
  <c r="BM34" i="41" s="1"/>
  <c r="BM13" i="41"/>
  <c r="BM33" i="41" s="1"/>
  <c r="BM2" i="41"/>
  <c r="BM38" i="41" s="1"/>
  <c r="BM7" i="41"/>
  <c r="BM6" i="41"/>
  <c r="BM47" i="41" s="1"/>
  <c r="BM5" i="41"/>
  <c r="BM4" i="41"/>
  <c r="BM40" i="41" s="1"/>
  <c r="BM3" i="41"/>
  <c r="BM32" i="41" s="1"/>
  <c r="BM28" i="41"/>
  <c r="BM43" i="41" s="1"/>
  <c r="BM10" i="41"/>
  <c r="BM46" i="41" s="1"/>
  <c r="BM45" i="41" s="1"/>
  <c r="BM9" i="41"/>
  <c r="BM8" i="41"/>
  <c r="BM41" i="41" s="1"/>
  <c r="BM2" i="29"/>
  <c r="BM38" i="29" s="1"/>
  <c r="BM3" i="29"/>
  <c r="BM32" i="29" s="1"/>
  <c r="BM4" i="29"/>
  <c r="BM40" i="29" s="1"/>
  <c r="BM26" i="41"/>
  <c r="BM36" i="41" s="1"/>
  <c r="BM25" i="41"/>
  <c r="BM23" i="41"/>
  <c r="BM49" i="41" s="1"/>
  <c r="BM20" i="41"/>
  <c r="BM12" i="41"/>
  <c r="BM18" i="41"/>
  <c r="BM16" i="41"/>
  <c r="BM7" i="29"/>
  <c r="BM9" i="29"/>
  <c r="BM11" i="29"/>
  <c r="BM39" i="29" s="1"/>
  <c r="BM12" i="29"/>
  <c r="BM13" i="29"/>
  <c r="BM33" i="29" s="1"/>
  <c r="BM14" i="29"/>
  <c r="BM34" i="29" s="1"/>
  <c r="BM15" i="29"/>
  <c r="BM44" i="29" s="1"/>
  <c r="BM16" i="29"/>
  <c r="BM17" i="29"/>
  <c r="BM18" i="29"/>
  <c r="BM19" i="29"/>
  <c r="BM42" i="29" s="1"/>
  <c r="BM20" i="29"/>
  <c r="BM21" i="29"/>
  <c r="BM22" i="29"/>
  <c r="BM37" i="29" s="1"/>
  <c r="BM23" i="29"/>
  <c r="BM49" i="29" s="1"/>
  <c r="BM24" i="29"/>
  <c r="BM25" i="29"/>
  <c r="BM26" i="29"/>
  <c r="BM36" i="29" s="1"/>
  <c r="BM27" i="29"/>
  <c r="BM28" i="29"/>
  <c r="BM43" i="29" s="1"/>
  <c r="BM29" i="29"/>
  <c r="BM30" i="29"/>
  <c r="BM35" i="29" s="1"/>
  <c r="BM30" i="41"/>
  <c r="BM35" i="41" s="1"/>
  <c r="BM27" i="41"/>
  <c r="BM24" i="41"/>
  <c r="BM21" i="41"/>
  <c r="BM19" i="41"/>
  <c r="BM42" i="41" s="1"/>
  <c r="BM11" i="41"/>
  <c r="BM39" i="41" s="1"/>
  <c r="BM5" i="29"/>
  <c r="BM15" i="41"/>
  <c r="BM44" i="41" s="1"/>
  <c r="BM8" i="29"/>
  <c r="BM41" i="29" s="1"/>
  <c r="BM17" i="41"/>
  <c r="BM6" i="29"/>
  <c r="BM47" i="29" s="1"/>
  <c r="BM10" i="29"/>
  <c r="BM46" i="29" s="1"/>
  <c r="BM45" i="29" s="1"/>
  <c r="CL2" i="43"/>
  <c r="CL38" i="43" s="1"/>
  <c r="CL8" i="43"/>
  <c r="CL41" i="43" s="1"/>
  <c r="CL24" i="43"/>
  <c r="CL16" i="43"/>
  <c r="CL30" i="43"/>
  <c r="CL35" i="43" s="1"/>
  <c r="CL22" i="43"/>
  <c r="CL37" i="43" s="1"/>
  <c r="CL17" i="43"/>
  <c r="CL13" i="43"/>
  <c r="CL33" i="43" s="1"/>
  <c r="CL9" i="43"/>
  <c r="CL5" i="43"/>
  <c r="CL19" i="43"/>
  <c r="CL42" i="43" s="1"/>
  <c r="CL26" i="43"/>
  <c r="CL36" i="43" s="1"/>
  <c r="CL25" i="43"/>
  <c r="CL21" i="43"/>
  <c r="CL15" i="43"/>
  <c r="CL44" i="43" s="1"/>
  <c r="CL3" i="43"/>
  <c r="CL32" i="43" s="1"/>
  <c r="CL10" i="43"/>
  <c r="CL46" i="43" s="1"/>
  <c r="CL29" i="43"/>
  <c r="CL28" i="43"/>
  <c r="CL43" i="43" s="1"/>
  <c r="CL14" i="43"/>
  <c r="CL34" i="43" s="1"/>
  <c r="CL27" i="43"/>
  <c r="CL11" i="43"/>
  <c r="CL39" i="43" s="1"/>
  <c r="CL4" i="43"/>
  <c r="CL40" i="43" s="1"/>
  <c r="CL23" i="43"/>
  <c r="CL6" i="43"/>
  <c r="CL47" i="43" s="1"/>
  <c r="CL45" i="43" s="1"/>
  <c r="CL7" i="43"/>
  <c r="CL18" i="43"/>
  <c r="CL20" i="43"/>
  <c r="CL12" i="43"/>
  <c r="CL3" i="30"/>
  <c r="CL32" i="30" s="1"/>
  <c r="CL4" i="30"/>
  <c r="CL40" i="30" s="1"/>
  <c r="CL5" i="30"/>
  <c r="CL6" i="30"/>
  <c r="CL47" i="30" s="1"/>
  <c r="CL7" i="30"/>
  <c r="CL8" i="30"/>
  <c r="CL41" i="30" s="1"/>
  <c r="CL9" i="30"/>
  <c r="CL10" i="30"/>
  <c r="CL46" i="30" s="1"/>
  <c r="CL45" i="30" s="1"/>
  <c r="CL11" i="30"/>
  <c r="CL39" i="30" s="1"/>
  <c r="CL12" i="30"/>
  <c r="CL13" i="30"/>
  <c r="CL33" i="30" s="1"/>
  <c r="CL14" i="30"/>
  <c r="CL34" i="30" s="1"/>
  <c r="CL15" i="30"/>
  <c r="CL44" i="30" s="1"/>
  <c r="CL16" i="30"/>
  <c r="CL17" i="30"/>
  <c r="CL18" i="30"/>
  <c r="CL19" i="30"/>
  <c r="CL42" i="30" s="1"/>
  <c r="CL20" i="30"/>
  <c r="CL21" i="30"/>
  <c r="CL22" i="30"/>
  <c r="CL37" i="30" s="1"/>
  <c r="CL23" i="30"/>
  <c r="CL24" i="30"/>
  <c r="CL25" i="30"/>
  <c r="CL26" i="30"/>
  <c r="CL36" i="30" s="1"/>
  <c r="CL27" i="30"/>
  <c r="CL28" i="30"/>
  <c r="CL43" i="30" s="1"/>
  <c r="CL29" i="30"/>
  <c r="CL30" i="30"/>
  <c r="CL35" i="30" s="1"/>
  <c r="CP17" i="42"/>
  <c r="CP16" i="42"/>
  <c r="CP15" i="42"/>
  <c r="CP44" i="42" s="1"/>
  <c r="CP14" i="42"/>
  <c r="CP34" i="42" s="1"/>
  <c r="CP13" i="42"/>
  <c r="CP33" i="42" s="1"/>
  <c r="CP12" i="42"/>
  <c r="CP11" i="42"/>
  <c r="CP39" i="42" s="1"/>
  <c r="CP10" i="42"/>
  <c r="CP46" i="42" s="1"/>
  <c r="CP9" i="42"/>
  <c r="CP8" i="42"/>
  <c r="CP41" i="42" s="1"/>
  <c r="CP7" i="42"/>
  <c r="CP6" i="42"/>
  <c r="CP47" i="42" s="1"/>
  <c r="CP5" i="42"/>
  <c r="CP30" i="42"/>
  <c r="CP35" i="42" s="1"/>
  <c r="CP29" i="42"/>
  <c r="CP28" i="42"/>
  <c r="CP43" i="42" s="1"/>
  <c r="CP27" i="42"/>
  <c r="CP26" i="42"/>
  <c r="CP36" i="42" s="1"/>
  <c r="CP25" i="42"/>
  <c r="CP24" i="42"/>
  <c r="CP23" i="42"/>
  <c r="CP22" i="42"/>
  <c r="CP37" i="42" s="1"/>
  <c r="CP21" i="42"/>
  <c r="CP20" i="42"/>
  <c r="CP19" i="42"/>
  <c r="CP42" i="42" s="1"/>
  <c r="CP18" i="42"/>
  <c r="CP4" i="42"/>
  <c r="CP40" i="42" s="1"/>
  <c r="CP3" i="42"/>
  <c r="CP32" i="42" s="1"/>
  <c r="CP2" i="42"/>
  <c r="CP38" i="42" s="1"/>
  <c r="BQ22" i="41"/>
  <c r="BQ37" i="41" s="1"/>
  <c r="BQ14" i="41"/>
  <c r="BQ34" i="41" s="1"/>
  <c r="BQ13" i="41"/>
  <c r="BQ33" i="41" s="1"/>
  <c r="BQ2" i="41"/>
  <c r="BQ38" i="41" s="1"/>
  <c r="BQ30" i="41"/>
  <c r="BQ35" i="41" s="1"/>
  <c r="BQ7" i="41"/>
  <c r="BQ6" i="41"/>
  <c r="BQ47" i="41" s="1"/>
  <c r="BQ5" i="41"/>
  <c r="BQ4" i="41"/>
  <c r="BQ40" i="41" s="1"/>
  <c r="BQ3" i="41"/>
  <c r="BQ32" i="41" s="1"/>
  <c r="BQ29" i="41"/>
  <c r="BQ28" i="41"/>
  <c r="BQ43" i="41" s="1"/>
  <c r="BQ10" i="41"/>
  <c r="BQ46" i="41" s="1"/>
  <c r="BQ45" i="41" s="1"/>
  <c r="BQ9" i="41"/>
  <c r="BQ8" i="41"/>
  <c r="BQ41" i="41" s="1"/>
  <c r="BQ2" i="29"/>
  <c r="BQ38" i="29" s="1"/>
  <c r="BQ3" i="29"/>
  <c r="BQ32" i="29" s="1"/>
  <c r="BQ4" i="29"/>
  <c r="BQ40" i="29" s="1"/>
  <c r="BQ18" i="41"/>
  <c r="BQ16" i="41"/>
  <c r="BQ5" i="29"/>
  <c r="BQ7" i="29"/>
  <c r="BQ9" i="29"/>
  <c r="BQ11" i="29"/>
  <c r="BQ39" i="29" s="1"/>
  <c r="BQ27" i="41"/>
  <c r="BQ24" i="41"/>
  <c r="BQ21" i="41"/>
  <c r="BQ19" i="41"/>
  <c r="BQ42" i="41" s="1"/>
  <c r="BQ11" i="41"/>
  <c r="BQ39" i="41" s="1"/>
  <c r="BQ12" i="29"/>
  <c r="BQ13" i="29"/>
  <c r="BQ33" i="29" s="1"/>
  <c r="BQ14" i="29"/>
  <c r="BQ34" i="29" s="1"/>
  <c r="BQ15" i="29"/>
  <c r="BQ44" i="29" s="1"/>
  <c r="BQ16" i="29"/>
  <c r="BQ17" i="29"/>
  <c r="BQ18" i="29"/>
  <c r="BQ19" i="29"/>
  <c r="BQ42" i="29" s="1"/>
  <c r="BQ20" i="29"/>
  <c r="BQ21" i="29"/>
  <c r="BQ22" i="29"/>
  <c r="BQ37" i="29" s="1"/>
  <c r="BQ23" i="29"/>
  <c r="BQ49" i="29" s="1"/>
  <c r="BQ24" i="29"/>
  <c r="BQ25" i="29"/>
  <c r="BQ26" i="29"/>
  <c r="BQ36" i="29" s="1"/>
  <c r="BQ27" i="29"/>
  <c r="BQ28" i="29"/>
  <c r="BQ43" i="29" s="1"/>
  <c r="BQ29" i="29"/>
  <c r="BQ30" i="29"/>
  <c r="BQ35" i="29" s="1"/>
  <c r="BQ17" i="41"/>
  <c r="BQ15" i="41"/>
  <c r="BQ44" i="41" s="1"/>
  <c r="BQ6" i="29"/>
  <c r="BQ47" i="29" s="1"/>
  <c r="BQ8" i="29"/>
  <c r="BQ41" i="29" s="1"/>
  <c r="BQ10" i="29"/>
  <c r="BQ46" i="29" s="1"/>
  <c r="BQ45" i="29" s="1"/>
  <c r="BQ26" i="41"/>
  <c r="BQ36" i="41" s="1"/>
  <c r="BQ23" i="41"/>
  <c r="BQ49" i="41" s="1"/>
  <c r="BQ20" i="41"/>
  <c r="BQ12" i="41"/>
  <c r="BQ25" i="41"/>
  <c r="CP14" i="43"/>
  <c r="CP34" i="43" s="1"/>
  <c r="CP18" i="43"/>
  <c r="CP2" i="43"/>
  <c r="CP38" i="43" s="1"/>
  <c r="CP25" i="43"/>
  <c r="CP28" i="43"/>
  <c r="CP43" i="43" s="1"/>
  <c r="CP20" i="43"/>
  <c r="CP12" i="43"/>
  <c r="CP3" i="43"/>
  <c r="CP32" i="43" s="1"/>
  <c r="CP31" i="43" s="1"/>
  <c r="CP8" i="43"/>
  <c r="CP41" i="43" s="1"/>
  <c r="CP11" i="43"/>
  <c r="CP39" i="43" s="1"/>
  <c r="CP10" i="43"/>
  <c r="CP46" i="43" s="1"/>
  <c r="CP29" i="43"/>
  <c r="CP24" i="43"/>
  <c r="CP16" i="43"/>
  <c r="CP23" i="43"/>
  <c r="CP22" i="43"/>
  <c r="CP37" i="43" s="1"/>
  <c r="CP6" i="43"/>
  <c r="CP47" i="43" s="1"/>
  <c r="CP17" i="43"/>
  <c r="CP9" i="43"/>
  <c r="CP7" i="43"/>
  <c r="CP19" i="43"/>
  <c r="CP42" i="43" s="1"/>
  <c r="CP26" i="43"/>
  <c r="CP36" i="43" s="1"/>
  <c r="CP21" i="43"/>
  <c r="CP15" i="43"/>
  <c r="CP44" i="43" s="1"/>
  <c r="CP27" i="43"/>
  <c r="CP4" i="43"/>
  <c r="CP40" i="43" s="1"/>
  <c r="CP30" i="43"/>
  <c r="CP35" i="43" s="1"/>
  <c r="CP13" i="43"/>
  <c r="CP33" i="43" s="1"/>
  <c r="CP5" i="43"/>
  <c r="CP3" i="30"/>
  <c r="CP32" i="30" s="1"/>
  <c r="CP4" i="30"/>
  <c r="CP40" i="30" s="1"/>
  <c r="CP5" i="30"/>
  <c r="CP6" i="30"/>
  <c r="CP47" i="30" s="1"/>
  <c r="CP7" i="30"/>
  <c r="CP8" i="30"/>
  <c r="CP41" i="30" s="1"/>
  <c r="CP9" i="30"/>
  <c r="CP10" i="30"/>
  <c r="CP46" i="30" s="1"/>
  <c r="CP11" i="30"/>
  <c r="CP39" i="30" s="1"/>
  <c r="CP12" i="30"/>
  <c r="CP13" i="30"/>
  <c r="CP33" i="30" s="1"/>
  <c r="CP14" i="30"/>
  <c r="CP34" i="30" s="1"/>
  <c r="CP15" i="30"/>
  <c r="CP44" i="30" s="1"/>
  <c r="CP16" i="30"/>
  <c r="CP17" i="30"/>
  <c r="CP18" i="30"/>
  <c r="CP19" i="30"/>
  <c r="CP42" i="30" s="1"/>
  <c r="CP20" i="30"/>
  <c r="CP21" i="30"/>
  <c r="CP22" i="30"/>
  <c r="CP37" i="30" s="1"/>
  <c r="CP23" i="30"/>
  <c r="CP24" i="30"/>
  <c r="CP25" i="30"/>
  <c r="CP26" i="30"/>
  <c r="CP36" i="30" s="1"/>
  <c r="CP27" i="30"/>
  <c r="CP28" i="30"/>
  <c r="CP43" i="30" s="1"/>
  <c r="CP29" i="30"/>
  <c r="CP30" i="30"/>
  <c r="CP35" i="30" s="1"/>
  <c r="CW17" i="42"/>
  <c r="CW16" i="42"/>
  <c r="CW15" i="42"/>
  <c r="CW44" i="42" s="1"/>
  <c r="CW14" i="42"/>
  <c r="CW34" i="42" s="1"/>
  <c r="CW13" i="42"/>
  <c r="CW33" i="42" s="1"/>
  <c r="CW12" i="42"/>
  <c r="CW11" i="42"/>
  <c r="CW39" i="42" s="1"/>
  <c r="CW10" i="42"/>
  <c r="CW46" i="42" s="1"/>
  <c r="CW9" i="42"/>
  <c r="CW8" i="42"/>
  <c r="CW41" i="42" s="1"/>
  <c r="CW7" i="42"/>
  <c r="CW6" i="42"/>
  <c r="CW47" i="42" s="1"/>
  <c r="CW5" i="42"/>
  <c r="CW30" i="42"/>
  <c r="CW35" i="42" s="1"/>
  <c r="CW28" i="42"/>
  <c r="CW43" i="42" s="1"/>
  <c r="CW26" i="42"/>
  <c r="CW36" i="42" s="1"/>
  <c r="CW24" i="42"/>
  <c r="CW22" i="42"/>
  <c r="CW37" i="42" s="1"/>
  <c r="CW20" i="42"/>
  <c r="BX29" i="41"/>
  <c r="CW29" i="42"/>
  <c r="CW27" i="42"/>
  <c r="CW25" i="42"/>
  <c r="CW23" i="42"/>
  <c r="CW21" i="42"/>
  <c r="CW18" i="42"/>
  <c r="BX27" i="41"/>
  <c r="BX26" i="41"/>
  <c r="BX36" i="41" s="1"/>
  <c r="BX25" i="41"/>
  <c r="BX24" i="41"/>
  <c r="BX23" i="41"/>
  <c r="BX49" i="41" s="1"/>
  <c r="BX21" i="41"/>
  <c r="BX20" i="41"/>
  <c r="BX19" i="41"/>
  <c r="BX42" i="41" s="1"/>
  <c r="BX18" i="41"/>
  <c r="BX17" i="41"/>
  <c r="BX16" i="41"/>
  <c r="BX15" i="41"/>
  <c r="BX44" i="41" s="1"/>
  <c r="BX12" i="41"/>
  <c r="BX11" i="41"/>
  <c r="BX39" i="41" s="1"/>
  <c r="CW19" i="42"/>
  <c r="CW42" i="42" s="1"/>
  <c r="CW3" i="42"/>
  <c r="CW32" i="42" s="1"/>
  <c r="BX22" i="41"/>
  <c r="BX37" i="41" s="1"/>
  <c r="BX14" i="41"/>
  <c r="BX34" i="41" s="1"/>
  <c r="BX13" i="41"/>
  <c r="BX33" i="41" s="1"/>
  <c r="BX2" i="41"/>
  <c r="BX38" i="41" s="1"/>
  <c r="BX2" i="29"/>
  <c r="BX38" i="29" s="1"/>
  <c r="BX3" i="29"/>
  <c r="BX32" i="29" s="1"/>
  <c r="BX4" i="29"/>
  <c r="BX40" i="29" s="1"/>
  <c r="BX5" i="29"/>
  <c r="BX30" i="41"/>
  <c r="BX35" i="41" s="1"/>
  <c r="BX7" i="41"/>
  <c r="BX6" i="41"/>
  <c r="BX47" i="41" s="1"/>
  <c r="BX5" i="41"/>
  <c r="BX4" i="41"/>
  <c r="BX40" i="41" s="1"/>
  <c r="BX3" i="41"/>
  <c r="BX32" i="41" s="1"/>
  <c r="CW4" i="42"/>
  <c r="CW40" i="42" s="1"/>
  <c r="BX10" i="41"/>
  <c r="BX46" i="41" s="1"/>
  <c r="BX45" i="41" s="1"/>
  <c r="BX12" i="29"/>
  <c r="BX13" i="29"/>
  <c r="BX33" i="29" s="1"/>
  <c r="BX14" i="29"/>
  <c r="BX34" i="29" s="1"/>
  <c r="BX15" i="29"/>
  <c r="BX44" i="29" s="1"/>
  <c r="BX16" i="29"/>
  <c r="BX17" i="29"/>
  <c r="BX18" i="29"/>
  <c r="BX19" i="29"/>
  <c r="BX42" i="29" s="1"/>
  <c r="BX20" i="29"/>
  <c r="BX21" i="29"/>
  <c r="BX22" i="29"/>
  <c r="BX37" i="29" s="1"/>
  <c r="BX23" i="29"/>
  <c r="BX49" i="29" s="1"/>
  <c r="BX24" i="29"/>
  <c r="BX25" i="29"/>
  <c r="BX26" i="29"/>
  <c r="BX36" i="29" s="1"/>
  <c r="BX27" i="29"/>
  <c r="BX28" i="29"/>
  <c r="BX43" i="29" s="1"/>
  <c r="BX29" i="29"/>
  <c r="BX30" i="29"/>
  <c r="BX35" i="29" s="1"/>
  <c r="BX8" i="41"/>
  <c r="BX41" i="41" s="1"/>
  <c r="BX7" i="29"/>
  <c r="BX9" i="29"/>
  <c r="BX11" i="29"/>
  <c r="BX39" i="29" s="1"/>
  <c r="CW2" i="42"/>
  <c r="CW38" i="42" s="1"/>
  <c r="BX10" i="29"/>
  <c r="BX46" i="29" s="1"/>
  <c r="BX9" i="41"/>
  <c r="BX8" i="29"/>
  <c r="BX41" i="29" s="1"/>
  <c r="BX28" i="41"/>
  <c r="BX43" i="41" s="1"/>
  <c r="BX6" i="29"/>
  <c r="BX47" i="29" s="1"/>
  <c r="CW30" i="43"/>
  <c r="CW35" i="43" s="1"/>
  <c r="CW22" i="43"/>
  <c r="CW37" i="43" s="1"/>
  <c r="CW29" i="43"/>
  <c r="CW16" i="43"/>
  <c r="CW23" i="43"/>
  <c r="CW17" i="43"/>
  <c r="CW13" i="43"/>
  <c r="CW33" i="43" s="1"/>
  <c r="CW9" i="43"/>
  <c r="CW5" i="43"/>
  <c r="CW19" i="43"/>
  <c r="CW42" i="43" s="1"/>
  <c r="CW7" i="43"/>
  <c r="CW26" i="43"/>
  <c r="CW36" i="43" s="1"/>
  <c r="CW18" i="43"/>
  <c r="CW25" i="43"/>
  <c r="CW21" i="43"/>
  <c r="CW12" i="43"/>
  <c r="CW15" i="43"/>
  <c r="CW44" i="43" s="1"/>
  <c r="CW3" i="43"/>
  <c r="CW32" i="43" s="1"/>
  <c r="CW11" i="43"/>
  <c r="CW39" i="43" s="1"/>
  <c r="CW6" i="43"/>
  <c r="CW47" i="43" s="1"/>
  <c r="CW2" i="43"/>
  <c r="CW38" i="43" s="1"/>
  <c r="CW8" i="43"/>
  <c r="CW41" i="43" s="1"/>
  <c r="CW27" i="43"/>
  <c r="CW10" i="43"/>
  <c r="CW46" i="43" s="1"/>
  <c r="CW24" i="43"/>
  <c r="CW4" i="43"/>
  <c r="CW40" i="43" s="1"/>
  <c r="CW28" i="43"/>
  <c r="CW43" i="43" s="1"/>
  <c r="CW20" i="43"/>
  <c r="CW14" i="43"/>
  <c r="CW34" i="43" s="1"/>
  <c r="CW3" i="30"/>
  <c r="CW32" i="30" s="1"/>
  <c r="CW4" i="30"/>
  <c r="CW40" i="30" s="1"/>
  <c r="CW5" i="30"/>
  <c r="CW6" i="30"/>
  <c r="CW47" i="30" s="1"/>
  <c r="CW7" i="30"/>
  <c r="CW8" i="30"/>
  <c r="CW41" i="30" s="1"/>
  <c r="CW9" i="30"/>
  <c r="CW10" i="30"/>
  <c r="CW46" i="30" s="1"/>
  <c r="CW11" i="30"/>
  <c r="CW39" i="30" s="1"/>
  <c r="CW12" i="30"/>
  <c r="CW13" i="30"/>
  <c r="CW33" i="30" s="1"/>
  <c r="CW14" i="30"/>
  <c r="CW34" i="30" s="1"/>
  <c r="CW15" i="30"/>
  <c r="CW44" i="30" s="1"/>
  <c r="CW16" i="30"/>
  <c r="CW17" i="30"/>
  <c r="CW18" i="30"/>
  <c r="CW19" i="30"/>
  <c r="CW42" i="30" s="1"/>
  <c r="CW20" i="30"/>
  <c r="CW21" i="30"/>
  <c r="CW22" i="30"/>
  <c r="CW37" i="30" s="1"/>
  <c r="CW23" i="30"/>
  <c r="CW24" i="30"/>
  <c r="CW25" i="30"/>
  <c r="CW26" i="30"/>
  <c r="CW36" i="30" s="1"/>
  <c r="CW27" i="30"/>
  <c r="CW28" i="30"/>
  <c r="CW43" i="30" s="1"/>
  <c r="CW29" i="30"/>
  <c r="CW30" i="30"/>
  <c r="CW35" i="30" s="1"/>
  <c r="BH29" i="38"/>
  <c r="CZ28" i="38"/>
  <c r="CZ43" i="38" s="1"/>
  <c r="BH24" i="38"/>
  <c r="CZ23" i="38"/>
  <c r="CZ49" i="38" s="1"/>
  <c r="BH30" i="38"/>
  <c r="BH35" i="38" s="1"/>
  <c r="BH28" i="38"/>
  <c r="BH43" i="38" s="1"/>
  <c r="CZ26" i="38"/>
  <c r="CZ36" i="38" s="1"/>
  <c r="CZ25" i="38"/>
  <c r="CZ24" i="38"/>
  <c r="BH19" i="38"/>
  <c r="BH42" i="38" s="1"/>
  <c r="CZ18" i="38"/>
  <c r="BH15" i="38"/>
  <c r="BH44" i="38" s="1"/>
  <c r="CZ14" i="38"/>
  <c r="CZ34" i="38" s="1"/>
  <c r="BH8" i="38"/>
  <c r="BH41" i="38" s="1"/>
  <c r="CZ7" i="38"/>
  <c r="BH6" i="38"/>
  <c r="BH47" i="38" s="1"/>
  <c r="CZ5" i="38"/>
  <c r="BH23" i="38"/>
  <c r="BH49" i="38" s="1"/>
  <c r="BH22" i="38"/>
  <c r="BH37" i="38" s="1"/>
  <c r="BH21" i="38"/>
  <c r="BH18" i="38"/>
  <c r="CZ30" i="38"/>
  <c r="CZ35" i="38" s="1"/>
  <c r="CZ22" i="38"/>
  <c r="CZ37" i="38" s="1"/>
  <c r="BH20" i="38"/>
  <c r="CZ19" i="38"/>
  <c r="CZ42" i="38" s="1"/>
  <c r="BH17" i="38"/>
  <c r="BH16" i="38"/>
  <c r="BH14" i="38"/>
  <c r="BH34" i="38" s="1"/>
  <c r="BH13" i="38"/>
  <c r="BH33" i="38" s="1"/>
  <c r="BH12" i="38"/>
  <c r="CZ4" i="38"/>
  <c r="CZ40" i="38" s="1"/>
  <c r="CZ2" i="38"/>
  <c r="CZ38" i="38" s="1"/>
  <c r="R28" i="38"/>
  <c r="R43" i="38" s="1"/>
  <c r="R23" i="38"/>
  <c r="R49" i="38" s="1"/>
  <c r="R17" i="38"/>
  <c r="R15" i="38"/>
  <c r="R44" i="38" s="1"/>
  <c r="R13" i="38"/>
  <c r="R33" i="38" s="1"/>
  <c r="R11" i="38"/>
  <c r="R39" i="38" s="1"/>
  <c r="CZ27" i="38"/>
  <c r="BH26" i="38"/>
  <c r="BH36" i="38" s="1"/>
  <c r="CZ20" i="38"/>
  <c r="BH11" i="38"/>
  <c r="BH39" i="38" s="1"/>
  <c r="BH10" i="38"/>
  <c r="BH46" i="38" s="1"/>
  <c r="BH9" i="38"/>
  <c r="BH7" i="38"/>
  <c r="R26" i="38"/>
  <c r="R36" i="38" s="1"/>
  <c r="R24" i="38"/>
  <c r="R22" i="38"/>
  <c r="R37" i="38" s="1"/>
  <c r="R21" i="38"/>
  <c r="R10" i="38"/>
  <c r="R46" i="38" s="1"/>
  <c r="R5" i="38"/>
  <c r="R4" i="38"/>
  <c r="R40" i="38" s="1"/>
  <c r="R3" i="38"/>
  <c r="R32" i="38" s="1"/>
  <c r="R2" i="38"/>
  <c r="R38" i="38" s="1"/>
  <c r="BH27" i="38"/>
  <c r="CZ21" i="38"/>
  <c r="CZ16" i="38"/>
  <c r="CZ12" i="38"/>
  <c r="CZ9" i="38"/>
  <c r="BH4" i="38"/>
  <c r="BH40" i="38" s="1"/>
  <c r="CZ3" i="38"/>
  <c r="CZ32" i="38" s="1"/>
  <c r="R25" i="38"/>
  <c r="R19" i="38"/>
  <c r="R42" i="38" s="1"/>
  <c r="R8" i="38"/>
  <c r="R41" i="38" s="1"/>
  <c r="CZ17" i="38"/>
  <c r="CZ13" i="38"/>
  <c r="CZ33" i="38" s="1"/>
  <c r="BH5" i="38"/>
  <c r="R30" i="38"/>
  <c r="R35" i="38" s="1"/>
  <c r="R14" i="38"/>
  <c r="R34" i="38" s="1"/>
  <c r="R6" i="38"/>
  <c r="R47" i="38" s="1"/>
  <c r="BH25" i="38"/>
  <c r="CZ15" i="38"/>
  <c r="CZ44" i="38" s="1"/>
  <c r="CZ8" i="38"/>
  <c r="CZ41" i="38" s="1"/>
  <c r="CZ10" i="38"/>
  <c r="CZ46" i="38" s="1"/>
  <c r="BH3" i="38"/>
  <c r="BH32" i="38" s="1"/>
  <c r="CZ29" i="38"/>
  <c r="CZ11" i="38"/>
  <c r="CZ39" i="38" s="1"/>
  <c r="R20" i="38"/>
  <c r="R29" i="38"/>
  <c r="R16" i="38"/>
  <c r="R9" i="38"/>
  <c r="R7" i="38"/>
  <c r="BH2" i="38"/>
  <c r="BH38" i="38" s="1"/>
  <c r="R18" i="38"/>
  <c r="R12" i="38"/>
  <c r="CZ6" i="38"/>
  <c r="CZ47" i="38" s="1"/>
  <c r="R27" i="38"/>
  <c r="CZ3" i="18"/>
  <c r="CZ32" i="18" s="1"/>
  <c r="CZ7" i="18"/>
  <c r="CZ11" i="18"/>
  <c r="CZ39" i="18" s="1"/>
  <c r="CZ15" i="18"/>
  <c r="CZ44" i="18" s="1"/>
  <c r="CZ19" i="18"/>
  <c r="CZ42" i="18" s="1"/>
  <c r="CZ23" i="18"/>
  <c r="CZ49" i="18" s="1"/>
  <c r="CZ27" i="18"/>
  <c r="CZ2" i="18"/>
  <c r="CZ38" i="18" s="1"/>
  <c r="CZ6" i="18"/>
  <c r="CZ47" i="18" s="1"/>
  <c r="CZ14" i="18"/>
  <c r="CZ34" i="18" s="1"/>
  <c r="CZ18" i="18"/>
  <c r="CZ26" i="18"/>
  <c r="CZ36" i="18" s="1"/>
  <c r="CZ4" i="18"/>
  <c r="CZ40" i="18" s="1"/>
  <c r="CZ8" i="18"/>
  <c r="CZ41" i="18" s="1"/>
  <c r="CZ12" i="18"/>
  <c r="CZ16" i="18"/>
  <c r="CZ20" i="18"/>
  <c r="CZ24" i="18"/>
  <c r="CZ28" i="18"/>
  <c r="CZ43" i="18" s="1"/>
  <c r="CZ5" i="18"/>
  <c r="CZ9" i="18"/>
  <c r="CZ13" i="18"/>
  <c r="CZ33" i="18" s="1"/>
  <c r="CZ17" i="18"/>
  <c r="CZ21" i="18"/>
  <c r="CZ25" i="18"/>
  <c r="CZ29" i="18"/>
  <c r="CZ10" i="18"/>
  <c r="CZ46" i="18" s="1"/>
  <c r="CZ45" i="18" s="1"/>
  <c r="CZ22" i="18"/>
  <c r="CZ37" i="18" s="1"/>
  <c r="CZ30" i="18"/>
  <c r="CZ35" i="18" s="1"/>
  <c r="BI27" i="38"/>
  <c r="DA26" i="38"/>
  <c r="DA36" i="38" s="1"/>
  <c r="BI23" i="38"/>
  <c r="BI49" i="38" s="1"/>
  <c r="DA22" i="38"/>
  <c r="DA37" i="38" s="1"/>
  <c r="BI22" i="38"/>
  <c r="BI37" i="38" s="1"/>
  <c r="BI21" i="38"/>
  <c r="BI18" i="38"/>
  <c r="DA17" i="38"/>
  <c r="BI14" i="38"/>
  <c r="BI34" i="38" s="1"/>
  <c r="DA13" i="38"/>
  <c r="DA33" i="38" s="1"/>
  <c r="BI11" i="38"/>
  <c r="BI39" i="38" s="1"/>
  <c r="DA10" i="38"/>
  <c r="DA46" i="38" s="1"/>
  <c r="BI5" i="38"/>
  <c r="DA30" i="38"/>
  <c r="DA35" i="38" s="1"/>
  <c r="DA29" i="38"/>
  <c r="DA28" i="38"/>
  <c r="DA43" i="38" s="1"/>
  <c r="DA27" i="38"/>
  <c r="BI26" i="38"/>
  <c r="BI36" i="38" s="1"/>
  <c r="BI25" i="38"/>
  <c r="BI24" i="38"/>
  <c r="DA20" i="38"/>
  <c r="BI28" i="38"/>
  <c r="BI43" i="38" s="1"/>
  <c r="DA24" i="38"/>
  <c r="BI10" i="38"/>
  <c r="BI46" i="38" s="1"/>
  <c r="BI9" i="38"/>
  <c r="BI8" i="38"/>
  <c r="BI41" i="38" s="1"/>
  <c r="BI7" i="38"/>
  <c r="BI29" i="38"/>
  <c r="DA21" i="38"/>
  <c r="DA16" i="38"/>
  <c r="DA15" i="38"/>
  <c r="DA44" i="38" s="1"/>
  <c r="DA14" i="38"/>
  <c r="DA34" i="38" s="1"/>
  <c r="DA12" i="38"/>
  <c r="DA11" i="38"/>
  <c r="DA39" i="38" s="1"/>
  <c r="BI6" i="38"/>
  <c r="BI47" i="38" s="1"/>
  <c r="BI4" i="38"/>
  <c r="BI40" i="38" s="1"/>
  <c r="DA3" i="38"/>
  <c r="DA32" i="38" s="1"/>
  <c r="BI2" i="38"/>
  <c r="BI38" i="38" s="1"/>
  <c r="BI19" i="38"/>
  <c r="BI42" i="38" s="1"/>
  <c r="DA5" i="38"/>
  <c r="DA4" i="38"/>
  <c r="DA40" i="38" s="1"/>
  <c r="DA23" i="38"/>
  <c r="DA49" i="38" s="1"/>
  <c r="DA19" i="38"/>
  <c r="DA42" i="38" s="1"/>
  <c r="BI15" i="38"/>
  <c r="BI44" i="38" s="1"/>
  <c r="DA8" i="38"/>
  <c r="DA41" i="38" s="1"/>
  <c r="DA6" i="38"/>
  <c r="DA47" i="38" s="1"/>
  <c r="BI30" i="38"/>
  <c r="BI35" i="38" s="1"/>
  <c r="DA18" i="38"/>
  <c r="BI16" i="38"/>
  <c r="BI12" i="38"/>
  <c r="DA9" i="38"/>
  <c r="BI3" i="38"/>
  <c r="BI32" i="38" s="1"/>
  <c r="BI17" i="38"/>
  <c r="DA25" i="38"/>
  <c r="DA7" i="38"/>
  <c r="DA2" i="38"/>
  <c r="DA38" i="38" s="1"/>
  <c r="BI20" i="38"/>
  <c r="BI13" i="38"/>
  <c r="BI33" i="38" s="1"/>
  <c r="BM27" i="38"/>
  <c r="DE26" i="38"/>
  <c r="DE36" i="38" s="1"/>
  <c r="BM23" i="38"/>
  <c r="BM49" i="38" s="1"/>
  <c r="DE22" i="38"/>
  <c r="DE37" i="38" s="1"/>
  <c r="BM30" i="38"/>
  <c r="BM35" i="38" s="1"/>
  <c r="BM29" i="38"/>
  <c r="BM28" i="38"/>
  <c r="BM43" i="38" s="1"/>
  <c r="DE25" i="38"/>
  <c r="DE24" i="38"/>
  <c r="DE23" i="38"/>
  <c r="DE49" i="38" s="1"/>
  <c r="BM18" i="38"/>
  <c r="DE17" i="38"/>
  <c r="BM14" i="38"/>
  <c r="BM34" i="38" s="1"/>
  <c r="DE13" i="38"/>
  <c r="DE33" i="38" s="1"/>
  <c r="BM11" i="38"/>
  <c r="BM39" i="38" s="1"/>
  <c r="DE10" i="38"/>
  <c r="DE46" i="38" s="1"/>
  <c r="BM5" i="38"/>
  <c r="BM22" i="38"/>
  <c r="BM37" i="38" s="1"/>
  <c r="BM21" i="38"/>
  <c r="DE20" i="38"/>
  <c r="DE28" i="38"/>
  <c r="DE43" i="38" s="1"/>
  <c r="DE21" i="38"/>
  <c r="BM19" i="38"/>
  <c r="BM42" i="38" s="1"/>
  <c r="DE18" i="38"/>
  <c r="BM17" i="38"/>
  <c r="BM16" i="38"/>
  <c r="BM15" i="38"/>
  <c r="BM44" i="38" s="1"/>
  <c r="BM13" i="38"/>
  <c r="BM33" i="38" s="1"/>
  <c r="BM12" i="38"/>
  <c r="DE5" i="38"/>
  <c r="W26" i="38"/>
  <c r="W36" i="38" s="1"/>
  <c r="W24" i="38"/>
  <c r="W22" i="38"/>
  <c r="W37" i="38" s="1"/>
  <c r="W21" i="38"/>
  <c r="W10" i="38"/>
  <c r="W46" i="38" s="1"/>
  <c r="W5" i="38"/>
  <c r="W4" i="38"/>
  <c r="W40" i="38" s="1"/>
  <c r="W3" i="38"/>
  <c r="W32" i="38" s="1"/>
  <c r="W2" i="38"/>
  <c r="W38" i="38" s="1"/>
  <c r="DE29" i="38"/>
  <c r="BM25" i="38"/>
  <c r="BM20" i="38"/>
  <c r="DE19" i="38"/>
  <c r="DE42" i="38" s="1"/>
  <c r="BM10" i="38"/>
  <c r="BM46" i="38" s="1"/>
  <c r="BM9" i="38"/>
  <c r="BM8" i="38"/>
  <c r="BM41" i="38" s="1"/>
  <c r="BM7" i="38"/>
  <c r="BM4" i="38"/>
  <c r="BM40" i="38" s="1"/>
  <c r="DE3" i="38"/>
  <c r="DE32" i="38" s="1"/>
  <c r="BM2" i="38"/>
  <c r="BM38" i="38" s="1"/>
  <c r="W25" i="38"/>
  <c r="W20" i="38"/>
  <c r="W19" i="38"/>
  <c r="W42" i="38" s="1"/>
  <c r="W12" i="38"/>
  <c r="W6" i="38"/>
  <c r="W47" i="38" s="1"/>
  <c r="BM24" i="38"/>
  <c r="DE14" i="38"/>
  <c r="DE34" i="38" s="1"/>
  <c r="DE8" i="38"/>
  <c r="DE41" i="38" s="1"/>
  <c r="DE6" i="38"/>
  <c r="DE47" i="38" s="1"/>
  <c r="BM3" i="38"/>
  <c r="BM32" i="38" s="1"/>
  <c r="W29" i="38"/>
  <c r="W27" i="38"/>
  <c r="W18" i="38"/>
  <c r="W16" i="38"/>
  <c r="W15" i="38"/>
  <c r="W44" i="38" s="1"/>
  <c r="DE15" i="38"/>
  <c r="DE44" i="38" s="1"/>
  <c r="DE11" i="38"/>
  <c r="DE39" i="38" s="1"/>
  <c r="BM6" i="38"/>
  <c r="BM47" i="38" s="1"/>
  <c r="DE2" i="38"/>
  <c r="DE38" i="38" s="1"/>
  <c r="W23" i="38"/>
  <c r="W49" i="38" s="1"/>
  <c r="W8" i="38"/>
  <c r="W41" i="38" s="1"/>
  <c r="DE30" i="38"/>
  <c r="DE35" i="38" s="1"/>
  <c r="BM26" i="38"/>
  <c r="BM36" i="38" s="1"/>
  <c r="DE16" i="38"/>
  <c r="DE12" i="38"/>
  <c r="DE27" i="38"/>
  <c r="DE7" i="38"/>
  <c r="DE4" i="38"/>
  <c r="DE40" i="38" s="1"/>
  <c r="W30" i="38"/>
  <c r="W35" i="38" s="1"/>
  <c r="W28" i="38"/>
  <c r="W43" i="38" s="1"/>
  <c r="W9" i="38"/>
  <c r="W7" i="38"/>
  <c r="W13" i="38"/>
  <c r="W33" i="38" s="1"/>
  <c r="W11" i="38"/>
  <c r="W39" i="38" s="1"/>
  <c r="DE9" i="38"/>
  <c r="W17" i="38"/>
  <c r="W14" i="38"/>
  <c r="W34" i="38" s="1"/>
  <c r="DE4" i="18"/>
  <c r="DE40" i="18" s="1"/>
  <c r="DE8" i="18"/>
  <c r="DE41" i="18" s="1"/>
  <c r="DE12" i="18"/>
  <c r="DE16" i="18"/>
  <c r="DE20" i="18"/>
  <c r="DE24" i="18"/>
  <c r="DE28" i="18"/>
  <c r="DE43" i="18" s="1"/>
  <c r="DE3" i="18"/>
  <c r="DE32" i="18" s="1"/>
  <c r="DE7" i="18"/>
  <c r="DE15" i="18"/>
  <c r="DE44" i="18" s="1"/>
  <c r="DE23" i="18"/>
  <c r="DE49" i="18" s="1"/>
  <c r="DE2" i="18"/>
  <c r="DE38" i="18" s="1"/>
  <c r="DE5" i="18"/>
  <c r="DE9" i="18"/>
  <c r="DE13" i="18"/>
  <c r="DE33" i="18" s="1"/>
  <c r="DE17" i="18"/>
  <c r="DE21" i="18"/>
  <c r="DE25" i="18"/>
  <c r="DE29" i="18"/>
  <c r="DE6" i="18"/>
  <c r="DE47" i="18" s="1"/>
  <c r="DE10" i="18"/>
  <c r="DE46" i="18" s="1"/>
  <c r="DE14" i="18"/>
  <c r="DE34" i="18" s="1"/>
  <c r="DE18" i="18"/>
  <c r="DE22" i="18"/>
  <c r="DE37" i="18" s="1"/>
  <c r="DE26" i="18"/>
  <c r="DE36" i="18" s="1"/>
  <c r="DE30" i="18"/>
  <c r="DE35" i="18" s="1"/>
  <c r="DE11" i="18"/>
  <c r="DE39" i="18" s="1"/>
  <c r="DE19" i="18"/>
  <c r="DE42" i="18" s="1"/>
  <c r="DE27" i="18"/>
  <c r="DM27" i="38"/>
  <c r="DM16" i="38"/>
  <c r="DM12" i="38"/>
  <c r="DM5" i="38"/>
  <c r="DM29" i="38"/>
  <c r="DM25" i="38"/>
  <c r="DM23" i="38"/>
  <c r="DM49" i="38" s="1"/>
  <c r="DM20" i="38"/>
  <c r="DM18" i="38"/>
  <c r="DM4" i="38"/>
  <c r="DM40" i="38" s="1"/>
  <c r="DM19" i="38"/>
  <c r="DM42" i="38" s="1"/>
  <c r="DM13" i="38"/>
  <c r="DM33" i="38" s="1"/>
  <c r="DM8" i="38"/>
  <c r="DM41" i="38" s="1"/>
  <c r="DM6" i="38"/>
  <c r="DM47" i="38" s="1"/>
  <c r="DM3" i="38"/>
  <c r="DM32" i="38" s="1"/>
  <c r="DM28" i="38"/>
  <c r="DM43" i="38" s="1"/>
  <c r="DM26" i="38"/>
  <c r="DM36" i="38" s="1"/>
  <c r="DM21" i="38"/>
  <c r="DM17" i="38"/>
  <c r="DM15" i="38"/>
  <c r="DM44" i="38" s="1"/>
  <c r="DM14" i="38"/>
  <c r="DM34" i="38" s="1"/>
  <c r="DM11" i="38"/>
  <c r="DM39" i="38" s="1"/>
  <c r="DM9" i="38"/>
  <c r="DM7" i="38"/>
  <c r="DM2" i="38"/>
  <c r="DM38" i="38" s="1"/>
  <c r="DM24" i="38"/>
  <c r="DM10" i="38"/>
  <c r="DM46" i="38" s="1"/>
  <c r="DM30" i="38"/>
  <c r="DM35" i="38" s="1"/>
  <c r="DM22" i="38"/>
  <c r="DM37" i="38" s="1"/>
  <c r="BD7" i="38"/>
  <c r="BD12" i="38"/>
  <c r="BD16" i="38"/>
  <c r="BD14" i="38"/>
  <c r="BD34" i="38" s="1"/>
  <c r="BD26" i="38"/>
  <c r="BD36" i="38" s="1"/>
  <c r="BD15" i="38"/>
  <c r="BD44" i="38" s="1"/>
  <c r="BD27" i="38"/>
  <c r="BD20" i="38"/>
  <c r="BD9" i="38"/>
  <c r="BD17" i="38"/>
  <c r="BD4" i="38"/>
  <c r="BD40" i="38" s="1"/>
  <c r="BD28" i="38"/>
  <c r="BD43" i="38" s="1"/>
  <c r="BD13" i="38"/>
  <c r="BD33" i="38" s="1"/>
  <c r="BD21" i="38"/>
  <c r="BD25" i="38"/>
  <c r="BD29" i="38"/>
  <c r="BD10" i="38"/>
  <c r="BD46" i="38" s="1"/>
  <c r="BD30" i="38"/>
  <c r="BD35" i="38" s="1"/>
  <c r="BD6" i="38"/>
  <c r="BD47" i="38" s="1"/>
  <c r="BD22" i="38"/>
  <c r="BD37" i="38" s="1"/>
  <c r="BD3" i="38"/>
  <c r="BD32" i="38" s="1"/>
  <c r="BD11" i="38"/>
  <c r="BD39" i="38" s="1"/>
  <c r="BD19" i="38"/>
  <c r="BD42" i="38" s="1"/>
  <c r="BD24" i="38"/>
  <c r="BD5" i="38"/>
  <c r="BD2" i="38"/>
  <c r="BD38" i="38" s="1"/>
  <c r="BD18" i="38"/>
  <c r="BD23" i="38"/>
  <c r="BD49" i="38" s="1"/>
  <c r="BD8" i="38"/>
  <c r="BD41" i="38" s="1"/>
  <c r="BD3" i="18"/>
  <c r="BD32" i="18" s="1"/>
  <c r="BD2" i="18"/>
  <c r="BD38" i="18" s="1"/>
  <c r="BD10" i="18"/>
  <c r="BD46" i="18" s="1"/>
  <c r="BD14" i="18"/>
  <c r="BD34" i="18" s="1"/>
  <c r="BD18" i="18"/>
  <c r="BD22" i="18"/>
  <c r="BD37" i="18" s="1"/>
  <c r="BD26" i="18"/>
  <c r="BD36" i="18" s="1"/>
  <c r="BD30" i="18"/>
  <c r="BD35" i="18" s="1"/>
  <c r="BD5" i="18"/>
  <c r="BD4" i="18"/>
  <c r="BD40" i="18" s="1"/>
  <c r="BD7" i="18"/>
  <c r="BD11" i="18"/>
  <c r="BD39" i="18" s="1"/>
  <c r="BD15" i="18"/>
  <c r="BD44" i="18" s="1"/>
  <c r="BD19" i="18"/>
  <c r="BD42" i="18" s="1"/>
  <c r="BD23" i="18"/>
  <c r="BD49" i="18" s="1"/>
  <c r="BD27" i="18"/>
  <c r="BD6" i="18"/>
  <c r="BD47" i="18" s="1"/>
  <c r="BD9" i="18"/>
  <c r="BD13" i="18"/>
  <c r="BD33" i="18" s="1"/>
  <c r="BD17" i="18"/>
  <c r="BD21" i="18"/>
  <c r="BD25" i="18"/>
  <c r="BD29" i="18"/>
  <c r="BD8" i="18"/>
  <c r="BD41" i="18" s="1"/>
  <c r="BD12" i="18"/>
  <c r="BD16" i="18"/>
  <c r="BD20" i="18"/>
  <c r="BD24" i="18"/>
  <c r="BD28" i="18"/>
  <c r="BD43" i="18" s="1"/>
  <c r="AK30" i="32"/>
  <c r="AK35" i="32" s="1"/>
  <c r="AK23" i="32"/>
  <c r="AK49" i="32" s="1"/>
  <c r="AK19" i="32"/>
  <c r="AK42" i="32" s="1"/>
  <c r="AK16" i="32"/>
  <c r="AK8" i="32"/>
  <c r="AK41" i="32" s="1"/>
  <c r="AK5" i="32"/>
  <c r="AK4" i="32"/>
  <c r="AK40" i="32" s="1"/>
  <c r="AK3" i="32"/>
  <c r="AK32" i="32" s="1"/>
  <c r="AK17" i="32"/>
  <c r="AK12" i="32"/>
  <c r="AK6" i="32"/>
  <c r="AK47" i="32" s="1"/>
  <c r="AK29" i="32"/>
  <c r="AK24" i="32"/>
  <c r="AK22" i="32"/>
  <c r="AK37" i="32" s="1"/>
  <c r="AK15" i="32"/>
  <c r="AK44" i="32" s="1"/>
  <c r="AK2" i="32"/>
  <c r="AK38" i="32" s="1"/>
  <c r="AK21" i="32"/>
  <c r="AK20" i="32"/>
  <c r="AK9" i="32"/>
  <c r="AK18" i="32"/>
  <c r="AK14" i="32"/>
  <c r="AK34" i="32" s="1"/>
  <c r="AK7" i="32"/>
  <c r="AK26" i="32"/>
  <c r="AK36" i="32" s="1"/>
  <c r="AK11" i="32"/>
  <c r="AK39" i="32" s="1"/>
  <c r="AK10" i="32"/>
  <c r="AK46" i="32" s="1"/>
  <c r="AK45" i="32" s="1"/>
  <c r="AK28" i="32"/>
  <c r="AK43" i="32" s="1"/>
  <c r="AK25" i="32"/>
  <c r="AK27" i="32"/>
  <c r="AK13" i="32"/>
  <c r="AK33" i="32" s="1"/>
  <c r="AD30" i="42"/>
  <c r="AD35" i="42" s="1"/>
  <c r="AD29" i="42"/>
  <c r="AD28" i="42"/>
  <c r="AD43" i="42" s="1"/>
  <c r="AD27" i="42"/>
  <c r="AD26" i="42"/>
  <c r="AD36" i="42" s="1"/>
  <c r="AD25" i="42"/>
  <c r="AD24" i="42"/>
  <c r="AD23" i="42"/>
  <c r="AD22" i="42"/>
  <c r="AD37" i="42" s="1"/>
  <c r="AD21" i="42"/>
  <c r="AD20" i="42"/>
  <c r="AD19" i="42"/>
  <c r="AD42" i="42" s="1"/>
  <c r="AD18" i="42"/>
  <c r="AD17" i="42"/>
  <c r="AD16" i="42"/>
  <c r="AD15" i="42"/>
  <c r="AD44" i="42" s="1"/>
  <c r="AD14" i="42"/>
  <c r="AD34" i="42" s="1"/>
  <c r="AD13" i="42"/>
  <c r="AD33" i="42" s="1"/>
  <c r="AD12" i="42"/>
  <c r="AD11" i="42"/>
  <c r="AD39" i="42" s="1"/>
  <c r="AD10" i="42"/>
  <c r="AD46" i="42" s="1"/>
  <c r="AD9" i="42"/>
  <c r="AD8" i="42"/>
  <c r="AD41" i="42" s="1"/>
  <c r="AD7" i="42"/>
  <c r="AD6" i="42"/>
  <c r="AD47" i="42" s="1"/>
  <c r="AD5" i="42"/>
  <c r="AD4" i="42"/>
  <c r="AD40" i="42" s="1"/>
  <c r="AD3" i="42"/>
  <c r="AD32" i="42" s="1"/>
  <c r="AD2" i="42"/>
  <c r="AD38" i="42" s="1"/>
  <c r="AD30" i="43"/>
  <c r="AD35" i="43" s="1"/>
  <c r="AD6" i="43"/>
  <c r="AD47" i="43" s="1"/>
  <c r="AD45" i="43" s="1"/>
  <c r="AD13" i="43"/>
  <c r="AD33" i="43" s="1"/>
  <c r="AD7" i="43"/>
  <c r="AD21" i="43"/>
  <c r="AD8" i="43"/>
  <c r="AD41" i="43" s="1"/>
  <c r="AD27" i="43"/>
  <c r="AD11" i="43"/>
  <c r="AD39" i="43" s="1"/>
  <c r="AD10" i="43"/>
  <c r="AD46" i="43" s="1"/>
  <c r="AD29" i="43"/>
  <c r="AD24" i="43"/>
  <c r="AD4" i="43"/>
  <c r="AD40" i="43" s="1"/>
  <c r="AD2" i="43"/>
  <c r="AD38" i="43" s="1"/>
  <c r="AD23" i="43"/>
  <c r="AD16" i="43"/>
  <c r="AD26" i="43"/>
  <c r="AD36" i="43" s="1"/>
  <c r="AD22" i="43"/>
  <c r="AD37" i="43" s="1"/>
  <c r="AD17" i="43"/>
  <c r="AD9" i="43"/>
  <c r="AD5" i="43"/>
  <c r="AD19" i="43"/>
  <c r="AD42" i="43" s="1"/>
  <c r="AD25" i="43"/>
  <c r="AD28" i="43"/>
  <c r="AD43" i="43" s="1"/>
  <c r="AD20" i="43"/>
  <c r="AD12" i="43"/>
  <c r="AD15" i="43"/>
  <c r="AD44" i="43" s="1"/>
  <c r="AD3" i="43"/>
  <c r="AD32" i="43" s="1"/>
  <c r="AD14" i="43"/>
  <c r="AD34" i="43" s="1"/>
  <c r="AD18" i="43"/>
  <c r="AD5" i="30"/>
  <c r="AD9" i="30"/>
  <c r="AD13" i="30"/>
  <c r="AD33" i="30" s="1"/>
  <c r="AD17" i="30"/>
  <c r="AD20" i="30"/>
  <c r="AD22" i="30"/>
  <c r="AD37" i="30" s="1"/>
  <c r="AD28" i="30"/>
  <c r="AD43" i="30" s="1"/>
  <c r="AD30" i="30"/>
  <c r="AD35" i="30" s="1"/>
  <c r="AD6" i="30"/>
  <c r="AD47" i="30" s="1"/>
  <c r="AD10" i="30"/>
  <c r="AD46" i="30" s="1"/>
  <c r="AD45" i="30" s="1"/>
  <c r="AD29" i="30"/>
  <c r="AD4" i="30"/>
  <c r="AD40" i="30" s="1"/>
  <c r="AD8" i="30"/>
  <c r="AD41" i="30" s="1"/>
  <c r="AD12" i="30"/>
  <c r="AD16" i="30"/>
  <c r="AD23" i="30"/>
  <c r="AD25" i="30"/>
  <c r="AD19" i="30"/>
  <c r="AD42" i="30" s="1"/>
  <c r="AD27" i="30"/>
  <c r="AD3" i="30"/>
  <c r="AD32" i="30" s="1"/>
  <c r="AD7" i="30"/>
  <c r="AD11" i="30"/>
  <c r="AD39" i="30" s="1"/>
  <c r="AD15" i="30"/>
  <c r="AD44" i="30" s="1"/>
  <c r="AD18" i="30"/>
  <c r="AD24" i="30"/>
  <c r="AD26" i="30"/>
  <c r="AD36" i="30" s="1"/>
  <c r="AD14" i="30"/>
  <c r="AD34" i="30" s="1"/>
  <c r="AD21" i="30"/>
  <c r="AD2" i="30"/>
  <c r="AD38" i="30" s="1"/>
  <c r="AH30" i="42"/>
  <c r="AH35" i="42" s="1"/>
  <c r="AH29" i="42"/>
  <c r="AH28" i="42"/>
  <c r="AH43" i="42" s="1"/>
  <c r="AH27" i="42"/>
  <c r="AH26" i="42"/>
  <c r="AH36" i="42" s="1"/>
  <c r="AH25" i="42"/>
  <c r="AH24" i="42"/>
  <c r="AH23" i="42"/>
  <c r="AH22" i="42"/>
  <c r="AH37" i="42" s="1"/>
  <c r="AH21" i="42"/>
  <c r="AH20" i="42"/>
  <c r="AH19" i="42"/>
  <c r="AH42" i="42" s="1"/>
  <c r="AH18" i="42"/>
  <c r="AH17" i="42"/>
  <c r="AH16" i="42"/>
  <c r="AH15" i="42"/>
  <c r="AH44" i="42" s="1"/>
  <c r="AH14" i="42"/>
  <c r="AH34" i="42" s="1"/>
  <c r="AH13" i="42"/>
  <c r="AH33" i="42" s="1"/>
  <c r="AH12" i="42"/>
  <c r="AH11" i="42"/>
  <c r="AH39" i="42" s="1"/>
  <c r="AH10" i="42"/>
  <c r="AH46" i="42" s="1"/>
  <c r="AH45" i="42" s="1"/>
  <c r="AH9" i="42"/>
  <c r="AH8" i="42"/>
  <c r="AH41" i="42" s="1"/>
  <c r="AH7" i="42"/>
  <c r="AH6" i="42"/>
  <c r="AH47" i="42" s="1"/>
  <c r="AH5" i="42"/>
  <c r="AH4" i="42"/>
  <c r="AH40" i="42" s="1"/>
  <c r="AH3" i="42"/>
  <c r="AH32" i="42" s="1"/>
  <c r="AH2" i="42"/>
  <c r="AH38" i="42" s="1"/>
  <c r="AH10" i="43"/>
  <c r="AH46" i="43" s="1"/>
  <c r="AH24" i="43"/>
  <c r="AH4" i="43"/>
  <c r="AH40" i="43" s="1"/>
  <c r="AH28" i="43"/>
  <c r="AH43" i="43" s="1"/>
  <c r="AH20" i="43"/>
  <c r="AH2" i="43"/>
  <c r="AH38" i="43" s="1"/>
  <c r="AH14" i="43"/>
  <c r="AH34" i="43" s="1"/>
  <c r="AH8" i="43"/>
  <c r="AH41" i="43" s="1"/>
  <c r="AH27" i="43"/>
  <c r="AH30" i="43"/>
  <c r="AH35" i="43" s="1"/>
  <c r="AH22" i="43"/>
  <c r="AH37" i="43" s="1"/>
  <c r="AH6" i="43"/>
  <c r="AH47" i="43" s="1"/>
  <c r="AH29" i="43"/>
  <c r="AH16" i="43"/>
  <c r="AH23" i="43"/>
  <c r="AH17" i="43"/>
  <c r="AH13" i="43"/>
  <c r="AH33" i="43" s="1"/>
  <c r="AH9" i="43"/>
  <c r="AH5" i="43"/>
  <c r="AH19" i="43"/>
  <c r="AH42" i="43" s="1"/>
  <c r="AH7" i="43"/>
  <c r="AH26" i="43"/>
  <c r="AH36" i="43" s="1"/>
  <c r="AH18" i="43"/>
  <c r="AH25" i="43"/>
  <c r="AH21" i="43"/>
  <c r="AH12" i="43"/>
  <c r="AH15" i="43"/>
  <c r="AH44" i="43" s="1"/>
  <c r="AH3" i="43"/>
  <c r="AH32" i="43" s="1"/>
  <c r="AH11" i="43"/>
  <c r="AH39" i="43" s="1"/>
  <c r="AH5" i="30"/>
  <c r="AH9" i="30"/>
  <c r="AH13" i="30"/>
  <c r="AH33" i="30" s="1"/>
  <c r="AH17" i="30"/>
  <c r="AH20" i="30"/>
  <c r="AH22" i="30"/>
  <c r="AH37" i="30" s="1"/>
  <c r="AH28" i="30"/>
  <c r="AH43" i="30" s="1"/>
  <c r="AH30" i="30"/>
  <c r="AH35" i="30" s="1"/>
  <c r="AH19" i="30"/>
  <c r="AH42" i="30" s="1"/>
  <c r="AH21" i="30"/>
  <c r="AH27" i="30"/>
  <c r="AH2" i="30"/>
  <c r="AH38" i="30" s="1"/>
  <c r="AH4" i="30"/>
  <c r="AH40" i="30" s="1"/>
  <c r="AH8" i="30"/>
  <c r="AH41" i="30" s="1"/>
  <c r="AH12" i="30"/>
  <c r="AH16" i="30"/>
  <c r="AH23" i="30"/>
  <c r="AH25" i="30"/>
  <c r="AH14" i="30"/>
  <c r="AH34" i="30" s="1"/>
  <c r="AH29" i="30"/>
  <c r="AH3" i="30"/>
  <c r="AH32" i="30" s="1"/>
  <c r="AH7" i="30"/>
  <c r="AH11" i="30"/>
  <c r="AH39" i="30" s="1"/>
  <c r="AH15" i="30"/>
  <c r="AH44" i="30" s="1"/>
  <c r="AH18" i="30"/>
  <c r="AH24" i="30"/>
  <c r="AH26" i="30"/>
  <c r="AH36" i="30" s="1"/>
  <c r="AH6" i="30"/>
  <c r="AH47" i="30" s="1"/>
  <c r="AH10" i="30"/>
  <c r="AH46" i="30" s="1"/>
  <c r="AK30" i="42"/>
  <c r="AK35" i="42" s="1"/>
  <c r="AK29" i="42"/>
  <c r="AK28" i="42"/>
  <c r="AK43" i="42" s="1"/>
  <c r="AK27" i="42"/>
  <c r="AK26" i="42"/>
  <c r="AK36" i="42" s="1"/>
  <c r="AK25" i="42"/>
  <c r="AK24" i="42"/>
  <c r="AK23" i="42"/>
  <c r="AK22" i="42"/>
  <c r="AK37" i="42" s="1"/>
  <c r="AK21" i="42"/>
  <c r="AK20" i="42"/>
  <c r="AK19" i="42"/>
  <c r="AK42" i="42" s="1"/>
  <c r="AK18" i="42"/>
  <c r="AK17" i="42"/>
  <c r="AK16" i="42"/>
  <c r="AK15" i="42"/>
  <c r="AK44" i="42" s="1"/>
  <c r="AK14" i="42"/>
  <c r="AK34" i="42" s="1"/>
  <c r="AK13" i="42"/>
  <c r="AK33" i="42" s="1"/>
  <c r="AK12" i="42"/>
  <c r="AK11" i="42"/>
  <c r="AK39" i="42" s="1"/>
  <c r="AK10" i="42"/>
  <c r="AK46" i="42" s="1"/>
  <c r="AK9" i="42"/>
  <c r="AK8" i="42"/>
  <c r="AK41" i="42" s="1"/>
  <c r="AK7" i="42"/>
  <c r="AK6" i="42"/>
  <c r="AK47" i="42" s="1"/>
  <c r="AK5" i="42"/>
  <c r="AK4" i="42"/>
  <c r="AK40" i="42" s="1"/>
  <c r="AK3" i="42"/>
  <c r="AK32" i="42" s="1"/>
  <c r="AK2" i="42"/>
  <c r="AK38" i="42" s="1"/>
  <c r="AK14" i="43"/>
  <c r="AK34" i="43" s="1"/>
  <c r="AK27" i="43"/>
  <c r="AK11" i="43"/>
  <c r="AK39" i="43" s="1"/>
  <c r="AK4" i="43"/>
  <c r="AK40" i="43" s="1"/>
  <c r="AK23" i="43"/>
  <c r="AK6" i="43"/>
  <c r="AK47" i="43" s="1"/>
  <c r="AK7" i="43"/>
  <c r="AK18" i="43"/>
  <c r="AK28" i="43"/>
  <c r="AK43" i="43" s="1"/>
  <c r="AK20" i="43"/>
  <c r="AK12" i="43"/>
  <c r="AK21" i="43"/>
  <c r="AK15" i="43"/>
  <c r="AK44" i="43" s="1"/>
  <c r="AK29" i="43"/>
  <c r="AK8" i="43"/>
  <c r="AK41" i="43" s="1"/>
  <c r="AK24" i="43"/>
  <c r="AK16" i="43"/>
  <c r="AK30" i="43"/>
  <c r="AK35" i="43" s="1"/>
  <c r="AK22" i="43"/>
  <c r="AK37" i="43" s="1"/>
  <c r="AK17" i="43"/>
  <c r="AK13" i="43"/>
  <c r="AK33" i="43" s="1"/>
  <c r="AK9" i="43"/>
  <c r="AK5" i="43"/>
  <c r="AK19" i="43"/>
  <c r="AK42" i="43" s="1"/>
  <c r="AK26" i="43"/>
  <c r="AK36" i="43" s="1"/>
  <c r="AK25" i="43"/>
  <c r="AK3" i="43"/>
  <c r="AK32" i="43" s="1"/>
  <c r="AK2" i="43"/>
  <c r="AK38" i="43" s="1"/>
  <c r="AK10" i="43"/>
  <c r="AK46" i="43" s="1"/>
  <c r="AK4" i="30"/>
  <c r="AK40" i="30" s="1"/>
  <c r="AK8" i="30"/>
  <c r="AK41" i="30" s="1"/>
  <c r="AK12" i="30"/>
  <c r="AK16" i="30"/>
  <c r="AK23" i="30"/>
  <c r="AK25" i="30"/>
  <c r="AK5" i="30"/>
  <c r="AK9" i="30"/>
  <c r="AK17" i="30"/>
  <c r="AK20" i="30"/>
  <c r="AK28" i="30"/>
  <c r="AK43" i="30" s="1"/>
  <c r="AK30" i="30"/>
  <c r="AK35" i="30" s="1"/>
  <c r="AK3" i="30"/>
  <c r="AK32" i="30" s="1"/>
  <c r="AK7" i="30"/>
  <c r="AK11" i="30"/>
  <c r="AK39" i="30" s="1"/>
  <c r="AK15" i="30"/>
  <c r="AK44" i="30" s="1"/>
  <c r="AK18" i="30"/>
  <c r="AK24" i="30"/>
  <c r="AK26" i="30"/>
  <c r="AK36" i="30" s="1"/>
  <c r="AK22" i="30"/>
  <c r="AK37" i="30" s="1"/>
  <c r="AK6" i="30"/>
  <c r="AK47" i="30" s="1"/>
  <c r="AK10" i="30"/>
  <c r="AK46" i="30" s="1"/>
  <c r="AK14" i="30"/>
  <c r="AK34" i="30" s="1"/>
  <c r="AK19" i="30"/>
  <c r="AK42" i="30" s="1"/>
  <c r="AK21" i="30"/>
  <c r="AK27" i="30"/>
  <c r="AK29" i="30"/>
  <c r="AK2" i="30"/>
  <c r="AK38" i="30" s="1"/>
  <c r="AK13" i="30"/>
  <c r="AK33" i="30" s="1"/>
  <c r="AO30" i="42"/>
  <c r="AO35" i="42" s="1"/>
  <c r="AO29" i="42"/>
  <c r="AO28" i="42"/>
  <c r="AO43" i="42" s="1"/>
  <c r="AO27" i="42"/>
  <c r="AO26" i="42"/>
  <c r="AO36" i="42" s="1"/>
  <c r="AO25" i="42"/>
  <c r="AO24" i="42"/>
  <c r="AO23" i="42"/>
  <c r="AO22" i="42"/>
  <c r="AO37" i="42" s="1"/>
  <c r="AO21" i="42"/>
  <c r="AO20" i="42"/>
  <c r="AO19" i="42"/>
  <c r="AO42" i="42" s="1"/>
  <c r="AO18" i="42"/>
  <c r="AO17" i="42"/>
  <c r="AO16" i="42"/>
  <c r="AO15" i="42"/>
  <c r="AO44" i="42" s="1"/>
  <c r="AO14" i="42"/>
  <c r="AO34" i="42" s="1"/>
  <c r="AO13" i="42"/>
  <c r="AO33" i="42" s="1"/>
  <c r="AO12" i="42"/>
  <c r="AO11" i="42"/>
  <c r="AO39" i="42" s="1"/>
  <c r="AO10" i="42"/>
  <c r="AO46" i="42" s="1"/>
  <c r="AO45" i="42" s="1"/>
  <c r="AO9" i="42"/>
  <c r="AO8" i="42"/>
  <c r="AO41" i="42" s="1"/>
  <c r="AO7" i="42"/>
  <c r="AO6" i="42"/>
  <c r="AO47" i="42" s="1"/>
  <c r="AO5" i="42"/>
  <c r="AO4" i="42"/>
  <c r="AO40" i="42" s="1"/>
  <c r="AO3" i="42"/>
  <c r="AO32" i="42" s="1"/>
  <c r="AO31" i="42" s="1"/>
  <c r="AO2" i="42"/>
  <c r="AO38" i="42" s="1"/>
  <c r="AO2" i="43"/>
  <c r="AO38" i="43" s="1"/>
  <c r="AO26" i="43"/>
  <c r="AO36" i="43" s="1"/>
  <c r="AO21" i="43"/>
  <c r="AO15" i="43"/>
  <c r="AO44" i="43" s="1"/>
  <c r="AO27" i="43"/>
  <c r="AO4" i="43"/>
  <c r="AO40" i="43" s="1"/>
  <c r="AO30" i="43"/>
  <c r="AO35" i="43" s="1"/>
  <c r="AO13" i="43"/>
  <c r="AO33" i="43" s="1"/>
  <c r="AO5" i="43"/>
  <c r="AO19" i="43"/>
  <c r="AO42" i="43" s="1"/>
  <c r="AO22" i="43"/>
  <c r="AO37" i="43" s="1"/>
  <c r="AO6" i="43"/>
  <c r="AO47" i="43" s="1"/>
  <c r="AO17" i="43"/>
  <c r="AO14" i="43"/>
  <c r="AO34" i="43" s="1"/>
  <c r="AO18" i="43"/>
  <c r="AO25" i="43"/>
  <c r="AO28" i="43"/>
  <c r="AO43" i="43" s="1"/>
  <c r="AO20" i="43"/>
  <c r="AO12" i="43"/>
  <c r="AO3" i="43"/>
  <c r="AO32" i="43" s="1"/>
  <c r="AO8" i="43"/>
  <c r="AO41" i="43" s="1"/>
  <c r="AO11" i="43"/>
  <c r="AO39" i="43" s="1"/>
  <c r="AO10" i="43"/>
  <c r="AO46" i="43" s="1"/>
  <c r="AO45" i="43" s="1"/>
  <c r="AO29" i="43"/>
  <c r="AO24" i="43"/>
  <c r="AO16" i="43"/>
  <c r="AO23" i="43"/>
  <c r="AO9" i="43"/>
  <c r="AO7" i="43"/>
  <c r="AO4" i="30"/>
  <c r="AO40" i="30" s="1"/>
  <c r="AO8" i="30"/>
  <c r="AO41" i="30" s="1"/>
  <c r="AO12" i="30"/>
  <c r="AO16" i="30"/>
  <c r="AO23" i="30"/>
  <c r="AO25" i="30"/>
  <c r="AO26" i="30"/>
  <c r="AO36" i="30" s="1"/>
  <c r="AO13" i="30"/>
  <c r="AO33" i="30" s="1"/>
  <c r="AO3" i="30"/>
  <c r="AO32" i="30" s="1"/>
  <c r="AO7" i="30"/>
  <c r="AO11" i="30"/>
  <c r="AO39" i="30" s="1"/>
  <c r="AO15" i="30"/>
  <c r="AO44" i="30" s="1"/>
  <c r="AO18" i="30"/>
  <c r="AO24" i="30"/>
  <c r="AO6" i="30"/>
  <c r="AO47" i="30" s="1"/>
  <c r="AO10" i="30"/>
  <c r="AO46" i="30" s="1"/>
  <c r="AO14" i="30"/>
  <c r="AO34" i="30" s="1"/>
  <c r="AO19" i="30"/>
  <c r="AO42" i="30" s="1"/>
  <c r="AO21" i="30"/>
  <c r="AO27" i="30"/>
  <c r="AO29" i="30"/>
  <c r="AO2" i="30"/>
  <c r="AO38" i="30" s="1"/>
  <c r="AO5" i="30"/>
  <c r="AO9" i="30"/>
  <c r="AO17" i="30"/>
  <c r="AO20" i="30"/>
  <c r="AO22" i="30"/>
  <c r="AO37" i="30" s="1"/>
  <c r="AO28" i="30"/>
  <c r="AO43" i="30" s="1"/>
  <c r="AO30" i="30"/>
  <c r="AO35" i="30" s="1"/>
  <c r="AS30" i="42"/>
  <c r="AS35" i="42" s="1"/>
  <c r="AS29" i="42"/>
  <c r="AS28" i="42"/>
  <c r="AS43" i="42" s="1"/>
  <c r="AS27" i="42"/>
  <c r="AS26" i="42"/>
  <c r="AS36" i="42" s="1"/>
  <c r="AS25" i="42"/>
  <c r="AS24" i="42"/>
  <c r="AS23" i="42"/>
  <c r="AS22" i="42"/>
  <c r="AS37" i="42" s="1"/>
  <c r="AS21" i="42"/>
  <c r="AS20" i="42"/>
  <c r="AS19" i="42"/>
  <c r="AS42" i="42" s="1"/>
  <c r="AS4" i="42"/>
  <c r="AS40" i="42" s="1"/>
  <c r="AS3" i="42"/>
  <c r="AS32" i="42" s="1"/>
  <c r="AS2" i="42"/>
  <c r="AS38" i="42" s="1"/>
  <c r="AS18" i="42"/>
  <c r="AS16" i="42"/>
  <c r="AS14" i="42"/>
  <c r="AS34" i="42" s="1"/>
  <c r="AS12" i="42"/>
  <c r="AS10" i="42"/>
  <c r="AS46" i="42" s="1"/>
  <c r="AS45" i="42" s="1"/>
  <c r="AS8" i="42"/>
  <c r="AS41" i="42" s="1"/>
  <c r="AS6" i="42"/>
  <c r="AS47" i="42" s="1"/>
  <c r="AS17" i="42"/>
  <c r="AS15" i="42"/>
  <c r="AS44" i="42" s="1"/>
  <c r="AS13" i="42"/>
  <c r="AS33" i="42" s="1"/>
  <c r="AS11" i="42"/>
  <c r="AS39" i="42" s="1"/>
  <c r="AS9" i="42"/>
  <c r="AS7" i="42"/>
  <c r="AS5" i="42"/>
  <c r="AS30" i="43"/>
  <c r="AS35" i="43" s="1"/>
  <c r="AS6" i="43"/>
  <c r="AS47" i="43" s="1"/>
  <c r="AS13" i="43"/>
  <c r="AS33" i="43" s="1"/>
  <c r="AS7" i="43"/>
  <c r="AS21" i="43"/>
  <c r="AS8" i="43"/>
  <c r="AS41" i="43" s="1"/>
  <c r="AS27" i="43"/>
  <c r="AS11" i="43"/>
  <c r="AS39" i="43" s="1"/>
  <c r="AS2" i="43"/>
  <c r="AS38" i="43" s="1"/>
  <c r="AS10" i="43"/>
  <c r="AS46" i="43" s="1"/>
  <c r="AS29" i="43"/>
  <c r="AS24" i="43"/>
  <c r="AS4" i="43"/>
  <c r="AS40" i="43" s="1"/>
  <c r="AS23" i="43"/>
  <c r="AS16" i="43"/>
  <c r="AS18" i="43"/>
  <c r="AS22" i="43"/>
  <c r="AS37" i="43" s="1"/>
  <c r="AS17" i="43"/>
  <c r="AS9" i="43"/>
  <c r="AS5" i="43"/>
  <c r="AS19" i="43"/>
  <c r="AS42" i="43" s="1"/>
  <c r="AS26" i="43"/>
  <c r="AS36" i="43" s="1"/>
  <c r="AS25" i="43"/>
  <c r="AS28" i="43"/>
  <c r="AS43" i="43" s="1"/>
  <c r="AS20" i="43"/>
  <c r="AS12" i="43"/>
  <c r="AS15" i="43"/>
  <c r="AS44" i="43" s="1"/>
  <c r="AS3" i="43"/>
  <c r="AS32" i="43" s="1"/>
  <c r="AS14" i="43"/>
  <c r="AS34" i="43" s="1"/>
  <c r="AS4" i="30"/>
  <c r="AS40" i="30" s="1"/>
  <c r="AS8" i="30"/>
  <c r="AS41" i="30" s="1"/>
  <c r="AS12" i="30"/>
  <c r="AS16" i="30"/>
  <c r="AS23" i="30"/>
  <c r="AS25" i="30"/>
  <c r="AS24" i="30"/>
  <c r="AS17" i="30"/>
  <c r="AS22" i="30"/>
  <c r="AS37" i="30" s="1"/>
  <c r="AS3" i="30"/>
  <c r="AS32" i="30" s="1"/>
  <c r="AS7" i="30"/>
  <c r="AS11" i="30"/>
  <c r="AS39" i="30" s="1"/>
  <c r="AS15" i="30"/>
  <c r="AS44" i="30" s="1"/>
  <c r="AS18" i="30"/>
  <c r="AS26" i="30"/>
  <c r="AS36" i="30" s="1"/>
  <c r="AS5" i="30"/>
  <c r="AS9" i="30"/>
  <c r="AS13" i="30"/>
  <c r="AS33" i="30" s="1"/>
  <c r="AS20" i="30"/>
  <c r="AS28" i="30"/>
  <c r="AS43" i="30" s="1"/>
  <c r="AS30" i="30"/>
  <c r="AS35" i="30" s="1"/>
  <c r="AS6" i="30"/>
  <c r="AS47" i="30" s="1"/>
  <c r="AS10" i="30"/>
  <c r="AS46" i="30" s="1"/>
  <c r="AS14" i="30"/>
  <c r="AS34" i="30" s="1"/>
  <c r="AS19" i="30"/>
  <c r="AS42" i="30" s="1"/>
  <c r="AS21" i="30"/>
  <c r="AS27" i="30"/>
  <c r="AS29" i="30"/>
  <c r="AS2" i="30"/>
  <c r="AS38" i="30" s="1"/>
  <c r="AV30" i="42"/>
  <c r="AV35" i="42" s="1"/>
  <c r="AV29" i="42"/>
  <c r="AV28" i="42"/>
  <c r="AV43" i="42" s="1"/>
  <c r="AV27" i="42"/>
  <c r="AV26" i="42"/>
  <c r="AV36" i="42" s="1"/>
  <c r="AV25" i="42"/>
  <c r="AV24" i="42"/>
  <c r="AV23" i="42"/>
  <c r="AV22" i="42"/>
  <c r="AV37" i="42" s="1"/>
  <c r="AV21" i="42"/>
  <c r="AV20" i="42"/>
  <c r="AV19" i="42"/>
  <c r="AV42" i="42" s="1"/>
  <c r="AV18" i="42"/>
  <c r="AV17" i="42"/>
  <c r="AV16" i="42"/>
  <c r="AV15" i="42"/>
  <c r="AV44" i="42" s="1"/>
  <c r="AV14" i="42"/>
  <c r="AV34" i="42" s="1"/>
  <c r="AV13" i="42"/>
  <c r="AV33" i="42" s="1"/>
  <c r="AV12" i="42"/>
  <c r="AV11" i="42"/>
  <c r="AV39" i="42" s="1"/>
  <c r="AV10" i="42"/>
  <c r="AV46" i="42" s="1"/>
  <c r="AV45" i="42" s="1"/>
  <c r="AV9" i="42"/>
  <c r="AV8" i="42"/>
  <c r="AV41" i="42" s="1"/>
  <c r="AV7" i="42"/>
  <c r="AV6" i="42"/>
  <c r="AV47" i="42" s="1"/>
  <c r="AV5" i="42"/>
  <c r="AV4" i="42"/>
  <c r="AV40" i="42" s="1"/>
  <c r="AV3" i="42"/>
  <c r="AV32" i="42" s="1"/>
  <c r="AV2" i="42"/>
  <c r="AV38" i="42" s="1"/>
  <c r="AV30" i="43"/>
  <c r="AV35" i="43" s="1"/>
  <c r="AV6" i="43"/>
  <c r="AV47" i="43" s="1"/>
  <c r="AV13" i="43"/>
  <c r="AV33" i="43" s="1"/>
  <c r="AV7" i="43"/>
  <c r="AV21" i="43"/>
  <c r="AV8" i="43"/>
  <c r="AV41" i="43" s="1"/>
  <c r="AV27" i="43"/>
  <c r="AV11" i="43"/>
  <c r="AV39" i="43" s="1"/>
  <c r="AV10" i="43"/>
  <c r="AV46" i="43" s="1"/>
  <c r="AV45" i="43" s="1"/>
  <c r="AV2" i="43"/>
  <c r="AV38" i="43" s="1"/>
  <c r="AV29" i="43"/>
  <c r="AV24" i="43"/>
  <c r="AV4" i="43"/>
  <c r="AV40" i="43" s="1"/>
  <c r="AV23" i="43"/>
  <c r="AV16" i="43"/>
  <c r="AV26" i="43"/>
  <c r="AV36" i="43" s="1"/>
  <c r="AV18" i="43"/>
  <c r="AV22" i="43"/>
  <c r="AV37" i="43" s="1"/>
  <c r="AV17" i="43"/>
  <c r="AV9" i="43"/>
  <c r="AV5" i="43"/>
  <c r="AV19" i="43"/>
  <c r="AV42" i="43" s="1"/>
  <c r="AV25" i="43"/>
  <c r="AV28" i="43"/>
  <c r="AV43" i="43" s="1"/>
  <c r="AV20" i="43"/>
  <c r="AV12" i="43"/>
  <c r="AV15" i="43"/>
  <c r="AV44" i="43" s="1"/>
  <c r="AV3" i="43"/>
  <c r="AV32" i="43" s="1"/>
  <c r="AV14" i="43"/>
  <c r="AV34" i="43" s="1"/>
  <c r="AV3" i="30"/>
  <c r="AV32" i="30" s="1"/>
  <c r="AV7" i="30"/>
  <c r="AV11" i="30"/>
  <c r="AV39" i="30" s="1"/>
  <c r="AV15" i="30"/>
  <c r="AV44" i="30" s="1"/>
  <c r="AV18" i="30"/>
  <c r="AV24" i="30"/>
  <c r="AV26" i="30"/>
  <c r="AV36" i="30" s="1"/>
  <c r="AV27" i="30"/>
  <c r="AV16" i="30"/>
  <c r="AV6" i="30"/>
  <c r="AV47" i="30" s="1"/>
  <c r="AV10" i="30"/>
  <c r="AV46" i="30" s="1"/>
  <c r="AV45" i="30" s="1"/>
  <c r="AV14" i="30"/>
  <c r="AV34" i="30" s="1"/>
  <c r="AV19" i="30"/>
  <c r="AV42" i="30" s="1"/>
  <c r="AV21" i="30"/>
  <c r="AV29" i="30"/>
  <c r="AV2" i="30"/>
  <c r="AV38" i="30" s="1"/>
  <c r="AV4" i="30"/>
  <c r="AV40" i="30" s="1"/>
  <c r="AV8" i="30"/>
  <c r="AV41" i="30" s="1"/>
  <c r="AV12" i="30"/>
  <c r="AV23" i="30"/>
  <c r="AV25" i="30"/>
  <c r="AV5" i="30"/>
  <c r="AV9" i="30"/>
  <c r="AV13" i="30"/>
  <c r="AV33" i="30" s="1"/>
  <c r="AV17" i="30"/>
  <c r="AV20" i="30"/>
  <c r="AV22" i="30"/>
  <c r="AV37" i="30" s="1"/>
  <c r="AV28" i="30"/>
  <c r="AV43" i="30" s="1"/>
  <c r="AV30" i="30"/>
  <c r="AV35" i="30" s="1"/>
  <c r="E29" i="20"/>
  <c r="E16" i="45"/>
  <c r="C72" i="45"/>
  <c r="E72" i="45" s="1"/>
  <c r="C58" i="45"/>
  <c r="E58" i="45" s="1"/>
  <c r="E23" i="45"/>
  <c r="C49" i="45"/>
  <c r="C55" i="45"/>
  <c r="E55" i="45" s="1"/>
  <c r="E24" i="45"/>
  <c r="C69" i="45"/>
  <c r="E69" i="45" s="1"/>
  <c r="E3" i="45"/>
  <c r="C32" i="45"/>
  <c r="E9" i="20"/>
  <c r="C60" i="45"/>
  <c r="E60" i="45" s="1"/>
  <c r="E12" i="45"/>
  <c r="C74" i="45"/>
  <c r="E74" i="45" s="1"/>
  <c r="E6" i="20"/>
  <c r="E22" i="20"/>
  <c r="C68" i="45"/>
  <c r="E68" i="45" s="1"/>
  <c r="C54" i="45"/>
  <c r="E54" i="45" s="1"/>
  <c r="E9" i="45"/>
  <c r="E25" i="45"/>
  <c r="C64" i="45"/>
  <c r="E64" i="45" s="1"/>
  <c r="C50" i="45"/>
  <c r="E50" i="45" s="1"/>
  <c r="E11" i="20"/>
  <c r="E27" i="20"/>
  <c r="E14" i="45"/>
  <c r="C34" i="45"/>
  <c r="E34" i="45" s="1"/>
  <c r="E30" i="45"/>
  <c r="C35" i="45"/>
  <c r="E35" i="45" s="1"/>
  <c r="H9" i="37"/>
  <c r="H2" i="37"/>
  <c r="H38" i="37" s="1"/>
  <c r="W13" i="37"/>
  <c r="W33" i="37" s="1"/>
  <c r="H18" i="37"/>
  <c r="W2" i="37"/>
  <c r="W38" i="37" s="1"/>
  <c r="H7" i="37"/>
  <c r="W18" i="37"/>
  <c r="H23" i="37"/>
  <c r="H49" i="37" s="1"/>
  <c r="H17" i="37"/>
  <c r="H30" i="37"/>
  <c r="H35" i="37" s="1"/>
  <c r="W11" i="37"/>
  <c r="W39" i="37" s="1"/>
  <c r="H16" i="37"/>
  <c r="W27" i="37"/>
  <c r="X61" i="16"/>
  <c r="X75" i="16"/>
  <c r="H18" i="16"/>
  <c r="W22" i="16"/>
  <c r="W37" i="16" s="1"/>
  <c r="W10" i="16"/>
  <c r="W46" i="16" s="1"/>
  <c r="H22" i="16"/>
  <c r="H8" i="16"/>
  <c r="W16" i="16"/>
  <c r="H4" i="16"/>
  <c r="H30" i="16"/>
  <c r="H35" i="16" s="1"/>
  <c r="W7" i="16"/>
  <c r="W26" i="16"/>
  <c r="W36" i="16" s="1"/>
  <c r="W25" i="16"/>
  <c r="W15" i="16"/>
  <c r="W44" i="16" s="1"/>
  <c r="W24" i="16"/>
  <c r="W5" i="16"/>
  <c r="W14" i="16"/>
  <c r="W34" i="16" s="1"/>
  <c r="W21" i="16"/>
  <c r="BN30" i="18"/>
  <c r="BN35" i="18" s="1"/>
  <c r="BN22" i="18"/>
  <c r="BN37" i="18" s="1"/>
  <c r="BN14" i="18"/>
  <c r="BN34" i="18" s="1"/>
  <c r="BN7" i="18"/>
  <c r="BN23" i="18"/>
  <c r="BN49" i="18" s="1"/>
  <c r="BN17" i="18"/>
  <c r="BN19" i="18"/>
  <c r="BN42" i="18" s="1"/>
  <c r="BN13" i="18"/>
  <c r="BN33" i="18" s="1"/>
  <c r="BN28" i="18"/>
  <c r="BN43" i="18" s="1"/>
  <c r="BN20" i="18"/>
  <c r="BN12" i="18"/>
  <c r="BN5" i="18"/>
  <c r="BN15" i="18"/>
  <c r="BN44" i="18" s="1"/>
  <c r="BN10" i="18"/>
  <c r="BN46" i="18" s="1"/>
  <c r="BN45" i="18" s="1"/>
  <c r="BN21" i="18"/>
  <c r="BN26" i="18"/>
  <c r="BN36" i="18" s="1"/>
  <c r="BN18" i="18"/>
  <c r="BN11" i="18"/>
  <c r="BN39" i="18" s="1"/>
  <c r="BN2" i="18"/>
  <c r="BN38" i="18" s="1"/>
  <c r="BN8" i="18"/>
  <c r="BN41" i="18" s="1"/>
  <c r="BN29" i="18"/>
  <c r="BN4" i="18"/>
  <c r="BN40" i="18" s="1"/>
  <c r="BN24" i="18"/>
  <c r="BN16" i="18"/>
  <c r="BN9" i="18"/>
  <c r="BN25" i="18"/>
  <c r="BN27" i="18"/>
  <c r="BN6" i="18"/>
  <c r="BN47" i="18" s="1"/>
  <c r="CE30" i="31"/>
  <c r="CE35" i="31" s="1"/>
  <c r="CE29" i="31"/>
  <c r="CE28" i="31"/>
  <c r="CE43" i="31" s="1"/>
  <c r="CE27" i="31"/>
  <c r="CE26" i="31"/>
  <c r="CE36" i="31" s="1"/>
  <c r="CE25" i="31"/>
  <c r="CE24" i="31"/>
  <c r="CE23" i="31"/>
  <c r="CE49" i="31" s="1"/>
  <c r="CE22" i="31"/>
  <c r="CE37" i="31" s="1"/>
  <c r="CE21" i="31"/>
  <c r="CE20" i="31"/>
  <c r="CE19" i="31"/>
  <c r="CE42" i="31" s="1"/>
  <c r="CE18" i="31"/>
  <c r="CE17" i="31"/>
  <c r="CE16" i="31"/>
  <c r="CE15" i="31"/>
  <c r="CE44" i="31" s="1"/>
  <c r="CE14" i="31"/>
  <c r="CE34" i="31" s="1"/>
  <c r="CE13" i="31"/>
  <c r="CE33" i="31" s="1"/>
  <c r="CE12" i="31"/>
  <c r="CE11" i="31"/>
  <c r="CE39" i="31" s="1"/>
  <c r="CE10" i="31"/>
  <c r="CE46" i="31" s="1"/>
  <c r="CE45" i="31" s="1"/>
  <c r="CE9" i="31"/>
  <c r="CE8" i="31"/>
  <c r="CE41" i="31" s="1"/>
  <c r="CE7" i="31"/>
  <c r="CE6" i="31"/>
  <c r="CE47" i="31" s="1"/>
  <c r="CE5" i="31"/>
  <c r="CE4" i="31"/>
  <c r="CE40" i="31" s="1"/>
  <c r="CE3" i="31"/>
  <c r="CE32" i="31" s="1"/>
  <c r="CE2" i="31"/>
  <c r="CE38" i="31" s="1"/>
  <c r="CE2" i="30"/>
  <c r="CE38" i="30" s="1"/>
  <c r="CD2" i="30"/>
  <c r="CD38" i="30" s="1"/>
  <c r="BF2" i="30"/>
  <c r="BF38" i="30" s="1"/>
  <c r="CH13" i="31"/>
  <c r="CH33" i="31" s="1"/>
  <c r="CH12" i="31"/>
  <c r="CH11" i="31"/>
  <c r="CH39" i="31" s="1"/>
  <c r="CH10" i="31"/>
  <c r="CH46" i="31" s="1"/>
  <c r="CH9" i="31"/>
  <c r="CH8" i="31"/>
  <c r="CH41" i="31" s="1"/>
  <c r="CH7" i="31"/>
  <c r="CH6" i="31"/>
  <c r="CH47" i="31" s="1"/>
  <c r="CH5" i="31"/>
  <c r="CH4" i="31"/>
  <c r="CH40" i="31" s="1"/>
  <c r="CH3" i="31"/>
  <c r="CH32" i="31" s="1"/>
  <c r="CH2" i="31"/>
  <c r="CH38" i="31" s="1"/>
  <c r="CH29" i="31"/>
  <c r="CH27" i="31"/>
  <c r="CH25" i="31"/>
  <c r="CH23" i="31"/>
  <c r="CH49" i="31" s="1"/>
  <c r="CH21" i="31"/>
  <c r="CH19" i="31"/>
  <c r="CH42" i="31" s="1"/>
  <c r="CH17" i="31"/>
  <c r="CH15" i="31"/>
  <c r="CH44" i="31" s="1"/>
  <c r="CH28" i="31"/>
  <c r="CH43" i="31" s="1"/>
  <c r="CH24" i="31"/>
  <c r="CH20" i="31"/>
  <c r="CH16" i="31"/>
  <c r="CH30" i="31"/>
  <c r="CH35" i="31" s="1"/>
  <c r="CH22" i="31"/>
  <c r="CH37" i="31" s="1"/>
  <c r="CH14" i="31"/>
  <c r="CH34" i="31" s="1"/>
  <c r="CH18" i="31"/>
  <c r="CH26" i="31"/>
  <c r="CH36" i="31" s="1"/>
  <c r="CH2" i="30"/>
  <c r="CH38" i="30" s="1"/>
  <c r="BI2" i="30"/>
  <c r="BI38" i="30" s="1"/>
  <c r="CL30" i="31"/>
  <c r="CL35" i="31" s="1"/>
  <c r="CL29" i="31"/>
  <c r="CL28" i="31"/>
  <c r="CL43" i="31" s="1"/>
  <c r="CL27" i="31"/>
  <c r="CL26" i="31"/>
  <c r="CL36" i="31" s="1"/>
  <c r="CL25" i="31"/>
  <c r="CL24" i="31"/>
  <c r="CL23" i="31"/>
  <c r="CL49" i="31" s="1"/>
  <c r="CL22" i="31"/>
  <c r="CL37" i="31" s="1"/>
  <c r="CL21" i="31"/>
  <c r="CL20" i="31"/>
  <c r="CL19" i="31"/>
  <c r="CL42" i="31" s="1"/>
  <c r="CL31" i="31" s="1"/>
  <c r="CL18" i="31"/>
  <c r="CL17" i="31"/>
  <c r="CL16" i="31"/>
  <c r="CL15" i="31"/>
  <c r="CL44" i="31" s="1"/>
  <c r="CL14" i="31"/>
  <c r="CL34" i="31" s="1"/>
  <c r="CL12" i="31"/>
  <c r="CL11" i="31"/>
  <c r="CL39" i="31" s="1"/>
  <c r="CL9" i="31"/>
  <c r="CL7" i="31"/>
  <c r="CL5" i="31"/>
  <c r="CL3" i="31"/>
  <c r="CL32" i="31" s="1"/>
  <c r="CL8" i="31"/>
  <c r="CL41" i="31" s="1"/>
  <c r="CL4" i="31"/>
  <c r="CL40" i="31" s="1"/>
  <c r="CL13" i="31"/>
  <c r="CL33" i="31" s="1"/>
  <c r="CL10" i="31"/>
  <c r="CL46" i="31" s="1"/>
  <c r="CL6" i="31"/>
  <c r="CL47" i="31" s="1"/>
  <c r="CL2" i="31"/>
  <c r="CL38" i="31" s="1"/>
  <c r="CL2" i="30"/>
  <c r="CL38" i="30" s="1"/>
  <c r="BM2" i="30"/>
  <c r="BM38" i="30" s="1"/>
  <c r="CP13" i="31"/>
  <c r="CP33" i="31" s="1"/>
  <c r="CP12" i="31"/>
  <c r="CP11" i="31"/>
  <c r="CP39" i="31" s="1"/>
  <c r="CP10" i="31"/>
  <c r="CP46" i="31" s="1"/>
  <c r="CP45" i="31" s="1"/>
  <c r="CP9" i="31"/>
  <c r="CP8" i="31"/>
  <c r="CP41" i="31" s="1"/>
  <c r="CP7" i="31"/>
  <c r="CP6" i="31"/>
  <c r="CP47" i="31" s="1"/>
  <c r="CP5" i="31"/>
  <c r="CP4" i="31"/>
  <c r="CP40" i="31" s="1"/>
  <c r="CP3" i="31"/>
  <c r="CP32" i="31" s="1"/>
  <c r="CP2" i="31"/>
  <c r="CP38" i="31" s="1"/>
  <c r="CP30" i="31"/>
  <c r="CP35" i="31" s="1"/>
  <c r="CP28" i="31"/>
  <c r="CP43" i="31" s="1"/>
  <c r="CP26" i="31"/>
  <c r="CP36" i="31" s="1"/>
  <c r="CP24" i="31"/>
  <c r="CP22" i="31"/>
  <c r="CP37" i="31" s="1"/>
  <c r="CP20" i="31"/>
  <c r="CP18" i="31"/>
  <c r="CP16" i="31"/>
  <c r="CP14" i="31"/>
  <c r="CP34" i="31" s="1"/>
  <c r="CP29" i="31"/>
  <c r="CP25" i="31"/>
  <c r="CP21" i="31"/>
  <c r="CP17" i="31"/>
  <c r="CP27" i="31"/>
  <c r="CP19" i="31"/>
  <c r="CP42" i="31" s="1"/>
  <c r="CP15" i="31"/>
  <c r="CP44" i="31" s="1"/>
  <c r="CP23" i="31"/>
  <c r="CP49" i="31" s="1"/>
  <c r="CP2" i="30"/>
  <c r="CP38" i="30" s="1"/>
  <c r="BQ2" i="30"/>
  <c r="BQ38" i="30" s="1"/>
  <c r="CW30" i="31"/>
  <c r="CW35" i="31" s="1"/>
  <c r="CW29" i="31"/>
  <c r="CW28" i="31"/>
  <c r="CW43" i="31" s="1"/>
  <c r="CW27" i="31"/>
  <c r="CW26" i="31"/>
  <c r="CW36" i="31" s="1"/>
  <c r="CW25" i="31"/>
  <c r="CW24" i="31"/>
  <c r="CW23" i="31"/>
  <c r="CW49" i="31" s="1"/>
  <c r="CW22" i="31"/>
  <c r="CW37" i="31" s="1"/>
  <c r="CW21" i="31"/>
  <c r="CW20" i="31"/>
  <c r="CW19" i="31"/>
  <c r="CW42" i="31" s="1"/>
  <c r="CW18" i="31"/>
  <c r="CW17" i="31"/>
  <c r="CW16" i="31"/>
  <c r="CW15" i="31"/>
  <c r="CW44" i="31" s="1"/>
  <c r="CW14" i="31"/>
  <c r="CW34" i="31" s="1"/>
  <c r="CW13" i="31"/>
  <c r="CW33" i="31" s="1"/>
  <c r="CW12" i="31"/>
  <c r="CW11" i="31"/>
  <c r="CW39" i="31" s="1"/>
  <c r="CW10" i="31"/>
  <c r="CW46" i="31" s="1"/>
  <c r="CW9" i="31"/>
  <c r="CW8" i="31"/>
  <c r="CW41" i="31" s="1"/>
  <c r="CW7" i="31"/>
  <c r="CW6" i="31"/>
  <c r="CW47" i="31" s="1"/>
  <c r="CW5" i="31"/>
  <c r="CW4" i="31"/>
  <c r="CW40" i="31" s="1"/>
  <c r="CW3" i="31"/>
  <c r="CW32" i="31" s="1"/>
  <c r="CW2" i="31"/>
  <c r="CW38" i="31" s="1"/>
  <c r="CW2" i="30"/>
  <c r="CW38" i="30" s="1"/>
  <c r="BH30" i="18"/>
  <c r="BH35" i="18" s="1"/>
  <c r="BH28" i="18"/>
  <c r="BH43" i="18" s="1"/>
  <c r="BH26" i="18"/>
  <c r="BH36" i="18" s="1"/>
  <c r="BH24" i="18"/>
  <c r="BH22" i="18"/>
  <c r="BH37" i="18" s="1"/>
  <c r="BH20" i="18"/>
  <c r="BH18" i="18"/>
  <c r="BH16" i="18"/>
  <c r="BH14" i="18"/>
  <c r="BH34" i="18" s="1"/>
  <c r="BH12" i="18"/>
  <c r="BH11" i="18"/>
  <c r="BH39" i="18" s="1"/>
  <c r="BH9" i="18"/>
  <c r="BH7" i="18"/>
  <c r="BH5" i="18"/>
  <c r="BH2" i="18"/>
  <c r="BH38" i="18" s="1"/>
  <c r="BH3" i="18"/>
  <c r="BH32" i="18" s="1"/>
  <c r="BH29" i="18"/>
  <c r="BH25" i="18"/>
  <c r="BH17" i="18"/>
  <c r="BH10" i="18"/>
  <c r="BH46" i="18" s="1"/>
  <c r="BH45" i="18" s="1"/>
  <c r="BH27" i="18"/>
  <c r="BH19" i="18"/>
  <c r="BH42" i="18" s="1"/>
  <c r="BH4" i="18"/>
  <c r="BH40" i="18" s="1"/>
  <c r="BH21" i="18"/>
  <c r="BH13" i="18"/>
  <c r="BH33" i="18" s="1"/>
  <c r="BH6" i="18"/>
  <c r="BH47" i="18" s="1"/>
  <c r="BH23" i="18"/>
  <c r="BH49" i="18" s="1"/>
  <c r="BH8" i="18"/>
  <c r="BH41" i="18" s="1"/>
  <c r="BH15" i="18"/>
  <c r="BH44" i="18" s="1"/>
  <c r="R30" i="18"/>
  <c r="R35" i="18" s="1"/>
  <c r="R28" i="18"/>
  <c r="R43" i="18" s="1"/>
  <c r="R26" i="18"/>
  <c r="R36" i="18" s="1"/>
  <c r="R24" i="18"/>
  <c r="R22" i="18"/>
  <c r="R37" i="18" s="1"/>
  <c r="R20" i="18"/>
  <c r="R18" i="18"/>
  <c r="R16" i="18"/>
  <c r="R14" i="18"/>
  <c r="R34" i="18" s="1"/>
  <c r="R12" i="18"/>
  <c r="R11" i="18"/>
  <c r="R39" i="18" s="1"/>
  <c r="R9" i="18"/>
  <c r="R7" i="18"/>
  <c r="R5" i="18"/>
  <c r="R3" i="18"/>
  <c r="R32" i="18" s="1"/>
  <c r="R29" i="18"/>
  <c r="R27" i="18"/>
  <c r="R25" i="18"/>
  <c r="R23" i="18"/>
  <c r="R49" i="18" s="1"/>
  <c r="R21" i="18"/>
  <c r="R19" i="18"/>
  <c r="R42" i="18" s="1"/>
  <c r="R17" i="18"/>
  <c r="R15" i="18"/>
  <c r="R44" i="18" s="1"/>
  <c r="R13" i="18"/>
  <c r="R33" i="18" s="1"/>
  <c r="R10" i="18"/>
  <c r="R46" i="18" s="1"/>
  <c r="R8" i="18"/>
  <c r="R41" i="18" s="1"/>
  <c r="R6" i="18"/>
  <c r="R47" i="18" s="1"/>
  <c r="R4" i="18"/>
  <c r="R40" i="18" s="1"/>
  <c r="R2" i="18"/>
  <c r="R38" i="18" s="1"/>
  <c r="BI29" i="18"/>
  <c r="BI27" i="18"/>
  <c r="BI26" i="18"/>
  <c r="BI36" i="18" s="1"/>
  <c r="BI19" i="18"/>
  <c r="BI42" i="18" s="1"/>
  <c r="BI18" i="18"/>
  <c r="BI11" i="18"/>
  <c r="BI39" i="18" s="1"/>
  <c r="BI4" i="18"/>
  <c r="BI40" i="18" s="1"/>
  <c r="BI2" i="18"/>
  <c r="BI38" i="18" s="1"/>
  <c r="BI28" i="18"/>
  <c r="BI43" i="18" s="1"/>
  <c r="BI21" i="18"/>
  <c r="BI20" i="18"/>
  <c r="BI13" i="18"/>
  <c r="BI33" i="18" s="1"/>
  <c r="BI12" i="18"/>
  <c r="BI6" i="18"/>
  <c r="BI47" i="18" s="1"/>
  <c r="BI5" i="18"/>
  <c r="BI23" i="18"/>
  <c r="BI49" i="18" s="1"/>
  <c r="BI22" i="18"/>
  <c r="BI37" i="18" s="1"/>
  <c r="BI15" i="18"/>
  <c r="BI44" i="18" s="1"/>
  <c r="BI14" i="18"/>
  <c r="BI34" i="18" s="1"/>
  <c r="BI8" i="18"/>
  <c r="BI41" i="18" s="1"/>
  <c r="BI7" i="18"/>
  <c r="BI30" i="18"/>
  <c r="BI35" i="18" s="1"/>
  <c r="BI25" i="18"/>
  <c r="BI9" i="18"/>
  <c r="BI16" i="18"/>
  <c r="BI24" i="18"/>
  <c r="BI10" i="18"/>
  <c r="BI46" i="18" s="1"/>
  <c r="BI45" i="18" s="1"/>
  <c r="BI17" i="18"/>
  <c r="DA27" i="18"/>
  <c r="DA23" i="18"/>
  <c r="DA49" i="18" s="1"/>
  <c r="DA19" i="18"/>
  <c r="DA42" i="18" s="1"/>
  <c r="DA15" i="18"/>
  <c r="DA44" i="18" s="1"/>
  <c r="DA30" i="18"/>
  <c r="DA35" i="18" s="1"/>
  <c r="DA26" i="18"/>
  <c r="DA36" i="18" s="1"/>
  <c r="DA22" i="18"/>
  <c r="DA37" i="18" s="1"/>
  <c r="DA18" i="18"/>
  <c r="DA14" i="18"/>
  <c r="DA34" i="18" s="1"/>
  <c r="DA12" i="18"/>
  <c r="DA11" i="18"/>
  <c r="DA39" i="18" s="1"/>
  <c r="DA9" i="18"/>
  <c r="DA7" i="18"/>
  <c r="DA5" i="18"/>
  <c r="DA3" i="18"/>
  <c r="DA32" i="18" s="1"/>
  <c r="DA29" i="18"/>
  <c r="DA21" i="18"/>
  <c r="DA24" i="18"/>
  <c r="DA16" i="18"/>
  <c r="DA13" i="18"/>
  <c r="DA33" i="18" s="1"/>
  <c r="DA10" i="18"/>
  <c r="DA46" i="18" s="1"/>
  <c r="DA45" i="18" s="1"/>
  <c r="DA6" i="18"/>
  <c r="DA47" i="18" s="1"/>
  <c r="DA2" i="18"/>
  <c r="DA38" i="18" s="1"/>
  <c r="DA17" i="18"/>
  <c r="DA20" i="18"/>
  <c r="DA8" i="18"/>
  <c r="DA41" i="18" s="1"/>
  <c r="DA25" i="18"/>
  <c r="DA4" i="18"/>
  <c r="DA40" i="18" s="1"/>
  <c r="DA28" i="18"/>
  <c r="DA43" i="18" s="1"/>
  <c r="BM29" i="18"/>
  <c r="BM25" i="18"/>
  <c r="BM24" i="18"/>
  <c r="BM17" i="18"/>
  <c r="BM16" i="18"/>
  <c r="BM10" i="18"/>
  <c r="BM46" i="18" s="1"/>
  <c r="BM9" i="18"/>
  <c r="BM30" i="18"/>
  <c r="BM35" i="18" s="1"/>
  <c r="BM27" i="18"/>
  <c r="BM26" i="18"/>
  <c r="BM36" i="18" s="1"/>
  <c r="BM19" i="18"/>
  <c r="BM42" i="18" s="1"/>
  <c r="BM18" i="18"/>
  <c r="BM11" i="18"/>
  <c r="BM39" i="18" s="1"/>
  <c r="BM4" i="18"/>
  <c r="BM40" i="18" s="1"/>
  <c r="BM2" i="18"/>
  <c r="BM38" i="18" s="1"/>
  <c r="BM3" i="18"/>
  <c r="BM32" i="18" s="1"/>
  <c r="BM21" i="18"/>
  <c r="BM20" i="18"/>
  <c r="BM13" i="18"/>
  <c r="BM33" i="18" s="1"/>
  <c r="BM12" i="18"/>
  <c r="BM6" i="18"/>
  <c r="BM47" i="18" s="1"/>
  <c r="BM45" i="18" s="1"/>
  <c r="BM5" i="18"/>
  <c r="BM28" i="18"/>
  <c r="BM43" i="18" s="1"/>
  <c r="BM14" i="18"/>
  <c r="BM34" i="18" s="1"/>
  <c r="BM22" i="18"/>
  <c r="BM37" i="18" s="1"/>
  <c r="BM8" i="18"/>
  <c r="BM41" i="18" s="1"/>
  <c r="BM15" i="18"/>
  <c r="BM44" i="18" s="1"/>
  <c r="BM23" i="18"/>
  <c r="BM49" i="18" s="1"/>
  <c r="BM7" i="18"/>
  <c r="W29" i="18"/>
  <c r="W27" i="18"/>
  <c r="W25" i="18"/>
  <c r="W23" i="18"/>
  <c r="W49" i="18" s="1"/>
  <c r="W21" i="18"/>
  <c r="W19" i="18"/>
  <c r="W42" i="18" s="1"/>
  <c r="W17" i="18"/>
  <c r="W15" i="18"/>
  <c r="W44" i="18" s="1"/>
  <c r="W13" i="18"/>
  <c r="W33" i="18" s="1"/>
  <c r="W10" i="18"/>
  <c r="W46" i="18" s="1"/>
  <c r="W45" i="18" s="1"/>
  <c r="W8" i="18"/>
  <c r="W41" i="18" s="1"/>
  <c r="W6" i="18"/>
  <c r="W47" i="18" s="1"/>
  <c r="W4" i="18"/>
  <c r="W40" i="18" s="1"/>
  <c r="W2" i="18"/>
  <c r="W38" i="18" s="1"/>
  <c r="W30" i="18"/>
  <c r="W35" i="18" s="1"/>
  <c r="W22" i="18"/>
  <c r="W37" i="18" s="1"/>
  <c r="W14" i="18"/>
  <c r="W34" i="18" s="1"/>
  <c r="W7" i="18"/>
  <c r="W24" i="18"/>
  <c r="W16" i="18"/>
  <c r="W9" i="18"/>
  <c r="W28" i="18"/>
  <c r="W43" i="18" s="1"/>
  <c r="W20" i="18"/>
  <c r="W12" i="18"/>
  <c r="W5" i="18"/>
  <c r="W26" i="18"/>
  <c r="W36" i="18" s="1"/>
  <c r="W18" i="18"/>
  <c r="W11" i="18"/>
  <c r="W39" i="18" s="1"/>
  <c r="W3" i="18"/>
  <c r="W32" i="18" s="1"/>
  <c r="DM29" i="18"/>
  <c r="DM27" i="18"/>
  <c r="DM25" i="18"/>
  <c r="DM23" i="18"/>
  <c r="DM49" i="18" s="1"/>
  <c r="DM21" i="18"/>
  <c r="DM19" i="18"/>
  <c r="DM42" i="18" s="1"/>
  <c r="DM17" i="18"/>
  <c r="DM15" i="18"/>
  <c r="DM44" i="18" s="1"/>
  <c r="DM13" i="18"/>
  <c r="DM33" i="18" s="1"/>
  <c r="DM10" i="18"/>
  <c r="DM46" i="18" s="1"/>
  <c r="DM45" i="18" s="1"/>
  <c r="DM8" i="18"/>
  <c r="DM41" i="18" s="1"/>
  <c r="DM6" i="18"/>
  <c r="DM47" i="18" s="1"/>
  <c r="DM4" i="18"/>
  <c r="DM40" i="18" s="1"/>
  <c r="DM2" i="18"/>
  <c r="DM38" i="18" s="1"/>
  <c r="DM30" i="18"/>
  <c r="DM35" i="18" s="1"/>
  <c r="DM28" i="18"/>
  <c r="DM43" i="18" s="1"/>
  <c r="DM26" i="18"/>
  <c r="DM36" i="18" s="1"/>
  <c r="DM24" i="18"/>
  <c r="DM22" i="18"/>
  <c r="DM37" i="18" s="1"/>
  <c r="DM20" i="18"/>
  <c r="DM18" i="18"/>
  <c r="DM16" i="18"/>
  <c r="DM14" i="18"/>
  <c r="DM34" i="18" s="1"/>
  <c r="DM12" i="18"/>
  <c r="DM11" i="18"/>
  <c r="DM39" i="18" s="1"/>
  <c r="DM9" i="18"/>
  <c r="DM7" i="18"/>
  <c r="DM5" i="18"/>
  <c r="DM3" i="18"/>
  <c r="DM32" i="18" s="1"/>
  <c r="AK28" i="5"/>
  <c r="AK43" i="5" s="1"/>
  <c r="AK26" i="5"/>
  <c r="AK36" i="5" s="1"/>
  <c r="AK24" i="5"/>
  <c r="AK19" i="5"/>
  <c r="AK42" i="5" s="1"/>
  <c r="AK11" i="5"/>
  <c r="AK39" i="5" s="1"/>
  <c r="AK9" i="5"/>
  <c r="AK6" i="5"/>
  <c r="AK47" i="5" s="1"/>
  <c r="AK3" i="5"/>
  <c r="AK32" i="5" s="1"/>
  <c r="AK23" i="5"/>
  <c r="AK49" i="5" s="1"/>
  <c r="AK21" i="5"/>
  <c r="AK16" i="5"/>
  <c r="AK13" i="5"/>
  <c r="AK33" i="5" s="1"/>
  <c r="AK10" i="5"/>
  <c r="AK46" i="5" s="1"/>
  <c r="AK45" i="5" s="1"/>
  <c r="AK8" i="5"/>
  <c r="AK41" i="5" s="1"/>
  <c r="AK30" i="5"/>
  <c r="AK35" i="5" s="1"/>
  <c r="AK27" i="5"/>
  <c r="AK25" i="5"/>
  <c r="AK22" i="5"/>
  <c r="AK37" i="5" s="1"/>
  <c r="AK18" i="5"/>
  <c r="AK15" i="5"/>
  <c r="AK44" i="5" s="1"/>
  <c r="AK12" i="5"/>
  <c r="AK5" i="5"/>
  <c r="AK2" i="5"/>
  <c r="AK38" i="5" s="1"/>
  <c r="AK29" i="5"/>
  <c r="AK20" i="5"/>
  <c r="AK17" i="5"/>
  <c r="AK14" i="5"/>
  <c r="AK34" i="5" s="1"/>
  <c r="AK7" i="5"/>
  <c r="AK4" i="5"/>
  <c r="AK40" i="5" s="1"/>
  <c r="AD29" i="31"/>
  <c r="AD25" i="31"/>
  <c r="AD21" i="31"/>
  <c r="AD17" i="31"/>
  <c r="AD13" i="31"/>
  <c r="AD33" i="31" s="1"/>
  <c r="AD10" i="31"/>
  <c r="AD46" i="31" s="1"/>
  <c r="AD6" i="31"/>
  <c r="AD47" i="31" s="1"/>
  <c r="AD2" i="31"/>
  <c r="AD38" i="31" s="1"/>
  <c r="AD8" i="31"/>
  <c r="AD41" i="31" s="1"/>
  <c r="AD30" i="31"/>
  <c r="AD35" i="31" s="1"/>
  <c r="AD26" i="31"/>
  <c r="AD36" i="31" s="1"/>
  <c r="AD22" i="31"/>
  <c r="AD37" i="31" s="1"/>
  <c r="AD18" i="31"/>
  <c r="AD14" i="31"/>
  <c r="AD34" i="31" s="1"/>
  <c r="AD11" i="31"/>
  <c r="AD39" i="31" s="1"/>
  <c r="AD7" i="31"/>
  <c r="AD3" i="31"/>
  <c r="AD32" i="31" s="1"/>
  <c r="AD4" i="31"/>
  <c r="AD40" i="31" s="1"/>
  <c r="AD27" i="31"/>
  <c r="AD23" i="31"/>
  <c r="AD49" i="31" s="1"/>
  <c r="AD19" i="31"/>
  <c r="AD42" i="31" s="1"/>
  <c r="AD15" i="31"/>
  <c r="AD44" i="31" s="1"/>
  <c r="AD28" i="31"/>
  <c r="AD43" i="31" s="1"/>
  <c r="AD24" i="31"/>
  <c r="AD20" i="31"/>
  <c r="AD16" i="31"/>
  <c r="AD12" i="31"/>
  <c r="AD9" i="31"/>
  <c r="AD5" i="31"/>
  <c r="AH29" i="31"/>
  <c r="AH25" i="31"/>
  <c r="AH21" i="31"/>
  <c r="AH17" i="31"/>
  <c r="AH13" i="31"/>
  <c r="AH33" i="31" s="1"/>
  <c r="AH10" i="31"/>
  <c r="AH46" i="31" s="1"/>
  <c r="AH6" i="31"/>
  <c r="AH47" i="31" s="1"/>
  <c r="AH2" i="31"/>
  <c r="AH38" i="31" s="1"/>
  <c r="AH30" i="31"/>
  <c r="AH35" i="31" s="1"/>
  <c r="AH26" i="31"/>
  <c r="AH36" i="31" s="1"/>
  <c r="AH22" i="31"/>
  <c r="AH37" i="31" s="1"/>
  <c r="AH18" i="31"/>
  <c r="AH14" i="31"/>
  <c r="AH34" i="31" s="1"/>
  <c r="AH11" i="31"/>
  <c r="AH39" i="31" s="1"/>
  <c r="AH7" i="31"/>
  <c r="AH3" i="31"/>
  <c r="AH32" i="31" s="1"/>
  <c r="AH27" i="31"/>
  <c r="AH23" i="31"/>
  <c r="AH49" i="31" s="1"/>
  <c r="AH19" i="31"/>
  <c r="AH42" i="31" s="1"/>
  <c r="AH15" i="31"/>
  <c r="AH44" i="31" s="1"/>
  <c r="AH8" i="31"/>
  <c r="AH41" i="31" s="1"/>
  <c r="AH28" i="31"/>
  <c r="AH43" i="31" s="1"/>
  <c r="AH24" i="31"/>
  <c r="AH20" i="31"/>
  <c r="AH16" i="31"/>
  <c r="AH12" i="31"/>
  <c r="AH9" i="31"/>
  <c r="AH5" i="31"/>
  <c r="AH4" i="31"/>
  <c r="AH40" i="31" s="1"/>
  <c r="AK28" i="31"/>
  <c r="AK43" i="31" s="1"/>
  <c r="AK24" i="31"/>
  <c r="AK20" i="31"/>
  <c r="AK16" i="31"/>
  <c r="AK12" i="31"/>
  <c r="AK9" i="31"/>
  <c r="AK5" i="31"/>
  <c r="AK11" i="31"/>
  <c r="AK39" i="31" s="1"/>
  <c r="AK7" i="31"/>
  <c r="AK29" i="31"/>
  <c r="AK25" i="31"/>
  <c r="AK21" i="31"/>
  <c r="AK17" i="31"/>
  <c r="AK13" i="31"/>
  <c r="AK33" i="31" s="1"/>
  <c r="AK10" i="31"/>
  <c r="AK46" i="31" s="1"/>
  <c r="AK45" i="31" s="1"/>
  <c r="AK6" i="31"/>
  <c r="AK47" i="31" s="1"/>
  <c r="AK2" i="31"/>
  <c r="AK38" i="31" s="1"/>
  <c r="AK14" i="31"/>
  <c r="AK34" i="31" s="1"/>
  <c r="AK3" i="31"/>
  <c r="AK32" i="31" s="1"/>
  <c r="AK30" i="31"/>
  <c r="AK35" i="31" s="1"/>
  <c r="AK26" i="31"/>
  <c r="AK36" i="31" s="1"/>
  <c r="AK22" i="31"/>
  <c r="AK37" i="31" s="1"/>
  <c r="AK18" i="31"/>
  <c r="AK27" i="31"/>
  <c r="AK23" i="31"/>
  <c r="AK49" i="31" s="1"/>
  <c r="AK19" i="31"/>
  <c r="AK42" i="31" s="1"/>
  <c r="AK15" i="31"/>
  <c r="AK44" i="31" s="1"/>
  <c r="AK8" i="31"/>
  <c r="AK41" i="31" s="1"/>
  <c r="AK4" i="31"/>
  <c r="AK40" i="31" s="1"/>
  <c r="AO28" i="31"/>
  <c r="AO43" i="31" s="1"/>
  <c r="AO24" i="31"/>
  <c r="AO20" i="31"/>
  <c r="AO16" i="31"/>
  <c r="AO12" i="31"/>
  <c r="AO9" i="31"/>
  <c r="AO5" i="31"/>
  <c r="AO29" i="31"/>
  <c r="AO25" i="31"/>
  <c r="AO21" i="31"/>
  <c r="AO17" i="31"/>
  <c r="AO13" i="31"/>
  <c r="AO33" i="31" s="1"/>
  <c r="AO10" i="31"/>
  <c r="AO46" i="31" s="1"/>
  <c r="AO6" i="31"/>
  <c r="AO47" i="31" s="1"/>
  <c r="AO2" i="31"/>
  <c r="AO38" i="31" s="1"/>
  <c r="AO30" i="31"/>
  <c r="AO35" i="31" s="1"/>
  <c r="AO26" i="31"/>
  <c r="AO36" i="31" s="1"/>
  <c r="AO22" i="31"/>
  <c r="AO37" i="31" s="1"/>
  <c r="AO18" i="31"/>
  <c r="AO14" i="31"/>
  <c r="AO34" i="31" s="1"/>
  <c r="AO11" i="31"/>
  <c r="AO39" i="31" s="1"/>
  <c r="AO7" i="31"/>
  <c r="AO3" i="31"/>
  <c r="AO32" i="31" s="1"/>
  <c r="AO27" i="31"/>
  <c r="AO23" i="31"/>
  <c r="AO49" i="31" s="1"/>
  <c r="AO19" i="31"/>
  <c r="AO42" i="31" s="1"/>
  <c r="AO15" i="31"/>
  <c r="AO44" i="31" s="1"/>
  <c r="AO8" i="31"/>
  <c r="AO41" i="31" s="1"/>
  <c r="AO4" i="31"/>
  <c r="AO40" i="31" s="1"/>
  <c r="AS28" i="31"/>
  <c r="AS43" i="31" s="1"/>
  <c r="AS24" i="31"/>
  <c r="AS20" i="31"/>
  <c r="AS16" i="31"/>
  <c r="AS12" i="31"/>
  <c r="AS9" i="31"/>
  <c r="AS5" i="31"/>
  <c r="AS29" i="31"/>
  <c r="AS25" i="31"/>
  <c r="AS21" i="31"/>
  <c r="AS17" i="31"/>
  <c r="AS13" i="31"/>
  <c r="AS33" i="31" s="1"/>
  <c r="AS10" i="31"/>
  <c r="AS46" i="31" s="1"/>
  <c r="AS6" i="31"/>
  <c r="AS47" i="31" s="1"/>
  <c r="AS2" i="31"/>
  <c r="AS38" i="31" s="1"/>
  <c r="AS30" i="31"/>
  <c r="AS35" i="31" s="1"/>
  <c r="AS26" i="31"/>
  <c r="AS36" i="31" s="1"/>
  <c r="AS22" i="31"/>
  <c r="AS37" i="31" s="1"/>
  <c r="AS18" i="31"/>
  <c r="AS14" i="31"/>
  <c r="AS34" i="31" s="1"/>
  <c r="AS27" i="31"/>
  <c r="AS23" i="31"/>
  <c r="AS49" i="31" s="1"/>
  <c r="AS19" i="31"/>
  <c r="AS42" i="31" s="1"/>
  <c r="AS15" i="31"/>
  <c r="AS44" i="31" s="1"/>
  <c r="AS8" i="31"/>
  <c r="AS41" i="31" s="1"/>
  <c r="AS4" i="31"/>
  <c r="AS40" i="31" s="1"/>
  <c r="AS11" i="31"/>
  <c r="AS39" i="31" s="1"/>
  <c r="AS7" i="31"/>
  <c r="AS3" i="31"/>
  <c r="AS32" i="31" s="1"/>
  <c r="AS31" i="31" s="1"/>
  <c r="AV27" i="31"/>
  <c r="AV23" i="31"/>
  <c r="AV49" i="31" s="1"/>
  <c r="AV19" i="31"/>
  <c r="AV42" i="31" s="1"/>
  <c r="AV15" i="31"/>
  <c r="AV44" i="31" s="1"/>
  <c r="AV8" i="31"/>
  <c r="AV41" i="31" s="1"/>
  <c r="AV4" i="31"/>
  <c r="AV40" i="31" s="1"/>
  <c r="AV13" i="31"/>
  <c r="AV33" i="31" s="1"/>
  <c r="AV28" i="31"/>
  <c r="AV43" i="31" s="1"/>
  <c r="AV24" i="31"/>
  <c r="AV20" i="31"/>
  <c r="AV16" i="31"/>
  <c r="AV12" i="31"/>
  <c r="AV9" i="31"/>
  <c r="AV5" i="31"/>
  <c r="AV29" i="31"/>
  <c r="AV25" i="31"/>
  <c r="AV21" i="31"/>
  <c r="AV17" i="31"/>
  <c r="AV10" i="31"/>
  <c r="AV46" i="31" s="1"/>
  <c r="AV45" i="31" s="1"/>
  <c r="AV6" i="31"/>
  <c r="AV47" i="31" s="1"/>
  <c r="AV2" i="31"/>
  <c r="AV38" i="31" s="1"/>
  <c r="AV30" i="31"/>
  <c r="AV35" i="31" s="1"/>
  <c r="AV26" i="31"/>
  <c r="AV36" i="31" s="1"/>
  <c r="AV22" i="31"/>
  <c r="AV37" i="31" s="1"/>
  <c r="AV18" i="31"/>
  <c r="AV14" i="31"/>
  <c r="AV34" i="31" s="1"/>
  <c r="AV11" i="31"/>
  <c r="AV39" i="31" s="1"/>
  <c r="AV7" i="31"/>
  <c r="AV3" i="31"/>
  <c r="AV32" i="31" s="1"/>
  <c r="CA13" i="31"/>
  <c r="CA12" i="31"/>
  <c r="CA11" i="31"/>
  <c r="CA10" i="31"/>
  <c r="CA9" i="31"/>
  <c r="CA8" i="31"/>
  <c r="CA7" i="31"/>
  <c r="CA6" i="31"/>
  <c r="CA5" i="31"/>
  <c r="CA4" i="31"/>
  <c r="CA3" i="31"/>
  <c r="CA30" i="31"/>
  <c r="CA28" i="31"/>
  <c r="CA26" i="31"/>
  <c r="CA24" i="31"/>
  <c r="CA22" i="31"/>
  <c r="CA20" i="31"/>
  <c r="CA18" i="31"/>
  <c r="CA16" i="31"/>
  <c r="CA14" i="31"/>
  <c r="CA2" i="31"/>
  <c r="CA27" i="31"/>
  <c r="CA23" i="31"/>
  <c r="CA19" i="31"/>
  <c r="CA15" i="31"/>
  <c r="CA25" i="31"/>
  <c r="CA17" i="31"/>
  <c r="CA29" i="31"/>
  <c r="CA21" i="31"/>
  <c r="CA2" i="30"/>
  <c r="BB2" i="30"/>
  <c r="CB30" i="31"/>
  <c r="CB35" i="31" s="1"/>
  <c r="CB29" i="31"/>
  <c r="CB28" i="31"/>
  <c r="CB43" i="31" s="1"/>
  <c r="CB27" i="31"/>
  <c r="CB26" i="31"/>
  <c r="CB36" i="31" s="1"/>
  <c r="CB25" i="31"/>
  <c r="CB24" i="31"/>
  <c r="CB23" i="31"/>
  <c r="CB49" i="31" s="1"/>
  <c r="CB22" i="31"/>
  <c r="CB37" i="31" s="1"/>
  <c r="CB21" i="31"/>
  <c r="CB20" i="31"/>
  <c r="CB19" i="31"/>
  <c r="CB42" i="31" s="1"/>
  <c r="CB18" i="31"/>
  <c r="CB17" i="31"/>
  <c r="CB16" i="31"/>
  <c r="CB15" i="31"/>
  <c r="CB44" i="31" s="1"/>
  <c r="CB14" i="31"/>
  <c r="CB34" i="31" s="1"/>
  <c r="CB13" i="31"/>
  <c r="CB33" i="31" s="1"/>
  <c r="CB12" i="31"/>
  <c r="CB11" i="31"/>
  <c r="CB39" i="31" s="1"/>
  <c r="CB10" i="31"/>
  <c r="CB46" i="31" s="1"/>
  <c r="CB45" i="31" s="1"/>
  <c r="CB9" i="31"/>
  <c r="CB8" i="31"/>
  <c r="CB41" i="31" s="1"/>
  <c r="CB7" i="31"/>
  <c r="CB6" i="31"/>
  <c r="CB47" i="31" s="1"/>
  <c r="CB5" i="31"/>
  <c r="CB4" i="31"/>
  <c r="CB40" i="31" s="1"/>
  <c r="CB3" i="31"/>
  <c r="CB32" i="31" s="1"/>
  <c r="CB2" i="31"/>
  <c r="CB38" i="31" s="1"/>
  <c r="CB2" i="30"/>
  <c r="CB38" i="30" s="1"/>
  <c r="BC2" i="30"/>
  <c r="BC38" i="30" s="1"/>
  <c r="CF30" i="31"/>
  <c r="CF35" i="31" s="1"/>
  <c r="CF29" i="31"/>
  <c r="CF28" i="31"/>
  <c r="CF43" i="31" s="1"/>
  <c r="CF27" i="31"/>
  <c r="CF26" i="31"/>
  <c r="CF36" i="31" s="1"/>
  <c r="CF25" i="31"/>
  <c r="CF24" i="31"/>
  <c r="CF23" i="31"/>
  <c r="CF49" i="31" s="1"/>
  <c r="CF22" i="31"/>
  <c r="CF37" i="31" s="1"/>
  <c r="CF21" i="31"/>
  <c r="CF20" i="31"/>
  <c r="CF19" i="31"/>
  <c r="CF42" i="31" s="1"/>
  <c r="CF18" i="31"/>
  <c r="CF17" i="31"/>
  <c r="CF16" i="31"/>
  <c r="CF15" i="31"/>
  <c r="CF44" i="31" s="1"/>
  <c r="CF14" i="31"/>
  <c r="CF34" i="31" s="1"/>
  <c r="CF13" i="31"/>
  <c r="CF33" i="31" s="1"/>
  <c r="CF12" i="31"/>
  <c r="CF11" i="31"/>
  <c r="CF39" i="31" s="1"/>
  <c r="CF10" i="31"/>
  <c r="CF46" i="31" s="1"/>
  <c r="CF45" i="31" s="1"/>
  <c r="CF9" i="31"/>
  <c r="CF8" i="31"/>
  <c r="CF41" i="31" s="1"/>
  <c r="CF7" i="31"/>
  <c r="CF6" i="31"/>
  <c r="CF47" i="31" s="1"/>
  <c r="CF5" i="31"/>
  <c r="CF4" i="31"/>
  <c r="CF40" i="31" s="1"/>
  <c r="CF3" i="31"/>
  <c r="CF32" i="31" s="1"/>
  <c r="CF2" i="31"/>
  <c r="CF38" i="31" s="1"/>
  <c r="CF2" i="30"/>
  <c r="CF38" i="30" s="1"/>
  <c r="BG2" i="30"/>
  <c r="BG38" i="30" s="1"/>
  <c r="CI13" i="31"/>
  <c r="CI33" i="31" s="1"/>
  <c r="CI12" i="31"/>
  <c r="CI11" i="31"/>
  <c r="CI39" i="31" s="1"/>
  <c r="CI10" i="31"/>
  <c r="CI46" i="31" s="1"/>
  <c r="CI45" i="31" s="1"/>
  <c r="CI9" i="31"/>
  <c r="CI8" i="31"/>
  <c r="CI41" i="31" s="1"/>
  <c r="CI7" i="31"/>
  <c r="CI6" i="31"/>
  <c r="CI47" i="31" s="1"/>
  <c r="CI5" i="31"/>
  <c r="CI4" i="31"/>
  <c r="CI40" i="31" s="1"/>
  <c r="CI3" i="31"/>
  <c r="CI32" i="31" s="1"/>
  <c r="CI2" i="31"/>
  <c r="CI38" i="31" s="1"/>
  <c r="CI29" i="31"/>
  <c r="CI27" i="31"/>
  <c r="CI25" i="31"/>
  <c r="CI23" i="31"/>
  <c r="CI49" i="31" s="1"/>
  <c r="CI21" i="31"/>
  <c r="CI19" i="31"/>
  <c r="CI42" i="31" s="1"/>
  <c r="CI17" i="31"/>
  <c r="CI15" i="31"/>
  <c r="CI44" i="31" s="1"/>
  <c r="CI28" i="31"/>
  <c r="CI43" i="31" s="1"/>
  <c r="CI24" i="31"/>
  <c r="CI20" i="31"/>
  <c r="CI16" i="31"/>
  <c r="CI30" i="31"/>
  <c r="CI35" i="31" s="1"/>
  <c r="CI22" i="31"/>
  <c r="CI37" i="31" s="1"/>
  <c r="CI14" i="31"/>
  <c r="CI34" i="31" s="1"/>
  <c r="CI26" i="31"/>
  <c r="CI36" i="31" s="1"/>
  <c r="CI18" i="31"/>
  <c r="CI2" i="30"/>
  <c r="CI38" i="30" s="1"/>
  <c r="BJ2" i="30"/>
  <c r="BJ38" i="30" s="1"/>
  <c r="CM30" i="31"/>
  <c r="CM35" i="31" s="1"/>
  <c r="CM29" i="31"/>
  <c r="CM28" i="31"/>
  <c r="CM43" i="31" s="1"/>
  <c r="CM27" i="31"/>
  <c r="CM26" i="31"/>
  <c r="CM36" i="31" s="1"/>
  <c r="CM25" i="31"/>
  <c r="CM24" i="31"/>
  <c r="CM23" i="31"/>
  <c r="CM49" i="31" s="1"/>
  <c r="CM22" i="31"/>
  <c r="CM37" i="31" s="1"/>
  <c r="CM21" i="31"/>
  <c r="CM20" i="31"/>
  <c r="CM19" i="31"/>
  <c r="CM42" i="31" s="1"/>
  <c r="CM18" i="31"/>
  <c r="CM17" i="31"/>
  <c r="CM16" i="31"/>
  <c r="CM15" i="31"/>
  <c r="CM44" i="31" s="1"/>
  <c r="CM14" i="31"/>
  <c r="CM34" i="31" s="1"/>
  <c r="CM13" i="31"/>
  <c r="CM33" i="31" s="1"/>
  <c r="CM12" i="31"/>
  <c r="CM11" i="31"/>
  <c r="CM39" i="31" s="1"/>
  <c r="CM10" i="31"/>
  <c r="CM46" i="31" s="1"/>
  <c r="CM9" i="31"/>
  <c r="CM8" i="31"/>
  <c r="CM41" i="31" s="1"/>
  <c r="CM7" i="31"/>
  <c r="CM6" i="31"/>
  <c r="CM47" i="31" s="1"/>
  <c r="CM5" i="31"/>
  <c r="CM4" i="31"/>
  <c r="CM40" i="31" s="1"/>
  <c r="CM3" i="31"/>
  <c r="CM32" i="31" s="1"/>
  <c r="CM2" i="31"/>
  <c r="CM38" i="31" s="1"/>
  <c r="CM2" i="30"/>
  <c r="CM38" i="30" s="1"/>
  <c r="BN2" i="30"/>
  <c r="BN38" i="30" s="1"/>
  <c r="CQ13" i="31"/>
  <c r="CQ33" i="31" s="1"/>
  <c r="CQ12" i="31"/>
  <c r="CQ11" i="31"/>
  <c r="CQ39" i="31" s="1"/>
  <c r="CQ10" i="31"/>
  <c r="CQ46" i="31" s="1"/>
  <c r="CQ9" i="31"/>
  <c r="CQ8" i="31"/>
  <c r="CQ41" i="31" s="1"/>
  <c r="CQ7" i="31"/>
  <c r="CQ6" i="31"/>
  <c r="CQ47" i="31" s="1"/>
  <c r="CQ5" i="31"/>
  <c r="CQ4" i="31"/>
  <c r="CQ40" i="31" s="1"/>
  <c r="CQ3" i="31"/>
  <c r="CQ32" i="31" s="1"/>
  <c r="CQ2" i="31"/>
  <c r="CQ38" i="31" s="1"/>
  <c r="CQ30" i="31"/>
  <c r="CQ35" i="31" s="1"/>
  <c r="CQ28" i="31"/>
  <c r="CQ43" i="31" s="1"/>
  <c r="CQ26" i="31"/>
  <c r="CQ36" i="31" s="1"/>
  <c r="CQ24" i="31"/>
  <c r="CQ22" i="31"/>
  <c r="CQ37" i="31" s="1"/>
  <c r="CQ20" i="31"/>
  <c r="CQ18" i="31"/>
  <c r="CQ16" i="31"/>
  <c r="CQ14" i="31"/>
  <c r="CQ34" i="31" s="1"/>
  <c r="CQ29" i="31"/>
  <c r="CQ25" i="31"/>
  <c r="CQ21" i="31"/>
  <c r="CQ17" i="31"/>
  <c r="CQ27" i="31"/>
  <c r="CQ19" i="31"/>
  <c r="CQ42" i="31" s="1"/>
  <c r="CQ23" i="31"/>
  <c r="CQ49" i="31" s="1"/>
  <c r="CQ15" i="31"/>
  <c r="CQ44" i="31" s="1"/>
  <c r="CQ2" i="30"/>
  <c r="CQ38" i="30" s="1"/>
  <c r="BR2" i="30"/>
  <c r="BR38" i="30" s="1"/>
  <c r="CT30" i="31"/>
  <c r="CT35" i="31" s="1"/>
  <c r="CT29" i="31"/>
  <c r="CT28" i="31"/>
  <c r="CT43" i="31" s="1"/>
  <c r="CT27" i="31"/>
  <c r="CT26" i="31"/>
  <c r="CT36" i="31" s="1"/>
  <c r="CT25" i="31"/>
  <c r="CT24" i="31"/>
  <c r="CT23" i="31"/>
  <c r="CT49" i="31" s="1"/>
  <c r="CT22" i="31"/>
  <c r="CT37" i="31" s="1"/>
  <c r="CT21" i="31"/>
  <c r="CT20" i="31"/>
  <c r="CT19" i="31"/>
  <c r="CT42" i="31" s="1"/>
  <c r="CT18" i="31"/>
  <c r="CT17" i="31"/>
  <c r="CT16" i="31"/>
  <c r="CT15" i="31"/>
  <c r="CT44" i="31" s="1"/>
  <c r="CT14" i="31"/>
  <c r="CT34" i="31" s="1"/>
  <c r="CT13" i="31"/>
  <c r="CT33" i="31" s="1"/>
  <c r="CT10" i="31"/>
  <c r="CT46" i="31" s="1"/>
  <c r="CT45" i="31" s="1"/>
  <c r="CT8" i="31"/>
  <c r="CT41" i="31" s="1"/>
  <c r="CT6" i="31"/>
  <c r="CT47" i="31" s="1"/>
  <c r="CT4" i="31"/>
  <c r="CT40" i="31" s="1"/>
  <c r="CT2" i="31"/>
  <c r="CT38" i="31" s="1"/>
  <c r="CT12" i="31"/>
  <c r="CT9" i="31"/>
  <c r="CT5" i="31"/>
  <c r="CT11" i="31"/>
  <c r="CT39" i="31" s="1"/>
  <c r="CT7" i="31"/>
  <c r="CT3" i="31"/>
  <c r="CT32" i="31" s="1"/>
  <c r="CT2" i="30"/>
  <c r="CT38" i="30" s="1"/>
  <c r="BU2" i="30"/>
  <c r="BU38" i="30" s="1"/>
  <c r="BK29" i="18"/>
  <c r="BK27" i="18"/>
  <c r="BK25" i="18"/>
  <c r="BK23" i="18"/>
  <c r="BK49" i="18" s="1"/>
  <c r="BK21" i="18"/>
  <c r="BK19" i="18"/>
  <c r="BK42" i="18" s="1"/>
  <c r="BK17" i="18"/>
  <c r="BK15" i="18"/>
  <c r="BK44" i="18" s="1"/>
  <c r="BK13" i="18"/>
  <c r="BK33" i="18" s="1"/>
  <c r="BK10" i="18"/>
  <c r="BK46" i="18" s="1"/>
  <c r="BK8" i="18"/>
  <c r="BK41" i="18" s="1"/>
  <c r="BK6" i="18"/>
  <c r="BK47" i="18" s="1"/>
  <c r="BK4" i="18"/>
  <c r="BK40" i="18" s="1"/>
  <c r="BK30" i="18"/>
  <c r="BK35" i="18" s="1"/>
  <c r="BK22" i="18"/>
  <c r="BK37" i="18" s="1"/>
  <c r="BK14" i="18"/>
  <c r="BK34" i="18" s="1"/>
  <c r="BK7" i="18"/>
  <c r="BK24" i="18"/>
  <c r="BK16" i="18"/>
  <c r="BK9" i="18"/>
  <c r="BK26" i="18"/>
  <c r="BK36" i="18" s="1"/>
  <c r="BK18" i="18"/>
  <c r="BK11" i="18"/>
  <c r="BK39" i="18" s="1"/>
  <c r="BK2" i="18"/>
  <c r="BK38" i="18" s="1"/>
  <c r="BK28" i="18"/>
  <c r="BK43" i="18" s="1"/>
  <c r="BK5" i="18"/>
  <c r="BK12" i="18"/>
  <c r="BK20" i="18"/>
  <c r="DC30" i="18"/>
  <c r="DC35" i="18" s="1"/>
  <c r="DC28" i="18"/>
  <c r="DC43" i="18" s="1"/>
  <c r="DC26" i="18"/>
  <c r="DC36" i="18" s="1"/>
  <c r="DC24" i="18"/>
  <c r="DC22" i="18"/>
  <c r="DC37" i="18" s="1"/>
  <c r="DC20" i="18"/>
  <c r="DC18" i="18"/>
  <c r="DC16" i="18"/>
  <c r="DC14" i="18"/>
  <c r="DC34" i="18" s="1"/>
  <c r="DC29" i="18"/>
  <c r="DC27" i="18"/>
  <c r="DC25" i="18"/>
  <c r="DC23" i="18"/>
  <c r="DC49" i="18" s="1"/>
  <c r="DC21" i="18"/>
  <c r="DC19" i="18"/>
  <c r="DC42" i="18" s="1"/>
  <c r="DC17" i="18"/>
  <c r="DC15" i="18"/>
  <c r="DC44" i="18" s="1"/>
  <c r="DC12" i="18"/>
  <c r="DC11" i="18"/>
  <c r="DC39" i="18" s="1"/>
  <c r="DC9" i="18"/>
  <c r="DC7" i="18"/>
  <c r="DC5" i="18"/>
  <c r="DC3" i="18"/>
  <c r="DC32" i="18" s="1"/>
  <c r="DC8" i="18"/>
  <c r="DC41" i="18" s="1"/>
  <c r="DC4" i="18"/>
  <c r="DC40" i="18" s="1"/>
  <c r="DC10" i="18"/>
  <c r="DC46" i="18" s="1"/>
  <c r="DC45" i="18" s="1"/>
  <c r="DC2" i="18"/>
  <c r="DC38" i="18" s="1"/>
  <c r="DC13" i="18"/>
  <c r="DC33" i="18" s="1"/>
  <c r="DC6" i="18"/>
  <c r="DC47" i="18" s="1"/>
  <c r="P29" i="18"/>
  <c r="P27" i="18"/>
  <c r="P25" i="18"/>
  <c r="P23" i="18"/>
  <c r="P49" i="18" s="1"/>
  <c r="P21" i="18"/>
  <c r="P19" i="18"/>
  <c r="P42" i="18" s="1"/>
  <c r="P17" i="18"/>
  <c r="P15" i="18"/>
  <c r="P44" i="18" s="1"/>
  <c r="P13" i="18"/>
  <c r="P33" i="18" s="1"/>
  <c r="P10" i="18"/>
  <c r="P46" i="18" s="1"/>
  <c r="P8" i="18"/>
  <c r="P41" i="18" s="1"/>
  <c r="P6" i="18"/>
  <c r="P47" i="18" s="1"/>
  <c r="P4" i="18"/>
  <c r="P40" i="18" s="1"/>
  <c r="P2" i="18"/>
  <c r="P38" i="18" s="1"/>
  <c r="P30" i="18"/>
  <c r="P35" i="18" s="1"/>
  <c r="P28" i="18"/>
  <c r="P43" i="18" s="1"/>
  <c r="P26" i="18"/>
  <c r="P36" i="18" s="1"/>
  <c r="P24" i="18"/>
  <c r="P22" i="18"/>
  <c r="P37" i="18" s="1"/>
  <c r="P20" i="18"/>
  <c r="P18" i="18"/>
  <c r="P16" i="18"/>
  <c r="P14" i="18"/>
  <c r="P34" i="18" s="1"/>
  <c r="P12" i="18"/>
  <c r="P11" i="18"/>
  <c r="P39" i="18" s="1"/>
  <c r="P9" i="18"/>
  <c r="P7" i="18"/>
  <c r="P5" i="18"/>
  <c r="P3" i="18"/>
  <c r="P32" i="18" s="1"/>
  <c r="BG30" i="18"/>
  <c r="BG35" i="18" s="1"/>
  <c r="BG24" i="18"/>
  <c r="BG23" i="18"/>
  <c r="BG49" i="18" s="1"/>
  <c r="BG16" i="18"/>
  <c r="BG15" i="18"/>
  <c r="BG44" i="18" s="1"/>
  <c r="BG9" i="18"/>
  <c r="BG8" i="18"/>
  <c r="BG41" i="18" s="1"/>
  <c r="BG29" i="18"/>
  <c r="BG26" i="18"/>
  <c r="BG36" i="18" s="1"/>
  <c r="BG25" i="18"/>
  <c r="BG18" i="18"/>
  <c r="BG17" i="18"/>
  <c r="BG11" i="18"/>
  <c r="BG39" i="18" s="1"/>
  <c r="BG10" i="18"/>
  <c r="BG46" i="18" s="1"/>
  <c r="BG2" i="18"/>
  <c r="BG38" i="18" s="1"/>
  <c r="BG28" i="18"/>
  <c r="BG43" i="18" s="1"/>
  <c r="BG27" i="18"/>
  <c r="BG20" i="18"/>
  <c r="BG19" i="18"/>
  <c r="BG42" i="18" s="1"/>
  <c r="BG12" i="18"/>
  <c r="BG5" i="18"/>
  <c r="BG4" i="18"/>
  <c r="BG40" i="18" s="1"/>
  <c r="BG21" i="18"/>
  <c r="BG7" i="18"/>
  <c r="BG14" i="18"/>
  <c r="BG34" i="18" s="1"/>
  <c r="BG22" i="18"/>
  <c r="BG37" i="18" s="1"/>
  <c r="BG6" i="18"/>
  <c r="BG47" i="18" s="1"/>
  <c r="BG13" i="18"/>
  <c r="BG33" i="18" s="1"/>
  <c r="CY28" i="18"/>
  <c r="CY43" i="18" s="1"/>
  <c r="CY24" i="18"/>
  <c r="CY20" i="18"/>
  <c r="CY16" i="18"/>
  <c r="CY27" i="18"/>
  <c r="CY23" i="18"/>
  <c r="CY49" i="18" s="1"/>
  <c r="CY19" i="18"/>
  <c r="CY42" i="18" s="1"/>
  <c r="CY15" i="18"/>
  <c r="CY44" i="18" s="1"/>
  <c r="CY13" i="18"/>
  <c r="CY33" i="18" s="1"/>
  <c r="CY10" i="18"/>
  <c r="CY46" i="18" s="1"/>
  <c r="CY8" i="18"/>
  <c r="CY41" i="18" s="1"/>
  <c r="CY6" i="18"/>
  <c r="CY47" i="18" s="1"/>
  <c r="CY4" i="18"/>
  <c r="CY40" i="18" s="1"/>
  <c r="CY2" i="18"/>
  <c r="CY38" i="18" s="1"/>
  <c r="CY26" i="18"/>
  <c r="CY36" i="18" s="1"/>
  <c r="CY18" i="18"/>
  <c r="CY29" i="18"/>
  <c r="CY21" i="18"/>
  <c r="CY11" i="18"/>
  <c r="CY39" i="18" s="1"/>
  <c r="CY7" i="18"/>
  <c r="CY3" i="18"/>
  <c r="CY32" i="18" s="1"/>
  <c r="CY30" i="18"/>
  <c r="CY35" i="18" s="1"/>
  <c r="CY14" i="18"/>
  <c r="CY34" i="18" s="1"/>
  <c r="CY17" i="18"/>
  <c r="CY12" i="18"/>
  <c r="CY5" i="18"/>
  <c r="CY25" i="18"/>
  <c r="CY9" i="18"/>
  <c r="CY22" i="18"/>
  <c r="CY37" i="18" s="1"/>
  <c r="Q30" i="18"/>
  <c r="Q35" i="18" s="1"/>
  <c r="Q28" i="18"/>
  <c r="Q43" i="18" s="1"/>
  <c r="Q26" i="18"/>
  <c r="Q36" i="18" s="1"/>
  <c r="Q24" i="18"/>
  <c r="Q22" i="18"/>
  <c r="Q37" i="18" s="1"/>
  <c r="Q20" i="18"/>
  <c r="Q18" i="18"/>
  <c r="Q16" i="18"/>
  <c r="Q14" i="18"/>
  <c r="Q34" i="18" s="1"/>
  <c r="Q12" i="18"/>
  <c r="Q11" i="18"/>
  <c r="Q39" i="18" s="1"/>
  <c r="Q9" i="18"/>
  <c r="Q7" i="18"/>
  <c r="Q5" i="18"/>
  <c r="Q3" i="18"/>
  <c r="Q32" i="18" s="1"/>
  <c r="Q29" i="18"/>
  <c r="Q21" i="18"/>
  <c r="Q13" i="18"/>
  <c r="Q33" i="18" s="1"/>
  <c r="Q6" i="18"/>
  <c r="Q47" i="18" s="1"/>
  <c r="Q27" i="18"/>
  <c r="Q19" i="18"/>
  <c r="Q42" i="18" s="1"/>
  <c r="Q4" i="18"/>
  <c r="Q40" i="18" s="1"/>
  <c r="Q15" i="18"/>
  <c r="Q44" i="18" s="1"/>
  <c r="Q8" i="18"/>
  <c r="Q41" i="18" s="1"/>
  <c r="Q25" i="18"/>
  <c r="Q17" i="18"/>
  <c r="Q10" i="18"/>
  <c r="Q46" i="18" s="1"/>
  <c r="Q2" i="18"/>
  <c r="Q38" i="18" s="1"/>
  <c r="Q23" i="18"/>
  <c r="Q49" i="18" s="1"/>
  <c r="DL30" i="18"/>
  <c r="DL35" i="18" s="1"/>
  <c r="DN35" i="18" s="1"/>
  <c r="DL26" i="18"/>
  <c r="DL36" i="18" s="1"/>
  <c r="DN36" i="18" s="1"/>
  <c r="DL22" i="18"/>
  <c r="DL37" i="18" s="1"/>
  <c r="DN37" i="18" s="1"/>
  <c r="DL18" i="18"/>
  <c r="DL14" i="18"/>
  <c r="DL34" i="18" s="1"/>
  <c r="DL11" i="18"/>
  <c r="DL39" i="18" s="1"/>
  <c r="DN39" i="18" s="1"/>
  <c r="DL7" i="18"/>
  <c r="DL3" i="18"/>
  <c r="DL32" i="18" s="1"/>
  <c r="CU30" i="18"/>
  <c r="CU35" i="18" s="1"/>
  <c r="DL29" i="18"/>
  <c r="DL25" i="18"/>
  <c r="DL21" i="18"/>
  <c r="DL17" i="18"/>
  <c r="DL13" i="18"/>
  <c r="DL33" i="18" s="1"/>
  <c r="DN33" i="18" s="1"/>
  <c r="DL10" i="18"/>
  <c r="DL46" i="18" s="1"/>
  <c r="DL6" i="18"/>
  <c r="DL47" i="18" s="1"/>
  <c r="DN47" i="18" s="1"/>
  <c r="DL2" i="18"/>
  <c r="DL38" i="18" s="1"/>
  <c r="DL28" i="18"/>
  <c r="DL43" i="18" s="1"/>
  <c r="DN43" i="18" s="1"/>
  <c r="DL20" i="18"/>
  <c r="DL12" i="18"/>
  <c r="DL5" i="18"/>
  <c r="CU28" i="18"/>
  <c r="CU43" i="18" s="1"/>
  <c r="CU25" i="18"/>
  <c r="CU21" i="18"/>
  <c r="CU17" i="18"/>
  <c r="CU13" i="18"/>
  <c r="CU33" i="18" s="1"/>
  <c r="CU10" i="18"/>
  <c r="CU46" i="18" s="1"/>
  <c r="CU45" i="18" s="1"/>
  <c r="CU6" i="18"/>
  <c r="CU47" i="18" s="1"/>
  <c r="DL27" i="18"/>
  <c r="DL19" i="18"/>
  <c r="DL42" i="18" s="1"/>
  <c r="DL4" i="18"/>
  <c r="DL40" i="18" s="1"/>
  <c r="DN40" i="18" s="1"/>
  <c r="CU26" i="18"/>
  <c r="CU36" i="18" s="1"/>
  <c r="CU22" i="18"/>
  <c r="CU37" i="18" s="1"/>
  <c r="CU18" i="18"/>
  <c r="CU14" i="18"/>
  <c r="CU34" i="18" s="1"/>
  <c r="CU11" i="18"/>
  <c r="CU39" i="18" s="1"/>
  <c r="CU7" i="18"/>
  <c r="CU3" i="18"/>
  <c r="CU32" i="18" s="1"/>
  <c r="DL24" i="18"/>
  <c r="DL9" i="18"/>
  <c r="CU27" i="18"/>
  <c r="CU19" i="18"/>
  <c r="CU42" i="18" s="1"/>
  <c r="CU4" i="18"/>
  <c r="CU40" i="18" s="1"/>
  <c r="DL23" i="18"/>
  <c r="DL49" i="18" s="1"/>
  <c r="DL8" i="18"/>
  <c r="DL41" i="18" s="1"/>
  <c r="CU24" i="18"/>
  <c r="CU16" i="18"/>
  <c r="CU9" i="18"/>
  <c r="CU23" i="18"/>
  <c r="CU49" i="18" s="1"/>
  <c r="CU8" i="18"/>
  <c r="CU41" i="18" s="1"/>
  <c r="CU29" i="18"/>
  <c r="CU12" i="18"/>
  <c r="CU15" i="18"/>
  <c r="CU44" i="18" s="1"/>
  <c r="CU5" i="18"/>
  <c r="DL16" i="18"/>
  <c r="DL15" i="18"/>
  <c r="DL44" i="18" s="1"/>
  <c r="DN44" i="18" s="1"/>
  <c r="CU20" i="18"/>
  <c r="CU2" i="18"/>
  <c r="CU38" i="18" s="1"/>
  <c r="BC30" i="18"/>
  <c r="BC35" i="18" s="1"/>
  <c r="BC26" i="18"/>
  <c r="BC36" i="18" s="1"/>
  <c r="BC22" i="18"/>
  <c r="BC37" i="18" s="1"/>
  <c r="BC18" i="18"/>
  <c r="BC14" i="18"/>
  <c r="BC34" i="18" s="1"/>
  <c r="BC11" i="18"/>
  <c r="BC39" i="18" s="1"/>
  <c r="BC7" i="18"/>
  <c r="BC3" i="18"/>
  <c r="BC32" i="18" s="1"/>
  <c r="BC29" i="18"/>
  <c r="BC25" i="18"/>
  <c r="BC21" i="18"/>
  <c r="BC17" i="18"/>
  <c r="BC13" i="18"/>
  <c r="BC33" i="18" s="1"/>
  <c r="BC10" i="18"/>
  <c r="BC46" i="18" s="1"/>
  <c r="BC6" i="18"/>
  <c r="BC47" i="18" s="1"/>
  <c r="BC2" i="18"/>
  <c r="BC38" i="18" s="1"/>
  <c r="BC28" i="18"/>
  <c r="BC43" i="18" s="1"/>
  <c r="BC24" i="18"/>
  <c r="BC20" i="18"/>
  <c r="BC16" i="18"/>
  <c r="BC12" i="18"/>
  <c r="BC9" i="18"/>
  <c r="BC5" i="18"/>
  <c r="BC15" i="18"/>
  <c r="BC44" i="18" s="1"/>
  <c r="BC27" i="18"/>
  <c r="BC23" i="18"/>
  <c r="BC49" i="18" s="1"/>
  <c r="BC8" i="18"/>
  <c r="BC41" i="18" s="1"/>
  <c r="BC19" i="18"/>
  <c r="BC42" i="18" s="1"/>
  <c r="BC4" i="18"/>
  <c r="BC40" i="18" s="1"/>
  <c r="AO30" i="5"/>
  <c r="AO35" i="5" s="1"/>
  <c r="AO27" i="5"/>
  <c r="AO25" i="5"/>
  <c r="AO22" i="5"/>
  <c r="AO37" i="5" s="1"/>
  <c r="AO18" i="5"/>
  <c r="AO15" i="5"/>
  <c r="AO44" i="5" s="1"/>
  <c r="AO12" i="5"/>
  <c r="AO5" i="5"/>
  <c r="AO2" i="5"/>
  <c r="AO38" i="5" s="1"/>
  <c r="AB29" i="5"/>
  <c r="AB20" i="5"/>
  <c r="AB17" i="5"/>
  <c r="AB14" i="5"/>
  <c r="AB34" i="5" s="1"/>
  <c r="AB7" i="5"/>
  <c r="AB4" i="5"/>
  <c r="AB40" i="5" s="1"/>
  <c r="AO29" i="5"/>
  <c r="AO20" i="5"/>
  <c r="AO17" i="5"/>
  <c r="AO14" i="5"/>
  <c r="AO34" i="5" s="1"/>
  <c r="AO7" i="5"/>
  <c r="AO4" i="5"/>
  <c r="AO40" i="5" s="1"/>
  <c r="AB28" i="5"/>
  <c r="AB43" i="5" s="1"/>
  <c r="AB26" i="5"/>
  <c r="AB36" i="5" s="1"/>
  <c r="AB24" i="5"/>
  <c r="AB19" i="5"/>
  <c r="AB42" i="5" s="1"/>
  <c r="AB11" i="5"/>
  <c r="AB39" i="5" s="1"/>
  <c r="AB9" i="5"/>
  <c r="AB6" i="5"/>
  <c r="AB47" i="5" s="1"/>
  <c r="AB3" i="5"/>
  <c r="AB32" i="5" s="1"/>
  <c r="AO28" i="5"/>
  <c r="AO43" i="5" s="1"/>
  <c r="AO26" i="5"/>
  <c r="AO36" i="5" s="1"/>
  <c r="AO24" i="5"/>
  <c r="AO19" i="5"/>
  <c r="AO42" i="5" s="1"/>
  <c r="AO11" i="5"/>
  <c r="AO39" i="5" s="1"/>
  <c r="AO9" i="5"/>
  <c r="AO6" i="5"/>
  <c r="AO47" i="5" s="1"/>
  <c r="AO3" i="5"/>
  <c r="AO32" i="5" s="1"/>
  <c r="AB23" i="5"/>
  <c r="AB49" i="5" s="1"/>
  <c r="AB21" i="5"/>
  <c r="AB16" i="5"/>
  <c r="AB13" i="5"/>
  <c r="AB33" i="5" s="1"/>
  <c r="AB10" i="5"/>
  <c r="AB46" i="5" s="1"/>
  <c r="AB45" i="5" s="1"/>
  <c r="AB8" i="5"/>
  <c r="AB41" i="5" s="1"/>
  <c r="AO23" i="5"/>
  <c r="AO49" i="5" s="1"/>
  <c r="AO21" i="5"/>
  <c r="AO16" i="5"/>
  <c r="AO13" i="5"/>
  <c r="AO33" i="5" s="1"/>
  <c r="AO10" i="5"/>
  <c r="AO46" i="5" s="1"/>
  <c r="AO45" i="5" s="1"/>
  <c r="AO8" i="5"/>
  <c r="AO41" i="5" s="1"/>
  <c r="AB30" i="5"/>
  <c r="AB35" i="5" s="1"/>
  <c r="AB27" i="5"/>
  <c r="AB25" i="5"/>
  <c r="AB22" i="5"/>
  <c r="AB37" i="5" s="1"/>
  <c r="AB18" i="5"/>
  <c r="AB15" i="5"/>
  <c r="AB44" i="5" s="1"/>
  <c r="AB12" i="5"/>
  <c r="AB5" i="5"/>
  <c r="AB2" i="5"/>
  <c r="AB38" i="5" s="1"/>
  <c r="AI30" i="5"/>
  <c r="AI35" i="5" s="1"/>
  <c r="AI27" i="5"/>
  <c r="AI25" i="5"/>
  <c r="AI22" i="5"/>
  <c r="AI37" i="5" s="1"/>
  <c r="AI18" i="5"/>
  <c r="AI15" i="5"/>
  <c r="AI44" i="5" s="1"/>
  <c r="AI12" i="5"/>
  <c r="AI5" i="5"/>
  <c r="AI2" i="5"/>
  <c r="AI38" i="5" s="1"/>
  <c r="AI29" i="5"/>
  <c r="AI20" i="5"/>
  <c r="AI17" i="5"/>
  <c r="AI14" i="5"/>
  <c r="AI34" i="5" s="1"/>
  <c r="AI7" i="5"/>
  <c r="AI4" i="5"/>
  <c r="AI40" i="5" s="1"/>
  <c r="AI28" i="5"/>
  <c r="AI43" i="5" s="1"/>
  <c r="AI26" i="5"/>
  <c r="AI36" i="5" s="1"/>
  <c r="AI24" i="5"/>
  <c r="AI19" i="5"/>
  <c r="AI42" i="5" s="1"/>
  <c r="AI11" i="5"/>
  <c r="AI39" i="5" s="1"/>
  <c r="AI9" i="5"/>
  <c r="AI6" i="5"/>
  <c r="AI47" i="5" s="1"/>
  <c r="AI3" i="5"/>
  <c r="AI32" i="5" s="1"/>
  <c r="AI23" i="5"/>
  <c r="AI49" i="5" s="1"/>
  <c r="AI21" i="5"/>
  <c r="AI16" i="5"/>
  <c r="AI13" i="5"/>
  <c r="AI33" i="5" s="1"/>
  <c r="AI10" i="5"/>
  <c r="AI46" i="5" s="1"/>
  <c r="AI8" i="5"/>
  <c r="AI41" i="5" s="1"/>
  <c r="AE30" i="31"/>
  <c r="AE35" i="31" s="1"/>
  <c r="AE26" i="31"/>
  <c r="AE36" i="31" s="1"/>
  <c r="AE22" i="31"/>
  <c r="AE37" i="31" s="1"/>
  <c r="AE18" i="31"/>
  <c r="AE14" i="31"/>
  <c r="AE34" i="31" s="1"/>
  <c r="AE11" i="31"/>
  <c r="AE39" i="31" s="1"/>
  <c r="AE7" i="31"/>
  <c r="AE3" i="31"/>
  <c r="AE32" i="31" s="1"/>
  <c r="AE31" i="31" s="1"/>
  <c r="AE27" i="31"/>
  <c r="AE23" i="31"/>
  <c r="AE49" i="31" s="1"/>
  <c r="AE19" i="31"/>
  <c r="AE42" i="31" s="1"/>
  <c r="AE15" i="31"/>
  <c r="AE44" i="31" s="1"/>
  <c r="AE8" i="31"/>
  <c r="AE41" i="31" s="1"/>
  <c r="AE4" i="31"/>
  <c r="AE40" i="31" s="1"/>
  <c r="AE16" i="31"/>
  <c r="AE28" i="31"/>
  <c r="AE43" i="31" s="1"/>
  <c r="AE24" i="31"/>
  <c r="AE20" i="31"/>
  <c r="AE9" i="31"/>
  <c r="AE5" i="31"/>
  <c r="AE29" i="31"/>
  <c r="AE25" i="31"/>
  <c r="AE21" i="31"/>
  <c r="AE17" i="31"/>
  <c r="AE13" i="31"/>
  <c r="AE33" i="31" s="1"/>
  <c r="AE10" i="31"/>
  <c r="AE46" i="31" s="1"/>
  <c r="AE6" i="31"/>
  <c r="AE47" i="31" s="1"/>
  <c r="AE2" i="31"/>
  <c r="AE38" i="31" s="1"/>
  <c r="AE12" i="31"/>
  <c r="AI30" i="31"/>
  <c r="AI35" i="31" s="1"/>
  <c r="AI26" i="31"/>
  <c r="AI36" i="31" s="1"/>
  <c r="AI22" i="31"/>
  <c r="AI37" i="31" s="1"/>
  <c r="AI18" i="31"/>
  <c r="AI14" i="31"/>
  <c r="AI34" i="31" s="1"/>
  <c r="AI11" i="31"/>
  <c r="AI39" i="31" s="1"/>
  <c r="AI7" i="31"/>
  <c r="AI3" i="31"/>
  <c r="AI32" i="31" s="1"/>
  <c r="AI16" i="31"/>
  <c r="AI5" i="31"/>
  <c r="AI27" i="31"/>
  <c r="AI23" i="31"/>
  <c r="AI49" i="31" s="1"/>
  <c r="AI19" i="31"/>
  <c r="AI42" i="31" s="1"/>
  <c r="AI15" i="31"/>
  <c r="AI44" i="31" s="1"/>
  <c r="AI8" i="31"/>
  <c r="AI41" i="31" s="1"/>
  <c r="AI4" i="31"/>
  <c r="AI40" i="31" s="1"/>
  <c r="AI12" i="31"/>
  <c r="AI9" i="31"/>
  <c r="AI28" i="31"/>
  <c r="AI43" i="31" s="1"/>
  <c r="AI24" i="31"/>
  <c r="AI20" i="31"/>
  <c r="AI29" i="31"/>
  <c r="AI25" i="31"/>
  <c r="AI21" i="31"/>
  <c r="AI17" i="31"/>
  <c r="AI13" i="31"/>
  <c r="AI33" i="31" s="1"/>
  <c r="AI10" i="31"/>
  <c r="AI46" i="31" s="1"/>
  <c r="AI45" i="31" s="1"/>
  <c r="AI6" i="31"/>
  <c r="AI47" i="31" s="1"/>
  <c r="AI2" i="31"/>
  <c r="AI38" i="31" s="1"/>
  <c r="AL29" i="31"/>
  <c r="AL25" i="31"/>
  <c r="AL21" i="31"/>
  <c r="AL17" i="31"/>
  <c r="AL13" i="31"/>
  <c r="AL33" i="31" s="1"/>
  <c r="AL10" i="31"/>
  <c r="AL46" i="31" s="1"/>
  <c r="AL6" i="31"/>
  <c r="AL47" i="31" s="1"/>
  <c r="AL2" i="31"/>
  <c r="AL38" i="31" s="1"/>
  <c r="AL30" i="31"/>
  <c r="AL35" i="31" s="1"/>
  <c r="AL26" i="31"/>
  <c r="AL36" i="31" s="1"/>
  <c r="AL22" i="31"/>
  <c r="AL37" i="31" s="1"/>
  <c r="AL18" i="31"/>
  <c r="AL14" i="31"/>
  <c r="AL34" i="31" s="1"/>
  <c r="AL11" i="31"/>
  <c r="AL39" i="31" s="1"/>
  <c r="AL7" i="31"/>
  <c r="AL3" i="31"/>
  <c r="AL32" i="31" s="1"/>
  <c r="AL27" i="31"/>
  <c r="AL23" i="31"/>
  <c r="AL49" i="31" s="1"/>
  <c r="AL19" i="31"/>
  <c r="AL42" i="31" s="1"/>
  <c r="AL15" i="31"/>
  <c r="AL44" i="31" s="1"/>
  <c r="AL4" i="31"/>
  <c r="AL40" i="31" s="1"/>
  <c r="AL28" i="31"/>
  <c r="AL43" i="31" s="1"/>
  <c r="AL24" i="31"/>
  <c r="AL20" i="31"/>
  <c r="AL16" i="31"/>
  <c r="AL12" i="31"/>
  <c r="AL9" i="31"/>
  <c r="AL5" i="31"/>
  <c r="AL8" i="31"/>
  <c r="AL41" i="31" s="1"/>
  <c r="AP29" i="31"/>
  <c r="AP25" i="31"/>
  <c r="AP21" i="31"/>
  <c r="AP17" i="31"/>
  <c r="AP13" i="31"/>
  <c r="AP33" i="31" s="1"/>
  <c r="AP10" i="31"/>
  <c r="AP46" i="31" s="1"/>
  <c r="AP6" i="31"/>
  <c r="AP47" i="31" s="1"/>
  <c r="AP2" i="31"/>
  <c r="AP38" i="31" s="1"/>
  <c r="AP4" i="31"/>
  <c r="AP40" i="31" s="1"/>
  <c r="AP30" i="31"/>
  <c r="AP35" i="31" s="1"/>
  <c r="AP26" i="31"/>
  <c r="AP36" i="31" s="1"/>
  <c r="AP22" i="31"/>
  <c r="AP37" i="31" s="1"/>
  <c r="AP18" i="31"/>
  <c r="AP14" i="31"/>
  <c r="AP34" i="31" s="1"/>
  <c r="AP11" i="31"/>
  <c r="AP39" i="31" s="1"/>
  <c r="AP7" i="31"/>
  <c r="AP3" i="31"/>
  <c r="AP32" i="31" s="1"/>
  <c r="AP8" i="31"/>
  <c r="AP41" i="31" s="1"/>
  <c r="AP27" i="31"/>
  <c r="AP23" i="31"/>
  <c r="AP49" i="31" s="1"/>
  <c r="AP19" i="31"/>
  <c r="AP42" i="31" s="1"/>
  <c r="AP28" i="31"/>
  <c r="AP43" i="31" s="1"/>
  <c r="AP24" i="31"/>
  <c r="AP20" i="31"/>
  <c r="AP16" i="31"/>
  <c r="AP12" i="31"/>
  <c r="AP9" i="31"/>
  <c r="AP5" i="31"/>
  <c r="AP15" i="31"/>
  <c r="AP44" i="31" s="1"/>
  <c r="AT29" i="31"/>
  <c r="AT25" i="31"/>
  <c r="AT21" i="31"/>
  <c r="AT17" i="31"/>
  <c r="AT13" i="31"/>
  <c r="AT33" i="31" s="1"/>
  <c r="AT10" i="31"/>
  <c r="AT46" i="31" s="1"/>
  <c r="AT6" i="31"/>
  <c r="AT47" i="31" s="1"/>
  <c r="AT2" i="31"/>
  <c r="AT38" i="31" s="1"/>
  <c r="AT8" i="31"/>
  <c r="AT41" i="31" s="1"/>
  <c r="AT30" i="31"/>
  <c r="AT35" i="31" s="1"/>
  <c r="AT26" i="31"/>
  <c r="AT36" i="31" s="1"/>
  <c r="AT22" i="31"/>
  <c r="AT37" i="31" s="1"/>
  <c r="AT18" i="31"/>
  <c r="AT14" i="31"/>
  <c r="AT34" i="31" s="1"/>
  <c r="AT11" i="31"/>
  <c r="AT39" i="31" s="1"/>
  <c r="AT7" i="31"/>
  <c r="AT3" i="31"/>
  <c r="AT32" i="31" s="1"/>
  <c r="AT4" i="31"/>
  <c r="AT40" i="31" s="1"/>
  <c r="AT27" i="31"/>
  <c r="AT23" i="31"/>
  <c r="AT49" i="31" s="1"/>
  <c r="AT19" i="31"/>
  <c r="AT42" i="31" s="1"/>
  <c r="AT15" i="31"/>
  <c r="AT44" i="31" s="1"/>
  <c r="AT28" i="31"/>
  <c r="AT43" i="31" s="1"/>
  <c r="AT24" i="31"/>
  <c r="AT20" i="31"/>
  <c r="AT16" i="31"/>
  <c r="AT12" i="31"/>
  <c r="AT9" i="31"/>
  <c r="AT5" i="31"/>
  <c r="AW28" i="31"/>
  <c r="AW43" i="31" s="1"/>
  <c r="AW24" i="31"/>
  <c r="AW20" i="31"/>
  <c r="AW16" i="31"/>
  <c r="AW12" i="31"/>
  <c r="AW9" i="31"/>
  <c r="AW5" i="31"/>
  <c r="AW3" i="31"/>
  <c r="AW32" i="31" s="1"/>
  <c r="AW29" i="31"/>
  <c r="AW25" i="31"/>
  <c r="AW21" i="31"/>
  <c r="AW17" i="31"/>
  <c r="AW13" i="31"/>
  <c r="AW33" i="31" s="1"/>
  <c r="AW10" i="31"/>
  <c r="AW46" i="31" s="1"/>
  <c r="AW45" i="31" s="1"/>
  <c r="AW6" i="31"/>
  <c r="AW47" i="31" s="1"/>
  <c r="AW2" i="31"/>
  <c r="AW38" i="31" s="1"/>
  <c r="AW11" i="31"/>
  <c r="AW39" i="31" s="1"/>
  <c r="AW7" i="31"/>
  <c r="AW30" i="31"/>
  <c r="AW35" i="31" s="1"/>
  <c r="AW26" i="31"/>
  <c r="AW36" i="31" s="1"/>
  <c r="AW22" i="31"/>
  <c r="AW37" i="31" s="1"/>
  <c r="AW18" i="31"/>
  <c r="AW14" i="31"/>
  <c r="AW34" i="31" s="1"/>
  <c r="AW27" i="31"/>
  <c r="AW23" i="31"/>
  <c r="AW49" i="31" s="1"/>
  <c r="AW19" i="31"/>
  <c r="AW42" i="31" s="1"/>
  <c r="AW15" i="31"/>
  <c r="AW44" i="31" s="1"/>
  <c r="AW8" i="31"/>
  <c r="AW41" i="31" s="1"/>
  <c r="AW4" i="31"/>
  <c r="AW40" i="31" s="1"/>
  <c r="CG30" i="31"/>
  <c r="CG35" i="31" s="1"/>
  <c r="CG31" i="31" s="1"/>
  <c r="CG29" i="31"/>
  <c r="CG28" i="31"/>
  <c r="CG43" i="31" s="1"/>
  <c r="CG27" i="31"/>
  <c r="CG26" i="31"/>
  <c r="CG36" i="31" s="1"/>
  <c r="CG25" i="31"/>
  <c r="CG24" i="31"/>
  <c r="CG23" i="31"/>
  <c r="CG49" i="31" s="1"/>
  <c r="CG22" i="31"/>
  <c r="CG37" i="31" s="1"/>
  <c r="CG21" i="31"/>
  <c r="CG20" i="31"/>
  <c r="CG19" i="31"/>
  <c r="CG42" i="31" s="1"/>
  <c r="CG18" i="31"/>
  <c r="CG17" i="31"/>
  <c r="CG16" i="31"/>
  <c r="CG15" i="31"/>
  <c r="CG44" i="31" s="1"/>
  <c r="CG14" i="31"/>
  <c r="CG34" i="31" s="1"/>
  <c r="CG13" i="31"/>
  <c r="CG33" i="31" s="1"/>
  <c r="CG12" i="31"/>
  <c r="CG11" i="31"/>
  <c r="CG39" i="31" s="1"/>
  <c r="CG10" i="31"/>
  <c r="CG46" i="31" s="1"/>
  <c r="CG9" i="31"/>
  <c r="CG8" i="31"/>
  <c r="CG41" i="31" s="1"/>
  <c r="CG7" i="31"/>
  <c r="CG6" i="31"/>
  <c r="CG47" i="31" s="1"/>
  <c r="CG45" i="31" s="1"/>
  <c r="CG5" i="31"/>
  <c r="CG4" i="31"/>
  <c r="CG40" i="31" s="1"/>
  <c r="CG3" i="31"/>
  <c r="CG32" i="31" s="1"/>
  <c r="CG2" i="31"/>
  <c r="CG38" i="31" s="1"/>
  <c r="CG2" i="30"/>
  <c r="CG38" i="30" s="1"/>
  <c r="BH2" i="30"/>
  <c r="BH38" i="30" s="1"/>
  <c r="CJ30" i="31"/>
  <c r="CJ35" i="31" s="1"/>
  <c r="CJ29" i="31"/>
  <c r="CJ28" i="31"/>
  <c r="CJ43" i="31" s="1"/>
  <c r="CJ27" i="31"/>
  <c r="CJ26" i="31"/>
  <c r="CJ36" i="31" s="1"/>
  <c r="CJ25" i="31"/>
  <c r="CJ24" i="31"/>
  <c r="CJ23" i="31"/>
  <c r="CJ49" i="31" s="1"/>
  <c r="CJ22" i="31"/>
  <c r="CJ37" i="31" s="1"/>
  <c r="CJ21" i="31"/>
  <c r="CJ20" i="31"/>
  <c r="CJ19" i="31"/>
  <c r="CJ42" i="31" s="1"/>
  <c r="CJ18" i="31"/>
  <c r="CJ17" i="31"/>
  <c r="CJ16" i="31"/>
  <c r="CJ15" i="31"/>
  <c r="CJ44" i="31" s="1"/>
  <c r="CJ14" i="31"/>
  <c r="CJ34" i="31" s="1"/>
  <c r="CJ13" i="31"/>
  <c r="CJ33" i="31" s="1"/>
  <c r="CJ12" i="31"/>
  <c r="CJ11" i="31"/>
  <c r="CJ39" i="31" s="1"/>
  <c r="CJ10" i="31"/>
  <c r="CJ46" i="31" s="1"/>
  <c r="CJ9" i="31"/>
  <c r="CJ8" i="31"/>
  <c r="CJ41" i="31" s="1"/>
  <c r="CJ7" i="31"/>
  <c r="CJ6" i="31"/>
  <c r="CJ47" i="31" s="1"/>
  <c r="CJ5" i="31"/>
  <c r="CJ4" i="31"/>
  <c r="CJ40" i="31" s="1"/>
  <c r="CJ3" i="31"/>
  <c r="CJ32" i="31" s="1"/>
  <c r="CJ2" i="31"/>
  <c r="CJ38" i="31" s="1"/>
  <c r="CJ2" i="30"/>
  <c r="CJ38" i="30" s="1"/>
  <c r="BK2" i="30"/>
  <c r="BK38" i="30" s="1"/>
  <c r="CN30" i="31"/>
  <c r="CN35" i="31" s="1"/>
  <c r="CN29" i="31"/>
  <c r="CN28" i="31"/>
  <c r="CN43" i="31" s="1"/>
  <c r="CN27" i="31"/>
  <c r="CN26" i="31"/>
  <c r="CN36" i="31" s="1"/>
  <c r="CN25" i="31"/>
  <c r="CN24" i="31"/>
  <c r="CN23" i="31"/>
  <c r="CN49" i="31" s="1"/>
  <c r="CN22" i="31"/>
  <c r="CN37" i="31" s="1"/>
  <c r="CN21" i="31"/>
  <c r="CN20" i="31"/>
  <c r="CN19" i="31"/>
  <c r="CN42" i="31" s="1"/>
  <c r="CN18" i="31"/>
  <c r="CN17" i="31"/>
  <c r="CN16" i="31"/>
  <c r="CN15" i="31"/>
  <c r="CN44" i="31" s="1"/>
  <c r="CN14" i="31"/>
  <c r="CN34" i="31" s="1"/>
  <c r="CN13" i="31"/>
  <c r="CN33" i="31" s="1"/>
  <c r="CN12" i="31"/>
  <c r="CN11" i="31"/>
  <c r="CN39" i="31" s="1"/>
  <c r="CN10" i="31"/>
  <c r="CN46" i="31" s="1"/>
  <c r="CN45" i="31" s="1"/>
  <c r="CN9" i="31"/>
  <c r="CN8" i="31"/>
  <c r="CN41" i="31" s="1"/>
  <c r="CN7" i="31"/>
  <c r="CN6" i="31"/>
  <c r="CN47" i="31" s="1"/>
  <c r="CN5" i="31"/>
  <c r="CN4" i="31"/>
  <c r="CN40" i="31" s="1"/>
  <c r="CN3" i="31"/>
  <c r="CN32" i="31" s="1"/>
  <c r="CN2" i="31"/>
  <c r="CN38" i="31" s="1"/>
  <c r="CN2" i="30"/>
  <c r="CN38" i="30" s="1"/>
  <c r="BO2" i="30"/>
  <c r="BO38" i="30" s="1"/>
  <c r="CR30" i="31"/>
  <c r="CR35" i="31" s="1"/>
  <c r="CR29" i="31"/>
  <c r="CR28" i="31"/>
  <c r="CR43" i="31" s="1"/>
  <c r="CR27" i="31"/>
  <c r="CR26" i="31"/>
  <c r="CR36" i="31" s="1"/>
  <c r="CR25" i="31"/>
  <c r="CR24" i="31"/>
  <c r="CR23" i="31"/>
  <c r="CR49" i="31" s="1"/>
  <c r="CR22" i="31"/>
  <c r="CR37" i="31" s="1"/>
  <c r="CR21" i="31"/>
  <c r="CR20" i="31"/>
  <c r="CR19" i="31"/>
  <c r="CR42" i="31" s="1"/>
  <c r="CR18" i="31"/>
  <c r="CR17" i="31"/>
  <c r="CR16" i="31"/>
  <c r="CR15" i="31"/>
  <c r="CR44" i="31" s="1"/>
  <c r="CR14" i="31"/>
  <c r="CR34" i="31" s="1"/>
  <c r="CR13" i="31"/>
  <c r="CR33" i="31" s="1"/>
  <c r="CR12" i="31"/>
  <c r="CR11" i="31"/>
  <c r="CR39" i="31" s="1"/>
  <c r="CR10" i="31"/>
  <c r="CR46" i="31" s="1"/>
  <c r="CR45" i="31" s="1"/>
  <c r="CR9" i="31"/>
  <c r="CR8" i="31"/>
  <c r="CR41" i="31" s="1"/>
  <c r="CR7" i="31"/>
  <c r="CR6" i="31"/>
  <c r="CR47" i="31" s="1"/>
  <c r="CR5" i="31"/>
  <c r="CR4" i="31"/>
  <c r="CR40" i="31" s="1"/>
  <c r="CR3" i="31"/>
  <c r="CR32" i="31" s="1"/>
  <c r="CR2" i="31"/>
  <c r="CR38" i="31" s="1"/>
  <c r="CR2" i="30"/>
  <c r="CR38" i="30" s="1"/>
  <c r="BS2" i="30"/>
  <c r="BS38" i="30" s="1"/>
  <c r="CU30" i="31"/>
  <c r="CU35" i="31" s="1"/>
  <c r="CU29" i="31"/>
  <c r="CU28" i="31"/>
  <c r="CU43" i="31" s="1"/>
  <c r="CU27" i="31"/>
  <c r="CU26" i="31"/>
  <c r="CU36" i="31" s="1"/>
  <c r="CU25" i="31"/>
  <c r="CU24" i="31"/>
  <c r="CU23" i="31"/>
  <c r="CU49" i="31" s="1"/>
  <c r="CU22" i="31"/>
  <c r="CU37" i="31" s="1"/>
  <c r="CU21" i="31"/>
  <c r="CU20" i="31"/>
  <c r="CU19" i="31"/>
  <c r="CU42" i="31" s="1"/>
  <c r="CU18" i="31"/>
  <c r="CU17" i="31"/>
  <c r="CU16" i="31"/>
  <c r="CU15" i="31"/>
  <c r="CU44" i="31" s="1"/>
  <c r="CU14" i="31"/>
  <c r="CU34" i="31" s="1"/>
  <c r="CU13" i="31"/>
  <c r="CU33" i="31" s="1"/>
  <c r="CU12" i="31"/>
  <c r="CU11" i="31"/>
  <c r="CU39" i="31" s="1"/>
  <c r="CU10" i="31"/>
  <c r="CU46" i="31" s="1"/>
  <c r="CU45" i="31" s="1"/>
  <c r="CU9" i="31"/>
  <c r="CU8" i="31"/>
  <c r="CU41" i="31" s="1"/>
  <c r="CU7" i="31"/>
  <c r="CU6" i="31"/>
  <c r="CU47" i="31" s="1"/>
  <c r="CU5" i="31"/>
  <c r="CU4" i="31"/>
  <c r="CU40" i="31" s="1"/>
  <c r="CU3" i="31"/>
  <c r="CU32" i="31" s="1"/>
  <c r="CU2" i="31"/>
  <c r="CU38" i="31" s="1"/>
  <c r="CU2" i="30"/>
  <c r="CU38" i="30" s="1"/>
  <c r="BV2" i="30"/>
  <c r="BV38" i="30" s="1"/>
  <c r="BJ29" i="18"/>
  <c r="BJ28" i="18"/>
  <c r="BJ43" i="18" s="1"/>
  <c r="BJ21" i="18"/>
  <c r="BJ20" i="18"/>
  <c r="BJ13" i="18"/>
  <c r="BJ33" i="18" s="1"/>
  <c r="BJ12" i="18"/>
  <c r="BJ6" i="18"/>
  <c r="BJ47" i="18" s="1"/>
  <c r="BJ5" i="18"/>
  <c r="BJ30" i="18"/>
  <c r="BJ35" i="18" s="1"/>
  <c r="BJ23" i="18"/>
  <c r="BJ49" i="18" s="1"/>
  <c r="BJ22" i="18"/>
  <c r="BJ37" i="18" s="1"/>
  <c r="BJ15" i="18"/>
  <c r="BJ44" i="18" s="1"/>
  <c r="BJ14" i="18"/>
  <c r="BJ34" i="18" s="1"/>
  <c r="BJ8" i="18"/>
  <c r="BJ41" i="18" s="1"/>
  <c r="BJ7" i="18"/>
  <c r="BJ25" i="18"/>
  <c r="BJ24" i="18"/>
  <c r="BJ17" i="18"/>
  <c r="BJ16" i="18"/>
  <c r="BJ10" i="18"/>
  <c r="BJ46" i="18" s="1"/>
  <c r="BJ9" i="18"/>
  <c r="BJ19" i="18"/>
  <c r="BJ42" i="18" s="1"/>
  <c r="BJ2" i="18"/>
  <c r="BJ38" i="18" s="1"/>
  <c r="BJ27" i="18"/>
  <c r="BJ11" i="18"/>
  <c r="BJ39" i="18" s="1"/>
  <c r="BJ18" i="18"/>
  <c r="BJ4" i="18"/>
  <c r="BJ40" i="18" s="1"/>
  <c r="BJ26" i="18"/>
  <c r="BJ36" i="18" s="1"/>
  <c r="DB29" i="18"/>
  <c r="DB25" i="18"/>
  <c r="DB21" i="18"/>
  <c r="DB17" i="18"/>
  <c r="DB28" i="18"/>
  <c r="DB43" i="18" s="1"/>
  <c r="DB24" i="18"/>
  <c r="DB20" i="18"/>
  <c r="DB16" i="18"/>
  <c r="DB12" i="18"/>
  <c r="DB11" i="18"/>
  <c r="DB39" i="18" s="1"/>
  <c r="DB9" i="18"/>
  <c r="DB7" i="18"/>
  <c r="DB5" i="18"/>
  <c r="DB3" i="18"/>
  <c r="DB32" i="18" s="1"/>
  <c r="DB23" i="18"/>
  <c r="DB49" i="18" s="1"/>
  <c r="DB15" i="18"/>
  <c r="DB44" i="18" s="1"/>
  <c r="DB26" i="18"/>
  <c r="DB36" i="18" s="1"/>
  <c r="DB18" i="18"/>
  <c r="DB8" i="18"/>
  <c r="DB41" i="18" s="1"/>
  <c r="DB4" i="18"/>
  <c r="DB40" i="18" s="1"/>
  <c r="DB27" i="18"/>
  <c r="DB30" i="18"/>
  <c r="DB35" i="18" s="1"/>
  <c r="DB14" i="18"/>
  <c r="DB34" i="18" s="1"/>
  <c r="DB10" i="18"/>
  <c r="DB46" i="18" s="1"/>
  <c r="DB2" i="18"/>
  <c r="DB38" i="18" s="1"/>
  <c r="DB19" i="18"/>
  <c r="DB42" i="18" s="1"/>
  <c r="DB13" i="18"/>
  <c r="DB33" i="18" s="1"/>
  <c r="DB22" i="18"/>
  <c r="DB37" i="18" s="1"/>
  <c r="DB6" i="18"/>
  <c r="DB47" i="18" s="1"/>
  <c r="O29" i="18"/>
  <c r="O27" i="18"/>
  <c r="O25" i="18"/>
  <c r="O23" i="18"/>
  <c r="O49" i="18" s="1"/>
  <c r="O21" i="18"/>
  <c r="O19" i="18"/>
  <c r="O42" i="18" s="1"/>
  <c r="O17" i="18"/>
  <c r="O15" i="18"/>
  <c r="O44" i="18" s="1"/>
  <c r="O13" i="18"/>
  <c r="O33" i="18" s="1"/>
  <c r="O10" i="18"/>
  <c r="O46" i="18" s="1"/>
  <c r="O8" i="18"/>
  <c r="O41" i="18" s="1"/>
  <c r="O6" i="18"/>
  <c r="O47" i="18" s="1"/>
  <c r="O4" i="18"/>
  <c r="O40" i="18" s="1"/>
  <c r="O2" i="18"/>
  <c r="O38" i="18" s="1"/>
  <c r="O26" i="18"/>
  <c r="O36" i="18" s="1"/>
  <c r="O18" i="18"/>
  <c r="O11" i="18"/>
  <c r="O39" i="18" s="1"/>
  <c r="O3" i="18"/>
  <c r="O32" i="18" s="1"/>
  <c r="O31" i="18" s="1"/>
  <c r="O28" i="18"/>
  <c r="O43" i="18" s="1"/>
  <c r="O20" i="18"/>
  <c r="O12" i="18"/>
  <c r="O24" i="18"/>
  <c r="O16" i="18"/>
  <c r="O9" i="18"/>
  <c r="O5" i="18"/>
  <c r="O30" i="18"/>
  <c r="O35" i="18" s="1"/>
  <c r="O22" i="18"/>
  <c r="O37" i="18" s="1"/>
  <c r="O14" i="18"/>
  <c r="O34" i="18" s="1"/>
  <c r="O7" i="18"/>
  <c r="BL30" i="18"/>
  <c r="BL35" i="18" s="1"/>
  <c r="BL28" i="18"/>
  <c r="BL43" i="18" s="1"/>
  <c r="BL22" i="18"/>
  <c r="BL37" i="18" s="1"/>
  <c r="BL21" i="18"/>
  <c r="BL14" i="18"/>
  <c r="BL34" i="18" s="1"/>
  <c r="BL13" i="18"/>
  <c r="BL33" i="18" s="1"/>
  <c r="BL7" i="18"/>
  <c r="BL6" i="18"/>
  <c r="BL47" i="18" s="1"/>
  <c r="BL24" i="18"/>
  <c r="BL23" i="18"/>
  <c r="BL49" i="18" s="1"/>
  <c r="BL16" i="18"/>
  <c r="BL15" i="18"/>
  <c r="BL44" i="18" s="1"/>
  <c r="BL9" i="18"/>
  <c r="BL8" i="18"/>
  <c r="BL41" i="18" s="1"/>
  <c r="BL26" i="18"/>
  <c r="BL36" i="18" s="1"/>
  <c r="BL25" i="18"/>
  <c r="BL18" i="18"/>
  <c r="BL17" i="18"/>
  <c r="BL11" i="18"/>
  <c r="BL39" i="18" s="1"/>
  <c r="BL10" i="18"/>
  <c r="BL46" i="18" s="1"/>
  <c r="BL45" i="18" s="1"/>
  <c r="BL2" i="18"/>
  <c r="BL38" i="18" s="1"/>
  <c r="BL29" i="18"/>
  <c r="BL27" i="18"/>
  <c r="BL12" i="18"/>
  <c r="BL20" i="18"/>
  <c r="BL4" i="18"/>
  <c r="BL40" i="18" s="1"/>
  <c r="BL19" i="18"/>
  <c r="BL42" i="18" s="1"/>
  <c r="BL5" i="18"/>
  <c r="DD30" i="18"/>
  <c r="DD35" i="18" s="1"/>
  <c r="DD26" i="18"/>
  <c r="DD36" i="18" s="1"/>
  <c r="DD22" i="18"/>
  <c r="DD37" i="18" s="1"/>
  <c r="DD18" i="18"/>
  <c r="DD14" i="18"/>
  <c r="DD34" i="18" s="1"/>
  <c r="DD29" i="18"/>
  <c r="DD25" i="18"/>
  <c r="DD21" i="18"/>
  <c r="DD17" i="18"/>
  <c r="DD13" i="18"/>
  <c r="DD33" i="18" s="1"/>
  <c r="DD10" i="18"/>
  <c r="DD46" i="18" s="1"/>
  <c r="DD8" i="18"/>
  <c r="DD41" i="18" s="1"/>
  <c r="DD6" i="18"/>
  <c r="DD47" i="18" s="1"/>
  <c r="DD4" i="18"/>
  <c r="DD40" i="18" s="1"/>
  <c r="DD2" i="18"/>
  <c r="DD38" i="18" s="1"/>
  <c r="DD24" i="18"/>
  <c r="DD16" i="18"/>
  <c r="DD27" i="18"/>
  <c r="DD19" i="18"/>
  <c r="DD42" i="18" s="1"/>
  <c r="DD12" i="18"/>
  <c r="DD9" i="18"/>
  <c r="DD5" i="18"/>
  <c r="DD20" i="18"/>
  <c r="DD23" i="18"/>
  <c r="DD49" i="18" s="1"/>
  <c r="DD11" i="18"/>
  <c r="DD39" i="18" s="1"/>
  <c r="DD3" i="18"/>
  <c r="DD32" i="18" s="1"/>
  <c r="DD7" i="18"/>
  <c r="DD28" i="18"/>
  <c r="DD43" i="18" s="1"/>
  <c r="DD15" i="18"/>
  <c r="DD44" i="18" s="1"/>
  <c r="U30" i="18"/>
  <c r="U35" i="18" s="1"/>
  <c r="U28" i="18"/>
  <c r="U43" i="18" s="1"/>
  <c r="U26" i="18"/>
  <c r="U36" i="18" s="1"/>
  <c r="U24" i="18"/>
  <c r="U22" i="18"/>
  <c r="U37" i="18" s="1"/>
  <c r="U20" i="18"/>
  <c r="U18" i="18"/>
  <c r="U16" i="18"/>
  <c r="U14" i="18"/>
  <c r="U34" i="18" s="1"/>
  <c r="U12" i="18"/>
  <c r="U11" i="18"/>
  <c r="U39" i="18" s="1"/>
  <c r="U9" i="18"/>
  <c r="U7" i="18"/>
  <c r="U5" i="18"/>
  <c r="U3" i="18"/>
  <c r="U32" i="18" s="1"/>
  <c r="U27" i="18"/>
  <c r="U19" i="18"/>
  <c r="U42" i="18" s="1"/>
  <c r="U4" i="18"/>
  <c r="U40" i="18" s="1"/>
  <c r="U6" i="18"/>
  <c r="U47" i="18" s="1"/>
  <c r="U25" i="18"/>
  <c r="U17" i="18"/>
  <c r="U10" i="18"/>
  <c r="U46" i="18" s="1"/>
  <c r="U45" i="18" s="1"/>
  <c r="U2" i="18"/>
  <c r="U38" i="18" s="1"/>
  <c r="U29" i="18"/>
  <c r="U21" i="18"/>
  <c r="U23" i="18"/>
  <c r="U49" i="18" s="1"/>
  <c r="U15" i="18"/>
  <c r="U44" i="18" s="1"/>
  <c r="U8" i="18"/>
  <c r="U41" i="18" s="1"/>
  <c r="U13" i="18"/>
  <c r="U33" i="18" s="1"/>
  <c r="CT29" i="18"/>
  <c r="CT30" i="18"/>
  <c r="CT35" i="18" s="1"/>
  <c r="CT24" i="18"/>
  <c r="CT20" i="18"/>
  <c r="CT16" i="18"/>
  <c r="CT12" i="18"/>
  <c r="CT9" i="18"/>
  <c r="CT5" i="18"/>
  <c r="CT28" i="18"/>
  <c r="CT43" i="18" s="1"/>
  <c r="CT25" i="18"/>
  <c r="CT21" i="18"/>
  <c r="CT17" i="18"/>
  <c r="CT13" i="18"/>
  <c r="CT33" i="18" s="1"/>
  <c r="CT10" i="18"/>
  <c r="CT46" i="18" s="1"/>
  <c r="CT6" i="18"/>
  <c r="CT47" i="18" s="1"/>
  <c r="CT22" i="18"/>
  <c r="CT37" i="18" s="1"/>
  <c r="CT14" i="18"/>
  <c r="CT34" i="18" s="1"/>
  <c r="CT7" i="18"/>
  <c r="CT27" i="18"/>
  <c r="CT19" i="18"/>
  <c r="CT42" i="18" s="1"/>
  <c r="CT4" i="18"/>
  <c r="CT40" i="18" s="1"/>
  <c r="CT18" i="18"/>
  <c r="CT3" i="18"/>
  <c r="CT32" i="18" s="1"/>
  <c r="CT31" i="18" s="1"/>
  <c r="CT23" i="18"/>
  <c r="CT49" i="18" s="1"/>
  <c r="CT8" i="18"/>
  <c r="CT41" i="18" s="1"/>
  <c r="CT26" i="18"/>
  <c r="CT36" i="18" s="1"/>
  <c r="CT15" i="18"/>
  <c r="CT44" i="18" s="1"/>
  <c r="CT11" i="18"/>
  <c r="CT39" i="18" s="1"/>
  <c r="CT2" i="18"/>
  <c r="CT38" i="18" s="1"/>
  <c r="AF27" i="31"/>
  <c r="AF23" i="31"/>
  <c r="AF49" i="31" s="1"/>
  <c r="AF19" i="31"/>
  <c r="AF42" i="31" s="1"/>
  <c r="AF15" i="31"/>
  <c r="AF44" i="31" s="1"/>
  <c r="AF8" i="31"/>
  <c r="AF41" i="31" s="1"/>
  <c r="AF4" i="31"/>
  <c r="AF40" i="31" s="1"/>
  <c r="AF13" i="31"/>
  <c r="AF33" i="31" s="1"/>
  <c r="AF28" i="31"/>
  <c r="AF43" i="31" s="1"/>
  <c r="AF24" i="31"/>
  <c r="AF20" i="31"/>
  <c r="AF16" i="31"/>
  <c r="AF12" i="31"/>
  <c r="AF9" i="31"/>
  <c r="AF5" i="31"/>
  <c r="AF29" i="31"/>
  <c r="AF25" i="31"/>
  <c r="AF21" i="31"/>
  <c r="AF17" i="31"/>
  <c r="AF10" i="31"/>
  <c r="AF46" i="31" s="1"/>
  <c r="AF45" i="31" s="1"/>
  <c r="AF6" i="31"/>
  <c r="AF47" i="31" s="1"/>
  <c r="AF2" i="31"/>
  <c r="AF38" i="31" s="1"/>
  <c r="AF30" i="31"/>
  <c r="AF35" i="31" s="1"/>
  <c r="AF26" i="31"/>
  <c r="AF36" i="31" s="1"/>
  <c r="AF22" i="31"/>
  <c r="AF37" i="31" s="1"/>
  <c r="AF18" i="31"/>
  <c r="AF14" i="31"/>
  <c r="AF34" i="31" s="1"/>
  <c r="AF11" i="31"/>
  <c r="AF39" i="31" s="1"/>
  <c r="AF7" i="31"/>
  <c r="AF3" i="31"/>
  <c r="AF32" i="31" s="1"/>
  <c r="AZ27" i="31"/>
  <c r="AZ23" i="31"/>
  <c r="AZ49" i="31" s="1"/>
  <c r="AZ19" i="31"/>
  <c r="AZ42" i="31" s="1"/>
  <c r="AZ15" i="31"/>
  <c r="AZ44" i="31" s="1"/>
  <c r="AZ8" i="31"/>
  <c r="AZ41" i="31" s="1"/>
  <c r="AZ4" i="31"/>
  <c r="AZ40" i="31" s="1"/>
  <c r="AZ28" i="31"/>
  <c r="AZ43" i="31" s="1"/>
  <c r="AZ24" i="31"/>
  <c r="AZ20" i="31"/>
  <c r="AZ16" i="31"/>
  <c r="AZ12" i="31"/>
  <c r="AZ9" i="31"/>
  <c r="AZ5" i="31"/>
  <c r="AZ29" i="31"/>
  <c r="AZ25" i="31"/>
  <c r="AZ21" i="31"/>
  <c r="AZ17" i="31"/>
  <c r="AZ13" i="31"/>
  <c r="AZ33" i="31" s="1"/>
  <c r="AZ30" i="31"/>
  <c r="AZ35" i="31" s="1"/>
  <c r="AZ26" i="31"/>
  <c r="AZ36" i="31" s="1"/>
  <c r="AZ22" i="31"/>
  <c r="AZ37" i="31" s="1"/>
  <c r="AZ18" i="31"/>
  <c r="AZ14" i="31"/>
  <c r="AZ34" i="31" s="1"/>
  <c r="AZ11" i="31"/>
  <c r="AZ39" i="31" s="1"/>
  <c r="AZ7" i="31"/>
  <c r="AZ3" i="31"/>
  <c r="AZ32" i="31" s="1"/>
  <c r="AZ10" i="31"/>
  <c r="AZ46" i="31" s="1"/>
  <c r="AZ45" i="31" s="1"/>
  <c r="AZ6" i="31"/>
  <c r="AZ47" i="31" s="1"/>
  <c r="AZ2" i="31"/>
  <c r="AZ38" i="31" s="1"/>
  <c r="AM30" i="31"/>
  <c r="AM35" i="31" s="1"/>
  <c r="AM26" i="31"/>
  <c r="AM36" i="31" s="1"/>
  <c r="AM22" i="31"/>
  <c r="AM37" i="31" s="1"/>
  <c r="AM18" i="31"/>
  <c r="AM14" i="31"/>
  <c r="AM34" i="31" s="1"/>
  <c r="AM11" i="31"/>
  <c r="AM39" i="31" s="1"/>
  <c r="AM7" i="31"/>
  <c r="AM3" i="31"/>
  <c r="AM32" i="31" s="1"/>
  <c r="AM31" i="31" s="1"/>
  <c r="AM12" i="31"/>
  <c r="AM9" i="31"/>
  <c r="AM27" i="31"/>
  <c r="AM23" i="31"/>
  <c r="AM49" i="31" s="1"/>
  <c r="AM19" i="31"/>
  <c r="AM42" i="31" s="1"/>
  <c r="AM15" i="31"/>
  <c r="AM44" i="31" s="1"/>
  <c r="AM8" i="31"/>
  <c r="AM41" i="31" s="1"/>
  <c r="AM4" i="31"/>
  <c r="AM40" i="31" s="1"/>
  <c r="AM5" i="31"/>
  <c r="AM28" i="31"/>
  <c r="AM43" i="31" s="1"/>
  <c r="AM24" i="31"/>
  <c r="AM20" i="31"/>
  <c r="AM16" i="31"/>
  <c r="AM29" i="31"/>
  <c r="AM25" i="31"/>
  <c r="AM21" i="31"/>
  <c r="AM17" i="31"/>
  <c r="AM13" i="31"/>
  <c r="AM33" i="31" s="1"/>
  <c r="AM10" i="31"/>
  <c r="AM46" i="31" s="1"/>
  <c r="AM45" i="31" s="1"/>
  <c r="AM6" i="31"/>
  <c r="AM47" i="31" s="1"/>
  <c r="AM2" i="31"/>
  <c r="AM38" i="31" s="1"/>
  <c r="AQ30" i="31"/>
  <c r="AQ35" i="31" s="1"/>
  <c r="AQ26" i="31"/>
  <c r="AQ36" i="31" s="1"/>
  <c r="AQ22" i="31"/>
  <c r="AQ37" i="31" s="1"/>
  <c r="AQ18" i="31"/>
  <c r="AQ14" i="31"/>
  <c r="AQ34" i="31" s="1"/>
  <c r="AQ11" i="31"/>
  <c r="AQ39" i="31" s="1"/>
  <c r="AQ7" i="31"/>
  <c r="AQ3" i="31"/>
  <c r="AQ32" i="31" s="1"/>
  <c r="AQ27" i="31"/>
  <c r="AQ23" i="31"/>
  <c r="AQ49" i="31" s="1"/>
  <c r="AQ19" i="31"/>
  <c r="AQ42" i="31" s="1"/>
  <c r="AQ15" i="31"/>
  <c r="AQ44" i="31" s="1"/>
  <c r="AQ8" i="31"/>
  <c r="AQ41" i="31" s="1"/>
  <c r="AQ4" i="31"/>
  <c r="AQ40" i="31" s="1"/>
  <c r="AQ28" i="31"/>
  <c r="AQ43" i="31" s="1"/>
  <c r="AQ24" i="31"/>
  <c r="AQ20" i="31"/>
  <c r="AQ16" i="31"/>
  <c r="AQ12" i="31"/>
  <c r="AQ29" i="31"/>
  <c r="AQ25" i="31"/>
  <c r="AQ21" i="31"/>
  <c r="AQ17" i="31"/>
  <c r="AQ13" i="31"/>
  <c r="AQ33" i="31" s="1"/>
  <c r="AQ10" i="31"/>
  <c r="AQ46" i="31" s="1"/>
  <c r="AQ6" i="31"/>
  <c r="AQ47" i="31" s="1"/>
  <c r="AQ2" i="31"/>
  <c r="AQ38" i="31" s="1"/>
  <c r="AQ9" i="31"/>
  <c r="AQ5" i="31"/>
  <c r="AU30" i="31"/>
  <c r="AU35" i="31" s="1"/>
  <c r="AU26" i="31"/>
  <c r="AU36" i="31" s="1"/>
  <c r="AU22" i="31"/>
  <c r="AU37" i="31" s="1"/>
  <c r="AU18" i="31"/>
  <c r="AU14" i="31"/>
  <c r="AU34" i="31" s="1"/>
  <c r="AU11" i="31"/>
  <c r="AU39" i="31" s="1"/>
  <c r="AU7" i="31"/>
  <c r="AU3" i="31"/>
  <c r="AU32" i="31" s="1"/>
  <c r="AU5" i="31"/>
  <c r="AU27" i="31"/>
  <c r="AU23" i="31"/>
  <c r="AU49" i="31" s="1"/>
  <c r="AU19" i="31"/>
  <c r="AU42" i="31" s="1"/>
  <c r="AU15" i="31"/>
  <c r="AU44" i="31" s="1"/>
  <c r="AU8" i="31"/>
  <c r="AU41" i="31" s="1"/>
  <c r="AU4" i="31"/>
  <c r="AU40" i="31" s="1"/>
  <c r="AU9" i="31"/>
  <c r="AU28" i="31"/>
  <c r="AU43" i="31" s="1"/>
  <c r="AU24" i="31"/>
  <c r="AU20" i="31"/>
  <c r="AU16" i="31"/>
  <c r="AU29" i="31"/>
  <c r="AU25" i="31"/>
  <c r="AU21" i="31"/>
  <c r="AU17" i="31"/>
  <c r="AU13" i="31"/>
  <c r="AU33" i="31" s="1"/>
  <c r="AU10" i="31"/>
  <c r="AU46" i="31" s="1"/>
  <c r="AU45" i="31" s="1"/>
  <c r="AU6" i="31"/>
  <c r="AU47" i="31" s="1"/>
  <c r="AU2" i="31"/>
  <c r="AU38" i="31" s="1"/>
  <c r="AU12" i="31"/>
  <c r="AX29" i="31"/>
  <c r="AX25" i="31"/>
  <c r="AX21" i="31"/>
  <c r="AX17" i="31"/>
  <c r="AX13" i="31"/>
  <c r="AX33" i="31" s="1"/>
  <c r="AX10" i="31"/>
  <c r="AX46" i="31" s="1"/>
  <c r="AX45" i="31" s="1"/>
  <c r="AX6" i="31"/>
  <c r="AX47" i="31" s="1"/>
  <c r="AX2" i="31"/>
  <c r="AX38" i="31" s="1"/>
  <c r="AX30" i="31"/>
  <c r="AX35" i="31" s="1"/>
  <c r="AX26" i="31"/>
  <c r="AX36" i="31" s="1"/>
  <c r="AX22" i="31"/>
  <c r="AX37" i="31" s="1"/>
  <c r="AX18" i="31"/>
  <c r="AX14" i="31"/>
  <c r="AX34" i="31" s="1"/>
  <c r="AX11" i="31"/>
  <c r="AX39" i="31" s="1"/>
  <c r="AX7" i="31"/>
  <c r="AX3" i="31"/>
  <c r="AX32" i="31" s="1"/>
  <c r="AX27" i="31"/>
  <c r="AX23" i="31"/>
  <c r="AX49" i="31" s="1"/>
  <c r="AX19" i="31"/>
  <c r="AX42" i="31" s="1"/>
  <c r="AX15" i="31"/>
  <c r="AX44" i="31" s="1"/>
  <c r="AX28" i="31"/>
  <c r="AX43" i="31" s="1"/>
  <c r="AX24" i="31"/>
  <c r="AX20" i="31"/>
  <c r="AX16" i="31"/>
  <c r="AX12" i="31"/>
  <c r="AX9" i="31"/>
  <c r="AX5" i="31"/>
  <c r="AX8" i="31"/>
  <c r="AX41" i="31" s="1"/>
  <c r="AX4" i="31"/>
  <c r="AX40" i="31" s="1"/>
  <c r="CC30" i="31"/>
  <c r="CC35" i="31" s="1"/>
  <c r="CC29" i="31"/>
  <c r="CC28" i="31"/>
  <c r="CC43" i="31" s="1"/>
  <c r="CC27" i="31"/>
  <c r="CC26" i="31"/>
  <c r="CC36" i="31" s="1"/>
  <c r="CC25" i="31"/>
  <c r="CC24" i="31"/>
  <c r="CC23" i="31"/>
  <c r="CC49" i="31" s="1"/>
  <c r="CC22" i="31"/>
  <c r="CC37" i="31" s="1"/>
  <c r="CC21" i="31"/>
  <c r="CC20" i="31"/>
  <c r="CC19" i="31"/>
  <c r="CC42" i="31" s="1"/>
  <c r="CC18" i="31"/>
  <c r="CC17" i="31"/>
  <c r="CC16" i="31"/>
  <c r="CC15" i="31"/>
  <c r="CC44" i="31" s="1"/>
  <c r="CC14" i="31"/>
  <c r="CC34" i="31" s="1"/>
  <c r="CC13" i="31"/>
  <c r="CC33" i="31" s="1"/>
  <c r="CC10" i="31"/>
  <c r="CC46" i="31" s="1"/>
  <c r="CC45" i="31" s="1"/>
  <c r="CC8" i="31"/>
  <c r="CC41" i="31" s="1"/>
  <c r="CC6" i="31"/>
  <c r="CC47" i="31" s="1"/>
  <c r="CC4" i="31"/>
  <c r="CC40" i="31" s="1"/>
  <c r="CC2" i="31"/>
  <c r="CC38" i="31" s="1"/>
  <c r="CC11" i="31"/>
  <c r="CC39" i="31" s="1"/>
  <c r="CC7" i="31"/>
  <c r="CC3" i="31"/>
  <c r="CC32" i="31" s="1"/>
  <c r="CC5" i="31"/>
  <c r="CC9" i="31"/>
  <c r="CC12" i="31"/>
  <c r="CC2" i="30"/>
  <c r="CC38" i="30" s="1"/>
  <c r="BD2" i="30"/>
  <c r="BD38" i="30" s="1"/>
  <c r="CD30" i="31"/>
  <c r="CD35" i="31" s="1"/>
  <c r="CD29" i="31"/>
  <c r="CD28" i="31"/>
  <c r="CD43" i="31" s="1"/>
  <c r="CD27" i="31"/>
  <c r="CD26" i="31"/>
  <c r="CD36" i="31" s="1"/>
  <c r="CD25" i="31"/>
  <c r="CD24" i="31"/>
  <c r="CD23" i="31"/>
  <c r="CD49" i="31" s="1"/>
  <c r="CD22" i="31"/>
  <c r="CD37" i="31" s="1"/>
  <c r="CD21" i="31"/>
  <c r="CD20" i="31"/>
  <c r="CD19" i="31"/>
  <c r="CD42" i="31" s="1"/>
  <c r="CD18" i="31"/>
  <c r="CD17" i="31"/>
  <c r="CD16" i="31"/>
  <c r="CD15" i="31"/>
  <c r="CD44" i="31" s="1"/>
  <c r="CD14" i="31"/>
  <c r="CD34" i="31" s="1"/>
  <c r="CD13" i="31"/>
  <c r="CD33" i="31" s="1"/>
  <c r="CD10" i="31"/>
  <c r="CD46" i="31" s="1"/>
  <c r="CD8" i="31"/>
  <c r="CD41" i="31" s="1"/>
  <c r="CD6" i="31"/>
  <c r="CD47" i="31" s="1"/>
  <c r="CD4" i="31"/>
  <c r="CD40" i="31" s="1"/>
  <c r="CD2" i="31"/>
  <c r="CD38" i="31" s="1"/>
  <c r="CD11" i="31"/>
  <c r="CD39" i="31" s="1"/>
  <c r="CD7" i="31"/>
  <c r="CD3" i="31"/>
  <c r="CD32" i="31" s="1"/>
  <c r="CD12" i="31"/>
  <c r="CD9" i="31"/>
  <c r="CD5" i="31"/>
  <c r="BE2" i="30"/>
  <c r="BE38" i="30" s="1"/>
  <c r="CX12" i="31"/>
  <c r="CX11" i="31"/>
  <c r="CX39" i="31" s="1"/>
  <c r="CX10" i="31"/>
  <c r="CX46" i="31" s="1"/>
  <c r="CX45" i="31" s="1"/>
  <c r="CX9" i="31"/>
  <c r="CX8" i="31"/>
  <c r="CX41" i="31" s="1"/>
  <c r="CX7" i="31"/>
  <c r="CX6" i="31"/>
  <c r="CX47" i="31" s="1"/>
  <c r="CX5" i="31"/>
  <c r="CX4" i="31"/>
  <c r="CX40" i="31" s="1"/>
  <c r="CX3" i="31"/>
  <c r="CX32" i="31" s="1"/>
  <c r="CX2" i="31"/>
  <c r="CX38" i="31" s="1"/>
  <c r="CX29" i="31"/>
  <c r="CX27" i="31"/>
  <c r="CX25" i="31"/>
  <c r="CX23" i="31"/>
  <c r="CX49" i="31" s="1"/>
  <c r="CX21" i="31"/>
  <c r="CX19" i="31"/>
  <c r="CX42" i="31" s="1"/>
  <c r="CX17" i="31"/>
  <c r="CX15" i="31"/>
  <c r="CX44" i="31" s="1"/>
  <c r="CX13" i="31"/>
  <c r="CX33" i="31" s="1"/>
  <c r="CX30" i="31"/>
  <c r="CX35" i="31" s="1"/>
  <c r="CX26" i="31"/>
  <c r="CX36" i="31" s="1"/>
  <c r="CX22" i="31"/>
  <c r="CX37" i="31" s="1"/>
  <c r="CX18" i="31"/>
  <c r="CX14" i="31"/>
  <c r="CX34" i="31" s="1"/>
  <c r="CX24" i="31"/>
  <c r="CX16" i="31"/>
  <c r="CX28" i="31"/>
  <c r="CX43" i="31" s="1"/>
  <c r="CX20" i="31"/>
  <c r="CX2" i="30"/>
  <c r="CX38" i="30" s="1"/>
  <c r="BY2" i="30"/>
  <c r="BY38" i="30" s="1"/>
  <c r="CK30" i="31"/>
  <c r="CK35" i="31" s="1"/>
  <c r="CK29" i="31"/>
  <c r="CK28" i="31"/>
  <c r="CK43" i="31" s="1"/>
  <c r="CK27" i="31"/>
  <c r="CK26" i="31"/>
  <c r="CK36" i="31" s="1"/>
  <c r="CK25" i="31"/>
  <c r="CK24" i="31"/>
  <c r="CK23" i="31"/>
  <c r="CK49" i="31" s="1"/>
  <c r="CK22" i="31"/>
  <c r="CK37" i="31" s="1"/>
  <c r="CK21" i="31"/>
  <c r="CK20" i="31"/>
  <c r="CK19" i="31"/>
  <c r="CK42" i="31" s="1"/>
  <c r="CK18" i="31"/>
  <c r="CK17" i="31"/>
  <c r="CK16" i="31"/>
  <c r="CK15" i="31"/>
  <c r="CK44" i="31" s="1"/>
  <c r="CK14" i="31"/>
  <c r="CK34" i="31" s="1"/>
  <c r="CK12" i="31"/>
  <c r="CK11" i="31"/>
  <c r="CK39" i="31" s="1"/>
  <c r="CK9" i="31"/>
  <c r="CK7" i="31"/>
  <c r="CK5" i="31"/>
  <c r="CK3" i="31"/>
  <c r="CK32" i="31" s="1"/>
  <c r="CK8" i="31"/>
  <c r="CK41" i="31" s="1"/>
  <c r="CK4" i="31"/>
  <c r="CK40" i="31" s="1"/>
  <c r="CK6" i="31"/>
  <c r="CK47" i="31" s="1"/>
  <c r="CK10" i="31"/>
  <c r="CK46" i="31" s="1"/>
  <c r="CK45" i="31" s="1"/>
  <c r="CK13" i="31"/>
  <c r="CK33" i="31" s="1"/>
  <c r="CK2" i="31"/>
  <c r="CK38" i="31" s="1"/>
  <c r="CK2" i="30"/>
  <c r="CK38" i="30" s="1"/>
  <c r="BL2" i="30"/>
  <c r="BL38" i="30" s="1"/>
  <c r="CO30" i="31"/>
  <c r="CO35" i="31" s="1"/>
  <c r="CO29" i="31"/>
  <c r="CO28" i="31"/>
  <c r="CO43" i="31" s="1"/>
  <c r="CO27" i="31"/>
  <c r="CO26" i="31"/>
  <c r="CO36" i="31" s="1"/>
  <c r="CO25" i="31"/>
  <c r="CO24" i="31"/>
  <c r="CO23" i="31"/>
  <c r="CO49" i="31" s="1"/>
  <c r="CO22" i="31"/>
  <c r="CO37" i="31" s="1"/>
  <c r="CO21" i="31"/>
  <c r="CO20" i="31"/>
  <c r="CO19" i="31"/>
  <c r="CO42" i="31" s="1"/>
  <c r="CO18" i="31"/>
  <c r="CO17" i="31"/>
  <c r="CO16" i="31"/>
  <c r="CO15" i="31"/>
  <c r="CO44" i="31" s="1"/>
  <c r="CO14" i="31"/>
  <c r="CO34" i="31" s="1"/>
  <c r="CO13" i="31"/>
  <c r="CO33" i="31" s="1"/>
  <c r="CO12" i="31"/>
  <c r="CO11" i="31"/>
  <c r="CO39" i="31" s="1"/>
  <c r="CO10" i="31"/>
  <c r="CO46" i="31" s="1"/>
  <c r="CO45" i="31" s="1"/>
  <c r="CO9" i="31"/>
  <c r="CO8" i="31"/>
  <c r="CO41" i="31" s="1"/>
  <c r="CO7" i="31"/>
  <c r="CO6" i="31"/>
  <c r="CO47" i="31" s="1"/>
  <c r="CO5" i="31"/>
  <c r="CO4" i="31"/>
  <c r="CO40" i="31" s="1"/>
  <c r="CO3" i="31"/>
  <c r="CO32" i="31" s="1"/>
  <c r="CO2" i="31"/>
  <c r="CO38" i="31" s="1"/>
  <c r="CO2" i="30"/>
  <c r="CO38" i="30" s="1"/>
  <c r="BP2" i="30"/>
  <c r="BP38" i="30" s="1"/>
  <c r="CS30" i="31"/>
  <c r="CS35" i="31" s="1"/>
  <c r="CS31" i="31" s="1"/>
  <c r="CS29" i="31"/>
  <c r="CS28" i="31"/>
  <c r="CS43" i="31" s="1"/>
  <c r="CS27" i="31"/>
  <c r="CS26" i="31"/>
  <c r="CS36" i="31" s="1"/>
  <c r="CS25" i="31"/>
  <c r="CS24" i="31"/>
  <c r="CS23" i="31"/>
  <c r="CS49" i="31" s="1"/>
  <c r="CS22" i="31"/>
  <c r="CS37" i="31" s="1"/>
  <c r="CS21" i="31"/>
  <c r="CS20" i="31"/>
  <c r="CS19" i="31"/>
  <c r="CS42" i="31" s="1"/>
  <c r="CS18" i="31"/>
  <c r="CS17" i="31"/>
  <c r="CS16" i="31"/>
  <c r="CS15" i="31"/>
  <c r="CS44" i="31" s="1"/>
  <c r="CS14" i="31"/>
  <c r="CS34" i="31" s="1"/>
  <c r="CS13" i="31"/>
  <c r="CS33" i="31" s="1"/>
  <c r="CS10" i="31"/>
  <c r="CS46" i="31" s="1"/>
  <c r="CS8" i="31"/>
  <c r="CS41" i="31" s="1"/>
  <c r="CS6" i="31"/>
  <c r="CS47" i="31" s="1"/>
  <c r="CS45" i="31" s="1"/>
  <c r="CS4" i="31"/>
  <c r="CS40" i="31" s="1"/>
  <c r="CS2" i="31"/>
  <c r="CS38" i="31" s="1"/>
  <c r="CS12" i="31"/>
  <c r="CS9" i="31"/>
  <c r="CS5" i="31"/>
  <c r="CS11" i="31"/>
  <c r="CS39" i="31" s="1"/>
  <c r="CS3" i="31"/>
  <c r="CS32" i="31" s="1"/>
  <c r="CS7" i="31"/>
  <c r="CS2" i="30"/>
  <c r="CS38" i="30" s="1"/>
  <c r="BT2" i="30"/>
  <c r="BT38" i="30" s="1"/>
  <c r="CV30" i="31"/>
  <c r="CV35" i="31" s="1"/>
  <c r="CV29" i="31"/>
  <c r="CV28" i="31"/>
  <c r="CV43" i="31" s="1"/>
  <c r="CV27" i="31"/>
  <c r="CV26" i="31"/>
  <c r="CV36" i="31" s="1"/>
  <c r="CV25" i="31"/>
  <c r="CV24" i="31"/>
  <c r="CV23" i="31"/>
  <c r="CV49" i="31" s="1"/>
  <c r="CV22" i="31"/>
  <c r="CV37" i="31" s="1"/>
  <c r="CV21" i="31"/>
  <c r="CV20" i="31"/>
  <c r="CV19" i="31"/>
  <c r="CV42" i="31" s="1"/>
  <c r="CV18" i="31"/>
  <c r="CV17" i="31"/>
  <c r="CV16" i="31"/>
  <c r="CV15" i="31"/>
  <c r="CV44" i="31" s="1"/>
  <c r="CV14" i="31"/>
  <c r="CV34" i="31" s="1"/>
  <c r="CV13" i="31"/>
  <c r="CV33" i="31" s="1"/>
  <c r="CV12" i="31"/>
  <c r="CV11" i="31"/>
  <c r="CV39" i="31" s="1"/>
  <c r="CV10" i="31"/>
  <c r="CV46" i="31" s="1"/>
  <c r="CV9" i="31"/>
  <c r="CV8" i="31"/>
  <c r="CV41" i="31" s="1"/>
  <c r="CV7" i="31"/>
  <c r="CV6" i="31"/>
  <c r="CV47" i="31" s="1"/>
  <c r="CV5" i="31"/>
  <c r="CV4" i="31"/>
  <c r="CV40" i="31" s="1"/>
  <c r="CV3" i="31"/>
  <c r="CV32" i="31" s="1"/>
  <c r="CV2" i="31"/>
  <c r="CV38" i="31" s="1"/>
  <c r="CV2" i="30"/>
  <c r="CV38" i="30" s="1"/>
  <c r="BW2" i="30"/>
  <c r="BW38" i="30" s="1"/>
  <c r="BF29" i="18"/>
  <c r="BF27" i="18"/>
  <c r="BF25" i="18"/>
  <c r="BF23" i="18"/>
  <c r="BF49" i="18" s="1"/>
  <c r="BF21" i="18"/>
  <c r="BF19" i="18"/>
  <c r="BF42" i="18" s="1"/>
  <c r="BF17" i="18"/>
  <c r="BF15" i="18"/>
  <c r="BF44" i="18" s="1"/>
  <c r="BF13" i="18"/>
  <c r="BF33" i="18" s="1"/>
  <c r="BF10" i="18"/>
  <c r="BF46" i="18" s="1"/>
  <c r="BF8" i="18"/>
  <c r="BF41" i="18" s="1"/>
  <c r="BF6" i="18"/>
  <c r="BF47" i="18" s="1"/>
  <c r="BF45" i="18" s="1"/>
  <c r="BF4" i="18"/>
  <c r="BF40" i="18" s="1"/>
  <c r="BF28" i="18"/>
  <c r="BF43" i="18" s="1"/>
  <c r="BF20" i="18"/>
  <c r="BF12" i="18"/>
  <c r="BF5" i="18"/>
  <c r="BF22" i="18"/>
  <c r="BF37" i="18" s="1"/>
  <c r="BF14" i="18"/>
  <c r="BF34" i="18" s="1"/>
  <c r="BF7" i="18"/>
  <c r="BF30" i="18"/>
  <c r="BF35" i="18" s="1"/>
  <c r="BF24" i="18"/>
  <c r="BF16" i="18"/>
  <c r="BF9" i="18"/>
  <c r="BF3" i="18"/>
  <c r="BF32" i="18" s="1"/>
  <c r="BF11" i="18"/>
  <c r="BF39" i="18" s="1"/>
  <c r="BF18" i="18"/>
  <c r="BF26" i="18"/>
  <c r="BF36" i="18" s="1"/>
  <c r="BF2" i="18"/>
  <c r="BF38" i="18" s="1"/>
  <c r="CX30" i="18"/>
  <c r="CX35" i="18" s="1"/>
  <c r="CX28" i="18"/>
  <c r="CX43" i="18" s="1"/>
  <c r="CX26" i="18"/>
  <c r="CX36" i="18" s="1"/>
  <c r="CX24" i="18"/>
  <c r="CX22" i="18"/>
  <c r="CX37" i="18" s="1"/>
  <c r="CX20" i="18"/>
  <c r="CX18" i="18"/>
  <c r="CX16" i="18"/>
  <c r="CX14" i="18"/>
  <c r="CX34" i="18" s="1"/>
  <c r="CX29" i="18"/>
  <c r="CX27" i="18"/>
  <c r="CX25" i="18"/>
  <c r="CX23" i="18"/>
  <c r="CX49" i="18" s="1"/>
  <c r="CX21" i="18"/>
  <c r="CX19" i="18"/>
  <c r="CX42" i="18" s="1"/>
  <c r="CX17" i="18"/>
  <c r="CX15" i="18"/>
  <c r="CX44" i="18" s="1"/>
  <c r="CX12" i="18"/>
  <c r="CX11" i="18"/>
  <c r="CX39" i="18" s="1"/>
  <c r="CX9" i="18"/>
  <c r="CX7" i="18"/>
  <c r="CX5" i="18"/>
  <c r="CX3" i="18"/>
  <c r="CX32" i="18" s="1"/>
  <c r="CX13" i="18"/>
  <c r="CX33" i="18" s="1"/>
  <c r="CX10" i="18"/>
  <c r="CX46" i="18" s="1"/>
  <c r="CX6" i="18"/>
  <c r="CX47" i="18" s="1"/>
  <c r="CX2" i="18"/>
  <c r="CX38" i="18" s="1"/>
  <c r="CX8" i="18"/>
  <c r="CX41" i="18" s="1"/>
  <c r="CX4" i="18"/>
  <c r="CX40" i="18" s="1"/>
  <c r="T29" i="18"/>
  <c r="T27" i="18"/>
  <c r="T25" i="18"/>
  <c r="T23" i="18"/>
  <c r="T49" i="18" s="1"/>
  <c r="T21" i="18"/>
  <c r="T19" i="18"/>
  <c r="T42" i="18" s="1"/>
  <c r="T17" i="18"/>
  <c r="T15" i="18"/>
  <c r="T44" i="18" s="1"/>
  <c r="T13" i="18"/>
  <c r="T33" i="18" s="1"/>
  <c r="T10" i="18"/>
  <c r="T46" i="18" s="1"/>
  <c r="T8" i="18"/>
  <c r="T41" i="18" s="1"/>
  <c r="T6" i="18"/>
  <c r="T47" i="18" s="1"/>
  <c r="T4" i="18"/>
  <c r="T40" i="18" s="1"/>
  <c r="T2" i="18"/>
  <c r="T38" i="18" s="1"/>
  <c r="T30" i="18"/>
  <c r="T35" i="18" s="1"/>
  <c r="T28" i="18"/>
  <c r="T43" i="18" s="1"/>
  <c r="T26" i="18"/>
  <c r="T36" i="18" s="1"/>
  <c r="T24" i="18"/>
  <c r="T22" i="18"/>
  <c r="T37" i="18" s="1"/>
  <c r="T20" i="18"/>
  <c r="T18" i="18"/>
  <c r="T16" i="18"/>
  <c r="T14" i="18"/>
  <c r="T34" i="18" s="1"/>
  <c r="T12" i="18"/>
  <c r="T11" i="18"/>
  <c r="T39" i="18" s="1"/>
  <c r="T9" i="18"/>
  <c r="T7" i="18"/>
  <c r="T5" i="18"/>
  <c r="T3" i="18"/>
  <c r="T32" i="18" s="1"/>
  <c r="BO29" i="18"/>
  <c r="BO27" i="18"/>
  <c r="BO25" i="18"/>
  <c r="BO23" i="18"/>
  <c r="BO49" i="18" s="1"/>
  <c r="BO21" i="18"/>
  <c r="BO19" i="18"/>
  <c r="BO42" i="18" s="1"/>
  <c r="BO17" i="18"/>
  <c r="BO15" i="18"/>
  <c r="BO44" i="18" s="1"/>
  <c r="BO13" i="18"/>
  <c r="BO33" i="18" s="1"/>
  <c r="BO10" i="18"/>
  <c r="BO46" i="18" s="1"/>
  <c r="BO45" i="18" s="1"/>
  <c r="BO8" i="18"/>
  <c r="BO41" i="18" s="1"/>
  <c r="BO6" i="18"/>
  <c r="BO47" i="18" s="1"/>
  <c r="BO4" i="18"/>
  <c r="BO40" i="18" s="1"/>
  <c r="BO30" i="18"/>
  <c r="BO35" i="18" s="1"/>
  <c r="BO26" i="18"/>
  <c r="BO36" i="18" s="1"/>
  <c r="BO18" i="18"/>
  <c r="BO11" i="18"/>
  <c r="BO39" i="18" s="1"/>
  <c r="BO2" i="18"/>
  <c r="BO38" i="18" s="1"/>
  <c r="BO3" i="18"/>
  <c r="BO32" i="18" s="1"/>
  <c r="BO20" i="18"/>
  <c r="BO12" i="18"/>
  <c r="BO5" i="18"/>
  <c r="BO28" i="18"/>
  <c r="BO43" i="18" s="1"/>
  <c r="BO22" i="18"/>
  <c r="BO37" i="18" s="1"/>
  <c r="BO14" i="18"/>
  <c r="BO34" i="18" s="1"/>
  <c r="BO7" i="18"/>
  <c r="BO16" i="18"/>
  <c r="BO24" i="18"/>
  <c r="BO9" i="18"/>
  <c r="X29" i="18"/>
  <c r="X27" i="18"/>
  <c r="X25" i="18"/>
  <c r="X23" i="18"/>
  <c r="X49" i="18" s="1"/>
  <c r="X21" i="18"/>
  <c r="X19" i="18"/>
  <c r="X42" i="18" s="1"/>
  <c r="X17" i="18"/>
  <c r="X15" i="18"/>
  <c r="X44" i="18" s="1"/>
  <c r="X13" i="18"/>
  <c r="X33" i="18" s="1"/>
  <c r="X10" i="18"/>
  <c r="X46" i="18" s="1"/>
  <c r="X8" i="18"/>
  <c r="X41" i="18" s="1"/>
  <c r="X6" i="18"/>
  <c r="X47" i="18" s="1"/>
  <c r="X4" i="18"/>
  <c r="X40" i="18" s="1"/>
  <c r="X2" i="18"/>
  <c r="X38" i="18" s="1"/>
  <c r="X30" i="18"/>
  <c r="X35" i="18" s="1"/>
  <c r="X28" i="18"/>
  <c r="X43" i="18" s="1"/>
  <c r="X26" i="18"/>
  <c r="X36" i="18" s="1"/>
  <c r="X24" i="18"/>
  <c r="X22" i="18"/>
  <c r="X37" i="18" s="1"/>
  <c r="X20" i="18"/>
  <c r="X18" i="18"/>
  <c r="X16" i="18"/>
  <c r="X14" i="18"/>
  <c r="X34" i="18" s="1"/>
  <c r="X12" i="18"/>
  <c r="X11" i="18"/>
  <c r="X39" i="18" s="1"/>
  <c r="X9" i="18"/>
  <c r="X7" i="18"/>
  <c r="X5" i="18"/>
  <c r="X3" i="18"/>
  <c r="X32" i="18" s="1"/>
  <c r="AJ23" i="5"/>
  <c r="AJ49" i="5" s="1"/>
  <c r="AJ21" i="5"/>
  <c r="AJ16" i="5"/>
  <c r="AJ13" i="5"/>
  <c r="AJ33" i="5" s="1"/>
  <c r="AJ10" i="5"/>
  <c r="AJ46" i="5" s="1"/>
  <c r="AJ45" i="5" s="1"/>
  <c r="AJ8" i="5"/>
  <c r="AJ41" i="5" s="1"/>
  <c r="AA23" i="5"/>
  <c r="AA49" i="5" s="1"/>
  <c r="AA21" i="5"/>
  <c r="AA16" i="5"/>
  <c r="AA13" i="5"/>
  <c r="AA33" i="5" s="1"/>
  <c r="AC33" i="5" s="1"/>
  <c r="AA10" i="5"/>
  <c r="AA46" i="5" s="1"/>
  <c r="AA8" i="5"/>
  <c r="AA41" i="5" s="1"/>
  <c r="AC41" i="5" s="1"/>
  <c r="AJ30" i="5"/>
  <c r="AJ35" i="5" s="1"/>
  <c r="AJ27" i="5"/>
  <c r="AJ25" i="5"/>
  <c r="AJ22" i="5"/>
  <c r="AJ37" i="5" s="1"/>
  <c r="AJ18" i="5"/>
  <c r="AJ15" i="5"/>
  <c r="AJ44" i="5" s="1"/>
  <c r="AJ12" i="5"/>
  <c r="AJ5" i="5"/>
  <c r="AJ2" i="5"/>
  <c r="AJ38" i="5" s="1"/>
  <c r="AA30" i="5"/>
  <c r="AA35" i="5" s="1"/>
  <c r="AC35" i="5" s="1"/>
  <c r="AA27" i="5"/>
  <c r="AA25" i="5"/>
  <c r="AA22" i="5"/>
  <c r="AA37" i="5" s="1"/>
  <c r="AC37" i="5" s="1"/>
  <c r="AA18" i="5"/>
  <c r="AA15" i="5"/>
  <c r="AA44" i="5" s="1"/>
  <c r="AC44" i="5" s="1"/>
  <c r="AA12" i="5"/>
  <c r="AA5" i="5"/>
  <c r="AA2" i="5"/>
  <c r="AA38" i="5" s="1"/>
  <c r="AJ29" i="5"/>
  <c r="AJ20" i="5"/>
  <c r="AJ17" i="5"/>
  <c r="AJ14" i="5"/>
  <c r="AJ34" i="5" s="1"/>
  <c r="AJ7" i="5"/>
  <c r="AJ4" i="5"/>
  <c r="AJ40" i="5" s="1"/>
  <c r="AA29" i="5"/>
  <c r="AA20" i="5"/>
  <c r="AA17" i="5"/>
  <c r="AA14" i="5"/>
  <c r="AA34" i="5" s="1"/>
  <c r="AA7" i="5"/>
  <c r="AA4" i="5"/>
  <c r="AA40" i="5" s="1"/>
  <c r="AJ28" i="5"/>
  <c r="AJ43" i="5" s="1"/>
  <c r="AJ26" i="5"/>
  <c r="AJ36" i="5" s="1"/>
  <c r="AJ24" i="5"/>
  <c r="AJ19" i="5"/>
  <c r="AJ42" i="5" s="1"/>
  <c r="AJ11" i="5"/>
  <c r="AJ39" i="5" s="1"/>
  <c r="AJ9" i="5"/>
  <c r="AJ6" i="5"/>
  <c r="AJ47" i="5" s="1"/>
  <c r="AJ3" i="5"/>
  <c r="AJ32" i="5" s="1"/>
  <c r="AA28" i="5"/>
  <c r="AA43" i="5" s="1"/>
  <c r="AA26" i="5"/>
  <c r="AA36" i="5" s="1"/>
  <c r="AA24" i="5"/>
  <c r="AA19" i="5"/>
  <c r="AA42" i="5" s="1"/>
  <c r="AC42" i="5" s="1"/>
  <c r="AA11" i="5"/>
  <c r="AA39" i="5" s="1"/>
  <c r="AC39" i="5" s="1"/>
  <c r="AA9" i="5"/>
  <c r="AA6" i="5"/>
  <c r="AA47" i="5" s="1"/>
  <c r="AA3" i="5"/>
  <c r="AA32" i="5" s="1"/>
  <c r="J28" i="5"/>
  <c r="J43" i="5" s="1"/>
  <c r="J26" i="5"/>
  <c r="J36" i="5" s="1"/>
  <c r="J23" i="5"/>
  <c r="J49" i="5" s="1"/>
  <c r="J21" i="5"/>
  <c r="J16" i="5"/>
  <c r="J13" i="5"/>
  <c r="J33" i="5" s="1"/>
  <c r="J10" i="5"/>
  <c r="J46" i="5" s="1"/>
  <c r="J8" i="5"/>
  <c r="J41" i="5" s="1"/>
  <c r="J25" i="5"/>
  <c r="J14" i="5"/>
  <c r="J34" i="5" s="1"/>
  <c r="J4" i="5"/>
  <c r="J40" i="5" s="1"/>
  <c r="J29" i="5"/>
  <c r="J24" i="5"/>
  <c r="J19" i="5"/>
  <c r="J42" i="5" s="1"/>
  <c r="J9" i="5"/>
  <c r="J6" i="5"/>
  <c r="J47" i="5" s="1"/>
  <c r="J3" i="5"/>
  <c r="J32" i="5" s="1"/>
  <c r="J22" i="5"/>
  <c r="J37" i="5" s="1"/>
  <c r="J18" i="5"/>
  <c r="J15" i="5"/>
  <c r="J44" i="5" s="1"/>
  <c r="J12" i="5"/>
  <c r="J5" i="5"/>
  <c r="J27" i="5"/>
  <c r="J17" i="5"/>
  <c r="J7" i="5"/>
  <c r="J30" i="5"/>
  <c r="J35" i="5" s="1"/>
  <c r="J20" i="5"/>
  <c r="J2" i="5"/>
  <c r="J38" i="5" s="1"/>
  <c r="J11" i="5"/>
  <c r="J39" i="5" s="1"/>
  <c r="D2" i="30"/>
  <c r="AC29" i="30"/>
  <c r="AC25" i="30"/>
  <c r="AB25" i="30" s="1"/>
  <c r="AC21" i="30"/>
  <c r="AC17" i="30"/>
  <c r="AC13" i="30"/>
  <c r="AC10" i="30"/>
  <c r="AC6" i="30"/>
  <c r="AC28" i="31"/>
  <c r="AC24" i="31"/>
  <c r="AC20" i="31"/>
  <c r="AC16" i="31"/>
  <c r="AC12" i="31"/>
  <c r="AC9" i="31"/>
  <c r="AC5" i="31"/>
  <c r="AC26" i="31"/>
  <c r="AC11" i="31"/>
  <c r="AC28" i="30"/>
  <c r="AC24" i="30"/>
  <c r="AB24" i="30" s="1"/>
  <c r="AC20" i="30"/>
  <c r="AB20" i="30" s="1"/>
  <c r="AC16" i="30"/>
  <c r="AB16" i="30" s="1"/>
  <c r="AC12" i="30"/>
  <c r="AB12" i="30" s="1"/>
  <c r="AC9" i="30"/>
  <c r="AB9" i="30" s="1"/>
  <c r="AC5" i="30"/>
  <c r="AB5" i="30" s="1"/>
  <c r="AC27" i="31"/>
  <c r="AC23" i="31"/>
  <c r="AC19" i="31"/>
  <c r="AC15" i="31"/>
  <c r="AC8" i="31"/>
  <c r="AC4" i="31"/>
  <c r="AC30" i="31"/>
  <c r="AC14" i="31"/>
  <c r="AC27" i="30"/>
  <c r="AC23" i="30"/>
  <c r="AB23" i="30" s="1"/>
  <c r="AC19" i="30"/>
  <c r="AC15" i="30"/>
  <c r="AC8" i="30"/>
  <c r="AC4" i="30"/>
  <c r="AC18" i="31"/>
  <c r="AC3" i="31"/>
  <c r="AC30" i="30"/>
  <c r="AC26" i="30"/>
  <c r="AC22" i="30"/>
  <c r="AC18" i="30"/>
  <c r="AB18" i="30" s="1"/>
  <c r="AC14" i="30"/>
  <c r="AC11" i="30"/>
  <c r="AC7" i="30"/>
  <c r="AB7" i="30" s="1"/>
  <c r="AC3" i="30"/>
  <c r="AC29" i="31"/>
  <c r="AC25" i="31"/>
  <c r="AC21" i="31"/>
  <c r="AC17" i="31"/>
  <c r="AC13" i="31"/>
  <c r="AC10" i="31"/>
  <c r="AC6" i="31"/>
  <c r="AC2" i="31"/>
  <c r="AC22" i="31"/>
  <c r="AC7" i="31"/>
  <c r="AC2" i="30"/>
  <c r="AG28" i="31"/>
  <c r="AG43" i="31" s="1"/>
  <c r="AG24" i="31"/>
  <c r="AG20" i="31"/>
  <c r="AG16" i="31"/>
  <c r="AG12" i="31"/>
  <c r="AG9" i="31"/>
  <c r="AG5" i="31"/>
  <c r="AG14" i="31"/>
  <c r="AG34" i="31" s="1"/>
  <c r="AG3" i="31"/>
  <c r="AG32" i="31" s="1"/>
  <c r="AG29" i="31"/>
  <c r="AG25" i="31"/>
  <c r="AG21" i="31"/>
  <c r="AG17" i="31"/>
  <c r="AG13" i="31"/>
  <c r="AG33" i="31" s="1"/>
  <c r="AG10" i="31"/>
  <c r="AG46" i="31" s="1"/>
  <c r="AG6" i="31"/>
  <c r="AG47" i="31" s="1"/>
  <c r="AG2" i="31"/>
  <c r="AG38" i="31" s="1"/>
  <c r="AG11" i="31"/>
  <c r="AG39" i="31" s="1"/>
  <c r="AG7" i="31"/>
  <c r="AG30" i="31"/>
  <c r="AG35" i="31" s="1"/>
  <c r="AG26" i="31"/>
  <c r="AG36" i="31" s="1"/>
  <c r="AG22" i="31"/>
  <c r="AG37" i="31" s="1"/>
  <c r="AG18" i="31"/>
  <c r="AG27" i="31"/>
  <c r="AG23" i="31"/>
  <c r="AG49" i="31" s="1"/>
  <c r="AG19" i="31"/>
  <c r="AG42" i="31" s="1"/>
  <c r="AG15" i="31"/>
  <c r="AG44" i="31" s="1"/>
  <c r="AG8" i="31"/>
  <c r="AG41" i="31" s="1"/>
  <c r="AG4" i="31"/>
  <c r="AG40" i="31" s="1"/>
  <c r="AJ27" i="31"/>
  <c r="AJ23" i="31"/>
  <c r="AJ49" i="31" s="1"/>
  <c r="AJ19" i="31"/>
  <c r="AJ42" i="31" s="1"/>
  <c r="AJ15" i="31"/>
  <c r="AJ44" i="31" s="1"/>
  <c r="AJ8" i="31"/>
  <c r="AJ41" i="31" s="1"/>
  <c r="AJ4" i="31"/>
  <c r="AJ40" i="31" s="1"/>
  <c r="AJ28" i="31"/>
  <c r="AJ43" i="31" s="1"/>
  <c r="AJ24" i="31"/>
  <c r="AJ20" i="31"/>
  <c r="AJ16" i="31"/>
  <c r="AJ12" i="31"/>
  <c r="AJ9" i="31"/>
  <c r="AJ5" i="31"/>
  <c r="AJ29" i="31"/>
  <c r="AJ25" i="31"/>
  <c r="AJ21" i="31"/>
  <c r="AJ17" i="31"/>
  <c r="AJ13" i="31"/>
  <c r="AJ33" i="31" s="1"/>
  <c r="AJ30" i="31"/>
  <c r="AJ35" i="31" s="1"/>
  <c r="AJ26" i="31"/>
  <c r="AJ36" i="31" s="1"/>
  <c r="AJ22" i="31"/>
  <c r="AJ37" i="31" s="1"/>
  <c r="AJ18" i="31"/>
  <c r="AJ14" i="31"/>
  <c r="AJ34" i="31" s="1"/>
  <c r="AJ11" i="31"/>
  <c r="AJ39" i="31" s="1"/>
  <c r="AJ7" i="31"/>
  <c r="AJ3" i="31"/>
  <c r="AJ32" i="31" s="1"/>
  <c r="AJ10" i="31"/>
  <c r="AJ46" i="31" s="1"/>
  <c r="AJ6" i="31"/>
  <c r="AJ47" i="31" s="1"/>
  <c r="AJ2" i="31"/>
  <c r="AJ38" i="31" s="1"/>
  <c r="AN27" i="31"/>
  <c r="AN23" i="31"/>
  <c r="AN49" i="31" s="1"/>
  <c r="AN19" i="31"/>
  <c r="AN42" i="31" s="1"/>
  <c r="AN15" i="31"/>
  <c r="AN44" i="31" s="1"/>
  <c r="AN8" i="31"/>
  <c r="AN41" i="31" s="1"/>
  <c r="AN4" i="31"/>
  <c r="AN40" i="31" s="1"/>
  <c r="AN2" i="31"/>
  <c r="AN38" i="31" s="1"/>
  <c r="AN28" i="31"/>
  <c r="AN43" i="31" s="1"/>
  <c r="AN24" i="31"/>
  <c r="AN20" i="31"/>
  <c r="AN16" i="31"/>
  <c r="AN12" i="31"/>
  <c r="AN9" i="31"/>
  <c r="AN5" i="31"/>
  <c r="AN10" i="31"/>
  <c r="AN46" i="31" s="1"/>
  <c r="AN45" i="31" s="1"/>
  <c r="AN6" i="31"/>
  <c r="AN47" i="31" s="1"/>
  <c r="AN29" i="31"/>
  <c r="AN25" i="31"/>
  <c r="AN21" i="31"/>
  <c r="AN17" i="31"/>
  <c r="AN30" i="31"/>
  <c r="AN35" i="31" s="1"/>
  <c r="AN26" i="31"/>
  <c r="AN36" i="31" s="1"/>
  <c r="AN22" i="31"/>
  <c r="AN37" i="31" s="1"/>
  <c r="AN18" i="31"/>
  <c r="AN14" i="31"/>
  <c r="AN34" i="31" s="1"/>
  <c r="AN11" i="31"/>
  <c r="AN39" i="31" s="1"/>
  <c r="AN7" i="31"/>
  <c r="AN3" i="31"/>
  <c r="AN32" i="31" s="1"/>
  <c r="AN13" i="31"/>
  <c r="AN33" i="31" s="1"/>
  <c r="AR27" i="31"/>
  <c r="AR23" i="31"/>
  <c r="AR49" i="31" s="1"/>
  <c r="AR19" i="31"/>
  <c r="AR42" i="31" s="1"/>
  <c r="AR15" i="31"/>
  <c r="AR44" i="31" s="1"/>
  <c r="AR8" i="31"/>
  <c r="AR41" i="31" s="1"/>
  <c r="AR4" i="31"/>
  <c r="AR40" i="31" s="1"/>
  <c r="AR10" i="31"/>
  <c r="AR46" i="31" s="1"/>
  <c r="AR45" i="31" s="1"/>
  <c r="AR6" i="31"/>
  <c r="AR47" i="31" s="1"/>
  <c r="AR28" i="31"/>
  <c r="AR43" i="31" s="1"/>
  <c r="AR24" i="31"/>
  <c r="AR20" i="31"/>
  <c r="AR16" i="31"/>
  <c r="AR12" i="31"/>
  <c r="AR9" i="31"/>
  <c r="AR5" i="31"/>
  <c r="AR13" i="31"/>
  <c r="AR33" i="31" s="1"/>
  <c r="AR2" i="31"/>
  <c r="AR38" i="31" s="1"/>
  <c r="AR29" i="31"/>
  <c r="AR25" i="31"/>
  <c r="AR21" i="31"/>
  <c r="AR17" i="31"/>
  <c r="AR30" i="31"/>
  <c r="AR35" i="31" s="1"/>
  <c r="AR26" i="31"/>
  <c r="AR36" i="31" s="1"/>
  <c r="AR22" i="31"/>
  <c r="AR37" i="31" s="1"/>
  <c r="AR18" i="31"/>
  <c r="AR14" i="31"/>
  <c r="AR34" i="31" s="1"/>
  <c r="AR11" i="31"/>
  <c r="AR39" i="31" s="1"/>
  <c r="AR7" i="31"/>
  <c r="AR3" i="31"/>
  <c r="AR32" i="31" s="1"/>
  <c r="AY30" i="31"/>
  <c r="AY35" i="31" s="1"/>
  <c r="AY26" i="31"/>
  <c r="AY36" i="31" s="1"/>
  <c r="AY22" i="31"/>
  <c r="AY37" i="31" s="1"/>
  <c r="AY18" i="31"/>
  <c r="AY14" i="31"/>
  <c r="AY34" i="31" s="1"/>
  <c r="AY11" i="31"/>
  <c r="AY39" i="31" s="1"/>
  <c r="AY7" i="31"/>
  <c r="AY3" i="31"/>
  <c r="AY32" i="31" s="1"/>
  <c r="AY9" i="31"/>
  <c r="AY27" i="31"/>
  <c r="AY23" i="31"/>
  <c r="AY49" i="31" s="1"/>
  <c r="AY19" i="31"/>
  <c r="AY42" i="31" s="1"/>
  <c r="AY15" i="31"/>
  <c r="AY44" i="31" s="1"/>
  <c r="AY8" i="31"/>
  <c r="AY41" i="31" s="1"/>
  <c r="AY4" i="31"/>
  <c r="AY40" i="31" s="1"/>
  <c r="AY12" i="31"/>
  <c r="AY5" i="31"/>
  <c r="AY28" i="31"/>
  <c r="AY43" i="31" s="1"/>
  <c r="AY24" i="31"/>
  <c r="AY20" i="31"/>
  <c r="AY16" i="31"/>
  <c r="AY29" i="31"/>
  <c r="AY25" i="31"/>
  <c r="AY21" i="31"/>
  <c r="AY17" i="31"/>
  <c r="AY13" i="31"/>
  <c r="AY33" i="31" s="1"/>
  <c r="AY10" i="31"/>
  <c r="AY46" i="31" s="1"/>
  <c r="AY45" i="31" s="1"/>
  <c r="AY6" i="31"/>
  <c r="AY47" i="31" s="1"/>
  <c r="AY2" i="31"/>
  <c r="AY38" i="31" s="1"/>
  <c r="BL3" i="18"/>
  <c r="BL32" i="18" s="1"/>
  <c r="BG3" i="18"/>
  <c r="BG32" i="18" s="1"/>
  <c r="BK3" i="18"/>
  <c r="BK32" i="18" s="1"/>
  <c r="BN3" i="18"/>
  <c r="BN32" i="18" s="1"/>
  <c r="BI3" i="18"/>
  <c r="BI32" i="18" s="1"/>
  <c r="BJ3" i="18"/>
  <c r="BJ32" i="18" s="1"/>
  <c r="H5" i="3"/>
  <c r="K5" i="3"/>
  <c r="CQ3" i="18"/>
  <c r="D45" i="37" l="1"/>
  <c r="J38" i="37"/>
  <c r="J47" i="37"/>
  <c r="AM45" i="37"/>
  <c r="T31" i="37"/>
  <c r="S31" i="37"/>
  <c r="I31" i="37"/>
  <c r="J34" i="37"/>
  <c r="AQ45" i="37"/>
  <c r="D31" i="5"/>
  <c r="Z45" i="18"/>
  <c r="AY66" i="31"/>
  <c r="AY52" i="31"/>
  <c r="AJ51" i="31"/>
  <c r="AJ65" i="31"/>
  <c r="BO60" i="18"/>
  <c r="BO74" i="18"/>
  <c r="CX61" i="18"/>
  <c r="CX75" i="18"/>
  <c r="CD67" i="31"/>
  <c r="CD53" i="31"/>
  <c r="CU65" i="31"/>
  <c r="CU51" i="31"/>
  <c r="CG67" i="31"/>
  <c r="CG53" i="31"/>
  <c r="AB70" i="5"/>
  <c r="AB56" i="5"/>
  <c r="CY66" i="18"/>
  <c r="CY52" i="18"/>
  <c r="DC65" i="18"/>
  <c r="DC51" i="18"/>
  <c r="CI69" i="31"/>
  <c r="CI55" i="31"/>
  <c r="CA73" i="31"/>
  <c r="CA59" i="31"/>
  <c r="BZ7" i="31"/>
  <c r="CP68" i="31"/>
  <c r="CP54" i="31"/>
  <c r="BB36" i="41"/>
  <c r="BA36" i="41" s="1"/>
  <c r="N36" i="38" s="1"/>
  <c r="BA26" i="41"/>
  <c r="AR65" i="37"/>
  <c r="AR51" i="37"/>
  <c r="DG73" i="18"/>
  <c r="DG59" i="18"/>
  <c r="CI31" i="42"/>
  <c r="D75" i="37"/>
  <c r="D61" i="37"/>
  <c r="J66" i="5"/>
  <c r="J52" i="5"/>
  <c r="X73" i="18"/>
  <c r="X59" i="18"/>
  <c r="CX70" i="18"/>
  <c r="CX56" i="18"/>
  <c r="AF31" i="31"/>
  <c r="DD74" i="18"/>
  <c r="DD60" i="18"/>
  <c r="CJ64" i="31"/>
  <c r="CJ63" i="31" s="1"/>
  <c r="CJ50" i="31"/>
  <c r="CT74" i="31"/>
  <c r="CT60" i="31"/>
  <c r="AV72" i="31"/>
  <c r="AV58" i="31"/>
  <c r="R66" i="18"/>
  <c r="R52" i="18"/>
  <c r="W76" i="37"/>
  <c r="W62" i="37"/>
  <c r="AH31" i="43"/>
  <c r="BZ40" i="30"/>
  <c r="BE40" i="18" s="1"/>
  <c r="BP40" i="18" s="1"/>
  <c r="BF50" i="29"/>
  <c r="BF64" i="29"/>
  <c r="BA27" i="29"/>
  <c r="BB62" i="29"/>
  <c r="BB76" i="29"/>
  <c r="BR65" i="41"/>
  <c r="BR51" i="41"/>
  <c r="H71" i="37"/>
  <c r="H57" i="37"/>
  <c r="AP57" i="37"/>
  <c r="AP71" i="37"/>
  <c r="R50" i="37"/>
  <c r="R64" i="37"/>
  <c r="AC42" i="31"/>
  <c r="AB42" i="31" s="1"/>
  <c r="AL42" i="5" s="1"/>
  <c r="AM42" i="5" s="1"/>
  <c r="AB19" i="31"/>
  <c r="CT74" i="18"/>
  <c r="CT60" i="18"/>
  <c r="CJ66" i="31"/>
  <c r="CJ52" i="31"/>
  <c r="AI71" i="31"/>
  <c r="AI57" i="31"/>
  <c r="AI53" i="5"/>
  <c r="AI67" i="5"/>
  <c r="BC53" i="18"/>
  <c r="BC67" i="18"/>
  <c r="Q67" i="18"/>
  <c r="Q53" i="18"/>
  <c r="CF73" i="31"/>
  <c r="CF59" i="31"/>
  <c r="AK57" i="31"/>
  <c r="AK71" i="31"/>
  <c r="R70" i="18"/>
  <c r="R56" i="18"/>
  <c r="CL55" i="31"/>
  <c r="CL69" i="31"/>
  <c r="CE65" i="31"/>
  <c r="CE51" i="31"/>
  <c r="AY73" i="31"/>
  <c r="AY59" i="31"/>
  <c r="AJ61" i="31"/>
  <c r="AJ75" i="31"/>
  <c r="AC49" i="31"/>
  <c r="AB23" i="31"/>
  <c r="AJ75" i="5"/>
  <c r="AJ61" i="5"/>
  <c r="AR64" i="31"/>
  <c r="AR50" i="31"/>
  <c r="AN75" i="31"/>
  <c r="AN61" i="31"/>
  <c r="AN60" i="31"/>
  <c r="AN74" i="31"/>
  <c r="AJ66" i="31"/>
  <c r="AJ52" i="31"/>
  <c r="AG71" i="31"/>
  <c r="AG57" i="31"/>
  <c r="AC37" i="31"/>
  <c r="AB37" i="31" s="1"/>
  <c r="AL37" i="5" s="1"/>
  <c r="AM37" i="5" s="1"/>
  <c r="AB22" i="31"/>
  <c r="AC34" i="30"/>
  <c r="AB34" i="30" s="1"/>
  <c r="L34" i="5" s="1"/>
  <c r="AB14" i="30"/>
  <c r="AB27" i="30"/>
  <c r="L27" i="5" s="1"/>
  <c r="AC43" i="31"/>
  <c r="AB43" i="31" s="1"/>
  <c r="AL43" i="5" s="1"/>
  <c r="AM43" i="5" s="1"/>
  <c r="AB28" i="31"/>
  <c r="AJ68" i="5"/>
  <c r="AJ54" i="5"/>
  <c r="AA64" i="5"/>
  <c r="AA50" i="5"/>
  <c r="X65" i="18"/>
  <c r="X51" i="18"/>
  <c r="BO67" i="18"/>
  <c r="BO53" i="18"/>
  <c r="T59" i="18"/>
  <c r="T73" i="18"/>
  <c r="T64" i="18"/>
  <c r="T50" i="18"/>
  <c r="CX68" i="18"/>
  <c r="CX54" i="18"/>
  <c r="CX72" i="18"/>
  <c r="CX58" i="18"/>
  <c r="BF31" i="18"/>
  <c r="BF71" i="18"/>
  <c r="BF57" i="18"/>
  <c r="CS72" i="31"/>
  <c r="CS58" i="31"/>
  <c r="CO68" i="31"/>
  <c r="CO54" i="31"/>
  <c r="CO51" i="31"/>
  <c r="CO65" i="31"/>
  <c r="CX61" i="31"/>
  <c r="CX75" i="31"/>
  <c r="CX57" i="31"/>
  <c r="CX71" i="31"/>
  <c r="CD64" i="31"/>
  <c r="CD50" i="31"/>
  <c r="CC73" i="31"/>
  <c r="CC59" i="31"/>
  <c r="CC61" i="31"/>
  <c r="CC75" i="31"/>
  <c r="AU65" i="31"/>
  <c r="AU51" i="31"/>
  <c r="AQ54" i="31"/>
  <c r="AQ68" i="31"/>
  <c r="AQ55" i="31"/>
  <c r="AQ69" i="31"/>
  <c r="AQ75" i="31"/>
  <c r="AQ61" i="31"/>
  <c r="AM58" i="31"/>
  <c r="AM72" i="31"/>
  <c r="AM74" i="31"/>
  <c r="AM60" i="31"/>
  <c r="AZ31" i="31"/>
  <c r="AZ57" i="31"/>
  <c r="AZ71" i="31"/>
  <c r="CT52" i="18"/>
  <c r="CT66" i="18"/>
  <c r="DD67" i="18"/>
  <c r="DD53" i="18"/>
  <c r="DD48" i="18" s="1"/>
  <c r="O66" i="18"/>
  <c r="O52" i="18"/>
  <c r="DB45" i="18"/>
  <c r="DB59" i="18"/>
  <c r="DB73" i="18"/>
  <c r="BJ50" i="18"/>
  <c r="BJ64" i="18"/>
  <c r="BJ56" i="18"/>
  <c r="BJ70" i="18"/>
  <c r="CU56" i="31"/>
  <c r="CU70" i="31"/>
  <c r="CR64" i="31"/>
  <c r="CR50" i="31"/>
  <c r="CN75" i="31"/>
  <c r="CN61" i="31"/>
  <c r="CG72" i="31"/>
  <c r="CG58" i="31"/>
  <c r="AW31" i="31"/>
  <c r="AT70" i="31"/>
  <c r="AT56" i="31"/>
  <c r="AT75" i="31"/>
  <c r="AT61" i="31"/>
  <c r="AT71" i="31"/>
  <c r="AT57" i="31"/>
  <c r="AP45" i="31"/>
  <c r="AL55" i="31"/>
  <c r="AL69" i="31"/>
  <c r="AI61" i="31"/>
  <c r="AI75" i="31"/>
  <c r="AE57" i="31"/>
  <c r="AE71" i="31"/>
  <c r="AE62" i="31"/>
  <c r="AE76" i="31"/>
  <c r="AI72" i="5"/>
  <c r="AI58" i="5"/>
  <c r="AI73" i="5"/>
  <c r="AI59" i="5"/>
  <c r="AI76" i="5"/>
  <c r="AI62" i="5"/>
  <c r="AB55" i="5"/>
  <c r="AB69" i="5"/>
  <c r="AB66" i="5"/>
  <c r="AB52" i="5"/>
  <c r="CU71" i="18"/>
  <c r="CU57" i="18"/>
  <c r="DL69" i="18"/>
  <c r="DL55" i="18"/>
  <c r="DN46" i="18"/>
  <c r="DL45" i="18"/>
  <c r="DN45" i="18" s="1"/>
  <c r="Q62" i="18"/>
  <c r="Q76" i="18"/>
  <c r="Q72" i="18"/>
  <c r="Q58" i="18"/>
  <c r="CY60" i="18"/>
  <c r="CY74" i="18"/>
  <c r="BG62" i="18"/>
  <c r="BG76" i="18"/>
  <c r="P72" i="18"/>
  <c r="P58" i="18"/>
  <c r="P45" i="18"/>
  <c r="BK58" i="18"/>
  <c r="BK72" i="18"/>
  <c r="BK52" i="18"/>
  <c r="BK66" i="18"/>
  <c r="CT67" i="31"/>
  <c r="CT53" i="31"/>
  <c r="CT66" i="31"/>
  <c r="CT52" i="31"/>
  <c r="CT71" i="31"/>
  <c r="CT57" i="31"/>
  <c r="CQ67" i="31"/>
  <c r="CQ53" i="31"/>
  <c r="CM76" i="31"/>
  <c r="CM62" i="31"/>
  <c r="CI70" i="31"/>
  <c r="CI56" i="31"/>
  <c r="CF64" i="31"/>
  <c r="CF50" i="31"/>
  <c r="CB75" i="31"/>
  <c r="CB61" i="31"/>
  <c r="CA34" i="31"/>
  <c r="BZ34" i="31" s="1"/>
  <c r="CW34" i="18" s="1"/>
  <c r="BZ14" i="31"/>
  <c r="CA47" i="31"/>
  <c r="BZ47" i="31" s="1"/>
  <c r="CW47" i="18" s="1"/>
  <c r="BZ6" i="31"/>
  <c r="AV75" i="31"/>
  <c r="AV61" i="31"/>
  <c r="AV68" i="31"/>
  <c r="AV54" i="31"/>
  <c r="AV62" i="31"/>
  <c r="AV76" i="31"/>
  <c r="AS54" i="31"/>
  <c r="AS68" i="31"/>
  <c r="AO31" i="31"/>
  <c r="AO52" i="31"/>
  <c r="AO66" i="31"/>
  <c r="AK58" i="31"/>
  <c r="AK72" i="31"/>
  <c r="AD72" i="31"/>
  <c r="AD58" i="31"/>
  <c r="AD50" i="31"/>
  <c r="AD64" i="31"/>
  <c r="AK75" i="5"/>
  <c r="AK61" i="5"/>
  <c r="DM74" i="18"/>
  <c r="DM60" i="18"/>
  <c r="W31" i="18"/>
  <c r="W65" i="18"/>
  <c r="W51" i="18"/>
  <c r="BM53" i="18"/>
  <c r="BM67" i="18"/>
  <c r="DA64" i="18"/>
  <c r="DA50" i="18"/>
  <c r="DA31" i="18"/>
  <c r="R68" i="18"/>
  <c r="R54" i="18"/>
  <c r="BH57" i="18"/>
  <c r="BH71" i="18"/>
  <c r="CW56" i="31"/>
  <c r="CW70" i="31"/>
  <c r="CP70" i="31"/>
  <c r="CP56" i="31"/>
  <c r="CL75" i="31"/>
  <c r="CL61" i="31"/>
  <c r="CE62" i="31"/>
  <c r="CE76" i="31"/>
  <c r="AV31" i="30"/>
  <c r="AS31" i="42"/>
  <c r="AK45" i="30"/>
  <c r="AK31" i="43"/>
  <c r="DE74" i="18"/>
  <c r="DE60" i="18"/>
  <c r="CZ68" i="18"/>
  <c r="CZ54" i="18"/>
  <c r="BX54" i="41"/>
  <c r="BX68" i="41"/>
  <c r="BX64" i="29"/>
  <c r="BX50" i="29"/>
  <c r="BX31" i="29"/>
  <c r="BX52" i="41"/>
  <c r="BX66" i="41"/>
  <c r="CP45" i="30"/>
  <c r="BQ50" i="29"/>
  <c r="BQ64" i="29"/>
  <c r="BQ61" i="41"/>
  <c r="BQ75" i="41"/>
  <c r="BM62" i="29"/>
  <c r="BM76" i="29"/>
  <c r="BM50" i="41"/>
  <c r="BM64" i="41"/>
  <c r="BI67" i="29"/>
  <c r="BI53" i="29"/>
  <c r="BF76" i="29"/>
  <c r="BF62" i="29"/>
  <c r="BE51" i="29"/>
  <c r="BE65" i="29"/>
  <c r="BE65" i="41"/>
  <c r="BE51" i="41"/>
  <c r="BF58" i="41"/>
  <c r="BF72" i="41"/>
  <c r="BE57" i="41"/>
  <c r="BE71" i="41"/>
  <c r="BF31" i="41"/>
  <c r="BZ25" i="30"/>
  <c r="BE25" i="18" s="1"/>
  <c r="CA33" i="30"/>
  <c r="BZ33" i="30" s="1"/>
  <c r="BE33" i="18" s="1"/>
  <c r="BZ13" i="30"/>
  <c r="CA40" i="43"/>
  <c r="BZ4" i="43"/>
  <c r="CA46" i="43"/>
  <c r="BZ10" i="43"/>
  <c r="BZ9" i="43"/>
  <c r="BA29" i="29"/>
  <c r="BB57" i="29"/>
  <c r="BB71" i="29"/>
  <c r="BA17" i="29"/>
  <c r="BB66" i="29"/>
  <c r="BA66" i="29" s="1"/>
  <c r="N66" i="18" s="1"/>
  <c r="BB52" i="29"/>
  <c r="BB38" i="41"/>
  <c r="BA38" i="41" s="1"/>
  <c r="N38" i="38" s="1"/>
  <c r="BA2" i="41"/>
  <c r="BB64" i="41"/>
  <c r="BB50" i="41"/>
  <c r="BA25" i="41"/>
  <c r="BB73" i="41"/>
  <c r="BB59" i="41"/>
  <c r="BA7" i="41"/>
  <c r="BZ12" i="42"/>
  <c r="BZ24" i="42"/>
  <c r="AQ45" i="43"/>
  <c r="BZ51" i="43"/>
  <c r="CW51" i="38" s="1"/>
  <c r="AB51" i="43"/>
  <c r="AL51" i="32" s="1"/>
  <c r="BZ72" i="43"/>
  <c r="CW72" i="38" s="1"/>
  <c r="AB72" i="43"/>
  <c r="AL72" i="32" s="1"/>
  <c r="BZ55" i="43"/>
  <c r="CW55" i="38" s="1"/>
  <c r="BZ74" i="42"/>
  <c r="BE74" i="38" s="1"/>
  <c r="AB74" i="42"/>
  <c r="L74" i="32" s="1"/>
  <c r="G69" i="37"/>
  <c r="G55" i="37"/>
  <c r="CU31" i="30"/>
  <c r="BO55" i="29"/>
  <c r="BO69" i="29"/>
  <c r="BO67" i="41"/>
  <c r="BO53" i="41"/>
  <c r="BO58" i="41"/>
  <c r="BO72" i="41"/>
  <c r="V74" i="5"/>
  <c r="V60" i="5"/>
  <c r="W67" i="5"/>
  <c r="W53" i="5"/>
  <c r="S71" i="5"/>
  <c r="S57" i="5"/>
  <c r="V71" i="5"/>
  <c r="V57" i="5"/>
  <c r="S69" i="5"/>
  <c r="S55" i="5"/>
  <c r="V61" i="5"/>
  <c r="V75" i="5"/>
  <c r="S66" i="5"/>
  <c r="S52" i="5"/>
  <c r="S74" i="5"/>
  <c r="S60" i="5"/>
  <c r="BR51" i="29"/>
  <c r="BR65" i="29"/>
  <c r="BR54" i="29"/>
  <c r="BR68" i="29"/>
  <c r="BR71" i="41"/>
  <c r="BR57" i="41"/>
  <c r="BC56" i="29"/>
  <c r="BC70" i="29"/>
  <c r="AN31" i="30"/>
  <c r="AN45" i="43"/>
  <c r="AB28" i="43"/>
  <c r="AC43" i="43"/>
  <c r="AB43" i="43" s="1"/>
  <c r="AL43" i="32" s="1"/>
  <c r="AB10" i="43"/>
  <c r="AC46" i="43"/>
  <c r="AC46" i="42"/>
  <c r="AB10" i="42"/>
  <c r="AC32" i="42"/>
  <c r="AB3" i="42"/>
  <c r="AC43" i="42"/>
  <c r="AB43" i="42" s="1"/>
  <c r="L43" i="32" s="1"/>
  <c r="AB28" i="42"/>
  <c r="L28" i="32" s="1"/>
  <c r="AN65" i="37"/>
  <c r="AN51" i="37"/>
  <c r="AQ61" i="37"/>
  <c r="AQ75" i="37"/>
  <c r="P66" i="37"/>
  <c r="P52" i="37"/>
  <c r="R69" i="37"/>
  <c r="R55" i="37"/>
  <c r="Q53" i="37"/>
  <c r="Q67" i="37"/>
  <c r="AR71" i="37"/>
  <c r="AR57" i="37"/>
  <c r="AM69" i="37"/>
  <c r="AM55" i="37"/>
  <c r="AO45" i="37"/>
  <c r="T45" i="37"/>
  <c r="AO62" i="37"/>
  <c r="AO76" i="37"/>
  <c r="I45" i="37"/>
  <c r="P55" i="37"/>
  <c r="P69" i="37"/>
  <c r="AO67" i="37"/>
  <c r="AO53" i="37"/>
  <c r="I50" i="37"/>
  <c r="I64" i="37"/>
  <c r="P76" i="37"/>
  <c r="P62" i="37"/>
  <c r="R52" i="37"/>
  <c r="R66" i="37"/>
  <c r="T73" i="37"/>
  <c r="T59" i="37"/>
  <c r="AP45" i="37"/>
  <c r="AO58" i="37"/>
  <c r="AO72" i="37"/>
  <c r="BW59" i="41"/>
  <c r="BW73" i="41"/>
  <c r="BW75" i="41"/>
  <c r="BW61" i="41"/>
  <c r="CS45" i="43"/>
  <c r="BT76" i="29"/>
  <c r="BT62" i="29"/>
  <c r="BT69" i="41"/>
  <c r="BT55" i="41"/>
  <c r="BP56" i="29"/>
  <c r="BP70" i="29"/>
  <c r="CK31" i="43"/>
  <c r="BL62" i="29"/>
  <c r="BL76" i="29"/>
  <c r="BL73" i="41"/>
  <c r="BL59" i="41"/>
  <c r="BL58" i="41"/>
  <c r="BL72" i="41"/>
  <c r="BY61" i="41"/>
  <c r="BY75" i="41"/>
  <c r="BY68" i="41"/>
  <c r="BY54" i="41"/>
  <c r="AK76" i="18"/>
  <c r="AK62" i="18"/>
  <c r="BK72" i="29"/>
  <c r="BK58" i="29"/>
  <c r="BK72" i="41"/>
  <c r="BK58" i="41"/>
  <c r="DN42" i="38"/>
  <c r="DN44" i="38"/>
  <c r="BN67" i="29"/>
  <c r="BN53" i="29"/>
  <c r="BN56" i="29"/>
  <c r="BN70" i="29"/>
  <c r="BN60" i="41"/>
  <c r="BN74" i="41"/>
  <c r="BN62" i="41"/>
  <c r="BN76" i="41"/>
  <c r="H65" i="37"/>
  <c r="H51" i="37"/>
  <c r="AF31" i="30"/>
  <c r="BS74" i="29"/>
  <c r="BS60" i="29"/>
  <c r="BS66" i="41"/>
  <c r="BS52" i="41"/>
  <c r="BS54" i="29"/>
  <c r="BS68" i="29"/>
  <c r="BS71" i="41"/>
  <c r="BS57" i="41"/>
  <c r="BD57" i="29"/>
  <c r="BD71" i="29"/>
  <c r="BD52" i="29"/>
  <c r="BD66" i="29"/>
  <c r="BD31" i="41"/>
  <c r="BD65" i="41"/>
  <c r="BD51" i="41"/>
  <c r="AP31" i="43"/>
  <c r="BU61" i="41"/>
  <c r="BU75" i="41"/>
  <c r="BU71" i="29"/>
  <c r="BU57" i="29"/>
  <c r="BU66" i="29"/>
  <c r="BU52" i="29"/>
  <c r="BU31" i="41"/>
  <c r="CT45" i="42"/>
  <c r="BJ58" i="41"/>
  <c r="BJ72" i="41"/>
  <c r="BJ54" i="41"/>
  <c r="BJ68" i="41"/>
  <c r="H60" i="37"/>
  <c r="H74" i="37"/>
  <c r="Z62" i="18"/>
  <c r="Z76" i="18"/>
  <c r="D60" i="37"/>
  <c r="D74" i="37"/>
  <c r="Z57" i="18"/>
  <c r="Z71" i="18"/>
  <c r="D71" i="5"/>
  <c r="D57" i="5"/>
  <c r="C48" i="20"/>
  <c r="AJ59" i="5"/>
  <c r="AJ73" i="5"/>
  <c r="AU50" i="31"/>
  <c r="AU48" i="31" s="1"/>
  <c r="AU64" i="31"/>
  <c r="AZ62" i="31"/>
  <c r="AZ76" i="31"/>
  <c r="U69" i="18"/>
  <c r="U55" i="18"/>
  <c r="BJ51" i="18"/>
  <c r="BJ65" i="18"/>
  <c r="CJ60" i="31"/>
  <c r="CJ74" i="31"/>
  <c r="CQ72" i="31"/>
  <c r="CQ58" i="31"/>
  <c r="AV74" i="31"/>
  <c r="AV60" i="31"/>
  <c r="AK68" i="5"/>
  <c r="AK54" i="5"/>
  <c r="CW65" i="31"/>
  <c r="CW51" i="31"/>
  <c r="BX60" i="29"/>
  <c r="BX74" i="29"/>
  <c r="BM59" i="41"/>
  <c r="BM73" i="41"/>
  <c r="CA38" i="43"/>
  <c r="BZ2" i="43"/>
  <c r="BZ25" i="42"/>
  <c r="BZ56" i="30"/>
  <c r="BE56" i="18" s="1"/>
  <c r="AB56" i="30"/>
  <c r="L56" i="5" s="1"/>
  <c r="BV64" i="29"/>
  <c r="BV50" i="29"/>
  <c r="BO57" i="41"/>
  <c r="BO71" i="41"/>
  <c r="BH54" i="29"/>
  <c r="BH68" i="29"/>
  <c r="T60" i="5"/>
  <c r="T74" i="5"/>
  <c r="BC61" i="29"/>
  <c r="BC75" i="29"/>
  <c r="AB25" i="43"/>
  <c r="Q68" i="37"/>
  <c r="Q54" i="37"/>
  <c r="BW67" i="41"/>
  <c r="BW53" i="41"/>
  <c r="BT73" i="41"/>
  <c r="BT59" i="41"/>
  <c r="BY61" i="29"/>
  <c r="BY75" i="29"/>
  <c r="BS61" i="41"/>
  <c r="BS75" i="41"/>
  <c r="BJ66" i="41"/>
  <c r="BJ52" i="41"/>
  <c r="BG74" i="29"/>
  <c r="BG60" i="29"/>
  <c r="Z56" i="18"/>
  <c r="Z70" i="18"/>
  <c r="AR31" i="31"/>
  <c r="AU67" i="31"/>
  <c r="AU53" i="31"/>
  <c r="AF51" i="31"/>
  <c r="AF48" i="31" s="1"/>
  <c r="AF65" i="31"/>
  <c r="DD65" i="18"/>
  <c r="DD51" i="18"/>
  <c r="AW54" i="31"/>
  <c r="AW68" i="31"/>
  <c r="AP52" i="31"/>
  <c r="AP66" i="31"/>
  <c r="CU73" i="18"/>
  <c r="CU59" i="18"/>
  <c r="Q70" i="18"/>
  <c r="Q56" i="18"/>
  <c r="BK65" i="18"/>
  <c r="BK51" i="18"/>
  <c r="CM71" i="31"/>
  <c r="CM57" i="31"/>
  <c r="CA61" i="31"/>
  <c r="CA75" i="31"/>
  <c r="BZ18" i="31"/>
  <c r="AD55" i="31"/>
  <c r="AD69" i="31"/>
  <c r="W64" i="18"/>
  <c r="W50" i="18"/>
  <c r="H68" i="37"/>
  <c r="H54" i="37"/>
  <c r="DE67" i="18"/>
  <c r="DE53" i="18"/>
  <c r="CZ76" i="18"/>
  <c r="CZ62" i="18"/>
  <c r="BF61" i="41"/>
  <c r="BF75" i="41"/>
  <c r="BB76" i="41"/>
  <c r="BB62" i="41"/>
  <c r="BA27" i="41"/>
  <c r="BV69" i="29"/>
  <c r="BV55" i="29"/>
  <c r="BO61" i="41"/>
  <c r="BO75" i="41"/>
  <c r="BH73" i="29"/>
  <c r="BH59" i="29"/>
  <c r="U61" i="5"/>
  <c r="U75" i="5"/>
  <c r="BC60" i="29"/>
  <c r="BC74" i="29"/>
  <c r="AC35" i="42"/>
  <c r="AB35" i="42" s="1"/>
  <c r="L35" i="32" s="1"/>
  <c r="AB30" i="42"/>
  <c r="Y50" i="37"/>
  <c r="Z50" i="37" s="1"/>
  <c r="Y64" i="37"/>
  <c r="T74" i="37"/>
  <c r="T60" i="37"/>
  <c r="DG70" i="18"/>
  <c r="DG56" i="18"/>
  <c r="CJ31" i="43"/>
  <c r="BD62" i="29"/>
  <c r="BD76" i="29"/>
  <c r="BD69" i="41"/>
  <c r="BD55" i="41"/>
  <c r="BU76" i="29"/>
  <c r="BU62" i="29"/>
  <c r="BJ65" i="29"/>
  <c r="BJ51" i="29"/>
  <c r="BG31" i="41"/>
  <c r="BG71" i="41"/>
  <c r="BG57" i="41"/>
  <c r="D69" i="5"/>
  <c r="D55" i="5"/>
  <c r="AY50" i="31"/>
  <c r="AY64" i="31"/>
  <c r="AR73" i="31"/>
  <c r="AR59" i="31"/>
  <c r="AN69" i="31"/>
  <c r="AN55" i="31"/>
  <c r="AJ31" i="31"/>
  <c r="AJ71" i="31"/>
  <c r="AJ57" i="31"/>
  <c r="AG59" i="31"/>
  <c r="AG73" i="31"/>
  <c r="AG53" i="31"/>
  <c r="AG67" i="31"/>
  <c r="AC46" i="31"/>
  <c r="AB10" i="31"/>
  <c r="AL10" i="5" s="1"/>
  <c r="AC36" i="30"/>
  <c r="AB36" i="30" s="1"/>
  <c r="L36" i="5" s="1"/>
  <c r="M36" i="5" s="1"/>
  <c r="AB26" i="30"/>
  <c r="AC40" i="31"/>
  <c r="AB40" i="31" s="1"/>
  <c r="AL40" i="5" s="1"/>
  <c r="AM40" i="5" s="1"/>
  <c r="AB4" i="31"/>
  <c r="AC43" i="30"/>
  <c r="AB43" i="30" s="1"/>
  <c r="L43" i="5" s="1"/>
  <c r="M43" i="5" s="1"/>
  <c r="AB28" i="30"/>
  <c r="AC33" i="30"/>
  <c r="AB33" i="30" s="1"/>
  <c r="L33" i="5" s="1"/>
  <c r="M33" i="5" s="1"/>
  <c r="AB13" i="30"/>
  <c r="J76" i="5"/>
  <c r="J62" i="5"/>
  <c r="AJ69" i="5"/>
  <c r="AJ55" i="5"/>
  <c r="AJ66" i="5"/>
  <c r="AJ52" i="5"/>
  <c r="AA72" i="5"/>
  <c r="AA58" i="5"/>
  <c r="X54" i="18"/>
  <c r="X68" i="18"/>
  <c r="X76" i="18"/>
  <c r="X62" i="18"/>
  <c r="BO31" i="18"/>
  <c r="BO52" i="18"/>
  <c r="BO66" i="18"/>
  <c r="T74" i="18"/>
  <c r="T60" i="18"/>
  <c r="BF55" i="18"/>
  <c r="BF69" i="18"/>
  <c r="CS74" i="31"/>
  <c r="CS60" i="31"/>
  <c r="CO74" i="31"/>
  <c r="CO60" i="31"/>
  <c r="CO69" i="31"/>
  <c r="CO55" i="31"/>
  <c r="CK52" i="31"/>
  <c r="CK66" i="31"/>
  <c r="CK71" i="31"/>
  <c r="CK57" i="31"/>
  <c r="CD60" i="31"/>
  <c r="CD74" i="31"/>
  <c r="CD72" i="31"/>
  <c r="CD58" i="31"/>
  <c r="CC51" i="31"/>
  <c r="CC65" i="31"/>
  <c r="AX67" i="31"/>
  <c r="AX53" i="31"/>
  <c r="AX73" i="31"/>
  <c r="AX59" i="31"/>
  <c r="AX65" i="31"/>
  <c r="AX51" i="31"/>
  <c r="AU58" i="31"/>
  <c r="AU72" i="31"/>
  <c r="AU31" i="31"/>
  <c r="AQ45" i="31"/>
  <c r="AZ60" i="31"/>
  <c r="AZ74" i="31"/>
  <c r="AF73" i="31"/>
  <c r="AF59" i="31"/>
  <c r="AF64" i="31"/>
  <c r="AF50" i="31"/>
  <c r="U48" i="18"/>
  <c r="U67" i="18"/>
  <c r="U53" i="18"/>
  <c r="DD64" i="18"/>
  <c r="DD50" i="18"/>
  <c r="BL76" i="18"/>
  <c r="BL62" i="18"/>
  <c r="BL72" i="18"/>
  <c r="BL58" i="18"/>
  <c r="O75" i="18"/>
  <c r="O61" i="18"/>
  <c r="DB76" i="18"/>
  <c r="DB62" i="18"/>
  <c r="DB74" i="18"/>
  <c r="DB60" i="18"/>
  <c r="BJ57" i="18"/>
  <c r="BJ71" i="18"/>
  <c r="CR72" i="31"/>
  <c r="CR58" i="31"/>
  <c r="CN54" i="31"/>
  <c r="CN68" i="31"/>
  <c r="CN65" i="31"/>
  <c r="CN51" i="31"/>
  <c r="CG73" i="31"/>
  <c r="CG59" i="31"/>
  <c r="AW60" i="31"/>
  <c r="AW74" i="31"/>
  <c r="AP54" i="31"/>
  <c r="AP68" i="31"/>
  <c r="AP51" i="31"/>
  <c r="AP65" i="31"/>
  <c r="AI52" i="31"/>
  <c r="AI66" i="31"/>
  <c r="AE56" i="31"/>
  <c r="AE70" i="31"/>
  <c r="AI31" i="5"/>
  <c r="AI70" i="5"/>
  <c r="AI56" i="5"/>
  <c r="AB67" i="5"/>
  <c r="AB53" i="5"/>
  <c r="AO65" i="5"/>
  <c r="AO51" i="5"/>
  <c r="BC45" i="18"/>
  <c r="CU68" i="18"/>
  <c r="CU54" i="18"/>
  <c r="CU51" i="18"/>
  <c r="CU65" i="18"/>
  <c r="DL51" i="18"/>
  <c r="DL65" i="18"/>
  <c r="Q65" i="18"/>
  <c r="Q51" i="18"/>
  <c r="CY45" i="18"/>
  <c r="BG45" i="18"/>
  <c r="BG55" i="18"/>
  <c r="BG69" i="18"/>
  <c r="P66" i="18"/>
  <c r="P52" i="18"/>
  <c r="DC64" i="18"/>
  <c r="DC50" i="18"/>
  <c r="BK56" i="18"/>
  <c r="BK70" i="18"/>
  <c r="BK31" i="18"/>
  <c r="CT70" i="31"/>
  <c r="CT56" i="31"/>
  <c r="CQ70" i="31"/>
  <c r="CQ56" i="31"/>
  <c r="CM45" i="31"/>
  <c r="CM61" i="31"/>
  <c r="CM75" i="31"/>
  <c r="CF72" i="31"/>
  <c r="CF58" i="31"/>
  <c r="CB54" i="31"/>
  <c r="CB68" i="31"/>
  <c r="CB65" i="31"/>
  <c r="CB51" i="31"/>
  <c r="CA65" i="31"/>
  <c r="CA51" i="31"/>
  <c r="BZ21" i="31"/>
  <c r="CA56" i="31"/>
  <c r="CA70" i="31"/>
  <c r="BZ20" i="31"/>
  <c r="CA68" i="31"/>
  <c r="CA54" i="31"/>
  <c r="BZ9" i="31"/>
  <c r="AV56" i="31"/>
  <c r="AV70" i="31"/>
  <c r="AS56" i="31"/>
  <c r="AS70" i="31"/>
  <c r="AO71" i="31"/>
  <c r="AO57" i="31"/>
  <c r="AK48" i="31"/>
  <c r="AK52" i="31"/>
  <c r="AK66" i="31"/>
  <c r="AH45" i="31"/>
  <c r="AK73" i="5"/>
  <c r="AK59" i="5"/>
  <c r="AK62" i="5"/>
  <c r="AK76" i="5"/>
  <c r="DM75" i="18"/>
  <c r="DM61" i="18"/>
  <c r="W76" i="18"/>
  <c r="W62" i="18"/>
  <c r="BM54" i="18"/>
  <c r="BM68" i="18"/>
  <c r="DA66" i="18"/>
  <c r="DA52" i="18"/>
  <c r="DA68" i="18"/>
  <c r="DA54" i="18"/>
  <c r="BI66" i="18"/>
  <c r="BI52" i="18"/>
  <c r="BH53" i="18"/>
  <c r="BH67" i="18"/>
  <c r="BZ39" i="31"/>
  <c r="CW39" i="18" s="1"/>
  <c r="CL53" i="31"/>
  <c r="CL67" i="31"/>
  <c r="CL65" i="31"/>
  <c r="CL51" i="31"/>
  <c r="CH51" i="31"/>
  <c r="CH65" i="31"/>
  <c r="CH68" i="31"/>
  <c r="CH54" i="31"/>
  <c r="CE61" i="31"/>
  <c r="CE75" i="31"/>
  <c r="BN61" i="18"/>
  <c r="BN75" i="18"/>
  <c r="H72" i="37"/>
  <c r="H58" i="37"/>
  <c r="AV31" i="43"/>
  <c r="AO45" i="30"/>
  <c r="BD51" i="18"/>
  <c r="BD65" i="18"/>
  <c r="BD67" i="18"/>
  <c r="BD53" i="18"/>
  <c r="CZ69" i="18"/>
  <c r="CZ55" i="18"/>
  <c r="CW31" i="30"/>
  <c r="CW31" i="43"/>
  <c r="BX70" i="41"/>
  <c r="BX56" i="41"/>
  <c r="BM69" i="29"/>
  <c r="BM55" i="29"/>
  <c r="BM60" i="29"/>
  <c r="BM74" i="29"/>
  <c r="BM31" i="29"/>
  <c r="CL45" i="42"/>
  <c r="CH31" i="30"/>
  <c r="BI68" i="29"/>
  <c r="BI54" i="29"/>
  <c r="BI74" i="41"/>
  <c r="BI60" i="41"/>
  <c r="BI67" i="41"/>
  <c r="BI53" i="41"/>
  <c r="CH31" i="42"/>
  <c r="CE31" i="30"/>
  <c r="BE59" i="29"/>
  <c r="BE73" i="29"/>
  <c r="BF55" i="29"/>
  <c r="BF69" i="29"/>
  <c r="BF60" i="29"/>
  <c r="BF74" i="29"/>
  <c r="BE61" i="29"/>
  <c r="BE75" i="29"/>
  <c r="BE66" i="41"/>
  <c r="BE52" i="41"/>
  <c r="BE67" i="41"/>
  <c r="BE53" i="41"/>
  <c r="CE31" i="42"/>
  <c r="CA37" i="30"/>
  <c r="BZ37" i="30" s="1"/>
  <c r="BE37" i="18" s="1"/>
  <c r="BZ22" i="30"/>
  <c r="BE22" i="18" s="1"/>
  <c r="CA46" i="30"/>
  <c r="BZ10" i="30"/>
  <c r="BZ27" i="43"/>
  <c r="CA34" i="43"/>
  <c r="BZ14" i="43"/>
  <c r="BZ18" i="43"/>
  <c r="BA26" i="29"/>
  <c r="BB36" i="29"/>
  <c r="BA36" i="29" s="1"/>
  <c r="N36" i="18" s="1"/>
  <c r="BA14" i="29"/>
  <c r="BB34" i="29"/>
  <c r="BB44" i="41"/>
  <c r="BA44" i="41" s="1"/>
  <c r="N44" i="38" s="1"/>
  <c r="BA15" i="41"/>
  <c r="BB41" i="41"/>
  <c r="BA41" i="41" s="1"/>
  <c r="N41" i="38" s="1"/>
  <c r="BA8" i="41"/>
  <c r="CA32" i="42"/>
  <c r="BZ3" i="42"/>
  <c r="CA44" i="42"/>
  <c r="BZ44" i="42" s="1"/>
  <c r="BE44" i="38" s="1"/>
  <c r="BZ15" i="42"/>
  <c r="BZ27" i="42"/>
  <c r="AB55" i="30"/>
  <c r="L55" i="5" s="1"/>
  <c r="M55" i="5" s="1"/>
  <c r="AB75" i="43"/>
  <c r="AL75" i="32" s="1"/>
  <c r="AZ31" i="42"/>
  <c r="J49" i="37"/>
  <c r="G75" i="37"/>
  <c r="G61" i="37"/>
  <c r="BO57" i="29"/>
  <c r="BO71" i="29"/>
  <c r="BO31" i="41"/>
  <c r="BO59" i="29"/>
  <c r="BO73" i="29"/>
  <c r="BH70" i="29"/>
  <c r="BH56" i="29"/>
  <c r="BH67" i="41"/>
  <c r="BH53" i="41"/>
  <c r="BH48" i="41"/>
  <c r="T50" i="5"/>
  <c r="T64" i="5"/>
  <c r="T55" i="5"/>
  <c r="T69" i="5"/>
  <c r="S62" i="5"/>
  <c r="S76" i="5"/>
  <c r="K51" i="5"/>
  <c r="K65" i="5"/>
  <c r="U56" i="5"/>
  <c r="U70" i="5"/>
  <c r="K58" i="5"/>
  <c r="K72" i="5"/>
  <c r="K68" i="5"/>
  <c r="K54" i="5"/>
  <c r="CQ31" i="30"/>
  <c r="BR61" i="29"/>
  <c r="BR75" i="29"/>
  <c r="BR31" i="29"/>
  <c r="BR67" i="41"/>
  <c r="BR53" i="41"/>
  <c r="CB31" i="30"/>
  <c r="BC52" i="29"/>
  <c r="BC66" i="29"/>
  <c r="BC58" i="41"/>
  <c r="BC72" i="41"/>
  <c r="BC45" i="41"/>
  <c r="AJ31" i="30"/>
  <c r="AB5" i="43"/>
  <c r="AB27" i="43"/>
  <c r="AB16" i="42"/>
  <c r="AC42" i="42"/>
  <c r="AB42" i="42" s="1"/>
  <c r="L42" i="32" s="1"/>
  <c r="AB19" i="42"/>
  <c r="AN68" i="37"/>
  <c r="AN54" i="37"/>
  <c r="AQ64" i="37"/>
  <c r="AQ50" i="37"/>
  <c r="AN31" i="37"/>
  <c r="Y45" i="37"/>
  <c r="AP51" i="37"/>
  <c r="AP65" i="37"/>
  <c r="AR67" i="37"/>
  <c r="AR53" i="37"/>
  <c r="Y60" i="37"/>
  <c r="Z60" i="37" s="1"/>
  <c r="Y74" i="37"/>
  <c r="Z74" i="37" s="1"/>
  <c r="P57" i="37"/>
  <c r="P71" i="37"/>
  <c r="T68" i="37"/>
  <c r="T54" i="37"/>
  <c r="Y67" i="37"/>
  <c r="Y53" i="37"/>
  <c r="Q64" i="37"/>
  <c r="Q50" i="37"/>
  <c r="AO31" i="37"/>
  <c r="S51" i="37"/>
  <c r="S65" i="37"/>
  <c r="P74" i="37"/>
  <c r="P60" i="37"/>
  <c r="S55" i="37"/>
  <c r="S69" i="37"/>
  <c r="R67" i="37"/>
  <c r="R53" i="37"/>
  <c r="DG72" i="18"/>
  <c r="DG58" i="18"/>
  <c r="DG52" i="18"/>
  <c r="DG66" i="18"/>
  <c r="BW71" i="29"/>
  <c r="BW57" i="29"/>
  <c r="BW69" i="29"/>
  <c r="BW55" i="29"/>
  <c r="BW51" i="41"/>
  <c r="BW65" i="41"/>
  <c r="BW67" i="29"/>
  <c r="BW53" i="29"/>
  <c r="BT55" i="29"/>
  <c r="BT69" i="29"/>
  <c r="BT74" i="29"/>
  <c r="BT60" i="29"/>
  <c r="BT60" i="41"/>
  <c r="BT74" i="41"/>
  <c r="BT62" i="41"/>
  <c r="BT76" i="41"/>
  <c r="BP59" i="29"/>
  <c r="BP73" i="29"/>
  <c r="BP57" i="29"/>
  <c r="BP71" i="29"/>
  <c r="BP52" i="29"/>
  <c r="BP66" i="29"/>
  <c r="CO31" i="42"/>
  <c r="BL69" i="29"/>
  <c r="BL55" i="29"/>
  <c r="BL60" i="29"/>
  <c r="BL74" i="29"/>
  <c r="BL31" i="29"/>
  <c r="BL71" i="41"/>
  <c r="BL57" i="41"/>
  <c r="BY58" i="29"/>
  <c r="BY72" i="29"/>
  <c r="BY71" i="41"/>
  <c r="BY57" i="41"/>
  <c r="CX45" i="42"/>
  <c r="AK75" i="18"/>
  <c r="AK61" i="18"/>
  <c r="AK69" i="18"/>
  <c r="AK55" i="18"/>
  <c r="AK52" i="18"/>
  <c r="AK66" i="18"/>
  <c r="AM45" i="42"/>
  <c r="BK59" i="41"/>
  <c r="BK73" i="41"/>
  <c r="BK73" i="29"/>
  <c r="BK59" i="29"/>
  <c r="AI31" i="30"/>
  <c r="AI31" i="43"/>
  <c r="DN39" i="38"/>
  <c r="DN47" i="38"/>
  <c r="BN57" i="29"/>
  <c r="BN71" i="29"/>
  <c r="BN66" i="29"/>
  <c r="BN52" i="29"/>
  <c r="BN66" i="41"/>
  <c r="BN52" i="41"/>
  <c r="AF31" i="43"/>
  <c r="BS56" i="41"/>
  <c r="BS70" i="41"/>
  <c r="CR31" i="42"/>
  <c r="CC31" i="43"/>
  <c r="BD64" i="41"/>
  <c r="BD50" i="41"/>
  <c r="CT31" i="43"/>
  <c r="BU68" i="29"/>
  <c r="BU54" i="29"/>
  <c r="BU69" i="41"/>
  <c r="BU55" i="41"/>
  <c r="BJ68" i="29"/>
  <c r="BJ54" i="29"/>
  <c r="BJ70" i="29"/>
  <c r="BJ56" i="29"/>
  <c r="BJ71" i="41"/>
  <c r="BJ57" i="41"/>
  <c r="BG52" i="29"/>
  <c r="BG66" i="29"/>
  <c r="BG59" i="41"/>
  <c r="BG73" i="41"/>
  <c r="BG61" i="41"/>
  <c r="BG75" i="41"/>
  <c r="D52" i="5"/>
  <c r="D66" i="5"/>
  <c r="D53" i="37"/>
  <c r="D67" i="37"/>
  <c r="D65" i="5"/>
  <c r="D51" i="5"/>
  <c r="D76" i="37"/>
  <c r="D62" i="37"/>
  <c r="Z53" i="37"/>
  <c r="AC34" i="31"/>
  <c r="AB34" i="31" s="1"/>
  <c r="AL34" i="5" s="1"/>
  <c r="AM34" i="5" s="1"/>
  <c r="AB14" i="31"/>
  <c r="AC46" i="5"/>
  <c r="AA45" i="5"/>
  <c r="AC45" i="5" s="1"/>
  <c r="AZ53" i="31"/>
  <c r="AZ67" i="31"/>
  <c r="DD68" i="18"/>
  <c r="DD54" i="18"/>
  <c r="BJ59" i="18"/>
  <c r="BJ73" i="18"/>
  <c r="CN59" i="31"/>
  <c r="CN73" i="31"/>
  <c r="CG57" i="31"/>
  <c r="CG71" i="31"/>
  <c r="AI65" i="5"/>
  <c r="AI51" i="5"/>
  <c r="BC61" i="18"/>
  <c r="BC75" i="18"/>
  <c r="CB59" i="31"/>
  <c r="CB73" i="31"/>
  <c r="AD56" i="31"/>
  <c r="AD70" i="31"/>
  <c r="CH66" i="31"/>
  <c r="CH52" i="31"/>
  <c r="BQ60" i="29"/>
  <c r="BQ74" i="29"/>
  <c r="BI50" i="29"/>
  <c r="BI48" i="29" s="1"/>
  <c r="BI64" i="29"/>
  <c r="BE64" i="41"/>
  <c r="BE50" i="41"/>
  <c r="BA16" i="29"/>
  <c r="BB58" i="29"/>
  <c r="BB72" i="29"/>
  <c r="BO54" i="29"/>
  <c r="BO68" i="29"/>
  <c r="W72" i="5"/>
  <c r="W58" i="5"/>
  <c r="BR70" i="41"/>
  <c r="BR56" i="41"/>
  <c r="BC51" i="29"/>
  <c r="BC65" i="29"/>
  <c r="AB2" i="43"/>
  <c r="AL2" i="32" s="1"/>
  <c r="AC38" i="43"/>
  <c r="AB38" i="43" s="1"/>
  <c r="AL38" i="32" s="1"/>
  <c r="AM38" i="32" s="1"/>
  <c r="P59" i="37"/>
  <c r="P73" i="37"/>
  <c r="BT64" i="41"/>
  <c r="BT50" i="41"/>
  <c r="BP59" i="41"/>
  <c r="BP73" i="41"/>
  <c r="BK57" i="41"/>
  <c r="BK71" i="41"/>
  <c r="AJ45" i="31"/>
  <c r="AC46" i="30"/>
  <c r="AB10" i="30"/>
  <c r="CS61" i="31"/>
  <c r="CS75" i="31"/>
  <c r="U31" i="18"/>
  <c r="CN56" i="31"/>
  <c r="CN70" i="31"/>
  <c r="AE54" i="31"/>
  <c r="AE68" i="31"/>
  <c r="AB57" i="5"/>
  <c r="AB71" i="5"/>
  <c r="BK59" i="18"/>
  <c r="BK73" i="18"/>
  <c r="BI52" i="41"/>
  <c r="BI66" i="41"/>
  <c r="CA39" i="30"/>
  <c r="BZ11" i="30"/>
  <c r="CA36" i="42"/>
  <c r="BZ36" i="42" s="1"/>
  <c r="BE36" i="38" s="1"/>
  <c r="BZ26" i="42"/>
  <c r="T51" i="5"/>
  <c r="T65" i="5"/>
  <c r="AC34" i="42"/>
  <c r="AB34" i="42" s="1"/>
  <c r="L34" i="32" s="1"/>
  <c r="AB14" i="42"/>
  <c r="P68" i="37"/>
  <c r="P54" i="37"/>
  <c r="CS31" i="43"/>
  <c r="BL61" i="41"/>
  <c r="BL75" i="41"/>
  <c r="AK74" i="18"/>
  <c r="AK60" i="18"/>
  <c r="BK31" i="41"/>
  <c r="BN61" i="29"/>
  <c r="BN75" i="29"/>
  <c r="BN58" i="41"/>
  <c r="BN72" i="41"/>
  <c r="BS59" i="29"/>
  <c r="BS73" i="29"/>
  <c r="BU53" i="41"/>
  <c r="BU67" i="41"/>
  <c r="BJ73" i="29"/>
  <c r="BJ59" i="29"/>
  <c r="BJ75" i="41"/>
  <c r="BJ61" i="41"/>
  <c r="BG51" i="29"/>
  <c r="BG65" i="29"/>
  <c r="BG54" i="29"/>
  <c r="BG68" i="29"/>
  <c r="D59" i="37"/>
  <c r="D73" i="37"/>
  <c r="D56" i="5"/>
  <c r="D70" i="5"/>
  <c r="J42" i="37"/>
  <c r="BI31" i="18"/>
  <c r="AY71" i="31"/>
  <c r="AY57" i="31"/>
  <c r="AY62" i="31"/>
  <c r="AY76" i="31"/>
  <c r="AR53" i="31"/>
  <c r="AR67" i="31"/>
  <c r="AN52" i="31"/>
  <c r="AN66" i="31"/>
  <c r="AJ73" i="31"/>
  <c r="AJ59" i="31"/>
  <c r="AJ53" i="31"/>
  <c r="AJ67" i="31"/>
  <c r="AJ76" i="31"/>
  <c r="AJ62" i="31"/>
  <c r="AG54" i="31"/>
  <c r="AG68" i="31"/>
  <c r="AC33" i="31"/>
  <c r="AB33" i="31" s="1"/>
  <c r="AL33" i="5" s="1"/>
  <c r="AM33" i="5" s="1"/>
  <c r="AB13" i="31"/>
  <c r="AC35" i="30"/>
  <c r="AB35" i="30" s="1"/>
  <c r="L35" i="5" s="1"/>
  <c r="M35" i="5" s="1"/>
  <c r="AB30" i="30"/>
  <c r="L30" i="5" s="1"/>
  <c r="AC41" i="31"/>
  <c r="AB41" i="31" s="1"/>
  <c r="AL41" i="5" s="1"/>
  <c r="AM41" i="5" s="1"/>
  <c r="AB8" i="31"/>
  <c r="AC39" i="31"/>
  <c r="AB39" i="31" s="1"/>
  <c r="AL39" i="5" s="1"/>
  <c r="AB11" i="31"/>
  <c r="AB17" i="30"/>
  <c r="J53" i="5"/>
  <c r="J67" i="5"/>
  <c r="M34" i="5"/>
  <c r="AA68" i="5"/>
  <c r="AA54" i="5"/>
  <c r="AJ70" i="5"/>
  <c r="AJ56" i="5"/>
  <c r="AJ53" i="5"/>
  <c r="AJ67" i="5"/>
  <c r="AA65" i="5"/>
  <c r="AA51" i="5"/>
  <c r="X71" i="18"/>
  <c r="X57" i="18"/>
  <c r="CX66" i="18"/>
  <c r="CX52" i="18"/>
  <c r="CX69" i="18"/>
  <c r="CX55" i="18"/>
  <c r="CV31" i="31"/>
  <c r="CV62" i="31"/>
  <c r="CV76" i="31"/>
  <c r="CS56" i="31"/>
  <c r="CS70" i="31"/>
  <c r="CO31" i="31"/>
  <c r="CO50" i="31"/>
  <c r="CO64" i="31"/>
  <c r="CK61" i="31"/>
  <c r="CK75" i="31"/>
  <c r="CX67" i="31"/>
  <c r="CX53" i="31"/>
  <c r="CD31" i="31"/>
  <c r="CD66" i="31"/>
  <c r="CD52" i="31"/>
  <c r="CD71" i="31"/>
  <c r="CD57" i="31"/>
  <c r="AX68" i="31"/>
  <c r="AX54" i="31"/>
  <c r="AX50" i="31"/>
  <c r="AX48" i="31" s="1"/>
  <c r="AX64" i="31"/>
  <c r="AU70" i="31"/>
  <c r="AU56" i="31"/>
  <c r="AU73" i="31"/>
  <c r="AU59" i="31"/>
  <c r="AM53" i="31"/>
  <c r="AM67" i="31"/>
  <c r="AZ75" i="31"/>
  <c r="AZ61" i="31"/>
  <c r="AZ58" i="31"/>
  <c r="AZ72" i="31"/>
  <c r="AF57" i="31"/>
  <c r="AF71" i="31"/>
  <c r="CT53" i="18"/>
  <c r="CT67" i="18"/>
  <c r="U65" i="18"/>
  <c r="U51" i="18"/>
  <c r="U73" i="18"/>
  <c r="U59" i="18"/>
  <c r="DD76" i="18"/>
  <c r="DD62" i="18"/>
  <c r="DD71" i="18"/>
  <c r="DD57" i="18"/>
  <c r="BL57" i="18"/>
  <c r="BL71" i="18"/>
  <c r="O50" i="18"/>
  <c r="O48" i="18" s="1"/>
  <c r="O64" i="18"/>
  <c r="DB58" i="18"/>
  <c r="DB72" i="18"/>
  <c r="BJ62" i="18"/>
  <c r="BJ76" i="18"/>
  <c r="CU74" i="31"/>
  <c r="CU60" i="31"/>
  <c r="CU69" i="31"/>
  <c r="CU55" i="31"/>
  <c r="CR67" i="31"/>
  <c r="CR53" i="31"/>
  <c r="CR66" i="31"/>
  <c r="CR52" i="31"/>
  <c r="CR71" i="31"/>
  <c r="CR57" i="31"/>
  <c r="CJ31" i="31"/>
  <c r="CJ62" i="31"/>
  <c r="CJ76" i="31"/>
  <c r="CG56" i="31"/>
  <c r="CG70" i="31"/>
  <c r="AW72" i="31"/>
  <c r="AW58" i="31"/>
  <c r="AP60" i="31"/>
  <c r="AP74" i="31"/>
  <c r="AP50" i="31"/>
  <c r="AP64" i="31"/>
  <c r="AI65" i="31"/>
  <c r="AI51" i="31"/>
  <c r="AE60" i="31"/>
  <c r="AE74" i="31"/>
  <c r="AE55" i="31"/>
  <c r="AE69" i="31"/>
  <c r="AI57" i="5"/>
  <c r="AI71" i="5"/>
  <c r="AB60" i="5"/>
  <c r="AB74" i="5"/>
  <c r="AO69" i="5"/>
  <c r="AO55" i="5"/>
  <c r="AO73" i="5"/>
  <c r="AO59" i="5"/>
  <c r="AO53" i="5"/>
  <c r="AO67" i="5"/>
  <c r="BC62" i="18"/>
  <c r="BC76" i="18"/>
  <c r="BP33" i="18"/>
  <c r="CU72" i="18"/>
  <c r="CU58" i="18"/>
  <c r="CU64" i="18"/>
  <c r="CU50" i="18"/>
  <c r="DL64" i="18"/>
  <c r="DL50" i="18"/>
  <c r="Q71" i="18"/>
  <c r="Q57" i="18"/>
  <c r="Q69" i="18"/>
  <c r="Q55" i="18"/>
  <c r="P69" i="18"/>
  <c r="P55" i="18"/>
  <c r="DC76" i="18"/>
  <c r="DC62" i="18"/>
  <c r="BK60" i="18"/>
  <c r="BK74" i="18"/>
  <c r="BK50" i="18"/>
  <c r="BK64" i="18"/>
  <c r="CT51" i="31"/>
  <c r="CT65" i="31"/>
  <c r="CQ31" i="31"/>
  <c r="CQ68" i="31"/>
  <c r="CQ54" i="31"/>
  <c r="CM59" i="31"/>
  <c r="CM73" i="31"/>
  <c r="CI52" i="31"/>
  <c r="CI66" i="31"/>
  <c r="CI73" i="31"/>
  <c r="CI59" i="31"/>
  <c r="CF67" i="31"/>
  <c r="CF53" i="31"/>
  <c r="CF66" i="31"/>
  <c r="CF52" i="31"/>
  <c r="CF71" i="31"/>
  <c r="CF57" i="31"/>
  <c r="CA57" i="31"/>
  <c r="CA71" i="31"/>
  <c r="BZ29" i="31"/>
  <c r="CA37" i="31"/>
  <c r="BZ37" i="31" s="1"/>
  <c r="CW37" i="18" s="1"/>
  <c r="BZ22" i="31"/>
  <c r="CA46" i="31"/>
  <c r="CA45" i="31" s="1"/>
  <c r="BZ10" i="31"/>
  <c r="AV55" i="31"/>
  <c r="AV69" i="31"/>
  <c r="AS69" i="31"/>
  <c r="AS55" i="31"/>
  <c r="AO61" i="31"/>
  <c r="AO75" i="31"/>
  <c r="AO53" i="31"/>
  <c r="AO67" i="31"/>
  <c r="AK62" i="31"/>
  <c r="AK76" i="31"/>
  <c r="AK51" i="31"/>
  <c r="AK65" i="31"/>
  <c r="AH76" i="31"/>
  <c r="AH62" i="31"/>
  <c r="AK69" i="5"/>
  <c r="AK55" i="5"/>
  <c r="DM70" i="18"/>
  <c r="DM56" i="18"/>
  <c r="W67" i="18"/>
  <c r="W53" i="18"/>
  <c r="W71" i="18"/>
  <c r="W57" i="18"/>
  <c r="BM56" i="18"/>
  <c r="BM70" i="18"/>
  <c r="BI53" i="18"/>
  <c r="BI67" i="18"/>
  <c r="R65" i="18"/>
  <c r="R51" i="18"/>
  <c r="R72" i="18"/>
  <c r="R58" i="18"/>
  <c r="BH59" i="18"/>
  <c r="BH73" i="18"/>
  <c r="CW60" i="31"/>
  <c r="CW74" i="31"/>
  <c r="CW69" i="31"/>
  <c r="CW55" i="31"/>
  <c r="CP76" i="31"/>
  <c r="CP62" i="31"/>
  <c r="CP74" i="31"/>
  <c r="CP60" i="31"/>
  <c r="CL59" i="31"/>
  <c r="CL73" i="31"/>
  <c r="CH75" i="31"/>
  <c r="CH61" i="31"/>
  <c r="CH45" i="31"/>
  <c r="CE73" i="31"/>
  <c r="CE59" i="31"/>
  <c r="BN59" i="18"/>
  <c r="BN73" i="18"/>
  <c r="AO31" i="43"/>
  <c r="AK31" i="42"/>
  <c r="AH31" i="30"/>
  <c r="BD52" i="18"/>
  <c r="BD66" i="18"/>
  <c r="DE75" i="18"/>
  <c r="DE61" i="18"/>
  <c r="CZ70" i="18"/>
  <c r="CZ56" i="18"/>
  <c r="BZ34" i="43"/>
  <c r="CW34" i="38" s="1"/>
  <c r="BX68" i="29"/>
  <c r="BX54" i="29"/>
  <c r="BX65" i="29"/>
  <c r="BX51" i="29"/>
  <c r="BX31" i="41"/>
  <c r="BX65" i="41"/>
  <c r="BX51" i="41"/>
  <c r="BX71" i="41"/>
  <c r="BX57" i="41"/>
  <c r="CW45" i="42"/>
  <c r="BQ51" i="29"/>
  <c r="BQ48" i="29" s="1"/>
  <c r="BQ65" i="29"/>
  <c r="BQ65" i="41"/>
  <c r="BQ51" i="41"/>
  <c r="CP45" i="42"/>
  <c r="BI73" i="29"/>
  <c r="BI59" i="29"/>
  <c r="BI70" i="41"/>
  <c r="BI56" i="41"/>
  <c r="CD45" i="30"/>
  <c r="BF45" i="29"/>
  <c r="BE57" i="29"/>
  <c r="BE71" i="29"/>
  <c r="BE52" i="29"/>
  <c r="BE66" i="29"/>
  <c r="BE31" i="29"/>
  <c r="BF70" i="41"/>
  <c r="BF56" i="41"/>
  <c r="BF73" i="41"/>
  <c r="BF59" i="41"/>
  <c r="BZ21" i="30"/>
  <c r="BZ9" i="30"/>
  <c r="CA41" i="43"/>
  <c r="BZ41" i="43" s="1"/>
  <c r="CW41" i="38" s="1"/>
  <c r="BZ8" i="43"/>
  <c r="CA32" i="43"/>
  <c r="BZ3" i="43"/>
  <c r="BA6" i="29"/>
  <c r="BB47" i="29"/>
  <c r="BA47" i="29" s="1"/>
  <c r="N47" i="18" s="1"/>
  <c r="BA25" i="29"/>
  <c r="BB64" i="29"/>
  <c r="BB50" i="29"/>
  <c r="BA13" i="29"/>
  <c r="BB33" i="29"/>
  <c r="BB72" i="41"/>
  <c r="BB58" i="41"/>
  <c r="BA58" i="41" s="1"/>
  <c r="N58" i="38" s="1"/>
  <c r="BA16" i="41"/>
  <c r="BB54" i="41"/>
  <c r="BA54" i="41" s="1"/>
  <c r="N54" i="38" s="1"/>
  <c r="BB68" i="41"/>
  <c r="BA68" i="41" s="1"/>
  <c r="N68" i="38" s="1"/>
  <c r="BA9" i="41"/>
  <c r="CA40" i="42"/>
  <c r="BZ40" i="42" s="1"/>
  <c r="BE40" i="38" s="1"/>
  <c r="BZ4" i="42"/>
  <c r="BZ16" i="42"/>
  <c r="CA43" i="42"/>
  <c r="BZ43" i="42" s="1"/>
  <c r="BE43" i="38" s="1"/>
  <c r="BZ28" i="42"/>
  <c r="AQ31" i="43"/>
  <c r="AB50" i="30"/>
  <c r="L50" i="5" s="1"/>
  <c r="BZ68" i="30"/>
  <c r="BE68" i="18" s="1"/>
  <c r="BZ61" i="30"/>
  <c r="BE61" i="18" s="1"/>
  <c r="BZ72" i="42"/>
  <c r="BE72" i="38" s="1"/>
  <c r="AB72" i="42"/>
  <c r="L72" i="32" s="1"/>
  <c r="G50" i="37"/>
  <c r="G64" i="37"/>
  <c r="G67" i="37"/>
  <c r="G53" i="37"/>
  <c r="BV74" i="41"/>
  <c r="BV60" i="41"/>
  <c r="BV62" i="41"/>
  <c r="BV76" i="41"/>
  <c r="CU31" i="42"/>
  <c r="BO62" i="29"/>
  <c r="BO76" i="29"/>
  <c r="BO73" i="41"/>
  <c r="BO59" i="41"/>
  <c r="BO70" i="41"/>
  <c r="BO56" i="41"/>
  <c r="CN31" i="42"/>
  <c r="BH57" i="41"/>
  <c r="BH71" i="41"/>
  <c r="BH69" i="41"/>
  <c r="BH55" i="41"/>
  <c r="T76" i="5"/>
  <c r="T62" i="5"/>
  <c r="T75" i="5"/>
  <c r="T61" i="5"/>
  <c r="K61" i="5"/>
  <c r="K75" i="5"/>
  <c r="U68" i="5"/>
  <c r="U54" i="5"/>
  <c r="BR57" i="29"/>
  <c r="BR71" i="29"/>
  <c r="BR52" i="29"/>
  <c r="BR66" i="29"/>
  <c r="BR55" i="41"/>
  <c r="BR69" i="41"/>
  <c r="BC73" i="41"/>
  <c r="BC59" i="41"/>
  <c r="BC52" i="41"/>
  <c r="BC66" i="41"/>
  <c r="AJ45" i="30"/>
  <c r="AJ31" i="43"/>
  <c r="AB9" i="43"/>
  <c r="AC41" i="43"/>
  <c r="AB41" i="43" s="1"/>
  <c r="AL41" i="32" s="1"/>
  <c r="AB8" i="43"/>
  <c r="AB18" i="42"/>
  <c r="AB20" i="42"/>
  <c r="AQ55" i="37"/>
  <c r="AQ69" i="37"/>
  <c r="AN67" i="37"/>
  <c r="AN53" i="37"/>
  <c r="AQ51" i="37"/>
  <c r="AQ65" i="37"/>
  <c r="Y75" i="37"/>
  <c r="Z75" i="37" s="1"/>
  <c r="Y61" i="37"/>
  <c r="AP55" i="37"/>
  <c r="AP69" i="37"/>
  <c r="P61" i="37"/>
  <c r="P75" i="37"/>
  <c r="S61" i="37"/>
  <c r="S75" i="37"/>
  <c r="Y58" i="37"/>
  <c r="Z58" i="37" s="1"/>
  <c r="Y72" i="37"/>
  <c r="R62" i="37"/>
  <c r="R76" i="37"/>
  <c r="I73" i="37"/>
  <c r="I59" i="37"/>
  <c r="Y54" i="37"/>
  <c r="Z54" i="37" s="1"/>
  <c r="Y68" i="37"/>
  <c r="Z68" i="37" s="1"/>
  <c r="AR50" i="37"/>
  <c r="AR64" i="37"/>
  <c r="T70" i="37"/>
  <c r="T56" i="37"/>
  <c r="AP76" i="37"/>
  <c r="AP62" i="37"/>
  <c r="AM73" i="37"/>
  <c r="AM59" i="37"/>
  <c r="I54" i="37"/>
  <c r="I68" i="37"/>
  <c r="DG74" i="18"/>
  <c r="DG60" i="18"/>
  <c r="DG68" i="18"/>
  <c r="DG54" i="18"/>
  <c r="BT53" i="29"/>
  <c r="BT67" i="29"/>
  <c r="BT57" i="41"/>
  <c r="BT71" i="41"/>
  <c r="BP54" i="29"/>
  <c r="BP68" i="29"/>
  <c r="BP58" i="29"/>
  <c r="BP72" i="29"/>
  <c r="BP74" i="41"/>
  <c r="BP60" i="41"/>
  <c r="BP62" i="41"/>
  <c r="BP76" i="41"/>
  <c r="BL45" i="29"/>
  <c r="BL70" i="41"/>
  <c r="BL56" i="41"/>
  <c r="BY62" i="29"/>
  <c r="BY76" i="29"/>
  <c r="BY67" i="29"/>
  <c r="BY53" i="29"/>
  <c r="AK73" i="18"/>
  <c r="AK59" i="18"/>
  <c r="CJ45" i="43"/>
  <c r="BK71" i="29"/>
  <c r="BK57" i="29"/>
  <c r="BK67" i="41"/>
  <c r="BK53" i="41"/>
  <c r="BK70" i="41"/>
  <c r="BK56" i="41"/>
  <c r="CJ31" i="42"/>
  <c r="DN37" i="38"/>
  <c r="DN34" i="38"/>
  <c r="BN58" i="29"/>
  <c r="BN72" i="29"/>
  <c r="BN61" i="41"/>
  <c r="BN75" i="41"/>
  <c r="BN54" i="41"/>
  <c r="BN68" i="41"/>
  <c r="AX31" i="42"/>
  <c r="BS59" i="41"/>
  <c r="BS73" i="41"/>
  <c r="BS65" i="41"/>
  <c r="BS51" i="41"/>
  <c r="BS53" i="29"/>
  <c r="BS67" i="29"/>
  <c r="BD50" i="29"/>
  <c r="BD48" i="29" s="1"/>
  <c r="BD64" i="29"/>
  <c r="BD59" i="41"/>
  <c r="BD73" i="41"/>
  <c r="BU73" i="29"/>
  <c r="BU59" i="29"/>
  <c r="BU50" i="29"/>
  <c r="BU64" i="29"/>
  <c r="BU31" i="29"/>
  <c r="BU62" i="41"/>
  <c r="BU76" i="41"/>
  <c r="BU73" i="41"/>
  <c r="BU59" i="41"/>
  <c r="BJ67" i="29"/>
  <c r="BJ53" i="29"/>
  <c r="BJ70" i="41"/>
  <c r="BJ56" i="41"/>
  <c r="BJ31" i="41"/>
  <c r="BG67" i="41"/>
  <c r="BG53" i="41"/>
  <c r="BG59" i="29"/>
  <c r="BG73" i="29"/>
  <c r="D50" i="5"/>
  <c r="D64" i="5"/>
  <c r="D72" i="37"/>
  <c r="D58" i="37"/>
  <c r="D64" i="37"/>
  <c r="D50" i="37"/>
  <c r="Z74" i="18"/>
  <c r="Z60" i="18"/>
  <c r="D69" i="37"/>
  <c r="D55" i="37"/>
  <c r="D70" i="37"/>
  <c r="D56" i="37"/>
  <c r="Z72" i="37"/>
  <c r="Z45" i="37"/>
  <c r="J55" i="5"/>
  <c r="J69" i="5"/>
  <c r="BF54" i="18"/>
  <c r="BF68" i="18"/>
  <c r="CS57" i="31"/>
  <c r="CS71" i="31"/>
  <c r="AU76" i="31"/>
  <c r="AU62" i="31"/>
  <c r="AF52" i="31"/>
  <c r="AF66" i="31"/>
  <c r="CG52" i="31"/>
  <c r="CG66" i="31"/>
  <c r="CA72" i="31"/>
  <c r="CA58" i="31"/>
  <c r="BZ16" i="31"/>
  <c r="CE72" i="31"/>
  <c r="CE58" i="31"/>
  <c r="BX45" i="29"/>
  <c r="BE56" i="29"/>
  <c r="BE70" i="29"/>
  <c r="BB35" i="41"/>
  <c r="BA35" i="41" s="1"/>
  <c r="N35" i="38" s="1"/>
  <c r="BA30" i="41"/>
  <c r="W61" i="5"/>
  <c r="W75" i="5"/>
  <c r="BR59" i="29"/>
  <c r="BR73" i="29"/>
  <c r="S72" i="37"/>
  <c r="S58" i="37"/>
  <c r="BL67" i="29"/>
  <c r="BL53" i="29"/>
  <c r="Z50" i="18"/>
  <c r="Z64" i="18"/>
  <c r="AY51" i="31"/>
  <c r="AY48" i="31" s="1"/>
  <c r="AY65" i="31"/>
  <c r="J71" i="5"/>
  <c r="J57" i="5"/>
  <c r="X64" i="18"/>
  <c r="X50" i="18"/>
  <c r="BF58" i="18"/>
  <c r="BF72" i="18"/>
  <c r="CD76" i="31"/>
  <c r="CD62" i="31"/>
  <c r="BL60" i="18"/>
  <c r="BL74" i="18"/>
  <c r="AP59" i="31"/>
  <c r="AP73" i="31"/>
  <c r="AO58" i="5"/>
  <c r="AO72" i="5"/>
  <c r="AS58" i="31"/>
  <c r="AS72" i="31"/>
  <c r="AK64" i="5"/>
  <c r="AK50" i="5"/>
  <c r="DA70" i="18"/>
  <c r="DA56" i="18"/>
  <c r="R60" i="18"/>
  <c r="R74" i="18"/>
  <c r="CE66" i="31"/>
  <c r="CE52" i="31"/>
  <c r="BM64" i="29"/>
  <c r="BM50" i="29"/>
  <c r="BM48" i="29" s="1"/>
  <c r="BE72" i="41"/>
  <c r="BE58" i="41"/>
  <c r="BA15" i="29"/>
  <c r="BB44" i="29"/>
  <c r="BA44" i="29" s="1"/>
  <c r="N44" i="18" s="1"/>
  <c r="BR53" i="29"/>
  <c r="BR67" i="29"/>
  <c r="AG31" i="42"/>
  <c r="S59" i="37"/>
  <c r="S73" i="37"/>
  <c r="BW70" i="41"/>
  <c r="BW56" i="41"/>
  <c r="BY66" i="29"/>
  <c r="BY52" i="29"/>
  <c r="J44" i="37"/>
  <c r="BK75" i="41"/>
  <c r="BK61" i="41"/>
  <c r="BS31" i="41"/>
  <c r="BD53" i="41"/>
  <c r="BD67" i="41"/>
  <c r="BU58" i="41"/>
  <c r="BU72" i="41"/>
  <c r="BU63" i="41" s="1"/>
  <c r="BU65" i="41"/>
  <c r="BU51" i="41"/>
  <c r="BG66" i="41"/>
  <c r="BG52" i="41"/>
  <c r="Z67" i="37"/>
  <c r="AY58" i="31"/>
  <c r="AY72" i="31"/>
  <c r="AY68" i="31"/>
  <c r="AY54" i="31"/>
  <c r="AR54" i="31"/>
  <c r="AR68" i="31"/>
  <c r="AN51" i="31"/>
  <c r="AN65" i="31"/>
  <c r="AJ68" i="31"/>
  <c r="AJ54" i="31"/>
  <c r="AG74" i="31"/>
  <c r="AG60" i="31"/>
  <c r="AC66" i="31"/>
  <c r="AC52" i="31"/>
  <c r="AB17" i="31"/>
  <c r="AC32" i="31"/>
  <c r="AB3" i="31"/>
  <c r="AC44" i="31"/>
  <c r="AB44" i="31" s="1"/>
  <c r="AL44" i="5" s="1"/>
  <c r="AM44" i="5" s="1"/>
  <c r="AB15" i="31"/>
  <c r="AC36" i="31"/>
  <c r="AB36" i="31" s="1"/>
  <c r="AL36" i="5" s="1"/>
  <c r="AM36" i="5" s="1"/>
  <c r="AB26" i="31"/>
  <c r="AB21" i="30"/>
  <c r="J60" i="5"/>
  <c r="J74" i="5"/>
  <c r="J64" i="5"/>
  <c r="J50" i="5"/>
  <c r="AJ71" i="5"/>
  <c r="AJ57" i="5"/>
  <c r="AJ74" i="5"/>
  <c r="AJ60" i="5"/>
  <c r="AC49" i="5"/>
  <c r="X74" i="18"/>
  <c r="X60" i="18"/>
  <c r="X45" i="18"/>
  <c r="BO68" i="18"/>
  <c r="BO54" i="18"/>
  <c r="BO51" i="18"/>
  <c r="BO65" i="18"/>
  <c r="T58" i="18"/>
  <c r="T72" i="18"/>
  <c r="T45" i="18"/>
  <c r="BF59" i="18"/>
  <c r="BF73" i="18"/>
  <c r="CV58" i="31"/>
  <c r="CV72" i="31"/>
  <c r="CS65" i="31"/>
  <c r="CS51" i="31"/>
  <c r="CD73" i="31"/>
  <c r="CD59" i="31"/>
  <c r="CD75" i="31"/>
  <c r="CD61" i="31"/>
  <c r="AX60" i="31"/>
  <c r="AX74" i="31"/>
  <c r="AX57" i="31"/>
  <c r="AX71" i="31"/>
  <c r="AU55" i="31"/>
  <c r="AU69" i="31"/>
  <c r="AQ52" i="31"/>
  <c r="AQ66" i="31"/>
  <c r="AM61" i="31"/>
  <c r="AM75" i="31"/>
  <c r="AZ70" i="31"/>
  <c r="AZ56" i="31"/>
  <c r="AF53" i="31"/>
  <c r="AF67" i="31"/>
  <c r="CT76" i="18"/>
  <c r="CT62" i="18"/>
  <c r="CT68" i="18"/>
  <c r="CT54" i="18"/>
  <c r="U57" i="18"/>
  <c r="U71" i="18"/>
  <c r="U68" i="18"/>
  <c r="U54" i="18"/>
  <c r="DD72" i="18"/>
  <c r="DD58" i="18"/>
  <c r="BL69" i="18"/>
  <c r="BL55" i="18"/>
  <c r="O62" i="18"/>
  <c r="O76" i="18"/>
  <c r="DB70" i="18"/>
  <c r="DB56" i="18"/>
  <c r="CU31" i="31"/>
  <c r="CU64" i="31"/>
  <c r="CU50" i="31"/>
  <c r="CR75" i="31"/>
  <c r="CR61" i="31"/>
  <c r="CJ58" i="31"/>
  <c r="CJ72" i="31"/>
  <c r="CG54" i="31"/>
  <c r="CG68" i="31"/>
  <c r="CG65" i="31"/>
  <c r="CG51" i="31"/>
  <c r="AW56" i="31"/>
  <c r="AW70" i="31"/>
  <c r="AP72" i="31"/>
  <c r="AP58" i="31"/>
  <c r="AP61" i="31"/>
  <c r="AP75" i="31"/>
  <c r="AP71" i="31"/>
  <c r="AP57" i="31"/>
  <c r="AL45" i="31"/>
  <c r="AI50" i="31"/>
  <c r="AI48" i="31" s="1"/>
  <c r="AI64" i="31"/>
  <c r="AI76" i="31"/>
  <c r="AI62" i="31"/>
  <c r="AE61" i="31"/>
  <c r="AE75" i="31"/>
  <c r="AI68" i="5"/>
  <c r="AI54" i="5"/>
  <c r="AO74" i="5"/>
  <c r="AO60" i="5"/>
  <c r="BC52" i="18"/>
  <c r="BC66" i="18"/>
  <c r="CU69" i="18"/>
  <c r="CU55" i="18"/>
  <c r="CU75" i="18"/>
  <c r="CU61" i="18"/>
  <c r="DL71" i="18"/>
  <c r="DL57" i="18"/>
  <c r="Q45" i="18"/>
  <c r="Q31" i="18"/>
  <c r="CY73" i="18"/>
  <c r="CY59" i="18"/>
  <c r="BG59" i="18"/>
  <c r="BG73" i="18"/>
  <c r="BG52" i="18"/>
  <c r="BG66" i="18"/>
  <c r="P31" i="18"/>
  <c r="P51" i="18"/>
  <c r="P65" i="18"/>
  <c r="DC67" i="18"/>
  <c r="DC53" i="18"/>
  <c r="DC57" i="18"/>
  <c r="DC71" i="18"/>
  <c r="BK53" i="18"/>
  <c r="BK67" i="18"/>
  <c r="BK62" i="18"/>
  <c r="BK76" i="18"/>
  <c r="CQ69" i="31"/>
  <c r="CQ55" i="31"/>
  <c r="CQ45" i="31"/>
  <c r="CM31" i="31"/>
  <c r="CM70" i="31"/>
  <c r="CM56" i="31"/>
  <c r="CF75" i="31"/>
  <c r="CF61" i="31"/>
  <c r="CA66" i="31"/>
  <c r="CA52" i="31"/>
  <c r="BZ17" i="31"/>
  <c r="CA69" i="31"/>
  <c r="CA55" i="31"/>
  <c r="BZ24" i="31"/>
  <c r="CA39" i="31"/>
  <c r="BZ11" i="31"/>
  <c r="AS45" i="31"/>
  <c r="AO54" i="31"/>
  <c r="AO48" i="31" s="1"/>
  <c r="AO68" i="31"/>
  <c r="AK75" i="31"/>
  <c r="AK61" i="31"/>
  <c r="AK64" i="31"/>
  <c r="AK50" i="31"/>
  <c r="AH53" i="31"/>
  <c r="AH67" i="31"/>
  <c r="AH31" i="31"/>
  <c r="AH66" i="31"/>
  <c r="AH52" i="31"/>
  <c r="AK52" i="5"/>
  <c r="AK66" i="5"/>
  <c r="DM52" i="18"/>
  <c r="DM66" i="18"/>
  <c r="W74" i="18"/>
  <c r="W60" i="18"/>
  <c r="BM59" i="18"/>
  <c r="BM73" i="18"/>
  <c r="BM51" i="18"/>
  <c r="BM65" i="18"/>
  <c r="BM58" i="18"/>
  <c r="BM72" i="18"/>
  <c r="DA74" i="18"/>
  <c r="DA60" i="18"/>
  <c r="BI69" i="18"/>
  <c r="BI55" i="18"/>
  <c r="BI62" i="18"/>
  <c r="BI76" i="18"/>
  <c r="R75" i="18"/>
  <c r="R61" i="18"/>
  <c r="BH51" i="18"/>
  <c r="BH65" i="18"/>
  <c r="BH54" i="18"/>
  <c r="BH68" i="18"/>
  <c r="CW64" i="31"/>
  <c r="BZ64" i="31" s="1"/>
  <c r="CW64" i="18" s="1"/>
  <c r="CW50" i="31"/>
  <c r="CW48" i="31" s="1"/>
  <c r="CP66" i="31"/>
  <c r="CP52" i="31"/>
  <c r="CL68" i="31"/>
  <c r="CL54" i="31"/>
  <c r="CH31" i="31"/>
  <c r="CH50" i="31"/>
  <c r="CH64" i="31"/>
  <c r="CE70" i="31"/>
  <c r="CE56" i="31"/>
  <c r="BN62" i="18"/>
  <c r="BN76" i="18"/>
  <c r="BN51" i="18"/>
  <c r="BN65" i="18"/>
  <c r="AS45" i="30"/>
  <c r="AS31" i="43"/>
  <c r="AH45" i="43"/>
  <c r="AD45" i="42"/>
  <c r="DE31" i="18"/>
  <c r="CZ72" i="18"/>
  <c r="CZ58" i="18"/>
  <c r="BH45" i="38"/>
  <c r="BX73" i="29"/>
  <c r="BX59" i="29"/>
  <c r="BX70" i="29"/>
  <c r="BX56" i="29"/>
  <c r="CP31" i="30"/>
  <c r="BQ56" i="29"/>
  <c r="BQ70" i="29"/>
  <c r="BQ69" i="41"/>
  <c r="BQ55" i="41"/>
  <c r="BQ54" i="41"/>
  <c r="BQ68" i="41"/>
  <c r="CL31" i="30"/>
  <c r="CL31" i="43"/>
  <c r="BM65" i="41"/>
  <c r="BM51" i="41"/>
  <c r="BM68" i="29"/>
  <c r="BM54" i="29"/>
  <c r="BI58" i="41"/>
  <c r="BI72" i="41"/>
  <c r="BI51" i="29"/>
  <c r="BI65" i="29"/>
  <c r="BI73" i="41"/>
  <c r="BI59" i="41"/>
  <c r="BE58" i="29"/>
  <c r="BE72" i="29"/>
  <c r="BF54" i="29"/>
  <c r="BF68" i="29"/>
  <c r="BF65" i="41"/>
  <c r="BF51" i="41"/>
  <c r="BE59" i="41"/>
  <c r="BE73" i="41"/>
  <c r="CD31" i="42"/>
  <c r="BZ20" i="30"/>
  <c r="CA41" i="30"/>
  <c r="BZ8" i="30"/>
  <c r="BZ21" i="43"/>
  <c r="CA44" i="43"/>
  <c r="BZ44" i="43" s="1"/>
  <c r="CW44" i="38" s="1"/>
  <c r="BZ15" i="43"/>
  <c r="CW15" i="38" s="1"/>
  <c r="BA4" i="29"/>
  <c r="BB40" i="29"/>
  <c r="BA40" i="29" s="1"/>
  <c r="N40" i="18" s="1"/>
  <c r="BA24" i="29"/>
  <c r="BB55" i="29"/>
  <c r="BB69" i="29"/>
  <c r="BB34" i="41"/>
  <c r="BA34" i="41" s="1"/>
  <c r="N34" i="38" s="1"/>
  <c r="BA14" i="41"/>
  <c r="BB66" i="41"/>
  <c r="BB52" i="41"/>
  <c r="BA17" i="41"/>
  <c r="BB46" i="41"/>
  <c r="BA10" i="41"/>
  <c r="BZ5" i="42"/>
  <c r="BZ17" i="42"/>
  <c r="BZ29" i="42"/>
  <c r="AV48" i="30"/>
  <c r="AK48" i="30"/>
  <c r="BZ53" i="30"/>
  <c r="BE53" i="18" s="1"/>
  <c r="BZ73" i="43"/>
  <c r="CW73" i="38" s="1"/>
  <c r="AB59" i="43"/>
  <c r="AL59" i="32" s="1"/>
  <c r="BZ59" i="43"/>
  <c r="CW59" i="38" s="1"/>
  <c r="BZ53" i="42"/>
  <c r="BE53" i="38" s="1"/>
  <c r="AB53" i="42"/>
  <c r="L53" i="32" s="1"/>
  <c r="BZ52" i="42"/>
  <c r="BE52" i="38" s="1"/>
  <c r="AB52" i="42"/>
  <c r="L52" i="32" s="1"/>
  <c r="G62" i="37"/>
  <c r="G76" i="37"/>
  <c r="G54" i="37"/>
  <c r="G68" i="37"/>
  <c r="J68" i="37" s="1"/>
  <c r="BV67" i="29"/>
  <c r="BV53" i="29"/>
  <c r="BV65" i="29"/>
  <c r="BV51" i="29"/>
  <c r="BV48" i="29" s="1"/>
  <c r="BO50" i="29"/>
  <c r="BO48" i="29" s="1"/>
  <c r="BO64" i="29"/>
  <c r="BO65" i="41"/>
  <c r="BO51" i="41"/>
  <c r="BO53" i="29"/>
  <c r="BO67" i="29"/>
  <c r="BH75" i="29"/>
  <c r="BH61" i="29"/>
  <c r="BH73" i="41"/>
  <c r="BH59" i="41"/>
  <c r="BH64" i="41"/>
  <c r="BH50" i="41"/>
  <c r="AL31" i="30"/>
  <c r="V55" i="5"/>
  <c r="V69" i="5"/>
  <c r="V50" i="5"/>
  <c r="V48" i="5" s="1"/>
  <c r="V64" i="5"/>
  <c r="S70" i="5"/>
  <c r="S56" i="5"/>
  <c r="S75" i="5"/>
  <c r="S61" i="5"/>
  <c r="U51" i="5"/>
  <c r="U65" i="5"/>
  <c r="V72" i="5"/>
  <c r="V58" i="5"/>
  <c r="K73" i="5"/>
  <c r="K59" i="5"/>
  <c r="T31" i="5"/>
  <c r="BR58" i="29"/>
  <c r="BR72" i="29"/>
  <c r="BR50" i="41"/>
  <c r="BR64" i="41"/>
  <c r="BR73" i="41"/>
  <c r="BR59" i="41"/>
  <c r="CB45" i="43"/>
  <c r="BC67" i="41"/>
  <c r="BC53" i="41"/>
  <c r="BC61" i="41"/>
  <c r="BC75" i="41"/>
  <c r="BC54" i="29"/>
  <c r="BC68" i="29"/>
  <c r="BC57" i="41"/>
  <c r="BC71" i="41"/>
  <c r="AY45" i="30"/>
  <c r="AY31" i="42"/>
  <c r="AJ45" i="42"/>
  <c r="AC36" i="43"/>
  <c r="AB36" i="43" s="1"/>
  <c r="AL36" i="32" s="1"/>
  <c r="AB26" i="43"/>
  <c r="AB17" i="43"/>
  <c r="AL17" i="32" s="1"/>
  <c r="AB21" i="43"/>
  <c r="AB7" i="42"/>
  <c r="AB21" i="42"/>
  <c r="AQ70" i="37"/>
  <c r="AQ56" i="37"/>
  <c r="AQ66" i="37"/>
  <c r="AQ52" i="37"/>
  <c r="Y62" i="37"/>
  <c r="Y76" i="37"/>
  <c r="I56" i="37"/>
  <c r="I70" i="37"/>
  <c r="R58" i="37"/>
  <c r="R72" i="37"/>
  <c r="AP53" i="37"/>
  <c r="AP67" i="37"/>
  <c r="Y56" i="37"/>
  <c r="Z56" i="37" s="1"/>
  <c r="Y70" i="37"/>
  <c r="Z70" i="37" s="1"/>
  <c r="T64" i="37"/>
  <c r="T50" i="37"/>
  <c r="T71" i="37"/>
  <c r="T57" i="37"/>
  <c r="AP64" i="37"/>
  <c r="AP50" i="37"/>
  <c r="AR52" i="37"/>
  <c r="AR66" i="37"/>
  <c r="S57" i="37"/>
  <c r="S71" i="37"/>
  <c r="P70" i="37"/>
  <c r="P56" i="37"/>
  <c r="R45" i="37"/>
  <c r="AM31" i="37"/>
  <c r="I67" i="37"/>
  <c r="I53" i="37"/>
  <c r="AM75" i="37"/>
  <c r="AM61" i="37"/>
  <c r="BW65" i="29"/>
  <c r="BW51" i="29"/>
  <c r="BW70" i="29"/>
  <c r="BW56" i="29"/>
  <c r="BW69" i="41"/>
  <c r="BW55" i="41"/>
  <c r="BT54" i="29"/>
  <c r="BT68" i="29"/>
  <c r="BT72" i="41"/>
  <c r="BT58" i="41"/>
  <c r="CS45" i="42"/>
  <c r="BP62" i="29"/>
  <c r="BP76" i="29"/>
  <c r="BP53" i="29"/>
  <c r="BP67" i="29"/>
  <c r="BL68" i="29"/>
  <c r="BL54" i="29"/>
  <c r="BL65" i="41"/>
  <c r="BL51" i="41"/>
  <c r="BY62" i="41"/>
  <c r="BY76" i="41"/>
  <c r="AK71" i="18"/>
  <c r="AK57" i="18"/>
  <c r="AU45" i="30"/>
  <c r="BK62" i="29"/>
  <c r="BK76" i="29"/>
  <c r="BK51" i="41"/>
  <c r="BK65" i="41"/>
  <c r="BK67" i="29"/>
  <c r="BK53" i="29"/>
  <c r="AI45" i="43"/>
  <c r="DN41" i="38"/>
  <c r="CM31" i="30"/>
  <c r="CM31" i="43"/>
  <c r="BN62" i="29"/>
  <c r="BN76" i="29"/>
  <c r="BN45" i="29"/>
  <c r="AX31" i="30"/>
  <c r="BS57" i="29"/>
  <c r="BS71" i="29"/>
  <c r="BD54" i="29"/>
  <c r="BD68" i="29"/>
  <c r="BD55" i="29"/>
  <c r="BD69" i="29"/>
  <c r="BD60" i="29"/>
  <c r="BD74" i="29"/>
  <c r="BD60" i="41"/>
  <c r="BD74" i="41"/>
  <c r="BD62" i="41"/>
  <c r="BD76" i="41"/>
  <c r="BU67" i="29"/>
  <c r="BU53" i="29"/>
  <c r="BU69" i="29"/>
  <c r="BU55" i="29"/>
  <c r="BU74" i="29"/>
  <c r="BU60" i="29"/>
  <c r="CT31" i="42"/>
  <c r="BJ75" i="29"/>
  <c r="BJ61" i="29"/>
  <c r="BJ65" i="41"/>
  <c r="BJ51" i="41"/>
  <c r="AT45" i="42"/>
  <c r="AE45" i="30"/>
  <c r="BG56" i="41"/>
  <c r="BG70" i="41"/>
  <c r="CF31" i="42"/>
  <c r="Z53" i="18"/>
  <c r="Z67" i="18"/>
  <c r="D71" i="37"/>
  <c r="D57" i="37"/>
  <c r="Z61" i="37"/>
  <c r="Z46" i="37"/>
  <c r="CS66" i="31"/>
  <c r="CS52" i="31"/>
  <c r="U76" i="18"/>
  <c r="U62" i="18"/>
  <c r="AE67" i="31"/>
  <c r="AE53" i="31"/>
  <c r="CM58" i="31"/>
  <c r="CM72" i="31"/>
  <c r="AO65" i="31"/>
  <c r="AO51" i="31"/>
  <c r="CW68" i="31"/>
  <c r="CW54" i="31"/>
  <c r="BQ59" i="41"/>
  <c r="BQ73" i="41"/>
  <c r="AQ76" i="37"/>
  <c r="AQ62" i="37"/>
  <c r="BK68" i="29"/>
  <c r="BK54" i="29"/>
  <c r="CR31" i="31"/>
  <c r="CU52" i="18"/>
  <c r="CU66" i="18"/>
  <c r="CF31" i="31"/>
  <c r="BM60" i="18"/>
  <c r="BM74" i="18"/>
  <c r="BI74" i="29"/>
  <c r="BI60" i="29"/>
  <c r="AQ31" i="42"/>
  <c r="BV74" i="29"/>
  <c r="BV60" i="29"/>
  <c r="BY57" i="29"/>
  <c r="BY71" i="29"/>
  <c r="AR62" i="31"/>
  <c r="AR76" i="31"/>
  <c r="AC61" i="31"/>
  <c r="AC75" i="31"/>
  <c r="AB18" i="31"/>
  <c r="CV67" i="31"/>
  <c r="CV53" i="31"/>
  <c r="CC69" i="31"/>
  <c r="CC55" i="31"/>
  <c r="O67" i="18"/>
  <c r="O53" i="18"/>
  <c r="AT76" i="31"/>
  <c r="AT62" i="31"/>
  <c r="AM39" i="5"/>
  <c r="BM31" i="18"/>
  <c r="CH60" i="31"/>
  <c r="CH74" i="31"/>
  <c r="AS31" i="30"/>
  <c r="AD31" i="43"/>
  <c r="BD54" i="18"/>
  <c r="BD68" i="18"/>
  <c r="DE73" i="18"/>
  <c r="DE59" i="18"/>
  <c r="CZ60" i="18"/>
  <c r="CZ74" i="18"/>
  <c r="BX67" i="41"/>
  <c r="BX53" i="41"/>
  <c r="CW31" i="42"/>
  <c r="BX55" i="41"/>
  <c r="BX69" i="41"/>
  <c r="BQ66" i="41"/>
  <c r="BQ52" i="41"/>
  <c r="BQ76" i="41"/>
  <c r="BQ62" i="41"/>
  <c r="BM55" i="41"/>
  <c r="BM69" i="41"/>
  <c r="BM65" i="29"/>
  <c r="BM51" i="29"/>
  <c r="BM59" i="29"/>
  <c r="BM73" i="29"/>
  <c r="BM68" i="41"/>
  <c r="BM54" i="41"/>
  <c r="BM57" i="41"/>
  <c r="BM71" i="41"/>
  <c r="BI61" i="41"/>
  <c r="BI75" i="41"/>
  <c r="BI70" i="29"/>
  <c r="BI56" i="29"/>
  <c r="BI64" i="41"/>
  <c r="BI50" i="41"/>
  <c r="BE54" i="29"/>
  <c r="BE68" i="29"/>
  <c r="BF51" i="29"/>
  <c r="BF65" i="29"/>
  <c r="BE62" i="29"/>
  <c r="BE76" i="29"/>
  <c r="BF59" i="29"/>
  <c r="BF73" i="29"/>
  <c r="CA42" i="30"/>
  <c r="BZ19" i="30"/>
  <c r="BA8" i="29"/>
  <c r="BB41" i="29"/>
  <c r="BA41" i="29" s="1"/>
  <c r="N41" i="18" s="1"/>
  <c r="BA23" i="29"/>
  <c r="BB49" i="29"/>
  <c r="BA11" i="29"/>
  <c r="BB39" i="29"/>
  <c r="BA39" i="29" s="1"/>
  <c r="N39" i="18" s="1"/>
  <c r="BB75" i="41"/>
  <c r="BB61" i="41"/>
  <c r="BA18" i="41"/>
  <c r="N18" i="38" s="1"/>
  <c r="BB43" i="41"/>
  <c r="BA43" i="41" s="1"/>
  <c r="N43" i="38" s="1"/>
  <c r="BA28" i="41"/>
  <c r="CA47" i="42"/>
  <c r="BZ47" i="42" s="1"/>
  <c r="BE47" i="38" s="1"/>
  <c r="BZ6" i="42"/>
  <c r="CA35" i="42"/>
  <c r="BZ35" i="42" s="1"/>
  <c r="BE35" i="38" s="1"/>
  <c r="BZ30" i="42"/>
  <c r="BZ58" i="30"/>
  <c r="BE58" i="18" s="1"/>
  <c r="BZ62" i="30"/>
  <c r="BE62" i="18" s="1"/>
  <c r="AB62" i="30"/>
  <c r="L62" i="5" s="1"/>
  <c r="AB62" i="43"/>
  <c r="AL62" i="32" s="1"/>
  <c r="AB61" i="42"/>
  <c r="L61" i="32" s="1"/>
  <c r="G71" i="37"/>
  <c r="G57" i="37"/>
  <c r="BV71" i="41"/>
  <c r="BV57" i="41"/>
  <c r="BV70" i="29"/>
  <c r="BV56" i="29"/>
  <c r="BV58" i="41"/>
  <c r="BV72" i="41"/>
  <c r="BV68" i="41"/>
  <c r="BV54" i="41"/>
  <c r="BO61" i="29"/>
  <c r="BO75" i="29"/>
  <c r="BH68" i="41"/>
  <c r="BH54" i="41"/>
  <c r="BH71" i="29"/>
  <c r="BH57" i="29"/>
  <c r="BH52" i="29"/>
  <c r="BH66" i="29"/>
  <c r="AL31" i="43"/>
  <c r="T67" i="5"/>
  <c r="T53" i="5"/>
  <c r="S31" i="5"/>
  <c r="W52" i="5"/>
  <c r="W66" i="5"/>
  <c r="W73" i="5"/>
  <c r="W59" i="5"/>
  <c r="CQ45" i="43"/>
  <c r="BR76" i="29"/>
  <c r="BR62" i="29"/>
  <c r="BC31" i="41"/>
  <c r="AB16" i="43"/>
  <c r="AC37" i="43"/>
  <c r="AB37" i="43" s="1"/>
  <c r="AL37" i="32" s="1"/>
  <c r="AB22" i="43"/>
  <c r="AB7" i="43"/>
  <c r="AB9" i="42"/>
  <c r="AC37" i="42"/>
  <c r="AB37" i="42" s="1"/>
  <c r="L37" i="32" s="1"/>
  <c r="AB22" i="42"/>
  <c r="AQ31" i="37"/>
  <c r="AQ72" i="37"/>
  <c r="AQ58" i="37"/>
  <c r="AQ59" i="37"/>
  <c r="AQ73" i="37"/>
  <c r="Y71" i="37"/>
  <c r="Z71" i="37" s="1"/>
  <c r="Y57" i="37"/>
  <c r="Z57" i="37" s="1"/>
  <c r="AM60" i="37"/>
  <c r="AM74" i="37"/>
  <c r="I60" i="37"/>
  <c r="I74" i="37"/>
  <c r="AM50" i="37"/>
  <c r="AM64" i="37"/>
  <c r="Y69" i="37"/>
  <c r="Z69" i="37" s="1"/>
  <c r="Y55" i="37"/>
  <c r="Z55" i="37" s="1"/>
  <c r="Q55" i="37"/>
  <c r="Q69" i="37"/>
  <c r="P53" i="37"/>
  <c r="P67" i="37"/>
  <c r="Y52" i="37"/>
  <c r="Z52" i="37" s="1"/>
  <c r="Y66" i="37"/>
  <c r="R56" i="37"/>
  <c r="R70" i="37"/>
  <c r="AP66" i="37"/>
  <c r="AP52" i="37"/>
  <c r="AR54" i="37"/>
  <c r="AR68" i="37"/>
  <c r="S68" i="37"/>
  <c r="S54" i="37"/>
  <c r="AO71" i="37"/>
  <c r="AO57" i="37"/>
  <c r="S74" i="37"/>
  <c r="S60" i="37"/>
  <c r="P31" i="37"/>
  <c r="CV31" i="30"/>
  <c r="BW66" i="29"/>
  <c r="BW52" i="29"/>
  <c r="BW61" i="29"/>
  <c r="BW75" i="29"/>
  <c r="BW64" i="41"/>
  <c r="BW50" i="41"/>
  <c r="BW48" i="41" s="1"/>
  <c r="BT73" i="29"/>
  <c r="BT59" i="29"/>
  <c r="BT51" i="29"/>
  <c r="BT65" i="29"/>
  <c r="BT31" i="29"/>
  <c r="BT52" i="41"/>
  <c r="BT66" i="41"/>
  <c r="BP58" i="41"/>
  <c r="BP72" i="41"/>
  <c r="BL65" i="29"/>
  <c r="BL51" i="29"/>
  <c r="BL73" i="29"/>
  <c r="BL59" i="29"/>
  <c r="BY65" i="41"/>
  <c r="BY51" i="41"/>
  <c r="BY64" i="29"/>
  <c r="BY50" i="29"/>
  <c r="BY66" i="41"/>
  <c r="BY52" i="41"/>
  <c r="BY31" i="41"/>
  <c r="AK56" i="18"/>
  <c r="AK70" i="18"/>
  <c r="AK54" i="18"/>
  <c r="AK68" i="18"/>
  <c r="BK64" i="29"/>
  <c r="BK50" i="29"/>
  <c r="AW31" i="42"/>
  <c r="DN38" i="38"/>
  <c r="BN56" i="41"/>
  <c r="BN70" i="41"/>
  <c r="BS76" i="29"/>
  <c r="BS62" i="29"/>
  <c r="BS55" i="29"/>
  <c r="BS69" i="29"/>
  <c r="BS69" i="41"/>
  <c r="BS55" i="41"/>
  <c r="BS31" i="29"/>
  <c r="BD59" i="29"/>
  <c r="BD73" i="29"/>
  <c r="AP31" i="42"/>
  <c r="CT31" i="30"/>
  <c r="BU74" i="41"/>
  <c r="BU60" i="41"/>
  <c r="BJ71" i="29"/>
  <c r="BJ57" i="29"/>
  <c r="BJ66" i="29"/>
  <c r="BJ52" i="29"/>
  <c r="BJ53" i="41"/>
  <c r="BJ67" i="41"/>
  <c r="AT31" i="30"/>
  <c r="AT31" i="43"/>
  <c r="CF31" i="30"/>
  <c r="BG57" i="29"/>
  <c r="BG71" i="29"/>
  <c r="BG51" i="41"/>
  <c r="BG65" i="41"/>
  <c r="BG53" i="29"/>
  <c r="BG67" i="29"/>
  <c r="D74" i="5"/>
  <c r="D60" i="5"/>
  <c r="D76" i="5"/>
  <c r="D62" i="5"/>
  <c r="D66" i="37"/>
  <c r="D52" i="37"/>
  <c r="T68" i="18"/>
  <c r="T54" i="18"/>
  <c r="CV74" i="31"/>
  <c r="CV60" i="31"/>
  <c r="AX76" i="31"/>
  <c r="AX62" i="31"/>
  <c r="DD66" i="18"/>
  <c r="DD52" i="18"/>
  <c r="DB68" i="18"/>
  <c r="DB54" i="18"/>
  <c r="AO68" i="5"/>
  <c r="AO54" i="5"/>
  <c r="AO59" i="31"/>
  <c r="AO73" i="31"/>
  <c r="AO63" i="31" s="1"/>
  <c r="BD57" i="18"/>
  <c r="BD71" i="18"/>
  <c r="CZ67" i="18"/>
  <c r="CZ53" i="18"/>
  <c r="BA28" i="29"/>
  <c r="BB43" i="29"/>
  <c r="BA43" i="29" s="1"/>
  <c r="N43" i="18" s="1"/>
  <c r="BV69" i="41"/>
  <c r="BV55" i="41"/>
  <c r="V31" i="5"/>
  <c r="BC74" i="41"/>
  <c r="BC60" i="41"/>
  <c r="BP69" i="41"/>
  <c r="BP55" i="41"/>
  <c r="BL52" i="41"/>
  <c r="BL66" i="41"/>
  <c r="BK66" i="41"/>
  <c r="BK52" i="41"/>
  <c r="H31" i="37"/>
  <c r="AC47" i="31"/>
  <c r="AB47" i="31" s="1"/>
  <c r="AL47" i="5" s="1"/>
  <c r="AM47" i="5" s="1"/>
  <c r="AB6" i="31"/>
  <c r="T57" i="18"/>
  <c r="T71" i="18"/>
  <c r="CS54" i="31"/>
  <c r="CS68" i="31"/>
  <c r="CD68" i="31"/>
  <c r="CD54" i="31"/>
  <c r="AM69" i="31"/>
  <c r="AM55" i="31"/>
  <c r="CT64" i="18"/>
  <c r="CT50" i="18"/>
  <c r="AP53" i="31"/>
  <c r="AP67" i="31"/>
  <c r="AE73" i="31"/>
  <c r="AE59" i="31"/>
  <c r="CQ73" i="31"/>
  <c r="CQ63" i="31" s="1"/>
  <c r="CQ59" i="31"/>
  <c r="CB56" i="31"/>
  <c r="CB70" i="31"/>
  <c r="AO50" i="31"/>
  <c r="AO64" i="31"/>
  <c r="DA76" i="18"/>
  <c r="DA62" i="18"/>
  <c r="CP69" i="31"/>
  <c r="CP55" i="31"/>
  <c r="BN52" i="18"/>
  <c r="BN66" i="18"/>
  <c r="BF67" i="41"/>
  <c r="BF53" i="41"/>
  <c r="CA37" i="43"/>
  <c r="BZ22" i="43"/>
  <c r="AZ45" i="43"/>
  <c r="BV50" i="41"/>
  <c r="BV48" i="41" s="1"/>
  <c r="BV64" i="41"/>
  <c r="BO56" i="29"/>
  <c r="BO70" i="29"/>
  <c r="BC68" i="41"/>
  <c r="BC54" i="41"/>
  <c r="AN31" i="42"/>
  <c r="AC39" i="43"/>
  <c r="AB39" i="43" s="1"/>
  <c r="AL39" i="32" s="1"/>
  <c r="AM39" i="32" s="1"/>
  <c r="AB11" i="43"/>
  <c r="AN73" i="37"/>
  <c r="AN59" i="37"/>
  <c r="DG64" i="18"/>
  <c r="DG50" i="18"/>
  <c r="AN50" i="31"/>
  <c r="AN64" i="31"/>
  <c r="AG58" i="31"/>
  <c r="AG72" i="31"/>
  <c r="BO55" i="18"/>
  <c r="BO69" i="18"/>
  <c r="CK70" i="31"/>
  <c r="CK56" i="31"/>
  <c r="AZ69" i="31"/>
  <c r="AZ55" i="31"/>
  <c r="DD75" i="18"/>
  <c r="DD61" i="18"/>
  <c r="DB69" i="18"/>
  <c r="DB55" i="18"/>
  <c r="AW69" i="31"/>
  <c r="AW55" i="31"/>
  <c r="AL62" i="31"/>
  <c r="AL76" i="31"/>
  <c r="AO52" i="5"/>
  <c r="AO48" i="5" s="1"/>
  <c r="AO66" i="5"/>
  <c r="BG51" i="18"/>
  <c r="BG65" i="18"/>
  <c r="DC73" i="18"/>
  <c r="DC59" i="18"/>
  <c r="CM65" i="31"/>
  <c r="CM51" i="31"/>
  <c r="CA36" i="31"/>
  <c r="BZ36" i="31" s="1"/>
  <c r="CW36" i="18" s="1"/>
  <c r="BZ26" i="31"/>
  <c r="AH54" i="31"/>
  <c r="AH68" i="31"/>
  <c r="AK70" i="5"/>
  <c r="AK56" i="5"/>
  <c r="BM52" i="18"/>
  <c r="BM66" i="18"/>
  <c r="CP65" i="31"/>
  <c r="CP51" i="31"/>
  <c r="BN31" i="18"/>
  <c r="AR58" i="31"/>
  <c r="AR72" i="31"/>
  <c r="AJ58" i="31"/>
  <c r="AJ72" i="31"/>
  <c r="AC40" i="30"/>
  <c r="AB40" i="30" s="1"/>
  <c r="L40" i="5" s="1"/>
  <c r="M40" i="5" s="1"/>
  <c r="AB4" i="30"/>
  <c r="L4" i="5" s="1"/>
  <c r="AA55" i="5"/>
  <c r="AC55" i="5" s="1"/>
  <c r="AA69" i="5"/>
  <c r="AC69" i="5" s="1"/>
  <c r="BO72" i="18"/>
  <c r="BO58" i="18"/>
  <c r="BO64" i="18"/>
  <c r="BO50" i="18"/>
  <c r="T70" i="18"/>
  <c r="T56" i="18"/>
  <c r="CX45" i="18"/>
  <c r="CV61" i="31"/>
  <c r="CV75" i="31"/>
  <c r="CO72" i="31"/>
  <c r="CO58" i="31"/>
  <c r="CK53" i="31"/>
  <c r="CK67" i="31"/>
  <c r="CK65" i="31"/>
  <c r="CK51" i="31"/>
  <c r="CX56" i="31"/>
  <c r="CX70" i="31"/>
  <c r="CX31" i="31"/>
  <c r="CD70" i="31"/>
  <c r="CD56" i="31"/>
  <c r="CC31" i="31"/>
  <c r="CC50" i="31"/>
  <c r="CC64" i="31"/>
  <c r="AX70" i="31"/>
  <c r="AX56" i="31"/>
  <c r="AU54" i="31"/>
  <c r="AU68" i="31"/>
  <c r="AU61" i="31"/>
  <c r="AU75" i="31"/>
  <c r="AQ64" i="31"/>
  <c r="AQ50" i="31"/>
  <c r="AQ62" i="31"/>
  <c r="AQ76" i="31"/>
  <c r="AF74" i="31"/>
  <c r="AF60" i="31"/>
  <c r="CT72" i="18"/>
  <c r="CT58" i="18"/>
  <c r="U74" i="18"/>
  <c r="U60" i="18"/>
  <c r="DD73" i="18"/>
  <c r="DD59" i="18"/>
  <c r="BL73" i="18"/>
  <c r="BL59" i="18"/>
  <c r="O68" i="18"/>
  <c r="O54" i="18"/>
  <c r="BJ54" i="18"/>
  <c r="BJ68" i="18"/>
  <c r="CU62" i="31"/>
  <c r="CU76" i="31"/>
  <c r="CR70" i="31"/>
  <c r="CR56" i="31"/>
  <c r="CN64" i="31"/>
  <c r="CN50" i="31"/>
  <c r="CJ75" i="31"/>
  <c r="CJ61" i="31"/>
  <c r="AT45" i="31"/>
  <c r="AP55" i="31"/>
  <c r="AP69" i="31"/>
  <c r="AL67" i="31"/>
  <c r="AL53" i="31"/>
  <c r="AL31" i="31"/>
  <c r="AL52" i="31"/>
  <c r="AL66" i="31"/>
  <c r="AI56" i="31"/>
  <c r="AI70" i="31"/>
  <c r="AI58" i="31"/>
  <c r="AI72" i="31"/>
  <c r="AE45" i="31"/>
  <c r="AI74" i="5"/>
  <c r="AI60" i="5"/>
  <c r="AB31" i="5"/>
  <c r="AO70" i="5"/>
  <c r="AO56" i="5"/>
  <c r="AO75" i="5"/>
  <c r="AO61" i="5"/>
  <c r="BC54" i="18"/>
  <c r="BC68" i="18"/>
  <c r="BC50" i="18"/>
  <c r="BC64" i="18"/>
  <c r="DN49" i="18"/>
  <c r="DL74" i="18"/>
  <c r="DN74" i="18" s="1"/>
  <c r="DL60" i="18"/>
  <c r="DL31" i="18"/>
  <c r="DN32" i="18"/>
  <c r="Q50" i="18"/>
  <c r="Q48" i="18" s="1"/>
  <c r="Q64" i="18"/>
  <c r="Q73" i="18"/>
  <c r="Q59" i="18"/>
  <c r="CY65" i="18"/>
  <c r="CY51" i="18"/>
  <c r="BG50" i="18"/>
  <c r="BG48" i="18" s="1"/>
  <c r="BG64" i="18"/>
  <c r="P73" i="18"/>
  <c r="P59" i="18"/>
  <c r="P50" i="18"/>
  <c r="P64" i="18"/>
  <c r="DC68" i="18"/>
  <c r="DC54" i="18"/>
  <c r="DC58" i="18"/>
  <c r="DC72" i="18"/>
  <c r="CT69" i="31"/>
  <c r="CT55" i="31"/>
  <c r="CQ62" i="31"/>
  <c r="CQ76" i="31"/>
  <c r="CQ74" i="31"/>
  <c r="CQ60" i="31"/>
  <c r="CF70" i="31"/>
  <c r="CF56" i="31"/>
  <c r="CB64" i="31"/>
  <c r="CB50" i="31"/>
  <c r="CA44" i="31"/>
  <c r="BZ15" i="31"/>
  <c r="CA43" i="31"/>
  <c r="BZ28" i="31"/>
  <c r="CA33" i="31"/>
  <c r="BZ33" i="31" s="1"/>
  <c r="CW33" i="18" s="1"/>
  <c r="BZ13" i="31"/>
  <c r="AV66" i="31"/>
  <c r="AV52" i="31"/>
  <c r="AS52" i="31"/>
  <c r="AS66" i="31"/>
  <c r="AO58" i="31"/>
  <c r="AO72" i="31"/>
  <c r="AK73" i="31"/>
  <c r="AK59" i="31"/>
  <c r="AH60" i="31"/>
  <c r="AH74" i="31"/>
  <c r="AH64" i="31"/>
  <c r="AH50" i="31"/>
  <c r="AH48" i="31" s="1"/>
  <c r="AD62" i="31"/>
  <c r="AD76" i="31"/>
  <c r="AK57" i="5"/>
  <c r="AK71" i="5"/>
  <c r="DM31" i="18"/>
  <c r="DM51" i="18"/>
  <c r="DM65" i="18"/>
  <c r="DN65" i="18" s="1"/>
  <c r="BM55" i="18"/>
  <c r="BM69" i="18"/>
  <c r="DA75" i="18"/>
  <c r="DA61" i="18"/>
  <c r="BI54" i="18"/>
  <c r="BI68" i="18"/>
  <c r="R76" i="18"/>
  <c r="R62" i="18"/>
  <c r="R31" i="18"/>
  <c r="BH60" i="18"/>
  <c r="BH74" i="18"/>
  <c r="CW31" i="31"/>
  <c r="BZ44" i="31"/>
  <c r="CW44" i="18" s="1"/>
  <c r="CW62" i="31"/>
  <c r="CW76" i="31"/>
  <c r="BZ76" i="31" s="1"/>
  <c r="CW76" i="18" s="1"/>
  <c r="CP64" i="31"/>
  <c r="CP50" i="31"/>
  <c r="CP31" i="31"/>
  <c r="CL74" i="31"/>
  <c r="CL60" i="31"/>
  <c r="CL64" i="31"/>
  <c r="CL50" i="31"/>
  <c r="CH71" i="31"/>
  <c r="CH57" i="31"/>
  <c r="CE31" i="31"/>
  <c r="BN54" i="18"/>
  <c r="BN68" i="18"/>
  <c r="AV31" i="42"/>
  <c r="AH31" i="42"/>
  <c r="BD61" i="18"/>
  <c r="BD75" i="18"/>
  <c r="DE45" i="18"/>
  <c r="CZ71" i="18"/>
  <c r="CZ57" i="18"/>
  <c r="CZ59" i="18"/>
  <c r="CZ73" i="18"/>
  <c r="BZ40" i="43"/>
  <c r="CW40" i="38" s="1"/>
  <c r="BZ37" i="43"/>
  <c r="CW37" i="38" s="1"/>
  <c r="BX61" i="29"/>
  <c r="BX75" i="29"/>
  <c r="BX64" i="41"/>
  <c r="BX50" i="41"/>
  <c r="BQ61" i="29"/>
  <c r="BQ75" i="29"/>
  <c r="BM62" i="41"/>
  <c r="BM76" i="41"/>
  <c r="BM70" i="29"/>
  <c r="BM56" i="29"/>
  <c r="BM72" i="41"/>
  <c r="BM58" i="41"/>
  <c r="BI68" i="41"/>
  <c r="BI54" i="41"/>
  <c r="CH45" i="42"/>
  <c r="CE31" i="43"/>
  <c r="BF53" i="29"/>
  <c r="BF67" i="29"/>
  <c r="BF56" i="29"/>
  <c r="BF70" i="29"/>
  <c r="BE53" i="29"/>
  <c r="BE67" i="29"/>
  <c r="BE54" i="41"/>
  <c r="BE68" i="41"/>
  <c r="BF55" i="41"/>
  <c r="BF69" i="41"/>
  <c r="BF68" i="41"/>
  <c r="BF54" i="41"/>
  <c r="CA35" i="30"/>
  <c r="BZ35" i="30" s="1"/>
  <c r="BE35" i="18" s="1"/>
  <c r="BP35" i="18" s="1"/>
  <c r="BZ30" i="30"/>
  <c r="BZ18" i="30"/>
  <c r="CA47" i="30"/>
  <c r="BZ47" i="30" s="1"/>
  <c r="BE47" i="18" s="1"/>
  <c r="BP47" i="18" s="1"/>
  <c r="BZ6" i="30"/>
  <c r="CA33" i="43"/>
  <c r="BZ33" i="43" s="1"/>
  <c r="CW33" i="38" s="1"/>
  <c r="BZ13" i="43"/>
  <c r="BZ20" i="43"/>
  <c r="CW20" i="38" s="1"/>
  <c r="BA2" i="29"/>
  <c r="BB38" i="29"/>
  <c r="BA22" i="29"/>
  <c r="BB37" i="29"/>
  <c r="BA37" i="29" s="1"/>
  <c r="N37" i="18" s="1"/>
  <c r="BA9" i="29"/>
  <c r="BB54" i="29"/>
  <c r="BB68" i="29"/>
  <c r="BB42" i="41"/>
  <c r="BA42" i="41" s="1"/>
  <c r="N42" i="38" s="1"/>
  <c r="BA19" i="41"/>
  <c r="BB71" i="41"/>
  <c r="BA71" i="41" s="1"/>
  <c r="N71" i="38" s="1"/>
  <c r="BB57" i="41"/>
  <c r="BA57" i="41" s="1"/>
  <c r="N57" i="38" s="1"/>
  <c r="BA29" i="41"/>
  <c r="N29" i="38" s="1"/>
  <c r="BZ7" i="42"/>
  <c r="CA42" i="42"/>
  <c r="BZ42" i="42" s="1"/>
  <c r="BE42" i="38" s="1"/>
  <c r="BZ19" i="42"/>
  <c r="AQ31" i="30"/>
  <c r="BZ51" i="30"/>
  <c r="BE51" i="18" s="1"/>
  <c r="CJ48" i="30"/>
  <c r="BZ65" i="30"/>
  <c r="BE65" i="18" s="1"/>
  <c r="BZ59" i="30"/>
  <c r="BE59" i="18" s="1"/>
  <c r="AB59" i="30"/>
  <c r="L59" i="5" s="1"/>
  <c r="M59" i="5" s="1"/>
  <c r="AB73" i="30"/>
  <c r="L73" i="5" s="1"/>
  <c r="BZ67" i="43"/>
  <c r="CW67" i="38" s="1"/>
  <c r="G52" i="37"/>
  <c r="G66" i="37"/>
  <c r="BV66" i="41"/>
  <c r="BV52" i="41"/>
  <c r="CN31" i="30"/>
  <c r="BO58" i="29"/>
  <c r="BO72" i="29"/>
  <c r="BO51" i="29"/>
  <c r="BO65" i="29"/>
  <c r="BO55" i="41"/>
  <c r="BO69" i="41"/>
  <c r="BO31" i="29"/>
  <c r="BH72" i="29"/>
  <c r="BH58" i="29"/>
  <c r="BH60" i="41"/>
  <c r="BH74" i="41"/>
  <c r="BH62" i="41"/>
  <c r="BH76" i="41"/>
  <c r="AL31" i="42"/>
  <c r="S64" i="5"/>
  <c r="S50" i="5"/>
  <c r="W65" i="5"/>
  <c r="W51" i="5"/>
  <c r="K31" i="5"/>
  <c r="U74" i="5"/>
  <c r="U60" i="5"/>
  <c r="T72" i="5"/>
  <c r="T58" i="5"/>
  <c r="W60" i="5"/>
  <c r="W74" i="5"/>
  <c r="W68" i="5"/>
  <c r="W54" i="5"/>
  <c r="W48" i="5" s="1"/>
  <c r="W57" i="5"/>
  <c r="W71" i="5"/>
  <c r="W76" i="5"/>
  <c r="W62" i="5"/>
  <c r="T45" i="32"/>
  <c r="BR60" i="41"/>
  <c r="BR74" i="41"/>
  <c r="BR76" i="41"/>
  <c r="BR62" i="41"/>
  <c r="BC70" i="41"/>
  <c r="BC56" i="41"/>
  <c r="BC59" i="29"/>
  <c r="BC73" i="29"/>
  <c r="AC34" i="43"/>
  <c r="AB34" i="43" s="1"/>
  <c r="AL34" i="32" s="1"/>
  <c r="AB14" i="43"/>
  <c r="AB18" i="43"/>
  <c r="AC33" i="43"/>
  <c r="AB33" i="43" s="1"/>
  <c r="AL33" i="32" s="1"/>
  <c r="AB13" i="43"/>
  <c r="AC39" i="42"/>
  <c r="AB39" i="42" s="1"/>
  <c r="L39" i="32" s="1"/>
  <c r="AB11" i="42"/>
  <c r="AB23" i="42"/>
  <c r="AQ74" i="37"/>
  <c r="AQ60" i="37"/>
  <c r="AQ68" i="37"/>
  <c r="AQ54" i="37"/>
  <c r="AO75" i="37"/>
  <c r="AO61" i="37"/>
  <c r="AM52" i="37"/>
  <c r="AM66" i="37"/>
  <c r="R73" i="37"/>
  <c r="R59" i="37"/>
  <c r="R31" i="37"/>
  <c r="Y65" i="37"/>
  <c r="Z65" i="37" s="1"/>
  <c r="Y51" i="37"/>
  <c r="Z51" i="37" s="1"/>
  <c r="T61" i="37"/>
  <c r="T75" i="37"/>
  <c r="AP68" i="37"/>
  <c r="AP54" i="37"/>
  <c r="R75" i="37"/>
  <c r="R61" i="37"/>
  <c r="AO50" i="37"/>
  <c r="AO64" i="37"/>
  <c r="AR73" i="37"/>
  <c r="AR59" i="37"/>
  <c r="R65" i="37"/>
  <c r="R51" i="37"/>
  <c r="AR75" i="37"/>
  <c r="AR61" i="37"/>
  <c r="DG71" i="18"/>
  <c r="DG57" i="18"/>
  <c r="BW72" i="29"/>
  <c r="BW58" i="29"/>
  <c r="BT70" i="29"/>
  <c r="BT56" i="29"/>
  <c r="BT68" i="41"/>
  <c r="BT54" i="41"/>
  <c r="BT61" i="41"/>
  <c r="BT75" i="41"/>
  <c r="CS31" i="42"/>
  <c r="BP50" i="29"/>
  <c r="BP64" i="29"/>
  <c r="BP31" i="29"/>
  <c r="BP66" i="41"/>
  <c r="BP52" i="41"/>
  <c r="BL54" i="41"/>
  <c r="BL68" i="41"/>
  <c r="BL70" i="29"/>
  <c r="BL56" i="29"/>
  <c r="BL55" i="41"/>
  <c r="BL69" i="41"/>
  <c r="BY55" i="41"/>
  <c r="BY69" i="41"/>
  <c r="BY69" i="29"/>
  <c r="BY55" i="29"/>
  <c r="BY60" i="29"/>
  <c r="BY74" i="29"/>
  <c r="AK53" i="18"/>
  <c r="AK67" i="18"/>
  <c r="AK45" i="18"/>
  <c r="BK55" i="41"/>
  <c r="BK69" i="41"/>
  <c r="AI31" i="42"/>
  <c r="DN33" i="38"/>
  <c r="DN49" i="38"/>
  <c r="DL45" i="38"/>
  <c r="DN46" i="38"/>
  <c r="BN64" i="29"/>
  <c r="BN50" i="29"/>
  <c r="BN31" i="29"/>
  <c r="BN51" i="41"/>
  <c r="BN65" i="41"/>
  <c r="AF31" i="42"/>
  <c r="CR31" i="43"/>
  <c r="BS50" i="29"/>
  <c r="BS64" i="29"/>
  <c r="BS63" i="29" s="1"/>
  <c r="BS50" i="41"/>
  <c r="BS64" i="41"/>
  <c r="BD53" i="29"/>
  <c r="BD67" i="29"/>
  <c r="BD58" i="41"/>
  <c r="BD72" i="41"/>
  <c r="BU70" i="41"/>
  <c r="BU56" i="41"/>
  <c r="CI31" i="30"/>
  <c r="BJ72" i="29"/>
  <c r="BJ58" i="29"/>
  <c r="BJ69" i="41"/>
  <c r="BJ55" i="41"/>
  <c r="CF45" i="43"/>
  <c r="BG76" i="29"/>
  <c r="BG62" i="29"/>
  <c r="BG55" i="29"/>
  <c r="BG69" i="29"/>
  <c r="D72" i="5"/>
  <c r="D58" i="5"/>
  <c r="D68" i="5"/>
  <c r="D54" i="5"/>
  <c r="AN72" i="31"/>
  <c r="AN58" i="31"/>
  <c r="AC47" i="30"/>
  <c r="AB47" i="30" s="1"/>
  <c r="L47" i="5" s="1"/>
  <c r="M47" i="5" s="1"/>
  <c r="AB6" i="30"/>
  <c r="X53" i="18"/>
  <c r="X67" i="18"/>
  <c r="T76" i="18"/>
  <c r="T62" i="18"/>
  <c r="BL68" i="18"/>
  <c r="BL54" i="18"/>
  <c r="CU68" i="31"/>
  <c r="CU54" i="31"/>
  <c r="AT55" i="31"/>
  <c r="AT69" i="31"/>
  <c r="CT68" i="31"/>
  <c r="CT54" i="31"/>
  <c r="AD61" i="31"/>
  <c r="AD75" i="31"/>
  <c r="DA67" i="18"/>
  <c r="DA53" i="18"/>
  <c r="BX69" i="29"/>
  <c r="BX55" i="29"/>
  <c r="BF66" i="41"/>
  <c r="BF52" i="41"/>
  <c r="BZ57" i="43"/>
  <c r="CW57" i="38" s="1"/>
  <c r="AB57" i="43"/>
  <c r="AL57" i="32" s="1"/>
  <c r="BO52" i="41"/>
  <c r="BO66" i="41"/>
  <c r="AC40" i="42"/>
  <c r="AB40" i="42" s="1"/>
  <c r="L40" i="32" s="1"/>
  <c r="AB4" i="42"/>
  <c r="AN66" i="37"/>
  <c r="AN52" i="37"/>
  <c r="I65" i="37"/>
  <c r="I51" i="37"/>
  <c r="DG69" i="18"/>
  <c r="DG55" i="18"/>
  <c r="BZ39" i="30"/>
  <c r="BE39" i="18" s="1"/>
  <c r="AK64" i="18"/>
  <c r="AK50" i="18"/>
  <c r="D65" i="37"/>
  <c r="D51" i="37"/>
  <c r="Z66" i="37"/>
  <c r="AC37" i="30"/>
  <c r="AB37" i="30" s="1"/>
  <c r="L37" i="5" s="1"/>
  <c r="M37" i="5" s="1"/>
  <c r="AB22" i="30"/>
  <c r="AA31" i="5"/>
  <c r="AC31" i="5" s="1"/>
  <c r="AC32" i="5"/>
  <c r="CK72" i="31"/>
  <c r="CK58" i="31"/>
  <c r="CC70" i="31"/>
  <c r="CC56" i="31"/>
  <c r="O73" i="18"/>
  <c r="O59" i="18"/>
  <c r="P70" i="18"/>
  <c r="P56" i="18"/>
  <c r="CI53" i="31"/>
  <c r="CI67" i="31"/>
  <c r="CA41" i="31"/>
  <c r="BZ8" i="31"/>
  <c r="W75" i="18"/>
  <c r="W61" i="18"/>
  <c r="CL56" i="31"/>
  <c r="CL70" i="31"/>
  <c r="CE71" i="31"/>
  <c r="CE57" i="31"/>
  <c r="BD64" i="18"/>
  <c r="BD50" i="18"/>
  <c r="BQ31" i="29"/>
  <c r="BM67" i="29"/>
  <c r="BM53" i="29"/>
  <c r="BZ23" i="30"/>
  <c r="CA34" i="42"/>
  <c r="BZ34" i="42" s="1"/>
  <c r="BE34" i="38" s="1"/>
  <c r="BZ14" i="42"/>
  <c r="W50" i="5"/>
  <c r="W64" i="5"/>
  <c r="AR74" i="31"/>
  <c r="AR60" i="31"/>
  <c r="AJ60" i="31"/>
  <c r="AJ74" i="31"/>
  <c r="X31" i="18"/>
  <c r="CT73" i="18"/>
  <c r="CT59" i="18"/>
  <c r="O71" i="18"/>
  <c r="O57" i="18"/>
  <c r="CN74" i="31"/>
  <c r="CN60" i="31"/>
  <c r="DN41" i="18"/>
  <c r="CI68" i="31"/>
  <c r="CI54" i="31"/>
  <c r="CB74" i="31"/>
  <c r="CB60" i="31"/>
  <c r="CA60" i="31"/>
  <c r="CA74" i="31"/>
  <c r="BZ12" i="31"/>
  <c r="BI58" i="18"/>
  <c r="BI72" i="18"/>
  <c r="R64" i="18"/>
  <c r="R50" i="18"/>
  <c r="H66" i="37"/>
  <c r="H52" i="37"/>
  <c r="BG31" i="18"/>
  <c r="AN57" i="31"/>
  <c r="AN71" i="31"/>
  <c r="AC50" i="31"/>
  <c r="AC64" i="31"/>
  <c r="AB25" i="31"/>
  <c r="J75" i="5"/>
  <c r="J61" i="5"/>
  <c r="X72" i="18"/>
  <c r="X58" i="18"/>
  <c r="AR70" i="31"/>
  <c r="AR56" i="31"/>
  <c r="AN31" i="31"/>
  <c r="AJ56" i="31"/>
  <c r="AJ70" i="31"/>
  <c r="AG55" i="31"/>
  <c r="AG69" i="31"/>
  <c r="AC71" i="31"/>
  <c r="AB71" i="31" s="1"/>
  <c r="AL71" i="5" s="1"/>
  <c r="AM71" i="5" s="1"/>
  <c r="AC57" i="31"/>
  <c r="AB57" i="31" s="1"/>
  <c r="AL57" i="5" s="1"/>
  <c r="AM57" i="5" s="1"/>
  <c r="AB29" i="31"/>
  <c r="AC41" i="30"/>
  <c r="AB41" i="30" s="1"/>
  <c r="L41" i="5" s="1"/>
  <c r="M41" i="5" s="1"/>
  <c r="AB8" i="30"/>
  <c r="AC76" i="31"/>
  <c r="AB76" i="31" s="1"/>
  <c r="AL76" i="5" s="1"/>
  <c r="AM76" i="5" s="1"/>
  <c r="AC62" i="31"/>
  <c r="AB62" i="31" s="1"/>
  <c r="AL62" i="5" s="1"/>
  <c r="AB27" i="31"/>
  <c r="AC60" i="31"/>
  <c r="AC74" i="31"/>
  <c r="AB12" i="31"/>
  <c r="D38" i="30"/>
  <c r="AC36" i="5"/>
  <c r="AA74" i="5"/>
  <c r="AC74" i="5" s="1"/>
  <c r="AA60" i="5"/>
  <c r="X75" i="18"/>
  <c r="X61" i="18"/>
  <c r="BO59" i="18"/>
  <c r="BO73" i="18"/>
  <c r="BO62" i="18"/>
  <c r="BO76" i="18"/>
  <c r="T66" i="18"/>
  <c r="T52" i="18"/>
  <c r="CX50" i="18"/>
  <c r="CX48" i="18" s="1"/>
  <c r="CX64" i="18"/>
  <c r="BF67" i="18"/>
  <c r="BF53" i="18"/>
  <c r="BF51" i="18"/>
  <c r="BF65" i="18"/>
  <c r="CV59" i="31"/>
  <c r="CV73" i="31"/>
  <c r="CS55" i="31"/>
  <c r="CS69" i="31"/>
  <c r="CO53" i="31"/>
  <c r="CO67" i="31"/>
  <c r="CO52" i="31"/>
  <c r="CO66" i="31"/>
  <c r="CO71" i="31"/>
  <c r="CO57" i="31"/>
  <c r="CK59" i="31"/>
  <c r="CK73" i="31"/>
  <c r="CX51" i="31"/>
  <c r="CX65" i="31"/>
  <c r="CX68" i="31"/>
  <c r="CX54" i="31"/>
  <c r="CD65" i="31"/>
  <c r="CD51" i="31"/>
  <c r="CC74" i="31"/>
  <c r="CC60" i="31"/>
  <c r="AX55" i="31"/>
  <c r="AX69" i="31"/>
  <c r="AQ57" i="31"/>
  <c r="AQ71" i="31"/>
  <c r="AQ31" i="31"/>
  <c r="AM52" i="31"/>
  <c r="AM66" i="31"/>
  <c r="AF58" i="31"/>
  <c r="AF72" i="31"/>
  <c r="CT70" i="18"/>
  <c r="CT56" i="18"/>
  <c r="U66" i="18"/>
  <c r="U52" i="18"/>
  <c r="DD31" i="18"/>
  <c r="BL52" i="18"/>
  <c r="BL66" i="18"/>
  <c r="O72" i="18"/>
  <c r="O58" i="18"/>
  <c r="DB66" i="18"/>
  <c r="DB52" i="18"/>
  <c r="BJ45" i="18"/>
  <c r="BJ53" i="18"/>
  <c r="BJ67" i="18"/>
  <c r="CU72" i="31"/>
  <c r="CU58" i="31"/>
  <c r="CR68" i="31"/>
  <c r="CR54" i="31"/>
  <c r="CR65" i="31"/>
  <c r="CR51" i="31"/>
  <c r="CN31" i="31"/>
  <c r="CJ59" i="31"/>
  <c r="CJ73" i="31"/>
  <c r="CG74" i="31"/>
  <c r="CG60" i="31"/>
  <c r="CG55" i="31"/>
  <c r="CG69" i="31"/>
  <c r="AW62" i="31"/>
  <c r="AW76" i="31"/>
  <c r="AW52" i="31"/>
  <c r="AW66" i="31"/>
  <c r="AT53" i="31"/>
  <c r="AT67" i="31"/>
  <c r="AT31" i="31"/>
  <c r="AL68" i="31"/>
  <c r="AL54" i="31"/>
  <c r="AL59" i="31"/>
  <c r="AL73" i="31"/>
  <c r="AL51" i="31"/>
  <c r="AL65" i="31"/>
  <c r="AI55" i="31"/>
  <c r="AI69" i="31"/>
  <c r="AI31" i="31"/>
  <c r="AI69" i="5"/>
  <c r="AI55" i="5"/>
  <c r="AB64" i="5"/>
  <c r="AB50" i="5"/>
  <c r="AB72" i="5"/>
  <c r="AB58" i="5"/>
  <c r="AC47" i="5"/>
  <c r="AO71" i="5"/>
  <c r="AO57" i="5"/>
  <c r="BC60" i="18"/>
  <c r="BC74" i="18"/>
  <c r="BC57" i="18"/>
  <c r="BC71" i="18"/>
  <c r="DL72" i="18"/>
  <c r="DL58" i="18"/>
  <c r="DL70" i="18"/>
  <c r="DN70" i="18" s="1"/>
  <c r="DL56" i="18"/>
  <c r="DN56" i="18" s="1"/>
  <c r="DL73" i="18"/>
  <c r="DL59" i="18"/>
  <c r="Q68" i="18"/>
  <c r="Q54" i="18"/>
  <c r="CY31" i="18"/>
  <c r="CY71" i="18"/>
  <c r="CY57" i="18"/>
  <c r="CY62" i="18"/>
  <c r="CY76" i="18"/>
  <c r="BG53" i="18"/>
  <c r="BG67" i="18"/>
  <c r="P68" i="18"/>
  <c r="P54" i="18"/>
  <c r="P62" i="18"/>
  <c r="P76" i="18"/>
  <c r="DC75" i="18"/>
  <c r="DC61" i="18"/>
  <c r="CT50" i="31"/>
  <c r="CT64" i="31"/>
  <c r="CQ52" i="31"/>
  <c r="CQ66" i="31"/>
  <c r="CI64" i="31"/>
  <c r="CI50" i="31"/>
  <c r="CF68" i="31"/>
  <c r="CF54" i="31"/>
  <c r="CF65" i="31"/>
  <c r="CF51" i="31"/>
  <c r="CB31" i="31"/>
  <c r="CA42" i="31"/>
  <c r="BZ42" i="31" s="1"/>
  <c r="CW42" i="18" s="1"/>
  <c r="BZ19" i="31"/>
  <c r="CW19" i="18" s="1"/>
  <c r="CA35" i="31"/>
  <c r="BZ35" i="31" s="1"/>
  <c r="CW35" i="18" s="1"/>
  <c r="BZ30" i="31"/>
  <c r="AV31" i="31"/>
  <c r="AV51" i="31"/>
  <c r="AV65" i="31"/>
  <c r="AS65" i="31"/>
  <c r="AS51" i="31"/>
  <c r="AO70" i="31"/>
  <c r="AO56" i="31"/>
  <c r="AH58" i="31"/>
  <c r="AH72" i="31"/>
  <c r="AH57" i="31"/>
  <c r="AH71" i="31"/>
  <c r="AD45" i="31"/>
  <c r="AK58" i="5"/>
  <c r="AK72" i="5"/>
  <c r="DM67" i="18"/>
  <c r="DM53" i="18"/>
  <c r="W54" i="18"/>
  <c r="W68" i="18"/>
  <c r="BM50" i="18"/>
  <c r="BM64" i="18"/>
  <c r="DA58" i="18"/>
  <c r="DA72" i="18"/>
  <c r="BI50" i="18"/>
  <c r="BI48" i="18" s="1"/>
  <c r="BI64" i="18"/>
  <c r="BI70" i="18"/>
  <c r="BI56" i="18"/>
  <c r="R71" i="18"/>
  <c r="R57" i="18"/>
  <c r="R69" i="18"/>
  <c r="R55" i="18"/>
  <c r="BH62" i="18"/>
  <c r="BH76" i="18"/>
  <c r="CW72" i="31"/>
  <c r="CW58" i="31"/>
  <c r="BZ43" i="31"/>
  <c r="CW43" i="18" s="1"/>
  <c r="CP71" i="31"/>
  <c r="CP57" i="31"/>
  <c r="CH58" i="31"/>
  <c r="CH72" i="31"/>
  <c r="BN58" i="18"/>
  <c r="BN72" i="18"/>
  <c r="BN53" i="18"/>
  <c r="BN67" i="18"/>
  <c r="W75" i="37"/>
  <c r="W61" i="37"/>
  <c r="AH45" i="30"/>
  <c r="AD31" i="30"/>
  <c r="BD55" i="18"/>
  <c r="BD69" i="18"/>
  <c r="BD62" i="18"/>
  <c r="BD76" i="18"/>
  <c r="DE71" i="18"/>
  <c r="DE57" i="18"/>
  <c r="CZ64" i="18"/>
  <c r="CZ63" i="18" s="1"/>
  <c r="CZ50" i="18"/>
  <c r="CZ48" i="18" s="1"/>
  <c r="CZ31" i="18"/>
  <c r="BZ46" i="30"/>
  <c r="BE46" i="18" s="1"/>
  <c r="BP46" i="18" s="1"/>
  <c r="CW45" i="30"/>
  <c r="BX71" i="29"/>
  <c r="BX57" i="29"/>
  <c r="BX66" i="29"/>
  <c r="BX52" i="29"/>
  <c r="BX73" i="41"/>
  <c r="BX59" i="41"/>
  <c r="BQ57" i="29"/>
  <c r="BQ71" i="29"/>
  <c r="BQ52" i="29"/>
  <c r="BQ66" i="29"/>
  <c r="BQ54" i="29"/>
  <c r="BQ68" i="29"/>
  <c r="BQ57" i="41"/>
  <c r="BQ71" i="41"/>
  <c r="CP31" i="42"/>
  <c r="BM61" i="41"/>
  <c r="BM75" i="41"/>
  <c r="CL31" i="42"/>
  <c r="CH45" i="30"/>
  <c r="BI75" i="29"/>
  <c r="BI61" i="29"/>
  <c r="BI45" i="41"/>
  <c r="CE45" i="30"/>
  <c r="BE61" i="41"/>
  <c r="BE75" i="41"/>
  <c r="BF31" i="29"/>
  <c r="BE50" i="29"/>
  <c r="BE64" i="29"/>
  <c r="BE45" i="41"/>
  <c r="BF50" i="41"/>
  <c r="BF48" i="41" s="1"/>
  <c r="BF64" i="41"/>
  <c r="BF45" i="41"/>
  <c r="BZ29" i="30"/>
  <c r="BZ17" i="30"/>
  <c r="BZ5" i="30"/>
  <c r="CA47" i="43"/>
  <c r="BZ47" i="43" s="1"/>
  <c r="CW47" i="38" s="1"/>
  <c r="BZ6" i="43"/>
  <c r="CA43" i="43"/>
  <c r="BZ43" i="43" s="1"/>
  <c r="CW43" i="38" s="1"/>
  <c r="BZ28" i="43"/>
  <c r="BB37" i="41"/>
  <c r="BA37" i="41" s="1"/>
  <c r="N37" i="38" s="1"/>
  <c r="BA22" i="41"/>
  <c r="BA21" i="29"/>
  <c r="BB65" i="29"/>
  <c r="BB51" i="29"/>
  <c r="BA51" i="29" s="1"/>
  <c r="N51" i="18" s="1"/>
  <c r="BA7" i="29"/>
  <c r="BB59" i="29"/>
  <c r="BB73" i="29"/>
  <c r="BB70" i="41"/>
  <c r="BB56" i="41"/>
  <c r="BA20" i="41"/>
  <c r="BB32" i="41"/>
  <c r="BA3" i="41"/>
  <c r="CA41" i="42"/>
  <c r="BZ41" i="42" s="1"/>
  <c r="BE41" i="38" s="1"/>
  <c r="BZ8" i="42"/>
  <c r="BZ20" i="42"/>
  <c r="AZ31" i="30"/>
  <c r="AB68" i="43"/>
  <c r="AL68" i="32" s="1"/>
  <c r="BZ68" i="43"/>
  <c r="CW68" i="38" s="1"/>
  <c r="G65" i="37"/>
  <c r="J65" i="37" s="1"/>
  <c r="G51" i="37"/>
  <c r="J51" i="37" s="1"/>
  <c r="BV75" i="29"/>
  <c r="BV61" i="29"/>
  <c r="BV61" i="41"/>
  <c r="BV75" i="41"/>
  <c r="CN45" i="43"/>
  <c r="BO64" i="41"/>
  <c r="BO50" i="41"/>
  <c r="BH45" i="29"/>
  <c r="BH76" i="29"/>
  <c r="BH62" i="29"/>
  <c r="BH53" i="29"/>
  <c r="BH67" i="29"/>
  <c r="S67" i="5"/>
  <c r="S53" i="5"/>
  <c r="W55" i="5"/>
  <c r="W69" i="5"/>
  <c r="U72" i="5"/>
  <c r="U58" i="5"/>
  <c r="K74" i="5"/>
  <c r="K60" i="5"/>
  <c r="K71" i="5"/>
  <c r="K57" i="5"/>
  <c r="T73" i="5"/>
  <c r="T59" i="5"/>
  <c r="S68" i="5"/>
  <c r="S54" i="5"/>
  <c r="W31" i="5"/>
  <c r="U62" i="5"/>
  <c r="U76" i="5"/>
  <c r="U69" i="5"/>
  <c r="U55" i="5"/>
  <c r="CQ45" i="30"/>
  <c r="BR50" i="29"/>
  <c r="BR64" i="29"/>
  <c r="BR63" i="29" s="1"/>
  <c r="CQ31" i="42"/>
  <c r="BC65" i="41"/>
  <c r="BC51" i="41"/>
  <c r="CB31" i="42"/>
  <c r="J36" i="37"/>
  <c r="AY31" i="30"/>
  <c r="AY31" i="43"/>
  <c r="AN45" i="42"/>
  <c r="AG45" i="30"/>
  <c r="AG45" i="42"/>
  <c r="AC32" i="43"/>
  <c r="AB3" i="43"/>
  <c r="AL3" i="32" s="1"/>
  <c r="AB23" i="43"/>
  <c r="AC47" i="43"/>
  <c r="AB47" i="43" s="1"/>
  <c r="AL47" i="32" s="1"/>
  <c r="AB6" i="43"/>
  <c r="AC33" i="42"/>
  <c r="AB33" i="42" s="1"/>
  <c r="L33" i="32" s="1"/>
  <c r="AB13" i="42"/>
  <c r="AB24" i="42"/>
  <c r="AN75" i="37"/>
  <c r="AN61" i="37"/>
  <c r="AN69" i="37"/>
  <c r="AN55" i="37"/>
  <c r="AQ53" i="37"/>
  <c r="AQ67" i="37"/>
  <c r="AN45" i="16"/>
  <c r="AM54" i="37"/>
  <c r="AM68" i="37"/>
  <c r="P51" i="37"/>
  <c r="P65" i="37"/>
  <c r="AR56" i="37"/>
  <c r="AR70" i="37"/>
  <c r="Q70" i="37"/>
  <c r="Q56" i="37"/>
  <c r="I69" i="37"/>
  <c r="I55" i="37"/>
  <c r="Q66" i="37"/>
  <c r="Q52" i="37"/>
  <c r="AM71" i="37"/>
  <c r="AM57" i="37"/>
  <c r="Q76" i="37"/>
  <c r="Q62" i="37"/>
  <c r="S66" i="37"/>
  <c r="S52" i="37"/>
  <c r="AO65" i="37"/>
  <c r="AO51" i="37"/>
  <c r="AR31" i="37"/>
  <c r="S70" i="37"/>
  <c r="S56" i="37"/>
  <c r="DG65" i="18"/>
  <c r="DG51" i="18"/>
  <c r="DG76" i="18"/>
  <c r="DG62" i="18"/>
  <c r="DG75" i="18"/>
  <c r="DG61" i="18"/>
  <c r="CV45" i="30"/>
  <c r="BW31" i="29"/>
  <c r="BW60" i="41"/>
  <c r="BW74" i="41"/>
  <c r="BW62" i="41"/>
  <c r="BW76" i="41"/>
  <c r="BW54" i="41"/>
  <c r="BW68" i="41"/>
  <c r="BT45" i="41"/>
  <c r="CO31" i="43"/>
  <c r="BP55" i="29"/>
  <c r="BP69" i="29"/>
  <c r="BP60" i="29"/>
  <c r="BP74" i="29"/>
  <c r="BP61" i="41"/>
  <c r="BP75" i="41"/>
  <c r="BL31" i="41"/>
  <c r="BL64" i="41"/>
  <c r="BL50" i="41"/>
  <c r="CX31" i="43"/>
  <c r="BY74" i="41"/>
  <c r="BY60" i="41"/>
  <c r="BY53" i="41"/>
  <c r="BY67" i="41"/>
  <c r="AK31" i="18"/>
  <c r="AU45" i="42"/>
  <c r="AM31" i="30"/>
  <c r="AM45" i="30"/>
  <c r="CJ31" i="30"/>
  <c r="BK69" i="29"/>
  <c r="BK55" i="29"/>
  <c r="BK65" i="29"/>
  <c r="BK51" i="29"/>
  <c r="BK64" i="41"/>
  <c r="BK50" i="41"/>
  <c r="BK48" i="41" s="1"/>
  <c r="AW31" i="30"/>
  <c r="DN36" i="38"/>
  <c r="BN55" i="29"/>
  <c r="BN69" i="29"/>
  <c r="BN60" i="29"/>
  <c r="BN74" i="29"/>
  <c r="H69" i="37"/>
  <c r="J69" i="37" s="1"/>
  <c r="H55" i="37"/>
  <c r="BS56" i="29"/>
  <c r="BS70" i="29"/>
  <c r="BD71" i="41"/>
  <c r="BD57" i="41"/>
  <c r="BD51" i="29"/>
  <c r="BD65" i="29"/>
  <c r="BD45" i="29"/>
  <c r="BD66" i="41"/>
  <c r="BD52" i="41"/>
  <c r="BU51" i="29"/>
  <c r="BU48" i="29" s="1"/>
  <c r="BU65" i="29"/>
  <c r="CI31" i="43"/>
  <c r="BJ62" i="29"/>
  <c r="BJ76" i="29"/>
  <c r="BJ50" i="41"/>
  <c r="BJ64" i="41"/>
  <c r="BJ59" i="41"/>
  <c r="BJ73" i="41"/>
  <c r="AE45" i="42"/>
  <c r="BG50" i="29"/>
  <c r="BG64" i="29"/>
  <c r="BG69" i="41"/>
  <c r="BG55" i="41"/>
  <c r="BG31" i="29"/>
  <c r="Z66" i="18"/>
  <c r="Z52" i="18"/>
  <c r="D54" i="37"/>
  <c r="D48" i="37" s="1"/>
  <c r="D68" i="37"/>
  <c r="Z59" i="18"/>
  <c r="Z73" i="18"/>
  <c r="D31" i="37"/>
  <c r="X48" i="37"/>
  <c r="CS53" i="31"/>
  <c r="CS67" i="31"/>
  <c r="BK55" i="18"/>
  <c r="BK69" i="18"/>
  <c r="BM62" i="18"/>
  <c r="BM76" i="18"/>
  <c r="BH55" i="18"/>
  <c r="BH69" i="18"/>
  <c r="CH59" i="31"/>
  <c r="CH73" i="31"/>
  <c r="BA38" i="29"/>
  <c r="N38" i="18" s="1"/>
  <c r="BQ55" i="29"/>
  <c r="BQ69" i="29"/>
  <c r="CA33" i="42"/>
  <c r="BZ33" i="42" s="1"/>
  <c r="BE33" i="38" s="1"/>
  <c r="BZ13" i="42"/>
  <c r="BH70" i="41"/>
  <c r="BH56" i="41"/>
  <c r="BC62" i="41"/>
  <c r="BC76" i="41"/>
  <c r="AO60" i="37"/>
  <c r="AO74" i="37"/>
  <c r="BD58" i="29"/>
  <c r="BD72" i="29"/>
  <c r="BG72" i="41"/>
  <c r="BG58" i="41"/>
  <c r="AJ50" i="31"/>
  <c r="AJ48" i="31" s="1"/>
  <c r="AJ64" i="31"/>
  <c r="BO56" i="18"/>
  <c r="BO70" i="18"/>
  <c r="AX52" i="31"/>
  <c r="AX66" i="31"/>
  <c r="AM73" i="31"/>
  <c r="AM59" i="31"/>
  <c r="CT75" i="18"/>
  <c r="CT61" i="18"/>
  <c r="AW59" i="31"/>
  <c r="AW73" i="31"/>
  <c r="DL52" i="18"/>
  <c r="DL48" i="18" s="1"/>
  <c r="DL66" i="18"/>
  <c r="DN66" i="18" s="1"/>
  <c r="DC31" i="18"/>
  <c r="CM66" i="31"/>
  <c r="CM52" i="31"/>
  <c r="CE67" i="31"/>
  <c r="CE53" i="31"/>
  <c r="BI69" i="29"/>
  <c r="BI55" i="29"/>
  <c r="BE76" i="41"/>
  <c r="BE62" i="41"/>
  <c r="CA39" i="43"/>
  <c r="BZ39" i="43" s="1"/>
  <c r="CW39" i="38" s="1"/>
  <c r="BZ11" i="43"/>
  <c r="BH51" i="29"/>
  <c r="BH65" i="29"/>
  <c r="U71" i="5"/>
  <c r="U57" i="5"/>
  <c r="AN31" i="43"/>
  <c r="AC42" i="43"/>
  <c r="AB42" i="43" s="1"/>
  <c r="AL42" i="32" s="1"/>
  <c r="AB19" i="43"/>
  <c r="AR76" i="37"/>
  <c r="AR62" i="37"/>
  <c r="BP61" i="29"/>
  <c r="BP75" i="29"/>
  <c r="BK74" i="29"/>
  <c r="BK60" i="29"/>
  <c r="Z31" i="18"/>
  <c r="AR61" i="31"/>
  <c r="AR75" i="31"/>
  <c r="AC53" i="31"/>
  <c r="AC67" i="31"/>
  <c r="AB67" i="31" s="1"/>
  <c r="AL67" i="5" s="1"/>
  <c r="AM67" i="5" s="1"/>
  <c r="AB5" i="31"/>
  <c r="AC38" i="5"/>
  <c r="T75" i="18"/>
  <c r="T61" i="18"/>
  <c r="BF66" i="18"/>
  <c r="BF52" i="18"/>
  <c r="CX66" i="31"/>
  <c r="CX52" i="31"/>
  <c r="AX58" i="31"/>
  <c r="AX72" i="31"/>
  <c r="AF62" i="31"/>
  <c r="AF76" i="31"/>
  <c r="DB75" i="18"/>
  <c r="DB61" i="18"/>
  <c r="CJ67" i="31"/>
  <c r="CJ53" i="31"/>
  <c r="CU70" i="18"/>
  <c r="CU56" i="18"/>
  <c r="BG61" i="18"/>
  <c r="BG75" i="18"/>
  <c r="BK57" i="18"/>
  <c r="BK71" i="18"/>
  <c r="CI61" i="31"/>
  <c r="CI75" i="31"/>
  <c r="CB55" i="31"/>
  <c r="CB69" i="31"/>
  <c r="AH59" i="31"/>
  <c r="AH73" i="31"/>
  <c r="W56" i="18"/>
  <c r="W70" i="18"/>
  <c r="BI60" i="18"/>
  <c r="BI74" i="18"/>
  <c r="AY69" i="31"/>
  <c r="AY55" i="31"/>
  <c r="AG70" i="31"/>
  <c r="AG56" i="31"/>
  <c r="AC68" i="31"/>
  <c r="AC54" i="31"/>
  <c r="AB9" i="31"/>
  <c r="AA67" i="5"/>
  <c r="AC67" i="5" s="1"/>
  <c r="AA53" i="5"/>
  <c r="AC53" i="5" s="1"/>
  <c r="AJ55" i="31"/>
  <c r="AJ69" i="31"/>
  <c r="AG52" i="31"/>
  <c r="AG66" i="31"/>
  <c r="AC32" i="30"/>
  <c r="AB3" i="30"/>
  <c r="AC44" i="30"/>
  <c r="AB44" i="30" s="1"/>
  <c r="L44" i="5" s="1"/>
  <c r="M44" i="5" s="1"/>
  <c r="AB15" i="30"/>
  <c r="AC58" i="31"/>
  <c r="AB58" i="31" s="1"/>
  <c r="AL58" i="5" s="1"/>
  <c r="AC72" i="31"/>
  <c r="AB72" i="31" s="1"/>
  <c r="AL72" i="5" s="1"/>
  <c r="AB16" i="31"/>
  <c r="J31" i="5"/>
  <c r="J58" i="5"/>
  <c r="J72" i="5"/>
  <c r="AC43" i="5"/>
  <c r="AA52" i="5"/>
  <c r="AC52" i="5" s="1"/>
  <c r="AA66" i="5"/>
  <c r="AC66" i="5" s="1"/>
  <c r="AJ64" i="5"/>
  <c r="AJ50" i="5"/>
  <c r="AJ72" i="5"/>
  <c r="AJ58" i="5"/>
  <c r="X70" i="18"/>
  <c r="X56" i="18"/>
  <c r="BO71" i="18"/>
  <c r="BO57" i="18"/>
  <c r="T69" i="18"/>
  <c r="T55" i="18"/>
  <c r="CX31" i="18"/>
  <c r="CX62" i="18"/>
  <c r="CX76" i="18"/>
  <c r="BF74" i="18"/>
  <c r="BF60" i="18"/>
  <c r="CV70" i="31"/>
  <c r="CV56" i="31"/>
  <c r="CS64" i="31"/>
  <c r="CS50" i="31"/>
  <c r="CO75" i="31"/>
  <c r="CO61" i="31"/>
  <c r="CK68" i="31"/>
  <c r="CK54" i="31"/>
  <c r="CK48" i="31"/>
  <c r="CX58" i="31"/>
  <c r="CX72" i="31"/>
  <c r="CC68" i="31"/>
  <c r="CC54" i="31"/>
  <c r="CC76" i="31"/>
  <c r="CC62" i="31"/>
  <c r="AQ60" i="31"/>
  <c r="AQ74" i="31"/>
  <c r="AQ73" i="31"/>
  <c r="AQ59" i="31"/>
  <c r="AM51" i="31"/>
  <c r="AM65" i="31"/>
  <c r="AZ52" i="31"/>
  <c r="AZ66" i="31"/>
  <c r="AF56" i="31"/>
  <c r="AF70" i="31"/>
  <c r="CT69" i="18"/>
  <c r="CT55" i="18"/>
  <c r="U64" i="18"/>
  <c r="U50" i="18"/>
  <c r="U72" i="18"/>
  <c r="U58" i="18"/>
  <c r="BL61" i="18"/>
  <c r="BL75" i="18"/>
  <c r="BL31" i="18"/>
  <c r="O69" i="18"/>
  <c r="O55" i="18"/>
  <c r="O45" i="18"/>
  <c r="DB65" i="18"/>
  <c r="DB51" i="18"/>
  <c r="BJ58" i="18"/>
  <c r="BJ72" i="18"/>
  <c r="CU53" i="31"/>
  <c r="CU67" i="31"/>
  <c r="CU52" i="31"/>
  <c r="CU66" i="31"/>
  <c r="CU57" i="31"/>
  <c r="CU71" i="31"/>
  <c r="CN76" i="31"/>
  <c r="CN62" i="31"/>
  <c r="CJ70" i="31"/>
  <c r="CJ56" i="31"/>
  <c r="CG64" i="31"/>
  <c r="CG50" i="31"/>
  <c r="AW51" i="31"/>
  <c r="AW65" i="31"/>
  <c r="AT54" i="31"/>
  <c r="AT68" i="31"/>
  <c r="AT73" i="31"/>
  <c r="AT59" i="31"/>
  <c r="AT66" i="31"/>
  <c r="AT52" i="31"/>
  <c r="AL74" i="31"/>
  <c r="AL60" i="31"/>
  <c r="AL50" i="31"/>
  <c r="AL48" i="31" s="1"/>
  <c r="AL64" i="31"/>
  <c r="AI59" i="31"/>
  <c r="AI73" i="31"/>
  <c r="AE52" i="31"/>
  <c r="AE66" i="31"/>
  <c r="AI75" i="5"/>
  <c r="AI61" i="5"/>
  <c r="AB76" i="5"/>
  <c r="AB62" i="5"/>
  <c r="AB65" i="5"/>
  <c r="AB51" i="5"/>
  <c r="AB68" i="5"/>
  <c r="AB54" i="5"/>
  <c r="AC54" i="5" s="1"/>
  <c r="AC40" i="5"/>
  <c r="AO64" i="5"/>
  <c r="AO50" i="5"/>
  <c r="BC58" i="18"/>
  <c r="BC72" i="18"/>
  <c r="BC31" i="18"/>
  <c r="CU53" i="18"/>
  <c r="CU67" i="18"/>
  <c r="DN42" i="18"/>
  <c r="CY68" i="18"/>
  <c r="CY54" i="18"/>
  <c r="CY61" i="18"/>
  <c r="CY75" i="18"/>
  <c r="CY72" i="18"/>
  <c r="CY58" i="18"/>
  <c r="BG60" i="18"/>
  <c r="BG74" i="18"/>
  <c r="BG57" i="18"/>
  <c r="BG71" i="18"/>
  <c r="P71" i="18"/>
  <c r="P57" i="18"/>
  <c r="DC74" i="18"/>
  <c r="DC60" i="18"/>
  <c r="DC56" i="18"/>
  <c r="DC70" i="18"/>
  <c r="BK61" i="18"/>
  <c r="BK75" i="18"/>
  <c r="BK45" i="18"/>
  <c r="CT31" i="31"/>
  <c r="CQ65" i="31"/>
  <c r="CQ51" i="31"/>
  <c r="CM60" i="31"/>
  <c r="CM74" i="31"/>
  <c r="CM69" i="31"/>
  <c r="CM55" i="31"/>
  <c r="CI76" i="31"/>
  <c r="CI62" i="31"/>
  <c r="CI74" i="31"/>
  <c r="CI60" i="31"/>
  <c r="CB76" i="31"/>
  <c r="CB62" i="31"/>
  <c r="CA49" i="31"/>
  <c r="BZ23" i="31"/>
  <c r="CA32" i="31"/>
  <c r="BZ32" i="31" s="1"/>
  <c r="CW32" i="18" s="1"/>
  <c r="BZ3" i="31"/>
  <c r="AV59" i="31"/>
  <c r="AV73" i="31"/>
  <c r="AV50" i="31"/>
  <c r="AV64" i="31"/>
  <c r="AV63" i="31" s="1"/>
  <c r="AS62" i="31"/>
  <c r="AS76" i="31"/>
  <c r="AS50" i="31"/>
  <c r="AS48" i="31" s="1"/>
  <c r="AS64" i="31"/>
  <c r="AO55" i="31"/>
  <c r="AO69" i="31"/>
  <c r="AK31" i="31"/>
  <c r="AK67" i="31"/>
  <c r="AK53" i="31"/>
  <c r="AH56" i="31"/>
  <c r="AH70" i="31"/>
  <c r="AH75" i="31"/>
  <c r="AH61" i="31"/>
  <c r="AD53" i="31"/>
  <c r="AD67" i="31"/>
  <c r="AD31" i="31"/>
  <c r="AK53" i="5"/>
  <c r="AK67" i="5"/>
  <c r="AK65" i="5"/>
  <c r="AK51" i="5"/>
  <c r="DM73" i="18"/>
  <c r="DM59" i="18"/>
  <c r="DM50" i="18"/>
  <c r="DM48" i="18" s="1"/>
  <c r="DM64" i="18"/>
  <c r="W72" i="18"/>
  <c r="W58" i="18"/>
  <c r="BM57" i="18"/>
  <c r="BM71" i="18"/>
  <c r="DA69" i="18"/>
  <c r="DA55" i="18"/>
  <c r="BI65" i="18"/>
  <c r="BI51" i="18"/>
  <c r="BH58" i="18"/>
  <c r="BH72" i="18"/>
  <c r="CW53" i="31"/>
  <c r="CW67" i="31"/>
  <c r="CW63" i="31" s="1"/>
  <c r="CW52" i="31"/>
  <c r="BZ52" i="31" s="1"/>
  <c r="CW52" i="18" s="1"/>
  <c r="CW66" i="31"/>
  <c r="CW71" i="31"/>
  <c r="CW57" i="31"/>
  <c r="BZ57" i="31" s="1"/>
  <c r="CW57" i="18" s="1"/>
  <c r="CP67" i="31"/>
  <c r="CP53" i="31"/>
  <c r="CL62" i="31"/>
  <c r="CL76" i="31"/>
  <c r="CH70" i="31"/>
  <c r="CH56" i="31"/>
  <c r="CE74" i="31"/>
  <c r="CE60" i="31"/>
  <c r="CE69" i="31"/>
  <c r="CE55" i="31"/>
  <c r="BN55" i="18"/>
  <c r="BN69" i="18"/>
  <c r="BN60" i="18"/>
  <c r="BN74" i="18"/>
  <c r="H73" i="37"/>
  <c r="H59" i="37"/>
  <c r="AK31" i="30"/>
  <c r="BD56" i="18"/>
  <c r="BD70" i="18"/>
  <c r="BD48" i="18"/>
  <c r="BD45" i="18"/>
  <c r="DE64" i="18"/>
  <c r="DE50" i="18"/>
  <c r="DE55" i="18"/>
  <c r="DE69" i="18"/>
  <c r="CZ65" i="18"/>
  <c r="CZ51" i="18"/>
  <c r="BZ46" i="43"/>
  <c r="CW46" i="38" s="1"/>
  <c r="CW45" i="43"/>
  <c r="BX72" i="29"/>
  <c r="BX58" i="29"/>
  <c r="BA58" i="29" s="1"/>
  <c r="N58" i="18" s="1"/>
  <c r="BX60" i="41"/>
  <c r="BA60" i="41" s="1"/>
  <c r="N60" i="38" s="1"/>
  <c r="BX74" i="41"/>
  <c r="BX76" i="41"/>
  <c r="BX62" i="41"/>
  <c r="BA62" i="41" s="1"/>
  <c r="N62" i="38" s="1"/>
  <c r="BQ64" i="41"/>
  <c r="BQ50" i="41"/>
  <c r="BQ58" i="29"/>
  <c r="BQ72" i="29"/>
  <c r="BQ59" i="29"/>
  <c r="BQ73" i="29"/>
  <c r="BQ31" i="41"/>
  <c r="BM61" i="29"/>
  <c r="BM75" i="29"/>
  <c r="BM74" i="41"/>
  <c r="BM60" i="41"/>
  <c r="BM31" i="41"/>
  <c r="CH45" i="43"/>
  <c r="BI62" i="41"/>
  <c r="BI76" i="41"/>
  <c r="BI71" i="29"/>
  <c r="BI57" i="29"/>
  <c r="BI66" i="29"/>
  <c r="BI52" i="29"/>
  <c r="BI45" i="29"/>
  <c r="CD31" i="30"/>
  <c r="BF61" i="29"/>
  <c r="BF75" i="29"/>
  <c r="BE60" i="41"/>
  <c r="BE74" i="41"/>
  <c r="BE55" i="29"/>
  <c r="BE69" i="29"/>
  <c r="BE60" i="29"/>
  <c r="BE74" i="29"/>
  <c r="CD45" i="42"/>
  <c r="CA43" i="30"/>
  <c r="BZ43" i="30" s="1"/>
  <c r="BE43" i="18" s="1"/>
  <c r="BP43" i="18" s="1"/>
  <c r="BZ28" i="30"/>
  <c r="BZ16" i="30"/>
  <c r="BE16" i="18" s="1"/>
  <c r="CA40" i="30"/>
  <c r="BZ4" i="30"/>
  <c r="CA35" i="43"/>
  <c r="BZ35" i="43" s="1"/>
  <c r="CW35" i="38" s="1"/>
  <c r="BZ30" i="43"/>
  <c r="BZ25" i="43"/>
  <c r="BA10" i="29"/>
  <c r="BB46" i="29"/>
  <c r="BB45" i="29" s="1"/>
  <c r="BA45" i="29" s="1"/>
  <c r="N45" i="18" s="1"/>
  <c r="BA20" i="29"/>
  <c r="BB56" i="29"/>
  <c r="BB70" i="29"/>
  <c r="BA5" i="29"/>
  <c r="BB67" i="29"/>
  <c r="BA67" i="29" s="1"/>
  <c r="N67" i="18" s="1"/>
  <c r="BB53" i="29"/>
  <c r="BB65" i="41"/>
  <c r="BA65" i="41" s="1"/>
  <c r="N65" i="38" s="1"/>
  <c r="BB51" i="41"/>
  <c r="BA51" i="41" s="1"/>
  <c r="N51" i="38" s="1"/>
  <c r="BA21" i="41"/>
  <c r="BB40" i="41"/>
  <c r="BA40" i="41" s="1"/>
  <c r="N40" i="38" s="1"/>
  <c r="BA4" i="41"/>
  <c r="BZ9" i="42"/>
  <c r="BZ21" i="42"/>
  <c r="AZ31" i="43"/>
  <c r="AB70" i="43"/>
  <c r="AL70" i="32" s="1"/>
  <c r="AB56" i="43"/>
  <c r="AL56" i="32" s="1"/>
  <c r="BZ70" i="43"/>
  <c r="CW70" i="38" s="1"/>
  <c r="AS48" i="42"/>
  <c r="AP48" i="42"/>
  <c r="AY48" i="42"/>
  <c r="AV48" i="42"/>
  <c r="AB54" i="42"/>
  <c r="L54" i="32" s="1"/>
  <c r="J37" i="37"/>
  <c r="G60" i="37"/>
  <c r="G74" i="37"/>
  <c r="BL45" i="38"/>
  <c r="CU31" i="43"/>
  <c r="BV71" i="29"/>
  <c r="BV57" i="29"/>
  <c r="BV66" i="29"/>
  <c r="BV52" i="29"/>
  <c r="BV31" i="41"/>
  <c r="BO60" i="29"/>
  <c r="BO74" i="29"/>
  <c r="BO52" i="29"/>
  <c r="BO66" i="29"/>
  <c r="BH72" i="41"/>
  <c r="BH58" i="41"/>
  <c r="T68" i="5"/>
  <c r="T54" i="5"/>
  <c r="V67" i="5"/>
  <c r="V53" i="5"/>
  <c r="W45" i="5"/>
  <c r="U73" i="5"/>
  <c r="U59" i="5"/>
  <c r="U50" i="5"/>
  <c r="U64" i="5"/>
  <c r="K50" i="5"/>
  <c r="K64" i="5"/>
  <c r="K70" i="5"/>
  <c r="K56" i="5"/>
  <c r="CQ31" i="43"/>
  <c r="BR55" i="29"/>
  <c r="BR69" i="29"/>
  <c r="BR60" i="29"/>
  <c r="BR74" i="29"/>
  <c r="BR58" i="41"/>
  <c r="BR72" i="41"/>
  <c r="BR68" i="41"/>
  <c r="BR54" i="41"/>
  <c r="BR48" i="41" s="1"/>
  <c r="BC57" i="29"/>
  <c r="BC71" i="29"/>
  <c r="BC53" i="29"/>
  <c r="BC67" i="29"/>
  <c r="H70" i="37"/>
  <c r="H56" i="37"/>
  <c r="AR31" i="30"/>
  <c r="AR31" i="43"/>
  <c r="AG31" i="43"/>
  <c r="AC44" i="43"/>
  <c r="AB44" i="43" s="1"/>
  <c r="AL44" i="32" s="1"/>
  <c r="AB15" i="43"/>
  <c r="AC40" i="43"/>
  <c r="AB40" i="43" s="1"/>
  <c r="AL40" i="32" s="1"/>
  <c r="AM40" i="32" s="1"/>
  <c r="AB4" i="43"/>
  <c r="AC35" i="43"/>
  <c r="AB35" i="43" s="1"/>
  <c r="AL35" i="32" s="1"/>
  <c r="AM35" i="32" s="1"/>
  <c r="AB30" i="43"/>
  <c r="AC44" i="42"/>
  <c r="AB44" i="42" s="1"/>
  <c r="L44" i="32" s="1"/>
  <c r="AB15" i="42"/>
  <c r="AB25" i="42"/>
  <c r="AN62" i="37"/>
  <c r="AN76" i="37"/>
  <c r="AN70" i="37"/>
  <c r="AN56" i="37"/>
  <c r="AR58" i="37"/>
  <c r="AR72" i="37"/>
  <c r="Q57" i="37"/>
  <c r="Q71" i="37"/>
  <c r="AP72" i="37"/>
  <c r="AP58" i="37"/>
  <c r="AP70" i="37"/>
  <c r="AP56" i="37"/>
  <c r="AR60" i="37"/>
  <c r="AR74" i="37"/>
  <c r="Q74" i="37"/>
  <c r="Q60" i="37"/>
  <c r="I58" i="37"/>
  <c r="I72" i="37"/>
  <c r="AM65" i="37"/>
  <c r="AM51" i="37"/>
  <c r="T72" i="37"/>
  <c r="T58" i="37"/>
  <c r="Q59" i="37"/>
  <c r="Q73" i="37"/>
  <c r="AP59" i="37"/>
  <c r="AP73" i="37"/>
  <c r="AO52" i="37"/>
  <c r="AO66" i="37"/>
  <c r="W73" i="37"/>
  <c r="W59" i="37"/>
  <c r="R71" i="37"/>
  <c r="R57" i="37"/>
  <c r="Q45" i="37"/>
  <c r="AR45" i="37"/>
  <c r="DG31" i="18"/>
  <c r="BW62" i="29"/>
  <c r="BW76" i="29"/>
  <c r="BW74" i="29"/>
  <c r="BW60" i="29"/>
  <c r="BW45" i="41"/>
  <c r="CV45" i="42"/>
  <c r="CS31" i="30"/>
  <c r="BT75" i="29"/>
  <c r="BT61" i="29"/>
  <c r="BT31" i="41"/>
  <c r="BT56" i="41"/>
  <c r="BT70" i="41"/>
  <c r="BP31" i="41"/>
  <c r="BL61" i="29"/>
  <c r="BL75" i="29"/>
  <c r="CK45" i="42"/>
  <c r="BY68" i="29"/>
  <c r="BY54" i="29"/>
  <c r="BY56" i="41"/>
  <c r="BY70" i="41"/>
  <c r="BY31" i="29"/>
  <c r="CX31" i="42"/>
  <c r="AU31" i="43"/>
  <c r="CJ45" i="30"/>
  <c r="BN69" i="41"/>
  <c r="BN55" i="41"/>
  <c r="BN31" i="41"/>
  <c r="AX45" i="30"/>
  <c r="BS51" i="29"/>
  <c r="BS65" i="29"/>
  <c r="BS75" i="29"/>
  <c r="BS61" i="29"/>
  <c r="BS74" i="41"/>
  <c r="BS60" i="41"/>
  <c r="BS62" i="41"/>
  <c r="BS76" i="41"/>
  <c r="BS68" i="41"/>
  <c r="BS54" i="41"/>
  <c r="BD56" i="29"/>
  <c r="BD70" i="29"/>
  <c r="BD68" i="41"/>
  <c r="BD54" i="41"/>
  <c r="BD31" i="29"/>
  <c r="BD75" i="41"/>
  <c r="BD61" i="41"/>
  <c r="BU64" i="41"/>
  <c r="BU50" i="41"/>
  <c r="BU70" i="29"/>
  <c r="BU56" i="29"/>
  <c r="BU68" i="41"/>
  <c r="BU54" i="41"/>
  <c r="BU57" i="41"/>
  <c r="BU71" i="41"/>
  <c r="AE31" i="43"/>
  <c r="BG56" i="29"/>
  <c r="BG70" i="29"/>
  <c r="BG50" i="41"/>
  <c r="BG64" i="41"/>
  <c r="Z72" i="18"/>
  <c r="Z58" i="18"/>
  <c r="Z68" i="18"/>
  <c r="Z54" i="18"/>
  <c r="D59" i="5"/>
  <c r="D73" i="5"/>
  <c r="H64" i="37"/>
  <c r="H50" i="37"/>
  <c r="J50" i="37" s="1"/>
  <c r="Z49" i="37"/>
  <c r="Z64" i="37"/>
  <c r="X63" i="37"/>
  <c r="AG31" i="31"/>
  <c r="CV69" i="31"/>
  <c r="CV55" i="31"/>
  <c r="CK76" i="31"/>
  <c r="CK62" i="31"/>
  <c r="AM56" i="31"/>
  <c r="AM70" i="31"/>
  <c r="BL56" i="18"/>
  <c r="BL70" i="18"/>
  <c r="AW67" i="31"/>
  <c r="AW53" i="31"/>
  <c r="BG58" i="18"/>
  <c r="BG72" i="18"/>
  <c r="BB38" i="30"/>
  <c r="AS74" i="31"/>
  <c r="AS60" i="31"/>
  <c r="AD71" i="31"/>
  <c r="AD57" i="31"/>
  <c r="BD59" i="18"/>
  <c r="BD73" i="18"/>
  <c r="DE54" i="18"/>
  <c r="DE68" i="18"/>
  <c r="BE69" i="41"/>
  <c r="BE55" i="41"/>
  <c r="BB39" i="41"/>
  <c r="BA39" i="41" s="1"/>
  <c r="N39" i="38" s="1"/>
  <c r="BA11" i="41"/>
  <c r="BZ76" i="42"/>
  <c r="BE76" i="38" s="1"/>
  <c r="AB76" i="42"/>
  <c r="L76" i="32" s="1"/>
  <c r="BV59" i="41"/>
  <c r="BV73" i="41"/>
  <c r="BR56" i="29"/>
  <c r="BR70" i="29"/>
  <c r="AR69" i="37"/>
  <c r="AR55" i="37"/>
  <c r="BZ38" i="43"/>
  <c r="CW38" i="38" s="1"/>
  <c r="BN73" i="41"/>
  <c r="BN59" i="41"/>
  <c r="BU72" i="29"/>
  <c r="BU58" i="29"/>
  <c r="CX74" i="18"/>
  <c r="CX60" i="18"/>
  <c r="AX31" i="31"/>
  <c r="O51" i="18"/>
  <c r="O65" i="18"/>
  <c r="CR76" i="31"/>
  <c r="CR62" i="31"/>
  <c r="CG61" i="31"/>
  <c r="CG75" i="31"/>
  <c r="AI52" i="5"/>
  <c r="AI66" i="5"/>
  <c r="CU48" i="18"/>
  <c r="CM53" i="31"/>
  <c r="CM67" i="31"/>
  <c r="CA38" i="30"/>
  <c r="BZ38" i="30" s="1"/>
  <c r="BE38" i="18" s="1"/>
  <c r="BP38" i="18" s="1"/>
  <c r="BZ2" i="30"/>
  <c r="AK69" i="31"/>
  <c r="AK55" i="31"/>
  <c r="BI61" i="18"/>
  <c r="BI75" i="18"/>
  <c r="CH31" i="43"/>
  <c r="BB74" i="41"/>
  <c r="BA74" i="41" s="1"/>
  <c r="N74" i="38" s="1"/>
  <c r="BB60" i="41"/>
  <c r="BA12" i="41"/>
  <c r="CS63" i="30"/>
  <c r="CO63" i="30"/>
  <c r="G45" i="37"/>
  <c r="J45" i="37" s="1"/>
  <c r="J46" i="37"/>
  <c r="BH51" i="41"/>
  <c r="BH65" i="41"/>
  <c r="BC58" i="29"/>
  <c r="BC72" i="29"/>
  <c r="AQ57" i="37"/>
  <c r="AQ71" i="37"/>
  <c r="Q51" i="37"/>
  <c r="Q65" i="37"/>
  <c r="I52" i="37"/>
  <c r="I66" i="37"/>
  <c r="AY31" i="31"/>
  <c r="CX65" i="18"/>
  <c r="CX51" i="18"/>
  <c r="CV66" i="31"/>
  <c r="CV52" i="31"/>
  <c r="CK31" i="31"/>
  <c r="CX59" i="31"/>
  <c r="CX73" i="31"/>
  <c r="AX61" i="31"/>
  <c r="AX75" i="31"/>
  <c r="AF68" i="31"/>
  <c r="AF54" i="31"/>
  <c r="DD55" i="18"/>
  <c r="DD69" i="18"/>
  <c r="CR73" i="31"/>
  <c r="CR59" i="31"/>
  <c r="CJ71" i="31"/>
  <c r="CJ57" i="31"/>
  <c r="AP56" i="31"/>
  <c r="AP48" i="31" s="1"/>
  <c r="AP70" i="31"/>
  <c r="AI67" i="31"/>
  <c r="AI53" i="31"/>
  <c r="AB75" i="5"/>
  <c r="AB61" i="5"/>
  <c r="BC51" i="18"/>
  <c r="BC65" i="18"/>
  <c r="Q66" i="18"/>
  <c r="Q52" i="18"/>
  <c r="P67" i="18"/>
  <c r="P53" i="18"/>
  <c r="CI65" i="31"/>
  <c r="CI51" i="31"/>
  <c r="CA64" i="31"/>
  <c r="CA50" i="31"/>
  <c r="BZ50" i="31" s="1"/>
  <c r="CW50" i="18" s="1"/>
  <c r="BZ25" i="31"/>
  <c r="DM69" i="18"/>
  <c r="DM55" i="18"/>
  <c r="BN64" i="18"/>
  <c r="BN50" i="18"/>
  <c r="BN48" i="18" s="1"/>
  <c r="J45" i="5"/>
  <c r="AR55" i="31"/>
  <c r="AR48" i="31" s="1"/>
  <c r="AR69" i="31"/>
  <c r="AN59" i="31"/>
  <c r="AN73" i="31"/>
  <c r="AY60" i="31"/>
  <c r="AY74" i="31"/>
  <c r="AY61" i="31"/>
  <c r="AY75" i="31"/>
  <c r="AR52" i="31"/>
  <c r="AR66" i="31"/>
  <c r="AN53" i="31"/>
  <c r="AN67" i="31"/>
  <c r="AG62" i="31"/>
  <c r="AG76" i="31"/>
  <c r="AG65" i="31"/>
  <c r="AG51" i="31"/>
  <c r="AB2" i="30"/>
  <c r="AC38" i="30"/>
  <c r="AB38" i="30" s="1"/>
  <c r="L38" i="5" s="1"/>
  <c r="AC42" i="30"/>
  <c r="AB42" i="30" s="1"/>
  <c r="L42" i="5" s="1"/>
  <c r="M42" i="5" s="1"/>
  <c r="AB19" i="30"/>
  <c r="AC70" i="31"/>
  <c r="AC56" i="31"/>
  <c r="AB20" i="31"/>
  <c r="AL20" i="5" s="1"/>
  <c r="M38" i="5"/>
  <c r="J65" i="5"/>
  <c r="J51" i="5"/>
  <c r="AJ31" i="5"/>
  <c r="AA70" i="5"/>
  <c r="AC70" i="5" s="1"/>
  <c r="AA56" i="5"/>
  <c r="AC56" i="5" s="1"/>
  <c r="AA75" i="5"/>
  <c r="AC75" i="5" s="1"/>
  <c r="AA61" i="5"/>
  <c r="AC61" i="5" s="1"/>
  <c r="AJ62" i="5"/>
  <c r="AJ76" i="5"/>
  <c r="AJ65" i="5"/>
  <c r="AJ51" i="5"/>
  <c r="AJ48" i="5" s="1"/>
  <c r="X66" i="18"/>
  <c r="X52" i="18"/>
  <c r="T31" i="18"/>
  <c r="T65" i="18"/>
  <c r="T51" i="18"/>
  <c r="CX67" i="18"/>
  <c r="CX53" i="18"/>
  <c r="CX71" i="18"/>
  <c r="CX57" i="18"/>
  <c r="BF61" i="18"/>
  <c r="BF75" i="18"/>
  <c r="BF70" i="18"/>
  <c r="BF56" i="18"/>
  <c r="BF50" i="18"/>
  <c r="BF64" i="18"/>
  <c r="CV68" i="31"/>
  <c r="CV54" i="31"/>
  <c r="CV51" i="31"/>
  <c r="CV65" i="31"/>
  <c r="CS73" i="31"/>
  <c r="CS59" i="31"/>
  <c r="CO73" i="31"/>
  <c r="CO59" i="31"/>
  <c r="CK69" i="31"/>
  <c r="CK55" i="31"/>
  <c r="CX55" i="31"/>
  <c r="CX69" i="31"/>
  <c r="CX64" i="31"/>
  <c r="CX50" i="31"/>
  <c r="CC53" i="31"/>
  <c r="CC67" i="31"/>
  <c r="CC72" i="31"/>
  <c r="CC58" i="31"/>
  <c r="AQ72" i="31"/>
  <c r="AQ58" i="31"/>
  <c r="AM50" i="31"/>
  <c r="AM48" i="31" s="1"/>
  <c r="AM64" i="31"/>
  <c r="AM62" i="31"/>
  <c r="AM76" i="31"/>
  <c r="AZ51" i="31"/>
  <c r="AZ65" i="31"/>
  <c r="AF55" i="31"/>
  <c r="AF69" i="31"/>
  <c r="CT45" i="18"/>
  <c r="U75" i="18"/>
  <c r="U61" i="18"/>
  <c r="BL53" i="18"/>
  <c r="BL67" i="18"/>
  <c r="BL64" i="18"/>
  <c r="BL50" i="18"/>
  <c r="BL48" i="18" s="1"/>
  <c r="BL65" i="18"/>
  <c r="BL51" i="18"/>
  <c r="O74" i="18"/>
  <c r="O60" i="18"/>
  <c r="DB31" i="18"/>
  <c r="DB64" i="18"/>
  <c r="DB50" i="18"/>
  <c r="DB48" i="18" s="1"/>
  <c r="BJ52" i="18"/>
  <c r="BJ66" i="18"/>
  <c r="BJ63" i="18" s="1"/>
  <c r="BJ60" i="18"/>
  <c r="BJ74" i="18"/>
  <c r="CU61" i="31"/>
  <c r="CU75" i="31"/>
  <c r="CN58" i="31"/>
  <c r="CN72" i="31"/>
  <c r="CJ68" i="31"/>
  <c r="CJ54" i="31"/>
  <c r="CJ65" i="31"/>
  <c r="CJ51" i="31"/>
  <c r="AW75" i="31"/>
  <c r="AW61" i="31"/>
  <c r="AW50" i="31"/>
  <c r="AW48" i="31" s="1"/>
  <c r="AW64" i="31"/>
  <c r="AT60" i="31"/>
  <c r="AT74" i="31"/>
  <c r="AT51" i="31"/>
  <c r="AT65" i="31"/>
  <c r="AL72" i="31"/>
  <c r="AL58" i="31"/>
  <c r="AL57" i="31"/>
  <c r="AL71" i="31"/>
  <c r="AI54" i="31"/>
  <c r="AI68" i="31"/>
  <c r="AE51" i="31"/>
  <c r="AE65" i="31"/>
  <c r="AI45" i="5"/>
  <c r="AB59" i="5"/>
  <c r="AB48" i="5" s="1"/>
  <c r="AB73" i="5"/>
  <c r="AO76" i="5"/>
  <c r="AO62" i="5"/>
  <c r="BC56" i="18"/>
  <c r="BP56" i="18" s="1"/>
  <c r="BC70" i="18"/>
  <c r="BC59" i="18"/>
  <c r="BC73" i="18"/>
  <c r="CU76" i="18"/>
  <c r="CU62" i="18"/>
  <c r="DL76" i="18"/>
  <c r="DL62" i="18"/>
  <c r="DN34" i="18"/>
  <c r="Q60" i="18"/>
  <c r="Q74" i="18"/>
  <c r="CY50" i="18"/>
  <c r="CY64" i="18"/>
  <c r="CY63" i="18" s="1"/>
  <c r="CY70" i="18"/>
  <c r="CY56" i="18"/>
  <c r="P74" i="18"/>
  <c r="P60" i="18"/>
  <c r="CT59" i="31"/>
  <c r="CT73" i="31"/>
  <c r="CT76" i="31"/>
  <c r="CT62" i="31"/>
  <c r="CQ64" i="31"/>
  <c r="CQ50" i="31"/>
  <c r="CQ48" i="31" s="1"/>
  <c r="CM64" i="31"/>
  <c r="CM50" i="31"/>
  <c r="CM48" i="31" s="1"/>
  <c r="CI71" i="31"/>
  <c r="CI57" i="31"/>
  <c r="CI31" i="31"/>
  <c r="CB58" i="31"/>
  <c r="CB72" i="31"/>
  <c r="CA76" i="31"/>
  <c r="CA62" i="31"/>
  <c r="BZ27" i="31"/>
  <c r="CA40" i="31"/>
  <c r="BZ40" i="31" s="1"/>
  <c r="CW40" i="18" s="1"/>
  <c r="BZ4" i="31"/>
  <c r="AV57" i="31"/>
  <c r="AV71" i="31"/>
  <c r="AS57" i="31"/>
  <c r="AS71" i="31"/>
  <c r="AO45" i="31"/>
  <c r="AK54" i="31"/>
  <c r="AK68" i="31"/>
  <c r="AH69" i="31"/>
  <c r="AH55" i="31"/>
  <c r="AD68" i="31"/>
  <c r="AD54" i="31"/>
  <c r="AD59" i="31"/>
  <c r="AD73" i="31"/>
  <c r="AD52" i="31"/>
  <c r="AD66" i="31"/>
  <c r="AK74" i="5"/>
  <c r="AK60" i="5"/>
  <c r="AK48" i="5"/>
  <c r="DM68" i="18"/>
  <c r="DM54" i="18"/>
  <c r="DN38" i="18"/>
  <c r="DM62" i="18"/>
  <c r="DM76" i="18"/>
  <c r="W55" i="18"/>
  <c r="W69" i="18"/>
  <c r="W66" i="18"/>
  <c r="W52" i="18"/>
  <c r="W48" i="18" s="1"/>
  <c r="BM61" i="18"/>
  <c r="BM75" i="18"/>
  <c r="DA65" i="18"/>
  <c r="DA51" i="18"/>
  <c r="BI73" i="18"/>
  <c r="BI59" i="18"/>
  <c r="R67" i="18"/>
  <c r="R53" i="18"/>
  <c r="BH66" i="18"/>
  <c r="BH52" i="18"/>
  <c r="BH61" i="18"/>
  <c r="BH75" i="18"/>
  <c r="CW61" i="31"/>
  <c r="CW75" i="31"/>
  <c r="CP58" i="31"/>
  <c r="CP72" i="31"/>
  <c r="CL45" i="31"/>
  <c r="CL58" i="31"/>
  <c r="CL72" i="31"/>
  <c r="CH69" i="31"/>
  <c r="CH55" i="31"/>
  <c r="CE64" i="31"/>
  <c r="CE50" i="31"/>
  <c r="CE48" i="31" s="1"/>
  <c r="BN56" i="18"/>
  <c r="BN70" i="18"/>
  <c r="AO31" i="30"/>
  <c r="AK45" i="43"/>
  <c r="AD31" i="42"/>
  <c r="BD58" i="18"/>
  <c r="BD72" i="18"/>
  <c r="DE76" i="18"/>
  <c r="DE62" i="18"/>
  <c r="DE65" i="18"/>
  <c r="DE51" i="18"/>
  <c r="DE56" i="18"/>
  <c r="DE70" i="18"/>
  <c r="CZ66" i="18"/>
  <c r="CZ52" i="18"/>
  <c r="CZ61" i="18"/>
  <c r="CZ75" i="18"/>
  <c r="BZ41" i="30"/>
  <c r="BE41" i="18" s="1"/>
  <c r="BP41" i="18" s="1"/>
  <c r="BX62" i="29"/>
  <c r="BX76" i="29"/>
  <c r="BX67" i="29"/>
  <c r="BX53" i="29"/>
  <c r="BX48" i="29" s="1"/>
  <c r="CP45" i="43"/>
  <c r="BQ60" i="41"/>
  <c r="BQ74" i="41"/>
  <c r="BQ62" i="29"/>
  <c r="BQ76" i="29"/>
  <c r="BQ53" i="29"/>
  <c r="BQ67" i="29"/>
  <c r="BM57" i="29"/>
  <c r="BM71" i="29"/>
  <c r="BM66" i="29"/>
  <c r="BM52" i="29"/>
  <c r="BM56" i="41"/>
  <c r="BM70" i="41"/>
  <c r="BI65" i="41"/>
  <c r="BI51" i="41"/>
  <c r="BI72" i="29"/>
  <c r="BI58" i="29"/>
  <c r="BI57" i="41"/>
  <c r="BI71" i="41"/>
  <c r="BF57" i="29"/>
  <c r="BF71" i="29"/>
  <c r="BF52" i="29"/>
  <c r="BF66" i="29"/>
  <c r="BE70" i="41"/>
  <c r="BE56" i="41"/>
  <c r="BE48" i="29"/>
  <c r="BF60" i="41"/>
  <c r="BF74" i="41"/>
  <c r="BF76" i="41"/>
  <c r="BF62" i="41"/>
  <c r="BF71" i="41"/>
  <c r="BF57" i="41"/>
  <c r="CE45" i="42"/>
  <c r="BZ27" i="30"/>
  <c r="CA44" i="30"/>
  <c r="BZ44" i="30" s="1"/>
  <c r="BE44" i="18" s="1"/>
  <c r="BP44" i="18" s="1"/>
  <c r="BZ15" i="30"/>
  <c r="BE15" i="18" s="1"/>
  <c r="CA32" i="30"/>
  <c r="BZ3" i="30"/>
  <c r="BZ24" i="43"/>
  <c r="CA42" i="43"/>
  <c r="BZ42" i="43" s="1"/>
  <c r="CW42" i="38" s="1"/>
  <c r="BZ19" i="43"/>
  <c r="BA12" i="29"/>
  <c r="BB60" i="29"/>
  <c r="BA60" i="29" s="1"/>
  <c r="N60" i="18" s="1"/>
  <c r="BB74" i="29"/>
  <c r="BA74" i="29" s="1"/>
  <c r="N74" i="18" s="1"/>
  <c r="BA19" i="29"/>
  <c r="BB42" i="29"/>
  <c r="BA42" i="29" s="1"/>
  <c r="N42" i="18" s="1"/>
  <c r="BA3" i="29"/>
  <c r="BB32" i="29"/>
  <c r="BA32" i="29" s="1"/>
  <c r="N32" i="18" s="1"/>
  <c r="BB49" i="41"/>
  <c r="BA23" i="41"/>
  <c r="BB53" i="41"/>
  <c r="BA53" i="41" s="1"/>
  <c r="N53" i="38" s="1"/>
  <c r="BB67" i="41"/>
  <c r="BA67" i="41" s="1"/>
  <c r="N67" i="38" s="1"/>
  <c r="BA5" i="41"/>
  <c r="CA46" i="42"/>
  <c r="BZ10" i="42"/>
  <c r="CA37" i="42"/>
  <c r="BZ37" i="42" s="1"/>
  <c r="BE37" i="38" s="1"/>
  <c r="BZ22" i="42"/>
  <c r="BZ52" i="43"/>
  <c r="CW52" i="38" s="1"/>
  <c r="BZ55" i="42"/>
  <c r="BE55" i="38" s="1"/>
  <c r="AB55" i="42"/>
  <c r="L55" i="32" s="1"/>
  <c r="AZ45" i="42"/>
  <c r="G31" i="37"/>
  <c r="J31" i="37" s="1"/>
  <c r="J32" i="37"/>
  <c r="G58" i="37"/>
  <c r="G72" i="37"/>
  <c r="J72" i="37" s="1"/>
  <c r="BV72" i="29"/>
  <c r="BV58" i="29"/>
  <c r="BV68" i="29"/>
  <c r="BV54" i="29"/>
  <c r="BV56" i="41"/>
  <c r="BV70" i="41"/>
  <c r="BO74" i="41"/>
  <c r="BO60" i="41"/>
  <c r="BO62" i="41"/>
  <c r="BO76" i="41"/>
  <c r="BO68" i="41"/>
  <c r="BO54" i="41"/>
  <c r="BH50" i="29"/>
  <c r="BH64" i="29"/>
  <c r="BH31" i="29"/>
  <c r="BH52" i="41"/>
  <c r="BH66" i="41"/>
  <c r="V65" i="5"/>
  <c r="V51" i="5"/>
  <c r="K66" i="5"/>
  <c r="K52" i="5"/>
  <c r="V73" i="5"/>
  <c r="V59" i="5"/>
  <c r="S51" i="5"/>
  <c r="S48" i="5" s="1"/>
  <c r="S65" i="5"/>
  <c r="K55" i="5"/>
  <c r="K69" i="5"/>
  <c r="S73" i="5"/>
  <c r="S59" i="5"/>
  <c r="K67" i="5"/>
  <c r="K53" i="5"/>
  <c r="T71" i="5"/>
  <c r="T57" i="5"/>
  <c r="K48" i="5"/>
  <c r="T66" i="5"/>
  <c r="T52" i="5"/>
  <c r="T48" i="5" s="1"/>
  <c r="BR66" i="41"/>
  <c r="BR52" i="41"/>
  <c r="CB31" i="43"/>
  <c r="BC62" i="29"/>
  <c r="BC76" i="29"/>
  <c r="BC55" i="29"/>
  <c r="BC69" i="29"/>
  <c r="BC55" i="41"/>
  <c r="BC69" i="41"/>
  <c r="AJ31" i="42"/>
  <c r="AG31" i="30"/>
  <c r="AB12" i="43"/>
  <c r="AB24" i="43"/>
  <c r="AC47" i="42"/>
  <c r="AB47" i="42" s="1"/>
  <c r="L47" i="32" s="1"/>
  <c r="AB6" i="42"/>
  <c r="AB17" i="42"/>
  <c r="AC36" i="42"/>
  <c r="AB36" i="42" s="1"/>
  <c r="L36" i="32" s="1"/>
  <c r="AB26" i="42"/>
  <c r="AN71" i="37"/>
  <c r="AN57" i="37"/>
  <c r="AN72" i="37"/>
  <c r="AN58" i="37"/>
  <c r="AQ45" i="16"/>
  <c r="P64" i="37"/>
  <c r="P50" i="37"/>
  <c r="Y31" i="37"/>
  <c r="Z31" i="37" s="1"/>
  <c r="S76" i="37"/>
  <c r="S62" i="37"/>
  <c r="AM56" i="37"/>
  <c r="AM70" i="37"/>
  <c r="I62" i="37"/>
  <c r="I76" i="37"/>
  <c r="T66" i="37"/>
  <c r="T52" i="37"/>
  <c r="AP74" i="37"/>
  <c r="AP60" i="37"/>
  <c r="T67" i="37"/>
  <c r="T53" i="37"/>
  <c r="I75" i="37"/>
  <c r="I61" i="37"/>
  <c r="S64" i="37"/>
  <c r="S50" i="37"/>
  <c r="P72" i="37"/>
  <c r="P58" i="37"/>
  <c r="AP31" i="37"/>
  <c r="W52" i="37"/>
  <c r="W66" i="37"/>
  <c r="R54" i="37"/>
  <c r="R68" i="37"/>
  <c r="AP61" i="37"/>
  <c r="AP75" i="37"/>
  <c r="AO69" i="37"/>
  <c r="AO55" i="37"/>
  <c r="AM45" i="16"/>
  <c r="DG53" i="18"/>
  <c r="DG48" i="18" s="1"/>
  <c r="DG67" i="18"/>
  <c r="CV31" i="43"/>
  <c r="BW64" i="29"/>
  <c r="BW50" i="29"/>
  <c r="BW72" i="41"/>
  <c r="BW58" i="41"/>
  <c r="BW45" i="29"/>
  <c r="BT71" i="29"/>
  <c r="BT57" i="29"/>
  <c r="BT52" i="29"/>
  <c r="BT66" i="29"/>
  <c r="BT51" i="41"/>
  <c r="BT65" i="41"/>
  <c r="CO31" i="30"/>
  <c r="BP56" i="41"/>
  <c r="BP70" i="41"/>
  <c r="CK31" i="30"/>
  <c r="BL71" i="29"/>
  <c r="BL57" i="29"/>
  <c r="BL66" i="29"/>
  <c r="BL52" i="29"/>
  <c r="BL67" i="41"/>
  <c r="BL53" i="41"/>
  <c r="BL60" i="41"/>
  <c r="BL74" i="41"/>
  <c r="BL76" i="41"/>
  <c r="BL62" i="41"/>
  <c r="BY59" i="29"/>
  <c r="BY73" i="29"/>
  <c r="BY65" i="29"/>
  <c r="BY51" i="29"/>
  <c r="BY48" i="29" s="1"/>
  <c r="BA49" i="41"/>
  <c r="N49" i="38" s="1"/>
  <c r="BY59" i="41"/>
  <c r="BY73" i="41"/>
  <c r="AU31" i="30"/>
  <c r="BK70" i="29"/>
  <c r="BK56" i="29"/>
  <c r="BK66" i="29"/>
  <c r="BK52" i="29"/>
  <c r="BK60" i="41"/>
  <c r="BK74" i="41"/>
  <c r="BK62" i="41"/>
  <c r="BK76" i="41"/>
  <c r="BK54" i="41"/>
  <c r="BK68" i="41"/>
  <c r="AW31" i="43"/>
  <c r="DN43" i="38"/>
  <c r="CM45" i="30"/>
  <c r="BN54" i="29"/>
  <c r="BN68" i="29"/>
  <c r="BN57" i="41"/>
  <c r="BN71" i="41"/>
  <c r="BN64" i="41"/>
  <c r="BN50" i="41"/>
  <c r="H62" i="37"/>
  <c r="H76" i="37"/>
  <c r="AX31" i="43"/>
  <c r="CR31" i="30"/>
  <c r="BS58" i="29"/>
  <c r="BS72" i="29"/>
  <c r="BS45" i="41"/>
  <c r="CR45" i="42"/>
  <c r="CC31" i="42"/>
  <c r="BU52" i="41"/>
  <c r="BU66" i="41"/>
  <c r="BJ64" i="29"/>
  <c r="BJ50" i="29"/>
  <c r="BJ48" i="29" s="1"/>
  <c r="BJ31" i="29"/>
  <c r="BJ74" i="41"/>
  <c r="BJ60" i="41"/>
  <c r="BJ62" i="41"/>
  <c r="BJ76" i="41"/>
  <c r="AT31" i="42"/>
  <c r="AE31" i="30"/>
  <c r="BG75" i="29"/>
  <c r="BG61" i="29"/>
  <c r="Z65" i="18"/>
  <c r="Z51" i="18"/>
  <c r="Z75" i="18"/>
  <c r="Z61" i="18"/>
  <c r="Z62" i="37"/>
  <c r="C63" i="20"/>
  <c r="E75" i="20"/>
  <c r="E63" i="20" s="1"/>
  <c r="AR57" i="31"/>
  <c r="AR71" i="31"/>
  <c r="AC38" i="31"/>
  <c r="AB38" i="31" s="1"/>
  <c r="AL38" i="5" s="1"/>
  <c r="AM38" i="5" s="1"/>
  <c r="AB2" i="31"/>
  <c r="J59" i="5"/>
  <c r="J73" i="5"/>
  <c r="AA76" i="5"/>
  <c r="AC76" i="5" s="1"/>
  <c r="AA62" i="5"/>
  <c r="AC62" i="5" s="1"/>
  <c r="AZ59" i="31"/>
  <c r="AZ73" i="31"/>
  <c r="CT65" i="18"/>
  <c r="CT51" i="18"/>
  <c r="CJ69" i="31"/>
  <c r="CJ55" i="31"/>
  <c r="AP31" i="31"/>
  <c r="CU31" i="18"/>
  <c r="Q61" i="18"/>
  <c r="Q75" i="18"/>
  <c r="P61" i="18"/>
  <c r="P75" i="18"/>
  <c r="CT75" i="31"/>
  <c r="CT61" i="31"/>
  <c r="AK56" i="31"/>
  <c r="AK70" i="31"/>
  <c r="BH31" i="18"/>
  <c r="BX61" i="41"/>
  <c r="BX75" i="41"/>
  <c r="BA75" i="41" s="1"/>
  <c r="N75" i="38" s="1"/>
  <c r="BI31" i="41"/>
  <c r="CA36" i="43"/>
  <c r="BZ36" i="43" s="1"/>
  <c r="CW36" i="38" s="1"/>
  <c r="BZ26" i="43"/>
  <c r="BZ50" i="43"/>
  <c r="CW50" i="38" s="1"/>
  <c r="CI63" i="43"/>
  <c r="W58" i="37"/>
  <c r="W72" i="37"/>
  <c r="AM58" i="37"/>
  <c r="AM72" i="37"/>
  <c r="BW73" i="29"/>
  <c r="BW59" i="29"/>
  <c r="CK31" i="42"/>
  <c r="BS67" i="41"/>
  <c r="BS53" i="41"/>
  <c r="AN70" i="31"/>
  <c r="AN56" i="31"/>
  <c r="AC35" i="31"/>
  <c r="AB35" i="31" s="1"/>
  <c r="AL35" i="5" s="1"/>
  <c r="AM35" i="5" s="1"/>
  <c r="AB30" i="31"/>
  <c r="CV50" i="31"/>
  <c r="CV64" i="31"/>
  <c r="AU71" i="31"/>
  <c r="AU57" i="31"/>
  <c r="AZ54" i="31"/>
  <c r="AZ68" i="31"/>
  <c r="BJ61" i="18"/>
  <c r="BJ75" i="18"/>
  <c r="BP37" i="18"/>
  <c r="CQ75" i="31"/>
  <c r="CQ61" i="31"/>
  <c r="CF76" i="31"/>
  <c r="CF62" i="31"/>
  <c r="AS59" i="31"/>
  <c r="AS73" i="31"/>
  <c r="DM72" i="18"/>
  <c r="DM58" i="18"/>
  <c r="DA59" i="18"/>
  <c r="DA73" i="18"/>
  <c r="BZ46" i="31"/>
  <c r="CW46" i="18" s="1"/>
  <c r="CW45" i="31"/>
  <c r="CA38" i="42"/>
  <c r="BZ38" i="42" s="1"/>
  <c r="BE38" i="38" s="1"/>
  <c r="BZ2" i="42"/>
  <c r="Q31" i="37"/>
  <c r="CV31" i="42"/>
  <c r="BT50" i="29"/>
  <c r="BT64" i="29"/>
  <c r="BT63" i="29" s="1"/>
  <c r="BP64" i="41"/>
  <c r="BP50" i="41"/>
  <c r="BL64" i="29"/>
  <c r="BL50" i="29"/>
  <c r="BL48" i="29" s="1"/>
  <c r="AK72" i="18"/>
  <c r="AK58" i="18"/>
  <c r="D75" i="5"/>
  <c r="D61" i="5"/>
  <c r="AY56" i="31"/>
  <c r="AY70" i="31"/>
  <c r="AC65" i="31"/>
  <c r="AB65" i="31" s="1"/>
  <c r="AL65" i="5" s="1"/>
  <c r="AC51" i="31"/>
  <c r="AB51" i="31" s="1"/>
  <c r="AL51" i="5" s="1"/>
  <c r="AM51" i="5" s="1"/>
  <c r="AB21" i="31"/>
  <c r="BO75" i="18"/>
  <c r="BO61" i="18"/>
  <c r="BO48" i="18" s="1"/>
  <c r="CV71" i="31"/>
  <c r="CV57" i="31"/>
  <c r="CO76" i="31"/>
  <c r="CO62" i="31"/>
  <c r="AU60" i="31"/>
  <c r="AU74" i="31"/>
  <c r="AQ51" i="31"/>
  <c r="AQ48" i="31" s="1"/>
  <c r="AQ65" i="31"/>
  <c r="AF61" i="31"/>
  <c r="AF75" i="31"/>
  <c r="CN55" i="31"/>
  <c r="CN69" i="31"/>
  <c r="AE72" i="31"/>
  <c r="AE58" i="31"/>
  <c r="DL53" i="18"/>
  <c r="DN53" i="18" s="1"/>
  <c r="DL67" i="18"/>
  <c r="DN67" i="18" s="1"/>
  <c r="CM54" i="31"/>
  <c r="CM68" i="31"/>
  <c r="AO60" i="31"/>
  <c r="AO74" i="31"/>
  <c r="AH51" i="31"/>
  <c r="AH65" i="31"/>
  <c r="BI57" i="18"/>
  <c r="BI71" i="18"/>
  <c r="CH76" i="31"/>
  <c r="CH62" i="31"/>
  <c r="CE54" i="31"/>
  <c r="CE68" i="31"/>
  <c r="AG45" i="31"/>
  <c r="AB29" i="30"/>
  <c r="AA73" i="5"/>
  <c r="AA59" i="5"/>
  <c r="AC59" i="5" s="1"/>
  <c r="AY53" i="31"/>
  <c r="AY67" i="31"/>
  <c r="AR51" i="31"/>
  <c r="AR65" i="31"/>
  <c r="AN54" i="31"/>
  <c r="AN48" i="31" s="1"/>
  <c r="AN68" i="31"/>
  <c r="AN76" i="31"/>
  <c r="AN62" i="31"/>
  <c r="AG75" i="31"/>
  <c r="AG61" i="31"/>
  <c r="AG50" i="31"/>
  <c r="AG48" i="31" s="1"/>
  <c r="AG64" i="31"/>
  <c r="AC73" i="31"/>
  <c r="AB73" i="31" s="1"/>
  <c r="AL73" i="5" s="1"/>
  <c r="AM73" i="5" s="1"/>
  <c r="AC59" i="31"/>
  <c r="AB59" i="31" s="1"/>
  <c r="AL59" i="5" s="1"/>
  <c r="AB7" i="31"/>
  <c r="AC39" i="30"/>
  <c r="AB39" i="30" s="1"/>
  <c r="L39" i="5" s="1"/>
  <c r="M39" i="5" s="1"/>
  <c r="AB11" i="30"/>
  <c r="AC55" i="31"/>
  <c r="AB55" i="31" s="1"/>
  <c r="AL55" i="5" s="1"/>
  <c r="AC69" i="31"/>
  <c r="AB69" i="31" s="1"/>
  <c r="AL69" i="5" s="1"/>
  <c r="AM69" i="5" s="1"/>
  <c r="AB24" i="31"/>
  <c r="J70" i="5"/>
  <c r="J56" i="5"/>
  <c r="J68" i="5"/>
  <c r="J54" i="5"/>
  <c r="J48" i="5"/>
  <c r="AA71" i="5"/>
  <c r="AC71" i="5" s="1"/>
  <c r="AA57" i="5"/>
  <c r="AC57" i="5" s="1"/>
  <c r="X69" i="18"/>
  <c r="X55" i="18"/>
  <c r="T67" i="18"/>
  <c r="T53" i="18"/>
  <c r="CX73" i="18"/>
  <c r="CX59" i="18"/>
  <c r="BF62" i="18"/>
  <c r="BF76" i="18"/>
  <c r="CV45" i="31"/>
  <c r="CS62" i="31"/>
  <c r="CS76" i="31"/>
  <c r="CO70" i="31"/>
  <c r="CO56" i="31"/>
  <c r="CK60" i="31"/>
  <c r="CK74" i="31"/>
  <c r="CK64" i="31"/>
  <c r="CK50" i="31"/>
  <c r="CX62" i="31"/>
  <c r="CX76" i="31"/>
  <c r="CX60" i="31"/>
  <c r="CX74" i="31"/>
  <c r="CD45" i="31"/>
  <c r="CD69" i="31"/>
  <c r="CD55" i="31"/>
  <c r="CC52" i="31"/>
  <c r="CC66" i="31"/>
  <c r="CC71" i="31"/>
  <c r="CC57" i="31"/>
  <c r="AU52" i="31"/>
  <c r="AU66" i="31"/>
  <c r="AU63" i="31" s="1"/>
  <c r="AQ67" i="31"/>
  <c r="AQ53" i="31"/>
  <c r="AQ56" i="31"/>
  <c r="AQ70" i="31"/>
  <c r="AM71" i="31"/>
  <c r="AM57" i="31"/>
  <c r="AM68" i="31"/>
  <c r="AM54" i="31"/>
  <c r="AZ50" i="31"/>
  <c r="AZ48" i="31" s="1"/>
  <c r="AZ64" i="31"/>
  <c r="AZ63" i="31" s="1"/>
  <c r="CT71" i="18"/>
  <c r="CT57" i="18"/>
  <c r="U56" i="18"/>
  <c r="U70" i="18"/>
  <c r="DD56" i="18"/>
  <c r="DD70" i="18"/>
  <c r="DD45" i="18"/>
  <c r="O70" i="18"/>
  <c r="O56" i="18"/>
  <c r="DB67" i="18"/>
  <c r="DB53" i="18"/>
  <c r="DB57" i="18"/>
  <c r="DB71" i="18"/>
  <c r="BJ55" i="18"/>
  <c r="BJ69" i="18"/>
  <c r="BJ31" i="18"/>
  <c r="CU73" i="31"/>
  <c r="CU59" i="31"/>
  <c r="CR60" i="31"/>
  <c r="CR74" i="31"/>
  <c r="CR69" i="31"/>
  <c r="CR55" i="31"/>
  <c r="CR48" i="31" s="1"/>
  <c r="CN67" i="31"/>
  <c r="CN53" i="31"/>
  <c r="CN52" i="31"/>
  <c r="CN48" i="31" s="1"/>
  <c r="CN66" i="31"/>
  <c r="CN57" i="31"/>
  <c r="CN71" i="31"/>
  <c r="CJ45" i="31"/>
  <c r="CG76" i="31"/>
  <c r="CG62" i="31"/>
  <c r="AW57" i="31"/>
  <c r="AW71" i="31"/>
  <c r="AT72" i="31"/>
  <c r="AT58" i="31"/>
  <c r="AT64" i="31"/>
  <c r="AT50" i="31"/>
  <c r="AT48" i="31" s="1"/>
  <c r="AP62" i="31"/>
  <c r="AP76" i="31"/>
  <c r="AL70" i="31"/>
  <c r="AL56" i="31"/>
  <c r="AL61" i="31"/>
  <c r="AL75" i="31"/>
  <c r="AI74" i="31"/>
  <c r="AI60" i="31"/>
  <c r="AE50" i="31"/>
  <c r="AE64" i="31"/>
  <c r="AE48" i="31"/>
  <c r="AI64" i="5"/>
  <c r="AI50" i="5"/>
  <c r="AO31" i="5"/>
  <c r="AC34" i="5"/>
  <c r="BC55" i="18"/>
  <c r="BC69" i="18"/>
  <c r="BP39" i="18"/>
  <c r="CU74" i="18"/>
  <c r="CU60" i="18"/>
  <c r="DL68" i="18"/>
  <c r="DN68" i="18" s="1"/>
  <c r="DL54" i="18"/>
  <c r="DN54" i="18" s="1"/>
  <c r="DL75" i="18"/>
  <c r="DN75" i="18" s="1"/>
  <c r="DL61" i="18"/>
  <c r="DN61" i="18" s="1"/>
  <c r="CY67" i="18"/>
  <c r="CY53" i="18"/>
  <c r="CY69" i="18"/>
  <c r="CY55" i="18"/>
  <c r="BG56" i="18"/>
  <c r="BG70" i="18"/>
  <c r="BG54" i="18"/>
  <c r="BG68" i="18"/>
  <c r="DC66" i="18"/>
  <c r="DC52" i="18"/>
  <c r="DC48" i="18" s="1"/>
  <c r="DC69" i="18"/>
  <c r="DC55" i="18"/>
  <c r="BK54" i="18"/>
  <c r="BK68" i="18"/>
  <c r="CT58" i="31"/>
  <c r="CT48" i="31" s="1"/>
  <c r="CT72" i="31"/>
  <c r="CQ71" i="31"/>
  <c r="CQ57" i="31"/>
  <c r="CI72" i="31"/>
  <c r="CI58" i="31"/>
  <c r="CF60" i="31"/>
  <c r="CF74" i="31"/>
  <c r="CF69" i="31"/>
  <c r="CF55" i="31"/>
  <c r="CF48" i="31" s="1"/>
  <c r="CB53" i="31"/>
  <c r="CB67" i="31"/>
  <c r="CB66" i="31"/>
  <c r="CB52" i="31"/>
  <c r="CB48" i="31" s="1"/>
  <c r="CB57" i="31"/>
  <c r="CB71" i="31"/>
  <c r="CA38" i="31"/>
  <c r="BZ38" i="31" s="1"/>
  <c r="CW38" i="18" s="1"/>
  <c r="BZ2" i="31"/>
  <c r="CA67" i="31"/>
  <c r="CA53" i="31"/>
  <c r="BZ53" i="31" s="1"/>
  <c r="CW53" i="18" s="1"/>
  <c r="BZ5" i="31"/>
  <c r="AV53" i="31"/>
  <c r="AV48" i="31" s="1"/>
  <c r="AV67" i="31"/>
  <c r="AS75" i="31"/>
  <c r="AS61" i="31"/>
  <c r="AS53" i="31"/>
  <c r="AS67" i="31"/>
  <c r="AO62" i="31"/>
  <c r="AO76" i="31"/>
  <c r="AK60" i="31"/>
  <c r="AK74" i="31"/>
  <c r="AD74" i="31"/>
  <c r="AD63" i="31" s="1"/>
  <c r="AD60" i="31"/>
  <c r="AD51" i="31"/>
  <c r="AD48" i="31" s="1"/>
  <c r="AD65" i="31"/>
  <c r="AK31" i="5"/>
  <c r="DM71" i="18"/>
  <c r="DN71" i="18" s="1"/>
  <c r="DM57" i="18"/>
  <c r="W73" i="18"/>
  <c r="W59" i="18"/>
  <c r="DA71" i="18"/>
  <c r="DA57" i="18"/>
  <c r="R45" i="18"/>
  <c r="R59" i="18"/>
  <c r="R73" i="18"/>
  <c r="BH50" i="18"/>
  <c r="BH64" i="18"/>
  <c r="BH56" i="18"/>
  <c r="BH70" i="18"/>
  <c r="CW73" i="31"/>
  <c r="CW59" i="31"/>
  <c r="CP75" i="31"/>
  <c r="CP61" i="31"/>
  <c r="CP73" i="31"/>
  <c r="CP59" i="31"/>
  <c r="CL66" i="31"/>
  <c r="CL52" i="31"/>
  <c r="CL57" i="31"/>
  <c r="CL71" i="31"/>
  <c r="CH67" i="31"/>
  <c r="CH53" i="31"/>
  <c r="BN57" i="18"/>
  <c r="BN71" i="18"/>
  <c r="H75" i="37"/>
  <c r="H61" i="37"/>
  <c r="AS45" i="43"/>
  <c r="AK45" i="42"/>
  <c r="BD60" i="18"/>
  <c r="BD74" i="18"/>
  <c r="BD31" i="18"/>
  <c r="DE66" i="18"/>
  <c r="DE52" i="18"/>
  <c r="DE72" i="18"/>
  <c r="DE58" i="18"/>
  <c r="BZ42" i="30"/>
  <c r="BE42" i="18" s="1"/>
  <c r="BP42" i="18" s="1"/>
  <c r="BA34" i="29"/>
  <c r="N34" i="18" s="1"/>
  <c r="BX58" i="41"/>
  <c r="BX72" i="41"/>
  <c r="BQ70" i="41"/>
  <c r="BQ56" i="41"/>
  <c r="BQ72" i="41"/>
  <c r="BQ58" i="41"/>
  <c r="BQ67" i="41"/>
  <c r="BQ53" i="41"/>
  <c r="BM66" i="41"/>
  <c r="BM52" i="41"/>
  <c r="BM48" i="41" s="1"/>
  <c r="BM58" i="29"/>
  <c r="BM72" i="29"/>
  <c r="BM53" i="41"/>
  <c r="BM67" i="41"/>
  <c r="BI69" i="41"/>
  <c r="BI55" i="41"/>
  <c r="BI76" i="29"/>
  <c r="BI62" i="29"/>
  <c r="BF58" i="29"/>
  <c r="BF72" i="29"/>
  <c r="CA36" i="30"/>
  <c r="BZ36" i="30" s="1"/>
  <c r="BE36" i="18" s="1"/>
  <c r="BP36" i="18" s="1"/>
  <c r="BZ26" i="30"/>
  <c r="CA34" i="30"/>
  <c r="BZ34" i="30" s="1"/>
  <c r="BE34" i="18" s="1"/>
  <c r="BP34" i="18" s="1"/>
  <c r="BZ14" i="30"/>
  <c r="BZ23" i="43"/>
  <c r="BZ29" i="43"/>
  <c r="BZ5" i="43"/>
  <c r="BA30" i="29"/>
  <c r="BB35" i="29"/>
  <c r="BA35" i="29" s="1"/>
  <c r="N35" i="18" s="1"/>
  <c r="BA18" i="29"/>
  <c r="BB61" i="29"/>
  <c r="BA61" i="29" s="1"/>
  <c r="N61" i="18" s="1"/>
  <c r="BB75" i="29"/>
  <c r="BA75" i="29" s="1"/>
  <c r="N75" i="18" s="1"/>
  <c r="BB33" i="41"/>
  <c r="BA33" i="41" s="1"/>
  <c r="N33" i="38" s="1"/>
  <c r="BA13" i="41"/>
  <c r="BB69" i="41"/>
  <c r="BA69" i="41" s="1"/>
  <c r="N69" i="38" s="1"/>
  <c r="BA24" i="41"/>
  <c r="BB55" i="41"/>
  <c r="BB47" i="41"/>
  <c r="BA47" i="41" s="1"/>
  <c r="N47" i="38" s="1"/>
  <c r="BA6" i="41"/>
  <c r="CA39" i="42"/>
  <c r="BZ39" i="42" s="1"/>
  <c r="BE39" i="38" s="1"/>
  <c r="BZ11" i="42"/>
  <c r="BZ23" i="42"/>
  <c r="BZ60" i="43"/>
  <c r="CW60" i="38" s="1"/>
  <c r="CC48" i="43"/>
  <c r="AR48" i="43"/>
  <c r="AE48" i="43"/>
  <c r="CM48" i="43"/>
  <c r="CU48" i="43"/>
  <c r="CI48" i="43"/>
  <c r="AX48" i="43"/>
  <c r="CS48" i="43"/>
  <c r="CD48" i="43"/>
  <c r="AH48" i="43"/>
  <c r="CD63" i="42"/>
  <c r="AS63" i="42"/>
  <c r="CC63" i="42"/>
  <c r="AF63" i="42"/>
  <c r="CN63" i="42"/>
  <c r="AE63" i="42"/>
  <c r="AP63" i="42"/>
  <c r="CL63" i="42"/>
  <c r="CW63" i="42"/>
  <c r="AN63" i="42"/>
  <c r="CJ63" i="42"/>
  <c r="AY63" i="42"/>
  <c r="CI63" i="42"/>
  <c r="AL63" i="42"/>
  <c r="CT63" i="42"/>
  <c r="AK63" i="42"/>
  <c r="CG63" i="42"/>
  <c r="AV63" i="42"/>
  <c r="CR63" i="42"/>
  <c r="AU63" i="42"/>
  <c r="AI63" i="42"/>
  <c r="CF63" i="42"/>
  <c r="G73" i="37"/>
  <c r="G59" i="37"/>
  <c r="J59" i="37" s="1"/>
  <c r="G56" i="37"/>
  <c r="G70" i="37"/>
  <c r="J70" i="37" s="1"/>
  <c r="J35" i="37"/>
  <c r="BV62" i="29"/>
  <c r="BV76" i="29"/>
  <c r="BV73" i="29"/>
  <c r="BV59" i="29"/>
  <c r="BV65" i="41"/>
  <c r="BV51" i="41"/>
  <c r="BV53" i="41"/>
  <c r="BV67" i="41"/>
  <c r="CU45" i="42"/>
  <c r="CN31" i="43"/>
  <c r="BO45" i="41"/>
  <c r="CN45" i="42"/>
  <c r="CG31" i="30"/>
  <c r="CG31" i="42"/>
  <c r="BH55" i="29"/>
  <c r="BH69" i="29"/>
  <c r="BH74" i="29"/>
  <c r="BH60" i="29"/>
  <c r="BH75" i="41"/>
  <c r="BH61" i="41"/>
  <c r="CG45" i="42"/>
  <c r="K76" i="5"/>
  <c r="K62" i="5"/>
  <c r="U66" i="5"/>
  <c r="U52" i="5"/>
  <c r="V68" i="5"/>
  <c r="V54" i="5"/>
  <c r="W56" i="5"/>
  <c r="W70" i="5"/>
  <c r="S58" i="5"/>
  <c r="S72" i="5"/>
  <c r="U67" i="5"/>
  <c r="U53" i="5"/>
  <c r="V76" i="5"/>
  <c r="V62" i="5"/>
  <c r="T56" i="5"/>
  <c r="T70" i="5"/>
  <c r="V56" i="5"/>
  <c r="V70" i="5"/>
  <c r="V66" i="5"/>
  <c r="V52" i="5"/>
  <c r="BR61" i="41"/>
  <c r="BR75" i="41"/>
  <c r="BC50" i="29"/>
  <c r="BC48" i="29" s="1"/>
  <c r="BC64" i="29"/>
  <c r="BC63" i="29" s="1"/>
  <c r="BC64" i="41"/>
  <c r="BC50" i="41"/>
  <c r="BC31" i="29"/>
  <c r="J40" i="37"/>
  <c r="AY45" i="43"/>
  <c r="AR31" i="42"/>
  <c r="AG45" i="43"/>
  <c r="AB20" i="43"/>
  <c r="AB29" i="43"/>
  <c r="AC41" i="42"/>
  <c r="AB41" i="42" s="1"/>
  <c r="L41" i="32" s="1"/>
  <c r="AB8" i="42"/>
  <c r="AC38" i="42"/>
  <c r="AB38" i="42" s="1"/>
  <c r="L38" i="32" s="1"/>
  <c r="M38" i="32" s="1"/>
  <c r="AB2" i="42"/>
  <c r="L2" i="32" s="1"/>
  <c r="AB27" i="42"/>
  <c r="AN64" i="37"/>
  <c r="AN50" i="37"/>
  <c r="AN60" i="37"/>
  <c r="AN74" i="37"/>
  <c r="T65" i="37"/>
  <c r="T51" i="37"/>
  <c r="Y73" i="37"/>
  <c r="Z73" i="37" s="1"/>
  <c r="Y59" i="37"/>
  <c r="Z59" i="37" s="1"/>
  <c r="AO73" i="37"/>
  <c r="AO59" i="37"/>
  <c r="Q72" i="37"/>
  <c r="Q58" i="37"/>
  <c r="R60" i="37"/>
  <c r="R74" i="37"/>
  <c r="AM67" i="37"/>
  <c r="AM53" i="37"/>
  <c r="T69" i="37"/>
  <c r="T55" i="37"/>
  <c r="S53" i="37"/>
  <c r="S67" i="37"/>
  <c r="AM62" i="37"/>
  <c r="AM76" i="37"/>
  <c r="AO54" i="37"/>
  <c r="AO68" i="37"/>
  <c r="I71" i="37"/>
  <c r="I57" i="37"/>
  <c r="T76" i="37"/>
  <c r="T62" i="37"/>
  <c r="Q61" i="37"/>
  <c r="Q75" i="37"/>
  <c r="AO56" i="37"/>
  <c r="AO70" i="37"/>
  <c r="BW31" i="41"/>
  <c r="BW66" i="41"/>
  <c r="BW52" i="41"/>
  <c r="BW68" i="29"/>
  <c r="BW54" i="29"/>
  <c r="BW57" i="41"/>
  <c r="BW71" i="41"/>
  <c r="BT72" i="29"/>
  <c r="BT58" i="29"/>
  <c r="BT67" i="41"/>
  <c r="BT53" i="41"/>
  <c r="BT48" i="41" s="1"/>
  <c r="BP68" i="41"/>
  <c r="BP54" i="41"/>
  <c r="BP51" i="29"/>
  <c r="BP48" i="29" s="1"/>
  <c r="BP65" i="29"/>
  <c r="BP53" i="41"/>
  <c r="BP67" i="41"/>
  <c r="BP65" i="41"/>
  <c r="BP51" i="41"/>
  <c r="BP71" i="41"/>
  <c r="BP57" i="41"/>
  <c r="CK45" i="43"/>
  <c r="BL72" i="29"/>
  <c r="BL58" i="29"/>
  <c r="CX31" i="30"/>
  <c r="BY72" i="41"/>
  <c r="BY58" i="41"/>
  <c r="BY70" i="29"/>
  <c r="BY56" i="29"/>
  <c r="BY50" i="41"/>
  <c r="BY48" i="41" s="1"/>
  <c r="BY64" i="41"/>
  <c r="BY63" i="41" s="1"/>
  <c r="CD31" i="43"/>
  <c r="AK51" i="18"/>
  <c r="AK65" i="18"/>
  <c r="AM31" i="42"/>
  <c r="BK61" i="29"/>
  <c r="BK75" i="29"/>
  <c r="BK45" i="41"/>
  <c r="CJ45" i="42"/>
  <c r="AW45" i="30"/>
  <c r="AI45" i="30"/>
  <c r="DN32" i="38"/>
  <c r="BN65" i="29"/>
  <c r="BN51" i="29"/>
  <c r="BN48" i="29" s="1"/>
  <c r="BN59" i="29"/>
  <c r="BN73" i="29"/>
  <c r="BN67" i="41"/>
  <c r="BN53" i="41"/>
  <c r="CM31" i="42"/>
  <c r="AX45" i="42"/>
  <c r="BS52" i="29"/>
  <c r="BS66" i="29"/>
  <c r="BS72" i="41"/>
  <c r="BS58" i="41"/>
  <c r="BS45" i="29"/>
  <c r="CC31" i="30"/>
  <c r="CC45" i="43"/>
  <c r="BD61" i="29"/>
  <c r="BD75" i="29"/>
  <c r="BD56" i="41"/>
  <c r="BD70" i="41"/>
  <c r="BU75" i="29"/>
  <c r="BU61" i="29"/>
  <c r="BJ69" i="29"/>
  <c r="BJ55" i="29"/>
  <c r="BJ74" i="29"/>
  <c r="BJ60" i="29"/>
  <c r="CI45" i="42"/>
  <c r="CF31" i="43"/>
  <c r="BG58" i="29"/>
  <c r="BG72" i="29"/>
  <c r="BG74" i="41"/>
  <c r="BG60" i="41"/>
  <c r="BG62" i="41"/>
  <c r="BG76" i="41"/>
  <c r="BG68" i="41"/>
  <c r="BG54" i="41"/>
  <c r="D45" i="5"/>
  <c r="D67" i="5"/>
  <c r="D53" i="5"/>
  <c r="Z69" i="18"/>
  <c r="Z55" i="18"/>
  <c r="Z76" i="37"/>
  <c r="R45" i="16"/>
  <c r="D45" i="16"/>
  <c r="X48" i="16"/>
  <c r="X63" i="16"/>
  <c r="AO31" i="16"/>
  <c r="J49" i="16"/>
  <c r="J35" i="16"/>
  <c r="J33" i="16"/>
  <c r="T31" i="16"/>
  <c r="S31" i="16"/>
  <c r="P45" i="16"/>
  <c r="T45" i="16"/>
  <c r="P31" i="16"/>
  <c r="Q45" i="16"/>
  <c r="J44" i="16"/>
  <c r="R31" i="16"/>
  <c r="G45" i="16"/>
  <c r="J46" i="16"/>
  <c r="Q31" i="16"/>
  <c r="G31" i="16"/>
  <c r="AR31" i="16"/>
  <c r="I31" i="16"/>
  <c r="AN31" i="16"/>
  <c r="AP31" i="16"/>
  <c r="AQ31" i="16"/>
  <c r="AM31" i="16"/>
  <c r="BD31" i="38"/>
  <c r="DM45" i="38"/>
  <c r="DM31" i="38"/>
  <c r="DE31" i="38"/>
  <c r="BI45" i="38"/>
  <c r="DA45" i="38"/>
  <c r="CT31" i="38"/>
  <c r="DL31" i="38"/>
  <c r="DN31" i="38" s="1"/>
  <c r="W45" i="38"/>
  <c r="DA31" i="38"/>
  <c r="CY31" i="38"/>
  <c r="BP36" i="38"/>
  <c r="BP44" i="38"/>
  <c r="BP43" i="38"/>
  <c r="BP40" i="38"/>
  <c r="BP35" i="38"/>
  <c r="DB31" i="38"/>
  <c r="BP47" i="38"/>
  <c r="CT45" i="38"/>
  <c r="CY45" i="38"/>
  <c r="BP42" i="38"/>
  <c r="CZ45" i="38"/>
  <c r="BP41" i="38"/>
  <c r="DC31" i="38"/>
  <c r="CZ31" i="38"/>
  <c r="DD45" i="38"/>
  <c r="CX31" i="38"/>
  <c r="BP38" i="38"/>
  <c r="BP34" i="38"/>
  <c r="CX45" i="38"/>
  <c r="BP33" i="38"/>
  <c r="BP37" i="38"/>
  <c r="CU45" i="38"/>
  <c r="DE45" i="38"/>
  <c r="DG31" i="38"/>
  <c r="CU31" i="38"/>
  <c r="BC45" i="38"/>
  <c r="DC45" i="38"/>
  <c r="DD31" i="38"/>
  <c r="BP39" i="38"/>
  <c r="BM31" i="38"/>
  <c r="BG31" i="38"/>
  <c r="BF45" i="38"/>
  <c r="BC31" i="38"/>
  <c r="BD45" i="38"/>
  <c r="BM45" i="38"/>
  <c r="BH31" i="38"/>
  <c r="BN31" i="38"/>
  <c r="BF31" i="38"/>
  <c r="BJ31" i="38"/>
  <c r="BK31" i="38"/>
  <c r="U45" i="38"/>
  <c r="BL31" i="38"/>
  <c r="BI31" i="38"/>
  <c r="Q45" i="38"/>
  <c r="BO31" i="38"/>
  <c r="BN45" i="38"/>
  <c r="BK45" i="38"/>
  <c r="W31" i="38"/>
  <c r="T45" i="38"/>
  <c r="R31" i="38"/>
  <c r="P31" i="38"/>
  <c r="R45" i="38"/>
  <c r="Q31" i="38"/>
  <c r="O31" i="38"/>
  <c r="X31" i="38"/>
  <c r="U31" i="38"/>
  <c r="T31" i="38"/>
  <c r="O45" i="38"/>
  <c r="AO31" i="32"/>
  <c r="AJ31" i="32"/>
  <c r="AC39" i="32"/>
  <c r="AJ45" i="32"/>
  <c r="AC43" i="32"/>
  <c r="V45" i="32"/>
  <c r="AA45" i="32"/>
  <c r="AC46" i="32"/>
  <c r="AK31" i="32"/>
  <c r="AC49" i="32"/>
  <c r="AC44" i="32"/>
  <c r="AC35" i="32"/>
  <c r="AC34" i="32"/>
  <c r="AC38" i="32"/>
  <c r="AC36" i="32"/>
  <c r="AC32" i="32"/>
  <c r="AC47" i="32"/>
  <c r="AC40" i="32"/>
  <c r="AC42" i="32"/>
  <c r="AC37" i="32"/>
  <c r="AI31" i="32"/>
  <c r="AC41" i="32"/>
  <c r="AC33" i="32"/>
  <c r="AB45" i="32"/>
  <c r="AA31" i="32"/>
  <c r="S45" i="32"/>
  <c r="AB31" i="32"/>
  <c r="W74" i="32"/>
  <c r="W60" i="32"/>
  <c r="W73" i="32"/>
  <c r="W59" i="32"/>
  <c r="S55" i="32"/>
  <c r="S69" i="32"/>
  <c r="M33" i="32"/>
  <c r="T67" i="32"/>
  <c r="T53" i="32"/>
  <c r="S52" i="32"/>
  <c r="S66" i="32"/>
  <c r="U56" i="32"/>
  <c r="U70" i="32"/>
  <c r="U50" i="32"/>
  <c r="U64" i="32"/>
  <c r="W76" i="32"/>
  <c r="W62" i="32"/>
  <c r="T70" i="32"/>
  <c r="T56" i="32"/>
  <c r="W51" i="32"/>
  <c r="W65" i="32"/>
  <c r="U54" i="32"/>
  <c r="U68" i="32"/>
  <c r="T61" i="32"/>
  <c r="T75" i="32"/>
  <c r="T31" i="32"/>
  <c r="M44" i="32"/>
  <c r="M34" i="32"/>
  <c r="S70" i="32"/>
  <c r="S56" i="32"/>
  <c r="U52" i="32"/>
  <c r="U66" i="32"/>
  <c r="U69" i="32"/>
  <c r="U55" i="32"/>
  <c r="V31" i="32"/>
  <c r="U71" i="32"/>
  <c r="U57" i="32"/>
  <c r="M39" i="32"/>
  <c r="S50" i="32"/>
  <c r="S64" i="32"/>
  <c r="T64" i="32"/>
  <c r="T50" i="32"/>
  <c r="V59" i="32"/>
  <c r="V73" i="32"/>
  <c r="S59" i="32"/>
  <c r="S73" i="32"/>
  <c r="S57" i="32"/>
  <c r="S71" i="32"/>
  <c r="S67" i="32"/>
  <c r="S53" i="32"/>
  <c r="W54" i="32"/>
  <c r="W68" i="32"/>
  <c r="U59" i="32"/>
  <c r="U73" i="32"/>
  <c r="W52" i="32"/>
  <c r="W66" i="32"/>
  <c r="W69" i="32"/>
  <c r="W55" i="32"/>
  <c r="T59" i="32"/>
  <c r="T73" i="32"/>
  <c r="V74" i="32"/>
  <c r="V60" i="32"/>
  <c r="M42" i="32"/>
  <c r="T65" i="32"/>
  <c r="T51" i="32"/>
  <c r="V76" i="32"/>
  <c r="V62" i="32"/>
  <c r="V66" i="32"/>
  <c r="V52" i="32"/>
  <c r="U62" i="32"/>
  <c r="U76" i="32"/>
  <c r="S54" i="32"/>
  <c r="S68" i="32"/>
  <c r="V57" i="32"/>
  <c r="V71" i="32"/>
  <c r="V69" i="32"/>
  <c r="V55" i="32"/>
  <c r="S31" i="32"/>
  <c r="S75" i="32"/>
  <c r="S61" i="32"/>
  <c r="S72" i="32"/>
  <c r="S58" i="32"/>
  <c r="W31" i="32"/>
  <c r="S60" i="32"/>
  <c r="S74" i="32"/>
  <c r="M35" i="32"/>
  <c r="M43" i="32"/>
  <c r="S65" i="32"/>
  <c r="S51" i="32"/>
  <c r="T72" i="32"/>
  <c r="T58" i="32"/>
  <c r="U74" i="32"/>
  <c r="U60" i="32"/>
  <c r="U65" i="32"/>
  <c r="U51" i="32"/>
  <c r="U31" i="32"/>
  <c r="V54" i="32"/>
  <c r="V68" i="32"/>
  <c r="W61" i="32"/>
  <c r="W75" i="32"/>
  <c r="T74" i="32"/>
  <c r="T60" i="32"/>
  <c r="T52" i="32"/>
  <c r="T66" i="32"/>
  <c r="M41" i="32"/>
  <c r="V64" i="32"/>
  <c r="V50" i="32"/>
  <c r="V56" i="32"/>
  <c r="V70" i="32"/>
  <c r="U58" i="32"/>
  <c r="U72" i="32"/>
  <c r="W71" i="32"/>
  <c r="W57" i="32"/>
  <c r="V72" i="32"/>
  <c r="V58" i="32"/>
  <c r="V61" i="32"/>
  <c r="V75" i="32"/>
  <c r="U67" i="32"/>
  <c r="U53" i="32"/>
  <c r="W58" i="32"/>
  <c r="W72" i="32"/>
  <c r="J45" i="32"/>
  <c r="T55" i="32"/>
  <c r="T69" i="32"/>
  <c r="T62" i="32"/>
  <c r="T76" i="32"/>
  <c r="V67" i="32"/>
  <c r="V53" i="32"/>
  <c r="V51" i="32"/>
  <c r="V65" i="32"/>
  <c r="T54" i="32"/>
  <c r="T68" i="32"/>
  <c r="M37" i="32"/>
  <c r="M36" i="32"/>
  <c r="S62" i="32"/>
  <c r="S76" i="32"/>
  <c r="T57" i="32"/>
  <c r="T71" i="32"/>
  <c r="U61" i="32"/>
  <c r="U75" i="32"/>
  <c r="W56" i="32"/>
  <c r="W70" i="32"/>
  <c r="W64" i="32"/>
  <c r="W50" i="32"/>
  <c r="W67" i="32"/>
  <c r="W53" i="32"/>
  <c r="M40" i="32"/>
  <c r="K31" i="32"/>
  <c r="J31" i="32"/>
  <c r="W73" i="16"/>
  <c r="W59" i="16"/>
  <c r="D72" i="16"/>
  <c r="D58" i="16"/>
  <c r="D59" i="16"/>
  <c r="D73" i="16"/>
  <c r="D64" i="16"/>
  <c r="D50" i="16"/>
  <c r="D70" i="16"/>
  <c r="D56" i="16"/>
  <c r="D68" i="16"/>
  <c r="D54" i="16"/>
  <c r="D74" i="16"/>
  <c r="D60" i="16"/>
  <c r="D67" i="16"/>
  <c r="D53" i="16"/>
  <c r="W70" i="16"/>
  <c r="W56" i="16"/>
  <c r="D75" i="16"/>
  <c r="D61" i="16"/>
  <c r="D76" i="16"/>
  <c r="D62" i="16"/>
  <c r="W65" i="16"/>
  <c r="W51" i="16"/>
  <c r="D55" i="16"/>
  <c r="D69" i="16"/>
  <c r="D66" i="16"/>
  <c r="D52" i="16"/>
  <c r="W53" i="16"/>
  <c r="W67" i="16"/>
  <c r="W72" i="16"/>
  <c r="W58" i="16"/>
  <c r="W69" i="16"/>
  <c r="W55" i="16"/>
  <c r="W64" i="16"/>
  <c r="W50" i="16"/>
  <c r="W45" i="16"/>
  <c r="D71" i="16"/>
  <c r="D57" i="16"/>
  <c r="D51" i="16"/>
  <c r="D65" i="16"/>
  <c r="D31" i="16"/>
  <c r="AK56" i="38"/>
  <c r="AK70" i="38"/>
  <c r="Z60" i="38"/>
  <c r="Z74" i="38"/>
  <c r="Z64" i="38"/>
  <c r="Z50" i="38"/>
  <c r="Z55" i="38"/>
  <c r="Z69" i="38"/>
  <c r="AK72" i="38"/>
  <c r="AK58" i="38"/>
  <c r="Z76" i="38"/>
  <c r="Z62" i="38"/>
  <c r="AK64" i="38"/>
  <c r="AK50" i="38"/>
  <c r="Z31" i="38"/>
  <c r="AK74" i="38"/>
  <c r="AK60" i="38"/>
  <c r="Z65" i="38"/>
  <c r="Z51" i="38"/>
  <c r="AK71" i="38"/>
  <c r="AK57" i="38"/>
  <c r="AK62" i="38"/>
  <c r="AK76" i="38"/>
  <c r="Z72" i="38"/>
  <c r="Z58" i="38"/>
  <c r="AK68" i="38"/>
  <c r="AK54" i="38"/>
  <c r="AK73" i="38"/>
  <c r="AK59" i="38"/>
  <c r="AK67" i="38"/>
  <c r="AK53" i="38"/>
  <c r="AK65" i="38"/>
  <c r="AK51" i="38"/>
  <c r="AK45" i="38"/>
  <c r="Z61" i="38"/>
  <c r="Z75" i="38"/>
  <c r="AK31" i="38"/>
  <c r="AK61" i="38"/>
  <c r="AK75" i="38"/>
  <c r="Z70" i="38"/>
  <c r="Z56" i="38"/>
  <c r="Z67" i="38"/>
  <c r="Z53" i="38"/>
  <c r="Z73" i="38"/>
  <c r="Z59" i="38"/>
  <c r="AK55" i="38"/>
  <c r="AK69" i="38"/>
  <c r="Z71" i="38"/>
  <c r="Z57" i="38"/>
  <c r="Z45" i="38"/>
  <c r="AK66" i="38"/>
  <c r="AK52" i="38"/>
  <c r="Z66" i="38"/>
  <c r="Z52" i="38"/>
  <c r="Z54" i="38"/>
  <c r="Z68" i="38"/>
  <c r="N31" i="32"/>
  <c r="E31" i="32"/>
  <c r="E45" i="32"/>
  <c r="L24" i="5"/>
  <c r="CW9" i="38"/>
  <c r="W19" i="37"/>
  <c r="W42" i="37" s="1"/>
  <c r="N45" i="32"/>
  <c r="H41" i="16"/>
  <c r="J41" i="16" s="1"/>
  <c r="H75" i="16"/>
  <c r="H61" i="16"/>
  <c r="W30" i="30"/>
  <c r="W35" i="30" s="1"/>
  <c r="W26" i="30"/>
  <c r="W36" i="30" s="1"/>
  <c r="W22" i="30"/>
  <c r="W37" i="30" s="1"/>
  <c r="W18" i="30"/>
  <c r="W14" i="30"/>
  <c r="W34" i="30" s="1"/>
  <c r="W8" i="30"/>
  <c r="W41" i="30" s="1"/>
  <c r="W3" i="30"/>
  <c r="W32" i="30" s="1"/>
  <c r="W4" i="42"/>
  <c r="W40" i="42" s="1"/>
  <c r="W4" i="43"/>
  <c r="W40" i="43" s="1"/>
  <c r="W8" i="42"/>
  <c r="W41" i="42" s="1"/>
  <c r="W8" i="43"/>
  <c r="W41" i="43" s="1"/>
  <c r="W12" i="42"/>
  <c r="W12" i="43"/>
  <c r="W16" i="42"/>
  <c r="W16" i="43"/>
  <c r="W20" i="42"/>
  <c r="W20" i="43"/>
  <c r="W24" i="42"/>
  <c r="W24" i="43"/>
  <c r="W28" i="42"/>
  <c r="W43" i="42" s="1"/>
  <c r="W28" i="43"/>
  <c r="W43" i="43" s="1"/>
  <c r="T4" i="30"/>
  <c r="T40" i="30" s="1"/>
  <c r="T30" i="30"/>
  <c r="T35" i="30" s="1"/>
  <c r="T26" i="30"/>
  <c r="T36" i="30" s="1"/>
  <c r="T22" i="30"/>
  <c r="T37" i="30" s="1"/>
  <c r="T18" i="30"/>
  <c r="T14" i="30"/>
  <c r="T34" i="30" s="1"/>
  <c r="T7" i="30"/>
  <c r="T3" i="42"/>
  <c r="T32" i="42" s="1"/>
  <c r="T3" i="43"/>
  <c r="T32" i="43" s="1"/>
  <c r="T7" i="42"/>
  <c r="T7" i="43"/>
  <c r="T11" i="42"/>
  <c r="T39" i="42" s="1"/>
  <c r="T11" i="43"/>
  <c r="T39" i="43" s="1"/>
  <c r="T15" i="42"/>
  <c r="T44" i="42" s="1"/>
  <c r="T15" i="43"/>
  <c r="T44" i="43" s="1"/>
  <c r="T19" i="42"/>
  <c r="T42" i="42" s="1"/>
  <c r="T19" i="43"/>
  <c r="T42" i="43" s="1"/>
  <c r="T23" i="42"/>
  <c r="T49" i="42" s="1"/>
  <c r="T23" i="43"/>
  <c r="T49" i="43" s="1"/>
  <c r="T27" i="42"/>
  <c r="T27" i="43"/>
  <c r="P29" i="30"/>
  <c r="P25" i="30"/>
  <c r="P21" i="30"/>
  <c r="P17" i="30"/>
  <c r="P13" i="30"/>
  <c r="P33" i="30" s="1"/>
  <c r="P4" i="30"/>
  <c r="P40" i="30" s="1"/>
  <c r="P7" i="42"/>
  <c r="P7" i="43"/>
  <c r="P15" i="42"/>
  <c r="P44" i="42" s="1"/>
  <c r="P15" i="43"/>
  <c r="P44" i="43" s="1"/>
  <c r="P23" i="42"/>
  <c r="P49" i="42" s="1"/>
  <c r="P23" i="43"/>
  <c r="P49" i="43" s="1"/>
  <c r="P12" i="30"/>
  <c r="P5" i="30"/>
  <c r="P6" i="42"/>
  <c r="P47" i="42" s="1"/>
  <c r="P6" i="43"/>
  <c r="P47" i="43" s="1"/>
  <c r="P14" i="42"/>
  <c r="P34" i="42" s="1"/>
  <c r="P14" i="43"/>
  <c r="P34" i="43" s="1"/>
  <c r="P22" i="42"/>
  <c r="P37" i="42" s="1"/>
  <c r="P22" i="43"/>
  <c r="P37" i="43" s="1"/>
  <c r="P30" i="42"/>
  <c r="P35" i="42" s="1"/>
  <c r="P30" i="43"/>
  <c r="P35" i="43" s="1"/>
  <c r="L11" i="30"/>
  <c r="L39" i="30" s="1"/>
  <c r="L3" i="30"/>
  <c r="L32" i="30" s="1"/>
  <c r="L27" i="30"/>
  <c r="L23" i="30"/>
  <c r="L49" i="30" s="1"/>
  <c r="L19" i="30"/>
  <c r="L42" i="30" s="1"/>
  <c r="L15" i="30"/>
  <c r="L44" i="30" s="1"/>
  <c r="L10" i="30"/>
  <c r="L46" i="30" s="1"/>
  <c r="L5" i="42"/>
  <c r="L5" i="43"/>
  <c r="L9" i="42"/>
  <c r="L9" i="43"/>
  <c r="L13" i="42"/>
  <c r="L33" i="42" s="1"/>
  <c r="L13" i="43"/>
  <c r="L33" i="43" s="1"/>
  <c r="L17" i="42"/>
  <c r="L17" i="43"/>
  <c r="L21" i="42"/>
  <c r="L21" i="43"/>
  <c r="L25" i="42"/>
  <c r="L25" i="43"/>
  <c r="L29" i="42"/>
  <c r="L29" i="43"/>
  <c r="I21" i="30"/>
  <c r="I27" i="30"/>
  <c r="I26" i="30"/>
  <c r="I36" i="30" s="1"/>
  <c r="I18" i="30"/>
  <c r="I11" i="30"/>
  <c r="I39" i="30" s="1"/>
  <c r="I7" i="30"/>
  <c r="I3" i="30"/>
  <c r="I32" i="30" s="1"/>
  <c r="I4" i="42"/>
  <c r="I40" i="42" s="1"/>
  <c r="I4" i="43"/>
  <c r="I40" i="43" s="1"/>
  <c r="I8" i="42"/>
  <c r="I41" i="42" s="1"/>
  <c r="I8" i="43"/>
  <c r="I41" i="43" s="1"/>
  <c r="I12" i="42"/>
  <c r="I12" i="43"/>
  <c r="I16" i="42"/>
  <c r="I16" i="43"/>
  <c r="I20" i="42"/>
  <c r="I20" i="43"/>
  <c r="I24" i="42"/>
  <c r="I24" i="43"/>
  <c r="I28" i="42"/>
  <c r="I43" i="42" s="1"/>
  <c r="I28" i="43"/>
  <c r="I43" i="43" s="1"/>
  <c r="E25" i="30"/>
  <c r="E17" i="30"/>
  <c r="E28" i="30"/>
  <c r="E43" i="30" s="1"/>
  <c r="E20" i="30"/>
  <c r="E12" i="30"/>
  <c r="E8" i="30"/>
  <c r="E41" i="30" s="1"/>
  <c r="E4" i="30"/>
  <c r="E40" i="30" s="1"/>
  <c r="E3" i="42"/>
  <c r="E32" i="42" s="1"/>
  <c r="E3" i="43"/>
  <c r="E32" i="43" s="1"/>
  <c r="E7" i="42"/>
  <c r="E7" i="43"/>
  <c r="E11" i="42"/>
  <c r="E39" i="42" s="1"/>
  <c r="E11" i="43"/>
  <c r="E39" i="43" s="1"/>
  <c r="E15" i="42"/>
  <c r="E44" i="42" s="1"/>
  <c r="E15" i="43"/>
  <c r="E44" i="43" s="1"/>
  <c r="E19" i="42"/>
  <c r="E42" i="42" s="1"/>
  <c r="E19" i="43"/>
  <c r="E42" i="43" s="1"/>
  <c r="E23" i="42"/>
  <c r="E49" i="42" s="1"/>
  <c r="E23" i="43"/>
  <c r="E49" i="43" s="1"/>
  <c r="E27" i="42"/>
  <c r="E27" i="43"/>
  <c r="AK64" i="32"/>
  <c r="AK50" i="32"/>
  <c r="AK68" i="32"/>
  <c r="AK54" i="32"/>
  <c r="BD67" i="38"/>
  <c r="BD53" i="38"/>
  <c r="AO3" i="38"/>
  <c r="BD57" i="38"/>
  <c r="BD71" i="38"/>
  <c r="AO5" i="38"/>
  <c r="AO8" i="38"/>
  <c r="AO17" i="38"/>
  <c r="BD74" i="38"/>
  <c r="BD60" i="38"/>
  <c r="DM69" i="38"/>
  <c r="DM55" i="38"/>
  <c r="DM68" i="38"/>
  <c r="DM54" i="38"/>
  <c r="DM66" i="38"/>
  <c r="DM52" i="38"/>
  <c r="DM61" i="38"/>
  <c r="DM75" i="38"/>
  <c r="DM71" i="38"/>
  <c r="DM57" i="38"/>
  <c r="DM67" i="38"/>
  <c r="DM53" i="38"/>
  <c r="CB17" i="18"/>
  <c r="AJ17" i="18"/>
  <c r="CB2" i="18"/>
  <c r="CB38" i="18" s="1"/>
  <c r="AJ2" i="18"/>
  <c r="AJ38" i="18" s="1"/>
  <c r="CB18" i="18"/>
  <c r="AJ18" i="18"/>
  <c r="CB19" i="18"/>
  <c r="CB42" i="18" s="1"/>
  <c r="AJ19" i="18"/>
  <c r="AJ42" i="18" s="1"/>
  <c r="CB21" i="18"/>
  <c r="AJ21" i="18"/>
  <c r="CB3" i="18"/>
  <c r="CB32" i="18" s="1"/>
  <c r="AJ3" i="18"/>
  <c r="AJ32" i="18" s="1"/>
  <c r="CB8" i="18"/>
  <c r="CB41" i="18" s="1"/>
  <c r="AJ8" i="18"/>
  <c r="AJ41" i="18" s="1"/>
  <c r="CB24" i="18"/>
  <c r="AJ24" i="18"/>
  <c r="DE59" i="38"/>
  <c r="DE73" i="38"/>
  <c r="DE72" i="38"/>
  <c r="DE58" i="38"/>
  <c r="W71" i="38"/>
  <c r="W57" i="38"/>
  <c r="W60" i="38"/>
  <c r="W74" i="38"/>
  <c r="CB8" i="38"/>
  <c r="CB41" i="38" s="1"/>
  <c r="AJ8" i="38"/>
  <c r="AJ41" i="38" s="1"/>
  <c r="BM64" i="38"/>
  <c r="BM50" i="38"/>
  <c r="CB4" i="38"/>
  <c r="CB40" i="38" s="1"/>
  <c r="AJ4" i="38"/>
  <c r="AJ40" i="38" s="1"/>
  <c r="BM72" i="38"/>
  <c r="BM58" i="38"/>
  <c r="DE65" i="38"/>
  <c r="DE51" i="38"/>
  <c r="CB21" i="38"/>
  <c r="AJ21" i="38"/>
  <c r="CB7" i="38"/>
  <c r="AJ7" i="38"/>
  <c r="CB13" i="38"/>
  <c r="CB33" i="38" s="1"/>
  <c r="AJ13" i="38"/>
  <c r="AJ33" i="38" s="1"/>
  <c r="DE66" i="38"/>
  <c r="DE52" i="38"/>
  <c r="DE64" i="38"/>
  <c r="DE50" i="38"/>
  <c r="AJ30" i="38"/>
  <c r="AJ35" i="38" s="1"/>
  <c r="CB30" i="38"/>
  <c r="CB35" i="38" s="1"/>
  <c r="CB28" i="38"/>
  <c r="CB43" i="38" s="1"/>
  <c r="AJ28" i="38"/>
  <c r="AJ43" i="38" s="1"/>
  <c r="BX2" i="18"/>
  <c r="BX38" i="18" s="1"/>
  <c r="AF2" i="18"/>
  <c r="AF38" i="18" s="1"/>
  <c r="BX18" i="18"/>
  <c r="AF18" i="18"/>
  <c r="BX3" i="18"/>
  <c r="BX32" i="18" s="1"/>
  <c r="AF3" i="18"/>
  <c r="AF32" i="18" s="1"/>
  <c r="BX27" i="18"/>
  <c r="AF27" i="18"/>
  <c r="BX25" i="18"/>
  <c r="AF25" i="18"/>
  <c r="BX8" i="18"/>
  <c r="BX41" i="18" s="1"/>
  <c r="AF8" i="18"/>
  <c r="AF41" i="18" s="1"/>
  <c r="BX24" i="18"/>
  <c r="AF24" i="18"/>
  <c r="BI70" i="38"/>
  <c r="BI56" i="38"/>
  <c r="BI52" i="38"/>
  <c r="BI66" i="38"/>
  <c r="BI74" i="38"/>
  <c r="BI60" i="38"/>
  <c r="DA61" i="38"/>
  <c r="DA75" i="38"/>
  <c r="DA53" i="38"/>
  <c r="DA67" i="38"/>
  <c r="BX11" i="38"/>
  <c r="BX39" i="38" s="1"/>
  <c r="AF11" i="38"/>
  <c r="AF39" i="38" s="1"/>
  <c r="BI57" i="38"/>
  <c r="BI71" i="38"/>
  <c r="BX8" i="38"/>
  <c r="BX41" i="38" s="1"/>
  <c r="AF8" i="38"/>
  <c r="AF41" i="38" s="1"/>
  <c r="BX20" i="38"/>
  <c r="AF20" i="38"/>
  <c r="BI55" i="38"/>
  <c r="BI69" i="38"/>
  <c r="DA76" i="38"/>
  <c r="DA62" i="38"/>
  <c r="BI53" i="38"/>
  <c r="BI67" i="38"/>
  <c r="BX17" i="38"/>
  <c r="AF17" i="38"/>
  <c r="BI65" i="38"/>
  <c r="BI51" i="38"/>
  <c r="BX28" i="38"/>
  <c r="BX43" i="38" s="1"/>
  <c r="AF28" i="38"/>
  <c r="AF43" i="38" s="1"/>
  <c r="BW18" i="18"/>
  <c r="AE18" i="18"/>
  <c r="BW3" i="18"/>
  <c r="BW32" i="18" s="1"/>
  <c r="AE3" i="18"/>
  <c r="AE32" i="18" s="1"/>
  <c r="BW19" i="18"/>
  <c r="BW42" i="18" s="1"/>
  <c r="AE19" i="18"/>
  <c r="AE42" i="18" s="1"/>
  <c r="BW28" i="18"/>
  <c r="BW43" i="18" s="1"/>
  <c r="AE28" i="18"/>
  <c r="AE43" i="18" s="1"/>
  <c r="BW10" i="18"/>
  <c r="BW46" i="18" s="1"/>
  <c r="AE10" i="18"/>
  <c r="AE46" i="18" s="1"/>
  <c r="BW4" i="18"/>
  <c r="BW40" i="18" s="1"/>
  <c r="AE4" i="18"/>
  <c r="AE40" i="18" s="1"/>
  <c r="BW5" i="18"/>
  <c r="AE5" i="18"/>
  <c r="BW21" i="18"/>
  <c r="AE21" i="18"/>
  <c r="R73" i="38"/>
  <c r="R59" i="38"/>
  <c r="R56" i="38"/>
  <c r="R70" i="38"/>
  <c r="BW6" i="38"/>
  <c r="BW47" i="38" s="1"/>
  <c r="AE6" i="38"/>
  <c r="AE47" i="38" s="1"/>
  <c r="CZ66" i="38"/>
  <c r="CZ52" i="38"/>
  <c r="CZ58" i="38"/>
  <c r="CZ72" i="38"/>
  <c r="BH59" i="38"/>
  <c r="BH73" i="38"/>
  <c r="BW10" i="38"/>
  <c r="BW46" i="38" s="1"/>
  <c r="BW45" i="38" s="1"/>
  <c r="AE10" i="38"/>
  <c r="AE46" i="38" s="1"/>
  <c r="CZ56" i="38"/>
  <c r="CZ70" i="38"/>
  <c r="CZ76" i="38"/>
  <c r="CZ62" i="38"/>
  <c r="R52" i="38"/>
  <c r="R66" i="38"/>
  <c r="BH72" i="38"/>
  <c r="BH58" i="38"/>
  <c r="BH75" i="38"/>
  <c r="BH61" i="38"/>
  <c r="CZ73" i="38"/>
  <c r="CZ59" i="38"/>
  <c r="BW28" i="38"/>
  <c r="BW43" i="38" s="1"/>
  <c r="AE28" i="38"/>
  <c r="AE43" i="38" s="1"/>
  <c r="BW27" i="38"/>
  <c r="AE27" i="38"/>
  <c r="BX9" i="30"/>
  <c r="BX7" i="30"/>
  <c r="BX29" i="30"/>
  <c r="BX27" i="30"/>
  <c r="BX25" i="30"/>
  <c r="BX23" i="30"/>
  <c r="BX49" i="30" s="1"/>
  <c r="BX21" i="30"/>
  <c r="BX19" i="30"/>
  <c r="BX42" i="30" s="1"/>
  <c r="BX17" i="30"/>
  <c r="BX15" i="30"/>
  <c r="BX44" i="30" s="1"/>
  <c r="BX13" i="30"/>
  <c r="BX33" i="30" s="1"/>
  <c r="BX5" i="42"/>
  <c r="BX5" i="43"/>
  <c r="BX9" i="42"/>
  <c r="BX9" i="43"/>
  <c r="BX13" i="42"/>
  <c r="BX33" i="42" s="1"/>
  <c r="BX13" i="43"/>
  <c r="BX33" i="43" s="1"/>
  <c r="BX17" i="42"/>
  <c r="BX17" i="43"/>
  <c r="BX21" i="42"/>
  <c r="BX21" i="43"/>
  <c r="BX25" i="42"/>
  <c r="BX25" i="43"/>
  <c r="BX29" i="42"/>
  <c r="BX29" i="43"/>
  <c r="BQ30" i="30"/>
  <c r="BQ35" i="30" s="1"/>
  <c r="BQ28" i="30"/>
  <c r="BQ43" i="30" s="1"/>
  <c r="BQ26" i="30"/>
  <c r="BQ36" i="30" s="1"/>
  <c r="BQ24" i="30"/>
  <c r="BQ22" i="30"/>
  <c r="BQ37" i="30" s="1"/>
  <c r="BQ20" i="30"/>
  <c r="BQ18" i="30"/>
  <c r="BQ16" i="30"/>
  <c r="BQ14" i="30"/>
  <c r="BQ34" i="30" s="1"/>
  <c r="BQ3" i="42"/>
  <c r="BQ32" i="42" s="1"/>
  <c r="BQ3" i="43"/>
  <c r="BQ32" i="43" s="1"/>
  <c r="BQ7" i="42"/>
  <c r="BQ7" i="43"/>
  <c r="BQ11" i="42"/>
  <c r="BQ39" i="42" s="1"/>
  <c r="BQ11" i="43"/>
  <c r="BQ39" i="43" s="1"/>
  <c r="BQ15" i="42"/>
  <c r="BQ44" i="42" s="1"/>
  <c r="BQ15" i="43"/>
  <c r="BQ44" i="43" s="1"/>
  <c r="BQ19" i="42"/>
  <c r="BQ42" i="42" s="1"/>
  <c r="BQ19" i="43"/>
  <c r="BQ42" i="43" s="1"/>
  <c r="BQ23" i="42"/>
  <c r="BQ49" i="42" s="1"/>
  <c r="BQ23" i="43"/>
  <c r="BQ49" i="43" s="1"/>
  <c r="BQ27" i="42"/>
  <c r="BQ27" i="43"/>
  <c r="BM30" i="30"/>
  <c r="BM35" i="30" s="1"/>
  <c r="BM28" i="30"/>
  <c r="BM43" i="30" s="1"/>
  <c r="BM26" i="30"/>
  <c r="BM36" i="30" s="1"/>
  <c r="BM24" i="30"/>
  <c r="BM22" i="30"/>
  <c r="BM37" i="30" s="1"/>
  <c r="BM20" i="30"/>
  <c r="BM18" i="30"/>
  <c r="BM16" i="30"/>
  <c r="BM14" i="30"/>
  <c r="BM34" i="30" s="1"/>
  <c r="BM12" i="30"/>
  <c r="BM8" i="30"/>
  <c r="BM41" i="30" s="1"/>
  <c r="BM4" i="30"/>
  <c r="BM40" i="30" s="1"/>
  <c r="BM3" i="42"/>
  <c r="BM32" i="42" s="1"/>
  <c r="BM3" i="43"/>
  <c r="BM32" i="43" s="1"/>
  <c r="BM7" i="42"/>
  <c r="BM7" i="43"/>
  <c r="BM11" i="42"/>
  <c r="BM39" i="42" s="1"/>
  <c r="BM11" i="43"/>
  <c r="BM39" i="43" s="1"/>
  <c r="BM15" i="42"/>
  <c r="BM44" i="42" s="1"/>
  <c r="BM15" i="43"/>
  <c r="BM44" i="43" s="1"/>
  <c r="BM19" i="42"/>
  <c r="BM42" i="42" s="1"/>
  <c r="BM19" i="43"/>
  <c r="BM42" i="43" s="1"/>
  <c r="BM23" i="42"/>
  <c r="BM49" i="42" s="1"/>
  <c r="BM23" i="43"/>
  <c r="BM49" i="43" s="1"/>
  <c r="BM27" i="42"/>
  <c r="BM27" i="43"/>
  <c r="BI29" i="30"/>
  <c r="BI27" i="30"/>
  <c r="BI25" i="30"/>
  <c r="BI23" i="30"/>
  <c r="BI49" i="30" s="1"/>
  <c r="BI21" i="30"/>
  <c r="BI19" i="30"/>
  <c r="BI42" i="30" s="1"/>
  <c r="BI17" i="30"/>
  <c r="BI15" i="30"/>
  <c r="BI44" i="30" s="1"/>
  <c r="BI13" i="30"/>
  <c r="BI33" i="30" s="1"/>
  <c r="BI11" i="30"/>
  <c r="BI39" i="30" s="1"/>
  <c r="BI7" i="30"/>
  <c r="BI5" i="42"/>
  <c r="BI5" i="43"/>
  <c r="BI9" i="42"/>
  <c r="BI9" i="43"/>
  <c r="BI13" i="42"/>
  <c r="BI33" i="42" s="1"/>
  <c r="BI13" i="43"/>
  <c r="BI33" i="43" s="1"/>
  <c r="BI17" i="42"/>
  <c r="BI17" i="43"/>
  <c r="BI21" i="42"/>
  <c r="BI21" i="43"/>
  <c r="BI25" i="42"/>
  <c r="BI25" i="43"/>
  <c r="BI29" i="42"/>
  <c r="BI29" i="43"/>
  <c r="BF4" i="30"/>
  <c r="BF40" i="30" s="1"/>
  <c r="BF8" i="42"/>
  <c r="BF41" i="42" s="1"/>
  <c r="BF8" i="43"/>
  <c r="BF41" i="43" s="1"/>
  <c r="BF16" i="42"/>
  <c r="BF16" i="43"/>
  <c r="BF24" i="42"/>
  <c r="BF24" i="43"/>
  <c r="BF5" i="30"/>
  <c r="BF7" i="42"/>
  <c r="BF7" i="43"/>
  <c r="BF15" i="42"/>
  <c r="BF44" i="42" s="1"/>
  <c r="BF15" i="43"/>
  <c r="BF44" i="43" s="1"/>
  <c r="BF23" i="42"/>
  <c r="BF49" i="42" s="1"/>
  <c r="BF23" i="43"/>
  <c r="BF49" i="43" s="1"/>
  <c r="CW23" i="38"/>
  <c r="CW27" i="38"/>
  <c r="CW13" i="38"/>
  <c r="CW29" i="38"/>
  <c r="CW14" i="38"/>
  <c r="CW5" i="38"/>
  <c r="CW18" i="38"/>
  <c r="C11" i="18"/>
  <c r="C39" i="18" s="1"/>
  <c r="BB11" i="30"/>
  <c r="N22" i="38"/>
  <c r="C7" i="18"/>
  <c r="BB7" i="30"/>
  <c r="C29" i="18"/>
  <c r="BB29" i="30"/>
  <c r="C27" i="18"/>
  <c r="BB27" i="30"/>
  <c r="C25" i="18"/>
  <c r="BB25" i="30"/>
  <c r="C23" i="18"/>
  <c r="C49" i="18" s="1"/>
  <c r="BB23" i="30"/>
  <c r="C21" i="18"/>
  <c r="BB21" i="30"/>
  <c r="C19" i="18"/>
  <c r="C42" i="18" s="1"/>
  <c r="BB19" i="30"/>
  <c r="C17" i="18"/>
  <c r="BB17" i="30"/>
  <c r="C15" i="18"/>
  <c r="C44" i="18" s="1"/>
  <c r="BB15" i="30"/>
  <c r="C13" i="18"/>
  <c r="C33" i="18" s="1"/>
  <c r="BB13" i="30"/>
  <c r="C10" i="18"/>
  <c r="C46" i="18" s="1"/>
  <c r="BB10" i="30"/>
  <c r="C6" i="18"/>
  <c r="C47" i="18" s="1"/>
  <c r="BB6" i="30"/>
  <c r="N12" i="38"/>
  <c r="N23" i="38"/>
  <c r="N27" i="38"/>
  <c r="N28" i="38"/>
  <c r="BB4" i="42"/>
  <c r="C4" i="38"/>
  <c r="C40" i="38" s="1"/>
  <c r="BB4" i="43"/>
  <c r="BB8" i="42"/>
  <c r="C8" i="38"/>
  <c r="C41" i="38" s="1"/>
  <c r="BB8" i="43"/>
  <c r="C12" i="38"/>
  <c r="BB12" i="42"/>
  <c r="BB12" i="43"/>
  <c r="BB16" i="42"/>
  <c r="C16" i="38"/>
  <c r="BB16" i="43"/>
  <c r="C20" i="38"/>
  <c r="BB20" i="42"/>
  <c r="BB20" i="43"/>
  <c r="BB24" i="42"/>
  <c r="C24" i="38"/>
  <c r="BB24" i="43"/>
  <c r="BB28" i="42"/>
  <c r="C28" i="38"/>
  <c r="C43" i="38" s="1"/>
  <c r="BB28" i="43"/>
  <c r="N4" i="38"/>
  <c r="N30" i="38"/>
  <c r="BE5" i="38"/>
  <c r="BE9" i="38"/>
  <c r="BE13" i="38"/>
  <c r="BE17" i="38"/>
  <c r="BE21" i="38"/>
  <c r="BE25" i="38"/>
  <c r="BE29" i="38"/>
  <c r="R7" i="30"/>
  <c r="R10" i="30"/>
  <c r="R46" i="30" s="1"/>
  <c r="R30" i="30"/>
  <c r="R35" i="30" s="1"/>
  <c r="R26" i="30"/>
  <c r="R36" i="30" s="1"/>
  <c r="R22" i="30"/>
  <c r="R37" i="30" s="1"/>
  <c r="R18" i="30"/>
  <c r="R14" i="30"/>
  <c r="R34" i="30" s="1"/>
  <c r="R5" i="30"/>
  <c r="R3" i="42"/>
  <c r="R32" i="42" s="1"/>
  <c r="R3" i="43"/>
  <c r="R32" i="43" s="1"/>
  <c r="R7" i="42"/>
  <c r="R7" i="43"/>
  <c r="R11" i="42"/>
  <c r="R39" i="42" s="1"/>
  <c r="R11" i="43"/>
  <c r="R39" i="43" s="1"/>
  <c r="R15" i="42"/>
  <c r="R44" i="42" s="1"/>
  <c r="R15" i="43"/>
  <c r="R44" i="43" s="1"/>
  <c r="R19" i="42"/>
  <c r="R42" i="42" s="1"/>
  <c r="R19" i="43"/>
  <c r="R42" i="43" s="1"/>
  <c r="R23" i="42"/>
  <c r="R49" i="42" s="1"/>
  <c r="R23" i="43"/>
  <c r="R49" i="43" s="1"/>
  <c r="R27" i="42"/>
  <c r="R27" i="43"/>
  <c r="AA30" i="30"/>
  <c r="AA35" i="30" s="1"/>
  <c r="AA26" i="30"/>
  <c r="AA36" i="30" s="1"/>
  <c r="AA22" i="30"/>
  <c r="AA37" i="30" s="1"/>
  <c r="AA18" i="30"/>
  <c r="AA14" i="30"/>
  <c r="AA34" i="30" s="1"/>
  <c r="AA8" i="30"/>
  <c r="AA41" i="30" s="1"/>
  <c r="AA3" i="30"/>
  <c r="AA32" i="30" s="1"/>
  <c r="AA4" i="42"/>
  <c r="AA40" i="42" s="1"/>
  <c r="AA4" i="43"/>
  <c r="AA40" i="43" s="1"/>
  <c r="AA8" i="42"/>
  <c r="AA41" i="42" s="1"/>
  <c r="AA8" i="43"/>
  <c r="AA41" i="43" s="1"/>
  <c r="AA12" i="42"/>
  <c r="AA12" i="43"/>
  <c r="AA16" i="42"/>
  <c r="AA16" i="43"/>
  <c r="AA20" i="42"/>
  <c r="AA20" i="43"/>
  <c r="AA24" i="42"/>
  <c r="AA24" i="43"/>
  <c r="AA28" i="42"/>
  <c r="AA43" i="42" s="1"/>
  <c r="AA28" i="43"/>
  <c r="AA43" i="43" s="1"/>
  <c r="F9" i="37"/>
  <c r="F17" i="37"/>
  <c r="F6" i="37"/>
  <c r="F47" i="37" s="1"/>
  <c r="F14" i="37"/>
  <c r="F34" i="37" s="1"/>
  <c r="F22" i="37"/>
  <c r="F37" i="37" s="1"/>
  <c r="F25" i="37"/>
  <c r="F29" i="37"/>
  <c r="G65" i="16"/>
  <c r="G51" i="16"/>
  <c r="G59" i="16"/>
  <c r="G73" i="16"/>
  <c r="G50" i="16"/>
  <c r="G64" i="16"/>
  <c r="F11" i="16"/>
  <c r="F39" i="16" s="1"/>
  <c r="F28" i="16"/>
  <c r="F43" i="16" s="1"/>
  <c r="F4" i="16"/>
  <c r="F40" i="16" s="1"/>
  <c r="F20" i="16"/>
  <c r="F3" i="16"/>
  <c r="F32" i="16" s="1"/>
  <c r="F19" i="16"/>
  <c r="F42" i="16" s="1"/>
  <c r="CA7" i="18"/>
  <c r="AI7" i="18"/>
  <c r="CA4" i="18"/>
  <c r="CA40" i="18" s="1"/>
  <c r="AI4" i="18"/>
  <c r="AI40" i="18" s="1"/>
  <c r="CA20" i="18"/>
  <c r="AI20" i="18"/>
  <c r="CA25" i="18"/>
  <c r="AI25" i="18"/>
  <c r="CA23" i="18"/>
  <c r="CA49" i="18" s="1"/>
  <c r="AI23" i="18"/>
  <c r="AI49" i="18" s="1"/>
  <c r="CA17" i="18"/>
  <c r="AI17" i="18"/>
  <c r="CA14" i="18"/>
  <c r="CA34" i="18" s="1"/>
  <c r="AI14" i="18"/>
  <c r="AI34" i="18" s="1"/>
  <c r="CA30" i="18"/>
  <c r="CA35" i="18" s="1"/>
  <c r="AI30" i="18"/>
  <c r="AI35" i="18" s="1"/>
  <c r="U74" i="38"/>
  <c r="U60" i="38"/>
  <c r="BL68" i="38"/>
  <c r="BL54" i="38"/>
  <c r="CA2" i="38"/>
  <c r="CA38" i="38" s="1"/>
  <c r="AI2" i="38"/>
  <c r="AI38" i="38" s="1"/>
  <c r="BL56" i="38"/>
  <c r="BL70" i="38"/>
  <c r="CA16" i="38"/>
  <c r="AI16" i="38"/>
  <c r="BL53" i="38"/>
  <c r="BL67" i="38"/>
  <c r="BL72" i="38"/>
  <c r="BL58" i="38"/>
  <c r="AI30" i="38"/>
  <c r="AI35" i="38" s="1"/>
  <c r="CA30" i="38"/>
  <c r="CA35" i="38" s="1"/>
  <c r="U57" i="38"/>
  <c r="U71" i="38"/>
  <c r="DD54" i="38"/>
  <c r="DD68" i="38"/>
  <c r="BL61" i="38"/>
  <c r="BL75" i="38"/>
  <c r="CA19" i="38"/>
  <c r="CA42" i="38" s="1"/>
  <c r="AI19" i="38"/>
  <c r="AI42" i="38" s="1"/>
  <c r="AI25" i="38"/>
  <c r="CA25" i="38"/>
  <c r="CA24" i="38"/>
  <c r="AI24" i="38"/>
  <c r="BL57" i="38"/>
  <c r="BL71" i="38"/>
  <c r="BV29" i="30"/>
  <c r="BV27" i="30"/>
  <c r="BV25" i="30"/>
  <c r="BV23" i="30"/>
  <c r="BV49" i="30" s="1"/>
  <c r="BV21" i="30"/>
  <c r="BV19" i="30"/>
  <c r="BV42" i="30" s="1"/>
  <c r="BV17" i="30"/>
  <c r="BV15" i="30"/>
  <c r="BV44" i="30" s="1"/>
  <c r="BV13" i="30"/>
  <c r="BV33" i="30" s="1"/>
  <c r="BV9" i="30"/>
  <c r="BV4" i="30"/>
  <c r="BV40" i="30" s="1"/>
  <c r="BV3" i="42"/>
  <c r="BV32" i="42" s="1"/>
  <c r="BV3" i="43"/>
  <c r="BV32" i="43" s="1"/>
  <c r="BV11" i="42"/>
  <c r="BV39" i="42" s="1"/>
  <c r="BV11" i="43"/>
  <c r="BV39" i="43" s="1"/>
  <c r="BV19" i="42"/>
  <c r="BV42" i="42" s="1"/>
  <c r="BV19" i="43"/>
  <c r="BV42" i="43" s="1"/>
  <c r="BV27" i="42"/>
  <c r="BV27" i="43"/>
  <c r="BV3" i="30"/>
  <c r="BV32" i="30" s="1"/>
  <c r="BV4" i="42"/>
  <c r="BV40" i="42" s="1"/>
  <c r="BV4" i="43"/>
  <c r="BV40" i="43" s="1"/>
  <c r="BV12" i="42"/>
  <c r="BV12" i="43"/>
  <c r="BV20" i="42"/>
  <c r="BV20" i="43"/>
  <c r="BV28" i="42"/>
  <c r="BV43" i="42" s="1"/>
  <c r="BV28" i="43"/>
  <c r="BV43" i="43" s="1"/>
  <c r="BO17" i="30"/>
  <c r="BO13" i="30"/>
  <c r="BO33" i="30" s="1"/>
  <c r="BO28" i="30"/>
  <c r="BO43" i="30" s="1"/>
  <c r="BO24" i="30"/>
  <c r="BO20" i="30"/>
  <c r="BO16" i="30"/>
  <c r="BO27" i="30"/>
  <c r="BO12" i="30"/>
  <c r="BO10" i="30"/>
  <c r="BO46" i="30" s="1"/>
  <c r="BO45" i="30" s="1"/>
  <c r="BO8" i="30"/>
  <c r="BO41" i="30" s="1"/>
  <c r="BO6" i="30"/>
  <c r="BO47" i="30" s="1"/>
  <c r="BO4" i="30"/>
  <c r="BO40" i="30" s="1"/>
  <c r="BO4" i="42"/>
  <c r="BO40" i="42" s="1"/>
  <c r="BO4" i="43"/>
  <c r="BO40" i="43" s="1"/>
  <c r="BO8" i="42"/>
  <c r="BO41" i="42" s="1"/>
  <c r="BO8" i="43"/>
  <c r="BO41" i="43" s="1"/>
  <c r="BO12" i="42"/>
  <c r="BO12" i="43"/>
  <c r="BO16" i="42"/>
  <c r="BO16" i="43"/>
  <c r="BO20" i="42"/>
  <c r="BO20" i="43"/>
  <c r="BO24" i="42"/>
  <c r="BO24" i="43"/>
  <c r="BO28" i="42"/>
  <c r="BO43" i="42" s="1"/>
  <c r="BO28" i="43"/>
  <c r="BO43" i="43" s="1"/>
  <c r="BH12" i="30"/>
  <c r="BH8" i="30"/>
  <c r="BH41" i="30" s="1"/>
  <c r="BH29" i="30"/>
  <c r="BH27" i="30"/>
  <c r="BH25" i="30"/>
  <c r="BH23" i="30"/>
  <c r="BH49" i="30" s="1"/>
  <c r="BH21" i="30"/>
  <c r="BH19" i="30"/>
  <c r="BH42" i="30" s="1"/>
  <c r="BH17" i="30"/>
  <c r="BH15" i="30"/>
  <c r="BH44" i="30" s="1"/>
  <c r="BH13" i="30"/>
  <c r="BH33" i="30" s="1"/>
  <c r="BH3" i="42"/>
  <c r="BH32" i="42" s="1"/>
  <c r="BH3" i="43"/>
  <c r="BH32" i="43" s="1"/>
  <c r="BH7" i="42"/>
  <c r="BH7" i="43"/>
  <c r="BH11" i="42"/>
  <c r="BH39" i="42" s="1"/>
  <c r="BH11" i="43"/>
  <c r="BH39" i="43" s="1"/>
  <c r="BH15" i="42"/>
  <c r="BH44" i="42" s="1"/>
  <c r="BH15" i="43"/>
  <c r="BH44" i="43" s="1"/>
  <c r="BH19" i="42"/>
  <c r="BH42" i="42" s="1"/>
  <c r="BH19" i="43"/>
  <c r="BH42" i="43" s="1"/>
  <c r="BH23" i="42"/>
  <c r="BH49" i="42" s="1"/>
  <c r="BH23" i="43"/>
  <c r="BH49" i="43" s="1"/>
  <c r="BH27" i="42"/>
  <c r="BH27" i="43"/>
  <c r="M24" i="30"/>
  <c r="M16" i="30"/>
  <c r="M25" i="30"/>
  <c r="M17" i="30"/>
  <c r="M11" i="30"/>
  <c r="M39" i="30" s="1"/>
  <c r="M7" i="30"/>
  <c r="M3" i="30"/>
  <c r="M32" i="30" s="1"/>
  <c r="M4" i="42"/>
  <c r="M40" i="42" s="1"/>
  <c r="M4" i="43"/>
  <c r="M40" i="43" s="1"/>
  <c r="M8" i="42"/>
  <c r="M41" i="42" s="1"/>
  <c r="M8" i="43"/>
  <c r="M41" i="43" s="1"/>
  <c r="M12" i="42"/>
  <c r="M12" i="43"/>
  <c r="M16" i="42"/>
  <c r="M16" i="43"/>
  <c r="M20" i="42"/>
  <c r="M20" i="43"/>
  <c r="M24" i="42"/>
  <c r="M24" i="43"/>
  <c r="M28" i="42"/>
  <c r="M43" i="42" s="1"/>
  <c r="M28" i="43"/>
  <c r="M43" i="43" s="1"/>
  <c r="H39" i="16"/>
  <c r="J39" i="16" s="1"/>
  <c r="H43" i="16"/>
  <c r="J43" i="16" s="1"/>
  <c r="W7" i="30"/>
  <c r="W25" i="30"/>
  <c r="W17" i="30"/>
  <c r="W13" i="30"/>
  <c r="W33" i="30" s="1"/>
  <c r="W9" i="42"/>
  <c r="W9" i="43"/>
  <c r="W17" i="42"/>
  <c r="W17" i="43"/>
  <c r="W25" i="42"/>
  <c r="W25" i="43"/>
  <c r="T10" i="30"/>
  <c r="T46" i="30" s="1"/>
  <c r="T25" i="30"/>
  <c r="T17" i="30"/>
  <c r="T5" i="30"/>
  <c r="T8" i="42"/>
  <c r="T41" i="42" s="1"/>
  <c r="T8" i="43"/>
  <c r="T41" i="43" s="1"/>
  <c r="T16" i="42"/>
  <c r="T16" i="43"/>
  <c r="T24" i="42"/>
  <c r="T24" i="43"/>
  <c r="P28" i="30"/>
  <c r="P43" i="30" s="1"/>
  <c r="P20" i="30"/>
  <c r="P16" i="30"/>
  <c r="P17" i="42"/>
  <c r="P17" i="43"/>
  <c r="P10" i="30"/>
  <c r="P46" i="30" s="1"/>
  <c r="P3" i="30"/>
  <c r="P32" i="30" s="1"/>
  <c r="P16" i="42"/>
  <c r="P16" i="43"/>
  <c r="P24" i="42"/>
  <c r="P24" i="43"/>
  <c r="L7" i="30"/>
  <c r="L30" i="30"/>
  <c r="L35" i="30" s="1"/>
  <c r="L26" i="30"/>
  <c r="L36" i="30" s="1"/>
  <c r="L18" i="30"/>
  <c r="L14" i="30"/>
  <c r="L34" i="30" s="1"/>
  <c r="L8" i="30"/>
  <c r="L41" i="30" s="1"/>
  <c r="L2" i="42"/>
  <c r="L38" i="42" s="1"/>
  <c r="L2" i="43"/>
  <c r="L38" i="43" s="1"/>
  <c r="L6" i="42"/>
  <c r="L47" i="42" s="1"/>
  <c r="L6" i="43"/>
  <c r="L47" i="43" s="1"/>
  <c r="L10" i="42"/>
  <c r="L46" i="42" s="1"/>
  <c r="L10" i="43"/>
  <c r="L46" i="43" s="1"/>
  <c r="L14" i="42"/>
  <c r="L34" i="42" s="1"/>
  <c r="L14" i="43"/>
  <c r="L34" i="43" s="1"/>
  <c r="L18" i="42"/>
  <c r="L18" i="43"/>
  <c r="L22" i="42"/>
  <c r="L37" i="42" s="1"/>
  <c r="L22" i="43"/>
  <c r="L37" i="43" s="1"/>
  <c r="L26" i="42"/>
  <c r="L36" i="42" s="1"/>
  <c r="L26" i="43"/>
  <c r="L36" i="43" s="1"/>
  <c r="L30" i="42"/>
  <c r="L35" i="42" s="1"/>
  <c r="L30" i="43"/>
  <c r="L35" i="43" s="1"/>
  <c r="I29" i="30"/>
  <c r="I17" i="30"/>
  <c r="I19" i="30"/>
  <c r="I42" i="30" s="1"/>
  <c r="I24" i="30"/>
  <c r="I16" i="30"/>
  <c r="I10" i="30"/>
  <c r="I46" i="30" s="1"/>
  <c r="I6" i="30"/>
  <c r="I47" i="30" s="1"/>
  <c r="I5" i="42"/>
  <c r="I5" i="43"/>
  <c r="I9" i="42"/>
  <c r="I9" i="43"/>
  <c r="I13" i="42"/>
  <c r="I33" i="42" s="1"/>
  <c r="I13" i="43"/>
  <c r="I33" i="43" s="1"/>
  <c r="I17" i="42"/>
  <c r="I17" i="43"/>
  <c r="I21" i="42"/>
  <c r="I21" i="43"/>
  <c r="I25" i="42"/>
  <c r="I25" i="43"/>
  <c r="I29" i="42"/>
  <c r="I29" i="43"/>
  <c r="E23" i="30"/>
  <c r="E49" i="30" s="1"/>
  <c r="E15" i="30"/>
  <c r="E44" i="30" s="1"/>
  <c r="E26" i="30"/>
  <c r="E36" i="30" s="1"/>
  <c r="E18" i="30"/>
  <c r="E11" i="30"/>
  <c r="E39" i="30" s="1"/>
  <c r="E7" i="30"/>
  <c r="E3" i="30"/>
  <c r="E32" i="30" s="1"/>
  <c r="E4" i="42"/>
  <c r="E40" i="42" s="1"/>
  <c r="E4" i="43"/>
  <c r="E40" i="43" s="1"/>
  <c r="E8" i="42"/>
  <c r="E41" i="42" s="1"/>
  <c r="E8" i="43"/>
  <c r="E41" i="43" s="1"/>
  <c r="E12" i="42"/>
  <c r="E12" i="43"/>
  <c r="E16" i="42"/>
  <c r="E16" i="43"/>
  <c r="E20" i="42"/>
  <c r="E20" i="43"/>
  <c r="E24" i="42"/>
  <c r="E24" i="43"/>
  <c r="E28" i="42"/>
  <c r="E43" i="42" s="1"/>
  <c r="E28" i="43"/>
  <c r="E43" i="43" s="1"/>
  <c r="AK73" i="32"/>
  <c r="AK59" i="32"/>
  <c r="AK70" i="32"/>
  <c r="AK56" i="32"/>
  <c r="AK60" i="32"/>
  <c r="AK74" i="32"/>
  <c r="AK67" i="32"/>
  <c r="AK53" i="32"/>
  <c r="AO30" i="38"/>
  <c r="BD55" i="38"/>
  <c r="BD69" i="38"/>
  <c r="AO10" i="38"/>
  <c r="AO14" i="38"/>
  <c r="AO18" i="38"/>
  <c r="BD64" i="38"/>
  <c r="BD50" i="38"/>
  <c r="AO15" i="38"/>
  <c r="BD70" i="38"/>
  <c r="BD56" i="38"/>
  <c r="BD76" i="38"/>
  <c r="BD62" i="38"/>
  <c r="AO7" i="38"/>
  <c r="AO2" i="38"/>
  <c r="AO9" i="38"/>
  <c r="AO19" i="38"/>
  <c r="DM51" i="38"/>
  <c r="DM65" i="38"/>
  <c r="DM70" i="38"/>
  <c r="DM56" i="38"/>
  <c r="DM74" i="38"/>
  <c r="DM60" i="38"/>
  <c r="CB6" i="18"/>
  <c r="CB47" i="18" s="1"/>
  <c r="AJ6" i="18"/>
  <c r="AJ47" i="18" s="1"/>
  <c r="CB22" i="18"/>
  <c r="CB37" i="18" s="1"/>
  <c r="AJ22" i="18"/>
  <c r="AJ37" i="18" s="1"/>
  <c r="CB23" i="18"/>
  <c r="CB49" i="18" s="1"/>
  <c r="AJ23" i="18"/>
  <c r="AJ49" i="18" s="1"/>
  <c r="CB25" i="18"/>
  <c r="AJ25" i="18"/>
  <c r="CB7" i="18"/>
  <c r="AJ7" i="18"/>
  <c r="CB12" i="18"/>
  <c r="AJ12" i="18"/>
  <c r="CB28" i="18"/>
  <c r="CB43" i="18" s="1"/>
  <c r="AJ28" i="18"/>
  <c r="AJ43" i="18" s="1"/>
  <c r="CB11" i="38"/>
  <c r="CB39" i="38" s="1"/>
  <c r="AJ11" i="38"/>
  <c r="AJ39" i="38" s="1"/>
  <c r="CB24" i="38"/>
  <c r="AJ24" i="38"/>
  <c r="W72" i="38"/>
  <c r="W58" i="38"/>
  <c r="CB14" i="38"/>
  <c r="CB34" i="38" s="1"/>
  <c r="AJ14" i="38"/>
  <c r="AJ34" i="38" s="1"/>
  <c r="BM70" i="38"/>
  <c r="BM56" i="38"/>
  <c r="DE71" i="38"/>
  <c r="DE57" i="38"/>
  <c r="W67" i="38"/>
  <c r="W53" i="38"/>
  <c r="W55" i="38"/>
  <c r="W69" i="38"/>
  <c r="DE67" i="38"/>
  <c r="DE53" i="38"/>
  <c r="AJ15" i="38"/>
  <c r="AJ44" i="38" s="1"/>
  <c r="CB15" i="38"/>
  <c r="CB44" i="38" s="1"/>
  <c r="BM66" i="38"/>
  <c r="BM52" i="38"/>
  <c r="BM65" i="38"/>
  <c r="BM51" i="38"/>
  <c r="AJ10" i="38"/>
  <c r="AJ46" i="38" s="1"/>
  <c r="CB10" i="38"/>
  <c r="CB46" i="38" s="1"/>
  <c r="BM61" i="38"/>
  <c r="BM75" i="38"/>
  <c r="CB26" i="38"/>
  <c r="CB36" i="38" s="1"/>
  <c r="AJ26" i="38"/>
  <c r="AJ36" i="38" s="1"/>
  <c r="BX5" i="18"/>
  <c r="AF5" i="18"/>
  <c r="BX6" i="18"/>
  <c r="BX47" i="18" s="1"/>
  <c r="AF6" i="18"/>
  <c r="AF47" i="18" s="1"/>
  <c r="BX22" i="18"/>
  <c r="BX37" i="18" s="1"/>
  <c r="AF22" i="18"/>
  <c r="AF37" i="18" s="1"/>
  <c r="BX7" i="18"/>
  <c r="AF7" i="18"/>
  <c r="BX13" i="18"/>
  <c r="BX33" i="18" s="1"/>
  <c r="AF13" i="18"/>
  <c r="AF33" i="18" s="1"/>
  <c r="BX19" i="18"/>
  <c r="BX42" i="18" s="1"/>
  <c r="AF19" i="18"/>
  <c r="AF42" i="18" s="1"/>
  <c r="BX12" i="18"/>
  <c r="AF12" i="18"/>
  <c r="BX28" i="18"/>
  <c r="BX43" i="18" s="1"/>
  <c r="AF28" i="18"/>
  <c r="AF43" i="18" s="1"/>
  <c r="BX16" i="38"/>
  <c r="AF16" i="38"/>
  <c r="AF27" i="38"/>
  <c r="BX27" i="38"/>
  <c r="DA72" i="38"/>
  <c r="DA58" i="38"/>
  <c r="BX2" i="38"/>
  <c r="BX38" i="38" s="1"/>
  <c r="AF2" i="38"/>
  <c r="AF38" i="38" s="1"/>
  <c r="BX14" i="38"/>
  <c r="BX34" i="38" s="1"/>
  <c r="AF14" i="38"/>
  <c r="AF34" i="38" s="1"/>
  <c r="DA56" i="38"/>
  <c r="DA70" i="38"/>
  <c r="BX25" i="38"/>
  <c r="AF25" i="38"/>
  <c r="AF7" i="38"/>
  <c r="BX7" i="38"/>
  <c r="AF13" i="38"/>
  <c r="AF33" i="38" s="1"/>
  <c r="BX13" i="38"/>
  <c r="BX33" i="38" s="1"/>
  <c r="DA52" i="38"/>
  <c r="DA66" i="38"/>
  <c r="BX26" i="38"/>
  <c r="BX36" i="38" s="1"/>
  <c r="AF26" i="38"/>
  <c r="AF36" i="38" s="1"/>
  <c r="BW2" i="18"/>
  <c r="BW38" i="18" s="1"/>
  <c r="AE2" i="18"/>
  <c r="AE38" i="18" s="1"/>
  <c r="BW7" i="18"/>
  <c r="AE7" i="18"/>
  <c r="BW23" i="18"/>
  <c r="BW49" i="18" s="1"/>
  <c r="AE23" i="18"/>
  <c r="AE49" i="18" s="1"/>
  <c r="BW22" i="18"/>
  <c r="BW37" i="18" s="1"/>
  <c r="AE22" i="18"/>
  <c r="AE37" i="18" s="1"/>
  <c r="BW8" i="18"/>
  <c r="BW41" i="18" s="1"/>
  <c r="AE8" i="18"/>
  <c r="AE41" i="18" s="1"/>
  <c r="BW9" i="18"/>
  <c r="AE9" i="18"/>
  <c r="BW25" i="18"/>
  <c r="AE25" i="18"/>
  <c r="R60" i="38"/>
  <c r="R74" i="38"/>
  <c r="R54" i="38"/>
  <c r="R68" i="38"/>
  <c r="BH50" i="38"/>
  <c r="BH64" i="38"/>
  <c r="BW3" i="38"/>
  <c r="BW32" i="38" s="1"/>
  <c r="AE3" i="38"/>
  <c r="AE32" i="38" s="1"/>
  <c r="CZ65" i="38"/>
  <c r="CZ51" i="38"/>
  <c r="R65" i="38"/>
  <c r="R51" i="38"/>
  <c r="BW2" i="38"/>
  <c r="BW38" i="38" s="1"/>
  <c r="AE2" i="38"/>
  <c r="AE38" i="38" s="1"/>
  <c r="BW8" i="38"/>
  <c r="BW41" i="38" s="1"/>
  <c r="AE8" i="38"/>
  <c r="AE41" i="38" s="1"/>
  <c r="BW24" i="38"/>
  <c r="AE24" i="38"/>
  <c r="AE12" i="38"/>
  <c r="BW12" i="38"/>
  <c r="BW17" i="38"/>
  <c r="AE17" i="38"/>
  <c r="BH70" i="38"/>
  <c r="BH56" i="38"/>
  <c r="BW21" i="38"/>
  <c r="AE21" i="38"/>
  <c r="CZ55" i="38"/>
  <c r="CZ69" i="38"/>
  <c r="BW23" i="38"/>
  <c r="BW49" i="38" s="1"/>
  <c r="AE23" i="38"/>
  <c r="AE49" i="38" s="1"/>
  <c r="BX12" i="30"/>
  <c r="BX8" i="30"/>
  <c r="BX41" i="30" s="1"/>
  <c r="BX4" i="30"/>
  <c r="BX40" i="30" s="1"/>
  <c r="BX2" i="42"/>
  <c r="BX38" i="42" s="1"/>
  <c r="BX2" i="43"/>
  <c r="BX38" i="43" s="1"/>
  <c r="BX6" i="42"/>
  <c r="BX47" i="42" s="1"/>
  <c r="BX6" i="43"/>
  <c r="BX47" i="43" s="1"/>
  <c r="BX10" i="42"/>
  <c r="BX46" i="42" s="1"/>
  <c r="BX45" i="42" s="1"/>
  <c r="BX10" i="43"/>
  <c r="BX46" i="43" s="1"/>
  <c r="BX14" i="42"/>
  <c r="BX34" i="42" s="1"/>
  <c r="BX14" i="43"/>
  <c r="BX34" i="43" s="1"/>
  <c r="BX18" i="42"/>
  <c r="BX18" i="43"/>
  <c r="BX22" i="42"/>
  <c r="BX37" i="42" s="1"/>
  <c r="BX22" i="43"/>
  <c r="BX37" i="43" s="1"/>
  <c r="BX26" i="42"/>
  <c r="BX36" i="42" s="1"/>
  <c r="BX26" i="43"/>
  <c r="BX36" i="43" s="1"/>
  <c r="BX30" i="42"/>
  <c r="BX35" i="42" s="1"/>
  <c r="BX30" i="43"/>
  <c r="BX35" i="43" s="1"/>
  <c r="BQ9" i="30"/>
  <c r="BQ12" i="30"/>
  <c r="BQ8" i="30"/>
  <c r="BQ41" i="30" s="1"/>
  <c r="BQ4" i="30"/>
  <c r="BQ40" i="30" s="1"/>
  <c r="BQ4" i="42"/>
  <c r="BQ40" i="42" s="1"/>
  <c r="BQ4" i="43"/>
  <c r="BQ40" i="43" s="1"/>
  <c r="BQ8" i="42"/>
  <c r="BQ41" i="42" s="1"/>
  <c r="BQ8" i="43"/>
  <c r="BQ41" i="43" s="1"/>
  <c r="BQ12" i="42"/>
  <c r="BQ12" i="43"/>
  <c r="BQ16" i="42"/>
  <c r="BQ16" i="43"/>
  <c r="BQ20" i="42"/>
  <c r="BQ20" i="43"/>
  <c r="BQ24" i="42"/>
  <c r="BQ24" i="43"/>
  <c r="BQ28" i="42"/>
  <c r="BQ43" i="42" s="1"/>
  <c r="BQ28" i="43"/>
  <c r="BQ43" i="43" s="1"/>
  <c r="BM7" i="30"/>
  <c r="BM11" i="30"/>
  <c r="BM39" i="30" s="1"/>
  <c r="BM4" i="42"/>
  <c r="BM40" i="42" s="1"/>
  <c r="BM4" i="43"/>
  <c r="BM40" i="43" s="1"/>
  <c r="BM8" i="42"/>
  <c r="BM41" i="42" s="1"/>
  <c r="BM8" i="43"/>
  <c r="BM41" i="43" s="1"/>
  <c r="BM12" i="42"/>
  <c r="BM12" i="43"/>
  <c r="BM16" i="42"/>
  <c r="BM16" i="43"/>
  <c r="BM20" i="42"/>
  <c r="BM20" i="43"/>
  <c r="BM24" i="42"/>
  <c r="BM24" i="43"/>
  <c r="BM28" i="42"/>
  <c r="BM43" i="42" s="1"/>
  <c r="BM28" i="43"/>
  <c r="BM43" i="43" s="1"/>
  <c r="BI10" i="30"/>
  <c r="BI46" i="30" s="1"/>
  <c r="BI6" i="30"/>
  <c r="BI47" i="30" s="1"/>
  <c r="BI5" i="30"/>
  <c r="BI3" i="30"/>
  <c r="BI32" i="30" s="1"/>
  <c r="BI2" i="42"/>
  <c r="BI38" i="42" s="1"/>
  <c r="BI2" i="43"/>
  <c r="BI38" i="43" s="1"/>
  <c r="BI6" i="42"/>
  <c r="BI47" i="42" s="1"/>
  <c r="BI6" i="43"/>
  <c r="BI47" i="43" s="1"/>
  <c r="BI10" i="42"/>
  <c r="BI46" i="42" s="1"/>
  <c r="BI45" i="42" s="1"/>
  <c r="BI10" i="43"/>
  <c r="BI46" i="43" s="1"/>
  <c r="BI45" i="43" s="1"/>
  <c r="BI14" i="42"/>
  <c r="BI34" i="42" s="1"/>
  <c r="BI14" i="43"/>
  <c r="BI34" i="43" s="1"/>
  <c r="BI18" i="42"/>
  <c r="BI18" i="43"/>
  <c r="BI22" i="42"/>
  <c r="BI37" i="42" s="1"/>
  <c r="BI22" i="43"/>
  <c r="BI37" i="43" s="1"/>
  <c r="BI26" i="42"/>
  <c r="BI36" i="42" s="1"/>
  <c r="BI26" i="43"/>
  <c r="BI36" i="43" s="1"/>
  <c r="BI30" i="42"/>
  <c r="BI35" i="42" s="1"/>
  <c r="BI30" i="43"/>
  <c r="BI35" i="43" s="1"/>
  <c r="BF30" i="30"/>
  <c r="BF35" i="30" s="1"/>
  <c r="BF28" i="30"/>
  <c r="BF43" i="30" s="1"/>
  <c r="BF26" i="30"/>
  <c r="BF36" i="30" s="1"/>
  <c r="BF24" i="30"/>
  <c r="BF22" i="30"/>
  <c r="BF37" i="30" s="1"/>
  <c r="BF20" i="30"/>
  <c r="BF18" i="30"/>
  <c r="BF16" i="30"/>
  <c r="BF14" i="30"/>
  <c r="BF34" i="30" s="1"/>
  <c r="BF11" i="30"/>
  <c r="BF39" i="30" s="1"/>
  <c r="BF7" i="30"/>
  <c r="BF2" i="42"/>
  <c r="BF38" i="42" s="1"/>
  <c r="BF2" i="43"/>
  <c r="BF38" i="43" s="1"/>
  <c r="BF10" i="42"/>
  <c r="BF46" i="42" s="1"/>
  <c r="BF10" i="43"/>
  <c r="BF46" i="43" s="1"/>
  <c r="BF18" i="42"/>
  <c r="BF18" i="43"/>
  <c r="BF26" i="42"/>
  <c r="BF36" i="42" s="1"/>
  <c r="BF26" i="43"/>
  <c r="BF36" i="43" s="1"/>
  <c r="BF12" i="30"/>
  <c r="BF8" i="30"/>
  <c r="BF41" i="30" s="1"/>
  <c r="BF9" i="42"/>
  <c r="BF9" i="43"/>
  <c r="BF17" i="42"/>
  <c r="BF17" i="43"/>
  <c r="BF25" i="42"/>
  <c r="BF25" i="43"/>
  <c r="BE29" i="18"/>
  <c r="CW4" i="38"/>
  <c r="CW8" i="38"/>
  <c r="CW6" i="38"/>
  <c r="CW10" i="38"/>
  <c r="CW3" i="38"/>
  <c r="CW28" i="38"/>
  <c r="C9" i="18"/>
  <c r="BB9" i="30"/>
  <c r="N22" i="18"/>
  <c r="N14" i="38"/>
  <c r="N13" i="38"/>
  <c r="N15" i="38"/>
  <c r="N19" i="38"/>
  <c r="N24" i="38"/>
  <c r="N8" i="38"/>
  <c r="C5" i="38"/>
  <c r="BB5" i="42"/>
  <c r="BB5" i="43"/>
  <c r="BB9" i="42"/>
  <c r="C9" i="38"/>
  <c r="BB9" i="43"/>
  <c r="C13" i="38"/>
  <c r="C33" i="38" s="1"/>
  <c r="BB13" i="42"/>
  <c r="BB13" i="43"/>
  <c r="BB17" i="42"/>
  <c r="C17" i="38"/>
  <c r="BB17" i="43"/>
  <c r="C21" i="38"/>
  <c r="BB21" i="42"/>
  <c r="BB21" i="43"/>
  <c r="BB25" i="42"/>
  <c r="C25" i="38"/>
  <c r="BB25" i="43"/>
  <c r="BB29" i="42"/>
  <c r="C29" i="38"/>
  <c r="BB29" i="43"/>
  <c r="N5" i="38"/>
  <c r="BE2" i="38"/>
  <c r="BE6" i="38"/>
  <c r="BE10" i="38"/>
  <c r="BE14" i="38"/>
  <c r="BE18" i="38"/>
  <c r="BE22" i="38"/>
  <c r="BE26" i="38"/>
  <c r="BE30" i="38"/>
  <c r="R9" i="30"/>
  <c r="R8" i="30"/>
  <c r="R41" i="30" s="1"/>
  <c r="R29" i="30"/>
  <c r="R25" i="30"/>
  <c r="R21" i="30"/>
  <c r="R17" i="30"/>
  <c r="R13" i="30"/>
  <c r="R33" i="30" s="1"/>
  <c r="R4" i="30"/>
  <c r="R40" i="30" s="1"/>
  <c r="R4" i="42"/>
  <c r="R40" i="42" s="1"/>
  <c r="R4" i="43"/>
  <c r="R40" i="43" s="1"/>
  <c r="R8" i="42"/>
  <c r="R41" i="42" s="1"/>
  <c r="R8" i="43"/>
  <c r="R41" i="43" s="1"/>
  <c r="R12" i="42"/>
  <c r="R12" i="43"/>
  <c r="R16" i="42"/>
  <c r="R16" i="43"/>
  <c r="R20" i="42"/>
  <c r="R20" i="43"/>
  <c r="R24" i="42"/>
  <c r="R24" i="43"/>
  <c r="R28" i="42"/>
  <c r="R43" i="42" s="1"/>
  <c r="R28" i="43"/>
  <c r="R43" i="43" s="1"/>
  <c r="AA11" i="30"/>
  <c r="AA39" i="30" s="1"/>
  <c r="AA29" i="30"/>
  <c r="AA25" i="30"/>
  <c r="AA21" i="30"/>
  <c r="AA17" i="30"/>
  <c r="AA13" i="30"/>
  <c r="AA33" i="30" s="1"/>
  <c r="AA6" i="30"/>
  <c r="AA47" i="30" s="1"/>
  <c r="AA5" i="42"/>
  <c r="AA5" i="43"/>
  <c r="AA9" i="42"/>
  <c r="AA9" i="43"/>
  <c r="AA13" i="42"/>
  <c r="AA33" i="42" s="1"/>
  <c r="AA13" i="43"/>
  <c r="AA33" i="43" s="1"/>
  <c r="AA17" i="42"/>
  <c r="AA17" i="43"/>
  <c r="AA21" i="42"/>
  <c r="AA21" i="43"/>
  <c r="AA25" i="42"/>
  <c r="AA25" i="43"/>
  <c r="AA29" i="42"/>
  <c r="AA29" i="43"/>
  <c r="F3" i="37"/>
  <c r="F32" i="37" s="1"/>
  <c r="F23" i="37"/>
  <c r="F49" i="37" s="1"/>
  <c r="F7" i="37"/>
  <c r="F19" i="37"/>
  <c r="F42" i="37" s="1"/>
  <c r="F26" i="37"/>
  <c r="F36" i="37" s="1"/>
  <c r="F30" i="37"/>
  <c r="F35" i="37" s="1"/>
  <c r="F24" i="16"/>
  <c r="F17" i="16"/>
  <c r="G52" i="16"/>
  <c r="G66" i="16"/>
  <c r="F18" i="16"/>
  <c r="G72" i="16"/>
  <c r="G58" i="16"/>
  <c r="F2" i="16"/>
  <c r="F38" i="16" s="1"/>
  <c r="F14" i="16"/>
  <c r="F34" i="16" s="1"/>
  <c r="F23" i="16"/>
  <c r="F49" i="16" s="1"/>
  <c r="F6" i="16"/>
  <c r="F47" i="16" s="1"/>
  <c r="F22" i="16"/>
  <c r="F37" i="16" s="1"/>
  <c r="CA15" i="18"/>
  <c r="CA44" i="18" s="1"/>
  <c r="AI15" i="18"/>
  <c r="AI44" i="18" s="1"/>
  <c r="CA8" i="18"/>
  <c r="CA41" i="18" s="1"/>
  <c r="AI8" i="18"/>
  <c r="AI41" i="18" s="1"/>
  <c r="CA24" i="18"/>
  <c r="AI24" i="18"/>
  <c r="CA29" i="18"/>
  <c r="AI29" i="18"/>
  <c r="CA5" i="18"/>
  <c r="AI5" i="18"/>
  <c r="CA2" i="18"/>
  <c r="CA38" i="18" s="1"/>
  <c r="AI2" i="18"/>
  <c r="AI38" i="18" s="1"/>
  <c r="CA18" i="18"/>
  <c r="AI18" i="18"/>
  <c r="DD72" i="38"/>
  <c r="DD58" i="38"/>
  <c r="U65" i="38"/>
  <c r="U51" i="38"/>
  <c r="CA10" i="38"/>
  <c r="CA46" i="38" s="1"/>
  <c r="AI10" i="38"/>
  <c r="AI46" i="38" s="1"/>
  <c r="AI13" i="38"/>
  <c r="AI33" i="38" s="1"/>
  <c r="CA13" i="38"/>
  <c r="CA33" i="38" s="1"/>
  <c r="DD71" i="38"/>
  <c r="DD57" i="38"/>
  <c r="CA23" i="38"/>
  <c r="CA49" i="38" s="1"/>
  <c r="AI23" i="38"/>
  <c r="AI49" i="38" s="1"/>
  <c r="CA7" i="38"/>
  <c r="AI7" i="38"/>
  <c r="BL74" i="38"/>
  <c r="BL60" i="38"/>
  <c r="BL66" i="38"/>
  <c r="BL52" i="38"/>
  <c r="U73" i="38"/>
  <c r="U59" i="38"/>
  <c r="U72" i="38"/>
  <c r="U58" i="38"/>
  <c r="CA5" i="38"/>
  <c r="AI5" i="38"/>
  <c r="DD62" i="38"/>
  <c r="DD76" i="38"/>
  <c r="DD55" i="38"/>
  <c r="DD69" i="38"/>
  <c r="DD73" i="38"/>
  <c r="DD59" i="38"/>
  <c r="CA15" i="38"/>
  <c r="CA44" i="38" s="1"/>
  <c r="AI15" i="38"/>
  <c r="AI44" i="38" s="1"/>
  <c r="CA26" i="38"/>
  <c r="CA36" i="38" s="1"/>
  <c r="AI26" i="38"/>
  <c r="AI36" i="38" s="1"/>
  <c r="BL69" i="38"/>
  <c r="BL55" i="38"/>
  <c r="BV5" i="42"/>
  <c r="BV5" i="43"/>
  <c r="BV13" i="42"/>
  <c r="BV33" i="42" s="1"/>
  <c r="BV13" i="43"/>
  <c r="BV33" i="43" s="1"/>
  <c r="BV21" i="42"/>
  <c r="BV21" i="43"/>
  <c r="BV29" i="42"/>
  <c r="BV29" i="43"/>
  <c r="BV10" i="30"/>
  <c r="BV46" i="30" s="1"/>
  <c r="BV6" i="30"/>
  <c r="BV47" i="30" s="1"/>
  <c r="BV6" i="42"/>
  <c r="BV47" i="42" s="1"/>
  <c r="BV6" i="43"/>
  <c r="BV47" i="43" s="1"/>
  <c r="BV14" i="42"/>
  <c r="BV34" i="42" s="1"/>
  <c r="BV14" i="43"/>
  <c r="BV34" i="43" s="1"/>
  <c r="BV22" i="42"/>
  <c r="BV37" i="42" s="1"/>
  <c r="BV22" i="43"/>
  <c r="BV37" i="43" s="1"/>
  <c r="BV30" i="42"/>
  <c r="BV35" i="42" s="1"/>
  <c r="BV30" i="43"/>
  <c r="BV35" i="43" s="1"/>
  <c r="BO23" i="30"/>
  <c r="BO49" i="30" s="1"/>
  <c r="BO25" i="30"/>
  <c r="BO19" i="30"/>
  <c r="BO42" i="30" s="1"/>
  <c r="BO5" i="42"/>
  <c r="BO5" i="43"/>
  <c r="BO9" i="42"/>
  <c r="BO9" i="43"/>
  <c r="BO13" i="42"/>
  <c r="BO33" i="42" s="1"/>
  <c r="BO13" i="43"/>
  <c r="BO33" i="43" s="1"/>
  <c r="BO17" i="42"/>
  <c r="BO17" i="43"/>
  <c r="BO21" i="42"/>
  <c r="BO21" i="43"/>
  <c r="BO25" i="42"/>
  <c r="BO25" i="43"/>
  <c r="BO29" i="42"/>
  <c r="BO29" i="43"/>
  <c r="BH4" i="30"/>
  <c r="BH40" i="30" s="1"/>
  <c r="BH4" i="42"/>
  <c r="BH40" i="42" s="1"/>
  <c r="BH4" i="43"/>
  <c r="BH40" i="43" s="1"/>
  <c r="BH8" i="42"/>
  <c r="BH41" i="42" s="1"/>
  <c r="BH8" i="43"/>
  <c r="BH41" i="43" s="1"/>
  <c r="BH12" i="42"/>
  <c r="BH12" i="43"/>
  <c r="BH16" i="42"/>
  <c r="BH16" i="43"/>
  <c r="BH20" i="42"/>
  <c r="BH20" i="43"/>
  <c r="BH24" i="42"/>
  <c r="BH24" i="43"/>
  <c r="BH28" i="42"/>
  <c r="BH43" i="42" s="1"/>
  <c r="BH28" i="43"/>
  <c r="BH43" i="43" s="1"/>
  <c r="M30" i="30"/>
  <c r="M35" i="30" s="1"/>
  <c r="M22" i="30"/>
  <c r="M37" i="30" s="1"/>
  <c r="M14" i="30"/>
  <c r="M34" i="30" s="1"/>
  <c r="M23" i="30"/>
  <c r="M49" i="30" s="1"/>
  <c r="M15" i="30"/>
  <c r="M44" i="30" s="1"/>
  <c r="M10" i="30"/>
  <c r="M46" i="30" s="1"/>
  <c r="M45" i="30" s="1"/>
  <c r="M6" i="30"/>
  <c r="M47" i="30" s="1"/>
  <c r="M5" i="42"/>
  <c r="M5" i="43"/>
  <c r="M9" i="42"/>
  <c r="M9" i="43"/>
  <c r="M13" i="42"/>
  <c r="M33" i="42" s="1"/>
  <c r="M13" i="43"/>
  <c r="M33" i="43" s="1"/>
  <c r="M17" i="42"/>
  <c r="M17" i="43"/>
  <c r="M21" i="42"/>
  <c r="M21" i="43"/>
  <c r="M25" i="42"/>
  <c r="M25" i="43"/>
  <c r="M29" i="42"/>
  <c r="M29" i="43"/>
  <c r="O66" i="32"/>
  <c r="O52" i="32"/>
  <c r="O69" i="32"/>
  <c r="O55" i="32"/>
  <c r="K54" i="32"/>
  <c r="K68" i="32"/>
  <c r="N73" i="32"/>
  <c r="N59" i="32"/>
  <c r="O64" i="32"/>
  <c r="O50" i="32"/>
  <c r="N61" i="32"/>
  <c r="N75" i="32"/>
  <c r="E69" i="32"/>
  <c r="E55" i="32"/>
  <c r="Q54" i="32"/>
  <c r="Q68" i="32"/>
  <c r="P31" i="32"/>
  <c r="N74" i="32"/>
  <c r="N60" i="32"/>
  <c r="K55" i="32"/>
  <c r="K69" i="32"/>
  <c r="R68" i="32"/>
  <c r="R54" i="32"/>
  <c r="K76" i="32"/>
  <c r="K62" i="32"/>
  <c r="Q74" i="32"/>
  <c r="Q60" i="32"/>
  <c r="O54" i="32"/>
  <c r="O68" i="32"/>
  <c r="Q31" i="32"/>
  <c r="N66" i="32"/>
  <c r="N52" i="32"/>
  <c r="Q69" i="32"/>
  <c r="Q55" i="32"/>
  <c r="P68" i="32"/>
  <c r="P54" i="32"/>
  <c r="Q76" i="32"/>
  <c r="Q62" i="32"/>
  <c r="O65" i="32"/>
  <c r="O51" i="32"/>
  <c r="N64" i="32"/>
  <c r="N50" i="32"/>
  <c r="R61" i="32"/>
  <c r="R75" i="32"/>
  <c r="P75" i="32"/>
  <c r="P61" i="32"/>
  <c r="K60" i="32"/>
  <c r="K74" i="32"/>
  <c r="AB67" i="32"/>
  <c r="AB53" i="32"/>
  <c r="AO67" i="32"/>
  <c r="AO53" i="32"/>
  <c r="AO73" i="32"/>
  <c r="AO59" i="32"/>
  <c r="AO75" i="32"/>
  <c r="AO61" i="32"/>
  <c r="AB73" i="32"/>
  <c r="AB59" i="32"/>
  <c r="BV8" i="18"/>
  <c r="BV41" i="18" s="1"/>
  <c r="AD8" i="18"/>
  <c r="AD41" i="18" s="1"/>
  <c r="BV24" i="18"/>
  <c r="AD24" i="18"/>
  <c r="BV17" i="18"/>
  <c r="AD17" i="18"/>
  <c r="BV15" i="18"/>
  <c r="BV44" i="18" s="1"/>
  <c r="AD15" i="18"/>
  <c r="AD44" i="18" s="1"/>
  <c r="BV13" i="18"/>
  <c r="BV33" i="18" s="1"/>
  <c r="AD13" i="18"/>
  <c r="AD33" i="18" s="1"/>
  <c r="BV10" i="18"/>
  <c r="BV46" i="18" s="1"/>
  <c r="AD10" i="18"/>
  <c r="AD46" i="18" s="1"/>
  <c r="BV26" i="18"/>
  <c r="BV36" i="18" s="1"/>
  <c r="AD26" i="18"/>
  <c r="AD36" i="18" s="1"/>
  <c r="Q56" i="38"/>
  <c r="Q70" i="38"/>
  <c r="BV4" i="38"/>
  <c r="BV40" i="38" s="1"/>
  <c r="AD4" i="38"/>
  <c r="AD40" i="38" s="1"/>
  <c r="BV11" i="38"/>
  <c r="BV39" i="38" s="1"/>
  <c r="AD11" i="38"/>
  <c r="AD39" i="38" s="1"/>
  <c r="BV21" i="38"/>
  <c r="AD21" i="38"/>
  <c r="AD13" i="38"/>
  <c r="AD33" i="38" s="1"/>
  <c r="BV13" i="38"/>
  <c r="BV33" i="38" s="1"/>
  <c r="BV16" i="38"/>
  <c r="AD16" i="38"/>
  <c r="Q61" i="38"/>
  <c r="Q75" i="38"/>
  <c r="AD3" i="38"/>
  <c r="AD32" i="38" s="1"/>
  <c r="BV3" i="38"/>
  <c r="BV32" i="38" s="1"/>
  <c r="BV25" i="38"/>
  <c r="AD25" i="38"/>
  <c r="CY75" i="38"/>
  <c r="CY61" i="38"/>
  <c r="BV28" i="38"/>
  <c r="BV43" i="38" s="1"/>
  <c r="AD28" i="38"/>
  <c r="AD43" i="38" s="1"/>
  <c r="BV8" i="38"/>
  <c r="BV41" i="38" s="1"/>
  <c r="AD8" i="38"/>
  <c r="AD41" i="38" s="1"/>
  <c r="BG60" i="38"/>
  <c r="BG74" i="38"/>
  <c r="BV19" i="38"/>
  <c r="BV42" i="38" s="1"/>
  <c r="AD19" i="38"/>
  <c r="AD42" i="38" s="1"/>
  <c r="BV24" i="38"/>
  <c r="AD24" i="38"/>
  <c r="CY71" i="38"/>
  <c r="CY57" i="38"/>
  <c r="BR5" i="30"/>
  <c r="BR3" i="30"/>
  <c r="BR32" i="30" s="1"/>
  <c r="BR12" i="30"/>
  <c r="BR8" i="30"/>
  <c r="BR41" i="30" s="1"/>
  <c r="BR4" i="30"/>
  <c r="BR40" i="30" s="1"/>
  <c r="BR2" i="42"/>
  <c r="BR38" i="42" s="1"/>
  <c r="BR2" i="43"/>
  <c r="BR38" i="43" s="1"/>
  <c r="BR6" i="42"/>
  <c r="BR47" i="42" s="1"/>
  <c r="BR6" i="43"/>
  <c r="BR47" i="43" s="1"/>
  <c r="BR10" i="42"/>
  <c r="BR46" i="42" s="1"/>
  <c r="BR10" i="43"/>
  <c r="BR46" i="43" s="1"/>
  <c r="BR45" i="43" s="1"/>
  <c r="BR14" i="42"/>
  <c r="BR34" i="42" s="1"/>
  <c r="BR14" i="43"/>
  <c r="BR34" i="43" s="1"/>
  <c r="BR18" i="42"/>
  <c r="BR18" i="43"/>
  <c r="BR22" i="42"/>
  <c r="BR37" i="42" s="1"/>
  <c r="BR22" i="43"/>
  <c r="BR37" i="43" s="1"/>
  <c r="BR26" i="42"/>
  <c r="BR36" i="42" s="1"/>
  <c r="BR26" i="43"/>
  <c r="BR36" i="43" s="1"/>
  <c r="BR30" i="42"/>
  <c r="BR35" i="42" s="1"/>
  <c r="BR30" i="43"/>
  <c r="BR35" i="43" s="1"/>
  <c r="BC3" i="42"/>
  <c r="BC32" i="42" s="1"/>
  <c r="BC3" i="43"/>
  <c r="BC32" i="43" s="1"/>
  <c r="BC7" i="42"/>
  <c r="BC7" i="43"/>
  <c r="BC11" i="42"/>
  <c r="BC39" i="42" s="1"/>
  <c r="BC11" i="43"/>
  <c r="BC39" i="43" s="1"/>
  <c r="BC15" i="42"/>
  <c r="BC44" i="42" s="1"/>
  <c r="BC15" i="43"/>
  <c r="BC44" i="43" s="1"/>
  <c r="BC19" i="42"/>
  <c r="BC42" i="42" s="1"/>
  <c r="BC19" i="43"/>
  <c r="BC42" i="43" s="1"/>
  <c r="BC23" i="42"/>
  <c r="BC49" i="42" s="1"/>
  <c r="BC23" i="43"/>
  <c r="BC49" i="43" s="1"/>
  <c r="BC27" i="42"/>
  <c r="BC27" i="43"/>
  <c r="W29" i="30"/>
  <c r="W21" i="30"/>
  <c r="W6" i="30"/>
  <c r="W47" i="30" s="1"/>
  <c r="W5" i="42"/>
  <c r="W5" i="43"/>
  <c r="W13" i="42"/>
  <c r="W33" i="42" s="1"/>
  <c r="W13" i="43"/>
  <c r="W33" i="43" s="1"/>
  <c r="W21" i="42"/>
  <c r="W21" i="43"/>
  <c r="W29" i="42"/>
  <c r="W29" i="43"/>
  <c r="T29" i="30"/>
  <c r="T21" i="30"/>
  <c r="T13" i="30"/>
  <c r="T33" i="30" s="1"/>
  <c r="T4" i="42"/>
  <c r="T40" i="42" s="1"/>
  <c r="T4" i="43"/>
  <c r="T40" i="43" s="1"/>
  <c r="T12" i="42"/>
  <c r="T12" i="43"/>
  <c r="T20" i="42"/>
  <c r="T20" i="43"/>
  <c r="T28" i="42"/>
  <c r="T43" i="42" s="1"/>
  <c r="T28" i="43"/>
  <c r="T43" i="43" s="1"/>
  <c r="P24" i="30"/>
  <c r="P11" i="30"/>
  <c r="P39" i="30" s="1"/>
  <c r="P9" i="42"/>
  <c r="P9" i="43"/>
  <c r="P25" i="42"/>
  <c r="P25" i="43"/>
  <c r="P8" i="42"/>
  <c r="P41" i="42" s="1"/>
  <c r="P8" i="43"/>
  <c r="P41" i="43" s="1"/>
  <c r="L22" i="30"/>
  <c r="L37" i="30" s="1"/>
  <c r="BX2" i="30"/>
  <c r="BX38" i="30" s="1"/>
  <c r="H40" i="16"/>
  <c r="J40" i="16" s="1"/>
  <c r="H37" i="16"/>
  <c r="J37" i="16" s="1"/>
  <c r="E32" i="45"/>
  <c r="E31" i="45" s="1"/>
  <c r="C31" i="45"/>
  <c r="W9" i="30"/>
  <c r="W28" i="30"/>
  <c r="W43" i="30" s="1"/>
  <c r="W24" i="30"/>
  <c r="W20" i="30"/>
  <c r="W16" i="30"/>
  <c r="W12" i="30"/>
  <c r="W5" i="30"/>
  <c r="W2" i="42"/>
  <c r="W38" i="42" s="1"/>
  <c r="W2" i="43"/>
  <c r="W38" i="43" s="1"/>
  <c r="W6" i="42"/>
  <c r="W47" i="42" s="1"/>
  <c r="W6" i="43"/>
  <c r="W47" i="43" s="1"/>
  <c r="W10" i="42"/>
  <c r="W46" i="42" s="1"/>
  <c r="W45" i="42" s="1"/>
  <c r="W10" i="43"/>
  <c r="W46" i="43" s="1"/>
  <c r="W14" i="42"/>
  <c r="W34" i="42" s="1"/>
  <c r="W14" i="43"/>
  <c r="W34" i="43" s="1"/>
  <c r="W18" i="42"/>
  <c r="W18" i="43"/>
  <c r="W22" i="42"/>
  <c r="W37" i="42" s="1"/>
  <c r="W22" i="43"/>
  <c r="W37" i="43" s="1"/>
  <c r="W26" i="42"/>
  <c r="W36" i="42" s="1"/>
  <c r="W26" i="43"/>
  <c r="W36" i="43" s="1"/>
  <c r="W30" i="42"/>
  <c r="W35" i="42" s="1"/>
  <c r="W30" i="43"/>
  <c r="W35" i="43" s="1"/>
  <c r="T12" i="30"/>
  <c r="T8" i="30"/>
  <c r="T41" i="30" s="1"/>
  <c r="T28" i="30"/>
  <c r="T43" i="30" s="1"/>
  <c r="T24" i="30"/>
  <c r="T20" i="30"/>
  <c r="T16" i="30"/>
  <c r="T11" i="30"/>
  <c r="T39" i="30" s="1"/>
  <c r="T3" i="30"/>
  <c r="T32" i="30" s="1"/>
  <c r="T5" i="42"/>
  <c r="T5" i="43"/>
  <c r="T9" i="42"/>
  <c r="T9" i="43"/>
  <c r="T13" i="42"/>
  <c r="T33" i="42" s="1"/>
  <c r="T13" i="43"/>
  <c r="T33" i="43" s="1"/>
  <c r="T17" i="42"/>
  <c r="T17" i="43"/>
  <c r="T21" i="42"/>
  <c r="T21" i="43"/>
  <c r="T25" i="42"/>
  <c r="T25" i="43"/>
  <c r="T29" i="42"/>
  <c r="T29" i="43"/>
  <c r="P27" i="30"/>
  <c r="P23" i="30"/>
  <c r="P49" i="30" s="1"/>
  <c r="P19" i="30"/>
  <c r="P42" i="30" s="1"/>
  <c r="P15" i="30"/>
  <c r="P44" i="30" s="1"/>
  <c r="P9" i="30"/>
  <c r="P3" i="42"/>
  <c r="P32" i="42" s="1"/>
  <c r="P3" i="43"/>
  <c r="P32" i="43" s="1"/>
  <c r="P11" i="42"/>
  <c r="P39" i="42" s="1"/>
  <c r="P11" i="43"/>
  <c r="P39" i="43" s="1"/>
  <c r="P19" i="42"/>
  <c r="P42" i="42" s="1"/>
  <c r="P19" i="43"/>
  <c r="P42" i="43" s="1"/>
  <c r="P27" i="42"/>
  <c r="P27" i="43"/>
  <c r="P8" i="30"/>
  <c r="P41" i="30" s="1"/>
  <c r="P2" i="42"/>
  <c r="P38" i="42" s="1"/>
  <c r="P2" i="43"/>
  <c r="P38" i="43" s="1"/>
  <c r="P10" i="42"/>
  <c r="P46" i="42" s="1"/>
  <c r="P45" i="42" s="1"/>
  <c r="P10" i="43"/>
  <c r="P46" i="43" s="1"/>
  <c r="P18" i="42"/>
  <c r="P18" i="43"/>
  <c r="P26" i="42"/>
  <c r="P36" i="42" s="1"/>
  <c r="P26" i="43"/>
  <c r="P36" i="43" s="1"/>
  <c r="L5" i="30"/>
  <c r="L29" i="30"/>
  <c r="L25" i="30"/>
  <c r="L21" i="30"/>
  <c r="L17" i="30"/>
  <c r="L13" i="30"/>
  <c r="L33" i="30" s="1"/>
  <c r="L6" i="30"/>
  <c r="L47" i="30" s="1"/>
  <c r="L3" i="42"/>
  <c r="L32" i="42" s="1"/>
  <c r="L3" i="43"/>
  <c r="L32" i="43" s="1"/>
  <c r="L7" i="42"/>
  <c r="L7" i="43"/>
  <c r="L11" i="42"/>
  <c r="L39" i="42" s="1"/>
  <c r="L11" i="43"/>
  <c r="L39" i="43" s="1"/>
  <c r="L15" i="42"/>
  <c r="L44" i="42" s="1"/>
  <c r="L15" i="43"/>
  <c r="L44" i="43" s="1"/>
  <c r="L19" i="42"/>
  <c r="L42" i="42" s="1"/>
  <c r="L19" i="43"/>
  <c r="L42" i="43" s="1"/>
  <c r="L23" i="42"/>
  <c r="L49" i="42" s="1"/>
  <c r="L23" i="43"/>
  <c r="L49" i="43" s="1"/>
  <c r="L27" i="42"/>
  <c r="L27" i="43"/>
  <c r="I25" i="30"/>
  <c r="I15" i="30"/>
  <c r="I44" i="30" s="1"/>
  <c r="I30" i="30"/>
  <c r="I35" i="30" s="1"/>
  <c r="I22" i="30"/>
  <c r="I37" i="30" s="1"/>
  <c r="I14" i="30"/>
  <c r="I34" i="30" s="1"/>
  <c r="I9" i="30"/>
  <c r="I5" i="30"/>
  <c r="I2" i="42"/>
  <c r="I38" i="42" s="1"/>
  <c r="I2" i="43"/>
  <c r="I38" i="43" s="1"/>
  <c r="I6" i="42"/>
  <c r="I47" i="42" s="1"/>
  <c r="I6" i="43"/>
  <c r="I47" i="43" s="1"/>
  <c r="I10" i="42"/>
  <c r="I46" i="42" s="1"/>
  <c r="I10" i="43"/>
  <c r="I46" i="43" s="1"/>
  <c r="I45" i="43" s="1"/>
  <c r="I14" i="42"/>
  <c r="I34" i="42" s="1"/>
  <c r="I14" i="43"/>
  <c r="I34" i="43" s="1"/>
  <c r="I18" i="42"/>
  <c r="I18" i="43"/>
  <c r="I22" i="42"/>
  <c r="I37" i="42" s="1"/>
  <c r="I22" i="43"/>
  <c r="I37" i="43" s="1"/>
  <c r="I26" i="42"/>
  <c r="I36" i="42" s="1"/>
  <c r="I26" i="43"/>
  <c r="I36" i="43" s="1"/>
  <c r="I30" i="42"/>
  <c r="I35" i="42" s="1"/>
  <c r="I30" i="43"/>
  <c r="I35" i="43" s="1"/>
  <c r="E29" i="30"/>
  <c r="E21" i="30"/>
  <c r="E13" i="30"/>
  <c r="E33" i="30" s="1"/>
  <c r="E24" i="30"/>
  <c r="E16" i="30"/>
  <c r="E10" i="30"/>
  <c r="E46" i="30" s="1"/>
  <c r="E45" i="30" s="1"/>
  <c r="E6" i="30"/>
  <c r="E47" i="30" s="1"/>
  <c r="E5" i="42"/>
  <c r="E5" i="43"/>
  <c r="E9" i="42"/>
  <c r="E9" i="43"/>
  <c r="E13" i="42"/>
  <c r="E33" i="42" s="1"/>
  <c r="E13" i="43"/>
  <c r="E33" i="43" s="1"/>
  <c r="E17" i="42"/>
  <c r="E17" i="43"/>
  <c r="E21" i="42"/>
  <c r="E21" i="43"/>
  <c r="E25" i="42"/>
  <c r="E25" i="43"/>
  <c r="E29" i="42"/>
  <c r="E29" i="43"/>
  <c r="AK65" i="32"/>
  <c r="AK51" i="32"/>
  <c r="AK69" i="32"/>
  <c r="AK55" i="32"/>
  <c r="AK52" i="32"/>
  <c r="AK66" i="32"/>
  <c r="BD61" i="38"/>
  <c r="BD75" i="38"/>
  <c r="BD51" i="38"/>
  <c r="BD65" i="38"/>
  <c r="AO24" i="38"/>
  <c r="BD66" i="38"/>
  <c r="BD52" i="38"/>
  <c r="AO20" i="38"/>
  <c r="AO27" i="38"/>
  <c r="AO25" i="38"/>
  <c r="AO28" i="38"/>
  <c r="AO11" i="38"/>
  <c r="DM72" i="38"/>
  <c r="DM58" i="38"/>
  <c r="DK13" i="38"/>
  <c r="DK33" i="38" s="1"/>
  <c r="CB10" i="18"/>
  <c r="CB46" i="18" s="1"/>
  <c r="CB45" i="18" s="1"/>
  <c r="AJ10" i="18"/>
  <c r="AJ46" i="18" s="1"/>
  <c r="AJ45" i="18" s="1"/>
  <c r="CB26" i="18"/>
  <c r="CB36" i="18" s="1"/>
  <c r="AJ26" i="18"/>
  <c r="AJ36" i="18" s="1"/>
  <c r="CB27" i="18"/>
  <c r="AJ27" i="18"/>
  <c r="CB5" i="18"/>
  <c r="AJ5" i="18"/>
  <c r="CB29" i="18"/>
  <c r="AJ29" i="18"/>
  <c r="CB15" i="18"/>
  <c r="CB44" i="18" s="1"/>
  <c r="AJ15" i="18"/>
  <c r="AJ44" i="18" s="1"/>
  <c r="CB16" i="18"/>
  <c r="AJ16" i="18"/>
  <c r="W66" i="38"/>
  <c r="W52" i="38"/>
  <c r="W59" i="38"/>
  <c r="W73" i="38"/>
  <c r="CB3" i="38"/>
  <c r="CB32" i="38" s="1"/>
  <c r="AJ3" i="38"/>
  <c r="AJ32" i="38" s="1"/>
  <c r="DE76" i="38"/>
  <c r="DE62" i="38"/>
  <c r="W61" i="38"/>
  <c r="W75" i="38"/>
  <c r="CB5" i="38"/>
  <c r="AJ5" i="38"/>
  <c r="BM69" i="38"/>
  <c r="BM55" i="38"/>
  <c r="W56" i="38"/>
  <c r="W70" i="38"/>
  <c r="AJ9" i="38"/>
  <c r="CB9" i="38"/>
  <c r="AJ18" i="38"/>
  <c r="CB18" i="38"/>
  <c r="CB23" i="38"/>
  <c r="CB49" i="38" s="1"/>
  <c r="AJ23" i="38"/>
  <c r="AJ49" i="38" s="1"/>
  <c r="CB12" i="38"/>
  <c r="AJ12" i="38"/>
  <c r="DE61" i="38"/>
  <c r="DE75" i="38"/>
  <c r="CB20" i="38"/>
  <c r="AJ20" i="38"/>
  <c r="CB29" i="38"/>
  <c r="AJ29" i="38"/>
  <c r="CB22" i="38"/>
  <c r="CB37" i="38" s="1"/>
  <c r="AJ22" i="38"/>
  <c r="AJ37" i="38" s="1"/>
  <c r="BX9" i="18"/>
  <c r="AF9" i="18"/>
  <c r="BX10" i="18"/>
  <c r="BX46" i="18" s="1"/>
  <c r="AF10" i="18"/>
  <c r="AF46" i="18" s="1"/>
  <c r="AF45" i="18" s="1"/>
  <c r="BX26" i="18"/>
  <c r="BX36" i="18" s="1"/>
  <c r="AF26" i="18"/>
  <c r="AF36" i="18" s="1"/>
  <c r="BX11" i="18"/>
  <c r="BX39" i="18" s="1"/>
  <c r="AF11" i="18"/>
  <c r="AF39" i="18" s="1"/>
  <c r="BX17" i="18"/>
  <c r="AF17" i="18"/>
  <c r="BX23" i="18"/>
  <c r="BX49" i="18" s="1"/>
  <c r="AF23" i="18"/>
  <c r="AF49" i="18" s="1"/>
  <c r="BX16" i="18"/>
  <c r="AF16" i="18"/>
  <c r="DA59" i="38"/>
  <c r="DA73" i="38"/>
  <c r="DA68" i="38"/>
  <c r="DA54" i="38"/>
  <c r="BI58" i="38"/>
  <c r="BI72" i="38"/>
  <c r="BX15" i="38"/>
  <c r="BX44" i="38" s="1"/>
  <c r="AF15" i="38"/>
  <c r="AF44" i="38" s="1"/>
  <c r="BX3" i="38"/>
  <c r="BX32" i="38" s="1"/>
  <c r="AF3" i="38"/>
  <c r="AF32" i="38" s="1"/>
  <c r="BX30" i="38"/>
  <c r="BX35" i="38" s="1"/>
  <c r="AF30" i="38"/>
  <c r="AF35" i="38" s="1"/>
  <c r="BX6" i="38"/>
  <c r="BX47" i="38" s="1"/>
  <c r="AF6" i="38"/>
  <c r="AF47" i="38" s="1"/>
  <c r="DA60" i="38"/>
  <c r="DA74" i="38"/>
  <c r="DA51" i="38"/>
  <c r="DA65" i="38"/>
  <c r="BX4" i="38"/>
  <c r="BX40" i="38" s="1"/>
  <c r="AF4" i="38"/>
  <c r="AF40" i="38" s="1"/>
  <c r="BX9" i="38"/>
  <c r="AF9" i="38"/>
  <c r="DA55" i="38"/>
  <c r="DA69" i="38"/>
  <c r="BX23" i="38"/>
  <c r="BX49" i="38" s="1"/>
  <c r="AF23" i="38"/>
  <c r="AF49" i="38" s="1"/>
  <c r="BI50" i="38"/>
  <c r="BI64" i="38"/>
  <c r="DA71" i="38"/>
  <c r="DA57" i="38"/>
  <c r="BX10" i="38"/>
  <c r="BX46" i="38" s="1"/>
  <c r="AF10" i="38"/>
  <c r="AF46" i="38" s="1"/>
  <c r="AF45" i="38" s="1"/>
  <c r="BI75" i="38"/>
  <c r="BI61" i="38"/>
  <c r="BX22" i="38"/>
  <c r="BX37" i="38" s="1"/>
  <c r="AF22" i="38"/>
  <c r="AF37" i="38" s="1"/>
  <c r="BW6" i="18"/>
  <c r="BW47" i="18" s="1"/>
  <c r="AE6" i="18"/>
  <c r="AE47" i="18" s="1"/>
  <c r="BW11" i="18"/>
  <c r="BW39" i="18" s="1"/>
  <c r="AE11" i="18"/>
  <c r="AE39" i="18" s="1"/>
  <c r="BW27" i="18"/>
  <c r="AE27" i="18"/>
  <c r="BW12" i="18"/>
  <c r="AE12" i="18"/>
  <c r="BW26" i="18"/>
  <c r="BW36" i="18" s="1"/>
  <c r="AE26" i="18"/>
  <c r="AE36" i="18" s="1"/>
  <c r="BW16" i="18"/>
  <c r="AE16" i="18"/>
  <c r="BW13" i="18"/>
  <c r="BW33" i="18" s="1"/>
  <c r="AE13" i="18"/>
  <c r="AE33" i="18" s="1"/>
  <c r="BW29" i="18"/>
  <c r="AE29" i="18"/>
  <c r="R61" i="38"/>
  <c r="R75" i="38"/>
  <c r="R72" i="38"/>
  <c r="R58" i="38"/>
  <c r="CZ57" i="38"/>
  <c r="CZ71" i="38"/>
  <c r="BW5" i="38"/>
  <c r="AE5" i="38"/>
  <c r="BH53" i="38"/>
  <c r="BH67" i="38"/>
  <c r="CZ68" i="38"/>
  <c r="CZ54" i="38"/>
  <c r="BW25" i="38"/>
  <c r="AE25" i="38"/>
  <c r="AE4" i="38"/>
  <c r="AE40" i="38" s="1"/>
  <c r="BW4" i="38"/>
  <c r="BW40" i="38" s="1"/>
  <c r="BW9" i="38"/>
  <c r="AE9" i="38"/>
  <c r="BW26" i="38"/>
  <c r="BW36" i="38" s="1"/>
  <c r="AE26" i="38"/>
  <c r="AE36" i="38" s="1"/>
  <c r="BH60" i="38"/>
  <c r="BH74" i="38"/>
  <c r="BW15" i="38"/>
  <c r="BW44" i="38" s="1"/>
  <c r="AE15" i="38"/>
  <c r="AE44" i="38" s="1"/>
  <c r="BH66" i="38"/>
  <c r="BH52" i="38"/>
  <c r="BH65" i="38"/>
  <c r="BH51" i="38"/>
  <c r="CZ67" i="38"/>
  <c r="CZ53" i="38"/>
  <c r="BW11" i="38"/>
  <c r="BW39" i="38" s="1"/>
  <c r="AE11" i="38"/>
  <c r="AE39" i="38" s="1"/>
  <c r="BW18" i="38"/>
  <c r="AE18" i="38"/>
  <c r="CZ50" i="38"/>
  <c r="CZ64" i="38"/>
  <c r="BW29" i="38"/>
  <c r="AE29" i="38"/>
  <c r="BH71" i="38"/>
  <c r="BH57" i="38"/>
  <c r="BX30" i="30"/>
  <c r="BX35" i="30" s="1"/>
  <c r="BX28" i="30"/>
  <c r="BX43" i="30" s="1"/>
  <c r="BX26" i="30"/>
  <c r="BX36" i="30" s="1"/>
  <c r="BX24" i="30"/>
  <c r="BX22" i="30"/>
  <c r="BX37" i="30" s="1"/>
  <c r="BX20" i="30"/>
  <c r="BX18" i="30"/>
  <c r="BX16" i="30"/>
  <c r="BX14" i="30"/>
  <c r="BX34" i="30" s="1"/>
  <c r="BX3" i="42"/>
  <c r="BX32" i="42" s="1"/>
  <c r="BX3" i="43"/>
  <c r="BX32" i="43" s="1"/>
  <c r="BX7" i="42"/>
  <c r="BX7" i="43"/>
  <c r="BX11" i="42"/>
  <c r="BX39" i="42" s="1"/>
  <c r="BX11" i="43"/>
  <c r="BX39" i="43" s="1"/>
  <c r="BX15" i="42"/>
  <c r="BX44" i="42" s="1"/>
  <c r="BX15" i="43"/>
  <c r="BX44" i="43" s="1"/>
  <c r="BX19" i="42"/>
  <c r="BX42" i="42" s="1"/>
  <c r="BX19" i="43"/>
  <c r="BX42" i="43" s="1"/>
  <c r="BX23" i="42"/>
  <c r="BX49" i="42" s="1"/>
  <c r="BX23" i="43"/>
  <c r="BX49" i="43" s="1"/>
  <c r="BX27" i="42"/>
  <c r="BX27" i="43"/>
  <c r="BQ29" i="30"/>
  <c r="BQ27" i="30"/>
  <c r="BQ25" i="30"/>
  <c r="BQ23" i="30"/>
  <c r="BQ49" i="30" s="1"/>
  <c r="BQ21" i="30"/>
  <c r="BQ19" i="30"/>
  <c r="BQ42" i="30" s="1"/>
  <c r="BQ17" i="30"/>
  <c r="BQ15" i="30"/>
  <c r="BQ44" i="30" s="1"/>
  <c r="BQ13" i="30"/>
  <c r="BQ33" i="30" s="1"/>
  <c r="BQ5" i="42"/>
  <c r="BQ5" i="43"/>
  <c r="BQ9" i="42"/>
  <c r="BQ9" i="43"/>
  <c r="BQ13" i="42"/>
  <c r="BQ33" i="42" s="1"/>
  <c r="BQ13" i="43"/>
  <c r="BQ33" i="43" s="1"/>
  <c r="BQ17" i="42"/>
  <c r="BQ17" i="43"/>
  <c r="BQ21" i="42"/>
  <c r="BQ21" i="43"/>
  <c r="BQ25" i="42"/>
  <c r="BQ25" i="43"/>
  <c r="BQ29" i="42"/>
  <c r="BQ29" i="43"/>
  <c r="BM9" i="30"/>
  <c r="BM29" i="30"/>
  <c r="BM27" i="30"/>
  <c r="BM25" i="30"/>
  <c r="BM23" i="30"/>
  <c r="BM49" i="30" s="1"/>
  <c r="BM21" i="30"/>
  <c r="BM19" i="30"/>
  <c r="BM42" i="30" s="1"/>
  <c r="BM17" i="30"/>
  <c r="BM15" i="30"/>
  <c r="BM44" i="30" s="1"/>
  <c r="BM13" i="30"/>
  <c r="BM33" i="30" s="1"/>
  <c r="BM10" i="30"/>
  <c r="BM46" i="30" s="1"/>
  <c r="BM6" i="30"/>
  <c r="BM47" i="30" s="1"/>
  <c r="BM5" i="30"/>
  <c r="BM3" i="30"/>
  <c r="BM32" i="30" s="1"/>
  <c r="BM31" i="30" s="1"/>
  <c r="BM5" i="42"/>
  <c r="BM5" i="43"/>
  <c r="BM9" i="42"/>
  <c r="BM9" i="43"/>
  <c r="BM13" i="42"/>
  <c r="BM33" i="42" s="1"/>
  <c r="BM13" i="43"/>
  <c r="BM33" i="43" s="1"/>
  <c r="BM17" i="42"/>
  <c r="BM17" i="43"/>
  <c r="BM21" i="42"/>
  <c r="BM21" i="43"/>
  <c r="BM25" i="42"/>
  <c r="BM25" i="43"/>
  <c r="BM29" i="42"/>
  <c r="BM29" i="43"/>
  <c r="BI30" i="30"/>
  <c r="BI35" i="30" s="1"/>
  <c r="BI28" i="30"/>
  <c r="BI43" i="30" s="1"/>
  <c r="BI26" i="30"/>
  <c r="BI36" i="30" s="1"/>
  <c r="BI24" i="30"/>
  <c r="BI22" i="30"/>
  <c r="BI37" i="30" s="1"/>
  <c r="BI20" i="30"/>
  <c r="BI18" i="30"/>
  <c r="BI16" i="30"/>
  <c r="BI14" i="30"/>
  <c r="BI34" i="30" s="1"/>
  <c r="BI9" i="30"/>
  <c r="BI3" i="42"/>
  <c r="BI32" i="42" s="1"/>
  <c r="BI3" i="43"/>
  <c r="BI32" i="43" s="1"/>
  <c r="BI7" i="42"/>
  <c r="BI7" i="43"/>
  <c r="BI11" i="42"/>
  <c r="BI39" i="42" s="1"/>
  <c r="BI11" i="43"/>
  <c r="BI39" i="43" s="1"/>
  <c r="BI15" i="42"/>
  <c r="BI44" i="42" s="1"/>
  <c r="BI15" i="43"/>
  <c r="BI44" i="43" s="1"/>
  <c r="BI19" i="42"/>
  <c r="BI42" i="42" s="1"/>
  <c r="BI19" i="43"/>
  <c r="BI42" i="43" s="1"/>
  <c r="BI23" i="42"/>
  <c r="BI49" i="42" s="1"/>
  <c r="BI23" i="43"/>
  <c r="BI49" i="43" s="1"/>
  <c r="BI27" i="42"/>
  <c r="BI27" i="43"/>
  <c r="BF4" i="42"/>
  <c r="BF40" i="42" s="1"/>
  <c r="BF4" i="43"/>
  <c r="BF40" i="43" s="1"/>
  <c r="BF12" i="42"/>
  <c r="BF12" i="43"/>
  <c r="BF20" i="42"/>
  <c r="BF20" i="43"/>
  <c r="BF28" i="42"/>
  <c r="BF43" i="42" s="1"/>
  <c r="BF28" i="43"/>
  <c r="BF43" i="43" s="1"/>
  <c r="BF3" i="30"/>
  <c r="BF32" i="30" s="1"/>
  <c r="BF3" i="42"/>
  <c r="BF32" i="42" s="1"/>
  <c r="BF3" i="43"/>
  <c r="BF32" i="43" s="1"/>
  <c r="BF11" i="42"/>
  <c r="BF39" i="42" s="1"/>
  <c r="BF11" i="43"/>
  <c r="BF39" i="43" s="1"/>
  <c r="BF19" i="42"/>
  <c r="BF42" i="42" s="1"/>
  <c r="BF19" i="43"/>
  <c r="BF42" i="43" s="1"/>
  <c r="BF27" i="42"/>
  <c r="BF27" i="43"/>
  <c r="BE12" i="18"/>
  <c r="BE4" i="18"/>
  <c r="CW2" i="38"/>
  <c r="CW21" i="38"/>
  <c r="CW30" i="38"/>
  <c r="CW26" i="38"/>
  <c r="CW25" i="38"/>
  <c r="CW17" i="38"/>
  <c r="C5" i="18"/>
  <c r="BB5" i="30"/>
  <c r="C3" i="18"/>
  <c r="C32" i="18" s="1"/>
  <c r="BB3" i="30"/>
  <c r="C30" i="18"/>
  <c r="C35" i="18" s="1"/>
  <c r="BB30" i="30"/>
  <c r="C28" i="18"/>
  <c r="C43" i="18" s="1"/>
  <c r="BB28" i="30"/>
  <c r="C26" i="18"/>
  <c r="C36" i="18" s="1"/>
  <c r="BB26" i="30"/>
  <c r="C24" i="18"/>
  <c r="BB24" i="30"/>
  <c r="C22" i="18"/>
  <c r="C37" i="18" s="1"/>
  <c r="BB22" i="30"/>
  <c r="C20" i="18"/>
  <c r="BB20" i="30"/>
  <c r="C18" i="18"/>
  <c r="BB18" i="30"/>
  <c r="C16" i="18"/>
  <c r="BB16" i="30"/>
  <c r="C14" i="18"/>
  <c r="C34" i="18" s="1"/>
  <c r="BB14" i="30"/>
  <c r="C12" i="18"/>
  <c r="BB12" i="30"/>
  <c r="C8" i="18"/>
  <c r="C41" i="18" s="1"/>
  <c r="BB8" i="30"/>
  <c r="C4" i="18"/>
  <c r="C40" i="18" s="1"/>
  <c r="BB4" i="30"/>
  <c r="N2" i="38"/>
  <c r="N16" i="38"/>
  <c r="N20" i="38"/>
  <c r="N25" i="38"/>
  <c r="N9" i="38"/>
  <c r="BB2" i="42"/>
  <c r="C2" i="38"/>
  <c r="C38" i="38" s="1"/>
  <c r="BB2" i="43"/>
  <c r="BB6" i="42"/>
  <c r="C6" i="38"/>
  <c r="C47" i="38" s="1"/>
  <c r="BB6" i="43"/>
  <c r="BB10" i="42"/>
  <c r="C10" i="38"/>
  <c r="C46" i="38" s="1"/>
  <c r="BB10" i="43"/>
  <c r="BB14" i="42"/>
  <c r="C14" i="38"/>
  <c r="C34" i="38" s="1"/>
  <c r="BB14" i="43"/>
  <c r="BB18" i="42"/>
  <c r="C18" i="38"/>
  <c r="BB18" i="43"/>
  <c r="C22" i="38"/>
  <c r="C37" i="38" s="1"/>
  <c r="BB22" i="42"/>
  <c r="BB22" i="43"/>
  <c r="BB26" i="42"/>
  <c r="C26" i="38"/>
  <c r="C36" i="38" s="1"/>
  <c r="BB26" i="43"/>
  <c r="BB30" i="42"/>
  <c r="C30" i="38"/>
  <c r="C35" i="38" s="1"/>
  <c r="BB30" i="43"/>
  <c r="N6" i="38"/>
  <c r="BE3" i="38"/>
  <c r="BE7" i="38"/>
  <c r="BE11" i="38"/>
  <c r="BE15" i="38"/>
  <c r="BE19" i="38"/>
  <c r="BE23" i="38"/>
  <c r="BE27" i="38"/>
  <c r="R11" i="30"/>
  <c r="R39" i="30" s="1"/>
  <c r="R6" i="30"/>
  <c r="R47" i="30" s="1"/>
  <c r="R28" i="30"/>
  <c r="R43" i="30" s="1"/>
  <c r="R24" i="30"/>
  <c r="R20" i="30"/>
  <c r="R16" i="30"/>
  <c r="R3" i="30"/>
  <c r="R32" i="30" s="1"/>
  <c r="R5" i="42"/>
  <c r="R5" i="43"/>
  <c r="R9" i="42"/>
  <c r="R9" i="43"/>
  <c r="R13" i="42"/>
  <c r="R33" i="42" s="1"/>
  <c r="R13" i="43"/>
  <c r="R33" i="43" s="1"/>
  <c r="R17" i="42"/>
  <c r="R17" i="43"/>
  <c r="R21" i="42"/>
  <c r="R21" i="43"/>
  <c r="R25" i="42"/>
  <c r="R25" i="43"/>
  <c r="R29" i="42"/>
  <c r="R29" i="43"/>
  <c r="AA9" i="30"/>
  <c r="AA28" i="30"/>
  <c r="AA43" i="30" s="1"/>
  <c r="AA24" i="30"/>
  <c r="AA20" i="30"/>
  <c r="AA16" i="30"/>
  <c r="AA12" i="30"/>
  <c r="AA5" i="30"/>
  <c r="AA2" i="42"/>
  <c r="AA38" i="42" s="1"/>
  <c r="AA2" i="43"/>
  <c r="AA38" i="43" s="1"/>
  <c r="AA6" i="42"/>
  <c r="AA47" i="42" s="1"/>
  <c r="AA6" i="43"/>
  <c r="AA47" i="43" s="1"/>
  <c r="AA10" i="42"/>
  <c r="AA46" i="42" s="1"/>
  <c r="AA45" i="42" s="1"/>
  <c r="AA10" i="43"/>
  <c r="AA46" i="43" s="1"/>
  <c r="AA14" i="42"/>
  <c r="AA34" i="42" s="1"/>
  <c r="AA14" i="43"/>
  <c r="AA34" i="43" s="1"/>
  <c r="AA18" i="42"/>
  <c r="AA18" i="43"/>
  <c r="AA22" i="42"/>
  <c r="AA37" i="42" s="1"/>
  <c r="AA22" i="43"/>
  <c r="AA37" i="43" s="1"/>
  <c r="AA26" i="42"/>
  <c r="AA36" i="42" s="1"/>
  <c r="AA26" i="43"/>
  <c r="AA36" i="43" s="1"/>
  <c r="AA30" i="42"/>
  <c r="AA35" i="42" s="1"/>
  <c r="AA30" i="43"/>
  <c r="AA35" i="43" s="1"/>
  <c r="F5" i="37"/>
  <c r="F13" i="37"/>
  <c r="F33" i="37" s="1"/>
  <c r="F21" i="37"/>
  <c r="F2" i="37"/>
  <c r="F38" i="37" s="1"/>
  <c r="F10" i="37"/>
  <c r="F46" i="37" s="1"/>
  <c r="F45" i="37" s="1"/>
  <c r="F18" i="37"/>
  <c r="F27" i="37"/>
  <c r="G67" i="16"/>
  <c r="G53" i="16"/>
  <c r="G69" i="16"/>
  <c r="G55" i="16"/>
  <c r="F5" i="16"/>
  <c r="G62" i="16"/>
  <c r="G76" i="16"/>
  <c r="G75" i="16"/>
  <c r="G61" i="16"/>
  <c r="F8" i="16"/>
  <c r="F41" i="16" s="1"/>
  <c r="F21" i="16"/>
  <c r="F10" i="16"/>
  <c r="F46" i="16" s="1"/>
  <c r="F45" i="16" s="1"/>
  <c r="F26" i="16"/>
  <c r="F36" i="16" s="1"/>
  <c r="F9" i="16"/>
  <c r="F25" i="16"/>
  <c r="CA19" i="18"/>
  <c r="CA42" i="18" s="1"/>
  <c r="AI19" i="18"/>
  <c r="AI42" i="18" s="1"/>
  <c r="CA12" i="18"/>
  <c r="AI12" i="18"/>
  <c r="CA28" i="18"/>
  <c r="CA43" i="18" s="1"/>
  <c r="AI28" i="18"/>
  <c r="AI43" i="18" s="1"/>
  <c r="CA3" i="18"/>
  <c r="CA32" i="18" s="1"/>
  <c r="AI3" i="18"/>
  <c r="AI32" i="18" s="1"/>
  <c r="CA9" i="18"/>
  <c r="AI9" i="18"/>
  <c r="CA6" i="18"/>
  <c r="CA47" i="18" s="1"/>
  <c r="AI6" i="18"/>
  <c r="AI47" i="18" s="1"/>
  <c r="CA22" i="18"/>
  <c r="CA37" i="18" s="1"/>
  <c r="AI22" i="18"/>
  <c r="AI37" i="18" s="1"/>
  <c r="BL73" i="38"/>
  <c r="BL59" i="38"/>
  <c r="DD74" i="38"/>
  <c r="DD60" i="38"/>
  <c r="BL64" i="38"/>
  <c r="BL50" i="38"/>
  <c r="U69" i="38"/>
  <c r="U55" i="38"/>
  <c r="CA9" i="38"/>
  <c r="AI9" i="38"/>
  <c r="CA21" i="38"/>
  <c r="AI21" i="38"/>
  <c r="U52" i="38"/>
  <c r="U66" i="38"/>
  <c r="BL65" i="38"/>
  <c r="BL51" i="38"/>
  <c r="U61" i="38"/>
  <c r="U75" i="38"/>
  <c r="CA20" i="38"/>
  <c r="AI20" i="38"/>
  <c r="DD52" i="38"/>
  <c r="DD66" i="38"/>
  <c r="DD50" i="38"/>
  <c r="DD64" i="38"/>
  <c r="DD67" i="38"/>
  <c r="DD53" i="38"/>
  <c r="CA8" i="38"/>
  <c r="CA41" i="38" s="1"/>
  <c r="AI8" i="38"/>
  <c r="AI41" i="38" s="1"/>
  <c r="DD65" i="38"/>
  <c r="DD51" i="38"/>
  <c r="CA27" i="38"/>
  <c r="AI27" i="38"/>
  <c r="BV30" i="30"/>
  <c r="BV35" i="30" s="1"/>
  <c r="BV28" i="30"/>
  <c r="BV43" i="30" s="1"/>
  <c r="BV26" i="30"/>
  <c r="BV36" i="30" s="1"/>
  <c r="BV24" i="30"/>
  <c r="BV22" i="30"/>
  <c r="BV37" i="30" s="1"/>
  <c r="BV20" i="30"/>
  <c r="BV18" i="30"/>
  <c r="BV16" i="30"/>
  <c r="BV14" i="30"/>
  <c r="BV34" i="30" s="1"/>
  <c r="BV11" i="30"/>
  <c r="BV39" i="30" s="1"/>
  <c r="BV7" i="30"/>
  <c r="BV7" i="42"/>
  <c r="BV7" i="43"/>
  <c r="BV15" i="42"/>
  <c r="BV44" i="42" s="1"/>
  <c r="BV15" i="43"/>
  <c r="BV44" i="43" s="1"/>
  <c r="BV23" i="42"/>
  <c r="BV49" i="42" s="1"/>
  <c r="BV23" i="43"/>
  <c r="BV49" i="43" s="1"/>
  <c r="BV5" i="30"/>
  <c r="BV8" i="42"/>
  <c r="BV41" i="42" s="1"/>
  <c r="BV8" i="43"/>
  <c r="BV41" i="43" s="1"/>
  <c r="BV16" i="42"/>
  <c r="BV16" i="43"/>
  <c r="BV24" i="42"/>
  <c r="BV24" i="43"/>
  <c r="BO21" i="30"/>
  <c r="BO15" i="30"/>
  <c r="BO44" i="30" s="1"/>
  <c r="BO30" i="30"/>
  <c r="BO35" i="30" s="1"/>
  <c r="BO26" i="30"/>
  <c r="BO36" i="30" s="1"/>
  <c r="BO22" i="30"/>
  <c r="BO37" i="30" s="1"/>
  <c r="BO18" i="30"/>
  <c r="BO14" i="30"/>
  <c r="BO34" i="30" s="1"/>
  <c r="BO11" i="30"/>
  <c r="BO39" i="30" s="1"/>
  <c r="BO9" i="30"/>
  <c r="BO7" i="30"/>
  <c r="BO5" i="30"/>
  <c r="BO3" i="30"/>
  <c r="BO32" i="30" s="1"/>
  <c r="BO2" i="42"/>
  <c r="BO38" i="42" s="1"/>
  <c r="BO2" i="43"/>
  <c r="BO38" i="43" s="1"/>
  <c r="BO6" i="42"/>
  <c r="BO47" i="42" s="1"/>
  <c r="BO6" i="43"/>
  <c r="BO47" i="43" s="1"/>
  <c r="BO10" i="42"/>
  <c r="BO46" i="42" s="1"/>
  <c r="BO45" i="42" s="1"/>
  <c r="BO10" i="43"/>
  <c r="BO46" i="43" s="1"/>
  <c r="BO14" i="42"/>
  <c r="BO34" i="42" s="1"/>
  <c r="BO14" i="43"/>
  <c r="BO34" i="43" s="1"/>
  <c r="BO18" i="42"/>
  <c r="BO18" i="43"/>
  <c r="BO22" i="42"/>
  <c r="BO37" i="42" s="1"/>
  <c r="BO22" i="43"/>
  <c r="BO37" i="43" s="1"/>
  <c r="BO26" i="42"/>
  <c r="BO36" i="42" s="1"/>
  <c r="BO26" i="43"/>
  <c r="BO36" i="43" s="1"/>
  <c r="BO30" i="42"/>
  <c r="BO35" i="42" s="1"/>
  <c r="BO30" i="43"/>
  <c r="BO35" i="43" s="1"/>
  <c r="BH11" i="30"/>
  <c r="BH39" i="30" s="1"/>
  <c r="BH7" i="30"/>
  <c r="BH10" i="30"/>
  <c r="BH46" i="30" s="1"/>
  <c r="BH6" i="30"/>
  <c r="BH47" i="30" s="1"/>
  <c r="BH30" i="30"/>
  <c r="BH35" i="30" s="1"/>
  <c r="BH28" i="30"/>
  <c r="BH43" i="30" s="1"/>
  <c r="BH26" i="30"/>
  <c r="BH36" i="30" s="1"/>
  <c r="BH24" i="30"/>
  <c r="BH22" i="30"/>
  <c r="BH37" i="30" s="1"/>
  <c r="BH20" i="30"/>
  <c r="BH18" i="30"/>
  <c r="BH16" i="30"/>
  <c r="BH14" i="30"/>
  <c r="BH34" i="30" s="1"/>
  <c r="BH5" i="42"/>
  <c r="BH5" i="43"/>
  <c r="BH9" i="42"/>
  <c r="BH9" i="43"/>
  <c r="BH13" i="42"/>
  <c r="BH33" i="42" s="1"/>
  <c r="BH13" i="43"/>
  <c r="BH33" i="43" s="1"/>
  <c r="BH17" i="42"/>
  <c r="BH17" i="43"/>
  <c r="BH21" i="42"/>
  <c r="BH21" i="43"/>
  <c r="BH25" i="42"/>
  <c r="BH25" i="43"/>
  <c r="BH29" i="42"/>
  <c r="BH29" i="43"/>
  <c r="H38" i="16"/>
  <c r="J38" i="16" s="1"/>
  <c r="H34" i="16"/>
  <c r="E46" i="45"/>
  <c r="E45" i="45" s="1"/>
  <c r="C45" i="45"/>
  <c r="Z10" i="30"/>
  <c r="Z46" i="30" s="1"/>
  <c r="Z30" i="30"/>
  <c r="Z35" i="30" s="1"/>
  <c r="Z26" i="30"/>
  <c r="Z36" i="30" s="1"/>
  <c r="Z22" i="30"/>
  <c r="Z37" i="30" s="1"/>
  <c r="Z18" i="30"/>
  <c r="Z14" i="30"/>
  <c r="Z34" i="30" s="1"/>
  <c r="Z3" i="30"/>
  <c r="Z32" i="30" s="1"/>
  <c r="Z2" i="42"/>
  <c r="Z38" i="42" s="1"/>
  <c r="Z2" i="43"/>
  <c r="Z38" i="43" s="1"/>
  <c r="Z6" i="42"/>
  <c r="Z47" i="42" s="1"/>
  <c r="Z6" i="43"/>
  <c r="Z47" i="43" s="1"/>
  <c r="Z10" i="42"/>
  <c r="Z46" i="42" s="1"/>
  <c r="Z45" i="42" s="1"/>
  <c r="Z10" i="43"/>
  <c r="Z46" i="43" s="1"/>
  <c r="Z14" i="42"/>
  <c r="Z34" i="42" s="1"/>
  <c r="Z14" i="43"/>
  <c r="Z34" i="43" s="1"/>
  <c r="Z18" i="42"/>
  <c r="Z18" i="43"/>
  <c r="Z22" i="42"/>
  <c r="Z37" i="42" s="1"/>
  <c r="Z22" i="43"/>
  <c r="Z37" i="43" s="1"/>
  <c r="Z26" i="42"/>
  <c r="Z36" i="42" s="1"/>
  <c r="Z26" i="43"/>
  <c r="Z36" i="43" s="1"/>
  <c r="Z30" i="42"/>
  <c r="Z35" i="42" s="1"/>
  <c r="Z30" i="43"/>
  <c r="Z35" i="43" s="1"/>
  <c r="S10" i="30"/>
  <c r="S46" i="30" s="1"/>
  <c r="S30" i="30"/>
  <c r="S35" i="30" s="1"/>
  <c r="S26" i="30"/>
  <c r="S36" i="30" s="1"/>
  <c r="S22" i="30"/>
  <c r="S37" i="30" s="1"/>
  <c r="S18" i="30"/>
  <c r="S14" i="30"/>
  <c r="S34" i="30" s="1"/>
  <c r="S7" i="30"/>
  <c r="S5" i="42"/>
  <c r="S5" i="43"/>
  <c r="S9" i="42"/>
  <c r="S9" i="43"/>
  <c r="S13" i="42"/>
  <c r="S33" i="42" s="1"/>
  <c r="S13" i="43"/>
  <c r="S33" i="43" s="1"/>
  <c r="S17" i="42"/>
  <c r="S17" i="43"/>
  <c r="S21" i="42"/>
  <c r="S21" i="43"/>
  <c r="S25" i="42"/>
  <c r="S25" i="43"/>
  <c r="S29" i="42"/>
  <c r="S29" i="43"/>
  <c r="O10" i="30"/>
  <c r="O46" i="30" s="1"/>
  <c r="O29" i="30"/>
  <c r="O25" i="30"/>
  <c r="O21" i="30"/>
  <c r="O17" i="30"/>
  <c r="O13" i="30"/>
  <c r="O33" i="30" s="1"/>
  <c r="O5" i="30"/>
  <c r="O2" i="42"/>
  <c r="O38" i="42" s="1"/>
  <c r="O2" i="43"/>
  <c r="O38" i="43" s="1"/>
  <c r="O6" i="42"/>
  <c r="O47" i="42" s="1"/>
  <c r="O6" i="43"/>
  <c r="O47" i="43" s="1"/>
  <c r="O10" i="42"/>
  <c r="O46" i="42" s="1"/>
  <c r="O10" i="43"/>
  <c r="O46" i="43" s="1"/>
  <c r="O14" i="42"/>
  <c r="O34" i="42" s="1"/>
  <c r="O14" i="43"/>
  <c r="O34" i="43" s="1"/>
  <c r="O18" i="42"/>
  <c r="O18" i="43"/>
  <c r="O22" i="42"/>
  <c r="O37" i="42" s="1"/>
  <c r="O22" i="43"/>
  <c r="O37" i="43" s="1"/>
  <c r="O26" i="42"/>
  <c r="O36" i="42" s="1"/>
  <c r="O26" i="43"/>
  <c r="O36" i="43" s="1"/>
  <c r="O30" i="42"/>
  <c r="O35" i="42" s="1"/>
  <c r="O30" i="43"/>
  <c r="O35" i="43" s="1"/>
  <c r="K11" i="30"/>
  <c r="K39" i="30" s="1"/>
  <c r="K29" i="30"/>
  <c r="K25" i="30"/>
  <c r="K21" i="30"/>
  <c r="K17" i="30"/>
  <c r="K13" i="30"/>
  <c r="K33" i="30" s="1"/>
  <c r="K6" i="30"/>
  <c r="K47" i="30" s="1"/>
  <c r="K5" i="42"/>
  <c r="K5" i="43"/>
  <c r="K9" i="42"/>
  <c r="K9" i="43"/>
  <c r="K13" i="42"/>
  <c r="K33" i="42" s="1"/>
  <c r="K13" i="43"/>
  <c r="K33" i="43" s="1"/>
  <c r="K17" i="42"/>
  <c r="K17" i="43"/>
  <c r="K21" i="42"/>
  <c r="K21" i="43"/>
  <c r="K25" i="42"/>
  <c r="K25" i="43"/>
  <c r="K29" i="42"/>
  <c r="K29" i="43"/>
  <c r="H21" i="42"/>
  <c r="H21" i="43"/>
  <c r="H19" i="42"/>
  <c r="H42" i="42" s="1"/>
  <c r="H19" i="43"/>
  <c r="H42" i="43" s="1"/>
  <c r="H25" i="42"/>
  <c r="H25" i="43"/>
  <c r="H30" i="30"/>
  <c r="H35" i="30" s="1"/>
  <c r="H26" i="30"/>
  <c r="H36" i="30" s="1"/>
  <c r="H22" i="30"/>
  <c r="H37" i="30" s="1"/>
  <c r="H18" i="30"/>
  <c r="H14" i="30"/>
  <c r="H34" i="30" s="1"/>
  <c r="H8" i="30"/>
  <c r="H41" i="30" s="1"/>
  <c r="H4" i="42"/>
  <c r="H40" i="42" s="1"/>
  <c r="H4" i="43"/>
  <c r="H40" i="43" s="1"/>
  <c r="H12" i="42"/>
  <c r="H12" i="43"/>
  <c r="H20" i="42"/>
  <c r="H20" i="43"/>
  <c r="H28" i="42"/>
  <c r="H43" i="42" s="1"/>
  <c r="H28" i="43"/>
  <c r="H43" i="43" s="1"/>
  <c r="H9" i="30"/>
  <c r="AM36" i="32"/>
  <c r="AL26" i="32"/>
  <c r="AL15" i="32"/>
  <c r="AL25" i="32"/>
  <c r="AL4" i="32"/>
  <c r="AL21" i="32"/>
  <c r="AL30" i="32"/>
  <c r="D10" i="30"/>
  <c r="D28" i="30"/>
  <c r="D24" i="30"/>
  <c r="D20" i="30"/>
  <c r="D16" i="30"/>
  <c r="D11" i="30"/>
  <c r="D5" i="30"/>
  <c r="D4" i="42"/>
  <c r="G4" i="32"/>
  <c r="G40" i="32" s="1"/>
  <c r="D4" i="43"/>
  <c r="D8" i="42"/>
  <c r="G8" i="32"/>
  <c r="G41" i="32" s="1"/>
  <c r="D8" i="43"/>
  <c r="G12" i="32"/>
  <c r="D12" i="42"/>
  <c r="D12" i="43"/>
  <c r="D16" i="42"/>
  <c r="G16" i="32"/>
  <c r="D16" i="43"/>
  <c r="D20" i="42"/>
  <c r="G20" i="32"/>
  <c r="D20" i="43"/>
  <c r="D24" i="42"/>
  <c r="G24" i="32"/>
  <c r="D24" i="43"/>
  <c r="D28" i="42"/>
  <c r="G28" i="32"/>
  <c r="G43" i="32" s="1"/>
  <c r="D28" i="43"/>
  <c r="L8" i="32"/>
  <c r="L16" i="32"/>
  <c r="L11" i="32"/>
  <c r="L19" i="32"/>
  <c r="L23" i="32"/>
  <c r="L27" i="32"/>
  <c r="J72" i="32"/>
  <c r="J58" i="32"/>
  <c r="J73" i="32"/>
  <c r="J59" i="32"/>
  <c r="AJ73" i="32"/>
  <c r="AJ59" i="32"/>
  <c r="J70" i="32"/>
  <c r="J56" i="32"/>
  <c r="AA76" i="32"/>
  <c r="AA62" i="32"/>
  <c r="AA65" i="32"/>
  <c r="AA51" i="32"/>
  <c r="AA69" i="32"/>
  <c r="AA55" i="32"/>
  <c r="AA53" i="32"/>
  <c r="AC53" i="32" s="1"/>
  <c r="AA67" i="32"/>
  <c r="AC67" i="32" s="1"/>
  <c r="J75" i="32"/>
  <c r="J61" i="32"/>
  <c r="J69" i="32"/>
  <c r="J55" i="32"/>
  <c r="D67" i="32"/>
  <c r="D53" i="32"/>
  <c r="D68" i="32"/>
  <c r="D54" i="32"/>
  <c r="D33" i="32"/>
  <c r="D66" i="32"/>
  <c r="D52" i="32"/>
  <c r="D65" i="32"/>
  <c r="D51" i="32"/>
  <c r="D69" i="32"/>
  <c r="D55" i="32"/>
  <c r="D62" i="32"/>
  <c r="D76" i="32"/>
  <c r="AJ71" i="32"/>
  <c r="AJ57" i="32"/>
  <c r="Z9" i="32"/>
  <c r="Z17" i="32"/>
  <c r="Z21" i="32"/>
  <c r="Z25" i="32"/>
  <c r="Z29" i="32"/>
  <c r="AQ55" i="16"/>
  <c r="AQ69" i="16"/>
  <c r="AN60" i="16"/>
  <c r="AN74" i="16"/>
  <c r="AN73" i="16"/>
  <c r="AN59" i="16"/>
  <c r="AN75" i="16"/>
  <c r="AN61" i="16"/>
  <c r="AQ76" i="16"/>
  <c r="AQ62" i="16"/>
  <c r="C48" i="45"/>
  <c r="E49" i="45"/>
  <c r="E48" i="45" s="1"/>
  <c r="W11" i="30"/>
  <c r="W39" i="30" s="1"/>
  <c r="W27" i="30"/>
  <c r="W23" i="30"/>
  <c r="W49" i="30" s="1"/>
  <c r="W19" i="30"/>
  <c r="W42" i="30" s="1"/>
  <c r="W15" i="30"/>
  <c r="W44" i="30" s="1"/>
  <c r="W10" i="30"/>
  <c r="W46" i="30" s="1"/>
  <c r="W45" i="30" s="1"/>
  <c r="W4" i="30"/>
  <c r="W40" i="30" s="1"/>
  <c r="W3" i="42"/>
  <c r="W32" i="42" s="1"/>
  <c r="W3" i="43"/>
  <c r="W32" i="43" s="1"/>
  <c r="W7" i="42"/>
  <c r="W7" i="43"/>
  <c r="W11" i="42"/>
  <c r="W39" i="42" s="1"/>
  <c r="W11" i="43"/>
  <c r="W39" i="43" s="1"/>
  <c r="W15" i="42"/>
  <c r="W44" i="42" s="1"/>
  <c r="W15" i="43"/>
  <c r="W44" i="43" s="1"/>
  <c r="W19" i="42"/>
  <c r="W42" i="42" s="1"/>
  <c r="W19" i="43"/>
  <c r="W42" i="43" s="1"/>
  <c r="W23" i="42"/>
  <c r="W49" i="42" s="1"/>
  <c r="W23" i="43"/>
  <c r="W49" i="43" s="1"/>
  <c r="W27" i="42"/>
  <c r="W27" i="43"/>
  <c r="T6" i="30"/>
  <c r="T47" i="30" s="1"/>
  <c r="T27" i="30"/>
  <c r="T23" i="30"/>
  <c r="T49" i="30" s="1"/>
  <c r="T19" i="30"/>
  <c r="T42" i="30" s="1"/>
  <c r="T15" i="30"/>
  <c r="T44" i="30" s="1"/>
  <c r="T9" i="30"/>
  <c r="T2" i="42"/>
  <c r="T38" i="42" s="1"/>
  <c r="T2" i="43"/>
  <c r="T38" i="43" s="1"/>
  <c r="T6" i="42"/>
  <c r="T47" i="42" s="1"/>
  <c r="T6" i="43"/>
  <c r="T47" i="43" s="1"/>
  <c r="T10" i="42"/>
  <c r="T46" i="42" s="1"/>
  <c r="T45" i="42" s="1"/>
  <c r="T10" i="43"/>
  <c r="T46" i="43" s="1"/>
  <c r="T14" i="42"/>
  <c r="T34" i="42" s="1"/>
  <c r="T14" i="43"/>
  <c r="T34" i="43" s="1"/>
  <c r="T18" i="42"/>
  <c r="T18" i="43"/>
  <c r="T22" i="42"/>
  <c r="T37" i="42" s="1"/>
  <c r="T22" i="43"/>
  <c r="T37" i="43" s="1"/>
  <c r="T26" i="42"/>
  <c r="T36" i="42" s="1"/>
  <c r="T26" i="43"/>
  <c r="T36" i="43" s="1"/>
  <c r="T30" i="42"/>
  <c r="T35" i="42" s="1"/>
  <c r="T30" i="43"/>
  <c r="T35" i="43" s="1"/>
  <c r="P30" i="30"/>
  <c r="P35" i="30" s="1"/>
  <c r="P26" i="30"/>
  <c r="P36" i="30" s="1"/>
  <c r="P22" i="30"/>
  <c r="P37" i="30" s="1"/>
  <c r="P18" i="30"/>
  <c r="P14" i="30"/>
  <c r="P34" i="30" s="1"/>
  <c r="P7" i="30"/>
  <c r="P5" i="42"/>
  <c r="P5" i="43"/>
  <c r="P13" i="42"/>
  <c r="P33" i="42" s="1"/>
  <c r="P13" i="43"/>
  <c r="P33" i="43" s="1"/>
  <c r="P21" i="42"/>
  <c r="P21" i="43"/>
  <c r="P29" i="42"/>
  <c r="P29" i="43"/>
  <c r="P6" i="30"/>
  <c r="P47" i="30" s="1"/>
  <c r="P4" i="42"/>
  <c r="P40" i="42" s="1"/>
  <c r="P4" i="43"/>
  <c r="P40" i="43" s="1"/>
  <c r="P12" i="42"/>
  <c r="P12" i="43"/>
  <c r="P20" i="42"/>
  <c r="P20" i="43"/>
  <c r="P28" i="42"/>
  <c r="P43" i="42" s="1"/>
  <c r="P28" i="43"/>
  <c r="P43" i="43" s="1"/>
  <c r="L9" i="30"/>
  <c r="L28" i="30"/>
  <c r="L43" i="30" s="1"/>
  <c r="L24" i="30"/>
  <c r="L20" i="30"/>
  <c r="L16" i="30"/>
  <c r="L12" i="30"/>
  <c r="L4" i="30"/>
  <c r="L40" i="30" s="1"/>
  <c r="L4" i="42"/>
  <c r="L40" i="42" s="1"/>
  <c r="L4" i="43"/>
  <c r="L40" i="43" s="1"/>
  <c r="L8" i="42"/>
  <c r="L41" i="42" s="1"/>
  <c r="L8" i="43"/>
  <c r="L41" i="43" s="1"/>
  <c r="L12" i="42"/>
  <c r="L12" i="43"/>
  <c r="L16" i="42"/>
  <c r="L16" i="43"/>
  <c r="L20" i="42"/>
  <c r="L20" i="43"/>
  <c r="L24" i="42"/>
  <c r="L24" i="43"/>
  <c r="L28" i="42"/>
  <c r="L43" i="42" s="1"/>
  <c r="L28" i="43"/>
  <c r="L43" i="43" s="1"/>
  <c r="I23" i="30"/>
  <c r="I49" i="30" s="1"/>
  <c r="I13" i="30"/>
  <c r="I33" i="30" s="1"/>
  <c r="I28" i="30"/>
  <c r="I43" i="30" s="1"/>
  <c r="I20" i="30"/>
  <c r="I12" i="30"/>
  <c r="I8" i="30"/>
  <c r="I41" i="30" s="1"/>
  <c r="I4" i="30"/>
  <c r="I40" i="30" s="1"/>
  <c r="I3" i="42"/>
  <c r="I32" i="42" s="1"/>
  <c r="I3" i="43"/>
  <c r="I32" i="43" s="1"/>
  <c r="I7" i="42"/>
  <c r="I7" i="43"/>
  <c r="I11" i="42"/>
  <c r="I39" i="42" s="1"/>
  <c r="I11" i="43"/>
  <c r="I39" i="43" s="1"/>
  <c r="I15" i="42"/>
  <c r="I44" i="42" s="1"/>
  <c r="I15" i="43"/>
  <c r="I44" i="43" s="1"/>
  <c r="I19" i="42"/>
  <c r="I42" i="42" s="1"/>
  <c r="I19" i="43"/>
  <c r="I42" i="43" s="1"/>
  <c r="I23" i="42"/>
  <c r="I49" i="42" s="1"/>
  <c r="I23" i="43"/>
  <c r="I49" i="43" s="1"/>
  <c r="I27" i="42"/>
  <c r="I27" i="43"/>
  <c r="E27" i="30"/>
  <c r="E19" i="30"/>
  <c r="E42" i="30" s="1"/>
  <c r="E30" i="30"/>
  <c r="E35" i="30" s="1"/>
  <c r="E22" i="30"/>
  <c r="E37" i="30" s="1"/>
  <c r="E14" i="30"/>
  <c r="E34" i="30" s="1"/>
  <c r="E9" i="30"/>
  <c r="E5" i="30"/>
  <c r="E2" i="42"/>
  <c r="E38" i="42" s="1"/>
  <c r="E2" i="43"/>
  <c r="E38" i="43" s="1"/>
  <c r="E6" i="42"/>
  <c r="E47" i="42" s="1"/>
  <c r="E6" i="43"/>
  <c r="E47" i="43" s="1"/>
  <c r="E10" i="42"/>
  <c r="E46" i="42" s="1"/>
  <c r="E10" i="43"/>
  <c r="E46" i="43" s="1"/>
  <c r="E45" i="43" s="1"/>
  <c r="E14" i="42"/>
  <c r="E34" i="42" s="1"/>
  <c r="E14" i="43"/>
  <c r="E34" i="43" s="1"/>
  <c r="E18" i="42"/>
  <c r="E18" i="43"/>
  <c r="E22" i="42"/>
  <c r="E37" i="42" s="1"/>
  <c r="E22" i="43"/>
  <c r="E37" i="43" s="1"/>
  <c r="E26" i="42"/>
  <c r="E36" i="42" s="1"/>
  <c r="E26" i="43"/>
  <c r="E36" i="43" s="1"/>
  <c r="E30" i="42"/>
  <c r="E35" i="42" s="1"/>
  <c r="E30" i="43"/>
  <c r="E35" i="43" s="1"/>
  <c r="AK76" i="32"/>
  <c r="AK62" i="32"/>
  <c r="AK61" i="32"/>
  <c r="AK75" i="32"/>
  <c r="AK57" i="32"/>
  <c r="AK71" i="32"/>
  <c r="AK72" i="32"/>
  <c r="AK58" i="32"/>
  <c r="AO29" i="38"/>
  <c r="AO26" i="38"/>
  <c r="AO4" i="38"/>
  <c r="AO6" i="38"/>
  <c r="AO13" i="38"/>
  <c r="AO16" i="38"/>
  <c r="BD68" i="38"/>
  <c r="BD54" i="38"/>
  <c r="AO12" i="38"/>
  <c r="AO23" i="38"/>
  <c r="AO22" i="38"/>
  <c r="AO21" i="38"/>
  <c r="BD72" i="38"/>
  <c r="BD58" i="38"/>
  <c r="BD73" i="38"/>
  <c r="BD59" i="38"/>
  <c r="DM59" i="38"/>
  <c r="DM73" i="38"/>
  <c r="DM50" i="38"/>
  <c r="DM48" i="38" s="1"/>
  <c r="DM64" i="38"/>
  <c r="DM76" i="38"/>
  <c r="DM62" i="38"/>
  <c r="CB13" i="18"/>
  <c r="CB33" i="18" s="1"/>
  <c r="AJ13" i="18"/>
  <c r="AJ33" i="18" s="1"/>
  <c r="CB14" i="18"/>
  <c r="CB34" i="18" s="1"/>
  <c r="AJ14" i="18"/>
  <c r="AJ34" i="18" s="1"/>
  <c r="CB30" i="18"/>
  <c r="CB35" i="18" s="1"/>
  <c r="AJ30" i="18"/>
  <c r="AJ35" i="18" s="1"/>
  <c r="CB11" i="18"/>
  <c r="CB39" i="18" s="1"/>
  <c r="AJ11" i="18"/>
  <c r="AJ39" i="18" s="1"/>
  <c r="CB9" i="18"/>
  <c r="AJ9" i="18"/>
  <c r="CB4" i="18"/>
  <c r="CB40" i="18" s="1"/>
  <c r="AJ4" i="18"/>
  <c r="AJ40" i="18" s="1"/>
  <c r="CB20" i="18"/>
  <c r="AJ20" i="18"/>
  <c r="DE68" i="38"/>
  <c r="DE54" i="38"/>
  <c r="W54" i="38"/>
  <c r="W68" i="38"/>
  <c r="DE74" i="38"/>
  <c r="DE60" i="38"/>
  <c r="CB6" i="38"/>
  <c r="CB47" i="38" s="1"/>
  <c r="AJ6" i="38"/>
  <c r="AJ47" i="38" s="1"/>
  <c r="CB27" i="38"/>
  <c r="AJ27" i="38"/>
  <c r="W62" i="38"/>
  <c r="W76" i="38"/>
  <c r="W64" i="38"/>
  <c r="W50" i="38"/>
  <c r="BM59" i="38"/>
  <c r="BM73" i="38"/>
  <c r="BM68" i="38"/>
  <c r="BM54" i="38"/>
  <c r="CB19" i="38"/>
  <c r="CB42" i="38" s="1"/>
  <c r="AJ19" i="38"/>
  <c r="AJ42" i="38" s="1"/>
  <c r="CB25" i="38"/>
  <c r="AJ25" i="38"/>
  <c r="W51" i="38"/>
  <c r="W65" i="38"/>
  <c r="CB2" i="38"/>
  <c r="CB38" i="38" s="1"/>
  <c r="AJ2" i="38"/>
  <c r="AJ38" i="38" s="1"/>
  <c r="BM60" i="38"/>
  <c r="BM74" i="38"/>
  <c r="CB16" i="38"/>
  <c r="AJ16" i="38"/>
  <c r="DE70" i="38"/>
  <c r="DE56" i="38"/>
  <c r="BM67" i="38"/>
  <c r="BM53" i="38"/>
  <c r="AJ17" i="38"/>
  <c r="CB17" i="38"/>
  <c r="DE55" i="38"/>
  <c r="DE69" i="38"/>
  <c r="BM57" i="38"/>
  <c r="BM71" i="38"/>
  <c r="BM76" i="38"/>
  <c r="BM62" i="38"/>
  <c r="BX29" i="18"/>
  <c r="AF29" i="18"/>
  <c r="BX14" i="18"/>
  <c r="BX34" i="18" s="1"/>
  <c r="AF14" i="18"/>
  <c r="AF34" i="18" s="1"/>
  <c r="BX30" i="18"/>
  <c r="BX35" i="18" s="1"/>
  <c r="AF30" i="18"/>
  <c r="AF35" i="18" s="1"/>
  <c r="BX15" i="18"/>
  <c r="BX44" i="18" s="1"/>
  <c r="AF15" i="18"/>
  <c r="AF44" i="18" s="1"/>
  <c r="BX21" i="18"/>
  <c r="AF21" i="18"/>
  <c r="BX4" i="18"/>
  <c r="BX40" i="18" s="1"/>
  <c r="AF4" i="18"/>
  <c r="AF40" i="18" s="1"/>
  <c r="BX20" i="18"/>
  <c r="AF20" i="18"/>
  <c r="BX19" i="38"/>
  <c r="BX42" i="38" s="1"/>
  <c r="AF19" i="38"/>
  <c r="AF42" i="38" s="1"/>
  <c r="DA64" i="38"/>
  <c r="DA50" i="38"/>
  <c r="BX12" i="38"/>
  <c r="AF12" i="38"/>
  <c r="BX18" i="38"/>
  <c r="AF18" i="38"/>
  <c r="BX5" i="38"/>
  <c r="AF5" i="38"/>
  <c r="BX29" i="38"/>
  <c r="AF29" i="38"/>
  <c r="BI73" i="38"/>
  <c r="BI59" i="38"/>
  <c r="BI68" i="38"/>
  <c r="BI54" i="38"/>
  <c r="BX24" i="38"/>
  <c r="AF24" i="38"/>
  <c r="BX21" i="38"/>
  <c r="AF21" i="38"/>
  <c r="BI76" i="38"/>
  <c r="BI62" i="38"/>
  <c r="BW14" i="18"/>
  <c r="BW34" i="18" s="1"/>
  <c r="AE14" i="18"/>
  <c r="AE34" i="18" s="1"/>
  <c r="AE31" i="18" s="1"/>
  <c r="BW15" i="18"/>
  <c r="BW44" i="18" s="1"/>
  <c r="AE15" i="18"/>
  <c r="AE44" i="18" s="1"/>
  <c r="BW20" i="18"/>
  <c r="AE20" i="18"/>
  <c r="BW30" i="18"/>
  <c r="BW35" i="18" s="1"/>
  <c r="AE30" i="18"/>
  <c r="AE35" i="18" s="1"/>
  <c r="BW24" i="18"/>
  <c r="AE24" i="18"/>
  <c r="BW17" i="18"/>
  <c r="AE17" i="18"/>
  <c r="R62" i="38"/>
  <c r="R76" i="38"/>
  <c r="R57" i="38"/>
  <c r="R71" i="38"/>
  <c r="R64" i="38"/>
  <c r="R50" i="38"/>
  <c r="CZ74" i="38"/>
  <c r="CZ60" i="38"/>
  <c r="BH76" i="38"/>
  <c r="BH62" i="38"/>
  <c r="R67" i="38"/>
  <c r="R53" i="38"/>
  <c r="R69" i="38"/>
  <c r="R55" i="38"/>
  <c r="BW7" i="38"/>
  <c r="AE7" i="38"/>
  <c r="BH68" i="38"/>
  <c r="BH54" i="38"/>
  <c r="BW20" i="38"/>
  <c r="AE20" i="38"/>
  <c r="BW13" i="38"/>
  <c r="BW33" i="38" s="1"/>
  <c r="AE13" i="38"/>
  <c r="AE33" i="38" s="1"/>
  <c r="AE16" i="38"/>
  <c r="BW16" i="38"/>
  <c r="BW19" i="38"/>
  <c r="BW42" i="38" s="1"/>
  <c r="AE19" i="38"/>
  <c r="AE42" i="38" s="1"/>
  <c r="BW22" i="38"/>
  <c r="BW37" i="38" s="1"/>
  <c r="AE22" i="38"/>
  <c r="AE37" i="38" s="1"/>
  <c r="BW14" i="38"/>
  <c r="BW34" i="38" s="1"/>
  <c r="AE14" i="38"/>
  <c r="AE34" i="38" s="1"/>
  <c r="CZ75" i="38"/>
  <c r="CZ61" i="38"/>
  <c r="BW30" i="38"/>
  <c r="BW35" i="38" s="1"/>
  <c r="AE30" i="38"/>
  <c r="AE35" i="38" s="1"/>
  <c r="BH55" i="38"/>
  <c r="BH69" i="38"/>
  <c r="BX11" i="30"/>
  <c r="BX39" i="30" s="1"/>
  <c r="BX10" i="30"/>
  <c r="BX46" i="30" s="1"/>
  <c r="BX6" i="30"/>
  <c r="BX47" i="30" s="1"/>
  <c r="BX5" i="30"/>
  <c r="BX3" i="30"/>
  <c r="BX32" i="30" s="1"/>
  <c r="BX31" i="30" s="1"/>
  <c r="BX4" i="42"/>
  <c r="BX40" i="42" s="1"/>
  <c r="BX4" i="43"/>
  <c r="BX40" i="43" s="1"/>
  <c r="BX8" i="42"/>
  <c r="BX41" i="42" s="1"/>
  <c r="BX8" i="43"/>
  <c r="BX41" i="43" s="1"/>
  <c r="BX12" i="42"/>
  <c r="BX12" i="43"/>
  <c r="BX16" i="42"/>
  <c r="BX16" i="43"/>
  <c r="BX20" i="42"/>
  <c r="BX20" i="43"/>
  <c r="BX24" i="42"/>
  <c r="BX24" i="43"/>
  <c r="BX28" i="42"/>
  <c r="BX43" i="42" s="1"/>
  <c r="BX28" i="43"/>
  <c r="BX43" i="43" s="1"/>
  <c r="BQ11" i="30"/>
  <c r="BQ39" i="30" s="1"/>
  <c r="BQ7" i="30"/>
  <c r="BQ10" i="30"/>
  <c r="BQ46" i="30" s="1"/>
  <c r="BQ6" i="30"/>
  <c r="BQ47" i="30" s="1"/>
  <c r="BQ5" i="30"/>
  <c r="BQ3" i="30"/>
  <c r="BQ32" i="30" s="1"/>
  <c r="BQ2" i="42"/>
  <c r="BQ38" i="42" s="1"/>
  <c r="BQ2" i="43"/>
  <c r="BQ38" i="43" s="1"/>
  <c r="BQ6" i="42"/>
  <c r="BQ47" i="42" s="1"/>
  <c r="BQ6" i="43"/>
  <c r="BQ47" i="43" s="1"/>
  <c r="BQ10" i="42"/>
  <c r="BQ46" i="42" s="1"/>
  <c r="BQ45" i="42" s="1"/>
  <c r="BQ10" i="43"/>
  <c r="BQ46" i="43" s="1"/>
  <c r="BQ45" i="43" s="1"/>
  <c r="BQ14" i="42"/>
  <c r="BQ34" i="42" s="1"/>
  <c r="BQ14" i="43"/>
  <c r="BQ34" i="43" s="1"/>
  <c r="BQ18" i="42"/>
  <c r="BQ18" i="43"/>
  <c r="BQ22" i="42"/>
  <c r="BQ37" i="42" s="1"/>
  <c r="BQ22" i="43"/>
  <c r="BQ37" i="43" s="1"/>
  <c r="BQ26" i="42"/>
  <c r="BQ36" i="42" s="1"/>
  <c r="BQ26" i="43"/>
  <c r="BQ36" i="43" s="1"/>
  <c r="BQ30" i="42"/>
  <c r="BQ35" i="42" s="1"/>
  <c r="BQ30" i="43"/>
  <c r="BQ35" i="43" s="1"/>
  <c r="BM2" i="42"/>
  <c r="BM38" i="42" s="1"/>
  <c r="BM2" i="43"/>
  <c r="BM38" i="43" s="1"/>
  <c r="BM6" i="42"/>
  <c r="BM47" i="42" s="1"/>
  <c r="BM6" i="43"/>
  <c r="BM47" i="43" s="1"/>
  <c r="BM10" i="42"/>
  <c r="BM46" i="42" s="1"/>
  <c r="BM10" i="43"/>
  <c r="BM46" i="43" s="1"/>
  <c r="BM14" i="42"/>
  <c r="BM34" i="42" s="1"/>
  <c r="BM14" i="43"/>
  <c r="BM34" i="43" s="1"/>
  <c r="BM18" i="42"/>
  <c r="BM18" i="43"/>
  <c r="BM22" i="42"/>
  <c r="BM37" i="42" s="1"/>
  <c r="BM22" i="43"/>
  <c r="BM37" i="43" s="1"/>
  <c r="BM26" i="42"/>
  <c r="BM36" i="42" s="1"/>
  <c r="BM26" i="43"/>
  <c r="BM36" i="43" s="1"/>
  <c r="BM30" i="42"/>
  <c r="BM35" i="42" s="1"/>
  <c r="BM30" i="43"/>
  <c r="BM35" i="43" s="1"/>
  <c r="BI12" i="30"/>
  <c r="BI8" i="30"/>
  <c r="BI41" i="30" s="1"/>
  <c r="BI4" i="30"/>
  <c r="BI40" i="30" s="1"/>
  <c r="BI4" i="42"/>
  <c r="BI40" i="42" s="1"/>
  <c r="BI4" i="43"/>
  <c r="BI40" i="43" s="1"/>
  <c r="BI8" i="42"/>
  <c r="BI41" i="42" s="1"/>
  <c r="BI8" i="43"/>
  <c r="BI41" i="43" s="1"/>
  <c r="BI12" i="42"/>
  <c r="BI12" i="43"/>
  <c r="BI16" i="42"/>
  <c r="BI16" i="43"/>
  <c r="BI20" i="42"/>
  <c r="BI20" i="43"/>
  <c r="BI24" i="42"/>
  <c r="BI24" i="43"/>
  <c r="BI28" i="42"/>
  <c r="BI43" i="42" s="1"/>
  <c r="BI28" i="43"/>
  <c r="BI43" i="43" s="1"/>
  <c r="BF29" i="30"/>
  <c r="BF27" i="30"/>
  <c r="BF25" i="30"/>
  <c r="BF23" i="30"/>
  <c r="BF49" i="30" s="1"/>
  <c r="BF21" i="30"/>
  <c r="BF19" i="30"/>
  <c r="BF42" i="30" s="1"/>
  <c r="BF17" i="30"/>
  <c r="BF15" i="30"/>
  <c r="BF44" i="30" s="1"/>
  <c r="BF13" i="30"/>
  <c r="BF33" i="30" s="1"/>
  <c r="BF9" i="30"/>
  <c r="BF6" i="42"/>
  <c r="BF47" i="42" s="1"/>
  <c r="BF6" i="43"/>
  <c r="BF47" i="43" s="1"/>
  <c r="BF14" i="42"/>
  <c r="BF34" i="42" s="1"/>
  <c r="BF14" i="43"/>
  <c r="BF34" i="43" s="1"/>
  <c r="BF22" i="42"/>
  <c r="BF37" i="42" s="1"/>
  <c r="BF22" i="43"/>
  <c r="BF37" i="43" s="1"/>
  <c r="BF30" i="42"/>
  <c r="BF35" i="42" s="1"/>
  <c r="BF30" i="43"/>
  <c r="BF35" i="43" s="1"/>
  <c r="BF10" i="30"/>
  <c r="BF46" i="30" s="1"/>
  <c r="BF45" i="30" s="1"/>
  <c r="BF6" i="30"/>
  <c r="BF47" i="30" s="1"/>
  <c r="BF5" i="42"/>
  <c r="BF5" i="43"/>
  <c r="BF13" i="42"/>
  <c r="BF33" i="42" s="1"/>
  <c r="BF13" i="43"/>
  <c r="BF33" i="43" s="1"/>
  <c r="BF21" i="42"/>
  <c r="BF21" i="43"/>
  <c r="BF29" i="42"/>
  <c r="BF29" i="43"/>
  <c r="BE3" i="18"/>
  <c r="CW11" i="38"/>
  <c r="CW7" i="38"/>
  <c r="CW24" i="38"/>
  <c r="CW16" i="38"/>
  <c r="CW12" i="38"/>
  <c r="CW19" i="38"/>
  <c r="CW22" i="38"/>
  <c r="N17" i="18"/>
  <c r="N11" i="18"/>
  <c r="N11" i="38"/>
  <c r="N17" i="38"/>
  <c r="N21" i="38"/>
  <c r="N26" i="38"/>
  <c r="N10" i="38"/>
  <c r="BB3" i="42"/>
  <c r="C3" i="38"/>
  <c r="C32" i="38" s="1"/>
  <c r="BB3" i="43"/>
  <c r="BB7" i="42"/>
  <c r="C7" i="38"/>
  <c r="BB7" i="43"/>
  <c r="C11" i="38"/>
  <c r="C39" i="38" s="1"/>
  <c r="BB11" i="42"/>
  <c r="BB11" i="43"/>
  <c r="BB15" i="42"/>
  <c r="C15" i="38"/>
  <c r="C44" i="38" s="1"/>
  <c r="BB15" i="43"/>
  <c r="BB19" i="42"/>
  <c r="C19" i="38"/>
  <c r="C42" i="38" s="1"/>
  <c r="BB19" i="43"/>
  <c r="C23" i="38"/>
  <c r="C49" i="38" s="1"/>
  <c r="BB23" i="42"/>
  <c r="BB23" i="43"/>
  <c r="BB27" i="42"/>
  <c r="C27" i="38"/>
  <c r="BB27" i="43"/>
  <c r="N3" i="38"/>
  <c r="N7" i="38"/>
  <c r="BE4" i="38"/>
  <c r="BE8" i="38"/>
  <c r="BE12" i="38"/>
  <c r="BE16" i="38"/>
  <c r="BE20" i="38"/>
  <c r="BE24" i="38"/>
  <c r="BE28" i="38"/>
  <c r="R12" i="30"/>
  <c r="R27" i="30"/>
  <c r="R23" i="30"/>
  <c r="R49" i="30" s="1"/>
  <c r="R19" i="30"/>
  <c r="R42" i="30" s="1"/>
  <c r="R15" i="30"/>
  <c r="R44" i="30" s="1"/>
  <c r="R2" i="42"/>
  <c r="R38" i="42" s="1"/>
  <c r="R2" i="43"/>
  <c r="R38" i="43" s="1"/>
  <c r="R6" i="42"/>
  <c r="R47" i="42" s="1"/>
  <c r="R6" i="43"/>
  <c r="R47" i="43" s="1"/>
  <c r="R10" i="42"/>
  <c r="R46" i="42" s="1"/>
  <c r="R45" i="42" s="1"/>
  <c r="R10" i="43"/>
  <c r="R46" i="43" s="1"/>
  <c r="R14" i="42"/>
  <c r="R34" i="42" s="1"/>
  <c r="R14" i="43"/>
  <c r="R34" i="43" s="1"/>
  <c r="R18" i="42"/>
  <c r="R18" i="43"/>
  <c r="R22" i="42"/>
  <c r="R37" i="42" s="1"/>
  <c r="R22" i="43"/>
  <c r="R37" i="43" s="1"/>
  <c r="R26" i="42"/>
  <c r="R36" i="42" s="1"/>
  <c r="R26" i="43"/>
  <c r="R36" i="43" s="1"/>
  <c r="R30" i="42"/>
  <c r="R35" i="42" s="1"/>
  <c r="R30" i="43"/>
  <c r="R35" i="43" s="1"/>
  <c r="AA7" i="30"/>
  <c r="AA27" i="30"/>
  <c r="AA23" i="30"/>
  <c r="AA49" i="30" s="1"/>
  <c r="AA19" i="30"/>
  <c r="AA42" i="30" s="1"/>
  <c r="AA15" i="30"/>
  <c r="AA44" i="30" s="1"/>
  <c r="AA10" i="30"/>
  <c r="AA46" i="30" s="1"/>
  <c r="AA45" i="30" s="1"/>
  <c r="AA4" i="30"/>
  <c r="AA40" i="30" s="1"/>
  <c r="AA3" i="42"/>
  <c r="AA32" i="42" s="1"/>
  <c r="AA3" i="43"/>
  <c r="AA32" i="43" s="1"/>
  <c r="AA7" i="42"/>
  <c r="AA7" i="43"/>
  <c r="AA11" i="42"/>
  <c r="AA39" i="42" s="1"/>
  <c r="AA11" i="43"/>
  <c r="AA39" i="43" s="1"/>
  <c r="AA15" i="42"/>
  <c r="AA44" i="42" s="1"/>
  <c r="AA15" i="43"/>
  <c r="AA44" i="43" s="1"/>
  <c r="AA19" i="42"/>
  <c r="AA42" i="42" s="1"/>
  <c r="AA19" i="43"/>
  <c r="AA42" i="43" s="1"/>
  <c r="AA23" i="42"/>
  <c r="AA49" i="42" s="1"/>
  <c r="AA23" i="43"/>
  <c r="AA49" i="43" s="1"/>
  <c r="AA27" i="42"/>
  <c r="AA27" i="43"/>
  <c r="F15" i="37"/>
  <c r="F44" i="37" s="1"/>
  <c r="F11" i="37"/>
  <c r="F39" i="37" s="1"/>
  <c r="F28" i="37"/>
  <c r="F43" i="37" s="1"/>
  <c r="G54" i="16"/>
  <c r="G68" i="16"/>
  <c r="F12" i="16"/>
  <c r="G56" i="16"/>
  <c r="G70" i="16"/>
  <c r="G71" i="16"/>
  <c r="G57" i="16"/>
  <c r="G60" i="16"/>
  <c r="G74" i="16"/>
  <c r="F15" i="16"/>
  <c r="F44" i="16" s="1"/>
  <c r="F27" i="16"/>
  <c r="F16" i="16"/>
  <c r="F30" i="16"/>
  <c r="F35" i="16" s="1"/>
  <c r="F13" i="16"/>
  <c r="F33" i="16" s="1"/>
  <c r="F29" i="16"/>
  <c r="CA27" i="18"/>
  <c r="AI27" i="18"/>
  <c r="CA16" i="18"/>
  <c r="AI16" i="18"/>
  <c r="CA21" i="18"/>
  <c r="AI21" i="18"/>
  <c r="CA11" i="18"/>
  <c r="CA39" i="18" s="1"/>
  <c r="AI11" i="18"/>
  <c r="AI39" i="18" s="1"/>
  <c r="CA13" i="18"/>
  <c r="CA33" i="18" s="1"/>
  <c r="AI13" i="18"/>
  <c r="AI33" i="18" s="1"/>
  <c r="CA10" i="18"/>
  <c r="CA46" i="18" s="1"/>
  <c r="AI10" i="18"/>
  <c r="AI46" i="18" s="1"/>
  <c r="AI45" i="18" s="1"/>
  <c r="CA26" i="18"/>
  <c r="CA36" i="18" s="1"/>
  <c r="AI26" i="18"/>
  <c r="AI36" i="18" s="1"/>
  <c r="U64" i="38"/>
  <c r="U50" i="38"/>
  <c r="U53" i="38"/>
  <c r="U67" i="38"/>
  <c r="BL62" i="38"/>
  <c r="BL76" i="38"/>
  <c r="DD56" i="38"/>
  <c r="DD70" i="38"/>
  <c r="CA14" i="38"/>
  <c r="CA34" i="38" s="1"/>
  <c r="AI14" i="38"/>
  <c r="AI34" i="38" s="1"/>
  <c r="CA17" i="38"/>
  <c r="AI17" i="38"/>
  <c r="U70" i="38"/>
  <c r="U56" i="38"/>
  <c r="CA12" i="38"/>
  <c r="AI12" i="38"/>
  <c r="CA28" i="38"/>
  <c r="CA43" i="38" s="1"/>
  <c r="AI28" i="38"/>
  <c r="AI43" i="38" s="1"/>
  <c r="CA4" i="38"/>
  <c r="CA40" i="38" s="1"/>
  <c r="AI4" i="38"/>
  <c r="AI40" i="38" s="1"/>
  <c r="AI11" i="38"/>
  <c r="AI39" i="38" s="1"/>
  <c r="CA11" i="38"/>
  <c r="CA39" i="38" s="1"/>
  <c r="U68" i="38"/>
  <c r="U54" i="38"/>
  <c r="U76" i="38"/>
  <c r="U62" i="38"/>
  <c r="CA3" i="38"/>
  <c r="CA32" i="38" s="1"/>
  <c r="AI3" i="38"/>
  <c r="AI32" i="38" s="1"/>
  <c r="CA22" i="38"/>
  <c r="CA37" i="38" s="1"/>
  <c r="AI22" i="38"/>
  <c r="AI37" i="38" s="1"/>
  <c r="CA18" i="38"/>
  <c r="AI18" i="38"/>
  <c r="AI6" i="38"/>
  <c r="AI47" i="38" s="1"/>
  <c r="CA6" i="38"/>
  <c r="CA47" i="38" s="1"/>
  <c r="DD61" i="38"/>
  <c r="DD75" i="38"/>
  <c r="AI29" i="38"/>
  <c r="CA29" i="38"/>
  <c r="BV9" i="42"/>
  <c r="BV9" i="43"/>
  <c r="BV17" i="42"/>
  <c r="BV17" i="43"/>
  <c r="BV25" i="42"/>
  <c r="BV25" i="43"/>
  <c r="BV12" i="30"/>
  <c r="BV8" i="30"/>
  <c r="BV41" i="30" s="1"/>
  <c r="BV2" i="42"/>
  <c r="BV38" i="42" s="1"/>
  <c r="BV2" i="43"/>
  <c r="BV38" i="43" s="1"/>
  <c r="BV10" i="42"/>
  <c r="BV46" i="42" s="1"/>
  <c r="BV10" i="43"/>
  <c r="BV46" i="43" s="1"/>
  <c r="BV45" i="43" s="1"/>
  <c r="BV18" i="42"/>
  <c r="BV18" i="43"/>
  <c r="BV26" i="42"/>
  <c r="BV36" i="42" s="1"/>
  <c r="BV26" i="43"/>
  <c r="BV36" i="43" s="1"/>
  <c r="BO29" i="30"/>
  <c r="BO3" i="42"/>
  <c r="BO32" i="42" s="1"/>
  <c r="BO3" i="43"/>
  <c r="BO32" i="43" s="1"/>
  <c r="BO7" i="42"/>
  <c r="BO7" i="43"/>
  <c r="BO11" i="42"/>
  <c r="BO39" i="42" s="1"/>
  <c r="BO11" i="43"/>
  <c r="BO39" i="43" s="1"/>
  <c r="BO15" i="42"/>
  <c r="BO44" i="42" s="1"/>
  <c r="BO15" i="43"/>
  <c r="BO44" i="43" s="1"/>
  <c r="BO19" i="42"/>
  <c r="BO42" i="42" s="1"/>
  <c r="BO19" i="43"/>
  <c r="BO42" i="43" s="1"/>
  <c r="BO23" i="42"/>
  <c r="BO49" i="42" s="1"/>
  <c r="BO23" i="43"/>
  <c r="BO49" i="43" s="1"/>
  <c r="BO27" i="42"/>
  <c r="BO27" i="43"/>
  <c r="BH9" i="30"/>
  <c r="BH5" i="30"/>
  <c r="BH3" i="30"/>
  <c r="BH32" i="30" s="1"/>
  <c r="BH2" i="42"/>
  <c r="BH38" i="42" s="1"/>
  <c r="BH2" i="43"/>
  <c r="BH38" i="43" s="1"/>
  <c r="BH6" i="42"/>
  <c r="BH47" i="42" s="1"/>
  <c r="BH6" i="43"/>
  <c r="BH47" i="43" s="1"/>
  <c r="BH10" i="42"/>
  <c r="BH46" i="42" s="1"/>
  <c r="BH10" i="43"/>
  <c r="BH46" i="43" s="1"/>
  <c r="BH14" i="42"/>
  <c r="BH34" i="42" s="1"/>
  <c r="BH14" i="43"/>
  <c r="BH34" i="43" s="1"/>
  <c r="BH18" i="42"/>
  <c r="BH18" i="43"/>
  <c r="BH22" i="42"/>
  <c r="BH37" i="42" s="1"/>
  <c r="BH22" i="43"/>
  <c r="BH37" i="43" s="1"/>
  <c r="BH26" i="42"/>
  <c r="BH36" i="42" s="1"/>
  <c r="BH26" i="43"/>
  <c r="BH36" i="43" s="1"/>
  <c r="BH30" i="42"/>
  <c r="BH35" i="42" s="1"/>
  <c r="BH30" i="43"/>
  <c r="BH35" i="43" s="1"/>
  <c r="M26" i="30"/>
  <c r="M36" i="30" s="1"/>
  <c r="M18" i="30"/>
  <c r="M27" i="30"/>
  <c r="M19" i="30"/>
  <c r="M42" i="30" s="1"/>
  <c r="M12" i="30"/>
  <c r="M8" i="30"/>
  <c r="M41" i="30" s="1"/>
  <c r="M4" i="30"/>
  <c r="M40" i="30" s="1"/>
  <c r="M3" i="42"/>
  <c r="M32" i="42" s="1"/>
  <c r="M3" i="43"/>
  <c r="M32" i="43" s="1"/>
  <c r="M7" i="42"/>
  <c r="M7" i="43"/>
  <c r="M11" i="42"/>
  <c r="M39" i="42" s="1"/>
  <c r="M11" i="43"/>
  <c r="M39" i="43" s="1"/>
  <c r="M15" i="42"/>
  <c r="M44" i="42" s="1"/>
  <c r="M15" i="43"/>
  <c r="M44" i="43" s="1"/>
  <c r="M19" i="42"/>
  <c r="M42" i="42" s="1"/>
  <c r="M19" i="43"/>
  <c r="M42" i="43" s="1"/>
  <c r="M23" i="42"/>
  <c r="M49" i="42" s="1"/>
  <c r="M23" i="43"/>
  <c r="M49" i="43" s="1"/>
  <c r="M27" i="42"/>
  <c r="M27" i="43"/>
  <c r="R65" i="32"/>
  <c r="R51" i="32"/>
  <c r="R73" i="32"/>
  <c r="R59" i="32"/>
  <c r="K58" i="32"/>
  <c r="K72" i="32"/>
  <c r="P57" i="32"/>
  <c r="P71" i="32"/>
  <c r="P72" i="32"/>
  <c r="P58" i="32"/>
  <c r="N71" i="32"/>
  <c r="N57" i="32"/>
  <c r="K52" i="32"/>
  <c r="K66" i="32"/>
  <c r="N68" i="32"/>
  <c r="N54" i="32"/>
  <c r="E67" i="32"/>
  <c r="E53" i="32"/>
  <c r="E72" i="32"/>
  <c r="E58" i="32"/>
  <c r="O73" i="32"/>
  <c r="O59" i="32"/>
  <c r="P64" i="32"/>
  <c r="P50" i="32"/>
  <c r="K50" i="32"/>
  <c r="K64" i="32"/>
  <c r="E51" i="32"/>
  <c r="E65" i="32"/>
  <c r="N69" i="32"/>
  <c r="N55" i="32"/>
  <c r="R66" i="32"/>
  <c r="R52" i="32"/>
  <c r="E74" i="32"/>
  <c r="E60" i="32"/>
  <c r="P65" i="32"/>
  <c r="P51" i="32"/>
  <c r="K75" i="32"/>
  <c r="K61" i="32"/>
  <c r="P74" i="32"/>
  <c r="P60" i="32"/>
  <c r="N65" i="32"/>
  <c r="N51" i="32"/>
  <c r="K70" i="32"/>
  <c r="K56" i="32"/>
  <c r="N76" i="32"/>
  <c r="N62" i="32"/>
  <c r="R74" i="32"/>
  <c r="R60" i="32"/>
  <c r="P67" i="32"/>
  <c r="P53" i="32"/>
  <c r="AO58" i="32"/>
  <c r="AO72" i="32"/>
  <c r="AO76" i="32"/>
  <c r="AO62" i="32"/>
  <c r="AB66" i="32"/>
  <c r="AB52" i="32"/>
  <c r="AB62" i="32"/>
  <c r="AB76" i="32"/>
  <c r="AO70" i="32"/>
  <c r="AO56" i="32"/>
  <c r="AB64" i="32"/>
  <c r="AB50" i="32"/>
  <c r="AO60" i="32"/>
  <c r="AO74" i="32"/>
  <c r="AB65" i="32"/>
  <c r="AB51" i="32"/>
  <c r="BV11" i="18"/>
  <c r="BV39" i="18" s="1"/>
  <c r="AD11" i="18"/>
  <c r="AD39" i="18" s="1"/>
  <c r="BV16" i="18"/>
  <c r="AD16" i="18"/>
  <c r="BV5" i="18"/>
  <c r="AD5" i="18"/>
  <c r="BV29" i="18"/>
  <c r="AD29" i="18"/>
  <c r="BV23" i="18"/>
  <c r="BV49" i="18" s="1"/>
  <c r="AD23" i="18"/>
  <c r="AD49" i="18" s="1"/>
  <c r="BV2" i="18"/>
  <c r="BV38" i="18" s="1"/>
  <c r="AD2" i="18"/>
  <c r="AD38" i="18" s="1"/>
  <c r="BV18" i="18"/>
  <c r="AD18" i="18"/>
  <c r="BV10" i="38"/>
  <c r="BV46" i="38" s="1"/>
  <c r="AD10" i="38"/>
  <c r="AD46" i="38" s="1"/>
  <c r="BV20" i="38"/>
  <c r="AD20" i="38"/>
  <c r="Q53" i="38"/>
  <c r="Q67" i="38"/>
  <c r="BV2" i="38"/>
  <c r="BV38" i="38" s="1"/>
  <c r="AD2" i="38"/>
  <c r="AD38" i="38" s="1"/>
  <c r="BG73" i="38"/>
  <c r="BG59" i="38"/>
  <c r="CY74" i="38"/>
  <c r="CY60" i="38"/>
  <c r="Q74" i="38"/>
  <c r="Q60" i="38"/>
  <c r="CY59" i="38"/>
  <c r="CY73" i="38"/>
  <c r="BV14" i="38"/>
  <c r="BV34" i="38" s="1"/>
  <c r="AD14" i="38"/>
  <c r="AD34" i="38" s="1"/>
  <c r="BG66" i="38"/>
  <c r="BG52" i="38"/>
  <c r="Q57" i="38"/>
  <c r="Q71" i="38"/>
  <c r="BV5" i="38"/>
  <c r="AD5" i="38"/>
  <c r="BG76" i="38"/>
  <c r="BG62" i="38"/>
  <c r="CY50" i="38"/>
  <c r="CY64" i="38"/>
  <c r="BV30" i="38"/>
  <c r="BV35" i="38" s="1"/>
  <c r="AD30" i="38"/>
  <c r="AD35" i="38" s="1"/>
  <c r="BG54" i="38"/>
  <c r="BG68" i="38"/>
  <c r="BG56" i="38"/>
  <c r="BG70" i="38"/>
  <c r="BG57" i="38"/>
  <c r="BG71" i="38"/>
  <c r="BG50" i="38"/>
  <c r="BG64" i="38"/>
  <c r="BR9" i="30"/>
  <c r="BR10" i="30"/>
  <c r="BR46" i="30" s="1"/>
  <c r="AN68" i="16"/>
  <c r="AN54" i="16"/>
  <c r="AQ50" i="16"/>
  <c r="AQ48" i="16" s="1"/>
  <c r="AQ64" i="16"/>
  <c r="AL13" i="37"/>
  <c r="AL33" i="37" s="1"/>
  <c r="AI13" i="37"/>
  <c r="AI33" i="37" s="1"/>
  <c r="AK33" i="37"/>
  <c r="AH33" i="37"/>
  <c r="AL15" i="37"/>
  <c r="AL44" i="37" s="1"/>
  <c r="AI15" i="37"/>
  <c r="AI44" i="37" s="1"/>
  <c r="AH44" i="37"/>
  <c r="AK44" i="37"/>
  <c r="F24" i="37"/>
  <c r="F8" i="37"/>
  <c r="F41" i="37" s="1"/>
  <c r="W4" i="37"/>
  <c r="W40" i="37" s="1"/>
  <c r="W12" i="37"/>
  <c r="W20" i="37"/>
  <c r="W28" i="37"/>
  <c r="W43" i="37" s="1"/>
  <c r="AI8" i="37"/>
  <c r="AI41" i="37" s="1"/>
  <c r="AL8" i="37"/>
  <c r="AL41" i="37" s="1"/>
  <c r="AH41" i="37"/>
  <c r="AK41" i="37"/>
  <c r="AL16" i="37"/>
  <c r="AI16" i="37"/>
  <c r="AL24" i="37"/>
  <c r="AI24" i="37"/>
  <c r="Y76" i="16"/>
  <c r="Z76" i="16" s="1"/>
  <c r="Y62" i="16"/>
  <c r="Z62" i="16" s="1"/>
  <c r="Y66" i="16"/>
  <c r="Z66" i="16" s="1"/>
  <c r="Y52" i="16"/>
  <c r="Z52" i="16" s="1"/>
  <c r="AP53" i="16"/>
  <c r="AP67" i="16"/>
  <c r="AR72" i="16"/>
  <c r="AR58" i="16"/>
  <c r="T71" i="16"/>
  <c r="T57" i="16"/>
  <c r="AO54" i="16"/>
  <c r="AO68" i="16"/>
  <c r="AR68" i="16"/>
  <c r="AR54" i="16"/>
  <c r="P61" i="16"/>
  <c r="P75" i="16"/>
  <c r="Y39" i="16"/>
  <c r="Z39" i="16" s="1"/>
  <c r="AM66" i="16"/>
  <c r="AM52" i="16"/>
  <c r="Y36" i="16"/>
  <c r="Z36" i="16" s="1"/>
  <c r="Y59" i="16"/>
  <c r="Z59" i="16" s="1"/>
  <c r="Y73" i="16"/>
  <c r="Z73" i="16" s="1"/>
  <c r="AM64" i="16"/>
  <c r="AM50" i="16"/>
  <c r="AM48" i="16" s="1"/>
  <c r="R56" i="16"/>
  <c r="R70" i="16"/>
  <c r="S76" i="16"/>
  <c r="S62" i="16"/>
  <c r="Y70" i="16"/>
  <c r="Z70" i="16" s="1"/>
  <c r="Y56" i="16"/>
  <c r="Z56" i="16" s="1"/>
  <c r="AP57" i="16"/>
  <c r="AP71" i="16"/>
  <c r="AL20" i="16"/>
  <c r="AH20" i="16"/>
  <c r="AI20" i="16"/>
  <c r="AK20" i="16"/>
  <c r="Y68" i="16"/>
  <c r="Z68" i="16" s="1"/>
  <c r="Y54" i="16"/>
  <c r="Z54" i="16" s="1"/>
  <c r="AP74" i="16"/>
  <c r="AP60" i="16"/>
  <c r="Y44" i="16"/>
  <c r="Z44" i="16" s="1"/>
  <c r="AP70" i="16"/>
  <c r="AP56" i="16"/>
  <c r="W4" i="16"/>
  <c r="W40" i="16" s="1"/>
  <c r="R59" i="16"/>
  <c r="R73" i="16"/>
  <c r="P74" i="16"/>
  <c r="P60" i="16"/>
  <c r="I66" i="16"/>
  <c r="I52" i="16"/>
  <c r="S75" i="16"/>
  <c r="S61" i="16"/>
  <c r="AO50" i="16"/>
  <c r="AO48" i="16" s="1"/>
  <c r="AO64" i="16"/>
  <c r="W27" i="16"/>
  <c r="AO67" i="16"/>
  <c r="AO53" i="16"/>
  <c r="AL9" i="16"/>
  <c r="AK9" i="16"/>
  <c r="AH9" i="16"/>
  <c r="AI9" i="16"/>
  <c r="AO60" i="16"/>
  <c r="AO74" i="16"/>
  <c r="I72" i="16"/>
  <c r="I58" i="16"/>
  <c r="S52" i="16"/>
  <c r="S66" i="16"/>
  <c r="T69" i="16"/>
  <c r="T55" i="16"/>
  <c r="P53" i="16"/>
  <c r="P67" i="16"/>
  <c r="W9" i="16"/>
  <c r="AL12" i="16"/>
  <c r="AH12" i="16"/>
  <c r="AI12" i="16"/>
  <c r="AK12" i="16"/>
  <c r="T52" i="16"/>
  <c r="T66" i="16"/>
  <c r="Q61" i="16"/>
  <c r="Q75" i="16"/>
  <c r="P51" i="16"/>
  <c r="P65" i="16"/>
  <c r="AR69" i="16"/>
  <c r="AR55" i="16"/>
  <c r="AO62" i="16"/>
  <c r="AO76" i="16"/>
  <c r="AL28" i="16"/>
  <c r="AL43" i="16" s="1"/>
  <c r="AH28" i="16"/>
  <c r="AH43" i="16" s="1"/>
  <c r="AI28" i="16"/>
  <c r="AI43" i="16" s="1"/>
  <c r="AK28" i="16"/>
  <c r="AK43" i="16" s="1"/>
  <c r="R57" i="16"/>
  <c r="R71" i="16"/>
  <c r="Q53" i="16"/>
  <c r="Q67" i="16"/>
  <c r="AR73" i="16"/>
  <c r="AR59" i="16"/>
  <c r="W8" i="16"/>
  <c r="W41" i="16" s="1"/>
  <c r="S68" i="16"/>
  <c r="S54" i="16"/>
  <c r="AL11" i="16"/>
  <c r="AL39" i="16" s="1"/>
  <c r="AK11" i="16"/>
  <c r="AK39" i="16" s="1"/>
  <c r="AI11" i="16"/>
  <c r="AI39" i="16" s="1"/>
  <c r="AH11" i="16"/>
  <c r="AH39" i="16" s="1"/>
  <c r="R60" i="16"/>
  <c r="R74" i="16"/>
  <c r="AO72" i="16"/>
  <c r="AO58" i="16"/>
  <c r="AL17" i="16"/>
  <c r="AI17" i="16"/>
  <c r="AK17" i="16"/>
  <c r="AH17" i="16"/>
  <c r="R61" i="16"/>
  <c r="R75" i="16"/>
  <c r="T70" i="16"/>
  <c r="T56" i="16"/>
  <c r="Q65" i="16"/>
  <c r="Q51" i="16"/>
  <c r="S50" i="16"/>
  <c r="S64" i="16"/>
  <c r="AL27" i="16"/>
  <c r="AI27" i="16"/>
  <c r="AH27" i="16"/>
  <c r="AK27" i="16"/>
  <c r="CD5" i="18"/>
  <c r="AL5" i="18"/>
  <c r="CD21" i="18"/>
  <c r="AL21" i="18"/>
  <c r="CD26" i="18"/>
  <c r="CD36" i="18" s="1"/>
  <c r="AL26" i="18"/>
  <c r="AL36" i="18" s="1"/>
  <c r="CD24" i="18"/>
  <c r="AL24" i="18"/>
  <c r="CD18" i="18"/>
  <c r="AL18" i="18"/>
  <c r="CD11" i="18"/>
  <c r="CD39" i="18" s="1"/>
  <c r="AL11" i="18"/>
  <c r="AL39" i="18" s="1"/>
  <c r="CD27" i="18"/>
  <c r="AL27" i="18"/>
  <c r="CD15" i="38"/>
  <c r="CD44" i="38" s="1"/>
  <c r="AL15" i="38"/>
  <c r="AL44" i="38" s="1"/>
  <c r="DG52" i="38"/>
  <c r="DG66" i="38"/>
  <c r="CD4" i="38"/>
  <c r="CD40" i="38" s="1"/>
  <c r="AL4" i="38"/>
  <c r="AL40" i="38" s="1"/>
  <c r="X65" i="38"/>
  <c r="X51" i="38"/>
  <c r="DG53" i="38"/>
  <c r="DG67" i="38"/>
  <c r="BO75" i="38"/>
  <c r="BO61" i="38"/>
  <c r="CD29" i="38"/>
  <c r="AL29" i="38"/>
  <c r="X71" i="38"/>
  <c r="X57" i="38"/>
  <c r="DG59" i="38"/>
  <c r="DG73" i="38"/>
  <c r="X50" i="38"/>
  <c r="X64" i="38"/>
  <c r="CD8" i="38"/>
  <c r="CD41" i="38" s="1"/>
  <c r="AL8" i="38"/>
  <c r="AL41" i="38" s="1"/>
  <c r="AL14" i="38"/>
  <c r="AL34" i="38" s="1"/>
  <c r="CD14" i="38"/>
  <c r="CD34" i="38" s="1"/>
  <c r="DG50" i="38"/>
  <c r="DG64" i="38"/>
  <c r="CD22" i="38"/>
  <c r="CD37" i="38" s="1"/>
  <c r="AL22" i="38"/>
  <c r="AL37" i="38" s="1"/>
  <c r="BO76" i="38"/>
  <c r="BO62" i="38"/>
  <c r="CD9" i="38"/>
  <c r="AL9" i="38"/>
  <c r="BO74" i="38"/>
  <c r="BO60" i="38"/>
  <c r="AL21" i="38"/>
  <c r="CD21" i="38"/>
  <c r="BO50" i="38"/>
  <c r="BO64" i="38"/>
  <c r="BU16" i="18"/>
  <c r="AC16" i="18"/>
  <c r="BU13" i="18"/>
  <c r="BU33" i="18" s="1"/>
  <c r="AC13" i="18"/>
  <c r="AC33" i="18" s="1"/>
  <c r="BU29" i="18"/>
  <c r="AC29" i="18"/>
  <c r="BU4" i="18"/>
  <c r="BU40" i="18" s="1"/>
  <c r="AC4" i="18"/>
  <c r="AC40" i="18" s="1"/>
  <c r="BU28" i="18"/>
  <c r="BU43" i="18" s="1"/>
  <c r="AC28" i="18"/>
  <c r="AC43" i="18" s="1"/>
  <c r="BU18" i="18"/>
  <c r="AC18" i="18"/>
  <c r="AC11" i="18"/>
  <c r="AC39" i="18" s="1"/>
  <c r="BU11" i="18"/>
  <c r="BU39" i="18" s="1"/>
  <c r="BU27" i="18"/>
  <c r="AC27" i="18"/>
  <c r="CX61" i="38"/>
  <c r="CX75" i="38"/>
  <c r="T69" i="38"/>
  <c r="T55" i="38"/>
  <c r="BU15" i="38"/>
  <c r="BU44" i="38" s="1"/>
  <c r="AC15" i="38"/>
  <c r="AC44" i="38" s="1"/>
  <c r="T59" i="38"/>
  <c r="T73" i="38"/>
  <c r="T58" i="38"/>
  <c r="T72" i="38"/>
  <c r="CX67" i="38"/>
  <c r="CX53" i="38"/>
  <c r="BF72" i="38"/>
  <c r="BF58" i="38"/>
  <c r="BU7" i="38"/>
  <c r="AC7" i="38"/>
  <c r="BU11" i="38"/>
  <c r="BU39" i="38" s="1"/>
  <c r="AC11" i="38"/>
  <c r="AC39" i="38" s="1"/>
  <c r="BF64" i="38"/>
  <c r="BF50" i="38"/>
  <c r="AC19" i="38"/>
  <c r="AC42" i="38" s="1"/>
  <c r="BU19" i="38"/>
  <c r="BU42" i="38" s="1"/>
  <c r="BF71" i="38"/>
  <c r="BF57" i="38"/>
  <c r="BU9" i="38"/>
  <c r="AC9" i="38"/>
  <c r="CX74" i="38"/>
  <c r="CX60" i="38"/>
  <c r="BF66" i="38"/>
  <c r="BF52" i="38"/>
  <c r="BU23" i="38"/>
  <c r="BU49" i="38" s="1"/>
  <c r="AC23" i="38"/>
  <c r="AC49" i="38" s="1"/>
  <c r="CX51" i="38"/>
  <c r="CX65" i="38"/>
  <c r="BW28" i="30"/>
  <c r="BW43" i="30" s="1"/>
  <c r="BW14" i="30"/>
  <c r="BW34" i="30" s="1"/>
  <c r="BW11" i="30"/>
  <c r="BW39" i="30" s="1"/>
  <c r="BW9" i="30"/>
  <c r="BW7" i="30"/>
  <c r="BW5" i="30"/>
  <c r="BW3" i="30"/>
  <c r="BW32" i="30" s="1"/>
  <c r="BW2" i="42"/>
  <c r="BW38" i="42" s="1"/>
  <c r="BW2" i="43"/>
  <c r="BW38" i="43" s="1"/>
  <c r="BW6" i="42"/>
  <c r="BW47" i="42" s="1"/>
  <c r="BW6" i="43"/>
  <c r="BW47" i="43" s="1"/>
  <c r="BW10" i="42"/>
  <c r="BW46" i="42" s="1"/>
  <c r="BW45" i="42" s="1"/>
  <c r="BW10" i="43"/>
  <c r="BW46" i="43" s="1"/>
  <c r="BW14" i="42"/>
  <c r="BW34" i="42" s="1"/>
  <c r="BW14" i="43"/>
  <c r="BW34" i="43" s="1"/>
  <c r="BW18" i="42"/>
  <c r="BW18" i="43"/>
  <c r="BW22" i="42"/>
  <c r="BW37" i="42" s="1"/>
  <c r="BW22" i="43"/>
  <c r="BW37" i="43" s="1"/>
  <c r="BW26" i="42"/>
  <c r="BW36" i="42" s="1"/>
  <c r="BW26" i="43"/>
  <c r="BW36" i="43" s="1"/>
  <c r="BW30" i="42"/>
  <c r="BW35" i="42" s="1"/>
  <c r="BW30" i="43"/>
  <c r="BW35" i="43" s="1"/>
  <c r="BT3" i="42"/>
  <c r="BT32" i="42" s="1"/>
  <c r="BT3" i="43"/>
  <c r="BT32" i="43" s="1"/>
  <c r="BT7" i="42"/>
  <c r="BT7" i="43"/>
  <c r="BT11" i="42"/>
  <c r="BT39" i="42" s="1"/>
  <c r="BT11" i="43"/>
  <c r="BT39" i="43" s="1"/>
  <c r="BT15" i="42"/>
  <c r="BT44" i="42" s="1"/>
  <c r="BT15" i="43"/>
  <c r="BT44" i="43" s="1"/>
  <c r="BT19" i="42"/>
  <c r="BT42" i="42" s="1"/>
  <c r="BT19" i="43"/>
  <c r="BT42" i="43" s="1"/>
  <c r="BT23" i="42"/>
  <c r="BT49" i="42" s="1"/>
  <c r="BT23" i="43"/>
  <c r="BT49" i="43" s="1"/>
  <c r="BT27" i="42"/>
  <c r="BT27" i="43"/>
  <c r="BP12" i="30"/>
  <c r="BP8" i="30"/>
  <c r="BP41" i="30" s="1"/>
  <c r="BP4" i="30"/>
  <c r="BP40" i="30" s="1"/>
  <c r="BP2" i="42"/>
  <c r="BP38" i="42" s="1"/>
  <c r="BP2" i="43"/>
  <c r="BP38" i="43" s="1"/>
  <c r="BP6" i="42"/>
  <c r="BP47" i="42" s="1"/>
  <c r="BP6" i="43"/>
  <c r="BP47" i="43" s="1"/>
  <c r="BP10" i="42"/>
  <c r="BP46" i="42" s="1"/>
  <c r="BP10" i="43"/>
  <c r="BP46" i="43" s="1"/>
  <c r="BP14" i="42"/>
  <c r="BP34" i="42" s="1"/>
  <c r="BP14" i="43"/>
  <c r="BP34" i="43" s="1"/>
  <c r="BP18" i="42"/>
  <c r="BP18" i="43"/>
  <c r="BP22" i="42"/>
  <c r="BP37" i="42" s="1"/>
  <c r="BP22" i="43"/>
  <c r="BP37" i="43" s="1"/>
  <c r="BP26" i="42"/>
  <c r="BP36" i="42" s="1"/>
  <c r="BP26" i="43"/>
  <c r="BP36" i="43" s="1"/>
  <c r="BP30" i="42"/>
  <c r="BP35" i="42" s="1"/>
  <c r="BP30" i="43"/>
  <c r="BP35" i="43" s="1"/>
  <c r="BL29" i="30"/>
  <c r="BL27" i="30"/>
  <c r="BL25" i="30"/>
  <c r="BL23" i="30"/>
  <c r="BL49" i="30" s="1"/>
  <c r="BL21" i="30"/>
  <c r="BL19" i="30"/>
  <c r="BL42" i="30" s="1"/>
  <c r="BL17" i="30"/>
  <c r="BL15" i="30"/>
  <c r="BL44" i="30" s="1"/>
  <c r="BL13" i="30"/>
  <c r="BL33" i="30" s="1"/>
  <c r="BL10" i="30"/>
  <c r="BL46" i="30" s="1"/>
  <c r="BL6" i="30"/>
  <c r="BL47" i="30" s="1"/>
  <c r="BL5" i="30"/>
  <c r="BL3" i="30"/>
  <c r="BL32" i="30" s="1"/>
  <c r="BL4" i="42"/>
  <c r="BL40" i="42" s="1"/>
  <c r="BL4" i="43"/>
  <c r="BL40" i="43" s="1"/>
  <c r="BL8" i="42"/>
  <c r="BL41" i="42" s="1"/>
  <c r="BL8" i="43"/>
  <c r="BL41" i="43" s="1"/>
  <c r="BL12" i="42"/>
  <c r="BL12" i="43"/>
  <c r="BL16" i="42"/>
  <c r="BL16" i="43"/>
  <c r="BL20" i="42"/>
  <c r="BL20" i="43"/>
  <c r="BL24" i="42"/>
  <c r="BL24" i="43"/>
  <c r="BL28" i="42"/>
  <c r="BL43" i="42" s="1"/>
  <c r="BL28" i="43"/>
  <c r="BL43" i="43" s="1"/>
  <c r="BY9" i="30"/>
  <c r="BY5" i="30"/>
  <c r="BY3" i="30"/>
  <c r="BY32" i="30" s="1"/>
  <c r="BY2" i="42"/>
  <c r="BY38" i="42" s="1"/>
  <c r="BY2" i="43"/>
  <c r="BY38" i="43" s="1"/>
  <c r="BY6" i="42"/>
  <c r="BY47" i="42" s="1"/>
  <c r="BY6" i="43"/>
  <c r="BY47" i="43" s="1"/>
  <c r="BY10" i="42"/>
  <c r="BY46" i="42" s="1"/>
  <c r="BY10" i="43"/>
  <c r="BY46" i="43" s="1"/>
  <c r="BY14" i="42"/>
  <c r="BY34" i="42" s="1"/>
  <c r="BY14" i="43"/>
  <c r="BY34" i="43" s="1"/>
  <c r="BY18" i="42"/>
  <c r="BY18" i="43"/>
  <c r="BY22" i="42"/>
  <c r="BY37" i="42" s="1"/>
  <c r="BY22" i="43"/>
  <c r="BY37" i="43" s="1"/>
  <c r="BY26" i="42"/>
  <c r="BY36" i="42" s="1"/>
  <c r="BY26" i="43"/>
  <c r="BY36" i="43" s="1"/>
  <c r="BY30" i="42"/>
  <c r="BY35" i="42" s="1"/>
  <c r="BY30" i="43"/>
  <c r="BY35" i="43" s="1"/>
  <c r="BE6" i="30"/>
  <c r="BE47" i="30" s="1"/>
  <c r="BE30" i="30"/>
  <c r="BE35" i="30" s="1"/>
  <c r="BE26" i="30"/>
  <c r="BE36" i="30" s="1"/>
  <c r="BE22" i="30"/>
  <c r="BE37" i="30" s="1"/>
  <c r="BE18" i="30"/>
  <c r="BE14" i="30"/>
  <c r="BE34" i="30" s="1"/>
  <c r="BE7" i="30"/>
  <c r="BE5" i="42"/>
  <c r="BE5" i="43"/>
  <c r="BE9" i="42"/>
  <c r="BE9" i="43"/>
  <c r="BE13" i="42"/>
  <c r="BE33" i="42" s="1"/>
  <c r="BE13" i="43"/>
  <c r="BE33" i="43" s="1"/>
  <c r="BE17" i="42"/>
  <c r="BE17" i="43"/>
  <c r="BE21" i="42"/>
  <c r="BE21" i="43"/>
  <c r="BE25" i="42"/>
  <c r="BE25" i="43"/>
  <c r="BE29" i="42"/>
  <c r="BE29" i="43"/>
  <c r="AY25" i="38"/>
  <c r="AY26" i="38"/>
  <c r="AY28" i="38"/>
  <c r="AY21" i="38"/>
  <c r="AY23" i="38"/>
  <c r="AY6" i="38"/>
  <c r="AY24" i="38"/>
  <c r="AY10" i="38"/>
  <c r="BN66" i="38"/>
  <c r="BN52" i="38"/>
  <c r="X26" i="42"/>
  <c r="X36" i="42" s="1"/>
  <c r="X26" i="43"/>
  <c r="X36" i="43" s="1"/>
  <c r="X6" i="42"/>
  <c r="X47" i="42" s="1"/>
  <c r="X6" i="43"/>
  <c r="X47" i="43" s="1"/>
  <c r="X28" i="42"/>
  <c r="X43" i="42" s="1"/>
  <c r="X28" i="43"/>
  <c r="X43" i="43" s="1"/>
  <c r="X27" i="30"/>
  <c r="X23" i="30"/>
  <c r="X49" i="30" s="1"/>
  <c r="X19" i="30"/>
  <c r="X42" i="30" s="1"/>
  <c r="X15" i="30"/>
  <c r="X44" i="30" s="1"/>
  <c r="X10" i="30"/>
  <c r="X46" i="30" s="1"/>
  <c r="X3" i="30"/>
  <c r="X32" i="30" s="1"/>
  <c r="X9" i="42"/>
  <c r="X9" i="43"/>
  <c r="X17" i="42"/>
  <c r="X17" i="43"/>
  <c r="X25" i="42"/>
  <c r="X25" i="43"/>
  <c r="X9" i="30"/>
  <c r="J12" i="30"/>
  <c r="J7" i="30"/>
  <c r="J27" i="30"/>
  <c r="J23" i="30"/>
  <c r="J49" i="30" s="1"/>
  <c r="J19" i="30"/>
  <c r="J42" i="30" s="1"/>
  <c r="J15" i="30"/>
  <c r="J44" i="30" s="1"/>
  <c r="J5" i="30"/>
  <c r="J5" i="42"/>
  <c r="J5" i="43"/>
  <c r="J9" i="42"/>
  <c r="J9" i="43"/>
  <c r="J13" i="42"/>
  <c r="J33" i="42" s="1"/>
  <c r="J13" i="43"/>
  <c r="J33" i="43" s="1"/>
  <c r="J17" i="42"/>
  <c r="J17" i="43"/>
  <c r="J21" i="42"/>
  <c r="J21" i="43"/>
  <c r="J25" i="42"/>
  <c r="J25" i="43"/>
  <c r="J29" i="42"/>
  <c r="J29" i="43"/>
  <c r="CU54" i="38"/>
  <c r="CU68" i="38"/>
  <c r="DL73" i="38"/>
  <c r="DN73" i="38" s="1"/>
  <c r="DL59" i="38"/>
  <c r="DN59" i="38" s="1"/>
  <c r="DL55" i="38"/>
  <c r="DN55" i="38" s="1"/>
  <c r="DL69" i="38"/>
  <c r="DN69" i="38" s="1"/>
  <c r="CU66" i="38"/>
  <c r="CU52" i="38"/>
  <c r="DL50" i="38"/>
  <c r="DL64" i="38"/>
  <c r="DN64" i="38" s="1"/>
  <c r="AN9" i="38"/>
  <c r="DK25" i="38"/>
  <c r="BC52" i="38"/>
  <c r="BC66" i="38"/>
  <c r="BC64" i="38"/>
  <c r="BC50" i="38"/>
  <c r="AN8" i="38"/>
  <c r="AN22" i="38"/>
  <c r="DL58" i="38"/>
  <c r="DN58" i="38" s="1"/>
  <c r="DL72" i="38"/>
  <c r="DN72" i="38" s="1"/>
  <c r="AN2" i="38"/>
  <c r="DK9" i="38"/>
  <c r="DK24" i="38"/>
  <c r="BC65" i="38"/>
  <c r="BC51" i="38"/>
  <c r="AN6" i="38"/>
  <c r="DK15" i="38"/>
  <c r="DK44" i="38" s="1"/>
  <c r="AN21" i="38"/>
  <c r="DK22" i="38"/>
  <c r="DK37" i="38" s="1"/>
  <c r="AN11" i="38"/>
  <c r="DK18" i="38"/>
  <c r="DK27" i="38"/>
  <c r="CF23" i="38"/>
  <c r="BN23" i="42"/>
  <c r="BN49" i="42" s="1"/>
  <c r="BN23" i="43"/>
  <c r="BN49" i="43" s="1"/>
  <c r="BN29" i="42"/>
  <c r="BN29" i="43"/>
  <c r="BN19" i="42"/>
  <c r="BN42" i="42" s="1"/>
  <c r="BN19" i="43"/>
  <c r="BN42" i="43" s="1"/>
  <c r="BN25" i="42"/>
  <c r="BN25" i="43"/>
  <c r="BN3" i="30"/>
  <c r="BN32" i="30" s="1"/>
  <c r="BN8" i="42"/>
  <c r="BN41" i="42" s="1"/>
  <c r="BN8" i="43"/>
  <c r="BN41" i="43" s="1"/>
  <c r="BN16" i="42"/>
  <c r="BN16" i="43"/>
  <c r="BN24" i="42"/>
  <c r="BN24" i="43"/>
  <c r="BN11" i="30"/>
  <c r="BN39" i="30" s="1"/>
  <c r="BN7" i="30"/>
  <c r="M28" i="30"/>
  <c r="M43" i="30" s="1"/>
  <c r="M20" i="30"/>
  <c r="M29" i="30"/>
  <c r="M21" i="30"/>
  <c r="M13" i="30"/>
  <c r="M33" i="30" s="1"/>
  <c r="M9" i="30"/>
  <c r="M5" i="30"/>
  <c r="M2" i="42"/>
  <c r="M38" i="42" s="1"/>
  <c r="M2" i="43"/>
  <c r="M38" i="43" s="1"/>
  <c r="M6" i="42"/>
  <c r="M47" i="42" s="1"/>
  <c r="M6" i="43"/>
  <c r="M47" i="43" s="1"/>
  <c r="M10" i="42"/>
  <c r="M46" i="42" s="1"/>
  <c r="M10" i="43"/>
  <c r="M46" i="43" s="1"/>
  <c r="M14" i="42"/>
  <c r="M34" i="42" s="1"/>
  <c r="M14" i="43"/>
  <c r="M34" i="43" s="1"/>
  <c r="M18" i="42"/>
  <c r="M18" i="43"/>
  <c r="M22" i="42"/>
  <c r="M37" i="42" s="1"/>
  <c r="M22" i="43"/>
  <c r="M37" i="43" s="1"/>
  <c r="M26" i="42"/>
  <c r="M36" i="42" s="1"/>
  <c r="M26" i="43"/>
  <c r="M36" i="43" s="1"/>
  <c r="M30" i="42"/>
  <c r="M35" i="42" s="1"/>
  <c r="M30" i="43"/>
  <c r="M35" i="43" s="1"/>
  <c r="R57" i="32"/>
  <c r="R71" i="32"/>
  <c r="O56" i="32"/>
  <c r="O70" i="32"/>
  <c r="P69" i="32"/>
  <c r="P55" i="32"/>
  <c r="N70" i="32"/>
  <c r="N56" i="32"/>
  <c r="Q53" i="32"/>
  <c r="Q67" i="32"/>
  <c r="E59" i="32"/>
  <c r="E73" i="32"/>
  <c r="K57" i="32"/>
  <c r="K71" i="32"/>
  <c r="Q58" i="32"/>
  <c r="Q72" i="32"/>
  <c r="K47" i="32"/>
  <c r="K45" i="32" s="1"/>
  <c r="Q75" i="32"/>
  <c r="Q61" i="32"/>
  <c r="Q45" i="32"/>
  <c r="N53" i="32"/>
  <c r="N67" i="32"/>
  <c r="Q66" i="32"/>
  <c r="Q52" i="32"/>
  <c r="E76" i="32"/>
  <c r="E62" i="32"/>
  <c r="O61" i="32"/>
  <c r="O75" i="32"/>
  <c r="Q59" i="32"/>
  <c r="Q73" i="32"/>
  <c r="K51" i="32"/>
  <c r="K65" i="32"/>
  <c r="E68" i="32"/>
  <c r="E54" i="32"/>
  <c r="R64" i="32"/>
  <c r="R50" i="32"/>
  <c r="O31" i="32"/>
  <c r="O67" i="32"/>
  <c r="O53" i="32"/>
  <c r="E71" i="32"/>
  <c r="E57" i="32"/>
  <c r="O72" i="32"/>
  <c r="O58" i="32"/>
  <c r="O74" i="32"/>
  <c r="O60" i="32"/>
  <c r="Q51" i="32"/>
  <c r="Q65" i="32"/>
  <c r="P66" i="32"/>
  <c r="P52" i="32"/>
  <c r="K73" i="32"/>
  <c r="K59" i="32"/>
  <c r="AO68" i="32"/>
  <c r="AO54" i="32"/>
  <c r="AB69" i="32"/>
  <c r="AB55" i="32"/>
  <c r="Z14" i="32"/>
  <c r="Z34" i="32"/>
  <c r="Z22" i="32"/>
  <c r="Z37" i="32"/>
  <c r="AO64" i="32"/>
  <c r="AO50" i="32"/>
  <c r="AB75" i="32"/>
  <c r="AB61" i="32"/>
  <c r="AO69" i="32"/>
  <c r="AO55" i="32"/>
  <c r="Z5" i="32"/>
  <c r="Z13" i="32"/>
  <c r="Z65" i="32"/>
  <c r="AB74" i="32"/>
  <c r="AB60" i="32"/>
  <c r="AB72" i="32"/>
  <c r="AB58" i="32"/>
  <c r="AD3" i="18"/>
  <c r="AD32" i="18" s="1"/>
  <c r="BV3" i="18"/>
  <c r="BV32" i="18" s="1"/>
  <c r="BV12" i="18"/>
  <c r="AD12" i="18"/>
  <c r="BV28" i="18"/>
  <c r="BV43" i="18" s="1"/>
  <c r="AD28" i="18"/>
  <c r="AD43" i="18" s="1"/>
  <c r="BV25" i="18"/>
  <c r="AD25" i="18"/>
  <c r="BV19" i="18"/>
  <c r="BV42" i="18" s="1"/>
  <c r="AD19" i="18"/>
  <c r="AD42" i="18" s="1"/>
  <c r="BV21" i="18"/>
  <c r="AD21" i="18"/>
  <c r="BV14" i="18"/>
  <c r="BV34" i="18" s="1"/>
  <c r="AD14" i="18"/>
  <c r="AD34" i="18" s="1"/>
  <c r="BV30" i="18"/>
  <c r="BV35" i="18" s="1"/>
  <c r="AD30" i="18"/>
  <c r="AD35" i="18" s="1"/>
  <c r="BG53" i="38"/>
  <c r="BG67" i="38"/>
  <c r="CY52" i="38"/>
  <c r="CY66" i="38"/>
  <c r="Q64" i="38"/>
  <c r="Q50" i="38"/>
  <c r="BV7" i="38"/>
  <c r="AD7" i="38"/>
  <c r="BV26" i="38"/>
  <c r="BV36" i="38" s="1"/>
  <c r="AD26" i="38"/>
  <c r="AD36" i="38" s="1"/>
  <c r="CY76" i="38"/>
  <c r="CY62" i="38"/>
  <c r="Q66" i="38"/>
  <c r="Q52" i="38"/>
  <c r="BV17" i="38"/>
  <c r="AD17" i="38"/>
  <c r="BG69" i="38"/>
  <c r="BG55" i="38"/>
  <c r="Q68" i="38"/>
  <c r="Q54" i="38"/>
  <c r="Q62" i="38"/>
  <c r="Q76" i="38"/>
  <c r="CY68" i="38"/>
  <c r="CY54" i="38"/>
  <c r="BV27" i="38"/>
  <c r="AD27" i="38"/>
  <c r="AD15" i="38"/>
  <c r="AD44" i="38" s="1"/>
  <c r="BV15" i="38"/>
  <c r="BV44" i="38" s="1"/>
  <c r="CY69" i="38"/>
  <c r="CY55" i="38"/>
  <c r="BR11" i="30"/>
  <c r="BR39" i="30" s="1"/>
  <c r="BR29" i="30"/>
  <c r="BR27" i="30"/>
  <c r="BR25" i="30"/>
  <c r="BR23" i="30"/>
  <c r="BR49" i="30" s="1"/>
  <c r="BR21" i="30"/>
  <c r="BR19" i="30"/>
  <c r="BR42" i="30" s="1"/>
  <c r="BR17" i="30"/>
  <c r="BR15" i="30"/>
  <c r="BR44" i="30" s="1"/>
  <c r="BR13" i="30"/>
  <c r="BR33" i="30" s="1"/>
  <c r="BR3" i="42"/>
  <c r="BR32" i="42" s="1"/>
  <c r="BR3" i="43"/>
  <c r="BR32" i="43" s="1"/>
  <c r="BR7" i="42"/>
  <c r="BR7" i="43"/>
  <c r="BR11" i="42"/>
  <c r="BR39" i="42" s="1"/>
  <c r="BR11" i="43"/>
  <c r="BR39" i="43" s="1"/>
  <c r="BR15" i="42"/>
  <c r="BR44" i="42" s="1"/>
  <c r="BR15" i="43"/>
  <c r="BR44" i="43" s="1"/>
  <c r="BR19" i="42"/>
  <c r="BR42" i="42" s="1"/>
  <c r="BR19" i="43"/>
  <c r="BR42" i="43" s="1"/>
  <c r="BR23" i="42"/>
  <c r="BR49" i="42" s="1"/>
  <c r="BR23" i="43"/>
  <c r="BR49" i="43" s="1"/>
  <c r="BR27" i="42"/>
  <c r="BR27" i="43"/>
  <c r="BC30" i="30"/>
  <c r="BC35" i="30" s="1"/>
  <c r="BC26" i="30"/>
  <c r="BC36" i="30" s="1"/>
  <c r="BC22" i="30"/>
  <c r="BC37" i="30" s="1"/>
  <c r="BC18" i="30"/>
  <c r="BC14" i="30"/>
  <c r="BC34" i="30" s="1"/>
  <c r="BC29" i="30"/>
  <c r="BC25" i="30"/>
  <c r="BC21" i="30"/>
  <c r="BC17" i="30"/>
  <c r="BC13" i="30"/>
  <c r="BC33" i="30" s="1"/>
  <c r="BC12" i="30"/>
  <c r="BC10" i="30"/>
  <c r="BC46" i="30" s="1"/>
  <c r="BC45" i="30" s="1"/>
  <c r="BC8" i="30"/>
  <c r="BC41" i="30" s="1"/>
  <c r="BC6" i="30"/>
  <c r="BC47" i="30" s="1"/>
  <c r="BC4" i="30"/>
  <c r="BC40" i="30" s="1"/>
  <c r="BC4" i="42"/>
  <c r="BC40" i="42" s="1"/>
  <c r="BC4" i="43"/>
  <c r="BC40" i="43" s="1"/>
  <c r="BC8" i="42"/>
  <c r="BC41" i="42" s="1"/>
  <c r="BC8" i="43"/>
  <c r="BC41" i="43" s="1"/>
  <c r="BC12" i="42"/>
  <c r="BC12" i="43"/>
  <c r="BC16" i="42"/>
  <c r="BC16" i="43"/>
  <c r="BC20" i="42"/>
  <c r="BC20" i="43"/>
  <c r="BC24" i="42"/>
  <c r="BC24" i="43"/>
  <c r="BC28" i="42"/>
  <c r="BC43" i="42" s="1"/>
  <c r="BC28" i="43"/>
  <c r="BC43" i="43" s="1"/>
  <c r="W11" i="16"/>
  <c r="W39" i="16" s="1"/>
  <c r="H71" i="16"/>
  <c r="H57" i="16"/>
  <c r="H66" i="16"/>
  <c r="H52" i="16"/>
  <c r="H42" i="16"/>
  <c r="J42" i="16" s="1"/>
  <c r="Z12" i="30"/>
  <c r="Z11" i="30"/>
  <c r="Z39" i="30" s="1"/>
  <c r="Z29" i="30"/>
  <c r="Z25" i="30"/>
  <c r="Z21" i="30"/>
  <c r="Z17" i="30"/>
  <c r="Z13" i="30"/>
  <c r="Z33" i="30" s="1"/>
  <c r="Z3" i="42"/>
  <c r="Z32" i="42" s="1"/>
  <c r="Z3" i="43"/>
  <c r="Z32" i="43" s="1"/>
  <c r="Z7" i="42"/>
  <c r="Z7" i="43"/>
  <c r="Z11" i="42"/>
  <c r="Z39" i="42" s="1"/>
  <c r="Z11" i="43"/>
  <c r="Z39" i="43" s="1"/>
  <c r="Z15" i="42"/>
  <c r="Z44" i="42" s="1"/>
  <c r="Z15" i="43"/>
  <c r="Z44" i="43" s="1"/>
  <c r="Z19" i="42"/>
  <c r="Z42" i="42" s="1"/>
  <c r="Z19" i="43"/>
  <c r="Z42" i="43" s="1"/>
  <c r="Z23" i="42"/>
  <c r="Z49" i="42" s="1"/>
  <c r="Z23" i="43"/>
  <c r="Z49" i="43" s="1"/>
  <c r="Z27" i="42"/>
  <c r="Z27" i="43"/>
  <c r="S8" i="30"/>
  <c r="S41" i="30" s="1"/>
  <c r="S29" i="30"/>
  <c r="S25" i="30"/>
  <c r="S21" i="30"/>
  <c r="S17" i="30"/>
  <c r="S13" i="30"/>
  <c r="S33" i="30" s="1"/>
  <c r="S5" i="30"/>
  <c r="S2" i="42"/>
  <c r="S38" i="42" s="1"/>
  <c r="S2" i="43"/>
  <c r="S38" i="43" s="1"/>
  <c r="S6" i="42"/>
  <c r="S47" i="42" s="1"/>
  <c r="S6" i="43"/>
  <c r="S47" i="43" s="1"/>
  <c r="S10" i="42"/>
  <c r="S46" i="42" s="1"/>
  <c r="S10" i="43"/>
  <c r="S46" i="43" s="1"/>
  <c r="S14" i="42"/>
  <c r="S34" i="42" s="1"/>
  <c r="S14" i="43"/>
  <c r="S34" i="43" s="1"/>
  <c r="S18" i="42"/>
  <c r="S18" i="43"/>
  <c r="S22" i="42"/>
  <c r="S37" i="42" s="1"/>
  <c r="S22" i="43"/>
  <c r="S37" i="43" s="1"/>
  <c r="S26" i="42"/>
  <c r="S36" i="42" s="1"/>
  <c r="S26" i="43"/>
  <c r="S36" i="43" s="1"/>
  <c r="S30" i="42"/>
  <c r="S35" i="42" s="1"/>
  <c r="S30" i="43"/>
  <c r="S35" i="43" s="1"/>
  <c r="H73" i="16"/>
  <c r="H59" i="16"/>
  <c r="BR6" i="30"/>
  <c r="BR47" i="30" s="1"/>
  <c r="BR4" i="42"/>
  <c r="BR40" i="42" s="1"/>
  <c r="BR4" i="43"/>
  <c r="BR40" i="43" s="1"/>
  <c r="BR8" i="42"/>
  <c r="BR41" i="42" s="1"/>
  <c r="BR8" i="43"/>
  <c r="BR41" i="43" s="1"/>
  <c r="BR12" i="42"/>
  <c r="BR12" i="43"/>
  <c r="BR16" i="42"/>
  <c r="BR16" i="43"/>
  <c r="BR20" i="42"/>
  <c r="BR20" i="43"/>
  <c r="BR24" i="42"/>
  <c r="BR24" i="43"/>
  <c r="BR28" i="42"/>
  <c r="BR43" i="42" s="1"/>
  <c r="BR28" i="43"/>
  <c r="BR43" i="43" s="1"/>
  <c r="BC5" i="42"/>
  <c r="BC5" i="43"/>
  <c r="BC9" i="42"/>
  <c r="BC9" i="43"/>
  <c r="BC13" i="42"/>
  <c r="BC33" i="42" s="1"/>
  <c r="BC13" i="43"/>
  <c r="BC33" i="43" s="1"/>
  <c r="BC17" i="42"/>
  <c r="BC17" i="43"/>
  <c r="BC21" i="42"/>
  <c r="BC21" i="43"/>
  <c r="BC25" i="42"/>
  <c r="BC25" i="43"/>
  <c r="BC29" i="42"/>
  <c r="BC29" i="43"/>
  <c r="H36" i="16"/>
  <c r="J36" i="16" s="1"/>
  <c r="Z6" i="30"/>
  <c r="Z47" i="30" s="1"/>
  <c r="Z9" i="30"/>
  <c r="Z28" i="30"/>
  <c r="Z43" i="30" s="1"/>
  <c r="Z24" i="30"/>
  <c r="Z20" i="30"/>
  <c r="Z16" i="30"/>
  <c r="Z5" i="30"/>
  <c r="Z4" i="42"/>
  <c r="Z40" i="42" s="1"/>
  <c r="Z4" i="43"/>
  <c r="Z40" i="43" s="1"/>
  <c r="Z8" i="42"/>
  <c r="Z41" i="42" s="1"/>
  <c r="Z8" i="43"/>
  <c r="Z41" i="43" s="1"/>
  <c r="Z12" i="42"/>
  <c r="Z12" i="43"/>
  <c r="Z16" i="42"/>
  <c r="Z16" i="43"/>
  <c r="Z20" i="42"/>
  <c r="Z20" i="43"/>
  <c r="Z24" i="42"/>
  <c r="Z24" i="43"/>
  <c r="Z28" i="42"/>
  <c r="Z43" i="42" s="1"/>
  <c r="Z28" i="43"/>
  <c r="Z43" i="43" s="1"/>
  <c r="S6" i="30"/>
  <c r="S47" i="30" s="1"/>
  <c r="S28" i="30"/>
  <c r="S43" i="30" s="1"/>
  <c r="S24" i="30"/>
  <c r="S20" i="30"/>
  <c r="S16" i="30"/>
  <c r="S11" i="30"/>
  <c r="S39" i="30" s="1"/>
  <c r="S4" i="30"/>
  <c r="S40" i="30" s="1"/>
  <c r="S3" i="42"/>
  <c r="S32" i="42" s="1"/>
  <c r="S3" i="43"/>
  <c r="S32" i="43" s="1"/>
  <c r="S7" i="42"/>
  <c r="S7" i="43"/>
  <c r="S11" i="42"/>
  <c r="S39" i="42" s="1"/>
  <c r="S11" i="43"/>
  <c r="S39" i="43" s="1"/>
  <c r="S15" i="42"/>
  <c r="S44" i="42" s="1"/>
  <c r="S15" i="43"/>
  <c r="S44" i="43" s="1"/>
  <c r="S19" i="42"/>
  <c r="S42" i="42" s="1"/>
  <c r="S19" i="43"/>
  <c r="S42" i="43" s="1"/>
  <c r="S23" i="42"/>
  <c r="S49" i="42" s="1"/>
  <c r="S23" i="43"/>
  <c r="S49" i="43" s="1"/>
  <c r="S27" i="42"/>
  <c r="S27" i="43"/>
  <c r="O6" i="30"/>
  <c r="O47" i="30" s="1"/>
  <c r="O27" i="30"/>
  <c r="O23" i="30"/>
  <c r="O49" i="30" s="1"/>
  <c r="O19" i="30"/>
  <c r="O42" i="30" s="1"/>
  <c r="O15" i="30"/>
  <c r="O44" i="30" s="1"/>
  <c r="O9" i="30"/>
  <c r="O3" i="30"/>
  <c r="O32" i="30" s="1"/>
  <c r="O4" i="42"/>
  <c r="O40" i="42" s="1"/>
  <c r="O4" i="43"/>
  <c r="O40" i="43" s="1"/>
  <c r="O8" i="42"/>
  <c r="O41" i="42" s="1"/>
  <c r="O8" i="43"/>
  <c r="O41" i="43" s="1"/>
  <c r="O12" i="42"/>
  <c r="O12" i="43"/>
  <c r="O16" i="42"/>
  <c r="O16" i="43"/>
  <c r="O20" i="42"/>
  <c r="O20" i="43"/>
  <c r="O24" i="42"/>
  <c r="O24" i="43"/>
  <c r="O28" i="42"/>
  <c r="O43" i="42" s="1"/>
  <c r="O28" i="43"/>
  <c r="O43" i="43" s="1"/>
  <c r="K7" i="30"/>
  <c r="K27" i="30"/>
  <c r="K23" i="30"/>
  <c r="K49" i="30" s="1"/>
  <c r="K19" i="30"/>
  <c r="K42" i="30" s="1"/>
  <c r="K15" i="30"/>
  <c r="K44" i="30" s="1"/>
  <c r="K10" i="30"/>
  <c r="K46" i="30" s="1"/>
  <c r="K45" i="30" s="1"/>
  <c r="K4" i="30"/>
  <c r="K40" i="30" s="1"/>
  <c r="K3" i="42"/>
  <c r="K32" i="42" s="1"/>
  <c r="K3" i="43"/>
  <c r="K32" i="43" s="1"/>
  <c r="K7" i="42"/>
  <c r="K7" i="43"/>
  <c r="K11" i="42"/>
  <c r="K39" i="42" s="1"/>
  <c r="K11" i="43"/>
  <c r="K39" i="43" s="1"/>
  <c r="K15" i="42"/>
  <c r="K44" i="42" s="1"/>
  <c r="K15" i="43"/>
  <c r="K44" i="43" s="1"/>
  <c r="K19" i="42"/>
  <c r="K42" i="42" s="1"/>
  <c r="K19" i="43"/>
  <c r="K42" i="43" s="1"/>
  <c r="K23" i="42"/>
  <c r="K49" i="42" s="1"/>
  <c r="K23" i="43"/>
  <c r="K49" i="43" s="1"/>
  <c r="K27" i="42"/>
  <c r="K27" i="43"/>
  <c r="H5" i="42"/>
  <c r="H5" i="43"/>
  <c r="H3" i="42"/>
  <c r="H32" i="42" s="1"/>
  <c r="H3" i="43"/>
  <c r="H32" i="43" s="1"/>
  <c r="H9" i="42"/>
  <c r="H9" i="43"/>
  <c r="H15" i="42"/>
  <c r="H44" i="42" s="1"/>
  <c r="H15" i="43"/>
  <c r="H44" i="43" s="1"/>
  <c r="H28" i="30"/>
  <c r="H43" i="30" s="1"/>
  <c r="H24" i="30"/>
  <c r="H20" i="30"/>
  <c r="H16" i="30"/>
  <c r="H12" i="30"/>
  <c r="H3" i="30"/>
  <c r="H32" i="30" s="1"/>
  <c r="H8" i="42"/>
  <c r="H41" i="42" s="1"/>
  <c r="H8" i="43"/>
  <c r="H41" i="43" s="1"/>
  <c r="H16" i="42"/>
  <c r="H16" i="43"/>
  <c r="H24" i="42"/>
  <c r="H24" i="43"/>
  <c r="H4" i="30"/>
  <c r="H40" i="30" s="1"/>
  <c r="AM34" i="32"/>
  <c r="AL14" i="32"/>
  <c r="AL20" i="32"/>
  <c r="AL5" i="32"/>
  <c r="AL18" i="32"/>
  <c r="AL29" i="32"/>
  <c r="AL27" i="32"/>
  <c r="AL13" i="32"/>
  <c r="AM33" i="32"/>
  <c r="D30" i="30"/>
  <c r="D26" i="30"/>
  <c r="D22" i="30"/>
  <c r="D18" i="30"/>
  <c r="D14" i="30"/>
  <c r="D7" i="30"/>
  <c r="D2" i="42"/>
  <c r="G2" i="32"/>
  <c r="G38" i="32" s="1"/>
  <c r="D2" i="43"/>
  <c r="D6" i="42"/>
  <c r="G6" i="32"/>
  <c r="G47" i="32" s="1"/>
  <c r="D6" i="43"/>
  <c r="D10" i="42"/>
  <c r="G10" i="32"/>
  <c r="G46" i="32" s="1"/>
  <c r="D10" i="43"/>
  <c r="D14" i="42"/>
  <c r="G14" i="32"/>
  <c r="G34" i="32" s="1"/>
  <c r="D14" i="43"/>
  <c r="D18" i="42"/>
  <c r="G18" i="32"/>
  <c r="D18" i="43"/>
  <c r="D22" i="42"/>
  <c r="G22" i="32"/>
  <c r="G37" i="32" s="1"/>
  <c r="D22" i="43"/>
  <c r="D26" i="42"/>
  <c r="G26" i="32"/>
  <c r="G36" i="32" s="1"/>
  <c r="D26" i="43"/>
  <c r="D30" i="42"/>
  <c r="G30" i="32"/>
  <c r="G35" i="32" s="1"/>
  <c r="D30" i="43"/>
  <c r="L12" i="32"/>
  <c r="L7" i="32"/>
  <c r="L15" i="32"/>
  <c r="L4" i="32"/>
  <c r="L21" i="32"/>
  <c r="L25" i="32"/>
  <c r="L29" i="32"/>
  <c r="AA72" i="32"/>
  <c r="AA58" i="32"/>
  <c r="AC58" i="32" s="1"/>
  <c r="J64" i="32"/>
  <c r="J50" i="32"/>
  <c r="AA73" i="32"/>
  <c r="AC73" i="32" s="1"/>
  <c r="AA59" i="32"/>
  <c r="AC59" i="32" s="1"/>
  <c r="AJ67" i="32"/>
  <c r="AJ53" i="32"/>
  <c r="J74" i="32"/>
  <c r="J60" i="32"/>
  <c r="AA68" i="32"/>
  <c r="AA54" i="32"/>
  <c r="AJ70" i="32"/>
  <c r="AJ56" i="32"/>
  <c r="J71" i="32"/>
  <c r="J57" i="32"/>
  <c r="D32" i="32"/>
  <c r="D59" i="32"/>
  <c r="D73" i="32"/>
  <c r="D39" i="32"/>
  <c r="D44" i="32"/>
  <c r="D42" i="32"/>
  <c r="D49" i="32"/>
  <c r="D71" i="32"/>
  <c r="D57" i="32"/>
  <c r="Z3" i="32"/>
  <c r="Z7" i="32"/>
  <c r="Z39" i="32"/>
  <c r="Z11" i="32"/>
  <c r="Z15" i="32"/>
  <c r="Z44" i="32"/>
  <c r="Z42" i="32"/>
  <c r="Z19" i="32"/>
  <c r="Z23" i="32"/>
  <c r="Z76" i="32"/>
  <c r="Z27" i="32"/>
  <c r="AN55" i="16"/>
  <c r="AN69" i="16"/>
  <c r="AN72" i="16"/>
  <c r="AN58" i="16"/>
  <c r="AQ51" i="16"/>
  <c r="AQ65" i="16"/>
  <c r="AQ68" i="16"/>
  <c r="AQ54" i="16"/>
  <c r="AQ57" i="16"/>
  <c r="AQ71" i="16"/>
  <c r="AN64" i="16"/>
  <c r="AN50" i="16"/>
  <c r="AN48" i="16" s="1"/>
  <c r="AN56" i="16"/>
  <c r="AN70" i="16"/>
  <c r="AL29" i="37"/>
  <c r="AI29" i="37"/>
  <c r="V7" i="30"/>
  <c r="V27" i="30"/>
  <c r="V23" i="30"/>
  <c r="V49" i="30" s="1"/>
  <c r="V19" i="30"/>
  <c r="V42" i="30" s="1"/>
  <c r="V15" i="30"/>
  <c r="V44" i="30" s="1"/>
  <c r="V10" i="30"/>
  <c r="V46" i="30" s="1"/>
  <c r="V4" i="30"/>
  <c r="V40" i="30" s="1"/>
  <c r="V4" i="42"/>
  <c r="V40" i="42" s="1"/>
  <c r="V4" i="43"/>
  <c r="V40" i="43" s="1"/>
  <c r="V8" i="42"/>
  <c r="V41" i="42" s="1"/>
  <c r="V8" i="43"/>
  <c r="V41" i="43" s="1"/>
  <c r="V12" i="42"/>
  <c r="V12" i="43"/>
  <c r="V16" i="42"/>
  <c r="V16" i="43"/>
  <c r="V20" i="42"/>
  <c r="V20" i="43"/>
  <c r="V24" i="42"/>
  <c r="V24" i="43"/>
  <c r="V28" i="42"/>
  <c r="V43" i="42" s="1"/>
  <c r="V28" i="43"/>
  <c r="V43" i="43" s="1"/>
  <c r="N10" i="30"/>
  <c r="N46" i="30" s="1"/>
  <c r="N27" i="30"/>
  <c r="N23" i="30"/>
  <c r="N49" i="30" s="1"/>
  <c r="N19" i="30"/>
  <c r="N42" i="30" s="1"/>
  <c r="N15" i="30"/>
  <c r="N44" i="30" s="1"/>
  <c r="N9" i="30"/>
  <c r="N4" i="30"/>
  <c r="N40" i="30" s="1"/>
  <c r="N5" i="42"/>
  <c r="N5" i="43"/>
  <c r="N9" i="42"/>
  <c r="N9" i="43"/>
  <c r="N13" i="42"/>
  <c r="N33" i="42" s="1"/>
  <c r="N13" i="43"/>
  <c r="N33" i="43" s="1"/>
  <c r="N17" i="42"/>
  <c r="N17" i="43"/>
  <c r="N21" i="42"/>
  <c r="N21" i="43"/>
  <c r="N25" i="42"/>
  <c r="N25" i="43"/>
  <c r="N29" i="42"/>
  <c r="N29" i="43"/>
  <c r="BK29" i="30"/>
  <c r="BK25" i="30"/>
  <c r="BK21" i="30"/>
  <c r="BK17" i="30"/>
  <c r="BK13" i="30"/>
  <c r="BK33" i="30" s="1"/>
  <c r="BK5" i="42"/>
  <c r="BK5" i="43"/>
  <c r="BK9" i="42"/>
  <c r="BK9" i="43"/>
  <c r="BK13" i="42"/>
  <c r="BK33" i="42" s="1"/>
  <c r="BK13" i="43"/>
  <c r="BK33" i="43" s="1"/>
  <c r="BK17" i="42"/>
  <c r="BK17" i="43"/>
  <c r="BK21" i="42"/>
  <c r="BK21" i="43"/>
  <c r="BK25" i="42"/>
  <c r="BK25" i="43"/>
  <c r="BK29" i="42"/>
  <c r="BK29" i="43"/>
  <c r="W24" i="37"/>
  <c r="Y13" i="30"/>
  <c r="Y33" i="30" s="1"/>
  <c r="Y30" i="30"/>
  <c r="Y35" i="30" s="1"/>
  <c r="Y22" i="30"/>
  <c r="Y37" i="30" s="1"/>
  <c r="Y14" i="30"/>
  <c r="Y34" i="30" s="1"/>
  <c r="Y11" i="30"/>
  <c r="Y39" i="30" s="1"/>
  <c r="Y7" i="30"/>
  <c r="Y3" i="30"/>
  <c r="Y32" i="30" s="1"/>
  <c r="Y4" i="42"/>
  <c r="Y40" i="42" s="1"/>
  <c r="Y4" i="43"/>
  <c r="Y40" i="43" s="1"/>
  <c r="Y8" i="42"/>
  <c r="Y41" i="42" s="1"/>
  <c r="Y8" i="43"/>
  <c r="Y41" i="43" s="1"/>
  <c r="Y12" i="42"/>
  <c r="Y12" i="43"/>
  <c r="Y16" i="42"/>
  <c r="Y16" i="43"/>
  <c r="Y20" i="42"/>
  <c r="Y20" i="43"/>
  <c r="Y24" i="42"/>
  <c r="Y24" i="43"/>
  <c r="Y28" i="42"/>
  <c r="Y43" i="42" s="1"/>
  <c r="Y28" i="43"/>
  <c r="Y43" i="43" s="1"/>
  <c r="G7" i="30"/>
  <c r="G28" i="30"/>
  <c r="G43" i="30" s="1"/>
  <c r="G24" i="30"/>
  <c r="G20" i="30"/>
  <c r="G16" i="30"/>
  <c r="G12" i="30"/>
  <c r="G4" i="30"/>
  <c r="G40" i="30" s="1"/>
  <c r="G3" i="42"/>
  <c r="G32" i="42" s="1"/>
  <c r="G3" i="43"/>
  <c r="G32" i="43" s="1"/>
  <c r="G7" i="42"/>
  <c r="G7" i="43"/>
  <c r="G11" i="42"/>
  <c r="G39" i="42" s="1"/>
  <c r="G11" i="43"/>
  <c r="G39" i="43" s="1"/>
  <c r="G15" i="42"/>
  <c r="G44" i="42" s="1"/>
  <c r="G15" i="43"/>
  <c r="G44" i="43" s="1"/>
  <c r="G19" i="42"/>
  <c r="G42" i="42" s="1"/>
  <c r="G19" i="43"/>
  <c r="G42" i="43" s="1"/>
  <c r="G23" i="42"/>
  <c r="G49" i="42" s="1"/>
  <c r="G23" i="43"/>
  <c r="G49" i="43" s="1"/>
  <c r="G27" i="42"/>
  <c r="G27" i="43"/>
  <c r="CE3" i="38"/>
  <c r="CE12" i="38"/>
  <c r="CE16" i="38"/>
  <c r="CE14" i="38"/>
  <c r="CE10" i="38"/>
  <c r="CT64" i="38"/>
  <c r="CT50" i="38"/>
  <c r="CT60" i="38"/>
  <c r="CT74" i="38"/>
  <c r="CT76" i="38"/>
  <c r="CE21" i="38"/>
  <c r="CE8" i="38"/>
  <c r="CE26" i="38"/>
  <c r="BY13" i="18"/>
  <c r="BY33" i="18" s="1"/>
  <c r="AG13" i="18"/>
  <c r="AG33" i="18" s="1"/>
  <c r="BY6" i="18"/>
  <c r="BY47" i="18" s="1"/>
  <c r="AG6" i="18"/>
  <c r="AG47" i="18" s="1"/>
  <c r="BY22" i="18"/>
  <c r="BY37" i="18" s="1"/>
  <c r="AG22" i="18"/>
  <c r="AG37" i="18" s="1"/>
  <c r="BY19" i="18"/>
  <c r="BY42" i="18" s="1"/>
  <c r="AG19" i="18"/>
  <c r="AG42" i="18" s="1"/>
  <c r="BY9" i="18"/>
  <c r="AG9" i="18"/>
  <c r="BY7" i="18"/>
  <c r="AG7" i="18"/>
  <c r="BY12" i="18"/>
  <c r="AG12" i="18"/>
  <c r="BY28" i="18"/>
  <c r="BY43" i="18" s="1"/>
  <c r="AG28" i="18"/>
  <c r="AG43" i="18" s="1"/>
  <c r="O68" i="38"/>
  <c r="O54" i="38"/>
  <c r="AG12" i="38"/>
  <c r="BY12" i="38"/>
  <c r="BJ65" i="38"/>
  <c r="BJ51" i="38"/>
  <c r="BY30" i="38"/>
  <c r="BY35" i="38" s="1"/>
  <c r="AG30" i="38"/>
  <c r="AG35" i="38" s="1"/>
  <c r="O62" i="38"/>
  <c r="O76" i="38"/>
  <c r="O74" i="38"/>
  <c r="O60" i="38"/>
  <c r="DB61" i="38"/>
  <c r="DB75" i="38"/>
  <c r="O67" i="38"/>
  <c r="O53" i="38"/>
  <c r="O55" i="38"/>
  <c r="O69" i="38"/>
  <c r="BJ76" i="38"/>
  <c r="BJ62" i="38"/>
  <c r="DB54" i="38"/>
  <c r="DB68" i="38"/>
  <c r="AG13" i="38"/>
  <c r="AG33" i="38" s="1"/>
  <c r="BY13" i="38"/>
  <c r="BY33" i="38" s="1"/>
  <c r="BJ66" i="38"/>
  <c r="BJ52" i="38"/>
  <c r="BJ50" i="38"/>
  <c r="BJ64" i="38"/>
  <c r="BY22" i="38"/>
  <c r="BY37" i="38" s="1"/>
  <c r="AG22" i="38"/>
  <c r="AG37" i="38" s="1"/>
  <c r="BS11" i="30"/>
  <c r="BS39" i="30" s="1"/>
  <c r="BS9" i="30"/>
  <c r="BS7" i="30"/>
  <c r="BS5" i="30"/>
  <c r="BS3" i="30"/>
  <c r="BS32" i="30" s="1"/>
  <c r="BS2" i="42"/>
  <c r="BS38" i="42" s="1"/>
  <c r="BS2" i="43"/>
  <c r="BS38" i="43" s="1"/>
  <c r="BS6" i="42"/>
  <c r="BS47" i="42" s="1"/>
  <c r="BS6" i="43"/>
  <c r="BS47" i="43" s="1"/>
  <c r="BS10" i="42"/>
  <c r="BS46" i="42" s="1"/>
  <c r="BS10" i="43"/>
  <c r="BS46" i="43" s="1"/>
  <c r="R76" i="32"/>
  <c r="R62" i="32"/>
  <c r="R31" i="32"/>
  <c r="O76" i="32"/>
  <c r="O62" i="32"/>
  <c r="P73" i="32"/>
  <c r="P59" i="32"/>
  <c r="R69" i="32"/>
  <c r="R55" i="32"/>
  <c r="P70" i="32"/>
  <c r="P56" i="32"/>
  <c r="P76" i="32"/>
  <c r="P62" i="32"/>
  <c r="E66" i="32"/>
  <c r="E52" i="32"/>
  <c r="Q50" i="32"/>
  <c r="Q64" i="32"/>
  <c r="R70" i="32"/>
  <c r="R56" i="32"/>
  <c r="E50" i="32"/>
  <c r="E64" i="32"/>
  <c r="N72" i="32"/>
  <c r="N58" i="32"/>
  <c r="P45" i="32"/>
  <c r="R67" i="32"/>
  <c r="R53" i="32"/>
  <c r="R72" i="32"/>
  <c r="R58" i="32"/>
  <c r="O71" i="32"/>
  <c r="O57" i="32"/>
  <c r="E61" i="32"/>
  <c r="E75" i="32"/>
  <c r="R45" i="32"/>
  <c r="K67" i="32"/>
  <c r="K53" i="32"/>
  <c r="Q71" i="32"/>
  <c r="Q57" i="32"/>
  <c r="E70" i="32"/>
  <c r="E56" i="32"/>
  <c r="Q70" i="32"/>
  <c r="Q56" i="32"/>
  <c r="O45" i="32"/>
  <c r="AB68" i="32"/>
  <c r="AB54" i="32"/>
  <c r="AB71" i="32"/>
  <c r="AB57" i="32"/>
  <c r="AO66" i="32"/>
  <c r="AO52" i="32"/>
  <c r="Z10" i="32"/>
  <c r="AO65" i="32"/>
  <c r="AO51" i="32"/>
  <c r="AB56" i="32"/>
  <c r="AB70" i="32"/>
  <c r="AO71" i="32"/>
  <c r="AO57" i="32"/>
  <c r="Z66" i="32"/>
  <c r="Z52" i="32"/>
  <c r="BV4" i="18"/>
  <c r="BV40" i="18" s="1"/>
  <c r="AD4" i="18"/>
  <c r="AD40" i="18" s="1"/>
  <c r="BV20" i="18"/>
  <c r="AD20" i="18"/>
  <c r="BV9" i="18"/>
  <c r="AD9" i="18"/>
  <c r="BV7" i="18"/>
  <c r="AD7" i="18"/>
  <c r="BV27" i="18"/>
  <c r="AD27" i="18"/>
  <c r="BV6" i="18"/>
  <c r="BV47" i="18" s="1"/>
  <c r="AD6" i="18"/>
  <c r="AD47" i="18" s="1"/>
  <c r="AD45" i="18" s="1"/>
  <c r="BV22" i="18"/>
  <c r="BV37" i="18" s="1"/>
  <c r="BV31" i="18" s="1"/>
  <c r="AD22" i="18"/>
  <c r="AD37" i="18" s="1"/>
  <c r="Q69" i="38"/>
  <c r="Q55" i="38"/>
  <c r="BG75" i="38"/>
  <c r="BG61" i="38"/>
  <c r="BV23" i="38"/>
  <c r="BV49" i="38" s="1"/>
  <c r="AD23" i="38"/>
  <c r="AD49" i="38" s="1"/>
  <c r="AD9" i="38"/>
  <c r="BV9" i="38"/>
  <c r="CY72" i="38"/>
  <c r="CY58" i="38"/>
  <c r="Q65" i="38"/>
  <c r="Q51" i="38"/>
  <c r="CY70" i="38"/>
  <c r="CY56" i="38"/>
  <c r="BV12" i="38"/>
  <c r="AD12" i="38"/>
  <c r="BV22" i="38"/>
  <c r="BV37" i="38" s="1"/>
  <c r="AD22" i="38"/>
  <c r="AD37" i="38" s="1"/>
  <c r="Q73" i="38"/>
  <c r="Q59" i="38"/>
  <c r="Q72" i="38"/>
  <c r="Q58" i="38"/>
  <c r="CY53" i="38"/>
  <c r="CY67" i="38"/>
  <c r="BV18" i="38"/>
  <c r="AD18" i="38"/>
  <c r="BV6" i="38"/>
  <c r="BV47" i="38" s="1"/>
  <c r="AD6" i="38"/>
  <c r="AD47" i="38" s="1"/>
  <c r="BG58" i="38"/>
  <c r="BG72" i="38"/>
  <c r="CY65" i="38"/>
  <c r="CY51" i="38"/>
  <c r="BG65" i="38"/>
  <c r="BG51" i="38"/>
  <c r="AD29" i="38"/>
  <c r="BV29" i="38"/>
  <c r="BR7" i="30"/>
  <c r="BR30" i="30"/>
  <c r="BR35" i="30" s="1"/>
  <c r="BR28" i="30"/>
  <c r="BR43" i="30" s="1"/>
  <c r="BR26" i="30"/>
  <c r="BR36" i="30" s="1"/>
  <c r="BR24" i="30"/>
  <c r="BR22" i="30"/>
  <c r="BR37" i="30" s="1"/>
  <c r="BR20" i="30"/>
  <c r="BR18" i="30"/>
  <c r="BR16" i="30"/>
  <c r="BR14" i="30"/>
  <c r="BR34" i="30" s="1"/>
  <c r="BR5" i="42"/>
  <c r="BR5" i="43"/>
  <c r="BR9" i="42"/>
  <c r="BR9" i="43"/>
  <c r="BR13" i="42"/>
  <c r="BR33" i="42" s="1"/>
  <c r="BR13" i="43"/>
  <c r="BR33" i="43" s="1"/>
  <c r="BR17" i="42"/>
  <c r="BR17" i="43"/>
  <c r="BR21" i="42"/>
  <c r="BR21" i="43"/>
  <c r="BR25" i="42"/>
  <c r="BR25" i="43"/>
  <c r="BR29" i="42"/>
  <c r="BR29" i="43"/>
  <c r="BC28" i="30"/>
  <c r="BC43" i="30" s="1"/>
  <c r="BC24" i="30"/>
  <c r="BC20" i="30"/>
  <c r="BC16" i="30"/>
  <c r="BC27" i="30"/>
  <c r="BC23" i="30"/>
  <c r="BC49" i="30" s="1"/>
  <c r="BC19" i="30"/>
  <c r="BC42" i="30" s="1"/>
  <c r="BC15" i="30"/>
  <c r="BC44" i="30" s="1"/>
  <c r="BC11" i="30"/>
  <c r="BC39" i="30" s="1"/>
  <c r="BC9" i="30"/>
  <c r="BC7" i="30"/>
  <c r="BC5" i="30"/>
  <c r="BC3" i="30"/>
  <c r="BC32" i="30" s="1"/>
  <c r="BC2" i="42"/>
  <c r="BC38" i="42" s="1"/>
  <c r="BC2" i="43"/>
  <c r="BC38" i="43" s="1"/>
  <c r="BC6" i="42"/>
  <c r="BC47" i="42" s="1"/>
  <c r="BC6" i="43"/>
  <c r="BC47" i="43" s="1"/>
  <c r="BC10" i="42"/>
  <c r="BC46" i="42" s="1"/>
  <c r="BC10" i="43"/>
  <c r="BC46" i="43" s="1"/>
  <c r="BC14" i="42"/>
  <c r="BC34" i="42" s="1"/>
  <c r="BC14" i="43"/>
  <c r="BC34" i="43" s="1"/>
  <c r="BC18" i="42"/>
  <c r="BC18" i="43"/>
  <c r="BC22" i="42"/>
  <c r="BC37" i="42" s="1"/>
  <c r="BC22" i="43"/>
  <c r="BC37" i="43" s="1"/>
  <c r="BC26" i="42"/>
  <c r="BC36" i="42" s="1"/>
  <c r="BC26" i="43"/>
  <c r="BC36" i="43" s="1"/>
  <c r="BC30" i="42"/>
  <c r="BC35" i="42" s="1"/>
  <c r="BC30" i="43"/>
  <c r="BC35" i="43" s="1"/>
  <c r="H70" i="16"/>
  <c r="H56" i="16"/>
  <c r="H60" i="16"/>
  <c r="H74" i="16"/>
  <c r="E65" i="45"/>
  <c r="E63" i="45" s="1"/>
  <c r="C63" i="45"/>
  <c r="Z8" i="30"/>
  <c r="Z41" i="30" s="1"/>
  <c r="Z7" i="30"/>
  <c r="Z27" i="30"/>
  <c r="Z23" i="30"/>
  <c r="Z49" i="30" s="1"/>
  <c r="Z19" i="30"/>
  <c r="Z42" i="30" s="1"/>
  <c r="Z15" i="30"/>
  <c r="Z44" i="30" s="1"/>
  <c r="Z4" i="30"/>
  <c r="Z40" i="30" s="1"/>
  <c r="Z5" i="42"/>
  <c r="Z5" i="43"/>
  <c r="Z9" i="42"/>
  <c r="Z9" i="43"/>
  <c r="Z13" i="42"/>
  <c r="Z33" i="42" s="1"/>
  <c r="Z13" i="43"/>
  <c r="Z33" i="43" s="1"/>
  <c r="Z17" i="42"/>
  <c r="Z17" i="43"/>
  <c r="Z21" i="42"/>
  <c r="Z21" i="43"/>
  <c r="Z25" i="42"/>
  <c r="Z25" i="43"/>
  <c r="Z29" i="42"/>
  <c r="Z29" i="43"/>
  <c r="S12" i="30"/>
  <c r="S27" i="30"/>
  <c r="S23" i="30"/>
  <c r="S49" i="30" s="1"/>
  <c r="S19" i="30"/>
  <c r="S42" i="30" s="1"/>
  <c r="S15" i="30"/>
  <c r="S44" i="30" s="1"/>
  <c r="S9" i="30"/>
  <c r="S3" i="30"/>
  <c r="S32" i="30" s="1"/>
  <c r="S4" i="42"/>
  <c r="S40" i="42" s="1"/>
  <c r="S4" i="43"/>
  <c r="S40" i="43" s="1"/>
  <c r="S8" i="42"/>
  <c r="S41" i="42" s="1"/>
  <c r="S8" i="43"/>
  <c r="S41" i="43" s="1"/>
  <c r="S12" i="42"/>
  <c r="S12" i="43"/>
  <c r="S16" i="42"/>
  <c r="S16" i="43"/>
  <c r="S20" i="42"/>
  <c r="S20" i="43"/>
  <c r="S24" i="42"/>
  <c r="S24" i="43"/>
  <c r="S28" i="42"/>
  <c r="S43" i="42" s="1"/>
  <c r="S28" i="43"/>
  <c r="S43" i="43" s="1"/>
  <c r="O8" i="30"/>
  <c r="O41" i="30" s="1"/>
  <c r="O30" i="30"/>
  <c r="O35" i="30" s="1"/>
  <c r="O26" i="30"/>
  <c r="O36" i="30" s="1"/>
  <c r="O22" i="30"/>
  <c r="O37" i="30" s="1"/>
  <c r="O18" i="30"/>
  <c r="O14" i="30"/>
  <c r="O34" i="30" s="1"/>
  <c r="O7" i="30"/>
  <c r="O5" i="42"/>
  <c r="O5" i="43"/>
  <c r="O9" i="42"/>
  <c r="O9" i="43"/>
  <c r="O13" i="42"/>
  <c r="O33" i="42" s="1"/>
  <c r="O13" i="43"/>
  <c r="O33" i="43" s="1"/>
  <c r="O17" i="42"/>
  <c r="O17" i="43"/>
  <c r="O21" i="42"/>
  <c r="O21" i="43"/>
  <c r="O25" i="42"/>
  <c r="O25" i="43"/>
  <c r="O29" i="42"/>
  <c r="O29" i="43"/>
  <c r="K30" i="30"/>
  <c r="K35" i="30" s="1"/>
  <c r="K26" i="30"/>
  <c r="K36" i="30" s="1"/>
  <c r="K22" i="30"/>
  <c r="K37" i="30" s="1"/>
  <c r="K18" i="30"/>
  <c r="K14" i="30"/>
  <c r="K34" i="30" s="1"/>
  <c r="K8" i="30"/>
  <c r="K41" i="30" s="1"/>
  <c r="K3" i="30"/>
  <c r="K32" i="30" s="1"/>
  <c r="K4" i="42"/>
  <c r="K40" i="42" s="1"/>
  <c r="K4" i="43"/>
  <c r="K40" i="43" s="1"/>
  <c r="K8" i="42"/>
  <c r="K41" i="42" s="1"/>
  <c r="K8" i="43"/>
  <c r="K41" i="43" s="1"/>
  <c r="K12" i="42"/>
  <c r="K12" i="43"/>
  <c r="K16" i="42"/>
  <c r="K16" i="43"/>
  <c r="K20" i="42"/>
  <c r="K20" i="43"/>
  <c r="K24" i="42"/>
  <c r="K24" i="43"/>
  <c r="K28" i="42"/>
  <c r="K43" i="42" s="1"/>
  <c r="K28" i="43"/>
  <c r="K43" i="43" s="1"/>
  <c r="H13" i="42"/>
  <c r="H33" i="42" s="1"/>
  <c r="H13" i="43"/>
  <c r="H33" i="43" s="1"/>
  <c r="H11" i="42"/>
  <c r="H39" i="42" s="1"/>
  <c r="H11" i="43"/>
  <c r="H39" i="43" s="1"/>
  <c r="H17" i="42"/>
  <c r="H17" i="43"/>
  <c r="H23" i="42"/>
  <c r="H49" i="42" s="1"/>
  <c r="H23" i="43"/>
  <c r="H49" i="43" s="1"/>
  <c r="H27" i="30"/>
  <c r="H23" i="30"/>
  <c r="H49" i="30" s="1"/>
  <c r="H19" i="30"/>
  <c r="H42" i="30" s="1"/>
  <c r="H15" i="30"/>
  <c r="H44" i="30" s="1"/>
  <c r="H10" i="30"/>
  <c r="H46" i="30" s="1"/>
  <c r="H2" i="42"/>
  <c r="H38" i="42" s="1"/>
  <c r="H2" i="43"/>
  <c r="H38" i="43" s="1"/>
  <c r="H10" i="42"/>
  <c r="H46" i="42" s="1"/>
  <c r="H10" i="43"/>
  <c r="H46" i="43" s="1"/>
  <c r="H18" i="42"/>
  <c r="H18" i="43"/>
  <c r="H26" i="42"/>
  <c r="H36" i="42" s="1"/>
  <c r="H26" i="43"/>
  <c r="H36" i="43" s="1"/>
  <c r="H11" i="30"/>
  <c r="H39" i="30" s="1"/>
  <c r="AL28" i="32"/>
  <c r="AM43" i="32"/>
  <c r="AL9" i="32"/>
  <c r="AL23" i="32"/>
  <c r="AL10" i="32"/>
  <c r="AM41" i="32"/>
  <c r="AL8" i="32"/>
  <c r="AL6" i="32"/>
  <c r="D8" i="30"/>
  <c r="D29" i="30"/>
  <c r="D25" i="30"/>
  <c r="D21" i="30"/>
  <c r="D17" i="30"/>
  <c r="D13" i="30"/>
  <c r="D6" i="30"/>
  <c r="D3" i="42"/>
  <c r="G3" i="32"/>
  <c r="G32" i="32" s="1"/>
  <c r="D3" i="43"/>
  <c r="G7" i="32"/>
  <c r="D7" i="42"/>
  <c r="D7" i="43"/>
  <c r="D11" i="42"/>
  <c r="G11" i="32"/>
  <c r="G39" i="32" s="1"/>
  <c r="D11" i="43"/>
  <c r="D15" i="42"/>
  <c r="G15" i="32"/>
  <c r="G44" i="32" s="1"/>
  <c r="D15" i="43"/>
  <c r="D19" i="42"/>
  <c r="G19" i="32"/>
  <c r="G42" i="32" s="1"/>
  <c r="D19" i="43"/>
  <c r="D23" i="42"/>
  <c r="G23" i="32"/>
  <c r="G49" i="32" s="1"/>
  <c r="D23" i="43"/>
  <c r="D27" i="42"/>
  <c r="G27" i="32"/>
  <c r="D27" i="43"/>
  <c r="L6" i="32"/>
  <c r="L14" i="32"/>
  <c r="L9" i="32"/>
  <c r="L17" i="32"/>
  <c r="L5" i="32"/>
  <c r="L22" i="32"/>
  <c r="L26" i="32"/>
  <c r="L30" i="32"/>
  <c r="J68" i="32"/>
  <c r="J54" i="32"/>
  <c r="J67" i="32"/>
  <c r="J53" i="32"/>
  <c r="M53" i="32" s="1"/>
  <c r="AA66" i="32"/>
  <c r="AC66" i="32" s="1"/>
  <c r="AA52" i="32"/>
  <c r="AC52" i="32" s="1"/>
  <c r="AA74" i="32"/>
  <c r="AC74" i="32" s="1"/>
  <c r="AA60" i="32"/>
  <c r="AC60" i="32" s="1"/>
  <c r="AJ72" i="32"/>
  <c r="AJ58" i="32"/>
  <c r="AJ74" i="32"/>
  <c r="AJ60" i="32"/>
  <c r="AA70" i="32"/>
  <c r="AC70" i="32" s="1"/>
  <c r="AA56" i="32"/>
  <c r="AC56" i="32" s="1"/>
  <c r="AA57" i="32"/>
  <c r="AA71" i="32"/>
  <c r="AC71" i="32" s="1"/>
  <c r="AJ68" i="32"/>
  <c r="AJ54" i="32"/>
  <c r="AJ66" i="32"/>
  <c r="AJ52" i="32"/>
  <c r="J76" i="32"/>
  <c r="J62" i="32"/>
  <c r="D40" i="32"/>
  <c r="D41" i="32"/>
  <c r="D74" i="32"/>
  <c r="D60" i="32"/>
  <c r="D58" i="32"/>
  <c r="D72" i="32"/>
  <c r="D56" i="32"/>
  <c r="D70" i="32"/>
  <c r="D36" i="32"/>
  <c r="D35" i="32"/>
  <c r="Z40" i="32"/>
  <c r="Z4" i="32"/>
  <c r="Z41" i="32"/>
  <c r="Z8" i="32"/>
  <c r="Z12" i="32"/>
  <c r="Z16" i="32"/>
  <c r="Z20" i="32"/>
  <c r="Z24" i="32"/>
  <c r="Z43" i="32"/>
  <c r="Z28" i="32"/>
  <c r="AQ70" i="16"/>
  <c r="AQ56" i="16"/>
  <c r="AQ74" i="16"/>
  <c r="AQ60" i="16"/>
  <c r="AN66" i="16"/>
  <c r="AN52" i="16"/>
  <c r="AN53" i="16"/>
  <c r="AN67" i="16"/>
  <c r="AQ66" i="16"/>
  <c r="AQ52" i="16"/>
  <c r="AQ72" i="16"/>
  <c r="AQ58" i="16"/>
  <c r="BS14" i="42"/>
  <c r="BS34" i="42" s="1"/>
  <c r="BS14" i="43"/>
  <c r="BS34" i="43" s="1"/>
  <c r="BS18" i="42"/>
  <c r="BS18" i="43"/>
  <c r="BS22" i="42"/>
  <c r="BS37" i="42" s="1"/>
  <c r="BS22" i="43"/>
  <c r="BS37" i="43" s="1"/>
  <c r="BS26" i="42"/>
  <c r="BS36" i="42" s="1"/>
  <c r="BS26" i="43"/>
  <c r="BS36" i="43" s="1"/>
  <c r="BS30" i="42"/>
  <c r="BS35" i="42" s="1"/>
  <c r="BS30" i="43"/>
  <c r="BS35" i="43" s="1"/>
  <c r="BD12" i="30"/>
  <c r="BD8" i="30"/>
  <c r="BD41" i="30" s="1"/>
  <c r="BD30" i="30"/>
  <c r="BD35" i="30" s="1"/>
  <c r="BD28" i="30"/>
  <c r="BD43" i="30" s="1"/>
  <c r="BD26" i="30"/>
  <c r="BD36" i="30" s="1"/>
  <c r="BD24" i="30"/>
  <c r="BD22" i="30"/>
  <c r="BD37" i="30" s="1"/>
  <c r="BD20" i="30"/>
  <c r="BD18" i="30"/>
  <c r="BD16" i="30"/>
  <c r="BD14" i="30"/>
  <c r="BD34" i="30" s="1"/>
  <c r="BD11" i="30"/>
  <c r="BD39" i="30" s="1"/>
  <c r="BD7" i="30"/>
  <c r="BD2" i="42"/>
  <c r="BD38" i="42" s="1"/>
  <c r="BD2" i="43"/>
  <c r="BD38" i="43" s="1"/>
  <c r="BD6" i="42"/>
  <c r="BD47" i="42" s="1"/>
  <c r="BD6" i="43"/>
  <c r="BD47" i="43" s="1"/>
  <c r="BD10" i="42"/>
  <c r="BD46" i="42" s="1"/>
  <c r="BD45" i="42" s="1"/>
  <c r="BD10" i="43"/>
  <c r="BD46" i="43" s="1"/>
  <c r="BD14" i="42"/>
  <c r="BD34" i="42" s="1"/>
  <c r="BD14" i="43"/>
  <c r="BD34" i="43" s="1"/>
  <c r="BD18" i="42"/>
  <c r="BD18" i="43"/>
  <c r="BD22" i="42"/>
  <c r="BD37" i="42" s="1"/>
  <c r="BD22" i="43"/>
  <c r="BD37" i="43" s="1"/>
  <c r="BD26" i="42"/>
  <c r="BD36" i="42" s="1"/>
  <c r="BD26" i="43"/>
  <c r="BD36" i="43" s="1"/>
  <c r="BD30" i="42"/>
  <c r="BD35" i="42" s="1"/>
  <c r="BD30" i="43"/>
  <c r="BD35" i="43" s="1"/>
  <c r="Q14" i="30"/>
  <c r="Q34" i="30" s="1"/>
  <c r="Q29" i="30"/>
  <c r="Q21" i="30"/>
  <c r="Q13" i="30"/>
  <c r="Q33" i="30" s="1"/>
  <c r="Q11" i="30"/>
  <c r="Q39" i="30" s="1"/>
  <c r="Q7" i="30"/>
  <c r="Q3" i="30"/>
  <c r="Q32" i="30" s="1"/>
  <c r="Q4" i="42"/>
  <c r="Q40" i="42" s="1"/>
  <c r="Q4" i="43"/>
  <c r="Q40" i="43" s="1"/>
  <c r="Q8" i="42"/>
  <c r="Q41" i="42" s="1"/>
  <c r="Q8" i="43"/>
  <c r="Q41" i="43" s="1"/>
  <c r="Q12" i="42"/>
  <c r="Q12" i="43"/>
  <c r="Q16" i="42"/>
  <c r="Q16" i="43"/>
  <c r="Q20" i="42"/>
  <c r="Q20" i="43"/>
  <c r="Q24" i="42"/>
  <c r="Q24" i="43"/>
  <c r="Q28" i="42"/>
  <c r="Q43" i="42" s="1"/>
  <c r="Q28" i="43"/>
  <c r="Q43" i="43" s="1"/>
  <c r="AI66" i="32"/>
  <c r="AI52" i="32"/>
  <c r="AI64" i="32"/>
  <c r="AI50" i="32"/>
  <c r="BU12" i="30"/>
  <c r="BU30" i="30"/>
  <c r="BU35" i="30" s="1"/>
  <c r="BU28" i="30"/>
  <c r="BU43" i="30" s="1"/>
  <c r="BU26" i="30"/>
  <c r="BU36" i="30" s="1"/>
  <c r="BU24" i="30"/>
  <c r="BU22" i="30"/>
  <c r="BU37" i="30" s="1"/>
  <c r="BU20" i="30"/>
  <c r="BU18" i="30"/>
  <c r="BU16" i="30"/>
  <c r="BU14" i="30"/>
  <c r="BU34" i="30" s="1"/>
  <c r="BU11" i="30"/>
  <c r="BU39" i="30" s="1"/>
  <c r="BU7" i="30"/>
  <c r="BU4" i="30"/>
  <c r="BU40" i="30" s="1"/>
  <c r="BU3" i="42"/>
  <c r="BU32" i="42" s="1"/>
  <c r="BU3" i="43"/>
  <c r="BU32" i="43" s="1"/>
  <c r="BU7" i="42"/>
  <c r="BU7" i="43"/>
  <c r="BU11" i="42"/>
  <c r="BU39" i="42" s="1"/>
  <c r="BU11" i="43"/>
  <c r="BU39" i="43" s="1"/>
  <c r="BU15" i="42"/>
  <c r="BU44" i="42" s="1"/>
  <c r="BU15" i="43"/>
  <c r="BU44" i="43" s="1"/>
  <c r="BU19" i="42"/>
  <c r="BU42" i="42" s="1"/>
  <c r="BU19" i="43"/>
  <c r="BU42" i="43" s="1"/>
  <c r="BU23" i="42"/>
  <c r="BU49" i="42" s="1"/>
  <c r="BU23" i="43"/>
  <c r="BU49" i="43" s="1"/>
  <c r="BU27" i="42"/>
  <c r="BU27" i="43"/>
  <c r="BJ12" i="30"/>
  <c r="BJ6" i="30"/>
  <c r="BJ47" i="30" s="1"/>
  <c r="BJ29" i="30"/>
  <c r="BJ27" i="30"/>
  <c r="BJ25" i="30"/>
  <c r="BJ23" i="30"/>
  <c r="BJ49" i="30" s="1"/>
  <c r="BJ21" i="30"/>
  <c r="BJ19" i="30"/>
  <c r="BJ42" i="30" s="1"/>
  <c r="BJ17" i="30"/>
  <c r="BJ15" i="30"/>
  <c r="BJ44" i="30" s="1"/>
  <c r="BJ13" i="30"/>
  <c r="BJ33" i="30" s="1"/>
  <c r="BJ3" i="30"/>
  <c r="BJ32" i="30" s="1"/>
  <c r="BJ3" i="42"/>
  <c r="BJ32" i="42" s="1"/>
  <c r="BJ3" i="43"/>
  <c r="BJ32" i="43" s="1"/>
  <c r="BJ7" i="42"/>
  <c r="BJ7" i="43"/>
  <c r="BJ11" i="42"/>
  <c r="BJ39" i="42" s="1"/>
  <c r="BJ11" i="43"/>
  <c r="BJ39" i="43" s="1"/>
  <c r="BJ15" i="42"/>
  <c r="BJ44" i="42" s="1"/>
  <c r="BJ15" i="43"/>
  <c r="BJ44" i="43" s="1"/>
  <c r="BJ19" i="42"/>
  <c r="BJ42" i="42" s="1"/>
  <c r="BJ19" i="43"/>
  <c r="BJ42" i="43" s="1"/>
  <c r="BJ23" i="42"/>
  <c r="BJ49" i="42" s="1"/>
  <c r="BJ23" i="43"/>
  <c r="BJ49" i="43" s="1"/>
  <c r="BJ27" i="42"/>
  <c r="BJ27" i="43"/>
  <c r="U23" i="30"/>
  <c r="U49" i="30" s="1"/>
  <c r="U15" i="30"/>
  <c r="U44" i="30" s="1"/>
  <c r="U26" i="30"/>
  <c r="U36" i="30" s="1"/>
  <c r="U18" i="30"/>
  <c r="U11" i="30"/>
  <c r="U39" i="30" s="1"/>
  <c r="U7" i="30"/>
  <c r="U3" i="30"/>
  <c r="U32" i="30" s="1"/>
  <c r="U4" i="42"/>
  <c r="U40" i="42" s="1"/>
  <c r="U4" i="43"/>
  <c r="U40" i="43" s="1"/>
  <c r="U8" i="42"/>
  <c r="U41" i="42" s="1"/>
  <c r="U8" i="43"/>
  <c r="U41" i="43" s="1"/>
  <c r="U12" i="42"/>
  <c r="U12" i="43"/>
  <c r="U16" i="42"/>
  <c r="U16" i="43"/>
  <c r="U20" i="42"/>
  <c r="U20" i="43"/>
  <c r="U24" i="42"/>
  <c r="U24" i="43"/>
  <c r="U28" i="42"/>
  <c r="U43" i="42" s="1"/>
  <c r="U28" i="43"/>
  <c r="U43" i="43" s="1"/>
  <c r="F7" i="30"/>
  <c r="F27" i="30"/>
  <c r="F23" i="30"/>
  <c r="F49" i="30" s="1"/>
  <c r="F19" i="30"/>
  <c r="F42" i="30" s="1"/>
  <c r="F15" i="30"/>
  <c r="F44" i="30" s="1"/>
  <c r="F10" i="30"/>
  <c r="F46" i="30" s="1"/>
  <c r="F4" i="30"/>
  <c r="F40" i="30" s="1"/>
  <c r="F3" i="42"/>
  <c r="F32" i="42" s="1"/>
  <c r="F3" i="43"/>
  <c r="F32" i="43" s="1"/>
  <c r="F7" i="42"/>
  <c r="F7" i="43"/>
  <c r="F11" i="42"/>
  <c r="F39" i="42" s="1"/>
  <c r="F11" i="43"/>
  <c r="F39" i="43" s="1"/>
  <c r="F15" i="42"/>
  <c r="F44" i="42" s="1"/>
  <c r="F15" i="43"/>
  <c r="F44" i="43" s="1"/>
  <c r="F19" i="42"/>
  <c r="F42" i="42" s="1"/>
  <c r="F19" i="43"/>
  <c r="F42" i="43" s="1"/>
  <c r="F23" i="42"/>
  <c r="F49" i="42" s="1"/>
  <c r="F23" i="43"/>
  <c r="F49" i="43" s="1"/>
  <c r="F27" i="42"/>
  <c r="F27" i="43"/>
  <c r="BZ5" i="18"/>
  <c r="AH5" i="18"/>
  <c r="BZ21" i="18"/>
  <c r="AH21" i="18"/>
  <c r="BZ14" i="18"/>
  <c r="BZ34" i="18" s="1"/>
  <c r="AH14" i="18"/>
  <c r="AH34" i="18" s="1"/>
  <c r="BZ8" i="18"/>
  <c r="BZ41" i="18" s="1"/>
  <c r="AH8" i="18"/>
  <c r="AH41" i="18" s="1"/>
  <c r="BZ2" i="18"/>
  <c r="BZ38" i="18" s="1"/>
  <c r="AH2" i="18"/>
  <c r="AH38" i="18" s="1"/>
  <c r="BZ7" i="18"/>
  <c r="AH7" i="18"/>
  <c r="BZ23" i="18"/>
  <c r="BZ49" i="18" s="1"/>
  <c r="AH23" i="18"/>
  <c r="AH49" i="18" s="1"/>
  <c r="BZ4" i="38"/>
  <c r="BZ40" i="38" s="1"/>
  <c r="AH4" i="38"/>
  <c r="AH40" i="38" s="1"/>
  <c r="BZ8" i="38"/>
  <c r="BZ41" i="38" s="1"/>
  <c r="AH8" i="38"/>
  <c r="AH41" i="38" s="1"/>
  <c r="BZ22" i="38"/>
  <c r="BZ37" i="38" s="1"/>
  <c r="AH22" i="38"/>
  <c r="AH37" i="38" s="1"/>
  <c r="P73" i="38"/>
  <c r="P59" i="38"/>
  <c r="P58" i="38"/>
  <c r="P72" i="38"/>
  <c r="BZ5" i="38"/>
  <c r="AH5" i="38"/>
  <c r="BZ28" i="38"/>
  <c r="BZ43" i="38" s="1"/>
  <c r="AH28" i="38"/>
  <c r="AH43" i="38" s="1"/>
  <c r="BK67" i="38"/>
  <c r="BK53" i="38"/>
  <c r="DC72" i="38"/>
  <c r="DC58" i="38"/>
  <c r="DC56" i="38"/>
  <c r="DC70" i="38"/>
  <c r="BK69" i="38"/>
  <c r="BK55" i="38"/>
  <c r="DC65" i="38"/>
  <c r="DC51" i="38"/>
  <c r="BK71" i="38"/>
  <c r="BK57" i="38"/>
  <c r="AH16" i="38"/>
  <c r="BZ16" i="38"/>
  <c r="BK70" i="38"/>
  <c r="BK56" i="38"/>
  <c r="BK62" i="38"/>
  <c r="BK76" i="38"/>
  <c r="DC69" i="38"/>
  <c r="DC55" i="38"/>
  <c r="AH30" i="38"/>
  <c r="AH35" i="38" s="1"/>
  <c r="BZ30" i="38"/>
  <c r="BZ35" i="38" s="1"/>
  <c r="BG16" i="30"/>
  <c r="BG29" i="30"/>
  <c r="BG25" i="30"/>
  <c r="BG21" i="30"/>
  <c r="BG17" i="30"/>
  <c r="BG13" i="30"/>
  <c r="BG33" i="30" s="1"/>
  <c r="BG22" i="30"/>
  <c r="BG37" i="30" s="1"/>
  <c r="BG5" i="42"/>
  <c r="BG5" i="43"/>
  <c r="BG9" i="42"/>
  <c r="BG9" i="43"/>
  <c r="BG13" i="42"/>
  <c r="BG33" i="42" s="1"/>
  <c r="BG13" i="43"/>
  <c r="BG33" i="43" s="1"/>
  <c r="BG17" i="42"/>
  <c r="BG17" i="43"/>
  <c r="BG21" i="42"/>
  <c r="BG21" i="43"/>
  <c r="BG25" i="42"/>
  <c r="BG25" i="43"/>
  <c r="BG29" i="42"/>
  <c r="BG29" i="43"/>
  <c r="O12" i="30"/>
  <c r="O28" i="30"/>
  <c r="O43" i="30" s="1"/>
  <c r="O24" i="30"/>
  <c r="O20" i="30"/>
  <c r="O16" i="30"/>
  <c r="O11" i="30"/>
  <c r="O39" i="30" s="1"/>
  <c r="O4" i="30"/>
  <c r="O40" i="30" s="1"/>
  <c r="O3" i="42"/>
  <c r="O32" i="42" s="1"/>
  <c r="O3" i="43"/>
  <c r="O32" i="43" s="1"/>
  <c r="O7" i="42"/>
  <c r="O7" i="43"/>
  <c r="O11" i="42"/>
  <c r="O39" i="42" s="1"/>
  <c r="O11" i="43"/>
  <c r="O39" i="43" s="1"/>
  <c r="O15" i="42"/>
  <c r="O44" i="42" s="1"/>
  <c r="O15" i="43"/>
  <c r="O44" i="43" s="1"/>
  <c r="O19" i="42"/>
  <c r="O42" i="42" s="1"/>
  <c r="O19" i="43"/>
  <c r="O42" i="43" s="1"/>
  <c r="O23" i="42"/>
  <c r="O49" i="42" s="1"/>
  <c r="O23" i="43"/>
  <c r="O49" i="43" s="1"/>
  <c r="O27" i="42"/>
  <c r="O27" i="43"/>
  <c r="K9" i="30"/>
  <c r="K28" i="30"/>
  <c r="K43" i="30" s="1"/>
  <c r="K24" i="30"/>
  <c r="K20" i="30"/>
  <c r="K16" i="30"/>
  <c r="K12" i="30"/>
  <c r="K5" i="30"/>
  <c r="K2" i="42"/>
  <c r="K38" i="42" s="1"/>
  <c r="K2" i="43"/>
  <c r="K38" i="43" s="1"/>
  <c r="K6" i="42"/>
  <c r="K47" i="42" s="1"/>
  <c r="K6" i="43"/>
  <c r="K47" i="43" s="1"/>
  <c r="K10" i="42"/>
  <c r="K46" i="42" s="1"/>
  <c r="K10" i="43"/>
  <c r="K46" i="43" s="1"/>
  <c r="K14" i="42"/>
  <c r="K34" i="42" s="1"/>
  <c r="K14" i="43"/>
  <c r="K34" i="43" s="1"/>
  <c r="K18" i="42"/>
  <c r="K18" i="43"/>
  <c r="K22" i="42"/>
  <c r="K37" i="42" s="1"/>
  <c r="K22" i="43"/>
  <c r="K37" i="43" s="1"/>
  <c r="K26" i="42"/>
  <c r="K36" i="42" s="1"/>
  <c r="K26" i="43"/>
  <c r="K36" i="43" s="1"/>
  <c r="K30" i="42"/>
  <c r="K35" i="42" s="1"/>
  <c r="K30" i="43"/>
  <c r="K35" i="43" s="1"/>
  <c r="H6" i="30"/>
  <c r="H47" i="30" s="1"/>
  <c r="H29" i="42"/>
  <c r="H29" i="43"/>
  <c r="H27" i="42"/>
  <c r="H27" i="43"/>
  <c r="H7" i="42"/>
  <c r="H7" i="43"/>
  <c r="H29" i="30"/>
  <c r="H25" i="30"/>
  <c r="H21" i="30"/>
  <c r="H17" i="30"/>
  <c r="H13" i="30"/>
  <c r="H33" i="30" s="1"/>
  <c r="H5" i="30"/>
  <c r="H6" i="42"/>
  <c r="H47" i="42" s="1"/>
  <c r="H6" i="43"/>
  <c r="H47" i="43" s="1"/>
  <c r="H14" i="42"/>
  <c r="H34" i="42" s="1"/>
  <c r="H14" i="43"/>
  <c r="H34" i="43" s="1"/>
  <c r="H22" i="42"/>
  <c r="H37" i="42" s="1"/>
  <c r="H22" i="43"/>
  <c r="H37" i="43" s="1"/>
  <c r="H30" i="42"/>
  <c r="H35" i="42" s="1"/>
  <c r="H30" i="43"/>
  <c r="H35" i="43" s="1"/>
  <c r="H7" i="30"/>
  <c r="AL16" i="32"/>
  <c r="AL12" i="32"/>
  <c r="AM42" i="32"/>
  <c r="AL19" i="32"/>
  <c r="AL22" i="32"/>
  <c r="AM37" i="32"/>
  <c r="AL24" i="32"/>
  <c r="AL11" i="32"/>
  <c r="AL7" i="32"/>
  <c r="D12" i="30"/>
  <c r="D4" i="30"/>
  <c r="D27" i="30"/>
  <c r="D23" i="30"/>
  <c r="D19" i="30"/>
  <c r="D15" i="30"/>
  <c r="D9" i="30"/>
  <c r="D3" i="30"/>
  <c r="D5" i="42"/>
  <c r="G5" i="32"/>
  <c r="D5" i="43"/>
  <c r="D9" i="42"/>
  <c r="G9" i="32"/>
  <c r="D9" i="43"/>
  <c r="D13" i="42"/>
  <c r="G13" i="32"/>
  <c r="G33" i="32" s="1"/>
  <c r="D13" i="43"/>
  <c r="D17" i="42"/>
  <c r="G17" i="32"/>
  <c r="D17" i="43"/>
  <c r="G21" i="32"/>
  <c r="D21" i="42"/>
  <c r="D21" i="43"/>
  <c r="D25" i="42"/>
  <c r="G25" i="32"/>
  <c r="D25" i="43"/>
  <c r="D29" i="42"/>
  <c r="G29" i="32"/>
  <c r="D29" i="43"/>
  <c r="L10" i="32"/>
  <c r="L18" i="32"/>
  <c r="L13" i="32"/>
  <c r="L3" i="32"/>
  <c r="L20" i="32"/>
  <c r="L24" i="32"/>
  <c r="J65" i="32"/>
  <c r="J51" i="32"/>
  <c r="AJ65" i="32"/>
  <c r="AJ51" i="32"/>
  <c r="AJ64" i="32"/>
  <c r="AJ50" i="32"/>
  <c r="AA75" i="32"/>
  <c r="AC75" i="32" s="1"/>
  <c r="AA61" i="32"/>
  <c r="AC61" i="32" s="1"/>
  <c r="AA64" i="32"/>
  <c r="AC64" i="32" s="1"/>
  <c r="AA50" i="32"/>
  <c r="J66" i="32"/>
  <c r="J52" i="32"/>
  <c r="M52" i="32" s="1"/>
  <c r="AJ76" i="32"/>
  <c r="AJ62" i="32"/>
  <c r="AJ75" i="32"/>
  <c r="AJ61" i="32"/>
  <c r="AJ69" i="32"/>
  <c r="AJ55" i="32"/>
  <c r="D38" i="32"/>
  <c r="D47" i="32"/>
  <c r="D46" i="32"/>
  <c r="D34" i="32"/>
  <c r="D75" i="32"/>
  <c r="D61" i="32"/>
  <c r="D37" i="32"/>
  <c r="D64" i="32"/>
  <c r="D50" i="32"/>
  <c r="D43" i="32"/>
  <c r="Z38" i="32"/>
  <c r="Z2" i="32"/>
  <c r="Z6" i="32"/>
  <c r="Z47" i="32"/>
  <c r="Z18" i="32"/>
  <c r="Z26" i="32"/>
  <c r="Z36" i="32"/>
  <c r="Z35" i="32"/>
  <c r="Z30" i="32"/>
  <c r="AQ75" i="16"/>
  <c r="AQ61" i="16"/>
  <c r="AQ67" i="16"/>
  <c r="AQ53" i="16"/>
  <c r="AQ59" i="16"/>
  <c r="AQ73" i="16"/>
  <c r="AN71" i="16"/>
  <c r="AN57" i="16"/>
  <c r="AN76" i="16"/>
  <c r="AN62" i="16"/>
  <c r="AN51" i="16"/>
  <c r="AN65" i="16"/>
  <c r="AL21" i="37"/>
  <c r="AI21" i="37"/>
  <c r="AL3" i="37"/>
  <c r="AL32" i="37" s="1"/>
  <c r="AI3" i="37"/>
  <c r="AI32" i="37" s="1"/>
  <c r="AK32" i="37"/>
  <c r="AH32" i="37"/>
  <c r="AL19" i="37"/>
  <c r="AL42" i="37" s="1"/>
  <c r="AI19" i="37"/>
  <c r="AI42" i="37" s="1"/>
  <c r="AH42" i="37"/>
  <c r="AK42" i="37"/>
  <c r="AL5" i="37"/>
  <c r="AI5" i="37"/>
  <c r="F20" i="37"/>
  <c r="F4" i="37"/>
  <c r="F40" i="37" s="1"/>
  <c r="AI2" i="37"/>
  <c r="AI38" i="37" s="1"/>
  <c r="AL2" i="37"/>
  <c r="AL38" i="37" s="1"/>
  <c r="AK38" i="37"/>
  <c r="AH38" i="37"/>
  <c r="AL10" i="37"/>
  <c r="AL46" i="37" s="1"/>
  <c r="AI10" i="37"/>
  <c r="AI46" i="37" s="1"/>
  <c r="AK46" i="37"/>
  <c r="AH46" i="37"/>
  <c r="AL18" i="37"/>
  <c r="AI18" i="37"/>
  <c r="AL26" i="37"/>
  <c r="AL36" i="37" s="1"/>
  <c r="AI26" i="37"/>
  <c r="AI36" i="37" s="1"/>
  <c r="AK36" i="37"/>
  <c r="AH36" i="37"/>
  <c r="Y71" i="16"/>
  <c r="Z71" i="16" s="1"/>
  <c r="Y57" i="16"/>
  <c r="Z57" i="16" s="1"/>
  <c r="AP65" i="16"/>
  <c r="AP51" i="16"/>
  <c r="AM73" i="16"/>
  <c r="AM59" i="16"/>
  <c r="AP73" i="16"/>
  <c r="AP59" i="16"/>
  <c r="P64" i="16"/>
  <c r="P50" i="16"/>
  <c r="AL19" i="16"/>
  <c r="AL42" i="16" s="1"/>
  <c r="AK19" i="16"/>
  <c r="AK42" i="16" s="1"/>
  <c r="AI19" i="16"/>
  <c r="AI42" i="16" s="1"/>
  <c r="AH19" i="16"/>
  <c r="AH42" i="16" s="1"/>
  <c r="AK7" i="16"/>
  <c r="AH7" i="16"/>
  <c r="AI7" i="16"/>
  <c r="AL7" i="16"/>
  <c r="Y38" i="16"/>
  <c r="Z38" i="16" s="1"/>
  <c r="Y41" i="16"/>
  <c r="Z41" i="16" s="1"/>
  <c r="AP66" i="16"/>
  <c r="AP52" i="16"/>
  <c r="AP76" i="16"/>
  <c r="AP62" i="16"/>
  <c r="AO65" i="16"/>
  <c r="AO51" i="16"/>
  <c r="AM60" i="16"/>
  <c r="AM74" i="16"/>
  <c r="Y61" i="16"/>
  <c r="Z61" i="16" s="1"/>
  <c r="Y75" i="16"/>
  <c r="Z75" i="16" s="1"/>
  <c r="AM56" i="16"/>
  <c r="AM70" i="16"/>
  <c r="T54" i="16"/>
  <c r="T68" i="16"/>
  <c r="R65" i="16"/>
  <c r="R51" i="16"/>
  <c r="AM54" i="16"/>
  <c r="AM68" i="16"/>
  <c r="Y33" i="16"/>
  <c r="Z33" i="16" s="1"/>
  <c r="Y72" i="16"/>
  <c r="Z72" i="16" s="1"/>
  <c r="Y58" i="16"/>
  <c r="Z58" i="16" s="1"/>
  <c r="Y51" i="16"/>
  <c r="Z51" i="16" s="1"/>
  <c r="Y65" i="16"/>
  <c r="Z65" i="16" s="1"/>
  <c r="I56" i="16"/>
  <c r="I70" i="16"/>
  <c r="AL25" i="16"/>
  <c r="AK25" i="16"/>
  <c r="AI25" i="16"/>
  <c r="AH25" i="16"/>
  <c r="AL4" i="16"/>
  <c r="AL40" i="16" s="1"/>
  <c r="AK4" i="16"/>
  <c r="AK40" i="16" s="1"/>
  <c r="AI4" i="16"/>
  <c r="AI40" i="16" s="1"/>
  <c r="AH4" i="16"/>
  <c r="AH40" i="16" s="1"/>
  <c r="AL10" i="16"/>
  <c r="AL46" i="16" s="1"/>
  <c r="AI10" i="16"/>
  <c r="AI46" i="16" s="1"/>
  <c r="AH10" i="16"/>
  <c r="AH46" i="16" s="1"/>
  <c r="AK10" i="16"/>
  <c r="AK46" i="16" s="1"/>
  <c r="R52" i="16"/>
  <c r="R66" i="16"/>
  <c r="AR56" i="16"/>
  <c r="AR70" i="16"/>
  <c r="S69" i="16"/>
  <c r="S55" i="16"/>
  <c r="AL30" i="16"/>
  <c r="AL35" i="16" s="1"/>
  <c r="AH30" i="16"/>
  <c r="AH35" i="16" s="1"/>
  <c r="AK30" i="16"/>
  <c r="AK35" i="16" s="1"/>
  <c r="AI30" i="16"/>
  <c r="AI35" i="16" s="1"/>
  <c r="R72" i="16"/>
  <c r="R58" i="16"/>
  <c r="AO69" i="16"/>
  <c r="AO55" i="16"/>
  <c r="Q57" i="16"/>
  <c r="Q71" i="16"/>
  <c r="AL2" i="16"/>
  <c r="AL38" i="16" s="1"/>
  <c r="AH2" i="16"/>
  <c r="AH38" i="16" s="1"/>
  <c r="AI2" i="16"/>
  <c r="AI38" i="16" s="1"/>
  <c r="AK2" i="16"/>
  <c r="AK38" i="16" s="1"/>
  <c r="T67" i="16"/>
  <c r="T53" i="16"/>
  <c r="I68" i="16"/>
  <c r="I54" i="16"/>
  <c r="AR60" i="16"/>
  <c r="AR74" i="16"/>
  <c r="S58" i="16"/>
  <c r="S72" i="16"/>
  <c r="AO52" i="16"/>
  <c r="AO66" i="16"/>
  <c r="AL18" i="16"/>
  <c r="AH18" i="16"/>
  <c r="AK18" i="16"/>
  <c r="AI18" i="16"/>
  <c r="T65" i="16"/>
  <c r="T51" i="16"/>
  <c r="I64" i="16"/>
  <c r="I50" i="16"/>
  <c r="AL5" i="16"/>
  <c r="AK5" i="16"/>
  <c r="AI5" i="16"/>
  <c r="AH5" i="16"/>
  <c r="AR52" i="16"/>
  <c r="AR66" i="16"/>
  <c r="AO56" i="16"/>
  <c r="AO70" i="16"/>
  <c r="AK21" i="16"/>
  <c r="AH21" i="16"/>
  <c r="AL21" i="16"/>
  <c r="AI21" i="16"/>
  <c r="I55" i="16"/>
  <c r="I69" i="16"/>
  <c r="AR76" i="16"/>
  <c r="AR62" i="16"/>
  <c r="S71" i="16"/>
  <c r="S57" i="16"/>
  <c r="CD9" i="18"/>
  <c r="AL9" i="18"/>
  <c r="CD25" i="18"/>
  <c r="AL25" i="18"/>
  <c r="CD30" i="18"/>
  <c r="CD35" i="18" s="1"/>
  <c r="AL30" i="18"/>
  <c r="AL35" i="18" s="1"/>
  <c r="CD4" i="18"/>
  <c r="CD40" i="18" s="1"/>
  <c r="AL4" i="18"/>
  <c r="AL40" i="18" s="1"/>
  <c r="CD28" i="18"/>
  <c r="CD43" i="18" s="1"/>
  <c r="AL28" i="18"/>
  <c r="AL43" i="18" s="1"/>
  <c r="CD2" i="18"/>
  <c r="CD38" i="18" s="1"/>
  <c r="AL2" i="18"/>
  <c r="AL38" i="18" s="1"/>
  <c r="CD22" i="18"/>
  <c r="CD37" i="18" s="1"/>
  <c r="AL22" i="18"/>
  <c r="AL37" i="18" s="1"/>
  <c r="CD15" i="18"/>
  <c r="CD44" i="18" s="1"/>
  <c r="CD31" i="18" s="1"/>
  <c r="AL15" i="18"/>
  <c r="AL44" i="18" s="1"/>
  <c r="AL31" i="18" s="1"/>
  <c r="CD5" i="38"/>
  <c r="AL5" i="38"/>
  <c r="AL2" i="38"/>
  <c r="AL38" i="38" s="1"/>
  <c r="CD2" i="38"/>
  <c r="CD38" i="38" s="1"/>
  <c r="DG70" i="38"/>
  <c r="DG56" i="38"/>
  <c r="DG68" i="38"/>
  <c r="DG54" i="38"/>
  <c r="BO57" i="38"/>
  <c r="BO71" i="38"/>
  <c r="X73" i="38"/>
  <c r="X59" i="38"/>
  <c r="X58" i="38"/>
  <c r="X72" i="38"/>
  <c r="BO67" i="38"/>
  <c r="BO53" i="38"/>
  <c r="AL10" i="38"/>
  <c r="AL46" i="38" s="1"/>
  <c r="CD10" i="38"/>
  <c r="CD46" i="38" s="1"/>
  <c r="DG72" i="38"/>
  <c r="DG58" i="38"/>
  <c r="X74" i="38"/>
  <c r="X60" i="38"/>
  <c r="DG75" i="38"/>
  <c r="DG61" i="38"/>
  <c r="CD23" i="38"/>
  <c r="CD49" i="38" s="1"/>
  <c r="AL23" i="38"/>
  <c r="AL49" i="38" s="1"/>
  <c r="DG62" i="38"/>
  <c r="DG76" i="38"/>
  <c r="BO54" i="38"/>
  <c r="BO68" i="38"/>
  <c r="CD20" i="38"/>
  <c r="AL20" i="38"/>
  <c r="BO69" i="38"/>
  <c r="BO55" i="38"/>
  <c r="BO51" i="38"/>
  <c r="BO65" i="38"/>
  <c r="DG71" i="38"/>
  <c r="DG57" i="38"/>
  <c r="BU20" i="18"/>
  <c r="AC20" i="18"/>
  <c r="BU17" i="18"/>
  <c r="AC17" i="18"/>
  <c r="BU10" i="18"/>
  <c r="BU46" i="18" s="1"/>
  <c r="AC10" i="18"/>
  <c r="AC46" i="18" s="1"/>
  <c r="BU8" i="18"/>
  <c r="BU41" i="18" s="1"/>
  <c r="AC8" i="18"/>
  <c r="AC41" i="18" s="1"/>
  <c r="BU2" i="18"/>
  <c r="BU38" i="18" s="1"/>
  <c r="AC2" i="18"/>
  <c r="AC38" i="18" s="1"/>
  <c r="BU22" i="18"/>
  <c r="BU37" i="18" s="1"/>
  <c r="AC22" i="18"/>
  <c r="AC37" i="18" s="1"/>
  <c r="BU15" i="18"/>
  <c r="BU44" i="18" s="1"/>
  <c r="AC15" i="18"/>
  <c r="AC44" i="18" s="1"/>
  <c r="BF65" i="38"/>
  <c r="BF51" i="38"/>
  <c r="BU4" i="38"/>
  <c r="BU40" i="38" s="1"/>
  <c r="AC4" i="38"/>
  <c r="AC40" i="38" s="1"/>
  <c r="BU18" i="38"/>
  <c r="AC18" i="38"/>
  <c r="T52" i="38"/>
  <c r="T66" i="38"/>
  <c r="T61" i="38"/>
  <c r="T75" i="38"/>
  <c r="BU3" i="38"/>
  <c r="BU32" i="38" s="1"/>
  <c r="AC3" i="38"/>
  <c r="AC32" i="38" s="1"/>
  <c r="T70" i="38"/>
  <c r="T56" i="38"/>
  <c r="CX59" i="38"/>
  <c r="CX73" i="38"/>
  <c r="AC28" i="38"/>
  <c r="AC43" i="38" s="1"/>
  <c r="BU28" i="38"/>
  <c r="BU43" i="38" s="1"/>
  <c r="CX55" i="38"/>
  <c r="CX69" i="38"/>
  <c r="CX68" i="38"/>
  <c r="CX54" i="38"/>
  <c r="AC20" i="38"/>
  <c r="BU20" i="38"/>
  <c r="BU24" i="38"/>
  <c r="AC24" i="38"/>
  <c r="CX62" i="38"/>
  <c r="CX76" i="38"/>
  <c r="BW24" i="30"/>
  <c r="BW20" i="30"/>
  <c r="BW29" i="30"/>
  <c r="BW25" i="30"/>
  <c r="BW21" i="30"/>
  <c r="BW17" i="30"/>
  <c r="BW13" i="30"/>
  <c r="BW33" i="30" s="1"/>
  <c r="BW3" i="42"/>
  <c r="BW32" i="42" s="1"/>
  <c r="BW3" i="43"/>
  <c r="BW32" i="43" s="1"/>
  <c r="BW7" i="42"/>
  <c r="BW7" i="43"/>
  <c r="BW11" i="42"/>
  <c r="BW39" i="42" s="1"/>
  <c r="BW11" i="43"/>
  <c r="BW39" i="43" s="1"/>
  <c r="BW15" i="42"/>
  <c r="BW44" i="42" s="1"/>
  <c r="BW15" i="43"/>
  <c r="BW44" i="43" s="1"/>
  <c r="BW19" i="42"/>
  <c r="BW42" i="42" s="1"/>
  <c r="BW19" i="43"/>
  <c r="BW42" i="43" s="1"/>
  <c r="BW23" i="42"/>
  <c r="BW49" i="42" s="1"/>
  <c r="BW23" i="43"/>
  <c r="BW49" i="43" s="1"/>
  <c r="BW27" i="42"/>
  <c r="BW27" i="43"/>
  <c r="BT12" i="30"/>
  <c r="BT8" i="30"/>
  <c r="BT41" i="30" s="1"/>
  <c r="BT29" i="30"/>
  <c r="BT27" i="30"/>
  <c r="BT25" i="30"/>
  <c r="BT23" i="30"/>
  <c r="BT49" i="30" s="1"/>
  <c r="BT21" i="30"/>
  <c r="BT19" i="30"/>
  <c r="BT42" i="30" s="1"/>
  <c r="BT17" i="30"/>
  <c r="BT15" i="30"/>
  <c r="BT44" i="30" s="1"/>
  <c r="BT13" i="30"/>
  <c r="BT33" i="30" s="1"/>
  <c r="BT9" i="30"/>
  <c r="BT4" i="30"/>
  <c r="BT40" i="30" s="1"/>
  <c r="BT4" i="42"/>
  <c r="BT40" i="42" s="1"/>
  <c r="BT4" i="43"/>
  <c r="BT40" i="43" s="1"/>
  <c r="BT8" i="42"/>
  <c r="BT41" i="42" s="1"/>
  <c r="BT8" i="43"/>
  <c r="BT41" i="43" s="1"/>
  <c r="BT12" i="42"/>
  <c r="BT12" i="43"/>
  <c r="BT16" i="42"/>
  <c r="BT16" i="43"/>
  <c r="BT20" i="42"/>
  <c r="BT20" i="43"/>
  <c r="BT24" i="42"/>
  <c r="BT24" i="43"/>
  <c r="BT28" i="42"/>
  <c r="BT43" i="42" s="1"/>
  <c r="BT28" i="43"/>
  <c r="BT43" i="43" s="1"/>
  <c r="BP9" i="30"/>
  <c r="BP30" i="30"/>
  <c r="BP35" i="30" s="1"/>
  <c r="BP28" i="30"/>
  <c r="BP43" i="30" s="1"/>
  <c r="BP26" i="30"/>
  <c r="BP36" i="30" s="1"/>
  <c r="BP24" i="30"/>
  <c r="BP22" i="30"/>
  <c r="BP37" i="30" s="1"/>
  <c r="BP20" i="30"/>
  <c r="BP18" i="30"/>
  <c r="BP16" i="30"/>
  <c r="BP14" i="30"/>
  <c r="BP34" i="30" s="1"/>
  <c r="BP3" i="42"/>
  <c r="BP32" i="42" s="1"/>
  <c r="BP3" i="43"/>
  <c r="BP32" i="43" s="1"/>
  <c r="BP7" i="42"/>
  <c r="BP7" i="43"/>
  <c r="BP11" i="42"/>
  <c r="BP39" i="42" s="1"/>
  <c r="BP11" i="43"/>
  <c r="BP39" i="43" s="1"/>
  <c r="BP15" i="42"/>
  <c r="BP44" i="42" s="1"/>
  <c r="BP15" i="43"/>
  <c r="BP44" i="43" s="1"/>
  <c r="BP19" i="42"/>
  <c r="BP42" i="42" s="1"/>
  <c r="BP19" i="43"/>
  <c r="BP42" i="43" s="1"/>
  <c r="BP23" i="42"/>
  <c r="BP49" i="42" s="1"/>
  <c r="BP23" i="43"/>
  <c r="BP49" i="43" s="1"/>
  <c r="BP27" i="42"/>
  <c r="BP27" i="43"/>
  <c r="BL11" i="30"/>
  <c r="BL39" i="30" s="1"/>
  <c r="BL7" i="30"/>
  <c r="BL5" i="42"/>
  <c r="BL5" i="43"/>
  <c r="BL9" i="42"/>
  <c r="BL9" i="43"/>
  <c r="BL13" i="42"/>
  <c r="BL33" i="42" s="1"/>
  <c r="BL13" i="43"/>
  <c r="BL33" i="43" s="1"/>
  <c r="BL17" i="42"/>
  <c r="BL17" i="43"/>
  <c r="BL21" i="42"/>
  <c r="BL21" i="43"/>
  <c r="BL25" i="42"/>
  <c r="BL25" i="43"/>
  <c r="BL29" i="42"/>
  <c r="BL29" i="43"/>
  <c r="BY10" i="30"/>
  <c r="BY46" i="30" s="1"/>
  <c r="BY6" i="30"/>
  <c r="BY47" i="30" s="1"/>
  <c r="BY30" i="30"/>
  <c r="BY35" i="30" s="1"/>
  <c r="BY28" i="30"/>
  <c r="BY43" i="30" s="1"/>
  <c r="BY26" i="30"/>
  <c r="BY36" i="30" s="1"/>
  <c r="BY24" i="30"/>
  <c r="BY22" i="30"/>
  <c r="BY37" i="30" s="1"/>
  <c r="BY20" i="30"/>
  <c r="BY18" i="30"/>
  <c r="BY16" i="30"/>
  <c r="BY14" i="30"/>
  <c r="BY34" i="30" s="1"/>
  <c r="BY3" i="42"/>
  <c r="BY32" i="42" s="1"/>
  <c r="BY3" i="43"/>
  <c r="BY32" i="43" s="1"/>
  <c r="BY7" i="42"/>
  <c r="BY7" i="43"/>
  <c r="BY11" i="42"/>
  <c r="BY39" i="42" s="1"/>
  <c r="BY11" i="43"/>
  <c r="BY39" i="43" s="1"/>
  <c r="BY15" i="42"/>
  <c r="BY44" i="42" s="1"/>
  <c r="BY15" i="43"/>
  <c r="BY44" i="43" s="1"/>
  <c r="BY19" i="42"/>
  <c r="BY42" i="42" s="1"/>
  <c r="BY19" i="43"/>
  <c r="BY42" i="43" s="1"/>
  <c r="BY23" i="42"/>
  <c r="BY49" i="42" s="1"/>
  <c r="BY23" i="43"/>
  <c r="BY49" i="43" s="1"/>
  <c r="BY27" i="42"/>
  <c r="BY27" i="43"/>
  <c r="BE8" i="30"/>
  <c r="BE41" i="30" s="1"/>
  <c r="BE29" i="30"/>
  <c r="BE25" i="30"/>
  <c r="BE21" i="30"/>
  <c r="BE17" i="30"/>
  <c r="BE13" i="30"/>
  <c r="BE33" i="30" s="1"/>
  <c r="BE5" i="30"/>
  <c r="BE2" i="42"/>
  <c r="BE38" i="42" s="1"/>
  <c r="BE2" i="43"/>
  <c r="BE38" i="43" s="1"/>
  <c r="BE6" i="42"/>
  <c r="BE47" i="42" s="1"/>
  <c r="BE6" i="43"/>
  <c r="BE47" i="43" s="1"/>
  <c r="BE10" i="42"/>
  <c r="BE46" i="42" s="1"/>
  <c r="BE10" i="43"/>
  <c r="BE46" i="43" s="1"/>
  <c r="BE45" i="43" s="1"/>
  <c r="BE14" i="42"/>
  <c r="BE34" i="42" s="1"/>
  <c r="BE14" i="43"/>
  <c r="BE34" i="43" s="1"/>
  <c r="BE18" i="42"/>
  <c r="BE18" i="43"/>
  <c r="BE22" i="42"/>
  <c r="BE37" i="42" s="1"/>
  <c r="BE22" i="43"/>
  <c r="BE37" i="43" s="1"/>
  <c r="BE26" i="42"/>
  <c r="BE36" i="42" s="1"/>
  <c r="BE26" i="43"/>
  <c r="BE36" i="43" s="1"/>
  <c r="BE30" i="42"/>
  <c r="BE35" i="42" s="1"/>
  <c r="BE30" i="43"/>
  <c r="BE35" i="43" s="1"/>
  <c r="AY11" i="38"/>
  <c r="AY8" i="38"/>
  <c r="AY12" i="38"/>
  <c r="AY22" i="38"/>
  <c r="AY4" i="38"/>
  <c r="AY17" i="38"/>
  <c r="AY14" i="38"/>
  <c r="BN57" i="38"/>
  <c r="BN71" i="38"/>
  <c r="BN68" i="38"/>
  <c r="BN54" i="38"/>
  <c r="BN53" i="38"/>
  <c r="BN67" i="38"/>
  <c r="BN69" i="38"/>
  <c r="BN55" i="38"/>
  <c r="W21" i="37"/>
  <c r="W5" i="37"/>
  <c r="V30" i="30"/>
  <c r="V35" i="30" s="1"/>
  <c r="V26" i="30"/>
  <c r="V36" i="30" s="1"/>
  <c r="V22" i="30"/>
  <c r="V37" i="30" s="1"/>
  <c r="V18" i="30"/>
  <c r="V14" i="30"/>
  <c r="V34" i="30" s="1"/>
  <c r="V8" i="30"/>
  <c r="V41" i="30" s="1"/>
  <c r="V3" i="30"/>
  <c r="V32" i="30" s="1"/>
  <c r="V5" i="42"/>
  <c r="V5" i="43"/>
  <c r="V9" i="42"/>
  <c r="V9" i="43"/>
  <c r="V13" i="42"/>
  <c r="V33" i="42" s="1"/>
  <c r="V13" i="43"/>
  <c r="V33" i="43" s="1"/>
  <c r="V17" i="42"/>
  <c r="V17" i="43"/>
  <c r="V21" i="42"/>
  <c r="V21" i="43"/>
  <c r="V25" i="42"/>
  <c r="V25" i="43"/>
  <c r="V29" i="42"/>
  <c r="V29" i="43"/>
  <c r="N8" i="30"/>
  <c r="N41" i="30" s="1"/>
  <c r="N30" i="30"/>
  <c r="N35" i="30" s="1"/>
  <c r="N26" i="30"/>
  <c r="N36" i="30" s="1"/>
  <c r="N22" i="30"/>
  <c r="N37" i="30" s="1"/>
  <c r="N18" i="30"/>
  <c r="N14" i="30"/>
  <c r="N34" i="30" s="1"/>
  <c r="N7" i="30"/>
  <c r="N3" i="30"/>
  <c r="N32" i="30" s="1"/>
  <c r="N2" i="42"/>
  <c r="N38" i="42" s="1"/>
  <c r="N2" i="43"/>
  <c r="N38" i="43" s="1"/>
  <c r="N6" i="42"/>
  <c r="N47" i="42" s="1"/>
  <c r="N6" i="43"/>
  <c r="N47" i="43" s="1"/>
  <c r="N10" i="42"/>
  <c r="N46" i="42" s="1"/>
  <c r="N10" i="43"/>
  <c r="N46" i="43" s="1"/>
  <c r="N45" i="43" s="1"/>
  <c r="N14" i="42"/>
  <c r="N34" i="42" s="1"/>
  <c r="N14" i="43"/>
  <c r="N34" i="43" s="1"/>
  <c r="N18" i="42"/>
  <c r="N18" i="43"/>
  <c r="N22" i="42"/>
  <c r="N37" i="42" s="1"/>
  <c r="N22" i="43"/>
  <c r="N37" i="43" s="1"/>
  <c r="N26" i="42"/>
  <c r="N36" i="42" s="1"/>
  <c r="N26" i="43"/>
  <c r="N36" i="43" s="1"/>
  <c r="N30" i="42"/>
  <c r="N35" i="42" s="1"/>
  <c r="N30" i="43"/>
  <c r="N35" i="43" s="1"/>
  <c r="BK28" i="30"/>
  <c r="BK43" i="30" s="1"/>
  <c r="BK24" i="30"/>
  <c r="BK20" i="30"/>
  <c r="BK16" i="30"/>
  <c r="BK11" i="30"/>
  <c r="BK39" i="30" s="1"/>
  <c r="BK9" i="30"/>
  <c r="BK7" i="30"/>
  <c r="BK5" i="30"/>
  <c r="BK3" i="30"/>
  <c r="BK32" i="30" s="1"/>
  <c r="BK2" i="42"/>
  <c r="BK38" i="42" s="1"/>
  <c r="BK2" i="43"/>
  <c r="BK38" i="43" s="1"/>
  <c r="BK6" i="42"/>
  <c r="BK47" i="42" s="1"/>
  <c r="BK6" i="43"/>
  <c r="BK47" i="43" s="1"/>
  <c r="BK10" i="42"/>
  <c r="BK46" i="42" s="1"/>
  <c r="BK45" i="42" s="1"/>
  <c r="BK10" i="43"/>
  <c r="BK46" i="43" s="1"/>
  <c r="BK14" i="42"/>
  <c r="BK34" i="42" s="1"/>
  <c r="BK14" i="43"/>
  <c r="BK34" i="43" s="1"/>
  <c r="BK18" i="42"/>
  <c r="BK18" i="43"/>
  <c r="BK22" i="42"/>
  <c r="BK37" i="42" s="1"/>
  <c r="BK22" i="43"/>
  <c r="BK37" i="43" s="1"/>
  <c r="BK26" i="42"/>
  <c r="BK36" i="42" s="1"/>
  <c r="BK26" i="43"/>
  <c r="BK36" i="43" s="1"/>
  <c r="BK30" i="42"/>
  <c r="BK35" i="42" s="1"/>
  <c r="BK30" i="43"/>
  <c r="BK35" i="43" s="1"/>
  <c r="X2" i="42"/>
  <c r="X38" i="42" s="1"/>
  <c r="X2" i="43"/>
  <c r="X38" i="43" s="1"/>
  <c r="X8" i="42"/>
  <c r="X41" i="42" s="1"/>
  <c r="X8" i="43"/>
  <c r="X41" i="43" s="1"/>
  <c r="X14" i="42"/>
  <c r="X34" i="42" s="1"/>
  <c r="X14" i="43"/>
  <c r="X34" i="43" s="1"/>
  <c r="X4" i="42"/>
  <c r="X40" i="42" s="1"/>
  <c r="X4" i="43"/>
  <c r="X40" i="43" s="1"/>
  <c r="X30" i="30"/>
  <c r="X35" i="30" s="1"/>
  <c r="X26" i="30"/>
  <c r="X36" i="30" s="1"/>
  <c r="X22" i="30"/>
  <c r="X37" i="30" s="1"/>
  <c r="X18" i="30"/>
  <c r="X14" i="30"/>
  <c r="X34" i="30" s="1"/>
  <c r="X8" i="30"/>
  <c r="X41" i="30" s="1"/>
  <c r="X3" i="42"/>
  <c r="X32" i="42" s="1"/>
  <c r="X3" i="43"/>
  <c r="X32" i="43" s="1"/>
  <c r="X11" i="42"/>
  <c r="X39" i="42" s="1"/>
  <c r="X11" i="43"/>
  <c r="X39" i="43" s="1"/>
  <c r="X19" i="42"/>
  <c r="X42" i="42" s="1"/>
  <c r="X19" i="43"/>
  <c r="X42" i="43" s="1"/>
  <c r="X27" i="42"/>
  <c r="X27" i="43"/>
  <c r="X7" i="30"/>
  <c r="J30" i="30"/>
  <c r="J35" i="30" s="1"/>
  <c r="J26" i="30"/>
  <c r="J36" i="30" s="1"/>
  <c r="J22" i="30"/>
  <c r="J37" i="30" s="1"/>
  <c r="J18" i="30"/>
  <c r="J14" i="30"/>
  <c r="J34" i="30" s="1"/>
  <c r="J4" i="30"/>
  <c r="J40" i="30" s="1"/>
  <c r="J2" i="42"/>
  <c r="J38" i="42" s="1"/>
  <c r="J2" i="43"/>
  <c r="J38" i="43" s="1"/>
  <c r="J6" i="42"/>
  <c r="J47" i="42" s="1"/>
  <c r="J6" i="43"/>
  <c r="J47" i="43" s="1"/>
  <c r="J10" i="42"/>
  <c r="J46" i="42" s="1"/>
  <c r="J10" i="43"/>
  <c r="J46" i="43" s="1"/>
  <c r="J14" i="42"/>
  <c r="J34" i="42" s="1"/>
  <c r="J14" i="43"/>
  <c r="J34" i="43" s="1"/>
  <c r="J18" i="42"/>
  <c r="J18" i="43"/>
  <c r="J22" i="42"/>
  <c r="J37" i="42" s="1"/>
  <c r="J22" i="43"/>
  <c r="J37" i="43" s="1"/>
  <c r="J26" i="42"/>
  <c r="J36" i="42" s="1"/>
  <c r="J26" i="43"/>
  <c r="J36" i="43" s="1"/>
  <c r="J30" i="42"/>
  <c r="J35" i="42" s="1"/>
  <c r="J30" i="43"/>
  <c r="J35" i="43" s="1"/>
  <c r="BC72" i="38"/>
  <c r="BC58" i="38"/>
  <c r="DL68" i="38"/>
  <c r="DN68" i="38" s="1"/>
  <c r="DL54" i="38"/>
  <c r="DN54" i="38" s="1"/>
  <c r="DL75" i="38"/>
  <c r="DL61" i="38"/>
  <c r="DN61" i="38" s="1"/>
  <c r="BC76" i="38"/>
  <c r="BC62" i="38"/>
  <c r="AN12" i="38"/>
  <c r="BC73" i="38"/>
  <c r="BC59" i="38"/>
  <c r="AN3" i="38"/>
  <c r="AN10" i="38"/>
  <c r="DL67" i="38"/>
  <c r="DN67" i="38" s="1"/>
  <c r="DL53" i="38"/>
  <c r="DN53" i="38" s="1"/>
  <c r="BC75" i="38"/>
  <c r="BC61" i="38"/>
  <c r="BC69" i="38"/>
  <c r="BC55" i="38"/>
  <c r="AN4" i="38"/>
  <c r="DK10" i="38"/>
  <c r="DK46" i="38" s="1"/>
  <c r="DK26" i="38"/>
  <c r="DK36" i="38" s="1"/>
  <c r="DL52" i="38"/>
  <c r="DN52" i="38" s="1"/>
  <c r="DL66" i="38"/>
  <c r="DN66" i="38" s="1"/>
  <c r="DL65" i="38"/>
  <c r="DN65" i="38" s="1"/>
  <c r="DL51" i="38"/>
  <c r="DN51" i="38" s="1"/>
  <c r="DK11" i="38"/>
  <c r="DK39" i="38" s="1"/>
  <c r="DK16" i="38"/>
  <c r="CF25" i="38"/>
  <c r="AN5" i="38"/>
  <c r="AN14" i="38"/>
  <c r="AN24" i="38"/>
  <c r="DK29" i="38"/>
  <c r="DK23" i="38"/>
  <c r="DK49" i="38" s="1"/>
  <c r="BN5" i="42"/>
  <c r="BN5" i="43"/>
  <c r="BN27" i="42"/>
  <c r="BN27" i="43"/>
  <c r="BN29" i="30"/>
  <c r="BN27" i="30"/>
  <c r="BN25" i="30"/>
  <c r="BN23" i="30"/>
  <c r="BN49" i="30" s="1"/>
  <c r="BN21" i="30"/>
  <c r="BN19" i="30"/>
  <c r="BN42" i="30" s="1"/>
  <c r="BN17" i="30"/>
  <c r="BN15" i="30"/>
  <c r="BN44" i="30" s="1"/>
  <c r="BN13" i="30"/>
  <c r="BN33" i="30" s="1"/>
  <c r="BN10" i="30"/>
  <c r="BN46" i="30" s="1"/>
  <c r="BN6" i="30"/>
  <c r="BN47" i="30" s="1"/>
  <c r="BN2" i="42"/>
  <c r="BN38" i="42" s="1"/>
  <c r="BN2" i="43"/>
  <c r="BN38" i="43" s="1"/>
  <c r="BN10" i="42"/>
  <c r="BN46" i="42" s="1"/>
  <c r="BN10" i="43"/>
  <c r="BN46" i="43" s="1"/>
  <c r="BN18" i="42"/>
  <c r="BN18" i="43"/>
  <c r="BN26" i="42"/>
  <c r="BN36" i="42" s="1"/>
  <c r="BN26" i="43"/>
  <c r="BN36" i="43" s="1"/>
  <c r="W18" i="16"/>
  <c r="H50" i="16"/>
  <c r="H64" i="16"/>
  <c r="H69" i="16"/>
  <c r="H55" i="16"/>
  <c r="H67" i="16"/>
  <c r="H53" i="16"/>
  <c r="W25" i="37"/>
  <c r="Y27" i="30"/>
  <c r="Y23" i="30"/>
  <c r="Y49" i="30" s="1"/>
  <c r="Y28" i="30"/>
  <c r="Y43" i="30" s="1"/>
  <c r="Y20" i="30"/>
  <c r="Y29" i="30"/>
  <c r="Y10" i="30"/>
  <c r="Y46" i="30" s="1"/>
  <c r="Y6" i="30"/>
  <c r="Y47" i="30" s="1"/>
  <c r="Y5" i="42"/>
  <c r="Y5" i="43"/>
  <c r="Y9" i="42"/>
  <c r="Y9" i="43"/>
  <c r="Y13" i="42"/>
  <c r="Y33" i="42" s="1"/>
  <c r="Y13" i="43"/>
  <c r="Y33" i="43" s="1"/>
  <c r="Y17" i="42"/>
  <c r="Y17" i="43"/>
  <c r="Y21" i="42"/>
  <c r="Y21" i="43"/>
  <c r="Y25" i="42"/>
  <c r="Y25" i="43"/>
  <c r="Y29" i="42"/>
  <c r="Y29" i="43"/>
  <c r="G6" i="30"/>
  <c r="G47" i="30" s="1"/>
  <c r="G27" i="30"/>
  <c r="G23" i="30"/>
  <c r="G49" i="30" s="1"/>
  <c r="G19" i="30"/>
  <c r="G42" i="30" s="1"/>
  <c r="G15" i="30"/>
  <c r="G44" i="30" s="1"/>
  <c r="G10" i="30"/>
  <c r="G46" i="30" s="1"/>
  <c r="G3" i="30"/>
  <c r="G32" i="30" s="1"/>
  <c r="G4" i="42"/>
  <c r="G40" i="42" s="1"/>
  <c r="G4" i="43"/>
  <c r="G40" i="43" s="1"/>
  <c r="G8" i="42"/>
  <c r="G41" i="42" s="1"/>
  <c r="G8" i="43"/>
  <c r="G41" i="43" s="1"/>
  <c r="G12" i="42"/>
  <c r="G12" i="43"/>
  <c r="G16" i="42"/>
  <c r="G16" i="43"/>
  <c r="G20" i="42"/>
  <c r="G20" i="43"/>
  <c r="G24" i="42"/>
  <c r="G24" i="43"/>
  <c r="G28" i="42"/>
  <c r="G43" i="42" s="1"/>
  <c r="G28" i="43"/>
  <c r="G43" i="43" s="1"/>
  <c r="CE9" i="38"/>
  <c r="CE11" i="38"/>
  <c r="CE30" i="38"/>
  <c r="CT70" i="38"/>
  <c r="CT56" i="38"/>
  <c r="CE13" i="38"/>
  <c r="CT72" i="38"/>
  <c r="CT58" i="38"/>
  <c r="CE23" i="38"/>
  <c r="CE15" i="38"/>
  <c r="CE27" i="38"/>
  <c r="BY17" i="18"/>
  <c r="AG17" i="18"/>
  <c r="BY10" i="18"/>
  <c r="BY46" i="18" s="1"/>
  <c r="BY45" i="18" s="1"/>
  <c r="AG10" i="18"/>
  <c r="AG46" i="18" s="1"/>
  <c r="AG45" i="18" s="1"/>
  <c r="BY26" i="18"/>
  <c r="BY36" i="18" s="1"/>
  <c r="AG26" i="18"/>
  <c r="AG36" i="18" s="1"/>
  <c r="BY23" i="18"/>
  <c r="BY49" i="18" s="1"/>
  <c r="AG23" i="18"/>
  <c r="AG49" i="18" s="1"/>
  <c r="BY25" i="18"/>
  <c r="AG25" i="18"/>
  <c r="BY15" i="18"/>
  <c r="BY44" i="18" s="1"/>
  <c r="AG15" i="18"/>
  <c r="AG44" i="18" s="1"/>
  <c r="BY16" i="18"/>
  <c r="AG16" i="18"/>
  <c r="DB67" i="38"/>
  <c r="DB53" i="38"/>
  <c r="BY3" i="38"/>
  <c r="BY32" i="38" s="1"/>
  <c r="AG3" i="38"/>
  <c r="AG32" i="38" s="1"/>
  <c r="DB55" i="38"/>
  <c r="DB69" i="38"/>
  <c r="BJ74" i="38"/>
  <c r="BJ60" i="38"/>
  <c r="O71" i="38"/>
  <c r="O57" i="38"/>
  <c r="BJ53" i="38"/>
  <c r="BJ67" i="38"/>
  <c r="DB52" i="38"/>
  <c r="DB66" i="38"/>
  <c r="BY19" i="38"/>
  <c r="BY42" i="38" s="1"/>
  <c r="AG19" i="38"/>
  <c r="AG42" i="38" s="1"/>
  <c r="BY4" i="38"/>
  <c r="BY40" i="38" s="1"/>
  <c r="AG4" i="38"/>
  <c r="AG40" i="38" s="1"/>
  <c r="BY11" i="38"/>
  <c r="BY39" i="38" s="1"/>
  <c r="AG11" i="38"/>
  <c r="AG39" i="38" s="1"/>
  <c r="AG20" i="38"/>
  <c r="BY20" i="38"/>
  <c r="BY10" i="38"/>
  <c r="BY46" i="38" s="1"/>
  <c r="AG10" i="38"/>
  <c r="AG46" i="38" s="1"/>
  <c r="DB70" i="38"/>
  <c r="DB56" i="38"/>
  <c r="BY24" i="38"/>
  <c r="AG24" i="38"/>
  <c r="DB62" i="38"/>
  <c r="DB76" i="38"/>
  <c r="BS28" i="30"/>
  <c r="BS43" i="30" s="1"/>
  <c r="BS24" i="30"/>
  <c r="BS20" i="30"/>
  <c r="BS16" i="30"/>
  <c r="BS27" i="30"/>
  <c r="BS23" i="30"/>
  <c r="BS49" i="30" s="1"/>
  <c r="BS19" i="30"/>
  <c r="BS42" i="30" s="1"/>
  <c r="BS15" i="30"/>
  <c r="BS44" i="30" s="1"/>
  <c r="BS3" i="42"/>
  <c r="BS32" i="42" s="1"/>
  <c r="BS3" i="43"/>
  <c r="BS32" i="43" s="1"/>
  <c r="BS7" i="42"/>
  <c r="BS7" i="43"/>
  <c r="BS11" i="42"/>
  <c r="BS39" i="42" s="1"/>
  <c r="BS11" i="43"/>
  <c r="BS39" i="43" s="1"/>
  <c r="BS15" i="42"/>
  <c r="BS44" i="42" s="1"/>
  <c r="BS15" i="43"/>
  <c r="BS44" i="43" s="1"/>
  <c r="BS19" i="42"/>
  <c r="BS42" i="42" s="1"/>
  <c r="BS19" i="43"/>
  <c r="BS42" i="43" s="1"/>
  <c r="BS23" i="42"/>
  <c r="BS49" i="42" s="1"/>
  <c r="BS23" i="43"/>
  <c r="BS49" i="43" s="1"/>
  <c r="BS27" i="42"/>
  <c r="BS27" i="43"/>
  <c r="BD5" i="30"/>
  <c r="BD3" i="30"/>
  <c r="BD32" i="30" s="1"/>
  <c r="BD3" i="42"/>
  <c r="BD32" i="42" s="1"/>
  <c r="BD3" i="43"/>
  <c r="BD32" i="43" s="1"/>
  <c r="BD7" i="42"/>
  <c r="BD7" i="43"/>
  <c r="BD11" i="42"/>
  <c r="BD39" i="42" s="1"/>
  <c r="BD11" i="43"/>
  <c r="BD39" i="43" s="1"/>
  <c r="BD15" i="42"/>
  <c r="BD44" i="42" s="1"/>
  <c r="BD15" i="43"/>
  <c r="BD44" i="43" s="1"/>
  <c r="BD19" i="42"/>
  <c r="BD42" i="42" s="1"/>
  <c r="BD19" i="43"/>
  <c r="BD42" i="43" s="1"/>
  <c r="BD23" i="42"/>
  <c r="BD49" i="42" s="1"/>
  <c r="BD23" i="43"/>
  <c r="BD49" i="43" s="1"/>
  <c r="BD27" i="42"/>
  <c r="BD27" i="43"/>
  <c r="Q26" i="30"/>
  <c r="Q36" i="30" s="1"/>
  <c r="Q30" i="30"/>
  <c r="Q35" i="30" s="1"/>
  <c r="Q27" i="30"/>
  <c r="Q19" i="30"/>
  <c r="Q42" i="30" s="1"/>
  <c r="Q28" i="30"/>
  <c r="Q43" i="30" s="1"/>
  <c r="Q10" i="30"/>
  <c r="Q46" i="30" s="1"/>
  <c r="Q6" i="30"/>
  <c r="Q47" i="30" s="1"/>
  <c r="Q5" i="42"/>
  <c r="Q5" i="43"/>
  <c r="Q9" i="42"/>
  <c r="Q9" i="43"/>
  <c r="Q13" i="42"/>
  <c r="Q33" i="42" s="1"/>
  <c r="Q13" i="43"/>
  <c r="Q33" i="43" s="1"/>
  <c r="Q17" i="42"/>
  <c r="Q17" i="43"/>
  <c r="Q21" i="42"/>
  <c r="Q21" i="43"/>
  <c r="Q25" i="42"/>
  <c r="Q25" i="43"/>
  <c r="Q29" i="42"/>
  <c r="Q29" i="43"/>
  <c r="AI74" i="32"/>
  <c r="AI60" i="32"/>
  <c r="AI76" i="32"/>
  <c r="AI62" i="32"/>
  <c r="BU4" i="42"/>
  <c r="BU40" i="42" s="1"/>
  <c r="BU4" i="43"/>
  <c r="BU40" i="43" s="1"/>
  <c r="BU8" i="42"/>
  <c r="BU41" i="42" s="1"/>
  <c r="BU8" i="43"/>
  <c r="BU41" i="43" s="1"/>
  <c r="BU12" i="42"/>
  <c r="BU12" i="43"/>
  <c r="BU16" i="42"/>
  <c r="BU16" i="43"/>
  <c r="BU20" i="42"/>
  <c r="BU20" i="43"/>
  <c r="BU24" i="42"/>
  <c r="BU24" i="43"/>
  <c r="BU28" i="42"/>
  <c r="BU43" i="42" s="1"/>
  <c r="BU28" i="43"/>
  <c r="BU43" i="43" s="1"/>
  <c r="BJ10" i="30"/>
  <c r="BJ46" i="30" s="1"/>
  <c r="BJ45" i="30" s="1"/>
  <c r="BJ9" i="30"/>
  <c r="BJ4" i="42"/>
  <c r="BJ40" i="42" s="1"/>
  <c r="BJ4" i="43"/>
  <c r="BJ40" i="43" s="1"/>
  <c r="BJ8" i="42"/>
  <c r="BJ41" i="42" s="1"/>
  <c r="BJ8" i="43"/>
  <c r="BJ41" i="43" s="1"/>
  <c r="BJ12" i="42"/>
  <c r="BJ12" i="43"/>
  <c r="BJ16" i="42"/>
  <c r="BJ16" i="43"/>
  <c r="BJ20" i="42"/>
  <c r="BJ20" i="43"/>
  <c r="BJ24" i="42"/>
  <c r="BJ24" i="43"/>
  <c r="BJ28" i="42"/>
  <c r="BJ43" i="42" s="1"/>
  <c r="BJ28" i="43"/>
  <c r="BJ43" i="43" s="1"/>
  <c r="F7" i="16"/>
  <c r="U29" i="30"/>
  <c r="U21" i="30"/>
  <c r="U13" i="30"/>
  <c r="U33" i="30" s="1"/>
  <c r="U24" i="30"/>
  <c r="U16" i="30"/>
  <c r="U10" i="30"/>
  <c r="U46" i="30" s="1"/>
  <c r="U6" i="30"/>
  <c r="U47" i="30" s="1"/>
  <c r="U5" i="42"/>
  <c r="U5" i="43"/>
  <c r="U9" i="42"/>
  <c r="U9" i="43"/>
  <c r="U13" i="42"/>
  <c r="U33" i="42" s="1"/>
  <c r="U13" i="43"/>
  <c r="U33" i="43" s="1"/>
  <c r="U17" i="42"/>
  <c r="U17" i="43"/>
  <c r="U21" i="42"/>
  <c r="U21" i="43"/>
  <c r="U25" i="42"/>
  <c r="U25" i="43"/>
  <c r="U29" i="42"/>
  <c r="U29" i="43"/>
  <c r="F30" i="30"/>
  <c r="F35" i="30" s="1"/>
  <c r="F26" i="30"/>
  <c r="F36" i="30" s="1"/>
  <c r="F22" i="30"/>
  <c r="F37" i="30" s="1"/>
  <c r="F18" i="30"/>
  <c r="F14" i="30"/>
  <c r="F34" i="30" s="1"/>
  <c r="F8" i="30"/>
  <c r="F41" i="30" s="1"/>
  <c r="F3" i="30"/>
  <c r="F32" i="30" s="1"/>
  <c r="F4" i="42"/>
  <c r="F40" i="42" s="1"/>
  <c r="F4" i="43"/>
  <c r="F40" i="43" s="1"/>
  <c r="F8" i="42"/>
  <c r="F41" i="42" s="1"/>
  <c r="F8" i="43"/>
  <c r="F41" i="43" s="1"/>
  <c r="F12" i="42"/>
  <c r="F12" i="43"/>
  <c r="F16" i="42"/>
  <c r="F16" i="43"/>
  <c r="F20" i="42"/>
  <c r="F20" i="43"/>
  <c r="F24" i="42"/>
  <c r="F24" i="43"/>
  <c r="F28" i="42"/>
  <c r="F43" i="42" s="1"/>
  <c r="F28" i="43"/>
  <c r="F43" i="43" s="1"/>
  <c r="BZ4" i="18"/>
  <c r="BZ40" i="18" s="1"/>
  <c r="AH4" i="18"/>
  <c r="AH40" i="18" s="1"/>
  <c r="BZ9" i="18"/>
  <c r="AH9" i="18"/>
  <c r="BZ25" i="18"/>
  <c r="AH25" i="18"/>
  <c r="BZ18" i="18"/>
  <c r="AH18" i="18"/>
  <c r="BZ12" i="18"/>
  <c r="AH12" i="18"/>
  <c r="BZ10" i="18"/>
  <c r="BZ46" i="18" s="1"/>
  <c r="BZ45" i="18" s="1"/>
  <c r="AH10" i="18"/>
  <c r="AH46" i="18" s="1"/>
  <c r="BZ11" i="18"/>
  <c r="BZ39" i="18" s="1"/>
  <c r="AH11" i="18"/>
  <c r="AH39" i="18" s="1"/>
  <c r="BZ27" i="18"/>
  <c r="AH27" i="18"/>
  <c r="BZ2" i="38"/>
  <c r="BZ38" i="38" s="1"/>
  <c r="AH2" i="38"/>
  <c r="AH38" i="38" s="1"/>
  <c r="BZ24" i="38"/>
  <c r="AH24" i="38"/>
  <c r="AH14" i="38"/>
  <c r="AH34" i="38" s="1"/>
  <c r="BZ14" i="38"/>
  <c r="BZ34" i="38" s="1"/>
  <c r="AH6" i="38"/>
  <c r="AH47" i="38" s="1"/>
  <c r="BZ6" i="38"/>
  <c r="BZ47" i="38" s="1"/>
  <c r="AH13" i="38"/>
  <c r="AH33" i="38" s="1"/>
  <c r="BZ13" i="38"/>
  <c r="BZ33" i="38" s="1"/>
  <c r="P75" i="38"/>
  <c r="P61" i="38"/>
  <c r="DC67" i="38"/>
  <c r="DC53" i="38"/>
  <c r="BZ15" i="38"/>
  <c r="BZ44" i="38" s="1"/>
  <c r="AH15" i="38"/>
  <c r="AH44" i="38" s="1"/>
  <c r="P70" i="38"/>
  <c r="P56" i="38"/>
  <c r="DC73" i="38"/>
  <c r="DC59" i="38"/>
  <c r="DC66" i="38"/>
  <c r="DC52" i="38"/>
  <c r="BZ21" i="38"/>
  <c r="AH21" i="38"/>
  <c r="DC75" i="38"/>
  <c r="DC61" i="38"/>
  <c r="BZ12" i="38"/>
  <c r="AH12" i="38"/>
  <c r="BK58" i="38"/>
  <c r="BK72" i="38"/>
  <c r="BZ26" i="38"/>
  <c r="BZ36" i="38" s="1"/>
  <c r="AH26" i="38"/>
  <c r="AH36" i="38" s="1"/>
  <c r="DC62" i="38"/>
  <c r="DC76" i="38"/>
  <c r="BZ25" i="38"/>
  <c r="AH25" i="38"/>
  <c r="BG28" i="30"/>
  <c r="BG43" i="30" s="1"/>
  <c r="BG20" i="30"/>
  <c r="BG11" i="30"/>
  <c r="BG39" i="30" s="1"/>
  <c r="BG9" i="30"/>
  <c r="BG7" i="30"/>
  <c r="BG5" i="30"/>
  <c r="BG3" i="30"/>
  <c r="BG32" i="30" s="1"/>
  <c r="BG2" i="42"/>
  <c r="BG38" i="42" s="1"/>
  <c r="BG2" i="43"/>
  <c r="BG38" i="43" s="1"/>
  <c r="BG6" i="42"/>
  <c r="BG47" i="42" s="1"/>
  <c r="BG6" i="43"/>
  <c r="BG47" i="43" s="1"/>
  <c r="BG10" i="42"/>
  <c r="BG46" i="42" s="1"/>
  <c r="BG10" i="43"/>
  <c r="BG46" i="43" s="1"/>
  <c r="BG14" i="42"/>
  <c r="BG34" i="42" s="1"/>
  <c r="BG14" i="43"/>
  <c r="BG34" i="43" s="1"/>
  <c r="BG18" i="42"/>
  <c r="BG18" i="43"/>
  <c r="BG22" i="42"/>
  <c r="BG37" i="42" s="1"/>
  <c r="BG22" i="43"/>
  <c r="BG37" i="43" s="1"/>
  <c r="BG26" i="42"/>
  <c r="BG36" i="42" s="1"/>
  <c r="BG26" i="43"/>
  <c r="BG36" i="43" s="1"/>
  <c r="BG30" i="42"/>
  <c r="BG35" i="42" s="1"/>
  <c r="BG30" i="43"/>
  <c r="BG35" i="43" s="1"/>
  <c r="AI7" i="37"/>
  <c r="AL7" i="37"/>
  <c r="AL23" i="37"/>
  <c r="AL49" i="37" s="1"/>
  <c r="AI23" i="37"/>
  <c r="AI49" i="37" s="1"/>
  <c r="AK49" i="37"/>
  <c r="AH49" i="37"/>
  <c r="AL17" i="37"/>
  <c r="AI17" i="37"/>
  <c r="F16" i="37"/>
  <c r="AL4" i="37"/>
  <c r="AL40" i="37" s="1"/>
  <c r="AI4" i="37"/>
  <c r="AI40" i="37" s="1"/>
  <c r="AK40" i="37"/>
  <c r="AH40" i="37"/>
  <c r="AL12" i="37"/>
  <c r="AI12" i="37"/>
  <c r="AL20" i="37"/>
  <c r="AI20" i="37"/>
  <c r="AL28" i="37"/>
  <c r="AL43" i="37" s="1"/>
  <c r="AI28" i="37"/>
  <c r="AI43" i="37" s="1"/>
  <c r="AH43" i="37"/>
  <c r="AK43" i="37"/>
  <c r="AP68" i="16"/>
  <c r="AP54" i="16"/>
  <c r="I65" i="16"/>
  <c r="I51" i="16"/>
  <c r="I59" i="16"/>
  <c r="I73" i="16"/>
  <c r="AM76" i="16"/>
  <c r="AM62" i="16"/>
  <c r="Y40" i="16"/>
  <c r="Z40" i="16" s="1"/>
  <c r="AM61" i="16"/>
  <c r="AM75" i="16"/>
  <c r="AP75" i="16"/>
  <c r="AP61" i="16"/>
  <c r="I62" i="16"/>
  <c r="I76" i="16"/>
  <c r="AO71" i="16"/>
  <c r="AO57" i="16"/>
  <c r="Y67" i="16"/>
  <c r="Z67" i="16" s="1"/>
  <c r="Y53" i="16"/>
  <c r="Z53" i="16" s="1"/>
  <c r="Y34" i="16"/>
  <c r="Z34" i="16" s="1"/>
  <c r="AM58" i="16"/>
  <c r="AM72" i="16"/>
  <c r="AM51" i="16"/>
  <c r="AM65" i="16"/>
  <c r="AK13" i="16"/>
  <c r="AK33" i="16" s="1"/>
  <c r="AH13" i="16"/>
  <c r="AH33" i="16" s="1"/>
  <c r="AL13" i="16"/>
  <c r="AL33" i="16" s="1"/>
  <c r="AI13" i="16"/>
  <c r="AI33" i="16" s="1"/>
  <c r="AR57" i="16"/>
  <c r="AR71" i="16"/>
  <c r="I67" i="16"/>
  <c r="I53" i="16"/>
  <c r="P68" i="16"/>
  <c r="P54" i="16"/>
  <c r="S60" i="16"/>
  <c r="S74" i="16"/>
  <c r="Q72" i="16"/>
  <c r="Q58" i="16"/>
  <c r="P57" i="16"/>
  <c r="P71" i="16"/>
  <c r="AL3" i="16"/>
  <c r="AL32" i="16" s="1"/>
  <c r="AK3" i="16"/>
  <c r="AK32" i="16" s="1"/>
  <c r="AH3" i="16"/>
  <c r="AH32" i="16" s="1"/>
  <c r="AI3" i="16"/>
  <c r="AI32" i="16" s="1"/>
  <c r="T75" i="16"/>
  <c r="T61" i="16"/>
  <c r="AL29" i="16"/>
  <c r="AI29" i="16"/>
  <c r="AK29" i="16"/>
  <c r="AH29" i="16"/>
  <c r="AR53" i="16"/>
  <c r="AR67" i="16"/>
  <c r="S73" i="16"/>
  <c r="S59" i="16"/>
  <c r="AH15" i="16"/>
  <c r="AH44" i="16" s="1"/>
  <c r="AK15" i="16"/>
  <c r="AK44" i="16" s="1"/>
  <c r="AL15" i="16"/>
  <c r="AL44" i="16" s="1"/>
  <c r="AI15" i="16"/>
  <c r="AI44" i="16" s="1"/>
  <c r="AR61" i="16"/>
  <c r="AR75" i="16"/>
  <c r="S56" i="16"/>
  <c r="S70" i="16"/>
  <c r="AR51" i="16"/>
  <c r="AR65" i="16"/>
  <c r="Q55" i="16"/>
  <c r="Q69" i="16"/>
  <c r="P76" i="16"/>
  <c r="P62" i="16"/>
  <c r="I71" i="16"/>
  <c r="I57" i="16"/>
  <c r="P59" i="16"/>
  <c r="P73" i="16"/>
  <c r="I74" i="16"/>
  <c r="I60" i="16"/>
  <c r="AL14" i="16"/>
  <c r="AL34" i="16" s="1"/>
  <c r="AH14" i="16"/>
  <c r="AH34" i="16" s="1"/>
  <c r="AK14" i="16"/>
  <c r="AK34" i="16" s="1"/>
  <c r="AI14" i="16"/>
  <c r="AI34" i="16" s="1"/>
  <c r="P72" i="16"/>
  <c r="P58" i="16"/>
  <c r="I75" i="16"/>
  <c r="I61" i="16"/>
  <c r="CD16" i="18"/>
  <c r="AL16" i="18"/>
  <c r="CD13" i="18"/>
  <c r="CD33" i="18" s="1"/>
  <c r="AL13" i="18"/>
  <c r="AL33" i="18" s="1"/>
  <c r="CD29" i="18"/>
  <c r="AL29" i="18"/>
  <c r="CD8" i="18"/>
  <c r="CD41" i="18" s="1"/>
  <c r="AL8" i="18"/>
  <c r="AL41" i="18" s="1"/>
  <c r="CD6" i="18"/>
  <c r="CD47" i="18" s="1"/>
  <c r="AL6" i="18"/>
  <c r="AL47" i="18" s="1"/>
  <c r="AL3" i="18"/>
  <c r="AL32" i="18" s="1"/>
  <c r="CD3" i="18"/>
  <c r="CD32" i="18" s="1"/>
  <c r="CD19" i="18"/>
  <c r="CD42" i="18" s="1"/>
  <c r="AL19" i="18"/>
  <c r="AL42" i="18" s="1"/>
  <c r="X69" i="38"/>
  <c r="X55" i="38"/>
  <c r="X52" i="38"/>
  <c r="X66" i="38"/>
  <c r="X75" i="38"/>
  <c r="X61" i="38"/>
  <c r="CD6" i="38"/>
  <c r="CD47" i="38" s="1"/>
  <c r="AL6" i="38"/>
  <c r="AL47" i="38" s="1"/>
  <c r="CD11" i="38"/>
  <c r="CD39" i="38" s="1"/>
  <c r="AL11" i="38"/>
  <c r="AL39" i="38" s="1"/>
  <c r="CD17" i="38"/>
  <c r="AL17" i="38"/>
  <c r="CD19" i="38"/>
  <c r="CD42" i="38" s="1"/>
  <c r="AL19" i="38"/>
  <c r="AL42" i="38" s="1"/>
  <c r="AL24" i="38"/>
  <c r="CD24" i="38"/>
  <c r="CD16" i="38"/>
  <c r="AL16" i="38"/>
  <c r="BO70" i="38"/>
  <c r="BO56" i="38"/>
  <c r="CD28" i="38"/>
  <c r="CD43" i="38" s="1"/>
  <c r="AL28" i="38"/>
  <c r="AL43" i="38" s="1"/>
  <c r="DG55" i="38"/>
  <c r="DG69" i="38"/>
  <c r="AL30" i="38"/>
  <c r="AL35" i="38" s="1"/>
  <c r="CD30" i="38"/>
  <c r="CD35" i="38" s="1"/>
  <c r="AC5" i="18"/>
  <c r="BU5" i="18"/>
  <c r="BU21" i="18"/>
  <c r="AC21" i="18"/>
  <c r="BU26" i="18"/>
  <c r="BU36" i="18" s="1"/>
  <c r="AC26" i="18"/>
  <c r="AC36" i="18" s="1"/>
  <c r="BU12" i="18"/>
  <c r="AC12" i="18"/>
  <c r="AC6" i="18"/>
  <c r="AC47" i="18" s="1"/>
  <c r="BU6" i="18"/>
  <c r="BU47" i="18" s="1"/>
  <c r="AC3" i="18"/>
  <c r="AC32" i="18" s="1"/>
  <c r="BU3" i="18"/>
  <c r="BU32" i="18" s="1"/>
  <c r="BU19" i="18"/>
  <c r="BU42" i="18" s="1"/>
  <c r="AC19" i="18"/>
  <c r="AC42" i="18" s="1"/>
  <c r="T51" i="38"/>
  <c r="T65" i="38"/>
  <c r="AC8" i="38"/>
  <c r="AC41" i="38" s="1"/>
  <c r="BU8" i="38"/>
  <c r="BU41" i="38" s="1"/>
  <c r="T67" i="38"/>
  <c r="T53" i="38"/>
  <c r="BF61" i="38"/>
  <c r="BF75" i="38"/>
  <c r="T54" i="38"/>
  <c r="T68" i="38"/>
  <c r="T62" i="38"/>
  <c r="T76" i="38"/>
  <c r="BF74" i="38"/>
  <c r="BF60" i="38"/>
  <c r="T50" i="38"/>
  <c r="T64" i="38"/>
  <c r="BF67" i="38"/>
  <c r="BF53" i="38"/>
  <c r="CX66" i="38"/>
  <c r="CX52" i="38"/>
  <c r="BU29" i="38"/>
  <c r="AC29" i="38"/>
  <c r="BF70" i="38"/>
  <c r="BF56" i="38"/>
  <c r="BU26" i="38"/>
  <c r="BU36" i="38" s="1"/>
  <c r="AC26" i="38"/>
  <c r="AC36" i="38" s="1"/>
  <c r="AC16" i="38"/>
  <c r="BU16" i="38"/>
  <c r="CX56" i="38"/>
  <c r="CX70" i="38"/>
  <c r="BF62" i="38"/>
  <c r="BF76" i="38"/>
  <c r="BU25" i="38"/>
  <c r="AC25" i="38"/>
  <c r="BW30" i="30"/>
  <c r="BW35" i="30" s="1"/>
  <c r="BW18" i="30"/>
  <c r="BW12" i="30"/>
  <c r="BW10" i="30"/>
  <c r="BW46" i="30" s="1"/>
  <c r="BW8" i="30"/>
  <c r="BW41" i="30" s="1"/>
  <c r="BW6" i="30"/>
  <c r="BW47" i="30" s="1"/>
  <c r="BW4" i="30"/>
  <c r="BW40" i="30" s="1"/>
  <c r="BW4" i="42"/>
  <c r="BW40" i="42" s="1"/>
  <c r="BW4" i="43"/>
  <c r="BW40" i="43" s="1"/>
  <c r="BW8" i="42"/>
  <c r="BW41" i="42" s="1"/>
  <c r="BW8" i="43"/>
  <c r="BW41" i="43" s="1"/>
  <c r="BW12" i="42"/>
  <c r="BW12" i="43"/>
  <c r="BW16" i="42"/>
  <c r="BW16" i="43"/>
  <c r="BW20" i="42"/>
  <c r="BW20" i="43"/>
  <c r="BW24" i="42"/>
  <c r="BW24" i="43"/>
  <c r="BW28" i="42"/>
  <c r="BW43" i="42" s="1"/>
  <c r="BW28" i="43"/>
  <c r="BW43" i="43" s="1"/>
  <c r="BT5" i="42"/>
  <c r="BT5" i="43"/>
  <c r="BT9" i="42"/>
  <c r="BT9" i="43"/>
  <c r="BT13" i="42"/>
  <c r="BT33" i="42" s="1"/>
  <c r="BT13" i="43"/>
  <c r="BT33" i="43" s="1"/>
  <c r="BT17" i="42"/>
  <c r="BT17" i="43"/>
  <c r="BT21" i="42"/>
  <c r="BT21" i="43"/>
  <c r="BT25" i="42"/>
  <c r="BT25" i="43"/>
  <c r="BT29" i="42"/>
  <c r="BT29" i="43"/>
  <c r="BP10" i="30"/>
  <c r="BP46" i="30" s="1"/>
  <c r="BP5" i="30"/>
  <c r="BP3" i="30"/>
  <c r="BP32" i="30" s="1"/>
  <c r="BP4" i="42"/>
  <c r="BP40" i="42" s="1"/>
  <c r="BP4" i="43"/>
  <c r="BP40" i="43" s="1"/>
  <c r="BP8" i="42"/>
  <c r="BP41" i="42" s="1"/>
  <c r="BP8" i="43"/>
  <c r="BP41" i="43" s="1"/>
  <c r="BP12" i="42"/>
  <c r="BP12" i="43"/>
  <c r="BP16" i="42"/>
  <c r="BP16" i="43"/>
  <c r="BP20" i="42"/>
  <c r="BP20" i="43"/>
  <c r="BP24" i="42"/>
  <c r="BP24" i="43"/>
  <c r="BP28" i="42"/>
  <c r="BP43" i="42" s="1"/>
  <c r="BP28" i="43"/>
  <c r="BP43" i="43" s="1"/>
  <c r="BL30" i="30"/>
  <c r="BL35" i="30" s="1"/>
  <c r="BL28" i="30"/>
  <c r="BL43" i="30" s="1"/>
  <c r="BL26" i="30"/>
  <c r="BL36" i="30" s="1"/>
  <c r="BL24" i="30"/>
  <c r="BL22" i="30"/>
  <c r="BL37" i="30" s="1"/>
  <c r="BL20" i="30"/>
  <c r="BL18" i="30"/>
  <c r="BL16" i="30"/>
  <c r="BL14" i="30"/>
  <c r="BL34" i="30" s="1"/>
  <c r="BL12" i="30"/>
  <c r="BL8" i="30"/>
  <c r="BL41" i="30" s="1"/>
  <c r="BL4" i="30"/>
  <c r="BL40" i="30" s="1"/>
  <c r="BL2" i="42"/>
  <c r="BL38" i="42" s="1"/>
  <c r="BL2" i="43"/>
  <c r="BL38" i="43" s="1"/>
  <c r="BL6" i="42"/>
  <c r="BL47" i="42" s="1"/>
  <c r="BL6" i="43"/>
  <c r="BL47" i="43" s="1"/>
  <c r="BL10" i="42"/>
  <c r="BL46" i="42" s="1"/>
  <c r="BL10" i="43"/>
  <c r="BL46" i="43" s="1"/>
  <c r="BL14" i="42"/>
  <c r="BL34" i="42" s="1"/>
  <c r="BL14" i="43"/>
  <c r="BL34" i="43" s="1"/>
  <c r="BL18" i="42"/>
  <c r="BL18" i="43"/>
  <c r="BL22" i="42"/>
  <c r="BL37" i="42" s="1"/>
  <c r="BL22" i="43"/>
  <c r="BL37" i="43" s="1"/>
  <c r="BL26" i="42"/>
  <c r="BL36" i="42" s="1"/>
  <c r="BL26" i="43"/>
  <c r="BL36" i="43" s="1"/>
  <c r="BL30" i="42"/>
  <c r="BL35" i="42" s="1"/>
  <c r="BL30" i="43"/>
  <c r="BL35" i="43" s="1"/>
  <c r="BY11" i="30"/>
  <c r="BY39" i="30" s="1"/>
  <c r="BY7" i="30"/>
  <c r="BY4" i="30"/>
  <c r="BY40" i="30" s="1"/>
  <c r="BY4" i="42"/>
  <c r="BY40" i="42" s="1"/>
  <c r="BY4" i="43"/>
  <c r="BY40" i="43" s="1"/>
  <c r="BY8" i="42"/>
  <c r="BY41" i="42" s="1"/>
  <c r="BY8" i="43"/>
  <c r="BY41" i="43" s="1"/>
  <c r="BY12" i="42"/>
  <c r="BY12" i="43"/>
  <c r="BY16" i="42"/>
  <c r="BY16" i="43"/>
  <c r="BY20" i="42"/>
  <c r="BY20" i="43"/>
  <c r="BY24" i="42"/>
  <c r="BY24" i="43"/>
  <c r="BY28" i="42"/>
  <c r="BY43" i="42" s="1"/>
  <c r="BY28" i="43"/>
  <c r="BY43" i="43" s="1"/>
  <c r="BE10" i="30"/>
  <c r="BE46" i="30" s="1"/>
  <c r="BE45" i="30" s="1"/>
  <c r="BE28" i="30"/>
  <c r="BE43" i="30" s="1"/>
  <c r="BE24" i="30"/>
  <c r="BE20" i="30"/>
  <c r="BE16" i="30"/>
  <c r="BE11" i="30"/>
  <c r="BE39" i="30" s="1"/>
  <c r="BE4" i="30"/>
  <c r="BE40" i="30" s="1"/>
  <c r="BE3" i="42"/>
  <c r="BE32" i="42" s="1"/>
  <c r="BE3" i="43"/>
  <c r="BE32" i="43" s="1"/>
  <c r="BE7" i="42"/>
  <c r="BE7" i="43"/>
  <c r="BE11" i="42"/>
  <c r="BE39" i="42" s="1"/>
  <c r="BE11" i="43"/>
  <c r="BE39" i="43" s="1"/>
  <c r="BE15" i="42"/>
  <c r="BE44" i="42" s="1"/>
  <c r="BE15" i="43"/>
  <c r="BE44" i="43" s="1"/>
  <c r="BE19" i="42"/>
  <c r="BE42" i="42" s="1"/>
  <c r="BE19" i="43"/>
  <c r="BE42" i="43" s="1"/>
  <c r="BE23" i="42"/>
  <c r="BE49" i="42" s="1"/>
  <c r="BE23" i="43"/>
  <c r="BE49" i="43" s="1"/>
  <c r="BE27" i="42"/>
  <c r="BE27" i="43"/>
  <c r="AY19" i="38"/>
  <c r="AY29" i="38"/>
  <c r="AY3" i="38"/>
  <c r="AY18" i="38"/>
  <c r="AY27" i="38"/>
  <c r="AY20" i="38"/>
  <c r="BN72" i="38"/>
  <c r="BN58" i="38"/>
  <c r="BN62" i="38"/>
  <c r="BN76" i="38"/>
  <c r="BN65" i="38"/>
  <c r="BN51" i="38"/>
  <c r="BN64" i="38"/>
  <c r="BN50" i="38"/>
  <c r="BN70" i="38"/>
  <c r="BN56" i="38"/>
  <c r="V11" i="30"/>
  <c r="V39" i="30" s="1"/>
  <c r="V29" i="30"/>
  <c r="V25" i="30"/>
  <c r="V21" i="30"/>
  <c r="V17" i="30"/>
  <c r="V13" i="30"/>
  <c r="V33" i="30" s="1"/>
  <c r="V6" i="30"/>
  <c r="V47" i="30" s="1"/>
  <c r="V2" i="42"/>
  <c r="V38" i="42" s="1"/>
  <c r="V2" i="43"/>
  <c r="V38" i="43" s="1"/>
  <c r="V6" i="42"/>
  <c r="V47" i="42" s="1"/>
  <c r="V6" i="43"/>
  <c r="V47" i="43" s="1"/>
  <c r="V10" i="42"/>
  <c r="V46" i="42" s="1"/>
  <c r="V45" i="42" s="1"/>
  <c r="V10" i="43"/>
  <c r="V46" i="43" s="1"/>
  <c r="V14" i="42"/>
  <c r="V34" i="42" s="1"/>
  <c r="V14" i="43"/>
  <c r="V34" i="43" s="1"/>
  <c r="V18" i="42"/>
  <c r="V18" i="43"/>
  <c r="V22" i="42"/>
  <c r="V37" i="42" s="1"/>
  <c r="V22" i="43"/>
  <c r="V37" i="43" s="1"/>
  <c r="V26" i="42"/>
  <c r="V36" i="42" s="1"/>
  <c r="V26" i="43"/>
  <c r="V36" i="43" s="1"/>
  <c r="V30" i="42"/>
  <c r="V35" i="42" s="1"/>
  <c r="V30" i="43"/>
  <c r="V35" i="43" s="1"/>
  <c r="N6" i="30"/>
  <c r="N47" i="30" s="1"/>
  <c r="N29" i="30"/>
  <c r="N25" i="30"/>
  <c r="N21" i="30"/>
  <c r="N17" i="30"/>
  <c r="N13" i="30"/>
  <c r="N33" i="30" s="1"/>
  <c r="N3" i="42"/>
  <c r="N32" i="42" s="1"/>
  <c r="N3" i="43"/>
  <c r="N32" i="43" s="1"/>
  <c r="N7" i="42"/>
  <c r="N7" i="43"/>
  <c r="N11" i="42"/>
  <c r="N39" i="42" s="1"/>
  <c r="N11" i="43"/>
  <c r="N39" i="43" s="1"/>
  <c r="N15" i="42"/>
  <c r="N44" i="42" s="1"/>
  <c r="N15" i="43"/>
  <c r="N44" i="43" s="1"/>
  <c r="N19" i="42"/>
  <c r="N42" i="42" s="1"/>
  <c r="N19" i="43"/>
  <c r="N42" i="43" s="1"/>
  <c r="N23" i="42"/>
  <c r="N49" i="42" s="1"/>
  <c r="N23" i="43"/>
  <c r="N49" i="43" s="1"/>
  <c r="N27" i="42"/>
  <c r="N27" i="43"/>
  <c r="BK27" i="30"/>
  <c r="BK23" i="30"/>
  <c r="BK49" i="30" s="1"/>
  <c r="BK19" i="30"/>
  <c r="BK42" i="30" s="1"/>
  <c r="BK15" i="30"/>
  <c r="BK44" i="30" s="1"/>
  <c r="BK3" i="42"/>
  <c r="BK32" i="42" s="1"/>
  <c r="BK3" i="43"/>
  <c r="BK32" i="43" s="1"/>
  <c r="BK7" i="42"/>
  <c r="BK7" i="43"/>
  <c r="BK11" i="42"/>
  <c r="BK39" i="42" s="1"/>
  <c r="BK11" i="43"/>
  <c r="BK39" i="43" s="1"/>
  <c r="BK15" i="42"/>
  <c r="BK44" i="42" s="1"/>
  <c r="BK15" i="43"/>
  <c r="BK44" i="43" s="1"/>
  <c r="BK19" i="42"/>
  <c r="BK42" i="42" s="1"/>
  <c r="BK19" i="43"/>
  <c r="BK42" i="43" s="1"/>
  <c r="BK23" i="42"/>
  <c r="BK49" i="42" s="1"/>
  <c r="BK23" i="43"/>
  <c r="BK49" i="43" s="1"/>
  <c r="BK27" i="42"/>
  <c r="BK27" i="43"/>
  <c r="X10" i="42"/>
  <c r="X46" i="42" s="1"/>
  <c r="X45" i="42" s="1"/>
  <c r="X10" i="43"/>
  <c r="X46" i="43" s="1"/>
  <c r="X45" i="43" s="1"/>
  <c r="X16" i="42"/>
  <c r="X16" i="43"/>
  <c r="X22" i="42"/>
  <c r="X37" i="42" s="1"/>
  <c r="X22" i="43"/>
  <c r="X37" i="43" s="1"/>
  <c r="X12" i="42"/>
  <c r="X12" i="43"/>
  <c r="X29" i="30"/>
  <c r="X25" i="30"/>
  <c r="X21" i="30"/>
  <c r="X17" i="30"/>
  <c r="X13" i="30"/>
  <c r="X33" i="30" s="1"/>
  <c r="X6" i="30"/>
  <c r="X47" i="30" s="1"/>
  <c r="X5" i="42"/>
  <c r="X5" i="43"/>
  <c r="X13" i="42"/>
  <c r="X33" i="42" s="1"/>
  <c r="X13" i="43"/>
  <c r="X33" i="43" s="1"/>
  <c r="X21" i="42"/>
  <c r="X21" i="43"/>
  <c r="X29" i="42"/>
  <c r="X29" i="43"/>
  <c r="X4" i="30"/>
  <c r="X40" i="30" s="1"/>
  <c r="J8" i="30"/>
  <c r="J41" i="30" s="1"/>
  <c r="J11" i="30"/>
  <c r="J39" i="30" s="1"/>
  <c r="J29" i="30"/>
  <c r="J25" i="30"/>
  <c r="J21" i="30"/>
  <c r="J17" i="30"/>
  <c r="J13" i="30"/>
  <c r="J33" i="30" s="1"/>
  <c r="J3" i="30"/>
  <c r="J32" i="30" s="1"/>
  <c r="J3" i="42"/>
  <c r="J32" i="42" s="1"/>
  <c r="J3" i="43"/>
  <c r="J32" i="43" s="1"/>
  <c r="J7" i="42"/>
  <c r="J7" i="43"/>
  <c r="J11" i="42"/>
  <c r="J39" i="42" s="1"/>
  <c r="J11" i="43"/>
  <c r="J39" i="43" s="1"/>
  <c r="J15" i="42"/>
  <c r="J44" i="42" s="1"/>
  <c r="J15" i="43"/>
  <c r="J44" i="43" s="1"/>
  <c r="J19" i="42"/>
  <c r="J42" i="42" s="1"/>
  <c r="J19" i="43"/>
  <c r="J42" i="43" s="1"/>
  <c r="J23" i="42"/>
  <c r="J49" i="42" s="1"/>
  <c r="J23" i="43"/>
  <c r="J49" i="43" s="1"/>
  <c r="J27" i="42"/>
  <c r="J27" i="43"/>
  <c r="BC57" i="38"/>
  <c r="BC71" i="38"/>
  <c r="CU67" i="38"/>
  <c r="CU53" i="38"/>
  <c r="CU74" i="38"/>
  <c r="CU60" i="38"/>
  <c r="DL56" i="38"/>
  <c r="DN56" i="38" s="1"/>
  <c r="DL70" i="38"/>
  <c r="DN70" i="38" s="1"/>
  <c r="AN16" i="38"/>
  <c r="AN29" i="38"/>
  <c r="BC53" i="38"/>
  <c r="BC67" i="38"/>
  <c r="DL57" i="38"/>
  <c r="DN57" i="38" s="1"/>
  <c r="DL71" i="38"/>
  <c r="DN71" i="38" s="1"/>
  <c r="AN13" i="38"/>
  <c r="DL60" i="38"/>
  <c r="DN60" i="38" s="1"/>
  <c r="DL74" i="38"/>
  <c r="BC70" i="38"/>
  <c r="BC56" i="38"/>
  <c r="DK6" i="38"/>
  <c r="DK47" i="38" s="1"/>
  <c r="AN20" i="38"/>
  <c r="AN28" i="38"/>
  <c r="BC60" i="38"/>
  <c r="BC74" i="38"/>
  <c r="CU75" i="38"/>
  <c r="CU61" i="38"/>
  <c r="DK2" i="38"/>
  <c r="DK38" i="38" s="1"/>
  <c r="DK12" i="38"/>
  <c r="AN19" i="38"/>
  <c r="DK17" i="38"/>
  <c r="DK5" i="38"/>
  <c r="DK14" i="38"/>
  <c r="DK34" i="38" s="1"/>
  <c r="AN25" i="38"/>
  <c r="DK30" i="38"/>
  <c r="DK35" i="38" s="1"/>
  <c r="AN27" i="38"/>
  <c r="BN7" i="42"/>
  <c r="BN7" i="43"/>
  <c r="BN13" i="42"/>
  <c r="BN33" i="42" s="1"/>
  <c r="BN13" i="43"/>
  <c r="BN33" i="43" s="1"/>
  <c r="BN3" i="42"/>
  <c r="BN32" i="42" s="1"/>
  <c r="BN3" i="43"/>
  <c r="BN32" i="43" s="1"/>
  <c r="BN9" i="42"/>
  <c r="BN9" i="43"/>
  <c r="BN5" i="30"/>
  <c r="BN4" i="42"/>
  <c r="BN40" i="42" s="1"/>
  <c r="BN4" i="43"/>
  <c r="BN40" i="43" s="1"/>
  <c r="BN12" i="42"/>
  <c r="BN12" i="43"/>
  <c r="BN20" i="42"/>
  <c r="BN20" i="43"/>
  <c r="BN28" i="42"/>
  <c r="BN43" i="42" s="1"/>
  <c r="BN28" i="43"/>
  <c r="BN43" i="43" s="1"/>
  <c r="BN9" i="30"/>
  <c r="BN4" i="30"/>
  <c r="BN40" i="30" s="1"/>
  <c r="W12" i="16"/>
  <c r="H47" i="16"/>
  <c r="H45" i="16" s="1"/>
  <c r="W29" i="37"/>
  <c r="W3" i="37"/>
  <c r="W32" i="37" s="1"/>
  <c r="Y19" i="30"/>
  <c r="Y42" i="30" s="1"/>
  <c r="Y21" i="30"/>
  <c r="Y26" i="30"/>
  <c r="Y36" i="30" s="1"/>
  <c r="Y18" i="30"/>
  <c r="Y25" i="30"/>
  <c r="Y9" i="30"/>
  <c r="Y5" i="30"/>
  <c r="Y2" i="42"/>
  <c r="Y38" i="42" s="1"/>
  <c r="Y2" i="43"/>
  <c r="Y38" i="43" s="1"/>
  <c r="Y6" i="42"/>
  <c r="Y47" i="42" s="1"/>
  <c r="Y6" i="43"/>
  <c r="Y47" i="43" s="1"/>
  <c r="Y10" i="42"/>
  <c r="Y46" i="42" s="1"/>
  <c r="Y10" i="43"/>
  <c r="Y46" i="43" s="1"/>
  <c r="Y14" i="42"/>
  <c r="Y34" i="42" s="1"/>
  <c r="Y14" i="43"/>
  <c r="Y34" i="43" s="1"/>
  <c r="Y18" i="42"/>
  <c r="Y18" i="43"/>
  <c r="Y22" i="42"/>
  <c r="Y37" i="42" s="1"/>
  <c r="Y22" i="43"/>
  <c r="Y37" i="43" s="1"/>
  <c r="Y26" i="42"/>
  <c r="Y36" i="42" s="1"/>
  <c r="Y26" i="43"/>
  <c r="Y36" i="43" s="1"/>
  <c r="Y30" i="42"/>
  <c r="Y35" i="42" s="1"/>
  <c r="Y30" i="43"/>
  <c r="Y35" i="43" s="1"/>
  <c r="G9" i="30"/>
  <c r="G30" i="30"/>
  <c r="G35" i="30" s="1"/>
  <c r="G26" i="30"/>
  <c r="G36" i="30" s="1"/>
  <c r="G22" i="30"/>
  <c r="G37" i="30" s="1"/>
  <c r="G18" i="30"/>
  <c r="G14" i="30"/>
  <c r="G34" i="30" s="1"/>
  <c r="G8" i="30"/>
  <c r="G41" i="30" s="1"/>
  <c r="G5" i="42"/>
  <c r="G5" i="43"/>
  <c r="G9" i="42"/>
  <c r="G9" i="43"/>
  <c r="G13" i="42"/>
  <c r="G33" i="42" s="1"/>
  <c r="G13" i="43"/>
  <c r="G33" i="43" s="1"/>
  <c r="G17" i="42"/>
  <c r="G17" i="43"/>
  <c r="G21" i="42"/>
  <c r="G21" i="43"/>
  <c r="G25" i="42"/>
  <c r="G25" i="43"/>
  <c r="G29" i="42"/>
  <c r="G29" i="43"/>
  <c r="CE2" i="38"/>
  <c r="CE22" i="38"/>
  <c r="CT59" i="38"/>
  <c r="CT73" i="38"/>
  <c r="CE17" i="38"/>
  <c r="CT75" i="38"/>
  <c r="CT61" i="38"/>
  <c r="CT71" i="38"/>
  <c r="CT57" i="38"/>
  <c r="CT67" i="38"/>
  <c r="CT53" i="38"/>
  <c r="CT52" i="38"/>
  <c r="CT66" i="38"/>
  <c r="CE5" i="38"/>
  <c r="CE18" i="38"/>
  <c r="CE19" i="38"/>
  <c r="CE24" i="38"/>
  <c r="BY21" i="18"/>
  <c r="AG21" i="18"/>
  <c r="BY14" i="18"/>
  <c r="BY34" i="18" s="1"/>
  <c r="AG14" i="18"/>
  <c r="AG34" i="18" s="1"/>
  <c r="BY30" i="18"/>
  <c r="BY35" i="18" s="1"/>
  <c r="AG30" i="18"/>
  <c r="AG35" i="18" s="1"/>
  <c r="BY27" i="18"/>
  <c r="AG27" i="18"/>
  <c r="BY29" i="18"/>
  <c r="AG29" i="18"/>
  <c r="BY4" i="18"/>
  <c r="BY40" i="18" s="1"/>
  <c r="AG4" i="18"/>
  <c r="AG40" i="18" s="1"/>
  <c r="BY20" i="18"/>
  <c r="AG20" i="18"/>
  <c r="BY16" i="38"/>
  <c r="AG16" i="38"/>
  <c r="AG9" i="38"/>
  <c r="BY9" i="38"/>
  <c r="BY14" i="38"/>
  <c r="BY34" i="38" s="1"/>
  <c r="AG14" i="38"/>
  <c r="AG34" i="38" s="1"/>
  <c r="BJ72" i="38"/>
  <c r="BJ58" i="38"/>
  <c r="O72" i="38"/>
  <c r="O58" i="38"/>
  <c r="BY8" i="38"/>
  <c r="BY41" i="38" s="1"/>
  <c r="AG8" i="38"/>
  <c r="AG41" i="38" s="1"/>
  <c r="O70" i="38"/>
  <c r="O56" i="38"/>
  <c r="DB73" i="38"/>
  <c r="DB59" i="38"/>
  <c r="BY18" i="38"/>
  <c r="AG18" i="38"/>
  <c r="O51" i="38"/>
  <c r="O65" i="38"/>
  <c r="BY2" i="38"/>
  <c r="BY38" i="38" s="1"/>
  <c r="AG2" i="38"/>
  <c r="AG38" i="38" s="1"/>
  <c r="BJ70" i="38"/>
  <c r="BJ56" i="38"/>
  <c r="BY7" i="38"/>
  <c r="AG7" i="38"/>
  <c r="DB58" i="38"/>
  <c r="DB72" i="38"/>
  <c r="BY21" i="38"/>
  <c r="AG21" i="38"/>
  <c r="BJ69" i="38"/>
  <c r="BJ55" i="38"/>
  <c r="DB57" i="38"/>
  <c r="DB71" i="38"/>
  <c r="DB64" i="38"/>
  <c r="DB50" i="38"/>
  <c r="BY28" i="38"/>
  <c r="BY43" i="38" s="1"/>
  <c r="AG28" i="38"/>
  <c r="AG43" i="38" s="1"/>
  <c r="BS12" i="30"/>
  <c r="BS10" i="30"/>
  <c r="BS46" i="30" s="1"/>
  <c r="BS8" i="30"/>
  <c r="BS41" i="30" s="1"/>
  <c r="BS6" i="30"/>
  <c r="BS47" i="30" s="1"/>
  <c r="BS4" i="30"/>
  <c r="BS40" i="30" s="1"/>
  <c r="BS4" i="42"/>
  <c r="BS40" i="42" s="1"/>
  <c r="BS4" i="43"/>
  <c r="BS40" i="43" s="1"/>
  <c r="BS8" i="42"/>
  <c r="BS41" i="42" s="1"/>
  <c r="BS8" i="43"/>
  <c r="BS41" i="43" s="1"/>
  <c r="BS12" i="42"/>
  <c r="BS12" i="43"/>
  <c r="BS16" i="42"/>
  <c r="BS16" i="43"/>
  <c r="BS20" i="42"/>
  <c r="BS20" i="43"/>
  <c r="BS24" i="42"/>
  <c r="BS24" i="43"/>
  <c r="BS28" i="42"/>
  <c r="BS43" i="42" s="1"/>
  <c r="BS28" i="43"/>
  <c r="BS43" i="43" s="1"/>
  <c r="BD10" i="30"/>
  <c r="BD46" i="30" s="1"/>
  <c r="BD45" i="30" s="1"/>
  <c r="BD6" i="30"/>
  <c r="BD47" i="30" s="1"/>
  <c r="BD29" i="30"/>
  <c r="BD27" i="30"/>
  <c r="BD25" i="30"/>
  <c r="BD23" i="30"/>
  <c r="BD49" i="30" s="1"/>
  <c r="BD21" i="30"/>
  <c r="BD19" i="30"/>
  <c r="BD42" i="30" s="1"/>
  <c r="BD17" i="30"/>
  <c r="BD15" i="30"/>
  <c r="BD44" i="30" s="1"/>
  <c r="BD13" i="30"/>
  <c r="BD33" i="30" s="1"/>
  <c r="BD9" i="30"/>
  <c r="BD4" i="42"/>
  <c r="BD40" i="42" s="1"/>
  <c r="BD4" i="43"/>
  <c r="BD40" i="43" s="1"/>
  <c r="BD8" i="42"/>
  <c r="BD41" i="42" s="1"/>
  <c r="BD8" i="43"/>
  <c r="BD41" i="43" s="1"/>
  <c r="BD12" i="42"/>
  <c r="BD12" i="43"/>
  <c r="BD16" i="42"/>
  <c r="BD16" i="43"/>
  <c r="BD20" i="42"/>
  <c r="BD20" i="43"/>
  <c r="BD24" i="42"/>
  <c r="BD24" i="43"/>
  <c r="BD28" i="42"/>
  <c r="BD43" i="42" s="1"/>
  <c r="BD28" i="43"/>
  <c r="BD43" i="43" s="1"/>
  <c r="Q20" i="30"/>
  <c r="Q22" i="30"/>
  <c r="Q37" i="30" s="1"/>
  <c r="Q25" i="30"/>
  <c r="Q17" i="30"/>
  <c r="Q24" i="30"/>
  <c r="Q9" i="30"/>
  <c r="Q5" i="30"/>
  <c r="Q2" i="42"/>
  <c r="Q38" i="42" s="1"/>
  <c r="Q2" i="43"/>
  <c r="Q38" i="43" s="1"/>
  <c r="Q6" i="42"/>
  <c r="Q47" i="42" s="1"/>
  <c r="Q6" i="43"/>
  <c r="Q47" i="43" s="1"/>
  <c r="Q10" i="42"/>
  <c r="Q46" i="42" s="1"/>
  <c r="Q10" i="43"/>
  <c r="Q46" i="43" s="1"/>
  <c r="Q14" i="42"/>
  <c r="Q34" i="42" s="1"/>
  <c r="Q14" i="43"/>
  <c r="Q34" i="43" s="1"/>
  <c r="Q18" i="42"/>
  <c r="Q18" i="43"/>
  <c r="Q22" i="42"/>
  <c r="Q37" i="42" s="1"/>
  <c r="Q22" i="43"/>
  <c r="Q37" i="43" s="1"/>
  <c r="Q26" i="42"/>
  <c r="Q36" i="42" s="1"/>
  <c r="Q26" i="43"/>
  <c r="Q36" i="43" s="1"/>
  <c r="Q30" i="42"/>
  <c r="Q35" i="42" s="1"/>
  <c r="Q30" i="43"/>
  <c r="Q35" i="43" s="1"/>
  <c r="AI69" i="32"/>
  <c r="AI55" i="32"/>
  <c r="AI67" i="32"/>
  <c r="AI53" i="32"/>
  <c r="AI72" i="32"/>
  <c r="AI58" i="32"/>
  <c r="AI71" i="32"/>
  <c r="AI57" i="32"/>
  <c r="BU8" i="30"/>
  <c r="BU41" i="30" s="1"/>
  <c r="BU29" i="30"/>
  <c r="BU27" i="30"/>
  <c r="BU25" i="30"/>
  <c r="BU23" i="30"/>
  <c r="BU49" i="30" s="1"/>
  <c r="BU21" i="30"/>
  <c r="BU19" i="30"/>
  <c r="BU42" i="30" s="1"/>
  <c r="BU17" i="30"/>
  <c r="BU15" i="30"/>
  <c r="BU44" i="30" s="1"/>
  <c r="BU13" i="30"/>
  <c r="BU33" i="30" s="1"/>
  <c r="BU9" i="30"/>
  <c r="BU5" i="30"/>
  <c r="BU3" i="30"/>
  <c r="BU32" i="30" s="1"/>
  <c r="BU5" i="42"/>
  <c r="BU5" i="43"/>
  <c r="BU9" i="42"/>
  <c r="BU9" i="43"/>
  <c r="BU13" i="42"/>
  <c r="BU33" i="42" s="1"/>
  <c r="BU13" i="43"/>
  <c r="BU33" i="43" s="1"/>
  <c r="BU17" i="42"/>
  <c r="BU17" i="43"/>
  <c r="BU21" i="42"/>
  <c r="BU21" i="43"/>
  <c r="BU25" i="42"/>
  <c r="BU25" i="43"/>
  <c r="BU29" i="42"/>
  <c r="BU29" i="43"/>
  <c r="BJ8" i="30"/>
  <c r="BJ41" i="30" s="1"/>
  <c r="BJ30" i="30"/>
  <c r="BJ35" i="30" s="1"/>
  <c r="BJ28" i="30"/>
  <c r="BJ43" i="30" s="1"/>
  <c r="BJ26" i="30"/>
  <c r="BJ36" i="30" s="1"/>
  <c r="BJ24" i="30"/>
  <c r="BJ22" i="30"/>
  <c r="BJ37" i="30" s="1"/>
  <c r="BJ20" i="30"/>
  <c r="BJ18" i="30"/>
  <c r="BJ16" i="30"/>
  <c r="BJ14" i="30"/>
  <c r="BJ34" i="30" s="1"/>
  <c r="BJ5" i="30"/>
  <c r="BJ5" i="42"/>
  <c r="BJ5" i="43"/>
  <c r="BJ9" i="42"/>
  <c r="BJ9" i="43"/>
  <c r="BJ13" i="42"/>
  <c r="BJ33" i="42" s="1"/>
  <c r="BJ13" i="43"/>
  <c r="BJ33" i="43" s="1"/>
  <c r="BJ17" i="42"/>
  <c r="BJ17" i="43"/>
  <c r="BJ21" i="42"/>
  <c r="BJ21" i="43"/>
  <c r="BJ25" i="42"/>
  <c r="BJ25" i="43"/>
  <c r="BJ29" i="42"/>
  <c r="BJ29" i="43"/>
  <c r="U27" i="30"/>
  <c r="U19" i="30"/>
  <c r="U42" i="30" s="1"/>
  <c r="U30" i="30"/>
  <c r="U35" i="30" s="1"/>
  <c r="U22" i="30"/>
  <c r="U37" i="30" s="1"/>
  <c r="U14" i="30"/>
  <c r="U34" i="30" s="1"/>
  <c r="U9" i="30"/>
  <c r="U5" i="30"/>
  <c r="U2" i="42"/>
  <c r="U38" i="42" s="1"/>
  <c r="U2" i="43"/>
  <c r="U38" i="43" s="1"/>
  <c r="U6" i="42"/>
  <c r="U47" i="42" s="1"/>
  <c r="U6" i="43"/>
  <c r="U47" i="43" s="1"/>
  <c r="U10" i="42"/>
  <c r="U46" i="42" s="1"/>
  <c r="U10" i="43"/>
  <c r="U46" i="43" s="1"/>
  <c r="U14" i="42"/>
  <c r="U34" i="42" s="1"/>
  <c r="U14" i="43"/>
  <c r="U34" i="43" s="1"/>
  <c r="U18" i="42"/>
  <c r="U18" i="43"/>
  <c r="U22" i="42"/>
  <c r="U37" i="42" s="1"/>
  <c r="U22" i="43"/>
  <c r="U37" i="43" s="1"/>
  <c r="U26" i="42"/>
  <c r="U36" i="42" s="1"/>
  <c r="U26" i="43"/>
  <c r="U36" i="43" s="1"/>
  <c r="U30" i="42"/>
  <c r="U35" i="42" s="1"/>
  <c r="U30" i="43"/>
  <c r="U35" i="43" s="1"/>
  <c r="F11" i="30"/>
  <c r="F39" i="30" s="1"/>
  <c r="F29" i="30"/>
  <c r="F25" i="30"/>
  <c r="F21" i="30"/>
  <c r="F17" i="30"/>
  <c r="F13" i="30"/>
  <c r="F33" i="30" s="1"/>
  <c r="F6" i="30"/>
  <c r="F47" i="30" s="1"/>
  <c r="F5" i="42"/>
  <c r="F5" i="43"/>
  <c r="F9" i="42"/>
  <c r="F9" i="43"/>
  <c r="F13" i="42"/>
  <c r="F33" i="42" s="1"/>
  <c r="F13" i="43"/>
  <c r="F33" i="43" s="1"/>
  <c r="F17" i="42"/>
  <c r="F17" i="43"/>
  <c r="F21" i="42"/>
  <c r="F21" i="43"/>
  <c r="F25" i="42"/>
  <c r="F25" i="43"/>
  <c r="F29" i="42"/>
  <c r="F29" i="43"/>
  <c r="BZ16" i="18"/>
  <c r="AH16" i="18"/>
  <c r="BZ13" i="18"/>
  <c r="BZ33" i="18" s="1"/>
  <c r="AH13" i="18"/>
  <c r="AH33" i="18" s="1"/>
  <c r="BZ29" i="18"/>
  <c r="AH29" i="18"/>
  <c r="BZ26" i="18"/>
  <c r="BZ36" i="18" s="1"/>
  <c r="AH26" i="18"/>
  <c r="AH36" i="18" s="1"/>
  <c r="BZ24" i="18"/>
  <c r="AH24" i="18"/>
  <c r="BZ22" i="18"/>
  <c r="BZ37" i="18" s="1"/>
  <c r="AH22" i="18"/>
  <c r="AH37" i="18" s="1"/>
  <c r="BZ15" i="18"/>
  <c r="BZ44" i="18" s="1"/>
  <c r="AH15" i="18"/>
  <c r="AH44" i="18" s="1"/>
  <c r="P65" i="38"/>
  <c r="P51" i="38"/>
  <c r="BK59" i="38"/>
  <c r="BK73" i="38"/>
  <c r="BZ17" i="38"/>
  <c r="AH17" i="38"/>
  <c r="P54" i="38"/>
  <c r="P68" i="38"/>
  <c r="P62" i="38"/>
  <c r="P76" i="38"/>
  <c r="BZ3" i="38"/>
  <c r="BZ32" i="38" s="1"/>
  <c r="AH3" i="38"/>
  <c r="AH32" i="38" s="1"/>
  <c r="P50" i="38"/>
  <c r="P64" i="38"/>
  <c r="DC74" i="38"/>
  <c r="DC60" i="38"/>
  <c r="BZ18" i="38"/>
  <c r="AH18" i="38"/>
  <c r="BZ19" i="38"/>
  <c r="BZ42" i="38" s="1"/>
  <c r="AH19" i="38"/>
  <c r="AH42" i="38" s="1"/>
  <c r="AH9" i="38"/>
  <c r="BZ9" i="38"/>
  <c r="BK60" i="38"/>
  <c r="BK74" i="38"/>
  <c r="BK50" i="38"/>
  <c r="BK64" i="38"/>
  <c r="BG14" i="30"/>
  <c r="BG34" i="30" s="1"/>
  <c r="BG24" i="30"/>
  <c r="BG27" i="30"/>
  <c r="BG23" i="30"/>
  <c r="BG49" i="30" s="1"/>
  <c r="BG19" i="30"/>
  <c r="BG42" i="30" s="1"/>
  <c r="BG15" i="30"/>
  <c r="BG44" i="30" s="1"/>
  <c r="BG30" i="30"/>
  <c r="BG35" i="30" s="1"/>
  <c r="BG3" i="42"/>
  <c r="BG32" i="42" s="1"/>
  <c r="BG3" i="43"/>
  <c r="BG32" i="43" s="1"/>
  <c r="BG7" i="42"/>
  <c r="BG7" i="43"/>
  <c r="BG11" i="42"/>
  <c r="BG39" i="42" s="1"/>
  <c r="BG11" i="43"/>
  <c r="BG39" i="43" s="1"/>
  <c r="BG15" i="42"/>
  <c r="BG44" i="42" s="1"/>
  <c r="BG15" i="43"/>
  <c r="BG44" i="43" s="1"/>
  <c r="BG19" i="42"/>
  <c r="BG42" i="42" s="1"/>
  <c r="BG19" i="43"/>
  <c r="BG42" i="43" s="1"/>
  <c r="BG23" i="42"/>
  <c r="BG49" i="42" s="1"/>
  <c r="BG23" i="43"/>
  <c r="BG49" i="43" s="1"/>
  <c r="BG27" i="42"/>
  <c r="BG27" i="43"/>
  <c r="AL9" i="37"/>
  <c r="AI9" i="37"/>
  <c r="AL11" i="37"/>
  <c r="AL39" i="37" s="1"/>
  <c r="AI11" i="37"/>
  <c r="AI39" i="37" s="1"/>
  <c r="AK39" i="37"/>
  <c r="AH39" i="37"/>
  <c r="AL27" i="37"/>
  <c r="AI27" i="37"/>
  <c r="AL25" i="37"/>
  <c r="AI25" i="37"/>
  <c r="F12" i="37"/>
  <c r="AL6" i="37"/>
  <c r="AL47" i="37" s="1"/>
  <c r="AI6" i="37"/>
  <c r="AI47" i="37" s="1"/>
  <c r="AH47" i="37"/>
  <c r="AK47" i="37"/>
  <c r="AL14" i="37"/>
  <c r="AL34" i="37" s="1"/>
  <c r="AI14" i="37"/>
  <c r="AI34" i="37" s="1"/>
  <c r="AK34" i="37"/>
  <c r="AH34" i="37"/>
  <c r="AL22" i="37"/>
  <c r="AL37" i="37" s="1"/>
  <c r="AI22" i="37"/>
  <c r="AI37" i="37" s="1"/>
  <c r="AK37" i="37"/>
  <c r="AH37" i="37"/>
  <c r="AL30" i="37"/>
  <c r="AL35" i="37" s="1"/>
  <c r="AI30" i="37"/>
  <c r="AI35" i="37" s="1"/>
  <c r="AH35" i="37"/>
  <c r="AK35" i="37"/>
  <c r="Y64" i="16"/>
  <c r="Z64" i="16" s="1"/>
  <c r="Y50" i="16"/>
  <c r="Z50" i="16" s="1"/>
  <c r="Y47" i="16"/>
  <c r="Z47" i="16" s="1"/>
  <c r="Y69" i="16"/>
  <c r="Z69" i="16" s="1"/>
  <c r="Y55" i="16"/>
  <c r="Z55" i="16" s="1"/>
  <c r="AL26" i="16"/>
  <c r="AL36" i="16" s="1"/>
  <c r="AH26" i="16"/>
  <c r="AH36" i="16" s="1"/>
  <c r="AK26" i="16"/>
  <c r="AK36" i="16" s="1"/>
  <c r="AI26" i="16"/>
  <c r="AI36" i="16" s="1"/>
  <c r="Q64" i="16"/>
  <c r="Q50" i="16"/>
  <c r="AP72" i="16"/>
  <c r="AP58" i="16"/>
  <c r="AM55" i="16"/>
  <c r="AM69" i="16"/>
  <c r="Y43" i="16"/>
  <c r="Z43" i="16" s="1"/>
  <c r="Q70" i="16"/>
  <c r="Q56" i="16"/>
  <c r="R62" i="16"/>
  <c r="R76" i="16"/>
  <c r="AP69" i="16"/>
  <c r="AP55" i="16"/>
  <c r="AM57" i="16"/>
  <c r="AM71" i="16"/>
  <c r="AP64" i="16"/>
  <c r="AP50" i="16"/>
  <c r="AP48" i="16" s="1"/>
  <c r="Q59" i="16"/>
  <c r="Q73" i="16"/>
  <c r="AM67" i="16"/>
  <c r="AM53" i="16"/>
  <c r="Y74" i="16"/>
  <c r="Z74" i="16" s="1"/>
  <c r="Y60" i="16"/>
  <c r="Z60" i="16" s="1"/>
  <c r="Y42" i="16"/>
  <c r="Z42" i="16" s="1"/>
  <c r="Y37" i="16"/>
  <c r="Z37" i="16" s="1"/>
  <c r="AL6" i="16"/>
  <c r="AL47" i="16" s="1"/>
  <c r="AH6" i="16"/>
  <c r="AH47" i="16" s="1"/>
  <c r="AI6" i="16"/>
  <c r="AI47" i="16" s="1"/>
  <c r="AK6" i="16"/>
  <c r="AK47" i="16" s="1"/>
  <c r="S65" i="16"/>
  <c r="S51" i="16"/>
  <c r="P55" i="16"/>
  <c r="P69" i="16"/>
  <c r="R67" i="16"/>
  <c r="R53" i="16"/>
  <c r="AL16" i="16"/>
  <c r="AK16" i="16"/>
  <c r="AI16" i="16"/>
  <c r="AH16" i="16"/>
  <c r="AL23" i="16"/>
  <c r="AL49" i="16" s="1"/>
  <c r="AK23" i="16"/>
  <c r="AK49" i="16" s="1"/>
  <c r="AI23" i="16"/>
  <c r="AI49" i="16" s="1"/>
  <c r="AH23" i="16"/>
  <c r="AH49" i="16" s="1"/>
  <c r="T50" i="16"/>
  <c r="T64" i="16"/>
  <c r="S67" i="16"/>
  <c r="S53" i="16"/>
  <c r="Q68" i="16"/>
  <c r="Q54" i="16"/>
  <c r="T74" i="16"/>
  <c r="T60" i="16"/>
  <c r="AO75" i="16"/>
  <c r="AO61" i="16"/>
  <c r="AL22" i="16"/>
  <c r="AL37" i="16" s="1"/>
  <c r="AI22" i="16"/>
  <c r="AI37" i="16" s="1"/>
  <c r="AH22" i="16"/>
  <c r="AH37" i="16" s="1"/>
  <c r="AK22" i="16"/>
  <c r="AK37" i="16" s="1"/>
  <c r="AR50" i="16"/>
  <c r="AR48" i="16" s="1"/>
  <c r="AR64" i="16"/>
  <c r="AR63" i="16" s="1"/>
  <c r="AO73" i="16"/>
  <c r="AO59" i="16"/>
  <c r="AL8" i="16"/>
  <c r="AL41" i="16" s="1"/>
  <c r="AI8" i="16"/>
  <c r="AI41" i="16" s="1"/>
  <c r="AK8" i="16"/>
  <c r="AK41" i="16" s="1"/>
  <c r="AH8" i="16"/>
  <c r="AH41" i="16" s="1"/>
  <c r="R54" i="16"/>
  <c r="R68" i="16"/>
  <c r="Q74" i="16"/>
  <c r="Q60" i="16"/>
  <c r="P66" i="16"/>
  <c r="P52" i="16"/>
  <c r="AL24" i="16"/>
  <c r="AH24" i="16"/>
  <c r="AK24" i="16"/>
  <c r="AI24" i="16"/>
  <c r="R64" i="16"/>
  <c r="R50" i="16"/>
  <c r="T76" i="16"/>
  <c r="T62" i="16"/>
  <c r="T73" i="16"/>
  <c r="T59" i="16"/>
  <c r="T58" i="16"/>
  <c r="T72" i="16"/>
  <c r="Q66" i="16"/>
  <c r="Q52" i="16"/>
  <c r="P70" i="16"/>
  <c r="P56" i="16"/>
  <c r="R69" i="16"/>
  <c r="R55" i="16"/>
  <c r="Q76" i="16"/>
  <c r="Q62" i="16"/>
  <c r="CD20" i="18"/>
  <c r="AL20" i="18"/>
  <c r="CD17" i="18"/>
  <c r="AL17" i="18"/>
  <c r="CD10" i="18"/>
  <c r="CD46" i="18" s="1"/>
  <c r="AL10" i="18"/>
  <c r="AL46" i="18" s="1"/>
  <c r="AL45" i="18" s="1"/>
  <c r="CD12" i="18"/>
  <c r="AL12" i="18"/>
  <c r="CD14" i="18"/>
  <c r="CD34" i="18" s="1"/>
  <c r="AL14" i="18"/>
  <c r="AL34" i="18" s="1"/>
  <c r="CD7" i="18"/>
  <c r="AL7" i="18"/>
  <c r="CD23" i="18"/>
  <c r="CD49" i="18" s="1"/>
  <c r="AL23" i="18"/>
  <c r="AL49" i="18" s="1"/>
  <c r="X67" i="38"/>
  <c r="X53" i="38"/>
  <c r="DG65" i="38"/>
  <c r="DG51" i="38"/>
  <c r="BO52" i="38"/>
  <c r="BO66" i="38"/>
  <c r="CD26" i="38"/>
  <c r="CD36" i="38" s="1"/>
  <c r="AL26" i="38"/>
  <c r="AL36" i="38" s="1"/>
  <c r="X54" i="38"/>
  <c r="X68" i="38"/>
  <c r="X62" i="38"/>
  <c r="X76" i="38"/>
  <c r="CD3" i="38"/>
  <c r="CD32" i="38" s="1"/>
  <c r="AL3" i="38"/>
  <c r="AL32" i="38" s="1"/>
  <c r="CD7" i="38"/>
  <c r="AL7" i="38"/>
  <c r="DG60" i="38"/>
  <c r="DG74" i="38"/>
  <c r="CD27" i="38"/>
  <c r="AL27" i="38"/>
  <c r="X70" i="38"/>
  <c r="X56" i="38"/>
  <c r="BO73" i="38"/>
  <c r="BO59" i="38"/>
  <c r="CD13" i="38"/>
  <c r="CD33" i="38" s="1"/>
  <c r="AL13" i="38"/>
  <c r="AL33" i="38" s="1"/>
  <c r="CD18" i="38"/>
  <c r="AL18" i="38"/>
  <c r="AL12" i="38"/>
  <c r="CD12" i="38"/>
  <c r="BO58" i="38"/>
  <c r="BO72" i="38"/>
  <c r="CD25" i="38"/>
  <c r="AL25" i="38"/>
  <c r="BU9" i="18"/>
  <c r="AC9" i="18"/>
  <c r="BU25" i="18"/>
  <c r="AC25" i="18"/>
  <c r="BU30" i="18"/>
  <c r="BU35" i="18" s="1"/>
  <c r="AC30" i="18"/>
  <c r="AC35" i="18" s="1"/>
  <c r="BU24" i="18"/>
  <c r="AC24" i="18"/>
  <c r="BU14" i="18"/>
  <c r="BU34" i="18" s="1"/>
  <c r="AC14" i="18"/>
  <c r="AC34" i="18" s="1"/>
  <c r="BU7" i="18"/>
  <c r="AC7" i="18"/>
  <c r="BU23" i="18"/>
  <c r="BU49" i="18" s="1"/>
  <c r="AC23" i="18"/>
  <c r="AC49" i="18" s="1"/>
  <c r="BU17" i="38"/>
  <c r="AC17" i="38"/>
  <c r="BU13" i="38"/>
  <c r="BU33" i="38" s="1"/>
  <c r="AC13" i="38"/>
  <c r="AC33" i="38" s="1"/>
  <c r="BF68" i="38"/>
  <c r="BF54" i="38"/>
  <c r="BF69" i="38"/>
  <c r="BF55" i="38"/>
  <c r="AC2" i="38"/>
  <c r="AC38" i="38" s="1"/>
  <c r="BU2" i="38"/>
  <c r="BU38" i="38" s="1"/>
  <c r="AC14" i="38"/>
  <c r="AC34" i="38" s="1"/>
  <c r="BU14" i="38"/>
  <c r="BU34" i="38" s="1"/>
  <c r="T71" i="38"/>
  <c r="T57" i="38"/>
  <c r="BU5" i="38"/>
  <c r="AC5" i="38"/>
  <c r="T74" i="38"/>
  <c r="T60" i="38"/>
  <c r="BU6" i="38"/>
  <c r="BU47" i="38" s="1"/>
  <c r="AC6" i="38"/>
  <c r="AC47" i="38" s="1"/>
  <c r="BU10" i="38"/>
  <c r="BU46" i="38" s="1"/>
  <c r="AC10" i="38"/>
  <c r="AC46" i="38" s="1"/>
  <c r="CX71" i="38"/>
  <c r="CX57" i="38"/>
  <c r="BU27" i="38"/>
  <c r="AC27" i="38"/>
  <c r="BF59" i="38"/>
  <c r="BF73" i="38"/>
  <c r="BU12" i="38"/>
  <c r="AC12" i="38"/>
  <c r="CX58" i="38"/>
  <c r="CX72" i="38"/>
  <c r="BU22" i="38"/>
  <c r="BU37" i="38" s="1"/>
  <c r="AC22" i="38"/>
  <c r="AC37" i="38" s="1"/>
  <c r="BU21" i="38"/>
  <c r="AC21" i="38"/>
  <c r="CX64" i="38"/>
  <c r="CX50" i="38"/>
  <c r="BU30" i="38"/>
  <c r="BU35" i="38" s="1"/>
  <c r="AC30" i="38"/>
  <c r="AC35" i="38" s="1"/>
  <c r="BW22" i="30"/>
  <c r="BW37" i="30" s="1"/>
  <c r="BW26" i="30"/>
  <c r="BW36" i="30" s="1"/>
  <c r="BW16" i="30"/>
  <c r="BW27" i="30"/>
  <c r="BW23" i="30"/>
  <c r="BW49" i="30" s="1"/>
  <c r="BW19" i="30"/>
  <c r="BW42" i="30" s="1"/>
  <c r="BW15" i="30"/>
  <c r="BW44" i="30" s="1"/>
  <c r="BW5" i="42"/>
  <c r="BW5" i="43"/>
  <c r="BW9" i="42"/>
  <c r="BW9" i="43"/>
  <c r="BW13" i="42"/>
  <c r="BW33" i="42" s="1"/>
  <c r="BW13" i="43"/>
  <c r="BW33" i="43" s="1"/>
  <c r="BW17" i="42"/>
  <c r="BW17" i="43"/>
  <c r="BW21" i="42"/>
  <c r="BW21" i="43"/>
  <c r="BW25" i="42"/>
  <c r="BW25" i="43"/>
  <c r="BW29" i="42"/>
  <c r="BW29" i="43"/>
  <c r="BT10" i="30"/>
  <c r="BT46" i="30" s="1"/>
  <c r="BT6" i="30"/>
  <c r="BT47" i="30" s="1"/>
  <c r="BT30" i="30"/>
  <c r="BT35" i="30" s="1"/>
  <c r="BT28" i="30"/>
  <c r="BT43" i="30" s="1"/>
  <c r="BT26" i="30"/>
  <c r="BT36" i="30" s="1"/>
  <c r="BT24" i="30"/>
  <c r="BT22" i="30"/>
  <c r="BT37" i="30" s="1"/>
  <c r="BT20" i="30"/>
  <c r="BT18" i="30"/>
  <c r="BT16" i="30"/>
  <c r="BT14" i="30"/>
  <c r="BT34" i="30" s="1"/>
  <c r="BT11" i="30"/>
  <c r="BT39" i="30" s="1"/>
  <c r="BT7" i="30"/>
  <c r="BT5" i="30"/>
  <c r="BT3" i="30"/>
  <c r="BT32" i="30" s="1"/>
  <c r="BT2" i="42"/>
  <c r="BT38" i="42" s="1"/>
  <c r="BT2" i="43"/>
  <c r="BT38" i="43" s="1"/>
  <c r="BT6" i="42"/>
  <c r="BT47" i="42" s="1"/>
  <c r="BT6" i="43"/>
  <c r="BT47" i="43" s="1"/>
  <c r="BT10" i="42"/>
  <c r="BT46" i="42" s="1"/>
  <c r="BT45" i="42" s="1"/>
  <c r="BT10" i="43"/>
  <c r="BT46" i="43" s="1"/>
  <c r="BT14" i="42"/>
  <c r="BT34" i="42" s="1"/>
  <c r="BT14" i="43"/>
  <c r="BT34" i="43" s="1"/>
  <c r="BT18" i="42"/>
  <c r="BT18" i="43"/>
  <c r="BT22" i="42"/>
  <c r="BT37" i="42" s="1"/>
  <c r="BT22" i="43"/>
  <c r="BT37" i="43" s="1"/>
  <c r="BT26" i="42"/>
  <c r="BT36" i="42" s="1"/>
  <c r="BT26" i="43"/>
  <c r="BT36" i="43" s="1"/>
  <c r="BT30" i="42"/>
  <c r="BT35" i="42" s="1"/>
  <c r="BT30" i="43"/>
  <c r="BT35" i="43" s="1"/>
  <c r="BP6" i="30"/>
  <c r="BP47" i="30" s="1"/>
  <c r="BP11" i="30"/>
  <c r="BP39" i="30" s="1"/>
  <c r="BP7" i="30"/>
  <c r="BP29" i="30"/>
  <c r="BP27" i="30"/>
  <c r="BP25" i="30"/>
  <c r="BP23" i="30"/>
  <c r="BP49" i="30" s="1"/>
  <c r="BP21" i="30"/>
  <c r="BP19" i="30"/>
  <c r="BP42" i="30" s="1"/>
  <c r="BP17" i="30"/>
  <c r="BP15" i="30"/>
  <c r="BP44" i="30" s="1"/>
  <c r="BP13" i="30"/>
  <c r="BP33" i="30" s="1"/>
  <c r="BP5" i="42"/>
  <c r="BP5" i="43"/>
  <c r="BP9" i="42"/>
  <c r="BP9" i="43"/>
  <c r="BP13" i="42"/>
  <c r="BP33" i="42" s="1"/>
  <c r="BP13" i="43"/>
  <c r="BP33" i="43" s="1"/>
  <c r="BP17" i="42"/>
  <c r="BP17" i="43"/>
  <c r="BP21" i="42"/>
  <c r="BP21" i="43"/>
  <c r="BP25" i="42"/>
  <c r="BP25" i="43"/>
  <c r="BP29" i="42"/>
  <c r="BP29" i="43"/>
  <c r="BL9" i="30"/>
  <c r="BL3" i="42"/>
  <c r="BL32" i="42" s="1"/>
  <c r="BL3" i="43"/>
  <c r="BL32" i="43" s="1"/>
  <c r="BL7" i="42"/>
  <c r="BL7" i="43"/>
  <c r="BL11" i="42"/>
  <c r="BL39" i="42" s="1"/>
  <c r="BL11" i="43"/>
  <c r="BL39" i="43" s="1"/>
  <c r="BL15" i="42"/>
  <c r="BL44" i="42" s="1"/>
  <c r="BL15" i="43"/>
  <c r="BL44" i="43" s="1"/>
  <c r="BL19" i="42"/>
  <c r="BL42" i="42" s="1"/>
  <c r="BL19" i="43"/>
  <c r="BL42" i="43" s="1"/>
  <c r="BL23" i="42"/>
  <c r="BL49" i="42" s="1"/>
  <c r="BL23" i="43"/>
  <c r="BL49" i="43" s="1"/>
  <c r="BL27" i="42"/>
  <c r="BL27" i="43"/>
  <c r="BY12" i="30"/>
  <c r="BY8" i="30"/>
  <c r="BY41" i="30" s="1"/>
  <c r="BY29" i="30"/>
  <c r="BY27" i="30"/>
  <c r="BY25" i="30"/>
  <c r="BY23" i="30"/>
  <c r="BY49" i="30" s="1"/>
  <c r="BY21" i="30"/>
  <c r="BY19" i="30"/>
  <c r="BY42" i="30" s="1"/>
  <c r="BY17" i="30"/>
  <c r="BY15" i="30"/>
  <c r="BY44" i="30" s="1"/>
  <c r="BY13" i="30"/>
  <c r="BY33" i="30" s="1"/>
  <c r="BY5" i="42"/>
  <c r="BY5" i="43"/>
  <c r="BY9" i="42"/>
  <c r="BY9" i="43"/>
  <c r="BY13" i="42"/>
  <c r="BY33" i="42" s="1"/>
  <c r="BY13" i="43"/>
  <c r="BY33" i="43" s="1"/>
  <c r="BY17" i="42"/>
  <c r="BY17" i="43"/>
  <c r="BY21" i="42"/>
  <c r="BY21" i="43"/>
  <c r="BY25" i="42"/>
  <c r="BY25" i="43"/>
  <c r="BY29" i="42"/>
  <c r="BY29" i="43"/>
  <c r="BE12" i="30"/>
  <c r="BE27" i="30"/>
  <c r="BE23" i="30"/>
  <c r="BE49" i="30" s="1"/>
  <c r="BE19" i="30"/>
  <c r="BE42" i="30" s="1"/>
  <c r="BE15" i="30"/>
  <c r="BE44" i="30" s="1"/>
  <c r="BE9" i="30"/>
  <c r="BE3" i="30"/>
  <c r="BE32" i="30" s="1"/>
  <c r="BE4" i="42"/>
  <c r="BE40" i="42" s="1"/>
  <c r="BE4" i="43"/>
  <c r="BE40" i="43" s="1"/>
  <c r="BE8" i="42"/>
  <c r="BE41" i="42" s="1"/>
  <c r="BE8" i="43"/>
  <c r="BE41" i="43" s="1"/>
  <c r="BE12" i="42"/>
  <c r="BE12" i="43"/>
  <c r="BE16" i="42"/>
  <c r="BE16" i="43"/>
  <c r="BE20" i="42"/>
  <c r="BE20" i="43"/>
  <c r="BE24" i="42"/>
  <c r="BE24" i="43"/>
  <c r="BE28" i="42"/>
  <c r="BE43" i="42" s="1"/>
  <c r="BE28" i="43"/>
  <c r="BE43" i="43" s="1"/>
  <c r="AY9" i="38"/>
  <c r="AY2" i="38"/>
  <c r="AY16" i="38"/>
  <c r="AY7" i="38"/>
  <c r="AY13" i="38"/>
  <c r="AY5" i="38"/>
  <c r="AY30" i="38"/>
  <c r="AY15" i="38"/>
  <c r="BN75" i="38"/>
  <c r="BN61" i="38"/>
  <c r="BN59" i="38"/>
  <c r="BN73" i="38"/>
  <c r="BN60" i="38"/>
  <c r="BN74" i="38"/>
  <c r="V9" i="30"/>
  <c r="V28" i="30"/>
  <c r="V43" i="30" s="1"/>
  <c r="V24" i="30"/>
  <c r="V20" i="30"/>
  <c r="V16" i="30"/>
  <c r="V12" i="30"/>
  <c r="V5" i="30"/>
  <c r="V3" i="42"/>
  <c r="V32" i="42" s="1"/>
  <c r="V31" i="42" s="1"/>
  <c r="V3" i="43"/>
  <c r="V32" i="43" s="1"/>
  <c r="V7" i="42"/>
  <c r="V7" i="43"/>
  <c r="V11" i="42"/>
  <c r="V39" i="42" s="1"/>
  <c r="V11" i="43"/>
  <c r="V39" i="43" s="1"/>
  <c r="V15" i="42"/>
  <c r="V44" i="42" s="1"/>
  <c r="V15" i="43"/>
  <c r="V44" i="43" s="1"/>
  <c r="V19" i="42"/>
  <c r="V42" i="42" s="1"/>
  <c r="V19" i="43"/>
  <c r="V42" i="43" s="1"/>
  <c r="V23" i="42"/>
  <c r="V49" i="42" s="1"/>
  <c r="V23" i="43"/>
  <c r="V49" i="43" s="1"/>
  <c r="V27" i="42"/>
  <c r="V27" i="43"/>
  <c r="N12" i="30"/>
  <c r="N28" i="30"/>
  <c r="N43" i="30" s="1"/>
  <c r="N24" i="30"/>
  <c r="N20" i="30"/>
  <c r="N16" i="30"/>
  <c r="N11" i="30"/>
  <c r="N39" i="30" s="1"/>
  <c r="N5" i="30"/>
  <c r="N4" i="42"/>
  <c r="N40" i="42" s="1"/>
  <c r="N4" i="43"/>
  <c r="N40" i="43" s="1"/>
  <c r="N8" i="42"/>
  <c r="N41" i="42" s="1"/>
  <c r="N8" i="43"/>
  <c r="N41" i="43" s="1"/>
  <c r="N12" i="42"/>
  <c r="N12" i="43"/>
  <c r="N16" i="42"/>
  <c r="N16" i="43"/>
  <c r="N20" i="42"/>
  <c r="N20" i="43"/>
  <c r="N24" i="42"/>
  <c r="N24" i="43"/>
  <c r="N28" i="42"/>
  <c r="N43" i="42" s="1"/>
  <c r="N28" i="43"/>
  <c r="N43" i="43" s="1"/>
  <c r="BK30" i="30"/>
  <c r="BK35" i="30" s="1"/>
  <c r="BK26" i="30"/>
  <c r="BK36" i="30" s="1"/>
  <c r="BK22" i="30"/>
  <c r="BK37" i="30" s="1"/>
  <c r="BK18" i="30"/>
  <c r="BK14" i="30"/>
  <c r="BK34" i="30" s="1"/>
  <c r="BK12" i="30"/>
  <c r="BK10" i="30"/>
  <c r="BK46" i="30" s="1"/>
  <c r="BK45" i="30" s="1"/>
  <c r="BK8" i="30"/>
  <c r="BK41" i="30" s="1"/>
  <c r="BK6" i="30"/>
  <c r="BK47" i="30" s="1"/>
  <c r="BK4" i="30"/>
  <c r="BK40" i="30" s="1"/>
  <c r="BK4" i="42"/>
  <c r="BK40" i="42" s="1"/>
  <c r="BK4" i="43"/>
  <c r="BK40" i="43" s="1"/>
  <c r="BK8" i="42"/>
  <c r="BK41" i="42" s="1"/>
  <c r="BK8" i="43"/>
  <c r="BK41" i="43" s="1"/>
  <c r="BK12" i="42"/>
  <c r="BK12" i="43"/>
  <c r="BK16" i="42"/>
  <c r="BK16" i="43"/>
  <c r="BK20" i="42"/>
  <c r="BK20" i="43"/>
  <c r="BK24" i="42"/>
  <c r="BK24" i="43"/>
  <c r="BK28" i="42"/>
  <c r="BK43" i="42" s="1"/>
  <c r="BK28" i="43"/>
  <c r="BK43" i="43" s="1"/>
  <c r="W23" i="16"/>
  <c r="W49" i="16" s="1"/>
  <c r="W9" i="37"/>
  <c r="X18" i="42"/>
  <c r="X18" i="43"/>
  <c r="X24" i="42"/>
  <c r="X24" i="43"/>
  <c r="X30" i="42"/>
  <c r="X35" i="42" s="1"/>
  <c r="X30" i="43"/>
  <c r="X35" i="43" s="1"/>
  <c r="X20" i="42"/>
  <c r="X20" i="43"/>
  <c r="X28" i="30"/>
  <c r="X43" i="30" s="1"/>
  <c r="X24" i="30"/>
  <c r="X20" i="30"/>
  <c r="X16" i="30"/>
  <c r="X12" i="30"/>
  <c r="X5" i="30"/>
  <c r="X7" i="42"/>
  <c r="X7" i="43"/>
  <c r="X15" i="42"/>
  <c r="X44" i="42" s="1"/>
  <c r="X15" i="43"/>
  <c r="X44" i="43" s="1"/>
  <c r="X23" i="42"/>
  <c r="X49" i="42" s="1"/>
  <c r="X23" i="43"/>
  <c r="X49" i="43" s="1"/>
  <c r="X11" i="30"/>
  <c r="X39" i="30" s="1"/>
  <c r="J10" i="30"/>
  <c r="J46" i="30" s="1"/>
  <c r="J45" i="30" s="1"/>
  <c r="J9" i="30"/>
  <c r="J28" i="30"/>
  <c r="J43" i="30" s="1"/>
  <c r="J24" i="30"/>
  <c r="J20" i="30"/>
  <c r="J16" i="30"/>
  <c r="J6" i="30"/>
  <c r="J47" i="30" s="1"/>
  <c r="J4" i="42"/>
  <c r="J40" i="42" s="1"/>
  <c r="J4" i="43"/>
  <c r="J40" i="43" s="1"/>
  <c r="J8" i="42"/>
  <c r="J41" i="42" s="1"/>
  <c r="J8" i="43"/>
  <c r="J41" i="43" s="1"/>
  <c r="J12" i="42"/>
  <c r="J12" i="43"/>
  <c r="J16" i="42"/>
  <c r="J16" i="43"/>
  <c r="J20" i="42"/>
  <c r="J20" i="43"/>
  <c r="J24" i="42"/>
  <c r="J24" i="43"/>
  <c r="J28" i="42"/>
  <c r="J43" i="42" s="1"/>
  <c r="J28" i="43"/>
  <c r="J43" i="43" s="1"/>
  <c r="CU59" i="38"/>
  <c r="CU73" i="38"/>
  <c r="AN7" i="38"/>
  <c r="CU65" i="38"/>
  <c r="CU51" i="38"/>
  <c r="AN30" i="38"/>
  <c r="AN15" i="38"/>
  <c r="BC68" i="38"/>
  <c r="BC54" i="38"/>
  <c r="CU58" i="38"/>
  <c r="CU72" i="38"/>
  <c r="CU76" i="38"/>
  <c r="CU69" i="38"/>
  <c r="CU55" i="38"/>
  <c r="DK3" i="38"/>
  <c r="DK32" i="38" s="1"/>
  <c r="AN17" i="38"/>
  <c r="CU70" i="38"/>
  <c r="CU56" i="38"/>
  <c r="DL76" i="38"/>
  <c r="DN76" i="38" s="1"/>
  <c r="DL62" i="38"/>
  <c r="DN62" i="38" s="1"/>
  <c r="DK8" i="38"/>
  <c r="DK41" i="38" s="1"/>
  <c r="DK20" i="38"/>
  <c r="CU50" i="38"/>
  <c r="CU64" i="38"/>
  <c r="CU71" i="38"/>
  <c r="CU57" i="38"/>
  <c r="DK4" i="38"/>
  <c r="DK40" i="38" s="1"/>
  <c r="DK19" i="38"/>
  <c r="DK42" i="38" s="1"/>
  <c r="DK21" i="38"/>
  <c r="DK7" i="38"/>
  <c r="AN18" i="38"/>
  <c r="AN26" i="38"/>
  <c r="AN23" i="38"/>
  <c r="DK28" i="38"/>
  <c r="DK43" i="38" s="1"/>
  <c r="BN15" i="42"/>
  <c r="BN44" i="42" s="1"/>
  <c r="BN15" i="43"/>
  <c r="BN44" i="43" s="1"/>
  <c r="BN21" i="42"/>
  <c r="BN21" i="43"/>
  <c r="BN11" i="42"/>
  <c r="BN39" i="42" s="1"/>
  <c r="BN11" i="43"/>
  <c r="BN39" i="43" s="1"/>
  <c r="BN17" i="42"/>
  <c r="BN17" i="43"/>
  <c r="BN30" i="30"/>
  <c r="BN35" i="30" s="1"/>
  <c r="BN28" i="30"/>
  <c r="BN43" i="30" s="1"/>
  <c r="BN26" i="30"/>
  <c r="BN36" i="30" s="1"/>
  <c r="BN24" i="30"/>
  <c r="BN22" i="30"/>
  <c r="BN37" i="30" s="1"/>
  <c r="BN20" i="30"/>
  <c r="BN18" i="30"/>
  <c r="BN16" i="30"/>
  <c r="BN14" i="30"/>
  <c r="BN34" i="30" s="1"/>
  <c r="BN12" i="30"/>
  <c r="BN8" i="30"/>
  <c r="BN41" i="30" s="1"/>
  <c r="BN6" i="42"/>
  <c r="BN47" i="42" s="1"/>
  <c r="BN6" i="43"/>
  <c r="BN47" i="43" s="1"/>
  <c r="BN45" i="43" s="1"/>
  <c r="BN14" i="42"/>
  <c r="BN34" i="42" s="1"/>
  <c r="BN14" i="43"/>
  <c r="BN34" i="43" s="1"/>
  <c r="BN22" i="42"/>
  <c r="BN37" i="42" s="1"/>
  <c r="BN22" i="43"/>
  <c r="BN37" i="43" s="1"/>
  <c r="BN30" i="42"/>
  <c r="BN35" i="42" s="1"/>
  <c r="BN30" i="43"/>
  <c r="BN35" i="43" s="1"/>
  <c r="W17" i="16"/>
  <c r="W28" i="16"/>
  <c r="W43" i="16" s="1"/>
  <c r="W2" i="16"/>
  <c r="W38" i="16" s="1"/>
  <c r="H72" i="16"/>
  <c r="H58" i="16"/>
  <c r="W29" i="16"/>
  <c r="W10" i="37"/>
  <c r="W46" i="37" s="1"/>
  <c r="W45" i="37" s="1"/>
  <c r="Y15" i="30"/>
  <c r="Y44" i="30" s="1"/>
  <c r="Y17" i="30"/>
  <c r="Y24" i="30"/>
  <c r="Y16" i="30"/>
  <c r="Y12" i="30"/>
  <c r="Y8" i="30"/>
  <c r="Y41" i="30" s="1"/>
  <c r="Y4" i="30"/>
  <c r="Y40" i="30" s="1"/>
  <c r="Y3" i="42"/>
  <c r="Y32" i="42" s="1"/>
  <c r="Y3" i="43"/>
  <c r="Y32" i="43" s="1"/>
  <c r="Y7" i="42"/>
  <c r="Y7" i="43"/>
  <c r="Y11" i="42"/>
  <c r="Y39" i="42" s="1"/>
  <c r="Y11" i="43"/>
  <c r="Y39" i="43" s="1"/>
  <c r="Y15" i="42"/>
  <c r="Y44" i="42" s="1"/>
  <c r="Y15" i="43"/>
  <c r="Y44" i="43" s="1"/>
  <c r="Y19" i="42"/>
  <c r="Y42" i="42" s="1"/>
  <c r="Y19" i="43"/>
  <c r="Y42" i="43" s="1"/>
  <c r="Y23" i="42"/>
  <c r="Y49" i="42" s="1"/>
  <c r="Y23" i="43"/>
  <c r="Y49" i="43" s="1"/>
  <c r="Y27" i="42"/>
  <c r="Y27" i="43"/>
  <c r="G11" i="30"/>
  <c r="G39" i="30" s="1"/>
  <c r="G29" i="30"/>
  <c r="G25" i="30"/>
  <c r="G21" i="30"/>
  <c r="G17" i="30"/>
  <c r="G13" i="30"/>
  <c r="G33" i="30" s="1"/>
  <c r="G5" i="30"/>
  <c r="G2" i="42"/>
  <c r="G38" i="42" s="1"/>
  <c r="G2" i="43"/>
  <c r="G38" i="43" s="1"/>
  <c r="G6" i="42"/>
  <c r="G47" i="42" s="1"/>
  <c r="G6" i="43"/>
  <c r="G47" i="43" s="1"/>
  <c r="G10" i="42"/>
  <c r="G46" i="42" s="1"/>
  <c r="G10" i="43"/>
  <c r="G46" i="43" s="1"/>
  <c r="G45" i="43" s="1"/>
  <c r="G14" i="42"/>
  <c r="G34" i="42" s="1"/>
  <c r="G14" i="43"/>
  <c r="G34" i="43" s="1"/>
  <c r="G18" i="42"/>
  <c r="G18" i="43"/>
  <c r="G22" i="42"/>
  <c r="G37" i="42" s="1"/>
  <c r="G22" i="43"/>
  <c r="G37" i="43" s="1"/>
  <c r="G26" i="42"/>
  <c r="G36" i="42" s="1"/>
  <c r="G26" i="43"/>
  <c r="G36" i="43" s="1"/>
  <c r="G30" i="42"/>
  <c r="G35" i="42" s="1"/>
  <c r="G30" i="43"/>
  <c r="G35" i="43" s="1"/>
  <c r="CT51" i="38"/>
  <c r="CT65" i="38"/>
  <c r="CE7" i="38"/>
  <c r="CT55" i="38"/>
  <c r="CT69" i="38"/>
  <c r="CT68" i="38"/>
  <c r="CT54" i="38"/>
  <c r="CE4" i="38"/>
  <c r="CE28" i="38"/>
  <c r="CE20" i="38"/>
  <c r="CE6" i="38"/>
  <c r="CE25" i="38"/>
  <c r="CE29" i="38"/>
  <c r="BY2" i="18"/>
  <c r="BY38" i="18" s="1"/>
  <c r="AG2" i="18"/>
  <c r="AG38" i="18" s="1"/>
  <c r="BY18" i="18"/>
  <c r="AG18" i="18"/>
  <c r="BY11" i="18"/>
  <c r="BY39" i="18" s="1"/>
  <c r="AG11" i="18"/>
  <c r="AG39" i="18" s="1"/>
  <c r="BY5" i="18"/>
  <c r="AG5" i="18"/>
  <c r="BY3" i="18"/>
  <c r="BY32" i="18" s="1"/>
  <c r="BY31" i="18" s="1"/>
  <c r="AG3" i="18"/>
  <c r="AG32" i="18" s="1"/>
  <c r="AG31" i="18" s="1"/>
  <c r="BY8" i="18"/>
  <c r="BY41" i="18" s="1"/>
  <c r="AG8" i="18"/>
  <c r="AG41" i="18" s="1"/>
  <c r="BY24" i="18"/>
  <c r="AG24" i="18"/>
  <c r="O59" i="38"/>
  <c r="O73" i="38"/>
  <c r="O66" i="38"/>
  <c r="O52" i="38"/>
  <c r="BY5" i="38"/>
  <c r="AG5" i="38"/>
  <c r="BY15" i="38"/>
  <c r="BY44" i="38" s="1"/>
  <c r="AG15" i="38"/>
  <c r="AG44" i="38" s="1"/>
  <c r="BY29" i="38"/>
  <c r="AG29" i="38"/>
  <c r="O61" i="38"/>
  <c r="O75" i="38"/>
  <c r="BJ68" i="38"/>
  <c r="BJ54" i="38"/>
  <c r="O64" i="38"/>
  <c r="O50" i="38"/>
  <c r="BJ61" i="38"/>
  <c r="BJ75" i="38"/>
  <c r="AG6" i="38"/>
  <c r="AG47" i="38" s="1"/>
  <c r="BY6" i="38"/>
  <c r="BY47" i="38" s="1"/>
  <c r="BJ71" i="38"/>
  <c r="BJ57" i="38"/>
  <c r="BY27" i="38"/>
  <c r="AG27" i="38"/>
  <c r="BJ73" i="38"/>
  <c r="BJ59" i="38"/>
  <c r="DB60" i="38"/>
  <c r="DB74" i="38"/>
  <c r="BY17" i="38"/>
  <c r="AG17" i="38"/>
  <c r="BY23" i="38"/>
  <c r="BY49" i="38" s="1"/>
  <c r="AG23" i="38"/>
  <c r="AG49" i="38" s="1"/>
  <c r="BY25" i="38"/>
  <c r="AG25" i="38"/>
  <c r="DB51" i="38"/>
  <c r="DB65" i="38"/>
  <c r="BY26" i="38"/>
  <c r="BY36" i="38" s="1"/>
  <c r="AG26" i="38"/>
  <c r="AG36" i="38" s="1"/>
  <c r="BS30" i="30"/>
  <c r="BS35" i="30" s="1"/>
  <c r="BS26" i="30"/>
  <c r="BS36" i="30" s="1"/>
  <c r="BS22" i="30"/>
  <c r="BS37" i="30" s="1"/>
  <c r="BS18" i="30"/>
  <c r="BS14" i="30"/>
  <c r="BS34" i="30" s="1"/>
  <c r="BS29" i="30"/>
  <c r="BS25" i="30"/>
  <c r="BS21" i="30"/>
  <c r="BS17" i="30"/>
  <c r="BS13" i="30"/>
  <c r="BS33" i="30" s="1"/>
  <c r="BS5" i="42"/>
  <c r="BS5" i="43"/>
  <c r="BS9" i="42"/>
  <c r="BS9" i="43"/>
  <c r="BS13" i="42"/>
  <c r="BS33" i="42" s="1"/>
  <c r="BS13" i="43"/>
  <c r="BS33" i="43" s="1"/>
  <c r="BS17" i="42"/>
  <c r="BS17" i="43"/>
  <c r="BS21" i="42"/>
  <c r="BS21" i="43"/>
  <c r="BS25" i="42"/>
  <c r="BS25" i="43"/>
  <c r="BS29" i="42"/>
  <c r="BS29" i="43"/>
  <c r="BD4" i="30"/>
  <c r="BD40" i="30" s="1"/>
  <c r="BD5" i="42"/>
  <c r="BD5" i="43"/>
  <c r="BD9" i="42"/>
  <c r="BD9" i="43"/>
  <c r="BD13" i="42"/>
  <c r="BD33" i="42" s="1"/>
  <c r="BD13" i="43"/>
  <c r="BD33" i="43" s="1"/>
  <c r="BD17" i="42"/>
  <c r="BD17" i="43"/>
  <c r="BD21" i="42"/>
  <c r="BD21" i="43"/>
  <c r="BD25" i="42"/>
  <c r="BD25" i="43"/>
  <c r="BD29" i="42"/>
  <c r="BD29" i="43"/>
  <c r="Q16" i="30"/>
  <c r="Q18" i="30"/>
  <c r="Q23" i="30"/>
  <c r="Q49" i="30" s="1"/>
  <c r="Q15" i="30"/>
  <c r="Q44" i="30" s="1"/>
  <c r="Q12" i="30"/>
  <c r="Q8" i="30"/>
  <c r="Q41" i="30" s="1"/>
  <c r="Q4" i="30"/>
  <c r="Q40" i="30" s="1"/>
  <c r="Q3" i="42"/>
  <c r="Q32" i="42" s="1"/>
  <c r="Q3" i="43"/>
  <c r="Q32" i="43" s="1"/>
  <c r="Q7" i="42"/>
  <c r="Q7" i="43"/>
  <c r="Q11" i="42"/>
  <c r="Q39" i="42" s="1"/>
  <c r="Q11" i="43"/>
  <c r="Q39" i="43" s="1"/>
  <c r="Q15" i="42"/>
  <c r="Q44" i="42" s="1"/>
  <c r="Q15" i="43"/>
  <c r="Q44" i="43" s="1"/>
  <c r="Q19" i="42"/>
  <c r="Q42" i="42" s="1"/>
  <c r="Q19" i="43"/>
  <c r="Q42" i="43" s="1"/>
  <c r="Q23" i="42"/>
  <c r="Q49" i="42" s="1"/>
  <c r="Q23" i="43"/>
  <c r="Q49" i="43" s="1"/>
  <c r="Q27" i="42"/>
  <c r="Q27" i="43"/>
  <c r="AI75" i="32"/>
  <c r="AI61" i="32"/>
  <c r="AI70" i="32"/>
  <c r="AI56" i="32"/>
  <c r="AI68" i="32"/>
  <c r="AI54" i="32"/>
  <c r="AI65" i="32"/>
  <c r="AI51" i="32"/>
  <c r="AI73" i="32"/>
  <c r="AI59" i="32"/>
  <c r="BU6" i="30"/>
  <c r="BU47" i="30" s="1"/>
  <c r="BU10" i="30"/>
  <c r="BU46" i="30" s="1"/>
  <c r="BU2" i="42"/>
  <c r="BU38" i="42" s="1"/>
  <c r="BU2" i="43"/>
  <c r="BU38" i="43" s="1"/>
  <c r="BU6" i="42"/>
  <c r="BU47" i="42" s="1"/>
  <c r="BU6" i="43"/>
  <c r="BU47" i="43" s="1"/>
  <c r="BU10" i="42"/>
  <c r="BU46" i="42" s="1"/>
  <c r="BU10" i="43"/>
  <c r="BU46" i="43" s="1"/>
  <c r="BU14" i="42"/>
  <c r="BU34" i="42" s="1"/>
  <c r="BU14" i="43"/>
  <c r="BU34" i="43" s="1"/>
  <c r="BU18" i="42"/>
  <c r="BU18" i="43"/>
  <c r="BU22" i="42"/>
  <c r="BU37" i="42" s="1"/>
  <c r="BU22" i="43"/>
  <c r="BU37" i="43" s="1"/>
  <c r="BU26" i="42"/>
  <c r="BU36" i="42" s="1"/>
  <c r="BU26" i="43"/>
  <c r="BU36" i="43" s="1"/>
  <c r="BU30" i="42"/>
  <c r="BU35" i="42" s="1"/>
  <c r="BU30" i="43"/>
  <c r="BU35" i="43" s="1"/>
  <c r="BJ4" i="30"/>
  <c r="BJ40" i="30" s="1"/>
  <c r="BJ11" i="30"/>
  <c r="BJ39" i="30" s="1"/>
  <c r="BJ7" i="30"/>
  <c r="BJ2" i="42"/>
  <c r="BJ38" i="42" s="1"/>
  <c r="BJ2" i="43"/>
  <c r="BJ38" i="43" s="1"/>
  <c r="BJ6" i="42"/>
  <c r="BJ47" i="42" s="1"/>
  <c r="BJ6" i="43"/>
  <c r="BJ47" i="43" s="1"/>
  <c r="BJ10" i="42"/>
  <c r="BJ46" i="42" s="1"/>
  <c r="BJ10" i="43"/>
  <c r="BJ46" i="43" s="1"/>
  <c r="BJ14" i="42"/>
  <c r="BJ34" i="42" s="1"/>
  <c r="BJ14" i="43"/>
  <c r="BJ34" i="43" s="1"/>
  <c r="BJ18" i="42"/>
  <c r="BJ18" i="43"/>
  <c r="BJ22" i="42"/>
  <c r="BJ37" i="42" s="1"/>
  <c r="BJ22" i="43"/>
  <c r="BJ37" i="43" s="1"/>
  <c r="BJ26" i="42"/>
  <c r="BJ36" i="42" s="1"/>
  <c r="BJ26" i="43"/>
  <c r="BJ36" i="43" s="1"/>
  <c r="BJ30" i="42"/>
  <c r="BJ35" i="42" s="1"/>
  <c r="BJ30" i="43"/>
  <c r="BJ35" i="43" s="1"/>
  <c r="W13" i="16"/>
  <c r="W33" i="16" s="1"/>
  <c r="U25" i="30"/>
  <c r="U17" i="30"/>
  <c r="U28" i="30"/>
  <c r="U43" i="30" s="1"/>
  <c r="U20" i="30"/>
  <c r="U12" i="30"/>
  <c r="U8" i="30"/>
  <c r="U41" i="30" s="1"/>
  <c r="U4" i="30"/>
  <c r="U40" i="30" s="1"/>
  <c r="U3" i="42"/>
  <c r="U32" i="42" s="1"/>
  <c r="U3" i="43"/>
  <c r="U32" i="43" s="1"/>
  <c r="U31" i="43" s="1"/>
  <c r="U7" i="42"/>
  <c r="U7" i="43"/>
  <c r="U11" i="42"/>
  <c r="U39" i="42" s="1"/>
  <c r="U11" i="43"/>
  <c r="U39" i="43" s="1"/>
  <c r="U15" i="42"/>
  <c r="U44" i="42" s="1"/>
  <c r="U15" i="43"/>
  <c r="U44" i="43" s="1"/>
  <c r="U19" i="42"/>
  <c r="U42" i="42" s="1"/>
  <c r="U19" i="43"/>
  <c r="U42" i="43" s="1"/>
  <c r="U23" i="42"/>
  <c r="U49" i="42" s="1"/>
  <c r="U23" i="43"/>
  <c r="U49" i="43" s="1"/>
  <c r="U27" i="42"/>
  <c r="U27" i="43"/>
  <c r="F9" i="30"/>
  <c r="F28" i="30"/>
  <c r="F43" i="30" s="1"/>
  <c r="F24" i="30"/>
  <c r="F20" i="30"/>
  <c r="F16" i="30"/>
  <c r="F12" i="30"/>
  <c r="F5" i="30"/>
  <c r="F2" i="42"/>
  <c r="F38" i="42" s="1"/>
  <c r="F2" i="43"/>
  <c r="F38" i="43" s="1"/>
  <c r="F6" i="42"/>
  <c r="F47" i="42" s="1"/>
  <c r="F6" i="43"/>
  <c r="F47" i="43" s="1"/>
  <c r="F10" i="42"/>
  <c r="F46" i="42" s="1"/>
  <c r="F45" i="42" s="1"/>
  <c r="F10" i="43"/>
  <c r="F46" i="43" s="1"/>
  <c r="F14" i="42"/>
  <c r="F34" i="42" s="1"/>
  <c r="F14" i="43"/>
  <c r="F34" i="43" s="1"/>
  <c r="F18" i="42"/>
  <c r="F18" i="43"/>
  <c r="F22" i="42"/>
  <c r="F37" i="42" s="1"/>
  <c r="F22" i="43"/>
  <c r="F37" i="43" s="1"/>
  <c r="F26" i="42"/>
  <c r="F36" i="42" s="1"/>
  <c r="F26" i="43"/>
  <c r="F36" i="43" s="1"/>
  <c r="F30" i="42"/>
  <c r="F35" i="42" s="1"/>
  <c r="F30" i="43"/>
  <c r="F35" i="43" s="1"/>
  <c r="BZ20" i="18"/>
  <c r="AH20" i="18"/>
  <c r="BZ17" i="18"/>
  <c r="AH17" i="18"/>
  <c r="BZ30" i="18"/>
  <c r="BZ35" i="18" s="1"/>
  <c r="AH30" i="18"/>
  <c r="AH35" i="18" s="1"/>
  <c r="BZ28" i="18"/>
  <c r="BZ43" i="18" s="1"/>
  <c r="AH28" i="18"/>
  <c r="AH43" i="18" s="1"/>
  <c r="AH3" i="18"/>
  <c r="AH32" i="18" s="1"/>
  <c r="BZ3" i="18"/>
  <c r="BZ32" i="18" s="1"/>
  <c r="BZ19" i="18"/>
  <c r="BZ42" i="18" s="1"/>
  <c r="AH19" i="18"/>
  <c r="AH42" i="18" s="1"/>
  <c r="BZ11" i="38"/>
  <c r="BZ39" i="38" s="1"/>
  <c r="AH11" i="38"/>
  <c r="AH39" i="38" s="1"/>
  <c r="P67" i="38"/>
  <c r="P53" i="38"/>
  <c r="P69" i="38"/>
  <c r="P55" i="38"/>
  <c r="P66" i="38"/>
  <c r="P52" i="38"/>
  <c r="BZ7" i="38"/>
  <c r="AH7" i="38"/>
  <c r="BK66" i="38"/>
  <c r="BK52" i="38"/>
  <c r="AH10" i="38"/>
  <c r="AH46" i="38" s="1"/>
  <c r="BZ10" i="38"/>
  <c r="BZ46" i="38" s="1"/>
  <c r="BZ45" i="38" s="1"/>
  <c r="P71" i="38"/>
  <c r="P57" i="38"/>
  <c r="DC68" i="38"/>
  <c r="DC54" i="38"/>
  <c r="DC64" i="38"/>
  <c r="DC50" i="38"/>
  <c r="P74" i="38"/>
  <c r="P60" i="38"/>
  <c r="BK75" i="38"/>
  <c r="BK61" i="38"/>
  <c r="BZ23" i="38"/>
  <c r="BZ49" i="38" s="1"/>
  <c r="AH23" i="38"/>
  <c r="AH49" i="38" s="1"/>
  <c r="BZ29" i="38"/>
  <c r="AH29" i="38"/>
  <c r="BK54" i="38"/>
  <c r="BK68" i="38"/>
  <c r="BZ20" i="38"/>
  <c r="AH20" i="38"/>
  <c r="BZ27" i="38"/>
  <c r="AH27" i="38"/>
  <c r="BK51" i="38"/>
  <c r="BK65" i="38"/>
  <c r="DC71" i="38"/>
  <c r="DC57" i="38"/>
  <c r="BG18" i="30"/>
  <c r="BG26" i="30"/>
  <c r="BG36" i="30" s="1"/>
  <c r="BG12" i="30"/>
  <c r="BG10" i="30"/>
  <c r="BG46" i="30" s="1"/>
  <c r="BG8" i="30"/>
  <c r="BG41" i="30" s="1"/>
  <c r="BG6" i="30"/>
  <c r="BG47" i="30" s="1"/>
  <c r="BG4" i="30"/>
  <c r="BG40" i="30" s="1"/>
  <c r="BG4" i="42"/>
  <c r="BG40" i="42" s="1"/>
  <c r="BG4" i="43"/>
  <c r="BG40" i="43" s="1"/>
  <c r="BG8" i="42"/>
  <c r="BG41" i="42" s="1"/>
  <c r="BG8" i="43"/>
  <c r="BG41" i="43" s="1"/>
  <c r="BG12" i="42"/>
  <c r="BG12" i="43"/>
  <c r="BG16" i="42"/>
  <c r="BG16" i="43"/>
  <c r="BG20" i="42"/>
  <c r="BG20" i="43"/>
  <c r="BG24" i="42"/>
  <c r="BG24" i="43"/>
  <c r="BG28" i="42"/>
  <c r="BG43" i="42" s="1"/>
  <c r="BG28" i="43"/>
  <c r="BG43" i="43" s="1"/>
  <c r="L22" i="5"/>
  <c r="L19" i="5"/>
  <c r="L10" i="5"/>
  <c r="L11" i="5"/>
  <c r="L26" i="5"/>
  <c r="L28" i="5"/>
  <c r="L13" i="5"/>
  <c r="L14" i="5"/>
  <c r="L8" i="5"/>
  <c r="L3" i="5"/>
  <c r="L6" i="5"/>
  <c r="BE2" i="18"/>
  <c r="AL7" i="5"/>
  <c r="AL25" i="5"/>
  <c r="AL14" i="5"/>
  <c r="AL27" i="5"/>
  <c r="L12" i="5"/>
  <c r="AL9" i="5"/>
  <c r="AL24" i="5"/>
  <c r="L29" i="5"/>
  <c r="BW5" i="31"/>
  <c r="BW12" i="31"/>
  <c r="BW20" i="31"/>
  <c r="BW28" i="31"/>
  <c r="BW43" i="31" s="1"/>
  <c r="BW6" i="31"/>
  <c r="BW47" i="31" s="1"/>
  <c r="BW13" i="31"/>
  <c r="BW33" i="31" s="1"/>
  <c r="BW21" i="31"/>
  <c r="BW29" i="31"/>
  <c r="BT3" i="31"/>
  <c r="BT32" i="31" s="1"/>
  <c r="BT7" i="31"/>
  <c r="BT11" i="31"/>
  <c r="BT39" i="31" s="1"/>
  <c r="BT14" i="31"/>
  <c r="BT34" i="31" s="1"/>
  <c r="BT18" i="31"/>
  <c r="BT22" i="31"/>
  <c r="BT37" i="31" s="1"/>
  <c r="BT26" i="31"/>
  <c r="BT36" i="31" s="1"/>
  <c r="BT30" i="31"/>
  <c r="BT35" i="31" s="1"/>
  <c r="BP4" i="31"/>
  <c r="BP40" i="31" s="1"/>
  <c r="BP8" i="31"/>
  <c r="BP41" i="31" s="1"/>
  <c r="BP15" i="31"/>
  <c r="BP44" i="31" s="1"/>
  <c r="BP19" i="31"/>
  <c r="BP42" i="31" s="1"/>
  <c r="BP23" i="31"/>
  <c r="BP49" i="31" s="1"/>
  <c r="BP27" i="31"/>
  <c r="BL5" i="31"/>
  <c r="BL9" i="31"/>
  <c r="BL12" i="31"/>
  <c r="BL16" i="31"/>
  <c r="BL20" i="31"/>
  <c r="BL24" i="31"/>
  <c r="BL28" i="31"/>
  <c r="BL43" i="31" s="1"/>
  <c r="BY2" i="31"/>
  <c r="BY38" i="31" s="1"/>
  <c r="BY6" i="31"/>
  <c r="BY47" i="31" s="1"/>
  <c r="BY10" i="31"/>
  <c r="BY46" i="31" s="1"/>
  <c r="BY13" i="31"/>
  <c r="BY33" i="31" s="1"/>
  <c r="BY17" i="31"/>
  <c r="BY21" i="31"/>
  <c r="BY25" i="31"/>
  <c r="BY29" i="31"/>
  <c r="BE3" i="31"/>
  <c r="BE32" i="31" s="1"/>
  <c r="BE7" i="31"/>
  <c r="BE11" i="31"/>
  <c r="BE39" i="31" s="1"/>
  <c r="BE14" i="31"/>
  <c r="BE34" i="31" s="1"/>
  <c r="BE18" i="31"/>
  <c r="BE22" i="31"/>
  <c r="BE37" i="31" s="1"/>
  <c r="BE26" i="31"/>
  <c r="BE36" i="31" s="1"/>
  <c r="BE30" i="31"/>
  <c r="BE35" i="31" s="1"/>
  <c r="BD4" i="31"/>
  <c r="BD40" i="31" s="1"/>
  <c r="BD8" i="31"/>
  <c r="BD41" i="31" s="1"/>
  <c r="BD15" i="31"/>
  <c r="BD44" i="31" s="1"/>
  <c r="BD19" i="31"/>
  <c r="BD42" i="31" s="1"/>
  <c r="BD23" i="31"/>
  <c r="BD49" i="31" s="1"/>
  <c r="BD27" i="31"/>
  <c r="BV2" i="31"/>
  <c r="BV38" i="31" s="1"/>
  <c r="BV6" i="31"/>
  <c r="BV47" i="31" s="1"/>
  <c r="BV10" i="31"/>
  <c r="BV46" i="31" s="1"/>
  <c r="BV13" i="31"/>
  <c r="BV33" i="31" s="1"/>
  <c r="BV17" i="31"/>
  <c r="BV21" i="31"/>
  <c r="BV25" i="31"/>
  <c r="BV29" i="31"/>
  <c r="BS9" i="31"/>
  <c r="BS20" i="31"/>
  <c r="BS4" i="31"/>
  <c r="BS40" i="31" s="1"/>
  <c r="BS19" i="31"/>
  <c r="BS42" i="31" s="1"/>
  <c r="BS27" i="31"/>
  <c r="BS3" i="31"/>
  <c r="BS32" i="31" s="1"/>
  <c r="BS24" i="31"/>
  <c r="BO2" i="31"/>
  <c r="BO38" i="31" s="1"/>
  <c r="BO10" i="31"/>
  <c r="BO46" i="31" s="1"/>
  <c r="BO17" i="31"/>
  <c r="BO25" i="31"/>
  <c r="BO9" i="31"/>
  <c r="BO16" i="31"/>
  <c r="BO24" i="31"/>
  <c r="BK10" i="31"/>
  <c r="BK46" i="31" s="1"/>
  <c r="BK8" i="31"/>
  <c r="BK41" i="31" s="1"/>
  <c r="BK9" i="31"/>
  <c r="BK16" i="31"/>
  <c r="BK24" i="31"/>
  <c r="BK23" i="31"/>
  <c r="BK49" i="31" s="1"/>
  <c r="BH5" i="31"/>
  <c r="BH9" i="31"/>
  <c r="BH12" i="31"/>
  <c r="BH16" i="31"/>
  <c r="BH20" i="31"/>
  <c r="BH24" i="31"/>
  <c r="BH28" i="31"/>
  <c r="BH43" i="31" s="1"/>
  <c r="BU3" i="31"/>
  <c r="BU32" i="31" s="1"/>
  <c r="BU7" i="31"/>
  <c r="BU11" i="31"/>
  <c r="BU39" i="31" s="1"/>
  <c r="BU14" i="31"/>
  <c r="BU34" i="31" s="1"/>
  <c r="BU18" i="31"/>
  <c r="BU22" i="31"/>
  <c r="BU37" i="31" s="1"/>
  <c r="BU26" i="31"/>
  <c r="BU36" i="31" s="1"/>
  <c r="BU30" i="31"/>
  <c r="BU35" i="31" s="1"/>
  <c r="BR2" i="31"/>
  <c r="BR38" i="31" s="1"/>
  <c r="BR6" i="31"/>
  <c r="BR47" i="31" s="1"/>
  <c r="BR45" i="31" s="1"/>
  <c r="BR10" i="31"/>
  <c r="BR46" i="31" s="1"/>
  <c r="BR13" i="31"/>
  <c r="BR33" i="31" s="1"/>
  <c r="BR17" i="31"/>
  <c r="BR21" i="31"/>
  <c r="BR25" i="31"/>
  <c r="BR29" i="31"/>
  <c r="BN2" i="31"/>
  <c r="BN38" i="31" s="1"/>
  <c r="BN6" i="31"/>
  <c r="BN47" i="31" s="1"/>
  <c r="BN10" i="31"/>
  <c r="BN46" i="31" s="1"/>
  <c r="BN13" i="31"/>
  <c r="BN33" i="31" s="1"/>
  <c r="BN17" i="31"/>
  <c r="BN21" i="31"/>
  <c r="BN25" i="31"/>
  <c r="BN29" i="31"/>
  <c r="BJ3" i="31"/>
  <c r="BJ32" i="31" s="1"/>
  <c r="BJ7" i="31"/>
  <c r="BJ11" i="31"/>
  <c r="BJ39" i="31" s="1"/>
  <c r="BJ14" i="31"/>
  <c r="BJ34" i="31" s="1"/>
  <c r="BJ18" i="31"/>
  <c r="BJ22" i="31"/>
  <c r="BJ37" i="31" s="1"/>
  <c r="BJ26" i="31"/>
  <c r="BJ36" i="31" s="1"/>
  <c r="BJ30" i="31"/>
  <c r="BJ35" i="31" s="1"/>
  <c r="BG7" i="31"/>
  <c r="BG14" i="31"/>
  <c r="BG34" i="31" s="1"/>
  <c r="BG22" i="31"/>
  <c r="BG37" i="31" s="1"/>
  <c r="BG30" i="31"/>
  <c r="BG35" i="31" s="1"/>
  <c r="BG8" i="31"/>
  <c r="BG41" i="31" s="1"/>
  <c r="BG15" i="31"/>
  <c r="BG44" i="31" s="1"/>
  <c r="BG23" i="31"/>
  <c r="BG49" i="31" s="1"/>
  <c r="BC3" i="31"/>
  <c r="BC32" i="31" s="1"/>
  <c r="BC7" i="31"/>
  <c r="BC24" i="31"/>
  <c r="BC8" i="31"/>
  <c r="BC41" i="31" s="1"/>
  <c r="BC15" i="31"/>
  <c r="BC44" i="31" s="1"/>
  <c r="BC23" i="31"/>
  <c r="BC49" i="31" s="1"/>
  <c r="BC14" i="31"/>
  <c r="BC34" i="31" s="1"/>
  <c r="N4" i="18"/>
  <c r="N8" i="18"/>
  <c r="N15" i="18"/>
  <c r="N19" i="18"/>
  <c r="N23" i="18"/>
  <c r="N27" i="18"/>
  <c r="BB3" i="31"/>
  <c r="BB7" i="31"/>
  <c r="BB11" i="31"/>
  <c r="BB14" i="31"/>
  <c r="BB18" i="31"/>
  <c r="BB22" i="31"/>
  <c r="BB26" i="31"/>
  <c r="BB30" i="31"/>
  <c r="BE7" i="18"/>
  <c r="BE11" i="18"/>
  <c r="BE14" i="18"/>
  <c r="BE18" i="18"/>
  <c r="BE26" i="18"/>
  <c r="BE30" i="18"/>
  <c r="CW17" i="18"/>
  <c r="CW27" i="18"/>
  <c r="CW18" i="18"/>
  <c r="CW26" i="18"/>
  <c r="CW6" i="18"/>
  <c r="CW10" i="18"/>
  <c r="CW13" i="18"/>
  <c r="BX5" i="31"/>
  <c r="BX9" i="31"/>
  <c r="BX12" i="31"/>
  <c r="BX16" i="31"/>
  <c r="BX20" i="31"/>
  <c r="BX24" i="31"/>
  <c r="BX28" i="31"/>
  <c r="BX43" i="31" s="1"/>
  <c r="BQ4" i="31"/>
  <c r="BQ40" i="31" s="1"/>
  <c r="BQ8" i="31"/>
  <c r="BQ41" i="31" s="1"/>
  <c r="BQ15" i="31"/>
  <c r="BQ44" i="31" s="1"/>
  <c r="BQ19" i="31"/>
  <c r="BQ42" i="31" s="1"/>
  <c r="BQ23" i="31"/>
  <c r="BQ49" i="31" s="1"/>
  <c r="BQ27" i="31"/>
  <c r="BM4" i="31"/>
  <c r="BM40" i="31" s="1"/>
  <c r="BM8" i="31"/>
  <c r="BM41" i="31" s="1"/>
  <c r="BM15" i="31"/>
  <c r="BM44" i="31" s="1"/>
  <c r="BM19" i="31"/>
  <c r="BM42" i="31" s="1"/>
  <c r="BM23" i="31"/>
  <c r="BM49" i="31" s="1"/>
  <c r="BM27" i="31"/>
  <c r="BI4" i="31"/>
  <c r="BI40" i="31" s="1"/>
  <c r="BI8" i="31"/>
  <c r="BI41" i="31" s="1"/>
  <c r="BI15" i="31"/>
  <c r="BI44" i="31" s="1"/>
  <c r="BI19" i="31"/>
  <c r="BI42" i="31" s="1"/>
  <c r="BI23" i="31"/>
  <c r="BI49" i="31" s="1"/>
  <c r="BI27" i="31"/>
  <c r="BF5" i="31"/>
  <c r="BF9" i="31"/>
  <c r="BF12" i="31"/>
  <c r="BF16" i="31"/>
  <c r="BF20" i="31"/>
  <c r="BF24" i="31"/>
  <c r="BF28" i="31"/>
  <c r="BF43" i="31" s="1"/>
  <c r="AL22" i="5"/>
  <c r="AL13" i="5"/>
  <c r="AL29" i="5"/>
  <c r="L23" i="5"/>
  <c r="AL30" i="5"/>
  <c r="AL15" i="5"/>
  <c r="L16" i="5"/>
  <c r="AL11" i="5"/>
  <c r="AL12" i="5"/>
  <c r="AL28" i="5"/>
  <c r="L17" i="5"/>
  <c r="BW7" i="31"/>
  <c r="BW14" i="31"/>
  <c r="BW34" i="31" s="1"/>
  <c r="BW22" i="31"/>
  <c r="BW37" i="31" s="1"/>
  <c r="BW30" i="31"/>
  <c r="BW35" i="31" s="1"/>
  <c r="BW8" i="31"/>
  <c r="BW41" i="31" s="1"/>
  <c r="BW15" i="31"/>
  <c r="BW44" i="31" s="1"/>
  <c r="BW23" i="31"/>
  <c r="BW49" i="31" s="1"/>
  <c r="BT4" i="31"/>
  <c r="BT40" i="31" s="1"/>
  <c r="BT8" i="31"/>
  <c r="BT41" i="31" s="1"/>
  <c r="BT15" i="31"/>
  <c r="BT44" i="31" s="1"/>
  <c r="BT19" i="31"/>
  <c r="BT42" i="31" s="1"/>
  <c r="BT23" i="31"/>
  <c r="BT49" i="31" s="1"/>
  <c r="BT27" i="31"/>
  <c r="BP5" i="31"/>
  <c r="BP9" i="31"/>
  <c r="BP12" i="31"/>
  <c r="BP16" i="31"/>
  <c r="BP20" i="31"/>
  <c r="BP24" i="31"/>
  <c r="BP28" i="31"/>
  <c r="BP43" i="31" s="1"/>
  <c r="BL2" i="31"/>
  <c r="BL38" i="31" s="1"/>
  <c r="BL6" i="31"/>
  <c r="BL47" i="31" s="1"/>
  <c r="BL10" i="31"/>
  <c r="BL46" i="31" s="1"/>
  <c r="BL45" i="31" s="1"/>
  <c r="BL13" i="31"/>
  <c r="BL33" i="31" s="1"/>
  <c r="BL17" i="31"/>
  <c r="BL21" i="31"/>
  <c r="BL25" i="31"/>
  <c r="BL29" i="31"/>
  <c r="BY3" i="31"/>
  <c r="BY32" i="31" s="1"/>
  <c r="BY7" i="31"/>
  <c r="BY11" i="31"/>
  <c r="BY39" i="31" s="1"/>
  <c r="BY14" i="31"/>
  <c r="BY34" i="31" s="1"/>
  <c r="BY18" i="31"/>
  <c r="BY22" i="31"/>
  <c r="BY37" i="31" s="1"/>
  <c r="BY26" i="31"/>
  <c r="BY36" i="31" s="1"/>
  <c r="BY30" i="31"/>
  <c r="BY35" i="31" s="1"/>
  <c r="BE4" i="31"/>
  <c r="BE40" i="31" s="1"/>
  <c r="BE8" i="31"/>
  <c r="BE41" i="31" s="1"/>
  <c r="BE15" i="31"/>
  <c r="BE44" i="31" s="1"/>
  <c r="BE19" i="31"/>
  <c r="BE42" i="31" s="1"/>
  <c r="BE23" i="31"/>
  <c r="BE49" i="31" s="1"/>
  <c r="BE27" i="31"/>
  <c r="BD5" i="31"/>
  <c r="BD9" i="31"/>
  <c r="BD12" i="31"/>
  <c r="BD16" i="31"/>
  <c r="BD20" i="31"/>
  <c r="BD24" i="31"/>
  <c r="BD28" i="31"/>
  <c r="BD43" i="31" s="1"/>
  <c r="BV3" i="31"/>
  <c r="BV32" i="31" s="1"/>
  <c r="BV7" i="31"/>
  <c r="BV11" i="31"/>
  <c r="BV39" i="31" s="1"/>
  <c r="BV14" i="31"/>
  <c r="BV34" i="31" s="1"/>
  <c r="BV18" i="31"/>
  <c r="BV22" i="31"/>
  <c r="BV37" i="31" s="1"/>
  <c r="BV26" i="31"/>
  <c r="BV36" i="31" s="1"/>
  <c r="BV30" i="31"/>
  <c r="BV35" i="31" s="1"/>
  <c r="BS11" i="31"/>
  <c r="BS39" i="31" s="1"/>
  <c r="BS28" i="31"/>
  <c r="BS43" i="31" s="1"/>
  <c r="BS6" i="31"/>
  <c r="BS47" i="31" s="1"/>
  <c r="BS13" i="31"/>
  <c r="BS33" i="31" s="1"/>
  <c r="BS21" i="31"/>
  <c r="BS29" i="31"/>
  <c r="BS5" i="31"/>
  <c r="BS26" i="31"/>
  <c r="BS36" i="31" s="1"/>
  <c r="BO4" i="31"/>
  <c r="BO40" i="31" s="1"/>
  <c r="BO19" i="31"/>
  <c r="BO42" i="31" s="1"/>
  <c r="BO27" i="31"/>
  <c r="BO3" i="31"/>
  <c r="BO32" i="31" s="1"/>
  <c r="BO11" i="31"/>
  <c r="BO39" i="31" s="1"/>
  <c r="BO18" i="31"/>
  <c r="BO26" i="31"/>
  <c r="BO36" i="31" s="1"/>
  <c r="BK19" i="31"/>
  <c r="BK42" i="31" s="1"/>
  <c r="BK13" i="31"/>
  <c r="BK33" i="31" s="1"/>
  <c r="BK3" i="31"/>
  <c r="BK32" i="31" s="1"/>
  <c r="BK11" i="31"/>
  <c r="BK39" i="31" s="1"/>
  <c r="BK18" i="31"/>
  <c r="BK26" i="31"/>
  <c r="BK36" i="31" s="1"/>
  <c r="BK15" i="31"/>
  <c r="BK44" i="31" s="1"/>
  <c r="BH2" i="31"/>
  <c r="BH38" i="31" s="1"/>
  <c r="BH6" i="31"/>
  <c r="BH47" i="31" s="1"/>
  <c r="BH45" i="31" s="1"/>
  <c r="BH10" i="31"/>
  <c r="BH46" i="31" s="1"/>
  <c r="BH13" i="31"/>
  <c r="BH33" i="31" s="1"/>
  <c r="BH17" i="31"/>
  <c r="BH21" i="31"/>
  <c r="BH25" i="31"/>
  <c r="BH29" i="31"/>
  <c r="BU4" i="31"/>
  <c r="BU40" i="31" s="1"/>
  <c r="BU8" i="31"/>
  <c r="BU41" i="31" s="1"/>
  <c r="BU15" i="31"/>
  <c r="BU44" i="31" s="1"/>
  <c r="BU19" i="31"/>
  <c r="BU42" i="31" s="1"/>
  <c r="BU23" i="31"/>
  <c r="BU49" i="31" s="1"/>
  <c r="BU27" i="31"/>
  <c r="BR3" i="31"/>
  <c r="BR32" i="31" s="1"/>
  <c r="BR7" i="31"/>
  <c r="BR11" i="31"/>
  <c r="BR39" i="31" s="1"/>
  <c r="BR14" i="31"/>
  <c r="BR34" i="31" s="1"/>
  <c r="BR18" i="31"/>
  <c r="BR22" i="31"/>
  <c r="BR37" i="31" s="1"/>
  <c r="BR26" i="31"/>
  <c r="BR36" i="31" s="1"/>
  <c r="BR30" i="31"/>
  <c r="BR35" i="31" s="1"/>
  <c r="BN3" i="31"/>
  <c r="BN32" i="31" s="1"/>
  <c r="BN7" i="31"/>
  <c r="BN11" i="31"/>
  <c r="BN39" i="31" s="1"/>
  <c r="BN14" i="31"/>
  <c r="BN34" i="31" s="1"/>
  <c r="BN18" i="31"/>
  <c r="BN22" i="31"/>
  <c r="BN37" i="31" s="1"/>
  <c r="BN26" i="31"/>
  <c r="BN36" i="31" s="1"/>
  <c r="BN30" i="31"/>
  <c r="BN35" i="31" s="1"/>
  <c r="BJ4" i="31"/>
  <c r="BJ40" i="31" s="1"/>
  <c r="BJ8" i="31"/>
  <c r="BJ41" i="31" s="1"/>
  <c r="BJ15" i="31"/>
  <c r="BJ44" i="31" s="1"/>
  <c r="BJ19" i="31"/>
  <c r="BJ42" i="31" s="1"/>
  <c r="BJ23" i="31"/>
  <c r="BJ49" i="31" s="1"/>
  <c r="BJ27" i="31"/>
  <c r="BG9" i="31"/>
  <c r="BG16" i="31"/>
  <c r="BG24" i="31"/>
  <c r="BG2" i="31"/>
  <c r="BG38" i="31" s="1"/>
  <c r="BG10" i="31"/>
  <c r="BG46" i="31" s="1"/>
  <c r="BG17" i="31"/>
  <c r="BG25" i="31"/>
  <c r="BC16" i="31"/>
  <c r="BC12" i="31"/>
  <c r="BC2" i="31"/>
  <c r="BC38" i="31" s="1"/>
  <c r="BC10" i="31"/>
  <c r="BC46" i="31" s="1"/>
  <c r="BC17" i="31"/>
  <c r="BC25" i="31"/>
  <c r="BC20" i="31"/>
  <c r="N5" i="18"/>
  <c r="N9" i="18"/>
  <c r="N12" i="18"/>
  <c r="N16" i="18"/>
  <c r="N20" i="18"/>
  <c r="N24" i="18"/>
  <c r="N28" i="18"/>
  <c r="BB4" i="31"/>
  <c r="BB8" i="31"/>
  <c r="BB15" i="31"/>
  <c r="BB19" i="31"/>
  <c r="BB23" i="31"/>
  <c r="BB27" i="31"/>
  <c r="BE8" i="18"/>
  <c r="BE19" i="18"/>
  <c r="BE23" i="18"/>
  <c r="BE27" i="18"/>
  <c r="CW21" i="18"/>
  <c r="CW25" i="18"/>
  <c r="CW15" i="18"/>
  <c r="CW2" i="18"/>
  <c r="CW20" i="18"/>
  <c r="CW28" i="18"/>
  <c r="CW3" i="18"/>
  <c r="CW7" i="18"/>
  <c r="CW11" i="18"/>
  <c r="BX2" i="31"/>
  <c r="BX38" i="31" s="1"/>
  <c r="BX6" i="31"/>
  <c r="BX47" i="31" s="1"/>
  <c r="BX10" i="31"/>
  <c r="BX46" i="31" s="1"/>
  <c r="BX13" i="31"/>
  <c r="BX33" i="31" s="1"/>
  <c r="BX17" i="31"/>
  <c r="BX21" i="31"/>
  <c r="BX25" i="31"/>
  <c r="BX29" i="31"/>
  <c r="BQ5" i="31"/>
  <c r="BQ9" i="31"/>
  <c r="BQ12" i="31"/>
  <c r="BQ16" i="31"/>
  <c r="BQ20" i="31"/>
  <c r="BQ24" i="31"/>
  <c r="BQ28" i="31"/>
  <c r="BQ43" i="31" s="1"/>
  <c r="BM5" i="31"/>
  <c r="BM9" i="31"/>
  <c r="BM12" i="31"/>
  <c r="BM16" i="31"/>
  <c r="BM20" i="31"/>
  <c r="BM24" i="31"/>
  <c r="BM28" i="31"/>
  <c r="BM43" i="31" s="1"/>
  <c r="BI5" i="31"/>
  <c r="BI9" i="31"/>
  <c r="BI12" i="31"/>
  <c r="BI16" i="31"/>
  <c r="BI20" i="31"/>
  <c r="BI24" i="31"/>
  <c r="BI28" i="31"/>
  <c r="BI43" i="31" s="1"/>
  <c r="BF2" i="31"/>
  <c r="BF38" i="31" s="1"/>
  <c r="BF6" i="31"/>
  <c r="BF47" i="31" s="1"/>
  <c r="BF10" i="31"/>
  <c r="BF46" i="31" s="1"/>
  <c r="BF13" i="31"/>
  <c r="BF33" i="31" s="1"/>
  <c r="BF17" i="31"/>
  <c r="BF21" i="31"/>
  <c r="BF25" i="31"/>
  <c r="BF29" i="31"/>
  <c r="AL2" i="5"/>
  <c r="AL17" i="5"/>
  <c r="L18" i="5"/>
  <c r="AL3" i="5"/>
  <c r="AL4" i="5"/>
  <c r="AL19" i="5"/>
  <c r="L5" i="5"/>
  <c r="L20" i="5"/>
  <c r="AL26" i="5"/>
  <c r="AL16" i="5"/>
  <c r="L21" i="5"/>
  <c r="BW9" i="31"/>
  <c r="BW16" i="31"/>
  <c r="BW24" i="31"/>
  <c r="BW2" i="31"/>
  <c r="BW38" i="31" s="1"/>
  <c r="BW10" i="31"/>
  <c r="BW46" i="31" s="1"/>
  <c r="BW45" i="31" s="1"/>
  <c r="BW17" i="31"/>
  <c r="BW25" i="31"/>
  <c r="BT5" i="31"/>
  <c r="BT9" i="31"/>
  <c r="BT12" i="31"/>
  <c r="BT16" i="31"/>
  <c r="BT20" i="31"/>
  <c r="BT24" i="31"/>
  <c r="BT28" i="31"/>
  <c r="BT43" i="31" s="1"/>
  <c r="BP2" i="31"/>
  <c r="BP38" i="31" s="1"/>
  <c r="BP6" i="31"/>
  <c r="BP47" i="31" s="1"/>
  <c r="BP10" i="31"/>
  <c r="BP46" i="31" s="1"/>
  <c r="BP45" i="31" s="1"/>
  <c r="BP13" i="31"/>
  <c r="BP33" i="31" s="1"/>
  <c r="BP17" i="31"/>
  <c r="BP21" i="31"/>
  <c r="BP25" i="31"/>
  <c r="BP29" i="31"/>
  <c r="BL3" i="31"/>
  <c r="BL32" i="31" s="1"/>
  <c r="BL7" i="31"/>
  <c r="BL11" i="31"/>
  <c r="BL39" i="31" s="1"/>
  <c r="BL14" i="31"/>
  <c r="BL34" i="31" s="1"/>
  <c r="BL18" i="31"/>
  <c r="BL22" i="31"/>
  <c r="BL37" i="31" s="1"/>
  <c r="BL26" i="31"/>
  <c r="BL36" i="31" s="1"/>
  <c r="BL30" i="31"/>
  <c r="BL35" i="31" s="1"/>
  <c r="BY4" i="31"/>
  <c r="BY40" i="31" s="1"/>
  <c r="BY8" i="31"/>
  <c r="BY41" i="31" s="1"/>
  <c r="BY15" i="31"/>
  <c r="BY44" i="31" s="1"/>
  <c r="BY19" i="31"/>
  <c r="BY42" i="31" s="1"/>
  <c r="BY23" i="31"/>
  <c r="BY49" i="31" s="1"/>
  <c r="BY27" i="31"/>
  <c r="BE5" i="31"/>
  <c r="BE9" i="31"/>
  <c r="BE12" i="31"/>
  <c r="BE16" i="31"/>
  <c r="BE20" i="31"/>
  <c r="BE24" i="31"/>
  <c r="BE28" i="31"/>
  <c r="BE43" i="31" s="1"/>
  <c r="BD2" i="31"/>
  <c r="BD38" i="31" s="1"/>
  <c r="BD6" i="31"/>
  <c r="BD47" i="31" s="1"/>
  <c r="BD10" i="31"/>
  <c r="BD46" i="31" s="1"/>
  <c r="BD13" i="31"/>
  <c r="BD33" i="31" s="1"/>
  <c r="BD17" i="31"/>
  <c r="BD21" i="31"/>
  <c r="BD25" i="31"/>
  <c r="BD29" i="31"/>
  <c r="BV4" i="31"/>
  <c r="BV40" i="31" s="1"/>
  <c r="BV8" i="31"/>
  <c r="BV41" i="31" s="1"/>
  <c r="BV15" i="31"/>
  <c r="BV44" i="31" s="1"/>
  <c r="BV19" i="31"/>
  <c r="BV42" i="31" s="1"/>
  <c r="BV23" i="31"/>
  <c r="BV49" i="31" s="1"/>
  <c r="BV27" i="31"/>
  <c r="BS12" i="31"/>
  <c r="BS14" i="31"/>
  <c r="BS34" i="31" s="1"/>
  <c r="BS30" i="31"/>
  <c r="BS35" i="31" s="1"/>
  <c r="BS8" i="31"/>
  <c r="BS41" i="31" s="1"/>
  <c r="BS15" i="31"/>
  <c r="BS44" i="31" s="1"/>
  <c r="BS23" i="31"/>
  <c r="BS49" i="31" s="1"/>
  <c r="BS7" i="31"/>
  <c r="BO6" i="31"/>
  <c r="BO47" i="31" s="1"/>
  <c r="BO13" i="31"/>
  <c r="BO33" i="31" s="1"/>
  <c r="BO21" i="31"/>
  <c r="BO29" i="31"/>
  <c r="BO5" i="31"/>
  <c r="BO12" i="31"/>
  <c r="BO20" i="31"/>
  <c r="BO28" i="31"/>
  <c r="BO43" i="31" s="1"/>
  <c r="BK2" i="31"/>
  <c r="BK38" i="31" s="1"/>
  <c r="BK29" i="31"/>
  <c r="BK25" i="31"/>
  <c r="BK5" i="31"/>
  <c r="BK12" i="31"/>
  <c r="BK20" i="31"/>
  <c r="BK28" i="31"/>
  <c r="BK43" i="31" s="1"/>
  <c r="BK17" i="31"/>
  <c r="BH3" i="31"/>
  <c r="BH32" i="31" s="1"/>
  <c r="BH7" i="31"/>
  <c r="BH11" i="31"/>
  <c r="BH39" i="31" s="1"/>
  <c r="BH14" i="31"/>
  <c r="BH34" i="31" s="1"/>
  <c r="BH18" i="31"/>
  <c r="BH22" i="31"/>
  <c r="BH37" i="31" s="1"/>
  <c r="BH26" i="31"/>
  <c r="BH36" i="31" s="1"/>
  <c r="BH30" i="31"/>
  <c r="BH35" i="31" s="1"/>
  <c r="BU5" i="31"/>
  <c r="BU9" i="31"/>
  <c r="BU12" i="31"/>
  <c r="BU16" i="31"/>
  <c r="BU20" i="31"/>
  <c r="BU24" i="31"/>
  <c r="BU28" i="31"/>
  <c r="BU43" i="31" s="1"/>
  <c r="BR4" i="31"/>
  <c r="BR40" i="31" s="1"/>
  <c r="BR8" i="31"/>
  <c r="BR41" i="31" s="1"/>
  <c r="BR15" i="31"/>
  <c r="BR44" i="31" s="1"/>
  <c r="BR19" i="31"/>
  <c r="BR42" i="31" s="1"/>
  <c r="BR23" i="31"/>
  <c r="BR49" i="31" s="1"/>
  <c r="BR27" i="31"/>
  <c r="BN4" i="31"/>
  <c r="BN40" i="31" s="1"/>
  <c r="BN8" i="31"/>
  <c r="BN41" i="31" s="1"/>
  <c r="BN15" i="31"/>
  <c r="BN44" i="31" s="1"/>
  <c r="BN19" i="31"/>
  <c r="BN42" i="31" s="1"/>
  <c r="BN23" i="31"/>
  <c r="BN49" i="31" s="1"/>
  <c r="BN27" i="31"/>
  <c r="BJ5" i="31"/>
  <c r="BJ9" i="31"/>
  <c r="BJ12" i="31"/>
  <c r="BJ16" i="31"/>
  <c r="BJ20" i="31"/>
  <c r="BJ24" i="31"/>
  <c r="BJ28" i="31"/>
  <c r="BJ43" i="31" s="1"/>
  <c r="BG3" i="31"/>
  <c r="BG32" i="31" s="1"/>
  <c r="BG11" i="31"/>
  <c r="BG39" i="31" s="1"/>
  <c r="BG18" i="31"/>
  <c r="BG26" i="31"/>
  <c r="BG36" i="31" s="1"/>
  <c r="BG4" i="31"/>
  <c r="BG40" i="31" s="1"/>
  <c r="BG19" i="31"/>
  <c r="BG42" i="31" s="1"/>
  <c r="BG27" i="31"/>
  <c r="BC26" i="31"/>
  <c r="BC36" i="31" s="1"/>
  <c r="BC18" i="31"/>
  <c r="BC4" i="31"/>
  <c r="BC40" i="31" s="1"/>
  <c r="BC19" i="31"/>
  <c r="BC42" i="31" s="1"/>
  <c r="BC27" i="31"/>
  <c r="BC9" i="31"/>
  <c r="BC28" i="31"/>
  <c r="BC43" i="31" s="1"/>
  <c r="N2" i="18"/>
  <c r="N6" i="18"/>
  <c r="N10" i="18"/>
  <c r="N13" i="18"/>
  <c r="N21" i="18"/>
  <c r="N25" i="18"/>
  <c r="N29" i="18"/>
  <c r="BB5" i="31"/>
  <c r="BB9" i="31"/>
  <c r="BB12" i="31"/>
  <c r="BB16" i="31"/>
  <c r="BB20" i="31"/>
  <c r="BB24" i="31"/>
  <c r="BB28" i="31"/>
  <c r="BE5" i="18"/>
  <c r="BE9" i="18"/>
  <c r="BE20" i="18"/>
  <c r="BE24" i="18"/>
  <c r="BE28" i="18"/>
  <c r="CW29" i="18"/>
  <c r="CW14" i="18"/>
  <c r="CW22" i="18"/>
  <c r="CW30" i="18"/>
  <c r="CW4" i="18"/>
  <c r="CW8" i="18"/>
  <c r="BX3" i="31"/>
  <c r="BX32" i="31" s="1"/>
  <c r="BX7" i="31"/>
  <c r="BX11" i="31"/>
  <c r="BX39" i="31" s="1"/>
  <c r="BX14" i="31"/>
  <c r="BX34" i="31" s="1"/>
  <c r="BX18" i="31"/>
  <c r="BX22" i="31"/>
  <c r="BX37" i="31" s="1"/>
  <c r="BX26" i="31"/>
  <c r="BX36" i="31" s="1"/>
  <c r="BX30" i="31"/>
  <c r="BX35" i="31" s="1"/>
  <c r="BQ2" i="31"/>
  <c r="BQ38" i="31" s="1"/>
  <c r="BQ6" i="31"/>
  <c r="BQ47" i="31" s="1"/>
  <c r="BQ10" i="31"/>
  <c r="BQ46" i="31" s="1"/>
  <c r="BQ45" i="31" s="1"/>
  <c r="BQ13" i="31"/>
  <c r="BQ33" i="31" s="1"/>
  <c r="BQ17" i="31"/>
  <c r="BQ21" i="31"/>
  <c r="BQ25" i="31"/>
  <c r="BQ29" i="31"/>
  <c r="BM2" i="31"/>
  <c r="BM38" i="31" s="1"/>
  <c r="BM6" i="31"/>
  <c r="BM47" i="31" s="1"/>
  <c r="BM45" i="31" s="1"/>
  <c r="BM10" i="31"/>
  <c r="BM46" i="31" s="1"/>
  <c r="BM13" i="31"/>
  <c r="BM33" i="31" s="1"/>
  <c r="BM17" i="31"/>
  <c r="BM21" i="31"/>
  <c r="BM25" i="31"/>
  <c r="BM29" i="31"/>
  <c r="BI2" i="31"/>
  <c r="BI38" i="31" s="1"/>
  <c r="BI6" i="31"/>
  <c r="BI47" i="31" s="1"/>
  <c r="BI10" i="31"/>
  <c r="BI46" i="31" s="1"/>
  <c r="BI13" i="31"/>
  <c r="BI33" i="31" s="1"/>
  <c r="BI17" i="31"/>
  <c r="BI21" i="31"/>
  <c r="BI25" i="31"/>
  <c r="BI29" i="31"/>
  <c r="BF3" i="31"/>
  <c r="BF32" i="31" s="1"/>
  <c r="BF7" i="31"/>
  <c r="BF11" i="31"/>
  <c r="BF39" i="31" s="1"/>
  <c r="BF14" i="31"/>
  <c r="BF34" i="31" s="1"/>
  <c r="BF18" i="31"/>
  <c r="BF22" i="31"/>
  <c r="BF37" i="31" s="1"/>
  <c r="BF26" i="31"/>
  <c r="BF36" i="31" s="1"/>
  <c r="BF30" i="31"/>
  <c r="BF35" i="31" s="1"/>
  <c r="L2" i="5"/>
  <c r="AL6" i="5"/>
  <c r="AL21" i="5"/>
  <c r="L7" i="5"/>
  <c r="AL18" i="5"/>
  <c r="L15" i="5"/>
  <c r="AL8" i="5"/>
  <c r="AL23" i="5"/>
  <c r="L9" i="5"/>
  <c r="AL5" i="5"/>
  <c r="L25" i="5"/>
  <c r="BW3" i="31"/>
  <c r="BW32" i="31" s="1"/>
  <c r="BW11" i="31"/>
  <c r="BW39" i="31" s="1"/>
  <c r="BW18" i="31"/>
  <c r="BW26" i="31"/>
  <c r="BW36" i="31" s="1"/>
  <c r="BW4" i="31"/>
  <c r="BW40" i="31" s="1"/>
  <c r="BW19" i="31"/>
  <c r="BW42" i="31" s="1"/>
  <c r="BW27" i="31"/>
  <c r="BT2" i="31"/>
  <c r="BT38" i="31" s="1"/>
  <c r="BT6" i="31"/>
  <c r="BT47" i="31" s="1"/>
  <c r="BT45" i="31" s="1"/>
  <c r="BT10" i="31"/>
  <c r="BT46" i="31" s="1"/>
  <c r="BT13" i="31"/>
  <c r="BT33" i="31" s="1"/>
  <c r="BT17" i="31"/>
  <c r="BT21" i="31"/>
  <c r="BT25" i="31"/>
  <c r="BT29" i="31"/>
  <c r="BP3" i="31"/>
  <c r="BP32" i="31" s="1"/>
  <c r="BP7" i="31"/>
  <c r="BP11" i="31"/>
  <c r="BP39" i="31" s="1"/>
  <c r="BP14" i="31"/>
  <c r="BP34" i="31" s="1"/>
  <c r="BP18" i="31"/>
  <c r="BP22" i="31"/>
  <c r="BP37" i="31" s="1"/>
  <c r="BP26" i="31"/>
  <c r="BP36" i="31" s="1"/>
  <c r="BP30" i="31"/>
  <c r="BP35" i="31" s="1"/>
  <c r="BL4" i="31"/>
  <c r="BL40" i="31" s="1"/>
  <c r="BL8" i="31"/>
  <c r="BL41" i="31" s="1"/>
  <c r="BL15" i="31"/>
  <c r="BL44" i="31" s="1"/>
  <c r="BL19" i="31"/>
  <c r="BL42" i="31" s="1"/>
  <c r="BL23" i="31"/>
  <c r="BL49" i="31" s="1"/>
  <c r="BL27" i="31"/>
  <c r="BY5" i="31"/>
  <c r="BY9" i="31"/>
  <c r="BY12" i="31"/>
  <c r="BY16" i="31"/>
  <c r="BY20" i="31"/>
  <c r="BY24" i="31"/>
  <c r="BY28" i="31"/>
  <c r="BY43" i="31" s="1"/>
  <c r="BE2" i="31"/>
  <c r="BE38" i="31" s="1"/>
  <c r="BE6" i="31"/>
  <c r="BE47" i="31" s="1"/>
  <c r="BE10" i="31"/>
  <c r="BE46" i="31" s="1"/>
  <c r="BE13" i="31"/>
  <c r="BE33" i="31" s="1"/>
  <c r="BE17" i="31"/>
  <c r="BE21" i="31"/>
  <c r="BE25" i="31"/>
  <c r="BE29" i="31"/>
  <c r="BD3" i="31"/>
  <c r="BD32" i="31" s="1"/>
  <c r="BD7" i="31"/>
  <c r="BD11" i="31"/>
  <c r="BD39" i="31" s="1"/>
  <c r="BD14" i="31"/>
  <c r="BD34" i="31" s="1"/>
  <c r="BD18" i="31"/>
  <c r="BD22" i="31"/>
  <c r="BD37" i="31" s="1"/>
  <c r="BD26" i="31"/>
  <c r="BD36" i="31" s="1"/>
  <c r="BD30" i="31"/>
  <c r="BD35" i="31" s="1"/>
  <c r="BV5" i="31"/>
  <c r="BV9" i="31"/>
  <c r="BV12" i="31"/>
  <c r="BV16" i="31"/>
  <c r="BV20" i="31"/>
  <c r="BV24" i="31"/>
  <c r="BV28" i="31"/>
  <c r="BV43" i="31" s="1"/>
  <c r="BS22" i="31"/>
  <c r="BS37" i="31" s="1"/>
  <c r="BS16" i="31"/>
  <c r="BS2" i="31"/>
  <c r="BS38" i="31" s="1"/>
  <c r="BS10" i="31"/>
  <c r="BS46" i="31" s="1"/>
  <c r="BS45" i="31" s="1"/>
  <c r="BS17" i="31"/>
  <c r="BS25" i="31"/>
  <c r="BS18" i="31"/>
  <c r="BO8" i="31"/>
  <c r="BO41" i="31" s="1"/>
  <c r="BO15" i="31"/>
  <c r="BO44" i="31" s="1"/>
  <c r="BO23" i="31"/>
  <c r="BO49" i="31" s="1"/>
  <c r="BO7" i="31"/>
  <c r="BO14" i="31"/>
  <c r="BO34" i="31" s="1"/>
  <c r="BO22" i="31"/>
  <c r="BO37" i="31" s="1"/>
  <c r="BO30" i="31"/>
  <c r="BO35" i="31" s="1"/>
  <c r="BK6" i="31"/>
  <c r="BK47" i="31" s="1"/>
  <c r="BK4" i="31"/>
  <c r="BK40" i="31" s="1"/>
  <c r="BK27" i="31"/>
  <c r="BK7" i="31"/>
  <c r="BK14" i="31"/>
  <c r="BK34" i="31" s="1"/>
  <c r="BK22" i="31"/>
  <c r="BK37" i="31" s="1"/>
  <c r="BK30" i="31"/>
  <c r="BK35" i="31" s="1"/>
  <c r="BK21" i="31"/>
  <c r="BH4" i="31"/>
  <c r="BH40" i="31" s="1"/>
  <c r="BH8" i="31"/>
  <c r="BH41" i="31" s="1"/>
  <c r="BH15" i="31"/>
  <c r="BH44" i="31" s="1"/>
  <c r="BH19" i="31"/>
  <c r="BH42" i="31" s="1"/>
  <c r="BH23" i="31"/>
  <c r="BH49" i="31" s="1"/>
  <c r="BH27" i="31"/>
  <c r="BU2" i="31"/>
  <c r="BU38" i="31" s="1"/>
  <c r="BU6" i="31"/>
  <c r="BU47" i="31" s="1"/>
  <c r="BU10" i="31"/>
  <c r="BU46" i="31" s="1"/>
  <c r="BU13" i="31"/>
  <c r="BU33" i="31" s="1"/>
  <c r="BU17" i="31"/>
  <c r="BU21" i="31"/>
  <c r="BU25" i="31"/>
  <c r="BU29" i="31"/>
  <c r="BR5" i="31"/>
  <c r="BR9" i="31"/>
  <c r="BR12" i="31"/>
  <c r="BR16" i="31"/>
  <c r="BR20" i="31"/>
  <c r="BR24" i="31"/>
  <c r="BR28" i="31"/>
  <c r="BR43" i="31" s="1"/>
  <c r="BN5" i="31"/>
  <c r="BN9" i="31"/>
  <c r="BN12" i="31"/>
  <c r="BN16" i="31"/>
  <c r="BN20" i="31"/>
  <c r="BN24" i="31"/>
  <c r="BN28" i="31"/>
  <c r="BN43" i="31" s="1"/>
  <c r="BJ2" i="31"/>
  <c r="BJ38" i="31" s="1"/>
  <c r="BJ6" i="31"/>
  <c r="BJ47" i="31" s="1"/>
  <c r="BJ10" i="31"/>
  <c r="BJ46" i="31" s="1"/>
  <c r="BJ13" i="31"/>
  <c r="BJ33" i="31" s="1"/>
  <c r="BJ31" i="31" s="1"/>
  <c r="BJ17" i="31"/>
  <c r="BJ21" i="31"/>
  <c r="BJ25" i="31"/>
  <c r="BJ29" i="31"/>
  <c r="BG5" i="31"/>
  <c r="BG12" i="31"/>
  <c r="BG20" i="31"/>
  <c r="BG28" i="31"/>
  <c r="BG43" i="31" s="1"/>
  <c r="BG6" i="31"/>
  <c r="BG47" i="31" s="1"/>
  <c r="BG13" i="31"/>
  <c r="BG33" i="31" s="1"/>
  <c r="BG21" i="31"/>
  <c r="BG29" i="31"/>
  <c r="BC5" i="31"/>
  <c r="BC22" i="31"/>
  <c r="BC37" i="31" s="1"/>
  <c r="BC6" i="31"/>
  <c r="BC47" i="31" s="1"/>
  <c r="BC13" i="31"/>
  <c r="BC33" i="31" s="1"/>
  <c r="BC31" i="31" s="1"/>
  <c r="BC21" i="31"/>
  <c r="BC29" i="31"/>
  <c r="BC11" i="31"/>
  <c r="BC39" i="31" s="1"/>
  <c r="BC30" i="31"/>
  <c r="BC35" i="31" s="1"/>
  <c r="N3" i="18"/>
  <c r="N7" i="18"/>
  <c r="N14" i="18"/>
  <c r="N18" i="18"/>
  <c r="N26" i="18"/>
  <c r="N30" i="18"/>
  <c r="C2" i="18"/>
  <c r="C38" i="18" s="1"/>
  <c r="BB2" i="31"/>
  <c r="BB6" i="31"/>
  <c r="BB10" i="31"/>
  <c r="BB13" i="31"/>
  <c r="BB17" i="31"/>
  <c r="BB21" i="31"/>
  <c r="BB25" i="31"/>
  <c r="BB29" i="31"/>
  <c r="BE6" i="18"/>
  <c r="BE10" i="18"/>
  <c r="BE13" i="18"/>
  <c r="BE17" i="18"/>
  <c r="BE21" i="18"/>
  <c r="CW23" i="18"/>
  <c r="CW16" i="18"/>
  <c r="CW24" i="18"/>
  <c r="CW5" i="18"/>
  <c r="CW9" i="18"/>
  <c r="CW12" i="18"/>
  <c r="BX4" i="31"/>
  <c r="BX40" i="31" s="1"/>
  <c r="BX8" i="31"/>
  <c r="BX41" i="31" s="1"/>
  <c r="BX15" i="31"/>
  <c r="BX44" i="31" s="1"/>
  <c r="BX19" i="31"/>
  <c r="BX42" i="31" s="1"/>
  <c r="BX23" i="31"/>
  <c r="BX49" i="31" s="1"/>
  <c r="BX27" i="31"/>
  <c r="BQ3" i="31"/>
  <c r="BQ32" i="31" s="1"/>
  <c r="BQ7" i="31"/>
  <c r="BQ11" i="31"/>
  <c r="BQ39" i="31" s="1"/>
  <c r="BQ14" i="31"/>
  <c r="BQ34" i="31" s="1"/>
  <c r="BQ18" i="31"/>
  <c r="BQ22" i="31"/>
  <c r="BQ37" i="31" s="1"/>
  <c r="BQ26" i="31"/>
  <c r="BQ36" i="31" s="1"/>
  <c r="BQ30" i="31"/>
  <c r="BQ35" i="31" s="1"/>
  <c r="BM3" i="31"/>
  <c r="BM32" i="31" s="1"/>
  <c r="BM7" i="31"/>
  <c r="BM11" i="31"/>
  <c r="BM39" i="31" s="1"/>
  <c r="BM14" i="31"/>
  <c r="BM34" i="31" s="1"/>
  <c r="BM18" i="31"/>
  <c r="BM22" i="31"/>
  <c r="BM37" i="31" s="1"/>
  <c r="BM26" i="31"/>
  <c r="BM36" i="31" s="1"/>
  <c r="BM30" i="31"/>
  <c r="BM35" i="31" s="1"/>
  <c r="BI3" i="31"/>
  <c r="BI32" i="31" s="1"/>
  <c r="BI7" i="31"/>
  <c r="BI11" i="31"/>
  <c r="BI39" i="31" s="1"/>
  <c r="BI14" i="31"/>
  <c r="BI34" i="31" s="1"/>
  <c r="BI18" i="31"/>
  <c r="BI22" i="31"/>
  <c r="BI37" i="31" s="1"/>
  <c r="BI26" i="31"/>
  <c r="BI36" i="31" s="1"/>
  <c r="BI30" i="31"/>
  <c r="BI35" i="31" s="1"/>
  <c r="BF4" i="31"/>
  <c r="BF40" i="31" s="1"/>
  <c r="BF8" i="31"/>
  <c r="BF41" i="31" s="1"/>
  <c r="BF15" i="31"/>
  <c r="BF44" i="31" s="1"/>
  <c r="BF19" i="31"/>
  <c r="BF42" i="31" s="1"/>
  <c r="BF23" i="31"/>
  <c r="BF49" i="31" s="1"/>
  <c r="BF27" i="31"/>
  <c r="X2" i="30"/>
  <c r="X38" i="30" s="1"/>
  <c r="X3" i="31"/>
  <c r="X32" i="31" s="1"/>
  <c r="X4" i="31"/>
  <c r="X40" i="31" s="1"/>
  <c r="X5" i="31"/>
  <c r="X6" i="31"/>
  <c r="X47" i="31" s="1"/>
  <c r="X7" i="31"/>
  <c r="X8" i="31"/>
  <c r="X41" i="31" s="1"/>
  <c r="X9" i="31"/>
  <c r="X10" i="31"/>
  <c r="X46" i="31" s="1"/>
  <c r="X11" i="31"/>
  <c r="X39" i="31" s="1"/>
  <c r="X12" i="31"/>
  <c r="X13" i="31"/>
  <c r="X33" i="31" s="1"/>
  <c r="X14" i="31"/>
  <c r="X34" i="31" s="1"/>
  <c r="X15" i="31"/>
  <c r="X44" i="31" s="1"/>
  <c r="X16" i="31"/>
  <c r="X17" i="31"/>
  <c r="X18" i="31"/>
  <c r="X19" i="31"/>
  <c r="X42" i="31" s="1"/>
  <c r="X20" i="31"/>
  <c r="X21" i="31"/>
  <c r="X22" i="31"/>
  <c r="X37" i="31" s="1"/>
  <c r="X23" i="31"/>
  <c r="X49" i="31" s="1"/>
  <c r="X24" i="31"/>
  <c r="X25" i="31"/>
  <c r="X26" i="31"/>
  <c r="X36" i="31" s="1"/>
  <c r="X27" i="31"/>
  <c r="X28" i="31"/>
  <c r="X43" i="31" s="1"/>
  <c r="X29" i="31"/>
  <c r="X30" i="31"/>
  <c r="X35" i="31" s="1"/>
  <c r="U2" i="30"/>
  <c r="U38" i="30" s="1"/>
  <c r="U3" i="31"/>
  <c r="U32" i="31" s="1"/>
  <c r="U4" i="31"/>
  <c r="U40" i="31" s="1"/>
  <c r="U5" i="31"/>
  <c r="U6" i="31"/>
  <c r="U47" i="31" s="1"/>
  <c r="U7" i="31"/>
  <c r="U8" i="31"/>
  <c r="U41" i="31" s="1"/>
  <c r="U9" i="31"/>
  <c r="U10" i="31"/>
  <c r="U46" i="31" s="1"/>
  <c r="U11" i="31"/>
  <c r="U39" i="31" s="1"/>
  <c r="U12" i="31"/>
  <c r="U13" i="31"/>
  <c r="U33" i="31" s="1"/>
  <c r="U14" i="31"/>
  <c r="U34" i="31" s="1"/>
  <c r="U15" i="31"/>
  <c r="U44" i="31" s="1"/>
  <c r="U16" i="31"/>
  <c r="U17" i="31"/>
  <c r="U18" i="31"/>
  <c r="U19" i="31"/>
  <c r="U42" i="31" s="1"/>
  <c r="U20" i="31"/>
  <c r="U21" i="31"/>
  <c r="U22" i="31"/>
  <c r="U37" i="31" s="1"/>
  <c r="U23" i="31"/>
  <c r="U49" i="31" s="1"/>
  <c r="U24" i="31"/>
  <c r="U25" i="31"/>
  <c r="U26" i="31"/>
  <c r="U36" i="31" s="1"/>
  <c r="U27" i="31"/>
  <c r="U28" i="31"/>
  <c r="U43" i="31" s="1"/>
  <c r="U29" i="31"/>
  <c r="U30" i="31"/>
  <c r="U35" i="31" s="1"/>
  <c r="Q2" i="30"/>
  <c r="Q38" i="30" s="1"/>
  <c r="Q3" i="31"/>
  <c r="Q32" i="31" s="1"/>
  <c r="Q4" i="31"/>
  <c r="Q40" i="31" s="1"/>
  <c r="Q5" i="31"/>
  <c r="Q6" i="31"/>
  <c r="Q47" i="31" s="1"/>
  <c r="Q7" i="31"/>
  <c r="Q8" i="31"/>
  <c r="Q41" i="31" s="1"/>
  <c r="Q9" i="31"/>
  <c r="Q10" i="31"/>
  <c r="Q46" i="31" s="1"/>
  <c r="Q11" i="31"/>
  <c r="Q39" i="31" s="1"/>
  <c r="Q12" i="31"/>
  <c r="Q13" i="31"/>
  <c r="Q33" i="31" s="1"/>
  <c r="Q14" i="31"/>
  <c r="Q34" i="31" s="1"/>
  <c r="Q15" i="31"/>
  <c r="Q44" i="31" s="1"/>
  <c r="Q16" i="31"/>
  <c r="Q17" i="31"/>
  <c r="Q18" i="31"/>
  <c r="Q19" i="31"/>
  <c r="Q42" i="31" s="1"/>
  <c r="Q20" i="31"/>
  <c r="Q21" i="31"/>
  <c r="Q22" i="31"/>
  <c r="Q37" i="31" s="1"/>
  <c r="Q23" i="31"/>
  <c r="Q49" i="31" s="1"/>
  <c r="Q24" i="31"/>
  <c r="Q25" i="31"/>
  <c r="Q26" i="31"/>
  <c r="Q36" i="31" s="1"/>
  <c r="Q27" i="31"/>
  <c r="Q28" i="31"/>
  <c r="Q43" i="31" s="1"/>
  <c r="Q29" i="31"/>
  <c r="Q30" i="31"/>
  <c r="Q35" i="31" s="1"/>
  <c r="M2" i="30"/>
  <c r="M38" i="30" s="1"/>
  <c r="M3" i="31"/>
  <c r="M32" i="31" s="1"/>
  <c r="M4" i="31"/>
  <c r="M40" i="31" s="1"/>
  <c r="M5" i="31"/>
  <c r="M6" i="31"/>
  <c r="M47" i="31" s="1"/>
  <c r="M7" i="31"/>
  <c r="M8" i="31"/>
  <c r="M41" i="31" s="1"/>
  <c r="M9" i="31"/>
  <c r="M10" i="31"/>
  <c r="M46" i="31" s="1"/>
  <c r="M11" i="31"/>
  <c r="M39" i="31" s="1"/>
  <c r="M12" i="31"/>
  <c r="M13" i="31"/>
  <c r="M33" i="31" s="1"/>
  <c r="M14" i="31"/>
  <c r="M34" i="31" s="1"/>
  <c r="M15" i="31"/>
  <c r="M44" i="31" s="1"/>
  <c r="M16" i="31"/>
  <c r="M17" i="31"/>
  <c r="M18" i="31"/>
  <c r="M19" i="31"/>
  <c r="M42" i="31" s="1"/>
  <c r="M20" i="31"/>
  <c r="M21" i="31"/>
  <c r="M22" i="31"/>
  <c r="M37" i="31" s="1"/>
  <c r="M23" i="31"/>
  <c r="M49" i="31" s="1"/>
  <c r="M24" i="31"/>
  <c r="M25" i="31"/>
  <c r="M26" i="31"/>
  <c r="M36" i="31" s="1"/>
  <c r="M27" i="31"/>
  <c r="M28" i="31"/>
  <c r="M43" i="31" s="1"/>
  <c r="M29" i="31"/>
  <c r="M30" i="31"/>
  <c r="M35" i="31" s="1"/>
  <c r="J2" i="30"/>
  <c r="J38" i="30" s="1"/>
  <c r="J8" i="31"/>
  <c r="J41" i="31" s="1"/>
  <c r="J9" i="31"/>
  <c r="J10" i="31"/>
  <c r="J46" i="31" s="1"/>
  <c r="J11" i="31"/>
  <c r="J39" i="31" s="1"/>
  <c r="J12" i="31"/>
  <c r="J6" i="31"/>
  <c r="J47" i="31" s="1"/>
  <c r="J7" i="31"/>
  <c r="J3" i="31"/>
  <c r="J32" i="31" s="1"/>
  <c r="J4" i="31"/>
  <c r="J40" i="31" s="1"/>
  <c r="J5" i="31"/>
  <c r="J13" i="31"/>
  <c r="J33" i="31" s="1"/>
  <c r="J14" i="31"/>
  <c r="J34" i="31" s="1"/>
  <c r="J15" i="31"/>
  <c r="J44" i="31" s="1"/>
  <c r="J16" i="31"/>
  <c r="J17" i="31"/>
  <c r="J18" i="31"/>
  <c r="J19" i="31"/>
  <c r="J42" i="31" s="1"/>
  <c r="J20" i="31"/>
  <c r="J21" i="31"/>
  <c r="J22" i="31"/>
  <c r="J37" i="31" s="1"/>
  <c r="J23" i="31"/>
  <c r="J49" i="31" s="1"/>
  <c r="J24" i="31"/>
  <c r="J25" i="31"/>
  <c r="J26" i="31"/>
  <c r="J36" i="31" s="1"/>
  <c r="J27" i="31"/>
  <c r="J28" i="31"/>
  <c r="J43" i="31" s="1"/>
  <c r="J29" i="31"/>
  <c r="J30" i="31"/>
  <c r="J35" i="31" s="1"/>
  <c r="F2" i="30"/>
  <c r="F38" i="30" s="1"/>
  <c r="F3" i="31"/>
  <c r="F32" i="31" s="1"/>
  <c r="F4" i="31"/>
  <c r="F40" i="31" s="1"/>
  <c r="F6" i="31"/>
  <c r="F47" i="31" s="1"/>
  <c r="F8" i="31"/>
  <c r="F41" i="31" s="1"/>
  <c r="F9" i="31"/>
  <c r="F10" i="31"/>
  <c r="F46" i="31" s="1"/>
  <c r="F11" i="31"/>
  <c r="F39" i="31" s="1"/>
  <c r="F12" i="31"/>
  <c r="F5" i="31"/>
  <c r="F7" i="31"/>
  <c r="F13" i="31"/>
  <c r="F33" i="31" s="1"/>
  <c r="F14" i="31"/>
  <c r="F34" i="31" s="1"/>
  <c r="F15" i="31"/>
  <c r="F44" i="31" s="1"/>
  <c r="F16" i="31"/>
  <c r="F17" i="31"/>
  <c r="F18" i="31"/>
  <c r="F19" i="31"/>
  <c r="F42" i="31" s="1"/>
  <c r="F20" i="31"/>
  <c r="F21" i="31"/>
  <c r="F22" i="31"/>
  <c r="F37" i="31" s="1"/>
  <c r="F23" i="31"/>
  <c r="F49" i="31" s="1"/>
  <c r="F24" i="31"/>
  <c r="F25" i="31"/>
  <c r="F26" i="31"/>
  <c r="F36" i="31" s="1"/>
  <c r="F27" i="31"/>
  <c r="F28" i="31"/>
  <c r="F43" i="31" s="1"/>
  <c r="F29" i="31"/>
  <c r="F30" i="31"/>
  <c r="F35" i="31" s="1"/>
  <c r="S2" i="30"/>
  <c r="S38" i="30" s="1"/>
  <c r="S3" i="31"/>
  <c r="S32" i="31" s="1"/>
  <c r="S4" i="31"/>
  <c r="S40" i="31" s="1"/>
  <c r="S5" i="31"/>
  <c r="S6" i="31"/>
  <c r="S47" i="31" s="1"/>
  <c r="S7" i="31"/>
  <c r="S8" i="31"/>
  <c r="S41" i="31" s="1"/>
  <c r="S9" i="31"/>
  <c r="S10" i="31"/>
  <c r="S46" i="31" s="1"/>
  <c r="S11" i="31"/>
  <c r="S39" i="31" s="1"/>
  <c r="S12" i="31"/>
  <c r="S13" i="31"/>
  <c r="S33" i="31" s="1"/>
  <c r="S14" i="31"/>
  <c r="S34" i="31" s="1"/>
  <c r="S15" i="31"/>
  <c r="S44" i="31" s="1"/>
  <c r="S16" i="31"/>
  <c r="S17" i="31"/>
  <c r="S18" i="31"/>
  <c r="S19" i="31"/>
  <c r="S42" i="31" s="1"/>
  <c r="S20" i="31"/>
  <c r="S21" i="31"/>
  <c r="S22" i="31"/>
  <c r="S37" i="31" s="1"/>
  <c r="S23" i="31"/>
  <c r="S49" i="31" s="1"/>
  <c r="S24" i="31"/>
  <c r="S25" i="31"/>
  <c r="S26" i="31"/>
  <c r="S36" i="31" s="1"/>
  <c r="S27" i="31"/>
  <c r="S28" i="31"/>
  <c r="S43" i="31" s="1"/>
  <c r="S29" i="31"/>
  <c r="S30" i="31"/>
  <c r="S35" i="31" s="1"/>
  <c r="K2" i="30"/>
  <c r="K38" i="30" s="1"/>
  <c r="K3" i="31"/>
  <c r="K32" i="31" s="1"/>
  <c r="K4" i="31"/>
  <c r="K40" i="31" s="1"/>
  <c r="K5" i="31"/>
  <c r="K6" i="31"/>
  <c r="K47" i="31" s="1"/>
  <c r="K7" i="31"/>
  <c r="K8" i="31"/>
  <c r="K41" i="31" s="1"/>
  <c r="K9" i="31"/>
  <c r="K10" i="31"/>
  <c r="K46" i="31" s="1"/>
  <c r="K11" i="31"/>
  <c r="K39" i="31" s="1"/>
  <c r="K12" i="31"/>
  <c r="K13" i="31"/>
  <c r="K33" i="31" s="1"/>
  <c r="K14" i="31"/>
  <c r="K34" i="31" s="1"/>
  <c r="K15" i="31"/>
  <c r="K44" i="31" s="1"/>
  <c r="K16" i="31"/>
  <c r="K17" i="31"/>
  <c r="K18" i="31"/>
  <c r="K19" i="31"/>
  <c r="K42" i="31" s="1"/>
  <c r="K20" i="31"/>
  <c r="K21" i="31"/>
  <c r="K22" i="31"/>
  <c r="K37" i="31" s="1"/>
  <c r="K23" i="31"/>
  <c r="K49" i="31" s="1"/>
  <c r="K24" i="31"/>
  <c r="K25" i="31"/>
  <c r="K26" i="31"/>
  <c r="K36" i="31" s="1"/>
  <c r="K27" i="31"/>
  <c r="K28" i="31"/>
  <c r="K43" i="31" s="1"/>
  <c r="K29" i="31"/>
  <c r="K30" i="31"/>
  <c r="K35" i="31" s="1"/>
  <c r="D2" i="31"/>
  <c r="D13" i="31"/>
  <c r="D14" i="31"/>
  <c r="D15" i="31"/>
  <c r="D16" i="31"/>
  <c r="D17" i="31"/>
  <c r="D18" i="31"/>
  <c r="D19" i="31"/>
  <c r="D20" i="31"/>
  <c r="D21" i="31"/>
  <c r="D22" i="31"/>
  <c r="D23" i="31"/>
  <c r="D3" i="31"/>
  <c r="D4" i="31"/>
  <c r="D5" i="31"/>
  <c r="D6" i="31"/>
  <c r="D7" i="31"/>
  <c r="D8" i="31"/>
  <c r="D9" i="31"/>
  <c r="D10" i="31"/>
  <c r="D11" i="31"/>
  <c r="D12" i="31"/>
  <c r="D24" i="31"/>
  <c r="D25" i="31"/>
  <c r="D26" i="31"/>
  <c r="D27" i="31"/>
  <c r="D28" i="31"/>
  <c r="D29" i="31"/>
  <c r="D30" i="31"/>
  <c r="V2" i="30"/>
  <c r="V38" i="30" s="1"/>
  <c r="V4" i="31"/>
  <c r="V40" i="31" s="1"/>
  <c r="V5" i="31"/>
  <c r="V7" i="31"/>
  <c r="V8" i="31"/>
  <c r="V41" i="31" s="1"/>
  <c r="V9" i="31"/>
  <c r="V10" i="31"/>
  <c r="V46" i="31" s="1"/>
  <c r="V11" i="31"/>
  <c r="V39" i="31" s="1"/>
  <c r="V12" i="31"/>
  <c r="V3" i="31"/>
  <c r="V32" i="31" s="1"/>
  <c r="V6" i="31"/>
  <c r="V47" i="31" s="1"/>
  <c r="V13" i="31"/>
  <c r="V33" i="31" s="1"/>
  <c r="V14" i="31"/>
  <c r="V34" i="31" s="1"/>
  <c r="V15" i="31"/>
  <c r="V44" i="31" s="1"/>
  <c r="V16" i="31"/>
  <c r="V17" i="31"/>
  <c r="V18" i="31"/>
  <c r="V19" i="31"/>
  <c r="V42" i="31" s="1"/>
  <c r="V20" i="31"/>
  <c r="V21" i="31"/>
  <c r="V22" i="31"/>
  <c r="V37" i="31" s="1"/>
  <c r="V23" i="31"/>
  <c r="V49" i="31" s="1"/>
  <c r="V24" i="31"/>
  <c r="V25" i="31"/>
  <c r="V26" i="31"/>
  <c r="V36" i="31" s="1"/>
  <c r="V27" i="31"/>
  <c r="V28" i="31"/>
  <c r="V43" i="31" s="1"/>
  <c r="V29" i="31"/>
  <c r="V30" i="31"/>
  <c r="V35" i="31" s="1"/>
  <c r="AA2" i="30"/>
  <c r="AA38" i="30" s="1"/>
  <c r="AA3" i="31"/>
  <c r="AA32" i="31" s="1"/>
  <c r="AA4" i="31"/>
  <c r="AA40" i="31" s="1"/>
  <c r="AA5" i="31"/>
  <c r="AA6" i="31"/>
  <c r="AA47" i="31" s="1"/>
  <c r="AA7" i="31"/>
  <c r="AA8" i="31"/>
  <c r="AA41" i="31" s="1"/>
  <c r="AA9" i="31"/>
  <c r="AA10" i="31"/>
  <c r="AA46" i="31" s="1"/>
  <c r="AA11" i="31"/>
  <c r="AA39" i="31" s="1"/>
  <c r="AA12" i="31"/>
  <c r="AA13" i="31"/>
  <c r="AA33" i="31" s="1"/>
  <c r="AA14" i="31"/>
  <c r="AA34" i="31" s="1"/>
  <c r="AA15" i="31"/>
  <c r="AA44" i="31" s="1"/>
  <c r="AA16" i="31"/>
  <c r="AA17" i="31"/>
  <c r="AA18" i="31"/>
  <c r="AA19" i="31"/>
  <c r="AA42" i="31" s="1"/>
  <c r="AA20" i="31"/>
  <c r="AA21" i="31"/>
  <c r="AA22" i="31"/>
  <c r="AA37" i="31" s="1"/>
  <c r="AA23" i="31"/>
  <c r="AA49" i="31" s="1"/>
  <c r="AA24" i="31"/>
  <c r="AA25" i="31"/>
  <c r="AA26" i="31"/>
  <c r="AA36" i="31" s="1"/>
  <c r="AA27" i="31"/>
  <c r="AA28" i="31"/>
  <c r="AA43" i="31" s="1"/>
  <c r="AA29" i="31"/>
  <c r="AA30" i="31"/>
  <c r="AA35" i="31" s="1"/>
  <c r="W2" i="30"/>
  <c r="W38" i="30" s="1"/>
  <c r="W3" i="31"/>
  <c r="W32" i="31" s="1"/>
  <c r="W4" i="31"/>
  <c r="W40" i="31" s="1"/>
  <c r="W5" i="31"/>
  <c r="W6" i="31"/>
  <c r="W47" i="31" s="1"/>
  <c r="W7" i="31"/>
  <c r="W8" i="31"/>
  <c r="W41" i="31" s="1"/>
  <c r="W9" i="31"/>
  <c r="W10" i="31"/>
  <c r="W46" i="31" s="1"/>
  <c r="W11" i="31"/>
  <c r="W39" i="31" s="1"/>
  <c r="W12" i="31"/>
  <c r="W13" i="31"/>
  <c r="W33" i="31" s="1"/>
  <c r="W14" i="31"/>
  <c r="W34" i="31" s="1"/>
  <c r="W15" i="31"/>
  <c r="W44" i="31" s="1"/>
  <c r="W16" i="31"/>
  <c r="W17" i="31"/>
  <c r="W18" i="31"/>
  <c r="W19" i="31"/>
  <c r="W42" i="31" s="1"/>
  <c r="W20" i="31"/>
  <c r="W21" i="31"/>
  <c r="W22" i="31"/>
  <c r="W37" i="31" s="1"/>
  <c r="W23" i="31"/>
  <c r="W49" i="31" s="1"/>
  <c r="W24" i="31"/>
  <c r="W25" i="31"/>
  <c r="W26" i="31"/>
  <c r="W36" i="31" s="1"/>
  <c r="W27" i="31"/>
  <c r="W28" i="31"/>
  <c r="W43" i="31" s="1"/>
  <c r="W29" i="31"/>
  <c r="W30" i="31"/>
  <c r="W35" i="31" s="1"/>
  <c r="T2" i="30"/>
  <c r="T38" i="30" s="1"/>
  <c r="T13" i="31"/>
  <c r="T33" i="31" s="1"/>
  <c r="T14" i="31"/>
  <c r="T34" i="31" s="1"/>
  <c r="T15" i="31"/>
  <c r="T44" i="31" s="1"/>
  <c r="T16" i="31"/>
  <c r="T17" i="31"/>
  <c r="T18" i="31"/>
  <c r="T19" i="31"/>
  <c r="T42" i="31" s="1"/>
  <c r="T20" i="31"/>
  <c r="T21" i="31"/>
  <c r="T22" i="31"/>
  <c r="T37" i="31" s="1"/>
  <c r="T23" i="31"/>
  <c r="T49" i="31" s="1"/>
  <c r="T3" i="31"/>
  <c r="T32" i="31" s="1"/>
  <c r="T4" i="31"/>
  <c r="T40" i="31" s="1"/>
  <c r="T5" i="31"/>
  <c r="T6" i="31"/>
  <c r="T47" i="31" s="1"/>
  <c r="T7" i="31"/>
  <c r="T8" i="31"/>
  <c r="T41" i="31" s="1"/>
  <c r="T9" i="31"/>
  <c r="T10" i="31"/>
  <c r="T46" i="31" s="1"/>
  <c r="T11" i="31"/>
  <c r="T39" i="31" s="1"/>
  <c r="T12" i="31"/>
  <c r="T24" i="31"/>
  <c r="T25" i="31"/>
  <c r="T26" i="31"/>
  <c r="T36" i="31" s="1"/>
  <c r="T27" i="31"/>
  <c r="T28" i="31"/>
  <c r="T43" i="31" s="1"/>
  <c r="T29" i="31"/>
  <c r="T30" i="31"/>
  <c r="T35" i="31" s="1"/>
  <c r="P2" i="30"/>
  <c r="P38" i="30" s="1"/>
  <c r="P13" i="31"/>
  <c r="P33" i="31" s="1"/>
  <c r="P14" i="31"/>
  <c r="P34" i="31" s="1"/>
  <c r="P15" i="31"/>
  <c r="P44" i="31" s="1"/>
  <c r="P16" i="31"/>
  <c r="P17" i="31"/>
  <c r="P18" i="31"/>
  <c r="P19" i="31"/>
  <c r="P42" i="31" s="1"/>
  <c r="P20" i="31"/>
  <c r="P21" i="31"/>
  <c r="P22" i="31"/>
  <c r="P37" i="31" s="1"/>
  <c r="P23" i="31"/>
  <c r="P49" i="31" s="1"/>
  <c r="P3" i="31"/>
  <c r="P32" i="31" s="1"/>
  <c r="P4" i="31"/>
  <c r="P40" i="31" s="1"/>
  <c r="P5" i="31"/>
  <c r="P6" i="31"/>
  <c r="P47" i="31" s="1"/>
  <c r="P7" i="31"/>
  <c r="P8" i="31"/>
  <c r="P41" i="31" s="1"/>
  <c r="P9" i="31"/>
  <c r="P10" i="31"/>
  <c r="P46" i="31" s="1"/>
  <c r="P11" i="31"/>
  <c r="P39" i="31" s="1"/>
  <c r="P12" i="31"/>
  <c r="P24" i="31"/>
  <c r="P25" i="31"/>
  <c r="P26" i="31"/>
  <c r="P36" i="31" s="1"/>
  <c r="P27" i="31"/>
  <c r="P28" i="31"/>
  <c r="P43" i="31" s="1"/>
  <c r="P29" i="31"/>
  <c r="P30" i="31"/>
  <c r="P35" i="31" s="1"/>
  <c r="L2" i="30"/>
  <c r="L38" i="30" s="1"/>
  <c r="L3" i="31"/>
  <c r="L32" i="31" s="1"/>
  <c r="L4" i="31"/>
  <c r="L40" i="31" s="1"/>
  <c r="L5" i="31"/>
  <c r="L6" i="31"/>
  <c r="L47" i="31" s="1"/>
  <c r="L7" i="31"/>
  <c r="L8" i="31"/>
  <c r="L41" i="31" s="1"/>
  <c r="L9" i="31"/>
  <c r="L10" i="31"/>
  <c r="L46" i="31" s="1"/>
  <c r="L11" i="31"/>
  <c r="L39" i="31" s="1"/>
  <c r="L12" i="31"/>
  <c r="L13" i="31"/>
  <c r="L33" i="31" s="1"/>
  <c r="L14" i="31"/>
  <c r="L34" i="31" s="1"/>
  <c r="L15" i="31"/>
  <c r="L44" i="31" s="1"/>
  <c r="L16" i="31"/>
  <c r="L17" i="31"/>
  <c r="L18" i="31"/>
  <c r="L19" i="31"/>
  <c r="L42" i="31" s="1"/>
  <c r="L20" i="31"/>
  <c r="L21" i="31"/>
  <c r="L22" i="31"/>
  <c r="L37" i="31" s="1"/>
  <c r="L23" i="31"/>
  <c r="L49" i="31" s="1"/>
  <c r="L24" i="31"/>
  <c r="L25" i="31"/>
  <c r="L26" i="31"/>
  <c r="L36" i="31" s="1"/>
  <c r="L27" i="31"/>
  <c r="L28" i="31"/>
  <c r="L43" i="31" s="1"/>
  <c r="L29" i="31"/>
  <c r="L30" i="31"/>
  <c r="L35" i="31" s="1"/>
  <c r="I2" i="30"/>
  <c r="I38" i="30" s="1"/>
  <c r="I3" i="31"/>
  <c r="I32" i="31" s="1"/>
  <c r="I4" i="31"/>
  <c r="I40" i="31" s="1"/>
  <c r="I5" i="31"/>
  <c r="I6" i="31"/>
  <c r="I47" i="31" s="1"/>
  <c r="I7" i="31"/>
  <c r="I8" i="31"/>
  <c r="I41" i="31" s="1"/>
  <c r="I9" i="31"/>
  <c r="I10" i="31"/>
  <c r="I46" i="31" s="1"/>
  <c r="I11" i="31"/>
  <c r="I39" i="31" s="1"/>
  <c r="I12" i="31"/>
  <c r="I13" i="31"/>
  <c r="I33" i="31" s="1"/>
  <c r="I14" i="31"/>
  <c r="I34" i="31" s="1"/>
  <c r="I15" i="31"/>
  <c r="I44" i="31" s="1"/>
  <c r="I16" i="31"/>
  <c r="I17" i="31"/>
  <c r="I18" i="31"/>
  <c r="I19" i="31"/>
  <c r="I42" i="31" s="1"/>
  <c r="I20" i="31"/>
  <c r="I21" i="31"/>
  <c r="I22" i="31"/>
  <c r="I37" i="31" s="1"/>
  <c r="I23" i="31"/>
  <c r="I49" i="31" s="1"/>
  <c r="I24" i="31"/>
  <c r="I25" i="31"/>
  <c r="I26" i="31"/>
  <c r="I36" i="31" s="1"/>
  <c r="I27" i="31"/>
  <c r="I28" i="31"/>
  <c r="I43" i="31" s="1"/>
  <c r="I29" i="31"/>
  <c r="I30" i="31"/>
  <c r="I35" i="31" s="1"/>
  <c r="E2" i="30"/>
  <c r="E38" i="30" s="1"/>
  <c r="E3" i="31"/>
  <c r="E32" i="31" s="1"/>
  <c r="E4" i="31"/>
  <c r="E40" i="31" s="1"/>
  <c r="E5" i="31"/>
  <c r="E6" i="31"/>
  <c r="E47" i="31" s="1"/>
  <c r="E7" i="31"/>
  <c r="E8" i="31"/>
  <c r="E41" i="31" s="1"/>
  <c r="E9" i="31"/>
  <c r="E10" i="31"/>
  <c r="E46" i="31" s="1"/>
  <c r="E11" i="31"/>
  <c r="E39" i="31" s="1"/>
  <c r="E12" i="31"/>
  <c r="E13" i="31"/>
  <c r="E33" i="31" s="1"/>
  <c r="E14" i="31"/>
  <c r="E34" i="31" s="1"/>
  <c r="E15" i="31"/>
  <c r="E44" i="31" s="1"/>
  <c r="E16" i="31"/>
  <c r="E17" i="31"/>
  <c r="E18" i="31"/>
  <c r="E19" i="31"/>
  <c r="E42" i="31" s="1"/>
  <c r="E20" i="31"/>
  <c r="E21" i="31"/>
  <c r="E22" i="31"/>
  <c r="E37" i="31" s="1"/>
  <c r="E23" i="31"/>
  <c r="E49" i="31" s="1"/>
  <c r="E24" i="31"/>
  <c r="E25" i="31"/>
  <c r="E26" i="31"/>
  <c r="E36" i="31" s="1"/>
  <c r="E27" i="31"/>
  <c r="E28" i="31"/>
  <c r="E43" i="31" s="1"/>
  <c r="E29" i="31"/>
  <c r="E30" i="31"/>
  <c r="E35" i="31" s="1"/>
  <c r="Z2" i="30"/>
  <c r="Z38" i="30" s="1"/>
  <c r="Z7" i="31"/>
  <c r="Z8" i="31"/>
  <c r="Z41" i="31" s="1"/>
  <c r="Z9" i="31"/>
  <c r="Z10" i="31"/>
  <c r="Z46" i="31" s="1"/>
  <c r="Z45" i="31" s="1"/>
  <c r="Z11" i="31"/>
  <c r="Z39" i="31" s="1"/>
  <c r="Z12" i="31"/>
  <c r="Z3" i="31"/>
  <c r="Z32" i="31" s="1"/>
  <c r="Z4" i="31"/>
  <c r="Z40" i="31" s="1"/>
  <c r="Z5" i="31"/>
  <c r="Z6" i="31"/>
  <c r="Z47" i="31" s="1"/>
  <c r="Z13" i="31"/>
  <c r="Z33" i="31" s="1"/>
  <c r="Z14" i="31"/>
  <c r="Z34" i="31" s="1"/>
  <c r="Z15" i="31"/>
  <c r="Z44" i="31" s="1"/>
  <c r="Z16" i="31"/>
  <c r="Z17" i="31"/>
  <c r="Z18" i="31"/>
  <c r="Z19" i="31"/>
  <c r="Z42" i="31" s="1"/>
  <c r="Z20" i="31"/>
  <c r="Z21" i="31"/>
  <c r="Z22" i="31"/>
  <c r="Z37" i="31" s="1"/>
  <c r="Z23" i="31"/>
  <c r="Z49" i="31" s="1"/>
  <c r="Z24" i="31"/>
  <c r="Z25" i="31"/>
  <c r="Z26" i="31"/>
  <c r="Z36" i="31" s="1"/>
  <c r="Z27" i="31"/>
  <c r="Z28" i="31"/>
  <c r="Z43" i="31" s="1"/>
  <c r="Z29" i="31"/>
  <c r="Z30" i="31"/>
  <c r="Z35" i="31" s="1"/>
  <c r="H2" i="30"/>
  <c r="H38" i="30" s="1"/>
  <c r="H3" i="31"/>
  <c r="H32" i="31" s="1"/>
  <c r="H4" i="31"/>
  <c r="H40" i="31" s="1"/>
  <c r="H5" i="31"/>
  <c r="H6" i="31"/>
  <c r="H47" i="31" s="1"/>
  <c r="H7" i="31"/>
  <c r="H8" i="31"/>
  <c r="H41" i="31" s="1"/>
  <c r="H9" i="31"/>
  <c r="H10" i="31"/>
  <c r="H46" i="31" s="1"/>
  <c r="H11" i="31"/>
  <c r="H39" i="31" s="1"/>
  <c r="H12" i="31"/>
  <c r="H13" i="31"/>
  <c r="H33" i="31" s="1"/>
  <c r="H14" i="31"/>
  <c r="H34" i="31" s="1"/>
  <c r="H15" i="31"/>
  <c r="H44" i="31" s="1"/>
  <c r="H16" i="31"/>
  <c r="H17" i="31"/>
  <c r="H18" i="31"/>
  <c r="H19" i="31"/>
  <c r="H42" i="31" s="1"/>
  <c r="H20" i="31"/>
  <c r="H21" i="31"/>
  <c r="H22" i="31"/>
  <c r="H37" i="31" s="1"/>
  <c r="H23" i="31"/>
  <c r="H49" i="31" s="1"/>
  <c r="H24" i="31"/>
  <c r="H25" i="31"/>
  <c r="H26" i="31"/>
  <c r="H36" i="31" s="1"/>
  <c r="H27" i="31"/>
  <c r="H28" i="31"/>
  <c r="H43" i="31" s="1"/>
  <c r="H29" i="31"/>
  <c r="H30" i="31"/>
  <c r="H35" i="31" s="1"/>
  <c r="R2" i="30"/>
  <c r="R38" i="30" s="1"/>
  <c r="R3" i="31"/>
  <c r="R32" i="31" s="1"/>
  <c r="R6" i="31"/>
  <c r="R47" i="31" s="1"/>
  <c r="R7" i="31"/>
  <c r="R8" i="31"/>
  <c r="R41" i="31" s="1"/>
  <c r="R9" i="31"/>
  <c r="R10" i="31"/>
  <c r="R46" i="31" s="1"/>
  <c r="R45" i="31" s="1"/>
  <c r="R11" i="31"/>
  <c r="R39" i="31" s="1"/>
  <c r="R12" i="31"/>
  <c r="R5" i="31"/>
  <c r="R4" i="31"/>
  <c r="R40" i="31" s="1"/>
  <c r="R13" i="31"/>
  <c r="R33" i="31" s="1"/>
  <c r="R14" i="31"/>
  <c r="R34" i="31" s="1"/>
  <c r="R15" i="31"/>
  <c r="R44" i="31" s="1"/>
  <c r="R16" i="31"/>
  <c r="R17" i="31"/>
  <c r="R18" i="31"/>
  <c r="R19" i="31"/>
  <c r="R42" i="31" s="1"/>
  <c r="R20" i="31"/>
  <c r="R21" i="31"/>
  <c r="R22" i="31"/>
  <c r="R37" i="31" s="1"/>
  <c r="R23" i="31"/>
  <c r="R49" i="31" s="1"/>
  <c r="R24" i="31"/>
  <c r="R25" i="31"/>
  <c r="R26" i="31"/>
  <c r="R36" i="31" s="1"/>
  <c r="R27" i="31"/>
  <c r="R28" i="31"/>
  <c r="R43" i="31" s="1"/>
  <c r="R29" i="31"/>
  <c r="R30" i="31"/>
  <c r="R35" i="31" s="1"/>
  <c r="G2" i="30"/>
  <c r="G38" i="30" s="1"/>
  <c r="G3" i="31"/>
  <c r="G32" i="31" s="1"/>
  <c r="G4" i="31"/>
  <c r="G40" i="31" s="1"/>
  <c r="G5" i="31"/>
  <c r="G6" i="31"/>
  <c r="G47" i="31" s="1"/>
  <c r="G7" i="31"/>
  <c r="G8" i="31"/>
  <c r="G41" i="31" s="1"/>
  <c r="G9" i="31"/>
  <c r="G10" i="31"/>
  <c r="G46" i="31" s="1"/>
  <c r="G11" i="31"/>
  <c r="G39" i="31" s="1"/>
  <c r="G12" i="31"/>
  <c r="G13" i="31"/>
  <c r="G33" i="31" s="1"/>
  <c r="G14" i="31"/>
  <c r="G34" i="31" s="1"/>
  <c r="G15" i="31"/>
  <c r="G44" i="31" s="1"/>
  <c r="G16" i="31"/>
  <c r="G17" i="31"/>
  <c r="G18" i="31"/>
  <c r="G19" i="31"/>
  <c r="G42" i="31" s="1"/>
  <c r="G20" i="31"/>
  <c r="G21" i="31"/>
  <c r="G22" i="31"/>
  <c r="G37" i="31" s="1"/>
  <c r="G23" i="31"/>
  <c r="G49" i="31" s="1"/>
  <c r="G24" i="31"/>
  <c r="G25" i="31"/>
  <c r="G26" i="31"/>
  <c r="G36" i="31" s="1"/>
  <c r="G27" i="31"/>
  <c r="G28" i="31"/>
  <c r="G43" i="31" s="1"/>
  <c r="G29" i="31"/>
  <c r="G30" i="31"/>
  <c r="G35" i="31" s="1"/>
  <c r="O2" i="30"/>
  <c r="O38" i="30" s="1"/>
  <c r="O3" i="31"/>
  <c r="O32" i="31" s="1"/>
  <c r="O4" i="31"/>
  <c r="O40" i="31" s="1"/>
  <c r="O5" i="31"/>
  <c r="O6" i="31"/>
  <c r="O47" i="31" s="1"/>
  <c r="O7" i="31"/>
  <c r="O8" i="31"/>
  <c r="O41" i="31" s="1"/>
  <c r="O9" i="31"/>
  <c r="O10" i="31"/>
  <c r="O46" i="31" s="1"/>
  <c r="O45" i="31" s="1"/>
  <c r="O11" i="31"/>
  <c r="O39" i="31" s="1"/>
  <c r="O12" i="31"/>
  <c r="O13" i="31"/>
  <c r="O33" i="31" s="1"/>
  <c r="O14" i="31"/>
  <c r="O34" i="31" s="1"/>
  <c r="O15" i="31"/>
  <c r="O44" i="31" s="1"/>
  <c r="O16" i="31"/>
  <c r="O17" i="31"/>
  <c r="O18" i="31"/>
  <c r="O19" i="31"/>
  <c r="O42" i="31" s="1"/>
  <c r="O20" i="31"/>
  <c r="O21" i="31"/>
  <c r="O22" i="31"/>
  <c r="O37" i="31" s="1"/>
  <c r="O23" i="31"/>
  <c r="O49" i="31" s="1"/>
  <c r="O24" i="31"/>
  <c r="O25" i="31"/>
  <c r="O26" i="31"/>
  <c r="O36" i="31" s="1"/>
  <c r="O27" i="31"/>
  <c r="O28" i="31"/>
  <c r="O43" i="31" s="1"/>
  <c r="O29" i="31"/>
  <c r="O30" i="31"/>
  <c r="O35" i="31" s="1"/>
  <c r="Z3" i="5"/>
  <c r="Z4" i="5"/>
  <c r="Z5" i="5"/>
  <c r="Z10" i="5"/>
  <c r="Z6" i="5"/>
  <c r="Z13" i="5"/>
  <c r="Z17" i="5"/>
  <c r="Z18" i="5"/>
  <c r="Z21" i="5"/>
  <c r="Z26" i="5"/>
  <c r="Z2" i="5"/>
  <c r="Z12" i="5"/>
  <c r="Z8" i="5"/>
  <c r="Z9" i="5"/>
  <c r="Z11" i="5"/>
  <c r="Z14" i="5"/>
  <c r="Z15" i="5"/>
  <c r="Z16" i="5"/>
  <c r="Z19" i="5"/>
  <c r="Z20" i="5"/>
  <c r="Z25" i="5"/>
  <c r="Z27" i="5"/>
  <c r="Z7" i="5"/>
  <c r="Z22" i="5"/>
  <c r="Z23" i="5"/>
  <c r="Z24" i="5"/>
  <c r="Z28" i="5"/>
  <c r="Z29" i="5"/>
  <c r="Z30" i="5"/>
  <c r="Y2" i="30"/>
  <c r="Y38" i="30" s="1"/>
  <c r="Y3" i="31"/>
  <c r="Y32" i="31" s="1"/>
  <c r="Y4" i="31"/>
  <c r="Y40" i="31" s="1"/>
  <c r="Y5" i="31"/>
  <c r="Y6" i="31"/>
  <c r="Y47" i="31" s="1"/>
  <c r="Y7" i="31"/>
  <c r="Y8" i="31"/>
  <c r="Y41" i="31" s="1"/>
  <c r="Y9" i="31"/>
  <c r="Y10" i="31"/>
  <c r="Y46" i="31" s="1"/>
  <c r="Y11" i="31"/>
  <c r="Y39" i="31" s="1"/>
  <c r="Y12" i="31"/>
  <c r="Y13" i="31"/>
  <c r="Y33" i="31" s="1"/>
  <c r="Y14" i="31"/>
  <c r="Y34" i="31" s="1"/>
  <c r="Y15" i="31"/>
  <c r="Y44" i="31" s="1"/>
  <c r="Y16" i="31"/>
  <c r="Y17" i="31"/>
  <c r="Y18" i="31"/>
  <c r="Y19" i="31"/>
  <c r="Y42" i="31" s="1"/>
  <c r="Y20" i="31"/>
  <c r="Y21" i="31"/>
  <c r="Y22" i="31"/>
  <c r="Y37" i="31" s="1"/>
  <c r="Y23" i="31"/>
  <c r="Y49" i="31" s="1"/>
  <c r="Y24" i="31"/>
  <c r="Y25" i="31"/>
  <c r="Y26" i="31"/>
  <c r="Y36" i="31" s="1"/>
  <c r="Y27" i="31"/>
  <c r="Y28" i="31"/>
  <c r="Y43" i="31" s="1"/>
  <c r="Y29" i="31"/>
  <c r="Y30" i="31"/>
  <c r="Y35" i="31" s="1"/>
  <c r="N2" i="30"/>
  <c r="N38" i="30" s="1"/>
  <c r="N5" i="31"/>
  <c r="N7" i="31"/>
  <c r="N8" i="31"/>
  <c r="N41" i="31" s="1"/>
  <c r="N9" i="31"/>
  <c r="N10" i="31"/>
  <c r="N46" i="31" s="1"/>
  <c r="N45" i="31" s="1"/>
  <c r="N11" i="31"/>
  <c r="N39" i="31" s="1"/>
  <c r="N12" i="31"/>
  <c r="N3" i="31"/>
  <c r="N32" i="31" s="1"/>
  <c r="N4" i="31"/>
  <c r="N40" i="31" s="1"/>
  <c r="N6" i="31"/>
  <c r="N47" i="31" s="1"/>
  <c r="N13" i="31"/>
  <c r="N33" i="31" s="1"/>
  <c r="N14" i="31"/>
  <c r="N34" i="31" s="1"/>
  <c r="N15" i="31"/>
  <c r="N44" i="31" s="1"/>
  <c r="N16" i="31"/>
  <c r="N17" i="31"/>
  <c r="N18" i="31"/>
  <c r="N19" i="31"/>
  <c r="N42" i="31" s="1"/>
  <c r="N20" i="31"/>
  <c r="N21" i="31"/>
  <c r="N22" i="31"/>
  <c r="N37" i="31" s="1"/>
  <c r="N23" i="31"/>
  <c r="N49" i="31" s="1"/>
  <c r="N24" i="31"/>
  <c r="N25" i="31"/>
  <c r="N26" i="31"/>
  <c r="N36" i="31" s="1"/>
  <c r="N27" i="31"/>
  <c r="N28" i="31"/>
  <c r="N43" i="31" s="1"/>
  <c r="N29" i="31"/>
  <c r="N30" i="31"/>
  <c r="N35" i="31" s="1"/>
  <c r="CE4" i="18"/>
  <c r="CE7" i="18"/>
  <c r="CE23" i="18"/>
  <c r="CE22" i="18"/>
  <c r="CE14" i="18"/>
  <c r="CE16" i="18"/>
  <c r="CE29" i="18"/>
  <c r="DK2" i="18"/>
  <c r="DK38" i="18" s="1"/>
  <c r="DK10" i="18"/>
  <c r="DK46" i="18" s="1"/>
  <c r="DK22" i="18"/>
  <c r="DK37" i="18" s="1"/>
  <c r="DK23" i="18"/>
  <c r="DK49" i="18" s="1"/>
  <c r="DK26" i="18"/>
  <c r="DK36" i="18" s="1"/>
  <c r="DK27" i="18"/>
  <c r="CE2" i="18"/>
  <c r="CE10" i="18"/>
  <c r="CE11" i="18"/>
  <c r="CE15" i="18"/>
  <c r="CE18" i="18"/>
  <c r="CE17" i="18"/>
  <c r="CE13" i="18"/>
  <c r="CE19" i="18"/>
  <c r="CE28" i="18"/>
  <c r="CE30" i="18"/>
  <c r="DK6" i="18"/>
  <c r="DK47" i="18" s="1"/>
  <c r="DK8" i="18"/>
  <c r="DK41" i="18" s="1"/>
  <c r="DK21" i="18"/>
  <c r="DK20" i="18"/>
  <c r="DK16" i="18"/>
  <c r="DK29" i="18"/>
  <c r="CE6" i="18"/>
  <c r="CE8" i="18"/>
  <c r="CE26" i="18"/>
  <c r="CE24" i="18"/>
  <c r="DK11" i="18"/>
  <c r="DK39" i="18" s="1"/>
  <c r="DK5" i="18"/>
  <c r="DK7" i="18"/>
  <c r="DK14" i="18"/>
  <c r="DK34" i="18" s="1"/>
  <c r="DK24" i="18"/>
  <c r="DK13" i="18"/>
  <c r="DK33" i="18" s="1"/>
  <c r="DK19" i="18"/>
  <c r="DK42" i="18" s="1"/>
  <c r="DK15" i="18"/>
  <c r="DK44" i="18" s="1"/>
  <c r="DK18" i="18"/>
  <c r="AH6" i="18"/>
  <c r="AH47" i="18" s="1"/>
  <c r="CE9" i="18"/>
  <c r="CE5" i="18"/>
  <c r="CE21" i="18"/>
  <c r="CE20" i="18"/>
  <c r="CE25" i="18"/>
  <c r="CE12" i="18"/>
  <c r="CE27" i="18"/>
  <c r="DK9" i="18"/>
  <c r="DK4" i="18"/>
  <c r="DK40" i="18" s="1"/>
  <c r="DK17" i="18"/>
  <c r="CF23" i="18"/>
  <c r="DK25" i="18"/>
  <c r="DK12" i="18"/>
  <c r="CF25" i="18"/>
  <c r="DK28" i="18"/>
  <c r="DK43" i="18" s="1"/>
  <c r="DK30" i="18"/>
  <c r="DK35" i="18" s="1"/>
  <c r="AN9" i="18"/>
  <c r="AN10" i="18"/>
  <c r="AN13" i="18"/>
  <c r="AN23" i="18"/>
  <c r="AN16" i="18"/>
  <c r="AN14" i="18"/>
  <c r="AN24" i="18"/>
  <c r="AN30" i="18"/>
  <c r="AN4" i="18"/>
  <c r="AN6" i="18"/>
  <c r="AN21" i="18"/>
  <c r="AN17" i="18"/>
  <c r="AN5" i="18"/>
  <c r="AN8" i="18"/>
  <c r="AN11" i="18"/>
  <c r="AN12" i="18"/>
  <c r="AN19" i="18"/>
  <c r="AN18" i="18"/>
  <c r="AN22" i="18"/>
  <c r="AN26" i="18"/>
  <c r="AN28" i="18"/>
  <c r="AN27" i="18"/>
  <c r="AN2" i="18"/>
  <c r="AN7" i="18"/>
  <c r="AN20" i="18"/>
  <c r="AN15" i="18"/>
  <c r="AN25" i="18"/>
  <c r="AN29" i="18"/>
  <c r="AH31" i="37" l="1"/>
  <c r="J74" i="37"/>
  <c r="P48" i="37"/>
  <c r="AO48" i="37"/>
  <c r="AP48" i="37"/>
  <c r="AM48" i="37"/>
  <c r="Q48" i="37"/>
  <c r="AR48" i="37"/>
  <c r="J54" i="37"/>
  <c r="S48" i="37"/>
  <c r="I48" i="37"/>
  <c r="J67" i="37"/>
  <c r="R48" i="37"/>
  <c r="G48" i="37"/>
  <c r="T48" i="37"/>
  <c r="AQ48" i="37"/>
  <c r="M55" i="32"/>
  <c r="G45" i="31"/>
  <c r="P45" i="31"/>
  <c r="K45" i="42"/>
  <c r="O31" i="43"/>
  <c r="W31" i="43"/>
  <c r="AA45" i="43"/>
  <c r="BR45" i="42"/>
  <c r="BG31" i="31"/>
  <c r="BG45" i="30"/>
  <c r="BS31" i="30"/>
  <c r="Q45" i="43"/>
  <c r="BP45" i="42"/>
  <c r="BC45" i="42"/>
  <c r="M45" i="42"/>
  <c r="BY45" i="42"/>
  <c r="BI45" i="30"/>
  <c r="Z48" i="18"/>
  <c r="T45" i="31"/>
  <c r="K45" i="31"/>
  <c r="BO45" i="31"/>
  <c r="Y45" i="42"/>
  <c r="BL45" i="30"/>
  <c r="BX31" i="31"/>
  <c r="BD45" i="31"/>
  <c r="BF31" i="42"/>
  <c r="S45" i="30"/>
  <c r="AK48" i="18"/>
  <c r="F45" i="43"/>
  <c r="Y45" i="31"/>
  <c r="W45" i="31"/>
  <c r="BF45" i="31"/>
  <c r="BC45" i="31"/>
  <c r="BG45" i="42"/>
  <c r="J45" i="43"/>
  <c r="BM45" i="30"/>
  <c r="H45" i="31"/>
  <c r="S45" i="31"/>
  <c r="BU45" i="43"/>
  <c r="G45" i="42"/>
  <c r="BS45" i="30"/>
  <c r="BN45" i="30"/>
  <c r="J45" i="42"/>
  <c r="N45" i="42"/>
  <c r="BE45" i="42"/>
  <c r="BY45" i="30"/>
  <c r="BS45" i="42"/>
  <c r="S45" i="43"/>
  <c r="BW45" i="43"/>
  <c r="BH45" i="42"/>
  <c r="BQ45" i="30"/>
  <c r="O45" i="43"/>
  <c r="BH45" i="30"/>
  <c r="BU45" i="42"/>
  <c r="K45" i="43"/>
  <c r="X45" i="30"/>
  <c r="AA31" i="43"/>
  <c r="DN48" i="18"/>
  <c r="Y59" i="31"/>
  <c r="Y73" i="31"/>
  <c r="F50" i="31"/>
  <c r="F64" i="31"/>
  <c r="BK73" i="31"/>
  <c r="BK59" i="31"/>
  <c r="BP51" i="31"/>
  <c r="BP65" i="31"/>
  <c r="BU76" i="31"/>
  <c r="BU62" i="31"/>
  <c r="BF74" i="31"/>
  <c r="BF60" i="31"/>
  <c r="Q73" i="43"/>
  <c r="Q59" i="43"/>
  <c r="N70" i="42"/>
  <c r="N56" i="42"/>
  <c r="BL73" i="42"/>
  <c r="BL59" i="42"/>
  <c r="F64" i="30"/>
  <c r="F50" i="30"/>
  <c r="AG56" i="18"/>
  <c r="AG70" i="18"/>
  <c r="BU69" i="43"/>
  <c r="BU55" i="43"/>
  <c r="V65" i="42"/>
  <c r="V51" i="42"/>
  <c r="BP68" i="30"/>
  <c r="BP54" i="30"/>
  <c r="O64" i="42"/>
  <c r="O50" i="42"/>
  <c r="BR71" i="42"/>
  <c r="BR57" i="42"/>
  <c r="Y72" i="42"/>
  <c r="Y58" i="42"/>
  <c r="S76" i="42"/>
  <c r="S62" i="42"/>
  <c r="BE64" i="42"/>
  <c r="BE50" i="42"/>
  <c r="BV68" i="43"/>
  <c r="BV54" i="43"/>
  <c r="BF52" i="30"/>
  <c r="BF66" i="30"/>
  <c r="O75" i="42"/>
  <c r="O61" i="42"/>
  <c r="T72" i="30"/>
  <c r="T58" i="30"/>
  <c r="T74" i="42"/>
  <c r="T60" i="42"/>
  <c r="BF69" i="30"/>
  <c r="BF55" i="30"/>
  <c r="W68" i="42"/>
  <c r="W54" i="42"/>
  <c r="BV74" i="42"/>
  <c r="BV60" i="42"/>
  <c r="L31" i="43"/>
  <c r="N61" i="31"/>
  <c r="N75" i="31"/>
  <c r="Z71" i="31"/>
  <c r="Z57" i="31"/>
  <c r="Z54" i="31"/>
  <c r="Z68" i="31"/>
  <c r="I76" i="31"/>
  <c r="I62" i="31"/>
  <c r="L56" i="31"/>
  <c r="L70" i="31"/>
  <c r="F66" i="31"/>
  <c r="F52" i="31"/>
  <c r="M62" i="31"/>
  <c r="M76" i="31"/>
  <c r="Q70" i="31"/>
  <c r="Q56" i="31"/>
  <c r="BJ57" i="31"/>
  <c r="BJ71" i="31"/>
  <c r="BY58" i="31"/>
  <c r="BY72" i="31"/>
  <c r="N58" i="31"/>
  <c r="N72" i="31"/>
  <c r="Y65" i="31"/>
  <c r="Y51" i="31"/>
  <c r="O73" i="31"/>
  <c r="O59" i="31"/>
  <c r="G74" i="31"/>
  <c r="G60" i="31"/>
  <c r="R66" i="31"/>
  <c r="R52" i="31"/>
  <c r="DK45" i="18"/>
  <c r="N76" i="31"/>
  <c r="N62" i="31"/>
  <c r="N53" i="31"/>
  <c r="N67" i="31"/>
  <c r="Y70" i="31"/>
  <c r="Y56" i="31"/>
  <c r="O75" i="31"/>
  <c r="O61" i="31"/>
  <c r="R72" i="31"/>
  <c r="R58" i="31"/>
  <c r="H65" i="31"/>
  <c r="H51" i="31"/>
  <c r="H54" i="31"/>
  <c r="H68" i="31"/>
  <c r="E73" i="31"/>
  <c r="E59" i="31"/>
  <c r="I69" i="31"/>
  <c r="I55" i="31"/>
  <c r="I74" i="31"/>
  <c r="I60" i="31"/>
  <c r="L71" i="31"/>
  <c r="L57" i="31"/>
  <c r="L66" i="31"/>
  <c r="L52" i="31"/>
  <c r="L53" i="31"/>
  <c r="L67" i="31"/>
  <c r="P56" i="31"/>
  <c r="P70" i="31"/>
  <c r="T62" i="31"/>
  <c r="T76" i="31"/>
  <c r="W56" i="31"/>
  <c r="W70" i="31"/>
  <c r="AA64" i="31"/>
  <c r="AA50" i="31"/>
  <c r="V75" i="31"/>
  <c r="V61" i="31"/>
  <c r="D60" i="31"/>
  <c r="C12" i="31"/>
  <c r="D74" i="31"/>
  <c r="D51" i="31"/>
  <c r="D65" i="31"/>
  <c r="C21" i="31"/>
  <c r="K72" i="31"/>
  <c r="K58" i="31"/>
  <c r="S65" i="31"/>
  <c r="S51" i="31"/>
  <c r="S68" i="31"/>
  <c r="S54" i="31"/>
  <c r="J74" i="31"/>
  <c r="J60" i="31"/>
  <c r="M55" i="31"/>
  <c r="M69" i="31"/>
  <c r="M74" i="31"/>
  <c r="M60" i="31"/>
  <c r="Q57" i="31"/>
  <c r="Q71" i="31"/>
  <c r="Q66" i="31"/>
  <c r="Q52" i="31"/>
  <c r="Q67" i="31"/>
  <c r="Q53" i="31"/>
  <c r="U45" i="31"/>
  <c r="X76" i="31"/>
  <c r="X62" i="31"/>
  <c r="BC53" i="31"/>
  <c r="BC67" i="31"/>
  <c r="BJ66" i="31"/>
  <c r="BJ52" i="31"/>
  <c r="BU45" i="31"/>
  <c r="BS75" i="31"/>
  <c r="BS61" i="31"/>
  <c r="BV54" i="31"/>
  <c r="BV68" i="31"/>
  <c r="BE51" i="31"/>
  <c r="BE65" i="31"/>
  <c r="BY67" i="31"/>
  <c r="BY53" i="31"/>
  <c r="BF59" i="31"/>
  <c r="BF73" i="31"/>
  <c r="BM51" i="31"/>
  <c r="BM65" i="31"/>
  <c r="BB55" i="31"/>
  <c r="BB69" i="31"/>
  <c r="BA24" i="31"/>
  <c r="BG61" i="31"/>
  <c r="BG75" i="31"/>
  <c r="BU70" i="31"/>
  <c r="BU56" i="31"/>
  <c r="BO53" i="31"/>
  <c r="BO67" i="31"/>
  <c r="BV76" i="31"/>
  <c r="BV62" i="31"/>
  <c r="BP64" i="31"/>
  <c r="BP50" i="31"/>
  <c r="BT68" i="31"/>
  <c r="BT54" i="31"/>
  <c r="BF52" i="31"/>
  <c r="BF66" i="31"/>
  <c r="BQ68" i="31"/>
  <c r="BQ54" i="31"/>
  <c r="BB62" i="31"/>
  <c r="BB76" i="31"/>
  <c r="BA27" i="31"/>
  <c r="BG69" i="31"/>
  <c r="BG55" i="31"/>
  <c r="BN75" i="31"/>
  <c r="BN61" i="31"/>
  <c r="BD72" i="31"/>
  <c r="BD58" i="31"/>
  <c r="BF58" i="31"/>
  <c r="BF72" i="31"/>
  <c r="BX56" i="31"/>
  <c r="BX70" i="31"/>
  <c r="BB39" i="31"/>
  <c r="BA11" i="31"/>
  <c r="BA39" i="31" s="1"/>
  <c r="BN45" i="31"/>
  <c r="BH68" i="31"/>
  <c r="BH54" i="31"/>
  <c r="BO52" i="31"/>
  <c r="BO66" i="31"/>
  <c r="BV51" i="31"/>
  <c r="BV65" i="31"/>
  <c r="BG70" i="43"/>
  <c r="BG56" i="43"/>
  <c r="F74" i="30"/>
  <c r="F60" i="30"/>
  <c r="BD71" i="43"/>
  <c r="BD57" i="43"/>
  <c r="BD67" i="43"/>
  <c r="BD53" i="43"/>
  <c r="BY67" i="18"/>
  <c r="BY53" i="18"/>
  <c r="G67" i="30"/>
  <c r="G53" i="30"/>
  <c r="Y72" i="30"/>
  <c r="Y58" i="30"/>
  <c r="BN70" i="30"/>
  <c r="BN56" i="30"/>
  <c r="BK70" i="43"/>
  <c r="BK56" i="43"/>
  <c r="N70" i="43"/>
  <c r="N56" i="43"/>
  <c r="N72" i="30"/>
  <c r="N58" i="30"/>
  <c r="BE74" i="43"/>
  <c r="BE60" i="43"/>
  <c r="BE74" i="30"/>
  <c r="BE60" i="30"/>
  <c r="BY68" i="42"/>
  <c r="BY54" i="42"/>
  <c r="BL73" i="43"/>
  <c r="BL59" i="43"/>
  <c r="BP52" i="42"/>
  <c r="BP66" i="42"/>
  <c r="BT67" i="30"/>
  <c r="BT53" i="30"/>
  <c r="BT45" i="30"/>
  <c r="BW68" i="43"/>
  <c r="BW54" i="43"/>
  <c r="CD45" i="18"/>
  <c r="BG62" i="30"/>
  <c r="BG76" i="30"/>
  <c r="F65" i="42"/>
  <c r="F51" i="42"/>
  <c r="F65" i="30"/>
  <c r="F51" i="30"/>
  <c r="BD76" i="30"/>
  <c r="BD62" i="30"/>
  <c r="BS60" i="43"/>
  <c r="BS74" i="43"/>
  <c r="G65" i="43"/>
  <c r="G51" i="43"/>
  <c r="G75" i="30"/>
  <c r="G61" i="30"/>
  <c r="Y75" i="42"/>
  <c r="Y61" i="42"/>
  <c r="Y75" i="30"/>
  <c r="Y61" i="30"/>
  <c r="BN70" i="43"/>
  <c r="BN56" i="43"/>
  <c r="J73" i="43"/>
  <c r="J59" i="43"/>
  <c r="X65" i="30"/>
  <c r="X51" i="30"/>
  <c r="BK76" i="42"/>
  <c r="BK62" i="42"/>
  <c r="BK31" i="42"/>
  <c r="BL75" i="43"/>
  <c r="BL61" i="43"/>
  <c r="BL74" i="30"/>
  <c r="BL60" i="30"/>
  <c r="BP69" i="43"/>
  <c r="BP55" i="43"/>
  <c r="BW72" i="42"/>
  <c r="BW58" i="42"/>
  <c r="BW75" i="30"/>
  <c r="BW61" i="30"/>
  <c r="BU67" i="18"/>
  <c r="BU53" i="18"/>
  <c r="AL71" i="18"/>
  <c r="AL57" i="18"/>
  <c r="AH60" i="37"/>
  <c r="AH74" i="37"/>
  <c r="AL66" i="37"/>
  <c r="AL52" i="37"/>
  <c r="AH45" i="18"/>
  <c r="U64" i="42"/>
  <c r="U50" i="42"/>
  <c r="BJ70" i="42"/>
  <c r="BJ56" i="42"/>
  <c r="Q66" i="42"/>
  <c r="Q52" i="42"/>
  <c r="BD73" i="43"/>
  <c r="BD59" i="43"/>
  <c r="BS72" i="30"/>
  <c r="BS58" i="30"/>
  <c r="G31" i="42"/>
  <c r="Y51" i="43"/>
  <c r="Y65" i="43"/>
  <c r="Y57" i="30"/>
  <c r="Y71" i="30"/>
  <c r="BK67" i="30"/>
  <c r="BK53" i="30"/>
  <c r="N31" i="30"/>
  <c r="V51" i="43"/>
  <c r="V65" i="43"/>
  <c r="V31" i="30"/>
  <c r="BY72" i="30"/>
  <c r="BY58" i="30"/>
  <c r="BL50" i="43"/>
  <c r="BL64" i="43"/>
  <c r="BL73" i="30"/>
  <c r="BL59" i="30"/>
  <c r="BP73" i="43"/>
  <c r="BP59" i="43"/>
  <c r="BT50" i="30"/>
  <c r="BT64" i="30"/>
  <c r="BW70" i="30"/>
  <c r="BW56" i="30"/>
  <c r="AL54" i="18"/>
  <c r="AL68" i="18"/>
  <c r="AK61" i="37"/>
  <c r="AK48" i="37" s="1"/>
  <c r="AK75" i="37"/>
  <c r="AK63" i="37" s="1"/>
  <c r="F56" i="37"/>
  <c r="F70" i="37"/>
  <c r="AL31" i="37"/>
  <c r="D66" i="42"/>
  <c r="C17" i="42"/>
  <c r="D52" i="42"/>
  <c r="C15" i="30"/>
  <c r="C44" i="30" s="1"/>
  <c r="F44" i="5" s="1"/>
  <c r="H44" i="5" s="1"/>
  <c r="D44" i="30"/>
  <c r="H71" i="42"/>
  <c r="H57" i="42"/>
  <c r="K68" i="30"/>
  <c r="K54" i="30"/>
  <c r="O73" i="42"/>
  <c r="O59" i="42"/>
  <c r="BG50" i="43"/>
  <c r="BG64" i="43"/>
  <c r="F45" i="30"/>
  <c r="U72" i="43"/>
  <c r="U58" i="43"/>
  <c r="BJ64" i="30"/>
  <c r="BJ50" i="30"/>
  <c r="BU75" i="30"/>
  <c r="BU61" i="30"/>
  <c r="C13" i="30"/>
  <c r="C33" i="30" s="1"/>
  <c r="F33" i="5" s="1"/>
  <c r="H33" i="5" s="1"/>
  <c r="D33" i="30"/>
  <c r="H45" i="30"/>
  <c r="O50" i="43"/>
  <c r="O64" i="43"/>
  <c r="O59" i="30"/>
  <c r="O73" i="30"/>
  <c r="S70" i="42"/>
  <c r="S56" i="42"/>
  <c r="Z31" i="43"/>
  <c r="BC67" i="30"/>
  <c r="BC53" i="30"/>
  <c r="BR71" i="43"/>
  <c r="BR57" i="43"/>
  <c r="BR67" i="43"/>
  <c r="BR53" i="43"/>
  <c r="G74" i="30"/>
  <c r="G60" i="30"/>
  <c r="Y72" i="43"/>
  <c r="Y58" i="43"/>
  <c r="N71" i="42"/>
  <c r="N57" i="42"/>
  <c r="N67" i="42"/>
  <c r="N53" i="42"/>
  <c r="V70" i="43"/>
  <c r="V56" i="43"/>
  <c r="AN63" i="16"/>
  <c r="D37" i="43"/>
  <c r="C37" i="43" s="1"/>
  <c r="C22" i="43"/>
  <c r="D47" i="43"/>
  <c r="C6" i="43"/>
  <c r="H72" i="43"/>
  <c r="H58" i="43"/>
  <c r="H68" i="43"/>
  <c r="H54" i="43"/>
  <c r="O60" i="42"/>
  <c r="O74" i="42"/>
  <c r="S62" i="43"/>
  <c r="S76" i="43"/>
  <c r="S31" i="43"/>
  <c r="Z69" i="42"/>
  <c r="Z55" i="42"/>
  <c r="Z72" i="30"/>
  <c r="Z58" i="30"/>
  <c r="BC65" i="42"/>
  <c r="BC51" i="42"/>
  <c r="BR69" i="42"/>
  <c r="BR55" i="42"/>
  <c r="Z73" i="42"/>
  <c r="Z59" i="42"/>
  <c r="BC74" i="43"/>
  <c r="BC60" i="43"/>
  <c r="BC66" i="30"/>
  <c r="BC52" i="30"/>
  <c r="BV64" i="18"/>
  <c r="BV50" i="18"/>
  <c r="M54" i="30"/>
  <c r="M68" i="30"/>
  <c r="J51" i="43"/>
  <c r="J65" i="43"/>
  <c r="X31" i="30"/>
  <c r="BE64" i="43"/>
  <c r="BE50" i="43"/>
  <c r="BE73" i="30"/>
  <c r="BE59" i="30"/>
  <c r="BY67" i="30"/>
  <c r="BY53" i="30"/>
  <c r="BL65" i="30"/>
  <c r="BL51" i="30"/>
  <c r="BP61" i="42"/>
  <c r="BP75" i="42"/>
  <c r="BT76" i="43"/>
  <c r="BT62" i="43"/>
  <c r="BU62" i="18"/>
  <c r="BU76" i="18"/>
  <c r="CD69" i="18"/>
  <c r="CD55" i="18"/>
  <c r="AI55" i="37"/>
  <c r="AI69" i="37"/>
  <c r="W74" i="37"/>
  <c r="W60" i="37"/>
  <c r="AQ63" i="16"/>
  <c r="BV66" i="42"/>
  <c r="BV52" i="42"/>
  <c r="AA59" i="42"/>
  <c r="AA73" i="42"/>
  <c r="BA19" i="42"/>
  <c r="BB42" i="42"/>
  <c r="BA42" i="42" s="1"/>
  <c r="BB32" i="42"/>
  <c r="BA3" i="42"/>
  <c r="AB3" i="38" s="1"/>
  <c r="AB32" i="38" s="1"/>
  <c r="BI70" i="43"/>
  <c r="BI56" i="43"/>
  <c r="BI74" i="30"/>
  <c r="BI60" i="30"/>
  <c r="BM45" i="42"/>
  <c r="BQ75" i="42"/>
  <c r="BQ61" i="42"/>
  <c r="BX74" i="42"/>
  <c r="BX60" i="42"/>
  <c r="AE55" i="18"/>
  <c r="AE69" i="18"/>
  <c r="AF65" i="18"/>
  <c r="AF51" i="18"/>
  <c r="I76" i="42"/>
  <c r="I62" i="42"/>
  <c r="I31" i="42"/>
  <c r="L70" i="43"/>
  <c r="L56" i="43"/>
  <c r="L72" i="30"/>
  <c r="L58" i="30"/>
  <c r="P75" i="30"/>
  <c r="P61" i="30"/>
  <c r="T76" i="30"/>
  <c r="T62" i="30"/>
  <c r="W59" i="43"/>
  <c r="W73" i="43"/>
  <c r="D69" i="43"/>
  <c r="D55" i="43"/>
  <c r="C24" i="43"/>
  <c r="D41" i="43"/>
  <c r="C41" i="43" s="1"/>
  <c r="C8" i="43"/>
  <c r="C10" i="30"/>
  <c r="C46" i="30" s="1"/>
  <c r="D46" i="30"/>
  <c r="H54" i="30"/>
  <c r="H68" i="30"/>
  <c r="K64" i="42"/>
  <c r="K50" i="42"/>
  <c r="K31" i="30"/>
  <c r="O75" i="43"/>
  <c r="O61" i="43"/>
  <c r="O66" i="30"/>
  <c r="O52" i="30"/>
  <c r="S52" i="42"/>
  <c r="S66" i="42"/>
  <c r="Z45" i="43"/>
  <c r="Z45" i="30"/>
  <c r="BH66" i="42"/>
  <c r="BH52" i="42"/>
  <c r="BH69" i="30"/>
  <c r="BH55" i="30"/>
  <c r="BV69" i="43"/>
  <c r="BV55" i="43"/>
  <c r="BV73" i="42"/>
  <c r="BV59" i="42"/>
  <c r="AI68" i="18"/>
  <c r="AI54" i="18"/>
  <c r="AA53" i="30"/>
  <c r="AA67" i="30"/>
  <c r="R65" i="42"/>
  <c r="R51" i="42"/>
  <c r="R55" i="30"/>
  <c r="R69" i="30"/>
  <c r="BB35" i="43"/>
  <c r="BA35" i="43" s="1"/>
  <c r="BA30" i="43"/>
  <c r="BB34" i="43"/>
  <c r="BA34" i="43" s="1"/>
  <c r="BA14" i="43"/>
  <c r="BF31" i="43"/>
  <c r="BI76" i="42"/>
  <c r="BI62" i="42"/>
  <c r="BI31" i="42"/>
  <c r="BM71" i="42"/>
  <c r="BM57" i="42"/>
  <c r="BM67" i="42"/>
  <c r="BM53" i="42"/>
  <c r="BM62" i="30"/>
  <c r="BM76" i="30"/>
  <c r="BQ62" i="30"/>
  <c r="BQ76" i="30"/>
  <c r="BX73" i="43"/>
  <c r="BX59" i="43"/>
  <c r="CB71" i="18"/>
  <c r="CB57" i="18"/>
  <c r="E66" i="43"/>
  <c r="E52" i="43"/>
  <c r="E31" i="30"/>
  <c r="L73" i="43"/>
  <c r="L59" i="43"/>
  <c r="T64" i="42"/>
  <c r="T50" i="42"/>
  <c r="W74" i="30"/>
  <c r="W60" i="30"/>
  <c r="T74" i="43"/>
  <c r="T60" i="43"/>
  <c r="BV69" i="18"/>
  <c r="BV55" i="18"/>
  <c r="M68" i="42"/>
  <c r="M54" i="42"/>
  <c r="BH69" i="43"/>
  <c r="BH55" i="43"/>
  <c r="BO68" i="42"/>
  <c r="BO54" i="42"/>
  <c r="AI61" i="18"/>
  <c r="AI75" i="18"/>
  <c r="AA51" i="43"/>
  <c r="AA65" i="43"/>
  <c r="AA66" i="30"/>
  <c r="AA52" i="30"/>
  <c r="R72" i="42"/>
  <c r="R58" i="42"/>
  <c r="R57" i="30"/>
  <c r="R71" i="30"/>
  <c r="BB71" i="43"/>
  <c r="BB57" i="43"/>
  <c r="BA29" i="43"/>
  <c r="BB33" i="43"/>
  <c r="BA33" i="43" s="1"/>
  <c r="BA13" i="43"/>
  <c r="BF75" i="43"/>
  <c r="BF61" i="43"/>
  <c r="BI75" i="42"/>
  <c r="BI61" i="42"/>
  <c r="BQ72" i="42"/>
  <c r="BQ58" i="42"/>
  <c r="AE64" i="18"/>
  <c r="AE50" i="18"/>
  <c r="AJ74" i="18"/>
  <c r="AJ60" i="18"/>
  <c r="E70" i="42"/>
  <c r="E56" i="42"/>
  <c r="E75" i="30"/>
  <c r="E61" i="30"/>
  <c r="I71" i="30"/>
  <c r="I57" i="30"/>
  <c r="L45" i="42"/>
  <c r="P69" i="42"/>
  <c r="P55" i="42"/>
  <c r="T72" i="43"/>
  <c r="T58" i="43"/>
  <c r="W68" i="43"/>
  <c r="W54" i="43"/>
  <c r="M70" i="43"/>
  <c r="M56" i="43"/>
  <c r="BO72" i="43"/>
  <c r="BO58" i="43"/>
  <c r="BO60" i="30"/>
  <c r="BO74" i="30"/>
  <c r="BV74" i="43"/>
  <c r="BV60" i="43"/>
  <c r="BV31" i="42"/>
  <c r="AA72" i="42"/>
  <c r="AA58" i="42"/>
  <c r="R73" i="43"/>
  <c r="R59" i="43"/>
  <c r="BB55" i="43"/>
  <c r="BB69" i="43"/>
  <c r="BA24" i="43"/>
  <c r="BB41" i="43"/>
  <c r="BA41" i="43" s="1"/>
  <c r="BA8" i="43"/>
  <c r="BA11" i="30"/>
  <c r="BA39" i="30" s="1"/>
  <c r="BB39" i="30"/>
  <c r="BI71" i="43"/>
  <c r="BI57" i="43"/>
  <c r="BI67" i="43"/>
  <c r="BI53" i="43"/>
  <c r="BI71" i="30"/>
  <c r="BI57" i="30"/>
  <c r="BM73" i="42"/>
  <c r="BM59" i="42"/>
  <c r="BX68" i="43"/>
  <c r="BX54" i="43"/>
  <c r="BX71" i="30"/>
  <c r="BX57" i="30"/>
  <c r="BW67" i="18"/>
  <c r="BW53" i="18"/>
  <c r="BW61" i="18"/>
  <c r="BW75" i="18"/>
  <c r="BX64" i="18"/>
  <c r="BX50" i="18"/>
  <c r="CB65" i="18"/>
  <c r="CB51" i="18"/>
  <c r="E76" i="42"/>
  <c r="E62" i="42"/>
  <c r="I70" i="43"/>
  <c r="I56" i="43"/>
  <c r="L66" i="42"/>
  <c r="L52" i="42"/>
  <c r="L31" i="30"/>
  <c r="T76" i="43"/>
  <c r="T62" i="43"/>
  <c r="T31" i="43"/>
  <c r="W55" i="42"/>
  <c r="W69" i="42"/>
  <c r="AS48" i="43"/>
  <c r="AO48" i="43"/>
  <c r="AX63" i="43"/>
  <c r="AO63" i="43"/>
  <c r="AR63" i="43"/>
  <c r="AP48" i="43"/>
  <c r="BW63" i="29"/>
  <c r="BB48" i="41"/>
  <c r="BZ32" i="30"/>
  <c r="BE32" i="18" s="1"/>
  <c r="BP32" i="18" s="1"/>
  <c r="CA31" i="30"/>
  <c r="BZ31" i="30" s="1"/>
  <c r="BE31" i="18" s="1"/>
  <c r="AM63" i="31"/>
  <c r="CI48" i="31"/>
  <c r="CI48" i="30"/>
  <c r="BZ66" i="30"/>
  <c r="BE66" i="18" s="1"/>
  <c r="BV63" i="41"/>
  <c r="BU48" i="41"/>
  <c r="K63" i="5"/>
  <c r="BZ54" i="42"/>
  <c r="BE54" i="38" s="1"/>
  <c r="AJ48" i="42"/>
  <c r="AM48" i="42"/>
  <c r="AD48" i="42"/>
  <c r="AG48" i="42"/>
  <c r="BA53" i="29"/>
  <c r="N53" i="18" s="1"/>
  <c r="AJ63" i="5"/>
  <c r="AB68" i="31"/>
  <c r="AL68" i="5" s="1"/>
  <c r="AM68" i="5" s="1"/>
  <c r="BG48" i="41"/>
  <c r="BL48" i="41"/>
  <c r="AM62" i="5"/>
  <c r="J52" i="37"/>
  <c r="CP63" i="30"/>
  <c r="CT63" i="30"/>
  <c r="H48" i="37"/>
  <c r="J48" i="37" s="1"/>
  <c r="BG63" i="18"/>
  <c r="BO63" i="29"/>
  <c r="AB67" i="30"/>
  <c r="L67" i="5" s="1"/>
  <c r="M67" i="5" s="1"/>
  <c r="AJ48" i="30"/>
  <c r="AB49" i="30"/>
  <c r="L49" i="5" s="1"/>
  <c r="M49" i="5" s="1"/>
  <c r="AC48" i="30"/>
  <c r="DN52" i="18"/>
  <c r="AA48" i="5"/>
  <c r="AC48" i="5" s="1"/>
  <c r="BD63" i="29"/>
  <c r="AB68" i="30"/>
  <c r="L68" i="5" s="1"/>
  <c r="M68" i="5" s="1"/>
  <c r="BZ54" i="30"/>
  <c r="BE54" i="18" s="1"/>
  <c r="BZ69" i="31"/>
  <c r="CW69" i="18" s="1"/>
  <c r="BZ45" i="31"/>
  <c r="CW45" i="18" s="1"/>
  <c r="DN64" i="18"/>
  <c r="DL63" i="18"/>
  <c r="AK63" i="18"/>
  <c r="J61" i="37"/>
  <c r="AB57" i="42"/>
  <c r="L57" i="32" s="1"/>
  <c r="BZ57" i="42"/>
  <c r="BE57" i="38" s="1"/>
  <c r="BP57" i="38" s="1"/>
  <c r="CA45" i="30"/>
  <c r="CG48" i="31"/>
  <c r="Y63" i="37"/>
  <c r="DE63" i="18"/>
  <c r="BK48" i="18"/>
  <c r="BZ70" i="30"/>
  <c r="BE70" i="18" s="1"/>
  <c r="BP70" i="18" s="1"/>
  <c r="BU63" i="29"/>
  <c r="AN63" i="37"/>
  <c r="AB58" i="43"/>
  <c r="AL58" i="32" s="1"/>
  <c r="BA52" i="29"/>
  <c r="N52" i="18" s="1"/>
  <c r="BZ56" i="31"/>
  <c r="CW56" i="18" s="1"/>
  <c r="DN69" i="18"/>
  <c r="AM59" i="5"/>
  <c r="R63" i="37"/>
  <c r="CJ48" i="31"/>
  <c r="BZ59" i="31"/>
  <c r="CW59" i="18" s="1"/>
  <c r="CU48" i="31"/>
  <c r="O52" i="31"/>
  <c r="O66" i="31"/>
  <c r="J75" i="31"/>
  <c r="J61" i="31"/>
  <c r="BC70" i="31"/>
  <c r="BC56" i="31"/>
  <c r="BY75" i="31"/>
  <c r="BY61" i="31"/>
  <c r="BP50" i="30"/>
  <c r="BP64" i="30"/>
  <c r="BJ68" i="43"/>
  <c r="BJ54" i="43"/>
  <c r="BD71" i="30"/>
  <c r="BD57" i="30"/>
  <c r="BT68" i="43"/>
  <c r="BT54" i="43"/>
  <c r="U72" i="30"/>
  <c r="U58" i="30"/>
  <c r="G69" i="43"/>
  <c r="G55" i="43"/>
  <c r="D33" i="43"/>
  <c r="C33" i="43" s="1"/>
  <c r="C13" i="43"/>
  <c r="H53" i="30"/>
  <c r="H67" i="30"/>
  <c r="U72" i="42"/>
  <c r="U58" i="42"/>
  <c r="BD59" i="30"/>
  <c r="BD73" i="30"/>
  <c r="H68" i="42"/>
  <c r="H54" i="42"/>
  <c r="BY75" i="43"/>
  <c r="BY61" i="43"/>
  <c r="BT76" i="42"/>
  <c r="BT62" i="42"/>
  <c r="AA76" i="43"/>
  <c r="AA62" i="43"/>
  <c r="O51" i="30"/>
  <c r="O65" i="30"/>
  <c r="F76" i="37"/>
  <c r="F62" i="37"/>
  <c r="BQ57" i="30"/>
  <c r="BQ71" i="30"/>
  <c r="AJ67" i="18"/>
  <c r="AJ53" i="18"/>
  <c r="L73" i="42"/>
  <c r="L59" i="42"/>
  <c r="M67" i="43"/>
  <c r="M53" i="43"/>
  <c r="CA61" i="18"/>
  <c r="CA75" i="18"/>
  <c r="BQ74" i="43"/>
  <c r="BQ60" i="43"/>
  <c r="BO58" i="42"/>
  <c r="BO72" i="42"/>
  <c r="BA10" i="30"/>
  <c r="BA46" i="30" s="1"/>
  <c r="BB46" i="30"/>
  <c r="W70" i="43"/>
  <c r="W56" i="43"/>
  <c r="CA63" i="42"/>
  <c r="BZ64" i="42"/>
  <c r="BE64" i="38" s="1"/>
  <c r="G63" i="37"/>
  <c r="J64" i="37"/>
  <c r="CE63" i="31"/>
  <c r="DK64" i="18"/>
  <c r="DK50" i="18"/>
  <c r="N64" i="31"/>
  <c r="N50" i="31"/>
  <c r="Y75" i="31"/>
  <c r="Y61" i="31"/>
  <c r="O72" i="31"/>
  <c r="O58" i="31"/>
  <c r="G65" i="31"/>
  <c r="G51" i="31"/>
  <c r="G68" i="31"/>
  <c r="G54" i="31"/>
  <c r="H59" i="31"/>
  <c r="H73" i="31"/>
  <c r="Z69" i="31"/>
  <c r="Z55" i="31"/>
  <c r="E57" i="31"/>
  <c r="E71" i="31"/>
  <c r="E66" i="31"/>
  <c r="E52" i="31"/>
  <c r="E67" i="31"/>
  <c r="E53" i="31"/>
  <c r="I45" i="31"/>
  <c r="L76" i="31"/>
  <c r="L62" i="31"/>
  <c r="P68" i="31"/>
  <c r="P54" i="31"/>
  <c r="P75" i="31"/>
  <c r="P61" i="31"/>
  <c r="T64" i="31"/>
  <c r="T50" i="31"/>
  <c r="W61" i="31"/>
  <c r="W75" i="31"/>
  <c r="V58" i="31"/>
  <c r="V72" i="31"/>
  <c r="V67" i="31"/>
  <c r="V53" i="31"/>
  <c r="D46" i="31"/>
  <c r="C10" i="31"/>
  <c r="C46" i="31" s="1"/>
  <c r="D42" i="31"/>
  <c r="C19" i="31"/>
  <c r="C42" i="31" s="1"/>
  <c r="S73" i="31"/>
  <c r="S59" i="31"/>
  <c r="F69" i="31"/>
  <c r="F55" i="31"/>
  <c r="F59" i="31"/>
  <c r="F73" i="31"/>
  <c r="J57" i="31"/>
  <c r="J71" i="31"/>
  <c r="J52" i="31"/>
  <c r="J66" i="31"/>
  <c r="J45" i="31"/>
  <c r="M45" i="31"/>
  <c r="Q62" i="31"/>
  <c r="Q76" i="31"/>
  <c r="U70" i="31"/>
  <c r="U56" i="31"/>
  <c r="X64" i="31"/>
  <c r="X50" i="31"/>
  <c r="BF76" i="31"/>
  <c r="BF62" i="31"/>
  <c r="BI73" i="31"/>
  <c r="BI59" i="31"/>
  <c r="BB71" i="31"/>
  <c r="BB57" i="31"/>
  <c r="BA29" i="31"/>
  <c r="BG51" i="31"/>
  <c r="BG65" i="31"/>
  <c r="BJ45" i="31"/>
  <c r="BR70" i="31"/>
  <c r="BR56" i="31"/>
  <c r="BK62" i="31"/>
  <c r="BK76" i="31"/>
  <c r="BS66" i="31"/>
  <c r="BS52" i="31"/>
  <c r="BP31" i="31"/>
  <c r="BI71" i="31"/>
  <c r="BI57" i="31"/>
  <c r="BB58" i="31"/>
  <c r="BB72" i="31"/>
  <c r="BA16" i="31"/>
  <c r="BC54" i="31"/>
  <c r="BC68" i="31"/>
  <c r="BU74" i="31"/>
  <c r="BU60" i="31"/>
  <c r="BO65" i="31"/>
  <c r="BO51" i="31"/>
  <c r="BP52" i="31"/>
  <c r="BP66" i="31"/>
  <c r="BW50" i="31"/>
  <c r="BW64" i="31"/>
  <c r="BM56" i="31"/>
  <c r="BM70" i="31"/>
  <c r="BX57" i="31"/>
  <c r="BX71" i="31"/>
  <c r="BB42" i="31"/>
  <c r="BA19" i="31"/>
  <c r="BA42" i="31" s="1"/>
  <c r="BC64" i="31"/>
  <c r="BC50" i="31"/>
  <c r="BG54" i="31"/>
  <c r="BG68" i="31"/>
  <c r="BO76" i="31"/>
  <c r="BO62" i="31"/>
  <c r="BD54" i="31"/>
  <c r="BD68" i="31"/>
  <c r="BF54" i="31"/>
  <c r="BF68" i="31"/>
  <c r="BX74" i="31"/>
  <c r="BX60" i="31"/>
  <c r="BB32" i="31"/>
  <c r="BA3" i="31"/>
  <c r="BA32" i="31" s="1"/>
  <c r="BC73" i="31"/>
  <c r="BC59" i="31"/>
  <c r="BJ75" i="31"/>
  <c r="BJ61" i="31"/>
  <c r="BU61" i="31"/>
  <c r="BU75" i="31"/>
  <c r="BV31" i="31"/>
  <c r="BY45" i="31"/>
  <c r="BW65" i="31"/>
  <c r="BW51" i="31"/>
  <c r="BG72" i="43"/>
  <c r="BG58" i="43"/>
  <c r="BG60" i="30"/>
  <c r="BG74" i="30"/>
  <c r="BZ31" i="18"/>
  <c r="F75" i="42"/>
  <c r="F61" i="42"/>
  <c r="F70" i="30"/>
  <c r="F56" i="30"/>
  <c r="U64" i="30"/>
  <c r="U50" i="30"/>
  <c r="BJ45" i="43"/>
  <c r="Q73" i="42"/>
  <c r="Q59" i="42"/>
  <c r="BD64" i="43"/>
  <c r="BD50" i="43"/>
  <c r="BS68" i="42"/>
  <c r="BS54" i="42"/>
  <c r="G61" i="43"/>
  <c r="G75" i="43"/>
  <c r="G52" i="30"/>
  <c r="G66" i="30"/>
  <c r="Y66" i="30"/>
  <c r="Y52" i="30"/>
  <c r="BN55" i="30"/>
  <c r="BN69" i="30"/>
  <c r="J69" i="43"/>
  <c r="J55" i="43"/>
  <c r="X73" i="43"/>
  <c r="X59" i="43"/>
  <c r="X69" i="43"/>
  <c r="X55" i="43"/>
  <c r="BK72" i="43"/>
  <c r="BK58" i="43"/>
  <c r="BK74" i="30"/>
  <c r="BK60" i="30"/>
  <c r="N72" i="43"/>
  <c r="N58" i="43"/>
  <c r="N69" i="30"/>
  <c r="N55" i="30"/>
  <c r="BY71" i="42"/>
  <c r="BY57" i="42"/>
  <c r="BY67" i="42"/>
  <c r="BY53" i="42"/>
  <c r="BL76" i="43"/>
  <c r="BL62" i="43"/>
  <c r="BL31" i="43"/>
  <c r="BP76" i="30"/>
  <c r="BP62" i="30"/>
  <c r="BT75" i="42"/>
  <c r="BT61" i="42"/>
  <c r="BW57" i="43"/>
  <c r="BW71" i="43"/>
  <c r="BW67" i="43"/>
  <c r="BW53" i="43"/>
  <c r="BU64" i="18"/>
  <c r="BU50" i="18"/>
  <c r="CD66" i="18"/>
  <c r="CD52" i="18"/>
  <c r="AK64" i="37"/>
  <c r="AK50" i="37"/>
  <c r="AK68" i="37"/>
  <c r="AK54" i="37"/>
  <c r="BZ71" i="18"/>
  <c r="BZ57" i="18"/>
  <c r="F66" i="42"/>
  <c r="F52" i="42"/>
  <c r="F57" i="30"/>
  <c r="F71" i="30"/>
  <c r="U45" i="43"/>
  <c r="U76" i="30"/>
  <c r="U62" i="30"/>
  <c r="BJ68" i="42"/>
  <c r="BJ54" i="42"/>
  <c r="BU68" i="43"/>
  <c r="BU54" i="43"/>
  <c r="Q45" i="42"/>
  <c r="BY70" i="18"/>
  <c r="BY56" i="18"/>
  <c r="BY65" i="18"/>
  <c r="BY51" i="18"/>
  <c r="G52" i="43"/>
  <c r="G66" i="43"/>
  <c r="Y31" i="42"/>
  <c r="Y65" i="30"/>
  <c r="Y51" i="30"/>
  <c r="BN74" i="43"/>
  <c r="BN60" i="43"/>
  <c r="BN73" i="42"/>
  <c r="BN59" i="42"/>
  <c r="J76" i="43"/>
  <c r="J62" i="43"/>
  <c r="J31" i="43"/>
  <c r="X57" i="42"/>
  <c r="X71" i="42"/>
  <c r="X71" i="30"/>
  <c r="X57" i="30"/>
  <c r="BE73" i="43"/>
  <c r="BE59" i="43"/>
  <c r="BL72" i="30"/>
  <c r="BL58" i="30"/>
  <c r="BP70" i="43"/>
  <c r="BP56" i="43"/>
  <c r="BP45" i="30"/>
  <c r="BT68" i="42"/>
  <c r="BT54" i="42"/>
  <c r="BW74" i="42"/>
  <c r="BW60" i="42"/>
  <c r="BU31" i="18"/>
  <c r="AI74" i="37"/>
  <c r="AI60" i="37"/>
  <c r="BG67" i="30"/>
  <c r="BG53" i="30"/>
  <c r="AH74" i="18"/>
  <c r="AH60" i="18"/>
  <c r="F69" i="43"/>
  <c r="F55" i="43"/>
  <c r="F31" i="30"/>
  <c r="U65" i="42"/>
  <c r="U51" i="42"/>
  <c r="U69" i="30"/>
  <c r="U55" i="30"/>
  <c r="BJ72" i="42"/>
  <c r="BJ58" i="42"/>
  <c r="BU69" i="42"/>
  <c r="BU55" i="42"/>
  <c r="BD76" i="43"/>
  <c r="BD62" i="43"/>
  <c r="BD31" i="43"/>
  <c r="BS69" i="30"/>
  <c r="BS55" i="30"/>
  <c r="AG50" i="18"/>
  <c r="AG64" i="18"/>
  <c r="G69" i="42"/>
  <c r="G55" i="42"/>
  <c r="G45" i="30"/>
  <c r="Y66" i="43"/>
  <c r="Y52" i="43"/>
  <c r="BK75" i="42"/>
  <c r="BK61" i="42"/>
  <c r="BK68" i="30"/>
  <c r="BK54" i="30"/>
  <c r="N75" i="43"/>
  <c r="N61" i="43"/>
  <c r="V66" i="43"/>
  <c r="V52" i="43"/>
  <c r="BE67" i="30"/>
  <c r="BE53" i="30"/>
  <c r="BY56" i="30"/>
  <c r="BY70" i="30"/>
  <c r="BL51" i="43"/>
  <c r="BL65" i="43"/>
  <c r="BP76" i="43"/>
  <c r="BP62" i="43"/>
  <c r="BP31" i="43"/>
  <c r="BT71" i="30"/>
  <c r="BT57" i="30"/>
  <c r="AC45" i="18"/>
  <c r="AL61" i="37"/>
  <c r="AL48" i="37" s="1"/>
  <c r="AL75" i="37"/>
  <c r="AL63" i="37" s="1"/>
  <c r="AH53" i="37"/>
  <c r="AH67" i="37"/>
  <c r="AK51" i="37"/>
  <c r="AK65" i="37"/>
  <c r="C23" i="30"/>
  <c r="C49" i="30" s="1"/>
  <c r="D49" i="30"/>
  <c r="O76" i="42"/>
  <c r="O62" i="42"/>
  <c r="BG51" i="43"/>
  <c r="BG65" i="43"/>
  <c r="BG66" i="30"/>
  <c r="BG52" i="30"/>
  <c r="U74" i="43"/>
  <c r="U60" i="43"/>
  <c r="BJ73" i="42"/>
  <c r="BJ59" i="42"/>
  <c r="BJ71" i="30"/>
  <c r="BJ57" i="30"/>
  <c r="Q69" i="43"/>
  <c r="Q55" i="43"/>
  <c r="D76" i="43"/>
  <c r="D62" i="43"/>
  <c r="C27" i="43"/>
  <c r="D39" i="43"/>
  <c r="C11" i="43"/>
  <c r="C21" i="30"/>
  <c r="D51" i="30"/>
  <c r="D65" i="30"/>
  <c r="O51" i="43"/>
  <c r="O65" i="43"/>
  <c r="O75" i="30"/>
  <c r="O61" i="30"/>
  <c r="S72" i="42"/>
  <c r="S58" i="42"/>
  <c r="S76" i="30"/>
  <c r="S62" i="30"/>
  <c r="Z68" i="43"/>
  <c r="Z54" i="43"/>
  <c r="BC75" i="42"/>
  <c r="BC61" i="42"/>
  <c r="BC54" i="30"/>
  <c r="BC68" i="30"/>
  <c r="BR64" i="43"/>
  <c r="BR50" i="43"/>
  <c r="G56" i="30"/>
  <c r="G70" i="30"/>
  <c r="Y74" i="43"/>
  <c r="Y60" i="43"/>
  <c r="BK68" i="43"/>
  <c r="BK54" i="43"/>
  <c r="N64" i="42"/>
  <c r="N50" i="42"/>
  <c r="N54" i="30"/>
  <c r="N68" i="30"/>
  <c r="V72" i="43"/>
  <c r="V58" i="43"/>
  <c r="M74" i="32"/>
  <c r="D37" i="42"/>
  <c r="C37" i="42" s="1"/>
  <c r="C22" i="42"/>
  <c r="D47" i="42"/>
  <c r="C6" i="42"/>
  <c r="H31" i="43"/>
  <c r="K73" i="30"/>
  <c r="K59" i="30"/>
  <c r="Z70" i="42"/>
  <c r="Z56" i="42"/>
  <c r="Z69" i="30"/>
  <c r="Z55" i="30"/>
  <c r="BC66" i="42"/>
  <c r="BC52" i="42"/>
  <c r="BR70" i="42"/>
  <c r="BR56" i="42"/>
  <c r="Z76" i="42"/>
  <c r="Z62" i="42"/>
  <c r="Z31" i="42"/>
  <c r="BC64" i="30"/>
  <c r="BC50" i="30"/>
  <c r="M75" i="42"/>
  <c r="M61" i="42"/>
  <c r="M65" i="30"/>
  <c r="M51" i="30"/>
  <c r="J66" i="43"/>
  <c r="J52" i="43"/>
  <c r="J76" i="30"/>
  <c r="J62" i="30"/>
  <c r="BE65" i="43"/>
  <c r="BE51" i="43"/>
  <c r="BE75" i="30"/>
  <c r="BE61" i="30"/>
  <c r="BY75" i="42"/>
  <c r="BY61" i="42"/>
  <c r="BL50" i="30"/>
  <c r="BL64" i="30"/>
  <c r="BU72" i="18"/>
  <c r="BU58" i="18"/>
  <c r="AH58" i="37"/>
  <c r="AH72" i="37"/>
  <c r="AD57" i="18"/>
  <c r="AD71" i="18"/>
  <c r="M73" i="43"/>
  <c r="M59" i="43"/>
  <c r="BV75" i="42"/>
  <c r="BV61" i="42"/>
  <c r="BV68" i="42"/>
  <c r="BV54" i="42"/>
  <c r="CA65" i="18"/>
  <c r="CA51" i="18"/>
  <c r="AA76" i="42"/>
  <c r="AA62" i="42"/>
  <c r="BI72" i="43"/>
  <c r="BI58" i="43"/>
  <c r="L72" i="43"/>
  <c r="L58" i="43"/>
  <c r="L69" i="30"/>
  <c r="L55" i="30"/>
  <c r="P71" i="43"/>
  <c r="P57" i="43"/>
  <c r="T45" i="43"/>
  <c r="W76" i="43"/>
  <c r="W62" i="43"/>
  <c r="C24" i="42"/>
  <c r="D55" i="42"/>
  <c r="D69" i="42"/>
  <c r="D41" i="42"/>
  <c r="C41" i="42" s="1"/>
  <c r="C8" i="42"/>
  <c r="K65" i="42"/>
  <c r="K51" i="42"/>
  <c r="K51" i="30"/>
  <c r="K65" i="30"/>
  <c r="O64" i="30"/>
  <c r="O50" i="30"/>
  <c r="BO75" i="43"/>
  <c r="BO61" i="43"/>
  <c r="BO59" i="30"/>
  <c r="BO73" i="30"/>
  <c r="BV72" i="43"/>
  <c r="BV58" i="43"/>
  <c r="F75" i="37"/>
  <c r="F61" i="37"/>
  <c r="AA75" i="43"/>
  <c r="AA61" i="43"/>
  <c r="AA72" i="30"/>
  <c r="AA58" i="30"/>
  <c r="R66" i="42"/>
  <c r="R52" i="42"/>
  <c r="BA30" i="42"/>
  <c r="BB35" i="42"/>
  <c r="BA35" i="42" s="1"/>
  <c r="BB34" i="42"/>
  <c r="BA34" i="42" s="1"/>
  <c r="BA14" i="42"/>
  <c r="BF31" i="30"/>
  <c r="BM64" i="42"/>
  <c r="BM50" i="42"/>
  <c r="BM53" i="30"/>
  <c r="BM67" i="30"/>
  <c r="BM68" i="30"/>
  <c r="BM54" i="30"/>
  <c r="BQ68" i="42"/>
  <c r="BQ54" i="42"/>
  <c r="BX76" i="43"/>
  <c r="BX62" i="43"/>
  <c r="BX31" i="43"/>
  <c r="BW74" i="18"/>
  <c r="BW60" i="18"/>
  <c r="BX66" i="18"/>
  <c r="BX52" i="18"/>
  <c r="CB67" i="18"/>
  <c r="CB53" i="18"/>
  <c r="E57" i="30"/>
  <c r="E71" i="30"/>
  <c r="I45" i="42"/>
  <c r="L76" i="43"/>
  <c r="L62" i="43"/>
  <c r="P75" i="42"/>
  <c r="P61" i="42"/>
  <c r="P31" i="43"/>
  <c r="T65" i="42"/>
  <c r="T51" i="42"/>
  <c r="T70" i="30"/>
  <c r="T56" i="30"/>
  <c r="W75" i="42"/>
  <c r="W61" i="42"/>
  <c r="W56" i="30"/>
  <c r="W70" i="30"/>
  <c r="P50" i="43"/>
  <c r="P64" i="43"/>
  <c r="W67" i="42"/>
  <c r="W53" i="42"/>
  <c r="BR75" i="43"/>
  <c r="BR61" i="43"/>
  <c r="BR74" i="30"/>
  <c r="BR60" i="30"/>
  <c r="M71" i="42"/>
  <c r="M57" i="42"/>
  <c r="M67" i="42"/>
  <c r="M53" i="42"/>
  <c r="BH70" i="43"/>
  <c r="BH56" i="43"/>
  <c r="BO57" i="42"/>
  <c r="BO71" i="42"/>
  <c r="BO67" i="42"/>
  <c r="BO53" i="42"/>
  <c r="AA66" i="43"/>
  <c r="AA52" i="43"/>
  <c r="AA50" i="30"/>
  <c r="AA64" i="30"/>
  <c r="R74" i="42"/>
  <c r="R60" i="42"/>
  <c r="R54" i="30"/>
  <c r="R68" i="30"/>
  <c r="BA29" i="42"/>
  <c r="BB57" i="42"/>
  <c r="BB71" i="42"/>
  <c r="BF64" i="43"/>
  <c r="BF50" i="43"/>
  <c r="BF45" i="43"/>
  <c r="BQ74" i="42"/>
  <c r="BQ60" i="42"/>
  <c r="AE54" i="18"/>
  <c r="AE68" i="18"/>
  <c r="AF74" i="18"/>
  <c r="AF60" i="18"/>
  <c r="AF67" i="18"/>
  <c r="AF53" i="18"/>
  <c r="AJ73" i="18"/>
  <c r="AJ59" i="18"/>
  <c r="E72" i="42"/>
  <c r="E58" i="42"/>
  <c r="I68" i="43"/>
  <c r="I54" i="43"/>
  <c r="P72" i="42"/>
  <c r="P58" i="42"/>
  <c r="W31" i="30"/>
  <c r="M72" i="43"/>
  <c r="M58" i="43"/>
  <c r="M64" i="30"/>
  <c r="M50" i="30"/>
  <c r="BH76" i="30"/>
  <c r="BH62" i="30"/>
  <c r="BO74" i="43"/>
  <c r="BO60" i="43"/>
  <c r="BO58" i="30"/>
  <c r="BO72" i="30"/>
  <c r="BV68" i="30"/>
  <c r="BV54" i="30"/>
  <c r="AI64" i="18"/>
  <c r="AI50" i="18"/>
  <c r="AA60" i="42"/>
  <c r="AA74" i="42"/>
  <c r="R62" i="43"/>
  <c r="R76" i="43"/>
  <c r="R31" i="43"/>
  <c r="BA24" i="42"/>
  <c r="BB69" i="42"/>
  <c r="BB55" i="42"/>
  <c r="BA8" i="42"/>
  <c r="BB41" i="42"/>
  <c r="BA41" i="42" s="1"/>
  <c r="BF73" i="43"/>
  <c r="BF59" i="43"/>
  <c r="BI50" i="43"/>
  <c r="BI64" i="43"/>
  <c r="BI73" i="30"/>
  <c r="BI59" i="30"/>
  <c r="BM76" i="42"/>
  <c r="BM62" i="42"/>
  <c r="BM31" i="42"/>
  <c r="BQ73" i="42"/>
  <c r="BQ59" i="42"/>
  <c r="BX71" i="43"/>
  <c r="BX57" i="43"/>
  <c r="BX67" i="43"/>
  <c r="BX53" i="43"/>
  <c r="BX54" i="30"/>
  <c r="BX68" i="30"/>
  <c r="BX62" i="18"/>
  <c r="BX76" i="18"/>
  <c r="I72" i="43"/>
  <c r="I58" i="43"/>
  <c r="L31" i="42"/>
  <c r="T59" i="30"/>
  <c r="T73" i="30"/>
  <c r="W70" i="42"/>
  <c r="W56" i="42"/>
  <c r="W75" i="30"/>
  <c r="W61" i="30"/>
  <c r="CS63" i="42"/>
  <c r="AX63" i="42"/>
  <c r="CV63" i="42"/>
  <c r="AO63" i="42"/>
  <c r="CM63" i="42"/>
  <c r="AR63" i="42"/>
  <c r="CP63" i="42"/>
  <c r="CP48" i="43"/>
  <c r="CO48" i="43"/>
  <c r="BQ48" i="41"/>
  <c r="AG63" i="31"/>
  <c r="CH63" i="43"/>
  <c r="CU63" i="43"/>
  <c r="CO63" i="43"/>
  <c r="AB69" i="42"/>
  <c r="L69" i="32" s="1"/>
  <c r="M69" i="32" s="1"/>
  <c r="BZ69" i="42"/>
  <c r="BE69" i="38" s="1"/>
  <c r="BP69" i="38" s="1"/>
  <c r="BZ66" i="43"/>
  <c r="CW66" i="38" s="1"/>
  <c r="AB56" i="31"/>
  <c r="AL56" i="5" s="1"/>
  <c r="AM56" i="5" s="1"/>
  <c r="AB68" i="42"/>
  <c r="L68" i="32" s="1"/>
  <c r="BZ68" i="42"/>
  <c r="BE68" i="38" s="1"/>
  <c r="CG48" i="42"/>
  <c r="CJ48" i="42"/>
  <c r="CA48" i="42"/>
  <c r="BZ49" i="42"/>
  <c r="BE49" i="38" s="1"/>
  <c r="BP49" i="38" s="1"/>
  <c r="CD48" i="42"/>
  <c r="AB53" i="31"/>
  <c r="AL53" i="5" s="1"/>
  <c r="BG63" i="29"/>
  <c r="BD48" i="41"/>
  <c r="AB32" i="43"/>
  <c r="AL32" i="32" s="1"/>
  <c r="AC31" i="43"/>
  <c r="AB31" i="43" s="1"/>
  <c r="AL31" i="32" s="1"/>
  <c r="BA65" i="29"/>
  <c r="N65" i="18" s="1"/>
  <c r="BM48" i="18"/>
  <c r="BS48" i="29"/>
  <c r="W63" i="5"/>
  <c r="AB51" i="30"/>
  <c r="L51" i="5" s="1"/>
  <c r="CV48" i="30"/>
  <c r="CY48" i="18"/>
  <c r="BC63" i="18"/>
  <c r="BZ76" i="43"/>
  <c r="CW76" i="38" s="1"/>
  <c r="BZ76" i="30"/>
  <c r="BE76" i="18" s="1"/>
  <c r="BP76" i="18" s="1"/>
  <c r="AB58" i="30"/>
  <c r="L58" i="5" s="1"/>
  <c r="AB73" i="43"/>
  <c r="AL73" i="32" s="1"/>
  <c r="AO48" i="30"/>
  <c r="AM48" i="30"/>
  <c r="CH48" i="30"/>
  <c r="CL48" i="30"/>
  <c r="BB45" i="41"/>
  <c r="BA45" i="41" s="1"/>
  <c r="N45" i="38" s="1"/>
  <c r="BA46" i="41"/>
  <c r="N46" i="38" s="1"/>
  <c r="BA72" i="41"/>
  <c r="N72" i="38" s="1"/>
  <c r="CU63" i="18"/>
  <c r="AQ63" i="37"/>
  <c r="AB71" i="42"/>
  <c r="L71" i="32" s="1"/>
  <c r="BZ71" i="42"/>
  <c r="BE71" i="38" s="1"/>
  <c r="BZ69" i="30"/>
  <c r="BE69" i="18" s="1"/>
  <c r="BP69" i="18" s="1"/>
  <c r="AC45" i="31"/>
  <c r="AB45" i="31" s="1"/>
  <c r="AL45" i="5" s="1"/>
  <c r="AB46" i="31"/>
  <c r="AL46" i="5" s="1"/>
  <c r="AM46" i="5" s="1"/>
  <c r="AB70" i="30"/>
  <c r="L70" i="5" s="1"/>
  <c r="AB69" i="43"/>
  <c r="AL69" i="32" s="1"/>
  <c r="CJ63" i="43"/>
  <c r="AB65" i="43"/>
  <c r="AL65" i="32" s="1"/>
  <c r="AQ63" i="31"/>
  <c r="DK74" i="18"/>
  <c r="DK60" i="18"/>
  <c r="H70" i="31"/>
  <c r="H56" i="31"/>
  <c r="AA69" i="31"/>
  <c r="AA55" i="31"/>
  <c r="D56" i="31"/>
  <c r="D70" i="31"/>
  <c r="C20" i="31"/>
  <c r="BL76" i="31"/>
  <c r="BL62" i="31"/>
  <c r="BM55" i="31"/>
  <c r="BM69" i="31"/>
  <c r="AG65" i="18"/>
  <c r="AG51" i="18"/>
  <c r="BN66" i="30"/>
  <c r="BN52" i="30"/>
  <c r="CD68" i="18"/>
  <c r="CD54" i="18"/>
  <c r="S72" i="43"/>
  <c r="S58" i="43"/>
  <c r="BC66" i="43"/>
  <c r="BC52" i="43"/>
  <c r="AL55" i="37"/>
  <c r="AL69" i="37"/>
  <c r="BQ68" i="43"/>
  <c r="BQ54" i="43"/>
  <c r="AF52" i="18"/>
  <c r="AF66" i="18"/>
  <c r="I64" i="30"/>
  <c r="I50" i="30"/>
  <c r="BO71" i="43"/>
  <c r="BO57" i="43"/>
  <c r="P72" i="43"/>
  <c r="P58" i="43"/>
  <c r="T31" i="42"/>
  <c r="BF63" i="18"/>
  <c r="BE63" i="41"/>
  <c r="BZ73" i="31"/>
  <c r="CW73" i="18" s="1"/>
  <c r="DK61" i="18"/>
  <c r="DK75" i="18"/>
  <c r="N69" i="31"/>
  <c r="N55" i="31"/>
  <c r="Y71" i="31"/>
  <c r="Y57" i="31"/>
  <c r="Y66" i="31"/>
  <c r="Y52" i="31"/>
  <c r="Y53" i="31"/>
  <c r="Y67" i="31"/>
  <c r="O62" i="31"/>
  <c r="O76" i="31"/>
  <c r="G56" i="31"/>
  <c r="G70" i="31"/>
  <c r="R50" i="31"/>
  <c r="R64" i="31"/>
  <c r="H75" i="31"/>
  <c r="H61" i="31"/>
  <c r="Z53" i="31"/>
  <c r="Z67" i="31"/>
  <c r="E58" i="31"/>
  <c r="E72" i="31"/>
  <c r="I51" i="31"/>
  <c r="I65" i="31"/>
  <c r="I54" i="31"/>
  <c r="I68" i="31"/>
  <c r="P52" i="31"/>
  <c r="P66" i="31"/>
  <c r="T69" i="31"/>
  <c r="T55" i="31"/>
  <c r="W57" i="31"/>
  <c r="W71" i="31"/>
  <c r="W66" i="31"/>
  <c r="W52" i="31"/>
  <c r="W67" i="31"/>
  <c r="W53" i="31"/>
  <c r="AA45" i="31"/>
  <c r="V62" i="31"/>
  <c r="V76" i="31"/>
  <c r="D68" i="31"/>
  <c r="D54" i="31"/>
  <c r="C9" i="31"/>
  <c r="D75" i="31"/>
  <c r="D61" i="31"/>
  <c r="C18" i="31"/>
  <c r="K64" i="31"/>
  <c r="K50" i="31"/>
  <c r="S75" i="31"/>
  <c r="S61" i="31"/>
  <c r="F67" i="31"/>
  <c r="F53" i="31"/>
  <c r="J58" i="31"/>
  <c r="J72" i="31"/>
  <c r="J68" i="31"/>
  <c r="J54" i="31"/>
  <c r="M65" i="31"/>
  <c r="M51" i="31"/>
  <c r="M54" i="31"/>
  <c r="M68" i="31"/>
  <c r="U59" i="31"/>
  <c r="U73" i="31"/>
  <c r="X55" i="31"/>
  <c r="X69" i="31"/>
  <c r="X60" i="31"/>
  <c r="X74" i="31"/>
  <c r="BI31" i="31"/>
  <c r="BQ75" i="31"/>
  <c r="BQ61" i="31"/>
  <c r="BB50" i="31"/>
  <c r="BB64" i="31"/>
  <c r="BA25" i="31"/>
  <c r="BR58" i="31"/>
  <c r="BR72" i="31"/>
  <c r="BH76" i="31"/>
  <c r="BH62" i="31"/>
  <c r="BE45" i="31"/>
  <c r="BT71" i="31"/>
  <c r="BT57" i="31"/>
  <c r="BW75" i="31"/>
  <c r="BW61" i="31"/>
  <c r="BI64" i="31"/>
  <c r="BI50" i="31"/>
  <c r="BB74" i="31"/>
  <c r="BB60" i="31"/>
  <c r="BA12" i="31"/>
  <c r="BC76" i="31"/>
  <c r="BC62" i="31"/>
  <c r="BU54" i="31"/>
  <c r="BU68" i="31"/>
  <c r="BK56" i="31"/>
  <c r="BK70" i="31"/>
  <c r="BO31" i="31"/>
  <c r="BE55" i="31"/>
  <c r="BE69" i="31"/>
  <c r="BW52" i="31"/>
  <c r="BW66" i="31"/>
  <c r="BM72" i="31"/>
  <c r="BM58" i="31"/>
  <c r="BX64" i="31"/>
  <c r="BX50" i="31"/>
  <c r="BB44" i="31"/>
  <c r="BA15" i="31"/>
  <c r="BA44" i="31" s="1"/>
  <c r="BC52" i="31"/>
  <c r="BC66" i="31"/>
  <c r="BJ76" i="31"/>
  <c r="BJ62" i="31"/>
  <c r="BN59" i="31"/>
  <c r="BN73" i="31"/>
  <c r="BD53" i="31"/>
  <c r="BD67" i="31"/>
  <c r="BP69" i="31"/>
  <c r="BP55" i="31"/>
  <c r="BF67" i="31"/>
  <c r="BF53" i="31"/>
  <c r="BX68" i="31"/>
  <c r="BX54" i="31"/>
  <c r="BR57" i="31"/>
  <c r="BR71" i="31"/>
  <c r="BK69" i="31"/>
  <c r="BK55" i="31"/>
  <c r="BS69" i="31"/>
  <c r="BS55" i="31"/>
  <c r="BV45" i="31"/>
  <c r="BE75" i="31"/>
  <c r="BE61" i="31"/>
  <c r="BG72" i="42"/>
  <c r="BG58" i="42"/>
  <c r="BG31" i="30"/>
  <c r="AH66" i="18"/>
  <c r="AH52" i="18"/>
  <c r="F55" i="30"/>
  <c r="F69" i="30"/>
  <c r="BJ45" i="42"/>
  <c r="BU45" i="30"/>
  <c r="Q76" i="43"/>
  <c r="Q62" i="43"/>
  <c r="Q31" i="43"/>
  <c r="BD64" i="42"/>
  <c r="BD50" i="42"/>
  <c r="BS71" i="43"/>
  <c r="BS57" i="43"/>
  <c r="BS67" i="43"/>
  <c r="BS53" i="43"/>
  <c r="AG75" i="18"/>
  <c r="AG63" i="18" s="1"/>
  <c r="AG61" i="18"/>
  <c r="AG48" i="18" s="1"/>
  <c r="G75" i="42"/>
  <c r="G61" i="42"/>
  <c r="G51" i="30"/>
  <c r="G65" i="30"/>
  <c r="BN31" i="30"/>
  <c r="J55" i="42"/>
  <c r="J69" i="42"/>
  <c r="J72" i="30"/>
  <c r="J58" i="30"/>
  <c r="X73" i="42"/>
  <c r="X59" i="42"/>
  <c r="X69" i="42"/>
  <c r="X55" i="42"/>
  <c r="BK72" i="42"/>
  <c r="BK58" i="42"/>
  <c r="N58" i="42"/>
  <c r="N72" i="42"/>
  <c r="V59" i="43"/>
  <c r="V73" i="43"/>
  <c r="BY50" i="43"/>
  <c r="BY64" i="43"/>
  <c r="BL76" i="42"/>
  <c r="BL62" i="42"/>
  <c r="BL31" i="42"/>
  <c r="BP68" i="43"/>
  <c r="BP54" i="43"/>
  <c r="BP71" i="30"/>
  <c r="BP57" i="30"/>
  <c r="BW71" i="42"/>
  <c r="BW57" i="42"/>
  <c r="BW67" i="42"/>
  <c r="BW53" i="42"/>
  <c r="AC68" i="18"/>
  <c r="AC54" i="18"/>
  <c r="AL70" i="18"/>
  <c r="AL56" i="18"/>
  <c r="AH50" i="37"/>
  <c r="AH64" i="37"/>
  <c r="AH54" i="37"/>
  <c r="AH68" i="37"/>
  <c r="U45" i="42"/>
  <c r="BJ71" i="43"/>
  <c r="BJ57" i="43"/>
  <c r="BJ67" i="43"/>
  <c r="BJ53" i="43"/>
  <c r="BU68" i="42"/>
  <c r="BU54" i="42"/>
  <c r="BU64" i="30"/>
  <c r="BU50" i="30"/>
  <c r="G66" i="42"/>
  <c r="G52" i="42"/>
  <c r="Y45" i="43"/>
  <c r="BN60" i="42"/>
  <c r="BN74" i="42"/>
  <c r="J76" i="42"/>
  <c r="J62" i="42"/>
  <c r="J31" i="42"/>
  <c r="X51" i="43"/>
  <c r="X65" i="43"/>
  <c r="X74" i="43"/>
  <c r="X60" i="43"/>
  <c r="N73" i="43"/>
  <c r="N59" i="43"/>
  <c r="BE73" i="42"/>
  <c r="BE59" i="42"/>
  <c r="BY69" i="43"/>
  <c r="BY55" i="43"/>
  <c r="BL75" i="30"/>
  <c r="BL61" i="30"/>
  <c r="BP56" i="42"/>
  <c r="BP70" i="42"/>
  <c r="BT71" i="43"/>
  <c r="BT57" i="43"/>
  <c r="BT67" i="43"/>
  <c r="BT53" i="43"/>
  <c r="AC31" i="18"/>
  <c r="AL74" i="37"/>
  <c r="AL60" i="37"/>
  <c r="BG75" i="43"/>
  <c r="BG61" i="43"/>
  <c r="BG59" i="30"/>
  <c r="BG73" i="30"/>
  <c r="BZ74" i="18"/>
  <c r="BZ60" i="18"/>
  <c r="F69" i="42"/>
  <c r="F55" i="42"/>
  <c r="U66" i="43"/>
  <c r="U52" i="43"/>
  <c r="BJ74" i="43"/>
  <c r="BJ60" i="43"/>
  <c r="BU70" i="43"/>
  <c r="BU56" i="43"/>
  <c r="Q68" i="43"/>
  <c r="Q54" i="43"/>
  <c r="BD76" i="42"/>
  <c r="BD62" i="42"/>
  <c r="BD31" i="42"/>
  <c r="BY64" i="18"/>
  <c r="BY50" i="18"/>
  <c r="G70" i="43"/>
  <c r="G56" i="43"/>
  <c r="Y66" i="42"/>
  <c r="Y52" i="42"/>
  <c r="BN75" i="43"/>
  <c r="BN61" i="43"/>
  <c r="BN65" i="30"/>
  <c r="BN51" i="30"/>
  <c r="N75" i="42"/>
  <c r="N61" i="42"/>
  <c r="N61" i="30"/>
  <c r="N75" i="30"/>
  <c r="V66" i="42"/>
  <c r="V52" i="42"/>
  <c r="BL65" i="42"/>
  <c r="BL51" i="42"/>
  <c r="BP62" i="42"/>
  <c r="BP76" i="42"/>
  <c r="BP31" i="42"/>
  <c r="BW73" i="43"/>
  <c r="BW59" i="43"/>
  <c r="BU45" i="18"/>
  <c r="AH45" i="37"/>
  <c r="AI53" i="37"/>
  <c r="AI67" i="37"/>
  <c r="AI51" i="37"/>
  <c r="AI65" i="37"/>
  <c r="D71" i="42"/>
  <c r="D57" i="42"/>
  <c r="C29" i="42"/>
  <c r="C13" i="42"/>
  <c r="D33" i="42"/>
  <c r="C33" i="42" s="1"/>
  <c r="C27" i="30"/>
  <c r="D76" i="30"/>
  <c r="D62" i="30"/>
  <c r="H52" i="30"/>
  <c r="H66" i="30"/>
  <c r="BG65" i="42"/>
  <c r="BG51" i="42"/>
  <c r="BG51" i="30"/>
  <c r="BG65" i="30"/>
  <c r="U74" i="42"/>
  <c r="U60" i="42"/>
  <c r="BJ76" i="43"/>
  <c r="BJ62" i="43"/>
  <c r="BU73" i="43"/>
  <c r="BU59" i="43"/>
  <c r="BU69" i="30"/>
  <c r="BU55" i="30"/>
  <c r="Q69" i="42"/>
  <c r="Q55" i="42"/>
  <c r="Q73" i="30"/>
  <c r="Q59" i="30"/>
  <c r="BD75" i="43"/>
  <c r="BD61" i="43"/>
  <c r="BD31" i="30"/>
  <c r="C25" i="30"/>
  <c r="D64" i="30"/>
  <c r="D50" i="30"/>
  <c r="K69" i="43"/>
  <c r="K55" i="43"/>
  <c r="O65" i="42"/>
  <c r="O51" i="42"/>
  <c r="S74" i="43"/>
  <c r="S60" i="43"/>
  <c r="S74" i="30"/>
  <c r="S60" i="30"/>
  <c r="Z68" i="42"/>
  <c r="Z54" i="42"/>
  <c r="BR64" i="42"/>
  <c r="BR50" i="42"/>
  <c r="BR72" i="30"/>
  <c r="BR58" i="30"/>
  <c r="G55" i="30"/>
  <c r="G69" i="30"/>
  <c r="Y74" i="42"/>
  <c r="Y60" i="42"/>
  <c r="W69" i="37"/>
  <c r="W55" i="37"/>
  <c r="BK68" i="42"/>
  <c r="BK54" i="42"/>
  <c r="N51" i="43"/>
  <c r="N65" i="43"/>
  <c r="V72" i="42"/>
  <c r="V58" i="42"/>
  <c r="V62" i="30"/>
  <c r="V76" i="30"/>
  <c r="D75" i="43"/>
  <c r="D61" i="43"/>
  <c r="C18" i="43"/>
  <c r="D38" i="43"/>
  <c r="C38" i="43" s="1"/>
  <c r="C2" i="43"/>
  <c r="H31" i="42"/>
  <c r="Z72" i="43"/>
  <c r="Z58" i="43"/>
  <c r="BR72" i="43"/>
  <c r="BR58" i="43"/>
  <c r="S45" i="42"/>
  <c r="BC71" i="30"/>
  <c r="BC57" i="30"/>
  <c r="BR51" i="30"/>
  <c r="BR65" i="30"/>
  <c r="AD60" i="18"/>
  <c r="AD74" i="18"/>
  <c r="M57" i="30"/>
  <c r="M71" i="30"/>
  <c r="BN50" i="43"/>
  <c r="BN64" i="43"/>
  <c r="J66" i="42"/>
  <c r="J52" i="42"/>
  <c r="J73" i="30"/>
  <c r="J59" i="30"/>
  <c r="BE51" i="42"/>
  <c r="BE65" i="42"/>
  <c r="BL76" i="30"/>
  <c r="BL62" i="30"/>
  <c r="BP45" i="43"/>
  <c r="AC75" i="18"/>
  <c r="AC61" i="18"/>
  <c r="AL51" i="18"/>
  <c r="AL65" i="18"/>
  <c r="AK72" i="37"/>
  <c r="AK58" i="37"/>
  <c r="F55" i="37"/>
  <c r="F69" i="37"/>
  <c r="BV71" i="18"/>
  <c r="BV57" i="18"/>
  <c r="M73" i="42"/>
  <c r="M59" i="42"/>
  <c r="AI72" i="18"/>
  <c r="AI58" i="18"/>
  <c r="BA15" i="42"/>
  <c r="BB44" i="42"/>
  <c r="BA44" i="42" s="1"/>
  <c r="BF51" i="30"/>
  <c r="BF65" i="30"/>
  <c r="BI72" i="42"/>
  <c r="BI58" i="42"/>
  <c r="E31" i="42"/>
  <c r="I60" i="30"/>
  <c r="I74" i="30"/>
  <c r="L72" i="42"/>
  <c r="L58" i="42"/>
  <c r="P71" i="42"/>
  <c r="P57" i="42"/>
  <c r="W76" i="42"/>
  <c r="W62" i="42"/>
  <c r="W31" i="42"/>
  <c r="D70" i="43"/>
  <c r="D56" i="43"/>
  <c r="C20" i="43"/>
  <c r="D40" i="43"/>
  <c r="C40" i="43" s="1"/>
  <c r="C4" i="43"/>
  <c r="H70" i="43"/>
  <c r="H56" i="43"/>
  <c r="H64" i="43"/>
  <c r="H50" i="43"/>
  <c r="K66" i="43"/>
  <c r="K52" i="43"/>
  <c r="K50" i="30"/>
  <c r="K64" i="30"/>
  <c r="O57" i="30"/>
  <c r="O71" i="30"/>
  <c r="S68" i="43"/>
  <c r="S54" i="43"/>
  <c r="C47" i="42"/>
  <c r="BH68" i="43"/>
  <c r="BH54" i="43"/>
  <c r="BO61" i="42"/>
  <c r="BO75" i="42"/>
  <c r="BO54" i="30"/>
  <c r="BO68" i="30"/>
  <c r="BV72" i="42"/>
  <c r="BV58" i="42"/>
  <c r="AA75" i="42"/>
  <c r="AA61" i="42"/>
  <c r="AA70" i="30"/>
  <c r="AA56" i="30"/>
  <c r="BB36" i="43"/>
  <c r="BA36" i="43" s="1"/>
  <c r="BA26" i="43"/>
  <c r="BB46" i="43"/>
  <c r="BA46" i="43" s="1"/>
  <c r="BA10" i="43"/>
  <c r="BA18" i="30"/>
  <c r="BB75" i="30"/>
  <c r="BB61" i="30"/>
  <c r="BA30" i="30"/>
  <c r="BA35" i="30" s="1"/>
  <c r="BB35" i="30"/>
  <c r="BI72" i="30"/>
  <c r="BI58" i="30"/>
  <c r="BM51" i="43"/>
  <c r="BM65" i="43"/>
  <c r="BQ71" i="43"/>
  <c r="BQ57" i="43"/>
  <c r="BQ67" i="43"/>
  <c r="BQ53" i="43"/>
  <c r="BX76" i="42"/>
  <c r="BX62" i="42"/>
  <c r="BX31" i="42"/>
  <c r="AE62" i="18"/>
  <c r="AE76" i="18"/>
  <c r="AJ76" i="18"/>
  <c r="AJ62" i="18"/>
  <c r="L76" i="42"/>
  <c r="L62" i="42"/>
  <c r="T66" i="43"/>
  <c r="T52" i="43"/>
  <c r="T69" i="30"/>
  <c r="T55" i="30"/>
  <c r="W69" i="30"/>
  <c r="W55" i="30"/>
  <c r="P64" i="42"/>
  <c r="P50" i="42"/>
  <c r="BR75" i="42"/>
  <c r="BR61" i="42"/>
  <c r="BR31" i="30"/>
  <c r="M50" i="43"/>
  <c r="M64" i="43"/>
  <c r="BH70" i="42"/>
  <c r="BH56" i="42"/>
  <c r="BO50" i="43"/>
  <c r="BO64" i="43"/>
  <c r="BV45" i="30"/>
  <c r="AA66" i="42"/>
  <c r="AA52" i="42"/>
  <c r="AA57" i="30"/>
  <c r="AA71" i="30"/>
  <c r="BB50" i="43"/>
  <c r="BB64" i="43"/>
  <c r="BA25" i="43"/>
  <c r="BB68" i="43"/>
  <c r="BB54" i="43"/>
  <c r="BA9" i="43"/>
  <c r="BF64" i="42"/>
  <c r="BF50" i="42"/>
  <c r="BF45" i="42"/>
  <c r="BM69" i="43"/>
  <c r="BM55" i="43"/>
  <c r="BW68" i="18"/>
  <c r="BW54" i="18"/>
  <c r="BX74" i="18"/>
  <c r="BX60" i="18"/>
  <c r="BX67" i="18"/>
  <c r="BX53" i="18"/>
  <c r="CB73" i="18"/>
  <c r="CB59" i="18"/>
  <c r="E74" i="43"/>
  <c r="E60" i="43"/>
  <c r="I54" i="42"/>
  <c r="I68" i="42"/>
  <c r="W66" i="30"/>
  <c r="W52" i="30"/>
  <c r="M58" i="42"/>
  <c r="M72" i="42"/>
  <c r="M72" i="30"/>
  <c r="M58" i="30"/>
  <c r="BH73" i="43"/>
  <c r="BH59" i="43"/>
  <c r="BH71" i="30"/>
  <c r="BH57" i="30"/>
  <c r="BO60" i="42"/>
  <c r="BO74" i="42"/>
  <c r="BO70" i="30"/>
  <c r="BO56" i="30"/>
  <c r="BV31" i="30"/>
  <c r="CA64" i="18"/>
  <c r="CA50" i="18"/>
  <c r="F66" i="37"/>
  <c r="F52" i="37"/>
  <c r="R62" i="42"/>
  <c r="R76" i="42"/>
  <c r="BB70" i="43"/>
  <c r="BB56" i="43"/>
  <c r="BA20" i="43"/>
  <c r="BB40" i="43"/>
  <c r="BA40" i="43" s="1"/>
  <c r="BA4" i="43"/>
  <c r="BA13" i="30"/>
  <c r="BA33" i="30" s="1"/>
  <c r="BB33" i="30"/>
  <c r="BA25" i="30"/>
  <c r="BB64" i="30"/>
  <c r="BB50" i="30"/>
  <c r="BF73" i="42"/>
  <c r="BF59" i="42"/>
  <c r="BI64" i="42"/>
  <c r="BI50" i="42"/>
  <c r="BQ76" i="43"/>
  <c r="BQ62" i="43"/>
  <c r="BQ31" i="43"/>
  <c r="BX71" i="42"/>
  <c r="BX57" i="42"/>
  <c r="BX67" i="42"/>
  <c r="BX53" i="42"/>
  <c r="AE45" i="18"/>
  <c r="AF31" i="18"/>
  <c r="AJ61" i="18"/>
  <c r="AJ75" i="18"/>
  <c r="E74" i="30"/>
  <c r="E60" i="30"/>
  <c r="I72" i="42"/>
  <c r="I58" i="42"/>
  <c r="I76" i="30"/>
  <c r="I62" i="30"/>
  <c r="L68" i="43"/>
  <c r="L54" i="43"/>
  <c r="W72" i="43"/>
  <c r="W58" i="43"/>
  <c r="CE63" i="42"/>
  <c r="CE48" i="43"/>
  <c r="AJ48" i="43"/>
  <c r="AM48" i="43"/>
  <c r="AB74" i="43"/>
  <c r="AL74" i="32" s="1"/>
  <c r="AI63" i="43"/>
  <c r="AB50" i="43"/>
  <c r="AL50" i="32" s="1"/>
  <c r="AH63" i="43"/>
  <c r="AB70" i="31"/>
  <c r="AL70" i="5" s="1"/>
  <c r="AM70" i="5" s="1"/>
  <c r="M45" i="5"/>
  <c r="AB66" i="30"/>
  <c r="L66" i="5" s="1"/>
  <c r="M66" i="5" s="1"/>
  <c r="BA2" i="30"/>
  <c r="BA38" i="30" s="1"/>
  <c r="U48" i="5"/>
  <c r="CS48" i="42"/>
  <c r="CV48" i="42"/>
  <c r="CM48" i="42"/>
  <c r="CP48" i="42"/>
  <c r="BA70" i="29"/>
  <c r="N70" i="18" s="1"/>
  <c r="BA72" i="29"/>
  <c r="N72" i="18" s="1"/>
  <c r="AL63" i="31"/>
  <c r="AC31" i="30"/>
  <c r="AB31" i="30" s="1"/>
  <c r="L31" i="5" s="1"/>
  <c r="M31" i="5" s="1"/>
  <c r="AB32" i="30"/>
  <c r="L32" i="5" s="1"/>
  <c r="M32" i="5" s="1"/>
  <c r="AB71" i="30"/>
  <c r="L71" i="5" s="1"/>
  <c r="M71" i="5" s="1"/>
  <c r="BZ71" i="30"/>
  <c r="BE71" i="18" s="1"/>
  <c r="BP71" i="18" s="1"/>
  <c r="BZ57" i="30"/>
  <c r="BE57" i="18" s="1"/>
  <c r="BP57" i="18" s="1"/>
  <c r="D48" i="5"/>
  <c r="BG48" i="29"/>
  <c r="BW63" i="41"/>
  <c r="AB54" i="43"/>
  <c r="AL54" i="32" s="1"/>
  <c r="R63" i="18"/>
  <c r="BZ71" i="43"/>
  <c r="CW71" i="38" s="1"/>
  <c r="AM63" i="37"/>
  <c r="BZ61" i="42"/>
  <c r="BE61" i="38" s="1"/>
  <c r="BP61" i="38" s="1"/>
  <c r="AB56" i="42"/>
  <c r="L56" i="32" s="1"/>
  <c r="M56" i="32" s="1"/>
  <c r="BZ56" i="42"/>
  <c r="BE56" i="38" s="1"/>
  <c r="AB76" i="43"/>
  <c r="AL76" i="32" s="1"/>
  <c r="AB76" i="30"/>
  <c r="L76" i="5" s="1"/>
  <c r="M76" i="5" s="1"/>
  <c r="BZ72" i="30"/>
  <c r="BE72" i="18" s="1"/>
  <c r="BA76" i="41"/>
  <c r="N76" i="38" s="1"/>
  <c r="AP63" i="37"/>
  <c r="AS48" i="30"/>
  <c r="AY48" i="30"/>
  <c r="CT48" i="30"/>
  <c r="CX48" i="30"/>
  <c r="DN57" i="18"/>
  <c r="AC31" i="31"/>
  <c r="AB31" i="31" s="1"/>
  <c r="AL31" i="5" s="1"/>
  <c r="AM31" i="5" s="1"/>
  <c r="AB32" i="31"/>
  <c r="AL32" i="5" s="1"/>
  <c r="AM32" i="5" s="1"/>
  <c r="BD63" i="41"/>
  <c r="AR63" i="37"/>
  <c r="AB64" i="30"/>
  <c r="L64" i="5" s="1"/>
  <c r="M64" i="5" s="1"/>
  <c r="AC63" i="30"/>
  <c r="CK63" i="30"/>
  <c r="BZ50" i="30"/>
  <c r="BE50" i="18" s="1"/>
  <c r="BP50" i="18" s="1"/>
  <c r="BB31" i="29"/>
  <c r="BA31" i="29" s="1"/>
  <c r="N31" i="18" s="1"/>
  <c r="BA33" i="29"/>
  <c r="N33" i="18" s="1"/>
  <c r="O63" i="18"/>
  <c r="AB46" i="30"/>
  <c r="L46" i="5" s="1"/>
  <c r="M46" i="5" s="1"/>
  <c r="AC45" i="30"/>
  <c r="AB45" i="30" s="1"/>
  <c r="L45" i="5" s="1"/>
  <c r="BZ55" i="30"/>
  <c r="BE55" i="18" s="1"/>
  <c r="AF63" i="31"/>
  <c r="M62" i="5"/>
  <c r="J60" i="37"/>
  <c r="BZ69" i="43"/>
  <c r="CW69" i="38" s="1"/>
  <c r="BA71" i="29"/>
  <c r="N71" i="18" s="1"/>
  <c r="BM63" i="41"/>
  <c r="BA50" i="29"/>
  <c r="N50" i="18" s="1"/>
  <c r="CT63" i="18"/>
  <c r="CD48" i="31"/>
  <c r="AR63" i="31"/>
  <c r="AM53" i="5"/>
  <c r="CI63" i="31"/>
  <c r="AA60" i="31"/>
  <c r="AA74" i="31"/>
  <c r="S70" i="31"/>
  <c r="S56" i="31"/>
  <c r="U51" i="31"/>
  <c r="U65" i="31"/>
  <c r="BG72" i="31"/>
  <c r="BG58" i="31"/>
  <c r="BY67" i="43"/>
  <c r="BY53" i="43"/>
  <c r="AL52" i="18"/>
  <c r="AL66" i="18"/>
  <c r="BU65" i="30"/>
  <c r="BU51" i="30"/>
  <c r="CD57" i="18"/>
  <c r="CD71" i="18"/>
  <c r="BL64" i="42"/>
  <c r="BL50" i="42"/>
  <c r="H72" i="42"/>
  <c r="H58" i="42"/>
  <c r="L70" i="30"/>
  <c r="L56" i="30"/>
  <c r="BA28" i="30"/>
  <c r="BA43" i="30" s="1"/>
  <c r="BB43" i="30"/>
  <c r="W72" i="30"/>
  <c r="W58" i="30"/>
  <c r="M71" i="43"/>
  <c r="M57" i="43"/>
  <c r="BQ73" i="43"/>
  <c r="BQ59" i="43"/>
  <c r="R69" i="31"/>
  <c r="R55" i="31"/>
  <c r="H71" i="31"/>
  <c r="H57" i="31"/>
  <c r="H67" i="31"/>
  <c r="H53" i="31"/>
  <c r="I56" i="31"/>
  <c r="I70" i="31"/>
  <c r="P73" i="31"/>
  <c r="P59" i="31"/>
  <c r="T60" i="31"/>
  <c r="T74" i="31"/>
  <c r="T51" i="31"/>
  <c r="T65" i="31"/>
  <c r="W72" i="31"/>
  <c r="W58" i="31"/>
  <c r="AA51" i="31"/>
  <c r="AA65" i="31"/>
  <c r="AA68" i="31"/>
  <c r="AA54" i="31"/>
  <c r="K55" i="31"/>
  <c r="K69" i="31"/>
  <c r="S71" i="31"/>
  <c r="S57" i="31"/>
  <c r="J62" i="31"/>
  <c r="J76" i="31"/>
  <c r="M70" i="31"/>
  <c r="M56" i="31"/>
  <c r="U61" i="31"/>
  <c r="U75" i="31"/>
  <c r="BM31" i="31"/>
  <c r="BB65" i="31"/>
  <c r="BB51" i="31"/>
  <c r="BA21" i="31"/>
  <c r="BR74" i="31"/>
  <c r="BR60" i="31"/>
  <c r="BT50" i="31"/>
  <c r="BT64" i="31"/>
  <c r="BI51" i="31"/>
  <c r="BI65" i="31"/>
  <c r="BB54" i="31"/>
  <c r="BB68" i="31"/>
  <c r="BA9" i="31"/>
  <c r="BJ69" i="31"/>
  <c r="BJ55" i="31"/>
  <c r="BR76" i="31"/>
  <c r="BR62" i="31"/>
  <c r="BU67" i="31"/>
  <c r="BU53" i="31"/>
  <c r="BK74" i="31"/>
  <c r="BK60" i="31"/>
  <c r="BE56" i="31"/>
  <c r="BE70" i="31"/>
  <c r="BM74" i="31"/>
  <c r="BM60" i="31"/>
  <c r="BX51" i="31"/>
  <c r="BX65" i="31"/>
  <c r="BB41" i="31"/>
  <c r="BA8" i="31"/>
  <c r="BA41" i="31" s="1"/>
  <c r="BN31" i="31"/>
  <c r="BV75" i="31"/>
  <c r="BV61" i="31"/>
  <c r="BE76" i="31"/>
  <c r="BE62" i="31"/>
  <c r="BY73" i="31"/>
  <c r="BY59" i="31"/>
  <c r="BP56" i="31"/>
  <c r="BP70" i="31"/>
  <c r="BI76" i="31"/>
  <c r="BI62" i="31"/>
  <c r="BQ76" i="31"/>
  <c r="BQ62" i="31"/>
  <c r="BX67" i="31"/>
  <c r="BX53" i="31"/>
  <c r="BR50" i="31"/>
  <c r="BR64" i="31"/>
  <c r="BK58" i="31"/>
  <c r="BK72" i="31"/>
  <c r="BG74" i="43"/>
  <c r="BG60" i="43"/>
  <c r="BG61" i="30"/>
  <c r="BG75" i="30"/>
  <c r="BZ66" i="18"/>
  <c r="BZ52" i="18"/>
  <c r="U73" i="43"/>
  <c r="U59" i="43"/>
  <c r="Q76" i="42"/>
  <c r="Q62" i="42"/>
  <c r="BD65" i="43"/>
  <c r="BD51" i="43"/>
  <c r="BS71" i="42"/>
  <c r="BS57" i="42"/>
  <c r="BS67" i="42"/>
  <c r="BS53" i="42"/>
  <c r="BY61" i="18"/>
  <c r="BY48" i="18" s="1"/>
  <c r="BY75" i="18"/>
  <c r="BY63" i="18" s="1"/>
  <c r="G64" i="30"/>
  <c r="G50" i="30"/>
  <c r="J70" i="43"/>
  <c r="J56" i="43"/>
  <c r="J70" i="30"/>
  <c r="J56" i="30"/>
  <c r="X53" i="30"/>
  <c r="X67" i="30"/>
  <c r="X75" i="43"/>
  <c r="X61" i="43"/>
  <c r="BK74" i="43"/>
  <c r="BK60" i="43"/>
  <c r="BK75" i="30"/>
  <c r="BK61" i="30"/>
  <c r="N74" i="43"/>
  <c r="N60" i="43"/>
  <c r="N60" i="30"/>
  <c r="N74" i="30"/>
  <c r="V73" i="42"/>
  <c r="V59" i="42"/>
  <c r="BY64" i="42"/>
  <c r="BY50" i="42"/>
  <c r="BY48" i="42" s="1"/>
  <c r="BL54" i="30"/>
  <c r="BL68" i="30"/>
  <c r="BP68" i="42"/>
  <c r="BP54" i="42"/>
  <c r="BP73" i="30"/>
  <c r="BP59" i="30"/>
  <c r="BT58" i="30"/>
  <c r="BT72" i="30"/>
  <c r="BW50" i="43"/>
  <c r="BW64" i="43"/>
  <c r="BU68" i="18"/>
  <c r="BU54" i="18"/>
  <c r="CD70" i="18"/>
  <c r="CD56" i="18"/>
  <c r="AI64" i="37"/>
  <c r="AI50" i="37"/>
  <c r="AI68" i="37"/>
  <c r="AI54" i="37"/>
  <c r="BG73" i="43"/>
  <c r="BG59" i="43"/>
  <c r="BJ71" i="42"/>
  <c r="BJ57" i="42"/>
  <c r="BJ67" i="42"/>
  <c r="BJ53" i="42"/>
  <c r="BU71" i="43"/>
  <c r="BU57" i="43"/>
  <c r="BU67" i="43"/>
  <c r="BU53" i="43"/>
  <c r="BU76" i="30"/>
  <c r="BU62" i="30"/>
  <c r="BD69" i="43"/>
  <c r="BD55" i="43"/>
  <c r="BD68" i="30"/>
  <c r="BD54" i="30"/>
  <c r="G54" i="30"/>
  <c r="G68" i="30"/>
  <c r="W31" i="37"/>
  <c r="J31" i="30"/>
  <c r="X65" i="42"/>
  <c r="X51" i="42"/>
  <c r="X74" i="42"/>
  <c r="X60" i="42"/>
  <c r="BK76" i="30"/>
  <c r="BK62" i="30"/>
  <c r="N59" i="42"/>
  <c r="N73" i="42"/>
  <c r="BE76" i="43"/>
  <c r="BE62" i="43"/>
  <c r="BE31" i="43"/>
  <c r="BY69" i="42"/>
  <c r="BY55" i="42"/>
  <c r="BY73" i="30"/>
  <c r="BY59" i="30"/>
  <c r="BL70" i="30"/>
  <c r="BL56" i="30"/>
  <c r="BP72" i="43"/>
  <c r="BP58" i="43"/>
  <c r="BT71" i="42"/>
  <c r="BT57" i="42"/>
  <c r="BT67" i="42"/>
  <c r="BT53" i="42"/>
  <c r="AL72" i="18"/>
  <c r="AL58" i="18"/>
  <c r="BG75" i="42"/>
  <c r="BG61" i="42"/>
  <c r="BG68" i="30"/>
  <c r="BG54" i="30"/>
  <c r="AH61" i="18"/>
  <c r="AH48" i="18" s="1"/>
  <c r="AH75" i="18"/>
  <c r="AH63" i="18" s="1"/>
  <c r="F70" i="43"/>
  <c r="F56" i="43"/>
  <c r="U66" i="42"/>
  <c r="U52" i="42"/>
  <c r="U51" i="30"/>
  <c r="U65" i="30"/>
  <c r="BJ74" i="42"/>
  <c r="BJ60" i="42"/>
  <c r="BU70" i="42"/>
  <c r="BU56" i="42"/>
  <c r="Q68" i="42"/>
  <c r="Q54" i="42"/>
  <c r="BS73" i="43"/>
  <c r="BS59" i="43"/>
  <c r="G70" i="42"/>
  <c r="G56" i="42"/>
  <c r="Y62" i="30"/>
  <c r="Y76" i="30"/>
  <c r="BN61" i="42"/>
  <c r="BN75" i="42"/>
  <c r="J75" i="43"/>
  <c r="J61" i="43"/>
  <c r="J75" i="30"/>
  <c r="J61" i="30"/>
  <c r="BK72" i="30"/>
  <c r="BK58" i="30"/>
  <c r="BE75" i="43"/>
  <c r="BE61" i="43"/>
  <c r="BE52" i="30"/>
  <c r="BE66" i="30"/>
  <c r="BY55" i="30"/>
  <c r="BY69" i="30"/>
  <c r="BL66" i="43"/>
  <c r="BL52" i="43"/>
  <c r="BP31" i="30"/>
  <c r="BT69" i="43"/>
  <c r="BT55" i="43"/>
  <c r="BT74" i="30"/>
  <c r="BT60" i="30"/>
  <c r="BW73" i="42"/>
  <c r="BW59" i="42"/>
  <c r="AC52" i="18"/>
  <c r="AC66" i="18"/>
  <c r="AK45" i="37"/>
  <c r="AL53" i="37"/>
  <c r="AL67" i="37"/>
  <c r="AL51" i="37"/>
  <c r="AL65" i="37"/>
  <c r="D50" i="43"/>
  <c r="D64" i="43"/>
  <c r="C25" i="43"/>
  <c r="D68" i="43"/>
  <c r="D54" i="43"/>
  <c r="C9" i="43"/>
  <c r="C4" i="30"/>
  <c r="C40" i="30" s="1"/>
  <c r="F40" i="5" s="1"/>
  <c r="H40" i="5" s="1"/>
  <c r="D40" i="30"/>
  <c r="H73" i="30"/>
  <c r="H59" i="30"/>
  <c r="H51" i="30"/>
  <c r="H65" i="30"/>
  <c r="BG66" i="43"/>
  <c r="BG52" i="43"/>
  <c r="BG50" i="30"/>
  <c r="BG64" i="30"/>
  <c r="F76" i="30"/>
  <c r="F62" i="30"/>
  <c r="BJ76" i="42"/>
  <c r="BJ62" i="42"/>
  <c r="BJ31" i="42"/>
  <c r="BJ74" i="30"/>
  <c r="BJ60" i="30"/>
  <c r="BU73" i="42"/>
  <c r="BU59" i="42"/>
  <c r="Q70" i="43"/>
  <c r="Q56" i="43"/>
  <c r="BD75" i="42"/>
  <c r="BD61" i="42"/>
  <c r="BD72" i="30"/>
  <c r="BD58" i="30"/>
  <c r="C27" i="42"/>
  <c r="D76" i="42"/>
  <c r="C76" i="42" s="1"/>
  <c r="D62" i="42"/>
  <c r="C11" i="42"/>
  <c r="D39" i="42"/>
  <c r="C39" i="42" s="1"/>
  <c r="C29" i="30"/>
  <c r="D57" i="30"/>
  <c r="D71" i="30"/>
  <c r="H76" i="30"/>
  <c r="H62" i="30"/>
  <c r="K55" i="42"/>
  <c r="K69" i="42"/>
  <c r="O66" i="43"/>
  <c r="O52" i="43"/>
  <c r="S74" i="42"/>
  <c r="S60" i="42"/>
  <c r="Z71" i="43"/>
  <c r="Z57" i="43"/>
  <c r="Z67" i="43"/>
  <c r="Z53" i="43"/>
  <c r="BR65" i="43"/>
  <c r="BR51" i="43"/>
  <c r="BR61" i="30"/>
  <c r="BR75" i="30"/>
  <c r="AD62" i="18"/>
  <c r="AD76" i="18"/>
  <c r="BK71" i="43"/>
  <c r="BK57" i="43"/>
  <c r="BK67" i="43"/>
  <c r="BK53" i="43"/>
  <c r="N65" i="42"/>
  <c r="N51" i="42"/>
  <c r="V74" i="43"/>
  <c r="V60" i="43"/>
  <c r="V59" i="30"/>
  <c r="V73" i="30"/>
  <c r="H31" i="30"/>
  <c r="H67" i="43"/>
  <c r="H53" i="43"/>
  <c r="K73" i="43"/>
  <c r="K59" i="43"/>
  <c r="S72" i="30"/>
  <c r="S58" i="30"/>
  <c r="Z58" i="42"/>
  <c r="Z72" i="42"/>
  <c r="Z68" i="30"/>
  <c r="Z54" i="30"/>
  <c r="BR72" i="42"/>
  <c r="BR58" i="42"/>
  <c r="Z66" i="30"/>
  <c r="Z52" i="30"/>
  <c r="BV74" i="18"/>
  <c r="BV60" i="18"/>
  <c r="M31" i="42"/>
  <c r="M70" i="30"/>
  <c r="M56" i="30"/>
  <c r="BN64" i="42"/>
  <c r="BN50" i="42"/>
  <c r="J60" i="30"/>
  <c r="J74" i="30"/>
  <c r="BE52" i="43"/>
  <c r="BE66" i="43"/>
  <c r="BL69" i="43"/>
  <c r="BL55" i="43"/>
  <c r="BL31" i="30"/>
  <c r="BL57" i="30"/>
  <c r="BL71" i="30"/>
  <c r="BU75" i="18"/>
  <c r="BU61" i="18"/>
  <c r="CD65" i="18"/>
  <c r="CD51" i="18"/>
  <c r="AO63" i="16"/>
  <c r="AI72" i="37"/>
  <c r="AI58" i="37"/>
  <c r="BR45" i="30"/>
  <c r="AD53" i="18"/>
  <c r="AD67" i="18"/>
  <c r="M76" i="43"/>
  <c r="M62" i="43"/>
  <c r="M31" i="43"/>
  <c r="BV45" i="42"/>
  <c r="CA72" i="18"/>
  <c r="CA58" i="18"/>
  <c r="R75" i="43"/>
  <c r="R61" i="43"/>
  <c r="BB76" i="43"/>
  <c r="BB62" i="43"/>
  <c r="BA27" i="43"/>
  <c r="BB39" i="43"/>
  <c r="BA39" i="43" s="1"/>
  <c r="BA11" i="43"/>
  <c r="BF71" i="43"/>
  <c r="BF57" i="43"/>
  <c r="BI74" i="43"/>
  <c r="BI60" i="43"/>
  <c r="AE56" i="18"/>
  <c r="AE70" i="18"/>
  <c r="AJ70" i="18"/>
  <c r="AJ56" i="18"/>
  <c r="E67" i="30"/>
  <c r="E53" i="30"/>
  <c r="I70" i="30"/>
  <c r="I56" i="30"/>
  <c r="L74" i="43"/>
  <c r="L60" i="43"/>
  <c r="L68" i="30"/>
  <c r="L54" i="30"/>
  <c r="P51" i="43"/>
  <c r="P65" i="43"/>
  <c r="H70" i="42"/>
  <c r="H56" i="42"/>
  <c r="H64" i="42"/>
  <c r="H50" i="42"/>
  <c r="K66" i="42"/>
  <c r="K52" i="42"/>
  <c r="K57" i="30"/>
  <c r="K71" i="30"/>
  <c r="O45" i="30"/>
  <c r="S68" i="42"/>
  <c r="S54" i="42"/>
  <c r="BH68" i="42"/>
  <c r="BH54" i="42"/>
  <c r="BV72" i="30"/>
  <c r="BV58" i="30"/>
  <c r="AA69" i="30"/>
  <c r="AA55" i="30"/>
  <c r="C45" i="38"/>
  <c r="BI75" i="30"/>
  <c r="BI61" i="30"/>
  <c r="BM65" i="42"/>
  <c r="BM51" i="42"/>
  <c r="BQ71" i="42"/>
  <c r="BQ57" i="42"/>
  <c r="BQ67" i="42"/>
  <c r="BQ53" i="42"/>
  <c r="BW62" i="18"/>
  <c r="BW76" i="18"/>
  <c r="CB76" i="18"/>
  <c r="CB62" i="18"/>
  <c r="E54" i="43"/>
  <c r="E68" i="43"/>
  <c r="P68" i="30"/>
  <c r="P54" i="30"/>
  <c r="T52" i="42"/>
  <c r="T66" i="42"/>
  <c r="P68" i="43"/>
  <c r="P54" i="43"/>
  <c r="W51" i="30"/>
  <c r="W65" i="30"/>
  <c r="BC73" i="43"/>
  <c r="BC59" i="43"/>
  <c r="BR67" i="30"/>
  <c r="BR53" i="30"/>
  <c r="BV45" i="18"/>
  <c r="M64" i="42"/>
  <c r="M50" i="42"/>
  <c r="BH72" i="43"/>
  <c r="BH58" i="43"/>
  <c r="BO64" i="42"/>
  <c r="BO50" i="42"/>
  <c r="BO64" i="30"/>
  <c r="BO50" i="30"/>
  <c r="BV57" i="43"/>
  <c r="BV71" i="43"/>
  <c r="AI67" i="18"/>
  <c r="AI53" i="18"/>
  <c r="BF52" i="43"/>
  <c r="BF66" i="43"/>
  <c r="BM69" i="42"/>
  <c r="BM55" i="42"/>
  <c r="BM73" i="30"/>
  <c r="BM59" i="30"/>
  <c r="AJ64" i="18"/>
  <c r="AJ50" i="18"/>
  <c r="E74" i="42"/>
  <c r="E60" i="42"/>
  <c r="I71" i="43"/>
  <c r="I57" i="43"/>
  <c r="I67" i="43"/>
  <c r="I53" i="43"/>
  <c r="P45" i="30"/>
  <c r="T67" i="30"/>
  <c r="T53" i="30"/>
  <c r="W64" i="30"/>
  <c r="W50" i="30"/>
  <c r="M74" i="43"/>
  <c r="M60" i="43"/>
  <c r="M69" i="30"/>
  <c r="M55" i="30"/>
  <c r="BH73" i="42"/>
  <c r="BH59" i="42"/>
  <c r="BO69" i="30"/>
  <c r="BO55" i="30"/>
  <c r="AI56" i="18"/>
  <c r="AI70" i="18"/>
  <c r="F68" i="37"/>
  <c r="F54" i="37"/>
  <c r="R67" i="30"/>
  <c r="R53" i="30"/>
  <c r="BA20" i="42"/>
  <c r="BB56" i="42"/>
  <c r="BB70" i="42"/>
  <c r="BF67" i="30"/>
  <c r="BF53" i="30"/>
  <c r="BI51" i="43"/>
  <c r="BI65" i="43"/>
  <c r="BQ76" i="42"/>
  <c r="BQ62" i="42"/>
  <c r="BX50" i="43"/>
  <c r="BX64" i="43"/>
  <c r="BW45" i="18"/>
  <c r="BX31" i="18"/>
  <c r="CB75" i="18"/>
  <c r="CB61" i="18"/>
  <c r="E70" i="30"/>
  <c r="E56" i="30"/>
  <c r="I74" i="43"/>
  <c r="I60" i="43"/>
  <c r="I51" i="30"/>
  <c r="I65" i="30"/>
  <c r="L68" i="42"/>
  <c r="L54" i="42"/>
  <c r="P73" i="43"/>
  <c r="P59" i="43"/>
  <c r="T75" i="30"/>
  <c r="T61" i="30"/>
  <c r="W72" i="42"/>
  <c r="W58" i="42"/>
  <c r="CF48" i="43"/>
  <c r="AV48" i="43"/>
  <c r="AY48" i="43"/>
  <c r="M56" i="5"/>
  <c r="CV63" i="31"/>
  <c r="AU63" i="43"/>
  <c r="AT63" i="43"/>
  <c r="AC73" i="5"/>
  <c r="DB63" i="18"/>
  <c r="CS48" i="31"/>
  <c r="AH48" i="42"/>
  <c r="AK48" i="42"/>
  <c r="AN48" i="42"/>
  <c r="AE48" i="42"/>
  <c r="BA56" i="29"/>
  <c r="N56" i="18" s="1"/>
  <c r="BI63" i="29"/>
  <c r="T63" i="18"/>
  <c r="M73" i="5"/>
  <c r="BP68" i="18"/>
  <c r="CM63" i="30"/>
  <c r="CF63" i="30"/>
  <c r="AW48" i="30"/>
  <c r="AD48" i="30"/>
  <c r="BZ49" i="30"/>
  <c r="BE49" i="18" s="1"/>
  <c r="BP49" i="18" s="1"/>
  <c r="CA48" i="30"/>
  <c r="BA52" i="41"/>
  <c r="N52" i="38" s="1"/>
  <c r="BQ63" i="41"/>
  <c r="P63" i="18"/>
  <c r="AE63" i="31"/>
  <c r="AB54" i="30"/>
  <c r="L54" i="5" s="1"/>
  <c r="M54" i="5" s="1"/>
  <c r="CQ63" i="30"/>
  <c r="CW63" i="30"/>
  <c r="CM48" i="30"/>
  <c r="BZ71" i="31"/>
  <c r="CW71" i="18" s="1"/>
  <c r="AC60" i="5"/>
  <c r="AP63" i="31"/>
  <c r="CR63" i="31"/>
  <c r="AC68" i="5"/>
  <c r="BZ61" i="43"/>
  <c r="CW61" i="38" s="1"/>
  <c r="BZ75" i="43"/>
  <c r="CW75" i="38" s="1"/>
  <c r="BE48" i="41"/>
  <c r="CA63" i="31"/>
  <c r="BZ65" i="31"/>
  <c r="CW65" i="18" s="1"/>
  <c r="AI63" i="31"/>
  <c r="AY63" i="31"/>
  <c r="W63" i="18"/>
  <c r="BZ51" i="31"/>
  <c r="CW51" i="18" s="1"/>
  <c r="BJ48" i="18"/>
  <c r="AC31" i="42"/>
  <c r="AB31" i="42" s="1"/>
  <c r="L31" i="32" s="1"/>
  <c r="AB32" i="42"/>
  <c r="L32" i="32" s="1"/>
  <c r="M32" i="32" s="1"/>
  <c r="AB55" i="43"/>
  <c r="AL55" i="32" s="1"/>
  <c r="CM63" i="43"/>
  <c r="BA57" i="29"/>
  <c r="N57" i="18" s="1"/>
  <c r="BX63" i="29"/>
  <c r="V57" i="31"/>
  <c r="V71" i="31"/>
  <c r="Q72" i="31"/>
  <c r="Q58" i="31"/>
  <c r="BQ31" i="31"/>
  <c r="BE74" i="42"/>
  <c r="BE60" i="42"/>
  <c r="AH71" i="18"/>
  <c r="AH57" i="18"/>
  <c r="V75" i="30"/>
  <c r="V61" i="30"/>
  <c r="BT76" i="30"/>
  <c r="BT62" i="30"/>
  <c r="AK53" i="37"/>
  <c r="AK67" i="37"/>
  <c r="BC73" i="30"/>
  <c r="BC59" i="30"/>
  <c r="Z56" i="30"/>
  <c r="Z70" i="30"/>
  <c r="BC74" i="42"/>
  <c r="BC60" i="42"/>
  <c r="BV75" i="43"/>
  <c r="BV61" i="43"/>
  <c r="BB44" i="43"/>
  <c r="BA44" i="43" s="1"/>
  <c r="BA15" i="43"/>
  <c r="E51" i="30"/>
  <c r="E65" i="30"/>
  <c r="BF75" i="42"/>
  <c r="BF61" i="42"/>
  <c r="M66" i="30"/>
  <c r="M52" i="30"/>
  <c r="AA74" i="43"/>
  <c r="AA60" i="43"/>
  <c r="BM76" i="43"/>
  <c r="BM62" i="43"/>
  <c r="BP53" i="18"/>
  <c r="Y72" i="31"/>
  <c r="Y58" i="31"/>
  <c r="G59" i="31"/>
  <c r="G73" i="31"/>
  <c r="H52" i="31"/>
  <c r="H66" i="31"/>
  <c r="E62" i="31"/>
  <c r="E76" i="31"/>
  <c r="L50" i="31"/>
  <c r="L64" i="31"/>
  <c r="P72" i="31"/>
  <c r="P58" i="31"/>
  <c r="D41" i="31"/>
  <c r="C8" i="31"/>
  <c r="C41" i="31" s="1"/>
  <c r="D52" i="31"/>
  <c r="D66" i="31"/>
  <c r="C17" i="31"/>
  <c r="K74" i="31"/>
  <c r="K60" i="31"/>
  <c r="S52" i="31"/>
  <c r="S66" i="31"/>
  <c r="S53" i="31"/>
  <c r="S67" i="31"/>
  <c r="F74" i="31"/>
  <c r="F60" i="31"/>
  <c r="Q50" i="31"/>
  <c r="Q64" i="31"/>
  <c r="DK72" i="18"/>
  <c r="DK58" i="18"/>
  <c r="Y62" i="31"/>
  <c r="Y76" i="31"/>
  <c r="O50" i="31"/>
  <c r="O64" i="31"/>
  <c r="G75" i="31"/>
  <c r="G61" i="31"/>
  <c r="R67" i="31"/>
  <c r="R53" i="31"/>
  <c r="H58" i="31"/>
  <c r="H72" i="31"/>
  <c r="Z51" i="31"/>
  <c r="Z65" i="31"/>
  <c r="I59" i="31"/>
  <c r="I73" i="31"/>
  <c r="L55" i="31"/>
  <c r="L69" i="31"/>
  <c r="L60" i="31"/>
  <c r="L74" i="31"/>
  <c r="P71" i="31"/>
  <c r="P57" i="31"/>
  <c r="T70" i="31"/>
  <c r="T56" i="31"/>
  <c r="W76" i="31"/>
  <c r="W62" i="31"/>
  <c r="AA70" i="31"/>
  <c r="AA56" i="31"/>
  <c r="V50" i="31"/>
  <c r="V64" i="31"/>
  <c r="D35" i="31"/>
  <c r="C30" i="31"/>
  <c r="C35" i="31" s="1"/>
  <c r="D59" i="31"/>
  <c r="D73" i="31"/>
  <c r="C7" i="31"/>
  <c r="D58" i="31"/>
  <c r="D72" i="31"/>
  <c r="C16" i="31"/>
  <c r="S72" i="31"/>
  <c r="S58" i="31"/>
  <c r="F65" i="31"/>
  <c r="F51" i="31"/>
  <c r="M59" i="31"/>
  <c r="M73" i="31"/>
  <c r="Q55" i="31"/>
  <c r="Q69" i="31"/>
  <c r="Q74" i="31"/>
  <c r="Q60" i="31"/>
  <c r="U57" i="31"/>
  <c r="U71" i="31"/>
  <c r="U66" i="31"/>
  <c r="U52" i="31"/>
  <c r="U67" i="31"/>
  <c r="U53" i="31"/>
  <c r="X45" i="31"/>
  <c r="BB66" i="31"/>
  <c r="BB52" i="31"/>
  <c r="BA17" i="31"/>
  <c r="BR54" i="31"/>
  <c r="BR68" i="31"/>
  <c r="BS58" i="31"/>
  <c r="BS72" i="31"/>
  <c r="BD75" i="31"/>
  <c r="BD61" i="31"/>
  <c r="BE31" i="31"/>
  <c r="BT65" i="31"/>
  <c r="BT51" i="31"/>
  <c r="BW31" i="31"/>
  <c r="BI52" i="31"/>
  <c r="BI66" i="31"/>
  <c r="BX61" i="31"/>
  <c r="BX75" i="31"/>
  <c r="BB53" i="31"/>
  <c r="BB67" i="31"/>
  <c r="BA5" i="31"/>
  <c r="BJ70" i="31"/>
  <c r="BJ56" i="31"/>
  <c r="BK53" i="31"/>
  <c r="BK67" i="31"/>
  <c r="BS73" i="31"/>
  <c r="BS59" i="31"/>
  <c r="BE72" i="31"/>
  <c r="BE58" i="31"/>
  <c r="BM54" i="31"/>
  <c r="BM68" i="31"/>
  <c r="BX52" i="31"/>
  <c r="BX66" i="31"/>
  <c r="BB40" i="31"/>
  <c r="BA4" i="31"/>
  <c r="BA40" i="31" s="1"/>
  <c r="BR31" i="31"/>
  <c r="BK75" i="31"/>
  <c r="BK61" i="31"/>
  <c r="BP58" i="31"/>
  <c r="BP72" i="31"/>
  <c r="BJ73" i="31"/>
  <c r="BJ59" i="31"/>
  <c r="BR51" i="31"/>
  <c r="BR65" i="31"/>
  <c r="BU59" i="31"/>
  <c r="BU73" i="31"/>
  <c r="BK68" i="31"/>
  <c r="BK54" i="31"/>
  <c r="BS76" i="31"/>
  <c r="BS62" i="31"/>
  <c r="BL55" i="31"/>
  <c r="BL69" i="31"/>
  <c r="BG74" i="42"/>
  <c r="BG60" i="42"/>
  <c r="AH56" i="18"/>
  <c r="AH70" i="18"/>
  <c r="F54" i="30"/>
  <c r="F68" i="30"/>
  <c r="U73" i="42"/>
  <c r="U59" i="42"/>
  <c r="BU75" i="43"/>
  <c r="BU61" i="43"/>
  <c r="BD51" i="42"/>
  <c r="BD65" i="42"/>
  <c r="BS50" i="43"/>
  <c r="BS64" i="43"/>
  <c r="AG69" i="18"/>
  <c r="AG55" i="18"/>
  <c r="G71" i="30"/>
  <c r="G57" i="30"/>
  <c r="Y73" i="43"/>
  <c r="Y59" i="43"/>
  <c r="J70" i="42"/>
  <c r="J56" i="42"/>
  <c r="J69" i="30"/>
  <c r="J55" i="30"/>
  <c r="X60" i="30"/>
  <c r="X74" i="30"/>
  <c r="X75" i="42"/>
  <c r="X61" i="42"/>
  <c r="BK74" i="42"/>
  <c r="BK60" i="42"/>
  <c r="N74" i="42"/>
  <c r="N60" i="42"/>
  <c r="V76" i="43"/>
  <c r="V62" i="43"/>
  <c r="V31" i="43"/>
  <c r="BY51" i="43"/>
  <c r="BY65" i="43"/>
  <c r="BY66" i="30"/>
  <c r="BY52" i="30"/>
  <c r="BP71" i="43"/>
  <c r="BP57" i="43"/>
  <c r="BP67" i="43"/>
  <c r="BP53" i="43"/>
  <c r="BT45" i="43"/>
  <c r="BT75" i="30"/>
  <c r="BT61" i="30"/>
  <c r="BW64" i="42"/>
  <c r="BW50" i="42"/>
  <c r="AC73" i="18"/>
  <c r="AC59" i="18"/>
  <c r="AL73" i="18"/>
  <c r="AL59" i="18"/>
  <c r="AL64" i="37"/>
  <c r="AL50" i="37"/>
  <c r="AL68" i="37"/>
  <c r="AL54" i="37"/>
  <c r="BG73" i="42"/>
  <c r="BG59" i="42"/>
  <c r="AH72" i="18"/>
  <c r="AH58" i="18"/>
  <c r="F54" i="43"/>
  <c r="F68" i="43"/>
  <c r="BJ50" i="43"/>
  <c r="BJ64" i="43"/>
  <c r="BJ67" i="30"/>
  <c r="BJ53" i="30"/>
  <c r="BU71" i="42"/>
  <c r="BU57" i="42"/>
  <c r="BU67" i="42"/>
  <c r="BU53" i="42"/>
  <c r="BU57" i="30"/>
  <c r="BU71" i="30"/>
  <c r="BD69" i="42"/>
  <c r="BD55" i="42"/>
  <c r="AG57" i="18"/>
  <c r="AG71" i="18"/>
  <c r="W57" i="37"/>
  <c r="W71" i="37"/>
  <c r="X31" i="43"/>
  <c r="N76" i="43"/>
  <c r="N62" i="43"/>
  <c r="BE76" i="42"/>
  <c r="BE62" i="42"/>
  <c r="BE31" i="42"/>
  <c r="BY70" i="43"/>
  <c r="BY56" i="43"/>
  <c r="BL45" i="42"/>
  <c r="BP58" i="42"/>
  <c r="BP72" i="42"/>
  <c r="BT50" i="43"/>
  <c r="BT64" i="43"/>
  <c r="CD72" i="18"/>
  <c r="CD58" i="18"/>
  <c r="AH59" i="37"/>
  <c r="AH73" i="37"/>
  <c r="BZ61" i="18"/>
  <c r="BZ48" i="18" s="1"/>
  <c r="BZ75" i="18"/>
  <c r="BZ63" i="18" s="1"/>
  <c r="F70" i="42"/>
  <c r="F56" i="42"/>
  <c r="F75" i="30"/>
  <c r="F61" i="30"/>
  <c r="U71" i="30"/>
  <c r="U57" i="30"/>
  <c r="BU72" i="43"/>
  <c r="BU58" i="43"/>
  <c r="Q71" i="43"/>
  <c r="Q57" i="43"/>
  <c r="Q67" i="43"/>
  <c r="Q53" i="43"/>
  <c r="BD53" i="30"/>
  <c r="BD67" i="30"/>
  <c r="BS73" i="42"/>
  <c r="BS59" i="42"/>
  <c r="G72" i="43"/>
  <c r="G58" i="43"/>
  <c r="W64" i="37"/>
  <c r="W50" i="37"/>
  <c r="BN64" i="30"/>
  <c r="BN50" i="30"/>
  <c r="DN75" i="38"/>
  <c r="J75" i="42"/>
  <c r="J61" i="42"/>
  <c r="BK45" i="43"/>
  <c r="BK70" i="30"/>
  <c r="BK56" i="30"/>
  <c r="W53" i="37"/>
  <c r="W67" i="37"/>
  <c r="BE75" i="42"/>
  <c r="BE61" i="42"/>
  <c r="BE65" i="30"/>
  <c r="BE51" i="30"/>
  <c r="BL66" i="42"/>
  <c r="BL52" i="42"/>
  <c r="BP72" i="30"/>
  <c r="BP58" i="30"/>
  <c r="BT69" i="42"/>
  <c r="BT55" i="42"/>
  <c r="BT68" i="30"/>
  <c r="BT54" i="30"/>
  <c r="BW76" i="43"/>
  <c r="BW62" i="43"/>
  <c r="BW31" i="43"/>
  <c r="BU66" i="18"/>
  <c r="BU52" i="18"/>
  <c r="AI45" i="37"/>
  <c r="C12" i="30"/>
  <c r="D74" i="30"/>
  <c r="D60" i="30"/>
  <c r="H64" i="30"/>
  <c r="H50" i="30"/>
  <c r="O58" i="30"/>
  <c r="O72" i="30"/>
  <c r="BG66" i="42"/>
  <c r="BG52" i="42"/>
  <c r="BG71" i="30"/>
  <c r="BG57" i="30"/>
  <c r="AH65" i="18"/>
  <c r="AH51" i="18"/>
  <c r="F73" i="30"/>
  <c r="F59" i="30"/>
  <c r="BU76" i="43"/>
  <c r="BU62" i="43"/>
  <c r="BU31" i="43"/>
  <c r="Q70" i="42"/>
  <c r="Q56" i="42"/>
  <c r="Q31" i="30"/>
  <c r="BD75" i="30"/>
  <c r="BD61" i="30"/>
  <c r="M68" i="32"/>
  <c r="D49" i="43"/>
  <c r="C49" i="43" s="1"/>
  <c r="C23" i="43"/>
  <c r="D73" i="43"/>
  <c r="D59" i="43"/>
  <c r="C7" i="43"/>
  <c r="C8" i="30"/>
  <c r="C41" i="30" s="1"/>
  <c r="F41" i="5" s="1"/>
  <c r="H41" i="5" s="1"/>
  <c r="D41" i="30"/>
  <c r="K70" i="43"/>
  <c r="K56" i="43"/>
  <c r="O66" i="42"/>
  <c r="O52" i="42"/>
  <c r="Z71" i="42"/>
  <c r="Z57" i="42"/>
  <c r="Z67" i="42"/>
  <c r="Z53" i="42"/>
  <c r="BC45" i="43"/>
  <c r="BR65" i="42"/>
  <c r="BR51" i="42"/>
  <c r="BR70" i="30"/>
  <c r="BR56" i="30"/>
  <c r="BV62" i="18"/>
  <c r="BV76" i="18"/>
  <c r="G73" i="30"/>
  <c r="G59" i="30"/>
  <c r="BK71" i="42"/>
  <c r="BK57" i="42"/>
  <c r="BK67" i="42"/>
  <c r="BK53" i="42"/>
  <c r="N66" i="43"/>
  <c r="N52" i="43"/>
  <c r="V74" i="42"/>
  <c r="V60" i="42"/>
  <c r="AH57" i="37"/>
  <c r="AH71" i="37"/>
  <c r="D61" i="42"/>
  <c r="C18" i="42"/>
  <c r="D75" i="42"/>
  <c r="C2" i="42"/>
  <c r="D38" i="42"/>
  <c r="C38" i="42" s="1"/>
  <c r="H60" i="30"/>
  <c r="H74" i="30"/>
  <c r="H53" i="42"/>
  <c r="H67" i="42"/>
  <c r="K73" i="42"/>
  <c r="K59" i="42"/>
  <c r="O69" i="43"/>
  <c r="O55" i="43"/>
  <c r="O31" i="30"/>
  <c r="S56" i="30"/>
  <c r="S70" i="30"/>
  <c r="Z74" i="43"/>
  <c r="Z60" i="43"/>
  <c r="BC68" i="43"/>
  <c r="BC54" i="43"/>
  <c r="BR60" i="43"/>
  <c r="BR74" i="43"/>
  <c r="Z65" i="30"/>
  <c r="Z51" i="30"/>
  <c r="BC75" i="30"/>
  <c r="BC61" i="30"/>
  <c r="BR64" i="30"/>
  <c r="BR50" i="30"/>
  <c r="M45" i="43"/>
  <c r="X68" i="30"/>
  <c r="X54" i="30"/>
  <c r="X62" i="30"/>
  <c r="X76" i="30"/>
  <c r="BE66" i="42"/>
  <c r="BE52" i="42"/>
  <c r="BY45" i="43"/>
  <c r="BL69" i="42"/>
  <c r="BL55" i="42"/>
  <c r="BL67" i="30"/>
  <c r="BL53" i="30"/>
  <c r="AL62" i="18"/>
  <c r="AL76" i="18"/>
  <c r="AL67" i="18"/>
  <c r="AL53" i="18"/>
  <c r="AL72" i="37"/>
  <c r="AL58" i="37"/>
  <c r="BR54" i="30"/>
  <c r="BR68" i="30"/>
  <c r="BV67" i="18"/>
  <c r="BV53" i="18"/>
  <c r="M76" i="42"/>
  <c r="M62" i="42"/>
  <c r="AI76" i="18"/>
  <c r="AI62" i="18"/>
  <c r="R75" i="42"/>
  <c r="R61" i="42"/>
  <c r="R76" i="30"/>
  <c r="R62" i="30"/>
  <c r="BA11" i="42"/>
  <c r="BB39" i="42"/>
  <c r="BA39" i="42" s="1"/>
  <c r="BF71" i="42"/>
  <c r="BF57" i="42"/>
  <c r="BF64" i="30"/>
  <c r="BF50" i="30"/>
  <c r="BI74" i="42"/>
  <c r="BI60" i="42"/>
  <c r="BX69" i="43"/>
  <c r="BX55" i="43"/>
  <c r="BW70" i="18"/>
  <c r="BW56" i="18"/>
  <c r="CB70" i="18"/>
  <c r="CB56" i="18"/>
  <c r="E54" i="30"/>
  <c r="E68" i="30"/>
  <c r="L74" i="42"/>
  <c r="L60" i="42"/>
  <c r="P65" i="42"/>
  <c r="P51" i="42"/>
  <c r="C20" i="42"/>
  <c r="D70" i="42"/>
  <c r="D56" i="42"/>
  <c r="C4" i="42"/>
  <c r="D40" i="42"/>
  <c r="C40" i="42" s="1"/>
  <c r="H74" i="43"/>
  <c r="H60" i="43"/>
  <c r="O45" i="42"/>
  <c r="S71" i="43"/>
  <c r="S57" i="43"/>
  <c r="S53" i="43"/>
  <c r="S67" i="43"/>
  <c r="BH71" i="43"/>
  <c r="BH57" i="43"/>
  <c r="BH67" i="43"/>
  <c r="BH53" i="43"/>
  <c r="BV75" i="30"/>
  <c r="BV61" i="30"/>
  <c r="F65" i="37"/>
  <c r="F51" i="37"/>
  <c r="R68" i="43"/>
  <c r="R54" i="43"/>
  <c r="BA26" i="42"/>
  <c r="BB36" i="42"/>
  <c r="BA36" i="42" s="1"/>
  <c r="BA10" i="42"/>
  <c r="BB46" i="42"/>
  <c r="BA4" i="30"/>
  <c r="BA40" i="30" s="1"/>
  <c r="BB40" i="30"/>
  <c r="BA20" i="30"/>
  <c r="BB70" i="30"/>
  <c r="BB56" i="30"/>
  <c r="BA3" i="30"/>
  <c r="BA32" i="30" s="1"/>
  <c r="BB32" i="30"/>
  <c r="BF70" i="43"/>
  <c r="BF56" i="43"/>
  <c r="BI70" i="30"/>
  <c r="BI56" i="30"/>
  <c r="BM66" i="43"/>
  <c r="BM52" i="43"/>
  <c r="BQ64" i="43"/>
  <c r="BQ50" i="43"/>
  <c r="BX72" i="30"/>
  <c r="BX58" i="30"/>
  <c r="AE57" i="18"/>
  <c r="AE71" i="18"/>
  <c r="E68" i="42"/>
  <c r="E54" i="42"/>
  <c r="W45" i="43"/>
  <c r="W68" i="30"/>
  <c r="W54" i="30"/>
  <c r="P68" i="42"/>
  <c r="P54" i="42"/>
  <c r="T51" i="30"/>
  <c r="T65" i="30"/>
  <c r="W71" i="30"/>
  <c r="W57" i="30"/>
  <c r="BC59" i="42"/>
  <c r="BC73" i="42"/>
  <c r="M51" i="43"/>
  <c r="M65" i="43"/>
  <c r="BH72" i="42"/>
  <c r="BH58" i="42"/>
  <c r="BO51" i="43"/>
  <c r="BO65" i="43"/>
  <c r="BV71" i="42"/>
  <c r="BV57" i="42"/>
  <c r="CA67" i="18"/>
  <c r="CA53" i="18"/>
  <c r="F73" i="37"/>
  <c r="F59" i="37"/>
  <c r="BA25" i="42"/>
  <c r="BB50" i="42"/>
  <c r="BB64" i="42"/>
  <c r="BA9" i="42"/>
  <c r="BB68" i="42"/>
  <c r="BB54" i="42"/>
  <c r="BA9" i="30"/>
  <c r="BB54" i="30"/>
  <c r="BB68" i="30"/>
  <c r="BF66" i="42"/>
  <c r="BF52" i="42"/>
  <c r="BM70" i="43"/>
  <c r="BM56" i="43"/>
  <c r="BX75" i="43"/>
  <c r="BX61" i="43"/>
  <c r="BX74" i="30"/>
  <c r="BX60" i="30"/>
  <c r="CB64" i="18"/>
  <c r="CB50" i="18"/>
  <c r="I71" i="42"/>
  <c r="I57" i="42"/>
  <c r="I67" i="42"/>
  <c r="I53" i="42"/>
  <c r="P52" i="43"/>
  <c r="P66" i="43"/>
  <c r="T52" i="30"/>
  <c r="T66" i="30"/>
  <c r="W59" i="30"/>
  <c r="W73" i="30"/>
  <c r="M74" i="42"/>
  <c r="M60" i="42"/>
  <c r="BH76" i="43"/>
  <c r="BH62" i="43"/>
  <c r="BH60" i="30"/>
  <c r="BH74" i="30"/>
  <c r="BV76" i="43"/>
  <c r="BV62" i="43"/>
  <c r="BV66" i="30"/>
  <c r="BV52" i="30"/>
  <c r="CA70" i="18"/>
  <c r="CA56" i="18"/>
  <c r="BA4" i="42"/>
  <c r="BB40" i="42"/>
  <c r="BA40" i="42" s="1"/>
  <c r="BA15" i="30"/>
  <c r="BA44" i="30" s="1"/>
  <c r="BB44" i="30"/>
  <c r="BA27" i="30"/>
  <c r="BB62" i="30"/>
  <c r="BB76" i="30"/>
  <c r="BF69" i="43"/>
  <c r="BF55" i="43"/>
  <c r="BI65" i="42"/>
  <c r="BI51" i="42"/>
  <c r="BM74" i="30"/>
  <c r="BM60" i="30"/>
  <c r="BX64" i="42"/>
  <c r="BX50" i="42"/>
  <c r="AF75" i="18"/>
  <c r="AF61" i="18"/>
  <c r="AJ69" i="18"/>
  <c r="AJ55" i="18"/>
  <c r="I74" i="42"/>
  <c r="I60" i="42"/>
  <c r="L71" i="43"/>
  <c r="L57" i="43"/>
  <c r="L67" i="43"/>
  <c r="L53" i="43"/>
  <c r="P31" i="42"/>
  <c r="P73" i="42"/>
  <c r="P59" i="42"/>
  <c r="W74" i="43"/>
  <c r="W60" i="43"/>
  <c r="CQ48" i="43"/>
  <c r="CG48" i="43"/>
  <c r="CA48" i="43"/>
  <c r="AI63" i="5"/>
  <c r="M70" i="5"/>
  <c r="CV48" i="31"/>
  <c r="CF63" i="43"/>
  <c r="CK63" i="43"/>
  <c r="CJ48" i="43"/>
  <c r="CB63" i="43"/>
  <c r="CE63" i="43"/>
  <c r="BZ62" i="31"/>
  <c r="CW62" i="18" s="1"/>
  <c r="BN63" i="18"/>
  <c r="CE48" i="30"/>
  <c r="Z63" i="37"/>
  <c r="CE48" i="42"/>
  <c r="AW48" i="42"/>
  <c r="AZ48" i="42"/>
  <c r="AQ48" i="42"/>
  <c r="U63" i="18"/>
  <c r="CO63" i="31"/>
  <c r="M58" i="5"/>
  <c r="BJ63" i="41"/>
  <c r="U63" i="5"/>
  <c r="BE63" i="29"/>
  <c r="CX63" i="18"/>
  <c r="BN63" i="41"/>
  <c r="AB59" i="42"/>
  <c r="L59" i="32" s="1"/>
  <c r="M59" i="32" s="1"/>
  <c r="BZ59" i="42"/>
  <c r="BE59" i="38" s="1"/>
  <c r="AB51" i="42"/>
  <c r="L51" i="32" s="1"/>
  <c r="M51" i="32" s="1"/>
  <c r="BZ51" i="42"/>
  <c r="BE51" i="38" s="1"/>
  <c r="AB53" i="43"/>
  <c r="AL53" i="32" s="1"/>
  <c r="AB67" i="43"/>
  <c r="AL67" i="32" s="1"/>
  <c r="AB74" i="30"/>
  <c r="L74" i="5" s="1"/>
  <c r="BZ60" i="30"/>
  <c r="BE60" i="18" s="1"/>
  <c r="BP60" i="18" s="1"/>
  <c r="BP54" i="18"/>
  <c r="D63" i="37"/>
  <c r="J57" i="37"/>
  <c r="AB75" i="42"/>
  <c r="L75" i="32" s="1"/>
  <c r="M75" i="32" s="1"/>
  <c r="BZ75" i="42"/>
  <c r="BE75" i="38" s="1"/>
  <c r="BP75" i="38" s="1"/>
  <c r="AB70" i="42"/>
  <c r="L70" i="32" s="1"/>
  <c r="BZ70" i="42"/>
  <c r="BE70" i="38" s="1"/>
  <c r="BZ62" i="43"/>
  <c r="CW62" i="38" s="1"/>
  <c r="BG63" i="41"/>
  <c r="CR63" i="30"/>
  <c r="AX48" i="30"/>
  <c r="AP48" i="30"/>
  <c r="BA66" i="41"/>
  <c r="N66" i="38" s="1"/>
  <c r="CH63" i="31"/>
  <c r="BM63" i="18"/>
  <c r="AB52" i="31"/>
  <c r="AL52" i="5" s="1"/>
  <c r="AM52" i="5" s="1"/>
  <c r="BA46" i="29"/>
  <c r="N46" i="18" s="1"/>
  <c r="AB75" i="30"/>
  <c r="L75" i="5" s="1"/>
  <c r="M75" i="5" s="1"/>
  <c r="BZ75" i="30"/>
  <c r="BE75" i="18" s="1"/>
  <c r="BP75" i="18" s="1"/>
  <c r="CG48" i="30"/>
  <c r="CT48" i="18"/>
  <c r="BP61" i="18"/>
  <c r="DG63" i="18"/>
  <c r="CG63" i="43"/>
  <c r="AE63" i="43"/>
  <c r="BA59" i="41"/>
  <c r="N59" i="38" s="1"/>
  <c r="J71" i="37"/>
  <c r="R76" i="31"/>
  <c r="R62" i="31"/>
  <c r="E75" i="31"/>
  <c r="E61" i="31"/>
  <c r="BE52" i="31"/>
  <c r="BE48" i="31" s="1"/>
  <c r="BE66" i="31"/>
  <c r="BH53" i="31"/>
  <c r="BH67" i="31"/>
  <c r="BG70" i="42"/>
  <c r="BG56" i="42"/>
  <c r="F72" i="30"/>
  <c r="F58" i="30"/>
  <c r="BT59" i="30"/>
  <c r="BT73" i="30"/>
  <c r="F74" i="37"/>
  <c r="F60" i="37"/>
  <c r="G31" i="30"/>
  <c r="X71" i="43"/>
  <c r="X57" i="43"/>
  <c r="N59" i="30"/>
  <c r="N73" i="30"/>
  <c r="BJ73" i="43"/>
  <c r="BJ59" i="43"/>
  <c r="BR67" i="42"/>
  <c r="BR53" i="42"/>
  <c r="G72" i="30"/>
  <c r="G58" i="30"/>
  <c r="G48" i="30" s="1"/>
  <c r="BR70" i="43"/>
  <c r="BR56" i="43"/>
  <c r="J65" i="42"/>
  <c r="J51" i="42"/>
  <c r="BT31" i="42"/>
  <c r="CA54" i="18"/>
  <c r="CA68" i="18"/>
  <c r="BA16" i="30"/>
  <c r="BB58" i="30"/>
  <c r="BB72" i="30"/>
  <c r="BM71" i="30"/>
  <c r="BM57" i="30"/>
  <c r="T65" i="43"/>
  <c r="T51" i="43"/>
  <c r="BM31" i="43"/>
  <c r="AF76" i="18"/>
  <c r="AF62" i="18"/>
  <c r="CT63" i="31"/>
  <c r="DK70" i="18"/>
  <c r="DK56" i="18"/>
  <c r="N65" i="31"/>
  <c r="N51" i="31"/>
  <c r="O69" i="31"/>
  <c r="O55" i="31"/>
  <c r="G71" i="31"/>
  <c r="G57" i="31"/>
  <c r="H76" i="31"/>
  <c r="H62" i="31"/>
  <c r="Z70" i="31"/>
  <c r="Z56" i="31"/>
  <c r="Z74" i="31"/>
  <c r="Z60" i="31"/>
  <c r="I61" i="31"/>
  <c r="I75" i="31"/>
  <c r="P67" i="31"/>
  <c r="P53" i="31"/>
  <c r="AA73" i="31"/>
  <c r="AA59" i="31"/>
  <c r="V69" i="31"/>
  <c r="V55" i="31"/>
  <c r="D71" i="31"/>
  <c r="D57" i="31"/>
  <c r="C29" i="31"/>
  <c r="D47" i="31"/>
  <c r="C6" i="31"/>
  <c r="C47" i="31" s="1"/>
  <c r="D44" i="31"/>
  <c r="C15" i="31"/>
  <c r="C44" i="31" s="1"/>
  <c r="S76" i="31"/>
  <c r="S62" i="31"/>
  <c r="F56" i="31"/>
  <c r="F70" i="31"/>
  <c r="F45" i="31"/>
  <c r="J50" i="31"/>
  <c r="J64" i="31"/>
  <c r="M61" i="31"/>
  <c r="M75" i="31"/>
  <c r="U58" i="31"/>
  <c r="U72" i="31"/>
  <c r="X51" i="31"/>
  <c r="X65" i="31"/>
  <c r="X54" i="31"/>
  <c r="X68" i="31"/>
  <c r="BQ59" i="31"/>
  <c r="BQ73" i="31"/>
  <c r="BB33" i="31"/>
  <c r="BA13" i="31"/>
  <c r="BA33" i="31" s="1"/>
  <c r="BG70" i="31"/>
  <c r="BG56" i="31"/>
  <c r="BN55" i="31"/>
  <c r="BN69" i="31"/>
  <c r="BR67" i="31"/>
  <c r="BR53" i="31"/>
  <c r="BT52" i="31"/>
  <c r="BT66" i="31"/>
  <c r="BF31" i="31"/>
  <c r="BQ71" i="31"/>
  <c r="BQ57" i="31"/>
  <c r="BC61" i="31"/>
  <c r="BC75" i="31"/>
  <c r="BJ58" i="31"/>
  <c r="BJ72" i="31"/>
  <c r="BK50" i="31"/>
  <c r="BK64" i="31"/>
  <c r="BD57" i="31"/>
  <c r="BD71" i="31"/>
  <c r="BE74" i="31"/>
  <c r="BE60" i="31"/>
  <c r="BL61" i="31"/>
  <c r="BL75" i="31"/>
  <c r="BW69" i="31"/>
  <c r="BW55" i="31"/>
  <c r="BI55" i="31"/>
  <c r="BI69" i="31"/>
  <c r="BM67" i="31"/>
  <c r="BM53" i="31"/>
  <c r="BC74" i="31"/>
  <c r="BC60" i="31"/>
  <c r="BS53" i="31"/>
  <c r="BS67" i="31"/>
  <c r="BL57" i="31"/>
  <c r="BL71" i="31"/>
  <c r="BP60" i="31"/>
  <c r="BP74" i="31"/>
  <c r="BR52" i="31"/>
  <c r="BR66" i="31"/>
  <c r="BU31" i="31"/>
  <c r="BD76" i="31"/>
  <c r="BD62" i="31"/>
  <c r="BE59" i="31"/>
  <c r="BE73" i="31"/>
  <c r="BL56" i="31"/>
  <c r="BL70" i="31"/>
  <c r="BW56" i="31"/>
  <c r="BW70" i="31"/>
  <c r="BZ70" i="18"/>
  <c r="BZ56" i="18"/>
  <c r="U76" i="43"/>
  <c r="U62" i="43"/>
  <c r="BU75" i="42"/>
  <c r="BU61" i="42"/>
  <c r="BD66" i="43"/>
  <c r="BD52" i="43"/>
  <c r="BS64" i="42"/>
  <c r="BS50" i="42"/>
  <c r="BS52" i="30"/>
  <c r="BS66" i="30"/>
  <c r="BY69" i="18"/>
  <c r="BY55" i="18"/>
  <c r="Y73" i="42"/>
  <c r="Y59" i="42"/>
  <c r="BN66" i="43"/>
  <c r="BN52" i="43"/>
  <c r="J72" i="43"/>
  <c r="J58" i="43"/>
  <c r="X72" i="30"/>
  <c r="X58" i="30"/>
  <c r="W54" i="37"/>
  <c r="W68" i="37"/>
  <c r="V76" i="42"/>
  <c r="V62" i="42"/>
  <c r="BE69" i="43"/>
  <c r="BE55" i="43"/>
  <c r="BE31" i="30"/>
  <c r="BY65" i="42"/>
  <c r="BY51" i="42"/>
  <c r="BP57" i="42"/>
  <c r="BP71" i="42"/>
  <c r="BP67" i="42"/>
  <c r="BP53" i="42"/>
  <c r="BT70" i="30"/>
  <c r="BT56" i="30"/>
  <c r="BW51" i="43"/>
  <c r="BW65" i="43"/>
  <c r="BU73" i="18"/>
  <c r="BU59" i="18"/>
  <c r="BU48" i="18" s="1"/>
  <c r="CD73" i="18"/>
  <c r="CD59" i="18"/>
  <c r="AK76" i="37"/>
  <c r="AK62" i="37"/>
  <c r="BG76" i="43"/>
  <c r="BG62" i="43"/>
  <c r="BG31" i="43"/>
  <c r="BZ72" i="18"/>
  <c r="BZ58" i="18"/>
  <c r="F68" i="42"/>
  <c r="F54" i="42"/>
  <c r="BJ64" i="42"/>
  <c r="BJ50" i="42"/>
  <c r="BU50" i="43"/>
  <c r="BU64" i="43"/>
  <c r="BU31" i="30"/>
  <c r="Q31" i="42"/>
  <c r="BD70" i="43"/>
  <c r="BD56" i="43"/>
  <c r="BS69" i="43"/>
  <c r="BS55" i="43"/>
  <c r="BY71" i="18"/>
  <c r="BY57" i="18"/>
  <c r="G68" i="43"/>
  <c r="G54" i="43"/>
  <c r="BN67" i="30"/>
  <c r="BN53" i="30"/>
  <c r="J52" i="30"/>
  <c r="J66" i="30"/>
  <c r="X31" i="42"/>
  <c r="N76" i="42"/>
  <c r="N62" i="42"/>
  <c r="BY70" i="42"/>
  <c r="BY56" i="42"/>
  <c r="BL45" i="43"/>
  <c r="BL69" i="30"/>
  <c r="BL55" i="30"/>
  <c r="BP74" i="43"/>
  <c r="BP60" i="43"/>
  <c r="BT64" i="42"/>
  <c r="BT50" i="42"/>
  <c r="AC74" i="18"/>
  <c r="AC60" i="18"/>
  <c r="AK59" i="37"/>
  <c r="AK73" i="37"/>
  <c r="BG70" i="30"/>
  <c r="BG56" i="30"/>
  <c r="AH50" i="18"/>
  <c r="AH64" i="18"/>
  <c r="F72" i="43"/>
  <c r="F58" i="43"/>
  <c r="BU72" i="42"/>
  <c r="BU58" i="42"/>
  <c r="Q71" i="42"/>
  <c r="Q57" i="42"/>
  <c r="Q67" i="42"/>
  <c r="Q53" i="42"/>
  <c r="BS76" i="43"/>
  <c r="BS62" i="43"/>
  <c r="BS31" i="43"/>
  <c r="G72" i="42"/>
  <c r="G58" i="42"/>
  <c r="G76" i="30"/>
  <c r="G62" i="30"/>
  <c r="Y68" i="43"/>
  <c r="Y54" i="43"/>
  <c r="BN45" i="42"/>
  <c r="BN76" i="30"/>
  <c r="BN62" i="30"/>
  <c r="BK69" i="30"/>
  <c r="BK55" i="30"/>
  <c r="V68" i="43"/>
  <c r="V54" i="43"/>
  <c r="W65" i="37"/>
  <c r="W51" i="37"/>
  <c r="BE64" i="30"/>
  <c r="BE50" i="30"/>
  <c r="BP75" i="30"/>
  <c r="BP61" i="30"/>
  <c r="BT70" i="43"/>
  <c r="BT56" i="43"/>
  <c r="BT31" i="30"/>
  <c r="BW76" i="42"/>
  <c r="BW62" i="42"/>
  <c r="BW31" i="42"/>
  <c r="AC56" i="18"/>
  <c r="AC70" i="18"/>
  <c r="AL45" i="37"/>
  <c r="C25" i="42"/>
  <c r="D64" i="42"/>
  <c r="D50" i="42"/>
  <c r="D54" i="42"/>
  <c r="D68" i="42"/>
  <c r="C9" i="42"/>
  <c r="H71" i="30"/>
  <c r="H57" i="30"/>
  <c r="K67" i="30"/>
  <c r="K53" i="30"/>
  <c r="O70" i="30"/>
  <c r="O56" i="30"/>
  <c r="BG72" i="30"/>
  <c r="BG58" i="30"/>
  <c r="BZ65" i="18"/>
  <c r="BZ51" i="18"/>
  <c r="F31" i="42"/>
  <c r="BJ31" i="30"/>
  <c r="BU76" i="42"/>
  <c r="BU62" i="42"/>
  <c r="BU31" i="42"/>
  <c r="Q72" i="43"/>
  <c r="Q58" i="43"/>
  <c r="Q51" i="30"/>
  <c r="Q65" i="30"/>
  <c r="BD56" i="30"/>
  <c r="BD70" i="30"/>
  <c r="D73" i="42"/>
  <c r="C73" i="42" s="1"/>
  <c r="C7" i="42"/>
  <c r="D59" i="42"/>
  <c r="C59" i="42" s="1"/>
  <c r="H75" i="43"/>
  <c r="H61" i="43"/>
  <c r="K70" i="42"/>
  <c r="K56" i="42"/>
  <c r="K75" i="30"/>
  <c r="K61" i="30"/>
  <c r="Z50" i="43"/>
  <c r="Z64" i="43"/>
  <c r="BR66" i="43"/>
  <c r="BR52" i="43"/>
  <c r="AD59" i="18"/>
  <c r="AD73" i="18"/>
  <c r="BS53" i="30"/>
  <c r="BS67" i="30"/>
  <c r="AG74" i="18"/>
  <c r="AG60" i="18"/>
  <c r="BK50" i="43"/>
  <c r="BK64" i="43"/>
  <c r="N66" i="42"/>
  <c r="N52" i="42"/>
  <c r="N62" i="30"/>
  <c r="N76" i="30"/>
  <c r="AK57" i="37"/>
  <c r="AK71" i="37"/>
  <c r="D35" i="43"/>
  <c r="C35" i="43" s="1"/>
  <c r="C30" i="43"/>
  <c r="D34" i="43"/>
  <c r="C34" i="43" s="1"/>
  <c r="C14" i="43"/>
  <c r="C7" i="30"/>
  <c r="D59" i="30"/>
  <c r="D73" i="30"/>
  <c r="H72" i="30"/>
  <c r="H58" i="30"/>
  <c r="K76" i="43"/>
  <c r="K62" i="43"/>
  <c r="K31" i="43"/>
  <c r="O69" i="42"/>
  <c r="O55" i="42"/>
  <c r="O54" i="30"/>
  <c r="O68" i="30"/>
  <c r="S55" i="30"/>
  <c r="S69" i="30"/>
  <c r="Z74" i="42"/>
  <c r="Z60" i="42"/>
  <c r="BC68" i="42"/>
  <c r="BC54" i="42"/>
  <c r="BR74" i="42"/>
  <c r="BR60" i="42"/>
  <c r="S67" i="30"/>
  <c r="S53" i="30"/>
  <c r="Z50" i="30"/>
  <c r="Z64" i="30"/>
  <c r="BC69" i="43"/>
  <c r="BC55" i="43"/>
  <c r="BR62" i="30"/>
  <c r="BR76" i="30"/>
  <c r="AD31" i="18"/>
  <c r="AO48" i="32"/>
  <c r="BN73" i="30"/>
  <c r="BN59" i="30"/>
  <c r="J68" i="43"/>
  <c r="J54" i="43"/>
  <c r="X50" i="43"/>
  <c r="X64" i="43"/>
  <c r="BL70" i="43"/>
  <c r="BL56" i="43"/>
  <c r="BW31" i="30"/>
  <c r="CD76" i="18"/>
  <c r="CD62" i="18"/>
  <c r="CD67" i="18"/>
  <c r="CD53" i="18"/>
  <c r="AD58" i="18"/>
  <c r="AD72" i="18"/>
  <c r="BH67" i="30"/>
  <c r="BH53" i="30"/>
  <c r="BO73" i="43"/>
  <c r="BO59" i="43"/>
  <c r="CA76" i="18"/>
  <c r="CA62" i="18"/>
  <c r="R74" i="30"/>
  <c r="R60" i="30"/>
  <c r="BB62" i="42"/>
  <c r="BA27" i="42"/>
  <c r="BB76" i="42"/>
  <c r="BF65" i="43"/>
  <c r="BF51" i="43"/>
  <c r="BF76" i="30"/>
  <c r="BF62" i="30"/>
  <c r="BX69" i="42"/>
  <c r="BX55" i="42"/>
  <c r="BX67" i="30"/>
  <c r="BX53" i="30"/>
  <c r="E75" i="43"/>
  <c r="E61" i="43"/>
  <c r="D72" i="43"/>
  <c r="D58" i="43"/>
  <c r="C16" i="43"/>
  <c r="C5" i="30"/>
  <c r="D67" i="30"/>
  <c r="D53" i="30"/>
  <c r="H74" i="42"/>
  <c r="H60" i="42"/>
  <c r="S71" i="42"/>
  <c r="S57" i="42"/>
  <c r="S67" i="42"/>
  <c r="S53" i="42"/>
  <c r="Z31" i="30"/>
  <c r="BH71" i="42"/>
  <c r="BH57" i="42"/>
  <c r="BH67" i="42"/>
  <c r="BH53" i="42"/>
  <c r="BH73" i="30"/>
  <c r="BH59" i="30"/>
  <c r="BO45" i="43"/>
  <c r="BO61" i="30"/>
  <c r="BO75" i="30"/>
  <c r="BV53" i="30"/>
  <c r="BV67" i="30"/>
  <c r="BV56" i="30"/>
  <c r="BV70" i="30"/>
  <c r="AI74" i="18"/>
  <c r="AI60" i="18"/>
  <c r="AA54" i="30"/>
  <c r="AA68" i="30"/>
  <c r="R68" i="42"/>
  <c r="R54" i="42"/>
  <c r="BB37" i="43"/>
  <c r="BA37" i="43" s="1"/>
  <c r="BA22" i="43"/>
  <c r="BB47" i="43"/>
  <c r="BA6" i="43"/>
  <c r="BF76" i="43"/>
  <c r="BF62" i="43"/>
  <c r="BF70" i="42"/>
  <c r="BF56" i="42"/>
  <c r="BM66" i="42"/>
  <c r="BM52" i="42"/>
  <c r="BQ64" i="42"/>
  <c r="BQ50" i="42"/>
  <c r="BX75" i="30"/>
  <c r="BX61" i="30"/>
  <c r="BW71" i="18"/>
  <c r="BW57" i="18"/>
  <c r="E71" i="43"/>
  <c r="E57" i="43"/>
  <c r="E67" i="43"/>
  <c r="E53" i="43"/>
  <c r="L66" i="30"/>
  <c r="L52" i="30"/>
  <c r="T74" i="30"/>
  <c r="T60" i="30"/>
  <c r="T71" i="30"/>
  <c r="T57" i="30"/>
  <c r="BC62" i="43"/>
  <c r="BC76" i="43"/>
  <c r="BC31" i="43"/>
  <c r="M65" i="42"/>
  <c r="M51" i="42"/>
  <c r="BH74" i="43"/>
  <c r="BH60" i="43"/>
  <c r="BO51" i="42"/>
  <c r="BO65" i="42"/>
  <c r="BV51" i="43"/>
  <c r="BV65" i="43"/>
  <c r="AI71" i="18"/>
  <c r="AI57" i="18"/>
  <c r="AA68" i="43"/>
  <c r="AA54" i="43"/>
  <c r="BB51" i="43"/>
  <c r="BB65" i="43"/>
  <c r="BA21" i="43"/>
  <c r="BT21" i="38" s="1"/>
  <c r="BB67" i="43"/>
  <c r="BA67" i="43" s="1"/>
  <c r="BB53" i="43"/>
  <c r="BA53" i="43" s="1"/>
  <c r="BA5" i="43"/>
  <c r="BF68" i="43"/>
  <c r="BF54" i="43"/>
  <c r="BF73" i="30"/>
  <c r="BF59" i="30"/>
  <c r="BM70" i="42"/>
  <c r="BM56" i="42"/>
  <c r="BX75" i="42"/>
  <c r="BX61" i="42"/>
  <c r="I64" i="43"/>
  <c r="I50" i="43"/>
  <c r="I45" i="30"/>
  <c r="P66" i="42"/>
  <c r="P52" i="42"/>
  <c r="T64" i="30"/>
  <c r="T50" i="30"/>
  <c r="BH76" i="42"/>
  <c r="BH62" i="42"/>
  <c r="BH31" i="42"/>
  <c r="BV76" i="42"/>
  <c r="BV62" i="42"/>
  <c r="R75" i="30"/>
  <c r="R61" i="30"/>
  <c r="BB72" i="43"/>
  <c r="BB58" i="43"/>
  <c r="BA16" i="43"/>
  <c r="BF69" i="42"/>
  <c r="BF55" i="42"/>
  <c r="BI66" i="43"/>
  <c r="BI52" i="43"/>
  <c r="BI52" i="30"/>
  <c r="BI66" i="30"/>
  <c r="BQ58" i="30"/>
  <c r="BQ72" i="30"/>
  <c r="BX51" i="43"/>
  <c r="BX65" i="43"/>
  <c r="BX66" i="30"/>
  <c r="BX52" i="30"/>
  <c r="BX61" i="18"/>
  <c r="BX75" i="18"/>
  <c r="CB69" i="18"/>
  <c r="CB55" i="18"/>
  <c r="E66" i="30"/>
  <c r="E52" i="30"/>
  <c r="L71" i="42"/>
  <c r="L57" i="42"/>
  <c r="L67" i="42"/>
  <c r="L53" i="42"/>
  <c r="W74" i="42"/>
  <c r="W60" i="42"/>
  <c r="M31" i="32"/>
  <c r="AH63" i="42"/>
  <c r="AW63" i="42"/>
  <c r="CU63" i="42"/>
  <c r="AZ63" i="42"/>
  <c r="CX63" i="42"/>
  <c r="AQ63" i="42"/>
  <c r="CO63" i="42"/>
  <c r="CR48" i="43"/>
  <c r="CL63" i="31"/>
  <c r="AT63" i="31"/>
  <c r="CT63" i="43"/>
  <c r="CR63" i="43"/>
  <c r="BZ64" i="43"/>
  <c r="CW64" i="38" s="1"/>
  <c r="CW63" i="43"/>
  <c r="CV48" i="43"/>
  <c r="CN63" i="43"/>
  <c r="CQ63" i="43"/>
  <c r="S63" i="37"/>
  <c r="DN62" i="18"/>
  <c r="BP65" i="18"/>
  <c r="CQ48" i="30"/>
  <c r="AI48" i="42"/>
  <c r="CH48" i="42"/>
  <c r="CK48" i="42"/>
  <c r="CB48" i="42"/>
  <c r="J73" i="37"/>
  <c r="CX63" i="31"/>
  <c r="BH48" i="29"/>
  <c r="AJ63" i="31"/>
  <c r="BA32" i="41"/>
  <c r="N32" i="38" s="1"/>
  <c r="BB31" i="41"/>
  <c r="BA31" i="41" s="1"/>
  <c r="N31" i="38" s="1"/>
  <c r="CH48" i="31"/>
  <c r="DN59" i="18"/>
  <c r="CA31" i="31"/>
  <c r="BZ31" i="31" s="1"/>
  <c r="CW31" i="18" s="1"/>
  <c r="BZ41" i="31"/>
  <c r="CW41" i="18" s="1"/>
  <c r="AO63" i="37"/>
  <c r="AB65" i="30"/>
  <c r="L65" i="5" s="1"/>
  <c r="BA68" i="29"/>
  <c r="N68" i="18" s="1"/>
  <c r="Q63" i="18"/>
  <c r="CN63" i="31"/>
  <c r="AN63" i="31"/>
  <c r="BA49" i="29"/>
  <c r="N49" i="18" s="1"/>
  <c r="BB48" i="29"/>
  <c r="BA48" i="29" s="1"/>
  <c r="N48" i="18" s="1"/>
  <c r="BF48" i="29"/>
  <c r="BR63" i="41"/>
  <c r="CB63" i="30"/>
  <c r="AZ48" i="30"/>
  <c r="AE48" i="30"/>
  <c r="CB48" i="30"/>
  <c r="BH48" i="18"/>
  <c r="J63" i="5"/>
  <c r="AB66" i="31"/>
  <c r="AL66" i="5" s="1"/>
  <c r="AM66" i="5" s="1"/>
  <c r="BA64" i="29"/>
  <c r="N64" i="18" s="1"/>
  <c r="BB63" i="29"/>
  <c r="AX63" i="31"/>
  <c r="BS63" i="41"/>
  <c r="AB61" i="43"/>
  <c r="AL61" i="32" s="1"/>
  <c r="BC48" i="18"/>
  <c r="AC45" i="42"/>
  <c r="AB45" i="42" s="1"/>
  <c r="L45" i="32" s="1"/>
  <c r="AB46" i="42"/>
  <c r="L46" i="32" s="1"/>
  <c r="M46" i="32" s="1"/>
  <c r="AQ63" i="43"/>
  <c r="BA73" i="41"/>
  <c r="N73" i="38" s="1"/>
  <c r="DA48" i="18"/>
  <c r="BK63" i="18"/>
  <c r="AC50" i="5"/>
  <c r="O57" i="31"/>
  <c r="O71" i="31"/>
  <c r="D39" i="31"/>
  <c r="C11" i="31"/>
  <c r="C39" i="31" s="1"/>
  <c r="BK66" i="31"/>
  <c r="BK52" i="31"/>
  <c r="BK48" i="31" s="1"/>
  <c r="BQ53" i="31"/>
  <c r="BQ67" i="31"/>
  <c r="BV66" i="31"/>
  <c r="BV52" i="31"/>
  <c r="BY71" i="43"/>
  <c r="BY57" i="43"/>
  <c r="BG69" i="30"/>
  <c r="BG55" i="30"/>
  <c r="BN73" i="43"/>
  <c r="BN59" i="43"/>
  <c r="X64" i="30"/>
  <c r="X50" i="30"/>
  <c r="BS70" i="30"/>
  <c r="BS56" i="30"/>
  <c r="K76" i="30"/>
  <c r="K62" i="30"/>
  <c r="BR66" i="30"/>
  <c r="BR52" i="30"/>
  <c r="BI70" i="42"/>
  <c r="BI56" i="42"/>
  <c r="BX65" i="18"/>
  <c r="BX51" i="18"/>
  <c r="BV73" i="30"/>
  <c r="BV59" i="30"/>
  <c r="R66" i="43"/>
  <c r="R52" i="43"/>
  <c r="BI68" i="30"/>
  <c r="BI63" i="30" s="1"/>
  <c r="BI54" i="30"/>
  <c r="P75" i="43"/>
  <c r="P61" i="43"/>
  <c r="AA65" i="30"/>
  <c r="AA51" i="30"/>
  <c r="BX68" i="42"/>
  <c r="BX54" i="42"/>
  <c r="T76" i="42"/>
  <c r="T62" i="42"/>
  <c r="DK66" i="18"/>
  <c r="DK52" i="18"/>
  <c r="DK68" i="18"/>
  <c r="DK54" i="18"/>
  <c r="N74" i="31"/>
  <c r="N60" i="31"/>
  <c r="O60" i="31"/>
  <c r="O74" i="31"/>
  <c r="G53" i="31"/>
  <c r="G67" i="31"/>
  <c r="R74" i="31"/>
  <c r="R60" i="31"/>
  <c r="E50" i="31"/>
  <c r="E64" i="31"/>
  <c r="DK55" i="18"/>
  <c r="DK69" i="18"/>
  <c r="DK51" i="18"/>
  <c r="DK65" i="18"/>
  <c r="N70" i="31"/>
  <c r="N56" i="31"/>
  <c r="Y64" i="31"/>
  <c r="Y50" i="31"/>
  <c r="G58" i="31"/>
  <c r="G72" i="31"/>
  <c r="R65" i="31"/>
  <c r="R51" i="31"/>
  <c r="E55" i="31"/>
  <c r="E69" i="31"/>
  <c r="E60" i="31"/>
  <c r="E74" i="31"/>
  <c r="I57" i="31"/>
  <c r="I71" i="31"/>
  <c r="I66" i="31"/>
  <c r="I52" i="31"/>
  <c r="I53" i="31"/>
  <c r="I67" i="31"/>
  <c r="L45" i="31"/>
  <c r="P76" i="31"/>
  <c r="P62" i="31"/>
  <c r="T54" i="31"/>
  <c r="T68" i="31"/>
  <c r="T75" i="31"/>
  <c r="T61" i="31"/>
  <c r="W64" i="31"/>
  <c r="W50" i="31"/>
  <c r="AA75" i="31"/>
  <c r="AA61" i="31"/>
  <c r="D43" i="31"/>
  <c r="C28" i="31"/>
  <c r="C43" i="31" s="1"/>
  <c r="D67" i="31"/>
  <c r="D53" i="31"/>
  <c r="C5" i="31"/>
  <c r="D34" i="31"/>
  <c r="C14" i="31"/>
  <c r="C34" i="31" s="1"/>
  <c r="K51" i="31"/>
  <c r="K65" i="31"/>
  <c r="K68" i="31"/>
  <c r="K54" i="31"/>
  <c r="F54" i="31"/>
  <c r="F68" i="31"/>
  <c r="J55" i="31"/>
  <c r="J69" i="31"/>
  <c r="J53" i="31"/>
  <c r="J67" i="31"/>
  <c r="M71" i="31"/>
  <c r="M57" i="31"/>
  <c r="M52" i="31"/>
  <c r="M48" i="31" s="1"/>
  <c r="M66" i="31"/>
  <c r="M53" i="31"/>
  <c r="M67" i="31"/>
  <c r="Q45" i="31"/>
  <c r="U76" i="31"/>
  <c r="U62" i="31"/>
  <c r="X56" i="31"/>
  <c r="X70" i="31"/>
  <c r="BM75" i="31"/>
  <c r="BM61" i="31"/>
  <c r="BB46" i="31"/>
  <c r="BA10" i="31"/>
  <c r="BA46" i="31" s="1"/>
  <c r="BC57" i="31"/>
  <c r="BC71" i="31"/>
  <c r="BG74" i="31"/>
  <c r="BG60" i="31"/>
  <c r="BN56" i="31"/>
  <c r="BN70" i="31"/>
  <c r="BU71" i="31"/>
  <c r="BU57" i="31"/>
  <c r="BY55" i="31"/>
  <c r="BY69" i="31"/>
  <c r="BT31" i="31"/>
  <c r="BI45" i="31"/>
  <c r="BQ50" i="31"/>
  <c r="BQ64" i="31"/>
  <c r="BJ60" i="31"/>
  <c r="BJ74" i="31"/>
  <c r="BK57" i="31"/>
  <c r="BK71" i="31"/>
  <c r="BD64" i="31"/>
  <c r="BD50" i="31"/>
  <c r="BE68" i="31"/>
  <c r="BE54" i="31"/>
  <c r="BW58" i="31"/>
  <c r="BW72" i="31"/>
  <c r="BI70" i="31"/>
  <c r="BI56" i="31"/>
  <c r="BX45" i="31"/>
  <c r="BC58" i="31"/>
  <c r="BC72" i="31"/>
  <c r="BH71" i="31"/>
  <c r="BH57" i="31"/>
  <c r="BK31" i="31"/>
  <c r="BS57" i="31"/>
  <c r="BS71" i="31"/>
  <c r="BV73" i="31"/>
  <c r="BV59" i="31"/>
  <c r="BL64" i="31"/>
  <c r="BL50" i="31"/>
  <c r="BP54" i="31"/>
  <c r="BP68" i="31"/>
  <c r="BB35" i="31"/>
  <c r="BA30" i="31"/>
  <c r="BA35" i="31" s="1"/>
  <c r="BN71" i="31"/>
  <c r="BN57" i="31"/>
  <c r="BK45" i="31"/>
  <c r="BL58" i="31"/>
  <c r="BL72" i="31"/>
  <c r="BW74" i="31"/>
  <c r="BW60" i="31"/>
  <c r="U76" i="42"/>
  <c r="U62" i="42"/>
  <c r="U31" i="42"/>
  <c r="Q74" i="30"/>
  <c r="Q60" i="30"/>
  <c r="BD66" i="42"/>
  <c r="BD52" i="42"/>
  <c r="BS51" i="43"/>
  <c r="BS65" i="43"/>
  <c r="BS51" i="30"/>
  <c r="BS65" i="30"/>
  <c r="Y76" i="43"/>
  <c r="Y62" i="43"/>
  <c r="Y31" i="43"/>
  <c r="BN66" i="42"/>
  <c r="BN52" i="42"/>
  <c r="J72" i="42"/>
  <c r="J58" i="42"/>
  <c r="J68" i="30"/>
  <c r="J54" i="30"/>
  <c r="X56" i="30"/>
  <c r="X70" i="30"/>
  <c r="V67" i="30"/>
  <c r="V53" i="30"/>
  <c r="BE69" i="42"/>
  <c r="BE55" i="42"/>
  <c r="BE54" i="30"/>
  <c r="BE68" i="30"/>
  <c r="BY66" i="43"/>
  <c r="BY52" i="43"/>
  <c r="BY65" i="30"/>
  <c r="BY51" i="30"/>
  <c r="BP64" i="43"/>
  <c r="BP50" i="43"/>
  <c r="BW65" i="42"/>
  <c r="BW51" i="42"/>
  <c r="BW76" i="30"/>
  <c r="BW62" i="30"/>
  <c r="AH62" i="37"/>
  <c r="AH76" i="37"/>
  <c r="BG76" i="42"/>
  <c r="BG62" i="42"/>
  <c r="BG31" i="42"/>
  <c r="F71" i="43"/>
  <c r="F57" i="43"/>
  <c r="F67" i="43"/>
  <c r="F53" i="43"/>
  <c r="BJ51" i="43"/>
  <c r="BJ65" i="43"/>
  <c r="BJ72" i="30"/>
  <c r="BJ58" i="30"/>
  <c r="BU64" i="42"/>
  <c r="BU50" i="42"/>
  <c r="BU67" i="30"/>
  <c r="BU53" i="30"/>
  <c r="Q67" i="30"/>
  <c r="Q53" i="30"/>
  <c r="BD70" i="42"/>
  <c r="BD56" i="42"/>
  <c r="BD66" i="30"/>
  <c r="BD63" i="30" s="1"/>
  <c r="BD52" i="30"/>
  <c r="BS69" i="42"/>
  <c r="BS55" i="42"/>
  <c r="AG62" i="18"/>
  <c r="AG76" i="18"/>
  <c r="G68" i="42"/>
  <c r="G54" i="42"/>
  <c r="BN68" i="43"/>
  <c r="BN54" i="43"/>
  <c r="J51" i="30"/>
  <c r="J65" i="30"/>
  <c r="X67" i="43"/>
  <c r="X53" i="43"/>
  <c r="X72" i="43"/>
  <c r="X58" i="43"/>
  <c r="V75" i="43"/>
  <c r="V61" i="43"/>
  <c r="V52" i="30"/>
  <c r="V66" i="30"/>
  <c r="BY72" i="43"/>
  <c r="BY58" i="43"/>
  <c r="BP74" i="42"/>
  <c r="BP60" i="42"/>
  <c r="BT51" i="43"/>
  <c r="BT65" i="43"/>
  <c r="BW69" i="43"/>
  <c r="BW55" i="43"/>
  <c r="BU74" i="18"/>
  <c r="BU60" i="18"/>
  <c r="AL59" i="37"/>
  <c r="AL73" i="37"/>
  <c r="BG45" i="43"/>
  <c r="BZ64" i="18"/>
  <c r="BZ50" i="18"/>
  <c r="F72" i="42"/>
  <c r="F58" i="42"/>
  <c r="U68" i="43"/>
  <c r="U54" i="43"/>
  <c r="BU74" i="43"/>
  <c r="BU60" i="43"/>
  <c r="Q50" i="43"/>
  <c r="Q64" i="43"/>
  <c r="BS76" i="42"/>
  <c r="BS62" i="42"/>
  <c r="BS31" i="42"/>
  <c r="G74" i="43"/>
  <c r="G60" i="43"/>
  <c r="Y68" i="42"/>
  <c r="Y54" i="42"/>
  <c r="BN71" i="30"/>
  <c r="BN57" i="30"/>
  <c r="X75" i="30"/>
  <c r="X61" i="30"/>
  <c r="V54" i="42"/>
  <c r="V68" i="42"/>
  <c r="BE71" i="30"/>
  <c r="BE57" i="30"/>
  <c r="BY73" i="43"/>
  <c r="BY59" i="43"/>
  <c r="BP56" i="30"/>
  <c r="BP70" i="30"/>
  <c r="BT70" i="42"/>
  <c r="BT56" i="42"/>
  <c r="BU70" i="18"/>
  <c r="BU56" i="18"/>
  <c r="D51" i="43"/>
  <c r="D65" i="43"/>
  <c r="C21" i="43"/>
  <c r="D67" i="43"/>
  <c r="D53" i="43"/>
  <c r="C5" i="43"/>
  <c r="H73" i="43"/>
  <c r="H59" i="43"/>
  <c r="K74" i="30"/>
  <c r="K60" i="30"/>
  <c r="O69" i="30"/>
  <c r="O55" i="30"/>
  <c r="AH67" i="18"/>
  <c r="AH53" i="18"/>
  <c r="F73" i="43"/>
  <c r="F59" i="43"/>
  <c r="BU74" i="30"/>
  <c r="BU60" i="30"/>
  <c r="Q72" i="42"/>
  <c r="Q58" i="42"/>
  <c r="Q57" i="30"/>
  <c r="Q71" i="30"/>
  <c r="BD45" i="43"/>
  <c r="D49" i="42"/>
  <c r="C23" i="42"/>
  <c r="H75" i="42"/>
  <c r="H61" i="42"/>
  <c r="H66" i="43"/>
  <c r="H52" i="43"/>
  <c r="K72" i="43"/>
  <c r="K58" i="43"/>
  <c r="Z64" i="42"/>
  <c r="Z50" i="42"/>
  <c r="BC76" i="30"/>
  <c r="BC62" i="30"/>
  <c r="BR66" i="42"/>
  <c r="BR52" i="42"/>
  <c r="BR69" i="30"/>
  <c r="BR55" i="30"/>
  <c r="BV73" i="18"/>
  <c r="BV59" i="18"/>
  <c r="BS59" i="30"/>
  <c r="BS73" i="30"/>
  <c r="BY74" i="18"/>
  <c r="BY60" i="18"/>
  <c r="G73" i="43"/>
  <c r="G59" i="43"/>
  <c r="BK64" i="42"/>
  <c r="BK50" i="42"/>
  <c r="BK66" i="30"/>
  <c r="BK52" i="30"/>
  <c r="N31" i="43"/>
  <c r="N45" i="30"/>
  <c r="AI57" i="37"/>
  <c r="AI71" i="37"/>
  <c r="M57" i="32"/>
  <c r="C14" i="30"/>
  <c r="C34" i="30" s="1"/>
  <c r="F34" i="5" s="1"/>
  <c r="H34" i="5" s="1"/>
  <c r="D34" i="30"/>
  <c r="H56" i="30"/>
  <c r="H70" i="30"/>
  <c r="K76" i="42"/>
  <c r="K62" i="42"/>
  <c r="K31" i="42"/>
  <c r="O70" i="43"/>
  <c r="O56" i="43"/>
  <c r="BC71" i="43"/>
  <c r="BC57" i="43"/>
  <c r="BC67" i="43"/>
  <c r="BC53" i="43"/>
  <c r="Z71" i="30"/>
  <c r="Z57" i="30"/>
  <c r="BC69" i="42"/>
  <c r="BC55" i="42"/>
  <c r="BR73" i="43"/>
  <c r="BR59" i="43"/>
  <c r="BR71" i="30"/>
  <c r="BR57" i="30"/>
  <c r="AD51" i="18"/>
  <c r="AD65" i="18"/>
  <c r="BN71" i="43"/>
  <c r="BN57" i="43"/>
  <c r="J54" i="42"/>
  <c r="J68" i="42"/>
  <c r="X64" i="42"/>
  <c r="X50" i="42"/>
  <c r="BL70" i="42"/>
  <c r="BL56" i="42"/>
  <c r="BW67" i="30"/>
  <c r="BW53" i="30"/>
  <c r="BV72" i="18"/>
  <c r="BV58" i="18"/>
  <c r="BH75" i="43"/>
  <c r="BH61" i="43"/>
  <c r="BH68" i="30"/>
  <c r="BH54" i="30"/>
  <c r="BO73" i="42"/>
  <c r="BO59" i="42"/>
  <c r="BB49" i="43"/>
  <c r="BA49" i="43" s="1"/>
  <c r="BA23" i="43"/>
  <c r="BB73" i="43"/>
  <c r="BA73" i="43" s="1"/>
  <c r="BB59" i="43"/>
  <c r="BA7" i="43"/>
  <c r="BF65" i="42"/>
  <c r="BF51" i="42"/>
  <c r="BF71" i="30"/>
  <c r="BF57" i="30"/>
  <c r="BM75" i="43"/>
  <c r="BM61" i="43"/>
  <c r="BX70" i="43"/>
  <c r="BX56" i="43"/>
  <c r="E61" i="42"/>
  <c r="E75" i="42"/>
  <c r="P70" i="43"/>
  <c r="P56" i="43"/>
  <c r="C11" i="30"/>
  <c r="C39" i="30" s="1"/>
  <c r="F39" i="5" s="1"/>
  <c r="H39" i="5" s="1"/>
  <c r="D39" i="30"/>
  <c r="H65" i="43"/>
  <c r="H51" i="43"/>
  <c r="K68" i="43"/>
  <c r="K54" i="43"/>
  <c r="S64" i="43"/>
  <c r="S50" i="43"/>
  <c r="S73" i="30"/>
  <c r="S59" i="30"/>
  <c r="BH50" i="43"/>
  <c r="BH64" i="43"/>
  <c r="CA74" i="18"/>
  <c r="CA60" i="18"/>
  <c r="F67" i="37"/>
  <c r="F53" i="37"/>
  <c r="R71" i="43"/>
  <c r="R57" i="43"/>
  <c r="R67" i="43"/>
  <c r="R53" i="43"/>
  <c r="BA22" i="42"/>
  <c r="BB37" i="42"/>
  <c r="BA37" i="42" s="1"/>
  <c r="BA8" i="30"/>
  <c r="BA41" i="30" s="1"/>
  <c r="BB41" i="30"/>
  <c r="BA22" i="30"/>
  <c r="BA37" i="30" s="1"/>
  <c r="BB37" i="30"/>
  <c r="BA5" i="30"/>
  <c r="BB67" i="30"/>
  <c r="BB53" i="30"/>
  <c r="BF76" i="42"/>
  <c r="BF62" i="42"/>
  <c r="BF74" i="43"/>
  <c r="BF60" i="43"/>
  <c r="BI69" i="30"/>
  <c r="BI55" i="30"/>
  <c r="BM66" i="30"/>
  <c r="BM52" i="30"/>
  <c r="BQ65" i="43"/>
  <c r="BQ51" i="43"/>
  <c r="BQ66" i="30"/>
  <c r="BQ52" i="30"/>
  <c r="BX70" i="30"/>
  <c r="BX56" i="30"/>
  <c r="AJ58" i="18"/>
  <c r="AJ72" i="18"/>
  <c r="E71" i="42"/>
  <c r="E57" i="42"/>
  <c r="E67" i="42"/>
  <c r="E53" i="42"/>
  <c r="I53" i="30"/>
  <c r="I67" i="30"/>
  <c r="L65" i="30"/>
  <c r="L51" i="30"/>
  <c r="P31" i="30"/>
  <c r="T68" i="43"/>
  <c r="T54" i="43"/>
  <c r="P69" i="30"/>
  <c r="P55" i="30"/>
  <c r="W71" i="43"/>
  <c r="W57" i="43"/>
  <c r="BC76" i="42"/>
  <c r="BC62" i="42"/>
  <c r="BC31" i="42"/>
  <c r="M66" i="43"/>
  <c r="M52" i="43"/>
  <c r="BH74" i="42"/>
  <c r="BH60" i="42"/>
  <c r="BO66" i="43"/>
  <c r="BO52" i="43"/>
  <c r="BV65" i="42"/>
  <c r="BV51" i="42"/>
  <c r="CA71" i="18"/>
  <c r="CA57" i="18"/>
  <c r="F31" i="37"/>
  <c r="AA68" i="42"/>
  <c r="AA54" i="42"/>
  <c r="R69" i="43"/>
  <c r="R55" i="43"/>
  <c r="BA21" i="42"/>
  <c r="BB65" i="42"/>
  <c r="BA65" i="42" s="1"/>
  <c r="BB51" i="42"/>
  <c r="BA5" i="42"/>
  <c r="BB53" i="42"/>
  <c r="BA53" i="42" s="1"/>
  <c r="BB67" i="42"/>
  <c r="BA67" i="42" s="1"/>
  <c r="BF68" i="42"/>
  <c r="BF54" i="42"/>
  <c r="BM72" i="43"/>
  <c r="BM58" i="43"/>
  <c r="BQ69" i="43"/>
  <c r="BQ55" i="43"/>
  <c r="I64" i="42"/>
  <c r="I50" i="42"/>
  <c r="L75" i="43"/>
  <c r="L61" i="43"/>
  <c r="L61" i="30"/>
  <c r="L75" i="30"/>
  <c r="P58" i="30"/>
  <c r="P72" i="30"/>
  <c r="T45" i="30"/>
  <c r="BH31" i="30"/>
  <c r="BO52" i="30"/>
  <c r="BO48" i="30" s="1"/>
  <c r="BO66" i="30"/>
  <c r="BO63" i="30" s="1"/>
  <c r="BV51" i="30"/>
  <c r="BV65" i="30"/>
  <c r="AA69" i="43"/>
  <c r="AA55" i="43"/>
  <c r="AA31" i="30"/>
  <c r="BA17" i="30"/>
  <c r="BB52" i="30"/>
  <c r="BB66" i="30"/>
  <c r="BA29" i="30"/>
  <c r="BB71" i="30"/>
  <c r="BB57" i="30"/>
  <c r="BF72" i="43"/>
  <c r="BF58" i="43"/>
  <c r="BI66" i="42"/>
  <c r="BI52" i="42"/>
  <c r="BM72" i="30"/>
  <c r="BM58" i="30"/>
  <c r="BQ75" i="30"/>
  <c r="BQ61" i="30"/>
  <c r="BX65" i="42"/>
  <c r="BX51" i="42"/>
  <c r="AF55" i="18"/>
  <c r="AF69" i="18"/>
  <c r="AJ66" i="18"/>
  <c r="AJ63" i="18" s="1"/>
  <c r="AJ52" i="18"/>
  <c r="E64" i="30"/>
  <c r="E50" i="30"/>
  <c r="L50" i="43"/>
  <c r="L64" i="43"/>
  <c r="L45" i="30"/>
  <c r="AK48" i="43"/>
  <c r="AM63" i="43"/>
  <c r="AN48" i="43"/>
  <c r="AG63" i="43"/>
  <c r="J62" i="37"/>
  <c r="AB52" i="43"/>
  <c r="AL52" i="32" s="1"/>
  <c r="AM52" i="32" s="1"/>
  <c r="BZ46" i="42"/>
  <c r="BE46" i="38" s="1"/>
  <c r="BP46" i="38" s="1"/>
  <c r="CA45" i="42"/>
  <c r="BZ45" i="42" s="1"/>
  <c r="BE45" i="38" s="1"/>
  <c r="BI48" i="41"/>
  <c r="DN76" i="18"/>
  <c r="BP51" i="18"/>
  <c r="DE48" i="18"/>
  <c r="J56" i="37"/>
  <c r="CF48" i="42"/>
  <c r="CT48" i="42"/>
  <c r="CW48" i="42"/>
  <c r="CN48" i="42"/>
  <c r="DN73" i="18"/>
  <c r="C2" i="30"/>
  <c r="C38" i="30" s="1"/>
  <c r="F38" i="5" s="1"/>
  <c r="H38" i="5" s="1"/>
  <c r="AC63" i="31"/>
  <c r="AB63" i="31" s="1"/>
  <c r="AL63" i="5" s="1"/>
  <c r="AB64" i="31"/>
  <c r="AL64" i="5" s="1"/>
  <c r="AM64" i="5" s="1"/>
  <c r="BZ74" i="31"/>
  <c r="CW74" i="18" s="1"/>
  <c r="J66" i="37"/>
  <c r="AB73" i="42"/>
  <c r="L73" i="32" s="1"/>
  <c r="M73" i="32" s="1"/>
  <c r="BZ73" i="42"/>
  <c r="BE73" i="38" s="1"/>
  <c r="AB65" i="42"/>
  <c r="L65" i="32" s="1"/>
  <c r="M65" i="32" s="1"/>
  <c r="BZ65" i="42"/>
  <c r="BE65" i="38" s="1"/>
  <c r="BZ73" i="30"/>
  <c r="BE73" i="18" s="1"/>
  <c r="CJ63" i="30"/>
  <c r="BZ74" i="30"/>
  <c r="BE74" i="18" s="1"/>
  <c r="BP74" i="18" s="1"/>
  <c r="CB63" i="31"/>
  <c r="DC63" i="18"/>
  <c r="CM63" i="31"/>
  <c r="BY63" i="29"/>
  <c r="T63" i="37"/>
  <c r="CN63" i="30"/>
  <c r="AG48" i="30"/>
  <c r="AQ48" i="30"/>
  <c r="CN48" i="30"/>
  <c r="M74" i="5"/>
  <c r="AK63" i="5"/>
  <c r="BT63" i="41"/>
  <c r="M50" i="5"/>
  <c r="CS48" i="30"/>
  <c r="CL63" i="30"/>
  <c r="CK48" i="30"/>
  <c r="R48" i="18"/>
  <c r="AM65" i="5"/>
  <c r="D63" i="5"/>
  <c r="CC48" i="31"/>
  <c r="BJ48" i="41"/>
  <c r="BA61" i="41"/>
  <c r="N61" i="38" s="1"/>
  <c r="AB46" i="43"/>
  <c r="AL46" i="32" s="1"/>
  <c r="AC45" i="43"/>
  <c r="AB45" i="43" s="1"/>
  <c r="AL45" i="32" s="1"/>
  <c r="AN63" i="43"/>
  <c r="AA63" i="5"/>
  <c r="AC63" i="5" s="1"/>
  <c r="AC64" i="5"/>
  <c r="AB49" i="31"/>
  <c r="AL49" i="5" s="1"/>
  <c r="AM49" i="5" s="1"/>
  <c r="AC48" i="31"/>
  <c r="AB48" i="31" s="1"/>
  <c r="AL48" i="5" s="1"/>
  <c r="V66" i="31"/>
  <c r="V52" i="31"/>
  <c r="BR55" i="31"/>
  <c r="BR69" i="31"/>
  <c r="BM66" i="31"/>
  <c r="BM52" i="31"/>
  <c r="BT53" i="31"/>
  <c r="BT67" i="31"/>
  <c r="BC55" i="31"/>
  <c r="BC69" i="31"/>
  <c r="U52" i="30"/>
  <c r="U66" i="30"/>
  <c r="N70" i="30"/>
  <c r="N56" i="30"/>
  <c r="BL75" i="42"/>
  <c r="BL61" i="42"/>
  <c r="AC53" i="18"/>
  <c r="AC67" i="18"/>
  <c r="U51" i="43"/>
  <c r="U65" i="43"/>
  <c r="C19" i="30"/>
  <c r="C42" i="30" s="1"/>
  <c r="F42" i="5" s="1"/>
  <c r="H42" i="5" s="1"/>
  <c r="D42" i="30"/>
  <c r="BG64" i="42"/>
  <c r="BG50" i="42"/>
  <c r="BU70" i="30"/>
  <c r="BU56" i="30"/>
  <c r="BY68" i="30"/>
  <c r="BY54" i="30"/>
  <c r="AC72" i="18"/>
  <c r="AC58" i="18"/>
  <c r="K66" i="30"/>
  <c r="K52" i="30"/>
  <c r="BO67" i="30"/>
  <c r="BO53" i="30"/>
  <c r="AA60" i="30"/>
  <c r="AA74" i="30"/>
  <c r="AE60" i="18"/>
  <c r="AE74" i="18"/>
  <c r="E66" i="42"/>
  <c r="E52" i="42"/>
  <c r="BH69" i="42"/>
  <c r="BH55" i="42"/>
  <c r="AA65" i="42"/>
  <c r="AA51" i="42"/>
  <c r="E72" i="43"/>
  <c r="E58" i="43"/>
  <c r="BX73" i="30"/>
  <c r="BX59" i="30"/>
  <c r="I70" i="42"/>
  <c r="I56" i="42"/>
  <c r="BP55" i="18"/>
  <c r="DK71" i="18"/>
  <c r="DK57" i="18"/>
  <c r="G66" i="31"/>
  <c r="G52" i="31"/>
  <c r="G48" i="31" s="1"/>
  <c r="DK76" i="18"/>
  <c r="DK62" i="18"/>
  <c r="Y55" i="31"/>
  <c r="Y69" i="31"/>
  <c r="Y74" i="31"/>
  <c r="Y60" i="31"/>
  <c r="G76" i="31"/>
  <c r="G62" i="31"/>
  <c r="R70" i="31"/>
  <c r="R56" i="31"/>
  <c r="H64" i="31"/>
  <c r="H50" i="31"/>
  <c r="Z61" i="31"/>
  <c r="Z75" i="31"/>
  <c r="I58" i="31"/>
  <c r="I72" i="31"/>
  <c r="I63" i="31" s="1"/>
  <c r="L51" i="31"/>
  <c r="L65" i="31"/>
  <c r="L54" i="31"/>
  <c r="L68" i="31"/>
  <c r="T52" i="31"/>
  <c r="T66" i="31"/>
  <c r="W55" i="31"/>
  <c r="W69" i="31"/>
  <c r="W74" i="31"/>
  <c r="W60" i="31"/>
  <c r="AA57" i="31"/>
  <c r="AA71" i="31"/>
  <c r="AA52" i="31"/>
  <c r="AA66" i="31"/>
  <c r="AA53" i="31"/>
  <c r="AA67" i="31"/>
  <c r="V60" i="31"/>
  <c r="V74" i="31"/>
  <c r="D76" i="31"/>
  <c r="D62" i="31"/>
  <c r="C27" i="31"/>
  <c r="D40" i="31"/>
  <c r="C4" i="31"/>
  <c r="C40" i="31" s="1"/>
  <c r="D33" i="31"/>
  <c r="C13" i="31"/>
  <c r="C33" i="31" s="1"/>
  <c r="K56" i="31"/>
  <c r="K70" i="31"/>
  <c r="S64" i="31"/>
  <c r="S50" i="31"/>
  <c r="F61" i="31"/>
  <c r="F75" i="31"/>
  <c r="M58" i="31"/>
  <c r="M72" i="31"/>
  <c r="Q51" i="31"/>
  <c r="Q65" i="31"/>
  <c r="Q54" i="31"/>
  <c r="Q68" i="31"/>
  <c r="X73" i="31"/>
  <c r="X59" i="31"/>
  <c r="BX76" i="31"/>
  <c r="BX62" i="31"/>
  <c r="BB47" i="31"/>
  <c r="BA6" i="31"/>
  <c r="BA47" i="31" s="1"/>
  <c r="BC65" i="31"/>
  <c r="BC51" i="31"/>
  <c r="BG53" i="31"/>
  <c r="BG67" i="31"/>
  <c r="BN72" i="31"/>
  <c r="BN58" i="31"/>
  <c r="BU64" i="31"/>
  <c r="BU50" i="31"/>
  <c r="BO73" i="31"/>
  <c r="BO59" i="31"/>
  <c r="BV69" i="31"/>
  <c r="BV55" i="31"/>
  <c r="BD73" i="31"/>
  <c r="BD59" i="31"/>
  <c r="BY56" i="31"/>
  <c r="BY70" i="31"/>
  <c r="BQ51" i="31"/>
  <c r="BQ65" i="31"/>
  <c r="BX73" i="31"/>
  <c r="BX59" i="31"/>
  <c r="BG76" i="31"/>
  <c r="BG62" i="31"/>
  <c r="BJ54" i="31"/>
  <c r="BJ68" i="31"/>
  <c r="BH61" i="31"/>
  <c r="BH75" i="31"/>
  <c r="BD51" i="31"/>
  <c r="BD65" i="31"/>
  <c r="BE53" i="31"/>
  <c r="BE67" i="31"/>
  <c r="BT55" i="31"/>
  <c r="BT69" i="31"/>
  <c r="BW68" i="31"/>
  <c r="BW54" i="31"/>
  <c r="BI72" i="31"/>
  <c r="BI58" i="31"/>
  <c r="BQ55" i="31"/>
  <c r="BQ69" i="31"/>
  <c r="BG50" i="31"/>
  <c r="BG64" i="31"/>
  <c r="BR75" i="31"/>
  <c r="BR61" i="31"/>
  <c r="BH50" i="31"/>
  <c r="BH64" i="31"/>
  <c r="BS51" i="31"/>
  <c r="BS65" i="31"/>
  <c r="BL65" i="31"/>
  <c r="BL51" i="31"/>
  <c r="BP53" i="31"/>
  <c r="BP67" i="31"/>
  <c r="BB36" i="31"/>
  <c r="BA26" i="31"/>
  <c r="BA36" i="31" s="1"/>
  <c r="BN50" i="31"/>
  <c r="BN64" i="31"/>
  <c r="BH69" i="31"/>
  <c r="BH55" i="31"/>
  <c r="BO55" i="31"/>
  <c r="BO69" i="31"/>
  <c r="BS56" i="31"/>
  <c r="BS70" i="31"/>
  <c r="BY57" i="31"/>
  <c r="BY71" i="31"/>
  <c r="BL74" i="31"/>
  <c r="BL60" i="31"/>
  <c r="BT61" i="31"/>
  <c r="BT75" i="31"/>
  <c r="BW53" i="31"/>
  <c r="BW67" i="31"/>
  <c r="BJ59" i="30"/>
  <c r="BJ73" i="30"/>
  <c r="BS65" i="42"/>
  <c r="BS51" i="42"/>
  <c r="BS50" i="30"/>
  <c r="BS64" i="30"/>
  <c r="Y76" i="42"/>
  <c r="Y62" i="42"/>
  <c r="BN74" i="30"/>
  <c r="BN60" i="30"/>
  <c r="J74" i="43"/>
  <c r="J60" i="43"/>
  <c r="X69" i="30"/>
  <c r="X55" i="30"/>
  <c r="V60" i="30"/>
  <c r="V74" i="30"/>
  <c r="BE70" i="43"/>
  <c r="BE56" i="43"/>
  <c r="BY66" i="42"/>
  <c r="BY52" i="42"/>
  <c r="BP64" i="42"/>
  <c r="BP50" i="42"/>
  <c r="BT69" i="30"/>
  <c r="BT55" i="30"/>
  <c r="BW66" i="43"/>
  <c r="BW52" i="43"/>
  <c r="BW72" i="30"/>
  <c r="BW58" i="30"/>
  <c r="AP63" i="16"/>
  <c r="AI76" i="37"/>
  <c r="AI62" i="37"/>
  <c r="F71" i="42"/>
  <c r="F57" i="42"/>
  <c r="F67" i="42"/>
  <c r="F53" i="42"/>
  <c r="U67" i="30"/>
  <c r="U53" i="30"/>
  <c r="BJ65" i="42"/>
  <c r="BJ51" i="42"/>
  <c r="BJ75" i="30"/>
  <c r="BJ61" i="30"/>
  <c r="BU51" i="43"/>
  <c r="BU65" i="43"/>
  <c r="BU68" i="30"/>
  <c r="BU54" i="30"/>
  <c r="Q54" i="30"/>
  <c r="Q68" i="30"/>
  <c r="BD72" i="43"/>
  <c r="BD58" i="43"/>
  <c r="BS70" i="43"/>
  <c r="BS56" i="43"/>
  <c r="BY62" i="18"/>
  <c r="BY76" i="18"/>
  <c r="G71" i="43"/>
  <c r="G57" i="43"/>
  <c r="G67" i="43"/>
  <c r="G53" i="43"/>
  <c r="BN54" i="42"/>
  <c r="BN68" i="42"/>
  <c r="J50" i="30"/>
  <c r="J64" i="30"/>
  <c r="X67" i="42"/>
  <c r="X53" i="42"/>
  <c r="X72" i="42"/>
  <c r="X58" i="42"/>
  <c r="N66" i="30"/>
  <c r="N52" i="30"/>
  <c r="V75" i="42"/>
  <c r="V61" i="42"/>
  <c r="V51" i="30"/>
  <c r="V65" i="30"/>
  <c r="BE58" i="30"/>
  <c r="BE48" i="30" s="1"/>
  <c r="BE72" i="30"/>
  <c r="BY72" i="42"/>
  <c r="BY58" i="42"/>
  <c r="BT65" i="42"/>
  <c r="BT51" i="42"/>
  <c r="BW69" i="42"/>
  <c r="BW55" i="42"/>
  <c r="AH56" i="37"/>
  <c r="AH70" i="37"/>
  <c r="F58" i="37"/>
  <c r="F72" i="37"/>
  <c r="AI59" i="37"/>
  <c r="AI73" i="37"/>
  <c r="AH62" i="18"/>
  <c r="AH76" i="18"/>
  <c r="AH68" i="18"/>
  <c r="AH54" i="18"/>
  <c r="F74" i="43"/>
  <c r="F60" i="43"/>
  <c r="U68" i="42"/>
  <c r="U54" i="42"/>
  <c r="BU74" i="42"/>
  <c r="BU60" i="42"/>
  <c r="Q64" i="42"/>
  <c r="Q50" i="42"/>
  <c r="Q45" i="30"/>
  <c r="G74" i="42"/>
  <c r="G60" i="42"/>
  <c r="Y71" i="43"/>
  <c r="Y57" i="43"/>
  <c r="Y67" i="43"/>
  <c r="Y53" i="43"/>
  <c r="BN76" i="43"/>
  <c r="BN62" i="43"/>
  <c r="X73" i="30"/>
  <c r="X59" i="30"/>
  <c r="V71" i="43"/>
  <c r="V57" i="43"/>
  <c r="V67" i="43"/>
  <c r="V53" i="43"/>
  <c r="BY73" i="42"/>
  <c r="BY59" i="42"/>
  <c r="BL68" i="43"/>
  <c r="BL54" i="43"/>
  <c r="BT72" i="43"/>
  <c r="BT58" i="43"/>
  <c r="BT66" i="30"/>
  <c r="BT63" i="30" s="1"/>
  <c r="BT52" i="30"/>
  <c r="BW66" i="30"/>
  <c r="BW52" i="30"/>
  <c r="D51" i="42"/>
  <c r="D65" i="42"/>
  <c r="C21" i="42"/>
  <c r="H73" i="42"/>
  <c r="H59" i="42"/>
  <c r="K75" i="43"/>
  <c r="K61" i="43"/>
  <c r="K72" i="30"/>
  <c r="K63" i="30" s="1"/>
  <c r="K58" i="30"/>
  <c r="BG68" i="43"/>
  <c r="BG54" i="43"/>
  <c r="BZ67" i="18"/>
  <c r="BZ53" i="18"/>
  <c r="F73" i="42"/>
  <c r="F59" i="42"/>
  <c r="U69" i="43"/>
  <c r="U55" i="43"/>
  <c r="U31" i="30"/>
  <c r="BJ52" i="30"/>
  <c r="BJ66" i="30"/>
  <c r="BU73" i="30"/>
  <c r="BU59" i="30"/>
  <c r="Q74" i="43"/>
  <c r="Q60" i="43"/>
  <c r="BD69" i="30"/>
  <c r="BD55" i="30"/>
  <c r="BS75" i="43"/>
  <c r="BS61" i="43"/>
  <c r="D42" i="43"/>
  <c r="C42" i="43" s="1"/>
  <c r="C19" i="43"/>
  <c r="D32" i="43"/>
  <c r="C3" i="43"/>
  <c r="H45" i="43"/>
  <c r="H66" i="42"/>
  <c r="H52" i="42"/>
  <c r="K72" i="42"/>
  <c r="K58" i="42"/>
  <c r="O68" i="43"/>
  <c r="O54" i="43"/>
  <c r="S31" i="42"/>
  <c r="Z51" i="43"/>
  <c r="Z65" i="43"/>
  <c r="BC72" i="30"/>
  <c r="BC58" i="30"/>
  <c r="BC48" i="30" s="1"/>
  <c r="AD54" i="18"/>
  <c r="AD68" i="18"/>
  <c r="BS54" i="30"/>
  <c r="BS68" i="30"/>
  <c r="AG59" i="18"/>
  <c r="AG73" i="18"/>
  <c r="G73" i="42"/>
  <c r="G59" i="42"/>
  <c r="Y69" i="43"/>
  <c r="Y55" i="43"/>
  <c r="Y31" i="30"/>
  <c r="BK51" i="43"/>
  <c r="BK65" i="43"/>
  <c r="BK51" i="30"/>
  <c r="BK65" i="30"/>
  <c r="AL57" i="37"/>
  <c r="AL71" i="37"/>
  <c r="M71" i="32"/>
  <c r="D35" i="42"/>
  <c r="C35" i="42" s="1"/>
  <c r="C30" i="42"/>
  <c r="D34" i="42"/>
  <c r="C34" i="42" s="1"/>
  <c r="C14" i="42"/>
  <c r="F14" i="32" s="1"/>
  <c r="C18" i="30"/>
  <c r="D75" i="30"/>
  <c r="D61" i="30"/>
  <c r="H69" i="30"/>
  <c r="H55" i="30"/>
  <c r="O70" i="42"/>
  <c r="O56" i="42"/>
  <c r="BC57" i="42"/>
  <c r="BC71" i="42"/>
  <c r="BC67" i="42"/>
  <c r="BC53" i="42"/>
  <c r="S61" i="43"/>
  <c r="S75" i="43"/>
  <c r="S52" i="30"/>
  <c r="S66" i="30"/>
  <c r="BC70" i="43"/>
  <c r="BC56" i="43"/>
  <c r="BC31" i="30"/>
  <c r="BR73" i="42"/>
  <c r="BR59" i="42"/>
  <c r="BV65" i="18"/>
  <c r="BV51" i="18"/>
  <c r="BN69" i="43"/>
  <c r="BN55" i="43"/>
  <c r="BN57" i="42"/>
  <c r="BN71" i="42"/>
  <c r="J71" i="43"/>
  <c r="J57" i="43"/>
  <c r="J67" i="43"/>
  <c r="J53" i="43"/>
  <c r="X66" i="43"/>
  <c r="X52" i="43"/>
  <c r="BE68" i="43"/>
  <c r="BE54" i="43"/>
  <c r="BL72" i="43"/>
  <c r="BL58" i="43"/>
  <c r="BW75" i="43"/>
  <c r="BW61" i="43"/>
  <c r="BW73" i="30"/>
  <c r="BW59" i="30"/>
  <c r="AD61" i="18"/>
  <c r="AD75" i="18"/>
  <c r="M60" i="30"/>
  <c r="M74" i="30"/>
  <c r="BH75" i="42"/>
  <c r="BH61" i="42"/>
  <c r="BO62" i="43"/>
  <c r="BO76" i="43"/>
  <c r="BO31" i="43"/>
  <c r="BV74" i="30"/>
  <c r="BV60" i="30"/>
  <c r="AA76" i="30"/>
  <c r="AA62" i="30"/>
  <c r="BA23" i="42"/>
  <c r="BB49" i="42"/>
  <c r="BA49" i="42" s="1"/>
  <c r="BM75" i="42"/>
  <c r="BM61" i="42"/>
  <c r="BX70" i="42"/>
  <c r="BX56" i="42"/>
  <c r="BX45" i="30"/>
  <c r="AF70" i="18"/>
  <c r="AF56" i="18"/>
  <c r="AF57" i="18"/>
  <c r="AF71" i="18"/>
  <c r="AJ68" i="18"/>
  <c r="AJ54" i="18"/>
  <c r="DM63" i="38"/>
  <c r="P70" i="42"/>
  <c r="P56" i="42"/>
  <c r="P67" i="43"/>
  <c r="P53" i="43"/>
  <c r="T54" i="30"/>
  <c r="T68" i="30"/>
  <c r="D72" i="42"/>
  <c r="D58" i="42"/>
  <c r="C58" i="42" s="1"/>
  <c r="C16" i="42"/>
  <c r="C16" i="30"/>
  <c r="D58" i="30"/>
  <c r="D72" i="30"/>
  <c r="H65" i="42"/>
  <c r="H51" i="42"/>
  <c r="K68" i="42"/>
  <c r="K54" i="42"/>
  <c r="S64" i="42"/>
  <c r="S50" i="42"/>
  <c r="Z75" i="43"/>
  <c r="C75" i="43" s="1"/>
  <c r="Z61" i="43"/>
  <c r="Z61" i="30"/>
  <c r="Z75" i="30"/>
  <c r="BH64" i="42"/>
  <c r="BH50" i="42"/>
  <c r="BH58" i="30"/>
  <c r="BH72" i="30"/>
  <c r="BV69" i="30"/>
  <c r="BV55" i="30"/>
  <c r="R71" i="42"/>
  <c r="R57" i="42"/>
  <c r="R67" i="42"/>
  <c r="R53" i="42"/>
  <c r="BA6" i="42"/>
  <c r="BB47" i="42"/>
  <c r="BA47" i="42" s="1"/>
  <c r="BF74" i="42"/>
  <c r="BF60" i="42"/>
  <c r="BQ65" i="42"/>
  <c r="BQ51" i="42"/>
  <c r="BW31" i="18"/>
  <c r="BX45" i="18"/>
  <c r="CB72" i="18"/>
  <c r="CB58" i="18"/>
  <c r="E50" i="43"/>
  <c r="E64" i="43"/>
  <c r="I68" i="30"/>
  <c r="I54" i="30"/>
  <c r="L64" i="30"/>
  <c r="L50" i="30"/>
  <c r="P76" i="43"/>
  <c r="P62" i="43"/>
  <c r="P76" i="30"/>
  <c r="P62" i="30"/>
  <c r="T68" i="42"/>
  <c r="T54" i="42"/>
  <c r="W71" i="42"/>
  <c r="W57" i="42"/>
  <c r="M66" i="42"/>
  <c r="M52" i="42"/>
  <c r="BO66" i="42"/>
  <c r="BO52" i="42"/>
  <c r="BV31" i="43"/>
  <c r="AI69" i="18"/>
  <c r="AI55" i="18"/>
  <c r="AA71" i="43"/>
  <c r="AA57" i="43"/>
  <c r="AA67" i="43"/>
  <c r="AA53" i="43"/>
  <c r="R69" i="42"/>
  <c r="R55" i="42"/>
  <c r="BM72" i="42"/>
  <c r="BM58" i="42"/>
  <c r="BQ69" i="42"/>
  <c r="BQ55" i="42"/>
  <c r="AF73" i="18"/>
  <c r="AF59" i="18"/>
  <c r="I51" i="43"/>
  <c r="I65" i="43"/>
  <c r="I72" i="30"/>
  <c r="I58" i="30"/>
  <c r="L75" i="42"/>
  <c r="L61" i="42"/>
  <c r="P56" i="30"/>
  <c r="P70" i="30"/>
  <c r="W50" i="43"/>
  <c r="W64" i="43"/>
  <c r="BO69" i="43"/>
  <c r="BO55" i="43"/>
  <c r="AI73" i="18"/>
  <c r="AI59" i="18"/>
  <c r="AA69" i="42"/>
  <c r="AA55" i="42"/>
  <c r="BB72" i="42"/>
  <c r="BA16" i="42"/>
  <c r="BB58" i="42"/>
  <c r="BF72" i="42"/>
  <c r="BF58" i="42"/>
  <c r="BI65" i="30"/>
  <c r="BI51" i="30"/>
  <c r="BM75" i="30"/>
  <c r="BM61" i="30"/>
  <c r="BQ70" i="30"/>
  <c r="BQ56" i="30"/>
  <c r="BX66" i="43"/>
  <c r="BX52" i="43"/>
  <c r="BX65" i="30"/>
  <c r="BX51" i="30"/>
  <c r="BX69" i="18"/>
  <c r="BX55" i="18"/>
  <c r="CB66" i="18"/>
  <c r="CB63" i="18" s="1"/>
  <c r="CB52" i="18"/>
  <c r="CB48" i="18" s="1"/>
  <c r="L64" i="42"/>
  <c r="L50" i="42"/>
  <c r="P45" i="43"/>
  <c r="P66" i="30"/>
  <c r="P52" i="30"/>
  <c r="AI48" i="43"/>
  <c r="AW48" i="43"/>
  <c r="AQ48" i="43"/>
  <c r="BA55" i="41"/>
  <c r="N55" i="38" s="1"/>
  <c r="BZ67" i="31"/>
  <c r="CW67" i="18" s="1"/>
  <c r="AM55" i="5"/>
  <c r="AV63" i="43"/>
  <c r="AJ63" i="43"/>
  <c r="AY63" i="43"/>
  <c r="AZ48" i="43"/>
  <c r="AS63" i="43"/>
  <c r="BJ63" i="29"/>
  <c r="BN48" i="41"/>
  <c r="AB66" i="43"/>
  <c r="AL66" i="32" s="1"/>
  <c r="AM45" i="5"/>
  <c r="CU48" i="30"/>
  <c r="BZ52" i="30"/>
  <c r="BE52" i="18" s="1"/>
  <c r="BP52" i="18" s="1"/>
  <c r="AT48" i="42"/>
  <c r="AL48" i="42"/>
  <c r="AB49" i="42"/>
  <c r="L49" i="32" s="1"/>
  <c r="M49" i="32" s="1"/>
  <c r="AC48" i="42"/>
  <c r="AB48" i="42" s="1"/>
  <c r="L48" i="32" s="1"/>
  <c r="AF48" i="42"/>
  <c r="DA63" i="18"/>
  <c r="BZ49" i="31"/>
  <c r="CW49" i="18" s="1"/>
  <c r="CA48" i="31"/>
  <c r="BA56" i="41"/>
  <c r="N56" i="38" s="1"/>
  <c r="AB50" i="31"/>
  <c r="AL50" i="5" s="1"/>
  <c r="AM50" i="5" s="1"/>
  <c r="BZ60" i="31"/>
  <c r="CW60" i="18" s="1"/>
  <c r="X63" i="18"/>
  <c r="BP48" i="41"/>
  <c r="CV63" i="30"/>
  <c r="BO63" i="18"/>
  <c r="BT48" i="29"/>
  <c r="J76" i="37"/>
  <c r="AB66" i="42"/>
  <c r="L66" i="32" s="1"/>
  <c r="M66" i="32" s="1"/>
  <c r="BZ66" i="42"/>
  <c r="BE66" i="38" s="1"/>
  <c r="AB67" i="42"/>
  <c r="L67" i="32" s="1"/>
  <c r="BZ67" i="42"/>
  <c r="BE67" i="38" s="1"/>
  <c r="AL48" i="30"/>
  <c r="AF48" i="30"/>
  <c r="CC48" i="30"/>
  <c r="BA69" i="29"/>
  <c r="N69" i="18" s="1"/>
  <c r="BI63" i="41"/>
  <c r="CL48" i="31"/>
  <c r="CS63" i="31"/>
  <c r="AB61" i="30"/>
  <c r="L61" i="5" s="1"/>
  <c r="M61" i="5" s="1"/>
  <c r="CX63" i="30"/>
  <c r="CW48" i="30"/>
  <c r="CP63" i="31"/>
  <c r="BP62" i="18"/>
  <c r="CU63" i="31"/>
  <c r="Q63" i="37"/>
  <c r="AO63" i="5"/>
  <c r="X48" i="18"/>
  <c r="BZ75" i="31"/>
  <c r="CW75" i="18" s="1"/>
  <c r="BV63" i="29"/>
  <c r="AZ63" i="43"/>
  <c r="CV63" i="43"/>
  <c r="BA50" i="41"/>
  <c r="N50" i="38" s="1"/>
  <c r="CA45" i="43"/>
  <c r="BZ45" i="43" s="1"/>
  <c r="CW45" i="38" s="1"/>
  <c r="BA76" i="29"/>
  <c r="N76" i="18" s="1"/>
  <c r="Z64" i="31"/>
  <c r="Z50" i="31"/>
  <c r="L72" i="31"/>
  <c r="L58" i="31"/>
  <c r="W73" i="31"/>
  <c r="W59" i="31"/>
  <c r="V73" i="31"/>
  <c r="V59" i="31"/>
  <c r="BS50" i="31"/>
  <c r="BS64" i="31"/>
  <c r="BB56" i="31"/>
  <c r="BB70" i="31"/>
  <c r="BA20" i="31"/>
  <c r="BO57" i="31"/>
  <c r="BO71" i="31"/>
  <c r="BB49" i="31"/>
  <c r="BA23" i="31"/>
  <c r="BA49" i="31" s="1"/>
  <c r="BD60" i="31"/>
  <c r="BD74" i="31"/>
  <c r="BD57" i="42"/>
  <c r="BD71" i="42"/>
  <c r="Y69" i="30"/>
  <c r="Y55" i="30"/>
  <c r="BW68" i="42"/>
  <c r="BW54" i="42"/>
  <c r="Q56" i="30"/>
  <c r="Q70" i="30"/>
  <c r="J73" i="42"/>
  <c r="J59" i="42"/>
  <c r="BW74" i="43"/>
  <c r="BW60" i="43"/>
  <c r="AK74" i="37"/>
  <c r="AK60" i="37"/>
  <c r="BJ72" i="43"/>
  <c r="BJ58" i="43"/>
  <c r="AH51" i="37"/>
  <c r="AH65" i="37"/>
  <c r="O76" i="43"/>
  <c r="O62" i="43"/>
  <c r="BD60" i="30"/>
  <c r="BD74" i="30"/>
  <c r="C17" i="30"/>
  <c r="D52" i="30"/>
  <c r="D66" i="30"/>
  <c r="BC75" i="43"/>
  <c r="BC61" i="43"/>
  <c r="V70" i="42"/>
  <c r="V56" i="42"/>
  <c r="Z56" i="43"/>
  <c r="Z70" i="43"/>
  <c r="BC51" i="30"/>
  <c r="BC65" i="30"/>
  <c r="AI65" i="18"/>
  <c r="AI51" i="18"/>
  <c r="BQ73" i="30"/>
  <c r="BQ59" i="30"/>
  <c r="BH31" i="43"/>
  <c r="BA13" i="42"/>
  <c r="BB33" i="42"/>
  <c r="BA33" i="42" s="1"/>
  <c r="BH50" i="30"/>
  <c r="BH64" i="30"/>
  <c r="BI67" i="42"/>
  <c r="BI53" i="42"/>
  <c r="I75" i="30"/>
  <c r="I61" i="30"/>
  <c r="AC63" i="42"/>
  <c r="AB64" i="42"/>
  <c r="L64" i="32" s="1"/>
  <c r="M64" i="32" s="1"/>
  <c r="DM63" i="18"/>
  <c r="AH63" i="31"/>
  <c r="N54" i="31"/>
  <c r="N68" i="31"/>
  <c r="O68" i="31"/>
  <c r="O54" i="31"/>
  <c r="O48" i="31" s="1"/>
  <c r="H60" i="31"/>
  <c r="H74" i="31"/>
  <c r="T59" i="31"/>
  <c r="T73" i="31"/>
  <c r="V65" i="31"/>
  <c r="V51" i="31"/>
  <c r="D32" i="31"/>
  <c r="C3" i="31"/>
  <c r="C32" i="31" s="1"/>
  <c r="K73" i="31"/>
  <c r="K59" i="31"/>
  <c r="F71" i="31"/>
  <c r="F57" i="31"/>
  <c r="U64" i="31"/>
  <c r="U50" i="31"/>
  <c r="BK65" i="31"/>
  <c r="BK51" i="31"/>
  <c r="BD31" i="31"/>
  <c r="BF75" i="31"/>
  <c r="BF61" i="31"/>
  <c r="BJ67" i="31"/>
  <c r="BJ53" i="31"/>
  <c r="BD52" i="31"/>
  <c r="BD48" i="31" s="1"/>
  <c r="BD66" i="31"/>
  <c r="BY76" i="31"/>
  <c r="BY62" i="31"/>
  <c r="BL73" i="31"/>
  <c r="BL59" i="31"/>
  <c r="BT56" i="31"/>
  <c r="BT70" i="31"/>
  <c r="BF71" i="31"/>
  <c r="BF57" i="31"/>
  <c r="BI74" i="31"/>
  <c r="BI60" i="31"/>
  <c r="BQ56" i="31"/>
  <c r="BQ70" i="31"/>
  <c r="BG66" i="31"/>
  <c r="BG52" i="31"/>
  <c r="BH65" i="31"/>
  <c r="BH51" i="31"/>
  <c r="BL52" i="31"/>
  <c r="BL48" i="31" s="1"/>
  <c r="BL66" i="31"/>
  <c r="BT76" i="31"/>
  <c r="BT62" i="31"/>
  <c r="BW73" i="31"/>
  <c r="BW59" i="31"/>
  <c r="BB37" i="31"/>
  <c r="BA22" i="31"/>
  <c r="BA37" i="31" s="1"/>
  <c r="BN65" i="31"/>
  <c r="BN51" i="31"/>
  <c r="BH56" i="31"/>
  <c r="BH70" i="31"/>
  <c r="BO58" i="31"/>
  <c r="BO72" i="31"/>
  <c r="BS54" i="31"/>
  <c r="BS48" i="31" s="1"/>
  <c r="BS68" i="31"/>
  <c r="BY50" i="31"/>
  <c r="BY64" i="31"/>
  <c r="BL68" i="31"/>
  <c r="BL54" i="31"/>
  <c r="BS66" i="43"/>
  <c r="BS52" i="43"/>
  <c r="BS71" i="30"/>
  <c r="BS57" i="30"/>
  <c r="J74" i="42"/>
  <c r="J60" i="42"/>
  <c r="V72" i="30"/>
  <c r="V58" i="30"/>
  <c r="BE70" i="42"/>
  <c r="BE56" i="42"/>
  <c r="BY64" i="30"/>
  <c r="BY50" i="30"/>
  <c r="BP65" i="43"/>
  <c r="BP51" i="43"/>
  <c r="BP52" i="30"/>
  <c r="BP48" i="30" s="1"/>
  <c r="BP66" i="30"/>
  <c r="BP63" i="30" s="1"/>
  <c r="BW66" i="42"/>
  <c r="BW52" i="42"/>
  <c r="AC69" i="18"/>
  <c r="AC55" i="18"/>
  <c r="AL74" i="18"/>
  <c r="AL60" i="18"/>
  <c r="AL76" i="37"/>
  <c r="AL62" i="37"/>
  <c r="AH55" i="18"/>
  <c r="AH69" i="18"/>
  <c r="F50" i="43"/>
  <c r="F64" i="43"/>
  <c r="U68" i="30"/>
  <c r="U54" i="30"/>
  <c r="BJ66" i="43"/>
  <c r="BJ52" i="43"/>
  <c r="BJ70" i="30"/>
  <c r="BJ56" i="30"/>
  <c r="BU65" i="42"/>
  <c r="BU51" i="42"/>
  <c r="Q75" i="43"/>
  <c r="Q61" i="43"/>
  <c r="Q55" i="30"/>
  <c r="Q69" i="30"/>
  <c r="BD72" i="42"/>
  <c r="BD58" i="42"/>
  <c r="BD51" i="30"/>
  <c r="BD65" i="30"/>
  <c r="BS70" i="42"/>
  <c r="BS56" i="42"/>
  <c r="G71" i="42"/>
  <c r="G57" i="42"/>
  <c r="G67" i="42"/>
  <c r="G53" i="42"/>
  <c r="Y53" i="30"/>
  <c r="Y67" i="30"/>
  <c r="BN68" i="30"/>
  <c r="BN54" i="30"/>
  <c r="BN31" i="43"/>
  <c r="DN74" i="38"/>
  <c r="J71" i="30"/>
  <c r="J57" i="30"/>
  <c r="BK73" i="43"/>
  <c r="BK59" i="43"/>
  <c r="N65" i="30"/>
  <c r="N51" i="30"/>
  <c r="V64" i="30"/>
  <c r="V50" i="30"/>
  <c r="BE70" i="30"/>
  <c r="BE56" i="30"/>
  <c r="BY74" i="43"/>
  <c r="BY60" i="43"/>
  <c r="BT66" i="43"/>
  <c r="BT52" i="43"/>
  <c r="BW70" i="43"/>
  <c r="BW56" i="43"/>
  <c r="AK70" i="37"/>
  <c r="AK56" i="37"/>
  <c r="AK66" i="37"/>
  <c r="AK52" i="37"/>
  <c r="BZ76" i="18"/>
  <c r="BZ62" i="18"/>
  <c r="BZ54" i="18"/>
  <c r="BZ68" i="18"/>
  <c r="F74" i="42"/>
  <c r="F60" i="42"/>
  <c r="U71" i="43"/>
  <c r="U57" i="43"/>
  <c r="U67" i="43"/>
  <c r="U53" i="43"/>
  <c r="BJ69" i="43"/>
  <c r="BJ55" i="43"/>
  <c r="BJ68" i="30"/>
  <c r="BJ54" i="30"/>
  <c r="Q51" i="43"/>
  <c r="Q65" i="43"/>
  <c r="Y71" i="42"/>
  <c r="Y57" i="42"/>
  <c r="Y67" i="42"/>
  <c r="Y53" i="42"/>
  <c r="BN76" i="42"/>
  <c r="BN62" i="42"/>
  <c r="X76" i="43"/>
  <c r="X62" i="43"/>
  <c r="N31" i="42"/>
  <c r="V71" i="42"/>
  <c r="V57" i="42"/>
  <c r="V67" i="42"/>
  <c r="V53" i="42"/>
  <c r="BY76" i="43"/>
  <c r="BY62" i="43"/>
  <c r="BY31" i="43"/>
  <c r="BL68" i="42"/>
  <c r="BL54" i="42"/>
  <c r="BP69" i="30"/>
  <c r="BP55" i="30"/>
  <c r="BT72" i="42"/>
  <c r="BT58" i="42"/>
  <c r="BW51" i="30"/>
  <c r="BW65" i="30"/>
  <c r="D67" i="42"/>
  <c r="C5" i="42"/>
  <c r="D53" i="42"/>
  <c r="H76" i="43"/>
  <c r="H62" i="43"/>
  <c r="K75" i="42"/>
  <c r="K61" i="42"/>
  <c r="K70" i="30"/>
  <c r="K56" i="30"/>
  <c r="O60" i="30"/>
  <c r="O74" i="30"/>
  <c r="BG68" i="42"/>
  <c r="BG54" i="42"/>
  <c r="AH73" i="18"/>
  <c r="AH59" i="18"/>
  <c r="F76" i="43"/>
  <c r="F62" i="43"/>
  <c r="F31" i="43"/>
  <c r="U69" i="42"/>
  <c r="U55" i="42"/>
  <c r="U59" i="30"/>
  <c r="U73" i="30"/>
  <c r="Q74" i="42"/>
  <c r="Q60" i="42"/>
  <c r="BS75" i="42"/>
  <c r="BS61" i="42"/>
  <c r="M76" i="32"/>
  <c r="H45" i="42"/>
  <c r="K74" i="43"/>
  <c r="K60" i="43"/>
  <c r="O68" i="42"/>
  <c r="O54" i="42"/>
  <c r="S69" i="43"/>
  <c r="S55" i="43"/>
  <c r="Z65" i="42"/>
  <c r="Z51" i="42"/>
  <c r="BC70" i="30"/>
  <c r="BC56" i="30"/>
  <c r="BV68" i="18"/>
  <c r="BV54" i="18"/>
  <c r="BY73" i="18"/>
  <c r="BY59" i="18"/>
  <c r="G76" i="43"/>
  <c r="G62" i="43"/>
  <c r="G31" i="43"/>
  <c r="Y69" i="42"/>
  <c r="Y55" i="42"/>
  <c r="Y59" i="30"/>
  <c r="Y73" i="30"/>
  <c r="BK65" i="42"/>
  <c r="BK51" i="42"/>
  <c r="BK50" i="30"/>
  <c r="BK64" i="30"/>
  <c r="N68" i="43"/>
  <c r="N54" i="43"/>
  <c r="D36" i="43"/>
  <c r="C36" i="43" s="1"/>
  <c r="C26" i="43"/>
  <c r="D46" i="43"/>
  <c r="C46" i="43" s="1"/>
  <c r="C10" i="43"/>
  <c r="C22" i="30"/>
  <c r="C37" i="30" s="1"/>
  <c r="F37" i="5" s="1"/>
  <c r="H37" i="5" s="1"/>
  <c r="D37" i="30"/>
  <c r="O72" i="43"/>
  <c r="O58" i="43"/>
  <c r="O48" i="30"/>
  <c r="BC50" i="43"/>
  <c r="BC64" i="43"/>
  <c r="S75" i="42"/>
  <c r="S61" i="42"/>
  <c r="S51" i="30"/>
  <c r="S65" i="30"/>
  <c r="C39" i="43"/>
  <c r="Z60" i="30"/>
  <c r="Z74" i="30"/>
  <c r="BC70" i="42"/>
  <c r="BC56" i="42"/>
  <c r="BR76" i="43"/>
  <c r="BR62" i="43"/>
  <c r="BR31" i="43"/>
  <c r="BN55" i="42"/>
  <c r="BN69" i="42"/>
  <c r="J71" i="42"/>
  <c r="J57" i="42"/>
  <c r="J67" i="42"/>
  <c r="J53" i="42"/>
  <c r="X66" i="42"/>
  <c r="X52" i="42"/>
  <c r="BE68" i="42"/>
  <c r="BE54" i="42"/>
  <c r="BL72" i="42"/>
  <c r="BL58" i="42"/>
  <c r="BW75" i="42"/>
  <c r="BW61" i="42"/>
  <c r="BW68" i="30"/>
  <c r="BW54" i="30"/>
  <c r="BW48" i="30" s="1"/>
  <c r="AC71" i="18"/>
  <c r="AC57" i="18"/>
  <c r="AL61" i="18"/>
  <c r="AL75" i="18"/>
  <c r="BV61" i="18"/>
  <c r="BV75" i="18"/>
  <c r="BO62" i="42"/>
  <c r="BO76" i="42"/>
  <c r="BO31" i="42"/>
  <c r="BV50" i="43"/>
  <c r="BV64" i="43"/>
  <c r="AA59" i="30"/>
  <c r="AA73" i="30"/>
  <c r="BA7" i="42"/>
  <c r="BB59" i="42"/>
  <c r="BB73" i="42"/>
  <c r="BQ31" i="30"/>
  <c r="BX72" i="43"/>
  <c r="BX58" i="43"/>
  <c r="BX70" i="18"/>
  <c r="BX56" i="18"/>
  <c r="BX71" i="18"/>
  <c r="BX57" i="18"/>
  <c r="CB68" i="18"/>
  <c r="CB54" i="18"/>
  <c r="I73" i="43"/>
  <c r="I59" i="43"/>
  <c r="P74" i="43"/>
  <c r="P60" i="43"/>
  <c r="P67" i="42"/>
  <c r="P53" i="42"/>
  <c r="W62" i="30"/>
  <c r="W76" i="30"/>
  <c r="D43" i="43"/>
  <c r="C43" i="43" s="1"/>
  <c r="C28" i="43"/>
  <c r="D74" i="43"/>
  <c r="C74" i="43" s="1"/>
  <c r="D60" i="43"/>
  <c r="C12" i="43"/>
  <c r="C20" i="30"/>
  <c r="D70" i="30"/>
  <c r="D56" i="30"/>
  <c r="K71" i="43"/>
  <c r="K57" i="43"/>
  <c r="K67" i="43"/>
  <c r="K53" i="43"/>
  <c r="O31" i="42"/>
  <c r="S65" i="43"/>
  <c r="S51" i="43"/>
  <c r="S75" i="30"/>
  <c r="S61" i="30"/>
  <c r="Z75" i="42"/>
  <c r="Z61" i="42"/>
  <c r="BH51" i="43"/>
  <c r="BH65" i="43"/>
  <c r="BH75" i="30"/>
  <c r="BH61" i="30"/>
  <c r="BO31" i="30"/>
  <c r="R50" i="43"/>
  <c r="R64" i="43"/>
  <c r="R31" i="30"/>
  <c r="BB75" i="43"/>
  <c r="BA75" i="43" s="1"/>
  <c r="BB61" i="43"/>
  <c r="BA61" i="43" s="1"/>
  <c r="BA18" i="43"/>
  <c r="BB38" i="43"/>
  <c r="BA38" i="43" s="1"/>
  <c r="BA2" i="43"/>
  <c r="BA12" i="30"/>
  <c r="BB74" i="30"/>
  <c r="BB60" i="30"/>
  <c r="BA24" i="30"/>
  <c r="BB69" i="30"/>
  <c r="BB55" i="30"/>
  <c r="BI73" i="43"/>
  <c r="BI59" i="43"/>
  <c r="BM68" i="43"/>
  <c r="BM54" i="43"/>
  <c r="BM65" i="30"/>
  <c r="BM51" i="30"/>
  <c r="BQ66" i="43"/>
  <c r="BQ52" i="43"/>
  <c r="BQ65" i="30"/>
  <c r="BQ51" i="30"/>
  <c r="BX55" i="30"/>
  <c r="BX69" i="30"/>
  <c r="AE58" i="18"/>
  <c r="AE72" i="18"/>
  <c r="AF58" i="18"/>
  <c r="AF72" i="18"/>
  <c r="AF54" i="18"/>
  <c r="AF68" i="18"/>
  <c r="E64" i="42"/>
  <c r="E50" i="42"/>
  <c r="I75" i="43"/>
  <c r="I61" i="43"/>
  <c r="L57" i="30"/>
  <c r="L71" i="30"/>
  <c r="P76" i="42"/>
  <c r="P62" i="42"/>
  <c r="T71" i="43"/>
  <c r="T57" i="43"/>
  <c r="T67" i="43"/>
  <c r="T53" i="43"/>
  <c r="W51" i="43"/>
  <c r="W65" i="43"/>
  <c r="AD52" i="18"/>
  <c r="AD48" i="18" s="1"/>
  <c r="AD66" i="18"/>
  <c r="AD63" i="18" s="1"/>
  <c r="CA69" i="18"/>
  <c r="CA55" i="18"/>
  <c r="AA71" i="42"/>
  <c r="AA57" i="42"/>
  <c r="AA67" i="42"/>
  <c r="AA53" i="42"/>
  <c r="R70" i="43"/>
  <c r="R56" i="43"/>
  <c r="R66" i="30"/>
  <c r="R52" i="30"/>
  <c r="BB66" i="43"/>
  <c r="BA66" i="43" s="1"/>
  <c r="BB52" i="43"/>
  <c r="BA52" i="43" s="1"/>
  <c r="BA17" i="43"/>
  <c r="BF74" i="30"/>
  <c r="BF60" i="30"/>
  <c r="BF72" i="30"/>
  <c r="BF58" i="30"/>
  <c r="BI31" i="30"/>
  <c r="BM74" i="43"/>
  <c r="BM60" i="43"/>
  <c r="BQ70" i="43"/>
  <c r="BQ56" i="43"/>
  <c r="BQ74" i="30"/>
  <c r="BQ60" i="30"/>
  <c r="BX73" i="18"/>
  <c r="BX59" i="18"/>
  <c r="E69" i="43"/>
  <c r="E55" i="43"/>
  <c r="I65" i="42"/>
  <c r="I51" i="42"/>
  <c r="I69" i="30"/>
  <c r="I55" i="30"/>
  <c r="W64" i="42"/>
  <c r="W50" i="42"/>
  <c r="BH66" i="30"/>
  <c r="BH52" i="30"/>
  <c r="BO55" i="42"/>
  <c r="BO69" i="42"/>
  <c r="BV64" i="30"/>
  <c r="BV50" i="30"/>
  <c r="CA73" i="18"/>
  <c r="CA59" i="18"/>
  <c r="AA56" i="43"/>
  <c r="AA70" i="43"/>
  <c r="BB43" i="43"/>
  <c r="BA43" i="43" s="1"/>
  <c r="BA28" i="43"/>
  <c r="BB74" i="43"/>
  <c r="BB60" i="43"/>
  <c r="BA12" i="43"/>
  <c r="BA19" i="30"/>
  <c r="BA42" i="30" s="1"/>
  <c r="BB42" i="30"/>
  <c r="BA7" i="30"/>
  <c r="BB73" i="30"/>
  <c r="BB59" i="30"/>
  <c r="BM70" i="30"/>
  <c r="BM56" i="30"/>
  <c r="BX66" i="42"/>
  <c r="BX52" i="42"/>
  <c r="BX48" i="30"/>
  <c r="AE65" i="18"/>
  <c r="AE51" i="18"/>
  <c r="AJ31" i="18"/>
  <c r="E73" i="43"/>
  <c r="E59" i="43"/>
  <c r="L51" i="43"/>
  <c r="L65" i="43"/>
  <c r="P51" i="30"/>
  <c r="P65" i="30"/>
  <c r="BP63" i="41"/>
  <c r="AN48" i="37"/>
  <c r="AT63" i="42"/>
  <c r="AJ63" i="42"/>
  <c r="CH63" i="42"/>
  <c r="AM63" i="42"/>
  <c r="CK63" i="42"/>
  <c r="AD63" i="42"/>
  <c r="CB63" i="42"/>
  <c r="AG63" i="42"/>
  <c r="AT48" i="43"/>
  <c r="CH48" i="43"/>
  <c r="CK48" i="43"/>
  <c r="CB48" i="43"/>
  <c r="BZ74" i="43"/>
  <c r="CW74" i="38" s="1"/>
  <c r="AI48" i="5"/>
  <c r="AM48" i="5" s="1"/>
  <c r="CL48" i="43"/>
  <c r="CD63" i="43"/>
  <c r="BK63" i="41"/>
  <c r="BH63" i="29"/>
  <c r="AB52" i="30"/>
  <c r="L52" i="5" s="1"/>
  <c r="M52" i="5" s="1"/>
  <c r="CC63" i="30"/>
  <c r="CG63" i="30"/>
  <c r="CQ48" i="42"/>
  <c r="AX48" i="42"/>
  <c r="AO48" i="42"/>
  <c r="AR48" i="42"/>
  <c r="AS63" i="31"/>
  <c r="BP31" i="18"/>
  <c r="BZ54" i="43"/>
  <c r="CW54" i="38" s="1"/>
  <c r="BA70" i="41"/>
  <c r="N70" i="38" s="1"/>
  <c r="BZ45" i="30"/>
  <c r="BE45" i="18" s="1"/>
  <c r="BP45" i="18" s="1"/>
  <c r="BI63" i="18"/>
  <c r="CX48" i="31"/>
  <c r="AB74" i="31"/>
  <c r="AL74" i="5" s="1"/>
  <c r="AM74" i="5" s="1"/>
  <c r="AB71" i="43"/>
  <c r="AL71" i="32" s="1"/>
  <c r="AM71" i="32" s="1"/>
  <c r="BN63" i="29"/>
  <c r="CF48" i="30"/>
  <c r="BX48" i="41"/>
  <c r="DN31" i="18"/>
  <c r="CK63" i="31"/>
  <c r="BK48" i="29"/>
  <c r="AB75" i="31"/>
  <c r="AL75" i="5" s="1"/>
  <c r="AM75" i="5" s="1"/>
  <c r="BZ68" i="31"/>
  <c r="CW68" i="18" s="1"/>
  <c r="V63" i="5"/>
  <c r="BZ67" i="30"/>
  <c r="BE67" i="18" s="1"/>
  <c r="BP67" i="18" s="1"/>
  <c r="AN48" i="30"/>
  <c r="AR48" i="30"/>
  <c r="CO48" i="30"/>
  <c r="BA55" i="29"/>
  <c r="N55" i="18" s="1"/>
  <c r="AK63" i="31"/>
  <c r="BP66" i="18"/>
  <c r="BH63" i="41"/>
  <c r="CI63" i="30"/>
  <c r="BA54" i="29"/>
  <c r="N54" i="18" s="1"/>
  <c r="CF63" i="31"/>
  <c r="AC51" i="5"/>
  <c r="J58" i="37"/>
  <c r="BZ54" i="31"/>
  <c r="CW54" i="18" s="1"/>
  <c r="DN51" i="18"/>
  <c r="AC58" i="5"/>
  <c r="BZ61" i="31"/>
  <c r="CW61" i="18" s="1"/>
  <c r="BR48" i="29"/>
  <c r="AB60" i="42"/>
  <c r="L60" i="32" s="1"/>
  <c r="M60" i="32" s="1"/>
  <c r="BZ60" i="42"/>
  <c r="BE60" i="38" s="1"/>
  <c r="CL63" i="43"/>
  <c r="AD63" i="43"/>
  <c r="BB63" i="41"/>
  <c r="BA64" i="41"/>
  <c r="N64" i="38" s="1"/>
  <c r="BQ63" i="29"/>
  <c r="BA62" i="29"/>
  <c r="N62" i="18" s="1"/>
  <c r="K76" i="31"/>
  <c r="K62" i="31"/>
  <c r="BV53" i="31"/>
  <c r="BV67" i="31"/>
  <c r="BB59" i="31"/>
  <c r="BB73" i="31"/>
  <c r="BA7" i="31"/>
  <c r="BW57" i="31"/>
  <c r="BW71" i="31"/>
  <c r="BD53" i="42"/>
  <c r="BD67" i="42"/>
  <c r="V68" i="30"/>
  <c r="V54" i="30"/>
  <c r="BT75" i="43"/>
  <c r="BT61" i="43"/>
  <c r="AC64" i="18"/>
  <c r="AC50" i="18"/>
  <c r="F66" i="43"/>
  <c r="F52" i="43"/>
  <c r="G65" i="42"/>
  <c r="G51" i="42"/>
  <c r="BP67" i="30"/>
  <c r="BP53" i="30"/>
  <c r="BD59" i="42"/>
  <c r="BD73" i="42"/>
  <c r="Y65" i="42"/>
  <c r="Y51" i="42"/>
  <c r="BK75" i="43"/>
  <c r="BK61" i="43"/>
  <c r="BP73" i="42"/>
  <c r="BP59" i="42"/>
  <c r="D71" i="43"/>
  <c r="D57" i="43"/>
  <c r="C29" i="43"/>
  <c r="C15" i="42"/>
  <c r="D44" i="42"/>
  <c r="C44" i="42" s="1"/>
  <c r="M75" i="43"/>
  <c r="M61" i="43"/>
  <c r="L56" i="42"/>
  <c r="L70" i="42"/>
  <c r="BV69" i="42"/>
  <c r="BV55" i="42"/>
  <c r="BM50" i="43"/>
  <c r="BM64" i="43"/>
  <c r="BX73" i="42"/>
  <c r="BX59" i="42"/>
  <c r="W75" i="43"/>
  <c r="W61" i="43"/>
  <c r="W67" i="43"/>
  <c r="W53" i="43"/>
  <c r="CB74" i="18"/>
  <c r="CB60" i="18"/>
  <c r="T72" i="42"/>
  <c r="T58" i="42"/>
  <c r="BO76" i="30"/>
  <c r="BO62" i="30"/>
  <c r="R73" i="42"/>
  <c r="R59" i="42"/>
  <c r="BA23" i="30"/>
  <c r="BA49" i="30" s="1"/>
  <c r="BB49" i="30"/>
  <c r="BH63" i="18"/>
  <c r="DK73" i="18"/>
  <c r="DK59" i="18"/>
  <c r="H55" i="31"/>
  <c r="H69" i="31"/>
  <c r="E45" i="31"/>
  <c r="D36" i="31"/>
  <c r="C26" i="31"/>
  <c r="C36" i="31" s="1"/>
  <c r="D38" i="31"/>
  <c r="S60" i="31"/>
  <c r="S74" i="31"/>
  <c r="X75" i="31"/>
  <c r="X61" i="31"/>
  <c r="BN74" i="31"/>
  <c r="BN60" i="31"/>
  <c r="BV70" i="31"/>
  <c r="BV56" i="31"/>
  <c r="BQ52" i="31"/>
  <c r="BQ66" i="31"/>
  <c r="DK67" i="18"/>
  <c r="DK53" i="18"/>
  <c r="DK48" i="18" s="1"/>
  <c r="N57" i="31"/>
  <c r="N71" i="31"/>
  <c r="N52" i="31"/>
  <c r="N66" i="31"/>
  <c r="O70" i="31"/>
  <c r="O56" i="31"/>
  <c r="G64" i="31"/>
  <c r="G50" i="31"/>
  <c r="R75" i="31"/>
  <c r="R61" i="31"/>
  <c r="Z58" i="31"/>
  <c r="Z72" i="31"/>
  <c r="E51" i="31"/>
  <c r="E65" i="31"/>
  <c r="E68" i="31"/>
  <c r="E54" i="31"/>
  <c r="L73" i="31"/>
  <c r="L59" i="31"/>
  <c r="P55" i="31"/>
  <c r="P69" i="31"/>
  <c r="T57" i="31"/>
  <c r="T71" i="31"/>
  <c r="AA76" i="31"/>
  <c r="AA62" i="31"/>
  <c r="V56" i="31"/>
  <c r="V70" i="31"/>
  <c r="V45" i="31"/>
  <c r="D50" i="31"/>
  <c r="D64" i="31"/>
  <c r="C25" i="31"/>
  <c r="D49" i="31"/>
  <c r="C23" i="31"/>
  <c r="C49" i="31" s="1"/>
  <c r="K61" i="31"/>
  <c r="K75" i="31"/>
  <c r="S48" i="31"/>
  <c r="F72" i="31"/>
  <c r="F58" i="31"/>
  <c r="J65" i="31"/>
  <c r="J51" i="31"/>
  <c r="J73" i="31"/>
  <c r="J59" i="31"/>
  <c r="J48" i="31" s="1"/>
  <c r="Q73" i="31"/>
  <c r="Q59" i="31"/>
  <c r="U69" i="31"/>
  <c r="U55" i="31"/>
  <c r="U74" i="31"/>
  <c r="U60" i="31"/>
  <c r="X71" i="31"/>
  <c r="X57" i="31"/>
  <c r="X66" i="31"/>
  <c r="X52" i="31"/>
  <c r="X67" i="31"/>
  <c r="X53" i="31"/>
  <c r="BM73" i="31"/>
  <c r="BM59" i="31"/>
  <c r="BJ50" i="31"/>
  <c r="BJ64" i="31"/>
  <c r="BN54" i="31"/>
  <c r="BN68" i="31"/>
  <c r="BU52" i="31"/>
  <c r="BU66" i="31"/>
  <c r="BV72" i="31"/>
  <c r="BV58" i="31"/>
  <c r="BV48" i="31" s="1"/>
  <c r="BE71" i="31"/>
  <c r="BE57" i="31"/>
  <c r="BY60" i="31"/>
  <c r="BY74" i="31"/>
  <c r="BP75" i="31"/>
  <c r="BP61" i="31"/>
  <c r="BM57" i="31"/>
  <c r="BM71" i="31"/>
  <c r="BN62" i="31"/>
  <c r="BN76" i="31"/>
  <c r="BO70" i="31"/>
  <c r="BO56" i="31"/>
  <c r="BS31" i="31"/>
  <c r="BL31" i="31"/>
  <c r="BT72" i="31"/>
  <c r="BT58" i="31"/>
  <c r="BF50" i="31"/>
  <c r="BF64" i="31"/>
  <c r="BI68" i="31"/>
  <c r="BI54" i="31"/>
  <c r="BQ58" i="31"/>
  <c r="BQ72" i="31"/>
  <c r="BG45" i="31"/>
  <c r="BH52" i="31"/>
  <c r="BH66" i="31"/>
  <c r="BD69" i="31"/>
  <c r="BD55" i="31"/>
  <c r="BY31" i="31"/>
  <c r="BF55" i="31"/>
  <c r="BF69" i="31"/>
  <c r="BM76" i="31"/>
  <c r="BM62" i="31"/>
  <c r="BB75" i="31"/>
  <c r="BB61" i="31"/>
  <c r="BA18" i="31"/>
  <c r="BG73" i="31"/>
  <c r="BG59" i="31"/>
  <c r="BN66" i="31"/>
  <c r="BN63" i="31" s="1"/>
  <c r="BN52" i="31"/>
  <c r="BH72" i="31"/>
  <c r="BH58" i="31"/>
  <c r="BO54" i="31"/>
  <c r="BO68" i="31"/>
  <c r="BV57" i="31"/>
  <c r="BV71" i="31"/>
  <c r="BY51" i="31"/>
  <c r="BY65" i="31"/>
  <c r="BL67" i="31"/>
  <c r="BL53" i="31"/>
  <c r="BG69" i="43"/>
  <c r="BG55" i="43"/>
  <c r="AH31" i="18"/>
  <c r="U74" i="30"/>
  <c r="U60" i="30"/>
  <c r="BJ75" i="43"/>
  <c r="BJ61" i="43"/>
  <c r="Q75" i="30"/>
  <c r="Q61" i="30"/>
  <c r="BD68" i="43"/>
  <c r="BD54" i="43"/>
  <c r="BS66" i="42"/>
  <c r="BS52" i="42"/>
  <c r="BN58" i="30"/>
  <c r="BN72" i="30"/>
  <c r="BN51" i="43"/>
  <c r="BN65" i="43"/>
  <c r="X70" i="43"/>
  <c r="X56" i="43"/>
  <c r="BK69" i="43"/>
  <c r="BK55" i="43"/>
  <c r="N69" i="43"/>
  <c r="N55" i="43"/>
  <c r="N67" i="30"/>
  <c r="N53" i="30"/>
  <c r="V70" i="30"/>
  <c r="V56" i="30"/>
  <c r="BE72" i="43"/>
  <c r="BE58" i="43"/>
  <c r="BY76" i="30"/>
  <c r="BY62" i="30"/>
  <c r="BP51" i="42"/>
  <c r="BP65" i="42"/>
  <c r="BU69" i="18"/>
  <c r="BU55" i="18"/>
  <c r="CD74" i="18"/>
  <c r="CD60" i="18"/>
  <c r="BZ69" i="18"/>
  <c r="BZ55" i="18"/>
  <c r="F50" i="42"/>
  <c r="F64" i="42"/>
  <c r="U75" i="43"/>
  <c r="U61" i="43"/>
  <c r="BJ66" i="42"/>
  <c r="BJ52" i="42"/>
  <c r="BU66" i="43"/>
  <c r="BU52" i="43"/>
  <c r="Q75" i="42"/>
  <c r="Q61" i="42"/>
  <c r="Q66" i="30"/>
  <c r="Q52" i="30"/>
  <c r="BD74" i="43"/>
  <c r="BD60" i="43"/>
  <c r="BD48" i="30"/>
  <c r="BS72" i="43"/>
  <c r="BS58" i="43"/>
  <c r="BS60" i="30"/>
  <c r="BS74" i="30"/>
  <c r="G64" i="43"/>
  <c r="G50" i="43"/>
  <c r="G48" i="43" s="1"/>
  <c r="Y68" i="30"/>
  <c r="Y63" i="30" s="1"/>
  <c r="Y54" i="30"/>
  <c r="Y48" i="30" s="1"/>
  <c r="BN31" i="42"/>
  <c r="BK73" i="42"/>
  <c r="BK59" i="42"/>
  <c r="N64" i="30"/>
  <c r="N50" i="30"/>
  <c r="V71" i="30"/>
  <c r="V57" i="30"/>
  <c r="BE69" i="30"/>
  <c r="BE55" i="30"/>
  <c r="BY74" i="42"/>
  <c r="BY60" i="42"/>
  <c r="BT66" i="42"/>
  <c r="BT52" i="42"/>
  <c r="BW70" i="42"/>
  <c r="BW56" i="42"/>
  <c r="BW45" i="30"/>
  <c r="AC51" i="18"/>
  <c r="AC65" i="18"/>
  <c r="AI70" i="37"/>
  <c r="AI56" i="37"/>
  <c r="AH52" i="37"/>
  <c r="AH66" i="37"/>
  <c r="U71" i="42"/>
  <c r="U57" i="42"/>
  <c r="U53" i="42"/>
  <c r="U67" i="42"/>
  <c r="BJ69" i="42"/>
  <c r="BJ55" i="42"/>
  <c r="Q65" i="42"/>
  <c r="Q51" i="42"/>
  <c r="AG72" i="18"/>
  <c r="AG58" i="18"/>
  <c r="AG66" i="18"/>
  <c r="AG52" i="18"/>
  <c r="Y50" i="43"/>
  <c r="Y48" i="43" s="1"/>
  <c r="Y64" i="43"/>
  <c r="BN67" i="43"/>
  <c r="BN53" i="43"/>
  <c r="X76" i="42"/>
  <c r="X62" i="42"/>
  <c r="V50" i="43"/>
  <c r="V64" i="43"/>
  <c r="BY76" i="42"/>
  <c r="BY62" i="42"/>
  <c r="BY31" i="42"/>
  <c r="BL71" i="43"/>
  <c r="BL57" i="43"/>
  <c r="BL67" i="43"/>
  <c r="BL53" i="43"/>
  <c r="BT74" i="43"/>
  <c r="BT60" i="43"/>
  <c r="BT65" i="30"/>
  <c r="BT51" i="30"/>
  <c r="BW64" i="30"/>
  <c r="BW50" i="30"/>
  <c r="AL50" i="18"/>
  <c r="AL64" i="18"/>
  <c r="AK31" i="37"/>
  <c r="D52" i="43"/>
  <c r="D66" i="43"/>
  <c r="C17" i="43"/>
  <c r="C3" i="30"/>
  <c r="C32" i="30" s="1"/>
  <c r="D32" i="30"/>
  <c r="H76" i="42"/>
  <c r="H62" i="42"/>
  <c r="K69" i="30"/>
  <c r="K55" i="30"/>
  <c r="BG71" i="43"/>
  <c r="BG57" i="43"/>
  <c r="BG67" i="43"/>
  <c r="BG53" i="43"/>
  <c r="BG48" i="43" s="1"/>
  <c r="BZ73" i="18"/>
  <c r="BZ59" i="18"/>
  <c r="F62" i="42"/>
  <c r="F76" i="42"/>
  <c r="U70" i="43"/>
  <c r="U56" i="43"/>
  <c r="BJ65" i="30"/>
  <c r="BJ51" i="30"/>
  <c r="D42" i="42"/>
  <c r="C19" i="42"/>
  <c r="F19" i="32" s="1"/>
  <c r="C3" i="42"/>
  <c r="D32" i="42"/>
  <c r="C32" i="42" s="1"/>
  <c r="K74" i="42"/>
  <c r="K60" i="42"/>
  <c r="O71" i="43"/>
  <c r="O57" i="43"/>
  <c r="O67" i="43"/>
  <c r="O53" i="43"/>
  <c r="S69" i="42"/>
  <c r="S55" i="42"/>
  <c r="S54" i="30"/>
  <c r="S68" i="30"/>
  <c r="Z66" i="43"/>
  <c r="C66" i="43" s="1"/>
  <c r="Z52" i="43"/>
  <c r="Z62" i="30"/>
  <c r="Z76" i="30"/>
  <c r="BC69" i="30"/>
  <c r="BC55" i="30"/>
  <c r="BR68" i="43"/>
  <c r="BR54" i="43"/>
  <c r="AD56" i="18"/>
  <c r="AD70" i="18"/>
  <c r="AG68" i="18"/>
  <c r="AG54" i="18"/>
  <c r="G76" i="42"/>
  <c r="G62" i="42"/>
  <c r="Y70" i="43"/>
  <c r="Y56" i="43"/>
  <c r="BK66" i="43"/>
  <c r="BK52" i="43"/>
  <c r="BK71" i="30"/>
  <c r="BK57" i="30"/>
  <c r="N68" i="42"/>
  <c r="N54" i="42"/>
  <c r="V69" i="43"/>
  <c r="V55" i="43"/>
  <c r="V48" i="43" s="1"/>
  <c r="C26" i="30"/>
  <c r="C36" i="30" s="1"/>
  <c r="F36" i="5" s="1"/>
  <c r="H36" i="5" s="1"/>
  <c r="D36" i="30"/>
  <c r="H69" i="43"/>
  <c r="H55" i="43"/>
  <c r="O72" i="42"/>
  <c r="O58" i="42"/>
  <c r="O62" i="30"/>
  <c r="O76" i="30"/>
  <c r="S73" i="43"/>
  <c r="S59" i="43"/>
  <c r="BC50" i="42"/>
  <c r="BC64" i="42"/>
  <c r="S64" i="30"/>
  <c r="S50" i="30"/>
  <c r="BC72" i="43"/>
  <c r="BC58" i="43"/>
  <c r="BC74" i="30"/>
  <c r="BC60" i="30"/>
  <c r="BR76" i="42"/>
  <c r="BR62" i="42"/>
  <c r="BR31" i="42"/>
  <c r="BN72" i="43"/>
  <c r="BN58" i="43"/>
  <c r="J50" i="43"/>
  <c r="J48" i="43" s="1"/>
  <c r="J64" i="43"/>
  <c r="J63" i="43" s="1"/>
  <c r="J67" i="30"/>
  <c r="J53" i="30"/>
  <c r="X68" i="43"/>
  <c r="X54" i="43"/>
  <c r="BE71" i="43"/>
  <c r="BE57" i="43"/>
  <c r="BE67" i="43"/>
  <c r="BE53" i="43"/>
  <c r="BL74" i="43"/>
  <c r="BL60" i="43"/>
  <c r="BL66" i="30"/>
  <c r="BL52" i="30"/>
  <c r="BL48" i="30" s="1"/>
  <c r="BT73" i="43"/>
  <c r="BT59" i="43"/>
  <c r="BU71" i="18"/>
  <c r="BU57" i="18"/>
  <c r="CD75" i="18"/>
  <c r="CD61" i="18"/>
  <c r="AH55" i="37"/>
  <c r="AH69" i="37"/>
  <c r="M76" i="30"/>
  <c r="M62" i="30"/>
  <c r="BO71" i="30"/>
  <c r="BO57" i="30"/>
  <c r="BV64" i="42"/>
  <c r="BV50" i="42"/>
  <c r="BV48" i="42" s="1"/>
  <c r="R45" i="43"/>
  <c r="BB42" i="43"/>
  <c r="BA42" i="43" s="1"/>
  <c r="BA19" i="43"/>
  <c r="BB32" i="43"/>
  <c r="BA3" i="43"/>
  <c r="BF67" i="43"/>
  <c r="BF53" i="43"/>
  <c r="BF48" i="43" s="1"/>
  <c r="BF68" i="30"/>
  <c r="BF54" i="30"/>
  <c r="BI69" i="43"/>
  <c r="BI55" i="43"/>
  <c r="BQ31" i="42"/>
  <c r="BQ67" i="30"/>
  <c r="BQ53" i="30"/>
  <c r="BX72" i="42"/>
  <c r="BX58" i="42"/>
  <c r="AE52" i="18"/>
  <c r="AE66" i="18"/>
  <c r="E76" i="30"/>
  <c r="E62" i="30"/>
  <c r="I73" i="42"/>
  <c r="I59" i="42"/>
  <c r="L69" i="43"/>
  <c r="L55" i="43"/>
  <c r="P74" i="42"/>
  <c r="P60" i="42"/>
  <c r="P59" i="30"/>
  <c r="P73" i="30"/>
  <c r="T75" i="43"/>
  <c r="T61" i="43"/>
  <c r="D74" i="42"/>
  <c r="C74" i="42" s="1"/>
  <c r="C12" i="42"/>
  <c r="F12" i="32" s="1"/>
  <c r="D60" i="42"/>
  <c r="C24" i="30"/>
  <c r="D55" i="30"/>
  <c r="D69" i="30"/>
  <c r="K71" i="42"/>
  <c r="K57" i="42"/>
  <c r="K67" i="42"/>
  <c r="K53" i="42"/>
  <c r="O67" i="30"/>
  <c r="O53" i="30"/>
  <c r="S65" i="42"/>
  <c r="S51" i="42"/>
  <c r="S31" i="30"/>
  <c r="BH65" i="42"/>
  <c r="BH51" i="42"/>
  <c r="BH70" i="30"/>
  <c r="BH56" i="30"/>
  <c r="R50" i="42"/>
  <c r="R64" i="42"/>
  <c r="R72" i="30"/>
  <c r="R58" i="30"/>
  <c r="BI73" i="42"/>
  <c r="BI59" i="42"/>
  <c r="BM68" i="42"/>
  <c r="BM54" i="42"/>
  <c r="BM48" i="30"/>
  <c r="BQ52" i="42"/>
  <c r="BQ66" i="42"/>
  <c r="BW72" i="18"/>
  <c r="BW58" i="18"/>
  <c r="BX72" i="18"/>
  <c r="BX58" i="18"/>
  <c r="BX54" i="18"/>
  <c r="BX68" i="18"/>
  <c r="E51" i="43"/>
  <c r="E65" i="43"/>
  <c r="E58" i="30"/>
  <c r="E72" i="30"/>
  <c r="I75" i="42"/>
  <c r="I61" i="42"/>
  <c r="L67" i="30"/>
  <c r="L53" i="30"/>
  <c r="T71" i="42"/>
  <c r="T57" i="42"/>
  <c r="T53" i="42"/>
  <c r="T67" i="42"/>
  <c r="T70" i="43"/>
  <c r="T56" i="43"/>
  <c r="W65" i="42"/>
  <c r="W51" i="42"/>
  <c r="BV66" i="18"/>
  <c r="BV52" i="18"/>
  <c r="BV48" i="18" s="1"/>
  <c r="BV67" i="43"/>
  <c r="BV53" i="43"/>
  <c r="AA50" i="43"/>
  <c r="AA64" i="43"/>
  <c r="R70" i="42"/>
  <c r="R56" i="42"/>
  <c r="R65" i="30"/>
  <c r="R51" i="30"/>
  <c r="BF61" i="30"/>
  <c r="BF75" i="30"/>
  <c r="BI67" i="30"/>
  <c r="BI53" i="30"/>
  <c r="BM74" i="42"/>
  <c r="BM60" i="42"/>
  <c r="BQ70" i="42"/>
  <c r="BQ56" i="42"/>
  <c r="BQ68" i="30"/>
  <c r="BQ54" i="30"/>
  <c r="BQ48" i="30" s="1"/>
  <c r="AE59" i="18"/>
  <c r="AE73" i="18"/>
  <c r="E69" i="42"/>
  <c r="E55" i="42"/>
  <c r="E59" i="30"/>
  <c r="E73" i="30"/>
  <c r="I66" i="43"/>
  <c r="I52" i="43"/>
  <c r="L73" i="30"/>
  <c r="L59" i="30"/>
  <c r="T69" i="43"/>
  <c r="T55" i="43"/>
  <c r="W66" i="43"/>
  <c r="W52" i="43"/>
  <c r="M69" i="43"/>
  <c r="M55" i="43"/>
  <c r="M31" i="30"/>
  <c r="BO70" i="43"/>
  <c r="BO56" i="43"/>
  <c r="BV70" i="43"/>
  <c r="BV56" i="43"/>
  <c r="BV76" i="30"/>
  <c r="BV62" i="30"/>
  <c r="AI66" i="18"/>
  <c r="AI52" i="18"/>
  <c r="F57" i="37"/>
  <c r="F71" i="37"/>
  <c r="AA70" i="42"/>
  <c r="AA56" i="42"/>
  <c r="AA61" i="30"/>
  <c r="AA75" i="30"/>
  <c r="R45" i="30"/>
  <c r="BA12" i="42"/>
  <c r="BB74" i="42"/>
  <c r="BB60" i="42"/>
  <c r="BI68" i="43"/>
  <c r="BI54" i="43"/>
  <c r="BI64" i="30"/>
  <c r="BI50" i="30"/>
  <c r="BQ69" i="30"/>
  <c r="BQ55" i="30"/>
  <c r="BX64" i="30"/>
  <c r="BX50" i="30"/>
  <c r="BW65" i="18"/>
  <c r="BW51" i="18"/>
  <c r="CB31" i="18"/>
  <c r="E73" i="42"/>
  <c r="E59" i="42"/>
  <c r="I69" i="43"/>
  <c r="I55" i="43"/>
  <c r="I31" i="30"/>
  <c r="L65" i="42"/>
  <c r="L51" i="42"/>
  <c r="P67" i="30"/>
  <c r="P53" i="30"/>
  <c r="P64" i="30"/>
  <c r="P50" i="30"/>
  <c r="T73" i="43"/>
  <c r="T59" i="43"/>
  <c r="CQ63" i="42"/>
  <c r="AU48" i="43"/>
  <c r="CT48" i="43"/>
  <c r="BZ49" i="43"/>
  <c r="CW49" i="38" s="1"/>
  <c r="CW48" i="43"/>
  <c r="CN48" i="43"/>
  <c r="J75" i="37"/>
  <c r="BL63" i="29"/>
  <c r="CX48" i="43"/>
  <c r="CP63" i="43"/>
  <c r="BP73" i="18"/>
  <c r="AW63" i="31"/>
  <c r="M51" i="5"/>
  <c r="AB62" i="42"/>
  <c r="L62" i="32" s="1"/>
  <c r="M62" i="32" s="1"/>
  <c r="BZ62" i="42"/>
  <c r="BE62" i="38" s="1"/>
  <c r="AU48" i="42"/>
  <c r="CI48" i="42"/>
  <c r="CL48" i="42"/>
  <c r="CC48" i="42"/>
  <c r="BZ56" i="43"/>
  <c r="CW56" i="38" s="1"/>
  <c r="BP72" i="18"/>
  <c r="AM72" i="5"/>
  <c r="Z63" i="18"/>
  <c r="BC48" i="41"/>
  <c r="BA73" i="29"/>
  <c r="N73" i="18" s="1"/>
  <c r="BZ58" i="31"/>
  <c r="CW58" i="18" s="1"/>
  <c r="DN58" i="18"/>
  <c r="AB60" i="31"/>
  <c r="AL60" i="5" s="1"/>
  <c r="AM60" i="5" s="1"/>
  <c r="BD63" i="18"/>
  <c r="BZ53" i="43"/>
  <c r="CW53" i="38" s="1"/>
  <c r="AB60" i="30"/>
  <c r="L60" i="5" s="1"/>
  <c r="M60" i="5" s="1"/>
  <c r="BX63" i="41"/>
  <c r="BA63" i="41" s="1"/>
  <c r="N63" i="38" s="1"/>
  <c r="DN60" i="18"/>
  <c r="BS48" i="41"/>
  <c r="BK63" i="29"/>
  <c r="AB61" i="31"/>
  <c r="AL61" i="5" s="1"/>
  <c r="AM61" i="5" s="1"/>
  <c r="BO48" i="41"/>
  <c r="CD48" i="30"/>
  <c r="AH48" i="30"/>
  <c r="AU48" i="30"/>
  <c r="BZ66" i="31"/>
  <c r="CW66" i="18" s="1"/>
  <c r="CG63" i="31"/>
  <c r="BZ72" i="31"/>
  <c r="CW72" i="18" s="1"/>
  <c r="CE63" i="30"/>
  <c r="CU63" i="30"/>
  <c r="AC65" i="5"/>
  <c r="Y48" i="37"/>
  <c r="Z48" i="37" s="1"/>
  <c r="AB69" i="30"/>
  <c r="L69" i="5" s="1"/>
  <c r="M69" i="5" s="1"/>
  <c r="BZ32" i="42"/>
  <c r="BE32" i="38" s="1"/>
  <c r="BP32" i="38" s="1"/>
  <c r="CA31" i="42"/>
  <c r="BZ31" i="42" s="1"/>
  <c r="BE31" i="38" s="1"/>
  <c r="AB63" i="5"/>
  <c r="DD63" i="18"/>
  <c r="CD63" i="31"/>
  <c r="AC72" i="5"/>
  <c r="CS63" i="43"/>
  <c r="AK63" i="43"/>
  <c r="AP63" i="43"/>
  <c r="CO48" i="31"/>
  <c r="T48" i="18"/>
  <c r="O53" i="31"/>
  <c r="O67" i="31"/>
  <c r="I48" i="31"/>
  <c r="U54" i="31"/>
  <c r="U68" i="31"/>
  <c r="BG57" i="31"/>
  <c r="BG71" i="31"/>
  <c r="BP73" i="31"/>
  <c r="BP59" i="31"/>
  <c r="BU58" i="31"/>
  <c r="BU72" i="31"/>
  <c r="BX58" i="31"/>
  <c r="BX48" i="31" s="1"/>
  <c r="BX72" i="31"/>
  <c r="F75" i="43"/>
  <c r="F61" i="43"/>
  <c r="BS68" i="43"/>
  <c r="BS54" i="43"/>
  <c r="BK70" i="42"/>
  <c r="BK56" i="42"/>
  <c r="BY74" i="30"/>
  <c r="BY60" i="30"/>
  <c r="BS74" i="42"/>
  <c r="BS60" i="42"/>
  <c r="BN56" i="42"/>
  <c r="BN70" i="42"/>
  <c r="BP55" i="42"/>
  <c r="BP69" i="42"/>
  <c r="Y56" i="30"/>
  <c r="Y70" i="30"/>
  <c r="BK73" i="30"/>
  <c r="BK59" i="30"/>
  <c r="BY75" i="30"/>
  <c r="BY61" i="30"/>
  <c r="BW69" i="30"/>
  <c r="BW55" i="30"/>
  <c r="AI61" i="37"/>
  <c r="AI75" i="37"/>
  <c r="BJ76" i="30"/>
  <c r="BJ62" i="30"/>
  <c r="N50" i="43"/>
  <c r="N64" i="43"/>
  <c r="Z76" i="43"/>
  <c r="Z62" i="43"/>
  <c r="BW69" i="18"/>
  <c r="BW55" i="18"/>
  <c r="W73" i="42"/>
  <c r="W59" i="42"/>
  <c r="K51" i="43"/>
  <c r="K65" i="43"/>
  <c r="BO67" i="43"/>
  <c r="BO53" i="43"/>
  <c r="BO48" i="43" s="1"/>
  <c r="R74" i="43"/>
  <c r="R60" i="43"/>
  <c r="BW64" i="18"/>
  <c r="BW50" i="18"/>
  <c r="M70" i="42"/>
  <c r="M56" i="42"/>
  <c r="BI71" i="42"/>
  <c r="BI57" i="42"/>
  <c r="CC63" i="43"/>
  <c r="O51" i="31"/>
  <c r="O65" i="31"/>
  <c r="R54" i="31"/>
  <c r="R68" i="31"/>
  <c r="Z52" i="31"/>
  <c r="Z66" i="31"/>
  <c r="P50" i="31"/>
  <c r="P64" i="31"/>
  <c r="T58" i="31"/>
  <c r="T72" i="31"/>
  <c r="AA72" i="31"/>
  <c r="AA58" i="31"/>
  <c r="S69" i="31"/>
  <c r="S55" i="31"/>
  <c r="BB38" i="31"/>
  <c r="BA2" i="31"/>
  <c r="BA38" i="31" s="1"/>
  <c r="BU51" i="31"/>
  <c r="BU65" i="31"/>
  <c r="N73" i="31"/>
  <c r="N59" i="31"/>
  <c r="Y54" i="31"/>
  <c r="Y48" i="31" s="1"/>
  <c r="Y68" i="31"/>
  <c r="Y63" i="31" s="1"/>
  <c r="G55" i="31"/>
  <c r="G69" i="31"/>
  <c r="R57" i="31"/>
  <c r="R71" i="31"/>
  <c r="R73" i="31"/>
  <c r="R59" i="31"/>
  <c r="Z76" i="31"/>
  <c r="Z62" i="31"/>
  <c r="Z73" i="31"/>
  <c r="Z59" i="31"/>
  <c r="E70" i="31"/>
  <c r="E56" i="31"/>
  <c r="I64" i="31"/>
  <c r="I50" i="31"/>
  <c r="L75" i="31"/>
  <c r="L61" i="31"/>
  <c r="P60" i="31"/>
  <c r="P74" i="31"/>
  <c r="P51" i="31"/>
  <c r="P65" i="31"/>
  <c r="T67" i="31"/>
  <c r="T53" i="31"/>
  <c r="W51" i="31"/>
  <c r="W65" i="31"/>
  <c r="W54" i="31"/>
  <c r="W68" i="31"/>
  <c r="V68" i="31"/>
  <c r="V54" i="31"/>
  <c r="D69" i="31"/>
  <c r="D55" i="31"/>
  <c r="C24" i="31"/>
  <c r="D37" i="31"/>
  <c r="C22" i="31"/>
  <c r="C37" i="31" s="1"/>
  <c r="K57" i="31"/>
  <c r="K71" i="31"/>
  <c r="K52" i="31"/>
  <c r="K66" i="31"/>
  <c r="K63" i="31" s="1"/>
  <c r="K67" i="31"/>
  <c r="K53" i="31"/>
  <c r="F62" i="31"/>
  <c r="F76" i="31"/>
  <c r="J56" i="31"/>
  <c r="J70" i="31"/>
  <c r="M50" i="31"/>
  <c r="M64" i="31"/>
  <c r="Q75" i="31"/>
  <c r="Q61" i="31"/>
  <c r="U48" i="31"/>
  <c r="X72" i="31"/>
  <c r="X58" i="31"/>
  <c r="X48" i="31" s="1"/>
  <c r="BI61" i="31"/>
  <c r="BI75" i="31"/>
  <c r="BJ51" i="31"/>
  <c r="BJ65" i="31"/>
  <c r="BN53" i="31"/>
  <c r="BN67" i="31"/>
  <c r="BV74" i="31"/>
  <c r="BV60" i="31"/>
  <c r="BE50" i="31"/>
  <c r="BE64" i="31"/>
  <c r="BY54" i="31"/>
  <c r="BY68" i="31"/>
  <c r="BW76" i="31"/>
  <c r="BW62" i="31"/>
  <c r="BM64" i="31"/>
  <c r="BM50" i="31"/>
  <c r="BB43" i="31"/>
  <c r="BA28" i="31"/>
  <c r="BA43" i="31" s="1"/>
  <c r="BN48" i="31"/>
  <c r="BU55" i="31"/>
  <c r="BU69" i="31"/>
  <c r="BH73" i="31"/>
  <c r="BH59" i="31"/>
  <c r="BO74" i="31"/>
  <c r="BO60" i="31"/>
  <c r="BS60" i="31"/>
  <c r="BS74" i="31"/>
  <c r="BP57" i="31"/>
  <c r="BP71" i="31"/>
  <c r="BT74" i="31"/>
  <c r="BT60" i="31"/>
  <c r="BF51" i="31"/>
  <c r="BF65" i="31"/>
  <c r="BI67" i="31"/>
  <c r="BI53" i="31"/>
  <c r="BQ60" i="31"/>
  <c r="BQ74" i="31"/>
  <c r="BR73" i="31"/>
  <c r="BR59" i="31"/>
  <c r="BH31" i="31"/>
  <c r="BO61" i="31"/>
  <c r="BO75" i="31"/>
  <c r="BD56" i="31"/>
  <c r="BD70" i="31"/>
  <c r="BF70" i="31"/>
  <c r="BF56" i="31"/>
  <c r="BX55" i="31"/>
  <c r="BX69" i="31"/>
  <c r="BB34" i="31"/>
  <c r="BA14" i="31"/>
  <c r="BA34" i="31" s="1"/>
  <c r="BH74" i="31"/>
  <c r="BH60" i="31"/>
  <c r="BO64" i="31"/>
  <c r="BO50" i="31"/>
  <c r="BV50" i="31"/>
  <c r="BV64" i="31"/>
  <c r="BY66" i="31"/>
  <c r="BY52" i="31"/>
  <c r="BP76" i="31"/>
  <c r="BP62" i="31"/>
  <c r="BT73" i="31"/>
  <c r="BT59" i="31"/>
  <c r="BG69" i="42"/>
  <c r="BG55" i="42"/>
  <c r="F67" i="30"/>
  <c r="F53" i="30"/>
  <c r="U70" i="30"/>
  <c r="U56" i="30"/>
  <c r="BJ75" i="42"/>
  <c r="BJ61" i="42"/>
  <c r="Q58" i="30"/>
  <c r="Q72" i="30"/>
  <c r="BD68" i="42"/>
  <c r="BD54" i="42"/>
  <c r="BS61" i="30"/>
  <c r="BS75" i="30"/>
  <c r="AG53" i="18"/>
  <c r="AG67" i="18"/>
  <c r="Y60" i="30"/>
  <c r="Y74" i="30"/>
  <c r="BN75" i="30"/>
  <c r="BN61" i="30"/>
  <c r="BN51" i="42"/>
  <c r="BN65" i="42"/>
  <c r="X56" i="42"/>
  <c r="X70" i="42"/>
  <c r="BK69" i="42"/>
  <c r="BK55" i="42"/>
  <c r="N69" i="42"/>
  <c r="N55" i="42"/>
  <c r="V69" i="30"/>
  <c r="V55" i="30"/>
  <c r="BE72" i="42"/>
  <c r="BE58" i="42"/>
  <c r="BE62" i="30"/>
  <c r="BE76" i="30"/>
  <c r="BY68" i="43"/>
  <c r="BY54" i="43"/>
  <c r="BY71" i="30"/>
  <c r="BY57" i="30"/>
  <c r="BP66" i="43"/>
  <c r="BP52" i="43"/>
  <c r="BP51" i="30"/>
  <c r="BP65" i="30"/>
  <c r="BG48" i="30"/>
  <c r="F65" i="43"/>
  <c r="F51" i="43"/>
  <c r="F52" i="30"/>
  <c r="F48" i="30" s="1"/>
  <c r="F66" i="30"/>
  <c r="U75" i="42"/>
  <c r="U61" i="42"/>
  <c r="BJ31" i="43"/>
  <c r="BJ69" i="30"/>
  <c r="BJ55" i="30"/>
  <c r="BU66" i="42"/>
  <c r="BU52" i="42"/>
  <c r="BU66" i="30"/>
  <c r="BU52" i="30"/>
  <c r="Q64" i="30"/>
  <c r="Q50" i="30"/>
  <c r="BD74" i="42"/>
  <c r="BD60" i="42"/>
  <c r="BD50" i="30"/>
  <c r="BD64" i="30"/>
  <c r="BS72" i="42"/>
  <c r="BS58" i="42"/>
  <c r="G64" i="42"/>
  <c r="G50" i="42"/>
  <c r="Y75" i="43"/>
  <c r="Y61" i="43"/>
  <c r="Y64" i="30"/>
  <c r="Y50" i="30"/>
  <c r="X66" i="30"/>
  <c r="X52" i="30"/>
  <c r="BK76" i="43"/>
  <c r="BK62" i="43"/>
  <c r="BK31" i="43"/>
  <c r="N71" i="30"/>
  <c r="N57" i="30"/>
  <c r="V45" i="43"/>
  <c r="BT31" i="43"/>
  <c r="BW72" i="43"/>
  <c r="BW58" i="43"/>
  <c r="BW74" i="30"/>
  <c r="BW60" i="30"/>
  <c r="BU51" i="18"/>
  <c r="BU65" i="18"/>
  <c r="AL70" i="37"/>
  <c r="AL56" i="37"/>
  <c r="AI66" i="37"/>
  <c r="AI52" i="37"/>
  <c r="U64" i="43"/>
  <c r="U63" i="43" s="1"/>
  <c r="U50" i="43"/>
  <c r="U48" i="43" s="1"/>
  <c r="U45" i="30"/>
  <c r="BJ70" i="43"/>
  <c r="BJ56" i="43"/>
  <c r="Q66" i="43"/>
  <c r="Q52" i="43"/>
  <c r="Q62" i="30"/>
  <c r="Q76" i="30"/>
  <c r="BS76" i="30"/>
  <c r="BS62" i="30"/>
  <c r="BY72" i="18"/>
  <c r="BY58" i="18"/>
  <c r="BY66" i="18"/>
  <c r="BY52" i="18"/>
  <c r="Y64" i="42"/>
  <c r="Y50" i="42"/>
  <c r="Y48" i="42" s="1"/>
  <c r="Y45" i="30"/>
  <c r="BN67" i="42"/>
  <c r="BN53" i="42"/>
  <c r="BK31" i="30"/>
  <c r="V64" i="42"/>
  <c r="V50" i="42"/>
  <c r="BL71" i="42"/>
  <c r="BL57" i="42"/>
  <c r="BL67" i="42"/>
  <c r="BL53" i="42"/>
  <c r="BT74" i="42"/>
  <c r="BT60" i="42"/>
  <c r="BW71" i="30"/>
  <c r="BW57" i="30"/>
  <c r="CD64" i="18"/>
  <c r="CD50" i="18"/>
  <c r="AH61" i="37"/>
  <c r="AH75" i="37"/>
  <c r="AI31" i="37"/>
  <c r="C9" i="30"/>
  <c r="D68" i="30"/>
  <c r="D54" i="30"/>
  <c r="H71" i="43"/>
  <c r="H57" i="43"/>
  <c r="O73" i="43"/>
  <c r="O59" i="43"/>
  <c r="BG71" i="42"/>
  <c r="BG57" i="42"/>
  <c r="BG67" i="42"/>
  <c r="BG53" i="42"/>
  <c r="BG48" i="42" s="1"/>
  <c r="U70" i="42"/>
  <c r="U56" i="42"/>
  <c r="U75" i="30"/>
  <c r="U61" i="30"/>
  <c r="BU72" i="30"/>
  <c r="BU58" i="30"/>
  <c r="D44" i="43"/>
  <c r="C44" i="43" s="1"/>
  <c r="C15" i="43"/>
  <c r="C6" i="30"/>
  <c r="C47" i="30" s="1"/>
  <c r="F47" i="5" s="1"/>
  <c r="H47" i="5" s="1"/>
  <c r="D47" i="30"/>
  <c r="O71" i="42"/>
  <c r="O57" i="42"/>
  <c r="O67" i="42"/>
  <c r="O53" i="42"/>
  <c r="S70" i="43"/>
  <c r="S56" i="43"/>
  <c r="Z66" i="42"/>
  <c r="Z52" i="42"/>
  <c r="Z59" i="30"/>
  <c r="Z73" i="30"/>
  <c r="BR68" i="42"/>
  <c r="BR54" i="42"/>
  <c r="BR73" i="30"/>
  <c r="BR59" i="30"/>
  <c r="BV70" i="18"/>
  <c r="BV56" i="18"/>
  <c r="BS45" i="43"/>
  <c r="BY68" i="18"/>
  <c r="BY54" i="18"/>
  <c r="Y70" i="42"/>
  <c r="Y56" i="42"/>
  <c r="BK66" i="42"/>
  <c r="BK52" i="42"/>
  <c r="N71" i="43"/>
  <c r="N57" i="43"/>
  <c r="N67" i="43"/>
  <c r="N53" i="43"/>
  <c r="V69" i="42"/>
  <c r="V55" i="42"/>
  <c r="V45" i="30"/>
  <c r="C26" i="42"/>
  <c r="D36" i="42"/>
  <c r="C36" i="42" s="1"/>
  <c r="D46" i="42"/>
  <c r="C10" i="42"/>
  <c r="C30" i="30"/>
  <c r="C35" i="30" s="1"/>
  <c r="F35" i="5" s="1"/>
  <c r="H35" i="5" s="1"/>
  <c r="D35" i="30"/>
  <c r="H69" i="42"/>
  <c r="H55" i="42"/>
  <c r="O74" i="43"/>
  <c r="O60" i="43"/>
  <c r="S73" i="42"/>
  <c r="S59" i="42"/>
  <c r="Z69" i="43"/>
  <c r="C69" i="43" s="1"/>
  <c r="Z55" i="43"/>
  <c r="Z53" i="30"/>
  <c r="Z67" i="30"/>
  <c r="BC51" i="43"/>
  <c r="BC65" i="43"/>
  <c r="BR69" i="43"/>
  <c r="BR55" i="43"/>
  <c r="BR48" i="43" s="1"/>
  <c r="S71" i="30"/>
  <c r="S57" i="30"/>
  <c r="Z73" i="43"/>
  <c r="Z59" i="43"/>
  <c r="BC72" i="42"/>
  <c r="BC58" i="42"/>
  <c r="AD50" i="18"/>
  <c r="AD64" i="18"/>
  <c r="M67" i="30"/>
  <c r="M53" i="30"/>
  <c r="BN58" i="42"/>
  <c r="BN72" i="42"/>
  <c r="DL48" i="38"/>
  <c r="DN48" i="38" s="1"/>
  <c r="DN50" i="38"/>
  <c r="J64" i="42"/>
  <c r="J63" i="42" s="1"/>
  <c r="J50" i="42"/>
  <c r="X68" i="42"/>
  <c r="X54" i="42"/>
  <c r="BE71" i="42"/>
  <c r="BE57" i="42"/>
  <c r="BE67" i="42"/>
  <c r="BE53" i="42"/>
  <c r="BY31" i="30"/>
  <c r="BL74" i="42"/>
  <c r="BL60" i="42"/>
  <c r="BP75" i="43"/>
  <c r="BP61" i="43"/>
  <c r="BP60" i="30"/>
  <c r="BP74" i="30"/>
  <c r="BT73" i="42"/>
  <c r="BT59" i="42"/>
  <c r="AC76" i="18"/>
  <c r="AC62" i="18"/>
  <c r="AL69" i="18"/>
  <c r="AL55" i="18"/>
  <c r="AM63" i="16"/>
  <c r="AK55" i="37"/>
  <c r="AK69" i="37"/>
  <c r="W70" i="37"/>
  <c r="W56" i="37"/>
  <c r="M61" i="30"/>
  <c r="M75" i="30"/>
  <c r="BH45" i="43"/>
  <c r="BV66" i="43"/>
  <c r="BV52" i="43"/>
  <c r="AA73" i="43"/>
  <c r="AA59" i="43"/>
  <c r="BF67" i="42"/>
  <c r="BF53" i="42"/>
  <c r="BF48" i="42" s="1"/>
  <c r="BI69" i="42"/>
  <c r="BI55" i="42"/>
  <c r="BM45" i="43"/>
  <c r="BQ75" i="43"/>
  <c r="BQ61" i="43"/>
  <c r="BX74" i="43"/>
  <c r="BX60" i="43"/>
  <c r="BW66" i="18"/>
  <c r="BW52" i="18"/>
  <c r="E45" i="42"/>
  <c r="I76" i="43"/>
  <c r="I62" i="43"/>
  <c r="I31" i="43"/>
  <c r="L69" i="42"/>
  <c r="L55" i="42"/>
  <c r="L60" i="30"/>
  <c r="L74" i="30"/>
  <c r="T75" i="42"/>
  <c r="T61" i="42"/>
  <c r="T48" i="30"/>
  <c r="D43" i="42"/>
  <c r="C43" i="42" s="1"/>
  <c r="C28" i="42"/>
  <c r="F28" i="32" s="1"/>
  <c r="C28" i="30"/>
  <c r="C43" i="30" s="1"/>
  <c r="F43" i="5" s="1"/>
  <c r="H43" i="5" s="1"/>
  <c r="D43" i="30"/>
  <c r="H75" i="30"/>
  <c r="H61" i="30"/>
  <c r="K50" i="43"/>
  <c r="K48" i="43" s="1"/>
  <c r="K64" i="43"/>
  <c r="K63" i="43" s="1"/>
  <c r="S66" i="43"/>
  <c r="S52" i="43"/>
  <c r="BH66" i="43"/>
  <c r="BH52" i="43"/>
  <c r="BO51" i="30"/>
  <c r="BO65" i="30"/>
  <c r="BV73" i="43"/>
  <c r="BV59" i="43"/>
  <c r="CA45" i="18"/>
  <c r="AA31" i="42"/>
  <c r="R65" i="43"/>
  <c r="R51" i="43"/>
  <c r="R56" i="30"/>
  <c r="R70" i="30"/>
  <c r="BA18" i="42"/>
  <c r="BB75" i="42"/>
  <c r="BA75" i="42" s="1"/>
  <c r="BB61" i="42"/>
  <c r="BA61" i="42" s="1"/>
  <c r="BB38" i="42"/>
  <c r="BA38" i="42" s="1"/>
  <c r="BA2" i="42"/>
  <c r="BA14" i="30"/>
  <c r="BA34" i="30" s="1"/>
  <c r="BB34" i="30"/>
  <c r="BA26" i="30"/>
  <c r="BA36" i="30" s="1"/>
  <c r="BB36" i="30"/>
  <c r="BI76" i="43"/>
  <c r="BI62" i="43"/>
  <c r="BI31" i="43"/>
  <c r="BM71" i="43"/>
  <c r="BM57" i="43"/>
  <c r="BM67" i="43"/>
  <c r="BM53" i="43"/>
  <c r="BM64" i="30"/>
  <c r="BM50" i="30"/>
  <c r="BQ64" i="30"/>
  <c r="BQ50" i="30"/>
  <c r="AJ71" i="18"/>
  <c r="AJ57" i="18"/>
  <c r="E65" i="42"/>
  <c r="E51" i="42"/>
  <c r="E55" i="30"/>
  <c r="E69" i="30"/>
  <c r="T64" i="43"/>
  <c r="T50" i="43"/>
  <c r="T48" i="43" s="1"/>
  <c r="T31" i="30"/>
  <c r="W67" i="30"/>
  <c r="W53" i="30"/>
  <c r="T70" i="42"/>
  <c r="T56" i="42"/>
  <c r="AD55" i="18"/>
  <c r="AD69" i="18"/>
  <c r="M68" i="43"/>
  <c r="M54" i="43"/>
  <c r="BO68" i="43"/>
  <c r="BO54" i="43"/>
  <c r="BV67" i="42"/>
  <c r="BV53" i="42"/>
  <c r="AA64" i="42"/>
  <c r="AA50" i="42"/>
  <c r="AA48" i="42" s="1"/>
  <c r="R72" i="43"/>
  <c r="R58" i="43"/>
  <c r="R64" i="30"/>
  <c r="R50" i="30"/>
  <c r="BA17" i="42"/>
  <c r="BB66" i="42"/>
  <c r="BA66" i="42" s="1"/>
  <c r="BB52" i="42"/>
  <c r="BA52" i="42" s="1"/>
  <c r="BF56" i="30"/>
  <c r="BF70" i="30"/>
  <c r="BI75" i="43"/>
  <c r="BI61" i="43"/>
  <c r="BQ72" i="43"/>
  <c r="BQ58" i="43"/>
  <c r="BX45" i="43"/>
  <c r="BW73" i="18"/>
  <c r="BW59" i="18"/>
  <c r="E70" i="43"/>
  <c r="E56" i="43"/>
  <c r="I66" i="42"/>
  <c r="I52" i="42"/>
  <c r="I52" i="30"/>
  <c r="I48" i="30" s="1"/>
  <c r="I66" i="30"/>
  <c r="L45" i="43"/>
  <c r="P69" i="43"/>
  <c r="P55" i="43"/>
  <c r="T69" i="42"/>
  <c r="T55" i="42"/>
  <c r="W66" i="42"/>
  <c r="W52" i="42"/>
  <c r="M69" i="42"/>
  <c r="M55" i="42"/>
  <c r="M59" i="30"/>
  <c r="M73" i="30"/>
  <c r="BH65" i="30"/>
  <c r="BH51" i="30"/>
  <c r="BO56" i="42"/>
  <c r="BO48" i="42" s="1"/>
  <c r="BO70" i="42"/>
  <c r="BV70" i="42"/>
  <c r="BV56" i="42"/>
  <c r="BV57" i="30"/>
  <c r="BV71" i="30"/>
  <c r="CA66" i="18"/>
  <c r="CA52" i="18"/>
  <c r="F64" i="37"/>
  <c r="F50" i="37"/>
  <c r="AA72" i="43"/>
  <c r="AA58" i="43"/>
  <c r="R31" i="42"/>
  <c r="R73" i="30"/>
  <c r="R59" i="30"/>
  <c r="BA28" i="42"/>
  <c r="BB43" i="42"/>
  <c r="BA43" i="42" s="1"/>
  <c r="BA6" i="30"/>
  <c r="BA47" i="30" s="1"/>
  <c r="BB47" i="30"/>
  <c r="BB45" i="30" s="1"/>
  <c r="BA21" i="30"/>
  <c r="BB65" i="30"/>
  <c r="BB51" i="30"/>
  <c r="BI68" i="42"/>
  <c r="BI54" i="42"/>
  <c r="BI76" i="30"/>
  <c r="BI62" i="30"/>
  <c r="BM73" i="43"/>
  <c r="BM59" i="43"/>
  <c r="BM69" i="30"/>
  <c r="BM55" i="30"/>
  <c r="BX76" i="30"/>
  <c r="BX62" i="30"/>
  <c r="AE53" i="18"/>
  <c r="AE67" i="18"/>
  <c r="AE61" i="18"/>
  <c r="AE75" i="18"/>
  <c r="AF64" i="18"/>
  <c r="AF50" i="18"/>
  <c r="AJ51" i="18"/>
  <c r="AJ65" i="18"/>
  <c r="E76" i="43"/>
  <c r="E62" i="43"/>
  <c r="E31" i="43"/>
  <c r="I69" i="42"/>
  <c r="I55" i="42"/>
  <c r="I73" i="30"/>
  <c r="I59" i="30"/>
  <c r="L66" i="43"/>
  <c r="L52" i="43"/>
  <c r="L76" i="30"/>
  <c r="L62" i="30"/>
  <c r="P74" i="30"/>
  <c r="P60" i="30"/>
  <c r="P57" i="30"/>
  <c r="P71" i="30"/>
  <c r="T73" i="42"/>
  <c r="T59" i="42"/>
  <c r="W69" i="43"/>
  <c r="W55" i="43"/>
  <c r="AC45" i="32"/>
  <c r="AB50" i="42"/>
  <c r="L50" i="32" s="1"/>
  <c r="BZ50" i="42"/>
  <c r="BE50" i="38" s="1"/>
  <c r="AG48" i="43"/>
  <c r="AL48" i="43"/>
  <c r="AB49" i="43"/>
  <c r="AL49" i="32" s="1"/>
  <c r="AC48" i="43"/>
  <c r="AB48" i="43" s="1"/>
  <c r="AL48" i="32" s="1"/>
  <c r="AF48" i="43"/>
  <c r="AB60" i="43"/>
  <c r="AL60" i="32" s="1"/>
  <c r="AL63" i="43"/>
  <c r="AB64" i="43"/>
  <c r="AL64" i="32" s="1"/>
  <c r="AC63" i="43"/>
  <c r="AB63" i="43" s="1"/>
  <c r="AL63" i="32" s="1"/>
  <c r="AF63" i="43"/>
  <c r="AD48" i="43"/>
  <c r="BW48" i="29"/>
  <c r="P63" i="37"/>
  <c r="BP59" i="18"/>
  <c r="BL63" i="18"/>
  <c r="BF48" i="18"/>
  <c r="M65" i="5"/>
  <c r="CR48" i="42"/>
  <c r="CU48" i="42"/>
  <c r="CX48" i="42"/>
  <c r="CO48" i="42"/>
  <c r="BP58" i="18"/>
  <c r="AM58" i="5"/>
  <c r="AB54" i="31"/>
  <c r="AL54" i="5" s="1"/>
  <c r="AM54" i="5" s="1"/>
  <c r="AB57" i="30"/>
  <c r="L57" i="5" s="1"/>
  <c r="M57" i="5" s="1"/>
  <c r="BA59" i="29"/>
  <c r="N59" i="18" s="1"/>
  <c r="DN72" i="18"/>
  <c r="BO63" i="41"/>
  <c r="DN45" i="38"/>
  <c r="BP63" i="29"/>
  <c r="CR48" i="30"/>
  <c r="CD63" i="30"/>
  <c r="CH63" i="30"/>
  <c r="BF63" i="41"/>
  <c r="CP48" i="31"/>
  <c r="CC63" i="31"/>
  <c r="AB72" i="30"/>
  <c r="L72" i="5" s="1"/>
  <c r="M72" i="5" s="1"/>
  <c r="AB53" i="30"/>
  <c r="L53" i="5" s="1"/>
  <c r="M53" i="5" s="1"/>
  <c r="CP48" i="30"/>
  <c r="AI48" i="30"/>
  <c r="AT48" i="30"/>
  <c r="BM63" i="29"/>
  <c r="BC63" i="41"/>
  <c r="J53" i="37"/>
  <c r="AB58" i="42"/>
  <c r="L58" i="32" s="1"/>
  <c r="BZ58" i="42"/>
  <c r="BE58" i="38" s="1"/>
  <c r="BZ64" i="30"/>
  <c r="BE64" i="18" s="1"/>
  <c r="BP64" i="18" s="1"/>
  <c r="CA63" i="30"/>
  <c r="BZ63" i="30" s="1"/>
  <c r="BE63" i="18" s="1"/>
  <c r="CA31" i="43"/>
  <c r="BZ31" i="43" s="1"/>
  <c r="CW31" i="38" s="1"/>
  <c r="BZ32" i="43"/>
  <c r="CW32" i="38" s="1"/>
  <c r="BZ55" i="31"/>
  <c r="CW55" i="18" s="1"/>
  <c r="DN50" i="18"/>
  <c r="BL63" i="41"/>
  <c r="T63" i="5"/>
  <c r="P48" i="18"/>
  <c r="H63" i="37"/>
  <c r="I63" i="37"/>
  <c r="J55" i="37"/>
  <c r="BZ58" i="43"/>
  <c r="CW58" i="38" s="1"/>
  <c r="AW63" i="43"/>
  <c r="CA63" i="43"/>
  <c r="BZ65" i="43"/>
  <c r="CW65" i="38" s="1"/>
  <c r="CX63" i="43"/>
  <c r="BZ70" i="31"/>
  <c r="CW70" i="18" s="1"/>
  <c r="DN55" i="18"/>
  <c r="BF63" i="29"/>
  <c r="C58" i="18"/>
  <c r="C72" i="18"/>
  <c r="C65" i="18"/>
  <c r="C51" i="18"/>
  <c r="C45" i="18"/>
  <c r="C75" i="18"/>
  <c r="C61" i="18"/>
  <c r="C64" i="18"/>
  <c r="C50" i="18"/>
  <c r="C56" i="18"/>
  <c r="C70" i="18"/>
  <c r="C31" i="18"/>
  <c r="C68" i="18"/>
  <c r="C54" i="18"/>
  <c r="C76" i="18"/>
  <c r="C62" i="18"/>
  <c r="C67" i="18"/>
  <c r="C53" i="18"/>
  <c r="C66" i="18"/>
  <c r="C52" i="18"/>
  <c r="C71" i="18"/>
  <c r="C57" i="18"/>
  <c r="C60" i="18"/>
  <c r="C74" i="18"/>
  <c r="C55" i="18"/>
  <c r="C69" i="18"/>
  <c r="C73" i="18"/>
  <c r="C59" i="18"/>
  <c r="Q48" i="16"/>
  <c r="J73" i="16"/>
  <c r="J74" i="16"/>
  <c r="Y31" i="16"/>
  <c r="Z31" i="16" s="1"/>
  <c r="Y45" i="16"/>
  <c r="Z45" i="16" s="1"/>
  <c r="T48" i="16"/>
  <c r="I48" i="16"/>
  <c r="P48" i="16"/>
  <c r="R48" i="16"/>
  <c r="Y63" i="16"/>
  <c r="Z63" i="16" s="1"/>
  <c r="S48" i="16"/>
  <c r="H48" i="16"/>
  <c r="Y48" i="16"/>
  <c r="Z48" i="16" s="1"/>
  <c r="H63" i="16"/>
  <c r="I63" i="16"/>
  <c r="J75" i="16"/>
  <c r="J52" i="16"/>
  <c r="P63" i="16"/>
  <c r="J76" i="16"/>
  <c r="J64" i="16"/>
  <c r="J62" i="16"/>
  <c r="G48" i="16"/>
  <c r="J50" i="16"/>
  <c r="J45" i="16"/>
  <c r="J60" i="16"/>
  <c r="J55" i="16"/>
  <c r="J59" i="16"/>
  <c r="Q63" i="16"/>
  <c r="J57" i="16"/>
  <c r="H31" i="16"/>
  <c r="J31" i="16" s="1"/>
  <c r="J69" i="16"/>
  <c r="J51" i="16"/>
  <c r="J47" i="16"/>
  <c r="T63" i="16"/>
  <c r="J71" i="16"/>
  <c r="J53" i="16"/>
  <c r="J65" i="16"/>
  <c r="J70" i="16"/>
  <c r="J67" i="16"/>
  <c r="S63" i="16"/>
  <c r="J56" i="16"/>
  <c r="J58" i="16"/>
  <c r="J72" i="16"/>
  <c r="J34" i="16"/>
  <c r="J68" i="16"/>
  <c r="R63" i="16"/>
  <c r="J54" i="16"/>
  <c r="J61" i="16"/>
  <c r="J66" i="16"/>
  <c r="G63" i="16"/>
  <c r="W31" i="16"/>
  <c r="CU48" i="38"/>
  <c r="CX48" i="38"/>
  <c r="DB48" i="38"/>
  <c r="BP72" i="38"/>
  <c r="CT48" i="38"/>
  <c r="CD45" i="38"/>
  <c r="BP59" i="38"/>
  <c r="DA48" i="38"/>
  <c r="DD48" i="38"/>
  <c r="BL48" i="38"/>
  <c r="BK48" i="38"/>
  <c r="DD63" i="38"/>
  <c r="CZ48" i="38"/>
  <c r="BI48" i="38"/>
  <c r="DG48" i="38"/>
  <c r="DE48" i="38"/>
  <c r="DC48" i="38"/>
  <c r="BP60" i="38"/>
  <c r="DL63" i="38"/>
  <c r="DN63" i="38" s="1"/>
  <c r="CY48" i="38"/>
  <c r="BP74" i="38"/>
  <c r="BP58" i="38"/>
  <c r="BP52" i="38"/>
  <c r="BO48" i="38"/>
  <c r="CZ63" i="38"/>
  <c r="DC63" i="38"/>
  <c r="BP67" i="38"/>
  <c r="BP71" i="38"/>
  <c r="BP73" i="38"/>
  <c r="Q48" i="38"/>
  <c r="BP53" i="38"/>
  <c r="BP55" i="38"/>
  <c r="BJ48" i="38"/>
  <c r="CY63" i="38"/>
  <c r="CX63" i="38"/>
  <c r="DB63" i="38"/>
  <c r="BP62" i="38"/>
  <c r="BH48" i="38"/>
  <c r="BD48" i="38"/>
  <c r="BP56" i="38"/>
  <c r="BP76" i="38"/>
  <c r="BP70" i="38"/>
  <c r="CT63" i="38"/>
  <c r="BG48" i="38"/>
  <c r="CU63" i="38"/>
  <c r="BP54" i="38"/>
  <c r="DE63" i="38"/>
  <c r="BP68" i="38"/>
  <c r="W48" i="38"/>
  <c r="BC48" i="38"/>
  <c r="BP50" i="38"/>
  <c r="BP45" i="38"/>
  <c r="BP51" i="38"/>
  <c r="BP64" i="38"/>
  <c r="BM48" i="38"/>
  <c r="BN48" i="38"/>
  <c r="BP65" i="38"/>
  <c r="BP66" i="38"/>
  <c r="BF48" i="38"/>
  <c r="DG63" i="38"/>
  <c r="DA63" i="38"/>
  <c r="BP31" i="38"/>
  <c r="O48" i="38"/>
  <c r="BH63" i="38"/>
  <c r="BG63" i="38"/>
  <c r="T48" i="38"/>
  <c r="X48" i="38"/>
  <c r="BC63" i="38"/>
  <c r="R48" i="38"/>
  <c r="BL63" i="38"/>
  <c r="BI63" i="38"/>
  <c r="U48" i="38"/>
  <c r="BK63" i="38"/>
  <c r="BJ63" i="38"/>
  <c r="BF63" i="38"/>
  <c r="BD63" i="38"/>
  <c r="P48" i="38"/>
  <c r="BN63" i="38"/>
  <c r="BO63" i="38"/>
  <c r="BM63" i="38"/>
  <c r="X63" i="38"/>
  <c r="C61" i="38"/>
  <c r="C75" i="38"/>
  <c r="P63" i="38"/>
  <c r="C62" i="38"/>
  <c r="C76" i="38"/>
  <c r="C58" i="38"/>
  <c r="C72" i="38"/>
  <c r="C51" i="38"/>
  <c r="C65" i="38"/>
  <c r="C53" i="38"/>
  <c r="C67" i="38"/>
  <c r="Q63" i="38"/>
  <c r="R63" i="38"/>
  <c r="C50" i="38"/>
  <c r="C64" i="38"/>
  <c r="C70" i="38"/>
  <c r="C56" i="38"/>
  <c r="T63" i="38"/>
  <c r="U63" i="38"/>
  <c r="C59" i="38"/>
  <c r="C73" i="38"/>
  <c r="C52" i="38"/>
  <c r="C66" i="38"/>
  <c r="W63" i="38"/>
  <c r="C60" i="38"/>
  <c r="C74" i="38"/>
  <c r="C68" i="38"/>
  <c r="C54" i="38"/>
  <c r="O63" i="38"/>
  <c r="C31" i="38"/>
  <c r="C57" i="38"/>
  <c r="C71" i="38"/>
  <c r="C55" i="38"/>
  <c r="C69" i="38"/>
  <c r="AO63" i="32"/>
  <c r="AC72" i="32"/>
  <c r="AK48" i="32"/>
  <c r="AJ48" i="32"/>
  <c r="AC57" i="32"/>
  <c r="M67" i="32"/>
  <c r="AI48" i="32"/>
  <c r="M54" i="32"/>
  <c r="AJ63" i="32"/>
  <c r="AC55" i="32"/>
  <c r="AI63" i="32"/>
  <c r="AC69" i="32"/>
  <c r="AC54" i="32"/>
  <c r="AC51" i="32"/>
  <c r="AC68" i="32"/>
  <c r="AC65" i="32"/>
  <c r="AK63" i="32"/>
  <c r="AC62" i="32"/>
  <c r="U48" i="32"/>
  <c r="AC76" i="32"/>
  <c r="AA48" i="32"/>
  <c r="AC50" i="32"/>
  <c r="AC31" i="32"/>
  <c r="AB48" i="32"/>
  <c r="S48" i="32"/>
  <c r="T48" i="32"/>
  <c r="W48" i="32"/>
  <c r="AA63" i="32"/>
  <c r="V48" i="32"/>
  <c r="AB63" i="32"/>
  <c r="M70" i="32"/>
  <c r="M47" i="32"/>
  <c r="M45" i="32"/>
  <c r="W63" i="32"/>
  <c r="M58" i="32"/>
  <c r="T63" i="32"/>
  <c r="J48" i="32"/>
  <c r="M50" i="32"/>
  <c r="K48" i="32"/>
  <c r="M61" i="32"/>
  <c r="M72" i="32"/>
  <c r="S63" i="32"/>
  <c r="V63" i="32"/>
  <c r="U63" i="32"/>
  <c r="J63" i="32"/>
  <c r="K63" i="32"/>
  <c r="AI55" i="16"/>
  <c r="AI69" i="16"/>
  <c r="AI31" i="16"/>
  <c r="AH53" i="16"/>
  <c r="AH67" i="16"/>
  <c r="AH61" i="16"/>
  <c r="AH75" i="16"/>
  <c r="AI64" i="16"/>
  <c r="AI50" i="16"/>
  <c r="AH68" i="16"/>
  <c r="AH54" i="16"/>
  <c r="F31" i="16"/>
  <c r="W66" i="16"/>
  <c r="W52" i="16"/>
  <c r="AK55" i="16"/>
  <c r="AK69" i="16"/>
  <c r="AH31" i="16"/>
  <c r="AI53" i="16"/>
  <c r="AI67" i="16"/>
  <c r="AL61" i="16"/>
  <c r="AL75" i="16"/>
  <c r="AK64" i="16"/>
  <c r="AK50" i="16"/>
  <c r="AK68" i="16"/>
  <c r="AK54" i="16"/>
  <c r="F74" i="16"/>
  <c r="F60" i="16"/>
  <c r="AH55" i="16"/>
  <c r="AH69" i="16"/>
  <c r="AK31" i="16"/>
  <c r="AK53" i="16"/>
  <c r="AK67" i="16"/>
  <c r="AL50" i="16"/>
  <c r="AL64" i="16"/>
  <c r="AL54" i="16"/>
  <c r="AL68" i="16"/>
  <c r="F58" i="16"/>
  <c r="F72" i="16"/>
  <c r="AL55" i="16"/>
  <c r="AL69" i="16"/>
  <c r="AH72" i="16"/>
  <c r="AH58" i="16"/>
  <c r="AL31" i="16"/>
  <c r="AL53" i="16"/>
  <c r="AL67" i="16"/>
  <c r="AK45" i="16"/>
  <c r="AK76" i="16"/>
  <c r="AK62" i="16"/>
  <c r="F62" i="16"/>
  <c r="F76" i="16"/>
  <c r="AI72" i="16"/>
  <c r="AI58" i="16"/>
  <c r="AH57" i="16"/>
  <c r="AH71" i="16"/>
  <c r="AI51" i="16"/>
  <c r="AI65" i="16"/>
  <c r="AH45" i="16"/>
  <c r="AH76" i="16"/>
  <c r="AH62" i="16"/>
  <c r="AH66" i="16"/>
  <c r="AH52" i="16"/>
  <c r="AK70" i="16"/>
  <c r="AK56" i="16"/>
  <c r="F70" i="16"/>
  <c r="F56" i="16"/>
  <c r="D48" i="16"/>
  <c r="W57" i="16"/>
  <c r="W71" i="16"/>
  <c r="AK72" i="16"/>
  <c r="AK58" i="16"/>
  <c r="AK57" i="16"/>
  <c r="AK71" i="16"/>
  <c r="AL51" i="16"/>
  <c r="AL65" i="16"/>
  <c r="AI45" i="16"/>
  <c r="AI76" i="16"/>
  <c r="AI62" i="16"/>
  <c r="AK66" i="16"/>
  <c r="AK52" i="16"/>
  <c r="AK74" i="16"/>
  <c r="AK60" i="16"/>
  <c r="W76" i="16"/>
  <c r="W62" i="16"/>
  <c r="AI70" i="16"/>
  <c r="AI56" i="16"/>
  <c r="F50" i="16"/>
  <c r="F64" i="16"/>
  <c r="AL58" i="16"/>
  <c r="AL72" i="16"/>
  <c r="W74" i="16"/>
  <c r="W60" i="16"/>
  <c r="AI57" i="16"/>
  <c r="AI71" i="16"/>
  <c r="AH51" i="16"/>
  <c r="AH65" i="16"/>
  <c r="AL45" i="16"/>
  <c r="AL62" i="16"/>
  <c r="AL76" i="16"/>
  <c r="AI66" i="16"/>
  <c r="AI52" i="16"/>
  <c r="AI74" i="16"/>
  <c r="AI60" i="16"/>
  <c r="AH70" i="16"/>
  <c r="AH56" i="16"/>
  <c r="F54" i="16"/>
  <c r="F68" i="16"/>
  <c r="F67" i="16"/>
  <c r="F53" i="16"/>
  <c r="F66" i="16"/>
  <c r="F52" i="16"/>
  <c r="D63" i="16"/>
  <c r="AL57" i="16"/>
  <c r="AL71" i="16"/>
  <c r="F59" i="16"/>
  <c r="F73" i="16"/>
  <c r="AK51" i="16"/>
  <c r="AK65" i="16"/>
  <c r="AL52" i="16"/>
  <c r="AL66" i="16"/>
  <c r="AH74" i="16"/>
  <c r="AH60" i="16"/>
  <c r="AL56" i="16"/>
  <c r="AL70" i="16"/>
  <c r="F55" i="16"/>
  <c r="F69" i="16"/>
  <c r="W61" i="16"/>
  <c r="W75" i="16"/>
  <c r="AL59" i="16"/>
  <c r="AL73" i="16"/>
  <c r="AL60" i="16"/>
  <c r="AL74" i="16"/>
  <c r="AI59" i="16"/>
  <c r="AI73" i="16"/>
  <c r="F51" i="16"/>
  <c r="F65" i="16"/>
  <c r="AI61" i="16"/>
  <c r="AI75" i="16"/>
  <c r="AH59" i="16"/>
  <c r="AH73" i="16"/>
  <c r="AK61" i="16"/>
  <c r="AK75" i="16"/>
  <c r="AH64" i="16"/>
  <c r="AH50" i="16"/>
  <c r="AK59" i="16"/>
  <c r="AK73" i="16"/>
  <c r="W68" i="16"/>
  <c r="W54" i="16"/>
  <c r="AI68" i="16"/>
  <c r="AI54" i="16"/>
  <c r="F71" i="16"/>
  <c r="F57" i="16"/>
  <c r="F75" i="16"/>
  <c r="F61" i="16"/>
  <c r="BU45" i="38"/>
  <c r="BX45" i="38"/>
  <c r="AL31" i="38"/>
  <c r="AC45" i="38"/>
  <c r="AH31" i="38"/>
  <c r="AL55" i="38"/>
  <c r="AL69" i="38"/>
  <c r="BZ60" i="38"/>
  <c r="BZ74" i="38"/>
  <c r="BZ55" i="38"/>
  <c r="BZ69" i="38"/>
  <c r="BU75" i="38"/>
  <c r="BU61" i="38"/>
  <c r="AL67" i="38"/>
  <c r="AL53" i="38"/>
  <c r="BV68" i="38"/>
  <c r="BV54" i="38"/>
  <c r="BV62" i="38"/>
  <c r="BV76" i="38"/>
  <c r="BV66" i="38"/>
  <c r="BV52" i="38"/>
  <c r="DK55" i="38"/>
  <c r="DK69" i="38"/>
  <c r="AL54" i="38"/>
  <c r="AL68" i="38"/>
  <c r="BV45" i="38"/>
  <c r="AI75" i="38"/>
  <c r="AI61" i="38"/>
  <c r="CB66" i="38"/>
  <c r="CB52" i="38"/>
  <c r="CA65" i="38"/>
  <c r="CA51" i="38"/>
  <c r="AE75" i="38"/>
  <c r="AE61" i="38"/>
  <c r="CB70" i="38"/>
  <c r="CB56" i="38"/>
  <c r="AJ68" i="38"/>
  <c r="AJ54" i="38"/>
  <c r="AI67" i="38"/>
  <c r="AI53" i="38"/>
  <c r="AI69" i="38"/>
  <c r="AI55" i="38"/>
  <c r="BW76" i="38"/>
  <c r="BW62" i="38"/>
  <c r="AH62" i="38"/>
  <c r="AH76" i="38"/>
  <c r="AG52" i="38"/>
  <c r="AG66" i="38"/>
  <c r="BZ54" i="38"/>
  <c r="BZ68" i="38"/>
  <c r="BZ31" i="38"/>
  <c r="BU72" i="38"/>
  <c r="BU58" i="38"/>
  <c r="AC69" i="38"/>
  <c r="AC55" i="38"/>
  <c r="CD53" i="38"/>
  <c r="CD67" i="38"/>
  <c r="AD68" i="38"/>
  <c r="AD54" i="38"/>
  <c r="DK68" i="38"/>
  <c r="DK54" i="38"/>
  <c r="CD68" i="38"/>
  <c r="CD54" i="38"/>
  <c r="CA75" i="38"/>
  <c r="CA61" i="38"/>
  <c r="AJ66" i="38"/>
  <c r="AJ52" i="38"/>
  <c r="AI68" i="38"/>
  <c r="AI54" i="38"/>
  <c r="BW61" i="38"/>
  <c r="BW75" i="38"/>
  <c r="AD31" i="38"/>
  <c r="CA31" i="38"/>
  <c r="CA53" i="38"/>
  <c r="CA67" i="38"/>
  <c r="AE52" i="38"/>
  <c r="AE66" i="38"/>
  <c r="CA69" i="38"/>
  <c r="CA55" i="38"/>
  <c r="AJ73" i="38"/>
  <c r="AJ59" i="38"/>
  <c r="BZ76" i="38"/>
  <c r="BZ62" i="38"/>
  <c r="BY66" i="38"/>
  <c r="BY52" i="38"/>
  <c r="DK70" i="38"/>
  <c r="DK56" i="38"/>
  <c r="AL64" i="38"/>
  <c r="AL50" i="38"/>
  <c r="AH68" i="38"/>
  <c r="AH54" i="38"/>
  <c r="AG51" i="38"/>
  <c r="AG65" i="38"/>
  <c r="AC72" i="38"/>
  <c r="AC58" i="38"/>
  <c r="AG69" i="38"/>
  <c r="AG55" i="38"/>
  <c r="BU69" i="38"/>
  <c r="BU55" i="38"/>
  <c r="AL70" i="38"/>
  <c r="AL56" i="38"/>
  <c r="AD74" i="38"/>
  <c r="AD60" i="38"/>
  <c r="BY60" i="38"/>
  <c r="BY74" i="38"/>
  <c r="BW72" i="38"/>
  <c r="BW58" i="38"/>
  <c r="CA68" i="38"/>
  <c r="CA54" i="38"/>
  <c r="AE53" i="38"/>
  <c r="AE67" i="38"/>
  <c r="BW66" i="38"/>
  <c r="BW52" i="38"/>
  <c r="BX73" i="38"/>
  <c r="BX59" i="38"/>
  <c r="CB31" i="38"/>
  <c r="CA64" i="38"/>
  <c r="CA50" i="38"/>
  <c r="AF70" i="38"/>
  <c r="AF56" i="38"/>
  <c r="CB59" i="38"/>
  <c r="CB73" i="38"/>
  <c r="AH56" i="38"/>
  <c r="AH70" i="38"/>
  <c r="AH73" i="38"/>
  <c r="AH59" i="38"/>
  <c r="AG67" i="38"/>
  <c r="AG53" i="38"/>
  <c r="AC60" i="38"/>
  <c r="AC74" i="38"/>
  <c r="CD64" i="38"/>
  <c r="CD50" i="38"/>
  <c r="BY65" i="38"/>
  <c r="BY51" i="38"/>
  <c r="DK67" i="38"/>
  <c r="DK53" i="38"/>
  <c r="AL66" i="38"/>
  <c r="AL52" i="38"/>
  <c r="AH50" i="38"/>
  <c r="AH64" i="38"/>
  <c r="AH65" i="38"/>
  <c r="AH51" i="38"/>
  <c r="BY69" i="38"/>
  <c r="BY55" i="38"/>
  <c r="DK45" i="38"/>
  <c r="BU56" i="38"/>
  <c r="BU70" i="38"/>
  <c r="CD70" i="38"/>
  <c r="CD56" i="38"/>
  <c r="BV74" i="38"/>
  <c r="BV60" i="38"/>
  <c r="AG74" i="38"/>
  <c r="AG60" i="38"/>
  <c r="AE58" i="38"/>
  <c r="AE72" i="38"/>
  <c r="AI62" i="38"/>
  <c r="AI76" i="38"/>
  <c r="AI56" i="38"/>
  <c r="AI70" i="38"/>
  <c r="BW67" i="38"/>
  <c r="BW53" i="38"/>
  <c r="AJ74" i="38"/>
  <c r="AJ60" i="38"/>
  <c r="BW74" i="38"/>
  <c r="BW60" i="38"/>
  <c r="AF73" i="38"/>
  <c r="AF59" i="38"/>
  <c r="BX62" i="38"/>
  <c r="BX76" i="38"/>
  <c r="AI50" i="38"/>
  <c r="AI64" i="38"/>
  <c r="AE45" i="38"/>
  <c r="BX56" i="38"/>
  <c r="BX70" i="38"/>
  <c r="AJ65" i="38"/>
  <c r="AJ51" i="38"/>
  <c r="BZ70" i="38"/>
  <c r="BZ56" i="38"/>
  <c r="BZ73" i="38"/>
  <c r="BZ59" i="38"/>
  <c r="BY67" i="38"/>
  <c r="BY53" i="38"/>
  <c r="BU74" i="38"/>
  <c r="BU60" i="38"/>
  <c r="AL76" i="38"/>
  <c r="AL62" i="38"/>
  <c r="AG75" i="38"/>
  <c r="AG61" i="38"/>
  <c r="DK66" i="38"/>
  <c r="DK52" i="38"/>
  <c r="CD52" i="38"/>
  <c r="CD66" i="38"/>
  <c r="BZ64" i="38"/>
  <c r="BZ50" i="38"/>
  <c r="BZ65" i="38"/>
  <c r="BZ51" i="38"/>
  <c r="DK72" i="38"/>
  <c r="DK58" i="38"/>
  <c r="AC70" i="38"/>
  <c r="AC56" i="38"/>
  <c r="AH67" i="38"/>
  <c r="AH53" i="38"/>
  <c r="AD75" i="38"/>
  <c r="AD61" i="38"/>
  <c r="DK76" i="38"/>
  <c r="DK62" i="38"/>
  <c r="DK64" i="38"/>
  <c r="DK50" i="38"/>
  <c r="AI31" i="38"/>
  <c r="AF57" i="38"/>
  <c r="AF71" i="38"/>
  <c r="AJ64" i="38"/>
  <c r="AJ50" i="38"/>
  <c r="AJ62" i="38"/>
  <c r="AJ76" i="38"/>
  <c r="CA76" i="38"/>
  <c r="CA62" i="38"/>
  <c r="CA70" i="38"/>
  <c r="CA56" i="38"/>
  <c r="AE68" i="38"/>
  <c r="AE54" i="38"/>
  <c r="AF68" i="38"/>
  <c r="AF54" i="38"/>
  <c r="AF31" i="38"/>
  <c r="CB60" i="38"/>
  <c r="CB74" i="38"/>
  <c r="AD58" i="38"/>
  <c r="AD72" i="38"/>
  <c r="AE74" i="38"/>
  <c r="AE60" i="38"/>
  <c r="AF64" i="38"/>
  <c r="AF50" i="38"/>
  <c r="AF76" i="38"/>
  <c r="AF62" i="38"/>
  <c r="CB65" i="38"/>
  <c r="CB51" i="38"/>
  <c r="CD76" i="38"/>
  <c r="CD62" i="38"/>
  <c r="BY75" i="38"/>
  <c r="BY61" i="38"/>
  <c r="AC31" i="38"/>
  <c r="BZ67" i="38"/>
  <c r="BZ53" i="38"/>
  <c r="BV75" i="38"/>
  <c r="BV61" i="38"/>
  <c r="DK75" i="38"/>
  <c r="DK61" i="38"/>
  <c r="CA71" i="38"/>
  <c r="CA57" i="38"/>
  <c r="BX71" i="38"/>
  <c r="BX57" i="38"/>
  <c r="CB64" i="38"/>
  <c r="CB50" i="38"/>
  <c r="CB76" i="38"/>
  <c r="CB62" i="38"/>
  <c r="BW68" i="38"/>
  <c r="BW54" i="38"/>
  <c r="BX68" i="38"/>
  <c r="BX54" i="38"/>
  <c r="BX31" i="38"/>
  <c r="AJ67" i="38"/>
  <c r="AJ53" i="38"/>
  <c r="BV72" i="38"/>
  <c r="BV58" i="38"/>
  <c r="BX50" i="38"/>
  <c r="BX64" i="38"/>
  <c r="AF58" i="38"/>
  <c r="AF72" i="38"/>
  <c r="CB45" i="38"/>
  <c r="DK59" i="38"/>
  <c r="DK73" i="38"/>
  <c r="AC53" i="38"/>
  <c r="AC67" i="38"/>
  <c r="CD74" i="38"/>
  <c r="CD60" i="38"/>
  <c r="AH75" i="38"/>
  <c r="AH61" i="38"/>
  <c r="AH66" i="38"/>
  <c r="AH52" i="38"/>
  <c r="BY54" i="38"/>
  <c r="BY68" i="38"/>
  <c r="DK74" i="38"/>
  <c r="DK60" i="38"/>
  <c r="AG45" i="38"/>
  <c r="AG31" i="38"/>
  <c r="BV57" i="38"/>
  <c r="BV71" i="38"/>
  <c r="AL71" i="38"/>
  <c r="AL57" i="38"/>
  <c r="AI57" i="38"/>
  <c r="AI71" i="38"/>
  <c r="AI74" i="38"/>
  <c r="AI60" i="38"/>
  <c r="AE70" i="38"/>
  <c r="AE56" i="38"/>
  <c r="AF51" i="38"/>
  <c r="AF65" i="38"/>
  <c r="AF67" i="38"/>
  <c r="AF53" i="38"/>
  <c r="AJ72" i="38"/>
  <c r="AJ58" i="38"/>
  <c r="AJ71" i="38"/>
  <c r="AJ57" i="38"/>
  <c r="CB53" i="38"/>
  <c r="CB67" i="38"/>
  <c r="BV31" i="38"/>
  <c r="AE69" i="38"/>
  <c r="AE55" i="38"/>
  <c r="BX72" i="38"/>
  <c r="BX58" i="38"/>
  <c r="AJ45" i="38"/>
  <c r="AI72" i="38"/>
  <c r="AI58" i="38"/>
  <c r="AF66" i="38"/>
  <c r="AF52" i="38"/>
  <c r="AJ31" i="38"/>
  <c r="Z48" i="38"/>
  <c r="AH57" i="38"/>
  <c r="AH71" i="38"/>
  <c r="AG76" i="38"/>
  <c r="AG62" i="38"/>
  <c r="DK51" i="38"/>
  <c r="DK65" i="38"/>
  <c r="AC76" i="38"/>
  <c r="AC62" i="38"/>
  <c r="BU67" i="38"/>
  <c r="BU53" i="38"/>
  <c r="AL60" i="38"/>
  <c r="AL74" i="38"/>
  <c r="BZ61" i="38"/>
  <c r="BZ75" i="38"/>
  <c r="BZ66" i="38"/>
  <c r="BZ52" i="38"/>
  <c r="AG68" i="38"/>
  <c r="AG54" i="38"/>
  <c r="AC64" i="38"/>
  <c r="AC50" i="38"/>
  <c r="BY45" i="38"/>
  <c r="BY31" i="38"/>
  <c r="AD71" i="38"/>
  <c r="AD57" i="38"/>
  <c r="AD59" i="38"/>
  <c r="AD73" i="38"/>
  <c r="AC59" i="38"/>
  <c r="AC73" i="38"/>
  <c r="CD65" i="38"/>
  <c r="CD51" i="38"/>
  <c r="CD71" i="38"/>
  <c r="CD57" i="38"/>
  <c r="AD70" i="38"/>
  <c r="AD56" i="38"/>
  <c r="CA74" i="38"/>
  <c r="CA60" i="38"/>
  <c r="BW70" i="38"/>
  <c r="BW56" i="38"/>
  <c r="BX65" i="38"/>
  <c r="BX51" i="38"/>
  <c r="BX67" i="38"/>
  <c r="BX53" i="38"/>
  <c r="CB72" i="38"/>
  <c r="CB58" i="38"/>
  <c r="CB71" i="38"/>
  <c r="CB57" i="38"/>
  <c r="BW55" i="38"/>
  <c r="BW69" i="38"/>
  <c r="CA72" i="38"/>
  <c r="CA58" i="38"/>
  <c r="BX66" i="38"/>
  <c r="BX52" i="38"/>
  <c r="Z63" i="38"/>
  <c r="BZ71" i="38"/>
  <c r="BZ57" i="38"/>
  <c r="BY76" i="38"/>
  <c r="BY62" i="38"/>
  <c r="BU62" i="38"/>
  <c r="BU76" i="38"/>
  <c r="AL61" i="38"/>
  <c r="AL75" i="38"/>
  <c r="AL73" i="38"/>
  <c r="AL59" i="38"/>
  <c r="AG73" i="38"/>
  <c r="AG59" i="38"/>
  <c r="AG58" i="38"/>
  <c r="AG72" i="38"/>
  <c r="BU50" i="38"/>
  <c r="BU64" i="38"/>
  <c r="AH45" i="38"/>
  <c r="BY70" i="38"/>
  <c r="BY56" i="38"/>
  <c r="BV73" i="38"/>
  <c r="BV59" i="38"/>
  <c r="AC68" i="38"/>
  <c r="AC54" i="38"/>
  <c r="BU73" i="38"/>
  <c r="BU59" i="38"/>
  <c r="AL65" i="38"/>
  <c r="AL51" i="38"/>
  <c r="BV56" i="38"/>
  <c r="BV70" i="38"/>
  <c r="AE31" i="38"/>
  <c r="AF75" i="38"/>
  <c r="AF61" i="38"/>
  <c r="AE71" i="38"/>
  <c r="AE57" i="38"/>
  <c r="AE64" i="38"/>
  <c r="AE50" i="38"/>
  <c r="AJ55" i="38"/>
  <c r="AJ69" i="38"/>
  <c r="AG64" i="38"/>
  <c r="AG50" i="38"/>
  <c r="DK31" i="38"/>
  <c r="AC65" i="38"/>
  <c r="AC51" i="38"/>
  <c r="BU31" i="38"/>
  <c r="CD75" i="38"/>
  <c r="CD61" i="38"/>
  <c r="CD59" i="38"/>
  <c r="CD73" i="38"/>
  <c r="BY73" i="38"/>
  <c r="BY59" i="38"/>
  <c r="BY72" i="38"/>
  <c r="BY58" i="38"/>
  <c r="AC71" i="38"/>
  <c r="AC57" i="38"/>
  <c r="AL72" i="38"/>
  <c r="AL58" i="38"/>
  <c r="AG70" i="38"/>
  <c r="AG56" i="38"/>
  <c r="AL45" i="38"/>
  <c r="BU68" i="38"/>
  <c r="BU54" i="38"/>
  <c r="BX61" i="38"/>
  <c r="BX75" i="38"/>
  <c r="BW71" i="38"/>
  <c r="BW57" i="38"/>
  <c r="BW64" i="38"/>
  <c r="BW50" i="38"/>
  <c r="CB75" i="38"/>
  <c r="CB61" i="38"/>
  <c r="AD65" i="38"/>
  <c r="AD51" i="38"/>
  <c r="AE65" i="38"/>
  <c r="AE51" i="38"/>
  <c r="BW31" i="38"/>
  <c r="CB69" i="38"/>
  <c r="CB55" i="38"/>
  <c r="BY64" i="38"/>
  <c r="BY50" i="38"/>
  <c r="AG57" i="38"/>
  <c r="AG71" i="38"/>
  <c r="BU65" i="38"/>
  <c r="BU51" i="38"/>
  <c r="AC66" i="38"/>
  <c r="AC52" i="38"/>
  <c r="BU71" i="38"/>
  <c r="BU57" i="38"/>
  <c r="CD58" i="38"/>
  <c r="CD72" i="38"/>
  <c r="BZ72" i="38"/>
  <c r="BZ58" i="38"/>
  <c r="AD67" i="38"/>
  <c r="AD53" i="38"/>
  <c r="AI66" i="38"/>
  <c r="AI52" i="38"/>
  <c r="AE59" i="38"/>
  <c r="AE73" i="38"/>
  <c r="AF69" i="38"/>
  <c r="AF55" i="38"/>
  <c r="AF74" i="38"/>
  <c r="AF60" i="38"/>
  <c r="AJ61" i="38"/>
  <c r="AJ75" i="38"/>
  <c r="AD69" i="38"/>
  <c r="AD55" i="38"/>
  <c r="AD64" i="38"/>
  <c r="AD50" i="38"/>
  <c r="BV51" i="38"/>
  <c r="BV65" i="38"/>
  <c r="AI73" i="38"/>
  <c r="AI59" i="38"/>
  <c r="AI45" i="38"/>
  <c r="BW65" i="38"/>
  <c r="BW51" i="38"/>
  <c r="AK48" i="38"/>
  <c r="BY71" i="38"/>
  <c r="BY57" i="38"/>
  <c r="BU66" i="38"/>
  <c r="BU52" i="38"/>
  <c r="CD31" i="38"/>
  <c r="CD69" i="38"/>
  <c r="CD55" i="38"/>
  <c r="AH74" i="38"/>
  <c r="AH60" i="38"/>
  <c r="AH69" i="38"/>
  <c r="AH55" i="38"/>
  <c r="DK71" i="38"/>
  <c r="DK57" i="38"/>
  <c r="AC75" i="38"/>
  <c r="AC61" i="38"/>
  <c r="AH72" i="38"/>
  <c r="AH58" i="38"/>
  <c r="AD76" i="38"/>
  <c r="AD62" i="38"/>
  <c r="AD52" i="38"/>
  <c r="AD66" i="38"/>
  <c r="BV67" i="38"/>
  <c r="BV53" i="38"/>
  <c r="AD45" i="38"/>
  <c r="CA66" i="38"/>
  <c r="CA52" i="38"/>
  <c r="BW73" i="38"/>
  <c r="BW59" i="38"/>
  <c r="BX55" i="38"/>
  <c r="BX69" i="38"/>
  <c r="BX74" i="38"/>
  <c r="BX60" i="38"/>
  <c r="AI65" i="38"/>
  <c r="AI51" i="38"/>
  <c r="AJ56" i="38"/>
  <c r="AJ70" i="38"/>
  <c r="CB54" i="38"/>
  <c r="CB68" i="38"/>
  <c r="BV69" i="38"/>
  <c r="BV55" i="38"/>
  <c r="BV50" i="38"/>
  <c r="BV64" i="38"/>
  <c r="CA59" i="38"/>
  <c r="CA73" i="38"/>
  <c r="CA45" i="38"/>
  <c r="AE76" i="38"/>
  <c r="AE62" i="38"/>
  <c r="AK63" i="38"/>
  <c r="E48" i="32"/>
  <c r="D63" i="32"/>
  <c r="E63" i="32"/>
  <c r="G31" i="32"/>
  <c r="D48" i="32"/>
  <c r="D31" i="32"/>
  <c r="AM76" i="32"/>
  <c r="Z62" i="32"/>
  <c r="Z73" i="32"/>
  <c r="Z46" i="32"/>
  <c r="Z60" i="32"/>
  <c r="Z75" i="32"/>
  <c r="AM59" i="32"/>
  <c r="AM57" i="32"/>
  <c r="AM72" i="32"/>
  <c r="AM67" i="32"/>
  <c r="Z69" i="32"/>
  <c r="Z72" i="32"/>
  <c r="AM73" i="32"/>
  <c r="AM70" i="32"/>
  <c r="AM74" i="32"/>
  <c r="AM56" i="32"/>
  <c r="AM61" i="32"/>
  <c r="AM60" i="32"/>
  <c r="Z59" i="32"/>
  <c r="AM54" i="32"/>
  <c r="AM75" i="32"/>
  <c r="AM62" i="32"/>
  <c r="O48" i="32"/>
  <c r="G45" i="32"/>
  <c r="Q48" i="32"/>
  <c r="R48" i="32"/>
  <c r="N48" i="32"/>
  <c r="Q63" i="32"/>
  <c r="Z71" i="32"/>
  <c r="AS14" i="38"/>
  <c r="CK19" i="38"/>
  <c r="AS16" i="38"/>
  <c r="AS20" i="38"/>
  <c r="AT21" i="38"/>
  <c r="AT24" i="38"/>
  <c r="AT29" i="38"/>
  <c r="AT19" i="38"/>
  <c r="AX19" i="38"/>
  <c r="Z68" i="32"/>
  <c r="AG12" i="32"/>
  <c r="G60" i="32"/>
  <c r="G74" i="32"/>
  <c r="AM65" i="32"/>
  <c r="AW27" i="38"/>
  <c r="CO20" i="38"/>
  <c r="AW21" i="38"/>
  <c r="AW9" i="38"/>
  <c r="AS18" i="38"/>
  <c r="CK11" i="38"/>
  <c r="AS26" i="38"/>
  <c r="AS4" i="38"/>
  <c r="AS25" i="38"/>
  <c r="AT22" i="38"/>
  <c r="AT23" i="38"/>
  <c r="CL9" i="38"/>
  <c r="AT6" i="38"/>
  <c r="CL3" i="38"/>
  <c r="AX22" i="38"/>
  <c r="CP12" i="38"/>
  <c r="CP18" i="38"/>
  <c r="CP9" i="38"/>
  <c r="AX5" i="38"/>
  <c r="CP3" i="38"/>
  <c r="AR24" i="38"/>
  <c r="AR19" i="38"/>
  <c r="AR28" i="38"/>
  <c r="CJ25" i="38"/>
  <c r="AR16" i="38"/>
  <c r="CJ4" i="38"/>
  <c r="AW15" i="38"/>
  <c r="AW13" i="38"/>
  <c r="BT29" i="38"/>
  <c r="AB29" i="38"/>
  <c r="BT13" i="38"/>
  <c r="BT33" i="38" s="1"/>
  <c r="BT9" i="38"/>
  <c r="AB9" i="38"/>
  <c r="AB5" i="38"/>
  <c r="AS17" i="38"/>
  <c r="AS24" i="38"/>
  <c r="AS8" i="38"/>
  <c r="AS3" i="38"/>
  <c r="CL25" i="38"/>
  <c r="CL2" i="38"/>
  <c r="AT27" i="38"/>
  <c r="CL16" i="38"/>
  <c r="AX15" i="38"/>
  <c r="AX14" i="38"/>
  <c r="CP11" i="38"/>
  <c r="CO30" i="38"/>
  <c r="BT20" i="38"/>
  <c r="CK27" i="38"/>
  <c r="AS10" i="38"/>
  <c r="AT28" i="38"/>
  <c r="CL20" i="38"/>
  <c r="AX4" i="38"/>
  <c r="CM27" i="38"/>
  <c r="CM15" i="38"/>
  <c r="CI17" i="38"/>
  <c r="AZ12" i="38"/>
  <c r="AU21" i="38"/>
  <c r="CM14" i="38"/>
  <c r="CR28" i="38"/>
  <c r="CR24" i="38"/>
  <c r="CN25" i="38"/>
  <c r="AV13" i="38"/>
  <c r="AU24" i="38"/>
  <c r="CI28" i="38"/>
  <c r="CR10" i="38"/>
  <c r="AZ2" i="38"/>
  <c r="G64" i="32"/>
  <c r="G50" i="32"/>
  <c r="F23" i="32"/>
  <c r="AM49" i="32"/>
  <c r="CJ12" i="38"/>
  <c r="AR9" i="38"/>
  <c r="AU13" i="38"/>
  <c r="F30" i="32"/>
  <c r="F26" i="32"/>
  <c r="CJ7" i="38"/>
  <c r="AQ7" i="38"/>
  <c r="AZ22" i="38"/>
  <c r="CR29" i="38"/>
  <c r="AR5" i="38"/>
  <c r="CJ14" i="38"/>
  <c r="CJ10" i="38"/>
  <c r="P63" i="32"/>
  <c r="AW29" i="38"/>
  <c r="AW18" i="38"/>
  <c r="AW22" i="38"/>
  <c r="AW3" i="38"/>
  <c r="AW28" i="38"/>
  <c r="AW12" i="38"/>
  <c r="CO17" i="38"/>
  <c r="BT27" i="38"/>
  <c r="AB27" i="38"/>
  <c r="AB19" i="38"/>
  <c r="AB42" i="38" s="1"/>
  <c r="AB15" i="38"/>
  <c r="AB44" i="38" s="1"/>
  <c r="AV27" i="38"/>
  <c r="AV23" i="38"/>
  <c r="AV10" i="38"/>
  <c r="CN11" i="38"/>
  <c r="AU26" i="38"/>
  <c r="CM25" i="38"/>
  <c r="AU17" i="38"/>
  <c r="AU27" i="38"/>
  <c r="AU29" i="38"/>
  <c r="AQ22" i="38"/>
  <c r="CI12" i="38"/>
  <c r="CI6" i="38"/>
  <c r="AQ17" i="38"/>
  <c r="AZ25" i="38"/>
  <c r="AZ13" i="38"/>
  <c r="CR7" i="38"/>
  <c r="AZ26" i="38"/>
  <c r="AV9" i="38"/>
  <c r="CN19" i="38"/>
  <c r="AV18" i="38"/>
  <c r="CN3" i="38"/>
  <c r="CN17" i="38"/>
  <c r="CM28" i="38"/>
  <c r="CM9" i="38"/>
  <c r="AU16" i="38"/>
  <c r="AQ29" i="38"/>
  <c r="CI8" i="38"/>
  <c r="CR19" i="38"/>
  <c r="AZ17" i="38"/>
  <c r="CR11" i="38"/>
  <c r="CN26" i="38"/>
  <c r="AV12" i="38"/>
  <c r="CN21" i="38"/>
  <c r="AV15" i="38"/>
  <c r="CN14" i="38"/>
  <c r="CN2" i="38"/>
  <c r="CM24" i="38"/>
  <c r="CM10" i="38"/>
  <c r="CM20" i="38"/>
  <c r="CM19" i="38"/>
  <c r="CI20" i="38"/>
  <c r="AQ3" i="38"/>
  <c r="AQ18" i="38"/>
  <c r="AZ20" i="38"/>
  <c r="CR23" i="38"/>
  <c r="AZ10" i="38"/>
  <c r="CR5" i="38"/>
  <c r="D45" i="32"/>
  <c r="AG25" i="32"/>
  <c r="F21" i="32"/>
  <c r="G68" i="32"/>
  <c r="G54" i="32"/>
  <c r="AG5" i="32"/>
  <c r="F5" i="32"/>
  <c r="AM55" i="32"/>
  <c r="CN30" i="38"/>
  <c r="AV16" i="38"/>
  <c r="AV5" i="38"/>
  <c r="AV22" i="38"/>
  <c r="AV4" i="38"/>
  <c r="Z58" i="32"/>
  <c r="AG27" i="32"/>
  <c r="F27" i="32"/>
  <c r="F15" i="32"/>
  <c r="F7" i="32"/>
  <c r="F3" i="32"/>
  <c r="AM68" i="32"/>
  <c r="AM32" i="32"/>
  <c r="CJ29" i="38"/>
  <c r="AR6" i="38"/>
  <c r="CJ23" i="38"/>
  <c r="Z56" i="32"/>
  <c r="Z32" i="32"/>
  <c r="AG30" i="32"/>
  <c r="AG35" i="32" s="1"/>
  <c r="AG26" i="32"/>
  <c r="AG36" i="32" s="1"/>
  <c r="AG22" i="32"/>
  <c r="AG37" i="32" s="1"/>
  <c r="AG18" i="32"/>
  <c r="F18" i="32"/>
  <c r="F10" i="32"/>
  <c r="CJ17" i="38"/>
  <c r="R63" i="32"/>
  <c r="AQ19" i="38"/>
  <c r="AZ21" i="38"/>
  <c r="CR9" i="38"/>
  <c r="CR8" i="38"/>
  <c r="CR4" i="38"/>
  <c r="AZ15" i="38"/>
  <c r="AR30" i="38"/>
  <c r="CJ5" i="38"/>
  <c r="CJ2" i="38"/>
  <c r="AR20" i="38"/>
  <c r="CO29" i="38"/>
  <c r="CO6" i="38"/>
  <c r="CO3" i="38"/>
  <c r="AW4" i="38"/>
  <c r="AW14" i="38"/>
  <c r="BT23" i="38"/>
  <c r="BT49" i="38" s="1"/>
  <c r="BT19" i="38"/>
  <c r="BT42" i="38" s="1"/>
  <c r="BT15" i="38"/>
  <c r="BT44" i="38" s="1"/>
  <c r="BT11" i="38"/>
  <c r="BT39" i="38" s="1"/>
  <c r="BT7" i="38"/>
  <c r="AB7" i="38"/>
  <c r="CK30" i="38"/>
  <c r="CK14" i="38"/>
  <c r="CK22" i="38"/>
  <c r="AS13" i="38"/>
  <c r="CK7" i="38"/>
  <c r="CL24" i="38"/>
  <c r="CL29" i="38"/>
  <c r="CL5" i="38"/>
  <c r="CL18" i="38"/>
  <c r="CL12" i="38"/>
  <c r="CL19" i="38"/>
  <c r="CP17" i="38"/>
  <c r="AX2" i="38"/>
  <c r="AX25" i="38"/>
  <c r="CP19" i="38"/>
  <c r="CP6" i="38"/>
  <c r="Z51" i="32"/>
  <c r="AG28" i="32"/>
  <c r="AG43" i="32" s="1"/>
  <c r="AG24" i="32"/>
  <c r="F24" i="32"/>
  <c r="G56" i="32"/>
  <c r="G70" i="32"/>
  <c r="AG8" i="32"/>
  <c r="AG41" i="32" s="1"/>
  <c r="AG4" i="32"/>
  <c r="AG40" i="32" s="1"/>
  <c r="AM66" i="32"/>
  <c r="AW8" i="38"/>
  <c r="AB30" i="38"/>
  <c r="AB35" i="38" s="1"/>
  <c r="AB26" i="38"/>
  <c r="AB36" i="38" s="1"/>
  <c r="AB6" i="38"/>
  <c r="AB47" i="38" s="1"/>
  <c r="AB2" i="38"/>
  <c r="AB38" i="38" s="1"/>
  <c r="AS29" i="38"/>
  <c r="CK18" i="38"/>
  <c r="CK15" i="38"/>
  <c r="AS9" i="38"/>
  <c r="CK25" i="38"/>
  <c r="CK5" i="38"/>
  <c r="AT4" i="38"/>
  <c r="CL30" i="38"/>
  <c r="AT15" i="38"/>
  <c r="AX20" i="38"/>
  <c r="CP23" i="38"/>
  <c r="AX18" i="38"/>
  <c r="AX9" i="38"/>
  <c r="CP5" i="38"/>
  <c r="AR8" i="38"/>
  <c r="CJ16" i="38"/>
  <c r="CJ11" i="38"/>
  <c r="N63" i="32"/>
  <c r="O63" i="32"/>
  <c r="CO15" i="38"/>
  <c r="AW5" i="38"/>
  <c r="AW7" i="38"/>
  <c r="CO23" i="38"/>
  <c r="CO10" i="38"/>
  <c r="BT25" i="38"/>
  <c r="AB25" i="38"/>
  <c r="AB21" i="38"/>
  <c r="AB13" i="38"/>
  <c r="AB33" i="38" s="1"/>
  <c r="BT5" i="38"/>
  <c r="CK23" i="38"/>
  <c r="CK21" i="38"/>
  <c r="CK12" i="38"/>
  <c r="CK24" i="38"/>
  <c r="CK2" i="38"/>
  <c r="AT26" i="38"/>
  <c r="CL14" i="38"/>
  <c r="CP26" i="38"/>
  <c r="CP10" i="38"/>
  <c r="AX24" i="38"/>
  <c r="AW24" i="38"/>
  <c r="CO25" i="38"/>
  <c r="CO19" i="38"/>
  <c r="AW30" i="38"/>
  <c r="BT16" i="38"/>
  <c r="AB16" i="38"/>
  <c r="AB12" i="38"/>
  <c r="AB8" i="38"/>
  <c r="AB41" i="38" s="1"/>
  <c r="AS28" i="38"/>
  <c r="AS6" i="38"/>
  <c r="CL8" i="38"/>
  <c r="AT11" i="38"/>
  <c r="AX28" i="38"/>
  <c r="AX13" i="38"/>
  <c r="AX7" i="38"/>
  <c r="CP8" i="38"/>
  <c r="CN7" i="38"/>
  <c r="CM17" i="38"/>
  <c r="AQ30" i="38"/>
  <c r="CI21" i="38"/>
  <c r="AQ14" i="38"/>
  <c r="CI13" i="38"/>
  <c r="AZ27" i="38"/>
  <c r="CM8" i="38"/>
  <c r="AV21" i="38"/>
  <c r="AU19" i="38"/>
  <c r="AQ4" i="38"/>
  <c r="AG29" i="32"/>
  <c r="AG13" i="32"/>
  <c r="AG33" i="32" s="1"/>
  <c r="G67" i="32"/>
  <c r="G53" i="32"/>
  <c r="CN16" i="38"/>
  <c r="AV8" i="38"/>
  <c r="CM22" i="38"/>
  <c r="F22" i="32"/>
  <c r="F6" i="32"/>
  <c r="AQ23" i="38"/>
  <c r="AZ9" i="38"/>
  <c r="CN27" i="38"/>
  <c r="CN20" i="38"/>
  <c r="AU23" i="38"/>
  <c r="AU15" i="38"/>
  <c r="CI30" i="38"/>
  <c r="AQ21" i="38"/>
  <c r="AQ27" i="38"/>
  <c r="CI10" i="38"/>
  <c r="AQ5" i="38"/>
  <c r="CI14" i="38"/>
  <c r="CI2" i="38"/>
  <c r="AQ13" i="38"/>
  <c r="CR25" i="38"/>
  <c r="CR12" i="38"/>
  <c r="AZ18" i="38"/>
  <c r="CR13" i="38"/>
  <c r="AZ3" i="38"/>
  <c r="CN9" i="38"/>
  <c r="CN18" i="38"/>
  <c r="AU7" i="38"/>
  <c r="AU2" i="38"/>
  <c r="CM18" i="38"/>
  <c r="AU14" i="38"/>
  <c r="AQ25" i="38"/>
  <c r="CI16" i="38"/>
  <c r="AQ26" i="38"/>
  <c r="CI29" i="38"/>
  <c r="CR30" i="38"/>
  <c r="AZ16" i="38"/>
  <c r="CR17" i="38"/>
  <c r="AZ6" i="38"/>
  <c r="CN15" i="38"/>
  <c r="CN6" i="38"/>
  <c r="AV24" i="38"/>
  <c r="AU20" i="38"/>
  <c r="AU4" i="38"/>
  <c r="AQ24" i="38"/>
  <c r="AQ28" i="38"/>
  <c r="CI4" i="38"/>
  <c r="CR20" i="38"/>
  <c r="G57" i="32"/>
  <c r="G71" i="32"/>
  <c r="AG21" i="32"/>
  <c r="G65" i="32"/>
  <c r="G51" i="32"/>
  <c r="G52" i="32"/>
  <c r="G66" i="32"/>
  <c r="F13" i="32"/>
  <c r="AM69" i="32"/>
  <c r="AM58" i="32"/>
  <c r="AV30" i="38"/>
  <c r="AV28" i="38"/>
  <c r="CN5" i="38"/>
  <c r="CN8" i="38"/>
  <c r="Z55" i="32"/>
  <c r="AG23" i="32"/>
  <c r="AG49" i="32" s="1"/>
  <c r="AG19" i="32"/>
  <c r="AG42" i="32" s="1"/>
  <c r="AG15" i="32"/>
  <c r="AG44" i="32" s="1"/>
  <c r="AG11" i="32"/>
  <c r="AG39" i="32" s="1"/>
  <c r="AG7" i="32"/>
  <c r="G73" i="32"/>
  <c r="G59" i="32"/>
  <c r="AR29" i="38"/>
  <c r="CJ6" i="38"/>
  <c r="AR22" i="38"/>
  <c r="CJ9" i="38"/>
  <c r="Z70" i="32"/>
  <c r="AU22" i="38"/>
  <c r="CM30" i="38"/>
  <c r="AU12" i="38"/>
  <c r="Z49" i="32"/>
  <c r="AG14" i="32"/>
  <c r="AG34" i="32" s="1"/>
  <c r="AG10" i="32"/>
  <c r="AG46" i="32" s="1"/>
  <c r="AG6" i="32"/>
  <c r="AG47" i="32" s="1"/>
  <c r="AG2" i="32"/>
  <c r="AG38" i="32" s="1"/>
  <c r="AM53" i="32"/>
  <c r="CJ15" i="38"/>
  <c r="AR27" i="38"/>
  <c r="AR17" i="38"/>
  <c r="AR26" i="38"/>
  <c r="AR7" i="38"/>
  <c r="CI23" i="38"/>
  <c r="CI9" i="38"/>
  <c r="CI11" i="38"/>
  <c r="CI7" i="38"/>
  <c r="AQ15" i="38"/>
  <c r="CR21" i="38"/>
  <c r="CR22" i="38"/>
  <c r="CR14" i="38"/>
  <c r="CR15" i="38"/>
  <c r="AR10" i="38"/>
  <c r="AW6" i="38"/>
  <c r="CO22" i="38"/>
  <c r="CO11" i="38"/>
  <c r="CO28" i="38"/>
  <c r="CO12" i="38"/>
  <c r="AW17" i="38"/>
  <c r="AB23" i="38"/>
  <c r="AB49" i="38" s="1"/>
  <c r="AB11" i="38"/>
  <c r="AB39" i="38" s="1"/>
  <c r="BT3" i="38"/>
  <c r="BT32" i="38" s="1"/>
  <c r="AS19" i="38"/>
  <c r="CK16" i="38"/>
  <c r="AT5" i="38"/>
  <c r="AT12" i="38"/>
  <c r="AX17" i="38"/>
  <c r="CP16" i="38"/>
  <c r="CP27" i="38"/>
  <c r="Z57" i="32"/>
  <c r="Z50" i="32"/>
  <c r="Z33" i="32"/>
  <c r="Z67" i="32"/>
  <c r="AG20" i="32"/>
  <c r="F20" i="32"/>
  <c r="G72" i="32"/>
  <c r="G58" i="32"/>
  <c r="AM64" i="32"/>
  <c r="CO27" i="38"/>
  <c r="AW20" i="38"/>
  <c r="BT30" i="38"/>
  <c r="BT35" i="38" s="1"/>
  <c r="BT26" i="38"/>
  <c r="BT36" i="38" s="1"/>
  <c r="BT22" i="38"/>
  <c r="BT37" i="38" s="1"/>
  <c r="BT18" i="38"/>
  <c r="AB18" i="38"/>
  <c r="AB14" i="38"/>
  <c r="AB34" i="38" s="1"/>
  <c r="AB10" i="38"/>
  <c r="AB46" i="38" s="1"/>
  <c r="AB3" i="18"/>
  <c r="AB32" i="18" s="1"/>
  <c r="AS11" i="38"/>
  <c r="CK26" i="38"/>
  <c r="CK9" i="38"/>
  <c r="CL22" i="38"/>
  <c r="AT10" i="38"/>
  <c r="CL23" i="38"/>
  <c r="CL6" i="38"/>
  <c r="AT3" i="38"/>
  <c r="CP22" i="38"/>
  <c r="CP29" i="38"/>
  <c r="CP20" i="38"/>
  <c r="AX3" i="38"/>
  <c r="CJ19" i="38"/>
  <c r="CJ28" i="38"/>
  <c r="CJ3" i="38"/>
  <c r="CJ13" i="38"/>
  <c r="CJ21" i="38"/>
  <c r="AR4" i="38"/>
  <c r="AW26" i="38"/>
  <c r="CO5" i="38"/>
  <c r="CO7" i="38"/>
  <c r="F25" i="32"/>
  <c r="AS21" i="38"/>
  <c r="CK17" i="38"/>
  <c r="CK8" i="38"/>
  <c r="CK3" i="38"/>
  <c r="CL13" i="38"/>
  <c r="CL7" i="38"/>
  <c r="AT25" i="38"/>
  <c r="AT2" i="38"/>
  <c r="AX10" i="38"/>
  <c r="CP14" i="38"/>
  <c r="CP24" i="38"/>
  <c r="CO24" i="38"/>
  <c r="AW25" i="38"/>
  <c r="CO16" i="38"/>
  <c r="AW2" i="38"/>
  <c r="AB28" i="38"/>
  <c r="AB43" i="38" s="1"/>
  <c r="BT12" i="38"/>
  <c r="AB4" i="38"/>
  <c r="AB40" i="38" s="1"/>
  <c r="CK10" i="38"/>
  <c r="CL28" i="38"/>
  <c r="CL17" i="38"/>
  <c r="AT20" i="38"/>
  <c r="CL11" i="38"/>
  <c r="CP30" i="38"/>
  <c r="CP13" i="38"/>
  <c r="AX21" i="38"/>
  <c r="CP4" i="38"/>
  <c r="CN29" i="38"/>
  <c r="CN10" i="38"/>
  <c r="AU6" i="38"/>
  <c r="CM5" i="38"/>
  <c r="AQ12" i="38"/>
  <c r="AQ10" i="38"/>
  <c r="CR18" i="38"/>
  <c r="AZ7" i="38"/>
  <c r="AV19" i="38"/>
  <c r="CM2" i="38"/>
  <c r="AU9" i="38"/>
  <c r="CI26" i="38"/>
  <c r="AZ19" i="38"/>
  <c r="AV2" i="38"/>
  <c r="AU10" i="38"/>
  <c r="CM11" i="38"/>
  <c r="CM3" i="38"/>
  <c r="F29" i="32"/>
  <c r="AG9" i="32"/>
  <c r="F9" i="32"/>
  <c r="G76" i="32"/>
  <c r="G62" i="32"/>
  <c r="F11" i="32"/>
  <c r="AM47" i="32"/>
  <c r="AR18" i="38"/>
  <c r="CJ22" i="38"/>
  <c r="AU30" i="38"/>
  <c r="G61" i="32"/>
  <c r="G75" i="32"/>
  <c r="F2" i="32"/>
  <c r="CJ26" i="38"/>
  <c r="AQ9" i="38"/>
  <c r="AQ11" i="38"/>
  <c r="AZ8" i="38"/>
  <c r="AV20" i="38"/>
  <c r="AV29" i="38"/>
  <c r="CN23" i="38"/>
  <c r="AV7" i="38"/>
  <c r="AV11" i="38"/>
  <c r="CM26" i="38"/>
  <c r="AU25" i="38"/>
  <c r="CM23" i="38"/>
  <c r="CM6" i="38"/>
  <c r="CM29" i="38"/>
  <c r="AU5" i="38"/>
  <c r="CI22" i="38"/>
  <c r="CI27" i="38"/>
  <c r="AQ6" i="38"/>
  <c r="CI5" i="38"/>
  <c r="AQ2" i="38"/>
  <c r="CR27" i="38"/>
  <c r="CR3" i="38"/>
  <c r="CR26" i="38"/>
  <c r="AV3" i="38"/>
  <c r="AV17" i="38"/>
  <c r="AU28" i="38"/>
  <c r="CM21" i="38"/>
  <c r="CM7" i="38"/>
  <c r="AU18" i="38"/>
  <c r="AU8" i="38"/>
  <c r="CM16" i="38"/>
  <c r="CI25" i="38"/>
  <c r="AQ16" i="38"/>
  <c r="AQ8" i="38"/>
  <c r="AZ30" i="38"/>
  <c r="AZ28" i="38"/>
  <c r="CR16" i="38"/>
  <c r="AZ24" i="38"/>
  <c r="AZ11" i="38"/>
  <c r="CR6" i="38"/>
  <c r="AV25" i="38"/>
  <c r="AV26" i="38"/>
  <c r="CN12" i="38"/>
  <c r="CN13" i="38"/>
  <c r="AV6" i="38"/>
  <c r="AV14" i="38"/>
  <c r="CN24" i="38"/>
  <c r="AU11" i="38"/>
  <c r="CM4" i="38"/>
  <c r="AU3" i="38"/>
  <c r="CI24" i="38"/>
  <c r="AQ20" i="38"/>
  <c r="CI3" i="38"/>
  <c r="CI18" i="38"/>
  <c r="AZ23" i="38"/>
  <c r="CR2" i="38"/>
  <c r="AZ5" i="38"/>
  <c r="Z61" i="32"/>
  <c r="Z45" i="32"/>
  <c r="AG17" i="32"/>
  <c r="F17" i="32"/>
  <c r="CN28" i="38"/>
  <c r="CN22" i="38"/>
  <c r="CN4" i="38"/>
  <c r="Z74" i="32"/>
  <c r="AG3" i="32"/>
  <c r="AG32" i="32" s="1"/>
  <c r="CJ18" i="38"/>
  <c r="AR12" i="38"/>
  <c r="AR23" i="38"/>
  <c r="CM13" i="38"/>
  <c r="CM12" i="38"/>
  <c r="AR15" i="38"/>
  <c r="CJ27" i="38"/>
  <c r="CI19" i="38"/>
  <c r="CI15" i="38"/>
  <c r="AZ14" i="38"/>
  <c r="AZ29" i="38"/>
  <c r="AZ4" i="38"/>
  <c r="CJ30" i="38"/>
  <c r="AR14" i="38"/>
  <c r="AR2" i="38"/>
  <c r="CJ20" i="38"/>
  <c r="P48" i="32"/>
  <c r="CO18" i="38"/>
  <c r="AW11" i="38"/>
  <c r="CO4" i="38"/>
  <c r="CO14" i="38"/>
  <c r="AS30" i="38"/>
  <c r="AS22" i="38"/>
  <c r="CK13" i="38"/>
  <c r="CK20" i="38"/>
  <c r="AS7" i="38"/>
  <c r="CL21" i="38"/>
  <c r="AT18" i="38"/>
  <c r="AX16" i="38"/>
  <c r="CP2" i="38"/>
  <c r="CP25" i="38"/>
  <c r="AX27" i="38"/>
  <c r="AX6" i="38"/>
  <c r="Z64" i="32"/>
  <c r="Z54" i="32"/>
  <c r="Z53" i="32"/>
  <c r="G69" i="32"/>
  <c r="G55" i="32"/>
  <c r="AG16" i="32"/>
  <c r="F16" i="32"/>
  <c r="F8" i="32"/>
  <c r="F4" i="32"/>
  <c r="AM51" i="32"/>
  <c r="AM50" i="32"/>
  <c r="AM44" i="32"/>
  <c r="CO8" i="38"/>
  <c r="CO21" i="38"/>
  <c r="CO9" i="38"/>
  <c r="AB22" i="38"/>
  <c r="AB37" i="38" s="1"/>
  <c r="BT14" i="38"/>
  <c r="BT34" i="38" s="1"/>
  <c r="BT10" i="38"/>
  <c r="BT46" i="38" s="1"/>
  <c r="BT6" i="38"/>
  <c r="BT47" i="38" s="1"/>
  <c r="BT2" i="38"/>
  <c r="BT38" i="38" s="1"/>
  <c r="CK29" i="38"/>
  <c r="AS15" i="38"/>
  <c r="CK4" i="38"/>
  <c r="AS5" i="38"/>
  <c r="CL10" i="38"/>
  <c r="AT9" i="38"/>
  <c r="CL4" i="38"/>
  <c r="AT30" i="38"/>
  <c r="CL15" i="38"/>
  <c r="AX29" i="38"/>
  <c r="AX12" i="38"/>
  <c r="AX23" i="38"/>
  <c r="CJ24" i="38"/>
  <c r="CJ8" i="38"/>
  <c r="AR25" i="38"/>
  <c r="AR3" i="38"/>
  <c r="AR13" i="38"/>
  <c r="AR21" i="38"/>
  <c r="AR11" i="38"/>
  <c r="CO26" i="38"/>
  <c r="AW23" i="38"/>
  <c r="CO13" i="38"/>
  <c r="AW10" i="38"/>
  <c r="BT17" i="38"/>
  <c r="AB17" i="38"/>
  <c r="AS23" i="38"/>
  <c r="AS12" i="38"/>
  <c r="AS2" i="38"/>
  <c r="CL26" i="38"/>
  <c r="AT13" i="38"/>
  <c r="AT7" i="38"/>
  <c r="AT14" i="38"/>
  <c r="CL27" i="38"/>
  <c r="AT16" i="38"/>
  <c r="AX26" i="38"/>
  <c r="CP15" i="38"/>
  <c r="AX11" i="38"/>
  <c r="AW19" i="38"/>
  <c r="AW16" i="38"/>
  <c r="CO2" i="38"/>
  <c r="BT28" i="38"/>
  <c r="BT43" i="38" s="1"/>
  <c r="BT24" i="38"/>
  <c r="AB24" i="38"/>
  <c r="AB20" i="38"/>
  <c r="BT8" i="38"/>
  <c r="BT41" i="38" s="1"/>
  <c r="BT4" i="38"/>
  <c r="BT40" i="38" s="1"/>
  <c r="AS27" i="38"/>
  <c r="CK28" i="38"/>
  <c r="CK6" i="38"/>
  <c r="AT17" i="38"/>
  <c r="AT8" i="38"/>
  <c r="CP28" i="38"/>
  <c r="AX30" i="38"/>
  <c r="CP7" i="38"/>
  <c r="CP21" i="38"/>
  <c r="AX8" i="38"/>
  <c r="BT3" i="18"/>
  <c r="BT32" i="18" s="1"/>
  <c r="G30" i="5"/>
  <c r="G35" i="5" s="1"/>
  <c r="G29" i="5"/>
  <c r="G28" i="5"/>
  <c r="G43" i="5" s="1"/>
  <c r="G27" i="5"/>
  <c r="G26" i="5"/>
  <c r="G36" i="5" s="1"/>
  <c r="G24" i="5"/>
  <c r="G12" i="5"/>
  <c r="G11" i="5"/>
  <c r="G39" i="5" s="1"/>
  <c r="G10" i="5"/>
  <c r="G46" i="5" s="1"/>
  <c r="G9" i="5"/>
  <c r="G8" i="5"/>
  <c r="G41" i="5" s="1"/>
  <c r="G7" i="5"/>
  <c r="G6" i="5"/>
  <c r="G47" i="5" s="1"/>
  <c r="G45" i="5" s="1"/>
  <c r="G5" i="5"/>
  <c r="G4" i="5"/>
  <c r="G40" i="5" s="1"/>
  <c r="G3" i="5"/>
  <c r="G32" i="5" s="1"/>
  <c r="G23" i="5"/>
  <c r="G49" i="5" s="1"/>
  <c r="G22" i="5"/>
  <c r="G37" i="5" s="1"/>
  <c r="G21" i="5"/>
  <c r="G20" i="5"/>
  <c r="G19" i="5"/>
  <c r="G42" i="5" s="1"/>
  <c r="G18" i="5"/>
  <c r="G17" i="5"/>
  <c r="G16" i="5"/>
  <c r="G15" i="5"/>
  <c r="G44" i="5" s="1"/>
  <c r="G14" i="5"/>
  <c r="G34" i="5" s="1"/>
  <c r="G13" i="5"/>
  <c r="G33" i="5" s="1"/>
  <c r="G2" i="5"/>
  <c r="G38" i="5" s="1"/>
  <c r="CN27" i="18"/>
  <c r="CN19" i="18"/>
  <c r="CJ21" i="18"/>
  <c r="CM27" i="18"/>
  <c r="CO20" i="18"/>
  <c r="CI2" i="18"/>
  <c r="CI10" i="18"/>
  <c r="CR29" i="18"/>
  <c r="CR12" i="18"/>
  <c r="CR8" i="18"/>
  <c r="CK16" i="18"/>
  <c r="CK2" i="18"/>
  <c r="CK5" i="18"/>
  <c r="CL19" i="18"/>
  <c r="CL5" i="18"/>
  <c r="CP10" i="18"/>
  <c r="CP19" i="18"/>
  <c r="CN11" i="18"/>
  <c r="CJ20" i="18"/>
  <c r="CM16" i="18"/>
  <c r="CM24" i="18"/>
  <c r="CO16" i="18"/>
  <c r="CO18" i="18"/>
  <c r="AQ23" i="18"/>
  <c r="AQ18" i="18"/>
  <c r="CI16" i="18"/>
  <c r="AQ14" i="18"/>
  <c r="AQ9" i="18"/>
  <c r="CR27" i="18"/>
  <c r="CR26" i="18"/>
  <c r="CK30" i="18"/>
  <c r="CK24" i="18"/>
  <c r="CL18" i="18"/>
  <c r="CL17" i="18"/>
  <c r="CL7" i="18"/>
  <c r="CP28" i="18"/>
  <c r="CP26" i="18"/>
  <c r="CP8" i="18"/>
  <c r="CN18" i="18"/>
  <c r="CN20" i="18"/>
  <c r="CN9" i="18"/>
  <c r="CJ27" i="18"/>
  <c r="CJ16" i="18"/>
  <c r="CJ23" i="18"/>
  <c r="CJ18" i="18"/>
  <c r="CJ5" i="18"/>
  <c r="CM14" i="18"/>
  <c r="CM26" i="18"/>
  <c r="CM4" i="18"/>
  <c r="CO26" i="18"/>
  <c r="CO15" i="18"/>
  <c r="CO22" i="18"/>
  <c r="CO4" i="18"/>
  <c r="CI19" i="18"/>
  <c r="CI15" i="18"/>
  <c r="CI7" i="18"/>
  <c r="AQ6" i="18"/>
  <c r="CR30" i="18"/>
  <c r="CR19" i="18"/>
  <c r="CR2" i="18"/>
  <c r="CL21" i="18"/>
  <c r="CP2" i="18"/>
  <c r="CN4" i="18"/>
  <c r="CN10" i="18"/>
  <c r="CJ28" i="18"/>
  <c r="CJ19" i="18"/>
  <c r="CJ22" i="18"/>
  <c r="CJ9" i="18"/>
  <c r="CM6" i="18"/>
  <c r="CO30" i="18"/>
  <c r="CO9" i="18"/>
  <c r="CI30" i="18"/>
  <c r="AQ27" i="18"/>
  <c r="AQ25" i="18"/>
  <c r="CI8" i="18"/>
  <c r="CI11" i="18"/>
  <c r="CR4" i="18"/>
  <c r="CR5" i="18"/>
  <c r="CK17" i="18"/>
  <c r="CK12" i="18"/>
  <c r="CL30" i="18"/>
  <c r="CL16" i="18"/>
  <c r="CL4" i="18"/>
  <c r="CL6" i="18"/>
  <c r="CP17" i="18"/>
  <c r="CN26" i="18"/>
  <c r="CN15" i="18"/>
  <c r="CN12" i="18"/>
  <c r="CJ29" i="18"/>
  <c r="CJ25" i="18"/>
  <c r="CJ6" i="18"/>
  <c r="CM21" i="18"/>
  <c r="CM7" i="18"/>
  <c r="CO10" i="18"/>
  <c r="CI20" i="18"/>
  <c r="CI4" i="18"/>
  <c r="AQ2" i="18"/>
  <c r="CI5" i="18"/>
  <c r="CK20" i="18"/>
  <c r="CL29" i="18"/>
  <c r="CL14" i="18"/>
  <c r="CL10" i="18"/>
  <c r="CP22" i="18"/>
  <c r="CP16" i="18"/>
  <c r="CN25" i="18"/>
  <c r="CN17" i="18"/>
  <c r="CJ8" i="18"/>
  <c r="CM28" i="18"/>
  <c r="CM13" i="18"/>
  <c r="CM9" i="18"/>
  <c r="CO14" i="18"/>
  <c r="AQ24" i="18"/>
  <c r="AQ13" i="18"/>
  <c r="CK14" i="18"/>
  <c r="CL23" i="18"/>
  <c r="CL25" i="18"/>
  <c r="CL11" i="18"/>
  <c r="CP3" i="18"/>
  <c r="CJ13" i="18"/>
  <c r="CJ10" i="18"/>
  <c r="CM19" i="18"/>
  <c r="CO19" i="18"/>
  <c r="AQ22" i="18"/>
  <c r="CI26" i="18"/>
  <c r="AQ19" i="18"/>
  <c r="AQ15" i="18"/>
  <c r="AQ12" i="18"/>
  <c r="CR28" i="18"/>
  <c r="CR21" i="18"/>
  <c r="CR15" i="18"/>
  <c r="CR17" i="18"/>
  <c r="CP11" i="18"/>
  <c r="CP7" i="18"/>
  <c r="CN22" i="18"/>
  <c r="CN24" i="18"/>
  <c r="CN13" i="18"/>
  <c r="CJ11" i="18"/>
  <c r="CM25" i="18"/>
  <c r="CM17" i="18"/>
  <c r="CO17" i="18"/>
  <c r="CO8" i="18"/>
  <c r="CI28" i="18"/>
  <c r="AQ17" i="18"/>
  <c r="AQ21" i="18"/>
  <c r="CK25" i="18"/>
  <c r="CK9" i="18"/>
  <c r="CK8" i="18"/>
  <c r="CL24" i="18"/>
  <c r="CP27" i="18"/>
  <c r="CP13" i="18"/>
  <c r="CM20" i="18"/>
  <c r="CM11" i="18"/>
  <c r="CI29" i="18"/>
  <c r="CR20" i="18"/>
  <c r="CK27" i="18"/>
  <c r="CK10" i="18"/>
  <c r="CL26" i="18"/>
  <c r="CL15" i="18"/>
  <c r="CL12" i="18"/>
  <c r="CP9" i="18"/>
  <c r="CN30" i="18"/>
  <c r="CJ2" i="18"/>
  <c r="CM10" i="18"/>
  <c r="CO13" i="18"/>
  <c r="CO23" i="18"/>
  <c r="CO11" i="18"/>
  <c r="CI13" i="18"/>
  <c r="CK19" i="18"/>
  <c r="CP30" i="18"/>
  <c r="CP25" i="18"/>
  <c r="CP20" i="18"/>
  <c r="CP21" i="18"/>
  <c r="CP6" i="18"/>
  <c r="CP29" i="18"/>
  <c r="CM18" i="18"/>
  <c r="CM2" i="18"/>
  <c r="CM5" i="18"/>
  <c r="CO27" i="18"/>
  <c r="CO12" i="18"/>
  <c r="CO6" i="18"/>
  <c r="CO2" i="18"/>
  <c r="CI22" i="18"/>
  <c r="AQ26" i="18"/>
  <c r="CI12" i="18"/>
  <c r="AQ7" i="18"/>
  <c r="CI6" i="18"/>
  <c r="CR13" i="18"/>
  <c r="CR10" i="18"/>
  <c r="CK23" i="18"/>
  <c r="CK6" i="18"/>
  <c r="CL22" i="18"/>
  <c r="CP24" i="18"/>
  <c r="CP18" i="18"/>
  <c r="CN14" i="18"/>
  <c r="CN2" i="18"/>
  <c r="CJ30" i="18"/>
  <c r="CJ15" i="18"/>
  <c r="CJ12" i="18"/>
  <c r="CJ7" i="18"/>
  <c r="CM22" i="18"/>
  <c r="CM8" i="18"/>
  <c r="CO28" i="18"/>
  <c r="CO25" i="18"/>
  <c r="CO21" i="18"/>
  <c r="CO3" i="18"/>
  <c r="AQ30" i="18"/>
  <c r="CI25" i="18"/>
  <c r="CI17" i="18"/>
  <c r="CR16" i="18"/>
  <c r="CR7" i="18"/>
  <c r="CR3" i="18"/>
  <c r="CK22" i="18"/>
  <c r="CL28" i="18"/>
  <c r="CL13" i="18"/>
  <c r="CJ17" i="18"/>
  <c r="CO5" i="18"/>
  <c r="CO7" i="18"/>
  <c r="AQ29" i="18"/>
  <c r="AQ20" i="18"/>
  <c r="AQ4" i="18"/>
  <c r="AQ10" i="18"/>
  <c r="AQ5" i="18"/>
  <c r="CR25" i="18"/>
  <c r="CK7" i="18"/>
  <c r="CP14" i="18"/>
  <c r="CP5" i="18"/>
  <c r="CN28" i="18"/>
  <c r="CN21" i="18"/>
  <c r="CN7" i="18"/>
  <c r="CN6" i="18"/>
  <c r="CJ4" i="18"/>
  <c r="CM30" i="18"/>
  <c r="CO24" i="18"/>
  <c r="CI23" i="18"/>
  <c r="CI18" i="18"/>
  <c r="AQ16" i="18"/>
  <c r="CI24" i="18"/>
  <c r="CI14" i="18"/>
  <c r="CI9" i="18"/>
  <c r="CR22" i="18"/>
  <c r="CR24" i="18"/>
  <c r="CR9" i="18"/>
  <c r="CK28" i="18"/>
  <c r="CK13" i="18"/>
  <c r="CK26" i="18"/>
  <c r="CK15" i="18"/>
  <c r="CL9" i="18"/>
  <c r="CL8" i="18"/>
  <c r="CP12" i="18"/>
  <c r="CN29" i="18"/>
  <c r="CN23" i="18"/>
  <c r="CN8" i="18"/>
  <c r="CJ24" i="18"/>
  <c r="CJ14" i="18"/>
  <c r="CM29" i="18"/>
  <c r="CM23" i="18"/>
  <c r="CM15" i="18"/>
  <c r="CM12" i="18"/>
  <c r="CR18" i="18"/>
  <c r="CK29" i="18"/>
  <c r="CK18" i="18"/>
  <c r="CK11" i="18"/>
  <c r="CL27" i="18"/>
  <c r="CL20" i="18"/>
  <c r="CP15" i="18"/>
  <c r="CP4" i="18"/>
  <c r="CP23" i="18"/>
  <c r="CN16" i="18"/>
  <c r="CN5" i="18"/>
  <c r="CJ26" i="18"/>
  <c r="CO29" i="18"/>
  <c r="AQ28" i="18"/>
  <c r="CI27" i="18"/>
  <c r="CI21" i="18"/>
  <c r="AQ8" i="18"/>
  <c r="AQ11" i="18"/>
  <c r="CR23" i="18"/>
  <c r="CR14" i="18"/>
  <c r="CR6" i="18"/>
  <c r="CR11" i="18"/>
  <c r="CK21" i="18"/>
  <c r="CK4" i="18"/>
  <c r="CL2" i="18"/>
  <c r="CE3" i="18"/>
  <c r="CL3" i="18"/>
  <c r="CJ3" i="18"/>
  <c r="CM3" i="18"/>
  <c r="CG3" i="18"/>
  <c r="CF3" i="18"/>
  <c r="CI3" i="18"/>
  <c r="CK3" i="18"/>
  <c r="CN3" i="18"/>
  <c r="AI48" i="37" l="1"/>
  <c r="F48" i="37"/>
  <c r="AH63" i="37"/>
  <c r="AB63" i="42"/>
  <c r="L63" i="32" s="1"/>
  <c r="M63" i="32" s="1"/>
  <c r="AB63" i="30"/>
  <c r="L63" i="5" s="1"/>
  <c r="M63" i="5" s="1"/>
  <c r="BZ48" i="43"/>
  <c r="CW48" i="38" s="1"/>
  <c r="BZ63" i="42"/>
  <c r="BE63" i="38" s="1"/>
  <c r="BY63" i="31"/>
  <c r="BL63" i="31"/>
  <c r="N63" i="31"/>
  <c r="M48" i="42"/>
  <c r="BK48" i="42"/>
  <c r="V48" i="30"/>
  <c r="BI48" i="43"/>
  <c r="M48" i="30"/>
  <c r="O48" i="43"/>
  <c r="G48" i="42"/>
  <c r="AA48" i="43"/>
  <c r="BM48" i="43"/>
  <c r="BW48" i="43"/>
  <c r="T48" i="31"/>
  <c r="BY48" i="30"/>
  <c r="X63" i="42"/>
  <c r="BK63" i="42"/>
  <c r="D48" i="42"/>
  <c r="Q48" i="43"/>
  <c r="BP48" i="31"/>
  <c r="AA63" i="42"/>
  <c r="BQ48" i="31"/>
  <c r="M48" i="43"/>
  <c r="BS48" i="30"/>
  <c r="AI63" i="37"/>
  <c r="X48" i="43"/>
  <c r="BY48" i="43"/>
  <c r="P48" i="30"/>
  <c r="E48" i="43"/>
  <c r="H48" i="43"/>
  <c r="Z48" i="43"/>
  <c r="BT48" i="42"/>
  <c r="H48" i="30"/>
  <c r="Z48" i="31"/>
  <c r="BH63" i="31"/>
  <c r="AA48" i="30"/>
  <c r="Z48" i="42"/>
  <c r="J48" i="30"/>
  <c r="BL48" i="42"/>
  <c r="BR48" i="42"/>
  <c r="F63" i="37"/>
  <c r="BW48" i="18"/>
  <c r="BE48" i="42"/>
  <c r="N48" i="43"/>
  <c r="BW48" i="42"/>
  <c r="S48" i="42"/>
  <c r="S48" i="30"/>
  <c r="BJ63" i="30"/>
  <c r="BP48" i="42"/>
  <c r="AA48" i="31"/>
  <c r="BK48" i="43"/>
  <c r="BD48" i="43"/>
  <c r="O48" i="42"/>
  <c r="H48" i="31"/>
  <c r="U48" i="42"/>
  <c r="Y63" i="42"/>
  <c r="BV48" i="43"/>
  <c r="U48" i="30"/>
  <c r="BJ48" i="43"/>
  <c r="BM48" i="42"/>
  <c r="BX48" i="42"/>
  <c r="BR63" i="30"/>
  <c r="BD48" i="42"/>
  <c r="BI63" i="31"/>
  <c r="X48" i="42"/>
  <c r="CD63" i="18"/>
  <c r="BF48" i="30"/>
  <c r="I48" i="43"/>
  <c r="BJ48" i="42"/>
  <c r="BQ48" i="43"/>
  <c r="BI48" i="31"/>
  <c r="BK63" i="30"/>
  <c r="F48" i="31"/>
  <c r="BF63" i="30"/>
  <c r="BC63" i="42"/>
  <c r="AH48" i="37"/>
  <c r="N48" i="31"/>
  <c r="BQ48" i="42"/>
  <c r="K63" i="42"/>
  <c r="BP48" i="43"/>
  <c r="BR48" i="30"/>
  <c r="I63" i="43"/>
  <c r="P48" i="42"/>
  <c r="BI48" i="42"/>
  <c r="BW48" i="31"/>
  <c r="N48" i="42"/>
  <c r="BC48" i="42"/>
  <c r="R48" i="30"/>
  <c r="BC48" i="43"/>
  <c r="BS48" i="43"/>
  <c r="BG48" i="31"/>
  <c r="BU48" i="43"/>
  <c r="BA68" i="42"/>
  <c r="BY48" i="31"/>
  <c r="W48" i="43"/>
  <c r="BA51" i="43"/>
  <c r="L48" i="43"/>
  <c r="AL63" i="18"/>
  <c r="C56" i="43"/>
  <c r="BA60" i="42"/>
  <c r="BE48" i="43"/>
  <c r="BU48" i="31"/>
  <c r="BH48" i="43"/>
  <c r="BU48" i="42"/>
  <c r="BH48" i="42"/>
  <c r="BS48" i="42"/>
  <c r="BA45" i="31"/>
  <c r="I48" i="42"/>
  <c r="S48" i="43"/>
  <c r="BR48" i="31"/>
  <c r="BT48" i="43"/>
  <c r="BF48" i="31"/>
  <c r="BF63" i="31"/>
  <c r="D63" i="31"/>
  <c r="BB48" i="42"/>
  <c r="BA48" i="42" s="1"/>
  <c r="BA56" i="42"/>
  <c r="F63" i="43"/>
  <c r="BD63" i="31"/>
  <c r="C75" i="30"/>
  <c r="F75" i="5" s="1"/>
  <c r="H75" i="5" s="1"/>
  <c r="C61" i="30"/>
  <c r="F61" i="5" s="1"/>
  <c r="H61" i="5" s="1"/>
  <c r="K48" i="30"/>
  <c r="X48" i="30"/>
  <c r="Q48" i="42"/>
  <c r="BA67" i="30"/>
  <c r="BA53" i="30"/>
  <c r="D63" i="43"/>
  <c r="C65" i="43"/>
  <c r="L48" i="42"/>
  <c r="BQ63" i="42"/>
  <c r="BH48" i="30"/>
  <c r="BK63" i="43"/>
  <c r="C64" i="42"/>
  <c r="BS63" i="30"/>
  <c r="C57" i="31"/>
  <c r="C71" i="31"/>
  <c r="BA54" i="42"/>
  <c r="Z63" i="42"/>
  <c r="BT63" i="43"/>
  <c r="C59" i="31"/>
  <c r="C73" i="31"/>
  <c r="C52" i="31"/>
  <c r="C66" i="31"/>
  <c r="BA70" i="42"/>
  <c r="P63" i="43"/>
  <c r="C57" i="43"/>
  <c r="C57" i="30"/>
  <c r="F57" i="5" s="1"/>
  <c r="H57" i="5" s="1"/>
  <c r="C71" i="30"/>
  <c r="F71" i="5" s="1"/>
  <c r="H71" i="5" s="1"/>
  <c r="C64" i="43"/>
  <c r="BR63" i="42"/>
  <c r="BX63" i="31"/>
  <c r="BC63" i="31"/>
  <c r="C75" i="31"/>
  <c r="C61" i="31"/>
  <c r="W63" i="31"/>
  <c r="N48" i="30"/>
  <c r="D48" i="30"/>
  <c r="BK48" i="30"/>
  <c r="CD48" i="18"/>
  <c r="E63" i="31"/>
  <c r="N63" i="42"/>
  <c r="D48" i="43"/>
  <c r="C48" i="43" s="1"/>
  <c r="C50" i="43"/>
  <c r="T63" i="43"/>
  <c r="D31" i="42"/>
  <c r="C31" i="42" s="1"/>
  <c r="C42" i="42"/>
  <c r="BT63" i="31"/>
  <c r="C64" i="31"/>
  <c r="C50" i="31"/>
  <c r="S63" i="43"/>
  <c r="BV63" i="43"/>
  <c r="BW63" i="30"/>
  <c r="BJ48" i="30"/>
  <c r="C76" i="31"/>
  <c r="C62" i="31"/>
  <c r="L63" i="43"/>
  <c r="BP63" i="43"/>
  <c r="E48" i="30"/>
  <c r="BB63" i="43"/>
  <c r="BA65" i="43"/>
  <c r="X63" i="43"/>
  <c r="BT63" i="42"/>
  <c r="BQ63" i="43"/>
  <c r="BK63" i="31"/>
  <c r="Z63" i="30"/>
  <c r="U63" i="42"/>
  <c r="BG63" i="31"/>
  <c r="C70" i="43"/>
  <c r="C64" i="30"/>
  <c r="F64" i="5" s="1"/>
  <c r="H64" i="5" s="1"/>
  <c r="C50" i="30"/>
  <c r="F50" i="5" s="1"/>
  <c r="H50" i="5" s="1"/>
  <c r="BL63" i="43"/>
  <c r="C45" i="31"/>
  <c r="BB31" i="42"/>
  <c r="BA31" i="42" s="1"/>
  <c r="BA32" i="42"/>
  <c r="F63" i="31"/>
  <c r="Q63" i="42"/>
  <c r="BA65" i="30"/>
  <c r="BA51" i="30"/>
  <c r="I63" i="42"/>
  <c r="G63" i="42"/>
  <c r="T48" i="42"/>
  <c r="AE63" i="18"/>
  <c r="BQ63" i="31"/>
  <c r="BA60" i="43"/>
  <c r="R48" i="43"/>
  <c r="BN48" i="30"/>
  <c r="BA58" i="42"/>
  <c r="H63" i="42"/>
  <c r="C51" i="43"/>
  <c r="BM63" i="30"/>
  <c r="Q63" i="43"/>
  <c r="BB45" i="31"/>
  <c r="E63" i="30"/>
  <c r="C67" i="30"/>
  <c r="F67" i="5" s="1"/>
  <c r="H67" i="5" s="1"/>
  <c r="C53" i="30"/>
  <c r="F53" i="5" s="1"/>
  <c r="H53" i="5" s="1"/>
  <c r="K48" i="42"/>
  <c r="BS63" i="42"/>
  <c r="BV48" i="30"/>
  <c r="BA64" i="42"/>
  <c r="BB63" i="42"/>
  <c r="BJ63" i="43"/>
  <c r="BB63" i="31"/>
  <c r="L63" i="30"/>
  <c r="C62" i="42"/>
  <c r="BA54" i="43"/>
  <c r="BA75" i="30"/>
  <c r="BA61" i="30"/>
  <c r="C68" i="31"/>
  <c r="C54" i="31"/>
  <c r="BN63" i="30"/>
  <c r="BZ48" i="42"/>
  <c r="BE48" i="38" s="1"/>
  <c r="BP48" i="38" s="1"/>
  <c r="BX63" i="30"/>
  <c r="BF63" i="43"/>
  <c r="C54" i="43"/>
  <c r="C51" i="30"/>
  <c r="F51" i="5" s="1"/>
  <c r="H51" i="5" s="1"/>
  <c r="C65" i="30"/>
  <c r="F65" i="5" s="1"/>
  <c r="H65" i="5" s="1"/>
  <c r="D45" i="31"/>
  <c r="BA69" i="43"/>
  <c r="AA63" i="30"/>
  <c r="D45" i="43"/>
  <c r="C45" i="43" s="1"/>
  <c r="C47" i="43"/>
  <c r="C52" i="42"/>
  <c r="BO63" i="31"/>
  <c r="BA55" i="31"/>
  <c r="BA69" i="31"/>
  <c r="BC48" i="31"/>
  <c r="BC63" i="43"/>
  <c r="V48" i="42"/>
  <c r="BA74" i="42"/>
  <c r="L48" i="30"/>
  <c r="AA63" i="43"/>
  <c r="V63" i="43"/>
  <c r="BA74" i="43"/>
  <c r="BH63" i="30"/>
  <c r="BA55" i="30"/>
  <c r="BA69" i="30"/>
  <c r="D63" i="30"/>
  <c r="V48" i="31"/>
  <c r="BN48" i="42"/>
  <c r="G63" i="31"/>
  <c r="BH63" i="43"/>
  <c r="BZ63" i="43"/>
  <c r="CW63" i="38" s="1"/>
  <c r="BV63" i="30"/>
  <c r="BA50" i="42"/>
  <c r="BA46" i="42"/>
  <c r="BB45" i="42"/>
  <c r="BA45" i="42" s="1"/>
  <c r="C56" i="42"/>
  <c r="D31" i="31"/>
  <c r="BX48" i="43"/>
  <c r="C49" i="42"/>
  <c r="BY63" i="42"/>
  <c r="BA51" i="31"/>
  <c r="BA65" i="31"/>
  <c r="BL63" i="42"/>
  <c r="BA64" i="30"/>
  <c r="BA50" i="30"/>
  <c r="BA68" i="43"/>
  <c r="C76" i="30"/>
  <c r="F76" i="5" s="1"/>
  <c r="H76" i="5" s="1"/>
  <c r="C62" i="30"/>
  <c r="F62" i="5" s="1"/>
  <c r="H62" i="5" s="1"/>
  <c r="J63" i="31"/>
  <c r="D48" i="31"/>
  <c r="BA71" i="42"/>
  <c r="T63" i="42"/>
  <c r="P48" i="31"/>
  <c r="BA55" i="43"/>
  <c r="D45" i="30"/>
  <c r="BC63" i="30"/>
  <c r="BO48" i="31"/>
  <c r="Q48" i="31"/>
  <c r="C68" i="30"/>
  <c r="F68" i="5" s="1"/>
  <c r="H68" i="5" s="1"/>
  <c r="C54" i="30"/>
  <c r="F54" i="5" s="1"/>
  <c r="H54" i="5" s="1"/>
  <c r="BA66" i="30"/>
  <c r="BA52" i="30"/>
  <c r="BA72" i="30"/>
  <c r="BA58" i="30"/>
  <c r="BL63" i="30"/>
  <c r="V63" i="42"/>
  <c r="C69" i="31"/>
  <c r="C55" i="31"/>
  <c r="BB31" i="43"/>
  <c r="BA31" i="43" s="1"/>
  <c r="BA32" i="43"/>
  <c r="BZ48" i="31"/>
  <c r="CW48" i="18" s="1"/>
  <c r="BA72" i="42"/>
  <c r="BH63" i="42"/>
  <c r="BW63" i="31"/>
  <c r="BM63" i="31"/>
  <c r="BA51" i="42"/>
  <c r="C53" i="31"/>
  <c r="C67" i="31"/>
  <c r="BP48" i="18"/>
  <c r="M63" i="42"/>
  <c r="C58" i="43"/>
  <c r="BA76" i="42"/>
  <c r="M63" i="43"/>
  <c r="C70" i="42"/>
  <c r="BU63" i="18"/>
  <c r="BZ48" i="30"/>
  <c r="BE48" i="18" s="1"/>
  <c r="H63" i="30"/>
  <c r="BW63" i="43"/>
  <c r="J63" i="30"/>
  <c r="C61" i="43"/>
  <c r="P63" i="31"/>
  <c r="W48" i="42"/>
  <c r="BA57" i="42"/>
  <c r="BM63" i="42"/>
  <c r="BA72" i="31"/>
  <c r="BA58" i="31"/>
  <c r="H63" i="31"/>
  <c r="BA45" i="30"/>
  <c r="BA48" i="41"/>
  <c r="N48" i="38" s="1"/>
  <c r="F46" i="5"/>
  <c r="H46" i="5" s="1"/>
  <c r="H45" i="5" s="1"/>
  <c r="C45" i="30"/>
  <c r="F45" i="5" s="1"/>
  <c r="O63" i="43"/>
  <c r="BG63" i="43"/>
  <c r="C66" i="42"/>
  <c r="F48" i="42"/>
  <c r="Q63" i="31"/>
  <c r="L63" i="31"/>
  <c r="O63" i="42"/>
  <c r="W63" i="43"/>
  <c r="C48" i="42"/>
  <c r="C73" i="30"/>
  <c r="F73" i="5" s="1"/>
  <c r="H73" i="5" s="1"/>
  <c r="C59" i="30"/>
  <c r="F59" i="5" s="1"/>
  <c r="H59" i="5" s="1"/>
  <c r="N63" i="43"/>
  <c r="R63" i="42"/>
  <c r="BA75" i="31"/>
  <c r="BA61" i="31"/>
  <c r="X63" i="31"/>
  <c r="R63" i="30"/>
  <c r="E48" i="42"/>
  <c r="F48" i="43"/>
  <c r="C66" i="30"/>
  <c r="C52" i="30"/>
  <c r="F52" i="5" s="1"/>
  <c r="H52" i="5" s="1"/>
  <c r="C58" i="30"/>
  <c r="F58" i="5" s="1"/>
  <c r="H58" i="5" s="1"/>
  <c r="C72" i="30"/>
  <c r="F72" i="5" s="1"/>
  <c r="H72" i="5" s="1"/>
  <c r="AJ48" i="18"/>
  <c r="BA59" i="43"/>
  <c r="BE63" i="31"/>
  <c r="H48" i="42"/>
  <c r="BY63" i="30"/>
  <c r="BS63" i="43"/>
  <c r="BN63" i="42"/>
  <c r="V63" i="30"/>
  <c r="BA64" i="43"/>
  <c r="V63" i="31"/>
  <c r="BW63" i="18"/>
  <c r="BE63" i="43"/>
  <c r="W63" i="42"/>
  <c r="BA70" i="30"/>
  <c r="BA56" i="30"/>
  <c r="BD63" i="42"/>
  <c r="D45" i="42"/>
  <c r="C45" i="42" s="1"/>
  <c r="C46" i="42"/>
  <c r="D31" i="30"/>
  <c r="BU63" i="31"/>
  <c r="BM63" i="43"/>
  <c r="C71" i="43"/>
  <c r="E63" i="42"/>
  <c r="BA60" i="30"/>
  <c r="BA74" i="30"/>
  <c r="BV63" i="18"/>
  <c r="T63" i="31"/>
  <c r="P63" i="30"/>
  <c r="E63" i="43"/>
  <c r="D63" i="42"/>
  <c r="C63" i="42" s="1"/>
  <c r="C65" i="42"/>
  <c r="N63" i="30"/>
  <c r="BU63" i="30"/>
  <c r="BP63" i="42"/>
  <c r="BU63" i="42"/>
  <c r="BA62" i="42"/>
  <c r="BJ63" i="42"/>
  <c r="BO63" i="42"/>
  <c r="Z48" i="30"/>
  <c r="BA54" i="31"/>
  <c r="BA68" i="31"/>
  <c r="W48" i="30"/>
  <c r="BB48" i="43"/>
  <c r="BA48" i="43" s="1"/>
  <c r="BA50" i="43"/>
  <c r="H63" i="43"/>
  <c r="BA74" i="31"/>
  <c r="BA60" i="31"/>
  <c r="T63" i="30"/>
  <c r="C62" i="43"/>
  <c r="BG63" i="30"/>
  <c r="DK63" i="18"/>
  <c r="U63" i="30"/>
  <c r="K48" i="31"/>
  <c r="R48" i="31"/>
  <c r="Z63" i="31"/>
  <c r="F49" i="5"/>
  <c r="H49" i="5" s="1"/>
  <c r="BB31" i="30"/>
  <c r="R63" i="43"/>
  <c r="BT48" i="31"/>
  <c r="C31" i="30"/>
  <c r="F31" i="5" s="1"/>
  <c r="F32" i="5"/>
  <c r="H32" i="5" s="1"/>
  <c r="H31" i="5" s="1"/>
  <c r="F63" i="42"/>
  <c r="BA73" i="31"/>
  <c r="BA59" i="31"/>
  <c r="C53" i="42"/>
  <c r="BB48" i="31"/>
  <c r="L48" i="31"/>
  <c r="I63" i="30"/>
  <c r="C51" i="42"/>
  <c r="BU63" i="43"/>
  <c r="BA31" i="31"/>
  <c r="BB45" i="43"/>
  <c r="BA45" i="43" s="1"/>
  <c r="BA47" i="43"/>
  <c r="BA62" i="30"/>
  <c r="BA76" i="30"/>
  <c r="C60" i="43"/>
  <c r="W48" i="37"/>
  <c r="BW63" i="42"/>
  <c r="BA67" i="31"/>
  <c r="BA53" i="31"/>
  <c r="S63" i="31"/>
  <c r="BI63" i="43"/>
  <c r="AC63" i="18"/>
  <c r="W63" i="30"/>
  <c r="C57" i="42"/>
  <c r="P48" i="43"/>
  <c r="C76" i="43"/>
  <c r="BD63" i="43"/>
  <c r="AB48" i="30"/>
  <c r="L48" i="5" s="1"/>
  <c r="M48" i="5" s="1"/>
  <c r="BA57" i="43"/>
  <c r="O63" i="30"/>
  <c r="BA76" i="31"/>
  <c r="BA62" i="31"/>
  <c r="BJ63" i="31"/>
  <c r="R63" i="31"/>
  <c r="BE63" i="42"/>
  <c r="BF63" i="42"/>
  <c r="J48" i="42"/>
  <c r="BU48" i="30"/>
  <c r="X63" i="30"/>
  <c r="F63" i="30"/>
  <c r="C61" i="42"/>
  <c r="BA73" i="42"/>
  <c r="S63" i="30"/>
  <c r="AA63" i="31"/>
  <c r="C53" i="43"/>
  <c r="BA63" i="29"/>
  <c r="N63" i="18" s="1"/>
  <c r="C68" i="42"/>
  <c r="BR63" i="31"/>
  <c r="U63" i="31"/>
  <c r="C59" i="43"/>
  <c r="W63" i="37"/>
  <c r="BS63" i="31"/>
  <c r="C72" i="31"/>
  <c r="C58" i="31"/>
  <c r="C72" i="42"/>
  <c r="AC48" i="18"/>
  <c r="BI48" i="30"/>
  <c r="BN48" i="43"/>
  <c r="C71" i="42"/>
  <c r="BY63" i="43"/>
  <c r="BA50" i="31"/>
  <c r="BA64" i="31"/>
  <c r="BP63" i="31"/>
  <c r="BA57" i="31"/>
  <c r="BA71" i="31"/>
  <c r="BA71" i="43"/>
  <c r="C55" i="43"/>
  <c r="C51" i="31"/>
  <c r="C65" i="31"/>
  <c r="C60" i="30"/>
  <c r="F60" i="5" s="1"/>
  <c r="H60" i="5" s="1"/>
  <c r="C74" i="30"/>
  <c r="F74" i="5" s="1"/>
  <c r="H74" i="5" s="1"/>
  <c r="BA66" i="31"/>
  <c r="BA52" i="31"/>
  <c r="G63" i="30"/>
  <c r="R48" i="42"/>
  <c r="BV63" i="42"/>
  <c r="Q48" i="30"/>
  <c r="BN63" i="43"/>
  <c r="C70" i="30"/>
  <c r="F70" i="5" s="1"/>
  <c r="H70" i="5" s="1"/>
  <c r="C56" i="30"/>
  <c r="F56" i="5" s="1"/>
  <c r="H56" i="5" s="1"/>
  <c r="BA59" i="42"/>
  <c r="C67" i="42"/>
  <c r="L63" i="42"/>
  <c r="BA71" i="30"/>
  <c r="BA57" i="30"/>
  <c r="C67" i="43"/>
  <c r="BX63" i="43"/>
  <c r="BA58" i="43"/>
  <c r="C60" i="42"/>
  <c r="C54" i="42"/>
  <c r="BX63" i="42"/>
  <c r="BB48" i="30"/>
  <c r="BA31" i="30"/>
  <c r="C73" i="43"/>
  <c r="BM48" i="31"/>
  <c r="BZ63" i="31"/>
  <c r="CW63" i="18" s="1"/>
  <c r="BA62" i="43"/>
  <c r="C68" i="43"/>
  <c r="BE63" i="30"/>
  <c r="W48" i="31"/>
  <c r="AL48" i="18"/>
  <c r="BA56" i="43"/>
  <c r="M63" i="31"/>
  <c r="BA55" i="42"/>
  <c r="AE48" i="18"/>
  <c r="C69" i="42"/>
  <c r="BR63" i="43"/>
  <c r="M63" i="30"/>
  <c r="BL48" i="43"/>
  <c r="Y63" i="43"/>
  <c r="G63" i="43"/>
  <c r="D31" i="43"/>
  <c r="C31" i="43" s="1"/>
  <c r="C32" i="43"/>
  <c r="BO63" i="43"/>
  <c r="C74" i="31"/>
  <c r="C60" i="31"/>
  <c r="BH48" i="31"/>
  <c r="C69" i="30"/>
  <c r="F69" i="5" s="1"/>
  <c r="H69" i="5" s="1"/>
  <c r="C55" i="30"/>
  <c r="F55" i="5" s="1"/>
  <c r="H55" i="5" s="1"/>
  <c r="C52" i="43"/>
  <c r="Q63" i="30"/>
  <c r="BA73" i="30"/>
  <c r="BA59" i="30"/>
  <c r="BA56" i="31"/>
  <c r="BA70" i="31"/>
  <c r="S63" i="42"/>
  <c r="BG63" i="42"/>
  <c r="BB63" i="30"/>
  <c r="BQ63" i="30"/>
  <c r="BV63" i="31"/>
  <c r="BA72" i="43"/>
  <c r="Z63" i="43"/>
  <c r="C50" i="42"/>
  <c r="BJ48" i="31"/>
  <c r="BT48" i="30"/>
  <c r="BA68" i="30"/>
  <c r="BA54" i="30"/>
  <c r="C75" i="42"/>
  <c r="BA76" i="43"/>
  <c r="BI63" i="42"/>
  <c r="BA70" i="43"/>
  <c r="P63" i="42"/>
  <c r="C72" i="43"/>
  <c r="C70" i="31"/>
  <c r="C56" i="31"/>
  <c r="BP63" i="18"/>
  <c r="BA69" i="42"/>
  <c r="C55" i="42"/>
  <c r="BB31" i="31"/>
  <c r="E48" i="31"/>
  <c r="J63" i="37"/>
  <c r="O63" i="31"/>
  <c r="DN63" i="18"/>
  <c r="AM63" i="5"/>
  <c r="C48" i="18"/>
  <c r="C63" i="18"/>
  <c r="G75" i="5"/>
  <c r="G61" i="5"/>
  <c r="G68" i="5"/>
  <c r="G54" i="5"/>
  <c r="G70" i="5"/>
  <c r="G56" i="5"/>
  <c r="G65" i="5"/>
  <c r="G51" i="5"/>
  <c r="G74" i="5"/>
  <c r="G60" i="5"/>
  <c r="G69" i="5"/>
  <c r="G55" i="5"/>
  <c r="G31" i="5"/>
  <c r="G76" i="5"/>
  <c r="G62" i="5"/>
  <c r="G53" i="5"/>
  <c r="G67" i="5"/>
  <c r="G71" i="5"/>
  <c r="G57" i="5"/>
  <c r="G72" i="5"/>
  <c r="G58" i="5"/>
  <c r="G73" i="5"/>
  <c r="G59" i="5"/>
  <c r="G48" i="5" s="1"/>
  <c r="G52" i="5"/>
  <c r="G66" i="5"/>
  <c r="J48" i="16"/>
  <c r="J63" i="16"/>
  <c r="BT45" i="38"/>
  <c r="C48" i="38"/>
  <c r="BP63" i="38"/>
  <c r="AB67" i="38"/>
  <c r="AB53" i="38"/>
  <c r="AB45" i="38"/>
  <c r="BT52" i="38"/>
  <c r="BT66" i="38"/>
  <c r="AB31" i="38"/>
  <c r="BT54" i="38"/>
  <c r="BT68" i="38"/>
  <c r="AB71" i="38"/>
  <c r="AB57" i="38"/>
  <c r="BT67" i="38"/>
  <c r="BT53" i="38"/>
  <c r="AB76" i="38"/>
  <c r="AB62" i="38"/>
  <c r="BT71" i="38"/>
  <c r="BT57" i="38"/>
  <c r="C63" i="38"/>
  <c r="AB66" i="38"/>
  <c r="AB52" i="38"/>
  <c r="AB70" i="38"/>
  <c r="AB56" i="38"/>
  <c r="AB75" i="38"/>
  <c r="AB61" i="38"/>
  <c r="AB74" i="38"/>
  <c r="AB60" i="38"/>
  <c r="BT76" i="38"/>
  <c r="BT62" i="38"/>
  <c r="AB55" i="38"/>
  <c r="AB69" i="38"/>
  <c r="BT75" i="38"/>
  <c r="BT61" i="38"/>
  <c r="AB72" i="38"/>
  <c r="AB58" i="38"/>
  <c r="AB51" i="38"/>
  <c r="AB65" i="38"/>
  <c r="AB59" i="38"/>
  <c r="AB73" i="38"/>
  <c r="BT55" i="38"/>
  <c r="BT69" i="38"/>
  <c r="BT58" i="38"/>
  <c r="BT72" i="38"/>
  <c r="AB64" i="38"/>
  <c r="AB50" i="38"/>
  <c r="BT73" i="38"/>
  <c r="BT59" i="38"/>
  <c r="BT70" i="38"/>
  <c r="BT56" i="38"/>
  <c r="AB68" i="38"/>
  <c r="AB54" i="38"/>
  <c r="BT60" i="38"/>
  <c r="BT74" i="38"/>
  <c r="BT31" i="38"/>
  <c r="BT64" i="38"/>
  <c r="BT50" i="38"/>
  <c r="BT51" i="38"/>
  <c r="BT65" i="38"/>
  <c r="AC48" i="32"/>
  <c r="AM45" i="32"/>
  <c r="AM46" i="32"/>
  <c r="AM31" i="32"/>
  <c r="AC63" i="32"/>
  <c r="AM63" i="32"/>
  <c r="AM48" i="32"/>
  <c r="M48" i="32"/>
  <c r="AG56" i="32"/>
  <c r="AG70" i="32"/>
  <c r="AG61" i="32"/>
  <c r="AG75" i="32"/>
  <c r="AG53" i="32"/>
  <c r="AG67" i="32"/>
  <c r="AG54" i="32"/>
  <c r="AG68" i="32"/>
  <c r="AG55" i="32"/>
  <c r="AG69" i="32"/>
  <c r="AG52" i="32"/>
  <c r="AG66" i="32"/>
  <c r="AG58" i="32"/>
  <c r="AG72" i="32"/>
  <c r="AG50" i="32"/>
  <c r="AG64" i="32"/>
  <c r="AG74" i="32"/>
  <c r="AG60" i="32"/>
  <c r="AG73" i="32"/>
  <c r="AG59" i="32"/>
  <c r="AG71" i="32"/>
  <c r="AG57" i="32"/>
  <c r="AG31" i="32"/>
  <c r="AG51" i="32"/>
  <c r="AG65" i="32"/>
  <c r="AG62" i="32"/>
  <c r="AG76" i="32"/>
  <c r="AG45" i="32"/>
  <c r="AH48" i="16"/>
  <c r="AI48" i="16"/>
  <c r="AK48" i="16"/>
  <c r="AL48" i="16"/>
  <c r="F48" i="16"/>
  <c r="W48" i="16"/>
  <c r="W63" i="16"/>
  <c r="AI63" i="16"/>
  <c r="F63" i="16"/>
  <c r="AH63" i="16"/>
  <c r="AL63" i="16"/>
  <c r="AK63" i="16"/>
  <c r="BV48" i="38"/>
  <c r="BZ48" i="38"/>
  <c r="CB48" i="38"/>
  <c r="DK48" i="38"/>
  <c r="AG63" i="38"/>
  <c r="AC48" i="38"/>
  <c r="AJ48" i="38"/>
  <c r="AD48" i="38"/>
  <c r="AE48" i="38"/>
  <c r="CA48" i="38"/>
  <c r="BV63" i="38"/>
  <c r="AH48" i="38"/>
  <c r="BY48" i="38"/>
  <c r="AF48" i="38"/>
  <c r="AI48" i="38"/>
  <c r="BX63" i="38"/>
  <c r="AJ63" i="38"/>
  <c r="AG48" i="38"/>
  <c r="AH63" i="38"/>
  <c r="BW63" i="38"/>
  <c r="AL48" i="38"/>
  <c r="CD48" i="38"/>
  <c r="AE63" i="38"/>
  <c r="BX48" i="38"/>
  <c r="DK63" i="38"/>
  <c r="AD63" i="38"/>
  <c r="BU48" i="38"/>
  <c r="AC63" i="38"/>
  <c r="CB63" i="38"/>
  <c r="AL63" i="38"/>
  <c r="AI63" i="38"/>
  <c r="CA63" i="38"/>
  <c r="CD63" i="38"/>
  <c r="AF63" i="38"/>
  <c r="BZ63" i="38"/>
  <c r="BY63" i="38"/>
  <c r="BU63" i="38"/>
  <c r="BW48" i="38"/>
  <c r="Z31" i="32"/>
  <c r="Z48" i="32"/>
  <c r="Z63" i="32"/>
  <c r="G48" i="32"/>
  <c r="G63" i="32"/>
  <c r="AP20" i="38"/>
  <c r="BA20" i="38" s="1"/>
  <c r="CH24" i="38"/>
  <c r="CS24" i="38" s="1"/>
  <c r="CH2" i="38"/>
  <c r="CS2" i="38" s="1"/>
  <c r="CS38" i="38" s="1"/>
  <c r="CH10" i="38"/>
  <c r="CS10" i="38" s="1"/>
  <c r="CS46" i="38" s="1"/>
  <c r="F40" i="32"/>
  <c r="H40" i="32" s="1"/>
  <c r="H4" i="32"/>
  <c r="AH3" i="32"/>
  <c r="F38" i="32"/>
  <c r="H38" i="32" s="1"/>
  <c r="H2" i="32"/>
  <c r="AH9" i="32"/>
  <c r="AP4" i="38"/>
  <c r="BA4" i="38" s="1"/>
  <c r="BA40" i="38" s="1"/>
  <c r="AP28" i="38"/>
  <c r="BA28" i="38" s="1"/>
  <c r="BA43" i="38" s="1"/>
  <c r="CH21" i="38"/>
  <c r="CS21" i="38" s="1"/>
  <c r="AP10" i="38"/>
  <c r="BA10" i="38" s="1"/>
  <c r="BA46" i="38" s="1"/>
  <c r="CH18" i="38"/>
  <c r="CS18" i="38" s="1"/>
  <c r="CH26" i="38"/>
  <c r="CS26" i="38" s="1"/>
  <c r="CS36" i="38" s="1"/>
  <c r="AP23" i="38"/>
  <c r="BA23" i="38" s="1"/>
  <c r="BA49" i="38" s="1"/>
  <c r="AH2" i="32"/>
  <c r="AH10" i="32"/>
  <c r="AH11" i="32"/>
  <c r="F33" i="32"/>
  <c r="H33" i="32" s="1"/>
  <c r="H13" i="32"/>
  <c r="AH21" i="32"/>
  <c r="AP21" i="38"/>
  <c r="BA21" i="38" s="1"/>
  <c r="AP30" i="38"/>
  <c r="BA30" i="38" s="1"/>
  <c r="BA35" i="38" s="1"/>
  <c r="F69" i="32"/>
  <c r="H69" i="32" s="1"/>
  <c r="F55" i="32"/>
  <c r="H55" i="32" s="1"/>
  <c r="H24" i="32"/>
  <c r="AH28" i="32"/>
  <c r="CH7" i="38"/>
  <c r="CS7" i="38" s="1"/>
  <c r="CH23" i="38"/>
  <c r="CS23" i="38" s="1"/>
  <c r="CS49" i="38" s="1"/>
  <c r="AH22" i="32"/>
  <c r="AH30" i="32"/>
  <c r="AH5" i="32"/>
  <c r="AP27" i="38"/>
  <c r="BA27" i="38" s="1"/>
  <c r="CH27" i="38"/>
  <c r="CS27" i="38" s="1"/>
  <c r="F35" i="32"/>
  <c r="H35" i="32" s="1"/>
  <c r="H30" i="32"/>
  <c r="CH9" i="38"/>
  <c r="CS9" i="38" s="1"/>
  <c r="AH12" i="32"/>
  <c r="F43" i="32"/>
  <c r="H43" i="32" s="1"/>
  <c r="H28" i="32"/>
  <c r="CH6" i="38"/>
  <c r="CS6" i="38" s="1"/>
  <c r="CS47" i="38" s="1"/>
  <c r="AP22" i="38"/>
  <c r="BA22" i="38" s="1"/>
  <c r="BA37" i="38" s="1"/>
  <c r="F58" i="32"/>
  <c r="H58" i="32" s="1"/>
  <c r="F72" i="32"/>
  <c r="H72" i="32" s="1"/>
  <c r="H16" i="32"/>
  <c r="AH17" i="32"/>
  <c r="F39" i="32"/>
  <c r="H39" i="32" s="1"/>
  <c r="H11" i="32"/>
  <c r="F68" i="32"/>
  <c r="H68" i="32" s="1"/>
  <c r="F54" i="32"/>
  <c r="H54" i="32" s="1"/>
  <c r="H9" i="32"/>
  <c r="F50" i="32"/>
  <c r="H50" i="32" s="1"/>
  <c r="F64" i="32"/>
  <c r="H25" i="32"/>
  <c r="F56" i="32"/>
  <c r="H56" i="32" s="1"/>
  <c r="F70" i="32"/>
  <c r="H70" i="32" s="1"/>
  <c r="H20" i="32"/>
  <c r="CH3" i="38"/>
  <c r="CS3" i="38" s="1"/>
  <c r="CS32" i="38" s="1"/>
  <c r="AP11" i="38"/>
  <c r="BA11" i="38" s="1"/>
  <c r="BA39" i="38" s="1"/>
  <c r="AH14" i="32"/>
  <c r="AH19" i="32"/>
  <c r="F37" i="32"/>
  <c r="H37" i="32" s="1"/>
  <c r="H22" i="32"/>
  <c r="AH13" i="32"/>
  <c r="CH5" i="38"/>
  <c r="CS5" i="38" s="1"/>
  <c r="AP25" i="38"/>
  <c r="BA25" i="38" s="1"/>
  <c r="AH8" i="32"/>
  <c r="AH24" i="32"/>
  <c r="CH11" i="38"/>
  <c r="CS11" i="38" s="1"/>
  <c r="CS39" i="38" s="1"/>
  <c r="F46" i="32"/>
  <c r="H10" i="32"/>
  <c r="AH18" i="32"/>
  <c r="AH26" i="32"/>
  <c r="F42" i="32"/>
  <c r="H42" i="32" s="1"/>
  <c r="H19" i="32"/>
  <c r="AH27" i="32"/>
  <c r="AP3" i="38"/>
  <c r="BA3" i="38" s="1"/>
  <c r="BA32" i="38" s="1"/>
  <c r="AP15" i="38"/>
  <c r="BA15" i="38" s="1"/>
  <c r="BA44" i="38" s="1"/>
  <c r="F49" i="32"/>
  <c r="H23" i="32"/>
  <c r="CH20" i="38"/>
  <c r="CS20" i="38" s="1"/>
  <c r="AP9" i="38"/>
  <c r="BA9" i="38" s="1"/>
  <c r="CH8" i="38"/>
  <c r="CS8" i="38" s="1"/>
  <c r="CS41" i="38" s="1"/>
  <c r="AP24" i="38"/>
  <c r="BA24" i="38" s="1"/>
  <c r="CH14" i="38"/>
  <c r="CS14" i="38" s="1"/>
  <c r="CS34" i="38" s="1"/>
  <c r="F41" i="32"/>
  <c r="H41" i="32" s="1"/>
  <c r="H8" i="32"/>
  <c r="F74" i="32"/>
  <c r="H74" i="32" s="1"/>
  <c r="F60" i="32"/>
  <c r="H60" i="32" s="1"/>
  <c r="H12" i="32"/>
  <c r="F66" i="32"/>
  <c r="H66" i="32" s="1"/>
  <c r="F52" i="32"/>
  <c r="H52" i="32" s="1"/>
  <c r="H17" i="32"/>
  <c r="AP18" i="38"/>
  <c r="BA18" i="38" s="1"/>
  <c r="CH22" i="38"/>
  <c r="CS22" i="38" s="1"/>
  <c r="CS37" i="38" s="1"/>
  <c r="AH6" i="32"/>
  <c r="AH23" i="32"/>
  <c r="AP16" i="38"/>
  <c r="BA16" i="38" s="1"/>
  <c r="AP13" i="38"/>
  <c r="BA13" i="38" s="1"/>
  <c r="BA33" i="38" s="1"/>
  <c r="AP2" i="38"/>
  <c r="BA2" i="38" s="1"/>
  <c r="BA38" i="38" s="1"/>
  <c r="CH19" i="38"/>
  <c r="CS19" i="38" s="1"/>
  <c r="CS42" i="38" s="1"/>
  <c r="F32" i="32"/>
  <c r="H3" i="32"/>
  <c r="F73" i="32"/>
  <c r="H73" i="32" s="1"/>
  <c r="F59" i="32"/>
  <c r="H59" i="32" s="1"/>
  <c r="H7" i="32"/>
  <c r="F62" i="32"/>
  <c r="H62" i="32" s="1"/>
  <c r="F76" i="32"/>
  <c r="H76" i="32" s="1"/>
  <c r="H27" i="32"/>
  <c r="AH25" i="32"/>
  <c r="AP5" i="38"/>
  <c r="BA5" i="38" s="1"/>
  <c r="CH13" i="38"/>
  <c r="CS13" i="38" s="1"/>
  <c r="CS33" i="38" s="1"/>
  <c r="CH29" i="38"/>
  <c r="CS29" i="38" s="1"/>
  <c r="CH4" i="38"/>
  <c r="CS4" i="38" s="1"/>
  <c r="CS40" i="38" s="1"/>
  <c r="CH28" i="38"/>
  <c r="CS28" i="38" s="1"/>
  <c r="CS43" i="38" s="1"/>
  <c r="AP17" i="38"/>
  <c r="BA17" i="38" s="1"/>
  <c r="CH17" i="38"/>
  <c r="CS17" i="38" s="1"/>
  <c r="AH16" i="32"/>
  <c r="F57" i="32"/>
  <c r="H57" i="32" s="1"/>
  <c r="F71" i="32"/>
  <c r="H71" i="32" s="1"/>
  <c r="H29" i="32"/>
  <c r="CH12" i="38"/>
  <c r="CS12" i="38" s="1"/>
  <c r="AP14" i="38"/>
  <c r="BA14" i="38" s="1"/>
  <c r="BA34" i="38" s="1"/>
  <c r="CH30" i="38"/>
  <c r="CS30" i="38" s="1"/>
  <c r="CS35" i="38" s="1"/>
  <c r="AH20" i="32"/>
  <c r="AH7" i="32"/>
  <c r="AH15" i="32"/>
  <c r="F47" i="32"/>
  <c r="H47" i="32" s="1"/>
  <c r="H6" i="32"/>
  <c r="AH29" i="32"/>
  <c r="AP8" i="38"/>
  <c r="BA8" i="38" s="1"/>
  <c r="BA41" i="38" s="1"/>
  <c r="AP12" i="38"/>
  <c r="BA12" i="38" s="1"/>
  <c r="CH16" i="38"/>
  <c r="CS16" i="38" s="1"/>
  <c r="CH25" i="38"/>
  <c r="CS25" i="38" s="1"/>
  <c r="AP6" i="38"/>
  <c r="BA6" i="38" s="1"/>
  <c r="BA47" i="38" s="1"/>
  <c r="AP26" i="38"/>
  <c r="BA26" i="38" s="1"/>
  <c r="BA36" i="38" s="1"/>
  <c r="AH4" i="32"/>
  <c r="AP7" i="38"/>
  <c r="BA7" i="38" s="1"/>
  <c r="CH15" i="38"/>
  <c r="CS15" i="38" s="1"/>
  <c r="CS44" i="38" s="1"/>
  <c r="F34" i="32"/>
  <c r="H34" i="32" s="1"/>
  <c r="H14" i="32"/>
  <c r="F61" i="32"/>
  <c r="H61" i="32" s="1"/>
  <c r="F75" i="32"/>
  <c r="H18" i="32"/>
  <c r="F44" i="32"/>
  <c r="H44" i="32" s="1"/>
  <c r="H15" i="32"/>
  <c r="H5" i="32"/>
  <c r="F53" i="32"/>
  <c r="H53" i="32" s="1"/>
  <c r="F67" i="32"/>
  <c r="H67" i="32" s="1"/>
  <c r="F65" i="32"/>
  <c r="H65" i="32" s="1"/>
  <c r="F51" i="32"/>
  <c r="H51" i="32" s="1"/>
  <c r="H21" i="32"/>
  <c r="AP19" i="38"/>
  <c r="BA19" i="38" s="1"/>
  <c r="BA42" i="38" s="1"/>
  <c r="F36" i="32"/>
  <c r="H36" i="32" s="1"/>
  <c r="H26" i="32"/>
  <c r="AP29" i="38"/>
  <c r="BA29" i="38" s="1"/>
  <c r="F2" i="5"/>
  <c r="F13" i="5"/>
  <c r="H13" i="5" s="1"/>
  <c r="F14" i="5"/>
  <c r="F15" i="5"/>
  <c r="F16" i="5"/>
  <c r="F17" i="5"/>
  <c r="F18" i="5"/>
  <c r="F19" i="5"/>
  <c r="F20" i="5"/>
  <c r="F21" i="5"/>
  <c r="F22" i="5"/>
  <c r="F23" i="5"/>
  <c r="AG23" i="5"/>
  <c r="AG49" i="5" s="1"/>
  <c r="F3" i="5"/>
  <c r="F4" i="5"/>
  <c r="F5" i="5"/>
  <c r="F6" i="5"/>
  <c r="F7" i="5"/>
  <c r="F8" i="5"/>
  <c r="F9" i="5"/>
  <c r="F10" i="5"/>
  <c r="AG10" i="5"/>
  <c r="AG46" i="5" s="1"/>
  <c r="F11" i="5"/>
  <c r="F12" i="5"/>
  <c r="F24" i="5"/>
  <c r="AG24" i="5"/>
  <c r="F26" i="5"/>
  <c r="F27" i="5"/>
  <c r="F28" i="5"/>
  <c r="F29" i="5"/>
  <c r="F30" i="5"/>
  <c r="H30" i="5" s="1"/>
  <c r="AB14" i="18"/>
  <c r="AB34" i="18" s="1"/>
  <c r="AB21" i="18"/>
  <c r="AB12" i="18"/>
  <c r="AB20" i="18"/>
  <c r="AB18" i="18"/>
  <c r="AB2" i="18"/>
  <c r="AB38" i="18" s="1"/>
  <c r="AB22" i="18"/>
  <c r="AB37" i="18" s="1"/>
  <c r="AB16" i="18"/>
  <c r="AB5" i="18"/>
  <c r="AB19" i="18"/>
  <c r="AB42" i="18" s="1"/>
  <c r="AB29" i="18"/>
  <c r="AB13" i="18"/>
  <c r="AB33" i="18" s="1"/>
  <c r="AB24" i="18"/>
  <c r="AB17" i="18"/>
  <c r="BT23" i="18"/>
  <c r="BT49" i="18" s="1"/>
  <c r="AB30" i="18"/>
  <c r="AB35" i="18" s="1"/>
  <c r="AB27" i="18"/>
  <c r="AB10" i="18"/>
  <c r="AB46" i="18" s="1"/>
  <c r="AB6" i="18"/>
  <c r="AB47" i="18" s="1"/>
  <c r="AB23" i="18"/>
  <c r="AB49" i="18" s="1"/>
  <c r="AB8" i="18"/>
  <c r="AB41" i="18" s="1"/>
  <c r="AB11" i="18"/>
  <c r="AB39" i="18" s="1"/>
  <c r="AB15" i="18"/>
  <c r="AB44" i="18" s="1"/>
  <c r="BT24" i="18"/>
  <c r="BT10" i="18"/>
  <c r="BT46" i="18" s="1"/>
  <c r="AB4" i="18"/>
  <c r="AB40" i="18" s="1"/>
  <c r="AB28" i="18"/>
  <c r="AB43" i="18" s="1"/>
  <c r="AB7" i="18"/>
  <c r="AB9" i="18"/>
  <c r="AB26" i="18"/>
  <c r="AB36" i="18" s="1"/>
  <c r="DK3" i="18"/>
  <c r="DK32" i="18" s="1"/>
  <c r="DK31" i="18" s="1"/>
  <c r="BH3" i="1"/>
  <c r="BG3" i="1"/>
  <c r="C48" i="31" l="1"/>
  <c r="BA48" i="30"/>
  <c r="BT69" i="18"/>
  <c r="BT55" i="18"/>
  <c r="BA63" i="42"/>
  <c r="BA48" i="31"/>
  <c r="G63" i="5"/>
  <c r="AG69" i="5"/>
  <c r="AG55" i="5"/>
  <c r="BA63" i="31"/>
  <c r="BA63" i="43"/>
  <c r="C63" i="31"/>
  <c r="C48" i="30"/>
  <c r="F48" i="5" s="1"/>
  <c r="F66" i="5"/>
  <c r="H66" i="5" s="1"/>
  <c r="H63" i="5" s="1"/>
  <c r="C63" i="30"/>
  <c r="F63" i="5" s="1"/>
  <c r="H48" i="5"/>
  <c r="C63" i="43"/>
  <c r="BA63" i="30"/>
  <c r="AB73" i="18"/>
  <c r="AB59" i="18"/>
  <c r="AB54" i="18"/>
  <c r="AB48" i="18" s="1"/>
  <c r="AB68" i="18"/>
  <c r="AB76" i="18"/>
  <c r="AB62" i="18"/>
  <c r="AB75" i="18"/>
  <c r="AB61" i="18"/>
  <c r="AB65" i="18"/>
  <c r="AB51" i="18"/>
  <c r="AB55" i="18"/>
  <c r="AB69" i="18"/>
  <c r="AB57" i="18"/>
  <c r="AB71" i="18"/>
  <c r="AB70" i="18"/>
  <c r="AB56" i="18"/>
  <c r="AB67" i="18"/>
  <c r="AB53" i="18"/>
  <c r="AB66" i="18"/>
  <c r="AB52" i="18"/>
  <c r="AB58" i="18"/>
  <c r="AB72" i="18"/>
  <c r="AB74" i="18"/>
  <c r="AB60" i="18"/>
  <c r="AB45" i="18"/>
  <c r="AB31" i="18"/>
  <c r="AH10" i="5"/>
  <c r="AH23" i="5"/>
  <c r="BT48" i="38"/>
  <c r="AB48" i="38"/>
  <c r="BT63" i="38"/>
  <c r="AB63" i="38"/>
  <c r="AG48" i="32"/>
  <c r="AG63" i="32"/>
  <c r="CS45" i="38"/>
  <c r="CS68" i="38"/>
  <c r="CS54" i="38"/>
  <c r="BA51" i="38"/>
  <c r="BA65" i="38"/>
  <c r="BA72" i="38"/>
  <c r="BA58" i="38"/>
  <c r="BA67" i="38"/>
  <c r="BA53" i="38"/>
  <c r="BA69" i="38"/>
  <c r="BA55" i="38"/>
  <c r="CS74" i="38"/>
  <c r="CS60" i="38"/>
  <c r="BA73" i="38"/>
  <c r="BA59" i="38"/>
  <c r="CS75" i="38"/>
  <c r="CS61" i="38"/>
  <c r="CS59" i="38"/>
  <c r="CS73" i="38"/>
  <c r="BA70" i="38"/>
  <c r="BA56" i="38"/>
  <c r="BA45" i="38"/>
  <c r="BA66" i="38"/>
  <c r="BA52" i="38"/>
  <c r="CS72" i="38"/>
  <c r="CS58" i="38"/>
  <c r="BA74" i="38"/>
  <c r="BA60" i="38"/>
  <c r="CS62" i="38"/>
  <c r="CS76" i="38"/>
  <c r="BA76" i="38"/>
  <c r="BA62" i="38"/>
  <c r="BA75" i="38"/>
  <c r="BA61" i="38"/>
  <c r="BA64" i="38"/>
  <c r="BA50" i="38"/>
  <c r="CS65" i="38"/>
  <c r="CS51" i="38"/>
  <c r="CS69" i="38"/>
  <c r="CS55" i="38"/>
  <c r="CS67" i="38"/>
  <c r="CS53" i="38"/>
  <c r="CS66" i="38"/>
  <c r="CS52" i="38"/>
  <c r="BA71" i="38"/>
  <c r="BA57" i="38"/>
  <c r="BA31" i="38"/>
  <c r="CS71" i="38"/>
  <c r="CS57" i="38"/>
  <c r="BA54" i="38"/>
  <c r="BA68" i="38"/>
  <c r="CS31" i="38"/>
  <c r="CS50" i="38"/>
  <c r="CS64" i="38"/>
  <c r="CS70" i="38"/>
  <c r="CS56" i="38"/>
  <c r="D15" i="45"/>
  <c r="D44" i="45" s="1"/>
  <c r="F44" i="45" s="1"/>
  <c r="AH44" i="32"/>
  <c r="D24" i="45"/>
  <c r="AH55" i="32"/>
  <c r="AH69" i="32"/>
  <c r="D5" i="45"/>
  <c r="AH67" i="32"/>
  <c r="AH53" i="32"/>
  <c r="D28" i="45"/>
  <c r="D43" i="45" s="1"/>
  <c r="F43" i="45" s="1"/>
  <c r="AH43" i="32"/>
  <c r="D10" i="45"/>
  <c r="AH46" i="32"/>
  <c r="D7" i="45"/>
  <c r="D59" i="45" s="1"/>
  <c r="F59" i="45" s="1"/>
  <c r="AH73" i="32"/>
  <c r="AH59" i="32"/>
  <c r="D8" i="45"/>
  <c r="D41" i="45" s="1"/>
  <c r="F41" i="45" s="1"/>
  <c r="AH41" i="32"/>
  <c r="D13" i="45"/>
  <c r="AH33" i="32"/>
  <c r="D2" i="45"/>
  <c r="F2" i="45" s="1"/>
  <c r="AH38" i="32"/>
  <c r="D4" i="45"/>
  <c r="F4" i="45" s="1"/>
  <c r="AH40" i="32"/>
  <c r="D20" i="45"/>
  <c r="F20" i="45" s="1"/>
  <c r="AH70" i="32"/>
  <c r="AH56" i="32"/>
  <c r="D30" i="45"/>
  <c r="F30" i="45" s="1"/>
  <c r="AH35" i="32"/>
  <c r="D16" i="45"/>
  <c r="D58" i="45" s="1"/>
  <c r="F58" i="45" s="1"/>
  <c r="AH72" i="32"/>
  <c r="AH58" i="32"/>
  <c r="D22" i="45"/>
  <c r="F22" i="45" s="1"/>
  <c r="AH37" i="32"/>
  <c r="D26" i="45"/>
  <c r="F26" i="45" s="1"/>
  <c r="AH36" i="32"/>
  <c r="D25" i="45"/>
  <c r="F25" i="45" s="1"/>
  <c r="AH64" i="32"/>
  <c r="AH50" i="32"/>
  <c r="D18" i="45"/>
  <c r="AH75" i="32"/>
  <c r="AH61" i="32"/>
  <c r="D3" i="45"/>
  <c r="AH32" i="32"/>
  <c r="D19" i="45"/>
  <c r="D42" i="45" s="1"/>
  <c r="F42" i="45" s="1"/>
  <c r="AH42" i="32"/>
  <c r="D17" i="45"/>
  <c r="F17" i="45" s="1"/>
  <c r="AH66" i="32"/>
  <c r="AH52" i="32"/>
  <c r="D29" i="45"/>
  <c r="F29" i="45" s="1"/>
  <c r="AH71" i="32"/>
  <c r="AH57" i="32"/>
  <c r="D14" i="45"/>
  <c r="D34" i="45" s="1"/>
  <c r="F34" i="45" s="1"/>
  <c r="AH34" i="32"/>
  <c r="D21" i="45"/>
  <c r="AH51" i="32"/>
  <c r="AH65" i="32"/>
  <c r="D23" i="45"/>
  <c r="D49" i="45" s="1"/>
  <c r="AH49" i="32"/>
  <c r="D6" i="45"/>
  <c r="F6" i="45" s="1"/>
  <c r="AH47" i="32"/>
  <c r="D9" i="45"/>
  <c r="F9" i="45" s="1"/>
  <c r="AH68" i="32"/>
  <c r="AH54" i="32"/>
  <c r="D27" i="45"/>
  <c r="F27" i="45" s="1"/>
  <c r="AH76" i="32"/>
  <c r="AH62" i="32"/>
  <c r="D12" i="45"/>
  <c r="D74" i="45" s="1"/>
  <c r="F74" i="45" s="1"/>
  <c r="AH74" i="32"/>
  <c r="AH60" i="32"/>
  <c r="D11" i="45"/>
  <c r="F11" i="45" s="1"/>
  <c r="AH39" i="32"/>
  <c r="F48" i="32"/>
  <c r="H64" i="32"/>
  <c r="F63" i="32"/>
  <c r="F31" i="32"/>
  <c r="F8" i="45"/>
  <c r="D35" i="45"/>
  <c r="F35" i="45" s="1"/>
  <c r="H32" i="32"/>
  <c r="H31" i="32" s="1"/>
  <c r="D75" i="45"/>
  <c r="F75" i="45" s="1"/>
  <c r="F18" i="45"/>
  <c r="D61" i="45"/>
  <c r="F61" i="45" s="1"/>
  <c r="D69" i="45"/>
  <c r="F69" i="45" s="1"/>
  <c r="F24" i="45"/>
  <c r="D55" i="45"/>
  <c r="F55" i="45" s="1"/>
  <c r="F14" i="45"/>
  <c r="D53" i="45"/>
  <c r="F53" i="45" s="1"/>
  <c r="F5" i="45"/>
  <c r="D67" i="45"/>
  <c r="F67" i="45" s="1"/>
  <c r="D65" i="45"/>
  <c r="F65" i="45" s="1"/>
  <c r="F21" i="45"/>
  <c r="D51" i="45"/>
  <c r="F51" i="45" s="1"/>
  <c r="D46" i="45"/>
  <c r="F10" i="45"/>
  <c r="F45" i="32"/>
  <c r="H46" i="32"/>
  <c r="H45" i="32" s="1"/>
  <c r="H75" i="32"/>
  <c r="H49" i="32"/>
  <c r="H48" i="32" s="1"/>
  <c r="D33" i="45"/>
  <c r="F33" i="45" s="1"/>
  <c r="F13" i="45"/>
  <c r="F3" i="45"/>
  <c r="D32" i="45"/>
  <c r="AH24" i="5"/>
  <c r="AP9" i="18"/>
  <c r="CH24" i="18"/>
  <c r="CS24" i="18" s="1"/>
  <c r="AP15" i="18"/>
  <c r="AP23" i="18"/>
  <c r="AP26" i="18"/>
  <c r="AP28" i="18"/>
  <c r="CH10" i="18"/>
  <c r="CS10" i="18" s="1"/>
  <c r="CS46" i="18" s="1"/>
  <c r="AP10" i="18"/>
  <c r="CH23" i="18"/>
  <c r="CS23" i="18" s="1"/>
  <c r="CS49" i="18" s="1"/>
  <c r="AP17" i="18"/>
  <c r="AP24" i="18"/>
  <c r="AP19" i="18"/>
  <c r="AP5" i="18"/>
  <c r="AP16" i="18"/>
  <c r="AP20" i="18"/>
  <c r="AP12" i="18"/>
  <c r="AP11" i="18"/>
  <c r="AP6" i="18"/>
  <c r="AP30" i="18"/>
  <c r="AP29" i="18"/>
  <c r="AP22" i="18"/>
  <c r="AP2" i="18"/>
  <c r="AP14" i="18"/>
  <c r="AP7" i="18"/>
  <c r="AP4" i="18"/>
  <c r="AP8" i="18"/>
  <c r="AP27" i="18"/>
  <c r="AP13" i="18"/>
  <c r="AP18" i="18"/>
  <c r="AP21" i="18"/>
  <c r="AZ3" i="18"/>
  <c r="AX3" i="18"/>
  <c r="AY3" i="18"/>
  <c r="AW3" i="18"/>
  <c r="G25" i="5"/>
  <c r="D66" i="45" l="1"/>
  <c r="F66" i="45" s="1"/>
  <c r="D36" i="45"/>
  <c r="F36" i="45" s="1"/>
  <c r="D39" i="45"/>
  <c r="F39" i="45" s="1"/>
  <c r="D38" i="45"/>
  <c r="F38" i="45" s="1"/>
  <c r="D52" i="45"/>
  <c r="F52" i="45" s="1"/>
  <c r="D37" i="45"/>
  <c r="F37" i="45" s="1"/>
  <c r="G64" i="5"/>
  <c r="G50" i="5"/>
  <c r="AB63" i="18"/>
  <c r="CS55" i="18"/>
  <c r="CS69" i="18"/>
  <c r="D23" i="20"/>
  <c r="AH49" i="5"/>
  <c r="D24" i="20"/>
  <c r="AH69" i="5"/>
  <c r="AH55" i="5"/>
  <c r="D10" i="20"/>
  <c r="AH46" i="5"/>
  <c r="F16" i="45"/>
  <c r="D60" i="45"/>
  <c r="F60" i="45" s="1"/>
  <c r="D72" i="45"/>
  <c r="F72" i="45" s="1"/>
  <c r="D62" i="45"/>
  <c r="F62" i="45" s="1"/>
  <c r="F12" i="45"/>
  <c r="D76" i="45"/>
  <c r="F76" i="45" s="1"/>
  <c r="D64" i="45"/>
  <c r="F64" i="45" s="1"/>
  <c r="F7" i="45"/>
  <c r="D50" i="45"/>
  <c r="F50" i="45" s="1"/>
  <c r="D68" i="45"/>
  <c r="F68" i="45" s="1"/>
  <c r="D73" i="45"/>
  <c r="F73" i="45" s="1"/>
  <c r="F23" i="45"/>
  <c r="AH63" i="32"/>
  <c r="F15" i="45"/>
  <c r="D71" i="45"/>
  <c r="F71" i="45" s="1"/>
  <c r="D57" i="45"/>
  <c r="F57" i="45" s="1"/>
  <c r="D54" i="45"/>
  <c r="F54" i="45" s="1"/>
  <c r="BA63" i="38"/>
  <c r="BA48" i="38"/>
  <c r="CS48" i="38"/>
  <c r="CS63" i="38"/>
  <c r="F28" i="45"/>
  <c r="D40" i="45"/>
  <c r="F40" i="45" s="1"/>
  <c r="AH45" i="32"/>
  <c r="AH48" i="32"/>
  <c r="AH31" i="32"/>
  <c r="F19" i="45"/>
  <c r="D70" i="45"/>
  <c r="F70" i="45" s="1"/>
  <c r="D56" i="45"/>
  <c r="F56" i="45" s="1"/>
  <c r="D47" i="45"/>
  <c r="F47" i="45" s="1"/>
  <c r="H63" i="32"/>
  <c r="F32" i="45"/>
  <c r="F46" i="45"/>
  <c r="F49" i="45"/>
  <c r="F25" i="5"/>
  <c r="BT25" i="18"/>
  <c r="AG25" i="5"/>
  <c r="AB25" i="18"/>
  <c r="AG64" i="5" l="1"/>
  <c r="AG50" i="5"/>
  <c r="BT64" i="18"/>
  <c r="BT50" i="18"/>
  <c r="AB64" i="18"/>
  <c r="AB50" i="18"/>
  <c r="D69" i="20"/>
  <c r="F69" i="20" s="1"/>
  <c r="D55" i="20"/>
  <c r="F55" i="20" s="1"/>
  <c r="D46" i="20"/>
  <c r="F10" i="20"/>
  <c r="D49" i="20"/>
  <c r="F49" i="20" s="1"/>
  <c r="F23" i="20"/>
  <c r="F24" i="20"/>
  <c r="D48" i="45"/>
  <c r="F48" i="45"/>
  <c r="D31" i="45"/>
  <c r="F31" i="45"/>
  <c r="F63" i="45"/>
  <c r="D63" i="45"/>
  <c r="D45" i="45"/>
  <c r="F45" i="45"/>
  <c r="AH25" i="5"/>
  <c r="AP25" i="18"/>
  <c r="CH25" i="18"/>
  <c r="CS25" i="18" s="1"/>
  <c r="CS50" i="18" l="1"/>
  <c r="CS64" i="18"/>
  <c r="D25" i="20"/>
  <c r="F25" i="20" s="1"/>
  <c r="AH64" i="5"/>
  <c r="AH50" i="5"/>
  <c r="F46" i="20"/>
  <c r="Y32" i="26"/>
  <c r="X32" i="26"/>
  <c r="W32" i="26"/>
  <c r="Z32" i="26"/>
  <c r="V32" i="26"/>
  <c r="U32" i="26"/>
  <c r="T32" i="26"/>
  <c r="S32" i="26"/>
  <c r="R32" i="26"/>
  <c r="Q32" i="26"/>
  <c r="P32" i="26"/>
  <c r="O32" i="26"/>
  <c r="N32" i="26"/>
  <c r="M32" i="26"/>
  <c r="L32" i="26"/>
  <c r="K32" i="26"/>
  <c r="AA32" i="26"/>
  <c r="J32" i="26"/>
  <c r="I32" i="26"/>
  <c r="H32" i="26"/>
  <c r="G32" i="26"/>
  <c r="F32" i="26"/>
  <c r="E32" i="26"/>
  <c r="AR32" i="26"/>
  <c r="Q69" i="2"/>
  <c r="AX32" i="26"/>
  <c r="AW32" i="26"/>
  <c r="AV32" i="26"/>
  <c r="AY32" i="26"/>
  <c r="AU32" i="26"/>
  <c r="AT32" i="26"/>
  <c r="AS32" i="26"/>
  <c r="AQ32" i="26"/>
  <c r="AP32" i="26"/>
  <c r="AO32" i="26"/>
  <c r="AN32" i="26"/>
  <c r="AM32" i="26"/>
  <c r="AL32" i="26"/>
  <c r="AK32" i="26"/>
  <c r="AJ32" i="26"/>
  <c r="AZ32" i="26"/>
  <c r="AI32" i="26"/>
  <c r="AH32" i="26"/>
  <c r="AG32" i="26"/>
  <c r="AF32" i="26"/>
  <c r="AE32" i="26"/>
  <c r="D64" i="20" l="1"/>
  <c r="F64" i="20" s="1"/>
  <c r="D50" i="20"/>
  <c r="F50" i="20" s="1"/>
  <c r="D32" i="26"/>
  <c r="D7" i="27"/>
  <c r="D39" i="26"/>
  <c r="D44" i="26"/>
  <c r="D42" i="26"/>
  <c r="D49" i="26"/>
  <c r="D16" i="27"/>
  <c r="D33" i="26"/>
  <c r="D47" i="26"/>
  <c r="D34" i="26"/>
  <c r="D37" i="26"/>
  <c r="D35" i="26"/>
  <c r="D40" i="26"/>
  <c r="D41" i="26"/>
  <c r="D43" i="26"/>
  <c r="D9" i="27"/>
  <c r="D17" i="27"/>
  <c r="D46" i="26"/>
  <c r="D36" i="26"/>
  <c r="AL3" i="27"/>
  <c r="AL32" i="27" s="1"/>
  <c r="AU3" i="27"/>
  <c r="AU32" i="27" s="1"/>
  <c r="AJ3" i="27"/>
  <c r="AJ32" i="27" s="1"/>
  <c r="AS3" i="27"/>
  <c r="AS32" i="27" s="1"/>
  <c r="H3" i="27"/>
  <c r="H32" i="27" s="1"/>
  <c r="O3" i="27"/>
  <c r="O32" i="27" s="1"/>
  <c r="Z3" i="27"/>
  <c r="Z32" i="27" s="1"/>
  <c r="AE3" i="27"/>
  <c r="AE32" i="27" s="1"/>
  <c r="AP3" i="27"/>
  <c r="AP32" i="27" s="1"/>
  <c r="AG3" i="27"/>
  <c r="AG32" i="27" s="1"/>
  <c r="AN3" i="27"/>
  <c r="AN32" i="27" s="1"/>
  <c r="AV3" i="27"/>
  <c r="AV32" i="27" s="1"/>
  <c r="AR3" i="27"/>
  <c r="AR32" i="27" s="1"/>
  <c r="K3" i="27"/>
  <c r="K32" i="27" s="1"/>
  <c r="S3" i="27"/>
  <c r="S32" i="27" s="1"/>
  <c r="AH3" i="27"/>
  <c r="AH32" i="27" s="1"/>
  <c r="AK3" i="27"/>
  <c r="AK32" i="27" s="1"/>
  <c r="AO3" i="27"/>
  <c r="AO32" i="27" s="1"/>
  <c r="AT3" i="27"/>
  <c r="AT32" i="27" s="1"/>
  <c r="AW3" i="27"/>
  <c r="AW32" i="27" s="1"/>
  <c r="E3" i="27"/>
  <c r="E32" i="27" s="1"/>
  <c r="I3" i="27"/>
  <c r="I32" i="27" s="1"/>
  <c r="L3" i="27"/>
  <c r="L32" i="27" s="1"/>
  <c r="P3" i="27"/>
  <c r="P32" i="27" s="1"/>
  <c r="T3" i="27"/>
  <c r="T32" i="27" s="1"/>
  <c r="W3" i="27"/>
  <c r="W32" i="27" s="1"/>
  <c r="AI3" i="27"/>
  <c r="AI32" i="27" s="1"/>
  <c r="AX3" i="27"/>
  <c r="AX32" i="27" s="1"/>
  <c r="F3" i="27"/>
  <c r="F32" i="27" s="1"/>
  <c r="J3" i="27"/>
  <c r="J32" i="27" s="1"/>
  <c r="M3" i="27"/>
  <c r="M32" i="27" s="1"/>
  <c r="Q3" i="27"/>
  <c r="Q32" i="27" s="1"/>
  <c r="U3" i="27"/>
  <c r="U32" i="27" s="1"/>
  <c r="X3" i="27"/>
  <c r="X32" i="27" s="1"/>
  <c r="AF3" i="27"/>
  <c r="AF32" i="27" s="1"/>
  <c r="AZ3" i="27"/>
  <c r="AZ32" i="27" s="1"/>
  <c r="AM3" i="27"/>
  <c r="AM32" i="27" s="1"/>
  <c r="AQ3" i="27"/>
  <c r="AQ32" i="27" s="1"/>
  <c r="AY3" i="27"/>
  <c r="AY32" i="27" s="1"/>
  <c r="G3" i="27"/>
  <c r="G32" i="27" s="1"/>
  <c r="AA3" i="27"/>
  <c r="AA32" i="27" s="1"/>
  <c r="N3" i="27"/>
  <c r="N32" i="27" s="1"/>
  <c r="R3" i="27"/>
  <c r="R32" i="27" s="1"/>
  <c r="V3" i="27"/>
  <c r="V32" i="27" s="1"/>
  <c r="Y3" i="27"/>
  <c r="Y32" i="27" s="1"/>
  <c r="AE35" i="26"/>
  <c r="AE43" i="26"/>
  <c r="AE36" i="26"/>
  <c r="AE49" i="26"/>
  <c r="AE37" i="26"/>
  <c r="AE42" i="26"/>
  <c r="AE44" i="26"/>
  <c r="AE34" i="26"/>
  <c r="AE33" i="26"/>
  <c r="AE39" i="26"/>
  <c r="AE46" i="26"/>
  <c r="AE41" i="26"/>
  <c r="AE47" i="26"/>
  <c r="AE40" i="26"/>
  <c r="AE38" i="26"/>
  <c r="AF35" i="26"/>
  <c r="AF43" i="26"/>
  <c r="AF36" i="26"/>
  <c r="AF24" i="28"/>
  <c r="AF49" i="26"/>
  <c r="AF37" i="26"/>
  <c r="AF42" i="26"/>
  <c r="AF44" i="26"/>
  <c r="AF34" i="26"/>
  <c r="AF33" i="26"/>
  <c r="AF39" i="26"/>
  <c r="AF46" i="26"/>
  <c r="AF41" i="26"/>
  <c r="AF47" i="26"/>
  <c r="AF40" i="26"/>
  <c r="AF38" i="26"/>
  <c r="AG35" i="26"/>
  <c r="AG43" i="26"/>
  <c r="AG36" i="26"/>
  <c r="AG24" i="28"/>
  <c r="AG49" i="26"/>
  <c r="AG37" i="26"/>
  <c r="AG42" i="26"/>
  <c r="AG44" i="26"/>
  <c r="AG34" i="26"/>
  <c r="AG33" i="26"/>
  <c r="AG39" i="26"/>
  <c r="AG46" i="26"/>
  <c r="AG41" i="26"/>
  <c r="AG47" i="26"/>
  <c r="AG40" i="26"/>
  <c r="AG38" i="26"/>
  <c r="AH35" i="26"/>
  <c r="AH43" i="26"/>
  <c r="AH36" i="26"/>
  <c r="AH49" i="26"/>
  <c r="AH37" i="26"/>
  <c r="AH42" i="26"/>
  <c r="AH44" i="26"/>
  <c r="AH34" i="26"/>
  <c r="AH33" i="26"/>
  <c r="AH39" i="26"/>
  <c r="AH46" i="26"/>
  <c r="AH41" i="26"/>
  <c r="AH47" i="26"/>
  <c r="AH40" i="26"/>
  <c r="AH38" i="26"/>
  <c r="AI35" i="26"/>
  <c r="AI43" i="26"/>
  <c r="AI36" i="26"/>
  <c r="AI24" i="28"/>
  <c r="AI49" i="26"/>
  <c r="AI37" i="26"/>
  <c r="AI42" i="26"/>
  <c r="AI44" i="26"/>
  <c r="AI34" i="26"/>
  <c r="AI33" i="26"/>
  <c r="AI39" i="26"/>
  <c r="AI46" i="26"/>
  <c r="AI41" i="26"/>
  <c r="AI47" i="26"/>
  <c r="AI40" i="26"/>
  <c r="AI38" i="26"/>
  <c r="AZ35" i="26"/>
  <c r="AZ43" i="26"/>
  <c r="AZ36" i="26"/>
  <c r="AZ24" i="28"/>
  <c r="AZ49" i="26"/>
  <c r="AZ37" i="26"/>
  <c r="AZ42" i="26"/>
  <c r="AZ44" i="26"/>
  <c r="AZ34" i="26"/>
  <c r="AZ33" i="26"/>
  <c r="AZ39" i="26"/>
  <c r="AZ46" i="26"/>
  <c r="AZ41" i="26"/>
  <c r="AZ47" i="26"/>
  <c r="AZ40" i="26"/>
  <c r="AZ38" i="26"/>
  <c r="AJ35" i="26"/>
  <c r="AJ43" i="26"/>
  <c r="AJ36" i="26"/>
  <c r="AJ24" i="28"/>
  <c r="AJ49" i="26"/>
  <c r="AJ37" i="26"/>
  <c r="AJ42" i="26"/>
  <c r="AJ44" i="26"/>
  <c r="AJ34" i="26"/>
  <c r="AJ33" i="26"/>
  <c r="AJ39" i="26"/>
  <c r="AJ46" i="26"/>
  <c r="AJ41" i="26"/>
  <c r="AJ47" i="26"/>
  <c r="AJ40" i="26"/>
  <c r="AJ38" i="26"/>
  <c r="AK35" i="26"/>
  <c r="AK43" i="26"/>
  <c r="AK36" i="26"/>
  <c r="AK24" i="28"/>
  <c r="AK49" i="26"/>
  <c r="AK37" i="26"/>
  <c r="AK42" i="26"/>
  <c r="AK44" i="26"/>
  <c r="AK34" i="26"/>
  <c r="AK33" i="26"/>
  <c r="AK39" i="26"/>
  <c r="AK46" i="26"/>
  <c r="AK41" i="26"/>
  <c r="AK47" i="26"/>
  <c r="AK40" i="26"/>
  <c r="AK38" i="26"/>
  <c r="AL35" i="26"/>
  <c r="AL43" i="26"/>
  <c r="AL36" i="26"/>
  <c r="AL49" i="26"/>
  <c r="AL37" i="26"/>
  <c r="AL42" i="26"/>
  <c r="AL44" i="26"/>
  <c r="AL34" i="26"/>
  <c r="AL33" i="26"/>
  <c r="AL39" i="26"/>
  <c r="AL46" i="26"/>
  <c r="AL41" i="26"/>
  <c r="AL47" i="26"/>
  <c r="AL40" i="26"/>
  <c r="AL38" i="26"/>
  <c r="AM35" i="26"/>
  <c r="AM43" i="26"/>
  <c r="AM36" i="26"/>
  <c r="AM49" i="26"/>
  <c r="AM37" i="26"/>
  <c r="AM42" i="26"/>
  <c r="AM44" i="26"/>
  <c r="AM34" i="26"/>
  <c r="AM33" i="26"/>
  <c r="AM39" i="26"/>
  <c r="AM46" i="26"/>
  <c r="AM41" i="26"/>
  <c r="AM47" i="26"/>
  <c r="AM40" i="26"/>
  <c r="AM38" i="26"/>
  <c r="AN35" i="26"/>
  <c r="AN43" i="26"/>
  <c r="AN36" i="26"/>
  <c r="AN24" i="28"/>
  <c r="AN49" i="26"/>
  <c r="AN37" i="26"/>
  <c r="AN42" i="26"/>
  <c r="AN44" i="26"/>
  <c r="AN34" i="26"/>
  <c r="AN33" i="26"/>
  <c r="AN39" i="26"/>
  <c r="AN46" i="26"/>
  <c r="AN41" i="26"/>
  <c r="AN47" i="26"/>
  <c r="AN40" i="26"/>
  <c r="AN38" i="26"/>
  <c r="AO35" i="26"/>
  <c r="AO43" i="26"/>
  <c r="AO36" i="26"/>
  <c r="AO24" i="28"/>
  <c r="AO49" i="26"/>
  <c r="AO37" i="26"/>
  <c r="AO42" i="26"/>
  <c r="AO44" i="26"/>
  <c r="AO34" i="26"/>
  <c r="AO33" i="26"/>
  <c r="AO39" i="26"/>
  <c r="AO46" i="26"/>
  <c r="AO41" i="26"/>
  <c r="AO47" i="26"/>
  <c r="AO40" i="26"/>
  <c r="AO38" i="26"/>
  <c r="AP35" i="26"/>
  <c r="AP43" i="26"/>
  <c r="AP36" i="26"/>
  <c r="AP49" i="26"/>
  <c r="AP37" i="26"/>
  <c r="AP42" i="26"/>
  <c r="AP44" i="26"/>
  <c r="AP34" i="26"/>
  <c r="AP33" i="26"/>
  <c r="AP39" i="26"/>
  <c r="AP46" i="26"/>
  <c r="AP41" i="26"/>
  <c r="AP47" i="26"/>
  <c r="AP40" i="26"/>
  <c r="AP38" i="26"/>
  <c r="AQ35" i="26"/>
  <c r="AQ43" i="26"/>
  <c r="AQ36" i="26"/>
  <c r="AQ24" i="28"/>
  <c r="AQ49" i="26"/>
  <c r="AQ37" i="26"/>
  <c r="AQ42" i="26"/>
  <c r="AQ44" i="26"/>
  <c r="AQ34" i="26"/>
  <c r="AQ33" i="26"/>
  <c r="AQ39" i="26"/>
  <c r="AQ46" i="26"/>
  <c r="AQ41" i="26"/>
  <c r="AQ47" i="26"/>
  <c r="AQ40" i="26"/>
  <c r="AQ38" i="26"/>
  <c r="AS35" i="26"/>
  <c r="AS43" i="26"/>
  <c r="AS36" i="26"/>
  <c r="AS24" i="28"/>
  <c r="AS49" i="26"/>
  <c r="AS37" i="26"/>
  <c r="AS42" i="26"/>
  <c r="AS44" i="26"/>
  <c r="AS34" i="26"/>
  <c r="AS33" i="26"/>
  <c r="AS39" i="26"/>
  <c r="AS46" i="26"/>
  <c r="AS41" i="26"/>
  <c r="AS47" i="26"/>
  <c r="AS40" i="26"/>
  <c r="AS38" i="26"/>
  <c r="AT35" i="26"/>
  <c r="AT43" i="26"/>
  <c r="AT36" i="26"/>
  <c r="AT49" i="26"/>
  <c r="AT37" i="26"/>
  <c r="AT42" i="26"/>
  <c r="AT44" i="26"/>
  <c r="AT34" i="26"/>
  <c r="AT33" i="26"/>
  <c r="AT39" i="26"/>
  <c r="AT46" i="26"/>
  <c r="AT41" i="26"/>
  <c r="AT47" i="26"/>
  <c r="AT40" i="26"/>
  <c r="AT38" i="26"/>
  <c r="AU35" i="26"/>
  <c r="AU43" i="26"/>
  <c r="AU36" i="26"/>
  <c r="AU24" i="28"/>
  <c r="AU49" i="26"/>
  <c r="AU37" i="26"/>
  <c r="AU42" i="26"/>
  <c r="AU44" i="26"/>
  <c r="AU34" i="26"/>
  <c r="AU33" i="26"/>
  <c r="AU39" i="26"/>
  <c r="AU46" i="26"/>
  <c r="AU41" i="26"/>
  <c r="AU47" i="26"/>
  <c r="AU40" i="26"/>
  <c r="AU38" i="26"/>
  <c r="AY35" i="26"/>
  <c r="AY43" i="26"/>
  <c r="AY36" i="26"/>
  <c r="AY24" i="28"/>
  <c r="AY49" i="26"/>
  <c r="AY37" i="26"/>
  <c r="AY42" i="26"/>
  <c r="AY44" i="26"/>
  <c r="AY34" i="26"/>
  <c r="AY33" i="26"/>
  <c r="AY39" i="26"/>
  <c r="AY46" i="26"/>
  <c r="AY41" i="26"/>
  <c r="AY47" i="26"/>
  <c r="AY40" i="26"/>
  <c r="AY38" i="26"/>
  <c r="AV35" i="26"/>
  <c r="AV43" i="26"/>
  <c r="AV36" i="26"/>
  <c r="AV24" i="28"/>
  <c r="AV49" i="26"/>
  <c r="AV37" i="26"/>
  <c r="AV42" i="26"/>
  <c r="AV44" i="26"/>
  <c r="AV34" i="26"/>
  <c r="AV33" i="26"/>
  <c r="AV39" i="26"/>
  <c r="AV46" i="26"/>
  <c r="AV41" i="26"/>
  <c r="AV47" i="26"/>
  <c r="AV40" i="26"/>
  <c r="AV38" i="26"/>
  <c r="AW35" i="26"/>
  <c r="AW43" i="26"/>
  <c r="AW36" i="26"/>
  <c r="AW24" i="28"/>
  <c r="AW49" i="26"/>
  <c r="AW37" i="26"/>
  <c r="AW42" i="26"/>
  <c r="AW44" i="26"/>
  <c r="AW34" i="26"/>
  <c r="AW33" i="26"/>
  <c r="AW39" i="26"/>
  <c r="AW46" i="26"/>
  <c r="AW41" i="26"/>
  <c r="AW47" i="26"/>
  <c r="AW40" i="26"/>
  <c r="AW38" i="26"/>
  <c r="AX35" i="26"/>
  <c r="AX43" i="26"/>
  <c r="AX36" i="26"/>
  <c r="AX24" i="28"/>
  <c r="AX49" i="26"/>
  <c r="AX37" i="26"/>
  <c r="AX42" i="26"/>
  <c r="AX44" i="26"/>
  <c r="AX34" i="26"/>
  <c r="AX33" i="26"/>
  <c r="AX39" i="26"/>
  <c r="AX46" i="26"/>
  <c r="AX41" i="26"/>
  <c r="AX47" i="26"/>
  <c r="AX40" i="26"/>
  <c r="AX38" i="26"/>
  <c r="D20" i="27"/>
  <c r="D19" i="27"/>
  <c r="D42" i="27" s="1"/>
  <c r="D18" i="27"/>
  <c r="D12" i="27"/>
  <c r="D11" i="27"/>
  <c r="D39" i="27" s="1"/>
  <c r="D8" i="27"/>
  <c r="D41" i="27" s="1"/>
  <c r="D5" i="27"/>
  <c r="AR35" i="26"/>
  <c r="AR43" i="26"/>
  <c r="AR36" i="26"/>
  <c r="AR25" i="28"/>
  <c r="AR24" i="28"/>
  <c r="AR49" i="26"/>
  <c r="AR37" i="26"/>
  <c r="AR42" i="26"/>
  <c r="AR44" i="26"/>
  <c r="AR34" i="26"/>
  <c r="AR33" i="26"/>
  <c r="AR39" i="26"/>
  <c r="AR46" i="26"/>
  <c r="AR41" i="26"/>
  <c r="AR47" i="26"/>
  <c r="AR40" i="26"/>
  <c r="AR38" i="26"/>
  <c r="E35" i="26"/>
  <c r="E43" i="26"/>
  <c r="E36" i="26"/>
  <c r="E49" i="26"/>
  <c r="E37" i="26"/>
  <c r="E42" i="26"/>
  <c r="E44" i="26"/>
  <c r="E34" i="26"/>
  <c r="E33" i="26"/>
  <c r="E39" i="26"/>
  <c r="E46" i="26"/>
  <c r="E41" i="26"/>
  <c r="E47" i="26"/>
  <c r="E40" i="26"/>
  <c r="E38" i="26"/>
  <c r="F35" i="26"/>
  <c r="F43" i="26"/>
  <c r="F36" i="26"/>
  <c r="F49" i="26"/>
  <c r="F37" i="26"/>
  <c r="F42" i="26"/>
  <c r="F44" i="26"/>
  <c r="F34" i="26"/>
  <c r="F33" i="26"/>
  <c r="F39" i="26"/>
  <c r="F46" i="26"/>
  <c r="F41" i="26"/>
  <c r="F47" i="26"/>
  <c r="F40" i="26"/>
  <c r="F38" i="26"/>
  <c r="G35" i="26"/>
  <c r="G43" i="26"/>
  <c r="G36" i="26"/>
  <c r="G49" i="26"/>
  <c r="G37" i="26"/>
  <c r="G42" i="26"/>
  <c r="G44" i="26"/>
  <c r="G34" i="26"/>
  <c r="G33" i="26"/>
  <c r="G39" i="26"/>
  <c r="G46" i="26"/>
  <c r="G41" i="26"/>
  <c r="G47" i="26"/>
  <c r="G40" i="26"/>
  <c r="G38" i="26"/>
  <c r="H35" i="26"/>
  <c r="H43" i="26"/>
  <c r="H36" i="26"/>
  <c r="H49" i="26"/>
  <c r="H37" i="26"/>
  <c r="H42" i="26"/>
  <c r="H44" i="26"/>
  <c r="H34" i="26"/>
  <c r="H33" i="26"/>
  <c r="H39" i="26"/>
  <c r="H46" i="26"/>
  <c r="H41" i="26"/>
  <c r="H47" i="26"/>
  <c r="H40" i="26"/>
  <c r="H38" i="26"/>
  <c r="I35" i="26"/>
  <c r="I43" i="26"/>
  <c r="I36" i="26"/>
  <c r="I49" i="26"/>
  <c r="I37" i="26"/>
  <c r="I42" i="26"/>
  <c r="I44" i="26"/>
  <c r="I34" i="26"/>
  <c r="I33" i="26"/>
  <c r="I39" i="26"/>
  <c r="I46" i="26"/>
  <c r="I41" i="26"/>
  <c r="I47" i="26"/>
  <c r="I40" i="26"/>
  <c r="I38" i="26"/>
  <c r="J35" i="26"/>
  <c r="J43" i="26"/>
  <c r="J36" i="26"/>
  <c r="J49" i="26"/>
  <c r="J37" i="26"/>
  <c r="J42" i="26"/>
  <c r="J44" i="26"/>
  <c r="J34" i="26"/>
  <c r="J33" i="26"/>
  <c r="J39" i="26"/>
  <c r="J46" i="26"/>
  <c r="J41" i="26"/>
  <c r="J47" i="26"/>
  <c r="J40" i="26"/>
  <c r="J38" i="26"/>
  <c r="AA35" i="26"/>
  <c r="AA43" i="26"/>
  <c r="AA36" i="26"/>
  <c r="AA49" i="26"/>
  <c r="AA37" i="26"/>
  <c r="AA42" i="26"/>
  <c r="AA44" i="26"/>
  <c r="AA34" i="26"/>
  <c r="AA33" i="26"/>
  <c r="AA39" i="26"/>
  <c r="AA46" i="26"/>
  <c r="AA41" i="26"/>
  <c r="AA47" i="26"/>
  <c r="AA40" i="26"/>
  <c r="AA38" i="26"/>
  <c r="K35" i="26"/>
  <c r="K43" i="26"/>
  <c r="K36" i="26"/>
  <c r="K49" i="26"/>
  <c r="K37" i="26"/>
  <c r="K42" i="26"/>
  <c r="K44" i="26"/>
  <c r="K34" i="26"/>
  <c r="K33" i="26"/>
  <c r="K39" i="26"/>
  <c r="K46" i="26"/>
  <c r="K41" i="26"/>
  <c r="K47" i="26"/>
  <c r="K40" i="26"/>
  <c r="K38" i="26"/>
  <c r="L35" i="26"/>
  <c r="L43" i="26"/>
  <c r="L36" i="26"/>
  <c r="L49" i="26"/>
  <c r="L37" i="26"/>
  <c r="L42" i="26"/>
  <c r="L44" i="26"/>
  <c r="L34" i="26"/>
  <c r="L33" i="26"/>
  <c r="L39" i="26"/>
  <c r="L46" i="26"/>
  <c r="L41" i="26"/>
  <c r="L47" i="26"/>
  <c r="L40" i="26"/>
  <c r="L38" i="26"/>
  <c r="M35" i="26"/>
  <c r="M43" i="26"/>
  <c r="M36" i="26"/>
  <c r="M49" i="26"/>
  <c r="M37" i="26"/>
  <c r="M42" i="26"/>
  <c r="M44" i="26"/>
  <c r="M34" i="26"/>
  <c r="M33" i="26"/>
  <c r="M39" i="26"/>
  <c r="M46" i="26"/>
  <c r="M41" i="26"/>
  <c r="M47" i="26"/>
  <c r="M40" i="26"/>
  <c r="M38" i="26"/>
  <c r="N35" i="26"/>
  <c r="N43" i="26"/>
  <c r="N36" i="26"/>
  <c r="N49" i="26"/>
  <c r="N37" i="26"/>
  <c r="N42" i="26"/>
  <c r="N44" i="26"/>
  <c r="N34" i="26"/>
  <c r="N33" i="26"/>
  <c r="N39" i="26"/>
  <c r="N46" i="26"/>
  <c r="N41" i="26"/>
  <c r="N47" i="26"/>
  <c r="N40" i="26"/>
  <c r="N38" i="26"/>
  <c r="O35" i="26"/>
  <c r="O43" i="26"/>
  <c r="O36" i="26"/>
  <c r="O49" i="26"/>
  <c r="O37" i="26"/>
  <c r="O42" i="26"/>
  <c r="O44" i="26"/>
  <c r="O34" i="26"/>
  <c r="O33" i="26"/>
  <c r="O39" i="26"/>
  <c r="O46" i="26"/>
  <c r="O41" i="26"/>
  <c r="O47" i="26"/>
  <c r="O40" i="26"/>
  <c r="O38" i="26"/>
  <c r="P35" i="26"/>
  <c r="P43" i="26"/>
  <c r="P36" i="26"/>
  <c r="P49" i="26"/>
  <c r="P37" i="26"/>
  <c r="P42" i="26"/>
  <c r="P44" i="26"/>
  <c r="P34" i="26"/>
  <c r="P33" i="26"/>
  <c r="P39" i="26"/>
  <c r="P46" i="26"/>
  <c r="P41" i="26"/>
  <c r="P47" i="26"/>
  <c r="P40" i="26"/>
  <c r="P38" i="26"/>
  <c r="Q35" i="26"/>
  <c r="Q43" i="26"/>
  <c r="Q36" i="26"/>
  <c r="Q49" i="26"/>
  <c r="Q37" i="26"/>
  <c r="Q42" i="26"/>
  <c r="Q44" i="26"/>
  <c r="Q34" i="26"/>
  <c r="Q33" i="26"/>
  <c r="Q39" i="26"/>
  <c r="Q46" i="26"/>
  <c r="Q41" i="26"/>
  <c r="Q47" i="26"/>
  <c r="Q40" i="26"/>
  <c r="Q38" i="26"/>
  <c r="R35" i="26"/>
  <c r="R43" i="26"/>
  <c r="R36" i="26"/>
  <c r="R49" i="26"/>
  <c r="R37" i="26"/>
  <c r="R42" i="26"/>
  <c r="R44" i="26"/>
  <c r="R34" i="26"/>
  <c r="R33" i="26"/>
  <c r="R39" i="26"/>
  <c r="R46" i="26"/>
  <c r="R41" i="26"/>
  <c r="R47" i="26"/>
  <c r="R40" i="26"/>
  <c r="R38" i="26"/>
  <c r="S35" i="26"/>
  <c r="S43" i="26"/>
  <c r="S36" i="26"/>
  <c r="S49" i="26"/>
  <c r="S37" i="26"/>
  <c r="S42" i="26"/>
  <c r="S44" i="26"/>
  <c r="S34" i="26"/>
  <c r="S33" i="26"/>
  <c r="S39" i="26"/>
  <c r="S46" i="26"/>
  <c r="S41" i="26"/>
  <c r="S47" i="26"/>
  <c r="S40" i="26"/>
  <c r="S38" i="26"/>
  <c r="T35" i="26"/>
  <c r="T43" i="26"/>
  <c r="T36" i="26"/>
  <c r="T49" i="26"/>
  <c r="T37" i="26"/>
  <c r="T42" i="26"/>
  <c r="T44" i="26"/>
  <c r="T34" i="26"/>
  <c r="T33" i="26"/>
  <c r="T39" i="26"/>
  <c r="T46" i="26"/>
  <c r="T41" i="26"/>
  <c r="T47" i="26"/>
  <c r="T40" i="26"/>
  <c r="T38" i="26"/>
  <c r="U35" i="26"/>
  <c r="U43" i="26"/>
  <c r="U36" i="26"/>
  <c r="U49" i="26"/>
  <c r="U37" i="26"/>
  <c r="U42" i="26"/>
  <c r="U44" i="26"/>
  <c r="U34" i="26"/>
  <c r="U33" i="26"/>
  <c r="U39" i="26"/>
  <c r="U46" i="26"/>
  <c r="U41" i="26"/>
  <c r="U47" i="26"/>
  <c r="U40" i="26"/>
  <c r="U38" i="26"/>
  <c r="V35" i="26"/>
  <c r="V43" i="26"/>
  <c r="V36" i="26"/>
  <c r="V49" i="26"/>
  <c r="V37" i="26"/>
  <c r="V42" i="26"/>
  <c r="V44" i="26"/>
  <c r="V34" i="26"/>
  <c r="V33" i="26"/>
  <c r="V39" i="26"/>
  <c r="V46" i="26"/>
  <c r="V41" i="26"/>
  <c r="V47" i="26"/>
  <c r="V40" i="26"/>
  <c r="V38" i="26"/>
  <c r="Z35" i="26"/>
  <c r="Z43" i="26"/>
  <c r="Z36" i="26"/>
  <c r="Z49" i="26"/>
  <c r="Z37" i="26"/>
  <c r="Z42" i="26"/>
  <c r="Z44" i="26"/>
  <c r="Z34" i="26"/>
  <c r="Z33" i="26"/>
  <c r="Z39" i="26"/>
  <c r="Z46" i="26"/>
  <c r="Z41" i="26"/>
  <c r="Z47" i="26"/>
  <c r="Z40" i="26"/>
  <c r="Z38" i="26"/>
  <c r="W35" i="26"/>
  <c r="W43" i="26"/>
  <c r="W36" i="26"/>
  <c r="W49" i="26"/>
  <c r="W37" i="26"/>
  <c r="W42" i="26"/>
  <c r="W44" i="26"/>
  <c r="W34" i="26"/>
  <c r="W33" i="26"/>
  <c r="W39" i="26"/>
  <c r="W46" i="26"/>
  <c r="W41" i="26"/>
  <c r="W47" i="26"/>
  <c r="W40" i="26"/>
  <c r="W38" i="26"/>
  <c r="X35" i="26"/>
  <c r="X43" i="26"/>
  <c r="X36" i="26"/>
  <c r="X49" i="26"/>
  <c r="X37" i="26"/>
  <c r="X42" i="26"/>
  <c r="X44" i="26"/>
  <c r="X34" i="26"/>
  <c r="X33" i="26"/>
  <c r="X39" i="26"/>
  <c r="X46" i="26"/>
  <c r="X41" i="26"/>
  <c r="X47" i="26"/>
  <c r="X40" i="26"/>
  <c r="X38" i="26"/>
  <c r="Y35" i="26"/>
  <c r="Y43" i="26"/>
  <c r="Y36" i="26"/>
  <c r="Y49" i="26"/>
  <c r="Y37" i="26"/>
  <c r="Y42" i="26"/>
  <c r="Y44" i="26"/>
  <c r="Y34" i="26"/>
  <c r="Y33" i="26"/>
  <c r="Y39" i="26"/>
  <c r="Y46" i="26"/>
  <c r="Y41" i="26"/>
  <c r="Y47" i="26"/>
  <c r="Y40" i="26"/>
  <c r="Y38" i="26"/>
  <c r="AE24" i="28"/>
  <c r="AH24" i="28"/>
  <c r="AL24" i="28"/>
  <c r="AM24" i="28"/>
  <c r="AP24" i="28"/>
  <c r="AT24" i="28"/>
  <c r="AE25" i="28"/>
  <c r="AF25" i="28"/>
  <c r="AG25" i="28"/>
  <c r="AH25" i="28"/>
  <c r="AI25" i="28"/>
  <c r="AJ25" i="28"/>
  <c r="AK25" i="28"/>
  <c r="AL25" i="28"/>
  <c r="AM25" i="28"/>
  <c r="AN25" i="28"/>
  <c r="AO25" i="28"/>
  <c r="AP25" i="28"/>
  <c r="AQ25" i="28"/>
  <c r="AS25" i="28"/>
  <c r="AT25" i="28"/>
  <c r="AU25" i="28"/>
  <c r="AV25" i="28"/>
  <c r="AW25" i="28"/>
  <c r="AX25" i="28"/>
  <c r="AY25" i="28"/>
  <c r="AZ25" i="28"/>
  <c r="AD32" i="26"/>
  <c r="AM64" i="28" l="1"/>
  <c r="AM50" i="28"/>
  <c r="AL55" i="28"/>
  <c r="AL69" i="28"/>
  <c r="AR55" i="28"/>
  <c r="AR69" i="28"/>
  <c r="AX55" i="28"/>
  <c r="AX69" i="28"/>
  <c r="AY69" i="28"/>
  <c r="AY55" i="28"/>
  <c r="AK55" i="28"/>
  <c r="AK69" i="28"/>
  <c r="AI55" i="28"/>
  <c r="AI69" i="28"/>
  <c r="AZ64" i="28"/>
  <c r="AZ50" i="28"/>
  <c r="AQ55" i="28"/>
  <c r="AQ69" i="28"/>
  <c r="AV50" i="28"/>
  <c r="AV64" i="28"/>
  <c r="AI50" i="28"/>
  <c r="AI64" i="28"/>
  <c r="AW55" i="28"/>
  <c r="AW69" i="28"/>
  <c r="AU55" i="28"/>
  <c r="AU69" i="28"/>
  <c r="AJ55" i="28"/>
  <c r="AJ69" i="28"/>
  <c r="AF31" i="27"/>
  <c r="AK50" i="28"/>
  <c r="AK64" i="28"/>
  <c r="AN69" i="28"/>
  <c r="AN55" i="28"/>
  <c r="D72" i="27"/>
  <c r="D58" i="27"/>
  <c r="D67" i="27"/>
  <c r="D53" i="27"/>
  <c r="D66" i="27"/>
  <c r="D63" i="27" s="1"/>
  <c r="D52" i="27"/>
  <c r="AR50" i="28"/>
  <c r="AR64" i="28"/>
  <c r="AW50" i="28"/>
  <c r="AW64" i="28"/>
  <c r="AU50" i="28"/>
  <c r="AU64" i="28"/>
  <c r="AT50" i="28"/>
  <c r="AT64" i="28"/>
  <c r="AG50" i="28"/>
  <c r="AG64" i="28"/>
  <c r="D68" i="27"/>
  <c r="D54" i="27"/>
  <c r="AV31" i="27"/>
  <c r="AH50" i="28"/>
  <c r="AH64" i="28"/>
  <c r="AS50" i="28"/>
  <c r="AS64" i="28"/>
  <c r="AF50" i="28"/>
  <c r="AF64" i="28"/>
  <c r="AG55" i="28"/>
  <c r="AG69" i="28"/>
  <c r="AH55" i="28"/>
  <c r="AH69" i="28"/>
  <c r="AE50" i="28"/>
  <c r="AE64" i="28"/>
  <c r="AV55" i="28"/>
  <c r="AV69" i="28"/>
  <c r="AZ69" i="28"/>
  <c r="AZ55" i="28"/>
  <c r="Z31" i="27"/>
  <c r="D73" i="27"/>
  <c r="D59" i="27"/>
  <c r="AY64" i="28"/>
  <c r="AY50" i="28"/>
  <c r="AE55" i="28"/>
  <c r="AE69" i="28"/>
  <c r="AJ50" i="28"/>
  <c r="AJ64" i="28"/>
  <c r="AQ50" i="28"/>
  <c r="AQ64" i="28"/>
  <c r="D74" i="27"/>
  <c r="D60" i="27"/>
  <c r="AP50" i="28"/>
  <c r="AP64" i="28"/>
  <c r="AT55" i="28"/>
  <c r="AT69" i="28"/>
  <c r="D75" i="27"/>
  <c r="D61" i="27"/>
  <c r="AO64" i="28"/>
  <c r="AO50" i="28"/>
  <c r="AP55" i="28"/>
  <c r="AP69" i="28"/>
  <c r="AO69" i="28"/>
  <c r="AO55" i="28"/>
  <c r="AL50" i="28"/>
  <c r="AL64" i="28"/>
  <c r="AX50" i="28"/>
  <c r="AX64" i="28"/>
  <c r="AN64" i="28"/>
  <c r="AN50" i="28"/>
  <c r="AM69" i="28"/>
  <c r="AM55" i="28"/>
  <c r="D70" i="27"/>
  <c r="D56" i="27"/>
  <c r="AS55" i="28"/>
  <c r="AS69" i="28"/>
  <c r="AF55" i="28"/>
  <c r="AF69" i="28"/>
  <c r="AH31" i="27"/>
  <c r="D45" i="26"/>
  <c r="D4" i="27"/>
  <c r="D40" i="27" s="1"/>
  <c r="D14" i="27"/>
  <c r="D34" i="27" s="1"/>
  <c r="D6" i="27"/>
  <c r="D47" i="27" s="1"/>
  <c r="C3" i="26"/>
  <c r="C32" i="26" s="1"/>
  <c r="D3" i="27"/>
  <c r="D32" i="27" s="1"/>
  <c r="D51" i="26"/>
  <c r="D65" i="26"/>
  <c r="D70" i="26"/>
  <c r="D56" i="26"/>
  <c r="D74" i="26"/>
  <c r="D60" i="26"/>
  <c r="D13" i="27"/>
  <c r="D33" i="27" s="1"/>
  <c r="D21" i="27"/>
  <c r="AX31" i="26"/>
  <c r="AW31" i="26"/>
  <c r="AV31" i="26"/>
  <c r="AY31" i="26"/>
  <c r="AU31" i="26"/>
  <c r="AT31" i="26"/>
  <c r="AS31" i="26"/>
  <c r="AQ31" i="26"/>
  <c r="AP31" i="26"/>
  <c r="AO31" i="26"/>
  <c r="AN31" i="26"/>
  <c r="AM31" i="26"/>
  <c r="AL31" i="26"/>
  <c r="AK31" i="26"/>
  <c r="AJ31" i="26"/>
  <c r="AZ31" i="26"/>
  <c r="AI31" i="26"/>
  <c r="AH31" i="26"/>
  <c r="AG31" i="26"/>
  <c r="AF31" i="26"/>
  <c r="AE31" i="26"/>
  <c r="D75" i="26"/>
  <c r="D61" i="26"/>
  <c r="D66" i="26"/>
  <c r="D52" i="26"/>
  <c r="D67" i="26"/>
  <c r="D53" i="26"/>
  <c r="D76" i="26"/>
  <c r="D62" i="26"/>
  <c r="K31" i="26"/>
  <c r="AA31" i="26"/>
  <c r="J31" i="26"/>
  <c r="I31" i="26"/>
  <c r="H31" i="26"/>
  <c r="G31" i="26"/>
  <c r="F31" i="26"/>
  <c r="E31" i="26"/>
  <c r="AR31" i="26"/>
  <c r="D22" i="27"/>
  <c r="D37" i="27" s="1"/>
  <c r="D68" i="26"/>
  <c r="D54" i="26"/>
  <c r="D69" i="26"/>
  <c r="D55" i="26"/>
  <c r="D73" i="26"/>
  <c r="D59" i="26"/>
  <c r="D15" i="27"/>
  <c r="D44" i="27" s="1"/>
  <c r="D71" i="26"/>
  <c r="D57" i="26"/>
  <c r="D64" i="26"/>
  <c r="D50" i="26"/>
  <c r="D72" i="26"/>
  <c r="D58" i="26"/>
  <c r="X45" i="26"/>
  <c r="V45" i="26"/>
  <c r="U62" i="26"/>
  <c r="U76" i="26"/>
  <c r="T7" i="27"/>
  <c r="T73" i="26"/>
  <c r="T59" i="26"/>
  <c r="T76" i="26"/>
  <c r="T62" i="26"/>
  <c r="S7" i="27"/>
  <c r="S73" i="26"/>
  <c r="S59" i="26"/>
  <c r="S76" i="26"/>
  <c r="S62" i="26"/>
  <c r="R7" i="27"/>
  <c r="R73" i="26"/>
  <c r="R59" i="26"/>
  <c r="R76" i="26"/>
  <c r="R62" i="26"/>
  <c r="Q7" i="27"/>
  <c r="Q73" i="26"/>
  <c r="Q59" i="26"/>
  <c r="Q76" i="26"/>
  <c r="Q62" i="26"/>
  <c r="P7" i="27"/>
  <c r="P73" i="26"/>
  <c r="P59" i="26"/>
  <c r="P76" i="26"/>
  <c r="P62" i="26"/>
  <c r="O7" i="27"/>
  <c r="O73" i="26"/>
  <c r="O59" i="26"/>
  <c r="O76" i="26"/>
  <c r="O62" i="26"/>
  <c r="N7" i="27"/>
  <c r="N73" i="26"/>
  <c r="N59" i="26"/>
  <c r="N76" i="26"/>
  <c r="N62" i="26"/>
  <c r="M7" i="27"/>
  <c r="M73" i="26"/>
  <c r="M59" i="26"/>
  <c r="M76" i="26"/>
  <c r="M62" i="26"/>
  <c r="L7" i="27"/>
  <c r="L73" i="26"/>
  <c r="L59" i="26"/>
  <c r="Z45" i="26"/>
  <c r="U45" i="26"/>
  <c r="Y7" i="27"/>
  <c r="Y73" i="26"/>
  <c r="Y59" i="26"/>
  <c r="Y76" i="26"/>
  <c r="Y62" i="26"/>
  <c r="X7" i="27"/>
  <c r="X73" i="26"/>
  <c r="X59" i="26"/>
  <c r="X76" i="26"/>
  <c r="X62" i="26"/>
  <c r="W7" i="27"/>
  <c r="W73" i="26"/>
  <c r="W59" i="26"/>
  <c r="W76" i="26"/>
  <c r="W62" i="26"/>
  <c r="Z7" i="27"/>
  <c r="Z73" i="26"/>
  <c r="Z59" i="26"/>
  <c r="Z76" i="26"/>
  <c r="Z62" i="26"/>
  <c r="V7" i="27"/>
  <c r="V73" i="26"/>
  <c r="V59" i="26"/>
  <c r="V76" i="26"/>
  <c r="V62" i="26"/>
  <c r="U7" i="27"/>
  <c r="U73" i="26"/>
  <c r="U59" i="26"/>
  <c r="Y12" i="27"/>
  <c r="Y60" i="26"/>
  <c r="Y74" i="26"/>
  <c r="Y16" i="27"/>
  <c r="Y72" i="26"/>
  <c r="Y58" i="26"/>
  <c r="Y20" i="27"/>
  <c r="Y70" i="26"/>
  <c r="Y56" i="26"/>
  <c r="Y69" i="26"/>
  <c r="Y55" i="26"/>
  <c r="X12" i="27"/>
  <c r="X74" i="26"/>
  <c r="X60" i="26"/>
  <c r="X16" i="27"/>
  <c r="X72" i="26"/>
  <c r="X58" i="26"/>
  <c r="X20" i="27"/>
  <c r="X70" i="26"/>
  <c r="X56" i="26"/>
  <c r="X69" i="26"/>
  <c r="X55" i="26"/>
  <c r="W12" i="27"/>
  <c r="W74" i="26"/>
  <c r="W60" i="26"/>
  <c r="W16" i="27"/>
  <c r="W72" i="26"/>
  <c r="W58" i="26"/>
  <c r="W20" i="27"/>
  <c r="W70" i="26"/>
  <c r="W56" i="26"/>
  <c r="W69" i="26"/>
  <c r="W55" i="26"/>
  <c r="Z12" i="27"/>
  <c r="Z74" i="26"/>
  <c r="Z60" i="26"/>
  <c r="Z16" i="27"/>
  <c r="Z72" i="26"/>
  <c r="Z58" i="26"/>
  <c r="Z20" i="27"/>
  <c r="Z70" i="26"/>
  <c r="Z56" i="26"/>
  <c r="Z69" i="26"/>
  <c r="Z55" i="26"/>
  <c r="V12" i="27"/>
  <c r="V74" i="26"/>
  <c r="V60" i="26"/>
  <c r="V16" i="27"/>
  <c r="V72" i="26"/>
  <c r="V58" i="26"/>
  <c r="V20" i="27"/>
  <c r="V70" i="26"/>
  <c r="V56" i="26"/>
  <c r="V69" i="26"/>
  <c r="V55" i="26"/>
  <c r="U12" i="27"/>
  <c r="U74" i="26"/>
  <c r="U60" i="26"/>
  <c r="U16" i="27"/>
  <c r="U72" i="26"/>
  <c r="U58" i="26"/>
  <c r="U20" i="27"/>
  <c r="U70" i="26"/>
  <c r="U56" i="26"/>
  <c r="U69" i="26"/>
  <c r="U55" i="26"/>
  <c r="T12" i="27"/>
  <c r="T74" i="26"/>
  <c r="T60" i="26"/>
  <c r="T16" i="27"/>
  <c r="T72" i="26"/>
  <c r="T58" i="26"/>
  <c r="T20" i="27"/>
  <c r="T70" i="26"/>
  <c r="T56" i="26"/>
  <c r="T69" i="26"/>
  <c r="T55" i="26"/>
  <c r="S12" i="27"/>
  <c r="S74" i="26"/>
  <c r="S60" i="26"/>
  <c r="S16" i="27"/>
  <c r="S72" i="26"/>
  <c r="S58" i="26"/>
  <c r="S20" i="27"/>
  <c r="S70" i="26"/>
  <c r="S56" i="26"/>
  <c r="S69" i="26"/>
  <c r="S55" i="26"/>
  <c r="R12" i="27"/>
  <c r="R74" i="26"/>
  <c r="R60" i="26"/>
  <c r="R16" i="27"/>
  <c r="R72" i="26"/>
  <c r="R58" i="26"/>
  <c r="R20" i="27"/>
  <c r="R70" i="26"/>
  <c r="R56" i="26"/>
  <c r="R69" i="26"/>
  <c r="R55" i="26"/>
  <c r="Y45" i="26"/>
  <c r="W18" i="27"/>
  <c r="W75" i="26"/>
  <c r="W61" i="26"/>
  <c r="Z18" i="27"/>
  <c r="Z75" i="26"/>
  <c r="Z61" i="26"/>
  <c r="V18" i="27"/>
  <c r="V75" i="26"/>
  <c r="V61" i="26"/>
  <c r="U18" i="27"/>
  <c r="U75" i="26"/>
  <c r="U61" i="26"/>
  <c r="T45" i="26"/>
  <c r="Y5" i="27"/>
  <c r="Y67" i="26"/>
  <c r="Y53" i="26"/>
  <c r="Y9" i="27"/>
  <c r="Y68" i="26"/>
  <c r="Y54" i="26"/>
  <c r="Y31" i="26"/>
  <c r="Y17" i="27"/>
  <c r="Y66" i="26"/>
  <c r="Y52" i="26"/>
  <c r="Y21" i="27"/>
  <c r="Y65" i="26"/>
  <c r="Y51" i="26"/>
  <c r="Y64" i="26"/>
  <c r="Y50" i="26"/>
  <c r="Y71" i="26"/>
  <c r="Y57" i="26"/>
  <c r="X5" i="27"/>
  <c r="X67" i="26"/>
  <c r="X53" i="26"/>
  <c r="X9" i="27"/>
  <c r="X68" i="26"/>
  <c r="X54" i="26"/>
  <c r="X31" i="26"/>
  <c r="X17" i="27"/>
  <c r="X66" i="26"/>
  <c r="X52" i="26"/>
  <c r="X21" i="27"/>
  <c r="X65" i="26"/>
  <c r="X51" i="26"/>
  <c r="X64" i="26"/>
  <c r="X50" i="26"/>
  <c r="X71" i="26"/>
  <c r="X57" i="26"/>
  <c r="W5" i="27"/>
  <c r="W67" i="26"/>
  <c r="W53" i="26"/>
  <c r="W9" i="27"/>
  <c r="W68" i="26"/>
  <c r="W54" i="26"/>
  <c r="W31" i="26"/>
  <c r="W17" i="27"/>
  <c r="W66" i="26"/>
  <c r="W52" i="26"/>
  <c r="W21" i="27"/>
  <c r="W65" i="26"/>
  <c r="W51" i="26"/>
  <c r="W64" i="26"/>
  <c r="W50" i="26"/>
  <c r="W71" i="26"/>
  <c r="W57" i="26"/>
  <c r="Z5" i="27"/>
  <c r="Z67" i="26"/>
  <c r="Z53" i="26"/>
  <c r="Z9" i="27"/>
  <c r="Z68" i="26"/>
  <c r="Z54" i="26"/>
  <c r="Z31" i="26"/>
  <c r="Z17" i="27"/>
  <c r="Z66" i="26"/>
  <c r="Z52" i="26"/>
  <c r="Z21" i="27"/>
  <c r="Z65" i="26"/>
  <c r="Z51" i="26"/>
  <c r="Z64" i="26"/>
  <c r="Z50" i="26"/>
  <c r="Z71" i="26"/>
  <c r="Z57" i="26"/>
  <c r="V5" i="27"/>
  <c r="V67" i="26"/>
  <c r="V53" i="26"/>
  <c r="V9" i="27"/>
  <c r="V68" i="26"/>
  <c r="V54" i="26"/>
  <c r="V31" i="26"/>
  <c r="V17" i="27"/>
  <c r="V66" i="26"/>
  <c r="V52" i="26"/>
  <c r="V21" i="27"/>
  <c r="V65" i="26"/>
  <c r="V51" i="26"/>
  <c r="V64" i="26"/>
  <c r="V50" i="26"/>
  <c r="V71" i="26"/>
  <c r="V57" i="26"/>
  <c r="U5" i="27"/>
  <c r="U67" i="26"/>
  <c r="U53" i="26"/>
  <c r="U9" i="27"/>
  <c r="U68" i="26"/>
  <c r="U54" i="26"/>
  <c r="U31" i="26"/>
  <c r="U17" i="27"/>
  <c r="U66" i="26"/>
  <c r="U52" i="26"/>
  <c r="U21" i="27"/>
  <c r="U65" i="26"/>
  <c r="U51" i="26"/>
  <c r="U64" i="26"/>
  <c r="U50" i="26"/>
  <c r="U71" i="26"/>
  <c r="U57" i="26"/>
  <c r="T5" i="27"/>
  <c r="T67" i="26"/>
  <c r="T53" i="26"/>
  <c r="T9" i="27"/>
  <c r="T68" i="26"/>
  <c r="T54" i="26"/>
  <c r="T31" i="26"/>
  <c r="T17" i="27"/>
  <c r="T66" i="26"/>
  <c r="T52" i="26"/>
  <c r="T21" i="27"/>
  <c r="T65" i="26"/>
  <c r="T51" i="26"/>
  <c r="T50" i="26"/>
  <c r="T64" i="26"/>
  <c r="T71" i="26"/>
  <c r="T57" i="26"/>
  <c r="S5" i="27"/>
  <c r="S67" i="26"/>
  <c r="S53" i="26"/>
  <c r="S9" i="27"/>
  <c r="S68" i="26"/>
  <c r="S54" i="26"/>
  <c r="S31" i="26"/>
  <c r="S17" i="27"/>
  <c r="S66" i="26"/>
  <c r="S52" i="26"/>
  <c r="S21" i="27"/>
  <c r="S65" i="26"/>
  <c r="S51" i="26"/>
  <c r="S64" i="26"/>
  <c r="S50" i="26"/>
  <c r="S71" i="26"/>
  <c r="S57" i="26"/>
  <c r="R5" i="27"/>
  <c r="R67" i="26"/>
  <c r="R53" i="26"/>
  <c r="R9" i="27"/>
  <c r="R68" i="26"/>
  <c r="R54" i="26"/>
  <c r="R31" i="26"/>
  <c r="R17" i="27"/>
  <c r="R66" i="26"/>
  <c r="R52" i="26"/>
  <c r="R21" i="27"/>
  <c r="R65" i="26"/>
  <c r="R51" i="26"/>
  <c r="R64" i="26"/>
  <c r="R50" i="26"/>
  <c r="R71" i="26"/>
  <c r="R57" i="26"/>
  <c r="Q5" i="27"/>
  <c r="Q67" i="26"/>
  <c r="Q53" i="26"/>
  <c r="Q9" i="27"/>
  <c r="Q68" i="26"/>
  <c r="Q54" i="26"/>
  <c r="Q31" i="26"/>
  <c r="Q17" i="27"/>
  <c r="Q66" i="26"/>
  <c r="Q52" i="26"/>
  <c r="Q21" i="27"/>
  <c r="Q65" i="26"/>
  <c r="Q51" i="26"/>
  <c r="Q64" i="26"/>
  <c r="Q50" i="26"/>
  <c r="Q71" i="26"/>
  <c r="Q57" i="26"/>
  <c r="P5" i="27"/>
  <c r="P67" i="26"/>
  <c r="P53" i="26"/>
  <c r="P9" i="27"/>
  <c r="P68" i="26"/>
  <c r="P54" i="26"/>
  <c r="P31" i="26"/>
  <c r="P17" i="27"/>
  <c r="P66" i="26"/>
  <c r="P52" i="26"/>
  <c r="P21" i="27"/>
  <c r="P65" i="26"/>
  <c r="P51" i="26"/>
  <c r="P64" i="26"/>
  <c r="P50" i="26"/>
  <c r="P71" i="26"/>
  <c r="P57" i="26"/>
  <c r="O5" i="27"/>
  <c r="O67" i="26"/>
  <c r="O53" i="26"/>
  <c r="O9" i="27"/>
  <c r="O68" i="26"/>
  <c r="O54" i="26"/>
  <c r="O31" i="26"/>
  <c r="O17" i="27"/>
  <c r="O66" i="26"/>
  <c r="O52" i="26"/>
  <c r="O21" i="27"/>
  <c r="O65" i="26"/>
  <c r="O51" i="26"/>
  <c r="O64" i="26"/>
  <c r="O50" i="26"/>
  <c r="O71" i="26"/>
  <c r="O57" i="26"/>
  <c r="N5" i="27"/>
  <c r="N67" i="26"/>
  <c r="N53" i="26"/>
  <c r="N9" i="27"/>
  <c r="N68" i="26"/>
  <c r="N54" i="26"/>
  <c r="N31" i="26"/>
  <c r="N17" i="27"/>
  <c r="N66" i="26"/>
  <c r="N52" i="26"/>
  <c r="N21" i="27"/>
  <c r="N65" i="26"/>
  <c r="N51" i="26"/>
  <c r="N64" i="26"/>
  <c r="N50" i="26"/>
  <c r="N71" i="26"/>
  <c r="N57" i="26"/>
  <c r="M5" i="27"/>
  <c r="M67" i="26"/>
  <c r="M53" i="26"/>
  <c r="M9" i="27"/>
  <c r="M68" i="26"/>
  <c r="M54" i="26"/>
  <c r="M31" i="26"/>
  <c r="M17" i="27"/>
  <c r="M66" i="26"/>
  <c r="M52" i="26"/>
  <c r="M21" i="27"/>
  <c r="M65" i="26"/>
  <c r="M51" i="26"/>
  <c r="M64" i="26"/>
  <c r="M50" i="26"/>
  <c r="M71" i="26"/>
  <c r="M57" i="26"/>
  <c r="L5" i="27"/>
  <c r="L67" i="26"/>
  <c r="L53" i="26"/>
  <c r="L9" i="27"/>
  <c r="L68" i="26"/>
  <c r="L54" i="26"/>
  <c r="L31" i="26"/>
  <c r="L17" i="27"/>
  <c r="L66" i="26"/>
  <c r="L52" i="26"/>
  <c r="L21" i="27"/>
  <c r="L65" i="26"/>
  <c r="L51" i="26"/>
  <c r="L64" i="26"/>
  <c r="L50" i="26"/>
  <c r="L71" i="26"/>
  <c r="L57" i="26"/>
  <c r="K5" i="27"/>
  <c r="K67" i="26"/>
  <c r="K53" i="26"/>
  <c r="K9" i="27"/>
  <c r="K68" i="26"/>
  <c r="K54" i="26"/>
  <c r="K17" i="27"/>
  <c r="K66" i="26"/>
  <c r="K52" i="26"/>
  <c r="K21" i="27"/>
  <c r="K65" i="26"/>
  <c r="K51" i="26"/>
  <c r="K64" i="26"/>
  <c r="K50" i="26"/>
  <c r="K71" i="26"/>
  <c r="K57" i="26"/>
  <c r="AA5" i="27"/>
  <c r="AA67" i="26"/>
  <c r="AA53" i="26"/>
  <c r="AA9" i="27"/>
  <c r="AA68" i="26"/>
  <c r="AA54" i="26"/>
  <c r="AA17" i="27"/>
  <c r="AA66" i="26"/>
  <c r="AA52" i="26"/>
  <c r="AA21" i="27"/>
  <c r="AA65" i="26"/>
  <c r="AA51" i="26"/>
  <c r="AA64" i="26"/>
  <c r="AA50" i="26"/>
  <c r="AA71" i="26"/>
  <c r="AA57" i="26"/>
  <c r="J5" i="27"/>
  <c r="J67" i="26"/>
  <c r="J53" i="26"/>
  <c r="J9" i="27"/>
  <c r="J68" i="26"/>
  <c r="J54" i="26"/>
  <c r="J17" i="27"/>
  <c r="J66" i="26"/>
  <c r="J52" i="26"/>
  <c r="J21" i="27"/>
  <c r="J65" i="26"/>
  <c r="J51" i="26"/>
  <c r="J64" i="26"/>
  <c r="J50" i="26"/>
  <c r="Y18" i="27"/>
  <c r="Y75" i="26"/>
  <c r="Y61" i="26"/>
  <c r="X18" i="27"/>
  <c r="X75" i="26"/>
  <c r="X61" i="26"/>
  <c r="W45" i="26"/>
  <c r="T18" i="27"/>
  <c r="T75" i="26"/>
  <c r="T61" i="26"/>
  <c r="S45" i="26"/>
  <c r="S18" i="27"/>
  <c r="S75" i="26"/>
  <c r="S61" i="26"/>
  <c r="R45" i="26"/>
  <c r="R18" i="27"/>
  <c r="R75" i="26"/>
  <c r="R61" i="26"/>
  <c r="Q45" i="26"/>
  <c r="Q18" i="27"/>
  <c r="Q75" i="26"/>
  <c r="Q61" i="26"/>
  <c r="P45" i="26"/>
  <c r="P18" i="27"/>
  <c r="P75" i="26"/>
  <c r="P61" i="26"/>
  <c r="O45" i="26"/>
  <c r="O18" i="27"/>
  <c r="O75" i="26"/>
  <c r="O61" i="26"/>
  <c r="Q12" i="27"/>
  <c r="Q74" i="26"/>
  <c r="Q60" i="26"/>
  <c r="Q16" i="27"/>
  <c r="Q72" i="26"/>
  <c r="Q58" i="26"/>
  <c r="Q20" i="27"/>
  <c r="Q70" i="26"/>
  <c r="Q56" i="26"/>
  <c r="Q69" i="26"/>
  <c r="Q55" i="26"/>
  <c r="P12" i="27"/>
  <c r="P74" i="26"/>
  <c r="P60" i="26"/>
  <c r="P16" i="27"/>
  <c r="P72" i="26"/>
  <c r="P58" i="26"/>
  <c r="P20" i="27"/>
  <c r="P70" i="26"/>
  <c r="P56" i="26"/>
  <c r="P69" i="26"/>
  <c r="P55" i="26"/>
  <c r="O12" i="27"/>
  <c r="O74" i="26"/>
  <c r="O60" i="26"/>
  <c r="O16" i="27"/>
  <c r="O72" i="26"/>
  <c r="O58" i="26"/>
  <c r="O20" i="27"/>
  <c r="O70" i="26"/>
  <c r="O56" i="26"/>
  <c r="O69" i="26"/>
  <c r="O55" i="26"/>
  <c r="N12" i="27"/>
  <c r="N74" i="26"/>
  <c r="N60" i="26"/>
  <c r="N16" i="27"/>
  <c r="N72" i="26"/>
  <c r="N58" i="26"/>
  <c r="N20" i="27"/>
  <c r="N70" i="26"/>
  <c r="N56" i="26"/>
  <c r="N69" i="26"/>
  <c r="N55" i="26"/>
  <c r="M12" i="27"/>
  <c r="M74" i="26"/>
  <c r="M60" i="26"/>
  <c r="M16" i="27"/>
  <c r="M72" i="26"/>
  <c r="M58" i="26"/>
  <c r="M20" i="27"/>
  <c r="M70" i="26"/>
  <c r="M56" i="26"/>
  <c r="M69" i="26"/>
  <c r="M55" i="26"/>
  <c r="L12" i="27"/>
  <c r="L74" i="26"/>
  <c r="L60" i="26"/>
  <c r="L16" i="27"/>
  <c r="L72" i="26"/>
  <c r="L58" i="26"/>
  <c r="L20" i="27"/>
  <c r="L70" i="26"/>
  <c r="L56" i="26"/>
  <c r="L69" i="26"/>
  <c r="L55" i="26"/>
  <c r="K12" i="27"/>
  <c r="K74" i="26"/>
  <c r="K60" i="26"/>
  <c r="K16" i="27"/>
  <c r="K72" i="26"/>
  <c r="K58" i="26"/>
  <c r="K20" i="27"/>
  <c r="K70" i="26"/>
  <c r="K56" i="26"/>
  <c r="K69" i="26"/>
  <c r="K55" i="26"/>
  <c r="AA12" i="27"/>
  <c r="AA74" i="26"/>
  <c r="AA60" i="26"/>
  <c r="AA16" i="27"/>
  <c r="AA72" i="26"/>
  <c r="AA58" i="26"/>
  <c r="AA20" i="27"/>
  <c r="AA70" i="26"/>
  <c r="AA56" i="26"/>
  <c r="AA69" i="26"/>
  <c r="AA55" i="26"/>
  <c r="J12" i="27"/>
  <c r="J74" i="26"/>
  <c r="J60" i="26"/>
  <c r="J16" i="27"/>
  <c r="J72" i="26"/>
  <c r="J58" i="26"/>
  <c r="J20" i="27"/>
  <c r="J70" i="26"/>
  <c r="J56" i="26"/>
  <c r="J69" i="26"/>
  <c r="J55" i="26"/>
  <c r="I12" i="27"/>
  <c r="I74" i="26"/>
  <c r="I60" i="26"/>
  <c r="I16" i="27"/>
  <c r="I72" i="26"/>
  <c r="I58" i="26"/>
  <c r="I20" i="27"/>
  <c r="I70" i="26"/>
  <c r="I56" i="26"/>
  <c r="I69" i="26"/>
  <c r="I55" i="26"/>
  <c r="H12" i="27"/>
  <c r="H74" i="26"/>
  <c r="H60" i="26"/>
  <c r="H16" i="27"/>
  <c r="H72" i="26"/>
  <c r="H58" i="26"/>
  <c r="H20" i="27"/>
  <c r="H70" i="26"/>
  <c r="H56" i="26"/>
  <c r="H69" i="26"/>
  <c r="H55" i="26"/>
  <c r="G12" i="27"/>
  <c r="G74" i="26"/>
  <c r="G60" i="26"/>
  <c r="G16" i="27"/>
  <c r="G72" i="26"/>
  <c r="G58" i="26"/>
  <c r="G20" i="27"/>
  <c r="G70" i="26"/>
  <c r="G56" i="26"/>
  <c r="G69" i="26"/>
  <c r="G55" i="26"/>
  <c r="F12" i="27"/>
  <c r="F74" i="26"/>
  <c r="F60" i="26"/>
  <c r="F16" i="27"/>
  <c r="F72" i="26"/>
  <c r="F58" i="26"/>
  <c r="F20" i="27"/>
  <c r="F70" i="26"/>
  <c r="F56" i="26"/>
  <c r="F69" i="26"/>
  <c r="F55" i="26"/>
  <c r="E12" i="27"/>
  <c r="E74" i="26"/>
  <c r="E60" i="26"/>
  <c r="E16" i="27"/>
  <c r="E72" i="26"/>
  <c r="E58" i="26"/>
  <c r="E20" i="27"/>
  <c r="E70" i="26"/>
  <c r="E56" i="26"/>
  <c r="E69" i="26"/>
  <c r="E55" i="26"/>
  <c r="AR74" i="26"/>
  <c r="AR60" i="26"/>
  <c r="AR72" i="26"/>
  <c r="AR58" i="26"/>
  <c r="AR70" i="26"/>
  <c r="AR56" i="26"/>
  <c r="AR69" i="26"/>
  <c r="AR55" i="26"/>
  <c r="AX67" i="26"/>
  <c r="AX53" i="26"/>
  <c r="AX68" i="26"/>
  <c r="AX54" i="26"/>
  <c r="AX66" i="26"/>
  <c r="AX52" i="26"/>
  <c r="AX65" i="26"/>
  <c r="AX51" i="26"/>
  <c r="AX64" i="26"/>
  <c r="AX50" i="26"/>
  <c r="AX71" i="26"/>
  <c r="AX57" i="26"/>
  <c r="AW67" i="26"/>
  <c r="AW53" i="26"/>
  <c r="AW68" i="26"/>
  <c r="AW54" i="26"/>
  <c r="AW66" i="26"/>
  <c r="AW52" i="26"/>
  <c r="AW65" i="26"/>
  <c r="AW51" i="26"/>
  <c r="AW64" i="26"/>
  <c r="AW50" i="26"/>
  <c r="AW71" i="26"/>
  <c r="AW57" i="26"/>
  <c r="AV67" i="26"/>
  <c r="AV53" i="26"/>
  <c r="AV68" i="26"/>
  <c r="AV54" i="26"/>
  <c r="AV66" i="26"/>
  <c r="AV52" i="26"/>
  <c r="AV65" i="26"/>
  <c r="AV51" i="26"/>
  <c r="AV64" i="26"/>
  <c r="AV50" i="26"/>
  <c r="AV71" i="26"/>
  <c r="AV57" i="26"/>
  <c r="AY67" i="26"/>
  <c r="AY53" i="26"/>
  <c r="AY68" i="26"/>
  <c r="AY54" i="26"/>
  <c r="AY66" i="26"/>
  <c r="AY52" i="26"/>
  <c r="AY65" i="26"/>
  <c r="AY51" i="26"/>
  <c r="AY64" i="26"/>
  <c r="AY50" i="26"/>
  <c r="AY71" i="26"/>
  <c r="AY57" i="26"/>
  <c r="AU67" i="26"/>
  <c r="AU53" i="26"/>
  <c r="AU68" i="26"/>
  <c r="AU54" i="26"/>
  <c r="AU66" i="26"/>
  <c r="AU52" i="26"/>
  <c r="AU65" i="26"/>
  <c r="AU51" i="26"/>
  <c r="AU64" i="26"/>
  <c r="AU50" i="26"/>
  <c r="AU57" i="26"/>
  <c r="AU71" i="26"/>
  <c r="AT67" i="26"/>
  <c r="AT53" i="26"/>
  <c r="AT68" i="26"/>
  <c r="AT54" i="26"/>
  <c r="AT66" i="26"/>
  <c r="AT52" i="26"/>
  <c r="AT65" i="26"/>
  <c r="AT51" i="26"/>
  <c r="AT64" i="26"/>
  <c r="AT50" i="26"/>
  <c r="AT71" i="26"/>
  <c r="AT57" i="26"/>
  <c r="AS67" i="26"/>
  <c r="AS53" i="26"/>
  <c r="AS68" i="26"/>
  <c r="AS54" i="26"/>
  <c r="AS66" i="26"/>
  <c r="AS52" i="26"/>
  <c r="AS65" i="26"/>
  <c r="AS51" i="26"/>
  <c r="AS64" i="26"/>
  <c r="AS50" i="26"/>
  <c r="AS71" i="26"/>
  <c r="AS57" i="26"/>
  <c r="AQ67" i="26"/>
  <c r="AQ53" i="26"/>
  <c r="AQ68" i="26"/>
  <c r="AQ54" i="26"/>
  <c r="AQ66" i="26"/>
  <c r="AQ52" i="26"/>
  <c r="AQ65" i="26"/>
  <c r="AQ51" i="26"/>
  <c r="AQ64" i="26"/>
  <c r="AQ50" i="26"/>
  <c r="AQ71" i="26"/>
  <c r="AQ57" i="26"/>
  <c r="AP67" i="26"/>
  <c r="AP53" i="26"/>
  <c r="AP68" i="26"/>
  <c r="AP54" i="26"/>
  <c r="AP66" i="26"/>
  <c r="AP52" i="26"/>
  <c r="AP65" i="26"/>
  <c r="AP51" i="26"/>
  <c r="AP64" i="26"/>
  <c r="AP50" i="26"/>
  <c r="AP71" i="26"/>
  <c r="AP57" i="26"/>
  <c r="AO67" i="26"/>
  <c r="AO53" i="26"/>
  <c r="AO68" i="26"/>
  <c r="AO54" i="26"/>
  <c r="AO66" i="26"/>
  <c r="AO52" i="26"/>
  <c r="AO65" i="26"/>
  <c r="AO51" i="26"/>
  <c r="AO64" i="26"/>
  <c r="AO50" i="26"/>
  <c r="AO71" i="26"/>
  <c r="AO57" i="26"/>
  <c r="AN67" i="26"/>
  <c r="AN53" i="26"/>
  <c r="AN68" i="26"/>
  <c r="AN54" i="26"/>
  <c r="AN66" i="26"/>
  <c r="AN52" i="26"/>
  <c r="AN65" i="26"/>
  <c r="AN51" i="26"/>
  <c r="AN64" i="26"/>
  <c r="AN50" i="26"/>
  <c r="AN71" i="26"/>
  <c r="AN57" i="26"/>
  <c r="AM67" i="26"/>
  <c r="AM53" i="26"/>
  <c r="AM68" i="26"/>
  <c r="AM54" i="26"/>
  <c r="AM66" i="26"/>
  <c r="AM52" i="26"/>
  <c r="AM65" i="26"/>
  <c r="AM51" i="26"/>
  <c r="AM64" i="26"/>
  <c r="AM50" i="26"/>
  <c r="AM71" i="26"/>
  <c r="AM57" i="26"/>
  <c r="AL67" i="26"/>
  <c r="AL53" i="26"/>
  <c r="AL68" i="26"/>
  <c r="AL54" i="26"/>
  <c r="AL66" i="26"/>
  <c r="AL52" i="26"/>
  <c r="AL65" i="26"/>
  <c r="AL51" i="26"/>
  <c r="AL64" i="26"/>
  <c r="AL50" i="26"/>
  <c r="AL71" i="26"/>
  <c r="AL57" i="26"/>
  <c r="AK67" i="26"/>
  <c r="AK53" i="26"/>
  <c r="AK68" i="26"/>
  <c r="AK54" i="26"/>
  <c r="AK66" i="26"/>
  <c r="AK52" i="26"/>
  <c r="AK65" i="26"/>
  <c r="AK51" i="26"/>
  <c r="AK64" i="26"/>
  <c r="AK50" i="26"/>
  <c r="AK71" i="26"/>
  <c r="AK57" i="26"/>
  <c r="AJ67" i="26"/>
  <c r="AJ53" i="26"/>
  <c r="AJ68" i="26"/>
  <c r="AJ54" i="26"/>
  <c r="AJ66" i="26"/>
  <c r="AJ52" i="26"/>
  <c r="AJ65" i="26"/>
  <c r="AJ51" i="26"/>
  <c r="AJ50" i="26"/>
  <c r="AJ64" i="26"/>
  <c r="AJ71" i="26"/>
  <c r="AJ57" i="26"/>
  <c r="AZ67" i="26"/>
  <c r="AZ53" i="26"/>
  <c r="AZ68" i="26"/>
  <c r="AZ54" i="26"/>
  <c r="AZ66" i="26"/>
  <c r="AZ52" i="26"/>
  <c r="AZ65" i="26"/>
  <c r="AZ51" i="26"/>
  <c r="AZ50" i="26"/>
  <c r="AZ64" i="26"/>
  <c r="AZ71" i="26"/>
  <c r="AZ57" i="26"/>
  <c r="AI67" i="26"/>
  <c r="AI53" i="26"/>
  <c r="AI68" i="26"/>
  <c r="AI54" i="26"/>
  <c r="AI66" i="26"/>
  <c r="AI52" i="26"/>
  <c r="AI65" i="26"/>
  <c r="AI51" i="26"/>
  <c r="AI64" i="26"/>
  <c r="AI50" i="26"/>
  <c r="AI71" i="26"/>
  <c r="AI57" i="26"/>
  <c r="AH67" i="26"/>
  <c r="AH53" i="26"/>
  <c r="AH68" i="26"/>
  <c r="AH54" i="26"/>
  <c r="AH66" i="26"/>
  <c r="AH52" i="26"/>
  <c r="AH65" i="26"/>
  <c r="AH51" i="26"/>
  <c r="AH64" i="26"/>
  <c r="AH50" i="26"/>
  <c r="AH71" i="26"/>
  <c r="AH57" i="26"/>
  <c r="AG67" i="26"/>
  <c r="AG53" i="26"/>
  <c r="AG68" i="26"/>
  <c r="AG54" i="26"/>
  <c r="AG66" i="26"/>
  <c r="AG52" i="26"/>
  <c r="AG65" i="26"/>
  <c r="AG51" i="26"/>
  <c r="AG64" i="26"/>
  <c r="AG50" i="26"/>
  <c r="AG71" i="26"/>
  <c r="AG57" i="26"/>
  <c r="AF67" i="26"/>
  <c r="AF53" i="26"/>
  <c r="AF68" i="26"/>
  <c r="AF54" i="26"/>
  <c r="AF66" i="26"/>
  <c r="AF52" i="26"/>
  <c r="AF65" i="26"/>
  <c r="AF51" i="26"/>
  <c r="AF64" i="26"/>
  <c r="AF50" i="26"/>
  <c r="AF71" i="26"/>
  <c r="AF57" i="26"/>
  <c r="AE67" i="26"/>
  <c r="AE53" i="26"/>
  <c r="AE68" i="26"/>
  <c r="AE54" i="26"/>
  <c r="AE66" i="26"/>
  <c r="AE52" i="26"/>
  <c r="AE65" i="26"/>
  <c r="AE51" i="26"/>
  <c r="AE64" i="26"/>
  <c r="AE50" i="26"/>
  <c r="AE71" i="26"/>
  <c r="AE57" i="26"/>
  <c r="J71" i="26"/>
  <c r="J57" i="26"/>
  <c r="I5" i="27"/>
  <c r="I67" i="26"/>
  <c r="I53" i="26"/>
  <c r="I9" i="27"/>
  <c r="I68" i="26"/>
  <c r="I54" i="26"/>
  <c r="I17" i="27"/>
  <c r="I66" i="26"/>
  <c r="I52" i="26"/>
  <c r="I21" i="27"/>
  <c r="I65" i="26"/>
  <c r="I51" i="26"/>
  <c r="I64" i="26"/>
  <c r="I50" i="26"/>
  <c r="I71" i="26"/>
  <c r="I57" i="26"/>
  <c r="H5" i="27"/>
  <c r="H67" i="26"/>
  <c r="H53" i="26"/>
  <c r="H9" i="27"/>
  <c r="H54" i="26"/>
  <c r="H68" i="26"/>
  <c r="H17" i="27"/>
  <c r="H66" i="26"/>
  <c r="H52" i="26"/>
  <c r="H21" i="27"/>
  <c r="H65" i="26"/>
  <c r="H51" i="26"/>
  <c r="H64" i="26"/>
  <c r="H50" i="26"/>
  <c r="H71" i="26"/>
  <c r="H57" i="26"/>
  <c r="G5" i="27"/>
  <c r="G67" i="26"/>
  <c r="G53" i="26"/>
  <c r="G9" i="27"/>
  <c r="G68" i="26"/>
  <c r="G54" i="26"/>
  <c r="G17" i="27"/>
  <c r="G66" i="26"/>
  <c r="G52" i="26"/>
  <c r="G21" i="27"/>
  <c r="G65" i="26"/>
  <c r="G51" i="26"/>
  <c r="G64" i="26"/>
  <c r="G50" i="26"/>
  <c r="G71" i="26"/>
  <c r="G57" i="26"/>
  <c r="F5" i="27"/>
  <c r="F67" i="26"/>
  <c r="F53" i="26"/>
  <c r="F9" i="27"/>
  <c r="F68" i="26"/>
  <c r="F54" i="26"/>
  <c r="F17" i="27"/>
  <c r="F66" i="26"/>
  <c r="F52" i="26"/>
  <c r="F21" i="27"/>
  <c r="F65" i="26"/>
  <c r="F51" i="26"/>
  <c r="F64" i="26"/>
  <c r="F50" i="26"/>
  <c r="F71" i="26"/>
  <c r="F57" i="26"/>
  <c r="E5" i="27"/>
  <c r="E67" i="26"/>
  <c r="E53" i="26"/>
  <c r="E9" i="27"/>
  <c r="E68" i="26"/>
  <c r="E54" i="26"/>
  <c r="E17" i="27"/>
  <c r="E66" i="26"/>
  <c r="E52" i="26"/>
  <c r="E21" i="27"/>
  <c r="E65" i="26"/>
  <c r="E51" i="26"/>
  <c r="E64" i="26"/>
  <c r="E50" i="26"/>
  <c r="E71" i="26"/>
  <c r="E57" i="26"/>
  <c r="AR67" i="26"/>
  <c r="AR53" i="26"/>
  <c r="AR68" i="26"/>
  <c r="AR54" i="26"/>
  <c r="AR52" i="26"/>
  <c r="AR66" i="26"/>
  <c r="AR65" i="26"/>
  <c r="AR51" i="26"/>
  <c r="AR64" i="26"/>
  <c r="AR50" i="26"/>
  <c r="AR71" i="26"/>
  <c r="AR57" i="26"/>
  <c r="AX45" i="26"/>
  <c r="AX75" i="26"/>
  <c r="AX61" i="26"/>
  <c r="AW45" i="26"/>
  <c r="AW75" i="26"/>
  <c r="AW61" i="26"/>
  <c r="AV45" i="26"/>
  <c r="AV75" i="26"/>
  <c r="AV61" i="26"/>
  <c r="AY45" i="26"/>
  <c r="AY75" i="26"/>
  <c r="AY61" i="26"/>
  <c r="AU45" i="26"/>
  <c r="AU75" i="26"/>
  <c r="AU61" i="26"/>
  <c r="AT45" i="26"/>
  <c r="AT75" i="26"/>
  <c r="AT61" i="26"/>
  <c r="AS45" i="26"/>
  <c r="AS75" i="26"/>
  <c r="AS61" i="26"/>
  <c r="AQ45" i="26"/>
  <c r="AQ75" i="26"/>
  <c r="AQ61" i="26"/>
  <c r="AP45" i="26"/>
  <c r="AP75" i="26"/>
  <c r="AP61" i="26"/>
  <c r="AO45" i="26"/>
  <c r="AO75" i="26"/>
  <c r="AO61" i="26"/>
  <c r="AN45" i="26"/>
  <c r="AN75" i="26"/>
  <c r="AN61" i="26"/>
  <c r="AM45" i="26"/>
  <c r="AM61" i="26"/>
  <c r="AM75" i="26"/>
  <c r="AL45" i="26"/>
  <c r="AL75" i="26"/>
  <c r="AL61" i="26"/>
  <c r="AK45" i="26"/>
  <c r="AK75" i="26"/>
  <c r="AK61" i="26"/>
  <c r="AJ45" i="26"/>
  <c r="AJ75" i="26"/>
  <c r="AJ61" i="26"/>
  <c r="AZ45" i="26"/>
  <c r="AZ75" i="26"/>
  <c r="AZ61" i="26"/>
  <c r="AI45" i="26"/>
  <c r="AI75" i="26"/>
  <c r="AI61" i="26"/>
  <c r="AH45" i="26"/>
  <c r="AH75" i="26"/>
  <c r="AH61" i="26"/>
  <c r="AG45" i="26"/>
  <c r="AG75" i="26"/>
  <c r="AG61" i="26"/>
  <c r="AF45" i="26"/>
  <c r="AF75" i="26"/>
  <c r="AF61" i="26"/>
  <c r="AE45" i="26"/>
  <c r="AE75" i="26"/>
  <c r="AE61" i="26"/>
  <c r="N45" i="26"/>
  <c r="N18" i="27"/>
  <c r="N75" i="26"/>
  <c r="N61" i="26"/>
  <c r="M45" i="26"/>
  <c r="M18" i="27"/>
  <c r="M75" i="26"/>
  <c r="M61" i="26"/>
  <c r="L45" i="26"/>
  <c r="L18" i="27"/>
  <c r="L75" i="26"/>
  <c r="L61" i="26"/>
  <c r="K45" i="26"/>
  <c r="K18" i="27"/>
  <c r="K75" i="26"/>
  <c r="K61" i="26"/>
  <c r="AA45" i="26"/>
  <c r="AA18" i="27"/>
  <c r="AA75" i="26"/>
  <c r="AA61" i="26"/>
  <c r="J45" i="26"/>
  <c r="J18" i="27"/>
  <c r="J75" i="26"/>
  <c r="J61" i="26"/>
  <c r="I45" i="26"/>
  <c r="I18" i="27"/>
  <c r="I75" i="26"/>
  <c r="I61" i="26"/>
  <c r="H45" i="26"/>
  <c r="H18" i="27"/>
  <c r="H75" i="26"/>
  <c r="H61" i="26"/>
  <c r="G45" i="26"/>
  <c r="G18" i="27"/>
  <c r="G61" i="26"/>
  <c r="G75" i="26"/>
  <c r="F45" i="26"/>
  <c r="F18" i="27"/>
  <c r="F75" i="26"/>
  <c r="F61" i="26"/>
  <c r="E45" i="26"/>
  <c r="E18" i="27"/>
  <c r="E75" i="26"/>
  <c r="E61" i="26"/>
  <c r="AR45" i="26"/>
  <c r="AR75" i="26"/>
  <c r="AR61" i="26"/>
  <c r="AX73" i="26"/>
  <c r="AX59" i="26"/>
  <c r="AX76" i="26"/>
  <c r="AX62" i="26"/>
  <c r="AW73" i="26"/>
  <c r="AW59" i="26"/>
  <c r="AW76" i="26"/>
  <c r="AW62" i="26"/>
  <c r="AV73" i="26"/>
  <c r="AV59" i="26"/>
  <c r="AV76" i="26"/>
  <c r="AV62" i="26"/>
  <c r="AY73" i="26"/>
  <c r="AY59" i="26"/>
  <c r="AY76" i="26"/>
  <c r="AY62" i="26"/>
  <c r="AU73" i="26"/>
  <c r="AU59" i="26"/>
  <c r="AU76" i="26"/>
  <c r="AU62" i="26"/>
  <c r="AT73" i="26"/>
  <c r="AT59" i="26"/>
  <c r="AT76" i="26"/>
  <c r="AT62" i="26"/>
  <c r="AS73" i="26"/>
  <c r="AS59" i="26"/>
  <c r="AS76" i="26"/>
  <c r="AS62" i="26"/>
  <c r="AQ73" i="26"/>
  <c r="AQ59" i="26"/>
  <c r="AQ76" i="26"/>
  <c r="AQ62" i="26"/>
  <c r="AP73" i="26"/>
  <c r="AP59" i="26"/>
  <c r="AP76" i="26"/>
  <c r="AP62" i="26"/>
  <c r="AO73" i="26"/>
  <c r="AO59" i="26"/>
  <c r="AO76" i="26"/>
  <c r="AO62" i="26"/>
  <c r="AN73" i="26"/>
  <c r="AN59" i="26"/>
  <c r="AN76" i="26"/>
  <c r="AN62" i="26"/>
  <c r="AM73" i="26"/>
  <c r="AM59" i="26"/>
  <c r="AM76" i="26"/>
  <c r="AM62" i="26"/>
  <c r="AL73" i="26"/>
  <c r="AL59" i="26"/>
  <c r="AL76" i="26"/>
  <c r="AL62" i="26"/>
  <c r="AK73" i="26"/>
  <c r="AK59" i="26"/>
  <c r="AK76" i="26"/>
  <c r="AK62" i="26"/>
  <c r="AJ73" i="26"/>
  <c r="AJ59" i="26"/>
  <c r="AJ76" i="26"/>
  <c r="AJ62" i="26"/>
  <c r="AZ73" i="26"/>
  <c r="AZ59" i="26"/>
  <c r="AZ76" i="26"/>
  <c r="AZ62" i="26"/>
  <c r="AI73" i="26"/>
  <c r="AI59" i="26"/>
  <c r="AI76" i="26"/>
  <c r="AI62" i="26"/>
  <c r="AH73" i="26"/>
  <c r="AH59" i="26"/>
  <c r="AH76" i="26"/>
  <c r="AH62" i="26"/>
  <c r="AG73" i="26"/>
  <c r="AG59" i="26"/>
  <c r="AG76" i="26"/>
  <c r="AG62" i="26"/>
  <c r="AF73" i="26"/>
  <c r="AF59" i="26"/>
  <c r="AF76" i="26"/>
  <c r="AF62" i="26"/>
  <c r="AE73" i="26"/>
  <c r="AE59" i="26"/>
  <c r="AE76" i="26"/>
  <c r="AE62" i="26"/>
  <c r="L76" i="26"/>
  <c r="L62" i="26"/>
  <c r="K7" i="27"/>
  <c r="K73" i="26"/>
  <c r="K59" i="26"/>
  <c r="K76" i="26"/>
  <c r="K62" i="26"/>
  <c r="AA7" i="27"/>
  <c r="AA73" i="26"/>
  <c r="AA59" i="26"/>
  <c r="AA76" i="26"/>
  <c r="AA62" i="26"/>
  <c r="J7" i="27"/>
  <c r="J73" i="26"/>
  <c r="J59" i="26"/>
  <c r="J76" i="26"/>
  <c r="J62" i="26"/>
  <c r="I7" i="27"/>
  <c r="I73" i="26"/>
  <c r="I59" i="26"/>
  <c r="I76" i="26"/>
  <c r="I62" i="26"/>
  <c r="H7" i="27"/>
  <c r="H73" i="26"/>
  <c r="H59" i="26"/>
  <c r="H76" i="26"/>
  <c r="H62" i="26"/>
  <c r="G7" i="27"/>
  <c r="G73" i="26"/>
  <c r="G59" i="26"/>
  <c r="G76" i="26"/>
  <c r="G62" i="26"/>
  <c r="F7" i="27"/>
  <c r="F73" i="26"/>
  <c r="F59" i="26"/>
  <c r="F76" i="26"/>
  <c r="F62" i="26"/>
  <c r="E7" i="27"/>
  <c r="E73" i="26"/>
  <c r="E59" i="26"/>
  <c r="E62" i="26"/>
  <c r="E76" i="26"/>
  <c r="AR73" i="26"/>
  <c r="AR59" i="26"/>
  <c r="AR76" i="26"/>
  <c r="AR62" i="26"/>
  <c r="D2" i="27"/>
  <c r="D38" i="27" s="1"/>
  <c r="D38" i="26"/>
  <c r="D31" i="26" s="1"/>
  <c r="AX74" i="26"/>
  <c r="AX60" i="26"/>
  <c r="AX72" i="26"/>
  <c r="AX58" i="26"/>
  <c r="AX70" i="26"/>
  <c r="AX56" i="26"/>
  <c r="AX69" i="26"/>
  <c r="AX55" i="26"/>
  <c r="AW74" i="26"/>
  <c r="AW60" i="26"/>
  <c r="AW72" i="26"/>
  <c r="AW58" i="26"/>
  <c r="AW70" i="26"/>
  <c r="AW56" i="26"/>
  <c r="AW69" i="26"/>
  <c r="AW55" i="26"/>
  <c r="AV74" i="26"/>
  <c r="AV60" i="26"/>
  <c r="AV72" i="26"/>
  <c r="AV58" i="26"/>
  <c r="AV70" i="26"/>
  <c r="AV56" i="26"/>
  <c r="AV69" i="26"/>
  <c r="AV55" i="26"/>
  <c r="AY74" i="26"/>
  <c r="AY60" i="26"/>
  <c r="AY72" i="26"/>
  <c r="AY58" i="26"/>
  <c r="AY70" i="26"/>
  <c r="AY56" i="26"/>
  <c r="AY69" i="26"/>
  <c r="AY55" i="26"/>
  <c r="AU74" i="26"/>
  <c r="AU60" i="26"/>
  <c r="AU72" i="26"/>
  <c r="AU58" i="26"/>
  <c r="AU70" i="26"/>
  <c r="AU56" i="26"/>
  <c r="AU69" i="26"/>
  <c r="AU55" i="26"/>
  <c r="AT74" i="26"/>
  <c r="AT60" i="26"/>
  <c r="AT72" i="26"/>
  <c r="AT58" i="26"/>
  <c r="AT70" i="26"/>
  <c r="AT56" i="26"/>
  <c r="AT69" i="26"/>
  <c r="AT55" i="26"/>
  <c r="AS74" i="26"/>
  <c r="AS60" i="26"/>
  <c r="AS72" i="26"/>
  <c r="AS58" i="26"/>
  <c r="AS70" i="26"/>
  <c r="AS56" i="26"/>
  <c r="AS69" i="26"/>
  <c r="AS55" i="26"/>
  <c r="AQ74" i="26"/>
  <c r="AQ60" i="26"/>
  <c r="AQ72" i="26"/>
  <c r="AQ58" i="26"/>
  <c r="AQ70" i="26"/>
  <c r="AQ56" i="26"/>
  <c r="AQ69" i="26"/>
  <c r="AQ55" i="26"/>
  <c r="AP74" i="26"/>
  <c r="AP60" i="26"/>
  <c r="AP72" i="26"/>
  <c r="AP58" i="26"/>
  <c r="AP70" i="26"/>
  <c r="AP56" i="26"/>
  <c r="AP69" i="26"/>
  <c r="AP55" i="26"/>
  <c r="AO60" i="26"/>
  <c r="AO74" i="26"/>
  <c r="AO72" i="26"/>
  <c r="AO58" i="26"/>
  <c r="AO70" i="26"/>
  <c r="AO56" i="26"/>
  <c r="AO69" i="26"/>
  <c r="AO55" i="26"/>
  <c r="AN74" i="26"/>
  <c r="AN60" i="26"/>
  <c r="AN72" i="26"/>
  <c r="AN58" i="26"/>
  <c r="AN70" i="26"/>
  <c r="AN56" i="26"/>
  <c r="AN69" i="26"/>
  <c r="AN55" i="26"/>
  <c r="AM74" i="26"/>
  <c r="AM60" i="26"/>
  <c r="AM72" i="26"/>
  <c r="AM58" i="26"/>
  <c r="AM70" i="26"/>
  <c r="AM56" i="26"/>
  <c r="AM69" i="26"/>
  <c r="AM55" i="26"/>
  <c r="AL74" i="26"/>
  <c r="AL60" i="26"/>
  <c r="AL72" i="26"/>
  <c r="AL58" i="26"/>
  <c r="AL70" i="26"/>
  <c r="AL56" i="26"/>
  <c r="AL69" i="26"/>
  <c r="AL55" i="26"/>
  <c r="AK74" i="26"/>
  <c r="AK60" i="26"/>
  <c r="AK72" i="26"/>
  <c r="AK58" i="26"/>
  <c r="AK70" i="26"/>
  <c r="AK56" i="26"/>
  <c r="AK69" i="26"/>
  <c r="AK55" i="26"/>
  <c r="AJ74" i="26"/>
  <c r="AJ60" i="26"/>
  <c r="AJ72" i="26"/>
  <c r="AJ58" i="26"/>
  <c r="AJ70" i="26"/>
  <c r="AJ56" i="26"/>
  <c r="AJ69" i="26"/>
  <c r="AJ55" i="26"/>
  <c r="AZ74" i="26"/>
  <c r="AZ60" i="26"/>
  <c r="AZ72" i="26"/>
  <c r="AZ58" i="26"/>
  <c r="AZ70" i="26"/>
  <c r="AZ56" i="26"/>
  <c r="AZ69" i="26"/>
  <c r="AZ55" i="26"/>
  <c r="AI74" i="26"/>
  <c r="AI60" i="26"/>
  <c r="AI72" i="26"/>
  <c r="AI58" i="26"/>
  <c r="AI70" i="26"/>
  <c r="AI56" i="26"/>
  <c r="AI69" i="26"/>
  <c r="AI55" i="26"/>
  <c r="AH74" i="26"/>
  <c r="AH60" i="26"/>
  <c r="AH72" i="26"/>
  <c r="AH58" i="26"/>
  <c r="AH70" i="26"/>
  <c r="AH56" i="26"/>
  <c r="AH69" i="26"/>
  <c r="AH55" i="26"/>
  <c r="AG74" i="26"/>
  <c r="AG60" i="26"/>
  <c r="AG72" i="26"/>
  <c r="AG58" i="26"/>
  <c r="AG70" i="26"/>
  <c r="AG56" i="26"/>
  <c r="AG69" i="26"/>
  <c r="AG55" i="26"/>
  <c r="AF74" i="26"/>
  <c r="AF60" i="26"/>
  <c r="AF72" i="26"/>
  <c r="AF58" i="26"/>
  <c r="AF70" i="26"/>
  <c r="AF56" i="26"/>
  <c r="AF69" i="26"/>
  <c r="AF55" i="26"/>
  <c r="AE74" i="26"/>
  <c r="AE60" i="26"/>
  <c r="AE72" i="26"/>
  <c r="AE58" i="26"/>
  <c r="AE70" i="26"/>
  <c r="AE56" i="26"/>
  <c r="AE69" i="26"/>
  <c r="AE55" i="26"/>
  <c r="Y19" i="27"/>
  <c r="Y42" i="27" s="1"/>
  <c r="W14" i="27"/>
  <c r="W34" i="27" s="1"/>
  <c r="Z14" i="27"/>
  <c r="Z34" i="27" s="1"/>
  <c r="V19" i="27"/>
  <c r="V42" i="27" s="1"/>
  <c r="T14" i="27"/>
  <c r="T34" i="27" s="1"/>
  <c r="T19" i="27"/>
  <c r="T42" i="27" s="1"/>
  <c r="Y2" i="27"/>
  <c r="Y38" i="27" s="1"/>
  <c r="Y13" i="27"/>
  <c r="Y33" i="27" s="1"/>
  <c r="Y31" i="27" s="1"/>
  <c r="X2" i="27"/>
  <c r="X38" i="27" s="1"/>
  <c r="X13" i="27"/>
  <c r="X33" i="27" s="1"/>
  <c r="W2" i="27"/>
  <c r="W38" i="27" s="1"/>
  <c r="W13" i="27"/>
  <c r="W33" i="27" s="1"/>
  <c r="W31" i="27" s="1"/>
  <c r="Z2" i="27"/>
  <c r="Z38" i="27" s="1"/>
  <c r="Z13" i="27"/>
  <c r="Z33" i="27" s="1"/>
  <c r="V2" i="27"/>
  <c r="V38" i="27" s="1"/>
  <c r="V13" i="27"/>
  <c r="V33" i="27" s="1"/>
  <c r="V31" i="27" s="1"/>
  <c r="U2" i="27"/>
  <c r="U38" i="27" s="1"/>
  <c r="U13" i="27"/>
  <c r="U33" i="27" s="1"/>
  <c r="U31" i="27" s="1"/>
  <c r="T2" i="27"/>
  <c r="T38" i="27" s="1"/>
  <c r="T13" i="27"/>
  <c r="T33" i="27" s="1"/>
  <c r="T31" i="27" s="1"/>
  <c r="S2" i="27"/>
  <c r="S38" i="27" s="1"/>
  <c r="S13" i="27"/>
  <c r="S33" i="27" s="1"/>
  <c r="R2" i="27"/>
  <c r="R38" i="27" s="1"/>
  <c r="R13" i="27"/>
  <c r="R33" i="27" s="1"/>
  <c r="R31" i="27" s="1"/>
  <c r="Q2" i="27"/>
  <c r="Q38" i="27" s="1"/>
  <c r="Q13" i="27"/>
  <c r="Q33" i="27" s="1"/>
  <c r="Q31" i="27" s="1"/>
  <c r="P2" i="27"/>
  <c r="P38" i="27" s="1"/>
  <c r="P13" i="27"/>
  <c r="P33" i="27" s="1"/>
  <c r="P31" i="27" s="1"/>
  <c r="O2" i="27"/>
  <c r="O38" i="27" s="1"/>
  <c r="O13" i="27"/>
  <c r="O33" i="27" s="1"/>
  <c r="O31" i="27" s="1"/>
  <c r="N2" i="27"/>
  <c r="N38" i="27" s="1"/>
  <c r="N13" i="27"/>
  <c r="N33" i="27" s="1"/>
  <c r="N31" i="27" s="1"/>
  <c r="M2" i="27"/>
  <c r="M38" i="27" s="1"/>
  <c r="M13" i="27"/>
  <c r="M33" i="27" s="1"/>
  <c r="M31" i="27" s="1"/>
  <c r="L2" i="27"/>
  <c r="L38" i="27" s="1"/>
  <c r="L13" i="27"/>
  <c r="L33" i="27" s="1"/>
  <c r="L31" i="27" s="1"/>
  <c r="K2" i="27"/>
  <c r="K38" i="27" s="1"/>
  <c r="K13" i="27"/>
  <c r="K33" i="27" s="1"/>
  <c r="K31" i="27" s="1"/>
  <c r="AA2" i="27"/>
  <c r="AA38" i="27" s="1"/>
  <c r="AA13" i="27"/>
  <c r="AA33" i="27" s="1"/>
  <c r="AA31" i="27" s="1"/>
  <c r="J2" i="27"/>
  <c r="J38" i="27" s="1"/>
  <c r="J13" i="27"/>
  <c r="J33" i="27" s="1"/>
  <c r="J31" i="27" s="1"/>
  <c r="I2" i="27"/>
  <c r="I38" i="27" s="1"/>
  <c r="I13" i="27"/>
  <c r="I33" i="27" s="1"/>
  <c r="I31" i="27" s="1"/>
  <c r="H2" i="27"/>
  <c r="H38" i="27" s="1"/>
  <c r="H13" i="27"/>
  <c r="H33" i="27" s="1"/>
  <c r="H31" i="27" s="1"/>
  <c r="G2" i="27"/>
  <c r="G38" i="27" s="1"/>
  <c r="G13" i="27"/>
  <c r="G33" i="27" s="1"/>
  <c r="F2" i="27"/>
  <c r="F38" i="27" s="1"/>
  <c r="F13" i="27"/>
  <c r="F33" i="27" s="1"/>
  <c r="F31" i="27" s="1"/>
  <c r="E2" i="27"/>
  <c r="E38" i="27" s="1"/>
  <c r="E13" i="27"/>
  <c r="E33" i="27" s="1"/>
  <c r="E31" i="27" s="1"/>
  <c r="Y4" i="27"/>
  <c r="Y40" i="27" s="1"/>
  <c r="Y8" i="27"/>
  <c r="Y41" i="27" s="1"/>
  <c r="Y22" i="27"/>
  <c r="Y37" i="27" s="1"/>
  <c r="X4" i="27"/>
  <c r="X40" i="27" s="1"/>
  <c r="X8" i="27"/>
  <c r="X41" i="27" s="1"/>
  <c r="W8" i="27"/>
  <c r="W41" i="27" s="1"/>
  <c r="W22" i="27"/>
  <c r="W37" i="27" s="1"/>
  <c r="Z4" i="27"/>
  <c r="Z40" i="27" s="1"/>
  <c r="Z8" i="27"/>
  <c r="Z41" i="27" s="1"/>
  <c r="Z22" i="27"/>
  <c r="Z37" i="27" s="1"/>
  <c r="V8" i="27"/>
  <c r="V41" i="27" s="1"/>
  <c r="V22" i="27"/>
  <c r="V37" i="27" s="1"/>
  <c r="S4" i="27"/>
  <c r="S40" i="27" s="1"/>
  <c r="S8" i="27"/>
  <c r="S41" i="27" s="1"/>
  <c r="R4" i="27"/>
  <c r="R40" i="27" s="1"/>
  <c r="R8" i="27"/>
  <c r="R41" i="27" s="1"/>
  <c r="R22" i="27"/>
  <c r="R37" i="27" s="1"/>
  <c r="Q4" i="27"/>
  <c r="Q40" i="27" s="1"/>
  <c r="Q8" i="27"/>
  <c r="Q41" i="27" s="1"/>
  <c r="Q22" i="27"/>
  <c r="Q37" i="27" s="1"/>
  <c r="P4" i="27"/>
  <c r="P40" i="27" s="1"/>
  <c r="P8" i="27"/>
  <c r="P41" i="27" s="1"/>
  <c r="P22" i="27"/>
  <c r="P37" i="27" s="1"/>
  <c r="O4" i="27"/>
  <c r="O40" i="27" s="1"/>
  <c r="O8" i="27"/>
  <c r="O41" i="27" s="1"/>
  <c r="O22" i="27"/>
  <c r="O37" i="27" s="1"/>
  <c r="N4" i="27"/>
  <c r="N40" i="27" s="1"/>
  <c r="N8" i="27"/>
  <c r="N41" i="27" s="1"/>
  <c r="N22" i="27"/>
  <c r="N37" i="27" s="1"/>
  <c r="M4" i="27"/>
  <c r="M40" i="27" s="1"/>
  <c r="M8" i="27"/>
  <c r="M41" i="27" s="1"/>
  <c r="M22" i="27"/>
  <c r="M37" i="27" s="1"/>
  <c r="L4" i="27"/>
  <c r="L40" i="27" s="1"/>
  <c r="L8" i="27"/>
  <c r="L41" i="27" s="1"/>
  <c r="L22" i="27"/>
  <c r="L37" i="27" s="1"/>
  <c r="K4" i="27"/>
  <c r="K40" i="27" s="1"/>
  <c r="K8" i="27"/>
  <c r="K41" i="27" s="1"/>
  <c r="K22" i="27"/>
  <c r="K37" i="27" s="1"/>
  <c r="AA4" i="27"/>
  <c r="AA40" i="27" s="1"/>
  <c r="AA8" i="27"/>
  <c r="AA41" i="27" s="1"/>
  <c r="AA22" i="27"/>
  <c r="AA37" i="27" s="1"/>
  <c r="J4" i="27"/>
  <c r="J40" i="27" s="1"/>
  <c r="J8" i="27"/>
  <c r="J41" i="27" s="1"/>
  <c r="J22" i="27"/>
  <c r="J37" i="27" s="1"/>
  <c r="I4" i="27"/>
  <c r="I40" i="27" s="1"/>
  <c r="I8" i="27"/>
  <c r="I41" i="27" s="1"/>
  <c r="I22" i="27"/>
  <c r="I37" i="27" s="1"/>
  <c r="H4" i="27"/>
  <c r="H40" i="27" s="1"/>
  <c r="H8" i="27"/>
  <c r="H41" i="27" s="1"/>
  <c r="H22" i="27"/>
  <c r="H37" i="27" s="1"/>
  <c r="G4" i="27"/>
  <c r="G40" i="27" s="1"/>
  <c r="G8" i="27"/>
  <c r="G41" i="27" s="1"/>
  <c r="G22" i="27"/>
  <c r="G37" i="27" s="1"/>
  <c r="F4" i="27"/>
  <c r="F40" i="27" s="1"/>
  <c r="F8" i="27"/>
  <c r="F41" i="27" s="1"/>
  <c r="F22" i="27"/>
  <c r="F37" i="27" s="1"/>
  <c r="E4" i="27"/>
  <c r="E40" i="27" s="1"/>
  <c r="E8" i="27"/>
  <c r="E41" i="27" s="1"/>
  <c r="E22" i="27"/>
  <c r="E37" i="27" s="1"/>
  <c r="X22" i="27"/>
  <c r="X37" i="27" s="1"/>
  <c r="W4" i="27"/>
  <c r="W40" i="27" s="1"/>
  <c r="V4" i="27"/>
  <c r="V40" i="27" s="1"/>
  <c r="U4" i="27"/>
  <c r="U40" i="27" s="1"/>
  <c r="U8" i="27"/>
  <c r="U41" i="27" s="1"/>
  <c r="U22" i="27"/>
  <c r="U37" i="27" s="1"/>
  <c r="T4" i="27"/>
  <c r="T40" i="27" s="1"/>
  <c r="T8" i="27"/>
  <c r="T41" i="27" s="1"/>
  <c r="T22" i="27"/>
  <c r="T37" i="27" s="1"/>
  <c r="S22" i="27"/>
  <c r="S37" i="27" s="1"/>
  <c r="R14" i="27"/>
  <c r="R34" i="27" s="1"/>
  <c r="R19" i="27"/>
  <c r="R42" i="27" s="1"/>
  <c r="Q14" i="27"/>
  <c r="Q34" i="27" s="1"/>
  <c r="Q19" i="27"/>
  <c r="Q42" i="27" s="1"/>
  <c r="P14" i="27"/>
  <c r="P34" i="27" s="1"/>
  <c r="P19" i="27"/>
  <c r="P42" i="27" s="1"/>
  <c r="O14" i="27"/>
  <c r="O34" i="27" s="1"/>
  <c r="O19" i="27"/>
  <c r="O42" i="27" s="1"/>
  <c r="N14" i="27"/>
  <c r="N34" i="27" s="1"/>
  <c r="N19" i="27"/>
  <c r="N42" i="27" s="1"/>
  <c r="M14" i="27"/>
  <c r="M34" i="27" s="1"/>
  <c r="M19" i="27"/>
  <c r="M42" i="27" s="1"/>
  <c r="L14" i="27"/>
  <c r="L34" i="27" s="1"/>
  <c r="L19" i="27"/>
  <c r="L42" i="27" s="1"/>
  <c r="K14" i="27"/>
  <c r="K34" i="27" s="1"/>
  <c r="K19" i="27"/>
  <c r="K42" i="27" s="1"/>
  <c r="AA14" i="27"/>
  <c r="AA34" i="27" s="1"/>
  <c r="AA19" i="27"/>
  <c r="AA42" i="27" s="1"/>
  <c r="J14" i="27"/>
  <c r="J34" i="27" s="1"/>
  <c r="J19" i="27"/>
  <c r="J42" i="27" s="1"/>
  <c r="I14" i="27"/>
  <c r="I34" i="27" s="1"/>
  <c r="I19" i="27"/>
  <c r="I42" i="27" s="1"/>
  <c r="H14" i="27"/>
  <c r="H34" i="27" s="1"/>
  <c r="H19" i="27"/>
  <c r="H42" i="27" s="1"/>
  <c r="G14" i="27"/>
  <c r="G34" i="27" s="1"/>
  <c r="G19" i="27"/>
  <c r="G42" i="27" s="1"/>
  <c r="F14" i="27"/>
  <c r="F34" i="27" s="1"/>
  <c r="F19" i="27"/>
  <c r="F42" i="27" s="1"/>
  <c r="E14" i="27"/>
  <c r="E34" i="27" s="1"/>
  <c r="E19" i="27"/>
  <c r="E42" i="27" s="1"/>
  <c r="AD3" i="27"/>
  <c r="AD32" i="27" s="1"/>
  <c r="Y14" i="27"/>
  <c r="Y34" i="27" s="1"/>
  <c r="X14" i="27"/>
  <c r="X34" i="27" s="1"/>
  <c r="X19" i="27"/>
  <c r="X42" i="27" s="1"/>
  <c r="W19" i="27"/>
  <c r="W42" i="27" s="1"/>
  <c r="Z19" i="27"/>
  <c r="Z42" i="27" s="1"/>
  <c r="V14" i="27"/>
  <c r="V34" i="27" s="1"/>
  <c r="U14" i="27"/>
  <c r="U34" i="27" s="1"/>
  <c r="U19" i="27"/>
  <c r="U42" i="27" s="1"/>
  <c r="S14" i="27"/>
  <c r="S34" i="27" s="1"/>
  <c r="S19" i="27"/>
  <c r="S42" i="27" s="1"/>
  <c r="Y6" i="27"/>
  <c r="Y47" i="27" s="1"/>
  <c r="Y11" i="27"/>
  <c r="Y39" i="27" s="1"/>
  <c r="Y15" i="27"/>
  <c r="Y44" i="27" s="1"/>
  <c r="Y24" i="27"/>
  <c r="Y24" i="28"/>
  <c r="X6" i="27"/>
  <c r="X47" i="27" s="1"/>
  <c r="X11" i="27"/>
  <c r="X39" i="27" s="1"/>
  <c r="X15" i="27"/>
  <c r="X44" i="27" s="1"/>
  <c r="X24" i="27"/>
  <c r="X24" i="28"/>
  <c r="W6" i="27"/>
  <c r="W47" i="27" s="1"/>
  <c r="W11" i="27"/>
  <c r="W39" i="27" s="1"/>
  <c r="W15" i="27"/>
  <c r="W44" i="27" s="1"/>
  <c r="W24" i="27"/>
  <c r="W24" i="28"/>
  <c r="Z6" i="27"/>
  <c r="Z47" i="27" s="1"/>
  <c r="Z11" i="27"/>
  <c r="Z39" i="27" s="1"/>
  <c r="Z15" i="27"/>
  <c r="Z44" i="27" s="1"/>
  <c r="Z24" i="27"/>
  <c r="Z24" i="28"/>
  <c r="V6" i="27"/>
  <c r="V47" i="27" s="1"/>
  <c r="V11" i="27"/>
  <c r="V39" i="27" s="1"/>
  <c r="V15" i="27"/>
  <c r="V44" i="27" s="1"/>
  <c r="V24" i="27"/>
  <c r="V24" i="28"/>
  <c r="U6" i="27"/>
  <c r="U47" i="27" s="1"/>
  <c r="U11" i="27"/>
  <c r="U39" i="27" s="1"/>
  <c r="U15" i="27"/>
  <c r="U44" i="27" s="1"/>
  <c r="U24" i="27"/>
  <c r="U24" i="28"/>
  <c r="T6" i="27"/>
  <c r="T47" i="27" s="1"/>
  <c r="T11" i="27"/>
  <c r="T39" i="27" s="1"/>
  <c r="T15" i="27"/>
  <c r="T44" i="27" s="1"/>
  <c r="T24" i="28"/>
  <c r="T24" i="27"/>
  <c r="S6" i="27"/>
  <c r="S47" i="27" s="1"/>
  <c r="S11" i="27"/>
  <c r="S39" i="27" s="1"/>
  <c r="S15" i="27"/>
  <c r="S44" i="27" s="1"/>
  <c r="S24" i="27"/>
  <c r="S24" i="28"/>
  <c r="R6" i="27"/>
  <c r="R47" i="27" s="1"/>
  <c r="R11" i="27"/>
  <c r="R39" i="27" s="1"/>
  <c r="R15" i="27"/>
  <c r="R44" i="27" s="1"/>
  <c r="R24" i="27"/>
  <c r="R24" i="28"/>
  <c r="Q6" i="27"/>
  <c r="Q47" i="27" s="1"/>
  <c r="Q11" i="27"/>
  <c r="Q39" i="27" s="1"/>
  <c r="Q15" i="27"/>
  <c r="Q44" i="27" s="1"/>
  <c r="Q24" i="27"/>
  <c r="Q24" i="28"/>
  <c r="P6" i="27"/>
  <c r="P47" i="27" s="1"/>
  <c r="P11" i="27"/>
  <c r="P39" i="27" s="1"/>
  <c r="P15" i="27"/>
  <c r="P44" i="27" s="1"/>
  <c r="P24" i="27"/>
  <c r="P24" i="28"/>
  <c r="O6" i="27"/>
  <c r="O47" i="27" s="1"/>
  <c r="O11" i="27"/>
  <c r="O39" i="27" s="1"/>
  <c r="O15" i="27"/>
  <c r="O44" i="27" s="1"/>
  <c r="O24" i="27"/>
  <c r="O24" i="28"/>
  <c r="N6" i="27"/>
  <c r="N47" i="27" s="1"/>
  <c r="N11" i="27"/>
  <c r="N39" i="27" s="1"/>
  <c r="N15" i="27"/>
  <c r="N44" i="27" s="1"/>
  <c r="N24" i="27"/>
  <c r="N24" i="28"/>
  <c r="M6" i="27"/>
  <c r="M47" i="27" s="1"/>
  <c r="M11" i="27"/>
  <c r="M39" i="27" s="1"/>
  <c r="M15" i="27"/>
  <c r="M44" i="27" s="1"/>
  <c r="M24" i="27"/>
  <c r="M24" i="28"/>
  <c r="L6" i="27"/>
  <c r="L47" i="27" s="1"/>
  <c r="L11" i="27"/>
  <c r="L39" i="27" s="1"/>
  <c r="L15" i="27"/>
  <c r="L44" i="27" s="1"/>
  <c r="L24" i="28"/>
  <c r="L24" i="27"/>
  <c r="K6" i="27"/>
  <c r="K47" i="27" s="1"/>
  <c r="K11" i="27"/>
  <c r="K39" i="27" s="1"/>
  <c r="K15" i="27"/>
  <c r="K44" i="27" s="1"/>
  <c r="K24" i="27"/>
  <c r="K24" i="28"/>
  <c r="AA6" i="27"/>
  <c r="AA47" i="27" s="1"/>
  <c r="AA11" i="27"/>
  <c r="AA39" i="27" s="1"/>
  <c r="AA15" i="27"/>
  <c r="AA44" i="27" s="1"/>
  <c r="AA24" i="27"/>
  <c r="AA24" i="28"/>
  <c r="J6" i="27"/>
  <c r="J47" i="27" s="1"/>
  <c r="J11" i="27"/>
  <c r="J39" i="27" s="1"/>
  <c r="J15" i="27"/>
  <c r="J44" i="27" s="1"/>
  <c r="J24" i="27"/>
  <c r="J24" i="28"/>
  <c r="I6" i="27"/>
  <c r="I47" i="27" s="1"/>
  <c r="I11" i="27"/>
  <c r="I39" i="27" s="1"/>
  <c r="I15" i="27"/>
  <c r="I44" i="27" s="1"/>
  <c r="I24" i="27"/>
  <c r="I24" i="28"/>
  <c r="H6" i="27"/>
  <c r="H47" i="27" s="1"/>
  <c r="H11" i="27"/>
  <c r="H39" i="27" s="1"/>
  <c r="H15" i="27"/>
  <c r="H44" i="27" s="1"/>
  <c r="H24" i="27"/>
  <c r="H24" i="28"/>
  <c r="G6" i="27"/>
  <c r="G47" i="27" s="1"/>
  <c r="G11" i="27"/>
  <c r="G39" i="27" s="1"/>
  <c r="G15" i="27"/>
  <c r="G44" i="27" s="1"/>
  <c r="G24" i="27"/>
  <c r="G24" i="28"/>
  <c r="F6" i="27"/>
  <c r="F47" i="27" s="1"/>
  <c r="F11" i="27"/>
  <c r="F39" i="27" s="1"/>
  <c r="F15" i="27"/>
  <c r="F44" i="27" s="1"/>
  <c r="F24" i="27"/>
  <c r="F24" i="28"/>
  <c r="E6" i="27"/>
  <c r="E47" i="27" s="1"/>
  <c r="E11" i="27"/>
  <c r="E39" i="27" s="1"/>
  <c r="E15" i="27"/>
  <c r="E44" i="27" s="1"/>
  <c r="E24" i="27"/>
  <c r="E24" i="28"/>
  <c r="D24" i="28"/>
  <c r="D24" i="27"/>
  <c r="AC35" i="26"/>
  <c r="AC43" i="26"/>
  <c r="AC36" i="26"/>
  <c r="AC49" i="26"/>
  <c r="AC37" i="26"/>
  <c r="AC42" i="26"/>
  <c r="AC44" i="26"/>
  <c r="AC34" i="26"/>
  <c r="AC33" i="26"/>
  <c r="AC39" i="26"/>
  <c r="AC46" i="26"/>
  <c r="AC41" i="26"/>
  <c r="AC47" i="26"/>
  <c r="AC40" i="26"/>
  <c r="AC38" i="26"/>
  <c r="AD35" i="26"/>
  <c r="AD43" i="26"/>
  <c r="AD36" i="26"/>
  <c r="AD49" i="26"/>
  <c r="AD37" i="26"/>
  <c r="AD42" i="26"/>
  <c r="AD44" i="26"/>
  <c r="AD34" i="26"/>
  <c r="AD33" i="26"/>
  <c r="AD39" i="26"/>
  <c r="AD46" i="26"/>
  <c r="AD41" i="26"/>
  <c r="AD47" i="26"/>
  <c r="AD40" i="26"/>
  <c r="AD38" i="26"/>
  <c r="Y10" i="27"/>
  <c r="Y46" i="27" s="1"/>
  <c r="Y45" i="27" s="1"/>
  <c r="Y23" i="27"/>
  <c r="Y49" i="27" s="1"/>
  <c r="Y25" i="27"/>
  <c r="Y25" i="28"/>
  <c r="Y26" i="27"/>
  <c r="Y36" i="27" s="1"/>
  <c r="Y27" i="27"/>
  <c r="Y28" i="27"/>
  <c r="Y43" i="27" s="1"/>
  <c r="Y29" i="27"/>
  <c r="Y30" i="27"/>
  <c r="Y35" i="27" s="1"/>
  <c r="X10" i="27"/>
  <c r="X46" i="27" s="1"/>
  <c r="X45" i="27" s="1"/>
  <c r="X23" i="27"/>
  <c r="X49" i="27" s="1"/>
  <c r="X25" i="27"/>
  <c r="X25" i="28"/>
  <c r="X26" i="27"/>
  <c r="X36" i="27" s="1"/>
  <c r="X27" i="27"/>
  <c r="X28" i="27"/>
  <c r="X43" i="27" s="1"/>
  <c r="X29" i="27"/>
  <c r="X30" i="27"/>
  <c r="X35" i="27" s="1"/>
  <c r="W10" i="27"/>
  <c r="W46" i="27" s="1"/>
  <c r="W45" i="27" s="1"/>
  <c r="W23" i="27"/>
  <c r="W49" i="27" s="1"/>
  <c r="W25" i="27"/>
  <c r="W25" i="28"/>
  <c r="W26" i="27"/>
  <c r="W36" i="27" s="1"/>
  <c r="W27" i="27"/>
  <c r="W28" i="27"/>
  <c r="W43" i="27" s="1"/>
  <c r="W29" i="27"/>
  <c r="W30" i="27"/>
  <c r="W35" i="27" s="1"/>
  <c r="Z10" i="27"/>
  <c r="Z46" i="27" s="1"/>
  <c r="Z45" i="27" s="1"/>
  <c r="Z23" i="27"/>
  <c r="Z49" i="27" s="1"/>
  <c r="Z25" i="27"/>
  <c r="Z25" i="28"/>
  <c r="Z26" i="27"/>
  <c r="Z36" i="27" s="1"/>
  <c r="Z27" i="27"/>
  <c r="Z28" i="27"/>
  <c r="Z43" i="27" s="1"/>
  <c r="Z29" i="27"/>
  <c r="Z30" i="27"/>
  <c r="Z35" i="27" s="1"/>
  <c r="V10" i="27"/>
  <c r="V46" i="27" s="1"/>
  <c r="V45" i="27" s="1"/>
  <c r="V23" i="27"/>
  <c r="V49" i="27" s="1"/>
  <c r="V25" i="27"/>
  <c r="V25" i="28"/>
  <c r="V26" i="27"/>
  <c r="V36" i="27" s="1"/>
  <c r="V27" i="27"/>
  <c r="V28" i="27"/>
  <c r="V43" i="27" s="1"/>
  <c r="V29" i="27"/>
  <c r="V30" i="27"/>
  <c r="V35" i="27" s="1"/>
  <c r="U10" i="27"/>
  <c r="U46" i="27" s="1"/>
  <c r="U45" i="27" s="1"/>
  <c r="U23" i="27"/>
  <c r="U49" i="27" s="1"/>
  <c r="U25" i="27"/>
  <c r="U25" i="28"/>
  <c r="U26" i="27"/>
  <c r="U36" i="27" s="1"/>
  <c r="U27" i="27"/>
  <c r="U28" i="27"/>
  <c r="U43" i="27" s="1"/>
  <c r="U29" i="27"/>
  <c r="U30" i="27"/>
  <c r="U35" i="27" s="1"/>
  <c r="T10" i="27"/>
  <c r="T46" i="27" s="1"/>
  <c r="T45" i="27" s="1"/>
  <c r="T23" i="27"/>
  <c r="T49" i="27" s="1"/>
  <c r="T25" i="27"/>
  <c r="T25" i="28"/>
  <c r="T26" i="27"/>
  <c r="T36" i="27" s="1"/>
  <c r="T27" i="27"/>
  <c r="T28" i="27"/>
  <c r="T43" i="27" s="1"/>
  <c r="T29" i="27"/>
  <c r="T30" i="27"/>
  <c r="T35" i="27" s="1"/>
  <c r="S10" i="27"/>
  <c r="S46" i="27" s="1"/>
  <c r="S23" i="27"/>
  <c r="S49" i="27" s="1"/>
  <c r="S25" i="27"/>
  <c r="S25" i="28"/>
  <c r="S26" i="27"/>
  <c r="S36" i="27" s="1"/>
  <c r="S27" i="27"/>
  <c r="S28" i="27"/>
  <c r="S43" i="27" s="1"/>
  <c r="S29" i="27"/>
  <c r="S30" i="27"/>
  <c r="S35" i="27" s="1"/>
  <c r="R10" i="27"/>
  <c r="R46" i="27" s="1"/>
  <c r="R45" i="27" s="1"/>
  <c r="R23" i="27"/>
  <c r="R49" i="27" s="1"/>
  <c r="R25" i="27"/>
  <c r="R25" i="28"/>
  <c r="R26" i="27"/>
  <c r="R36" i="27" s="1"/>
  <c r="R27" i="27"/>
  <c r="R28" i="27"/>
  <c r="R43" i="27" s="1"/>
  <c r="R29" i="27"/>
  <c r="R30" i="27"/>
  <c r="R35" i="27" s="1"/>
  <c r="Q10" i="27"/>
  <c r="Q46" i="27" s="1"/>
  <c r="Q45" i="27" s="1"/>
  <c r="Q23" i="27"/>
  <c r="Q49" i="27" s="1"/>
  <c r="Q25" i="27"/>
  <c r="Q25" i="28"/>
  <c r="Q26" i="27"/>
  <c r="Q36" i="27" s="1"/>
  <c r="Q27" i="27"/>
  <c r="Q28" i="27"/>
  <c r="Q43" i="27" s="1"/>
  <c r="Q29" i="27"/>
  <c r="Q30" i="27"/>
  <c r="Q35" i="27" s="1"/>
  <c r="P10" i="27"/>
  <c r="P46" i="27" s="1"/>
  <c r="P23" i="27"/>
  <c r="P49" i="27" s="1"/>
  <c r="P25" i="27"/>
  <c r="P25" i="28"/>
  <c r="P26" i="27"/>
  <c r="P36" i="27" s="1"/>
  <c r="P27" i="27"/>
  <c r="P28" i="27"/>
  <c r="P43" i="27" s="1"/>
  <c r="P29" i="27"/>
  <c r="P30" i="27"/>
  <c r="P35" i="27" s="1"/>
  <c r="O10" i="27"/>
  <c r="O46" i="27" s="1"/>
  <c r="O45" i="27" s="1"/>
  <c r="O23" i="27"/>
  <c r="O49" i="27" s="1"/>
  <c r="O25" i="27"/>
  <c r="O25" i="28"/>
  <c r="O26" i="27"/>
  <c r="O36" i="27" s="1"/>
  <c r="O27" i="27"/>
  <c r="O28" i="27"/>
  <c r="O43" i="27" s="1"/>
  <c r="O29" i="27"/>
  <c r="O30" i="27"/>
  <c r="O35" i="27" s="1"/>
  <c r="N10" i="27"/>
  <c r="N46" i="27" s="1"/>
  <c r="N45" i="27" s="1"/>
  <c r="N23" i="27"/>
  <c r="N49" i="27" s="1"/>
  <c r="N25" i="27"/>
  <c r="N25" i="28"/>
  <c r="N26" i="27"/>
  <c r="N36" i="27" s="1"/>
  <c r="N27" i="27"/>
  <c r="N28" i="27"/>
  <c r="N43" i="27" s="1"/>
  <c r="N29" i="27"/>
  <c r="N30" i="27"/>
  <c r="N35" i="27" s="1"/>
  <c r="M10" i="27"/>
  <c r="M46" i="27" s="1"/>
  <c r="M45" i="27" s="1"/>
  <c r="M23" i="27"/>
  <c r="M49" i="27" s="1"/>
  <c r="M25" i="27"/>
  <c r="M25" i="28"/>
  <c r="M26" i="27"/>
  <c r="M36" i="27" s="1"/>
  <c r="M27" i="27"/>
  <c r="M28" i="27"/>
  <c r="M43" i="27" s="1"/>
  <c r="M29" i="27"/>
  <c r="M30" i="27"/>
  <c r="M35" i="27" s="1"/>
  <c r="L10" i="27"/>
  <c r="L46" i="27" s="1"/>
  <c r="L45" i="27" s="1"/>
  <c r="L23" i="27"/>
  <c r="L49" i="27" s="1"/>
  <c r="L25" i="27"/>
  <c r="L25" i="28"/>
  <c r="L26" i="27"/>
  <c r="L36" i="27" s="1"/>
  <c r="L27" i="27"/>
  <c r="L28" i="27"/>
  <c r="L43" i="27" s="1"/>
  <c r="L29" i="27"/>
  <c r="L30" i="27"/>
  <c r="L35" i="27" s="1"/>
  <c r="K10" i="27"/>
  <c r="K46" i="27" s="1"/>
  <c r="K45" i="27" s="1"/>
  <c r="K23" i="27"/>
  <c r="K49" i="27" s="1"/>
  <c r="K25" i="27"/>
  <c r="K25" i="28"/>
  <c r="K26" i="27"/>
  <c r="K36" i="27" s="1"/>
  <c r="K27" i="27"/>
  <c r="K28" i="27"/>
  <c r="K43" i="27" s="1"/>
  <c r="K29" i="27"/>
  <c r="K30" i="27"/>
  <c r="K35" i="27" s="1"/>
  <c r="AA10" i="27"/>
  <c r="AA46" i="27" s="1"/>
  <c r="AA45" i="27" s="1"/>
  <c r="AA23" i="27"/>
  <c r="AA49" i="27" s="1"/>
  <c r="AA25" i="27"/>
  <c r="AA25" i="28"/>
  <c r="AA26" i="27"/>
  <c r="AA36" i="27" s="1"/>
  <c r="AA27" i="27"/>
  <c r="AA28" i="27"/>
  <c r="AA43" i="27" s="1"/>
  <c r="AA29" i="27"/>
  <c r="AA30" i="27"/>
  <c r="AA35" i="27" s="1"/>
  <c r="J10" i="27"/>
  <c r="J46" i="27" s="1"/>
  <c r="J45" i="27" s="1"/>
  <c r="J23" i="27"/>
  <c r="J49" i="27" s="1"/>
  <c r="J25" i="27"/>
  <c r="J25" i="28"/>
  <c r="J26" i="27"/>
  <c r="J36" i="27" s="1"/>
  <c r="J27" i="27"/>
  <c r="J28" i="27"/>
  <c r="J43" i="27" s="1"/>
  <c r="J29" i="27"/>
  <c r="J30" i="27"/>
  <c r="J35" i="27" s="1"/>
  <c r="I10" i="27"/>
  <c r="I46" i="27" s="1"/>
  <c r="I45" i="27" s="1"/>
  <c r="I23" i="27"/>
  <c r="I49" i="27" s="1"/>
  <c r="I25" i="27"/>
  <c r="I25" i="28"/>
  <c r="I26" i="27"/>
  <c r="I36" i="27" s="1"/>
  <c r="I27" i="27"/>
  <c r="I28" i="27"/>
  <c r="I43" i="27" s="1"/>
  <c r="I29" i="27"/>
  <c r="I30" i="27"/>
  <c r="I35" i="27" s="1"/>
  <c r="H10" i="27"/>
  <c r="H46" i="27" s="1"/>
  <c r="H23" i="27"/>
  <c r="H49" i="27" s="1"/>
  <c r="H25" i="27"/>
  <c r="H25" i="28"/>
  <c r="H26" i="27"/>
  <c r="H36" i="27" s="1"/>
  <c r="H27" i="27"/>
  <c r="H28" i="27"/>
  <c r="H43" i="27" s="1"/>
  <c r="H29" i="27"/>
  <c r="H30" i="27"/>
  <c r="H35" i="27" s="1"/>
  <c r="G10" i="27"/>
  <c r="G46" i="27" s="1"/>
  <c r="G45" i="27" s="1"/>
  <c r="G23" i="27"/>
  <c r="G49" i="27" s="1"/>
  <c r="G25" i="27"/>
  <c r="G25" i="28"/>
  <c r="G26" i="27"/>
  <c r="G36" i="27" s="1"/>
  <c r="G27" i="27"/>
  <c r="G28" i="27"/>
  <c r="G43" i="27" s="1"/>
  <c r="G29" i="27"/>
  <c r="G30" i="27"/>
  <c r="G35" i="27" s="1"/>
  <c r="F10" i="27"/>
  <c r="F46" i="27" s="1"/>
  <c r="F45" i="27" s="1"/>
  <c r="F23" i="27"/>
  <c r="F49" i="27" s="1"/>
  <c r="F25" i="27"/>
  <c r="F25" i="28"/>
  <c r="F26" i="27"/>
  <c r="F36" i="27" s="1"/>
  <c r="F27" i="27"/>
  <c r="F28" i="27"/>
  <c r="F43" i="27" s="1"/>
  <c r="F29" i="27"/>
  <c r="F30" i="27"/>
  <c r="F35" i="27" s="1"/>
  <c r="E10" i="27"/>
  <c r="E46" i="27" s="1"/>
  <c r="E45" i="27" s="1"/>
  <c r="E23" i="27"/>
  <c r="E49" i="27" s="1"/>
  <c r="E25" i="27"/>
  <c r="E25" i="28"/>
  <c r="E26" i="27"/>
  <c r="E36" i="27" s="1"/>
  <c r="E27" i="27"/>
  <c r="E28" i="27"/>
  <c r="E43" i="27" s="1"/>
  <c r="E29" i="27"/>
  <c r="E30" i="27"/>
  <c r="E35" i="27" s="1"/>
  <c r="AR2" i="27"/>
  <c r="AR38" i="27" s="1"/>
  <c r="AR4" i="27"/>
  <c r="AR40" i="27" s="1"/>
  <c r="AR5" i="27"/>
  <c r="AR6" i="27"/>
  <c r="AR47" i="27" s="1"/>
  <c r="AR7" i="27"/>
  <c r="AR8" i="27"/>
  <c r="AR41" i="27" s="1"/>
  <c r="AR9" i="27"/>
  <c r="AR10" i="27"/>
  <c r="AR46" i="27" s="1"/>
  <c r="AR11" i="27"/>
  <c r="AR39" i="27" s="1"/>
  <c r="AR12" i="27"/>
  <c r="AR13" i="27"/>
  <c r="AR33" i="27" s="1"/>
  <c r="AR31" i="27" s="1"/>
  <c r="AR14" i="27"/>
  <c r="AR34" i="27" s="1"/>
  <c r="AR15" i="27"/>
  <c r="AR44" i="27" s="1"/>
  <c r="AR16" i="27"/>
  <c r="AR17" i="27"/>
  <c r="AR18" i="27"/>
  <c r="AR19" i="27"/>
  <c r="AR42" i="27" s="1"/>
  <c r="AR20" i="27"/>
  <c r="AR21" i="27"/>
  <c r="AR22" i="27"/>
  <c r="AR37" i="27" s="1"/>
  <c r="AR23" i="27"/>
  <c r="AR49" i="27" s="1"/>
  <c r="AR24" i="27"/>
  <c r="AR25" i="27"/>
  <c r="AR26" i="27"/>
  <c r="AR36" i="27" s="1"/>
  <c r="AR27" i="27"/>
  <c r="AR28" i="27"/>
  <c r="AR43" i="27" s="1"/>
  <c r="AR29" i="27"/>
  <c r="AR30" i="27"/>
  <c r="AR35" i="27" s="1"/>
  <c r="C2" i="26"/>
  <c r="C38" i="26" s="1"/>
  <c r="C4" i="26"/>
  <c r="C40" i="26" s="1"/>
  <c r="C5" i="26"/>
  <c r="C6" i="26"/>
  <c r="C47" i="26" s="1"/>
  <c r="C7" i="26"/>
  <c r="C8" i="26"/>
  <c r="C41" i="26" s="1"/>
  <c r="C9" i="26"/>
  <c r="C10" i="26"/>
  <c r="C46" i="26" s="1"/>
  <c r="D10" i="27"/>
  <c r="D46" i="27" s="1"/>
  <c r="D45" i="27" s="1"/>
  <c r="C11" i="26"/>
  <c r="C39" i="26" s="1"/>
  <c r="C12" i="26"/>
  <c r="C13" i="26"/>
  <c r="C33" i="26" s="1"/>
  <c r="C14" i="26"/>
  <c r="C34" i="26" s="1"/>
  <c r="C15" i="26"/>
  <c r="C44" i="26" s="1"/>
  <c r="C16" i="26"/>
  <c r="C17" i="26"/>
  <c r="C18" i="26"/>
  <c r="C19" i="26"/>
  <c r="C42" i="26" s="1"/>
  <c r="C20" i="26"/>
  <c r="C21" i="26"/>
  <c r="C22" i="26"/>
  <c r="C37" i="26" s="1"/>
  <c r="C23" i="26"/>
  <c r="C49" i="26" s="1"/>
  <c r="D23" i="27"/>
  <c r="D49" i="27" s="1"/>
  <c r="D48" i="27" s="1"/>
  <c r="C24" i="26"/>
  <c r="C25" i="26"/>
  <c r="D25" i="27"/>
  <c r="D25" i="28"/>
  <c r="C26" i="26"/>
  <c r="C36" i="26" s="1"/>
  <c r="D26" i="27"/>
  <c r="D36" i="27" s="1"/>
  <c r="C27" i="26"/>
  <c r="D27" i="27"/>
  <c r="C28" i="26"/>
  <c r="C43" i="26" s="1"/>
  <c r="D28" i="27"/>
  <c r="D43" i="27" s="1"/>
  <c r="C29" i="26"/>
  <c r="D29" i="27"/>
  <c r="C30" i="26"/>
  <c r="C35" i="26" s="1"/>
  <c r="D30" i="27"/>
  <c r="D35" i="27" s="1"/>
  <c r="AX2" i="27"/>
  <c r="AX38" i="27" s="1"/>
  <c r="AX4" i="27"/>
  <c r="AX40" i="27" s="1"/>
  <c r="AX5" i="27"/>
  <c r="AX6" i="27"/>
  <c r="AX47" i="27" s="1"/>
  <c r="AX7" i="27"/>
  <c r="AX8" i="27"/>
  <c r="AX41" i="27" s="1"/>
  <c r="AX9" i="27"/>
  <c r="AX10" i="27"/>
  <c r="AX46" i="27" s="1"/>
  <c r="AX45" i="27" s="1"/>
  <c r="AX11" i="27"/>
  <c r="AX39" i="27" s="1"/>
  <c r="AX12" i="27"/>
  <c r="AX13" i="27"/>
  <c r="AX33" i="27" s="1"/>
  <c r="AX31" i="27" s="1"/>
  <c r="AX14" i="27"/>
  <c r="AX34" i="27" s="1"/>
  <c r="AX15" i="27"/>
  <c r="AX44" i="27" s="1"/>
  <c r="AX16" i="27"/>
  <c r="AX17" i="27"/>
  <c r="AX18" i="27"/>
  <c r="AX19" i="27"/>
  <c r="AX42" i="27" s="1"/>
  <c r="AX20" i="27"/>
  <c r="AX21" i="27"/>
  <c r="AX22" i="27"/>
  <c r="AX37" i="27" s="1"/>
  <c r="AX23" i="27"/>
  <c r="AX49" i="27" s="1"/>
  <c r="AX24" i="27"/>
  <c r="AX25" i="27"/>
  <c r="AX26" i="27"/>
  <c r="AX36" i="27" s="1"/>
  <c r="AX27" i="27"/>
  <c r="AX28" i="27"/>
  <c r="AX43" i="27" s="1"/>
  <c r="AX29" i="27"/>
  <c r="AX30" i="27"/>
  <c r="AX35" i="27" s="1"/>
  <c r="AW2" i="27"/>
  <c r="AW38" i="27" s="1"/>
  <c r="AW4" i="27"/>
  <c r="AW40" i="27" s="1"/>
  <c r="AW5" i="27"/>
  <c r="AW6" i="27"/>
  <c r="AW47" i="27" s="1"/>
  <c r="AW7" i="27"/>
  <c r="AW8" i="27"/>
  <c r="AW41" i="27" s="1"/>
  <c r="AW9" i="27"/>
  <c r="AW10" i="27"/>
  <c r="AW46" i="27" s="1"/>
  <c r="AW11" i="27"/>
  <c r="AW39" i="27" s="1"/>
  <c r="AW12" i="27"/>
  <c r="AW13" i="27"/>
  <c r="AW33" i="27" s="1"/>
  <c r="AW14" i="27"/>
  <c r="AW34" i="27" s="1"/>
  <c r="AW15" i="27"/>
  <c r="AW44" i="27" s="1"/>
  <c r="AW16" i="27"/>
  <c r="AW17" i="27"/>
  <c r="AW18" i="27"/>
  <c r="AW19" i="27"/>
  <c r="AW42" i="27" s="1"/>
  <c r="AW20" i="27"/>
  <c r="AW21" i="27"/>
  <c r="AW22" i="27"/>
  <c r="AW37" i="27" s="1"/>
  <c r="AW23" i="27"/>
  <c r="AW49" i="27" s="1"/>
  <c r="AW24" i="27"/>
  <c r="AW25" i="27"/>
  <c r="AW26" i="27"/>
  <c r="AW36" i="27" s="1"/>
  <c r="AW27" i="27"/>
  <c r="AW28" i="27"/>
  <c r="AW43" i="27" s="1"/>
  <c r="AW29" i="27"/>
  <c r="AW30" i="27"/>
  <c r="AW35" i="27" s="1"/>
  <c r="AV2" i="27"/>
  <c r="AV38" i="27" s="1"/>
  <c r="AV4" i="27"/>
  <c r="AV40" i="27" s="1"/>
  <c r="AV5" i="27"/>
  <c r="AV6" i="27"/>
  <c r="AV47" i="27" s="1"/>
  <c r="AV7" i="27"/>
  <c r="AV8" i="27"/>
  <c r="AV41" i="27" s="1"/>
  <c r="AV9" i="27"/>
  <c r="AV10" i="27"/>
  <c r="AV46" i="27" s="1"/>
  <c r="AV11" i="27"/>
  <c r="AV39" i="27" s="1"/>
  <c r="AV12" i="27"/>
  <c r="AV13" i="27"/>
  <c r="AV33" i="27" s="1"/>
  <c r="AV14" i="27"/>
  <c r="AV34" i="27" s="1"/>
  <c r="AV15" i="27"/>
  <c r="AV44" i="27" s="1"/>
  <c r="AV16" i="27"/>
  <c r="AV17" i="27"/>
  <c r="AV18" i="27"/>
  <c r="AV19" i="27"/>
  <c r="AV42" i="27" s="1"/>
  <c r="AV20" i="27"/>
  <c r="AV21" i="27"/>
  <c r="AV22" i="27"/>
  <c r="AV37" i="27" s="1"/>
  <c r="AV23" i="27"/>
  <c r="AV49" i="27" s="1"/>
  <c r="AV24" i="27"/>
  <c r="AV25" i="27"/>
  <c r="AV26" i="27"/>
  <c r="AV36" i="27" s="1"/>
  <c r="AV27" i="27"/>
  <c r="AV28" i="27"/>
  <c r="AV43" i="27" s="1"/>
  <c r="AV29" i="27"/>
  <c r="AV30" i="27"/>
  <c r="AV35" i="27" s="1"/>
  <c r="AY2" i="27"/>
  <c r="AY38" i="27" s="1"/>
  <c r="AY4" i="27"/>
  <c r="AY40" i="27" s="1"/>
  <c r="AY5" i="27"/>
  <c r="AY6" i="27"/>
  <c r="AY47" i="27" s="1"/>
  <c r="AY7" i="27"/>
  <c r="AY8" i="27"/>
  <c r="AY41" i="27" s="1"/>
  <c r="AY9" i="27"/>
  <c r="AY10" i="27"/>
  <c r="AY46" i="27" s="1"/>
  <c r="AY45" i="27" s="1"/>
  <c r="AY11" i="27"/>
  <c r="AY39" i="27" s="1"/>
  <c r="AY12" i="27"/>
  <c r="AY13" i="27"/>
  <c r="AY33" i="27" s="1"/>
  <c r="AY31" i="27" s="1"/>
  <c r="AY14" i="27"/>
  <c r="AY34" i="27" s="1"/>
  <c r="AY15" i="27"/>
  <c r="AY44" i="27" s="1"/>
  <c r="AY16" i="27"/>
  <c r="AY17" i="27"/>
  <c r="AY18" i="27"/>
  <c r="AY19" i="27"/>
  <c r="AY42" i="27" s="1"/>
  <c r="AY20" i="27"/>
  <c r="AY21" i="27"/>
  <c r="AY22" i="27"/>
  <c r="AY37" i="27" s="1"/>
  <c r="AY23" i="27"/>
  <c r="AY49" i="27" s="1"/>
  <c r="AY24" i="27"/>
  <c r="AY25" i="27"/>
  <c r="AY26" i="27"/>
  <c r="AY36" i="27" s="1"/>
  <c r="AY27" i="27"/>
  <c r="AY28" i="27"/>
  <c r="AY43" i="27" s="1"/>
  <c r="AY29" i="27"/>
  <c r="AY30" i="27"/>
  <c r="AY35" i="27" s="1"/>
  <c r="AU2" i="27"/>
  <c r="AU38" i="27" s="1"/>
  <c r="AU4" i="27"/>
  <c r="AU40" i="27" s="1"/>
  <c r="AU5" i="27"/>
  <c r="AU6" i="27"/>
  <c r="AU47" i="27" s="1"/>
  <c r="AU7" i="27"/>
  <c r="AU8" i="27"/>
  <c r="AU41" i="27" s="1"/>
  <c r="AU9" i="27"/>
  <c r="AU10" i="27"/>
  <c r="AU46" i="27" s="1"/>
  <c r="AU11" i="27"/>
  <c r="AU39" i="27" s="1"/>
  <c r="AU12" i="27"/>
  <c r="AU13" i="27"/>
  <c r="AU33" i="27" s="1"/>
  <c r="AU31" i="27" s="1"/>
  <c r="AU14" i="27"/>
  <c r="AU34" i="27" s="1"/>
  <c r="AU15" i="27"/>
  <c r="AU44" i="27" s="1"/>
  <c r="AU16" i="27"/>
  <c r="AU17" i="27"/>
  <c r="AU18" i="27"/>
  <c r="AU19" i="27"/>
  <c r="AU42" i="27" s="1"/>
  <c r="AU20" i="27"/>
  <c r="AU21" i="27"/>
  <c r="AU22" i="27"/>
  <c r="AU37" i="27" s="1"/>
  <c r="AU23" i="27"/>
  <c r="AU49" i="27" s="1"/>
  <c r="AU24" i="27"/>
  <c r="AU25" i="27"/>
  <c r="AU26" i="27"/>
  <c r="AU36" i="27" s="1"/>
  <c r="AU27" i="27"/>
  <c r="AU28" i="27"/>
  <c r="AU43" i="27" s="1"/>
  <c r="AU29" i="27"/>
  <c r="AU30" i="27"/>
  <c r="AU35" i="27" s="1"/>
  <c r="AT2" i="27"/>
  <c r="AT38" i="27" s="1"/>
  <c r="AT4" i="27"/>
  <c r="AT40" i="27" s="1"/>
  <c r="AT5" i="27"/>
  <c r="AT6" i="27"/>
  <c r="AT47" i="27" s="1"/>
  <c r="AT7" i="27"/>
  <c r="AT8" i="27"/>
  <c r="AT41" i="27" s="1"/>
  <c r="AT9" i="27"/>
  <c r="AT10" i="27"/>
  <c r="AT46" i="27" s="1"/>
  <c r="AT11" i="27"/>
  <c r="AT39" i="27" s="1"/>
  <c r="AT12" i="27"/>
  <c r="AT13" i="27"/>
  <c r="AT33" i="27" s="1"/>
  <c r="AT31" i="27" s="1"/>
  <c r="AT14" i="27"/>
  <c r="AT34" i="27" s="1"/>
  <c r="AT15" i="27"/>
  <c r="AT44" i="27" s="1"/>
  <c r="AT16" i="27"/>
  <c r="AT17" i="27"/>
  <c r="AT18" i="27"/>
  <c r="AT19" i="27"/>
  <c r="AT42" i="27" s="1"/>
  <c r="AT20" i="27"/>
  <c r="AT21" i="27"/>
  <c r="AT22" i="27"/>
  <c r="AT37" i="27" s="1"/>
  <c r="AT23" i="27"/>
  <c r="AT49" i="27" s="1"/>
  <c r="AT24" i="27"/>
  <c r="AT25" i="27"/>
  <c r="AT26" i="27"/>
  <c r="AT36" i="27" s="1"/>
  <c r="AT27" i="27"/>
  <c r="AT28" i="27"/>
  <c r="AT43" i="27" s="1"/>
  <c r="AT29" i="27"/>
  <c r="AT30" i="27"/>
  <c r="AT35" i="27" s="1"/>
  <c r="AS2" i="27"/>
  <c r="AS38" i="27" s="1"/>
  <c r="AS4" i="27"/>
  <c r="AS40" i="27" s="1"/>
  <c r="AS5" i="27"/>
  <c r="AS6" i="27"/>
  <c r="AS47" i="27" s="1"/>
  <c r="AS7" i="27"/>
  <c r="AS8" i="27"/>
  <c r="AS41" i="27" s="1"/>
  <c r="AS9" i="27"/>
  <c r="AS10" i="27"/>
  <c r="AS46" i="27" s="1"/>
  <c r="AS45" i="27" s="1"/>
  <c r="AS11" i="27"/>
  <c r="AS39" i="27" s="1"/>
  <c r="AS12" i="27"/>
  <c r="AS13" i="27"/>
  <c r="AS33" i="27" s="1"/>
  <c r="AS31" i="27" s="1"/>
  <c r="AS14" i="27"/>
  <c r="AS34" i="27" s="1"/>
  <c r="AS15" i="27"/>
  <c r="AS44" i="27" s="1"/>
  <c r="AS16" i="27"/>
  <c r="AS17" i="27"/>
  <c r="AS18" i="27"/>
  <c r="AS19" i="27"/>
  <c r="AS42" i="27" s="1"/>
  <c r="AS20" i="27"/>
  <c r="AS21" i="27"/>
  <c r="AS22" i="27"/>
  <c r="AS37" i="27" s="1"/>
  <c r="AS23" i="27"/>
  <c r="AS49" i="27" s="1"/>
  <c r="AS24" i="27"/>
  <c r="AS25" i="27"/>
  <c r="AS26" i="27"/>
  <c r="AS36" i="27" s="1"/>
  <c r="AS27" i="27"/>
  <c r="AS28" i="27"/>
  <c r="AS43" i="27" s="1"/>
  <c r="AS29" i="27"/>
  <c r="AS30" i="27"/>
  <c r="AS35" i="27" s="1"/>
  <c r="AQ2" i="27"/>
  <c r="AQ38" i="27" s="1"/>
  <c r="AQ4" i="27"/>
  <c r="AQ40" i="27" s="1"/>
  <c r="AQ5" i="27"/>
  <c r="AQ6" i="27"/>
  <c r="AQ47" i="27" s="1"/>
  <c r="AQ7" i="27"/>
  <c r="AQ8" i="27"/>
  <c r="AQ41" i="27" s="1"/>
  <c r="AQ9" i="27"/>
  <c r="AQ10" i="27"/>
  <c r="AQ46" i="27" s="1"/>
  <c r="AQ11" i="27"/>
  <c r="AQ39" i="27" s="1"/>
  <c r="AQ12" i="27"/>
  <c r="AQ13" i="27"/>
  <c r="AQ33" i="27" s="1"/>
  <c r="AQ31" i="27" s="1"/>
  <c r="AQ14" i="27"/>
  <c r="AQ34" i="27" s="1"/>
  <c r="AQ15" i="27"/>
  <c r="AQ44" i="27" s="1"/>
  <c r="AQ16" i="27"/>
  <c r="AQ17" i="27"/>
  <c r="AQ18" i="27"/>
  <c r="AQ19" i="27"/>
  <c r="AQ42" i="27" s="1"/>
  <c r="AQ20" i="27"/>
  <c r="AQ21" i="27"/>
  <c r="AQ22" i="27"/>
  <c r="AQ37" i="27" s="1"/>
  <c r="AQ23" i="27"/>
  <c r="AQ49" i="27" s="1"/>
  <c r="AQ24" i="27"/>
  <c r="AQ25" i="27"/>
  <c r="AQ26" i="27"/>
  <c r="AQ36" i="27" s="1"/>
  <c r="AQ27" i="27"/>
  <c r="AQ28" i="27"/>
  <c r="AQ43" i="27" s="1"/>
  <c r="AQ29" i="27"/>
  <c r="AQ30" i="27"/>
  <c r="AQ35" i="27" s="1"/>
  <c r="AP2" i="27"/>
  <c r="AP38" i="27" s="1"/>
  <c r="AP4" i="27"/>
  <c r="AP40" i="27" s="1"/>
  <c r="AP5" i="27"/>
  <c r="AP6" i="27"/>
  <c r="AP47" i="27" s="1"/>
  <c r="AP7" i="27"/>
  <c r="AP8" i="27"/>
  <c r="AP41" i="27" s="1"/>
  <c r="AP9" i="27"/>
  <c r="AP10" i="27"/>
  <c r="AP46" i="27" s="1"/>
  <c r="AP11" i="27"/>
  <c r="AP39" i="27" s="1"/>
  <c r="AP12" i="27"/>
  <c r="AP13" i="27"/>
  <c r="AP33" i="27" s="1"/>
  <c r="AP31" i="27" s="1"/>
  <c r="AP14" i="27"/>
  <c r="AP34" i="27" s="1"/>
  <c r="AP15" i="27"/>
  <c r="AP44" i="27" s="1"/>
  <c r="AP16" i="27"/>
  <c r="AP17" i="27"/>
  <c r="AP18" i="27"/>
  <c r="AP19" i="27"/>
  <c r="AP42" i="27" s="1"/>
  <c r="AP20" i="27"/>
  <c r="AP21" i="27"/>
  <c r="AP22" i="27"/>
  <c r="AP37" i="27" s="1"/>
  <c r="AP23" i="27"/>
  <c r="AP49" i="27" s="1"/>
  <c r="AP24" i="27"/>
  <c r="AP25" i="27"/>
  <c r="AP26" i="27"/>
  <c r="AP36" i="27" s="1"/>
  <c r="AP27" i="27"/>
  <c r="AP28" i="27"/>
  <c r="AP43" i="27" s="1"/>
  <c r="AP29" i="27"/>
  <c r="AP30" i="27"/>
  <c r="AP35" i="27" s="1"/>
  <c r="AO2" i="27"/>
  <c r="AO38" i="27" s="1"/>
  <c r="AO4" i="27"/>
  <c r="AO40" i="27" s="1"/>
  <c r="AO5" i="27"/>
  <c r="AO6" i="27"/>
  <c r="AO47" i="27" s="1"/>
  <c r="AO7" i="27"/>
  <c r="AO8" i="27"/>
  <c r="AO41" i="27" s="1"/>
  <c r="AO9" i="27"/>
  <c r="AO10" i="27"/>
  <c r="AO46" i="27" s="1"/>
  <c r="AO11" i="27"/>
  <c r="AO39" i="27" s="1"/>
  <c r="AO12" i="27"/>
  <c r="AO13" i="27"/>
  <c r="AO33" i="27" s="1"/>
  <c r="AO31" i="27" s="1"/>
  <c r="AO14" i="27"/>
  <c r="AO34" i="27" s="1"/>
  <c r="AO15" i="27"/>
  <c r="AO44" i="27" s="1"/>
  <c r="AO16" i="27"/>
  <c r="AO17" i="27"/>
  <c r="AO18" i="27"/>
  <c r="AO19" i="27"/>
  <c r="AO42" i="27" s="1"/>
  <c r="AO20" i="27"/>
  <c r="AO21" i="27"/>
  <c r="AO22" i="27"/>
  <c r="AO37" i="27" s="1"/>
  <c r="AO23" i="27"/>
  <c r="AO49" i="27" s="1"/>
  <c r="AO24" i="27"/>
  <c r="AO25" i="27"/>
  <c r="AO26" i="27"/>
  <c r="AO36" i="27" s="1"/>
  <c r="AO27" i="27"/>
  <c r="AO28" i="27"/>
  <c r="AO43" i="27" s="1"/>
  <c r="AO29" i="27"/>
  <c r="AO30" i="27"/>
  <c r="AO35" i="27" s="1"/>
  <c r="AN2" i="27"/>
  <c r="AN38" i="27" s="1"/>
  <c r="AN4" i="27"/>
  <c r="AN40" i="27" s="1"/>
  <c r="AN5" i="27"/>
  <c r="AN6" i="27"/>
  <c r="AN47" i="27" s="1"/>
  <c r="AN7" i="27"/>
  <c r="AN8" i="27"/>
  <c r="AN41" i="27" s="1"/>
  <c r="AN9" i="27"/>
  <c r="AN10" i="27"/>
  <c r="AN46" i="27" s="1"/>
  <c r="AN11" i="27"/>
  <c r="AN39" i="27" s="1"/>
  <c r="AN12" i="27"/>
  <c r="AN13" i="27"/>
  <c r="AN33" i="27" s="1"/>
  <c r="AN31" i="27" s="1"/>
  <c r="AN14" i="27"/>
  <c r="AN34" i="27" s="1"/>
  <c r="AN15" i="27"/>
  <c r="AN44" i="27" s="1"/>
  <c r="AN16" i="27"/>
  <c r="AN17" i="27"/>
  <c r="AN18" i="27"/>
  <c r="AN19" i="27"/>
  <c r="AN42" i="27" s="1"/>
  <c r="AN20" i="27"/>
  <c r="AN21" i="27"/>
  <c r="AN22" i="27"/>
  <c r="AN37" i="27" s="1"/>
  <c r="AN23" i="27"/>
  <c r="AN49" i="27" s="1"/>
  <c r="AN24" i="27"/>
  <c r="AN25" i="27"/>
  <c r="AN26" i="27"/>
  <c r="AN36" i="27" s="1"/>
  <c r="AN27" i="27"/>
  <c r="AN28" i="27"/>
  <c r="AN43" i="27" s="1"/>
  <c r="AN29" i="27"/>
  <c r="AN30" i="27"/>
  <c r="AN35" i="27" s="1"/>
  <c r="AM2" i="27"/>
  <c r="AM38" i="27" s="1"/>
  <c r="AM4" i="27"/>
  <c r="AM40" i="27" s="1"/>
  <c r="AM5" i="27"/>
  <c r="AM6" i="27"/>
  <c r="AM47" i="27" s="1"/>
  <c r="AM7" i="27"/>
  <c r="AM8" i="27"/>
  <c r="AM41" i="27" s="1"/>
  <c r="AM9" i="27"/>
  <c r="AM10" i="27"/>
  <c r="AM46" i="27" s="1"/>
  <c r="AM11" i="27"/>
  <c r="AM39" i="27" s="1"/>
  <c r="AM12" i="27"/>
  <c r="AM13" i="27"/>
  <c r="AM33" i="27" s="1"/>
  <c r="AM31" i="27" s="1"/>
  <c r="AM14" i="27"/>
  <c r="AM34" i="27" s="1"/>
  <c r="AM15" i="27"/>
  <c r="AM44" i="27" s="1"/>
  <c r="AM16" i="27"/>
  <c r="AM17" i="27"/>
  <c r="AM18" i="27"/>
  <c r="AM19" i="27"/>
  <c r="AM42" i="27" s="1"/>
  <c r="AM20" i="27"/>
  <c r="AM21" i="27"/>
  <c r="AM22" i="27"/>
  <c r="AM37" i="27" s="1"/>
  <c r="AM23" i="27"/>
  <c r="AM49" i="27" s="1"/>
  <c r="AM24" i="27"/>
  <c r="AM25" i="27"/>
  <c r="AM26" i="27"/>
  <c r="AM36" i="27" s="1"/>
  <c r="AM27" i="27"/>
  <c r="AM28" i="27"/>
  <c r="AM43" i="27" s="1"/>
  <c r="AM29" i="27"/>
  <c r="AM30" i="27"/>
  <c r="AM35" i="27" s="1"/>
  <c r="AL2" i="27"/>
  <c r="AL38" i="27" s="1"/>
  <c r="AL4" i="27"/>
  <c r="AL40" i="27" s="1"/>
  <c r="AL5" i="27"/>
  <c r="AL6" i="27"/>
  <c r="AL47" i="27" s="1"/>
  <c r="AL7" i="27"/>
  <c r="AL8" i="27"/>
  <c r="AL41" i="27" s="1"/>
  <c r="AL9" i="27"/>
  <c r="AL10" i="27"/>
  <c r="AL46" i="27" s="1"/>
  <c r="AL45" i="27" s="1"/>
  <c r="AL11" i="27"/>
  <c r="AL39" i="27" s="1"/>
  <c r="AL12" i="27"/>
  <c r="AL13" i="27"/>
  <c r="AL33" i="27" s="1"/>
  <c r="AL31" i="27" s="1"/>
  <c r="AL14" i="27"/>
  <c r="AL34" i="27" s="1"/>
  <c r="AL15" i="27"/>
  <c r="AL44" i="27" s="1"/>
  <c r="AL16" i="27"/>
  <c r="AL17" i="27"/>
  <c r="AL18" i="27"/>
  <c r="AL19" i="27"/>
  <c r="AL42" i="27" s="1"/>
  <c r="AL20" i="27"/>
  <c r="AL21" i="27"/>
  <c r="AL22" i="27"/>
  <c r="AL37" i="27" s="1"/>
  <c r="AL23" i="27"/>
  <c r="AL49" i="27" s="1"/>
  <c r="AL24" i="27"/>
  <c r="AL25" i="27"/>
  <c r="AL26" i="27"/>
  <c r="AL36" i="27" s="1"/>
  <c r="AL27" i="27"/>
  <c r="AL28" i="27"/>
  <c r="AL43" i="27" s="1"/>
  <c r="AL29" i="27"/>
  <c r="AL30" i="27"/>
  <c r="AL35" i="27" s="1"/>
  <c r="AK2" i="27"/>
  <c r="AK38" i="27" s="1"/>
  <c r="AK4" i="27"/>
  <c r="AK40" i="27" s="1"/>
  <c r="AK5" i="27"/>
  <c r="AK6" i="27"/>
  <c r="AK47" i="27" s="1"/>
  <c r="AK7" i="27"/>
  <c r="AK8" i="27"/>
  <c r="AK41" i="27" s="1"/>
  <c r="AK9" i="27"/>
  <c r="AK10" i="27"/>
  <c r="AK46" i="27" s="1"/>
  <c r="AK11" i="27"/>
  <c r="AK39" i="27" s="1"/>
  <c r="AK12" i="27"/>
  <c r="AK13" i="27"/>
  <c r="AK33" i="27" s="1"/>
  <c r="AK14" i="27"/>
  <c r="AK34" i="27" s="1"/>
  <c r="AK15" i="27"/>
  <c r="AK44" i="27" s="1"/>
  <c r="AK16" i="27"/>
  <c r="AK17" i="27"/>
  <c r="AK18" i="27"/>
  <c r="AK19" i="27"/>
  <c r="AK42" i="27" s="1"/>
  <c r="AK20" i="27"/>
  <c r="AK21" i="27"/>
  <c r="AK22" i="27"/>
  <c r="AK37" i="27" s="1"/>
  <c r="AK23" i="27"/>
  <c r="AK49" i="27" s="1"/>
  <c r="AK24" i="27"/>
  <c r="AK25" i="27"/>
  <c r="AK26" i="27"/>
  <c r="AK36" i="27" s="1"/>
  <c r="AK27" i="27"/>
  <c r="AK28" i="27"/>
  <c r="AK43" i="27" s="1"/>
  <c r="AK29" i="27"/>
  <c r="AK30" i="27"/>
  <c r="AK35" i="27" s="1"/>
  <c r="AJ2" i="27"/>
  <c r="AJ38" i="27" s="1"/>
  <c r="AJ4" i="27"/>
  <c r="AJ40" i="27" s="1"/>
  <c r="AJ5" i="27"/>
  <c r="AJ6" i="27"/>
  <c r="AJ47" i="27" s="1"/>
  <c r="AJ7" i="27"/>
  <c r="AJ8" i="27"/>
  <c r="AJ41" i="27" s="1"/>
  <c r="AJ9" i="27"/>
  <c r="AJ10" i="27"/>
  <c r="AJ46" i="27" s="1"/>
  <c r="AJ11" i="27"/>
  <c r="AJ39" i="27" s="1"/>
  <c r="AJ12" i="27"/>
  <c r="AJ13" i="27"/>
  <c r="AJ33" i="27" s="1"/>
  <c r="AJ31" i="27" s="1"/>
  <c r="AJ14" i="27"/>
  <c r="AJ34" i="27" s="1"/>
  <c r="AJ15" i="27"/>
  <c r="AJ44" i="27" s="1"/>
  <c r="AJ16" i="27"/>
  <c r="AJ17" i="27"/>
  <c r="AJ18" i="27"/>
  <c r="AJ19" i="27"/>
  <c r="AJ42" i="27" s="1"/>
  <c r="AJ20" i="27"/>
  <c r="AJ21" i="27"/>
  <c r="AJ22" i="27"/>
  <c r="AJ37" i="27" s="1"/>
  <c r="AJ23" i="27"/>
  <c r="AJ49" i="27" s="1"/>
  <c r="AJ24" i="27"/>
  <c r="AJ25" i="27"/>
  <c r="AJ26" i="27"/>
  <c r="AJ36" i="27" s="1"/>
  <c r="AJ27" i="27"/>
  <c r="AJ28" i="27"/>
  <c r="AJ43" i="27" s="1"/>
  <c r="AJ29" i="27"/>
  <c r="AJ30" i="27"/>
  <c r="AJ35" i="27" s="1"/>
  <c r="AZ2" i="27"/>
  <c r="AZ38" i="27" s="1"/>
  <c r="AZ4" i="27"/>
  <c r="AZ40" i="27" s="1"/>
  <c r="AZ5" i="27"/>
  <c r="AZ6" i="27"/>
  <c r="AZ47" i="27" s="1"/>
  <c r="AZ7" i="27"/>
  <c r="AZ8" i="27"/>
  <c r="AZ41" i="27" s="1"/>
  <c r="AZ9" i="27"/>
  <c r="AZ10" i="27"/>
  <c r="AZ46" i="27" s="1"/>
  <c r="AZ45" i="27" s="1"/>
  <c r="AZ11" i="27"/>
  <c r="AZ39" i="27" s="1"/>
  <c r="AZ12" i="27"/>
  <c r="AZ13" i="27"/>
  <c r="AZ33" i="27" s="1"/>
  <c r="AZ31" i="27" s="1"/>
  <c r="AZ14" i="27"/>
  <c r="AZ34" i="27" s="1"/>
  <c r="AZ15" i="27"/>
  <c r="AZ44" i="27" s="1"/>
  <c r="AZ16" i="27"/>
  <c r="AZ17" i="27"/>
  <c r="AZ18" i="27"/>
  <c r="AZ19" i="27"/>
  <c r="AZ42" i="27" s="1"/>
  <c r="AZ20" i="27"/>
  <c r="AZ21" i="27"/>
  <c r="AZ22" i="27"/>
  <c r="AZ37" i="27" s="1"/>
  <c r="AZ23" i="27"/>
  <c r="AZ49" i="27" s="1"/>
  <c r="AZ24" i="27"/>
  <c r="AZ25" i="27"/>
  <c r="AZ26" i="27"/>
  <c r="AZ36" i="27" s="1"/>
  <c r="AZ27" i="27"/>
  <c r="AZ28" i="27"/>
  <c r="AZ43" i="27" s="1"/>
  <c r="AZ29" i="27"/>
  <c r="AZ30" i="27"/>
  <c r="AZ35" i="27" s="1"/>
  <c r="AI2" i="27"/>
  <c r="AI38" i="27" s="1"/>
  <c r="AI4" i="27"/>
  <c r="AI40" i="27" s="1"/>
  <c r="AI5" i="27"/>
  <c r="AI6" i="27"/>
  <c r="AI47" i="27" s="1"/>
  <c r="AI7" i="27"/>
  <c r="AI8" i="27"/>
  <c r="AI41" i="27" s="1"/>
  <c r="AI9" i="27"/>
  <c r="AI10" i="27"/>
  <c r="AI46" i="27" s="1"/>
  <c r="AI11" i="27"/>
  <c r="AI39" i="27" s="1"/>
  <c r="AI12" i="27"/>
  <c r="AI13" i="27"/>
  <c r="AI33" i="27" s="1"/>
  <c r="AI31" i="27" s="1"/>
  <c r="AI14" i="27"/>
  <c r="AI34" i="27" s="1"/>
  <c r="AI15" i="27"/>
  <c r="AI44" i="27" s="1"/>
  <c r="AI16" i="27"/>
  <c r="AI17" i="27"/>
  <c r="AI18" i="27"/>
  <c r="AI19" i="27"/>
  <c r="AI42" i="27" s="1"/>
  <c r="AI20" i="27"/>
  <c r="AI21" i="27"/>
  <c r="AI22" i="27"/>
  <c r="AI37" i="27" s="1"/>
  <c r="AI23" i="27"/>
  <c r="AI49" i="27" s="1"/>
  <c r="AI24" i="27"/>
  <c r="AI25" i="27"/>
  <c r="AI26" i="27"/>
  <c r="AI36" i="27" s="1"/>
  <c r="AI27" i="27"/>
  <c r="AI28" i="27"/>
  <c r="AI43" i="27" s="1"/>
  <c r="AI29" i="27"/>
  <c r="AI30" i="27"/>
  <c r="AI35" i="27" s="1"/>
  <c r="AH2" i="27"/>
  <c r="AH38" i="27" s="1"/>
  <c r="AH4" i="27"/>
  <c r="AH40" i="27" s="1"/>
  <c r="AH5" i="27"/>
  <c r="AH6" i="27"/>
  <c r="AH47" i="27" s="1"/>
  <c r="AH7" i="27"/>
  <c r="AH8" i="27"/>
  <c r="AH41" i="27" s="1"/>
  <c r="AH9" i="27"/>
  <c r="AH10" i="27"/>
  <c r="AH46" i="27" s="1"/>
  <c r="AH11" i="27"/>
  <c r="AH39" i="27" s="1"/>
  <c r="AH12" i="27"/>
  <c r="AH13" i="27"/>
  <c r="AH33" i="27" s="1"/>
  <c r="AH14" i="27"/>
  <c r="AH34" i="27" s="1"/>
  <c r="AH15" i="27"/>
  <c r="AH44" i="27" s="1"/>
  <c r="AH16" i="27"/>
  <c r="AH17" i="27"/>
  <c r="AH18" i="27"/>
  <c r="AH19" i="27"/>
  <c r="AH42" i="27" s="1"/>
  <c r="AH20" i="27"/>
  <c r="AH21" i="27"/>
  <c r="AH22" i="27"/>
  <c r="AH37" i="27" s="1"/>
  <c r="AH23" i="27"/>
  <c r="AH49" i="27" s="1"/>
  <c r="AH24" i="27"/>
  <c r="AH25" i="27"/>
  <c r="AH26" i="27"/>
  <c r="AH36" i="27" s="1"/>
  <c r="AH27" i="27"/>
  <c r="AH28" i="27"/>
  <c r="AH43" i="27" s="1"/>
  <c r="AH29" i="27"/>
  <c r="AH30" i="27"/>
  <c r="AH35" i="27" s="1"/>
  <c r="AG2" i="27"/>
  <c r="AG38" i="27" s="1"/>
  <c r="AG4" i="27"/>
  <c r="AG40" i="27" s="1"/>
  <c r="AG5" i="27"/>
  <c r="AG6" i="27"/>
  <c r="AG47" i="27" s="1"/>
  <c r="AG7" i="27"/>
  <c r="AG8" i="27"/>
  <c r="AG41" i="27" s="1"/>
  <c r="AG9" i="27"/>
  <c r="AG10" i="27"/>
  <c r="AG46" i="27" s="1"/>
  <c r="AG45" i="27" s="1"/>
  <c r="AG11" i="27"/>
  <c r="AG39" i="27" s="1"/>
  <c r="AG12" i="27"/>
  <c r="AG13" i="27"/>
  <c r="AG33" i="27" s="1"/>
  <c r="AG31" i="27" s="1"/>
  <c r="AG14" i="27"/>
  <c r="AG34" i="27" s="1"/>
  <c r="AG15" i="27"/>
  <c r="AG44" i="27" s="1"/>
  <c r="AG16" i="27"/>
  <c r="AG17" i="27"/>
  <c r="AG18" i="27"/>
  <c r="AG19" i="27"/>
  <c r="AG42" i="27" s="1"/>
  <c r="AG20" i="27"/>
  <c r="AG21" i="27"/>
  <c r="AG22" i="27"/>
  <c r="AG37" i="27" s="1"/>
  <c r="AG23" i="27"/>
  <c r="AG49" i="27" s="1"/>
  <c r="AG24" i="27"/>
  <c r="AG25" i="27"/>
  <c r="AG26" i="27"/>
  <c r="AG36" i="27" s="1"/>
  <c r="AG27" i="27"/>
  <c r="AG28" i="27"/>
  <c r="AG43" i="27" s="1"/>
  <c r="AG29" i="27"/>
  <c r="AG30" i="27"/>
  <c r="AG35" i="27" s="1"/>
  <c r="AF2" i="27"/>
  <c r="AF38" i="27" s="1"/>
  <c r="AF4" i="27"/>
  <c r="AF40" i="27" s="1"/>
  <c r="AF5" i="27"/>
  <c r="AF6" i="27"/>
  <c r="AF47" i="27" s="1"/>
  <c r="AF7" i="27"/>
  <c r="AF8" i="27"/>
  <c r="AF41" i="27" s="1"/>
  <c r="AF9" i="27"/>
  <c r="AF10" i="27"/>
  <c r="AF46" i="27" s="1"/>
  <c r="AF45" i="27" s="1"/>
  <c r="AF11" i="27"/>
  <c r="AF39" i="27" s="1"/>
  <c r="AF12" i="27"/>
  <c r="AF13" i="27"/>
  <c r="AF33" i="27" s="1"/>
  <c r="AF14" i="27"/>
  <c r="AF34" i="27" s="1"/>
  <c r="AF15" i="27"/>
  <c r="AF44" i="27" s="1"/>
  <c r="AF16" i="27"/>
  <c r="AF17" i="27"/>
  <c r="AF18" i="27"/>
  <c r="AF19" i="27"/>
  <c r="AF42" i="27" s="1"/>
  <c r="AF20" i="27"/>
  <c r="AF21" i="27"/>
  <c r="AF22" i="27"/>
  <c r="AF37" i="27" s="1"/>
  <c r="AF23" i="27"/>
  <c r="AF49" i="27" s="1"/>
  <c r="AF24" i="27"/>
  <c r="AF25" i="27"/>
  <c r="AF26" i="27"/>
  <c r="AF36" i="27" s="1"/>
  <c r="AF27" i="27"/>
  <c r="AF28" i="27"/>
  <c r="AF43" i="27" s="1"/>
  <c r="AF29" i="27"/>
  <c r="AF30" i="27"/>
  <c r="AF35" i="27" s="1"/>
  <c r="AE2" i="27"/>
  <c r="AE38" i="27" s="1"/>
  <c r="AE4" i="27"/>
  <c r="AE40" i="27" s="1"/>
  <c r="AE5" i="27"/>
  <c r="AE6" i="27"/>
  <c r="AE47" i="27" s="1"/>
  <c r="AE7" i="27"/>
  <c r="AE8" i="27"/>
  <c r="AE41" i="27" s="1"/>
  <c r="AE9" i="27"/>
  <c r="AE10" i="27"/>
  <c r="AE46" i="27" s="1"/>
  <c r="AE11" i="27"/>
  <c r="AE39" i="27" s="1"/>
  <c r="AE12" i="27"/>
  <c r="AE13" i="27"/>
  <c r="AE33" i="27" s="1"/>
  <c r="AE31" i="27" s="1"/>
  <c r="AE14" i="27"/>
  <c r="AE34" i="27" s="1"/>
  <c r="AE15" i="27"/>
  <c r="AE44" i="27" s="1"/>
  <c r="AE16" i="27"/>
  <c r="AE17" i="27"/>
  <c r="AE18" i="27"/>
  <c r="AE19" i="27"/>
  <c r="AE42" i="27" s="1"/>
  <c r="AE20" i="27"/>
  <c r="AE21" i="27"/>
  <c r="AE22" i="27"/>
  <c r="AE37" i="27" s="1"/>
  <c r="AE23" i="27"/>
  <c r="AE49" i="27" s="1"/>
  <c r="AE24" i="27"/>
  <c r="AE25" i="27"/>
  <c r="AE26" i="27"/>
  <c r="AE36" i="27" s="1"/>
  <c r="AE27" i="27"/>
  <c r="AE28" i="27"/>
  <c r="AE43" i="27" s="1"/>
  <c r="AE29" i="27"/>
  <c r="AE30" i="27"/>
  <c r="AE35" i="27" s="1"/>
  <c r="AZ76" i="27" l="1"/>
  <c r="AZ62" i="27"/>
  <c r="AR56" i="27"/>
  <c r="AR70" i="27"/>
  <c r="L50" i="27"/>
  <c r="L64" i="27"/>
  <c r="AE56" i="27"/>
  <c r="AE70" i="27"/>
  <c r="AF55" i="27"/>
  <c r="AF69" i="27"/>
  <c r="AF60" i="27"/>
  <c r="AF74" i="27"/>
  <c r="AG58" i="27"/>
  <c r="AG72" i="27"/>
  <c r="AH56" i="27"/>
  <c r="AH70" i="27"/>
  <c r="AI55" i="27"/>
  <c r="AI69" i="27"/>
  <c r="AI60" i="27"/>
  <c r="AI74" i="27"/>
  <c r="AZ72" i="27"/>
  <c r="AZ58" i="27"/>
  <c r="AJ56" i="27"/>
  <c r="AJ70" i="27"/>
  <c r="AK55" i="27"/>
  <c r="AK69" i="27"/>
  <c r="AK60" i="27"/>
  <c r="AK74" i="27"/>
  <c r="AL58" i="27"/>
  <c r="AL72" i="27"/>
  <c r="AM56" i="27"/>
  <c r="AM70" i="27"/>
  <c r="AN69" i="27"/>
  <c r="AN55" i="27"/>
  <c r="AN74" i="27"/>
  <c r="AN60" i="27"/>
  <c r="AO72" i="27"/>
  <c r="AO58" i="27"/>
  <c r="AP70" i="27"/>
  <c r="AP56" i="27"/>
  <c r="AQ55" i="27"/>
  <c r="AQ69" i="27"/>
  <c r="AQ60" i="27"/>
  <c r="AQ74" i="27"/>
  <c r="AS58" i="27"/>
  <c r="AS72" i="27"/>
  <c r="AT56" i="27"/>
  <c r="AT70" i="27"/>
  <c r="AU55" i="27"/>
  <c r="AU69" i="27"/>
  <c r="AU60" i="27"/>
  <c r="AU74" i="27"/>
  <c r="AY58" i="27"/>
  <c r="AY72" i="27"/>
  <c r="AV56" i="27"/>
  <c r="AV70" i="27"/>
  <c r="AW55" i="27"/>
  <c r="AW69" i="27"/>
  <c r="AW60" i="27"/>
  <c r="AW74" i="27"/>
  <c r="AX58" i="27"/>
  <c r="AX72" i="27"/>
  <c r="D64" i="28"/>
  <c r="D50" i="28"/>
  <c r="AR51" i="27"/>
  <c r="AR65" i="27"/>
  <c r="AR54" i="27"/>
  <c r="AR68" i="27"/>
  <c r="E64" i="28"/>
  <c r="E50" i="28"/>
  <c r="I64" i="28"/>
  <c r="I50" i="28"/>
  <c r="L64" i="28"/>
  <c r="L50" i="28"/>
  <c r="P64" i="28"/>
  <c r="P50" i="28"/>
  <c r="T50" i="28"/>
  <c r="T64" i="28"/>
  <c r="W64" i="28"/>
  <c r="W50" i="28"/>
  <c r="F69" i="27"/>
  <c r="F55" i="27"/>
  <c r="AA69" i="28"/>
  <c r="AA55" i="28"/>
  <c r="Q69" i="27"/>
  <c r="Q55" i="27"/>
  <c r="V69" i="28"/>
  <c r="V55" i="28"/>
  <c r="E75" i="27"/>
  <c r="E61" i="27"/>
  <c r="H75" i="27"/>
  <c r="H61" i="27"/>
  <c r="AA75" i="27"/>
  <c r="AA61" i="27"/>
  <c r="M61" i="27"/>
  <c r="M75" i="27"/>
  <c r="E67" i="27"/>
  <c r="E53" i="27"/>
  <c r="H67" i="27"/>
  <c r="H53" i="27"/>
  <c r="F74" i="27"/>
  <c r="F60" i="27"/>
  <c r="K70" i="27"/>
  <c r="K56" i="27"/>
  <c r="N72" i="27"/>
  <c r="N58" i="27"/>
  <c r="Q74" i="27"/>
  <c r="Q60" i="27"/>
  <c r="AA67" i="27"/>
  <c r="AA53" i="27"/>
  <c r="N66" i="27"/>
  <c r="N52" i="27"/>
  <c r="O67" i="27"/>
  <c r="O53" i="27"/>
  <c r="Q65" i="27"/>
  <c r="Q51" i="27"/>
  <c r="R68" i="27"/>
  <c r="R54" i="27"/>
  <c r="Y52" i="27"/>
  <c r="Y66" i="27"/>
  <c r="T70" i="27"/>
  <c r="T56" i="27"/>
  <c r="Z72" i="27"/>
  <c r="Z58" i="27"/>
  <c r="Y74" i="27"/>
  <c r="Y60" i="27"/>
  <c r="O73" i="27"/>
  <c r="O59" i="27"/>
  <c r="AA70" i="27"/>
  <c r="AA56" i="27"/>
  <c r="S66" i="27"/>
  <c r="S52" i="27"/>
  <c r="X60" i="27"/>
  <c r="X74" i="27"/>
  <c r="AE61" i="27"/>
  <c r="AE75" i="27"/>
  <c r="AH61" i="27"/>
  <c r="AH75" i="27"/>
  <c r="AI45" i="27"/>
  <c r="AJ61" i="27"/>
  <c r="AJ75" i="27"/>
  <c r="AK45" i="27"/>
  <c r="AM61" i="27"/>
  <c r="AM75" i="27"/>
  <c r="AN45" i="27"/>
  <c r="AP61" i="27"/>
  <c r="AP75" i="27"/>
  <c r="AQ45" i="27"/>
  <c r="AT61" i="27"/>
  <c r="AT75" i="27"/>
  <c r="AU45" i="27"/>
  <c r="AV61" i="27"/>
  <c r="AV75" i="27"/>
  <c r="AW45" i="27"/>
  <c r="AR59" i="27"/>
  <c r="AR73" i="27"/>
  <c r="G71" i="27"/>
  <c r="G57" i="27"/>
  <c r="AA71" i="27"/>
  <c r="AA57" i="27"/>
  <c r="N71" i="27"/>
  <c r="N57" i="27"/>
  <c r="R71" i="27"/>
  <c r="R57" i="27"/>
  <c r="S31" i="27"/>
  <c r="V71" i="27"/>
  <c r="V57" i="27"/>
  <c r="Y71" i="27"/>
  <c r="Y57" i="27"/>
  <c r="I69" i="28"/>
  <c r="I55" i="28"/>
  <c r="O69" i="27"/>
  <c r="O55" i="27"/>
  <c r="T69" i="27"/>
  <c r="T55" i="27"/>
  <c r="G66" i="27"/>
  <c r="G52" i="27"/>
  <c r="J70" i="27"/>
  <c r="J56" i="27"/>
  <c r="L72" i="27"/>
  <c r="L58" i="27"/>
  <c r="O74" i="27"/>
  <c r="O60" i="27"/>
  <c r="J66" i="27"/>
  <c r="J52" i="27"/>
  <c r="L52" i="27"/>
  <c r="L48" i="27" s="1"/>
  <c r="L66" i="27"/>
  <c r="M53" i="27"/>
  <c r="M67" i="27"/>
  <c r="O65" i="27"/>
  <c r="O51" i="27"/>
  <c r="P68" i="27"/>
  <c r="P54" i="27"/>
  <c r="W66" i="27"/>
  <c r="W52" i="27"/>
  <c r="X67" i="27"/>
  <c r="X53" i="27"/>
  <c r="V75" i="27"/>
  <c r="V61" i="27"/>
  <c r="R70" i="27"/>
  <c r="R56" i="27"/>
  <c r="U72" i="27"/>
  <c r="U58" i="27"/>
  <c r="W74" i="27"/>
  <c r="W60" i="27"/>
  <c r="M59" i="27"/>
  <c r="M73" i="27"/>
  <c r="W64" i="27"/>
  <c r="W50" i="27"/>
  <c r="AE53" i="27"/>
  <c r="AE67" i="27"/>
  <c r="AI54" i="27"/>
  <c r="AI68" i="27"/>
  <c r="AM57" i="27"/>
  <c r="AM71" i="27"/>
  <c r="AM53" i="27"/>
  <c r="AM67" i="27"/>
  <c r="AN65" i="27"/>
  <c r="AN51" i="27"/>
  <c r="AN68" i="27"/>
  <c r="AN54" i="27"/>
  <c r="AO64" i="27"/>
  <c r="AO50" i="27"/>
  <c r="AP57" i="27"/>
  <c r="AP71" i="27"/>
  <c r="AP52" i="27"/>
  <c r="AP66" i="27"/>
  <c r="AP67" i="27"/>
  <c r="AP53" i="27"/>
  <c r="AQ51" i="27"/>
  <c r="AQ65" i="27"/>
  <c r="AQ54" i="27"/>
  <c r="AQ68" i="27"/>
  <c r="AS50" i="27"/>
  <c r="AS64" i="27"/>
  <c r="AT57" i="27"/>
  <c r="AT71" i="27"/>
  <c r="AT52" i="27"/>
  <c r="AT66" i="27"/>
  <c r="AT53" i="27"/>
  <c r="AT67" i="27"/>
  <c r="AU51" i="27"/>
  <c r="AU65" i="27"/>
  <c r="AU54" i="27"/>
  <c r="AU68" i="27"/>
  <c r="AY50" i="27"/>
  <c r="AY64" i="27"/>
  <c r="AV57" i="27"/>
  <c r="AV71" i="27"/>
  <c r="AV52" i="27"/>
  <c r="AV66" i="27"/>
  <c r="AV53" i="27"/>
  <c r="AV67" i="27"/>
  <c r="AW51" i="27"/>
  <c r="AW65" i="27"/>
  <c r="AW54" i="27"/>
  <c r="AW68" i="27"/>
  <c r="AX50" i="27"/>
  <c r="AX64" i="27"/>
  <c r="AR61" i="27"/>
  <c r="AR75" i="27"/>
  <c r="H50" i="28"/>
  <c r="H64" i="28"/>
  <c r="K64" i="28"/>
  <c r="K50" i="28"/>
  <c r="O64" i="28"/>
  <c r="O50" i="28"/>
  <c r="S50" i="28"/>
  <c r="S64" i="28"/>
  <c r="Z64" i="28"/>
  <c r="Z50" i="28"/>
  <c r="I69" i="27"/>
  <c r="I55" i="27"/>
  <c r="M55" i="28"/>
  <c r="M69" i="28"/>
  <c r="T69" i="28"/>
  <c r="T55" i="28"/>
  <c r="X55" i="28"/>
  <c r="X69" i="28"/>
  <c r="G73" i="27"/>
  <c r="G59" i="27"/>
  <c r="E65" i="27"/>
  <c r="E51" i="27"/>
  <c r="H65" i="27"/>
  <c r="H51" i="27"/>
  <c r="I70" i="27"/>
  <c r="I56" i="27"/>
  <c r="K72" i="27"/>
  <c r="K58" i="27"/>
  <c r="N74" i="27"/>
  <c r="N60" i="27"/>
  <c r="O75" i="27"/>
  <c r="O61" i="27"/>
  <c r="R75" i="27"/>
  <c r="R61" i="27"/>
  <c r="X61" i="27"/>
  <c r="X75" i="27"/>
  <c r="AA65" i="27"/>
  <c r="AA51" i="27"/>
  <c r="Q66" i="27"/>
  <c r="Q52" i="27"/>
  <c r="R67" i="27"/>
  <c r="R53" i="27"/>
  <c r="T65" i="27"/>
  <c r="T51" i="27"/>
  <c r="U68" i="27"/>
  <c r="U54" i="27"/>
  <c r="T72" i="27"/>
  <c r="T58" i="27"/>
  <c r="Z74" i="27"/>
  <c r="Z60" i="27"/>
  <c r="U73" i="27"/>
  <c r="U59" i="27"/>
  <c r="R73" i="27"/>
  <c r="R59" i="27"/>
  <c r="AG62" i="27"/>
  <c r="AG76" i="27"/>
  <c r="E64" i="27"/>
  <c r="E50" i="27"/>
  <c r="T64" i="27"/>
  <c r="T50" i="27"/>
  <c r="V69" i="27"/>
  <c r="V55" i="27"/>
  <c r="S70" i="27"/>
  <c r="S56" i="27"/>
  <c r="AE52" i="27"/>
  <c r="AE66" i="27"/>
  <c r="AZ64" i="27"/>
  <c r="AZ50" i="27"/>
  <c r="AI56" i="27"/>
  <c r="AI70" i="27"/>
  <c r="AZ69" i="27"/>
  <c r="AZ55" i="27"/>
  <c r="AZ74" i="27"/>
  <c r="AZ60" i="27"/>
  <c r="AJ58" i="27"/>
  <c r="AJ72" i="27"/>
  <c r="AK56" i="27"/>
  <c r="AK70" i="27"/>
  <c r="AL55" i="27"/>
  <c r="AL69" i="27"/>
  <c r="AL60" i="27"/>
  <c r="AL74" i="27"/>
  <c r="AM58" i="27"/>
  <c r="AM72" i="27"/>
  <c r="AN70" i="27"/>
  <c r="AN56" i="27"/>
  <c r="AO69" i="27"/>
  <c r="AO55" i="27"/>
  <c r="AO74" i="27"/>
  <c r="AO60" i="27"/>
  <c r="AP58" i="27"/>
  <c r="AP72" i="27"/>
  <c r="AQ56" i="27"/>
  <c r="AQ70" i="27"/>
  <c r="AS55" i="27"/>
  <c r="AS69" i="27"/>
  <c r="AS60" i="27"/>
  <c r="AS74" i="27"/>
  <c r="AT58" i="27"/>
  <c r="AT72" i="27"/>
  <c r="AU56" i="27"/>
  <c r="AU70" i="27"/>
  <c r="AY55" i="27"/>
  <c r="AY69" i="27"/>
  <c r="AY60" i="27"/>
  <c r="AY74" i="27"/>
  <c r="AV58" i="27"/>
  <c r="AV72" i="27"/>
  <c r="AW56" i="27"/>
  <c r="AW70" i="27"/>
  <c r="AX55" i="27"/>
  <c r="AX69" i="27"/>
  <c r="AX60" i="27"/>
  <c r="AX74" i="27"/>
  <c r="D71" i="27"/>
  <c r="D57" i="27"/>
  <c r="AR57" i="27"/>
  <c r="AR71" i="27"/>
  <c r="AR52" i="27"/>
  <c r="AR66" i="27"/>
  <c r="AR63" i="27" s="1"/>
  <c r="AR53" i="27"/>
  <c r="AR67" i="27"/>
  <c r="G76" i="27"/>
  <c r="G62" i="27"/>
  <c r="H64" i="27"/>
  <c r="H50" i="27"/>
  <c r="AA76" i="27"/>
  <c r="AA62" i="27"/>
  <c r="K64" i="27"/>
  <c r="K50" i="27"/>
  <c r="N76" i="27"/>
  <c r="N62" i="27"/>
  <c r="O64" i="27"/>
  <c r="O50" i="27"/>
  <c r="R76" i="27"/>
  <c r="R62" i="27"/>
  <c r="S64" i="27"/>
  <c r="S50" i="27"/>
  <c r="V76" i="27"/>
  <c r="V62" i="27"/>
  <c r="Z64" i="27"/>
  <c r="Z50" i="27"/>
  <c r="Y76" i="27"/>
  <c r="Y62" i="27"/>
  <c r="D69" i="27"/>
  <c r="D55" i="27"/>
  <c r="G69" i="28"/>
  <c r="G55" i="28"/>
  <c r="M55" i="27"/>
  <c r="M69" i="27"/>
  <c r="R69" i="28"/>
  <c r="R55" i="28"/>
  <c r="X55" i="27"/>
  <c r="X69" i="27"/>
  <c r="K73" i="27"/>
  <c r="K59" i="27"/>
  <c r="F75" i="27"/>
  <c r="F61" i="27"/>
  <c r="I75" i="27"/>
  <c r="I61" i="27"/>
  <c r="K75" i="27"/>
  <c r="K61" i="27"/>
  <c r="N75" i="27"/>
  <c r="N61" i="27"/>
  <c r="F67" i="27"/>
  <c r="F53" i="27"/>
  <c r="I67" i="27"/>
  <c r="I53" i="27"/>
  <c r="H70" i="27"/>
  <c r="H56" i="27"/>
  <c r="AA72" i="27"/>
  <c r="AA58" i="27"/>
  <c r="M74" i="27"/>
  <c r="M60" i="27"/>
  <c r="K67" i="27"/>
  <c r="K53" i="27"/>
  <c r="M65" i="27"/>
  <c r="M51" i="27"/>
  <c r="N68" i="27"/>
  <c r="N54" i="27"/>
  <c r="V66" i="27"/>
  <c r="V52" i="27"/>
  <c r="Z67" i="27"/>
  <c r="Z53" i="27"/>
  <c r="X51" i="27"/>
  <c r="X65" i="27"/>
  <c r="Y68" i="27"/>
  <c r="Y54" i="27"/>
  <c r="S72" i="27"/>
  <c r="S58" i="27"/>
  <c r="V74" i="27"/>
  <c r="V60" i="27"/>
  <c r="Y59" i="27"/>
  <c r="Y73" i="27"/>
  <c r="AS62" i="27"/>
  <c r="AS76" i="27"/>
  <c r="AY62" i="27"/>
  <c r="AY76" i="27"/>
  <c r="D64" i="27"/>
  <c r="D50" i="27"/>
  <c r="K76" i="27"/>
  <c r="K62" i="27"/>
  <c r="P74" i="27"/>
  <c r="P60" i="27"/>
  <c r="AF54" i="27"/>
  <c r="AF68" i="27"/>
  <c r="AJ53" i="27"/>
  <c r="AJ67" i="27"/>
  <c r="AE58" i="27"/>
  <c r="AE72" i="27"/>
  <c r="AH58" i="27"/>
  <c r="AH72" i="27"/>
  <c r="AE62" i="27"/>
  <c r="AE76" i="27"/>
  <c r="AF59" i="27"/>
  <c r="AF73" i="27"/>
  <c r="AH62" i="27"/>
  <c r="AH76" i="27"/>
  <c r="AI59" i="27"/>
  <c r="AI73" i="27"/>
  <c r="AJ62" i="27"/>
  <c r="AJ76" i="27"/>
  <c r="AK59" i="27"/>
  <c r="AK73" i="27"/>
  <c r="AM62" i="27"/>
  <c r="AM76" i="27"/>
  <c r="AN73" i="27"/>
  <c r="AN59" i="27"/>
  <c r="AP76" i="27"/>
  <c r="AP62" i="27"/>
  <c r="AQ59" i="27"/>
  <c r="AQ73" i="27"/>
  <c r="AT62" i="27"/>
  <c r="AT76" i="27"/>
  <c r="AU59" i="27"/>
  <c r="AU73" i="27"/>
  <c r="AV62" i="27"/>
  <c r="AV76" i="27"/>
  <c r="AW59" i="27"/>
  <c r="AW73" i="27"/>
  <c r="AR58" i="27"/>
  <c r="AR72" i="27"/>
  <c r="F71" i="27"/>
  <c r="F57" i="27"/>
  <c r="J71" i="27"/>
  <c r="J57" i="27"/>
  <c r="M71" i="27"/>
  <c r="M57" i="27"/>
  <c r="Q71" i="27"/>
  <c r="Q57" i="27"/>
  <c r="U71" i="27"/>
  <c r="U57" i="27"/>
  <c r="X57" i="27"/>
  <c r="X71" i="27"/>
  <c r="D55" i="28"/>
  <c r="D69" i="28"/>
  <c r="G69" i="27"/>
  <c r="G55" i="27"/>
  <c r="K55" i="28"/>
  <c r="K69" i="28"/>
  <c r="R69" i="27"/>
  <c r="R55" i="27"/>
  <c r="Z69" i="28"/>
  <c r="Z55" i="28"/>
  <c r="G31" i="27"/>
  <c r="E73" i="27"/>
  <c r="E59" i="27"/>
  <c r="G68" i="27"/>
  <c r="G54" i="27"/>
  <c r="G70" i="27"/>
  <c r="G56" i="27"/>
  <c r="J72" i="27"/>
  <c r="J58" i="27"/>
  <c r="L74" i="27"/>
  <c r="L60" i="27"/>
  <c r="J68" i="27"/>
  <c r="J54" i="27"/>
  <c r="O66" i="27"/>
  <c r="O52" i="27"/>
  <c r="O48" i="27" s="1"/>
  <c r="P67" i="27"/>
  <c r="P53" i="27"/>
  <c r="R65" i="27"/>
  <c r="R51" i="27"/>
  <c r="S68" i="27"/>
  <c r="S54" i="27"/>
  <c r="S48" i="27" s="1"/>
  <c r="Z75" i="27"/>
  <c r="Z61" i="27"/>
  <c r="R72" i="27"/>
  <c r="R58" i="27"/>
  <c r="U74" i="27"/>
  <c r="U60" i="27"/>
  <c r="P73" i="27"/>
  <c r="P59" i="27"/>
  <c r="AP73" i="27"/>
  <c r="AP59" i="27"/>
  <c r="AT59" i="27"/>
  <c r="AT73" i="27"/>
  <c r="AX62" i="27"/>
  <c r="AX76" i="27"/>
  <c r="S76" i="27"/>
  <c r="S62" i="27"/>
  <c r="I68" i="27"/>
  <c r="I54" i="27"/>
  <c r="E74" i="27"/>
  <c r="E60" i="27"/>
  <c r="T73" i="27"/>
  <c r="T59" i="27"/>
  <c r="AF51" i="27"/>
  <c r="AF65" i="27"/>
  <c r="AH52" i="27"/>
  <c r="AH66" i="27"/>
  <c r="AJ52" i="27"/>
  <c r="AJ66" i="27"/>
  <c r="AM52" i="27"/>
  <c r="AM66" i="27"/>
  <c r="AF61" i="27"/>
  <c r="AF75" i="27"/>
  <c r="AI61" i="27"/>
  <c r="AI75" i="27"/>
  <c r="AK61" i="27"/>
  <c r="AK75" i="27"/>
  <c r="AN75" i="27"/>
  <c r="AN61" i="27"/>
  <c r="AQ61" i="27"/>
  <c r="AQ75" i="27"/>
  <c r="AU61" i="27"/>
  <c r="AU75" i="27"/>
  <c r="AW61" i="27"/>
  <c r="AW75" i="27"/>
  <c r="AR62" i="27"/>
  <c r="AR76" i="27"/>
  <c r="G50" i="28"/>
  <c r="G64" i="28"/>
  <c r="H45" i="27"/>
  <c r="AA64" i="28"/>
  <c r="AA50" i="28"/>
  <c r="N64" i="28"/>
  <c r="N50" i="28"/>
  <c r="R50" i="28"/>
  <c r="R64" i="28"/>
  <c r="S45" i="27"/>
  <c r="V64" i="28"/>
  <c r="V50" i="28"/>
  <c r="Y64" i="28"/>
  <c r="Y50" i="28"/>
  <c r="E69" i="28"/>
  <c r="E55" i="28"/>
  <c r="K69" i="27"/>
  <c r="K55" i="27"/>
  <c r="P69" i="28"/>
  <c r="P55" i="28"/>
  <c r="Z69" i="27"/>
  <c r="Z55" i="27"/>
  <c r="J73" i="27"/>
  <c r="J59" i="27"/>
  <c r="E66" i="27"/>
  <c r="E52" i="27"/>
  <c r="E48" i="27" s="1"/>
  <c r="H66" i="27"/>
  <c r="H52" i="27"/>
  <c r="H48" i="27" s="1"/>
  <c r="F70" i="27"/>
  <c r="F56" i="27"/>
  <c r="I72" i="27"/>
  <c r="I58" i="27"/>
  <c r="K74" i="27"/>
  <c r="K60" i="27"/>
  <c r="Q70" i="27"/>
  <c r="Q56" i="27"/>
  <c r="Y61" i="27"/>
  <c r="Y75" i="27"/>
  <c r="AA66" i="27"/>
  <c r="AA52" i="27"/>
  <c r="AA48" i="27" s="1"/>
  <c r="L68" i="27"/>
  <c r="L54" i="27"/>
  <c r="T66" i="27"/>
  <c r="T52" i="27"/>
  <c r="T48" i="27" s="1"/>
  <c r="U67" i="27"/>
  <c r="U53" i="27"/>
  <c r="Z65" i="27"/>
  <c r="Z51" i="27"/>
  <c r="W68" i="27"/>
  <c r="W54" i="27"/>
  <c r="W48" i="27" s="1"/>
  <c r="T74" i="27"/>
  <c r="T60" i="27"/>
  <c r="Y70" i="27"/>
  <c r="Y56" i="27"/>
  <c r="W73" i="27"/>
  <c r="W59" i="27"/>
  <c r="P64" i="27"/>
  <c r="P50" i="27"/>
  <c r="AI51" i="27"/>
  <c r="AI65" i="27"/>
  <c r="AG51" i="27"/>
  <c r="AG65" i="27"/>
  <c r="AI52" i="27"/>
  <c r="AI66" i="27"/>
  <c r="AK52" i="27"/>
  <c r="AK66" i="27"/>
  <c r="AK53" i="27"/>
  <c r="AK67" i="27"/>
  <c r="AL54" i="27"/>
  <c r="AL68" i="27"/>
  <c r="AM50" i="27"/>
  <c r="AM64" i="27"/>
  <c r="AN71" i="27"/>
  <c r="AN57" i="27"/>
  <c r="AN66" i="27"/>
  <c r="AN52" i="27"/>
  <c r="AN48" i="27" s="1"/>
  <c r="AN67" i="27"/>
  <c r="AN53" i="27"/>
  <c r="AO65" i="27"/>
  <c r="AO51" i="27"/>
  <c r="AO68" i="27"/>
  <c r="AO54" i="27"/>
  <c r="AP64" i="27"/>
  <c r="AP50" i="27"/>
  <c r="AQ57" i="27"/>
  <c r="AQ71" i="27"/>
  <c r="AQ52" i="27"/>
  <c r="AQ48" i="27" s="1"/>
  <c r="AQ66" i="27"/>
  <c r="AQ53" i="27"/>
  <c r="AQ67" i="27"/>
  <c r="AS51" i="27"/>
  <c r="AS65" i="27"/>
  <c r="AS54" i="27"/>
  <c r="AS68" i="27"/>
  <c r="AT50" i="27"/>
  <c r="AT64" i="27"/>
  <c r="AU57" i="27"/>
  <c r="AU71" i="27"/>
  <c r="AU52" i="27"/>
  <c r="AU48" i="27" s="1"/>
  <c r="AU66" i="27"/>
  <c r="AU63" i="27" s="1"/>
  <c r="AU53" i="27"/>
  <c r="AU67" i="27"/>
  <c r="AY51" i="27"/>
  <c r="AY65" i="27"/>
  <c r="AY54" i="27"/>
  <c r="AY68" i="27"/>
  <c r="AV50" i="27"/>
  <c r="AV64" i="27"/>
  <c r="AW57" i="27"/>
  <c r="AW71" i="27"/>
  <c r="AW52" i="27"/>
  <c r="AW66" i="27"/>
  <c r="AW63" i="27" s="1"/>
  <c r="AW53" i="27"/>
  <c r="AW67" i="27"/>
  <c r="AX51" i="27"/>
  <c r="AX65" i="27"/>
  <c r="AX54" i="27"/>
  <c r="AX68" i="27"/>
  <c r="F76" i="27"/>
  <c r="F62" i="27"/>
  <c r="G64" i="27"/>
  <c r="G50" i="27"/>
  <c r="J76" i="27"/>
  <c r="J62" i="27"/>
  <c r="AA64" i="27"/>
  <c r="AA50" i="27"/>
  <c r="M62" i="27"/>
  <c r="M76" i="27"/>
  <c r="N64" i="27"/>
  <c r="N50" i="27"/>
  <c r="Q76" i="27"/>
  <c r="Q62" i="27"/>
  <c r="R64" i="27"/>
  <c r="R50" i="27"/>
  <c r="U76" i="27"/>
  <c r="U62" i="27"/>
  <c r="V64" i="27"/>
  <c r="V50" i="27"/>
  <c r="X76" i="27"/>
  <c r="X62" i="27"/>
  <c r="Y64" i="27"/>
  <c r="Y50" i="27"/>
  <c r="E69" i="27"/>
  <c r="E55" i="27"/>
  <c r="J69" i="28"/>
  <c r="J55" i="28"/>
  <c r="P69" i="27"/>
  <c r="P55" i="27"/>
  <c r="U69" i="28"/>
  <c r="U55" i="28"/>
  <c r="F65" i="27"/>
  <c r="F51" i="27"/>
  <c r="I65" i="27"/>
  <c r="I51" i="27"/>
  <c r="E70" i="27"/>
  <c r="E56" i="27"/>
  <c r="H72" i="27"/>
  <c r="H58" i="27"/>
  <c r="AA74" i="27"/>
  <c r="AA60" i="27"/>
  <c r="P70" i="27"/>
  <c r="P56" i="27"/>
  <c r="P75" i="27"/>
  <c r="P61" i="27"/>
  <c r="S75" i="27"/>
  <c r="S61" i="27"/>
  <c r="K65" i="27"/>
  <c r="K51" i="27"/>
  <c r="M52" i="27"/>
  <c r="M66" i="27"/>
  <c r="N67" i="27"/>
  <c r="N53" i="27"/>
  <c r="P65" i="27"/>
  <c r="P51" i="27"/>
  <c r="Q68" i="27"/>
  <c r="Q54" i="27"/>
  <c r="X52" i="27"/>
  <c r="X66" i="27"/>
  <c r="Y67" i="27"/>
  <c r="Y53" i="27"/>
  <c r="S74" i="27"/>
  <c r="S60" i="27"/>
  <c r="X70" i="27"/>
  <c r="X56" i="27"/>
  <c r="N73" i="27"/>
  <c r="N59" i="27"/>
  <c r="AE59" i="27"/>
  <c r="AE73" i="27"/>
  <c r="AI48" i="27"/>
  <c r="AL62" i="27"/>
  <c r="AL76" i="27"/>
  <c r="AO76" i="27"/>
  <c r="AO62" i="27"/>
  <c r="O76" i="27"/>
  <c r="O62" i="27"/>
  <c r="M58" i="27"/>
  <c r="M72" i="27"/>
  <c r="K68" i="27"/>
  <c r="K54" i="27"/>
  <c r="AJ57" i="27"/>
  <c r="AJ71" i="27"/>
  <c r="AK54" i="27"/>
  <c r="AK68" i="27"/>
  <c r="AF56" i="27"/>
  <c r="AF70" i="27"/>
  <c r="AE50" i="27"/>
  <c r="AE64" i="27"/>
  <c r="AF53" i="27"/>
  <c r="AF67" i="27"/>
  <c r="AI57" i="27"/>
  <c r="AI71" i="27"/>
  <c r="AZ68" i="27"/>
  <c r="AZ54" i="27"/>
  <c r="AK57" i="27"/>
  <c r="AK71" i="27"/>
  <c r="AL51" i="27"/>
  <c r="AL65" i="27"/>
  <c r="AE55" i="27"/>
  <c r="AE69" i="27"/>
  <c r="AE60" i="27"/>
  <c r="AE74" i="27"/>
  <c r="AF58" i="27"/>
  <c r="AF72" i="27"/>
  <c r="AG56" i="27"/>
  <c r="AG70" i="27"/>
  <c r="AH55" i="27"/>
  <c r="AH69" i="27"/>
  <c r="AH60" i="27"/>
  <c r="AH74" i="27"/>
  <c r="AI58" i="27"/>
  <c r="AI72" i="27"/>
  <c r="AZ70" i="27"/>
  <c r="AZ56" i="27"/>
  <c r="AJ55" i="27"/>
  <c r="AJ69" i="27"/>
  <c r="AJ60" i="27"/>
  <c r="AJ74" i="27"/>
  <c r="AK58" i="27"/>
  <c r="AK72" i="27"/>
  <c r="AL56" i="27"/>
  <c r="AL70" i="27"/>
  <c r="AM55" i="27"/>
  <c r="AM69" i="27"/>
  <c r="AM60" i="27"/>
  <c r="AM74" i="27"/>
  <c r="AN72" i="27"/>
  <c r="AN58" i="27"/>
  <c r="AO70" i="27"/>
  <c r="AO56" i="27"/>
  <c r="AP55" i="27"/>
  <c r="AP69" i="27"/>
  <c r="AP74" i="27"/>
  <c r="AP60" i="27"/>
  <c r="AQ58" i="27"/>
  <c r="AQ72" i="27"/>
  <c r="AS56" i="27"/>
  <c r="AS70" i="27"/>
  <c r="AT55" i="27"/>
  <c r="AT69" i="27"/>
  <c r="AT60" i="27"/>
  <c r="AT74" i="27"/>
  <c r="AU58" i="27"/>
  <c r="AU72" i="27"/>
  <c r="AY56" i="27"/>
  <c r="AY70" i="27"/>
  <c r="AV55" i="27"/>
  <c r="AV69" i="27"/>
  <c r="AV60" i="27"/>
  <c r="AV74" i="27"/>
  <c r="AW58" i="27"/>
  <c r="AW72" i="27"/>
  <c r="AX56" i="27"/>
  <c r="AX70" i="27"/>
  <c r="D76" i="27"/>
  <c r="D62" i="27"/>
  <c r="AR50" i="27"/>
  <c r="AR64" i="27"/>
  <c r="E71" i="27"/>
  <c r="E57" i="27"/>
  <c r="G48" i="27"/>
  <c r="I71" i="27"/>
  <c r="I57" i="27"/>
  <c r="L71" i="27"/>
  <c r="L57" i="27"/>
  <c r="N48" i="27"/>
  <c r="P71" i="27"/>
  <c r="P57" i="27"/>
  <c r="T71" i="27"/>
  <c r="T57" i="27"/>
  <c r="W71" i="27"/>
  <c r="W57" i="27"/>
  <c r="J69" i="27"/>
  <c r="J55" i="27"/>
  <c r="N69" i="28"/>
  <c r="N55" i="28"/>
  <c r="U69" i="27"/>
  <c r="U55" i="27"/>
  <c r="Y55" i="28"/>
  <c r="Y69" i="28"/>
  <c r="H73" i="27"/>
  <c r="H59" i="27"/>
  <c r="G75" i="27"/>
  <c r="G61" i="27"/>
  <c r="J75" i="27"/>
  <c r="J61" i="27"/>
  <c r="L61" i="27"/>
  <c r="L75" i="27"/>
  <c r="G67" i="27"/>
  <c r="G53" i="27"/>
  <c r="G72" i="27"/>
  <c r="G58" i="27"/>
  <c r="J74" i="27"/>
  <c r="J60" i="27"/>
  <c r="O70" i="27"/>
  <c r="O56" i="27"/>
  <c r="J67" i="27"/>
  <c r="J53" i="27"/>
  <c r="R66" i="27"/>
  <c r="R63" i="27" s="1"/>
  <c r="R52" i="27"/>
  <c r="R48" i="27" s="1"/>
  <c r="S67" i="27"/>
  <c r="S53" i="27"/>
  <c r="U65" i="27"/>
  <c r="U51" i="27"/>
  <c r="V68" i="27"/>
  <c r="V54" i="27"/>
  <c r="V48" i="27" s="1"/>
  <c r="W75" i="27"/>
  <c r="W61" i="27"/>
  <c r="R74" i="27"/>
  <c r="R60" i="27"/>
  <c r="W70" i="27"/>
  <c r="W56" i="27"/>
  <c r="V73" i="27"/>
  <c r="V59" i="27"/>
  <c r="S73" i="27"/>
  <c r="S59" i="27"/>
  <c r="AK48" i="27"/>
  <c r="AW48" i="27"/>
  <c r="O69" i="28"/>
  <c r="O55" i="28"/>
  <c r="T67" i="27"/>
  <c r="T53" i="27"/>
  <c r="V72" i="27"/>
  <c r="V58" i="27"/>
  <c r="AG50" i="27"/>
  <c r="AG64" i="27"/>
  <c r="AK51" i="27"/>
  <c r="AK65" i="27"/>
  <c r="AF52" i="27"/>
  <c r="AF66" i="27"/>
  <c r="AF63" i="27" s="1"/>
  <c r="AJ50" i="27"/>
  <c r="AJ64" i="27"/>
  <c r="AF62" i="27"/>
  <c r="AF76" i="27"/>
  <c r="AH48" i="27"/>
  <c r="AP48" i="27"/>
  <c r="AQ62" i="27"/>
  <c r="AQ76" i="27"/>
  <c r="AS59" i="27"/>
  <c r="AS73" i="27"/>
  <c r="AT48" i="27"/>
  <c r="AU62" i="27"/>
  <c r="AU76" i="27"/>
  <c r="AY59" i="27"/>
  <c r="AY73" i="27"/>
  <c r="AW62" i="27"/>
  <c r="AW76" i="27"/>
  <c r="AX59" i="27"/>
  <c r="AX73" i="27"/>
  <c r="AR55" i="27"/>
  <c r="AR69" i="27"/>
  <c r="AR60" i="27"/>
  <c r="AR74" i="27"/>
  <c r="F50" i="28"/>
  <c r="F64" i="28"/>
  <c r="J64" i="28"/>
  <c r="J50" i="28"/>
  <c r="M64" i="28"/>
  <c r="M50" i="28"/>
  <c r="Q64" i="28"/>
  <c r="Q50" i="28"/>
  <c r="U64" i="28"/>
  <c r="U50" i="28"/>
  <c r="X64" i="28"/>
  <c r="X50" i="28"/>
  <c r="H69" i="28"/>
  <c r="H55" i="28"/>
  <c r="N69" i="27"/>
  <c r="N55" i="27"/>
  <c r="S69" i="28"/>
  <c r="S55" i="28"/>
  <c r="Y55" i="27"/>
  <c r="Y69" i="27"/>
  <c r="X31" i="27"/>
  <c r="E68" i="27"/>
  <c r="E54" i="27"/>
  <c r="H68" i="27"/>
  <c r="H54" i="27"/>
  <c r="F72" i="27"/>
  <c r="F58" i="27"/>
  <c r="I74" i="27"/>
  <c r="I60" i="27"/>
  <c r="N70" i="27"/>
  <c r="N56" i="27"/>
  <c r="Q72" i="27"/>
  <c r="Q58" i="27"/>
  <c r="AA68" i="27"/>
  <c r="AA54" i="27"/>
  <c r="L53" i="27"/>
  <c r="L67" i="27"/>
  <c r="N65" i="27"/>
  <c r="N51" i="27"/>
  <c r="O68" i="27"/>
  <c r="O54" i="27"/>
  <c r="Z66" i="27"/>
  <c r="Z63" i="27" s="1"/>
  <c r="Z52" i="27"/>
  <c r="Z48" i="27" s="1"/>
  <c r="W67" i="27"/>
  <c r="W53" i="27"/>
  <c r="Y65" i="27"/>
  <c r="Y51" i="27"/>
  <c r="Z70" i="27"/>
  <c r="Z56" i="27"/>
  <c r="Y58" i="27"/>
  <c r="Y48" i="27" s="1"/>
  <c r="Y72" i="27"/>
  <c r="L59" i="27"/>
  <c r="L73" i="27"/>
  <c r="AF48" i="27"/>
  <c r="AH59" i="27"/>
  <c r="AH73" i="27"/>
  <c r="AJ59" i="27"/>
  <c r="AJ73" i="27"/>
  <c r="AV59" i="27"/>
  <c r="AV48" i="27" s="1"/>
  <c r="AV73" i="27"/>
  <c r="H76" i="27"/>
  <c r="H62" i="27"/>
  <c r="Z76" i="27"/>
  <c r="Z62" i="27"/>
  <c r="AA69" i="27"/>
  <c r="AA55" i="27"/>
  <c r="V65" i="27"/>
  <c r="V51" i="27"/>
  <c r="Z73" i="27"/>
  <c r="Z59" i="27"/>
  <c r="AH57" i="27"/>
  <c r="AH71" i="27"/>
  <c r="AG55" i="27"/>
  <c r="AG69" i="27"/>
  <c r="AF57" i="27"/>
  <c r="AF71" i="27"/>
  <c r="AG54" i="27"/>
  <c r="AG68" i="27"/>
  <c r="AI53" i="27"/>
  <c r="AI67" i="27"/>
  <c r="AL59" i="27"/>
  <c r="AL73" i="27"/>
  <c r="AN76" i="27"/>
  <c r="AN62" i="27"/>
  <c r="AO73" i="27"/>
  <c r="AO59" i="27"/>
  <c r="AE45" i="27"/>
  <c r="AG61" i="27"/>
  <c r="AG75" i="27"/>
  <c r="AH45" i="27"/>
  <c r="AZ75" i="27"/>
  <c r="AZ61" i="27"/>
  <c r="AJ45" i="27"/>
  <c r="AK31" i="27"/>
  <c r="AL61" i="27"/>
  <c r="AL75" i="27"/>
  <c r="AM45" i="27"/>
  <c r="AO75" i="27"/>
  <c r="AO61" i="27"/>
  <c r="AO45" i="27"/>
  <c r="AP45" i="27"/>
  <c r="AS61" i="27"/>
  <c r="AS75" i="27"/>
  <c r="AT45" i="27"/>
  <c r="AY61" i="27"/>
  <c r="AY75" i="27"/>
  <c r="AV45" i="27"/>
  <c r="AW31" i="27"/>
  <c r="AX61" i="27"/>
  <c r="AX75" i="27"/>
  <c r="AR48" i="27"/>
  <c r="E76" i="27"/>
  <c r="E62" i="27"/>
  <c r="F64" i="27"/>
  <c r="F50" i="27"/>
  <c r="I76" i="27"/>
  <c r="I62" i="27"/>
  <c r="J64" i="27"/>
  <c r="J50" i="27"/>
  <c r="L62" i="27"/>
  <c r="L76" i="27"/>
  <c r="M50" i="27"/>
  <c r="M64" i="27"/>
  <c r="P76" i="27"/>
  <c r="P62" i="27"/>
  <c r="Q64" i="27"/>
  <c r="Q50" i="27"/>
  <c r="T76" i="27"/>
  <c r="T62" i="27"/>
  <c r="U64" i="27"/>
  <c r="U50" i="27"/>
  <c r="W76" i="27"/>
  <c r="W62" i="27"/>
  <c r="X64" i="27"/>
  <c r="X50" i="27"/>
  <c r="H69" i="27"/>
  <c r="H55" i="27"/>
  <c r="L55" i="27"/>
  <c r="L69" i="27"/>
  <c r="P45" i="27"/>
  <c r="S69" i="27"/>
  <c r="S55" i="27"/>
  <c r="W55" i="28"/>
  <c r="W69" i="28"/>
  <c r="F73" i="27"/>
  <c r="F59" i="27"/>
  <c r="F66" i="27"/>
  <c r="F52" i="27"/>
  <c r="I66" i="27"/>
  <c r="I63" i="27" s="1"/>
  <c r="I52" i="27"/>
  <c r="I48" i="27" s="1"/>
  <c r="E72" i="27"/>
  <c r="E58" i="27"/>
  <c r="H74" i="27"/>
  <c r="H60" i="27"/>
  <c r="M56" i="27"/>
  <c r="M70" i="27"/>
  <c r="P72" i="27"/>
  <c r="P58" i="27"/>
  <c r="K66" i="27"/>
  <c r="K63" i="27" s="1"/>
  <c r="K52" i="27"/>
  <c r="K48" i="27" s="1"/>
  <c r="P66" i="27"/>
  <c r="P63" i="27" s="1"/>
  <c r="P52" i="27"/>
  <c r="P48" i="27" s="1"/>
  <c r="Q67" i="27"/>
  <c r="Q53" i="27"/>
  <c r="S65" i="27"/>
  <c r="S51" i="27"/>
  <c r="T68" i="27"/>
  <c r="T54" i="27"/>
  <c r="V70" i="27"/>
  <c r="V56" i="27"/>
  <c r="X58" i="27"/>
  <c r="X72" i="27"/>
  <c r="Q73" i="27"/>
  <c r="Q59" i="27"/>
  <c r="Q48" i="27" s="1"/>
  <c r="D65" i="27"/>
  <c r="D51" i="27"/>
  <c r="AM59" i="27"/>
  <c r="AM73" i="27"/>
  <c r="I64" i="27"/>
  <c r="I50" i="27"/>
  <c r="I73" i="27"/>
  <c r="I59" i="27"/>
  <c r="F68" i="27"/>
  <c r="F54" i="27"/>
  <c r="Z68" i="27"/>
  <c r="Z54" i="27"/>
  <c r="AE57" i="27"/>
  <c r="AE71" i="27"/>
  <c r="AH53" i="27"/>
  <c r="AH67" i="27"/>
  <c r="AL50" i="27"/>
  <c r="AL64" i="27"/>
  <c r="AG60" i="27"/>
  <c r="AG74" i="27"/>
  <c r="AH50" i="27"/>
  <c r="AH64" i="27"/>
  <c r="AZ65" i="27"/>
  <c r="AZ51" i="27"/>
  <c r="AG59" i="27"/>
  <c r="AG73" i="27"/>
  <c r="AI62" i="27"/>
  <c r="AI76" i="27"/>
  <c r="AZ73" i="27"/>
  <c r="AZ59" i="27"/>
  <c r="AK62" i="27"/>
  <c r="AK76" i="27"/>
  <c r="AM48" i="27"/>
  <c r="AE51" i="27"/>
  <c r="AE65" i="27"/>
  <c r="AE54" i="27"/>
  <c r="AE48" i="27" s="1"/>
  <c r="AE68" i="27"/>
  <c r="AF50" i="27"/>
  <c r="AF64" i="27"/>
  <c r="AG57" i="27"/>
  <c r="AG71" i="27"/>
  <c r="AG52" i="27"/>
  <c r="AG48" i="27" s="1"/>
  <c r="AG66" i="27"/>
  <c r="AG53" i="27"/>
  <c r="AG67" i="27"/>
  <c r="AH51" i="27"/>
  <c r="AH65" i="27"/>
  <c r="AH54" i="27"/>
  <c r="AH68" i="27"/>
  <c r="AI50" i="27"/>
  <c r="AI64" i="27"/>
  <c r="AZ71" i="27"/>
  <c r="AZ57" i="27"/>
  <c r="AZ66" i="27"/>
  <c r="AZ52" i="27"/>
  <c r="AZ48" i="27" s="1"/>
  <c r="AZ67" i="27"/>
  <c r="AZ53" i="27"/>
  <c r="AJ51" i="27"/>
  <c r="AJ65" i="27"/>
  <c r="AJ54" i="27"/>
  <c r="AJ48" i="27" s="1"/>
  <c r="AJ68" i="27"/>
  <c r="AK50" i="27"/>
  <c r="AK64" i="27"/>
  <c r="AL57" i="27"/>
  <c r="AL71" i="27"/>
  <c r="AL52" i="27"/>
  <c r="AL48" i="27" s="1"/>
  <c r="AL66" i="27"/>
  <c r="AL53" i="27"/>
  <c r="AL67" i="27"/>
  <c r="AM51" i="27"/>
  <c r="AM65" i="27"/>
  <c r="AM54" i="27"/>
  <c r="AM68" i="27"/>
  <c r="AN64" i="27"/>
  <c r="AN50" i="27"/>
  <c r="AO71" i="27"/>
  <c r="AO57" i="27"/>
  <c r="AO66" i="27"/>
  <c r="AO52" i="27"/>
  <c r="AO48" i="27" s="1"/>
  <c r="AO67" i="27"/>
  <c r="AO53" i="27"/>
  <c r="AP51" i="27"/>
  <c r="AP65" i="27"/>
  <c r="AP68" i="27"/>
  <c r="AP54" i="27"/>
  <c r="AQ50" i="27"/>
  <c r="AQ64" i="27"/>
  <c r="AS57" i="27"/>
  <c r="AS71" i="27"/>
  <c r="AS52" i="27"/>
  <c r="AS48" i="27" s="1"/>
  <c r="AS66" i="27"/>
  <c r="AS53" i="27"/>
  <c r="AS67" i="27"/>
  <c r="AT51" i="27"/>
  <c r="AT65" i="27"/>
  <c r="AT54" i="27"/>
  <c r="AT68" i="27"/>
  <c r="AU50" i="27"/>
  <c r="AU64" i="27"/>
  <c r="AY57" i="27"/>
  <c r="AY71" i="27"/>
  <c r="AY52" i="27"/>
  <c r="AY48" i="27" s="1"/>
  <c r="AY66" i="27"/>
  <c r="AY53" i="27"/>
  <c r="AY67" i="27"/>
  <c r="AV51" i="27"/>
  <c r="AV65" i="27"/>
  <c r="AV54" i="27"/>
  <c r="AV68" i="27"/>
  <c r="AW50" i="27"/>
  <c r="AW64" i="27"/>
  <c r="AX57" i="27"/>
  <c r="AX71" i="27"/>
  <c r="AX52" i="27"/>
  <c r="AX48" i="27" s="1"/>
  <c r="AX66" i="27"/>
  <c r="AX63" i="27" s="1"/>
  <c r="AX53" i="27"/>
  <c r="AX67" i="27"/>
  <c r="AR45" i="27"/>
  <c r="F48" i="27"/>
  <c r="H71" i="27"/>
  <c r="H57" i="27"/>
  <c r="J48" i="27"/>
  <c r="K71" i="27"/>
  <c r="K57" i="27"/>
  <c r="M48" i="27"/>
  <c r="O71" i="27"/>
  <c r="O57" i="27"/>
  <c r="S71" i="27"/>
  <c r="S57" i="27"/>
  <c r="Z71" i="27"/>
  <c r="Z57" i="27"/>
  <c r="F69" i="28"/>
  <c r="F55" i="28"/>
  <c r="L55" i="28"/>
  <c r="L69" i="28"/>
  <c r="Q69" i="28"/>
  <c r="Q55" i="28"/>
  <c r="W69" i="27"/>
  <c r="W55" i="27"/>
  <c r="AA73" i="27"/>
  <c r="AA59" i="27"/>
  <c r="G65" i="27"/>
  <c r="G51" i="27"/>
  <c r="G74" i="27"/>
  <c r="G60" i="27"/>
  <c r="L56" i="27"/>
  <c r="L70" i="27"/>
  <c r="O72" i="27"/>
  <c r="O58" i="27"/>
  <c r="Q75" i="27"/>
  <c r="Q61" i="27"/>
  <c r="T75" i="27"/>
  <c r="T61" i="27"/>
  <c r="J65" i="27"/>
  <c r="J51" i="27"/>
  <c r="L65" i="27"/>
  <c r="L51" i="27"/>
  <c r="M68" i="27"/>
  <c r="M54" i="27"/>
  <c r="U66" i="27"/>
  <c r="U52" i="27"/>
  <c r="U48" i="27" s="1"/>
  <c r="V67" i="27"/>
  <c r="V53" i="27"/>
  <c r="W65" i="27"/>
  <c r="W51" i="27"/>
  <c r="X54" i="27"/>
  <c r="X48" i="27" s="1"/>
  <c r="X68" i="27"/>
  <c r="U75" i="27"/>
  <c r="U61" i="27"/>
  <c r="U70" i="27"/>
  <c r="U56" i="27"/>
  <c r="W72" i="27"/>
  <c r="W58" i="27"/>
  <c r="X73" i="27"/>
  <c r="X59" i="27"/>
  <c r="D31" i="27"/>
  <c r="C3" i="27"/>
  <c r="C32" i="27" s="1"/>
  <c r="C16" i="27"/>
  <c r="C58" i="27" s="1"/>
  <c r="C45" i="26"/>
  <c r="G3" i="4"/>
  <c r="G32" i="4" s="1"/>
  <c r="C12" i="27"/>
  <c r="C74" i="27" s="1"/>
  <c r="C21" i="27"/>
  <c r="C51" i="27" s="1"/>
  <c r="C18" i="27"/>
  <c r="C61" i="27" s="1"/>
  <c r="C17" i="27"/>
  <c r="U48" i="26"/>
  <c r="I48" i="26"/>
  <c r="G48" i="26"/>
  <c r="E48" i="26"/>
  <c r="C7" i="27"/>
  <c r="C20" i="27"/>
  <c r="C56" i="27" s="1"/>
  <c r="C5" i="27"/>
  <c r="C53" i="27" s="1"/>
  <c r="AA48" i="26"/>
  <c r="L48" i="26"/>
  <c r="C9" i="27"/>
  <c r="C54" i="27" s="1"/>
  <c r="T48" i="26"/>
  <c r="X48" i="26"/>
  <c r="F48" i="26"/>
  <c r="K48" i="26"/>
  <c r="N48" i="26"/>
  <c r="R48" i="26"/>
  <c r="U63" i="26"/>
  <c r="V48" i="26"/>
  <c r="Y48" i="26"/>
  <c r="AD31" i="26"/>
  <c r="AE48" i="26"/>
  <c r="AF48" i="26"/>
  <c r="AG48" i="26"/>
  <c r="AH48" i="26"/>
  <c r="AI48" i="26"/>
  <c r="AZ48" i="26"/>
  <c r="AJ48" i="26"/>
  <c r="AK48" i="26"/>
  <c r="AL48" i="26"/>
  <c r="AM48" i="26"/>
  <c r="AN48" i="26"/>
  <c r="AO48" i="26"/>
  <c r="AP48" i="26"/>
  <c r="AQ48" i="26"/>
  <c r="AS48" i="26"/>
  <c r="AT48" i="26"/>
  <c r="AU48" i="26"/>
  <c r="AY48" i="26"/>
  <c r="AV48" i="26"/>
  <c r="AW48" i="26"/>
  <c r="AX48" i="26"/>
  <c r="C31" i="26"/>
  <c r="AR48" i="26"/>
  <c r="J48" i="26"/>
  <c r="O48" i="26"/>
  <c r="S48" i="26"/>
  <c r="Z48" i="26"/>
  <c r="M48" i="26"/>
  <c r="Q48" i="26"/>
  <c r="H48" i="26"/>
  <c r="P48" i="26"/>
  <c r="W48" i="26"/>
  <c r="D63" i="26"/>
  <c r="D48" i="26"/>
  <c r="C69" i="26"/>
  <c r="C55" i="26"/>
  <c r="C65" i="26"/>
  <c r="C51" i="26"/>
  <c r="C66" i="26"/>
  <c r="C52" i="26"/>
  <c r="AD74" i="26"/>
  <c r="AD60" i="26"/>
  <c r="AD72" i="26"/>
  <c r="AD58" i="26"/>
  <c r="AD70" i="26"/>
  <c r="AD56" i="26"/>
  <c r="AD24" i="28"/>
  <c r="AD69" i="26"/>
  <c r="AD55" i="26"/>
  <c r="AC74" i="26"/>
  <c r="AC60" i="26"/>
  <c r="AC72" i="26"/>
  <c r="AC58" i="26"/>
  <c r="AC70" i="26"/>
  <c r="AC56" i="26"/>
  <c r="AC24" i="28"/>
  <c r="AC69" i="26"/>
  <c r="AC55" i="26"/>
  <c r="AR63" i="26"/>
  <c r="E63" i="26"/>
  <c r="F63" i="26"/>
  <c r="G63" i="26"/>
  <c r="H63" i="26"/>
  <c r="I63" i="26"/>
  <c r="AZ63" i="26"/>
  <c r="AJ63" i="26"/>
  <c r="O63" i="26"/>
  <c r="S63" i="26"/>
  <c r="T63" i="26"/>
  <c r="Z63" i="26"/>
  <c r="C70" i="26"/>
  <c r="C56" i="26"/>
  <c r="C72" i="26"/>
  <c r="C58" i="26"/>
  <c r="C74" i="26"/>
  <c r="C60" i="26"/>
  <c r="C68" i="26"/>
  <c r="C54" i="26"/>
  <c r="C67" i="26"/>
  <c r="C53" i="26"/>
  <c r="AD67" i="26"/>
  <c r="AD53" i="26"/>
  <c r="AD68" i="26"/>
  <c r="AD54" i="26"/>
  <c r="AD66" i="26"/>
  <c r="AD52" i="26"/>
  <c r="AD65" i="26"/>
  <c r="AD51" i="26"/>
  <c r="AD25" i="28"/>
  <c r="AD64" i="26"/>
  <c r="AD50" i="26"/>
  <c r="AD71" i="26"/>
  <c r="AD57" i="26"/>
  <c r="AC67" i="26"/>
  <c r="AC53" i="26"/>
  <c r="AC68" i="26"/>
  <c r="AC54" i="26"/>
  <c r="AC66" i="26"/>
  <c r="AC52" i="26"/>
  <c r="AC65" i="26"/>
  <c r="AC51" i="26"/>
  <c r="AC25" i="28"/>
  <c r="AC64" i="26"/>
  <c r="AC50" i="26"/>
  <c r="AC71" i="26"/>
  <c r="AC57" i="26"/>
  <c r="C75" i="27"/>
  <c r="C73" i="27"/>
  <c r="C59" i="27"/>
  <c r="AE63" i="26"/>
  <c r="AF63" i="26"/>
  <c r="AG63" i="26"/>
  <c r="AH63" i="26"/>
  <c r="AI63" i="26"/>
  <c r="AK63" i="26"/>
  <c r="AL63" i="26"/>
  <c r="AM63" i="26"/>
  <c r="AN63" i="26"/>
  <c r="AO63" i="26"/>
  <c r="AP63" i="26"/>
  <c r="AQ63" i="26"/>
  <c r="AS63" i="26"/>
  <c r="AT63" i="26"/>
  <c r="AU63" i="26"/>
  <c r="AY63" i="26"/>
  <c r="AV63" i="26"/>
  <c r="AW63" i="26"/>
  <c r="AX63" i="26"/>
  <c r="J63" i="26"/>
  <c r="AA63" i="26"/>
  <c r="K63" i="26"/>
  <c r="L63" i="26"/>
  <c r="P63" i="26"/>
  <c r="W63" i="26"/>
  <c r="C71" i="26"/>
  <c r="C57" i="26"/>
  <c r="C76" i="26"/>
  <c r="C62" i="26"/>
  <c r="AD45" i="26"/>
  <c r="AD75" i="26"/>
  <c r="AD61" i="26"/>
  <c r="AC45" i="26"/>
  <c r="AC75" i="26"/>
  <c r="AC61" i="26"/>
  <c r="C2" i="27"/>
  <c r="C38" i="27" s="1"/>
  <c r="M63" i="26"/>
  <c r="Q63" i="26"/>
  <c r="X63" i="26"/>
  <c r="C64" i="26"/>
  <c r="C50" i="26"/>
  <c r="C75" i="26"/>
  <c r="C61" i="26"/>
  <c r="C73" i="26"/>
  <c r="C59" i="26"/>
  <c r="AD73" i="26"/>
  <c r="AD59" i="26"/>
  <c r="AD76" i="26"/>
  <c r="AD62" i="26"/>
  <c r="AC73" i="26"/>
  <c r="AC59" i="26"/>
  <c r="AC76" i="26"/>
  <c r="AC62" i="26"/>
  <c r="AB3" i="26"/>
  <c r="AB32" i="26" s="1"/>
  <c r="AC32" i="26"/>
  <c r="AC31" i="26" s="1"/>
  <c r="C52" i="27"/>
  <c r="C66" i="27"/>
  <c r="C67" i="27"/>
  <c r="N63" i="26"/>
  <c r="R63" i="26"/>
  <c r="V63" i="26"/>
  <c r="Y63" i="26"/>
  <c r="C6" i="27"/>
  <c r="C47" i="27" s="1"/>
  <c r="C11" i="27"/>
  <c r="C13" i="27"/>
  <c r="C33" i="27" s="1"/>
  <c r="C19" i="27"/>
  <c r="C24" i="27"/>
  <c r="C15" i="27"/>
  <c r="C44" i="27" s="1"/>
  <c r="C14" i="27"/>
  <c r="C34" i="27" s="1"/>
  <c r="C8" i="27"/>
  <c r="C41" i="27" s="1"/>
  <c r="C4" i="27"/>
  <c r="C40" i="27" s="1"/>
  <c r="F16" i="4"/>
  <c r="F7" i="4"/>
  <c r="C24" i="28"/>
  <c r="F5" i="4"/>
  <c r="F21" i="4"/>
  <c r="C22" i="27"/>
  <c r="C37" i="27" s="1"/>
  <c r="F17" i="4"/>
  <c r="F12" i="4"/>
  <c r="C30" i="27"/>
  <c r="C35" i="27" s="1"/>
  <c r="G30" i="4"/>
  <c r="G35" i="4" s="1"/>
  <c r="C29" i="27"/>
  <c r="G29" i="4"/>
  <c r="C28" i="27"/>
  <c r="C43" i="27" s="1"/>
  <c r="G28" i="4"/>
  <c r="G43" i="4" s="1"/>
  <c r="C27" i="27"/>
  <c r="G27" i="4"/>
  <c r="C26" i="27"/>
  <c r="C36" i="27" s="1"/>
  <c r="G26" i="4"/>
  <c r="G36" i="4" s="1"/>
  <c r="C25" i="28"/>
  <c r="C25" i="27"/>
  <c r="G25" i="4"/>
  <c r="G24" i="4"/>
  <c r="C23" i="27"/>
  <c r="C49" i="27" s="1"/>
  <c r="G23" i="4"/>
  <c r="G49" i="4" s="1"/>
  <c r="G22" i="4"/>
  <c r="G37" i="4" s="1"/>
  <c r="G21" i="4"/>
  <c r="G20" i="4"/>
  <c r="G19" i="4"/>
  <c r="G42" i="4" s="1"/>
  <c r="G18" i="4"/>
  <c r="G17" i="4"/>
  <c r="G16" i="4"/>
  <c r="G15" i="4"/>
  <c r="G44" i="4" s="1"/>
  <c r="G14" i="4"/>
  <c r="G34" i="4" s="1"/>
  <c r="G13" i="4"/>
  <c r="G33" i="4" s="1"/>
  <c r="G12" i="4"/>
  <c r="G11" i="4"/>
  <c r="G39" i="4" s="1"/>
  <c r="C10" i="27"/>
  <c r="C46" i="27" s="1"/>
  <c r="G10" i="4"/>
  <c r="G46" i="4" s="1"/>
  <c r="G9" i="4"/>
  <c r="G8" i="4"/>
  <c r="G41" i="4" s="1"/>
  <c r="G7" i="4"/>
  <c r="G6" i="4"/>
  <c r="G47" i="4" s="1"/>
  <c r="G5" i="4"/>
  <c r="G4" i="4"/>
  <c r="G40" i="4" s="1"/>
  <c r="G2" i="4"/>
  <c r="G38" i="4" s="1"/>
  <c r="AD2" i="27"/>
  <c r="AD38" i="27" s="1"/>
  <c r="AD4" i="27"/>
  <c r="AD40" i="27" s="1"/>
  <c r="AD5" i="27"/>
  <c r="AD6" i="27"/>
  <c r="AD47" i="27" s="1"/>
  <c r="AD7" i="27"/>
  <c r="AD8" i="27"/>
  <c r="AD41" i="27" s="1"/>
  <c r="AD9" i="27"/>
  <c r="AD10" i="27"/>
  <c r="AD46" i="27" s="1"/>
  <c r="AD45" i="27" s="1"/>
  <c r="AD11" i="27"/>
  <c r="AD39" i="27" s="1"/>
  <c r="AD12" i="27"/>
  <c r="AD13" i="27"/>
  <c r="AD33" i="27" s="1"/>
  <c r="AD31" i="27" s="1"/>
  <c r="AD14" i="27"/>
  <c r="AD34" i="27" s="1"/>
  <c r="AD15" i="27"/>
  <c r="AD44" i="27" s="1"/>
  <c r="AD16" i="27"/>
  <c r="AD17" i="27"/>
  <c r="AD18" i="27"/>
  <c r="AD19" i="27"/>
  <c r="AD42" i="27" s="1"/>
  <c r="AD20" i="27"/>
  <c r="AD21" i="27"/>
  <c r="AD22" i="27"/>
  <c r="AD37" i="27" s="1"/>
  <c r="AD23" i="27"/>
  <c r="AD49" i="27" s="1"/>
  <c r="AD24" i="27"/>
  <c r="AD25" i="27"/>
  <c r="AD26" i="27"/>
  <c r="AD36" i="27" s="1"/>
  <c r="AD27" i="27"/>
  <c r="AD28" i="27"/>
  <c r="AD43" i="27" s="1"/>
  <c r="AD29" i="27"/>
  <c r="AD30" i="27"/>
  <c r="AD35" i="27" s="1"/>
  <c r="AB2" i="26"/>
  <c r="AB38" i="26" s="1"/>
  <c r="AC2" i="27"/>
  <c r="AC38" i="27" s="1"/>
  <c r="AB4" i="26"/>
  <c r="AB40" i="26" s="1"/>
  <c r="AC4" i="27"/>
  <c r="AC40" i="27" s="1"/>
  <c r="AC5" i="27"/>
  <c r="AB5" i="26"/>
  <c r="AB6" i="26"/>
  <c r="AB47" i="26" s="1"/>
  <c r="AC6" i="27"/>
  <c r="AC47" i="27" s="1"/>
  <c r="AC7" i="27"/>
  <c r="AB7" i="26"/>
  <c r="AC8" i="27"/>
  <c r="AC41" i="27" s="1"/>
  <c r="AB8" i="26"/>
  <c r="AB41" i="26" s="1"/>
  <c r="AB9" i="26"/>
  <c r="AC9" i="27"/>
  <c r="AC10" i="27"/>
  <c r="AC46" i="27" s="1"/>
  <c r="AC45" i="27" s="1"/>
  <c r="AB10" i="26"/>
  <c r="AB46" i="26" s="1"/>
  <c r="AC11" i="27"/>
  <c r="AC39" i="27" s="1"/>
  <c r="AB11" i="26"/>
  <c r="AB39" i="26" s="1"/>
  <c r="AB12" i="26"/>
  <c r="AC12" i="27"/>
  <c r="AB13" i="26"/>
  <c r="AB33" i="26" s="1"/>
  <c r="AC13" i="27"/>
  <c r="AC33" i="27" s="1"/>
  <c r="AB14" i="26"/>
  <c r="AB34" i="26" s="1"/>
  <c r="AC14" i="27"/>
  <c r="AC34" i="27" s="1"/>
  <c r="AC15" i="27"/>
  <c r="AC44" i="27" s="1"/>
  <c r="AB15" i="26"/>
  <c r="AB44" i="26" s="1"/>
  <c r="AB16" i="26"/>
  <c r="AC16" i="27"/>
  <c r="AB17" i="26"/>
  <c r="AC17" i="27"/>
  <c r="AB18" i="26"/>
  <c r="AC18" i="27"/>
  <c r="AB19" i="26"/>
  <c r="AB42" i="26" s="1"/>
  <c r="AC19" i="27"/>
  <c r="AC42" i="27" s="1"/>
  <c r="AB20" i="26"/>
  <c r="AC20" i="27"/>
  <c r="AB21" i="26"/>
  <c r="AC21" i="27"/>
  <c r="AC22" i="27"/>
  <c r="AC37" i="27" s="1"/>
  <c r="AB22" i="26"/>
  <c r="AB37" i="26" s="1"/>
  <c r="AB23" i="26"/>
  <c r="AB49" i="26" s="1"/>
  <c r="AC23" i="27"/>
  <c r="AC49" i="27" s="1"/>
  <c r="AC24" i="27"/>
  <c r="AB24" i="26"/>
  <c r="AB25" i="26"/>
  <c r="AC25" i="27"/>
  <c r="AB26" i="26"/>
  <c r="AB36" i="26" s="1"/>
  <c r="AC26" i="27"/>
  <c r="AC36" i="27" s="1"/>
  <c r="AB27" i="26"/>
  <c r="AC27" i="27"/>
  <c r="AC28" i="27"/>
  <c r="AC43" i="27" s="1"/>
  <c r="AB28" i="26"/>
  <c r="AB43" i="26" s="1"/>
  <c r="AC29" i="27"/>
  <c r="AB29" i="26"/>
  <c r="AC30" i="27"/>
  <c r="AC35" i="27" s="1"/>
  <c r="AB30" i="26"/>
  <c r="AB35" i="26" s="1"/>
  <c r="AC3" i="27"/>
  <c r="AC32" i="27" s="1"/>
  <c r="AC31" i="27" s="1"/>
  <c r="AC72" i="27" l="1"/>
  <c r="AC58" i="27"/>
  <c r="AC64" i="28"/>
  <c r="AC50" i="28"/>
  <c r="AE63" i="27"/>
  <c r="Y63" i="27"/>
  <c r="AD54" i="27"/>
  <c r="AD68" i="27"/>
  <c r="AD50" i="28"/>
  <c r="AD64" i="28"/>
  <c r="X63" i="27"/>
  <c r="S63" i="27"/>
  <c r="AC76" i="27"/>
  <c r="AC62" i="27"/>
  <c r="AC68" i="27"/>
  <c r="AC54" i="27"/>
  <c r="AD56" i="27"/>
  <c r="AD70" i="27"/>
  <c r="U63" i="27"/>
  <c r="F63" i="27"/>
  <c r="J63" i="27"/>
  <c r="AD59" i="27"/>
  <c r="AD73" i="27"/>
  <c r="AY63" i="27"/>
  <c r="AS63" i="27"/>
  <c r="AL63" i="27"/>
  <c r="AG63" i="27"/>
  <c r="AM63" i="27"/>
  <c r="AD51" i="27"/>
  <c r="AD65" i="27"/>
  <c r="AC65" i="27"/>
  <c r="AC51" i="27"/>
  <c r="AC70" i="27"/>
  <c r="AC56" i="27"/>
  <c r="AD61" i="27"/>
  <c r="AD75" i="27"/>
  <c r="AZ63" i="27"/>
  <c r="AO63" i="27"/>
  <c r="T63" i="27"/>
  <c r="O63" i="27"/>
  <c r="Q63" i="27"/>
  <c r="W63" i="27"/>
  <c r="AD57" i="27"/>
  <c r="AD71" i="27"/>
  <c r="AD52" i="27"/>
  <c r="AD66" i="27"/>
  <c r="AD53" i="27"/>
  <c r="AD67" i="27"/>
  <c r="AK63" i="27"/>
  <c r="AJ63" i="27"/>
  <c r="V63" i="27"/>
  <c r="AV63" i="27"/>
  <c r="AT63" i="27"/>
  <c r="AP63" i="27"/>
  <c r="AC64" i="27"/>
  <c r="AC50" i="27"/>
  <c r="AD58" i="27"/>
  <c r="AD72" i="27"/>
  <c r="AC73" i="27"/>
  <c r="AC59" i="27"/>
  <c r="AD76" i="27"/>
  <c r="AD62" i="27"/>
  <c r="AD55" i="28"/>
  <c r="AD69" i="28"/>
  <c r="AQ63" i="27"/>
  <c r="AI63" i="27"/>
  <c r="AH63" i="27"/>
  <c r="AC75" i="27"/>
  <c r="AC61" i="27"/>
  <c r="AC74" i="27"/>
  <c r="AC60" i="27"/>
  <c r="AN63" i="27"/>
  <c r="AA63" i="27"/>
  <c r="H63" i="27"/>
  <c r="AD64" i="27"/>
  <c r="AD50" i="27"/>
  <c r="M63" i="27"/>
  <c r="N63" i="27"/>
  <c r="AD55" i="27"/>
  <c r="AD69" i="27"/>
  <c r="AD60" i="27"/>
  <c r="AD74" i="27"/>
  <c r="AB31" i="26"/>
  <c r="AC69" i="28"/>
  <c r="AC55" i="28"/>
  <c r="E63" i="27"/>
  <c r="G63" i="27"/>
  <c r="AC69" i="27"/>
  <c r="AC55" i="27"/>
  <c r="AC48" i="27"/>
  <c r="AC66" i="27"/>
  <c r="AC52" i="27"/>
  <c r="AC71" i="27"/>
  <c r="AC57" i="27"/>
  <c r="AC67" i="27"/>
  <c r="AC53" i="27"/>
  <c r="AD48" i="27"/>
  <c r="L63" i="27"/>
  <c r="F2" i="4"/>
  <c r="F38" i="4" s="1"/>
  <c r="C31" i="27"/>
  <c r="C60" i="27"/>
  <c r="C72" i="27"/>
  <c r="F18" i="4"/>
  <c r="F61" i="4" s="1"/>
  <c r="C68" i="27"/>
  <c r="F9" i="4"/>
  <c r="F68" i="4" s="1"/>
  <c r="C65" i="27"/>
  <c r="F20" i="4"/>
  <c r="F70" i="4" s="1"/>
  <c r="C70" i="27"/>
  <c r="AB24" i="28"/>
  <c r="AB55" i="28" s="1"/>
  <c r="AD48" i="26"/>
  <c r="C45" i="27"/>
  <c r="C48" i="26"/>
  <c r="AB45" i="26"/>
  <c r="C3" i="17"/>
  <c r="C32" i="17" s="1"/>
  <c r="F6" i="4"/>
  <c r="F47" i="4" s="1"/>
  <c r="AC48" i="26"/>
  <c r="AB70" i="26"/>
  <c r="AB56" i="26"/>
  <c r="AB75" i="26"/>
  <c r="AB61" i="26"/>
  <c r="AB72" i="26"/>
  <c r="AB58" i="26"/>
  <c r="C50" i="27"/>
  <c r="C64" i="27"/>
  <c r="AB73" i="26"/>
  <c r="AB59" i="26"/>
  <c r="AB67" i="26"/>
  <c r="AB53" i="26"/>
  <c r="T25" i="4"/>
  <c r="C50" i="28"/>
  <c r="C64" i="28"/>
  <c r="C76" i="27"/>
  <c r="C62" i="27"/>
  <c r="C71" i="27"/>
  <c r="C57" i="27"/>
  <c r="T24" i="4"/>
  <c r="C55" i="28"/>
  <c r="C69" i="28"/>
  <c r="F11" i="4"/>
  <c r="F39" i="4" s="1"/>
  <c r="C39" i="27"/>
  <c r="AB76" i="26"/>
  <c r="AB62" i="26"/>
  <c r="AB64" i="26"/>
  <c r="AB50" i="26"/>
  <c r="AB65" i="26"/>
  <c r="AB51" i="26"/>
  <c r="AB66" i="26"/>
  <c r="AB52" i="26"/>
  <c r="AB68" i="26"/>
  <c r="AB54" i="26"/>
  <c r="C69" i="27"/>
  <c r="C55" i="27"/>
  <c r="AC63" i="26"/>
  <c r="C63" i="26"/>
  <c r="AB74" i="26"/>
  <c r="AB60" i="26"/>
  <c r="AB71" i="26"/>
  <c r="AB57" i="26"/>
  <c r="AB69" i="26"/>
  <c r="AB55" i="26"/>
  <c r="F13" i="4"/>
  <c r="F33" i="4" s="1"/>
  <c r="F19" i="4"/>
  <c r="F42" i="4" s="1"/>
  <c r="C42" i="27"/>
  <c r="AB25" i="28"/>
  <c r="AD63" i="26"/>
  <c r="G31" i="4"/>
  <c r="G45" i="4"/>
  <c r="F74" i="4"/>
  <c r="F60" i="4"/>
  <c r="F66" i="4"/>
  <c r="F52" i="4"/>
  <c r="F67" i="4"/>
  <c r="F53" i="4"/>
  <c r="F4" i="4"/>
  <c r="F40" i="4" s="1"/>
  <c r="F14" i="4"/>
  <c r="F34" i="4" s="1"/>
  <c r="F15" i="4"/>
  <c r="F44" i="4" s="1"/>
  <c r="F72" i="4"/>
  <c r="F58" i="4"/>
  <c r="F8" i="4"/>
  <c r="F41" i="4" s="1"/>
  <c r="F24" i="4"/>
  <c r="AB3" i="27"/>
  <c r="AB32" i="27" s="1"/>
  <c r="F22" i="4"/>
  <c r="F37" i="4" s="1"/>
  <c r="F65" i="4"/>
  <c r="F51" i="4"/>
  <c r="F75" i="4"/>
  <c r="F73" i="4"/>
  <c r="F59" i="4"/>
  <c r="C30" i="17"/>
  <c r="C35" i="17" s="1"/>
  <c r="AB30" i="27"/>
  <c r="AB35" i="27" s="1"/>
  <c r="C29" i="17"/>
  <c r="AB29" i="27"/>
  <c r="C28" i="17"/>
  <c r="C43" i="17" s="1"/>
  <c r="AB28" i="27"/>
  <c r="AB43" i="27" s="1"/>
  <c r="AB27" i="27"/>
  <c r="C27" i="17"/>
  <c r="AB26" i="27"/>
  <c r="AB36" i="27" s="1"/>
  <c r="C26" i="17"/>
  <c r="C36" i="17" s="1"/>
  <c r="AB25" i="27"/>
  <c r="C25" i="17"/>
  <c r="C24" i="17"/>
  <c r="AB24" i="27"/>
  <c r="AB23" i="27"/>
  <c r="AB49" i="27" s="1"/>
  <c r="C23" i="17"/>
  <c r="C49" i="17" s="1"/>
  <c r="C22" i="17"/>
  <c r="C37" i="17" s="1"/>
  <c r="AB22" i="27"/>
  <c r="AB37" i="27" s="1"/>
  <c r="AB21" i="27"/>
  <c r="C21" i="17"/>
  <c r="AB20" i="27"/>
  <c r="C20" i="17"/>
  <c r="AB19" i="27"/>
  <c r="AB42" i="27" s="1"/>
  <c r="C19" i="17"/>
  <c r="C42" i="17" s="1"/>
  <c r="AB18" i="27"/>
  <c r="C18" i="17"/>
  <c r="AB17" i="27"/>
  <c r="C17" i="17"/>
  <c r="AB16" i="27"/>
  <c r="C16" i="17"/>
  <c r="C15" i="17"/>
  <c r="C44" i="17" s="1"/>
  <c r="AB15" i="27"/>
  <c r="AB44" i="27" s="1"/>
  <c r="AB14" i="27"/>
  <c r="AB34" i="27" s="1"/>
  <c r="C14" i="17"/>
  <c r="C34" i="17" s="1"/>
  <c r="AB13" i="27"/>
  <c r="AB33" i="27" s="1"/>
  <c r="C13" i="17"/>
  <c r="C33" i="17" s="1"/>
  <c r="AB12" i="27"/>
  <c r="C12" i="17"/>
  <c r="C11" i="17"/>
  <c r="C39" i="17" s="1"/>
  <c r="AB11" i="27"/>
  <c r="AB39" i="27" s="1"/>
  <c r="C10" i="17"/>
  <c r="C46" i="17" s="1"/>
  <c r="AB10" i="27"/>
  <c r="AB46" i="27" s="1"/>
  <c r="AB9" i="27"/>
  <c r="C9" i="17"/>
  <c r="C8" i="17"/>
  <c r="C41" i="17" s="1"/>
  <c r="AB8" i="27"/>
  <c r="AB41" i="27" s="1"/>
  <c r="C7" i="17"/>
  <c r="AB7" i="27"/>
  <c r="AB6" i="27"/>
  <c r="AB47" i="27" s="1"/>
  <c r="C6" i="17"/>
  <c r="C47" i="17" s="1"/>
  <c r="C5" i="17"/>
  <c r="AB5" i="27"/>
  <c r="AB4" i="27"/>
  <c r="AB40" i="27" s="1"/>
  <c r="C4" i="17"/>
  <c r="C40" i="17" s="1"/>
  <c r="AB2" i="27"/>
  <c r="AB38" i="27" s="1"/>
  <c r="C2" i="17"/>
  <c r="C38" i="17" s="1"/>
  <c r="G67" i="4"/>
  <c r="G53" i="4"/>
  <c r="G73" i="4"/>
  <c r="G59" i="4"/>
  <c r="G68" i="4"/>
  <c r="G54" i="4"/>
  <c r="F10" i="4"/>
  <c r="F46" i="4" s="1"/>
  <c r="G74" i="4"/>
  <c r="G60" i="4"/>
  <c r="G72" i="4"/>
  <c r="G58" i="4"/>
  <c r="G66" i="4"/>
  <c r="G52" i="4"/>
  <c r="G75" i="4"/>
  <c r="G61" i="4"/>
  <c r="G70" i="4"/>
  <c r="G56" i="4"/>
  <c r="G65" i="4"/>
  <c r="G51" i="4"/>
  <c r="F23" i="4"/>
  <c r="F49" i="4" s="1"/>
  <c r="G69" i="4"/>
  <c r="G55" i="4"/>
  <c r="G64" i="4"/>
  <c r="G50" i="4"/>
  <c r="F25" i="4"/>
  <c r="F26" i="4"/>
  <c r="F36" i="4" s="1"/>
  <c r="G76" i="4"/>
  <c r="G62" i="4"/>
  <c r="F27" i="4"/>
  <c r="F28" i="4"/>
  <c r="F43" i="4" s="1"/>
  <c r="G71" i="4"/>
  <c r="G57" i="4"/>
  <c r="F29" i="4"/>
  <c r="F30" i="4"/>
  <c r="F35" i="4" s="1"/>
  <c r="R32" i="4"/>
  <c r="R31" i="4" s="1"/>
  <c r="AD63" i="27" l="1"/>
  <c r="AC63" i="27"/>
  <c r="F56" i="4"/>
  <c r="F45" i="4"/>
  <c r="AB45" i="27"/>
  <c r="F54" i="4"/>
  <c r="F48" i="4" s="1"/>
  <c r="AH24" i="17"/>
  <c r="AH55" i="17" s="1"/>
  <c r="AR55" i="17" s="1"/>
  <c r="AB69" i="28"/>
  <c r="AB31" i="27"/>
  <c r="AB48" i="26"/>
  <c r="C48" i="27"/>
  <c r="C63" i="27"/>
  <c r="AB63" i="26"/>
  <c r="AB64" i="27"/>
  <c r="AB50" i="27"/>
  <c r="AB55" i="27"/>
  <c r="AB69" i="27"/>
  <c r="AB51" i="27"/>
  <c r="AB65" i="27"/>
  <c r="AB74" i="27"/>
  <c r="AB60" i="27"/>
  <c r="AB72" i="27"/>
  <c r="AB58" i="27"/>
  <c r="AB61" i="27"/>
  <c r="AB75" i="27"/>
  <c r="AB70" i="27"/>
  <c r="AB56" i="27"/>
  <c r="AB68" i="27"/>
  <c r="AB54" i="27"/>
  <c r="AB66" i="27"/>
  <c r="AB52" i="27"/>
  <c r="AB76" i="27"/>
  <c r="AB62" i="27"/>
  <c r="AB53" i="27"/>
  <c r="AB67" i="27"/>
  <c r="AB73" i="27"/>
  <c r="AB59" i="27"/>
  <c r="AB57" i="27"/>
  <c r="AB71" i="27"/>
  <c r="AB50" i="28"/>
  <c r="AB64" i="28"/>
  <c r="AH25" i="17"/>
  <c r="M2" i="17"/>
  <c r="G63" i="4"/>
  <c r="G48" i="4"/>
  <c r="C45" i="17"/>
  <c r="C31" i="17"/>
  <c r="F69" i="4"/>
  <c r="F55" i="4"/>
  <c r="T69" i="4"/>
  <c r="T55" i="4"/>
  <c r="F63" i="4"/>
  <c r="F71" i="4"/>
  <c r="F57" i="4"/>
  <c r="F76" i="4"/>
  <c r="F62" i="4"/>
  <c r="T64" i="4"/>
  <c r="T50" i="4"/>
  <c r="F64" i="4"/>
  <c r="F50" i="4"/>
  <c r="C53" i="17"/>
  <c r="C67" i="17"/>
  <c r="C73" i="17"/>
  <c r="C59" i="17"/>
  <c r="C68" i="17"/>
  <c r="C54" i="17"/>
  <c r="C74" i="17"/>
  <c r="C60" i="17"/>
  <c r="C72" i="17"/>
  <c r="C58" i="17"/>
  <c r="C66" i="17"/>
  <c r="C52" i="17"/>
  <c r="C61" i="17"/>
  <c r="C75" i="17"/>
  <c r="C70" i="17"/>
  <c r="C56" i="17"/>
  <c r="C65" i="17"/>
  <c r="C51" i="17"/>
  <c r="C69" i="17"/>
  <c r="C55" i="17"/>
  <c r="C64" i="17"/>
  <c r="C50" i="17"/>
  <c r="C76" i="17"/>
  <c r="C62" i="17"/>
  <c r="C57" i="17"/>
  <c r="C71" i="17"/>
  <c r="BC25" i="1"/>
  <c r="BC23" i="1"/>
  <c r="BC10" i="1"/>
  <c r="AR24" i="17" l="1"/>
  <c r="AH69" i="17"/>
  <c r="AR69" i="17" s="1"/>
  <c r="AB48" i="27"/>
  <c r="AB63" i="27"/>
  <c r="AH50" i="17"/>
  <c r="AR50" i="17" s="1"/>
  <c r="AH64" i="17"/>
  <c r="AR64" i="17" s="1"/>
  <c r="AR25" i="17"/>
  <c r="C48" i="17"/>
  <c r="C63" i="17"/>
  <c r="BD7" i="1"/>
  <c r="BC7" i="1"/>
  <c r="BD9" i="1"/>
  <c r="BC9" i="1"/>
  <c r="BD4" i="1"/>
  <c r="BC4" i="1"/>
  <c r="BD8" i="1"/>
  <c r="BC8" i="1"/>
  <c r="BC2" i="1"/>
  <c r="BD5" i="1"/>
  <c r="BC5" i="1"/>
  <c r="BD6" i="1"/>
  <c r="BC6" i="1"/>
  <c r="BD14" i="1"/>
  <c r="BC14" i="1"/>
  <c r="BD16" i="1"/>
  <c r="BC16" i="1"/>
  <c r="BD26" i="1"/>
  <c r="BC26" i="1"/>
  <c r="BD30" i="1"/>
  <c r="BC30" i="1"/>
  <c r="BD13" i="1"/>
  <c r="BC13" i="1"/>
  <c r="BD18" i="1"/>
  <c r="BC18" i="1"/>
  <c r="BD19" i="1"/>
  <c r="BC19" i="1"/>
  <c r="BD21" i="1"/>
  <c r="BC21" i="1"/>
  <c r="BD27" i="1"/>
  <c r="BC27" i="1"/>
  <c r="BD28" i="1"/>
  <c r="BC28" i="1"/>
  <c r="BD11" i="1"/>
  <c r="BC11" i="1"/>
  <c r="BD12" i="1"/>
  <c r="BC12" i="1"/>
  <c r="BD15" i="1"/>
  <c r="BC15" i="1"/>
  <c r="BD17" i="1"/>
  <c r="BC17" i="1"/>
  <c r="BD20" i="1"/>
  <c r="BC20" i="1"/>
  <c r="BD22" i="1"/>
  <c r="BC22" i="1"/>
  <c r="BD24" i="1"/>
  <c r="BC24" i="1"/>
  <c r="BD29" i="1"/>
  <c r="BC29" i="1"/>
  <c r="BD10" i="1"/>
  <c r="AY10" i="36" s="1"/>
  <c r="BD23" i="1"/>
  <c r="BD25" i="1"/>
  <c r="AV28" i="36" l="1"/>
  <c r="AR28" i="36"/>
  <c r="AN28" i="36"/>
  <c r="AJ28" i="36"/>
  <c r="AF28" i="36"/>
  <c r="AB28" i="36"/>
  <c r="X28" i="36"/>
  <c r="T28" i="36"/>
  <c r="P28" i="36"/>
  <c r="L28" i="36"/>
  <c r="H28" i="36"/>
  <c r="D28" i="36"/>
  <c r="AU28" i="36"/>
  <c r="AQ28" i="36"/>
  <c r="AM28" i="36"/>
  <c r="AI28" i="36"/>
  <c r="AE28" i="36"/>
  <c r="AA28" i="36"/>
  <c r="W28" i="36"/>
  <c r="S28" i="36"/>
  <c r="O28" i="36"/>
  <c r="K28" i="36"/>
  <c r="G28" i="36"/>
  <c r="C28" i="36"/>
  <c r="AX28" i="36"/>
  <c r="AT28" i="36"/>
  <c r="AL28" i="36"/>
  <c r="AH28" i="36"/>
  <c r="AD28" i="36"/>
  <c r="Z28" i="36"/>
  <c r="V28" i="36"/>
  <c r="R28" i="36"/>
  <c r="N28" i="36"/>
  <c r="J28" i="36"/>
  <c r="F28" i="36"/>
  <c r="AW28" i="36"/>
  <c r="AS28" i="36"/>
  <c r="AO28" i="36"/>
  <c r="AK28" i="36"/>
  <c r="AG28" i="36"/>
  <c r="AC28" i="36"/>
  <c r="Y28" i="36"/>
  <c r="U28" i="36"/>
  <c r="Q28" i="36"/>
  <c r="M28" i="36"/>
  <c r="I28" i="36"/>
  <c r="E28" i="36"/>
  <c r="BU19" i="36"/>
  <c r="BQ19" i="36"/>
  <c r="BM19" i="36"/>
  <c r="BI19" i="36"/>
  <c r="BE19" i="36"/>
  <c r="BA19" i="36"/>
  <c r="BT19" i="36"/>
  <c r="BP19" i="36"/>
  <c r="BL19" i="36"/>
  <c r="BH19" i="36"/>
  <c r="BD19" i="36"/>
  <c r="AZ19" i="36"/>
  <c r="BS19" i="36"/>
  <c r="BO19" i="36"/>
  <c r="BK19" i="36"/>
  <c r="BG19" i="36"/>
  <c r="BC19" i="36"/>
  <c r="AY19" i="36"/>
  <c r="BN19" i="36"/>
  <c r="BJ19" i="36"/>
  <c r="BV19" i="36"/>
  <c r="BF19" i="36"/>
  <c r="BR19" i="36"/>
  <c r="BB19" i="36"/>
  <c r="BU13" i="36"/>
  <c r="BQ13" i="36"/>
  <c r="BM13" i="36"/>
  <c r="BI13" i="36"/>
  <c r="BE13" i="36"/>
  <c r="BA13" i="36"/>
  <c r="BT13" i="36"/>
  <c r="BP13" i="36"/>
  <c r="BL13" i="36"/>
  <c r="BH13" i="36"/>
  <c r="BD13" i="36"/>
  <c r="AZ13" i="36"/>
  <c r="BS13" i="36"/>
  <c r="BO13" i="36"/>
  <c r="BK13" i="36"/>
  <c r="BG13" i="36"/>
  <c r="BC13" i="36"/>
  <c r="AY13" i="36"/>
  <c r="BN13" i="36"/>
  <c r="BJ13" i="36"/>
  <c r="BV13" i="36"/>
  <c r="BF13" i="36"/>
  <c r="BR13" i="36"/>
  <c r="BB13" i="36"/>
  <c r="BT5" i="36"/>
  <c r="BP5" i="36"/>
  <c r="BL5" i="36"/>
  <c r="BH5" i="36"/>
  <c r="BD5" i="36"/>
  <c r="AZ5" i="36"/>
  <c r="BU5" i="36"/>
  <c r="BI5" i="36"/>
  <c r="BS5" i="36"/>
  <c r="BO5" i="36"/>
  <c r="BK5" i="36"/>
  <c r="BG5" i="36"/>
  <c r="BC5" i="36"/>
  <c r="AY5" i="36"/>
  <c r="BQ5" i="36"/>
  <c r="BE5" i="36"/>
  <c r="BA5" i="36"/>
  <c r="BV5" i="36"/>
  <c r="BR5" i="36"/>
  <c r="BN5" i="36"/>
  <c r="BJ5" i="36"/>
  <c r="BF5" i="36"/>
  <c r="BB5" i="36"/>
  <c r="BM5" i="36"/>
  <c r="AV4" i="36"/>
  <c r="AR4" i="36"/>
  <c r="AN4" i="36"/>
  <c r="AJ4" i="36"/>
  <c r="AF4" i="36"/>
  <c r="AB4" i="36"/>
  <c r="X4" i="36"/>
  <c r="T4" i="36"/>
  <c r="P4" i="36"/>
  <c r="L4" i="36"/>
  <c r="H4" i="36"/>
  <c r="D4" i="36"/>
  <c r="AK4" i="36"/>
  <c r="Y4" i="36"/>
  <c r="M4" i="36"/>
  <c r="AU4" i="36"/>
  <c r="AQ4" i="36"/>
  <c r="AM4" i="36"/>
  <c r="AI4" i="36"/>
  <c r="AE4" i="36"/>
  <c r="AA4" i="36"/>
  <c r="W4" i="36"/>
  <c r="S4" i="36"/>
  <c r="O4" i="36"/>
  <c r="K4" i="36"/>
  <c r="G4" i="36"/>
  <c r="C4" i="36"/>
  <c r="AW4" i="36"/>
  <c r="AO4" i="36"/>
  <c r="AC4" i="36"/>
  <c r="Q4" i="36"/>
  <c r="E4" i="36"/>
  <c r="AX4" i="36"/>
  <c r="AT4" i="36"/>
  <c r="AL4" i="36"/>
  <c r="AH4" i="36"/>
  <c r="AD4" i="36"/>
  <c r="Z4" i="36"/>
  <c r="V4" i="36"/>
  <c r="R4" i="36"/>
  <c r="N4" i="36"/>
  <c r="J4" i="36"/>
  <c r="F4" i="36"/>
  <c r="AS4" i="36"/>
  <c r="AG4" i="36"/>
  <c r="U4" i="36"/>
  <c r="I4" i="36"/>
  <c r="AV30" i="36"/>
  <c r="AR30" i="36"/>
  <c r="AN30" i="36"/>
  <c r="AJ30" i="36"/>
  <c r="AF30" i="36"/>
  <c r="AB30" i="36"/>
  <c r="X30" i="36"/>
  <c r="T30" i="36"/>
  <c r="P30" i="36"/>
  <c r="L30" i="36"/>
  <c r="H30" i="36"/>
  <c r="D30" i="36"/>
  <c r="AU30" i="36"/>
  <c r="AQ30" i="36"/>
  <c r="AM30" i="36"/>
  <c r="AI30" i="36"/>
  <c r="AE30" i="36"/>
  <c r="AA30" i="36"/>
  <c r="W30" i="36"/>
  <c r="S30" i="36"/>
  <c r="O30" i="36"/>
  <c r="K30" i="36"/>
  <c r="G30" i="36"/>
  <c r="C30" i="36"/>
  <c r="AX30" i="36"/>
  <c r="AT30" i="36"/>
  <c r="AL30" i="36"/>
  <c r="AH30" i="36"/>
  <c r="AD30" i="36"/>
  <c r="Z30" i="36"/>
  <c r="V30" i="36"/>
  <c r="R30" i="36"/>
  <c r="N30" i="36"/>
  <c r="J30" i="36"/>
  <c r="F30" i="36"/>
  <c r="AC30" i="36"/>
  <c r="M30" i="36"/>
  <c r="AO30" i="36"/>
  <c r="Y30" i="36"/>
  <c r="I30" i="36"/>
  <c r="AW30" i="36"/>
  <c r="AK30" i="36"/>
  <c r="U30" i="36"/>
  <c r="E30" i="36"/>
  <c r="AS30" i="36"/>
  <c r="AG30" i="36"/>
  <c r="Q30" i="36"/>
  <c r="BU16" i="36"/>
  <c r="BQ16" i="36"/>
  <c r="BM16" i="36"/>
  <c r="BI16" i="36"/>
  <c r="BE16" i="36"/>
  <c r="BA16" i="36"/>
  <c r="BT16" i="36"/>
  <c r="BP16" i="36"/>
  <c r="BL16" i="36"/>
  <c r="BH16" i="36"/>
  <c r="BD16" i="36"/>
  <c r="AZ16" i="36"/>
  <c r="BS16" i="36"/>
  <c r="BO16" i="36"/>
  <c r="BK16" i="36"/>
  <c r="BG16" i="36"/>
  <c r="BC16" i="36"/>
  <c r="AY16" i="36"/>
  <c r="BN16" i="36"/>
  <c r="BJ16" i="36"/>
  <c r="BV16" i="36"/>
  <c r="BF16" i="36"/>
  <c r="BR16" i="36"/>
  <c r="BB16" i="36"/>
  <c r="BU14" i="36"/>
  <c r="BQ14" i="36"/>
  <c r="BM14" i="36"/>
  <c r="BI14" i="36"/>
  <c r="BE14" i="36"/>
  <c r="BA14" i="36"/>
  <c r="BT14" i="36"/>
  <c r="BP14" i="36"/>
  <c r="BL14" i="36"/>
  <c r="BH14" i="36"/>
  <c r="BD14" i="36"/>
  <c r="AZ14" i="36"/>
  <c r="BS14" i="36"/>
  <c r="BO14" i="36"/>
  <c r="BK14" i="36"/>
  <c r="BG14" i="36"/>
  <c r="BC14" i="36"/>
  <c r="AY14" i="36"/>
  <c r="BN14" i="36"/>
  <c r="BJ14" i="36"/>
  <c r="BV14" i="36"/>
  <c r="BF14" i="36"/>
  <c r="BR14" i="36"/>
  <c r="BB14" i="36"/>
  <c r="BT9" i="36"/>
  <c r="BP9" i="36"/>
  <c r="BL9" i="36"/>
  <c r="BH9" i="36"/>
  <c r="BD9" i="36"/>
  <c r="AZ9" i="36"/>
  <c r="BS9" i="36"/>
  <c r="BO9" i="36"/>
  <c r="BK9" i="36"/>
  <c r="BG9" i="36"/>
  <c r="BC9" i="36"/>
  <c r="AY9" i="36"/>
  <c r="BR9" i="36"/>
  <c r="BJ9" i="36"/>
  <c r="BB9" i="36"/>
  <c r="BU9" i="36"/>
  <c r="BQ9" i="36"/>
  <c r="BI9" i="36"/>
  <c r="BA9" i="36"/>
  <c r="BM9" i="36"/>
  <c r="BV9" i="36"/>
  <c r="BN9" i="36"/>
  <c r="BF9" i="36"/>
  <c r="BE9" i="36"/>
  <c r="AW15" i="36"/>
  <c r="AS15" i="36"/>
  <c r="AO15" i="36"/>
  <c r="AK15" i="36"/>
  <c r="AG15" i="36"/>
  <c r="AC15" i="36"/>
  <c r="Y15" i="36"/>
  <c r="U15" i="36"/>
  <c r="Q15" i="36"/>
  <c r="M15" i="36"/>
  <c r="I15" i="36"/>
  <c r="E15" i="36"/>
  <c r="AV15" i="36"/>
  <c r="AR15" i="36"/>
  <c r="AN15" i="36"/>
  <c r="AJ15" i="36"/>
  <c r="AF15" i="36"/>
  <c r="AB15" i="36"/>
  <c r="X15" i="36"/>
  <c r="T15" i="36"/>
  <c r="P15" i="36"/>
  <c r="L15" i="36"/>
  <c r="H15" i="36"/>
  <c r="D15" i="36"/>
  <c r="AU15" i="36"/>
  <c r="AQ15" i="36"/>
  <c r="AM15" i="36"/>
  <c r="AI15" i="36"/>
  <c r="AE15" i="36"/>
  <c r="AA15" i="36"/>
  <c r="W15" i="36"/>
  <c r="S15" i="36"/>
  <c r="O15" i="36"/>
  <c r="K15" i="36"/>
  <c r="G15" i="36"/>
  <c r="C15" i="36"/>
  <c r="Z15" i="36"/>
  <c r="J15" i="36"/>
  <c r="AL15" i="36"/>
  <c r="V15" i="36"/>
  <c r="F15" i="36"/>
  <c r="AX15" i="36"/>
  <c r="AH15" i="36"/>
  <c r="R15" i="36"/>
  <c r="AT15" i="36"/>
  <c r="AD15" i="36"/>
  <c r="N15" i="36"/>
  <c r="AV12" i="36"/>
  <c r="AR12" i="36"/>
  <c r="AN12" i="36"/>
  <c r="AJ12" i="36"/>
  <c r="AF12" i="36"/>
  <c r="AB12" i="36"/>
  <c r="X12" i="36"/>
  <c r="T12" i="36"/>
  <c r="P12" i="36"/>
  <c r="L12" i="36"/>
  <c r="H12" i="36"/>
  <c r="D12" i="36"/>
  <c r="AU12" i="36"/>
  <c r="AQ12" i="36"/>
  <c r="AM12" i="36"/>
  <c r="AI12" i="36"/>
  <c r="AE12" i="36"/>
  <c r="AA12" i="36"/>
  <c r="W12" i="36"/>
  <c r="S12" i="36"/>
  <c r="O12" i="36"/>
  <c r="K12" i="36"/>
  <c r="G12" i="36"/>
  <c r="C12" i="36"/>
  <c r="AX12" i="36"/>
  <c r="AT12" i="36"/>
  <c r="AL12" i="36"/>
  <c r="AH12" i="36"/>
  <c r="AD12" i="36"/>
  <c r="Z12" i="36"/>
  <c r="V12" i="36"/>
  <c r="R12" i="36"/>
  <c r="N12" i="36"/>
  <c r="J12" i="36"/>
  <c r="F12" i="36"/>
  <c r="AW12" i="36"/>
  <c r="AS12" i="36"/>
  <c r="AO12" i="36"/>
  <c r="AK12" i="36"/>
  <c r="AG12" i="36"/>
  <c r="AC12" i="36"/>
  <c r="Y12" i="36"/>
  <c r="U12" i="36"/>
  <c r="Q12" i="36"/>
  <c r="M12" i="36"/>
  <c r="I12" i="36"/>
  <c r="E12" i="36"/>
  <c r="AV11" i="36"/>
  <c r="AR11" i="36"/>
  <c r="AN11" i="36"/>
  <c r="AJ11" i="36"/>
  <c r="AF11" i="36"/>
  <c r="AB11" i="36"/>
  <c r="X11" i="36"/>
  <c r="T11" i="36"/>
  <c r="P11" i="36"/>
  <c r="L11" i="36"/>
  <c r="H11" i="36"/>
  <c r="D11" i="36"/>
  <c r="AU11" i="36"/>
  <c r="AQ11" i="36"/>
  <c r="AM11" i="36"/>
  <c r="AI11" i="36"/>
  <c r="AE11" i="36"/>
  <c r="AA11" i="36"/>
  <c r="W11" i="36"/>
  <c r="S11" i="36"/>
  <c r="O11" i="36"/>
  <c r="K11" i="36"/>
  <c r="G11" i="36"/>
  <c r="C11" i="36"/>
  <c r="AX11" i="36"/>
  <c r="AT11" i="36"/>
  <c r="AL11" i="36"/>
  <c r="AH11" i="36"/>
  <c r="AD11" i="36"/>
  <c r="Z11" i="36"/>
  <c r="V11" i="36"/>
  <c r="R11" i="36"/>
  <c r="N11" i="36"/>
  <c r="J11" i="36"/>
  <c r="F11" i="36"/>
  <c r="AW11" i="36"/>
  <c r="AS11" i="36"/>
  <c r="AO11" i="36"/>
  <c r="AK11" i="36"/>
  <c r="AG11" i="36"/>
  <c r="AC11" i="36"/>
  <c r="Y11" i="36"/>
  <c r="U11" i="36"/>
  <c r="Q11" i="36"/>
  <c r="M11" i="36"/>
  <c r="I11" i="36"/>
  <c r="E11" i="36"/>
  <c r="BT28" i="36"/>
  <c r="BP28" i="36"/>
  <c r="BL28" i="36"/>
  <c r="BH28" i="36"/>
  <c r="BD28" i="36"/>
  <c r="AZ28" i="36"/>
  <c r="BS28" i="36"/>
  <c r="BO28" i="36"/>
  <c r="BK28" i="36"/>
  <c r="BG28" i="36"/>
  <c r="BC28" i="36"/>
  <c r="AY28" i="36"/>
  <c r="BV28" i="36"/>
  <c r="BR28" i="36"/>
  <c r="BN28" i="36"/>
  <c r="BJ28" i="36"/>
  <c r="BF28" i="36"/>
  <c r="BB28" i="36"/>
  <c r="BU28" i="36"/>
  <c r="BQ28" i="36"/>
  <c r="BM28" i="36"/>
  <c r="BI28" i="36"/>
  <c r="BE28" i="36"/>
  <c r="BA28" i="36"/>
  <c r="AW19" i="36"/>
  <c r="AS19" i="36"/>
  <c r="AO19" i="36"/>
  <c r="AK19" i="36"/>
  <c r="AG19" i="36"/>
  <c r="AC19" i="36"/>
  <c r="Y19" i="36"/>
  <c r="U19" i="36"/>
  <c r="Q19" i="36"/>
  <c r="M19" i="36"/>
  <c r="I19" i="36"/>
  <c r="E19" i="36"/>
  <c r="AV19" i="36"/>
  <c r="AR19" i="36"/>
  <c r="AN19" i="36"/>
  <c r="AJ19" i="36"/>
  <c r="AF19" i="36"/>
  <c r="AB19" i="36"/>
  <c r="X19" i="36"/>
  <c r="T19" i="36"/>
  <c r="P19" i="36"/>
  <c r="L19" i="36"/>
  <c r="H19" i="36"/>
  <c r="D19" i="36"/>
  <c r="AU19" i="36"/>
  <c r="AQ19" i="36"/>
  <c r="AM19" i="36"/>
  <c r="AI19" i="36"/>
  <c r="AE19" i="36"/>
  <c r="AA19" i="36"/>
  <c r="W19" i="36"/>
  <c r="S19" i="36"/>
  <c r="O19" i="36"/>
  <c r="K19" i="36"/>
  <c r="G19" i="36"/>
  <c r="C19" i="36"/>
  <c r="AX19" i="36"/>
  <c r="AH19" i="36"/>
  <c r="R19" i="36"/>
  <c r="S19" i="28" s="1"/>
  <c r="S42" i="28" s="1"/>
  <c r="AT19" i="36"/>
  <c r="AD19" i="36"/>
  <c r="N19" i="36"/>
  <c r="Z19" i="36"/>
  <c r="J19" i="36"/>
  <c r="AL19" i="36"/>
  <c r="V19" i="36"/>
  <c r="F19" i="36"/>
  <c r="AW13" i="36"/>
  <c r="AS13" i="36"/>
  <c r="AO13" i="36"/>
  <c r="AK13" i="36"/>
  <c r="AG13" i="36"/>
  <c r="AC13" i="36"/>
  <c r="Y13" i="36"/>
  <c r="U13" i="36"/>
  <c r="Q13" i="36"/>
  <c r="M13" i="36"/>
  <c r="I13" i="36"/>
  <c r="E13" i="36"/>
  <c r="AV13" i="36"/>
  <c r="AR13" i="36"/>
  <c r="AN13" i="36"/>
  <c r="AJ13" i="36"/>
  <c r="AF13" i="36"/>
  <c r="AB13" i="36"/>
  <c r="X13" i="36"/>
  <c r="T13" i="36"/>
  <c r="P13" i="36"/>
  <c r="L13" i="36"/>
  <c r="H13" i="36"/>
  <c r="D13" i="36"/>
  <c r="AU13" i="36"/>
  <c r="AQ13" i="36"/>
  <c r="AM13" i="36"/>
  <c r="AI13" i="36"/>
  <c r="AE13" i="36"/>
  <c r="AA13" i="36"/>
  <c r="W13" i="36"/>
  <c r="S13" i="36"/>
  <c r="O13" i="36"/>
  <c r="K13" i="36"/>
  <c r="G13" i="36"/>
  <c r="C13" i="36"/>
  <c r="AX13" i="36"/>
  <c r="AH13" i="36"/>
  <c r="R13" i="36"/>
  <c r="S13" i="28" s="1"/>
  <c r="S33" i="28" s="1"/>
  <c r="AT13" i="36"/>
  <c r="AD13" i="36"/>
  <c r="N13" i="36"/>
  <c r="Z13" i="36"/>
  <c r="J13" i="36"/>
  <c r="AL13" i="36"/>
  <c r="V13" i="36"/>
  <c r="F13" i="36"/>
  <c r="AV5" i="36"/>
  <c r="AR5" i="36"/>
  <c r="AN5" i="36"/>
  <c r="AJ5" i="36"/>
  <c r="AF5" i="36"/>
  <c r="AB5" i="36"/>
  <c r="X5" i="36"/>
  <c r="T5" i="36"/>
  <c r="P5" i="36"/>
  <c r="L5" i="36"/>
  <c r="H5" i="36"/>
  <c r="D5" i="36"/>
  <c r="AS5" i="36"/>
  <c r="AG5" i="36"/>
  <c r="Y5" i="36"/>
  <c r="Q5" i="36"/>
  <c r="E5" i="36"/>
  <c r="AU5" i="36"/>
  <c r="AQ5" i="36"/>
  <c r="AM5" i="36"/>
  <c r="AI5" i="36"/>
  <c r="AE5" i="36"/>
  <c r="AA5" i="36"/>
  <c r="W5" i="36"/>
  <c r="S5" i="36"/>
  <c r="O5" i="36"/>
  <c r="K5" i="36"/>
  <c r="G5" i="36"/>
  <c r="C5" i="36"/>
  <c r="AO5" i="36"/>
  <c r="AC5" i="36"/>
  <c r="I5" i="36"/>
  <c r="AX5" i="36"/>
  <c r="AT5" i="36"/>
  <c r="AL5" i="36"/>
  <c r="AH5" i="36"/>
  <c r="AD5" i="36"/>
  <c r="Z5" i="36"/>
  <c r="V5" i="36"/>
  <c r="R5" i="36"/>
  <c r="S5" i="28" s="1"/>
  <c r="N5" i="36"/>
  <c r="J5" i="36"/>
  <c r="F5" i="36"/>
  <c r="AW5" i="36"/>
  <c r="AK5" i="36"/>
  <c r="U5" i="36"/>
  <c r="M5" i="36"/>
  <c r="BT4" i="36"/>
  <c r="BP4" i="36"/>
  <c r="BL4" i="36"/>
  <c r="BH4" i="36"/>
  <c r="BD4" i="36"/>
  <c r="AZ4" i="36"/>
  <c r="BM4" i="36"/>
  <c r="BA4" i="36"/>
  <c r="BS4" i="36"/>
  <c r="BO4" i="36"/>
  <c r="BK4" i="36"/>
  <c r="BG4" i="36"/>
  <c r="BC4" i="36"/>
  <c r="AY4" i="36"/>
  <c r="BU4" i="36"/>
  <c r="BE4" i="36"/>
  <c r="BV4" i="36"/>
  <c r="BR4" i="36"/>
  <c r="BN4" i="36"/>
  <c r="BJ4" i="36"/>
  <c r="BF4" i="36"/>
  <c r="BB4" i="36"/>
  <c r="BQ4" i="36"/>
  <c r="BI4" i="36"/>
  <c r="BT30" i="36"/>
  <c r="BP30" i="36"/>
  <c r="BL30" i="36"/>
  <c r="BH30" i="36"/>
  <c r="BD30" i="36"/>
  <c r="AZ30" i="36"/>
  <c r="BS30" i="36"/>
  <c r="BO30" i="36"/>
  <c r="BK30" i="36"/>
  <c r="BG30" i="36"/>
  <c r="BC30" i="36"/>
  <c r="AY30" i="36"/>
  <c r="BV30" i="36"/>
  <c r="BR30" i="36"/>
  <c r="BN30" i="36"/>
  <c r="BJ30" i="36"/>
  <c r="BF30" i="36"/>
  <c r="BB30" i="36"/>
  <c r="BU30" i="36"/>
  <c r="BE30" i="36"/>
  <c r="BQ30" i="36"/>
  <c r="BA30" i="36"/>
  <c r="BM30" i="36"/>
  <c r="BI30" i="36"/>
  <c r="AW16" i="36"/>
  <c r="AS16" i="36"/>
  <c r="AO16" i="36"/>
  <c r="AK16" i="36"/>
  <c r="AG16" i="36"/>
  <c r="AC16" i="36"/>
  <c r="Y16" i="36"/>
  <c r="U16" i="36"/>
  <c r="Q16" i="36"/>
  <c r="M16" i="36"/>
  <c r="I16" i="36"/>
  <c r="E16" i="36"/>
  <c r="AV16" i="36"/>
  <c r="AR16" i="36"/>
  <c r="AN16" i="36"/>
  <c r="AJ16" i="36"/>
  <c r="AF16" i="36"/>
  <c r="AB16" i="36"/>
  <c r="X16" i="36"/>
  <c r="T16" i="36"/>
  <c r="P16" i="36"/>
  <c r="L16" i="36"/>
  <c r="H16" i="36"/>
  <c r="D16" i="36"/>
  <c r="AU16" i="36"/>
  <c r="AQ16" i="36"/>
  <c r="AM16" i="36"/>
  <c r="AI16" i="36"/>
  <c r="AE16" i="36"/>
  <c r="AA16" i="36"/>
  <c r="W16" i="36"/>
  <c r="S16" i="36"/>
  <c r="O16" i="36"/>
  <c r="K16" i="36"/>
  <c r="G16" i="36"/>
  <c r="C16" i="36"/>
  <c r="AX16" i="36"/>
  <c r="AH16" i="36"/>
  <c r="R16" i="36"/>
  <c r="AT16" i="36"/>
  <c r="AD16" i="36"/>
  <c r="N16" i="36"/>
  <c r="Z16" i="36"/>
  <c r="J16" i="36"/>
  <c r="AL16" i="36"/>
  <c r="V16" i="36"/>
  <c r="F16" i="36"/>
  <c r="AW14" i="36"/>
  <c r="AS14" i="36"/>
  <c r="AO14" i="36"/>
  <c r="AK14" i="36"/>
  <c r="AG14" i="36"/>
  <c r="AC14" i="36"/>
  <c r="Y14" i="36"/>
  <c r="U14" i="36"/>
  <c r="Q14" i="36"/>
  <c r="M14" i="36"/>
  <c r="I14" i="36"/>
  <c r="E14" i="36"/>
  <c r="AV14" i="36"/>
  <c r="AR14" i="36"/>
  <c r="AN14" i="36"/>
  <c r="AJ14" i="36"/>
  <c r="AF14" i="36"/>
  <c r="AB14" i="36"/>
  <c r="X14" i="36"/>
  <c r="T14" i="36"/>
  <c r="P14" i="36"/>
  <c r="L14" i="36"/>
  <c r="H14" i="36"/>
  <c r="D14" i="36"/>
  <c r="AU14" i="36"/>
  <c r="AQ14" i="36"/>
  <c r="AM14" i="36"/>
  <c r="AI14" i="36"/>
  <c r="AE14" i="36"/>
  <c r="AA14" i="36"/>
  <c r="W14" i="36"/>
  <c r="S14" i="36"/>
  <c r="O14" i="36"/>
  <c r="K14" i="36"/>
  <c r="G14" i="36"/>
  <c r="C14" i="36"/>
  <c r="AX14" i="36"/>
  <c r="AH14" i="36"/>
  <c r="R14" i="36"/>
  <c r="AT14" i="36"/>
  <c r="AD14" i="36"/>
  <c r="N14" i="36"/>
  <c r="Z14" i="36"/>
  <c r="J14" i="36"/>
  <c r="AL14" i="36"/>
  <c r="V14" i="36"/>
  <c r="F14" i="36"/>
  <c r="AV9" i="36"/>
  <c r="AR9" i="36"/>
  <c r="AN9" i="36"/>
  <c r="AJ9" i="36"/>
  <c r="AF9" i="36"/>
  <c r="AB9" i="36"/>
  <c r="X9" i="36"/>
  <c r="T9" i="36"/>
  <c r="P9" i="36"/>
  <c r="L9" i="36"/>
  <c r="H9" i="36"/>
  <c r="D9" i="36"/>
  <c r="AU9" i="36"/>
  <c r="AQ9" i="36"/>
  <c r="AM9" i="36"/>
  <c r="AI9" i="36"/>
  <c r="AE9" i="36"/>
  <c r="AA9" i="36"/>
  <c r="W9" i="36"/>
  <c r="S9" i="36"/>
  <c r="O9" i="36"/>
  <c r="K9" i="36"/>
  <c r="G9" i="36"/>
  <c r="C9" i="36"/>
  <c r="AT9" i="36"/>
  <c r="AL9" i="36"/>
  <c r="AD9" i="36"/>
  <c r="V9" i="36"/>
  <c r="N9" i="36"/>
  <c r="F9" i="36"/>
  <c r="AW9" i="36"/>
  <c r="Y9" i="36"/>
  <c r="AS9" i="36"/>
  <c r="AK9" i="36"/>
  <c r="AC9" i="36"/>
  <c r="U9" i="36"/>
  <c r="M9" i="36"/>
  <c r="E9" i="36"/>
  <c r="AO9" i="36"/>
  <c r="I9" i="36"/>
  <c r="AX9" i="36"/>
  <c r="AH9" i="36"/>
  <c r="Z9" i="36"/>
  <c r="R9" i="36"/>
  <c r="S9" i="28" s="1"/>
  <c r="J9" i="36"/>
  <c r="AG9" i="36"/>
  <c r="Q9" i="36"/>
  <c r="BU15" i="36"/>
  <c r="BQ15" i="36"/>
  <c r="BM15" i="36"/>
  <c r="BI15" i="36"/>
  <c r="BE15" i="36"/>
  <c r="BA15" i="36"/>
  <c r="BT15" i="36"/>
  <c r="BP15" i="36"/>
  <c r="BL15" i="36"/>
  <c r="BH15" i="36"/>
  <c r="BD15" i="36"/>
  <c r="AZ15" i="36"/>
  <c r="BS15" i="36"/>
  <c r="BO15" i="36"/>
  <c r="BK15" i="36"/>
  <c r="BG15" i="36"/>
  <c r="BC15" i="36"/>
  <c r="AY15" i="36"/>
  <c r="BV15" i="36"/>
  <c r="BF15" i="36"/>
  <c r="BR15" i="36"/>
  <c r="BB15" i="36"/>
  <c r="BN15" i="36"/>
  <c r="BJ15" i="36"/>
  <c r="BT12" i="36"/>
  <c r="BP12" i="36"/>
  <c r="BL12" i="36"/>
  <c r="BH12" i="36"/>
  <c r="BD12" i="36"/>
  <c r="AZ12" i="36"/>
  <c r="BS12" i="36"/>
  <c r="BO12" i="36"/>
  <c r="BK12" i="36"/>
  <c r="BG12" i="36"/>
  <c r="BC12" i="36"/>
  <c r="AY12" i="36"/>
  <c r="BV12" i="36"/>
  <c r="BR12" i="36"/>
  <c r="BN12" i="36"/>
  <c r="BJ12" i="36"/>
  <c r="BF12" i="36"/>
  <c r="BB12" i="36"/>
  <c r="BU12" i="36"/>
  <c r="BQ12" i="36"/>
  <c r="BM12" i="36"/>
  <c r="BI12" i="36"/>
  <c r="BE12" i="36"/>
  <c r="BA12" i="36"/>
  <c r="BT11" i="36"/>
  <c r="BP11" i="36"/>
  <c r="BL11" i="36"/>
  <c r="BH11" i="36"/>
  <c r="BD11" i="36"/>
  <c r="AZ11" i="36"/>
  <c r="BS11" i="36"/>
  <c r="BO11" i="36"/>
  <c r="BK11" i="36"/>
  <c r="BG11" i="36"/>
  <c r="BC11" i="36"/>
  <c r="AY11" i="36"/>
  <c r="BV11" i="36"/>
  <c r="BR11" i="36"/>
  <c r="BN11" i="36"/>
  <c r="BJ11" i="36"/>
  <c r="BF11" i="36"/>
  <c r="BB11" i="36"/>
  <c r="BU11" i="36"/>
  <c r="BQ11" i="36"/>
  <c r="BM11" i="36"/>
  <c r="BI11" i="36"/>
  <c r="BE11" i="36"/>
  <c r="BA11" i="36"/>
  <c r="AV27" i="36"/>
  <c r="AR27" i="36"/>
  <c r="AN27" i="36"/>
  <c r="AJ27" i="36"/>
  <c r="AF27" i="36"/>
  <c r="AB27" i="36"/>
  <c r="X27" i="36"/>
  <c r="T27" i="36"/>
  <c r="P27" i="36"/>
  <c r="L27" i="36"/>
  <c r="H27" i="36"/>
  <c r="D27" i="36"/>
  <c r="AU27" i="36"/>
  <c r="AQ27" i="36"/>
  <c r="AM27" i="36"/>
  <c r="AI27" i="36"/>
  <c r="AE27" i="36"/>
  <c r="AA27" i="36"/>
  <c r="W27" i="36"/>
  <c r="S27" i="36"/>
  <c r="O27" i="36"/>
  <c r="K27" i="36"/>
  <c r="G27" i="36"/>
  <c r="C27" i="36"/>
  <c r="AX27" i="36"/>
  <c r="AT27" i="36"/>
  <c r="AL27" i="36"/>
  <c r="AH27" i="36"/>
  <c r="AD27" i="36"/>
  <c r="Z27" i="36"/>
  <c r="V27" i="36"/>
  <c r="R27" i="36"/>
  <c r="N27" i="36"/>
  <c r="J27" i="36"/>
  <c r="F27" i="36"/>
  <c r="AW27" i="36"/>
  <c r="AS27" i="36"/>
  <c r="AO27" i="36"/>
  <c r="AK27" i="36"/>
  <c r="AG27" i="36"/>
  <c r="AC27" i="36"/>
  <c r="Y27" i="36"/>
  <c r="U27" i="36"/>
  <c r="Q27" i="36"/>
  <c r="M27" i="36"/>
  <c r="I27" i="36"/>
  <c r="E27" i="36"/>
  <c r="BU21" i="36"/>
  <c r="BQ21" i="36"/>
  <c r="BM21" i="36"/>
  <c r="BI21" i="36"/>
  <c r="BE21" i="36"/>
  <c r="BA21" i="36"/>
  <c r="BT21" i="36"/>
  <c r="BP21" i="36"/>
  <c r="BL21" i="36"/>
  <c r="BH21" i="36"/>
  <c r="BD21" i="36"/>
  <c r="AZ21" i="36"/>
  <c r="BS21" i="36"/>
  <c r="BO21" i="36"/>
  <c r="BK21" i="36"/>
  <c r="BG21" i="36"/>
  <c r="BC21" i="36"/>
  <c r="AY21" i="36"/>
  <c r="BN21" i="36"/>
  <c r="BJ21" i="36"/>
  <c r="BV21" i="36"/>
  <c r="BF21" i="36"/>
  <c r="BR21" i="36"/>
  <c r="BB21" i="36"/>
  <c r="BU18" i="36"/>
  <c r="BQ18" i="36"/>
  <c r="BM18" i="36"/>
  <c r="BI18" i="36"/>
  <c r="BE18" i="36"/>
  <c r="BA18" i="36"/>
  <c r="BT18" i="36"/>
  <c r="BP18" i="36"/>
  <c r="BL18" i="36"/>
  <c r="BH18" i="36"/>
  <c r="BD18" i="36"/>
  <c r="AZ18" i="36"/>
  <c r="BS18" i="36"/>
  <c r="BO18" i="36"/>
  <c r="BK18" i="36"/>
  <c r="BG18" i="36"/>
  <c r="BC18" i="36"/>
  <c r="AY18" i="36"/>
  <c r="BN18" i="36"/>
  <c r="BJ18" i="36"/>
  <c r="BV18" i="36"/>
  <c r="BF18" i="36"/>
  <c r="BR18" i="36"/>
  <c r="BB18" i="36"/>
  <c r="AU2" i="36"/>
  <c r="AQ2" i="36"/>
  <c r="AM2" i="36"/>
  <c r="AI2" i="36"/>
  <c r="AE2" i="36"/>
  <c r="AA2" i="36"/>
  <c r="W2" i="36"/>
  <c r="S2" i="36"/>
  <c r="O2" i="36"/>
  <c r="K2" i="36"/>
  <c r="G2" i="36"/>
  <c r="C2" i="36"/>
  <c r="AW2" i="36"/>
  <c r="AK2" i="36"/>
  <c r="Y2" i="36"/>
  <c r="M2" i="36"/>
  <c r="AV2" i="36"/>
  <c r="AJ2" i="36"/>
  <c r="T2" i="36"/>
  <c r="L2" i="36"/>
  <c r="AX2" i="36"/>
  <c r="AT2" i="36"/>
  <c r="AL2" i="36"/>
  <c r="AH2" i="36"/>
  <c r="AD2" i="36"/>
  <c r="Z2" i="36"/>
  <c r="V2" i="36"/>
  <c r="R2" i="36"/>
  <c r="N2" i="36"/>
  <c r="J2" i="36"/>
  <c r="F2" i="36"/>
  <c r="AS2" i="36"/>
  <c r="AG2" i="36"/>
  <c r="U2" i="36"/>
  <c r="I2" i="36"/>
  <c r="AR2" i="36"/>
  <c r="AF2" i="36"/>
  <c r="X2" i="36"/>
  <c r="H2" i="36"/>
  <c r="AO2" i="36"/>
  <c r="AC2" i="36"/>
  <c r="Q2" i="36"/>
  <c r="E2" i="36"/>
  <c r="AN2" i="36"/>
  <c r="AB2" i="36"/>
  <c r="P2" i="36"/>
  <c r="D2" i="36"/>
  <c r="AV10" i="36"/>
  <c r="AR10" i="36"/>
  <c r="AN10" i="36"/>
  <c r="AJ10" i="36"/>
  <c r="AF10" i="36"/>
  <c r="AB10" i="36"/>
  <c r="X10" i="36"/>
  <c r="T10" i="36"/>
  <c r="P10" i="36"/>
  <c r="L10" i="36"/>
  <c r="H10" i="36"/>
  <c r="D10" i="36"/>
  <c r="AU10" i="36"/>
  <c r="AQ10" i="36"/>
  <c r="AM10" i="36"/>
  <c r="AI10" i="36"/>
  <c r="AE10" i="36"/>
  <c r="AA10" i="36"/>
  <c r="W10" i="36"/>
  <c r="S10" i="36"/>
  <c r="O10" i="36"/>
  <c r="K10" i="36"/>
  <c r="G10" i="36"/>
  <c r="C10" i="36"/>
  <c r="AX10" i="36"/>
  <c r="AT10" i="36"/>
  <c r="AL10" i="36"/>
  <c r="AH10" i="36"/>
  <c r="AD10" i="36"/>
  <c r="Z10" i="36"/>
  <c r="V10" i="36"/>
  <c r="R10" i="36"/>
  <c r="N10" i="36"/>
  <c r="J10" i="36"/>
  <c r="F10" i="36"/>
  <c r="AW10" i="36"/>
  <c r="AS10" i="36"/>
  <c r="AO10" i="36"/>
  <c r="AK10" i="36"/>
  <c r="AG10" i="36"/>
  <c r="AC10" i="36"/>
  <c r="Y10" i="36"/>
  <c r="U10" i="36"/>
  <c r="Q10" i="36"/>
  <c r="M10" i="36"/>
  <c r="I10" i="36"/>
  <c r="E10" i="36"/>
  <c r="AV8" i="36"/>
  <c r="AR8" i="36"/>
  <c r="AN8" i="36"/>
  <c r="AJ8" i="36"/>
  <c r="AF8" i="36"/>
  <c r="AB8" i="36"/>
  <c r="X8" i="36"/>
  <c r="T8" i="36"/>
  <c r="P8" i="36"/>
  <c r="L8" i="36"/>
  <c r="H8" i="36"/>
  <c r="D8" i="36"/>
  <c r="AU8" i="36"/>
  <c r="AQ8" i="36"/>
  <c r="AM8" i="36"/>
  <c r="AI8" i="36"/>
  <c r="AE8" i="36"/>
  <c r="AA8" i="36"/>
  <c r="W8" i="36"/>
  <c r="S8" i="36"/>
  <c r="O8" i="36"/>
  <c r="K8" i="36"/>
  <c r="G8" i="36"/>
  <c r="C8" i="36"/>
  <c r="AT8" i="36"/>
  <c r="AL8" i="36"/>
  <c r="AD8" i="36"/>
  <c r="V8" i="36"/>
  <c r="N8" i="36"/>
  <c r="F8" i="36"/>
  <c r="AG8" i="36"/>
  <c r="Y8" i="36"/>
  <c r="AS8" i="36"/>
  <c r="AK8" i="36"/>
  <c r="AC8" i="36"/>
  <c r="U8" i="36"/>
  <c r="M8" i="36"/>
  <c r="E8" i="36"/>
  <c r="AO8" i="36"/>
  <c r="Q8" i="36"/>
  <c r="AX8" i="36"/>
  <c r="AH8" i="36"/>
  <c r="Z8" i="36"/>
  <c r="R8" i="36"/>
  <c r="J8" i="36"/>
  <c r="AW8" i="36"/>
  <c r="I8" i="36"/>
  <c r="AV26" i="36"/>
  <c r="AR26" i="36"/>
  <c r="AN26" i="36"/>
  <c r="AJ26" i="36"/>
  <c r="AF26" i="36"/>
  <c r="AB26" i="36"/>
  <c r="X26" i="36"/>
  <c r="T26" i="36"/>
  <c r="P26" i="36"/>
  <c r="L26" i="36"/>
  <c r="H26" i="36"/>
  <c r="D26" i="36"/>
  <c r="AU26" i="36"/>
  <c r="AQ26" i="36"/>
  <c r="AM26" i="36"/>
  <c r="AI26" i="36"/>
  <c r="AE26" i="36"/>
  <c r="AA26" i="36"/>
  <c r="W26" i="36"/>
  <c r="S26" i="36"/>
  <c r="O26" i="36"/>
  <c r="K26" i="36"/>
  <c r="G26" i="36"/>
  <c r="C26" i="36"/>
  <c r="AX26" i="36"/>
  <c r="AT26" i="36"/>
  <c r="AL26" i="36"/>
  <c r="AH26" i="36"/>
  <c r="AD26" i="36"/>
  <c r="Z26" i="36"/>
  <c r="V26" i="36"/>
  <c r="R26" i="36"/>
  <c r="N26" i="36"/>
  <c r="J26" i="36"/>
  <c r="F26" i="36"/>
  <c r="AW26" i="36"/>
  <c r="AS26" i="36"/>
  <c r="AO26" i="36"/>
  <c r="AK26" i="36"/>
  <c r="AG26" i="36"/>
  <c r="AC26" i="36"/>
  <c r="Y26" i="36"/>
  <c r="U26" i="36"/>
  <c r="Q26" i="36"/>
  <c r="M26" i="36"/>
  <c r="I26" i="36"/>
  <c r="E26" i="36"/>
  <c r="BU23" i="36"/>
  <c r="BQ23" i="36"/>
  <c r="BM23" i="36"/>
  <c r="BI23" i="36"/>
  <c r="BE23" i="36"/>
  <c r="BA23" i="36"/>
  <c r="BT23" i="36"/>
  <c r="BP23" i="36"/>
  <c r="BL23" i="36"/>
  <c r="BH23" i="36"/>
  <c r="BD23" i="36"/>
  <c r="AZ23" i="36"/>
  <c r="BS23" i="36"/>
  <c r="BO23" i="36"/>
  <c r="BK23" i="36"/>
  <c r="BG23" i="36"/>
  <c r="BC23" i="36"/>
  <c r="AY23" i="36"/>
  <c r="BN23" i="36"/>
  <c r="BJ23" i="36"/>
  <c r="BV23" i="36"/>
  <c r="BF23" i="36"/>
  <c r="BR23" i="36"/>
  <c r="BB23" i="36"/>
  <c r="BT7" i="36"/>
  <c r="BP7" i="36"/>
  <c r="BL7" i="36"/>
  <c r="BH7" i="36"/>
  <c r="BD7" i="36"/>
  <c r="AZ7" i="36"/>
  <c r="BS7" i="36"/>
  <c r="BO7" i="36"/>
  <c r="BK7" i="36"/>
  <c r="BG7" i="36"/>
  <c r="BC7" i="36"/>
  <c r="AY7" i="36"/>
  <c r="BR7" i="36"/>
  <c r="BJ7" i="36"/>
  <c r="BB7" i="36"/>
  <c r="BM7" i="36"/>
  <c r="BQ7" i="36"/>
  <c r="BI7" i="36"/>
  <c r="BA7" i="36"/>
  <c r="BU7" i="36"/>
  <c r="BV7" i="36"/>
  <c r="BN7" i="36"/>
  <c r="BF7" i="36"/>
  <c r="BE7" i="36"/>
  <c r="BT29" i="36"/>
  <c r="BP29" i="36"/>
  <c r="BL29" i="36"/>
  <c r="BH29" i="36"/>
  <c r="BD29" i="36"/>
  <c r="AZ29" i="36"/>
  <c r="BS29" i="36"/>
  <c r="BO29" i="36"/>
  <c r="BK29" i="36"/>
  <c r="BG29" i="36"/>
  <c r="BC29" i="36"/>
  <c r="AY29" i="36"/>
  <c r="BV29" i="36"/>
  <c r="BR29" i="36"/>
  <c r="BN29" i="36"/>
  <c r="BJ29" i="36"/>
  <c r="BF29" i="36"/>
  <c r="BB29" i="36"/>
  <c r="BU29" i="36"/>
  <c r="BQ29" i="36"/>
  <c r="BM29" i="36"/>
  <c r="BI29" i="36"/>
  <c r="BE29" i="36"/>
  <c r="BA29" i="36"/>
  <c r="AW22" i="36"/>
  <c r="AS22" i="36"/>
  <c r="AO22" i="36"/>
  <c r="AK22" i="36"/>
  <c r="AG22" i="36"/>
  <c r="AC22" i="36"/>
  <c r="Y22" i="36"/>
  <c r="U22" i="36"/>
  <c r="Q22" i="36"/>
  <c r="M22" i="36"/>
  <c r="I22" i="36"/>
  <c r="E22" i="36"/>
  <c r="AV22" i="36"/>
  <c r="AR22" i="36"/>
  <c r="AN22" i="36"/>
  <c r="AJ22" i="36"/>
  <c r="AF22" i="36"/>
  <c r="AB22" i="36"/>
  <c r="X22" i="36"/>
  <c r="T22" i="36"/>
  <c r="P22" i="36"/>
  <c r="L22" i="36"/>
  <c r="H22" i="36"/>
  <c r="D22" i="36"/>
  <c r="AU22" i="36"/>
  <c r="AQ22" i="36"/>
  <c r="AM22" i="36"/>
  <c r="AI22" i="36"/>
  <c r="AE22" i="36"/>
  <c r="AA22" i="36"/>
  <c r="W22" i="36"/>
  <c r="S22" i="36"/>
  <c r="O22" i="36"/>
  <c r="K22" i="36"/>
  <c r="G22" i="36"/>
  <c r="C22" i="36"/>
  <c r="Z22" i="36"/>
  <c r="J22" i="36"/>
  <c r="AL22" i="36"/>
  <c r="V22" i="36"/>
  <c r="F22" i="36"/>
  <c r="AX22" i="36"/>
  <c r="AH22" i="36"/>
  <c r="R22" i="36"/>
  <c r="AT22" i="36"/>
  <c r="AD22" i="36"/>
  <c r="N22" i="36"/>
  <c r="AW20" i="36"/>
  <c r="AS20" i="36"/>
  <c r="AO20" i="36"/>
  <c r="AK20" i="36"/>
  <c r="AG20" i="36"/>
  <c r="AC20" i="36"/>
  <c r="Y20" i="36"/>
  <c r="U20" i="36"/>
  <c r="Q20" i="36"/>
  <c r="M20" i="36"/>
  <c r="I20" i="36"/>
  <c r="E20" i="36"/>
  <c r="AV20" i="36"/>
  <c r="AR20" i="36"/>
  <c r="AN20" i="36"/>
  <c r="AJ20" i="36"/>
  <c r="AF20" i="36"/>
  <c r="AB20" i="36"/>
  <c r="X20" i="36"/>
  <c r="T20" i="36"/>
  <c r="P20" i="36"/>
  <c r="L20" i="36"/>
  <c r="H20" i="36"/>
  <c r="D20" i="36"/>
  <c r="AU20" i="36"/>
  <c r="AQ20" i="36"/>
  <c r="AM20" i="36"/>
  <c r="AI20" i="36"/>
  <c r="AE20" i="36"/>
  <c r="AA20" i="36"/>
  <c r="W20" i="36"/>
  <c r="S20" i="36"/>
  <c r="O20" i="36"/>
  <c r="K20" i="36"/>
  <c r="G20" i="36"/>
  <c r="C20" i="36"/>
  <c r="Z20" i="36"/>
  <c r="J20" i="36"/>
  <c r="AL20" i="36"/>
  <c r="V20" i="36"/>
  <c r="F20" i="36"/>
  <c r="AX20" i="36"/>
  <c r="AH20" i="36"/>
  <c r="R20" i="36"/>
  <c r="AT20" i="36"/>
  <c r="AD20" i="36"/>
  <c r="N20" i="36"/>
  <c r="AW17" i="36"/>
  <c r="AS17" i="36"/>
  <c r="AO17" i="36"/>
  <c r="AK17" i="36"/>
  <c r="AG17" i="36"/>
  <c r="AC17" i="36"/>
  <c r="Y17" i="36"/>
  <c r="U17" i="36"/>
  <c r="Q17" i="36"/>
  <c r="M17" i="36"/>
  <c r="I17" i="36"/>
  <c r="E17" i="36"/>
  <c r="AV17" i="36"/>
  <c r="AR17" i="36"/>
  <c r="AN17" i="36"/>
  <c r="AJ17" i="36"/>
  <c r="AF17" i="36"/>
  <c r="AB17" i="36"/>
  <c r="X17" i="36"/>
  <c r="T17" i="36"/>
  <c r="P17" i="36"/>
  <c r="L17" i="36"/>
  <c r="H17" i="36"/>
  <c r="D17" i="36"/>
  <c r="AU17" i="36"/>
  <c r="AQ17" i="36"/>
  <c r="AM17" i="36"/>
  <c r="AI17" i="36"/>
  <c r="AE17" i="36"/>
  <c r="AA17" i="36"/>
  <c r="W17" i="36"/>
  <c r="S17" i="36"/>
  <c r="O17" i="36"/>
  <c r="K17" i="36"/>
  <c r="G17" i="36"/>
  <c r="C17" i="36"/>
  <c r="Z17" i="36"/>
  <c r="J17" i="36"/>
  <c r="AL17" i="36"/>
  <c r="V17" i="36"/>
  <c r="F17" i="36"/>
  <c r="AX17" i="36"/>
  <c r="AH17" i="36"/>
  <c r="R17" i="36"/>
  <c r="AT17" i="36"/>
  <c r="AD17" i="36"/>
  <c r="N17" i="36"/>
  <c r="AV6" i="36"/>
  <c r="AR6" i="36"/>
  <c r="AN6" i="36"/>
  <c r="AJ6" i="36"/>
  <c r="AF6" i="36"/>
  <c r="AB6" i="36"/>
  <c r="X6" i="36"/>
  <c r="T6" i="36"/>
  <c r="P6" i="36"/>
  <c r="L6" i="36"/>
  <c r="H6" i="36"/>
  <c r="D6" i="36"/>
  <c r="AX6" i="36"/>
  <c r="AS6" i="36"/>
  <c r="AM6" i="36"/>
  <c r="AH6" i="36"/>
  <c r="AC6" i="36"/>
  <c r="W6" i="36"/>
  <c r="R6" i="36"/>
  <c r="M6" i="36"/>
  <c r="G6" i="36"/>
  <c r="AT6" i="36"/>
  <c r="AD6" i="36"/>
  <c r="N6" i="36"/>
  <c r="AW6" i="36"/>
  <c r="AQ6" i="36"/>
  <c r="AL6" i="36"/>
  <c r="AG6" i="36"/>
  <c r="AA6" i="36"/>
  <c r="V6" i="36"/>
  <c r="Q6" i="36"/>
  <c r="K6" i="36"/>
  <c r="F6" i="36"/>
  <c r="AO6" i="36"/>
  <c r="Y6" i="36"/>
  <c r="I6" i="36"/>
  <c r="AU6" i="36"/>
  <c r="AK6" i="36"/>
  <c r="AE6" i="36"/>
  <c r="Z6" i="36"/>
  <c r="U6" i="36"/>
  <c r="O6" i="36"/>
  <c r="J6" i="36"/>
  <c r="E6" i="36"/>
  <c r="AI6" i="36"/>
  <c r="S6" i="36"/>
  <c r="C6" i="36"/>
  <c r="BT27" i="36"/>
  <c r="BP27" i="36"/>
  <c r="BL27" i="36"/>
  <c r="BH27" i="36"/>
  <c r="BD27" i="36"/>
  <c r="AZ27" i="36"/>
  <c r="BS27" i="36"/>
  <c r="BO27" i="36"/>
  <c r="BK27" i="36"/>
  <c r="BG27" i="36"/>
  <c r="BC27" i="36"/>
  <c r="AY27" i="36"/>
  <c r="BV27" i="36"/>
  <c r="BR27" i="36"/>
  <c r="BN27" i="36"/>
  <c r="BJ27" i="36"/>
  <c r="BF27" i="36"/>
  <c r="BB27" i="36"/>
  <c r="BU27" i="36"/>
  <c r="BQ27" i="36"/>
  <c r="BM27" i="36"/>
  <c r="BI27" i="36"/>
  <c r="BE27" i="36"/>
  <c r="BA27" i="36"/>
  <c r="AW21" i="36"/>
  <c r="AS21" i="36"/>
  <c r="AO21" i="36"/>
  <c r="AK21" i="36"/>
  <c r="AG21" i="36"/>
  <c r="AC21" i="36"/>
  <c r="Y21" i="36"/>
  <c r="U21" i="36"/>
  <c r="Q21" i="36"/>
  <c r="M21" i="36"/>
  <c r="I21" i="36"/>
  <c r="E21" i="36"/>
  <c r="AV21" i="36"/>
  <c r="AR21" i="36"/>
  <c r="AN21" i="36"/>
  <c r="AJ21" i="36"/>
  <c r="AF21" i="36"/>
  <c r="AB21" i="36"/>
  <c r="X21" i="36"/>
  <c r="T21" i="36"/>
  <c r="P21" i="36"/>
  <c r="L21" i="36"/>
  <c r="H21" i="36"/>
  <c r="D21" i="36"/>
  <c r="AU21" i="36"/>
  <c r="AQ21" i="36"/>
  <c r="AM21" i="36"/>
  <c r="AI21" i="36"/>
  <c r="AE21" i="36"/>
  <c r="AA21" i="36"/>
  <c r="W21" i="36"/>
  <c r="S21" i="36"/>
  <c r="O21" i="36"/>
  <c r="K21" i="36"/>
  <c r="G21" i="36"/>
  <c r="C21" i="36"/>
  <c r="AX21" i="36"/>
  <c r="AH21" i="36"/>
  <c r="R21" i="36"/>
  <c r="AT21" i="36"/>
  <c r="AD21" i="36"/>
  <c r="N21" i="36"/>
  <c r="Z21" i="36"/>
  <c r="J21" i="36"/>
  <c r="AL21" i="36"/>
  <c r="V21" i="36"/>
  <c r="F21" i="36"/>
  <c r="AW18" i="36"/>
  <c r="AS18" i="36"/>
  <c r="AO18" i="36"/>
  <c r="AK18" i="36"/>
  <c r="AG18" i="36"/>
  <c r="AC18" i="36"/>
  <c r="Y18" i="36"/>
  <c r="U18" i="36"/>
  <c r="Q18" i="36"/>
  <c r="M18" i="36"/>
  <c r="I18" i="36"/>
  <c r="E18" i="36"/>
  <c r="AV18" i="36"/>
  <c r="AR18" i="36"/>
  <c r="AN18" i="36"/>
  <c r="AJ18" i="36"/>
  <c r="AF18" i="36"/>
  <c r="AB18" i="36"/>
  <c r="X18" i="36"/>
  <c r="T18" i="36"/>
  <c r="P18" i="36"/>
  <c r="L18" i="36"/>
  <c r="H18" i="36"/>
  <c r="D18" i="36"/>
  <c r="AU18" i="36"/>
  <c r="AQ18" i="36"/>
  <c r="AM18" i="36"/>
  <c r="AI18" i="36"/>
  <c r="AE18" i="36"/>
  <c r="AA18" i="36"/>
  <c r="W18" i="36"/>
  <c r="S18" i="36"/>
  <c r="O18" i="36"/>
  <c r="K18" i="36"/>
  <c r="G18" i="36"/>
  <c r="C18" i="36"/>
  <c r="AX18" i="36"/>
  <c r="AH18" i="36"/>
  <c r="R18" i="36"/>
  <c r="AT18" i="36"/>
  <c r="AD18" i="36"/>
  <c r="N18" i="36"/>
  <c r="Z18" i="36"/>
  <c r="J18" i="36"/>
  <c r="AL18" i="36"/>
  <c r="V18" i="36"/>
  <c r="F18" i="36"/>
  <c r="BS2" i="36"/>
  <c r="BO2" i="36"/>
  <c r="BK2" i="36"/>
  <c r="BG2" i="36"/>
  <c r="BC2" i="36"/>
  <c r="AY2" i="36"/>
  <c r="BU2" i="36"/>
  <c r="BI2" i="36"/>
  <c r="BP2" i="36"/>
  <c r="BH2" i="36"/>
  <c r="BV2" i="36"/>
  <c r="BR2" i="36"/>
  <c r="BN2" i="36"/>
  <c r="BJ2" i="36"/>
  <c r="BF2" i="36"/>
  <c r="BB2" i="36"/>
  <c r="BQ2" i="36"/>
  <c r="BE2" i="36"/>
  <c r="BT2" i="36"/>
  <c r="BD2" i="36"/>
  <c r="BM2" i="36"/>
  <c r="BA2" i="36"/>
  <c r="BL2" i="36"/>
  <c r="AZ2" i="36"/>
  <c r="BT10" i="36"/>
  <c r="BP10" i="36"/>
  <c r="BL10" i="36"/>
  <c r="BH10" i="36"/>
  <c r="BD10" i="36"/>
  <c r="AZ10" i="36"/>
  <c r="BS10" i="36"/>
  <c r="BO10" i="36"/>
  <c r="BK10" i="36"/>
  <c r="BG10" i="36"/>
  <c r="BC10" i="36"/>
  <c r="BV10" i="36"/>
  <c r="BR10" i="36"/>
  <c r="BN10" i="36"/>
  <c r="BJ10" i="36"/>
  <c r="BF10" i="36"/>
  <c r="BB10" i="36"/>
  <c r="BU10" i="36"/>
  <c r="BQ10" i="36"/>
  <c r="BM10" i="36"/>
  <c r="BI10" i="36"/>
  <c r="BE10" i="36"/>
  <c r="BA10" i="36"/>
  <c r="BT8" i="36"/>
  <c r="BP8" i="36"/>
  <c r="BL8" i="36"/>
  <c r="BH8" i="36"/>
  <c r="BD8" i="36"/>
  <c r="AZ8" i="36"/>
  <c r="BS8" i="36"/>
  <c r="BO8" i="36"/>
  <c r="BK8" i="36"/>
  <c r="BG8" i="36"/>
  <c r="BC8" i="36"/>
  <c r="AY8" i="36"/>
  <c r="BR8" i="36"/>
  <c r="BJ8" i="36"/>
  <c r="BB8" i="36"/>
  <c r="BE8" i="36"/>
  <c r="BQ8" i="36"/>
  <c r="BI8" i="36"/>
  <c r="BA8" i="36"/>
  <c r="BM8" i="36"/>
  <c r="BV8" i="36"/>
  <c r="BN8" i="36"/>
  <c r="BF8" i="36"/>
  <c r="BU8" i="36"/>
  <c r="BT26" i="36"/>
  <c r="BP26" i="36"/>
  <c r="BL26" i="36"/>
  <c r="BH26" i="36"/>
  <c r="BD26" i="36"/>
  <c r="AZ26" i="36"/>
  <c r="BS26" i="36"/>
  <c r="BO26" i="36"/>
  <c r="BK26" i="36"/>
  <c r="BG26" i="36"/>
  <c r="BC26" i="36"/>
  <c r="AY26" i="36"/>
  <c r="BV26" i="36"/>
  <c r="BR26" i="36"/>
  <c r="BN26" i="36"/>
  <c r="BJ26" i="36"/>
  <c r="BF26" i="36"/>
  <c r="BB26" i="36"/>
  <c r="BU26" i="36"/>
  <c r="BQ26" i="36"/>
  <c r="BM26" i="36"/>
  <c r="BI26" i="36"/>
  <c r="BE26" i="36"/>
  <c r="BA26" i="36"/>
  <c r="AW23" i="36"/>
  <c r="AS23" i="36"/>
  <c r="AO23" i="36"/>
  <c r="AK23" i="36"/>
  <c r="AG23" i="36"/>
  <c r="AC23" i="36"/>
  <c r="Y23" i="36"/>
  <c r="U23" i="36"/>
  <c r="Q23" i="36"/>
  <c r="M23" i="36"/>
  <c r="I23" i="36"/>
  <c r="E23" i="36"/>
  <c r="AV23" i="36"/>
  <c r="AR23" i="36"/>
  <c r="AN23" i="36"/>
  <c r="AJ23" i="36"/>
  <c r="AF23" i="36"/>
  <c r="AB23" i="36"/>
  <c r="X23" i="36"/>
  <c r="T23" i="36"/>
  <c r="P23" i="36"/>
  <c r="L23" i="36"/>
  <c r="H23" i="36"/>
  <c r="D23" i="36"/>
  <c r="AU23" i="36"/>
  <c r="AQ23" i="36"/>
  <c r="AM23" i="36"/>
  <c r="AI23" i="36"/>
  <c r="AE23" i="36"/>
  <c r="AA23" i="36"/>
  <c r="W23" i="36"/>
  <c r="S23" i="36"/>
  <c r="O23" i="36"/>
  <c r="K23" i="36"/>
  <c r="G23" i="36"/>
  <c r="C23" i="36"/>
  <c r="AX23" i="36"/>
  <c r="AH23" i="36"/>
  <c r="R23" i="36"/>
  <c r="AT23" i="36"/>
  <c r="AD23" i="36"/>
  <c r="N23" i="36"/>
  <c r="AP23" i="36"/>
  <c r="Z23" i="36"/>
  <c r="J23" i="36"/>
  <c r="AL23" i="36"/>
  <c r="V23" i="36"/>
  <c r="F23" i="36"/>
  <c r="AV7" i="36"/>
  <c r="AR7" i="36"/>
  <c r="AN7" i="36"/>
  <c r="AJ7" i="36"/>
  <c r="AF7" i="36"/>
  <c r="AB7" i="36"/>
  <c r="X7" i="36"/>
  <c r="T7" i="36"/>
  <c r="P7" i="36"/>
  <c r="L7" i="36"/>
  <c r="H7" i="36"/>
  <c r="D7" i="36"/>
  <c r="AU7" i="36"/>
  <c r="AQ7" i="36"/>
  <c r="AM7" i="36"/>
  <c r="AI7" i="36"/>
  <c r="AE7" i="36"/>
  <c r="AA7" i="36"/>
  <c r="W7" i="36"/>
  <c r="S7" i="36"/>
  <c r="O7" i="36"/>
  <c r="K7" i="36"/>
  <c r="G7" i="36"/>
  <c r="C7" i="36"/>
  <c r="AT7" i="36"/>
  <c r="AL7" i="36"/>
  <c r="AD7" i="36"/>
  <c r="V7" i="36"/>
  <c r="N7" i="36"/>
  <c r="F7" i="36"/>
  <c r="AG7" i="36"/>
  <c r="Q7" i="36"/>
  <c r="AS7" i="36"/>
  <c r="AK7" i="36"/>
  <c r="AC7" i="36"/>
  <c r="U7" i="36"/>
  <c r="M7" i="36"/>
  <c r="E7" i="36"/>
  <c r="AW7" i="36"/>
  <c r="I7" i="36"/>
  <c r="AX7" i="36"/>
  <c r="AH7" i="36"/>
  <c r="Z7" i="36"/>
  <c r="R7" i="36"/>
  <c r="J7" i="36"/>
  <c r="AO7" i="36"/>
  <c r="Y7" i="36"/>
  <c r="AV29" i="36"/>
  <c r="AR29" i="36"/>
  <c r="AN29" i="36"/>
  <c r="AJ29" i="36"/>
  <c r="AF29" i="36"/>
  <c r="AB29" i="36"/>
  <c r="X29" i="36"/>
  <c r="T29" i="36"/>
  <c r="P29" i="36"/>
  <c r="L29" i="36"/>
  <c r="H29" i="36"/>
  <c r="D29" i="36"/>
  <c r="AU29" i="36"/>
  <c r="AQ29" i="36"/>
  <c r="AM29" i="36"/>
  <c r="AI29" i="36"/>
  <c r="AE29" i="36"/>
  <c r="AA29" i="36"/>
  <c r="W29" i="36"/>
  <c r="S29" i="36"/>
  <c r="O29" i="36"/>
  <c r="K29" i="36"/>
  <c r="G29" i="36"/>
  <c r="C29" i="36"/>
  <c r="AX29" i="36"/>
  <c r="AT29" i="36"/>
  <c r="AL29" i="36"/>
  <c r="AH29" i="36"/>
  <c r="AD29" i="36"/>
  <c r="Z29" i="36"/>
  <c r="V29" i="36"/>
  <c r="R29" i="36"/>
  <c r="N29" i="36"/>
  <c r="J29" i="36"/>
  <c r="F29" i="36"/>
  <c r="AW29" i="36"/>
  <c r="AS29" i="36"/>
  <c r="AO29" i="36"/>
  <c r="AK29" i="36"/>
  <c r="AG29" i="36"/>
  <c r="AC29" i="36"/>
  <c r="Y29" i="36"/>
  <c r="U29" i="36"/>
  <c r="Q29" i="36"/>
  <c r="M29" i="36"/>
  <c r="I29" i="36"/>
  <c r="E29" i="36"/>
  <c r="BU22" i="36"/>
  <c r="BQ22" i="36"/>
  <c r="BM22" i="36"/>
  <c r="BI22" i="36"/>
  <c r="BE22" i="36"/>
  <c r="BA22" i="36"/>
  <c r="BT22" i="36"/>
  <c r="BP22" i="36"/>
  <c r="BL22" i="36"/>
  <c r="BH22" i="36"/>
  <c r="BD22" i="36"/>
  <c r="AZ22" i="36"/>
  <c r="BS22" i="36"/>
  <c r="BO22" i="36"/>
  <c r="BK22" i="36"/>
  <c r="BG22" i="36"/>
  <c r="BC22" i="36"/>
  <c r="AY22" i="36"/>
  <c r="BV22" i="36"/>
  <c r="BF22" i="36"/>
  <c r="BR22" i="36"/>
  <c r="BB22" i="36"/>
  <c r="BN22" i="36"/>
  <c r="BJ22" i="36"/>
  <c r="BU20" i="36"/>
  <c r="BQ20" i="36"/>
  <c r="BM20" i="36"/>
  <c r="BI20" i="36"/>
  <c r="BE20" i="36"/>
  <c r="BA20" i="36"/>
  <c r="BT20" i="36"/>
  <c r="BP20" i="36"/>
  <c r="BL20" i="36"/>
  <c r="BH20" i="36"/>
  <c r="BD20" i="36"/>
  <c r="AZ20" i="36"/>
  <c r="BS20" i="36"/>
  <c r="BO20" i="36"/>
  <c r="BK20" i="36"/>
  <c r="BG20" i="36"/>
  <c r="BC20" i="36"/>
  <c r="AY20" i="36"/>
  <c r="BV20" i="36"/>
  <c r="BF20" i="36"/>
  <c r="BR20" i="36"/>
  <c r="BB20" i="36"/>
  <c r="BN20" i="36"/>
  <c r="BJ20" i="36"/>
  <c r="BU17" i="36"/>
  <c r="BQ17" i="36"/>
  <c r="BM17" i="36"/>
  <c r="BI17" i="36"/>
  <c r="BE17" i="36"/>
  <c r="BA17" i="36"/>
  <c r="BT17" i="36"/>
  <c r="BP17" i="36"/>
  <c r="BL17" i="36"/>
  <c r="BH17" i="36"/>
  <c r="BD17" i="36"/>
  <c r="AZ17" i="36"/>
  <c r="BS17" i="36"/>
  <c r="BO17" i="36"/>
  <c r="BK17" i="36"/>
  <c r="BG17" i="36"/>
  <c r="BC17" i="36"/>
  <c r="AY17" i="36"/>
  <c r="BV17" i="36"/>
  <c r="BF17" i="36"/>
  <c r="BR17" i="36"/>
  <c r="BB17" i="36"/>
  <c r="BN17" i="36"/>
  <c r="BJ17" i="36"/>
  <c r="BT6" i="36"/>
  <c r="BP6" i="36"/>
  <c r="BL6" i="36"/>
  <c r="BH6" i="36"/>
  <c r="BD6" i="36"/>
  <c r="AZ6" i="36"/>
  <c r="BS6" i="36"/>
  <c r="BN6" i="36"/>
  <c r="BI6" i="36"/>
  <c r="BC6" i="36"/>
  <c r="BJ6" i="36"/>
  <c r="BR6" i="36"/>
  <c r="BM6" i="36"/>
  <c r="BG6" i="36"/>
  <c r="BB6" i="36"/>
  <c r="BU6" i="36"/>
  <c r="BE6" i="36"/>
  <c r="BV6" i="36"/>
  <c r="BQ6" i="36"/>
  <c r="BK6" i="36"/>
  <c r="BF6" i="36"/>
  <c r="BA6" i="36"/>
  <c r="BO6" i="36"/>
  <c r="AY6" i="36"/>
  <c r="BH30" i="1"/>
  <c r="BG30" i="1"/>
  <c r="BH29" i="1"/>
  <c r="BG29" i="1"/>
  <c r="BH28" i="1"/>
  <c r="BG28" i="1"/>
  <c r="BH27" i="1"/>
  <c r="BG27" i="1"/>
  <c r="BH26" i="1"/>
  <c r="BG26" i="1"/>
  <c r="BH25" i="1"/>
  <c r="BG25" i="1"/>
  <c r="BH24" i="1"/>
  <c r="BG24" i="1"/>
  <c r="BH23" i="1"/>
  <c r="BG23" i="1"/>
  <c r="BH22" i="1"/>
  <c r="BH21" i="1"/>
  <c r="BG21" i="1"/>
  <c r="BH20" i="1"/>
  <c r="BG20" i="1"/>
  <c r="BH19" i="1"/>
  <c r="BG19" i="1"/>
  <c r="BH18" i="1"/>
  <c r="BG18" i="1"/>
  <c r="BH17" i="1"/>
  <c r="BG17" i="1"/>
  <c r="BH16" i="1"/>
  <c r="BG16" i="1"/>
  <c r="BH15" i="1"/>
  <c r="BG15" i="1"/>
  <c r="BH14" i="1"/>
  <c r="BG14" i="1"/>
  <c r="BH13" i="1"/>
  <c r="BG13" i="1"/>
  <c r="BH12" i="1"/>
  <c r="BG12" i="1"/>
  <c r="BH11" i="1"/>
  <c r="BG11" i="1"/>
  <c r="BH10" i="1"/>
  <c r="BG10" i="1"/>
  <c r="BH9" i="1"/>
  <c r="BG9" i="1"/>
  <c r="BH8" i="1"/>
  <c r="BG8" i="1"/>
  <c r="BH7" i="1"/>
  <c r="BG7" i="1"/>
  <c r="BH6" i="1"/>
  <c r="BG6" i="1"/>
  <c r="BH5" i="1"/>
  <c r="BG5" i="1"/>
  <c r="BH4" i="1"/>
  <c r="BG4" i="1"/>
  <c r="BH2" i="1"/>
  <c r="BG2" i="1"/>
  <c r="S68" i="28" l="1"/>
  <c r="S54" i="28"/>
  <c r="S67" i="28"/>
  <c r="S53" i="28"/>
  <c r="R9" i="28"/>
  <c r="Z7" i="28"/>
  <c r="S29" i="28"/>
  <c r="S18" i="28"/>
  <c r="S16" i="28"/>
  <c r="S14" i="28"/>
  <c r="S34" i="28" s="1"/>
  <c r="S7" i="28"/>
  <c r="S21" i="28"/>
  <c r="K9" i="28"/>
  <c r="N9" i="28"/>
  <c r="L7" i="28"/>
  <c r="M7" i="28"/>
  <c r="G23" i="28"/>
  <c r="G49" i="28" s="1"/>
  <c r="AA23" i="28"/>
  <c r="AA49" i="28" s="1"/>
  <c r="D23" i="28"/>
  <c r="D49" i="28" s="1"/>
  <c r="T23" i="28"/>
  <c r="T49" i="28" s="1"/>
  <c r="E23" i="28"/>
  <c r="E49" i="28" s="1"/>
  <c r="U23" i="28"/>
  <c r="U49" i="28" s="1"/>
  <c r="H23" i="28"/>
  <c r="H49" i="28" s="1"/>
  <c r="X23" i="28"/>
  <c r="X49" i="28" s="1"/>
  <c r="I23" i="28"/>
  <c r="I49" i="28" s="1"/>
  <c r="Y23" i="28"/>
  <c r="Y49" i="28" s="1"/>
  <c r="J23" i="28"/>
  <c r="J49" i="28" s="1"/>
  <c r="Z23" i="28"/>
  <c r="Z49" i="28" s="1"/>
  <c r="G18" i="28"/>
  <c r="AA18" i="28"/>
  <c r="H18" i="28"/>
  <c r="X18" i="28"/>
  <c r="I18" i="28"/>
  <c r="Y18" i="28"/>
  <c r="J18" i="28"/>
  <c r="Z18" i="28"/>
  <c r="J9" i="28"/>
  <c r="D9" i="28"/>
  <c r="T9" i="28"/>
  <c r="E9" i="28"/>
  <c r="U9" i="28"/>
  <c r="W14" i="28"/>
  <c r="W34" i="28" s="1"/>
  <c r="L14" i="28"/>
  <c r="L34" i="28" s="1"/>
  <c r="M14" i="28"/>
  <c r="M34" i="28" s="1"/>
  <c r="N14" i="28"/>
  <c r="N34" i="28" s="1"/>
  <c r="K16" i="28"/>
  <c r="D16" i="28"/>
  <c r="T16" i="28"/>
  <c r="E16" i="28"/>
  <c r="U16" i="28"/>
  <c r="F16" i="28"/>
  <c r="V16" i="28"/>
  <c r="N29" i="28"/>
  <c r="O29" i="28"/>
  <c r="P29" i="28"/>
  <c r="Q29" i="28"/>
  <c r="P21" i="28"/>
  <c r="Q21" i="28"/>
  <c r="R21" i="28"/>
  <c r="J5" i="28"/>
  <c r="H5" i="28"/>
  <c r="X5" i="28"/>
  <c r="R5" i="28"/>
  <c r="E5" i="28"/>
  <c r="U5" i="28"/>
  <c r="R29" i="28"/>
  <c r="D29" i="28"/>
  <c r="T29" i="28"/>
  <c r="E29" i="28"/>
  <c r="U29" i="28"/>
  <c r="AA7" i="28"/>
  <c r="H7" i="28"/>
  <c r="X7" i="28"/>
  <c r="I7" i="28"/>
  <c r="Y7" i="28"/>
  <c r="F2" i="31"/>
  <c r="F38" i="31" s="1"/>
  <c r="F31" i="31" s="1"/>
  <c r="J2" i="31"/>
  <c r="J38" i="31" s="1"/>
  <c r="J31" i="31" s="1"/>
  <c r="N2" i="31"/>
  <c r="N38" i="31" s="1"/>
  <c r="N31" i="31" s="1"/>
  <c r="R2" i="31"/>
  <c r="R38" i="31" s="1"/>
  <c r="R31" i="31" s="1"/>
  <c r="V2" i="31"/>
  <c r="V38" i="31" s="1"/>
  <c r="V31" i="31" s="1"/>
  <c r="Z2" i="31"/>
  <c r="G2" i="31"/>
  <c r="G38" i="31" s="1"/>
  <c r="G31" i="31" s="1"/>
  <c r="K2" i="31"/>
  <c r="K38" i="31" s="1"/>
  <c r="K31" i="31" s="1"/>
  <c r="O2" i="31"/>
  <c r="O38" i="31" s="1"/>
  <c r="O31" i="31" s="1"/>
  <c r="S2" i="31"/>
  <c r="S38" i="31" s="1"/>
  <c r="S31" i="31" s="1"/>
  <c r="W2" i="31"/>
  <c r="W38" i="31" s="1"/>
  <c r="W31" i="31" s="1"/>
  <c r="AA2" i="31"/>
  <c r="AA38" i="31" s="1"/>
  <c r="AA31" i="31" s="1"/>
  <c r="H2" i="31"/>
  <c r="H38" i="31" s="1"/>
  <c r="H31" i="31" s="1"/>
  <c r="L2" i="31"/>
  <c r="L38" i="31" s="1"/>
  <c r="L31" i="31" s="1"/>
  <c r="P2" i="31"/>
  <c r="P38" i="31" s="1"/>
  <c r="P31" i="31" s="1"/>
  <c r="T2" i="31"/>
  <c r="T38" i="31" s="1"/>
  <c r="T31" i="31" s="1"/>
  <c r="X2" i="31"/>
  <c r="X38" i="31" s="1"/>
  <c r="X31" i="31" s="1"/>
  <c r="E2" i="31"/>
  <c r="E38" i="31" s="1"/>
  <c r="E31" i="31" s="1"/>
  <c r="I2" i="31"/>
  <c r="I38" i="31" s="1"/>
  <c r="I31" i="31" s="1"/>
  <c r="M2" i="31"/>
  <c r="M38" i="31" s="1"/>
  <c r="M31" i="31" s="1"/>
  <c r="Q2" i="31"/>
  <c r="Q38" i="31" s="1"/>
  <c r="Q31" i="31" s="1"/>
  <c r="U2" i="31"/>
  <c r="U38" i="31" s="1"/>
  <c r="U31" i="31" s="1"/>
  <c r="Y2" i="31"/>
  <c r="Y38" i="31" s="1"/>
  <c r="Y31" i="31" s="1"/>
  <c r="Z9" i="28"/>
  <c r="O14" i="28"/>
  <c r="O34" i="28" s="1"/>
  <c r="V9" i="28"/>
  <c r="W9" i="28"/>
  <c r="O19" i="28"/>
  <c r="O42" i="28" s="1"/>
  <c r="O9" i="28"/>
  <c r="O13" i="28"/>
  <c r="O33" i="28" s="1"/>
  <c r="F23" i="28"/>
  <c r="F49" i="28" s="1"/>
  <c r="V23" i="28"/>
  <c r="V49" i="28" s="1"/>
  <c r="O18" i="28"/>
  <c r="K23" i="28"/>
  <c r="K49" i="28" s="1"/>
  <c r="V7" i="28"/>
  <c r="W7" i="28"/>
  <c r="W5" i="28"/>
  <c r="W13" i="28"/>
  <c r="W33" i="28" s="1"/>
  <c r="L13" i="28"/>
  <c r="L33" i="28" s="1"/>
  <c r="M13" i="28"/>
  <c r="M33" i="28" s="1"/>
  <c r="N13" i="28"/>
  <c r="N33" i="28" s="1"/>
  <c r="W19" i="28"/>
  <c r="W42" i="28" s="1"/>
  <c r="L19" i="28"/>
  <c r="L42" i="28" s="1"/>
  <c r="M19" i="28"/>
  <c r="M42" i="28" s="1"/>
  <c r="N19" i="28"/>
  <c r="N42" i="28" s="1"/>
  <c r="D10" i="28"/>
  <c r="D46" i="28" s="1"/>
  <c r="P9" i="28"/>
  <c r="Q9" i="28"/>
  <c r="F9" i="28"/>
  <c r="G9" i="28"/>
  <c r="G14" i="28"/>
  <c r="G34" i="28" s="1"/>
  <c r="AA14" i="28"/>
  <c r="AA34" i="28" s="1"/>
  <c r="H14" i="28"/>
  <c r="H34" i="28" s="1"/>
  <c r="X14" i="28"/>
  <c r="X34" i="28" s="1"/>
  <c r="I14" i="28"/>
  <c r="I34" i="28" s="1"/>
  <c r="Y14" i="28"/>
  <c r="Y34" i="28" s="1"/>
  <c r="J14" i="28"/>
  <c r="J34" i="28" s="1"/>
  <c r="Z14" i="28"/>
  <c r="Z34" i="28" s="1"/>
  <c r="P16" i="28"/>
  <c r="Q16" i="28"/>
  <c r="R16" i="28"/>
  <c r="O5" i="28"/>
  <c r="D5" i="28"/>
  <c r="T5" i="28"/>
  <c r="F5" i="28"/>
  <c r="Q5" i="28"/>
  <c r="G13" i="28"/>
  <c r="G33" i="28" s="1"/>
  <c r="AA13" i="28"/>
  <c r="AA33" i="28" s="1"/>
  <c r="H13" i="28"/>
  <c r="H33" i="28" s="1"/>
  <c r="X13" i="28"/>
  <c r="X33" i="28" s="1"/>
  <c r="I13" i="28"/>
  <c r="I33" i="28" s="1"/>
  <c r="Y13" i="28"/>
  <c r="Y33" i="28" s="1"/>
  <c r="J13" i="28"/>
  <c r="J33" i="28" s="1"/>
  <c r="Z13" i="28"/>
  <c r="Z33" i="28" s="1"/>
  <c r="G19" i="28"/>
  <c r="G42" i="28" s="1"/>
  <c r="AA19" i="28"/>
  <c r="AA42" i="28" s="1"/>
  <c r="H19" i="28"/>
  <c r="H42" i="28" s="1"/>
  <c r="X19" i="28"/>
  <c r="X42" i="28" s="1"/>
  <c r="I19" i="28"/>
  <c r="I42" i="28" s="1"/>
  <c r="Y19" i="28"/>
  <c r="Y42" i="28" s="1"/>
  <c r="J19" i="28"/>
  <c r="J42" i="28" s="1"/>
  <c r="Z19" i="28"/>
  <c r="Z42" i="28" s="1"/>
  <c r="W18" i="28"/>
  <c r="L18" i="28"/>
  <c r="M18" i="28"/>
  <c r="N18" i="28"/>
  <c r="K21" i="28"/>
  <c r="D21" i="28"/>
  <c r="T21" i="28"/>
  <c r="E21" i="28"/>
  <c r="U21" i="28"/>
  <c r="F21" i="28"/>
  <c r="V21" i="28"/>
  <c r="AA9" i="28"/>
  <c r="H9" i="28"/>
  <c r="X9" i="28"/>
  <c r="I9" i="28"/>
  <c r="Y9" i="28"/>
  <c r="P14" i="28"/>
  <c r="P34" i="28" s="1"/>
  <c r="Q14" i="28"/>
  <c r="Q34" i="28" s="1"/>
  <c r="R14" i="28"/>
  <c r="R34" i="28" s="1"/>
  <c r="L9" i="28"/>
  <c r="M9" i="28"/>
  <c r="K14" i="28"/>
  <c r="K34" i="28" s="1"/>
  <c r="D14" i="28"/>
  <c r="D34" i="28" s="1"/>
  <c r="T14" i="28"/>
  <c r="T34" i="28" s="1"/>
  <c r="E14" i="28"/>
  <c r="E34" i="28" s="1"/>
  <c r="U14" i="28"/>
  <c r="U34" i="28" s="1"/>
  <c r="F14" i="28"/>
  <c r="F34" i="28" s="1"/>
  <c r="V14" i="28"/>
  <c r="V34" i="28" s="1"/>
  <c r="G16" i="28"/>
  <c r="AA16" i="28"/>
  <c r="H16" i="28"/>
  <c r="X16" i="28"/>
  <c r="I16" i="28"/>
  <c r="Y16" i="28"/>
  <c r="J16" i="28"/>
  <c r="Z16" i="28"/>
  <c r="N5" i="28"/>
  <c r="G5" i="28"/>
  <c r="L5" i="28"/>
  <c r="Z5" i="28"/>
  <c r="I5" i="28"/>
  <c r="Y5" i="28"/>
  <c r="W16" i="28"/>
  <c r="O16" i="28"/>
  <c r="L16" i="28"/>
  <c r="M16" i="28"/>
  <c r="N16" i="28"/>
  <c r="V5" i="28"/>
  <c r="K5" i="28"/>
  <c r="AA5" i="28"/>
  <c r="P5" i="28"/>
  <c r="M5" i="28"/>
  <c r="N11" i="28"/>
  <c r="N39" i="28" s="1"/>
  <c r="O11" i="28"/>
  <c r="O39" i="28" s="1"/>
  <c r="P11" i="28"/>
  <c r="P39" i="28" s="1"/>
  <c r="Q11" i="28"/>
  <c r="Q39" i="28" s="1"/>
  <c r="R11" i="28"/>
  <c r="R39" i="28" s="1"/>
  <c r="S11" i="28"/>
  <c r="S39" i="28" s="1"/>
  <c r="D11" i="28"/>
  <c r="D39" i="28" s="1"/>
  <c r="T11" i="28"/>
  <c r="T39" i="28" s="1"/>
  <c r="E11" i="28"/>
  <c r="E39" i="28" s="1"/>
  <c r="U11" i="28"/>
  <c r="U39" i="28" s="1"/>
  <c r="P19" i="28"/>
  <c r="P42" i="28" s="1"/>
  <c r="Q19" i="28"/>
  <c r="Q42" i="28" s="1"/>
  <c r="R19" i="28"/>
  <c r="R42" i="28" s="1"/>
  <c r="F11" i="28"/>
  <c r="F39" i="28" s="1"/>
  <c r="V11" i="28"/>
  <c r="V39" i="28" s="1"/>
  <c r="G11" i="28"/>
  <c r="G39" i="28" s="1"/>
  <c r="W11" i="28"/>
  <c r="W39" i="28" s="1"/>
  <c r="H11" i="28"/>
  <c r="H39" i="28" s="1"/>
  <c r="X11" i="28"/>
  <c r="X39" i="28" s="1"/>
  <c r="I11" i="28"/>
  <c r="I39" i="28" s="1"/>
  <c r="Y11" i="28"/>
  <c r="Y39" i="28" s="1"/>
  <c r="K13" i="28"/>
  <c r="K33" i="28" s="1"/>
  <c r="D13" i="28"/>
  <c r="D33" i="28" s="1"/>
  <c r="T13" i="28"/>
  <c r="T33" i="28" s="1"/>
  <c r="E13" i="28"/>
  <c r="E33" i="28" s="1"/>
  <c r="U13" i="28"/>
  <c r="U33" i="28" s="1"/>
  <c r="F13" i="28"/>
  <c r="F33" i="28" s="1"/>
  <c r="V13" i="28"/>
  <c r="V33" i="28" s="1"/>
  <c r="K19" i="28"/>
  <c r="K42" i="28" s="1"/>
  <c r="D19" i="28"/>
  <c r="D42" i="28" s="1"/>
  <c r="T19" i="28"/>
  <c r="T42" i="28" s="1"/>
  <c r="E19" i="28"/>
  <c r="E42" i="28" s="1"/>
  <c r="U19" i="28"/>
  <c r="U42" i="28" s="1"/>
  <c r="F19" i="28"/>
  <c r="F42" i="28" s="1"/>
  <c r="V19" i="28"/>
  <c r="V42" i="28" s="1"/>
  <c r="J11" i="28"/>
  <c r="J39" i="28" s="1"/>
  <c r="Z11" i="28"/>
  <c r="Z39" i="28" s="1"/>
  <c r="K11" i="28"/>
  <c r="K39" i="28" s="1"/>
  <c r="AA11" i="28"/>
  <c r="AA39" i="28" s="1"/>
  <c r="L11" i="28"/>
  <c r="L39" i="28" s="1"/>
  <c r="M11" i="28"/>
  <c r="M39" i="28" s="1"/>
  <c r="N12" i="28"/>
  <c r="O12" i="28"/>
  <c r="P12" i="28"/>
  <c r="Q12" i="28"/>
  <c r="O15" i="28"/>
  <c r="O44" i="28" s="1"/>
  <c r="H15" i="28"/>
  <c r="H44" i="28" s="1"/>
  <c r="X15" i="28"/>
  <c r="X44" i="28" s="1"/>
  <c r="I15" i="28"/>
  <c r="I44" i="28" s="1"/>
  <c r="Y15" i="28"/>
  <c r="Y44" i="28" s="1"/>
  <c r="J15" i="28"/>
  <c r="J44" i="28" s="1"/>
  <c r="Z15" i="28"/>
  <c r="Z44" i="28" s="1"/>
  <c r="R12" i="28"/>
  <c r="S12" i="28"/>
  <c r="D12" i="28"/>
  <c r="T12" i="28"/>
  <c r="E12" i="28"/>
  <c r="U12" i="28"/>
  <c r="K15" i="28"/>
  <c r="K44" i="28" s="1"/>
  <c r="L15" i="28"/>
  <c r="L44" i="28" s="1"/>
  <c r="M15" i="28"/>
  <c r="M44" i="28" s="1"/>
  <c r="N15" i="28"/>
  <c r="N44" i="28" s="1"/>
  <c r="F12" i="28"/>
  <c r="V12" i="28"/>
  <c r="G12" i="28"/>
  <c r="W12" i="28"/>
  <c r="H12" i="28"/>
  <c r="X12" i="28"/>
  <c r="I12" i="28"/>
  <c r="Y12" i="28"/>
  <c r="G15" i="28"/>
  <c r="G44" i="28" s="1"/>
  <c r="AA15" i="28"/>
  <c r="AA44" i="28" s="1"/>
  <c r="P15" i="28"/>
  <c r="P44" i="28" s="1"/>
  <c r="Q15" i="28"/>
  <c r="Q44" i="28" s="1"/>
  <c r="R15" i="28"/>
  <c r="R44" i="28" s="1"/>
  <c r="J12" i="28"/>
  <c r="Z12" i="28"/>
  <c r="K12" i="28"/>
  <c r="AA12" i="28"/>
  <c r="L12" i="28"/>
  <c r="M12" i="28"/>
  <c r="S15" i="28"/>
  <c r="S44" i="28" s="1"/>
  <c r="W15" i="28"/>
  <c r="W44" i="28" s="1"/>
  <c r="D15" i="28"/>
  <c r="D44" i="28" s="1"/>
  <c r="T15" i="28"/>
  <c r="T44" i="28" s="1"/>
  <c r="E15" i="28"/>
  <c r="E44" i="28" s="1"/>
  <c r="U15" i="28"/>
  <c r="U44" i="28" s="1"/>
  <c r="F15" i="28"/>
  <c r="F44" i="28" s="1"/>
  <c r="V15" i="28"/>
  <c r="V44" i="28" s="1"/>
  <c r="R30" i="28"/>
  <c r="R35" i="28" s="1"/>
  <c r="V30" i="28"/>
  <c r="V35" i="28" s="1"/>
  <c r="Z30" i="28"/>
  <c r="Z35" i="28" s="1"/>
  <c r="G30" i="28"/>
  <c r="G35" i="28" s="1"/>
  <c r="W30" i="28"/>
  <c r="W35" i="28" s="1"/>
  <c r="H30" i="28"/>
  <c r="H35" i="28" s="1"/>
  <c r="X30" i="28"/>
  <c r="X35" i="28" s="1"/>
  <c r="I30" i="28"/>
  <c r="I35" i="28" s="1"/>
  <c r="Y30" i="28"/>
  <c r="Y35" i="28" s="1"/>
  <c r="K30" i="28"/>
  <c r="K35" i="28" s="1"/>
  <c r="AA30" i="28"/>
  <c r="AA35" i="28" s="1"/>
  <c r="L30" i="28"/>
  <c r="L35" i="28" s="1"/>
  <c r="M30" i="28"/>
  <c r="M35" i="28" s="1"/>
  <c r="P30" i="28"/>
  <c r="P35" i="28" s="1"/>
  <c r="Q30" i="28"/>
  <c r="Q35" i="28" s="1"/>
  <c r="F30" i="28"/>
  <c r="F35" i="28" s="1"/>
  <c r="J30" i="28"/>
  <c r="J35" i="28" s="1"/>
  <c r="S30" i="28"/>
  <c r="S35" i="28" s="1"/>
  <c r="D30" i="28"/>
  <c r="D35" i="28" s="1"/>
  <c r="T30" i="28"/>
  <c r="T35" i="28" s="1"/>
  <c r="E30" i="28"/>
  <c r="E35" i="28" s="1"/>
  <c r="U30" i="28"/>
  <c r="U35" i="28" s="1"/>
  <c r="J4" i="28"/>
  <c r="J40" i="28" s="1"/>
  <c r="G4" i="28"/>
  <c r="G40" i="28" s="1"/>
  <c r="W4" i="28"/>
  <c r="W40" i="28" s="1"/>
  <c r="R4" i="28"/>
  <c r="R40" i="28" s="1"/>
  <c r="D4" i="28"/>
  <c r="D40" i="28" s="1"/>
  <c r="T4" i="28"/>
  <c r="T40" i="28" s="1"/>
  <c r="N4" i="28"/>
  <c r="N40" i="28" s="1"/>
  <c r="I4" i="28"/>
  <c r="I40" i="28" s="1"/>
  <c r="Y4" i="28"/>
  <c r="Y40" i="28" s="1"/>
  <c r="V4" i="28"/>
  <c r="V40" i="28" s="1"/>
  <c r="K4" i="28"/>
  <c r="K40" i="28" s="1"/>
  <c r="AA4" i="28"/>
  <c r="AA40" i="28" s="1"/>
  <c r="H4" i="28"/>
  <c r="H40" i="28" s="1"/>
  <c r="X4" i="28"/>
  <c r="X40" i="28" s="1"/>
  <c r="Z4" i="28"/>
  <c r="Z40" i="28" s="1"/>
  <c r="M4" i="28"/>
  <c r="M40" i="28" s="1"/>
  <c r="O4" i="28"/>
  <c r="O40" i="28" s="1"/>
  <c r="L4" i="28"/>
  <c r="L40" i="28" s="1"/>
  <c r="Q4" i="28"/>
  <c r="Q40" i="28" s="1"/>
  <c r="S4" i="28"/>
  <c r="S40" i="28" s="1"/>
  <c r="F4" i="28"/>
  <c r="F40" i="28" s="1"/>
  <c r="P4" i="28"/>
  <c r="P40" i="28" s="1"/>
  <c r="E4" i="28"/>
  <c r="E40" i="28" s="1"/>
  <c r="U4" i="28"/>
  <c r="U40" i="28" s="1"/>
  <c r="N28" i="28"/>
  <c r="N43" i="28" s="1"/>
  <c r="O28" i="28"/>
  <c r="O43" i="28" s="1"/>
  <c r="P28" i="28"/>
  <c r="P43" i="28" s="1"/>
  <c r="Q28" i="28"/>
  <c r="Q43" i="28" s="1"/>
  <c r="R28" i="28"/>
  <c r="R43" i="28" s="1"/>
  <c r="S28" i="28"/>
  <c r="S43" i="28" s="1"/>
  <c r="D28" i="28"/>
  <c r="D43" i="28" s="1"/>
  <c r="T28" i="28"/>
  <c r="T43" i="28" s="1"/>
  <c r="E28" i="28"/>
  <c r="E43" i="28" s="1"/>
  <c r="U28" i="28"/>
  <c r="U43" i="28" s="1"/>
  <c r="F28" i="28"/>
  <c r="F43" i="28" s="1"/>
  <c r="V28" i="28"/>
  <c r="V43" i="28" s="1"/>
  <c r="G28" i="28"/>
  <c r="G43" i="28" s="1"/>
  <c r="W28" i="28"/>
  <c r="W43" i="28" s="1"/>
  <c r="H28" i="28"/>
  <c r="H43" i="28" s="1"/>
  <c r="X28" i="28"/>
  <c r="X43" i="28" s="1"/>
  <c r="I28" i="28"/>
  <c r="I43" i="28" s="1"/>
  <c r="Y28" i="28"/>
  <c r="Y43" i="28" s="1"/>
  <c r="J28" i="28"/>
  <c r="J43" i="28" s="1"/>
  <c r="Z28" i="28"/>
  <c r="Z43" i="28" s="1"/>
  <c r="K28" i="28"/>
  <c r="K43" i="28" s="1"/>
  <c r="AA28" i="28"/>
  <c r="AA43" i="28" s="1"/>
  <c r="L28" i="28"/>
  <c r="L43" i="28" s="1"/>
  <c r="M28" i="28"/>
  <c r="M43" i="28" s="1"/>
  <c r="N30" i="28"/>
  <c r="N35" i="28" s="1"/>
  <c r="O30" i="28"/>
  <c r="O35" i="28" s="1"/>
  <c r="P13" i="28"/>
  <c r="P33" i="28" s="1"/>
  <c r="Q13" i="28"/>
  <c r="Q33" i="28" s="1"/>
  <c r="R13" i="28"/>
  <c r="R33" i="28" s="1"/>
  <c r="J29" i="28"/>
  <c r="Z29" i="28"/>
  <c r="K29" i="28"/>
  <c r="AA29" i="28"/>
  <c r="L29" i="28"/>
  <c r="M29" i="28"/>
  <c r="J7" i="28"/>
  <c r="R7" i="28"/>
  <c r="D7" i="28"/>
  <c r="T7" i="28"/>
  <c r="E7" i="28"/>
  <c r="U7" i="28"/>
  <c r="F7" i="28"/>
  <c r="G7" i="28"/>
  <c r="W23" i="28"/>
  <c r="W49" i="28" s="1"/>
  <c r="S23" i="28"/>
  <c r="S49" i="28" s="1"/>
  <c r="F29" i="28"/>
  <c r="V29" i="28"/>
  <c r="G29" i="28"/>
  <c r="W29" i="28"/>
  <c r="H29" i="28"/>
  <c r="X29" i="28"/>
  <c r="I29" i="28"/>
  <c r="Y29" i="28"/>
  <c r="K7" i="28"/>
  <c r="N7" i="28"/>
  <c r="O7" i="28"/>
  <c r="P7" i="28"/>
  <c r="Q7" i="28"/>
  <c r="P23" i="28"/>
  <c r="P49" i="28" s="1"/>
  <c r="Q23" i="28"/>
  <c r="Q49" i="28" s="1"/>
  <c r="R23" i="28"/>
  <c r="R49" i="28" s="1"/>
  <c r="O23" i="28"/>
  <c r="O49" i="28" s="1"/>
  <c r="L23" i="28"/>
  <c r="L49" i="28" s="1"/>
  <c r="M23" i="28"/>
  <c r="M49" i="28" s="1"/>
  <c r="N23" i="28"/>
  <c r="N49" i="28" s="1"/>
  <c r="K18" i="28"/>
  <c r="D18" i="28"/>
  <c r="T18" i="28"/>
  <c r="E18" i="28"/>
  <c r="U18" i="28"/>
  <c r="F18" i="28"/>
  <c r="V18" i="28"/>
  <c r="W21" i="28"/>
  <c r="O21" i="28"/>
  <c r="L21" i="28"/>
  <c r="M21" i="28"/>
  <c r="N21" i="28"/>
  <c r="F6" i="28"/>
  <c r="F47" i="28" s="1"/>
  <c r="AA6" i="28"/>
  <c r="AA47" i="28" s="1"/>
  <c r="J6" i="28"/>
  <c r="J47" i="28" s="1"/>
  <c r="L6" i="28"/>
  <c r="L47" i="28" s="1"/>
  <c r="O6" i="28"/>
  <c r="O47" i="28" s="1"/>
  <c r="N6" i="28"/>
  <c r="N47" i="28" s="1"/>
  <c r="E6" i="28"/>
  <c r="E47" i="28" s="1"/>
  <c r="U6" i="28"/>
  <c r="U47" i="28" s="1"/>
  <c r="D6" i="28"/>
  <c r="D47" i="28" s="1"/>
  <c r="K6" i="28"/>
  <c r="K47" i="28" s="1"/>
  <c r="K45" i="28" s="1"/>
  <c r="Z6" i="28"/>
  <c r="Z47" i="28" s="1"/>
  <c r="R6" i="28"/>
  <c r="R47" i="28" s="1"/>
  <c r="S6" i="28"/>
  <c r="S47" i="28" s="1"/>
  <c r="I6" i="28"/>
  <c r="I47" i="28" s="1"/>
  <c r="Y6" i="28"/>
  <c r="Y47" i="28" s="1"/>
  <c r="O17" i="28"/>
  <c r="H17" i="28"/>
  <c r="X17" i="28"/>
  <c r="I17" i="28"/>
  <c r="Y17" i="28"/>
  <c r="J17" i="28"/>
  <c r="Z17" i="28"/>
  <c r="O20" i="28"/>
  <c r="H20" i="28"/>
  <c r="X20" i="28"/>
  <c r="I20" i="28"/>
  <c r="Y20" i="28"/>
  <c r="J20" i="28"/>
  <c r="Z20" i="28"/>
  <c r="G22" i="28"/>
  <c r="G37" i="28" s="1"/>
  <c r="AA22" i="28"/>
  <c r="AA37" i="28" s="1"/>
  <c r="P22" i="28"/>
  <c r="P37" i="28" s="1"/>
  <c r="Q22" i="28"/>
  <c r="Q37" i="28" s="1"/>
  <c r="R22" i="28"/>
  <c r="R37" i="28" s="1"/>
  <c r="T6" i="28"/>
  <c r="T47" i="28" s="1"/>
  <c r="P6" i="28"/>
  <c r="P47" i="28" s="1"/>
  <c r="W6" i="28"/>
  <c r="W47" i="28" s="1"/>
  <c r="X6" i="28"/>
  <c r="X47" i="28" s="1"/>
  <c r="M6" i="28"/>
  <c r="M47" i="28" s="1"/>
  <c r="P18" i="28"/>
  <c r="Q18" i="28"/>
  <c r="R18" i="28"/>
  <c r="G21" i="28"/>
  <c r="AA21" i="28"/>
  <c r="H21" i="28"/>
  <c r="X21" i="28"/>
  <c r="I21" i="28"/>
  <c r="Y21" i="28"/>
  <c r="J21" i="28"/>
  <c r="Z21" i="28"/>
  <c r="V6" i="28"/>
  <c r="V47" i="28" s="1"/>
  <c r="G6" i="28"/>
  <c r="G47" i="28" s="1"/>
  <c r="H6" i="28"/>
  <c r="H47" i="28" s="1"/>
  <c r="Q6" i="28"/>
  <c r="Q47" i="28" s="1"/>
  <c r="K17" i="28"/>
  <c r="L17" i="28"/>
  <c r="M17" i="28"/>
  <c r="N17" i="28"/>
  <c r="K20" i="28"/>
  <c r="L20" i="28"/>
  <c r="M20" i="28"/>
  <c r="N20" i="28"/>
  <c r="S22" i="28"/>
  <c r="S37" i="28" s="1"/>
  <c r="W22" i="28"/>
  <c r="W37" i="28" s="1"/>
  <c r="D22" i="28"/>
  <c r="D37" i="28" s="1"/>
  <c r="T22" i="28"/>
  <c r="T37" i="28" s="1"/>
  <c r="E22" i="28"/>
  <c r="E37" i="28" s="1"/>
  <c r="U22" i="28"/>
  <c r="U37" i="28" s="1"/>
  <c r="F22" i="28"/>
  <c r="F37" i="28" s="1"/>
  <c r="V22" i="28"/>
  <c r="V37" i="28" s="1"/>
  <c r="G17" i="28"/>
  <c r="AA17" i="28"/>
  <c r="P17" i="28"/>
  <c r="Q17" i="28"/>
  <c r="R17" i="28"/>
  <c r="G20" i="28"/>
  <c r="AA20" i="28"/>
  <c r="P20" i="28"/>
  <c r="Q20" i="28"/>
  <c r="R20" i="28"/>
  <c r="O22" i="28"/>
  <c r="O37" i="28" s="1"/>
  <c r="H22" i="28"/>
  <c r="H37" i="28" s="1"/>
  <c r="X22" i="28"/>
  <c r="X37" i="28" s="1"/>
  <c r="I22" i="28"/>
  <c r="I37" i="28" s="1"/>
  <c r="Y22" i="28"/>
  <c r="Y37" i="28" s="1"/>
  <c r="J22" i="28"/>
  <c r="J37" i="28" s="1"/>
  <c r="Z22" i="28"/>
  <c r="Z37" i="28" s="1"/>
  <c r="R26" i="28"/>
  <c r="R36" i="28" s="1"/>
  <c r="S26" i="28"/>
  <c r="S36" i="28" s="1"/>
  <c r="D26" i="28"/>
  <c r="D36" i="28" s="1"/>
  <c r="T26" i="28"/>
  <c r="T36" i="28" s="1"/>
  <c r="E26" i="28"/>
  <c r="E36" i="28" s="1"/>
  <c r="U26" i="28"/>
  <c r="U36" i="28" s="1"/>
  <c r="F8" i="28"/>
  <c r="F41" i="28" s="1"/>
  <c r="G8" i="28"/>
  <c r="G41" i="28" s="1"/>
  <c r="L8" i="28"/>
  <c r="L41" i="28" s="1"/>
  <c r="M8" i="28"/>
  <c r="M41" i="28" s="1"/>
  <c r="J10" i="28"/>
  <c r="J46" i="28" s="1"/>
  <c r="J45" i="28" s="1"/>
  <c r="Z10" i="28"/>
  <c r="Z46" i="28" s="1"/>
  <c r="Z45" i="28" s="1"/>
  <c r="K10" i="28"/>
  <c r="K46" i="28" s="1"/>
  <c r="AA10" i="28"/>
  <c r="AA46" i="28" s="1"/>
  <c r="L10" i="28"/>
  <c r="L46" i="28" s="1"/>
  <c r="L45" i="28" s="1"/>
  <c r="M10" i="28"/>
  <c r="M46" i="28" s="1"/>
  <c r="M45" i="28" s="1"/>
  <c r="F26" i="28"/>
  <c r="F36" i="28" s="1"/>
  <c r="V26" i="28"/>
  <c r="V36" i="28" s="1"/>
  <c r="G26" i="28"/>
  <c r="G36" i="28" s="1"/>
  <c r="W26" i="28"/>
  <c r="W36" i="28" s="1"/>
  <c r="H26" i="28"/>
  <c r="H36" i="28" s="1"/>
  <c r="X26" i="28"/>
  <c r="X36" i="28" s="1"/>
  <c r="I26" i="28"/>
  <c r="I36" i="28" s="1"/>
  <c r="Y26" i="28"/>
  <c r="Y36" i="28" s="1"/>
  <c r="K8" i="28"/>
  <c r="K41" i="28" s="1"/>
  <c r="N8" i="28"/>
  <c r="N41" i="28" s="1"/>
  <c r="O8" i="28"/>
  <c r="O41" i="28" s="1"/>
  <c r="P8" i="28"/>
  <c r="P41" i="28" s="1"/>
  <c r="Q8" i="28"/>
  <c r="Q41" i="28" s="1"/>
  <c r="N10" i="28"/>
  <c r="N46" i="28" s="1"/>
  <c r="N45" i="28" s="1"/>
  <c r="O10" i="28"/>
  <c r="O46" i="28" s="1"/>
  <c r="O45" i="28" s="1"/>
  <c r="P10" i="28"/>
  <c r="P46" i="28" s="1"/>
  <c r="P45" i="28" s="1"/>
  <c r="Q10" i="28"/>
  <c r="Q46" i="28" s="1"/>
  <c r="Q45" i="28" s="1"/>
  <c r="S17" i="28"/>
  <c r="W17" i="28"/>
  <c r="D17" i="28"/>
  <c r="T17" i="28"/>
  <c r="E17" i="28"/>
  <c r="U17" i="28"/>
  <c r="F17" i="28"/>
  <c r="V17" i="28"/>
  <c r="S20" i="28"/>
  <c r="W20" i="28"/>
  <c r="O2" i="28"/>
  <c r="O38" i="28" s="1"/>
  <c r="P2" i="28"/>
  <c r="P38" i="28" s="1"/>
  <c r="S2" i="28"/>
  <c r="S38" i="28" s="1"/>
  <c r="M2" i="28"/>
  <c r="M38" i="28" s="1"/>
  <c r="N2" i="28"/>
  <c r="N38" i="28" s="1"/>
  <c r="D2" i="28"/>
  <c r="D38" i="28" s="1"/>
  <c r="T2" i="28"/>
  <c r="T38" i="28" s="1"/>
  <c r="D20" i="28"/>
  <c r="T20" i="28"/>
  <c r="E20" i="28"/>
  <c r="U20" i="28"/>
  <c r="F20" i="28"/>
  <c r="V20" i="28"/>
  <c r="K22" i="28"/>
  <c r="K37" i="28" s="1"/>
  <c r="L22" i="28"/>
  <c r="L37" i="28" s="1"/>
  <c r="M22" i="28"/>
  <c r="M37" i="28" s="1"/>
  <c r="N22" i="28"/>
  <c r="N37" i="28" s="1"/>
  <c r="J26" i="28"/>
  <c r="J36" i="28" s="1"/>
  <c r="Z26" i="28"/>
  <c r="Z36" i="28" s="1"/>
  <c r="K26" i="28"/>
  <c r="K36" i="28" s="1"/>
  <c r="AA26" i="28"/>
  <c r="AA36" i="28" s="1"/>
  <c r="L26" i="28"/>
  <c r="L36" i="28" s="1"/>
  <c r="M26" i="28"/>
  <c r="M36" i="28" s="1"/>
  <c r="S8" i="28"/>
  <c r="S41" i="28" s="1"/>
  <c r="R8" i="28"/>
  <c r="R41" i="28" s="1"/>
  <c r="V8" i="28"/>
  <c r="V41" i="28" s="1"/>
  <c r="Z8" i="28"/>
  <c r="Z41" i="28" s="1"/>
  <c r="W8" i="28"/>
  <c r="W41" i="28" s="1"/>
  <c r="D8" i="28"/>
  <c r="D41" i="28" s="1"/>
  <c r="T8" i="28"/>
  <c r="T41" i="28" s="1"/>
  <c r="E8" i="28"/>
  <c r="E41" i="28" s="1"/>
  <c r="U8" i="28"/>
  <c r="U41" i="28" s="1"/>
  <c r="N26" i="28"/>
  <c r="N36" i="28" s="1"/>
  <c r="O26" i="28"/>
  <c r="O36" i="28" s="1"/>
  <c r="P26" i="28"/>
  <c r="P36" i="28" s="1"/>
  <c r="Q26" i="28"/>
  <c r="Q36" i="28" s="1"/>
  <c r="J8" i="28"/>
  <c r="J41" i="28" s="1"/>
  <c r="AA8" i="28"/>
  <c r="AA41" i="28" s="1"/>
  <c r="H8" i="28"/>
  <c r="H41" i="28" s="1"/>
  <c r="X8" i="28"/>
  <c r="X41" i="28" s="1"/>
  <c r="I8" i="28"/>
  <c r="I41" i="28" s="1"/>
  <c r="Y8" i="28"/>
  <c r="Y41" i="28" s="1"/>
  <c r="N27" i="28"/>
  <c r="O27" i="28"/>
  <c r="P27" i="28"/>
  <c r="Q27" i="28"/>
  <c r="R27" i="28"/>
  <c r="S27" i="28"/>
  <c r="D27" i="28"/>
  <c r="T27" i="28"/>
  <c r="E27" i="28"/>
  <c r="U27" i="28"/>
  <c r="R10" i="28"/>
  <c r="R46" i="28" s="1"/>
  <c r="R45" i="28" s="1"/>
  <c r="S10" i="28"/>
  <c r="S46" i="28" s="1"/>
  <c r="T10" i="28"/>
  <c r="T46" i="28" s="1"/>
  <c r="T45" i="28" s="1"/>
  <c r="E10" i="28"/>
  <c r="E46" i="28" s="1"/>
  <c r="E45" i="28" s="1"/>
  <c r="U10" i="28"/>
  <c r="U46" i="28" s="1"/>
  <c r="U45" i="28" s="1"/>
  <c r="F10" i="28"/>
  <c r="F46" i="28" s="1"/>
  <c r="F45" i="28" s="1"/>
  <c r="V10" i="28"/>
  <c r="V46" i="28" s="1"/>
  <c r="V45" i="28" s="1"/>
  <c r="G10" i="28"/>
  <c r="G46" i="28" s="1"/>
  <c r="W10" i="28"/>
  <c r="W46" i="28" s="1"/>
  <c r="H10" i="28"/>
  <c r="H46" i="28" s="1"/>
  <c r="X10" i="28"/>
  <c r="X46" i="28" s="1"/>
  <c r="I10" i="28"/>
  <c r="I46" i="28" s="1"/>
  <c r="I45" i="28" s="1"/>
  <c r="Y10" i="28"/>
  <c r="Y46" i="28" s="1"/>
  <c r="Y45" i="28" s="1"/>
  <c r="E2" i="28"/>
  <c r="E38" i="28" s="1"/>
  <c r="F2" i="28"/>
  <c r="F38" i="28" s="1"/>
  <c r="I2" i="28"/>
  <c r="I38" i="28" s="1"/>
  <c r="J2" i="28"/>
  <c r="J38" i="28" s="1"/>
  <c r="G2" i="28"/>
  <c r="G38" i="28" s="1"/>
  <c r="W2" i="28"/>
  <c r="W38" i="28" s="1"/>
  <c r="U2" i="28"/>
  <c r="U38" i="28" s="1"/>
  <c r="Z2" i="28"/>
  <c r="Z38" i="28" s="1"/>
  <c r="H2" i="28"/>
  <c r="H38" i="28" s="1"/>
  <c r="X2" i="28"/>
  <c r="X38" i="28" s="1"/>
  <c r="Q2" i="28"/>
  <c r="Q38" i="28" s="1"/>
  <c r="R2" i="28"/>
  <c r="R38" i="28" s="1"/>
  <c r="Y2" i="28"/>
  <c r="Y38" i="28" s="1"/>
  <c r="V2" i="28"/>
  <c r="V38" i="28" s="1"/>
  <c r="K2" i="28"/>
  <c r="K38" i="28" s="1"/>
  <c r="AA2" i="28"/>
  <c r="AA38" i="28" s="1"/>
  <c r="L2" i="28"/>
  <c r="L38" i="28" s="1"/>
  <c r="F27" i="28"/>
  <c r="V27" i="28"/>
  <c r="G27" i="28"/>
  <c r="W27" i="28"/>
  <c r="H27" i="28"/>
  <c r="X27" i="28"/>
  <c r="I27" i="28"/>
  <c r="Y27" i="28"/>
  <c r="J27" i="28"/>
  <c r="Z27" i="28"/>
  <c r="K27" i="28"/>
  <c r="AA27" i="28"/>
  <c r="L27" i="28"/>
  <c r="M27" i="28"/>
  <c r="AC3" i="28"/>
  <c r="AC32" i="28" s="1"/>
  <c r="AN13" i="28"/>
  <c r="AN33" i="28" s="1"/>
  <c r="AF26" i="28"/>
  <c r="AF36" i="28" s="1"/>
  <c r="AT26" i="28"/>
  <c r="AT36" i="28" s="1"/>
  <c r="AE22" i="28"/>
  <c r="AE37" i="28" s="1"/>
  <c r="AR7" i="28"/>
  <c r="AH9" i="28"/>
  <c r="AX9" i="28"/>
  <c r="AQ9" i="28"/>
  <c r="AJ9" i="28"/>
  <c r="AZ9" i="28"/>
  <c r="AO9" i="28"/>
  <c r="AP5" i="28"/>
  <c r="AI5" i="28"/>
  <c r="AY5" i="28"/>
  <c r="AR5" i="28"/>
  <c r="AG5" i="28"/>
  <c r="AW5" i="28"/>
  <c r="AU13" i="28"/>
  <c r="AU33" i="28" s="1"/>
  <c r="AL13" i="28"/>
  <c r="AL33" i="28" s="1"/>
  <c r="AK26" i="28"/>
  <c r="AK36" i="28" s="1"/>
  <c r="AM22" i="28"/>
  <c r="AM37" i="28" s="1"/>
  <c r="AV22" i="28"/>
  <c r="AV37" i="28" s="1"/>
  <c r="AP7" i="28"/>
  <c r="AG7" i="28"/>
  <c r="AI13" i="28"/>
  <c r="AI33" i="28" s="1"/>
  <c r="AY13" i="28"/>
  <c r="AY33" i="28" s="1"/>
  <c r="AR13" i="28"/>
  <c r="AR33" i="28" s="1"/>
  <c r="AG13" i="28"/>
  <c r="AG33" i="28" s="1"/>
  <c r="AW13" i="28"/>
  <c r="AW33" i="28" s="1"/>
  <c r="AP13" i="28"/>
  <c r="AP33" i="28" s="1"/>
  <c r="AQ26" i="28"/>
  <c r="AQ36" i="28" s="1"/>
  <c r="AJ26" i="28"/>
  <c r="AJ36" i="28" s="1"/>
  <c r="AZ26" i="28"/>
  <c r="AZ36" i="28" s="1"/>
  <c r="AO26" i="28"/>
  <c r="AO36" i="28" s="1"/>
  <c r="AH26" i="28"/>
  <c r="AH36" i="28" s="1"/>
  <c r="AX26" i="28"/>
  <c r="AX36" i="28" s="1"/>
  <c r="AS22" i="28"/>
  <c r="AS37" i="28" s="1"/>
  <c r="AO22" i="28"/>
  <c r="AO37" i="28" s="1"/>
  <c r="AK22" i="28"/>
  <c r="AK37" i="28" s="1"/>
  <c r="AL22" i="28"/>
  <c r="AL37" i="28" s="1"/>
  <c r="AJ22" i="28"/>
  <c r="AJ37" i="28" s="1"/>
  <c r="AZ22" i="28"/>
  <c r="AZ37" i="28" s="1"/>
  <c r="AD7" i="28"/>
  <c r="AT7" i="28"/>
  <c r="AM7" i="28"/>
  <c r="AF7" i="28"/>
  <c r="AV7" i="28"/>
  <c r="AK7" i="28"/>
  <c r="AL9" i="28"/>
  <c r="AE9" i="28"/>
  <c r="AU9" i="28"/>
  <c r="AN9" i="28"/>
  <c r="AC9" i="28"/>
  <c r="AS9" i="28"/>
  <c r="AD5" i="28"/>
  <c r="AT5" i="28"/>
  <c r="AM5" i="28"/>
  <c r="AF5" i="28"/>
  <c r="AV5" i="28"/>
  <c r="AK5" i="28"/>
  <c r="AC13" i="28"/>
  <c r="AC33" i="28" s="1"/>
  <c r="AM26" i="28"/>
  <c r="AM36" i="28" s="1"/>
  <c r="AD26" i="28"/>
  <c r="AD36" i="28" s="1"/>
  <c r="AG22" i="28"/>
  <c r="AG37" i="28" s="1"/>
  <c r="AY7" i="28"/>
  <c r="AM13" i="28"/>
  <c r="AM33" i="28" s="1"/>
  <c r="AF13" i="28"/>
  <c r="AF33" i="28" s="1"/>
  <c r="AV13" i="28"/>
  <c r="AV33" i="28" s="1"/>
  <c r="AK13" i="28"/>
  <c r="AK33" i="28" s="1"/>
  <c r="AD13" i="28"/>
  <c r="AD33" i="28" s="1"/>
  <c r="AT13" i="28"/>
  <c r="AT33" i="28" s="1"/>
  <c r="AE26" i="28"/>
  <c r="AE36" i="28" s="1"/>
  <c r="AU26" i="28"/>
  <c r="AU36" i="28" s="1"/>
  <c r="AN26" i="28"/>
  <c r="AN36" i="28" s="1"/>
  <c r="AC26" i="28"/>
  <c r="AC36" i="28" s="1"/>
  <c r="AS26" i="28"/>
  <c r="AS36" i="28" s="1"/>
  <c r="AL26" i="28"/>
  <c r="AL36" i="28" s="1"/>
  <c r="AC22" i="28"/>
  <c r="AC37" i="28" s="1"/>
  <c r="AX22" i="28"/>
  <c r="AX37" i="28" s="1"/>
  <c r="AT22" i="28"/>
  <c r="AT37" i="28" s="1"/>
  <c r="AP22" i="28"/>
  <c r="AP37" i="28" s="1"/>
  <c r="AQ22" i="28"/>
  <c r="AQ37" i="28" s="1"/>
  <c r="AN22" i="28"/>
  <c r="AN37" i="28" s="1"/>
  <c r="AH7" i="28"/>
  <c r="AX7" i="28"/>
  <c r="AQ7" i="28"/>
  <c r="AJ7" i="28"/>
  <c r="AZ7" i="28"/>
  <c r="AO7" i="28"/>
  <c r="AP9" i="28"/>
  <c r="AI9" i="28"/>
  <c r="AY9" i="28"/>
  <c r="AR9" i="28"/>
  <c r="AG9" i="28"/>
  <c r="AW9" i="28"/>
  <c r="AH5" i="28"/>
  <c r="AX5" i="28"/>
  <c r="AQ5" i="28"/>
  <c r="AJ5" i="28"/>
  <c r="AZ5" i="28"/>
  <c r="AO5" i="28"/>
  <c r="AW8" i="28"/>
  <c r="AW41" i="28" s="1"/>
  <c r="AS8" i="28"/>
  <c r="AS41" i="28" s="1"/>
  <c r="AO8" i="28"/>
  <c r="AO41" i="28" s="1"/>
  <c r="AK8" i="28"/>
  <c r="AK41" i="28" s="1"/>
  <c r="AG8" i="28"/>
  <c r="AG41" i="28" s="1"/>
  <c r="AC8" i="28"/>
  <c r="AC41" i="28" s="1"/>
  <c r="AZ8" i="28"/>
  <c r="AZ41" i="28" s="1"/>
  <c r="AV8" i="28"/>
  <c r="AV41" i="28" s="1"/>
  <c r="AR8" i="28"/>
  <c r="AR41" i="28" s="1"/>
  <c r="AN8" i="28"/>
  <c r="AN41" i="28" s="1"/>
  <c r="AJ8" i="28"/>
  <c r="AJ41" i="28" s="1"/>
  <c r="AF8" i="28"/>
  <c r="AF41" i="28" s="1"/>
  <c r="AY8" i="28"/>
  <c r="AY41" i="28" s="1"/>
  <c r="AU8" i="28"/>
  <c r="AU41" i="28" s="1"/>
  <c r="AQ8" i="28"/>
  <c r="AQ41" i="28" s="1"/>
  <c r="AM8" i="28"/>
  <c r="AM41" i="28" s="1"/>
  <c r="AI8" i="28"/>
  <c r="AI41" i="28" s="1"/>
  <c r="AE8" i="28"/>
  <c r="AE41" i="28" s="1"/>
  <c r="AX8" i="28"/>
  <c r="AX41" i="28" s="1"/>
  <c r="AT8" i="28"/>
  <c r="AT41" i="28" s="1"/>
  <c r="AP8" i="28"/>
  <c r="AP41" i="28" s="1"/>
  <c r="AL8" i="28"/>
  <c r="AL41" i="28" s="1"/>
  <c r="AH8" i="28"/>
  <c r="AH41" i="28" s="1"/>
  <c r="AD8" i="28"/>
  <c r="AD41" i="28" s="1"/>
  <c r="AE13" i="28"/>
  <c r="AE33" i="28" s="1"/>
  <c r="AS13" i="28"/>
  <c r="AS33" i="28" s="1"/>
  <c r="AV26" i="28"/>
  <c r="AV36" i="28" s="1"/>
  <c r="AI22" i="28"/>
  <c r="AI37" i="28" s="1"/>
  <c r="AF22" i="28"/>
  <c r="AF37" i="28" s="1"/>
  <c r="AI7" i="28"/>
  <c r="AW7" i="28"/>
  <c r="AQ13" i="28"/>
  <c r="AQ33" i="28" s="1"/>
  <c r="AJ13" i="28"/>
  <c r="AJ33" i="28" s="1"/>
  <c r="AZ13" i="28"/>
  <c r="AZ33" i="28" s="1"/>
  <c r="AO13" i="28"/>
  <c r="AO33" i="28" s="1"/>
  <c r="AH13" i="28"/>
  <c r="AH33" i="28" s="1"/>
  <c r="AX13" i="28"/>
  <c r="AX33" i="28" s="1"/>
  <c r="AI26" i="28"/>
  <c r="AI36" i="28" s="1"/>
  <c r="AY26" i="28"/>
  <c r="AY36" i="28" s="1"/>
  <c r="AR26" i="28"/>
  <c r="AR36" i="28" s="1"/>
  <c r="AG26" i="28"/>
  <c r="AG36" i="28" s="1"/>
  <c r="AW26" i="28"/>
  <c r="AW36" i="28" s="1"/>
  <c r="AP26" i="28"/>
  <c r="AP36" i="28" s="1"/>
  <c r="AH22" i="28"/>
  <c r="AH37" i="28" s="1"/>
  <c r="AD22" i="28"/>
  <c r="AD37" i="28" s="1"/>
  <c r="AY22" i="28"/>
  <c r="AY37" i="28" s="1"/>
  <c r="AU22" i="28"/>
  <c r="AU37" i="28" s="1"/>
  <c r="AW22" i="28"/>
  <c r="AW37" i="28" s="1"/>
  <c r="AR22" i="28"/>
  <c r="AR37" i="28" s="1"/>
  <c r="AL7" i="28"/>
  <c r="AE7" i="28"/>
  <c r="AU7" i="28"/>
  <c r="AN7" i="28"/>
  <c r="AC7" i="28"/>
  <c r="AS7" i="28"/>
  <c r="AD9" i="28"/>
  <c r="AT9" i="28"/>
  <c r="AM9" i="28"/>
  <c r="AF9" i="28"/>
  <c r="AV9" i="28"/>
  <c r="AK9" i="28"/>
  <c r="AL5" i="28"/>
  <c r="AE5" i="28"/>
  <c r="AU5" i="28"/>
  <c r="AN5" i="28"/>
  <c r="AC5" i="28"/>
  <c r="AS5" i="28"/>
  <c r="H3" i="28"/>
  <c r="H32" i="28" s="1"/>
  <c r="AG3" i="28"/>
  <c r="AG32" i="28" s="1"/>
  <c r="L3" i="28"/>
  <c r="L32" i="28" s="1"/>
  <c r="L31" i="28" s="1"/>
  <c r="AK3" i="28"/>
  <c r="AK32" i="28" s="1"/>
  <c r="P3" i="28"/>
  <c r="P32" i="28" s="1"/>
  <c r="AO3" i="28"/>
  <c r="AO32" i="28" s="1"/>
  <c r="AS3" i="28"/>
  <c r="AS32" i="28" s="1"/>
  <c r="T3" i="28"/>
  <c r="T32" i="28" s="1"/>
  <c r="T31" i="28" s="1"/>
  <c r="X3" i="28"/>
  <c r="X32" i="28" s="1"/>
  <c r="AW3" i="28"/>
  <c r="AW32" i="28" s="1"/>
  <c r="AD3" i="28"/>
  <c r="AD32" i="28" s="1"/>
  <c r="AD31" i="28" s="1"/>
  <c r="E3" i="28"/>
  <c r="E32" i="28" s="1"/>
  <c r="AH3" i="28"/>
  <c r="AH32" i="28" s="1"/>
  <c r="I3" i="28"/>
  <c r="I32" i="28" s="1"/>
  <c r="M3" i="28"/>
  <c r="M32" i="28" s="1"/>
  <c r="AL3" i="28"/>
  <c r="AL32" i="28" s="1"/>
  <c r="Q3" i="28"/>
  <c r="Q32" i="28" s="1"/>
  <c r="AP3" i="28"/>
  <c r="AP32" i="28" s="1"/>
  <c r="AT3" i="28"/>
  <c r="AT32" i="28" s="1"/>
  <c r="U3" i="28"/>
  <c r="U32" i="28" s="1"/>
  <c r="AX3" i="28"/>
  <c r="AX32" i="28" s="1"/>
  <c r="Y3" i="28"/>
  <c r="Y32" i="28" s="1"/>
  <c r="AE3" i="28"/>
  <c r="AE32" i="28" s="1"/>
  <c r="AE31" i="28" s="1"/>
  <c r="F3" i="28"/>
  <c r="F32" i="28" s="1"/>
  <c r="AI3" i="28"/>
  <c r="AI32" i="28" s="1"/>
  <c r="J3" i="28"/>
  <c r="J32" i="28" s="1"/>
  <c r="AM3" i="28"/>
  <c r="AM32" i="28" s="1"/>
  <c r="AM31" i="28" s="1"/>
  <c r="N3" i="28"/>
  <c r="N32" i="28" s="1"/>
  <c r="AQ3" i="28"/>
  <c r="AQ32" i="28" s="1"/>
  <c r="R3" i="28"/>
  <c r="R32" i="28" s="1"/>
  <c r="AU3" i="28"/>
  <c r="AU32" i="28" s="1"/>
  <c r="V3" i="28"/>
  <c r="V32" i="28" s="1"/>
  <c r="AY3" i="28"/>
  <c r="AY32" i="28" s="1"/>
  <c r="Z3" i="28"/>
  <c r="Z32" i="28" s="1"/>
  <c r="G3" i="28"/>
  <c r="G32" i="28" s="1"/>
  <c r="G31" i="28" s="1"/>
  <c r="AF3" i="28"/>
  <c r="AF32" i="28" s="1"/>
  <c r="K3" i="28"/>
  <c r="K32" i="28" s="1"/>
  <c r="AJ3" i="28"/>
  <c r="AJ32" i="28" s="1"/>
  <c r="O3" i="28"/>
  <c r="O32" i="28" s="1"/>
  <c r="O31" i="28" s="1"/>
  <c r="AN3" i="28"/>
  <c r="AN32" i="28" s="1"/>
  <c r="S3" i="28"/>
  <c r="S32" i="28" s="1"/>
  <c r="AR3" i="28"/>
  <c r="AR32" i="28" s="1"/>
  <c r="AV3" i="28"/>
  <c r="AV32" i="28" s="1"/>
  <c r="W3" i="28"/>
  <c r="W32" i="28" s="1"/>
  <c r="AA3" i="28"/>
  <c r="AA32" i="28" s="1"/>
  <c r="AZ3" i="28"/>
  <c r="AZ32" i="28" s="1"/>
  <c r="D3" i="28"/>
  <c r="D32" i="28" s="1"/>
  <c r="AS23" i="28"/>
  <c r="AS49" i="28" s="1"/>
  <c r="AU23" i="28"/>
  <c r="AU49" i="28" s="1"/>
  <c r="AI23" i="28"/>
  <c r="AI49" i="28" s="1"/>
  <c r="AC23" i="28"/>
  <c r="AC49" i="28" s="1"/>
  <c r="AN23" i="28"/>
  <c r="AN49" i="28" s="1"/>
  <c r="AY23" i="28"/>
  <c r="AY49" i="28" s="1"/>
  <c r="AJ23" i="28"/>
  <c r="AJ49" i="28" s="1"/>
  <c r="AE23" i="28"/>
  <c r="AE49" i="28" s="1"/>
  <c r="AO23" i="28"/>
  <c r="AO49" i="28" s="1"/>
  <c r="AZ23" i="28"/>
  <c r="AZ49" i="28" s="1"/>
  <c r="AF23" i="28"/>
  <c r="AF49" i="28" s="1"/>
  <c r="AQ23" i="28"/>
  <c r="AQ49" i="28" s="1"/>
  <c r="AK23" i="28"/>
  <c r="AK49" i="28" s="1"/>
  <c r="AV23" i="28"/>
  <c r="AV49" i="28" s="1"/>
  <c r="AG23" i="28"/>
  <c r="AG49" i="28" s="1"/>
  <c r="AM23" i="28"/>
  <c r="AM49" i="28" s="1"/>
  <c r="AR23" i="28"/>
  <c r="AR49" i="28" s="1"/>
  <c r="AW23" i="28"/>
  <c r="AW49" i="28" s="1"/>
  <c r="AD23" i="28"/>
  <c r="AD49" i="28" s="1"/>
  <c r="AH23" i="28"/>
  <c r="AH49" i="28" s="1"/>
  <c r="AL23" i="28"/>
  <c r="AL49" i="28" s="1"/>
  <c r="AP23" i="28"/>
  <c r="AP49" i="28" s="1"/>
  <c r="AT23" i="28"/>
  <c r="AT49" i="28" s="1"/>
  <c r="AX23" i="28"/>
  <c r="AX49" i="28" s="1"/>
  <c r="AE20" i="28"/>
  <c r="AI20" i="28"/>
  <c r="AM20" i="28"/>
  <c r="AQ20" i="28"/>
  <c r="AU20" i="28"/>
  <c r="AY20" i="28"/>
  <c r="AF20" i="28"/>
  <c r="AJ20" i="28"/>
  <c r="AN20" i="28"/>
  <c r="AR20" i="28"/>
  <c r="AV20" i="28"/>
  <c r="AZ20" i="28"/>
  <c r="AC20" i="28"/>
  <c r="AG20" i="28"/>
  <c r="AK20" i="28"/>
  <c r="AO20" i="28"/>
  <c r="AS20" i="28"/>
  <c r="AW20" i="28"/>
  <c r="AD20" i="28"/>
  <c r="AH20" i="28"/>
  <c r="AL20" i="28"/>
  <c r="AP20" i="28"/>
  <c r="AT20" i="28"/>
  <c r="AX20" i="28"/>
  <c r="AE18" i="28"/>
  <c r="AI18" i="28"/>
  <c r="AM18" i="28"/>
  <c r="AQ18" i="28"/>
  <c r="AU18" i="28"/>
  <c r="AY18" i="28"/>
  <c r="AF18" i="28"/>
  <c r="AJ18" i="28"/>
  <c r="AN18" i="28"/>
  <c r="AR18" i="28"/>
  <c r="AV18" i="28"/>
  <c r="AZ18" i="28"/>
  <c r="AC18" i="28"/>
  <c r="AG18" i="28"/>
  <c r="AK18" i="28"/>
  <c r="AO18" i="28"/>
  <c r="AS18" i="28"/>
  <c r="AW18" i="28"/>
  <c r="AD18" i="28"/>
  <c r="AH18" i="28"/>
  <c r="AL18" i="28"/>
  <c r="AP18" i="28"/>
  <c r="AT18" i="28"/>
  <c r="AX18" i="28"/>
  <c r="AC29" i="28"/>
  <c r="AG29" i="28"/>
  <c r="AK29" i="28"/>
  <c r="AO29" i="28"/>
  <c r="AS29" i="28"/>
  <c r="AW29" i="28"/>
  <c r="AD29" i="28"/>
  <c r="AH29" i="28"/>
  <c r="AL29" i="28"/>
  <c r="AP29" i="28"/>
  <c r="AT29" i="28"/>
  <c r="AX29" i="28"/>
  <c r="AE29" i="28"/>
  <c r="AI29" i="28"/>
  <c r="AM29" i="28"/>
  <c r="AQ29" i="28"/>
  <c r="AU29" i="28"/>
  <c r="AY29" i="28"/>
  <c r="AF29" i="28"/>
  <c r="AJ29" i="28"/>
  <c r="AN29" i="28"/>
  <c r="AR29" i="28"/>
  <c r="AV29" i="28"/>
  <c r="AZ29" i="28"/>
  <c r="AO2" i="28"/>
  <c r="AO38" i="28" s="1"/>
  <c r="AF2" i="28"/>
  <c r="AF38" i="28" s="1"/>
  <c r="AJ2" i="28"/>
  <c r="AJ38" i="28" s="1"/>
  <c r="AN2" i="28"/>
  <c r="AN38" i="28" s="1"/>
  <c r="AR2" i="28"/>
  <c r="AR38" i="28" s="1"/>
  <c r="AV2" i="28"/>
  <c r="AV38" i="28" s="1"/>
  <c r="AZ2" i="28"/>
  <c r="AZ38" i="28" s="1"/>
  <c r="AK2" i="28"/>
  <c r="AK38" i="28" s="1"/>
  <c r="AC2" i="28"/>
  <c r="AC38" i="28" s="1"/>
  <c r="AS2" i="28"/>
  <c r="AS38" i="28" s="1"/>
  <c r="AD2" i="28"/>
  <c r="AD38" i="28" s="1"/>
  <c r="AH2" i="28"/>
  <c r="AH38" i="28" s="1"/>
  <c r="AL2" i="28"/>
  <c r="AL38" i="28" s="1"/>
  <c r="AP2" i="28"/>
  <c r="AP38" i="28" s="1"/>
  <c r="AT2" i="28"/>
  <c r="AT38" i="28" s="1"/>
  <c r="AX2" i="28"/>
  <c r="AX38" i="28" s="1"/>
  <c r="AG2" i="28"/>
  <c r="AG38" i="28" s="1"/>
  <c r="AW2" i="28"/>
  <c r="AW38" i="28" s="1"/>
  <c r="AE2" i="28"/>
  <c r="AE38" i="28" s="1"/>
  <c r="AI2" i="28"/>
  <c r="AI38" i="28" s="1"/>
  <c r="AM2" i="28"/>
  <c r="AM38" i="28" s="1"/>
  <c r="AQ2" i="28"/>
  <c r="AQ38" i="28" s="1"/>
  <c r="AU2" i="28"/>
  <c r="AU38" i="28" s="1"/>
  <c r="AY2" i="28"/>
  <c r="AY38" i="28" s="1"/>
  <c r="AD6" i="28"/>
  <c r="AD47" i="28" s="1"/>
  <c r="AH6" i="28"/>
  <c r="AH47" i="28" s="1"/>
  <c r="AL6" i="28"/>
  <c r="AL47" i="28" s="1"/>
  <c r="AP6" i="28"/>
  <c r="AP47" i="28" s="1"/>
  <c r="AT6" i="28"/>
  <c r="AT47" i="28" s="1"/>
  <c r="AX6" i="28"/>
  <c r="AX47" i="28" s="1"/>
  <c r="AE6" i="28"/>
  <c r="AE47" i="28" s="1"/>
  <c r="AI6" i="28"/>
  <c r="AI47" i="28" s="1"/>
  <c r="AM6" i="28"/>
  <c r="AM47" i="28" s="1"/>
  <c r="AQ6" i="28"/>
  <c r="AQ47" i="28" s="1"/>
  <c r="AU6" i="28"/>
  <c r="AU47" i="28" s="1"/>
  <c r="AY6" i="28"/>
  <c r="AY47" i="28" s="1"/>
  <c r="AF6" i="28"/>
  <c r="AF47" i="28" s="1"/>
  <c r="AJ6" i="28"/>
  <c r="AJ47" i="28" s="1"/>
  <c r="AN6" i="28"/>
  <c r="AN47" i="28" s="1"/>
  <c r="AR6" i="28"/>
  <c r="AR47" i="28" s="1"/>
  <c r="AV6" i="28"/>
  <c r="AV47" i="28" s="1"/>
  <c r="AZ6" i="28"/>
  <c r="AZ47" i="28" s="1"/>
  <c r="AC6" i="28"/>
  <c r="AC47" i="28" s="1"/>
  <c r="AG6" i="28"/>
  <c r="AG47" i="28" s="1"/>
  <c r="AK6" i="28"/>
  <c r="AK47" i="28" s="1"/>
  <c r="AO6" i="28"/>
  <c r="AO47" i="28" s="1"/>
  <c r="AS6" i="28"/>
  <c r="AS47" i="28" s="1"/>
  <c r="AW6" i="28"/>
  <c r="AW47" i="28" s="1"/>
  <c r="AE16" i="28"/>
  <c r="AI16" i="28"/>
  <c r="AM16" i="28"/>
  <c r="AQ16" i="28"/>
  <c r="AU16" i="28"/>
  <c r="AY16" i="28"/>
  <c r="AF16" i="28"/>
  <c r="AJ16" i="28"/>
  <c r="AN16" i="28"/>
  <c r="AR16" i="28"/>
  <c r="AV16" i="28"/>
  <c r="AZ16" i="28"/>
  <c r="AC16" i="28"/>
  <c r="AG16" i="28"/>
  <c r="AK16" i="28"/>
  <c r="AO16" i="28"/>
  <c r="AS16" i="28"/>
  <c r="AW16" i="28"/>
  <c r="AD16" i="28"/>
  <c r="AH16" i="28"/>
  <c r="AL16" i="28"/>
  <c r="AP16" i="28"/>
  <c r="AT16" i="28"/>
  <c r="AX16" i="28"/>
  <c r="AD4" i="28"/>
  <c r="AD40" i="28" s="1"/>
  <c r="AH4" i="28"/>
  <c r="AH40" i="28" s="1"/>
  <c r="AL4" i="28"/>
  <c r="AL40" i="28" s="1"/>
  <c r="AP4" i="28"/>
  <c r="AP40" i="28" s="1"/>
  <c r="AT4" i="28"/>
  <c r="AT40" i="28" s="1"/>
  <c r="AX4" i="28"/>
  <c r="AX40" i="28" s="1"/>
  <c r="AE4" i="28"/>
  <c r="AE40" i="28" s="1"/>
  <c r="AI4" i="28"/>
  <c r="AI40" i="28" s="1"/>
  <c r="AM4" i="28"/>
  <c r="AM40" i="28" s="1"/>
  <c r="AQ4" i="28"/>
  <c r="AQ40" i="28" s="1"/>
  <c r="AU4" i="28"/>
  <c r="AU40" i="28" s="1"/>
  <c r="AY4" i="28"/>
  <c r="AY40" i="28" s="1"/>
  <c r="AF4" i="28"/>
  <c r="AF40" i="28" s="1"/>
  <c r="AJ4" i="28"/>
  <c r="AJ40" i="28" s="1"/>
  <c r="AN4" i="28"/>
  <c r="AN40" i="28" s="1"/>
  <c r="AR4" i="28"/>
  <c r="AR40" i="28" s="1"/>
  <c r="AV4" i="28"/>
  <c r="AV40" i="28" s="1"/>
  <c r="AZ4" i="28"/>
  <c r="AZ40" i="28" s="1"/>
  <c r="AC4" i="28"/>
  <c r="AC40" i="28" s="1"/>
  <c r="AG4" i="28"/>
  <c r="AG40" i="28" s="1"/>
  <c r="AK4" i="28"/>
  <c r="AK40" i="28" s="1"/>
  <c r="AO4" i="28"/>
  <c r="AO40" i="28" s="1"/>
  <c r="AS4" i="28"/>
  <c r="AS40" i="28" s="1"/>
  <c r="AW4" i="28"/>
  <c r="AW40" i="28" s="1"/>
  <c r="AC12" i="28"/>
  <c r="AG12" i="28"/>
  <c r="AK12" i="28"/>
  <c r="AO12" i="28"/>
  <c r="AS12" i="28"/>
  <c r="AW12" i="28"/>
  <c r="AD12" i="28"/>
  <c r="AH12" i="28"/>
  <c r="AL12" i="28"/>
  <c r="AP12" i="28"/>
  <c r="AT12" i="28"/>
  <c r="AX12" i="28"/>
  <c r="AE12" i="28"/>
  <c r="AI12" i="28"/>
  <c r="AM12" i="28"/>
  <c r="AQ12" i="28"/>
  <c r="AU12" i="28"/>
  <c r="AY12" i="28"/>
  <c r="AF12" i="28"/>
  <c r="AJ12" i="28"/>
  <c r="AN12" i="28"/>
  <c r="AR12" i="28"/>
  <c r="AV12" i="28"/>
  <c r="AZ12" i="28"/>
  <c r="AE17" i="28"/>
  <c r="AI17" i="28"/>
  <c r="AM17" i="28"/>
  <c r="AQ17" i="28"/>
  <c r="AU17" i="28"/>
  <c r="AY17" i="28"/>
  <c r="AF17" i="28"/>
  <c r="AJ17" i="28"/>
  <c r="AN17" i="28"/>
  <c r="AR17" i="28"/>
  <c r="AV17" i="28"/>
  <c r="AZ17" i="28"/>
  <c r="AC17" i="28"/>
  <c r="AG17" i="28"/>
  <c r="AK17" i="28"/>
  <c r="AO17" i="28"/>
  <c r="AS17" i="28"/>
  <c r="AW17" i="28"/>
  <c r="AD17" i="28"/>
  <c r="AH17" i="28"/>
  <c r="AL17" i="28"/>
  <c r="AP17" i="28"/>
  <c r="AT17" i="28"/>
  <c r="AX17" i="28"/>
  <c r="AG30" i="28"/>
  <c r="AG35" i="28" s="1"/>
  <c r="AW30" i="28"/>
  <c r="AW35" i="28" s="1"/>
  <c r="AK30" i="28"/>
  <c r="AK35" i="28" s="1"/>
  <c r="AO30" i="28"/>
  <c r="AO35" i="28" s="1"/>
  <c r="AC30" i="28"/>
  <c r="AC35" i="28" s="1"/>
  <c r="AS30" i="28"/>
  <c r="AS35" i="28" s="1"/>
  <c r="AD30" i="28"/>
  <c r="AD35" i="28" s="1"/>
  <c r="AH30" i="28"/>
  <c r="AH35" i="28" s="1"/>
  <c r="AL30" i="28"/>
  <c r="AL35" i="28" s="1"/>
  <c r="AP30" i="28"/>
  <c r="AP35" i="28" s="1"/>
  <c r="AT30" i="28"/>
  <c r="AT35" i="28" s="1"/>
  <c r="AX30" i="28"/>
  <c r="AX35" i="28" s="1"/>
  <c r="AE30" i="28"/>
  <c r="AE35" i="28" s="1"/>
  <c r="AI30" i="28"/>
  <c r="AI35" i="28" s="1"/>
  <c r="AM30" i="28"/>
  <c r="AM35" i="28" s="1"/>
  <c r="AQ30" i="28"/>
  <c r="AQ35" i="28" s="1"/>
  <c r="AU30" i="28"/>
  <c r="AU35" i="28" s="1"/>
  <c r="AY30" i="28"/>
  <c r="AY35" i="28" s="1"/>
  <c r="AF30" i="28"/>
  <c r="AF35" i="28" s="1"/>
  <c r="AJ30" i="28"/>
  <c r="AJ35" i="28" s="1"/>
  <c r="AN30" i="28"/>
  <c r="AN35" i="28" s="1"/>
  <c r="AR30" i="28"/>
  <c r="AR35" i="28" s="1"/>
  <c r="AV30" i="28"/>
  <c r="AV35" i="28" s="1"/>
  <c r="AZ30" i="28"/>
  <c r="AZ35" i="28" s="1"/>
  <c r="AE15" i="28"/>
  <c r="AE44" i="28" s="1"/>
  <c r="AI15" i="28"/>
  <c r="AI44" i="28" s="1"/>
  <c r="AM15" i="28"/>
  <c r="AM44" i="28" s="1"/>
  <c r="AQ15" i="28"/>
  <c r="AQ44" i="28" s="1"/>
  <c r="AU15" i="28"/>
  <c r="AU44" i="28" s="1"/>
  <c r="AY15" i="28"/>
  <c r="AY44" i="28" s="1"/>
  <c r="AF15" i="28"/>
  <c r="AF44" i="28" s="1"/>
  <c r="AJ15" i="28"/>
  <c r="AJ44" i="28" s="1"/>
  <c r="AN15" i="28"/>
  <c r="AN44" i="28" s="1"/>
  <c r="AR15" i="28"/>
  <c r="AR44" i="28" s="1"/>
  <c r="AV15" i="28"/>
  <c r="AV44" i="28" s="1"/>
  <c r="AZ15" i="28"/>
  <c r="AZ44" i="28" s="1"/>
  <c r="AC15" i="28"/>
  <c r="AC44" i="28" s="1"/>
  <c r="AG15" i="28"/>
  <c r="AG44" i="28" s="1"/>
  <c r="AK15" i="28"/>
  <c r="AK44" i="28" s="1"/>
  <c r="AO15" i="28"/>
  <c r="AO44" i="28" s="1"/>
  <c r="AS15" i="28"/>
  <c r="AS44" i="28" s="1"/>
  <c r="AW15" i="28"/>
  <c r="AW44" i="28" s="1"/>
  <c r="AD15" i="28"/>
  <c r="AD44" i="28" s="1"/>
  <c r="AH15" i="28"/>
  <c r="AH44" i="28" s="1"/>
  <c r="AL15" i="28"/>
  <c r="AL44" i="28" s="1"/>
  <c r="AP15" i="28"/>
  <c r="AP44" i="28" s="1"/>
  <c r="AT15" i="28"/>
  <c r="AT44" i="28" s="1"/>
  <c r="AX15" i="28"/>
  <c r="AX44" i="28" s="1"/>
  <c r="AH21" i="28"/>
  <c r="AM21" i="28"/>
  <c r="AR21" i="28"/>
  <c r="AX21" i="28"/>
  <c r="AD21" i="28"/>
  <c r="AI21" i="28"/>
  <c r="AN21" i="28"/>
  <c r="AT21" i="28"/>
  <c r="AY21" i="28"/>
  <c r="AE21" i="28"/>
  <c r="AJ21" i="28"/>
  <c r="AP21" i="28"/>
  <c r="AU21" i="28"/>
  <c r="AZ21" i="28"/>
  <c r="AF21" i="28"/>
  <c r="AL21" i="28"/>
  <c r="AQ21" i="28"/>
  <c r="AV21" i="28"/>
  <c r="AC21" i="28"/>
  <c r="AG21" i="28"/>
  <c r="AK21" i="28"/>
  <c r="AO21" i="28"/>
  <c r="AS21" i="28"/>
  <c r="AW21" i="28"/>
  <c r="AC28" i="28"/>
  <c r="AC43" i="28" s="1"/>
  <c r="AG28" i="28"/>
  <c r="AG43" i="28" s="1"/>
  <c r="AK28" i="28"/>
  <c r="AK43" i="28" s="1"/>
  <c r="AO28" i="28"/>
  <c r="AO43" i="28" s="1"/>
  <c r="AS28" i="28"/>
  <c r="AS43" i="28" s="1"/>
  <c r="AW28" i="28"/>
  <c r="AW43" i="28" s="1"/>
  <c r="AD28" i="28"/>
  <c r="AD43" i="28" s="1"/>
  <c r="AH28" i="28"/>
  <c r="AH43" i="28" s="1"/>
  <c r="AL28" i="28"/>
  <c r="AL43" i="28" s="1"/>
  <c r="AP28" i="28"/>
  <c r="AP43" i="28" s="1"/>
  <c r="AT28" i="28"/>
  <c r="AT43" i="28" s="1"/>
  <c r="AX28" i="28"/>
  <c r="AX43" i="28" s="1"/>
  <c r="AE28" i="28"/>
  <c r="AE43" i="28" s="1"/>
  <c r="AI28" i="28"/>
  <c r="AI43" i="28" s="1"/>
  <c r="AM28" i="28"/>
  <c r="AM43" i="28" s="1"/>
  <c r="AQ28" i="28"/>
  <c r="AQ43" i="28" s="1"/>
  <c r="AU28" i="28"/>
  <c r="AU43" i="28" s="1"/>
  <c r="AY28" i="28"/>
  <c r="AY43" i="28" s="1"/>
  <c r="AF28" i="28"/>
  <c r="AF43" i="28" s="1"/>
  <c r="AJ28" i="28"/>
  <c r="AJ43" i="28" s="1"/>
  <c r="AN28" i="28"/>
  <c r="AN43" i="28" s="1"/>
  <c r="AR28" i="28"/>
  <c r="AR43" i="28" s="1"/>
  <c r="AV28" i="28"/>
  <c r="AV43" i="28" s="1"/>
  <c r="AZ28" i="28"/>
  <c r="AZ43" i="28" s="1"/>
  <c r="AE14" i="28"/>
  <c r="AE34" i="28" s="1"/>
  <c r="AI14" i="28"/>
  <c r="AI34" i="28" s="1"/>
  <c r="AM14" i="28"/>
  <c r="AM34" i="28" s="1"/>
  <c r="AQ14" i="28"/>
  <c r="AQ34" i="28" s="1"/>
  <c r="AU14" i="28"/>
  <c r="AU34" i="28" s="1"/>
  <c r="AY14" i="28"/>
  <c r="AY34" i="28" s="1"/>
  <c r="AF14" i="28"/>
  <c r="AF34" i="28" s="1"/>
  <c r="AJ14" i="28"/>
  <c r="AJ34" i="28" s="1"/>
  <c r="AN14" i="28"/>
  <c r="AN34" i="28" s="1"/>
  <c r="AR14" i="28"/>
  <c r="AR34" i="28" s="1"/>
  <c r="AV14" i="28"/>
  <c r="AV34" i="28" s="1"/>
  <c r="AZ14" i="28"/>
  <c r="AZ34" i="28" s="1"/>
  <c r="AC14" i="28"/>
  <c r="AC34" i="28" s="1"/>
  <c r="AG14" i="28"/>
  <c r="AG34" i="28" s="1"/>
  <c r="AK14" i="28"/>
  <c r="AK34" i="28" s="1"/>
  <c r="AO14" i="28"/>
  <c r="AO34" i="28" s="1"/>
  <c r="AS14" i="28"/>
  <c r="AS34" i="28" s="1"/>
  <c r="AW14" i="28"/>
  <c r="AW34" i="28" s="1"/>
  <c r="AD14" i="28"/>
  <c r="AD34" i="28" s="1"/>
  <c r="AH14" i="28"/>
  <c r="AH34" i="28" s="1"/>
  <c r="AL14" i="28"/>
  <c r="AL34" i="28" s="1"/>
  <c r="AP14" i="28"/>
  <c r="AP34" i="28" s="1"/>
  <c r="AT14" i="28"/>
  <c r="AT34" i="28" s="1"/>
  <c r="AX14" i="28"/>
  <c r="AX34" i="28" s="1"/>
  <c r="AE19" i="28"/>
  <c r="AE42" i="28" s="1"/>
  <c r="AI19" i="28"/>
  <c r="AI42" i="28" s="1"/>
  <c r="AM19" i="28"/>
  <c r="AM42" i="28" s="1"/>
  <c r="AQ19" i="28"/>
  <c r="AQ42" i="28" s="1"/>
  <c r="AU19" i="28"/>
  <c r="AU42" i="28" s="1"/>
  <c r="AY19" i="28"/>
  <c r="AY42" i="28" s="1"/>
  <c r="AF19" i="28"/>
  <c r="AF42" i="28" s="1"/>
  <c r="AJ19" i="28"/>
  <c r="AJ42" i="28" s="1"/>
  <c r="AN19" i="28"/>
  <c r="AN42" i="28" s="1"/>
  <c r="AR19" i="28"/>
  <c r="AR42" i="28" s="1"/>
  <c r="AV19" i="28"/>
  <c r="AV42" i="28" s="1"/>
  <c r="AZ19" i="28"/>
  <c r="AZ42" i="28" s="1"/>
  <c r="AC19" i="28"/>
  <c r="AC42" i="28" s="1"/>
  <c r="AG19" i="28"/>
  <c r="AG42" i="28" s="1"/>
  <c r="AK19" i="28"/>
  <c r="AK42" i="28" s="1"/>
  <c r="AO19" i="28"/>
  <c r="AO42" i="28" s="1"/>
  <c r="AS19" i="28"/>
  <c r="AS42" i="28" s="1"/>
  <c r="AW19" i="28"/>
  <c r="AW42" i="28" s="1"/>
  <c r="AD19" i="28"/>
  <c r="AD42" i="28" s="1"/>
  <c r="AH19" i="28"/>
  <c r="AH42" i="28" s="1"/>
  <c r="AL19" i="28"/>
  <c r="AL42" i="28" s="1"/>
  <c r="AP19" i="28"/>
  <c r="AP42" i="28" s="1"/>
  <c r="AT19" i="28"/>
  <c r="AT42" i="28" s="1"/>
  <c r="AX19" i="28"/>
  <c r="AX42" i="28" s="1"/>
  <c r="AC27" i="28"/>
  <c r="AS27" i="28"/>
  <c r="AG27" i="28"/>
  <c r="AW27" i="28"/>
  <c r="AK27" i="28"/>
  <c r="AO27" i="28"/>
  <c r="AD27" i="28"/>
  <c r="AH27" i="28"/>
  <c r="AL27" i="28"/>
  <c r="AP27" i="28"/>
  <c r="AT27" i="28"/>
  <c r="AX27" i="28"/>
  <c r="AE27" i="28"/>
  <c r="AI27" i="28"/>
  <c r="AM27" i="28"/>
  <c r="AQ27" i="28"/>
  <c r="AU27" i="28"/>
  <c r="AY27" i="28"/>
  <c r="AF27" i="28"/>
  <c r="AJ27" i="28"/>
  <c r="AN27" i="28"/>
  <c r="AR27" i="28"/>
  <c r="AV27" i="28"/>
  <c r="AZ27" i="28"/>
  <c r="AF10" i="28"/>
  <c r="AF46" i="28" s="1"/>
  <c r="AF45" i="28" s="1"/>
  <c r="AJ10" i="28"/>
  <c r="AJ46" i="28" s="1"/>
  <c r="AJ45" i="28" s="1"/>
  <c r="AN10" i="28"/>
  <c r="AN46" i="28" s="1"/>
  <c r="AN45" i="28" s="1"/>
  <c r="AR10" i="28"/>
  <c r="AR46" i="28" s="1"/>
  <c r="AR45" i="28" s="1"/>
  <c r="AV10" i="28"/>
  <c r="AV46" i="28" s="1"/>
  <c r="AV45" i="28" s="1"/>
  <c r="AZ10" i="28"/>
  <c r="AZ46" i="28" s="1"/>
  <c r="AZ45" i="28" s="1"/>
  <c r="AC10" i="28"/>
  <c r="AC46" i="28" s="1"/>
  <c r="AG10" i="28"/>
  <c r="AG46" i="28" s="1"/>
  <c r="AG45" i="28" s="1"/>
  <c r="AK10" i="28"/>
  <c r="AK46" i="28" s="1"/>
  <c r="AK45" i="28" s="1"/>
  <c r="AO10" i="28"/>
  <c r="AO46" i="28" s="1"/>
  <c r="AO45" i="28" s="1"/>
  <c r="AS10" i="28"/>
  <c r="AS46" i="28" s="1"/>
  <c r="AS45" i="28" s="1"/>
  <c r="AW10" i="28"/>
  <c r="AW46" i="28" s="1"/>
  <c r="AW45" i="28" s="1"/>
  <c r="AD10" i="28"/>
  <c r="AD46" i="28" s="1"/>
  <c r="AD45" i="28" s="1"/>
  <c r="AH10" i="28"/>
  <c r="AH46" i="28" s="1"/>
  <c r="AH45" i="28" s="1"/>
  <c r="AL10" i="28"/>
  <c r="AL46" i="28" s="1"/>
  <c r="AL45" i="28" s="1"/>
  <c r="AP10" i="28"/>
  <c r="AP46" i="28" s="1"/>
  <c r="AP45" i="28" s="1"/>
  <c r="AT10" i="28"/>
  <c r="AT46" i="28" s="1"/>
  <c r="AT45" i="28" s="1"/>
  <c r="AX10" i="28"/>
  <c r="AX46" i="28" s="1"/>
  <c r="AX45" i="28" s="1"/>
  <c r="AE10" i="28"/>
  <c r="AE46" i="28" s="1"/>
  <c r="AE45" i="28" s="1"/>
  <c r="AI10" i="28"/>
  <c r="AI46" i="28" s="1"/>
  <c r="AI45" i="28" s="1"/>
  <c r="AM10" i="28"/>
  <c r="AM46" i="28" s="1"/>
  <c r="AM45" i="28" s="1"/>
  <c r="AQ10" i="28"/>
  <c r="AQ46" i="28" s="1"/>
  <c r="AQ45" i="28" s="1"/>
  <c r="AU10" i="28"/>
  <c r="AU46" i="28" s="1"/>
  <c r="AU45" i="28" s="1"/>
  <c r="AY10" i="28"/>
  <c r="AY46" i="28" s="1"/>
  <c r="AY45" i="28" s="1"/>
  <c r="AC11" i="28"/>
  <c r="AC39" i="28" s="1"/>
  <c r="AG11" i="28"/>
  <c r="AG39" i="28" s="1"/>
  <c r="AK11" i="28"/>
  <c r="AK39" i="28" s="1"/>
  <c r="AO11" i="28"/>
  <c r="AO39" i="28" s="1"/>
  <c r="AS11" i="28"/>
  <c r="AS39" i="28" s="1"/>
  <c r="AW11" i="28"/>
  <c r="AW39" i="28" s="1"/>
  <c r="AD11" i="28"/>
  <c r="AD39" i="28" s="1"/>
  <c r="AH11" i="28"/>
  <c r="AH39" i="28" s="1"/>
  <c r="AL11" i="28"/>
  <c r="AL39" i="28" s="1"/>
  <c r="AP11" i="28"/>
  <c r="AP39" i="28" s="1"/>
  <c r="AT11" i="28"/>
  <c r="AT39" i="28" s="1"/>
  <c r="AX11" i="28"/>
  <c r="AX39" i="28" s="1"/>
  <c r="AE11" i="28"/>
  <c r="AE39" i="28" s="1"/>
  <c r="AI11" i="28"/>
  <c r="AI39" i="28" s="1"/>
  <c r="AM11" i="28"/>
  <c r="AM39" i="28" s="1"/>
  <c r="AQ11" i="28"/>
  <c r="AQ39" i="28" s="1"/>
  <c r="AU11" i="28"/>
  <c r="AU39" i="28" s="1"/>
  <c r="AY11" i="28"/>
  <c r="AY39" i="28" s="1"/>
  <c r="AF11" i="28"/>
  <c r="AF39" i="28" s="1"/>
  <c r="AJ11" i="28"/>
  <c r="AJ39" i="28" s="1"/>
  <c r="AN11" i="28"/>
  <c r="AN39" i="28" s="1"/>
  <c r="AR11" i="28"/>
  <c r="AR39" i="28" s="1"/>
  <c r="AV11" i="28"/>
  <c r="AV39" i="28" s="1"/>
  <c r="AZ11" i="28"/>
  <c r="AZ39" i="28" s="1"/>
  <c r="AQ62" i="28" l="1"/>
  <c r="AQ76" i="28"/>
  <c r="AL51" i="28"/>
  <c r="AL65" i="28"/>
  <c r="AQ60" i="28"/>
  <c r="AQ74" i="28"/>
  <c r="AO71" i="28"/>
  <c r="AO57" i="28"/>
  <c r="AQ56" i="28"/>
  <c r="AQ70" i="28"/>
  <c r="AM68" i="28"/>
  <c r="AM54" i="28"/>
  <c r="X76" i="28"/>
  <c r="X62" i="28"/>
  <c r="U76" i="28"/>
  <c r="U62" i="28"/>
  <c r="M31" i="28"/>
  <c r="W66" i="28"/>
  <c r="W52" i="28"/>
  <c r="N56" i="28"/>
  <c r="N70" i="28"/>
  <c r="Z57" i="28"/>
  <c r="Z71" i="28"/>
  <c r="AE62" i="28"/>
  <c r="AE76" i="28"/>
  <c r="AC76" i="28"/>
  <c r="AC62" i="28"/>
  <c r="AU51" i="28"/>
  <c r="AU65" i="28"/>
  <c r="AH51" i="28"/>
  <c r="AH65" i="28"/>
  <c r="AC66" i="28"/>
  <c r="AC52" i="28"/>
  <c r="AE52" i="28"/>
  <c r="AE66" i="28"/>
  <c r="AE63" i="28" s="1"/>
  <c r="AE60" i="28"/>
  <c r="AE74" i="28"/>
  <c r="AC74" i="28"/>
  <c r="AC60" i="28"/>
  <c r="AC72" i="28"/>
  <c r="AC58" i="28"/>
  <c r="AE58" i="28"/>
  <c r="AE72" i="28"/>
  <c r="AE57" i="28"/>
  <c r="AE71" i="28"/>
  <c r="AC71" i="28"/>
  <c r="AC57" i="28"/>
  <c r="AC75" i="28"/>
  <c r="AC61" i="28"/>
  <c r="AE61" i="28"/>
  <c r="AE75" i="28"/>
  <c r="AC70" i="28"/>
  <c r="AC56" i="28"/>
  <c r="AE56" i="28"/>
  <c r="AE70" i="28"/>
  <c r="AF31" i="28"/>
  <c r="F31" i="28"/>
  <c r="AS53" i="28"/>
  <c r="AS67" i="28"/>
  <c r="AS59" i="28"/>
  <c r="AS73" i="28"/>
  <c r="AW59" i="28"/>
  <c r="AW73" i="28"/>
  <c r="AH53" i="28"/>
  <c r="AH67" i="28"/>
  <c r="AH59" i="28"/>
  <c r="AH73" i="28"/>
  <c r="AK53" i="28"/>
  <c r="AK67" i="28"/>
  <c r="AK59" i="28"/>
  <c r="AK73" i="28"/>
  <c r="AG59" i="28"/>
  <c r="AG73" i="28"/>
  <c r="AP53" i="28"/>
  <c r="AP67" i="28"/>
  <c r="AC31" i="28"/>
  <c r="G62" i="28"/>
  <c r="G76" i="28"/>
  <c r="Z31" i="28"/>
  <c r="D76" i="28"/>
  <c r="D62" i="28"/>
  <c r="V70" i="28"/>
  <c r="V56" i="28"/>
  <c r="G66" i="28"/>
  <c r="G52" i="28"/>
  <c r="K70" i="28"/>
  <c r="K56" i="28"/>
  <c r="I51" i="28"/>
  <c r="I65" i="28"/>
  <c r="O70" i="28"/>
  <c r="O56" i="28"/>
  <c r="M65" i="28"/>
  <c r="M51" i="28"/>
  <c r="I71" i="28"/>
  <c r="I57" i="28"/>
  <c r="E59" i="28"/>
  <c r="E73" i="28"/>
  <c r="AA74" i="28"/>
  <c r="AA60" i="28"/>
  <c r="H74" i="28"/>
  <c r="H60" i="28"/>
  <c r="D74" i="28"/>
  <c r="D60" i="28"/>
  <c r="O74" i="28"/>
  <c r="O60" i="28"/>
  <c r="N58" i="28"/>
  <c r="N72" i="28"/>
  <c r="J72" i="28"/>
  <c r="J58" i="28"/>
  <c r="V65" i="28"/>
  <c r="V51" i="28"/>
  <c r="J31" i="28"/>
  <c r="O75" i="28"/>
  <c r="O61" i="28"/>
  <c r="H73" i="28"/>
  <c r="H59" i="28"/>
  <c r="H48" i="28" s="1"/>
  <c r="J53" i="28"/>
  <c r="J67" i="28"/>
  <c r="T72" i="28"/>
  <c r="T58" i="28"/>
  <c r="Z75" i="28"/>
  <c r="Z61" i="28"/>
  <c r="S51" i="28"/>
  <c r="S65" i="28"/>
  <c r="AZ76" i="28"/>
  <c r="AZ62" i="28"/>
  <c r="AX60" i="28"/>
  <c r="AX74" i="28"/>
  <c r="AX56" i="28"/>
  <c r="AX70" i="28"/>
  <c r="AC73" i="28"/>
  <c r="AC59" i="28"/>
  <c r="M76" i="28"/>
  <c r="M62" i="28"/>
  <c r="F70" i="28"/>
  <c r="F56" i="28"/>
  <c r="X65" i="28"/>
  <c r="X51" i="28"/>
  <c r="X71" i="28"/>
  <c r="X57" i="28"/>
  <c r="F65" i="28"/>
  <c r="F51" i="28"/>
  <c r="AA59" i="28"/>
  <c r="AA73" i="28"/>
  <c r="R65" i="28"/>
  <c r="R51" i="28"/>
  <c r="D72" i="28"/>
  <c r="D58" i="28"/>
  <c r="J75" i="28"/>
  <c r="J61" i="28"/>
  <c r="S73" i="28"/>
  <c r="S59" i="28"/>
  <c r="AV62" i="28"/>
  <c r="AV76" i="28"/>
  <c r="AT62" i="28"/>
  <c r="AT76" i="28"/>
  <c r="AS51" i="28"/>
  <c r="AS65" i="28"/>
  <c r="AJ51" i="28"/>
  <c r="AJ65" i="28"/>
  <c r="AT52" i="28"/>
  <c r="AT66" i="28"/>
  <c r="AT63" i="28" s="1"/>
  <c r="AV52" i="28"/>
  <c r="AV66" i="28"/>
  <c r="AV60" i="28"/>
  <c r="AV74" i="28"/>
  <c r="AT60" i="28"/>
  <c r="AT74" i="28"/>
  <c r="AT58" i="28"/>
  <c r="AT72" i="28"/>
  <c r="AV58" i="28"/>
  <c r="AV72" i="28"/>
  <c r="AV57" i="28"/>
  <c r="AV71" i="28"/>
  <c r="AT57" i="28"/>
  <c r="AT71" i="28"/>
  <c r="AT61" i="28"/>
  <c r="AT75" i="28"/>
  <c r="AV61" i="28"/>
  <c r="AV75" i="28"/>
  <c r="AT56" i="28"/>
  <c r="AT70" i="28"/>
  <c r="AV56" i="28"/>
  <c r="AV70" i="28"/>
  <c r="AZ31" i="28"/>
  <c r="AW31" i="28"/>
  <c r="AN67" i="28"/>
  <c r="AN53" i="28"/>
  <c r="AN73" i="28"/>
  <c r="AN59" i="28"/>
  <c r="AG54" i="28"/>
  <c r="AG68" i="28"/>
  <c r="AF53" i="28"/>
  <c r="AF67" i="28"/>
  <c r="AF59" i="28"/>
  <c r="AF73" i="28"/>
  <c r="AZ68" i="28"/>
  <c r="AZ54" i="28"/>
  <c r="L76" i="28"/>
  <c r="L62" i="28"/>
  <c r="F62" i="28"/>
  <c r="F76" i="28"/>
  <c r="R62" i="28"/>
  <c r="R76" i="28"/>
  <c r="U70" i="28"/>
  <c r="U56" i="28"/>
  <c r="S70" i="28"/>
  <c r="S56" i="28"/>
  <c r="M66" i="28"/>
  <c r="M52" i="28"/>
  <c r="M48" i="28" s="1"/>
  <c r="H51" i="28"/>
  <c r="H65" i="28"/>
  <c r="J52" i="28"/>
  <c r="J66" i="28"/>
  <c r="O65" i="28"/>
  <c r="O51" i="28"/>
  <c r="H71" i="28"/>
  <c r="H57" i="28"/>
  <c r="D73" i="28"/>
  <c r="D59" i="28"/>
  <c r="Z74" i="28"/>
  <c r="Z60" i="28"/>
  <c r="G74" i="28"/>
  <c r="G60" i="28"/>
  <c r="R60" i="28"/>
  <c r="R74" i="28"/>
  <c r="L72" i="28"/>
  <c r="L58" i="28"/>
  <c r="I72" i="28"/>
  <c r="I58" i="28"/>
  <c r="M68" i="28"/>
  <c r="M54" i="28"/>
  <c r="U51" i="28"/>
  <c r="U65" i="28"/>
  <c r="U71" i="28"/>
  <c r="U57" i="28"/>
  <c r="Q65" i="28"/>
  <c r="Q51" i="28"/>
  <c r="K72" i="28"/>
  <c r="K58" i="28"/>
  <c r="Y75" i="28"/>
  <c r="Y61" i="28"/>
  <c r="U48" i="28"/>
  <c r="AW51" i="28"/>
  <c r="AW65" i="28"/>
  <c r="AZ74" i="28"/>
  <c r="AZ60" i="28"/>
  <c r="AX58" i="28"/>
  <c r="AX72" i="28"/>
  <c r="AX57" i="28"/>
  <c r="AX71" i="28"/>
  <c r="AC67" i="28"/>
  <c r="AC53" i="28"/>
  <c r="AV53" i="28"/>
  <c r="AV67" i="28"/>
  <c r="N66" i="28"/>
  <c r="N52" i="28"/>
  <c r="L65" i="28"/>
  <c r="L51" i="28"/>
  <c r="T73" i="28"/>
  <c r="T59" i="28"/>
  <c r="K74" i="28"/>
  <c r="K60" i="28"/>
  <c r="Y72" i="28"/>
  <c r="Y58" i="28"/>
  <c r="AR62" i="28"/>
  <c r="AR76" i="28"/>
  <c r="AP62" i="28"/>
  <c r="AP76" i="28"/>
  <c r="AO65" i="28"/>
  <c r="AO51" i="28"/>
  <c r="AE51" i="28"/>
  <c r="AE65" i="28"/>
  <c r="AP52" i="28"/>
  <c r="AP66" i="28"/>
  <c r="AR52" i="28"/>
  <c r="AR66" i="28"/>
  <c r="AR60" i="28"/>
  <c r="AR74" i="28"/>
  <c r="AP60" i="28"/>
  <c r="AP74" i="28"/>
  <c r="AP58" i="28"/>
  <c r="AP72" i="28"/>
  <c r="AR58" i="28"/>
  <c r="AR72" i="28"/>
  <c r="AR57" i="28"/>
  <c r="AR71" i="28"/>
  <c r="AP57" i="28"/>
  <c r="AP71" i="28"/>
  <c r="AP61" i="28"/>
  <c r="AP75" i="28"/>
  <c r="AR61" i="28"/>
  <c r="AR75" i="28"/>
  <c r="AP56" i="28"/>
  <c r="AP70" i="28"/>
  <c r="AR56" i="28"/>
  <c r="AR70" i="28"/>
  <c r="AA31" i="28"/>
  <c r="AY31" i="28"/>
  <c r="X31" i="28"/>
  <c r="AU53" i="28"/>
  <c r="AU67" i="28"/>
  <c r="AU59" i="28"/>
  <c r="AU73" i="28"/>
  <c r="AR54" i="28"/>
  <c r="AR68" i="28"/>
  <c r="AM67" i="28"/>
  <c r="AM53" i="28"/>
  <c r="AM73" i="28"/>
  <c r="AM59" i="28"/>
  <c r="AJ54" i="28"/>
  <c r="AJ48" i="28" s="1"/>
  <c r="AJ68" i="28"/>
  <c r="AA76" i="28"/>
  <c r="AA62" i="28"/>
  <c r="Q76" i="28"/>
  <c r="Q62" i="28"/>
  <c r="E70" i="28"/>
  <c r="E56" i="28"/>
  <c r="V52" i="28"/>
  <c r="V66" i="28"/>
  <c r="R70" i="28"/>
  <c r="R56" i="28"/>
  <c r="L66" i="28"/>
  <c r="L52" i="28"/>
  <c r="L48" i="28" s="1"/>
  <c r="AA65" i="28"/>
  <c r="AA51" i="28"/>
  <c r="Y66" i="28"/>
  <c r="Y52" i="28"/>
  <c r="W65" i="28"/>
  <c r="W51" i="28"/>
  <c r="W71" i="28"/>
  <c r="W57" i="28"/>
  <c r="R73" i="28"/>
  <c r="R59" i="28"/>
  <c r="J74" i="28"/>
  <c r="J60" i="28"/>
  <c r="V74" i="28"/>
  <c r="V60" i="28"/>
  <c r="O58" i="28"/>
  <c r="O72" i="28"/>
  <c r="X72" i="28"/>
  <c r="X58" i="28"/>
  <c r="L54" i="28"/>
  <c r="L68" i="28"/>
  <c r="E65" i="28"/>
  <c r="E51" i="28"/>
  <c r="Q67" i="28"/>
  <c r="Q53" i="28"/>
  <c r="Z38" i="31"/>
  <c r="Z31" i="31" s="1"/>
  <c r="C2" i="31"/>
  <c r="C38" i="31" s="1"/>
  <c r="C31" i="31" s="1"/>
  <c r="E71" i="28"/>
  <c r="E57" i="28"/>
  <c r="P65" i="28"/>
  <c r="P51" i="28"/>
  <c r="I75" i="28"/>
  <c r="I61" i="28"/>
  <c r="S72" i="28"/>
  <c r="S58" i="28"/>
  <c r="AX62" i="28"/>
  <c r="AX76" i="28"/>
  <c r="AZ72" i="28"/>
  <c r="AZ58" i="28"/>
  <c r="AZ70" i="28"/>
  <c r="AZ56" i="28"/>
  <c r="AI59" i="28"/>
  <c r="AI73" i="28"/>
  <c r="V76" i="28"/>
  <c r="V62" i="28"/>
  <c r="M72" i="28"/>
  <c r="M58" i="28"/>
  <c r="AK51" i="28"/>
  <c r="AK65" i="28"/>
  <c r="AN74" i="28"/>
  <c r="AN60" i="28"/>
  <c r="AN71" i="28"/>
  <c r="AN57" i="28"/>
  <c r="AL57" i="28"/>
  <c r="AL71" i="28"/>
  <c r="AL61" i="28"/>
  <c r="AL75" i="28"/>
  <c r="AN75" i="28"/>
  <c r="AN61" i="28"/>
  <c r="AL56" i="28"/>
  <c r="AL70" i="28"/>
  <c r="AN70" i="28"/>
  <c r="AN56" i="28"/>
  <c r="W31" i="28"/>
  <c r="AE53" i="28"/>
  <c r="AE67" i="28"/>
  <c r="AE59" i="28"/>
  <c r="AE73" i="28"/>
  <c r="AY68" i="28"/>
  <c r="AY54" i="28"/>
  <c r="AY48" i="28" s="1"/>
  <c r="AT53" i="28"/>
  <c r="AT67" i="28"/>
  <c r="AT59" i="28"/>
  <c r="AT73" i="28"/>
  <c r="AQ54" i="28"/>
  <c r="AQ68" i="28"/>
  <c r="K76" i="28"/>
  <c r="K62" i="28"/>
  <c r="P76" i="28"/>
  <c r="P62" i="28"/>
  <c r="T70" i="28"/>
  <c r="T56" i="28"/>
  <c r="F66" i="28"/>
  <c r="F52" i="28"/>
  <c r="Q70" i="28"/>
  <c r="Q56" i="28"/>
  <c r="K66" i="28"/>
  <c r="K52" i="28"/>
  <c r="G51" i="28"/>
  <c r="G65" i="28"/>
  <c r="I52" i="28"/>
  <c r="I66" i="28"/>
  <c r="V75" i="28"/>
  <c r="V61" i="28"/>
  <c r="G71" i="28"/>
  <c r="G57" i="28"/>
  <c r="J73" i="28"/>
  <c r="J59" i="28"/>
  <c r="F60" i="28"/>
  <c r="F74" i="28"/>
  <c r="W72" i="28"/>
  <c r="W58" i="28"/>
  <c r="H72" i="28"/>
  <c r="H58" i="28"/>
  <c r="T51" i="28"/>
  <c r="T65" i="28"/>
  <c r="F67" i="28"/>
  <c r="F53" i="28"/>
  <c r="O68" i="28"/>
  <c r="O54" i="28"/>
  <c r="T71" i="28"/>
  <c r="T57" i="28"/>
  <c r="Q71" i="28"/>
  <c r="Q57" i="28"/>
  <c r="X75" i="28"/>
  <c r="X61" i="28"/>
  <c r="T48" i="28"/>
  <c r="S61" i="28"/>
  <c r="S75" i="28"/>
  <c r="AX52" i="28"/>
  <c r="AX48" i="28" s="1"/>
  <c r="AX66" i="28"/>
  <c r="AX61" i="28"/>
  <c r="AX75" i="28"/>
  <c r="S62" i="28"/>
  <c r="S76" i="28"/>
  <c r="N74" i="28"/>
  <c r="N60" i="28"/>
  <c r="AY65" i="28"/>
  <c r="AY51" i="28"/>
  <c r="AL52" i="28"/>
  <c r="AL48" i="28" s="1"/>
  <c r="AL66" i="28"/>
  <c r="AN66" i="28"/>
  <c r="AN52" i="28"/>
  <c r="AN48" i="28" s="1"/>
  <c r="AL60" i="28"/>
  <c r="AL74" i="28"/>
  <c r="AL58" i="28"/>
  <c r="AL72" i="28"/>
  <c r="AN72" i="28"/>
  <c r="AN58" i="28"/>
  <c r="AJ62" i="28"/>
  <c r="AJ76" i="28"/>
  <c r="AH62" i="28"/>
  <c r="AH76" i="28"/>
  <c r="AG51" i="28"/>
  <c r="AG65" i="28"/>
  <c r="AT51" i="28"/>
  <c r="AT65" i="28"/>
  <c r="AH52" i="28"/>
  <c r="AH66" i="28"/>
  <c r="AJ52" i="28"/>
  <c r="AJ66" i="28"/>
  <c r="AJ60" i="28"/>
  <c r="AJ74" i="28"/>
  <c r="AH60" i="28"/>
  <c r="AH74" i="28"/>
  <c r="AH58" i="28"/>
  <c r="AH72" i="28"/>
  <c r="AJ58" i="28"/>
  <c r="AJ72" i="28"/>
  <c r="AJ57" i="28"/>
  <c r="AJ71" i="28"/>
  <c r="AH57" i="28"/>
  <c r="AH71" i="28"/>
  <c r="AH61" i="28"/>
  <c r="AH75" i="28"/>
  <c r="AJ61" i="28"/>
  <c r="AJ75" i="28"/>
  <c r="AH56" i="28"/>
  <c r="AH70" i="28"/>
  <c r="AJ56" i="28"/>
  <c r="AJ70" i="28"/>
  <c r="AV31" i="28"/>
  <c r="AU31" i="28"/>
  <c r="AT31" i="28"/>
  <c r="AS31" i="28"/>
  <c r="AL53" i="28"/>
  <c r="AL67" i="28"/>
  <c r="AL59" i="28"/>
  <c r="AL73" i="28"/>
  <c r="AI54" i="28"/>
  <c r="AI68" i="28"/>
  <c r="AD53" i="28"/>
  <c r="AD67" i="28"/>
  <c r="AD59" i="28"/>
  <c r="AD73" i="28"/>
  <c r="AL31" i="28"/>
  <c r="AX54" i="28"/>
  <c r="AX68" i="28"/>
  <c r="Z76" i="28"/>
  <c r="Z62" i="28"/>
  <c r="O76" i="28"/>
  <c r="O62" i="28"/>
  <c r="D70" i="28"/>
  <c r="D56" i="28"/>
  <c r="U52" i="28"/>
  <c r="U66" i="28"/>
  <c r="D31" i="28"/>
  <c r="P70" i="28"/>
  <c r="P56" i="28"/>
  <c r="R61" i="28"/>
  <c r="R75" i="28"/>
  <c r="X66" i="28"/>
  <c r="X52" i="28"/>
  <c r="X48" i="28" s="1"/>
  <c r="F61" i="28"/>
  <c r="F75" i="28"/>
  <c r="V71" i="28"/>
  <c r="V57" i="28"/>
  <c r="M57" i="28"/>
  <c r="M71" i="28"/>
  <c r="U31" i="28"/>
  <c r="Y67" i="28"/>
  <c r="Y53" i="28"/>
  <c r="AA58" i="28"/>
  <c r="AA72" i="28"/>
  <c r="Q31" i="28"/>
  <c r="D65" i="28"/>
  <c r="D51" i="28"/>
  <c r="T67" i="28"/>
  <c r="T53" i="28"/>
  <c r="D71" i="28"/>
  <c r="D57" i="28"/>
  <c r="P71" i="28"/>
  <c r="P57" i="28"/>
  <c r="H75" i="28"/>
  <c r="H61" i="28"/>
  <c r="S71" i="28"/>
  <c r="S57" i="28"/>
  <c r="AZ71" i="28"/>
  <c r="AZ57" i="28"/>
  <c r="AO68" i="28"/>
  <c r="AO54" i="28"/>
  <c r="S74" i="28"/>
  <c r="S60" i="28"/>
  <c r="AL62" i="28"/>
  <c r="AL76" i="28"/>
  <c r="AD62" i="28"/>
  <c r="AD76" i="28"/>
  <c r="AC65" i="28"/>
  <c r="AC51" i="28"/>
  <c r="AF60" i="28"/>
  <c r="AF74" i="28"/>
  <c r="AD58" i="28"/>
  <c r="AD72" i="28"/>
  <c r="AF58" i="28"/>
  <c r="AF48" i="28" s="1"/>
  <c r="AF72" i="28"/>
  <c r="AC45" i="28"/>
  <c r="AF57" i="28"/>
  <c r="AF71" i="28"/>
  <c r="AD57" i="28"/>
  <c r="AD71" i="28"/>
  <c r="AD61" i="28"/>
  <c r="AD75" i="28"/>
  <c r="AF61" i="28"/>
  <c r="AF75" i="28"/>
  <c r="AD56" i="28"/>
  <c r="AD70" i="28"/>
  <c r="AF56" i="28"/>
  <c r="AF70" i="28"/>
  <c r="AR31" i="28"/>
  <c r="R31" i="28"/>
  <c r="AP31" i="28"/>
  <c r="AK54" i="28"/>
  <c r="AK68" i="28"/>
  <c r="AX31" i="28"/>
  <c r="AP54" i="28"/>
  <c r="AP48" i="28" s="1"/>
  <c r="AP68" i="28"/>
  <c r="AS54" i="28"/>
  <c r="AS68" i="28"/>
  <c r="AH54" i="28"/>
  <c r="AH48" i="28" s="1"/>
  <c r="AH68" i="28"/>
  <c r="J76" i="28"/>
  <c r="J62" i="28"/>
  <c r="N76" i="28"/>
  <c r="N62" i="28"/>
  <c r="E66" i="28"/>
  <c r="E52" i="28"/>
  <c r="E48" i="28" s="1"/>
  <c r="AA45" i="28"/>
  <c r="AA70" i="28"/>
  <c r="AA56" i="28"/>
  <c r="Q61" i="28"/>
  <c r="Q75" i="28"/>
  <c r="Z56" i="28"/>
  <c r="Z70" i="28"/>
  <c r="H52" i="28"/>
  <c r="H66" i="28"/>
  <c r="U75" i="28"/>
  <c r="U61" i="28"/>
  <c r="Q59" i="28"/>
  <c r="Q73" i="28"/>
  <c r="F71" i="28"/>
  <c r="F57" i="28"/>
  <c r="L71" i="28"/>
  <c r="L57" i="28"/>
  <c r="I53" i="28"/>
  <c r="I67" i="28"/>
  <c r="G72" i="28"/>
  <c r="G58" i="28"/>
  <c r="K65" i="28"/>
  <c r="K51" i="28"/>
  <c r="D53" i="28"/>
  <c r="D67" i="28"/>
  <c r="W54" i="28"/>
  <c r="W68" i="28"/>
  <c r="R71" i="28"/>
  <c r="R57" i="28"/>
  <c r="O57" i="28"/>
  <c r="O71" i="28"/>
  <c r="AA75" i="28"/>
  <c r="AA61" i="28"/>
  <c r="Z73" i="28"/>
  <c r="Z59" i="28"/>
  <c r="AZ66" i="28"/>
  <c r="AZ63" i="28" s="1"/>
  <c r="AZ52" i="28"/>
  <c r="AZ48" i="28" s="1"/>
  <c r="AZ75" i="28"/>
  <c r="AZ61" i="28"/>
  <c r="AW54" i="28"/>
  <c r="AW68" i="28"/>
  <c r="AP59" i="28"/>
  <c r="AP73" i="28"/>
  <c r="W70" i="28"/>
  <c r="W56" i="28"/>
  <c r="Z66" i="28"/>
  <c r="Z52" i="28"/>
  <c r="W74" i="28"/>
  <c r="W60" i="28"/>
  <c r="AN76" i="28"/>
  <c r="AN62" i="28"/>
  <c r="AF62" i="28"/>
  <c r="AF76" i="28"/>
  <c r="AN65" i="28"/>
  <c r="AN51" i="28"/>
  <c r="AF52" i="28"/>
  <c r="AF66" i="28"/>
  <c r="AY76" i="28"/>
  <c r="AY62" i="28"/>
  <c r="AO76" i="28"/>
  <c r="AO62" i="28"/>
  <c r="AV51" i="28"/>
  <c r="AV65" i="28"/>
  <c r="AI51" i="28"/>
  <c r="AI65" i="28"/>
  <c r="AW52" i="28"/>
  <c r="AW66" i="28"/>
  <c r="AW63" i="28" s="1"/>
  <c r="AY66" i="28"/>
  <c r="AY52" i="28"/>
  <c r="AY74" i="28"/>
  <c r="AY60" i="28"/>
  <c r="AW60" i="28"/>
  <c r="AW74" i="28"/>
  <c r="AW58" i="28"/>
  <c r="AW72" i="28"/>
  <c r="AY72" i="28"/>
  <c r="AY58" i="28"/>
  <c r="AY71" i="28"/>
  <c r="AY57" i="28"/>
  <c r="AW57" i="28"/>
  <c r="AW71" i="28"/>
  <c r="AW61" i="28"/>
  <c r="AW75" i="28"/>
  <c r="AY75" i="28"/>
  <c r="AY61" i="28"/>
  <c r="AW56" i="28"/>
  <c r="AW70" i="28"/>
  <c r="AY70" i="28"/>
  <c r="AY56" i="28"/>
  <c r="AW48" i="28"/>
  <c r="S31" i="28"/>
  <c r="AQ31" i="28"/>
  <c r="P31" i="28"/>
  <c r="AV54" i="28"/>
  <c r="AV68" i="28"/>
  <c r="AO67" i="28"/>
  <c r="AO53" i="28"/>
  <c r="AO73" i="28"/>
  <c r="AO59" i="28"/>
  <c r="AY73" i="28"/>
  <c r="AY59" i="28"/>
  <c r="AC68" i="28"/>
  <c r="AC54" i="28"/>
  <c r="AW53" i="28"/>
  <c r="AW67" i="28"/>
  <c r="AR59" i="28"/>
  <c r="AR73" i="28"/>
  <c r="Y76" i="28"/>
  <c r="Y62" i="28"/>
  <c r="T52" i="28"/>
  <c r="T66" i="28"/>
  <c r="G70" i="28"/>
  <c r="G56" i="28"/>
  <c r="G45" i="28"/>
  <c r="P75" i="28"/>
  <c r="P61" i="28"/>
  <c r="J70" i="28"/>
  <c r="J56" i="28"/>
  <c r="O66" i="28"/>
  <c r="O63" i="28" s="1"/>
  <c r="O52" i="28"/>
  <c r="O48" i="28" s="1"/>
  <c r="E61" i="28"/>
  <c r="E75" i="28"/>
  <c r="P59" i="28"/>
  <c r="P73" i="28"/>
  <c r="S48" i="28"/>
  <c r="AA57" i="28"/>
  <c r="AA71" i="28"/>
  <c r="M67" i="28"/>
  <c r="M53" i="28"/>
  <c r="Z67" i="28"/>
  <c r="Z53" i="28"/>
  <c r="V31" i="28"/>
  <c r="Y68" i="28"/>
  <c r="Y54" i="28"/>
  <c r="N75" i="28"/>
  <c r="N61" i="28"/>
  <c r="O67" i="28"/>
  <c r="O53" i="28"/>
  <c r="G68" i="28"/>
  <c r="G54" i="28"/>
  <c r="G48" i="28" s="1"/>
  <c r="V54" i="28"/>
  <c r="V68" i="28"/>
  <c r="U53" i="28"/>
  <c r="U67" i="28"/>
  <c r="N57" i="28"/>
  <c r="N71" i="28"/>
  <c r="U68" i="28"/>
  <c r="U54" i="28"/>
  <c r="G61" i="28"/>
  <c r="G75" i="28"/>
  <c r="R68" i="28"/>
  <c r="R54" i="28"/>
  <c r="AV59" i="28"/>
  <c r="AV73" i="28"/>
  <c r="AD52" i="28"/>
  <c r="AD48" i="28" s="1"/>
  <c r="AD66" i="28"/>
  <c r="AD60" i="28"/>
  <c r="AD74" i="28"/>
  <c r="AU62" i="28"/>
  <c r="AU76" i="28"/>
  <c r="AK62" i="28"/>
  <c r="AK76" i="28"/>
  <c r="AQ51" i="28"/>
  <c r="AQ65" i="28"/>
  <c r="AD51" i="28"/>
  <c r="AD65" i="28"/>
  <c r="AS52" i="28"/>
  <c r="AS48" i="28" s="1"/>
  <c r="AS66" i="28"/>
  <c r="AU52" i="28"/>
  <c r="AU66" i="28"/>
  <c r="AU60" i="28"/>
  <c r="AU74" i="28"/>
  <c r="AS60" i="28"/>
  <c r="AS74" i="28"/>
  <c r="AS58" i="28"/>
  <c r="AS72" i="28"/>
  <c r="AU58" i="28"/>
  <c r="AU72" i="28"/>
  <c r="AU57" i="28"/>
  <c r="AU71" i="28"/>
  <c r="AS57" i="28"/>
  <c r="AS71" i="28"/>
  <c r="AS61" i="28"/>
  <c r="AS75" i="28"/>
  <c r="AU61" i="28"/>
  <c r="AU75" i="28"/>
  <c r="AS56" i="28"/>
  <c r="AS70" i="28"/>
  <c r="AU56" i="28"/>
  <c r="AU70" i="28"/>
  <c r="AR48" i="28"/>
  <c r="AN31" i="28"/>
  <c r="AK31" i="28"/>
  <c r="AF54" i="28"/>
  <c r="AF68" i="28"/>
  <c r="AO31" i="28"/>
  <c r="AZ67" i="28"/>
  <c r="AZ53" i="28"/>
  <c r="AZ73" i="28"/>
  <c r="AZ59" i="28"/>
  <c r="AN68" i="28"/>
  <c r="AN54" i="28"/>
  <c r="AG53" i="28"/>
  <c r="AG67" i="28"/>
  <c r="I76" i="28"/>
  <c r="I62" i="28"/>
  <c r="N31" i="28"/>
  <c r="D66" i="28"/>
  <c r="D52" i="28"/>
  <c r="D48" i="28" s="1"/>
  <c r="R66" i="28"/>
  <c r="R52" i="28"/>
  <c r="Y56" i="28"/>
  <c r="Y70" i="28"/>
  <c r="T75" i="28"/>
  <c r="T61" i="28"/>
  <c r="O59" i="28"/>
  <c r="O73" i="28"/>
  <c r="K71" i="28"/>
  <c r="K57" i="28"/>
  <c r="P67" i="28"/>
  <c r="P53" i="28"/>
  <c r="L67" i="28"/>
  <c r="L53" i="28"/>
  <c r="I68" i="28"/>
  <c r="I54" i="28"/>
  <c r="M75" i="28"/>
  <c r="M61" i="28"/>
  <c r="R72" i="28"/>
  <c r="R58" i="28"/>
  <c r="F68" i="28"/>
  <c r="F54" i="28"/>
  <c r="W53" i="28"/>
  <c r="W67" i="28"/>
  <c r="E67" i="28"/>
  <c r="E53" i="28"/>
  <c r="V72" i="28"/>
  <c r="V58" i="28"/>
  <c r="E68" i="28"/>
  <c r="E54" i="28"/>
  <c r="M73" i="28"/>
  <c r="M59" i="28"/>
  <c r="AQ52" i="28"/>
  <c r="AQ48" i="28" s="1"/>
  <c r="AQ66" i="28"/>
  <c r="AQ58" i="28"/>
  <c r="AQ72" i="28"/>
  <c r="AQ57" i="28"/>
  <c r="AQ71" i="28"/>
  <c r="AO70" i="28"/>
  <c r="AO56" i="28"/>
  <c r="AC48" i="28"/>
  <c r="AJ59" i="28"/>
  <c r="AJ73" i="28"/>
  <c r="AU54" i="28"/>
  <c r="AU68" i="28"/>
  <c r="Z65" i="28"/>
  <c r="Z51" i="28"/>
  <c r="I70" i="28"/>
  <c r="I56" i="28"/>
  <c r="N73" i="28"/>
  <c r="N59" i="28"/>
  <c r="Y74" i="28"/>
  <c r="Y60" i="28"/>
  <c r="U74" i="28"/>
  <c r="U60" i="28"/>
  <c r="AA67" i="28"/>
  <c r="AA53" i="28"/>
  <c r="G67" i="28"/>
  <c r="G53" i="28"/>
  <c r="X54" i="28"/>
  <c r="X68" i="28"/>
  <c r="L75" i="28"/>
  <c r="L61" i="28"/>
  <c r="Q72" i="28"/>
  <c r="Q58" i="28"/>
  <c r="Q68" i="28"/>
  <c r="Q54" i="28"/>
  <c r="W73" i="28"/>
  <c r="W59" i="28"/>
  <c r="Z68" i="28"/>
  <c r="Z54" i="28"/>
  <c r="Z48" i="28" s="1"/>
  <c r="Y73" i="28"/>
  <c r="Y63" i="28" s="1"/>
  <c r="Y59" i="28"/>
  <c r="R67" i="28"/>
  <c r="R53" i="28"/>
  <c r="F72" i="28"/>
  <c r="F58" i="28"/>
  <c r="T68" i="28"/>
  <c r="T54" i="28"/>
  <c r="L73" i="28"/>
  <c r="L59" i="28"/>
  <c r="AO75" i="28"/>
  <c r="AO61" i="28"/>
  <c r="AJ53" i="28"/>
  <c r="AJ67" i="28"/>
  <c r="AR53" i="28"/>
  <c r="AR67" i="28"/>
  <c r="D61" i="28"/>
  <c r="D75" i="28"/>
  <c r="AM76" i="28"/>
  <c r="AM62" i="28"/>
  <c r="AG62" i="28"/>
  <c r="AG76" i="28"/>
  <c r="AF51" i="28"/>
  <c r="AF65" i="28"/>
  <c r="AR51" i="28"/>
  <c r="AR65" i="28"/>
  <c r="AK52" i="28"/>
  <c r="AK48" i="28" s="1"/>
  <c r="AK66" i="28"/>
  <c r="AK63" i="28" s="1"/>
  <c r="AM66" i="28"/>
  <c r="AM52" i="28"/>
  <c r="AM74" i="28"/>
  <c r="AM60" i="28"/>
  <c r="AK60" i="28"/>
  <c r="AK74" i="28"/>
  <c r="AK58" i="28"/>
  <c r="AK72" i="28"/>
  <c r="AM72" i="28"/>
  <c r="AM58" i="28"/>
  <c r="AM48" i="28" s="1"/>
  <c r="AM71" i="28"/>
  <c r="AM57" i="28"/>
  <c r="AK57" i="28"/>
  <c r="AK71" i="28"/>
  <c r="AK61" i="28"/>
  <c r="AK75" i="28"/>
  <c r="AM75" i="28"/>
  <c r="AM61" i="28"/>
  <c r="AK56" i="28"/>
  <c r="AK70" i="28"/>
  <c r="AM70" i="28"/>
  <c r="AM56" i="28"/>
  <c r="AI48" i="28"/>
  <c r="AJ31" i="28"/>
  <c r="AG31" i="28"/>
  <c r="AT54" i="28"/>
  <c r="AT48" i="28" s="1"/>
  <c r="AT68" i="28"/>
  <c r="AQ53" i="28"/>
  <c r="AQ67" i="28"/>
  <c r="AQ59" i="28"/>
  <c r="AQ73" i="28"/>
  <c r="AE54" i="28"/>
  <c r="AE48" i="28" s="1"/>
  <c r="AE68" i="28"/>
  <c r="AY67" i="28"/>
  <c r="AY53" i="28"/>
  <c r="H62" i="28"/>
  <c r="H76" i="28"/>
  <c r="X45" i="28"/>
  <c r="E76" i="28"/>
  <c r="E62" i="28"/>
  <c r="S66" i="28"/>
  <c r="S63" i="28" s="1"/>
  <c r="S52" i="28"/>
  <c r="Y31" i="28"/>
  <c r="P66" i="28"/>
  <c r="P52" i="28"/>
  <c r="M56" i="28"/>
  <c r="M70" i="28"/>
  <c r="J65" i="28"/>
  <c r="J51" i="28"/>
  <c r="W45" i="28"/>
  <c r="X56" i="28"/>
  <c r="X70" i="28"/>
  <c r="S45" i="28"/>
  <c r="K75" i="28"/>
  <c r="K61" i="28"/>
  <c r="K73" i="28"/>
  <c r="K59" i="28"/>
  <c r="K48" i="28" s="1"/>
  <c r="F73" i="28"/>
  <c r="F59" i="28"/>
  <c r="J71" i="28"/>
  <c r="J57" i="28"/>
  <c r="M74" i="28"/>
  <c r="M60" i="28"/>
  <c r="I74" i="28"/>
  <c r="I60" i="28"/>
  <c r="E60" i="28"/>
  <c r="E74" i="28"/>
  <c r="Q60" i="28"/>
  <c r="Q74" i="28"/>
  <c r="K53" i="28"/>
  <c r="K67" i="28"/>
  <c r="N67" i="28"/>
  <c r="N53" i="28"/>
  <c r="E31" i="28"/>
  <c r="H68" i="28"/>
  <c r="H63" i="28" s="1"/>
  <c r="H54" i="28"/>
  <c r="W75" i="28"/>
  <c r="W61" i="28"/>
  <c r="I31" i="28"/>
  <c r="P58" i="28"/>
  <c r="P72" i="28"/>
  <c r="P68" i="28"/>
  <c r="P54" i="28"/>
  <c r="V73" i="28"/>
  <c r="V59" i="28"/>
  <c r="I73" i="28"/>
  <c r="I59" i="28"/>
  <c r="X67" i="28"/>
  <c r="X53" i="28"/>
  <c r="U72" i="28"/>
  <c r="U58" i="28"/>
  <c r="D68" i="28"/>
  <c r="D54" i="28"/>
  <c r="Y48" i="28"/>
  <c r="N68" i="28"/>
  <c r="N54" i="28"/>
  <c r="AP51" i="28"/>
  <c r="AP65" i="28"/>
  <c r="AW62" i="28"/>
  <c r="AW76" i="28"/>
  <c r="AX51" i="28"/>
  <c r="AX65" i="28"/>
  <c r="AO66" i="28"/>
  <c r="AO52" i="28"/>
  <c r="AO48" i="28" s="1"/>
  <c r="AO74" i="28"/>
  <c r="AO60" i="28"/>
  <c r="AO72" i="28"/>
  <c r="AO58" i="28"/>
  <c r="AQ61" i="28"/>
  <c r="AQ75" i="28"/>
  <c r="Q66" i="28"/>
  <c r="Q52" i="28"/>
  <c r="Q48" i="28" s="1"/>
  <c r="G73" i="28"/>
  <c r="G59" i="28"/>
  <c r="AI62" i="28"/>
  <c r="AI76" i="28"/>
  <c r="AS62" i="28"/>
  <c r="AS76" i="28"/>
  <c r="AZ65" i="28"/>
  <c r="AZ51" i="28"/>
  <c r="AM65" i="28"/>
  <c r="AM51" i="28"/>
  <c r="AG52" i="28"/>
  <c r="AG66" i="28"/>
  <c r="AG63" i="28" s="1"/>
  <c r="AI52" i="28"/>
  <c r="AI66" i="28"/>
  <c r="AI60" i="28"/>
  <c r="AI74" i="28"/>
  <c r="AG60" i="28"/>
  <c r="AG74" i="28"/>
  <c r="AG58" i="28"/>
  <c r="AG48" i="28" s="1"/>
  <c r="AG72" i="28"/>
  <c r="AI58" i="28"/>
  <c r="AI72" i="28"/>
  <c r="AI57" i="28"/>
  <c r="AI71" i="28"/>
  <c r="AG57" i="28"/>
  <c r="AG71" i="28"/>
  <c r="AG61" i="28"/>
  <c r="AG75" i="28"/>
  <c r="AI61" i="28"/>
  <c r="AI75" i="28"/>
  <c r="AG56" i="28"/>
  <c r="AG70" i="28"/>
  <c r="AI56" i="28"/>
  <c r="AI70" i="28"/>
  <c r="AV48" i="28"/>
  <c r="AU48" i="28"/>
  <c r="K31" i="28"/>
  <c r="AI31" i="28"/>
  <c r="AH31" i="28"/>
  <c r="H31" i="28"/>
  <c r="AD54" i="28"/>
  <c r="AD68" i="28"/>
  <c r="AX53" i="28"/>
  <c r="AX67" i="28"/>
  <c r="AX59" i="28"/>
  <c r="AX73" i="28"/>
  <c r="AL54" i="28"/>
  <c r="AL68" i="28"/>
  <c r="AI53" i="28"/>
  <c r="AI67" i="28"/>
  <c r="W76" i="28"/>
  <c r="W62" i="28"/>
  <c r="H45" i="28"/>
  <c r="T62" i="28"/>
  <c r="T76" i="28"/>
  <c r="AA66" i="28"/>
  <c r="AA52" i="28"/>
  <c r="AA48" i="28" s="1"/>
  <c r="L56" i="28"/>
  <c r="L70" i="28"/>
  <c r="Y65" i="28"/>
  <c r="Y51" i="28"/>
  <c r="H70" i="28"/>
  <c r="H56" i="28"/>
  <c r="N65" i="28"/>
  <c r="N51" i="28"/>
  <c r="N48" i="28"/>
  <c r="Y57" i="28"/>
  <c r="Y71" i="28"/>
  <c r="U73" i="28"/>
  <c r="U59" i="28"/>
  <c r="L74" i="28"/>
  <c r="L60" i="28"/>
  <c r="X74" i="28"/>
  <c r="X60" i="28"/>
  <c r="T74" i="28"/>
  <c r="T60" i="28"/>
  <c r="P60" i="28"/>
  <c r="P74" i="28"/>
  <c r="V53" i="28"/>
  <c r="V67" i="28"/>
  <c r="Z58" i="28"/>
  <c r="Z72" i="28"/>
  <c r="AA68" i="28"/>
  <c r="AA54" i="28"/>
  <c r="D45" i="28"/>
  <c r="X73" i="28"/>
  <c r="X59" i="28"/>
  <c r="H67" i="28"/>
  <c r="H53" i="28"/>
  <c r="E72" i="28"/>
  <c r="E58" i="28"/>
  <c r="J54" i="28"/>
  <c r="J68" i="28"/>
  <c r="I48" i="28"/>
  <c r="K54" i="28"/>
  <c r="K68" i="28"/>
  <c r="BT2" i="18"/>
  <c r="BT38" i="18" s="1"/>
  <c r="AB11" i="28"/>
  <c r="AB39" i="28" s="1"/>
  <c r="AB10" i="28"/>
  <c r="AB46" i="28" s="1"/>
  <c r="AB27" i="28"/>
  <c r="AB19" i="28"/>
  <c r="AB42" i="28" s="1"/>
  <c r="AB14" i="28"/>
  <c r="AB34" i="28" s="1"/>
  <c r="AB28" i="28"/>
  <c r="AB43" i="28" s="1"/>
  <c r="AB21" i="28"/>
  <c r="AB15" i="28"/>
  <c r="AB44" i="28" s="1"/>
  <c r="AB30" i="28"/>
  <c r="AB35" i="28" s="1"/>
  <c r="AB17" i="28"/>
  <c r="AB12" i="28"/>
  <c r="AB4" i="28"/>
  <c r="AB40" i="28" s="1"/>
  <c r="AB16" i="28"/>
  <c r="AB6" i="28"/>
  <c r="AB47" i="28" s="1"/>
  <c r="AB29" i="28"/>
  <c r="AB18" i="28"/>
  <c r="AB20" i="28"/>
  <c r="AB23" i="28"/>
  <c r="AB49" i="28" s="1"/>
  <c r="AB5" i="28"/>
  <c r="AB7" i="28"/>
  <c r="AB8" i="28"/>
  <c r="AB41" i="28" s="1"/>
  <c r="AB22" i="28"/>
  <c r="AB37" i="28" s="1"/>
  <c r="AB26" i="28"/>
  <c r="AB36" i="28" s="1"/>
  <c r="AB13" i="28"/>
  <c r="AB33" i="28" s="1"/>
  <c r="AB9" i="28"/>
  <c r="AB3" i="28"/>
  <c r="AB32" i="28" s="1"/>
  <c r="BT16" i="18"/>
  <c r="AG20" i="5"/>
  <c r="AG17" i="5"/>
  <c r="AG18" i="5"/>
  <c r="BT27" i="18"/>
  <c r="BT18" i="18"/>
  <c r="C5" i="28"/>
  <c r="C16" i="28"/>
  <c r="C28" i="28"/>
  <c r="C4" i="28"/>
  <c r="C14" i="28"/>
  <c r="AV30" i="18"/>
  <c r="AT30" i="18"/>
  <c r="AY30" i="18"/>
  <c r="AR30" i="18"/>
  <c r="AS30" i="18"/>
  <c r="AW30" i="18"/>
  <c r="AZ30" i="18"/>
  <c r="AU30" i="18"/>
  <c r="AX30" i="18"/>
  <c r="AW29" i="18"/>
  <c r="AY29" i="18"/>
  <c r="AZ29" i="18"/>
  <c r="AU29" i="18"/>
  <c r="AV29" i="18"/>
  <c r="AT29" i="18"/>
  <c r="AS29" i="18"/>
  <c r="AR29" i="18"/>
  <c r="AX29" i="18"/>
  <c r="AX28" i="18"/>
  <c r="AU28" i="18"/>
  <c r="AZ28" i="18"/>
  <c r="AV28" i="18"/>
  <c r="AY28" i="18"/>
  <c r="AT28" i="18"/>
  <c r="AS28" i="18"/>
  <c r="AR28" i="18"/>
  <c r="AW28" i="18"/>
  <c r="AY27" i="18"/>
  <c r="AV27" i="18"/>
  <c r="AS27" i="18"/>
  <c r="AU27" i="18"/>
  <c r="AW27" i="18"/>
  <c r="AZ27" i="18"/>
  <c r="AT27" i="18"/>
  <c r="AX27" i="18"/>
  <c r="AR27" i="18"/>
  <c r="AV26" i="18"/>
  <c r="AY26" i="18"/>
  <c r="AT26" i="18"/>
  <c r="AS26" i="18"/>
  <c r="AZ26" i="18"/>
  <c r="AX26" i="18"/>
  <c r="AU26" i="18"/>
  <c r="AR26" i="18"/>
  <c r="AW26" i="18"/>
  <c r="AX25" i="18"/>
  <c r="AU25" i="18"/>
  <c r="AT25" i="18"/>
  <c r="AY25" i="18"/>
  <c r="AS25" i="18"/>
  <c r="AV25" i="18"/>
  <c r="AZ25" i="18"/>
  <c r="AW25" i="18"/>
  <c r="AR25" i="18"/>
  <c r="AS24" i="18"/>
  <c r="AZ24" i="18"/>
  <c r="AV24" i="18"/>
  <c r="AW24" i="18"/>
  <c r="AY24" i="18"/>
  <c r="AR24" i="18"/>
  <c r="AX24" i="18"/>
  <c r="AU24" i="18"/>
  <c r="AT24" i="18"/>
  <c r="AY23" i="18"/>
  <c r="AS23" i="18"/>
  <c r="AX23" i="18"/>
  <c r="AU23" i="18"/>
  <c r="AZ23" i="18"/>
  <c r="AR23" i="18"/>
  <c r="AT23" i="18"/>
  <c r="AV23" i="18"/>
  <c r="AW23" i="18"/>
  <c r="AT22" i="18"/>
  <c r="AU22" i="18"/>
  <c r="AX22" i="18"/>
  <c r="AR22" i="18"/>
  <c r="AW22" i="18"/>
  <c r="AZ22" i="18"/>
  <c r="AV22" i="18"/>
  <c r="AS22" i="18"/>
  <c r="AY22" i="18"/>
  <c r="AY21" i="18"/>
  <c r="AZ21" i="18"/>
  <c r="AX21" i="18"/>
  <c r="AR21" i="18"/>
  <c r="AS21" i="18"/>
  <c r="AW21" i="18"/>
  <c r="AU21" i="18"/>
  <c r="AV21" i="18"/>
  <c r="AT21" i="18"/>
  <c r="AX20" i="18"/>
  <c r="AR20" i="18"/>
  <c r="AZ20" i="18"/>
  <c r="AT20" i="18"/>
  <c r="AU20" i="18"/>
  <c r="AW20" i="18"/>
  <c r="AV20" i="18"/>
  <c r="AS20" i="18"/>
  <c r="AY20" i="18"/>
  <c r="AZ19" i="18"/>
  <c r="AY19" i="18"/>
  <c r="AR19" i="18"/>
  <c r="AX19" i="18"/>
  <c r="AS19" i="18"/>
  <c r="AW19" i="18"/>
  <c r="AU19" i="18"/>
  <c r="AV19" i="18"/>
  <c r="AT19" i="18"/>
  <c r="AY18" i="18"/>
  <c r="AZ18" i="18"/>
  <c r="AW18" i="18"/>
  <c r="AX18" i="18"/>
  <c r="AS18" i="18"/>
  <c r="AR18" i="18"/>
  <c r="AU18" i="18"/>
  <c r="AV18" i="18"/>
  <c r="AT18" i="18"/>
  <c r="AR17" i="18"/>
  <c r="AY17" i="18"/>
  <c r="AS17" i="18"/>
  <c r="AW17" i="18"/>
  <c r="AX17" i="18"/>
  <c r="AU17" i="18"/>
  <c r="AT17" i="18"/>
  <c r="AV17" i="18"/>
  <c r="AZ17" i="18"/>
  <c r="AW16" i="18"/>
  <c r="AV16" i="18"/>
  <c r="AR16" i="18"/>
  <c r="AZ16" i="18"/>
  <c r="AS16" i="18"/>
  <c r="AY16" i="18"/>
  <c r="AU16" i="18"/>
  <c r="AX16" i="18"/>
  <c r="AT16" i="18"/>
  <c r="AS15" i="18"/>
  <c r="AW15" i="18"/>
  <c r="AR15" i="18"/>
  <c r="AY15" i="18"/>
  <c r="AT15" i="18"/>
  <c r="AX15" i="18"/>
  <c r="AU15" i="18"/>
  <c r="AV15" i="18"/>
  <c r="AZ15" i="18"/>
  <c r="AZ14" i="18"/>
  <c r="AV14" i="18"/>
  <c r="AR14" i="18"/>
  <c r="AS14" i="18"/>
  <c r="AW14" i="18"/>
  <c r="AY14" i="18"/>
  <c r="AU14" i="18"/>
  <c r="AX14" i="18"/>
  <c r="AT14" i="18"/>
  <c r="AV13" i="18"/>
  <c r="AZ13" i="18"/>
  <c r="AU13" i="18"/>
  <c r="AR13" i="18"/>
  <c r="AT13" i="18"/>
  <c r="AW13" i="18"/>
  <c r="AX13" i="18"/>
  <c r="AY13" i="18"/>
  <c r="AS13" i="18"/>
  <c r="AS12" i="18"/>
  <c r="AY12" i="18"/>
  <c r="AR12" i="18"/>
  <c r="AU12" i="18"/>
  <c r="AW12" i="18"/>
  <c r="AZ12" i="18"/>
  <c r="AT12" i="18"/>
  <c r="AV12" i="18"/>
  <c r="AX12" i="18"/>
  <c r="AZ11" i="18"/>
  <c r="AY11" i="18"/>
  <c r="AV11" i="18"/>
  <c r="AW11" i="18"/>
  <c r="AS11" i="18"/>
  <c r="AR11" i="18"/>
  <c r="AT11" i="18"/>
  <c r="AU11" i="18"/>
  <c r="AX11" i="18"/>
  <c r="AT10" i="18"/>
  <c r="AX10" i="18"/>
  <c r="AU10" i="18"/>
  <c r="AZ10" i="18"/>
  <c r="AV10" i="18"/>
  <c r="AS10" i="18"/>
  <c r="AR10" i="18"/>
  <c r="AY10" i="18"/>
  <c r="AW10" i="18"/>
  <c r="AZ9" i="18"/>
  <c r="AV9" i="18"/>
  <c r="AW9" i="18"/>
  <c r="AX9" i="18"/>
  <c r="AS9" i="18"/>
  <c r="AU9" i="18"/>
  <c r="AY9" i="18"/>
  <c r="AR9" i="18"/>
  <c r="AT9" i="18"/>
  <c r="AX8" i="18"/>
  <c r="AU8" i="18"/>
  <c r="AT8" i="18"/>
  <c r="AR8" i="18"/>
  <c r="AY8" i="18"/>
  <c r="AZ8" i="18"/>
  <c r="AV8" i="18"/>
  <c r="AS8" i="18"/>
  <c r="AW8" i="18"/>
  <c r="AZ7" i="18"/>
  <c r="AV7" i="18"/>
  <c r="AY7" i="18"/>
  <c r="AW7" i="18"/>
  <c r="AX7" i="18"/>
  <c r="AU7" i="18"/>
  <c r="AS7" i="18"/>
  <c r="AR7" i="18"/>
  <c r="AT7" i="18"/>
  <c r="AR6" i="18"/>
  <c r="AW6" i="18"/>
  <c r="AS6" i="18"/>
  <c r="AY6" i="18"/>
  <c r="AU6" i="18"/>
  <c r="AX6" i="18"/>
  <c r="AV6" i="18"/>
  <c r="AZ6" i="18"/>
  <c r="AT6" i="18"/>
  <c r="AY5" i="18"/>
  <c r="AS5" i="18"/>
  <c r="AZ5" i="18"/>
  <c r="AU5" i="18"/>
  <c r="AV5" i="18"/>
  <c r="AT5" i="18"/>
  <c r="AX5" i="18"/>
  <c r="AR5" i="18"/>
  <c r="AW5" i="18"/>
  <c r="AT4" i="18"/>
  <c r="AX4" i="18"/>
  <c r="AU4" i="18"/>
  <c r="AZ4" i="18"/>
  <c r="AV4" i="18"/>
  <c r="AS4" i="18"/>
  <c r="AY4" i="18"/>
  <c r="AR4" i="18"/>
  <c r="AW4" i="18"/>
  <c r="AT2" i="18"/>
  <c r="AY2" i="18"/>
  <c r="AU2" i="18"/>
  <c r="AS2" i="18"/>
  <c r="AX2" i="18"/>
  <c r="AZ2" i="18"/>
  <c r="AW2" i="18"/>
  <c r="AV2" i="18"/>
  <c r="AR2" i="18"/>
  <c r="BT20" i="18"/>
  <c r="C19" i="28"/>
  <c r="C11" i="28"/>
  <c r="C9" i="28"/>
  <c r="AG28" i="5"/>
  <c r="AG43" i="5" s="1"/>
  <c r="AG30" i="5"/>
  <c r="AG35" i="5" s="1"/>
  <c r="AG11" i="5"/>
  <c r="AG39" i="5" s="1"/>
  <c r="AG27" i="5"/>
  <c r="AG26" i="5"/>
  <c r="AG36" i="5" s="1"/>
  <c r="C13" i="28"/>
  <c r="C30" i="28"/>
  <c r="C12" i="28"/>
  <c r="C15" i="28"/>
  <c r="AG12" i="5"/>
  <c r="AG5" i="5"/>
  <c r="BT15" i="18"/>
  <c r="BT44" i="18" s="1"/>
  <c r="BT12" i="18"/>
  <c r="BT19" i="18"/>
  <c r="BT42" i="18" s="1"/>
  <c r="BT5" i="18"/>
  <c r="AG9" i="5"/>
  <c r="BT14" i="18"/>
  <c r="BT34" i="18" s="1"/>
  <c r="BT9" i="18"/>
  <c r="AG2" i="5"/>
  <c r="AG38" i="5" s="1"/>
  <c r="AG8" i="5"/>
  <c r="AG41" i="5" s="1"/>
  <c r="AG22" i="5"/>
  <c r="AG37" i="5" s="1"/>
  <c r="BT8" i="18"/>
  <c r="BT41" i="18" s="1"/>
  <c r="BT26" i="18"/>
  <c r="BT36" i="18" s="1"/>
  <c r="BT22" i="18"/>
  <c r="BT37" i="18" s="1"/>
  <c r="BT17" i="18"/>
  <c r="AG21" i="5"/>
  <c r="BT6" i="18"/>
  <c r="BT47" i="18" s="1"/>
  <c r="BT45" i="18" s="1"/>
  <c r="BT21" i="18"/>
  <c r="AG7" i="5"/>
  <c r="AG29" i="5"/>
  <c r="BT7" i="18"/>
  <c r="BT29" i="18"/>
  <c r="C23" i="28"/>
  <c r="C10" i="28"/>
  <c r="C21" i="28"/>
  <c r="C29" i="28"/>
  <c r="C20" i="28"/>
  <c r="C22" i="28"/>
  <c r="C2" i="28"/>
  <c r="C38" i="28" s="1"/>
  <c r="C7" i="28"/>
  <c r="C27" i="28"/>
  <c r="C8" i="28"/>
  <c r="C17" i="28"/>
  <c r="C26" i="28"/>
  <c r="C6" i="28"/>
  <c r="C18" i="28"/>
  <c r="AG3" i="5"/>
  <c r="AG32" i="5" s="1"/>
  <c r="AB2" i="28"/>
  <c r="AB38" i="28" s="1"/>
  <c r="C3" i="28"/>
  <c r="C32" i="28" s="1"/>
  <c r="AF32" i="17"/>
  <c r="BT73" i="18" l="1"/>
  <c r="BT59" i="18"/>
  <c r="AG68" i="5"/>
  <c r="AG54" i="5"/>
  <c r="AG51" i="5"/>
  <c r="AG65" i="5"/>
  <c r="BT62" i="18"/>
  <c r="BT76" i="18"/>
  <c r="AA63" i="28"/>
  <c r="AM63" i="28"/>
  <c r="AS63" i="28"/>
  <c r="AD63" i="28"/>
  <c r="F63" i="28"/>
  <c r="AG66" i="5"/>
  <c r="AG52" i="5"/>
  <c r="V48" i="28"/>
  <c r="AJ63" i="28"/>
  <c r="AR63" i="28"/>
  <c r="BT74" i="18"/>
  <c r="BT60" i="18"/>
  <c r="AG56" i="5"/>
  <c r="AG70" i="5"/>
  <c r="P48" i="28"/>
  <c r="U63" i="28"/>
  <c r="I63" i="28"/>
  <c r="AG60" i="5"/>
  <c r="AG74" i="5"/>
  <c r="BT72" i="18"/>
  <c r="BT58" i="18"/>
  <c r="P63" i="28"/>
  <c r="R48" i="28"/>
  <c r="Z63" i="28"/>
  <c r="E63" i="28"/>
  <c r="AO63" i="28"/>
  <c r="AH63" i="28"/>
  <c r="AP63" i="28"/>
  <c r="AC63" i="28"/>
  <c r="AG67" i="5"/>
  <c r="AG53" i="5"/>
  <c r="BT70" i="18"/>
  <c r="BT56" i="18"/>
  <c r="R63" i="28"/>
  <c r="AF63" i="28"/>
  <c r="V63" i="28"/>
  <c r="L63" i="28"/>
  <c r="D63" i="28"/>
  <c r="BT71" i="18"/>
  <c r="BT57" i="18"/>
  <c r="AI63" i="28"/>
  <c r="AY63" i="28"/>
  <c r="W63" i="28"/>
  <c r="AG75" i="5"/>
  <c r="AG61" i="5"/>
  <c r="AQ63" i="28"/>
  <c r="J63" i="28"/>
  <c r="BT66" i="18"/>
  <c r="BT52" i="18"/>
  <c r="W48" i="28"/>
  <c r="F48" i="28"/>
  <c r="K63" i="28"/>
  <c r="X63" i="28"/>
  <c r="J48" i="28"/>
  <c r="BT68" i="18"/>
  <c r="BT54" i="18"/>
  <c r="AG73" i="5"/>
  <c r="AG59" i="5"/>
  <c r="Q63" i="28"/>
  <c r="AN63" i="28"/>
  <c r="AX63" i="28"/>
  <c r="AG57" i="5"/>
  <c r="AG71" i="5"/>
  <c r="M63" i="28"/>
  <c r="AU63" i="28"/>
  <c r="AL63" i="28"/>
  <c r="G63" i="28"/>
  <c r="BT51" i="18"/>
  <c r="BT65" i="18"/>
  <c r="AG76" i="5"/>
  <c r="AG62" i="5"/>
  <c r="BT67" i="18"/>
  <c r="BT53" i="18"/>
  <c r="BT75" i="18"/>
  <c r="BT61" i="18"/>
  <c r="T63" i="28"/>
  <c r="N63" i="28"/>
  <c r="AV63" i="28"/>
  <c r="AB45" i="28"/>
  <c r="T26" i="4"/>
  <c r="C36" i="28"/>
  <c r="T7" i="4"/>
  <c r="C59" i="28"/>
  <c r="C73" i="28"/>
  <c r="T9" i="4"/>
  <c r="T54" i="4" s="1"/>
  <c r="C54" i="28"/>
  <c r="C68" i="28"/>
  <c r="T17" i="4"/>
  <c r="T52" i="4" s="1"/>
  <c r="C66" i="28"/>
  <c r="C52" i="28"/>
  <c r="T30" i="4"/>
  <c r="C35" i="28"/>
  <c r="T4" i="4"/>
  <c r="C40" i="28"/>
  <c r="AB54" i="28"/>
  <c r="AB68" i="28"/>
  <c r="AB70" i="28"/>
  <c r="AB56" i="28"/>
  <c r="AB58" i="28"/>
  <c r="AB72" i="28"/>
  <c r="C45" i="28"/>
  <c r="AB31" i="28"/>
  <c r="C31" i="28"/>
  <c r="T29" i="4"/>
  <c r="T71" i="4" s="1"/>
  <c r="C57" i="28"/>
  <c r="C71" i="28"/>
  <c r="T14" i="4"/>
  <c r="C34" i="28"/>
  <c r="T21" i="4"/>
  <c r="T65" i="4" s="1"/>
  <c r="C51" i="28"/>
  <c r="C65" i="28"/>
  <c r="T11" i="4"/>
  <c r="C39" i="28"/>
  <c r="T18" i="4"/>
  <c r="T61" i="4" s="1"/>
  <c r="C61" i="28"/>
  <c r="C75" i="28"/>
  <c r="T8" i="4"/>
  <c r="C41" i="28"/>
  <c r="T22" i="4"/>
  <c r="C37" i="28"/>
  <c r="T10" i="4"/>
  <c r="C46" i="28"/>
  <c r="T13" i="4"/>
  <c r="C33" i="28"/>
  <c r="T19" i="4"/>
  <c r="C42" i="28"/>
  <c r="T28" i="4"/>
  <c r="C43" i="28"/>
  <c r="AB73" i="28"/>
  <c r="AB59" i="28"/>
  <c r="AB61" i="28"/>
  <c r="AB75" i="28"/>
  <c r="T12" i="4"/>
  <c r="C74" i="28"/>
  <c r="C60" i="28"/>
  <c r="T6" i="4"/>
  <c r="C47" i="28"/>
  <c r="T27" i="4"/>
  <c r="T76" i="4" s="1"/>
  <c r="C62" i="28"/>
  <c r="C76" i="28"/>
  <c r="T20" i="4"/>
  <c r="T56" i="4" s="1"/>
  <c r="C70" i="28"/>
  <c r="C56" i="28"/>
  <c r="T23" i="4"/>
  <c r="C49" i="28"/>
  <c r="T15" i="4"/>
  <c r="C44" i="28"/>
  <c r="T16" i="4"/>
  <c r="T72" i="4" s="1"/>
  <c r="C58" i="28"/>
  <c r="C72" i="28"/>
  <c r="AB53" i="28"/>
  <c r="AB67" i="28"/>
  <c r="AB57" i="28"/>
  <c r="AB71" i="28"/>
  <c r="AB74" i="28"/>
  <c r="AB60" i="28"/>
  <c r="AB65" i="28"/>
  <c r="AB51" i="28"/>
  <c r="AB62" i="28"/>
  <c r="AB76" i="28"/>
  <c r="T5" i="4"/>
  <c r="T53" i="4" s="1"/>
  <c r="C53" i="28"/>
  <c r="C67" i="28"/>
  <c r="AB66" i="28"/>
  <c r="AB52" i="28"/>
  <c r="T3" i="4"/>
  <c r="T32" i="4" s="1"/>
  <c r="AP32" i="17"/>
  <c r="AF31" i="17"/>
  <c r="AG32" i="17"/>
  <c r="T66" i="4"/>
  <c r="T68" i="4"/>
  <c r="AH5" i="5"/>
  <c r="AH17" i="5"/>
  <c r="AH9" i="5"/>
  <c r="AH29" i="5"/>
  <c r="AH7" i="5"/>
  <c r="AH20" i="5"/>
  <c r="AH21" i="5"/>
  <c r="AH12" i="5"/>
  <c r="AH27" i="5"/>
  <c r="AH18" i="5"/>
  <c r="AH11" i="5"/>
  <c r="AH28" i="5"/>
  <c r="AH3" i="5"/>
  <c r="AH2" i="5"/>
  <c r="AH30" i="5"/>
  <c r="AH22" i="5"/>
  <c r="AH26" i="5"/>
  <c r="AH8" i="5"/>
  <c r="T2" i="4"/>
  <c r="BT30" i="18"/>
  <c r="BT35" i="18" s="1"/>
  <c r="AG13" i="5"/>
  <c r="AG33" i="5" s="1"/>
  <c r="AG31" i="5" s="1"/>
  <c r="AG15" i="5"/>
  <c r="AG44" i="5" s="1"/>
  <c r="AG4" i="5"/>
  <c r="AG40" i="5" s="1"/>
  <c r="BT4" i="18"/>
  <c r="BT40" i="18" s="1"/>
  <c r="AG19" i="5"/>
  <c r="AG42" i="5" s="1"/>
  <c r="AG6" i="5"/>
  <c r="AG47" i="5" s="1"/>
  <c r="AG45" i="5" s="1"/>
  <c r="AG14" i="5"/>
  <c r="AG34" i="5" s="1"/>
  <c r="AG16" i="5"/>
  <c r="BT11" i="18"/>
  <c r="BT39" i="18" s="1"/>
  <c r="BT13" i="18"/>
  <c r="BT33" i="18" s="1"/>
  <c r="BT28" i="18"/>
  <c r="BT43" i="18" s="1"/>
  <c r="CH7" i="18"/>
  <c r="CS7" i="18" s="1"/>
  <c r="CH18" i="18"/>
  <c r="CS18" i="18" s="1"/>
  <c r="CH6" i="18"/>
  <c r="CS6" i="18" s="1"/>
  <c r="CS47" i="18" s="1"/>
  <c r="CS45" i="18" s="1"/>
  <c r="CH20" i="18"/>
  <c r="CS20" i="18" s="1"/>
  <c r="CH8" i="18"/>
  <c r="CS8" i="18" s="1"/>
  <c r="CS41" i="18" s="1"/>
  <c r="CH29" i="18"/>
  <c r="CS29" i="18" s="1"/>
  <c r="CH5" i="18"/>
  <c r="CS5" i="18" s="1"/>
  <c r="CH15" i="18"/>
  <c r="CS15" i="18" s="1"/>
  <c r="CS44" i="18" s="1"/>
  <c r="CH16" i="18"/>
  <c r="CS16" i="18" s="1"/>
  <c r="CH21" i="18"/>
  <c r="CS21" i="18" s="1"/>
  <c r="CH22" i="18"/>
  <c r="CS22" i="18" s="1"/>
  <c r="CS37" i="18" s="1"/>
  <c r="CH26" i="18"/>
  <c r="CS26" i="18" s="1"/>
  <c r="CS36" i="18" s="1"/>
  <c r="CH9" i="18"/>
  <c r="CS9" i="18" s="1"/>
  <c r="CH14" i="18"/>
  <c r="CS14" i="18" s="1"/>
  <c r="CS34" i="18" s="1"/>
  <c r="CH2" i="18"/>
  <c r="CS2" i="18" s="1"/>
  <c r="CS38" i="18" s="1"/>
  <c r="CH12" i="18"/>
  <c r="CS12" i="18" s="1"/>
  <c r="CH17" i="18"/>
  <c r="CS17" i="18" s="1"/>
  <c r="CH27" i="18"/>
  <c r="CS27" i="18" s="1"/>
  <c r="CH19" i="18"/>
  <c r="CS19" i="18" s="1"/>
  <c r="CS42" i="18" s="1"/>
  <c r="AH6" i="17"/>
  <c r="AH47" i="17" s="1"/>
  <c r="AR47" i="17" s="1"/>
  <c r="AH4" i="17"/>
  <c r="AH40" i="17" s="1"/>
  <c r="AR40" i="17" s="1"/>
  <c r="AH12" i="17"/>
  <c r="AH28" i="17"/>
  <c r="AH43" i="17" s="1"/>
  <c r="AR43" i="17" s="1"/>
  <c r="AH27" i="17"/>
  <c r="AH7" i="17"/>
  <c r="AH8" i="17"/>
  <c r="AH41" i="17" s="1"/>
  <c r="AR41" i="17" s="1"/>
  <c r="AH16" i="17"/>
  <c r="AH5" i="17"/>
  <c r="AH13" i="17"/>
  <c r="AH33" i="17" s="1"/>
  <c r="AR33" i="17" s="1"/>
  <c r="AH22" i="17"/>
  <c r="AH37" i="17" s="1"/>
  <c r="AR37" i="17" s="1"/>
  <c r="AH29" i="17"/>
  <c r="AH23" i="17"/>
  <c r="AH49" i="17" s="1"/>
  <c r="AH18" i="17"/>
  <c r="AH2" i="17"/>
  <c r="AH38" i="17" s="1"/>
  <c r="AR38" i="17" s="1"/>
  <c r="AH15" i="17"/>
  <c r="AH44" i="17" s="1"/>
  <c r="AR44" i="17" s="1"/>
  <c r="AH14" i="17"/>
  <c r="AH34" i="17" s="1"/>
  <c r="AR34" i="17" s="1"/>
  <c r="AH10" i="17"/>
  <c r="AH46" i="17" s="1"/>
  <c r="AH9" i="17"/>
  <c r="AH20" i="17"/>
  <c r="AH30" i="17"/>
  <c r="AH35" i="17" s="1"/>
  <c r="AR35" i="17" s="1"/>
  <c r="AH21" i="17"/>
  <c r="AH19" i="17"/>
  <c r="AH42" i="17" s="1"/>
  <c r="AR42" i="17" s="1"/>
  <c r="AH17" i="17"/>
  <c r="AH11" i="17"/>
  <c r="AH39" i="17" s="1"/>
  <c r="AR39" i="17" s="1"/>
  <c r="AH26" i="17"/>
  <c r="AH36" i="17" s="1"/>
  <c r="AR36" i="17" s="1"/>
  <c r="AP3" i="17"/>
  <c r="AQ3" i="17"/>
  <c r="CH3" i="18"/>
  <c r="CS3" i="18" s="1"/>
  <c r="CS32" i="18" s="1"/>
  <c r="AH3" i="17"/>
  <c r="AH32" i="17" s="1"/>
  <c r="BT31" i="18" l="1"/>
  <c r="BT48" i="18"/>
  <c r="BT63" i="18"/>
  <c r="AG72" i="5"/>
  <c r="AG63" i="5" s="1"/>
  <c r="AG58" i="5"/>
  <c r="AG48" i="5" s="1"/>
  <c r="CS51" i="18"/>
  <c r="CS65" i="18"/>
  <c r="CS58" i="18"/>
  <c r="CS72" i="18"/>
  <c r="CS53" i="18"/>
  <c r="CS67" i="18"/>
  <c r="CS54" i="18"/>
  <c r="CS68" i="18"/>
  <c r="CS62" i="18"/>
  <c r="CS76" i="18"/>
  <c r="CS57" i="18"/>
  <c r="CS71" i="18"/>
  <c r="CS52" i="18"/>
  <c r="CS66" i="18"/>
  <c r="CS60" i="18"/>
  <c r="CS74" i="18"/>
  <c r="CS56" i="18"/>
  <c r="CS70" i="18"/>
  <c r="CS59" i="18"/>
  <c r="CS73" i="18"/>
  <c r="CS61" i="18"/>
  <c r="CS75" i="18"/>
  <c r="D29" i="20"/>
  <c r="F29" i="20" s="1"/>
  <c r="AH71" i="5"/>
  <c r="AH57" i="5"/>
  <c r="D22" i="20"/>
  <c r="D37" i="20" s="1"/>
  <c r="F37" i="20" s="1"/>
  <c r="AH37" i="5"/>
  <c r="D30" i="20"/>
  <c r="D35" i="20" s="1"/>
  <c r="F35" i="20" s="1"/>
  <c r="AH35" i="5"/>
  <c r="D9" i="20"/>
  <c r="F9" i="20" s="1"/>
  <c r="AH54" i="5"/>
  <c r="AH68" i="5"/>
  <c r="D17" i="20"/>
  <c r="AH52" i="5"/>
  <c r="AH66" i="5"/>
  <c r="D3" i="20"/>
  <c r="D32" i="20" s="1"/>
  <c r="F32" i="20" s="1"/>
  <c r="AH32" i="5"/>
  <c r="D5" i="20"/>
  <c r="AH67" i="5"/>
  <c r="AH53" i="5"/>
  <c r="D28" i="20"/>
  <c r="D43" i="20" s="1"/>
  <c r="F43" i="20" s="1"/>
  <c r="AH43" i="5"/>
  <c r="D11" i="20"/>
  <c r="D39" i="20" s="1"/>
  <c r="F39" i="20" s="1"/>
  <c r="AH39" i="5"/>
  <c r="D18" i="20"/>
  <c r="AH61" i="5"/>
  <c r="AH75" i="5"/>
  <c r="D27" i="20"/>
  <c r="AH62" i="5"/>
  <c r="AH76" i="5"/>
  <c r="D12" i="20"/>
  <c r="F12" i="20" s="1"/>
  <c r="AH74" i="5"/>
  <c r="AH60" i="5"/>
  <c r="D21" i="20"/>
  <c r="AH65" i="5"/>
  <c r="AH51" i="5"/>
  <c r="D8" i="20"/>
  <c r="D41" i="20" s="1"/>
  <c r="F41" i="20" s="1"/>
  <c r="AH41" i="5"/>
  <c r="D20" i="20"/>
  <c r="AH70" i="5"/>
  <c r="AH56" i="5"/>
  <c r="D26" i="20"/>
  <c r="D36" i="20" s="1"/>
  <c r="F36" i="20" s="1"/>
  <c r="AH36" i="5"/>
  <c r="D7" i="20"/>
  <c r="AH73" i="5"/>
  <c r="AH59" i="5"/>
  <c r="D2" i="20"/>
  <c r="D38" i="20" s="1"/>
  <c r="AH38" i="5"/>
  <c r="T75" i="4"/>
  <c r="T67" i="4"/>
  <c r="T62" i="4"/>
  <c r="T57" i="4"/>
  <c r="T51" i="4"/>
  <c r="AB48" i="28"/>
  <c r="T58" i="4"/>
  <c r="T70" i="4"/>
  <c r="C48" i="28"/>
  <c r="T60" i="4"/>
  <c r="T59" i="4"/>
  <c r="T74" i="4"/>
  <c r="T73" i="4"/>
  <c r="T63" i="4" s="1"/>
  <c r="C63" i="28"/>
  <c r="AB63" i="28"/>
  <c r="F5" i="20"/>
  <c r="F18" i="20"/>
  <c r="F20" i="20"/>
  <c r="F27" i="20"/>
  <c r="F8" i="20"/>
  <c r="F22" i="20"/>
  <c r="P32" i="15"/>
  <c r="P43" i="15"/>
  <c r="P37" i="15"/>
  <c r="P39" i="15"/>
  <c r="P47" i="15"/>
  <c r="P33" i="15"/>
  <c r="P35" i="15"/>
  <c r="P36" i="15"/>
  <c r="P44" i="15"/>
  <c r="P46" i="15"/>
  <c r="P41" i="15"/>
  <c r="P49" i="15"/>
  <c r="P42" i="15"/>
  <c r="P34" i="15"/>
  <c r="P40" i="15"/>
  <c r="P38" i="15"/>
  <c r="AH31" i="17"/>
  <c r="AR32" i="17"/>
  <c r="AH66" i="17"/>
  <c r="AH52" i="17"/>
  <c r="AR52" i="17" s="1"/>
  <c r="AH51" i="17"/>
  <c r="AR51" i="17" s="1"/>
  <c r="AH65" i="17"/>
  <c r="AR65" i="17" s="1"/>
  <c r="AH70" i="17"/>
  <c r="AR70" i="17" s="1"/>
  <c r="AH56" i="17"/>
  <c r="AR56" i="17" s="1"/>
  <c r="AH68" i="17"/>
  <c r="AR68" i="17" s="1"/>
  <c r="AH54" i="17"/>
  <c r="AR54" i="17" s="1"/>
  <c r="AR46" i="17"/>
  <c r="AH45" i="17"/>
  <c r="AH75" i="17"/>
  <c r="AR75" i="17" s="1"/>
  <c r="AH61" i="17"/>
  <c r="AR61" i="17" s="1"/>
  <c r="AR49" i="17"/>
  <c r="AH71" i="17"/>
  <c r="AR71" i="17" s="1"/>
  <c r="AH57" i="17"/>
  <c r="AR57" i="17" s="1"/>
  <c r="AH67" i="17"/>
  <c r="AR67" i="17" s="1"/>
  <c r="AH53" i="17"/>
  <c r="AR53" i="17" s="1"/>
  <c r="AH72" i="17"/>
  <c r="AR72" i="17" s="1"/>
  <c r="AH58" i="17"/>
  <c r="AR58" i="17" s="1"/>
  <c r="AH59" i="17"/>
  <c r="AR59" i="17" s="1"/>
  <c r="AH73" i="17"/>
  <c r="AR73" i="17" s="1"/>
  <c r="AH76" i="17"/>
  <c r="AR76" i="17" s="1"/>
  <c r="AH62" i="17"/>
  <c r="AR62" i="17" s="1"/>
  <c r="AH74" i="17"/>
  <c r="AR74" i="17" s="1"/>
  <c r="AH60" i="17"/>
  <c r="AR60" i="17" s="1"/>
  <c r="T46" i="4"/>
  <c r="T47" i="4"/>
  <c r="T43" i="4"/>
  <c r="T42" i="4"/>
  <c r="T39" i="4"/>
  <c r="T33" i="4"/>
  <c r="T37" i="4"/>
  <c r="T36" i="4"/>
  <c r="T34" i="4"/>
  <c r="T49" i="4"/>
  <c r="T38" i="4"/>
  <c r="T41" i="4"/>
  <c r="T40" i="4"/>
  <c r="T35" i="4"/>
  <c r="T44" i="4"/>
  <c r="AG47" i="17"/>
  <c r="AQ47" i="17" s="1"/>
  <c r="AQ6" i="17"/>
  <c r="AG39" i="17"/>
  <c r="AQ39" i="17" s="1"/>
  <c r="AQ11" i="17"/>
  <c r="AG74" i="17"/>
  <c r="AQ74" i="17" s="1"/>
  <c r="AG60" i="17"/>
  <c r="AQ60" i="17" s="1"/>
  <c r="AQ12" i="17"/>
  <c r="AG44" i="17"/>
  <c r="AQ44" i="17" s="1"/>
  <c r="AQ15" i="17"/>
  <c r="AG66" i="17"/>
  <c r="AQ66" i="17" s="1"/>
  <c r="AG52" i="17"/>
  <c r="AQ52" i="17" s="1"/>
  <c r="AQ17" i="17"/>
  <c r="AG70" i="17"/>
  <c r="AQ70" i="17" s="1"/>
  <c r="AG56" i="17"/>
  <c r="AQ56" i="17" s="1"/>
  <c r="AQ20" i="17"/>
  <c r="AG69" i="17"/>
  <c r="AQ69" i="17" s="1"/>
  <c r="AG55" i="17"/>
  <c r="AQ55" i="17" s="1"/>
  <c r="AQ24" i="17"/>
  <c r="AG36" i="17"/>
  <c r="AQ36" i="17" s="1"/>
  <c r="AQ26" i="17"/>
  <c r="AG38" i="17"/>
  <c r="AQ38" i="17" s="1"/>
  <c r="AQ2" i="17"/>
  <c r="AG73" i="17"/>
  <c r="AQ73" i="17" s="1"/>
  <c r="AG59" i="17"/>
  <c r="AQ59" i="17" s="1"/>
  <c r="AQ7" i="17"/>
  <c r="AG33" i="17"/>
  <c r="AQ33" i="17" s="1"/>
  <c r="AQ13" i="17"/>
  <c r="AQ16" i="17"/>
  <c r="AG58" i="17"/>
  <c r="AQ58" i="17" s="1"/>
  <c r="AG72" i="17"/>
  <c r="AQ72" i="17" s="1"/>
  <c r="AG40" i="17"/>
  <c r="AQ40" i="17" s="1"/>
  <c r="AQ4" i="17"/>
  <c r="AG41" i="17"/>
  <c r="AQ41" i="17" s="1"/>
  <c r="AQ8" i="17"/>
  <c r="AG46" i="17"/>
  <c r="AQ10" i="17"/>
  <c r="AG37" i="17"/>
  <c r="AQ37" i="17" s="1"/>
  <c r="AQ22" i="17"/>
  <c r="AG62" i="17"/>
  <c r="AQ62" i="17" s="1"/>
  <c r="AG76" i="17"/>
  <c r="AQ76" i="17" s="1"/>
  <c r="AQ27" i="17"/>
  <c r="AG43" i="17"/>
  <c r="AQ43" i="17" s="1"/>
  <c r="AQ28" i="17"/>
  <c r="AG35" i="17"/>
  <c r="AQ35" i="17" s="1"/>
  <c r="AQ30" i="17"/>
  <c r="AG67" i="17"/>
  <c r="AQ67" i="17" s="1"/>
  <c r="AG53" i="17"/>
  <c r="AQ53" i="17" s="1"/>
  <c r="AQ5" i="17"/>
  <c r="AG54" i="17"/>
  <c r="AQ54" i="17" s="1"/>
  <c r="AG68" i="17"/>
  <c r="AQ68" i="17" s="1"/>
  <c r="AQ9" i="17"/>
  <c r="AG34" i="17"/>
  <c r="AQ34" i="17" s="1"/>
  <c r="AQ14" i="17"/>
  <c r="AQ18" i="17"/>
  <c r="AG75" i="17"/>
  <c r="AQ75" i="17" s="1"/>
  <c r="AG61" i="17"/>
  <c r="AQ61" i="17" s="1"/>
  <c r="AG42" i="17"/>
  <c r="AQ42" i="17" s="1"/>
  <c r="AQ19" i="17"/>
  <c r="AG65" i="17"/>
  <c r="AQ65" i="17" s="1"/>
  <c r="AG51" i="17"/>
  <c r="AQ51" i="17" s="1"/>
  <c r="AQ21" i="17"/>
  <c r="AG49" i="17"/>
  <c r="AQ23" i="17"/>
  <c r="AQ25" i="17"/>
  <c r="AG50" i="17"/>
  <c r="AQ50" i="17" s="1"/>
  <c r="AG64" i="17"/>
  <c r="AG71" i="17"/>
  <c r="AQ71" i="17" s="1"/>
  <c r="AG57" i="17"/>
  <c r="AQ57" i="17" s="1"/>
  <c r="AQ29" i="17"/>
  <c r="AQ32" i="17"/>
  <c r="AH16" i="5"/>
  <c r="AH4" i="5"/>
  <c r="AH13" i="5"/>
  <c r="AH19" i="5"/>
  <c r="AH14" i="5"/>
  <c r="AH15" i="5"/>
  <c r="AH6" i="5"/>
  <c r="CH30" i="18"/>
  <c r="CS30" i="18" s="1"/>
  <c r="CS35" i="18" s="1"/>
  <c r="CH28" i="18"/>
  <c r="CS28" i="18" s="1"/>
  <c r="CS43" i="18" s="1"/>
  <c r="CH4" i="18"/>
  <c r="CS4" i="18" s="1"/>
  <c r="CS40" i="18" s="1"/>
  <c r="CH11" i="18"/>
  <c r="CS11" i="18" s="1"/>
  <c r="CS39" i="18" s="1"/>
  <c r="CH13" i="18"/>
  <c r="CS13" i="18" s="1"/>
  <c r="CS33" i="18" s="1"/>
  <c r="AR19" i="17"/>
  <c r="AR21" i="17"/>
  <c r="AR9" i="17"/>
  <c r="AR2" i="17"/>
  <c r="AR18" i="17"/>
  <c r="AR4" i="17"/>
  <c r="AR26" i="17"/>
  <c r="AR17" i="17"/>
  <c r="AR10" i="17"/>
  <c r="AR14" i="17"/>
  <c r="AR23" i="17"/>
  <c r="AR22" i="17"/>
  <c r="AR16" i="17"/>
  <c r="AR28" i="17"/>
  <c r="AR12" i="17"/>
  <c r="AR11" i="17"/>
  <c r="AR30" i="17"/>
  <c r="AR20" i="17"/>
  <c r="AR15" i="17"/>
  <c r="AR13" i="17"/>
  <c r="AR5" i="17"/>
  <c r="AR7" i="17"/>
  <c r="AR27" i="17"/>
  <c r="AR29" i="17"/>
  <c r="AR8" i="17"/>
  <c r="AR6" i="17"/>
  <c r="AI30" i="1"/>
  <c r="L30" i="4" s="1"/>
  <c r="AH30" i="1"/>
  <c r="K30" i="4" s="1"/>
  <c r="AG30" i="1"/>
  <c r="J30" i="4" s="1"/>
  <c r="AF30" i="1"/>
  <c r="AE30" i="1"/>
  <c r="M30" i="4" s="1"/>
  <c r="AI29" i="1"/>
  <c r="L29" i="4" s="1"/>
  <c r="AH29" i="1"/>
  <c r="K29" i="4" s="1"/>
  <c r="AG29" i="1"/>
  <c r="J29" i="4" s="1"/>
  <c r="AF29" i="1"/>
  <c r="AE29" i="1"/>
  <c r="M29" i="4" s="1"/>
  <c r="AI28" i="1"/>
  <c r="L28" i="4" s="1"/>
  <c r="AH28" i="1"/>
  <c r="K28" i="4" s="1"/>
  <c r="AG28" i="1"/>
  <c r="J28" i="4" s="1"/>
  <c r="AF28" i="1"/>
  <c r="AE28" i="1"/>
  <c r="M28" i="4" s="1"/>
  <c r="AI27" i="1"/>
  <c r="L27" i="4" s="1"/>
  <c r="AH27" i="1"/>
  <c r="K27" i="4" s="1"/>
  <c r="AG27" i="1"/>
  <c r="J27" i="4" s="1"/>
  <c r="AF27" i="1"/>
  <c r="AE27" i="1"/>
  <c r="M27" i="4" s="1"/>
  <c r="AI26" i="1"/>
  <c r="L26" i="4" s="1"/>
  <c r="AH26" i="1"/>
  <c r="K26" i="4" s="1"/>
  <c r="AG26" i="1"/>
  <c r="J26" i="4" s="1"/>
  <c r="AF26" i="1"/>
  <c r="AE26" i="1"/>
  <c r="M26" i="4" s="1"/>
  <c r="AI25" i="1"/>
  <c r="L25" i="4" s="1"/>
  <c r="AH25" i="1"/>
  <c r="K25" i="4" s="1"/>
  <c r="AG25" i="1"/>
  <c r="J25" i="4" s="1"/>
  <c r="AF25" i="1"/>
  <c r="AE25" i="1"/>
  <c r="M25" i="4" s="1"/>
  <c r="AI24" i="1"/>
  <c r="L24" i="4" s="1"/>
  <c r="AH24" i="1"/>
  <c r="K24" i="4" s="1"/>
  <c r="AG24" i="1"/>
  <c r="J24" i="4" s="1"/>
  <c r="AF24" i="1"/>
  <c r="AE24" i="1"/>
  <c r="M24" i="4" s="1"/>
  <c r="AI23" i="1"/>
  <c r="L23" i="4" s="1"/>
  <c r="AH23" i="1"/>
  <c r="K23" i="4" s="1"/>
  <c r="AG23" i="1"/>
  <c r="J23" i="4" s="1"/>
  <c r="AF23" i="1"/>
  <c r="AE23" i="1"/>
  <c r="M23" i="4" s="1"/>
  <c r="AI22" i="1"/>
  <c r="L22" i="4" s="1"/>
  <c r="AH22" i="1"/>
  <c r="K22" i="4" s="1"/>
  <c r="AG22" i="1"/>
  <c r="J22" i="4" s="1"/>
  <c r="AF22" i="1"/>
  <c r="AE22" i="1"/>
  <c r="M22" i="4" s="1"/>
  <c r="AI21" i="1"/>
  <c r="L21" i="4" s="1"/>
  <c r="AH21" i="1"/>
  <c r="K21" i="4" s="1"/>
  <c r="AG21" i="1"/>
  <c r="J21" i="4" s="1"/>
  <c r="AF21" i="1"/>
  <c r="AE21" i="1"/>
  <c r="M21" i="4" s="1"/>
  <c r="AI20" i="1"/>
  <c r="L20" i="4" s="1"/>
  <c r="AH20" i="1"/>
  <c r="K20" i="4" s="1"/>
  <c r="AG20" i="1"/>
  <c r="J20" i="4" s="1"/>
  <c r="AF20" i="1"/>
  <c r="AE20" i="1"/>
  <c r="M20" i="4" s="1"/>
  <c r="AI19" i="1"/>
  <c r="L19" i="4" s="1"/>
  <c r="AH19" i="1"/>
  <c r="K19" i="4" s="1"/>
  <c r="AG19" i="1"/>
  <c r="J19" i="4" s="1"/>
  <c r="AF19" i="1"/>
  <c r="AE19" i="1"/>
  <c r="M19" i="4" s="1"/>
  <c r="AI18" i="1"/>
  <c r="L18" i="4" s="1"/>
  <c r="AH18" i="1"/>
  <c r="K18" i="4" s="1"/>
  <c r="AG18" i="1"/>
  <c r="J18" i="4" s="1"/>
  <c r="AF18" i="1"/>
  <c r="AE18" i="1"/>
  <c r="M18" i="4" s="1"/>
  <c r="AI17" i="1"/>
  <c r="L17" i="4" s="1"/>
  <c r="AH17" i="1"/>
  <c r="K17" i="4" s="1"/>
  <c r="AG17" i="1"/>
  <c r="J17" i="4" s="1"/>
  <c r="AF17" i="1"/>
  <c r="AE17" i="1"/>
  <c r="M17" i="4" s="1"/>
  <c r="AI16" i="1"/>
  <c r="L16" i="4" s="1"/>
  <c r="AH16" i="1"/>
  <c r="K16" i="4" s="1"/>
  <c r="AG16" i="1"/>
  <c r="J16" i="4" s="1"/>
  <c r="AF16" i="1"/>
  <c r="AE16" i="1"/>
  <c r="M16" i="4" s="1"/>
  <c r="AI15" i="1"/>
  <c r="L15" i="4" s="1"/>
  <c r="AH15" i="1"/>
  <c r="K15" i="4" s="1"/>
  <c r="AG15" i="1"/>
  <c r="J15" i="4" s="1"/>
  <c r="AF15" i="1"/>
  <c r="AE15" i="1"/>
  <c r="M15" i="4" s="1"/>
  <c r="AI14" i="1"/>
  <c r="L14" i="4" s="1"/>
  <c r="AH14" i="1"/>
  <c r="K14" i="4" s="1"/>
  <c r="AG14" i="1"/>
  <c r="J14" i="4" s="1"/>
  <c r="AF14" i="1"/>
  <c r="AE14" i="1"/>
  <c r="M14" i="4" s="1"/>
  <c r="AI13" i="1"/>
  <c r="L13" i="4" s="1"/>
  <c r="AH13" i="1"/>
  <c r="K13" i="4" s="1"/>
  <c r="AG13" i="1"/>
  <c r="J13" i="4" s="1"/>
  <c r="AF13" i="1"/>
  <c r="AE13" i="1"/>
  <c r="M13" i="4" s="1"/>
  <c r="AI12" i="1"/>
  <c r="L12" i="4" s="1"/>
  <c r="AH12" i="1"/>
  <c r="K12" i="4" s="1"/>
  <c r="AG12" i="1"/>
  <c r="J12" i="4" s="1"/>
  <c r="AF12" i="1"/>
  <c r="AE12" i="1"/>
  <c r="M12" i="4" s="1"/>
  <c r="AI11" i="1"/>
  <c r="L11" i="4" s="1"/>
  <c r="AH11" i="1"/>
  <c r="K11" i="4" s="1"/>
  <c r="AG11" i="1"/>
  <c r="J11" i="4" s="1"/>
  <c r="AF11" i="1"/>
  <c r="AE11" i="1"/>
  <c r="M11" i="4" s="1"/>
  <c r="AI10" i="1"/>
  <c r="L10" i="4" s="1"/>
  <c r="AH10" i="1"/>
  <c r="K10" i="4" s="1"/>
  <c r="AG10" i="1"/>
  <c r="J10" i="4" s="1"/>
  <c r="AF10" i="1"/>
  <c r="AE10" i="1"/>
  <c r="M10" i="4" s="1"/>
  <c r="AI9" i="1"/>
  <c r="L9" i="4" s="1"/>
  <c r="AH9" i="1"/>
  <c r="K9" i="4" s="1"/>
  <c r="AG9" i="1"/>
  <c r="J9" i="4" s="1"/>
  <c r="AF9" i="1"/>
  <c r="AE9" i="1"/>
  <c r="M9" i="4" s="1"/>
  <c r="AI8" i="1"/>
  <c r="L8" i="4" s="1"/>
  <c r="AH8" i="1"/>
  <c r="K8" i="4" s="1"/>
  <c r="AG8" i="1"/>
  <c r="J8" i="4" s="1"/>
  <c r="AF8" i="1"/>
  <c r="AE8" i="1"/>
  <c r="M8" i="4" s="1"/>
  <c r="AI7" i="1"/>
  <c r="L7" i="4" s="1"/>
  <c r="AH7" i="1"/>
  <c r="K7" i="4" s="1"/>
  <c r="AG7" i="1"/>
  <c r="J7" i="4" s="1"/>
  <c r="AF7" i="1"/>
  <c r="AE7" i="1"/>
  <c r="M7" i="4" s="1"/>
  <c r="AI6" i="1"/>
  <c r="L6" i="4" s="1"/>
  <c r="AH6" i="1"/>
  <c r="K6" i="4" s="1"/>
  <c r="AG6" i="1"/>
  <c r="J6" i="4" s="1"/>
  <c r="AF6" i="1"/>
  <c r="AE6" i="1"/>
  <c r="M6" i="4" s="1"/>
  <c r="AI5" i="1"/>
  <c r="L5" i="4" s="1"/>
  <c r="AH5" i="1"/>
  <c r="K5" i="4" s="1"/>
  <c r="AG5" i="1"/>
  <c r="J5" i="4" s="1"/>
  <c r="AF5" i="1"/>
  <c r="AE5" i="1"/>
  <c r="M5" i="4" s="1"/>
  <c r="AI4" i="1"/>
  <c r="L4" i="4" s="1"/>
  <c r="AH4" i="1"/>
  <c r="K4" i="4" s="1"/>
  <c r="AG4" i="1"/>
  <c r="J4" i="4" s="1"/>
  <c r="AF4" i="1"/>
  <c r="AE4" i="1"/>
  <c r="M4" i="4" s="1"/>
  <c r="AI3" i="1"/>
  <c r="L3" i="4" s="1"/>
  <c r="AH3" i="1"/>
  <c r="K3" i="4" s="1"/>
  <c r="AG3" i="1"/>
  <c r="J3" i="4" s="1"/>
  <c r="AF3" i="1"/>
  <c r="AE3" i="1"/>
  <c r="M3" i="4" s="1"/>
  <c r="AI2" i="1"/>
  <c r="L2" i="4" s="1"/>
  <c r="AH2" i="1"/>
  <c r="K2" i="4" s="1"/>
  <c r="AG2" i="1"/>
  <c r="J2" i="4" s="1"/>
  <c r="AF2" i="1"/>
  <c r="AE2" i="1"/>
  <c r="M2" i="4" s="1"/>
  <c r="F3" i="20" l="1"/>
  <c r="F2" i="20"/>
  <c r="F11" i="20"/>
  <c r="F30" i="20"/>
  <c r="F28" i="20"/>
  <c r="CS31" i="18"/>
  <c r="CS63" i="18"/>
  <c r="CS48" i="18"/>
  <c r="D19" i="20"/>
  <c r="D42" i="20" s="1"/>
  <c r="F42" i="20" s="1"/>
  <c r="AH42" i="5"/>
  <c r="D75" i="20"/>
  <c r="F75" i="20" s="1"/>
  <c r="D61" i="20"/>
  <c r="F61" i="20" s="1"/>
  <c r="D52" i="20"/>
  <c r="F52" i="20" s="1"/>
  <c r="D66" i="20"/>
  <c r="D13" i="20"/>
  <c r="D33" i="20" s="1"/>
  <c r="F33" i="20" s="1"/>
  <c r="AH33" i="5"/>
  <c r="D73" i="20"/>
  <c r="F73" i="20" s="1"/>
  <c r="D59" i="20"/>
  <c r="F59" i="20" s="1"/>
  <c r="D4" i="20"/>
  <c r="D40" i="20" s="1"/>
  <c r="F40" i="20" s="1"/>
  <c r="AH40" i="5"/>
  <c r="D60" i="20"/>
  <c r="F60" i="20" s="1"/>
  <c r="D74" i="20"/>
  <c r="F74" i="20" s="1"/>
  <c r="D54" i="20"/>
  <c r="F54" i="20" s="1"/>
  <c r="D68" i="20"/>
  <c r="F68" i="20" s="1"/>
  <c r="D16" i="20"/>
  <c r="F16" i="20" s="1"/>
  <c r="AH72" i="5"/>
  <c r="AH58" i="5"/>
  <c r="F26" i="20"/>
  <c r="D65" i="20"/>
  <c r="F65" i="20" s="1"/>
  <c r="D51" i="20"/>
  <c r="D14" i="20"/>
  <c r="D34" i="20" s="1"/>
  <c r="F34" i="20" s="1"/>
  <c r="AH34" i="5"/>
  <c r="D70" i="20"/>
  <c r="F70" i="20" s="1"/>
  <c r="D56" i="20"/>
  <c r="F56" i="20" s="1"/>
  <c r="D53" i="20"/>
  <c r="F53" i="20" s="1"/>
  <c r="D67" i="20"/>
  <c r="F67" i="20" s="1"/>
  <c r="F21" i="20"/>
  <c r="D76" i="20"/>
  <c r="F76" i="20" s="1"/>
  <c r="D62" i="20"/>
  <c r="F62" i="20" s="1"/>
  <c r="D6" i="20"/>
  <c r="D47" i="20" s="1"/>
  <c r="AH47" i="5"/>
  <c r="AH45" i="5" s="1"/>
  <c r="F7" i="20"/>
  <c r="AH48" i="5"/>
  <c r="D15" i="20"/>
  <c r="D44" i="20" s="1"/>
  <c r="F44" i="20" s="1"/>
  <c r="AH44" i="5"/>
  <c r="F17" i="20"/>
  <c r="AH63" i="5"/>
  <c r="D57" i="20"/>
  <c r="F57" i="20" s="1"/>
  <c r="D71" i="20"/>
  <c r="F71" i="20" s="1"/>
  <c r="F38" i="20"/>
  <c r="L5" i="17"/>
  <c r="I5" i="4"/>
  <c r="E5" i="4"/>
  <c r="L17" i="17"/>
  <c r="I17" i="4"/>
  <c r="E17" i="4"/>
  <c r="L29" i="17"/>
  <c r="I29" i="4"/>
  <c r="E29" i="4"/>
  <c r="L10" i="17"/>
  <c r="I10" i="4"/>
  <c r="E10" i="4"/>
  <c r="L22" i="17"/>
  <c r="I22" i="4"/>
  <c r="E22" i="4"/>
  <c r="L15" i="17"/>
  <c r="I15" i="4"/>
  <c r="E15" i="4"/>
  <c r="L27" i="17"/>
  <c r="I27" i="4"/>
  <c r="E27" i="4"/>
  <c r="I8" i="4"/>
  <c r="E8" i="4"/>
  <c r="L8" i="17"/>
  <c r="I20" i="4"/>
  <c r="E20" i="4"/>
  <c r="L20" i="17"/>
  <c r="L13" i="17"/>
  <c r="I13" i="4"/>
  <c r="E13" i="4"/>
  <c r="L25" i="17"/>
  <c r="I25" i="4"/>
  <c r="E25" i="4"/>
  <c r="L3" i="17"/>
  <c r="I3" i="4"/>
  <c r="E3" i="4"/>
  <c r="L6" i="17"/>
  <c r="I6" i="4"/>
  <c r="E6" i="4"/>
  <c r="L18" i="17"/>
  <c r="I18" i="4"/>
  <c r="E18" i="4"/>
  <c r="L30" i="17"/>
  <c r="I30" i="4"/>
  <c r="E30" i="4"/>
  <c r="L11" i="17"/>
  <c r="I11" i="4"/>
  <c r="E11" i="4"/>
  <c r="L23" i="17"/>
  <c r="I23" i="4"/>
  <c r="E23" i="4"/>
  <c r="I16" i="4"/>
  <c r="E16" i="4"/>
  <c r="L16" i="17"/>
  <c r="I28" i="4"/>
  <c r="E28" i="4"/>
  <c r="L28" i="17"/>
  <c r="L9" i="17"/>
  <c r="I9" i="4"/>
  <c r="E9" i="4"/>
  <c r="L21" i="17"/>
  <c r="I21" i="4"/>
  <c r="E21" i="4"/>
  <c r="I4" i="4"/>
  <c r="E4" i="4"/>
  <c r="L4" i="17"/>
  <c r="L14" i="17"/>
  <c r="I14" i="4"/>
  <c r="E14" i="4"/>
  <c r="L26" i="17"/>
  <c r="I26" i="4"/>
  <c r="E26" i="4"/>
  <c r="L2" i="17"/>
  <c r="I2" i="4"/>
  <c r="E2" i="4"/>
  <c r="L7" i="17"/>
  <c r="I7" i="4"/>
  <c r="E7" i="4"/>
  <c r="L19" i="17"/>
  <c r="I19" i="4"/>
  <c r="E19" i="4"/>
  <c r="I12" i="4"/>
  <c r="E12" i="4"/>
  <c r="L12" i="17"/>
  <c r="I24" i="4"/>
  <c r="E24" i="4"/>
  <c r="L24" i="17"/>
  <c r="T48" i="4"/>
  <c r="F15" i="20"/>
  <c r="F19" i="20"/>
  <c r="F6" i="20"/>
  <c r="F13" i="20"/>
  <c r="T45" i="4"/>
  <c r="T31" i="4"/>
  <c r="AG31" i="17"/>
  <c r="P31" i="15"/>
  <c r="AH48" i="17"/>
  <c r="AG63" i="17"/>
  <c r="AQ64" i="17"/>
  <c r="AG48" i="17"/>
  <c r="AQ49" i="17"/>
  <c r="AG45" i="17"/>
  <c r="AQ46" i="17"/>
  <c r="AR66" i="17"/>
  <c r="AH63" i="17"/>
  <c r="P67" i="15"/>
  <c r="P53" i="15"/>
  <c r="P59" i="15"/>
  <c r="P73" i="15"/>
  <c r="P75" i="15"/>
  <c r="P61" i="15"/>
  <c r="P51" i="15"/>
  <c r="P65" i="15"/>
  <c r="P64" i="15"/>
  <c r="P50" i="15"/>
  <c r="P71" i="15"/>
  <c r="P57" i="15"/>
  <c r="P45" i="15"/>
  <c r="P74" i="15"/>
  <c r="P60" i="15"/>
  <c r="P66" i="15"/>
  <c r="P52" i="15"/>
  <c r="P70" i="15"/>
  <c r="P56" i="15"/>
  <c r="P55" i="15"/>
  <c r="P69" i="15"/>
  <c r="P68" i="15"/>
  <c r="P54" i="15"/>
  <c r="P72" i="15"/>
  <c r="P58" i="15"/>
  <c r="P76" i="15"/>
  <c r="P62" i="15"/>
  <c r="H2" i="5"/>
  <c r="AH31" i="5" l="1"/>
  <c r="F51" i="20"/>
  <c r="D31" i="20"/>
  <c r="F47" i="20"/>
  <c r="F45" i="20" s="1"/>
  <c r="D45" i="20"/>
  <c r="F31" i="20"/>
  <c r="F14" i="20"/>
  <c r="F66" i="20"/>
  <c r="D72" i="20"/>
  <c r="F72" i="20" s="1"/>
  <c r="D58" i="20"/>
  <c r="F58" i="20" s="1"/>
  <c r="F4" i="20"/>
  <c r="S40" i="4"/>
  <c r="S41" i="4"/>
  <c r="S43" i="4"/>
  <c r="S32" i="4"/>
  <c r="S39" i="4"/>
  <c r="S44" i="4"/>
  <c r="S42" i="4"/>
  <c r="S49" i="4"/>
  <c r="S47" i="4"/>
  <c r="S46" i="4"/>
  <c r="S34" i="4"/>
  <c r="S37" i="4"/>
  <c r="S36" i="4"/>
  <c r="S33" i="4"/>
  <c r="P48" i="15"/>
  <c r="P63" i="15"/>
  <c r="S35" i="4"/>
  <c r="S38" i="4"/>
  <c r="H3" i="5"/>
  <c r="H8" i="5"/>
  <c r="H7" i="5"/>
  <c r="H5" i="5"/>
  <c r="H4" i="5"/>
  <c r="H9" i="5"/>
  <c r="H6" i="5"/>
  <c r="H27" i="5"/>
  <c r="H25" i="5"/>
  <c r="H21" i="5"/>
  <c r="H18" i="5"/>
  <c r="H14" i="5"/>
  <c r="H11" i="5"/>
  <c r="H24" i="5"/>
  <c r="H17" i="5"/>
  <c r="H12" i="5"/>
  <c r="H29" i="5"/>
  <c r="H28" i="5"/>
  <c r="H20" i="5"/>
  <c r="H23" i="5"/>
  <c r="H19" i="5"/>
  <c r="H16" i="5"/>
  <c r="H26" i="5"/>
  <c r="H22" i="5"/>
  <c r="H15" i="5"/>
  <c r="H10" i="5"/>
  <c r="AO3" i="18"/>
  <c r="AO14" i="18"/>
  <c r="BA14" i="18" s="1"/>
  <c r="BA34" i="18" s="1"/>
  <c r="AO22" i="18"/>
  <c r="BA22" i="18" s="1"/>
  <c r="BA37" i="18" s="1"/>
  <c r="AO17" i="18"/>
  <c r="BA17" i="18" s="1"/>
  <c r="AO10" i="18"/>
  <c r="BA10" i="18" s="1"/>
  <c r="BA46" i="18" s="1"/>
  <c r="AO23" i="18"/>
  <c r="BA23" i="18" s="1"/>
  <c r="BA49" i="18" s="1"/>
  <c r="AO16" i="18"/>
  <c r="BA16" i="18" s="1"/>
  <c r="AO28" i="18"/>
  <c r="BA28" i="18" s="1"/>
  <c r="BA43" i="18" s="1"/>
  <c r="AO12" i="18"/>
  <c r="BA12" i="18" s="1"/>
  <c r="AO19" i="18"/>
  <c r="BA19" i="18" s="1"/>
  <c r="BA42" i="18" s="1"/>
  <c r="AO8" i="18"/>
  <c r="BA8" i="18" s="1"/>
  <c r="BA41" i="18" s="1"/>
  <c r="AO4" i="18"/>
  <c r="BA4" i="18" s="1"/>
  <c r="BA40" i="18" s="1"/>
  <c r="AO9" i="18"/>
  <c r="BA9" i="18" s="1"/>
  <c r="AO7" i="18"/>
  <c r="BA7" i="18" s="1"/>
  <c r="AO15" i="18"/>
  <c r="BA15" i="18" s="1"/>
  <c r="BA44" i="18" s="1"/>
  <c r="AO11" i="18"/>
  <c r="BA11" i="18" s="1"/>
  <c r="BA39" i="18" s="1"/>
  <c r="AO6" i="18"/>
  <c r="BA6" i="18" s="1"/>
  <c r="BA47" i="18" s="1"/>
  <c r="BA45" i="18" s="1"/>
  <c r="AO5" i="18"/>
  <c r="BA5" i="18" s="1"/>
  <c r="AO30" i="18"/>
  <c r="BA30" i="18" s="1"/>
  <c r="BA35" i="18" s="1"/>
  <c r="AO26" i="18"/>
  <c r="BA26" i="18" s="1"/>
  <c r="BA36" i="18" s="1"/>
  <c r="AO29" i="18"/>
  <c r="BA29" i="18" s="1"/>
  <c r="AO25" i="18"/>
  <c r="BA25" i="18" s="1"/>
  <c r="AO27" i="18"/>
  <c r="BA27" i="18" s="1"/>
  <c r="AO24" i="18"/>
  <c r="BA24" i="18" s="1"/>
  <c r="AO20" i="18"/>
  <c r="BA20" i="18" s="1"/>
  <c r="AO2" i="18"/>
  <c r="BA2" i="18" s="1"/>
  <c r="BA38" i="18" s="1"/>
  <c r="AO21" i="18"/>
  <c r="BA21" i="18" s="1"/>
  <c r="AO18" i="18"/>
  <c r="BA18" i="18" s="1"/>
  <c r="AO13" i="18"/>
  <c r="BA13" i="18" s="1"/>
  <c r="BA33" i="18" s="1"/>
  <c r="B32" i="2"/>
  <c r="B27" i="2" s="1"/>
  <c r="F63" i="20" l="1"/>
  <c r="BA52" i="18"/>
  <c r="BA66" i="18"/>
  <c r="BA67" i="18"/>
  <c r="BA53" i="18"/>
  <c r="BA61" i="18"/>
  <c r="BA75" i="18"/>
  <c r="BA54" i="18"/>
  <c r="BA68" i="18"/>
  <c r="BA69" i="18"/>
  <c r="BA55" i="18"/>
  <c r="BA76" i="18"/>
  <c r="BA62" i="18"/>
  <c r="BA64" i="18"/>
  <c r="BA50" i="18"/>
  <c r="BA65" i="18"/>
  <c r="BA51" i="18"/>
  <c r="BA59" i="18"/>
  <c r="BA73" i="18"/>
  <c r="BA57" i="18"/>
  <c r="BA71" i="18"/>
  <c r="BA74" i="18"/>
  <c r="BA60" i="18"/>
  <c r="BA56" i="18"/>
  <c r="BA70" i="18"/>
  <c r="BA58" i="18"/>
  <c r="BA72" i="18"/>
  <c r="F48" i="20"/>
  <c r="D63" i="20"/>
  <c r="D48" i="20"/>
  <c r="K30" i="17"/>
  <c r="K17" i="17"/>
  <c r="K4" i="17"/>
  <c r="D16" i="15"/>
  <c r="D3" i="15"/>
  <c r="D32" i="15" s="1"/>
  <c r="D11" i="4"/>
  <c r="D5" i="4"/>
  <c r="K24" i="17"/>
  <c r="K11" i="17"/>
  <c r="D29" i="15"/>
  <c r="D10" i="15"/>
  <c r="D46" i="15" s="1"/>
  <c r="D30" i="15"/>
  <c r="D35" i="15" s="1"/>
  <c r="D24" i="4"/>
  <c r="D10" i="4"/>
  <c r="D8" i="4"/>
  <c r="D41" i="4" s="1"/>
  <c r="K25" i="17"/>
  <c r="K18" i="17"/>
  <c r="K5" i="17"/>
  <c r="D23" i="15"/>
  <c r="D4" i="15"/>
  <c r="D40" i="15" s="1"/>
  <c r="D24" i="15"/>
  <c r="D18" i="4"/>
  <c r="D7" i="4"/>
  <c r="K19" i="17"/>
  <c r="K12" i="17"/>
  <c r="D17" i="15"/>
  <c r="D18" i="15"/>
  <c r="D26" i="4"/>
  <c r="D36" i="4" s="1"/>
  <c r="D12" i="4"/>
  <c r="D6" i="4"/>
  <c r="K13" i="17"/>
  <c r="K6" i="17"/>
  <c r="K26" i="17"/>
  <c r="D11" i="15"/>
  <c r="D25" i="15"/>
  <c r="D12" i="15"/>
  <c r="D20" i="4"/>
  <c r="D28" i="4"/>
  <c r="D25" i="4"/>
  <c r="K7" i="17"/>
  <c r="K27" i="17"/>
  <c r="K20" i="17"/>
  <c r="D5" i="15"/>
  <c r="D19" i="15"/>
  <c r="D42" i="15" s="1"/>
  <c r="D6" i="15"/>
  <c r="D14" i="4"/>
  <c r="K21" i="17"/>
  <c r="K14" i="17"/>
  <c r="D26" i="15"/>
  <c r="D13" i="15"/>
  <c r="D27" i="4"/>
  <c r="D22" i="4"/>
  <c r="D37" i="4" s="1"/>
  <c r="D2" i="4"/>
  <c r="D38" i="4" s="1"/>
  <c r="K15" i="17"/>
  <c r="K8" i="17"/>
  <c r="D20" i="15"/>
  <c r="D7" i="15"/>
  <c r="D21" i="4"/>
  <c r="D16" i="4"/>
  <c r="D3" i="4"/>
  <c r="D32" i="4" s="1"/>
  <c r="K28" i="17"/>
  <c r="K9" i="17"/>
  <c r="K2" i="17"/>
  <c r="D27" i="15"/>
  <c r="D14" i="15"/>
  <c r="D34" i="15" s="1"/>
  <c r="D15" i="4"/>
  <c r="D44" i="4" s="1"/>
  <c r="D13" i="4"/>
  <c r="K22" i="17"/>
  <c r="K3" i="17"/>
  <c r="D21" i="15"/>
  <c r="D8" i="15"/>
  <c r="D41" i="15" s="1"/>
  <c r="D9" i="4"/>
  <c r="D29" i="4"/>
  <c r="D4" i="4"/>
  <c r="K29" i="17"/>
  <c r="K16" i="17"/>
  <c r="D28" i="15"/>
  <c r="D43" i="15" s="1"/>
  <c r="D15" i="15"/>
  <c r="D2" i="15"/>
  <c r="D23" i="4"/>
  <c r="D49" i="4" s="1"/>
  <c r="K23" i="17"/>
  <c r="K10" i="17"/>
  <c r="D22" i="15"/>
  <c r="D37" i="15" s="1"/>
  <c r="D9" i="15"/>
  <c r="D30" i="4"/>
  <c r="D17" i="4"/>
  <c r="D19" i="4"/>
  <c r="U6" i="4"/>
  <c r="D6" i="19" s="1"/>
  <c r="U10" i="4"/>
  <c r="D10" i="19" s="1"/>
  <c r="U14" i="4"/>
  <c r="D14" i="19" s="1"/>
  <c r="U18" i="4"/>
  <c r="D18" i="19" s="1"/>
  <c r="U22" i="4"/>
  <c r="D22" i="19" s="1"/>
  <c r="U26" i="4"/>
  <c r="D26" i="19" s="1"/>
  <c r="U30" i="4"/>
  <c r="D30" i="19" s="1"/>
  <c r="U5" i="4"/>
  <c r="D5" i="19" s="1"/>
  <c r="U9" i="4"/>
  <c r="D9" i="19" s="1"/>
  <c r="U13" i="4"/>
  <c r="D13" i="19" s="1"/>
  <c r="U17" i="4"/>
  <c r="D17" i="19" s="1"/>
  <c r="U21" i="4"/>
  <c r="D21" i="19" s="1"/>
  <c r="U25" i="4"/>
  <c r="D25" i="19" s="1"/>
  <c r="U29" i="4"/>
  <c r="D29" i="19" s="1"/>
  <c r="U11" i="4"/>
  <c r="D11" i="19" s="1"/>
  <c r="U15" i="4"/>
  <c r="D15" i="19" s="1"/>
  <c r="U19" i="4"/>
  <c r="D19" i="19" s="1"/>
  <c r="U4" i="4"/>
  <c r="D4" i="19" s="1"/>
  <c r="U8" i="4"/>
  <c r="D8" i="19" s="1"/>
  <c r="U12" i="4"/>
  <c r="D12" i="19" s="1"/>
  <c r="U16" i="4"/>
  <c r="D16" i="19" s="1"/>
  <c r="U20" i="4"/>
  <c r="D20" i="19" s="1"/>
  <c r="U24" i="4"/>
  <c r="D24" i="19" s="1"/>
  <c r="U28" i="4"/>
  <c r="D28" i="19" s="1"/>
  <c r="U3" i="4"/>
  <c r="D3" i="19" s="1"/>
  <c r="U7" i="4"/>
  <c r="D7" i="19" s="1"/>
  <c r="U27" i="4"/>
  <c r="D27" i="19" s="1"/>
  <c r="S45" i="4"/>
  <c r="S31" i="4"/>
  <c r="E32" i="17"/>
  <c r="O3" i="17"/>
  <c r="O32" i="17" s="1"/>
  <c r="D49" i="15"/>
  <c r="D39" i="15"/>
  <c r="D47" i="15"/>
  <c r="D33" i="15"/>
  <c r="D36" i="15"/>
  <c r="D44" i="15"/>
  <c r="D38" i="15"/>
  <c r="R49" i="4"/>
  <c r="D33" i="4"/>
  <c r="D46" i="4"/>
  <c r="D35" i="4"/>
  <c r="D34" i="4"/>
  <c r="D40" i="4"/>
  <c r="D43" i="4"/>
  <c r="D42" i="4"/>
  <c r="D39" i="4"/>
  <c r="D47" i="4"/>
  <c r="K32" i="17"/>
  <c r="C32" i="4"/>
  <c r="R16" i="17"/>
  <c r="R13" i="17"/>
  <c r="R7" i="17"/>
  <c r="R2" i="17"/>
  <c r="R30" i="17"/>
  <c r="R26" i="17"/>
  <c r="R24" i="17"/>
  <c r="R20" i="17"/>
  <c r="R17" i="17"/>
  <c r="R15" i="17"/>
  <c r="R12" i="17"/>
  <c r="R11" i="17"/>
  <c r="R6" i="17"/>
  <c r="R29" i="17"/>
  <c r="R25" i="17"/>
  <c r="R23" i="17"/>
  <c r="R21" i="17"/>
  <c r="R19" i="17"/>
  <c r="R18" i="17"/>
  <c r="R14" i="17"/>
  <c r="R9" i="17"/>
  <c r="R5" i="17"/>
  <c r="R28" i="17"/>
  <c r="R27" i="17"/>
  <c r="R22" i="17"/>
  <c r="R10" i="17"/>
  <c r="R8" i="17"/>
  <c r="R4" i="17"/>
  <c r="N16" i="17"/>
  <c r="N13" i="17"/>
  <c r="N7" i="17"/>
  <c r="N2" i="17"/>
  <c r="N30" i="17"/>
  <c r="N26" i="17"/>
  <c r="N24" i="17"/>
  <c r="N20" i="17"/>
  <c r="N17" i="17"/>
  <c r="N15" i="17"/>
  <c r="N12" i="17"/>
  <c r="N11" i="17"/>
  <c r="N6" i="17"/>
  <c r="N29" i="17"/>
  <c r="N25" i="17"/>
  <c r="N23" i="17"/>
  <c r="N21" i="17"/>
  <c r="N19" i="17"/>
  <c r="N18" i="17"/>
  <c r="N14" i="17"/>
  <c r="N9" i="17"/>
  <c r="N5" i="17"/>
  <c r="N28" i="17"/>
  <c r="N27" i="17"/>
  <c r="N22" i="17"/>
  <c r="N10" i="17"/>
  <c r="N8" i="17"/>
  <c r="N4" i="17"/>
  <c r="O30" i="17"/>
  <c r="O26" i="17"/>
  <c r="O24" i="17"/>
  <c r="O20" i="17"/>
  <c r="O17" i="17"/>
  <c r="O15" i="17"/>
  <c r="O12" i="17"/>
  <c r="O11" i="17"/>
  <c r="O6" i="17"/>
  <c r="O29" i="17"/>
  <c r="O25" i="17"/>
  <c r="O23" i="17"/>
  <c r="O21" i="17"/>
  <c r="O19" i="17"/>
  <c r="O18" i="17"/>
  <c r="O14" i="17"/>
  <c r="O9" i="17"/>
  <c r="O5" i="17"/>
  <c r="O28" i="17"/>
  <c r="O27" i="17"/>
  <c r="O22" i="17"/>
  <c r="O10" i="17"/>
  <c r="O8" i="17"/>
  <c r="O4" i="17"/>
  <c r="O16" i="17"/>
  <c r="O13" i="17"/>
  <c r="O7" i="17"/>
  <c r="O2" i="17"/>
  <c r="P29" i="17"/>
  <c r="P25" i="17"/>
  <c r="P23" i="17"/>
  <c r="P49" i="17" s="1"/>
  <c r="P21" i="17"/>
  <c r="P19" i="17"/>
  <c r="P42" i="17" s="1"/>
  <c r="Z42" i="17" s="1"/>
  <c r="P18" i="17"/>
  <c r="P14" i="17"/>
  <c r="P34" i="17" s="1"/>
  <c r="Z34" i="17" s="1"/>
  <c r="P9" i="17"/>
  <c r="P5" i="17"/>
  <c r="P28" i="17"/>
  <c r="P43" i="17" s="1"/>
  <c r="Z43" i="17" s="1"/>
  <c r="P27" i="17"/>
  <c r="P10" i="17"/>
  <c r="P46" i="17" s="1"/>
  <c r="P8" i="17"/>
  <c r="P41" i="17" s="1"/>
  <c r="Z41" i="17" s="1"/>
  <c r="P4" i="17"/>
  <c r="P40" i="17" s="1"/>
  <c r="Z40" i="17" s="1"/>
  <c r="P16" i="17"/>
  <c r="P13" i="17"/>
  <c r="P33" i="17" s="1"/>
  <c r="Z33" i="17" s="1"/>
  <c r="P7" i="17"/>
  <c r="P2" i="17"/>
  <c r="P38" i="17" s="1"/>
  <c r="Z38" i="17" s="1"/>
  <c r="P30" i="17"/>
  <c r="P35" i="17" s="1"/>
  <c r="Z35" i="17" s="1"/>
  <c r="P26" i="17"/>
  <c r="P36" i="17" s="1"/>
  <c r="Z36" i="17" s="1"/>
  <c r="P24" i="17"/>
  <c r="P20" i="17"/>
  <c r="P17" i="17"/>
  <c r="P15" i="17"/>
  <c r="P44" i="17" s="1"/>
  <c r="Z44" i="17" s="1"/>
  <c r="P12" i="17"/>
  <c r="P11" i="17"/>
  <c r="P39" i="17" s="1"/>
  <c r="Z39" i="17" s="1"/>
  <c r="P6" i="17"/>
  <c r="P47" i="17" s="1"/>
  <c r="Z47" i="17" s="1"/>
  <c r="Q28" i="17"/>
  <c r="Q43" i="17" s="1"/>
  <c r="AA43" i="17" s="1"/>
  <c r="Q27" i="17"/>
  <c r="Q10" i="17"/>
  <c r="Q46" i="17" s="1"/>
  <c r="Q8" i="17"/>
  <c r="Q41" i="17" s="1"/>
  <c r="AA41" i="17" s="1"/>
  <c r="Q4" i="17"/>
  <c r="Q40" i="17" s="1"/>
  <c r="AA40" i="17" s="1"/>
  <c r="Q16" i="17"/>
  <c r="Q13" i="17"/>
  <c r="Q33" i="17" s="1"/>
  <c r="AA33" i="17" s="1"/>
  <c r="Q7" i="17"/>
  <c r="Q2" i="17"/>
  <c r="Q38" i="17" s="1"/>
  <c r="AA38" i="17" s="1"/>
  <c r="Q30" i="17"/>
  <c r="Q35" i="17" s="1"/>
  <c r="AA35" i="17" s="1"/>
  <c r="Q26" i="17"/>
  <c r="Q36" i="17" s="1"/>
  <c r="AA36" i="17" s="1"/>
  <c r="Q24" i="17"/>
  <c r="Q20" i="17"/>
  <c r="Q17" i="17"/>
  <c r="Q15" i="17"/>
  <c r="Q44" i="17" s="1"/>
  <c r="AA44" i="17" s="1"/>
  <c r="Q12" i="17"/>
  <c r="Q11" i="17"/>
  <c r="Q39" i="17" s="1"/>
  <c r="AA39" i="17" s="1"/>
  <c r="Q6" i="17"/>
  <c r="Q47" i="17" s="1"/>
  <c r="AA47" i="17" s="1"/>
  <c r="Q29" i="17"/>
  <c r="Q25" i="17"/>
  <c r="Q23" i="17"/>
  <c r="Q49" i="17" s="1"/>
  <c r="Q21" i="17"/>
  <c r="Q19" i="17"/>
  <c r="Q42" i="17" s="1"/>
  <c r="AA42" i="17" s="1"/>
  <c r="Q18" i="17"/>
  <c r="Q14" i="17"/>
  <c r="Q34" i="17" s="1"/>
  <c r="AA34" i="17" s="1"/>
  <c r="Q9" i="17"/>
  <c r="Q5" i="17"/>
  <c r="T30" i="17"/>
  <c r="T29" i="17"/>
  <c r="T25" i="17"/>
  <c r="T23" i="17"/>
  <c r="T21" i="17"/>
  <c r="J32" i="17"/>
  <c r="T32" i="17" s="1"/>
  <c r="T28" i="17"/>
  <c r="T27" i="17"/>
  <c r="T22" i="17"/>
  <c r="T26" i="17"/>
  <c r="T24" i="17"/>
  <c r="S72" i="4"/>
  <c r="S58" i="4"/>
  <c r="S65" i="4"/>
  <c r="S51" i="4"/>
  <c r="S68" i="4"/>
  <c r="S54" i="4"/>
  <c r="S69" i="4"/>
  <c r="S55" i="4"/>
  <c r="S73" i="4"/>
  <c r="S59" i="4"/>
  <c r="S66" i="4"/>
  <c r="S52" i="4"/>
  <c r="S70" i="4"/>
  <c r="S56" i="4"/>
  <c r="S71" i="4"/>
  <c r="S57" i="4"/>
  <c r="S67" i="4"/>
  <c r="S53" i="4"/>
  <c r="S74" i="4"/>
  <c r="S60" i="4"/>
  <c r="S75" i="4"/>
  <c r="S61" i="4"/>
  <c r="S64" i="4"/>
  <c r="S50" i="4"/>
  <c r="S76" i="4"/>
  <c r="S62" i="4"/>
  <c r="Q32" i="4"/>
  <c r="N32" i="4"/>
  <c r="AZ32" i="17"/>
  <c r="AE32" i="17"/>
  <c r="H32" i="17"/>
  <c r="D32" i="17"/>
  <c r="I32" i="17"/>
  <c r="BA63" i="18" l="1"/>
  <c r="BA48" i="18"/>
  <c r="U23" i="4"/>
  <c r="D23" i="19" s="1"/>
  <c r="D31" i="4"/>
  <c r="S48" i="4"/>
  <c r="S63" i="4"/>
  <c r="D45" i="15"/>
  <c r="Q54" i="17"/>
  <c r="AA54" i="17" s="1"/>
  <c r="Q68" i="17"/>
  <c r="AA68" i="17" s="1"/>
  <c r="AA46" i="17"/>
  <c r="Q45" i="17"/>
  <c r="P60" i="17"/>
  <c r="Z60" i="17" s="1"/>
  <c r="P74" i="17"/>
  <c r="Z74" i="17" s="1"/>
  <c r="P66" i="17"/>
  <c r="P52" i="17"/>
  <c r="Z52" i="17" s="1"/>
  <c r="P56" i="17"/>
  <c r="Z56" i="17" s="1"/>
  <c r="P70" i="17"/>
  <c r="Z70" i="17" s="1"/>
  <c r="P73" i="17"/>
  <c r="Z73" i="17" s="1"/>
  <c r="P59" i="17"/>
  <c r="Z59" i="17" s="1"/>
  <c r="P53" i="17"/>
  <c r="Z53" i="17" s="1"/>
  <c r="P67" i="17"/>
  <c r="Z67" i="17" s="1"/>
  <c r="P64" i="17"/>
  <c r="Z64" i="17" s="1"/>
  <c r="P50" i="17"/>
  <c r="Z50" i="17" s="1"/>
  <c r="O46" i="17"/>
  <c r="Y10" i="17"/>
  <c r="O54" i="17"/>
  <c r="Y54" i="17" s="1"/>
  <c r="O68" i="17"/>
  <c r="Y68" i="17" s="1"/>
  <c r="Y9" i="17"/>
  <c r="O42" i="17"/>
  <c r="Y42" i="17" s="1"/>
  <c r="Y19" i="17"/>
  <c r="O47" i="17"/>
  <c r="Y47" i="17" s="1"/>
  <c r="Y6" i="17"/>
  <c r="N46" i="17"/>
  <c r="X10" i="17"/>
  <c r="N54" i="17"/>
  <c r="X54" i="17" s="1"/>
  <c r="N68" i="17"/>
  <c r="X68" i="17" s="1"/>
  <c r="X9" i="17"/>
  <c r="N42" i="17"/>
  <c r="X42" i="17" s="1"/>
  <c r="X19" i="17"/>
  <c r="N47" i="17"/>
  <c r="X47" i="17" s="1"/>
  <c r="X6" i="17"/>
  <c r="R46" i="17"/>
  <c r="AB10" i="17"/>
  <c r="R54" i="17"/>
  <c r="AB54" i="17" s="1"/>
  <c r="R68" i="17"/>
  <c r="AB68" i="17" s="1"/>
  <c r="AB9" i="17"/>
  <c r="R42" i="17"/>
  <c r="AB42" i="17" s="1"/>
  <c r="AB19" i="17"/>
  <c r="R47" i="17"/>
  <c r="AB47" i="17" s="1"/>
  <c r="AB6" i="17"/>
  <c r="Q40" i="4"/>
  <c r="U40" i="4" s="1"/>
  <c r="Q34" i="4"/>
  <c r="U34" i="4" s="1"/>
  <c r="D75" i="19"/>
  <c r="F75" i="19" s="1"/>
  <c r="F18" i="19"/>
  <c r="D61" i="19"/>
  <c r="F61" i="19" s="1"/>
  <c r="D76" i="19"/>
  <c r="F76" i="19" s="1"/>
  <c r="D62" i="19"/>
  <c r="F62" i="19" s="1"/>
  <c r="F27" i="19"/>
  <c r="Q41" i="4"/>
  <c r="U41" i="4" s="1"/>
  <c r="Q47" i="4"/>
  <c r="U47" i="4" s="1"/>
  <c r="Q36" i="4"/>
  <c r="U36" i="4" s="1"/>
  <c r="C37" i="4"/>
  <c r="C47" i="4"/>
  <c r="C36" i="4"/>
  <c r="Y32" i="17"/>
  <c r="Q65" i="17"/>
  <c r="AA65" i="17" s="1"/>
  <c r="Q51" i="17"/>
  <c r="AA51" i="17" s="1"/>
  <c r="Q62" i="17"/>
  <c r="AA62" i="17" s="1"/>
  <c r="Q76" i="17"/>
  <c r="AA76" i="17" s="1"/>
  <c r="P55" i="17"/>
  <c r="Z55" i="17" s="1"/>
  <c r="P69" i="17"/>
  <c r="Z69" i="17" s="1"/>
  <c r="P58" i="17"/>
  <c r="Z58" i="17" s="1"/>
  <c r="P72" i="17"/>
  <c r="Z72" i="17" s="1"/>
  <c r="P75" i="17"/>
  <c r="Z75" i="17" s="1"/>
  <c r="P61" i="17"/>
  <c r="Z61" i="17" s="1"/>
  <c r="Z49" i="17"/>
  <c r="P57" i="17"/>
  <c r="Z57" i="17" s="1"/>
  <c r="P71" i="17"/>
  <c r="Z71" i="17" s="1"/>
  <c r="O33" i="17"/>
  <c r="Y33" i="17" s="1"/>
  <c r="Y13" i="17"/>
  <c r="O40" i="17"/>
  <c r="Y40" i="17" s="1"/>
  <c r="Y4" i="17"/>
  <c r="O76" i="17"/>
  <c r="Y76" i="17" s="1"/>
  <c r="Y27" i="17"/>
  <c r="O62" i="17"/>
  <c r="Y62" i="17" s="1"/>
  <c r="O51" i="17"/>
  <c r="Y51" i="17" s="1"/>
  <c r="O65" i="17"/>
  <c r="Y65" i="17" s="1"/>
  <c r="Y21" i="17"/>
  <c r="O39" i="17"/>
  <c r="Y39" i="17" s="1"/>
  <c r="Y11" i="17"/>
  <c r="O44" i="17"/>
  <c r="Y44" i="17" s="1"/>
  <c r="Y15" i="17"/>
  <c r="O36" i="17"/>
  <c r="Y36" i="17" s="1"/>
  <c r="Y26" i="17"/>
  <c r="N40" i="17"/>
  <c r="X40" i="17" s="1"/>
  <c r="X4" i="17"/>
  <c r="X27" i="17"/>
  <c r="N76" i="17"/>
  <c r="X76" i="17" s="1"/>
  <c r="N62" i="17"/>
  <c r="X62" i="17" s="1"/>
  <c r="N65" i="17"/>
  <c r="X65" i="17" s="1"/>
  <c r="N51" i="17"/>
  <c r="X51" i="17" s="1"/>
  <c r="X21" i="17"/>
  <c r="N39" i="17"/>
  <c r="X39" i="17" s="1"/>
  <c r="X11" i="17"/>
  <c r="N44" i="17"/>
  <c r="X44" i="17" s="1"/>
  <c r="X15" i="17"/>
  <c r="N36" i="17"/>
  <c r="X36" i="17" s="1"/>
  <c r="X26" i="17"/>
  <c r="N33" i="17"/>
  <c r="X33" i="17" s="1"/>
  <c r="X13" i="17"/>
  <c r="R40" i="17"/>
  <c r="AB40" i="17" s="1"/>
  <c r="AB4" i="17"/>
  <c r="R76" i="17"/>
  <c r="AB76" i="17" s="1"/>
  <c r="AB27" i="17"/>
  <c r="R62" i="17"/>
  <c r="AB62" i="17" s="1"/>
  <c r="AB21" i="17"/>
  <c r="R51" i="17"/>
  <c r="AB51" i="17" s="1"/>
  <c r="R65" i="17"/>
  <c r="AB65" i="17" s="1"/>
  <c r="R39" i="17"/>
  <c r="AB39" i="17" s="1"/>
  <c r="AB11" i="17"/>
  <c r="R44" i="17"/>
  <c r="AB44" i="17" s="1"/>
  <c r="AB15" i="17"/>
  <c r="R36" i="17"/>
  <c r="AB36" i="17" s="1"/>
  <c r="AB26" i="17"/>
  <c r="R33" i="17"/>
  <c r="AB33" i="17" s="1"/>
  <c r="AB13" i="17"/>
  <c r="D73" i="19"/>
  <c r="F73" i="19" s="1"/>
  <c r="D59" i="19"/>
  <c r="F59" i="19" s="1"/>
  <c r="F7" i="19"/>
  <c r="D52" i="19"/>
  <c r="F52" i="19" s="1"/>
  <c r="D66" i="19"/>
  <c r="F66" i="19" s="1"/>
  <c r="F17" i="19"/>
  <c r="Q35" i="4"/>
  <c r="U35" i="4" s="1"/>
  <c r="Q46" i="4"/>
  <c r="D65" i="19"/>
  <c r="F65" i="19" s="1"/>
  <c r="D51" i="19"/>
  <c r="F51" i="19" s="1"/>
  <c r="F21" i="19"/>
  <c r="D54" i="19"/>
  <c r="F54" i="19" s="1"/>
  <c r="F9" i="19"/>
  <c r="D68" i="19"/>
  <c r="F68" i="19" s="1"/>
  <c r="Q42" i="4"/>
  <c r="U42" i="4" s="1"/>
  <c r="Q43" i="4"/>
  <c r="U43" i="4" s="1"/>
  <c r="C38" i="4"/>
  <c r="C44" i="4"/>
  <c r="C41" i="4"/>
  <c r="C42" i="4"/>
  <c r="C43" i="4"/>
  <c r="D31" i="15"/>
  <c r="Q53" i="17"/>
  <c r="AA53" i="17" s="1"/>
  <c r="Q67" i="17"/>
  <c r="AA67" i="17" s="1"/>
  <c r="Q64" i="17"/>
  <c r="AA64" i="17" s="1"/>
  <c r="Q50" i="17"/>
  <c r="AA50" i="17" s="1"/>
  <c r="Q60" i="17"/>
  <c r="AA60" i="17" s="1"/>
  <c r="Q74" i="17"/>
  <c r="AA74" i="17" s="1"/>
  <c r="Q66" i="17"/>
  <c r="Q52" i="17"/>
  <c r="AA52" i="17" s="1"/>
  <c r="Q56" i="17"/>
  <c r="AA56" i="17" s="1"/>
  <c r="Q70" i="17"/>
  <c r="AA70" i="17" s="1"/>
  <c r="Q73" i="17"/>
  <c r="AA73" i="17" s="1"/>
  <c r="Q59" i="17"/>
  <c r="AA59" i="17" s="1"/>
  <c r="Z46" i="17"/>
  <c r="P45" i="17"/>
  <c r="P54" i="17"/>
  <c r="Z54" i="17" s="1"/>
  <c r="P68" i="17"/>
  <c r="Z68" i="17" s="1"/>
  <c r="O38" i="17"/>
  <c r="Y38" i="17" s="1"/>
  <c r="Y2" i="17"/>
  <c r="O59" i="17"/>
  <c r="Y59" i="17" s="1"/>
  <c r="O73" i="17"/>
  <c r="Y73" i="17" s="1"/>
  <c r="Y7" i="17"/>
  <c r="O37" i="17"/>
  <c r="Y37" i="17" s="1"/>
  <c r="Y22" i="17"/>
  <c r="O43" i="17"/>
  <c r="Y43" i="17" s="1"/>
  <c r="Y28" i="17"/>
  <c r="O53" i="17"/>
  <c r="Y53" i="17" s="1"/>
  <c r="Y5" i="17"/>
  <c r="O67" i="17"/>
  <c r="Y67" i="17" s="1"/>
  <c r="O34" i="17"/>
  <c r="Y34" i="17" s="1"/>
  <c r="Y14" i="17"/>
  <c r="O64" i="17"/>
  <c r="Y64" i="17" s="1"/>
  <c r="Y25" i="17"/>
  <c r="O50" i="17"/>
  <c r="Y50" i="17" s="1"/>
  <c r="O60" i="17"/>
  <c r="Y60" i="17" s="1"/>
  <c r="Y12" i="17"/>
  <c r="O74" i="17"/>
  <c r="Y74" i="17" s="1"/>
  <c r="O52" i="17"/>
  <c r="Y52" i="17" s="1"/>
  <c r="Y17" i="17"/>
  <c r="O66" i="17"/>
  <c r="Y66" i="17" s="1"/>
  <c r="O56" i="17"/>
  <c r="Y56" i="17" s="1"/>
  <c r="O70" i="17"/>
  <c r="Y70" i="17" s="1"/>
  <c r="Y20" i="17"/>
  <c r="O35" i="17"/>
  <c r="Y35" i="17" s="1"/>
  <c r="Y30" i="17"/>
  <c r="N37" i="17"/>
  <c r="X37" i="17" s="1"/>
  <c r="X22" i="17"/>
  <c r="N43" i="17"/>
  <c r="X43" i="17" s="1"/>
  <c r="X28" i="17"/>
  <c r="N53" i="17"/>
  <c r="X53" i="17" s="1"/>
  <c r="N67" i="17"/>
  <c r="X67" i="17" s="1"/>
  <c r="X5" i="17"/>
  <c r="N34" i="17"/>
  <c r="X34" i="17" s="1"/>
  <c r="X14" i="17"/>
  <c r="N50" i="17"/>
  <c r="X50" i="17" s="1"/>
  <c r="X25" i="17"/>
  <c r="N64" i="17"/>
  <c r="X64" i="17" s="1"/>
  <c r="N60" i="17"/>
  <c r="X60" i="17" s="1"/>
  <c r="X12" i="17"/>
  <c r="N74" i="17"/>
  <c r="X74" i="17" s="1"/>
  <c r="N66" i="17"/>
  <c r="X66" i="17" s="1"/>
  <c r="N52" i="17"/>
  <c r="X52" i="17" s="1"/>
  <c r="X17" i="17"/>
  <c r="N70" i="17"/>
  <c r="X70" i="17" s="1"/>
  <c r="X20" i="17"/>
  <c r="N56" i="17"/>
  <c r="X56" i="17" s="1"/>
  <c r="N35" i="17"/>
  <c r="X35" i="17" s="1"/>
  <c r="X30" i="17"/>
  <c r="N38" i="17"/>
  <c r="X38" i="17" s="1"/>
  <c r="X2" i="17"/>
  <c r="N59" i="17"/>
  <c r="X59" i="17" s="1"/>
  <c r="X7" i="17"/>
  <c r="N73" i="17"/>
  <c r="X73" i="17" s="1"/>
  <c r="R37" i="17"/>
  <c r="AB37" i="17" s="1"/>
  <c r="AB22" i="17"/>
  <c r="R43" i="17"/>
  <c r="AB43" i="17" s="1"/>
  <c r="AB28" i="17"/>
  <c r="R67" i="17"/>
  <c r="AB67" i="17" s="1"/>
  <c r="AB5" i="17"/>
  <c r="R53" i="17"/>
  <c r="AB53" i="17" s="1"/>
  <c r="R34" i="17"/>
  <c r="AB34" i="17" s="1"/>
  <c r="AB14" i="17"/>
  <c r="AB25" i="17"/>
  <c r="R50" i="17"/>
  <c r="AB50" i="17" s="1"/>
  <c r="R64" i="17"/>
  <c r="R60" i="17"/>
  <c r="AB60" i="17" s="1"/>
  <c r="R74" i="17"/>
  <c r="AB74" i="17" s="1"/>
  <c r="AB12" i="17"/>
  <c r="R52" i="17"/>
  <c r="AB52" i="17" s="1"/>
  <c r="R66" i="17"/>
  <c r="AB66" i="17" s="1"/>
  <c r="AB17" i="17"/>
  <c r="R70" i="17"/>
  <c r="AB70" i="17" s="1"/>
  <c r="AB20" i="17"/>
  <c r="R56" i="17"/>
  <c r="AB56" i="17" s="1"/>
  <c r="R35" i="17"/>
  <c r="AB35" i="17" s="1"/>
  <c r="AB30" i="17"/>
  <c r="R38" i="17"/>
  <c r="AB38" i="17" s="1"/>
  <c r="AB2" i="17"/>
  <c r="R59" i="17"/>
  <c r="AB59" i="17" s="1"/>
  <c r="R73" i="17"/>
  <c r="AB73" i="17" s="1"/>
  <c r="AB7" i="17"/>
  <c r="F20" i="19"/>
  <c r="D56" i="19"/>
  <c r="F56" i="19" s="1"/>
  <c r="D70" i="19"/>
  <c r="F70" i="19" s="1"/>
  <c r="D71" i="19"/>
  <c r="F71" i="19" s="1"/>
  <c r="F29" i="19"/>
  <c r="D57" i="19"/>
  <c r="F57" i="19" s="1"/>
  <c r="D60" i="19"/>
  <c r="F60" i="19" s="1"/>
  <c r="F12" i="19"/>
  <c r="D74" i="19"/>
  <c r="F74" i="19" s="1"/>
  <c r="Q37" i="4"/>
  <c r="U37" i="4" s="1"/>
  <c r="Q38" i="4"/>
  <c r="U38" i="4" s="1"/>
  <c r="U2" i="4"/>
  <c r="D2" i="19" s="1"/>
  <c r="Q33" i="4"/>
  <c r="U33" i="4" s="1"/>
  <c r="Q49" i="4"/>
  <c r="U49" i="4" s="1"/>
  <c r="Q39" i="4"/>
  <c r="U39" i="4" s="1"/>
  <c r="C40" i="4"/>
  <c r="C34" i="4"/>
  <c r="C46" i="4"/>
  <c r="C39" i="4"/>
  <c r="D45" i="4"/>
  <c r="Q75" i="17"/>
  <c r="AA75" i="17" s="1"/>
  <c r="Q61" i="17"/>
  <c r="AA61" i="17" s="1"/>
  <c r="AA49" i="17"/>
  <c r="Q57" i="17"/>
  <c r="AA57" i="17" s="1"/>
  <c r="Q71" i="17"/>
  <c r="AA71" i="17" s="1"/>
  <c r="Q55" i="17"/>
  <c r="AA55" i="17" s="1"/>
  <c r="Q69" i="17"/>
  <c r="AA69" i="17" s="1"/>
  <c r="Q58" i="17"/>
  <c r="AA58" i="17" s="1"/>
  <c r="Q72" i="17"/>
  <c r="AA72" i="17" s="1"/>
  <c r="P62" i="17"/>
  <c r="Z62" i="17" s="1"/>
  <c r="P76" i="17"/>
  <c r="Z76" i="17" s="1"/>
  <c r="P65" i="17"/>
  <c r="Z65" i="17" s="1"/>
  <c r="P51" i="17"/>
  <c r="Z51" i="17" s="1"/>
  <c r="O72" i="17"/>
  <c r="Y72" i="17" s="1"/>
  <c r="Y16" i="17"/>
  <c r="O58" i="17"/>
  <c r="Y58" i="17" s="1"/>
  <c r="O41" i="17"/>
  <c r="Y41" i="17" s="1"/>
  <c r="Y8" i="17"/>
  <c r="O61" i="17"/>
  <c r="Y18" i="17"/>
  <c r="O75" i="17"/>
  <c r="O49" i="17"/>
  <c r="Y49" i="17" s="1"/>
  <c r="Y23" i="17"/>
  <c r="O71" i="17"/>
  <c r="Y71" i="17" s="1"/>
  <c r="O57" i="17"/>
  <c r="Y57" i="17" s="1"/>
  <c r="Y29" i="17"/>
  <c r="O69" i="17"/>
  <c r="Y69" i="17" s="1"/>
  <c r="O55" i="17"/>
  <c r="Y55" i="17" s="1"/>
  <c r="Y24" i="17"/>
  <c r="N41" i="17"/>
  <c r="X41" i="17" s="1"/>
  <c r="X8" i="17"/>
  <c r="N75" i="17"/>
  <c r="X18" i="17"/>
  <c r="N61" i="17"/>
  <c r="N49" i="17"/>
  <c r="X49" i="17" s="1"/>
  <c r="X23" i="17"/>
  <c r="N71" i="17"/>
  <c r="X71" i="17" s="1"/>
  <c r="X29" i="17"/>
  <c r="N57" i="17"/>
  <c r="X57" i="17" s="1"/>
  <c r="N69" i="17"/>
  <c r="X69" i="17" s="1"/>
  <c r="X24" i="17"/>
  <c r="N55" i="17"/>
  <c r="X55" i="17" s="1"/>
  <c r="N72" i="17"/>
  <c r="X72" i="17" s="1"/>
  <c r="N58" i="17"/>
  <c r="X58" i="17" s="1"/>
  <c r="X16" i="17"/>
  <c r="R41" i="17"/>
  <c r="AB41" i="17" s="1"/>
  <c r="AB8" i="17"/>
  <c r="R61" i="17"/>
  <c r="AB61" i="17" s="1"/>
  <c r="R75" i="17"/>
  <c r="AB75" i="17" s="1"/>
  <c r="AB18" i="17"/>
  <c r="R49" i="17"/>
  <c r="AB23" i="17"/>
  <c r="R57" i="17"/>
  <c r="AB57" i="17" s="1"/>
  <c r="R71" i="17"/>
  <c r="AB71" i="17" s="1"/>
  <c r="AB29" i="17"/>
  <c r="R69" i="17"/>
  <c r="AB69" i="17" s="1"/>
  <c r="AB24" i="17"/>
  <c r="R55" i="17"/>
  <c r="AB55" i="17" s="1"/>
  <c r="R58" i="17"/>
  <c r="AB58" i="17" s="1"/>
  <c r="AB16" i="17"/>
  <c r="R72" i="17"/>
  <c r="AB72" i="17" s="1"/>
  <c r="D67" i="19"/>
  <c r="F67" i="19" s="1"/>
  <c r="F5" i="19"/>
  <c r="D53" i="19"/>
  <c r="F53" i="19" s="1"/>
  <c r="Q44" i="4"/>
  <c r="U44" i="4" s="1"/>
  <c r="D50" i="19"/>
  <c r="F50" i="19" s="1"/>
  <c r="D64" i="19"/>
  <c r="F25" i="19"/>
  <c r="D72" i="19"/>
  <c r="F72" i="19" s="1"/>
  <c r="F16" i="19"/>
  <c r="D58" i="19"/>
  <c r="F58" i="19" s="1"/>
  <c r="D55" i="19"/>
  <c r="F55" i="19" s="1"/>
  <c r="F24" i="19"/>
  <c r="D69" i="19"/>
  <c r="F69" i="19" s="1"/>
  <c r="C35" i="4"/>
  <c r="C33" i="4"/>
  <c r="C49" i="4"/>
  <c r="O32" i="15"/>
  <c r="Q3" i="15"/>
  <c r="Q3" i="17"/>
  <c r="Q32" i="17" s="1"/>
  <c r="G32" i="17"/>
  <c r="P3" i="17"/>
  <c r="P32" i="17" s="1"/>
  <c r="F32" i="17"/>
  <c r="L32" i="15"/>
  <c r="AO32" i="17"/>
  <c r="U32" i="4"/>
  <c r="O67" i="15"/>
  <c r="Q67" i="15" s="1"/>
  <c r="O53" i="15"/>
  <c r="Q53" i="15" s="1"/>
  <c r="Q5" i="15"/>
  <c r="O73" i="15"/>
  <c r="Q73" i="15" s="1"/>
  <c r="O59" i="15"/>
  <c r="Q59" i="15" s="1"/>
  <c r="Q7" i="15"/>
  <c r="O54" i="15"/>
  <c r="Q54" i="15" s="1"/>
  <c r="Q9" i="15"/>
  <c r="O68" i="15"/>
  <c r="Q68" i="15" s="1"/>
  <c r="Q2" i="15"/>
  <c r="O38" i="15"/>
  <c r="Q38" i="15" s="1"/>
  <c r="O40" i="15"/>
  <c r="Q40" i="15" s="1"/>
  <c r="Q4" i="15"/>
  <c r="Q6" i="15"/>
  <c r="O47" i="15"/>
  <c r="Q47" i="15" s="1"/>
  <c r="Q8" i="15"/>
  <c r="O41" i="15"/>
  <c r="Q41" i="15" s="1"/>
  <c r="Q12" i="15"/>
  <c r="O74" i="15"/>
  <c r="Q74" i="15" s="1"/>
  <c r="O60" i="15"/>
  <c r="Q60" i="15" s="1"/>
  <c r="Q10" i="15"/>
  <c r="O46" i="15"/>
  <c r="O39" i="15"/>
  <c r="Q39" i="15" s="1"/>
  <c r="Q11" i="15"/>
  <c r="O33" i="15"/>
  <c r="Q33" i="15" s="1"/>
  <c r="Q13" i="15"/>
  <c r="O34" i="15"/>
  <c r="Q34" i="15" s="1"/>
  <c r="Q14" i="15"/>
  <c r="O58" i="15"/>
  <c r="Q58" i="15" s="1"/>
  <c r="Q16" i="15"/>
  <c r="O72" i="15"/>
  <c r="Q72" i="15" s="1"/>
  <c r="O75" i="15"/>
  <c r="Q75" i="15" s="1"/>
  <c r="O61" i="15"/>
  <c r="Q61" i="15" s="1"/>
  <c r="Q18" i="15"/>
  <c r="Q19" i="15"/>
  <c r="O42" i="15"/>
  <c r="Q42" i="15" s="1"/>
  <c r="O65" i="15"/>
  <c r="Q65" i="15" s="1"/>
  <c r="O51" i="15"/>
  <c r="Q51" i="15" s="1"/>
  <c r="Q21" i="15"/>
  <c r="O44" i="15"/>
  <c r="Q44" i="15" s="1"/>
  <c r="Q15" i="15"/>
  <c r="O66" i="15"/>
  <c r="O52" i="15"/>
  <c r="Q52" i="15" s="1"/>
  <c r="Q17" i="15"/>
  <c r="Q20" i="15"/>
  <c r="O70" i="15"/>
  <c r="Q70" i="15" s="1"/>
  <c r="O56" i="15"/>
  <c r="Q56" i="15" s="1"/>
  <c r="O49" i="15"/>
  <c r="Q23" i="15"/>
  <c r="O50" i="15"/>
  <c r="Q50" i="15" s="1"/>
  <c r="O64" i="15"/>
  <c r="Q64" i="15" s="1"/>
  <c r="Q25" i="15"/>
  <c r="Q22" i="15"/>
  <c r="O37" i="15"/>
  <c r="Q37" i="15" s="1"/>
  <c r="Q24" i="15"/>
  <c r="O69" i="15"/>
  <c r="Q69" i="15" s="1"/>
  <c r="O55" i="15"/>
  <c r="Q55" i="15" s="1"/>
  <c r="O36" i="15"/>
  <c r="Q36" i="15" s="1"/>
  <c r="Q26" i="15"/>
  <c r="O62" i="15"/>
  <c r="Q62" i="15" s="1"/>
  <c r="Q27" i="15"/>
  <c r="O76" i="15"/>
  <c r="Q76" i="15" s="1"/>
  <c r="Q28" i="15"/>
  <c r="O43" i="15"/>
  <c r="Q43" i="15" s="1"/>
  <c r="O71" i="15"/>
  <c r="Q71" i="15" s="1"/>
  <c r="O57" i="15"/>
  <c r="Q57" i="15" s="1"/>
  <c r="Q29" i="15"/>
  <c r="O35" i="15"/>
  <c r="Q35" i="15" s="1"/>
  <c r="Q30" i="15"/>
  <c r="C38" i="15"/>
  <c r="C32" i="15"/>
  <c r="C40" i="15"/>
  <c r="C68" i="15"/>
  <c r="C54" i="15"/>
  <c r="C67" i="15"/>
  <c r="C53" i="15"/>
  <c r="C33" i="15"/>
  <c r="C72" i="15"/>
  <c r="C58" i="15"/>
  <c r="C47" i="15"/>
  <c r="C39" i="15"/>
  <c r="C37" i="15"/>
  <c r="C76" i="15"/>
  <c r="C62" i="15"/>
  <c r="C43" i="15"/>
  <c r="C73" i="15"/>
  <c r="C59" i="15"/>
  <c r="C34" i="15"/>
  <c r="C75" i="15"/>
  <c r="C61" i="15"/>
  <c r="C42" i="15"/>
  <c r="C65" i="15"/>
  <c r="C51" i="15"/>
  <c r="C49" i="15"/>
  <c r="C64" i="15"/>
  <c r="C50" i="15"/>
  <c r="C71" i="15"/>
  <c r="C57" i="15"/>
  <c r="C41" i="15"/>
  <c r="C46" i="15"/>
  <c r="C74" i="15"/>
  <c r="C60" i="15"/>
  <c r="C44" i="15"/>
  <c r="C66" i="15"/>
  <c r="C52" i="15"/>
  <c r="C70" i="15"/>
  <c r="C56" i="15"/>
  <c r="C69" i="15"/>
  <c r="C55" i="15"/>
  <c r="C36" i="15"/>
  <c r="C35" i="15"/>
  <c r="J47" i="17"/>
  <c r="T47" i="17" s="1"/>
  <c r="T6" i="17"/>
  <c r="J39" i="17"/>
  <c r="T39" i="17" s="1"/>
  <c r="T11" i="17"/>
  <c r="T12" i="17"/>
  <c r="J74" i="17"/>
  <c r="T74" i="17" s="1"/>
  <c r="J60" i="17"/>
  <c r="T60" i="17" s="1"/>
  <c r="J44" i="17"/>
  <c r="T44" i="17" s="1"/>
  <c r="T15" i="17"/>
  <c r="J66" i="17"/>
  <c r="J52" i="17"/>
  <c r="T52" i="17" s="1"/>
  <c r="T17" i="17"/>
  <c r="T20" i="17"/>
  <c r="J70" i="17"/>
  <c r="T70" i="17" s="1"/>
  <c r="J56" i="17"/>
  <c r="T56" i="17" s="1"/>
  <c r="J69" i="17"/>
  <c r="T69" i="17" s="1"/>
  <c r="J55" i="17"/>
  <c r="T55" i="17" s="1"/>
  <c r="J36" i="17"/>
  <c r="T36" i="17" s="1"/>
  <c r="J38" i="17"/>
  <c r="T38" i="17" s="1"/>
  <c r="T2" i="17"/>
  <c r="T7" i="17"/>
  <c r="J73" i="17"/>
  <c r="T73" i="17" s="1"/>
  <c r="J59" i="17"/>
  <c r="T59" i="17" s="1"/>
  <c r="J33" i="17"/>
  <c r="T33" i="17" s="1"/>
  <c r="T13" i="17"/>
  <c r="T16" i="17"/>
  <c r="J72" i="17"/>
  <c r="T72" i="17" s="1"/>
  <c r="J58" i="17"/>
  <c r="T58" i="17" s="1"/>
  <c r="J40" i="17"/>
  <c r="T40" i="17" s="1"/>
  <c r="T4" i="17"/>
  <c r="J41" i="17"/>
  <c r="T41" i="17" s="1"/>
  <c r="T8" i="17"/>
  <c r="J46" i="17"/>
  <c r="T10" i="17"/>
  <c r="J37" i="17"/>
  <c r="T37" i="17" s="1"/>
  <c r="J76" i="17"/>
  <c r="T76" i="17" s="1"/>
  <c r="J62" i="17"/>
  <c r="T62" i="17" s="1"/>
  <c r="J43" i="17"/>
  <c r="T43" i="17" s="1"/>
  <c r="J67" i="17"/>
  <c r="T67" i="17" s="1"/>
  <c r="J53" i="17"/>
  <c r="T53" i="17" s="1"/>
  <c r="T5" i="17"/>
  <c r="T9" i="17"/>
  <c r="J68" i="17"/>
  <c r="T68" i="17" s="1"/>
  <c r="J54" i="17"/>
  <c r="T54" i="17" s="1"/>
  <c r="J34" i="17"/>
  <c r="T34" i="17" s="1"/>
  <c r="T14" i="17"/>
  <c r="J75" i="17"/>
  <c r="T75" i="17" s="1"/>
  <c r="J61" i="17"/>
  <c r="T61" i="17" s="1"/>
  <c r="T18" i="17"/>
  <c r="J42" i="17"/>
  <c r="T42" i="17" s="1"/>
  <c r="T19" i="17"/>
  <c r="J65" i="17"/>
  <c r="T65" i="17" s="1"/>
  <c r="J51" i="17"/>
  <c r="T51" i="17" s="1"/>
  <c r="J49" i="17"/>
  <c r="J64" i="17"/>
  <c r="T64" i="17" s="1"/>
  <c r="J50" i="17"/>
  <c r="T50" i="17" s="1"/>
  <c r="J71" i="17"/>
  <c r="T71" i="17" s="1"/>
  <c r="J57" i="17"/>
  <c r="T57" i="17" s="1"/>
  <c r="J35" i="17"/>
  <c r="T35" i="17" s="1"/>
  <c r="AE40" i="17"/>
  <c r="AO40" i="17" s="1"/>
  <c r="AO4" i="17"/>
  <c r="AE41" i="17"/>
  <c r="AO41" i="17" s="1"/>
  <c r="AO8" i="17"/>
  <c r="AE46" i="17"/>
  <c r="AO10" i="17"/>
  <c r="AE37" i="17"/>
  <c r="AO37" i="17" s="1"/>
  <c r="AO22" i="17"/>
  <c r="AE62" i="17"/>
  <c r="AO62" i="17" s="1"/>
  <c r="AE76" i="17"/>
  <c r="AO76" i="17" s="1"/>
  <c r="AO27" i="17"/>
  <c r="AE43" i="17"/>
  <c r="AO43" i="17" s="1"/>
  <c r="AO28" i="17"/>
  <c r="AE35" i="17"/>
  <c r="AO35" i="17" s="1"/>
  <c r="AO30" i="17"/>
  <c r="AE67" i="17"/>
  <c r="AO67" i="17" s="1"/>
  <c r="AE53" i="17"/>
  <c r="AO53" i="17" s="1"/>
  <c r="AO5" i="17"/>
  <c r="AO9" i="17"/>
  <c r="AE54" i="17"/>
  <c r="AO54" i="17" s="1"/>
  <c r="AE68" i="17"/>
  <c r="AO68" i="17" s="1"/>
  <c r="AE34" i="17"/>
  <c r="AO34" i="17" s="1"/>
  <c r="AO14" i="17"/>
  <c r="AE75" i="17"/>
  <c r="AO75" i="17" s="1"/>
  <c r="AE61" i="17"/>
  <c r="AO61" i="17" s="1"/>
  <c r="AO18" i="17"/>
  <c r="AE42" i="17"/>
  <c r="AO42" i="17" s="1"/>
  <c r="AO19" i="17"/>
  <c r="AE65" i="17"/>
  <c r="AO65" i="17" s="1"/>
  <c r="AE51" i="17"/>
  <c r="AO51" i="17" s="1"/>
  <c r="AO21" i="17"/>
  <c r="AE49" i="17"/>
  <c r="AO23" i="17"/>
  <c r="AE50" i="17"/>
  <c r="AO50" i="17" s="1"/>
  <c r="AE64" i="17"/>
  <c r="AO64" i="17" s="1"/>
  <c r="AO25" i="17"/>
  <c r="AE71" i="17"/>
  <c r="AO71" i="17" s="1"/>
  <c r="AE57" i="17"/>
  <c r="AO57" i="17" s="1"/>
  <c r="AO29" i="17"/>
  <c r="AE47" i="17"/>
  <c r="AO47" i="17" s="1"/>
  <c r="AO6" i="17"/>
  <c r="AE39" i="17"/>
  <c r="AO39" i="17" s="1"/>
  <c r="AO11" i="17"/>
  <c r="AO12" i="17"/>
  <c r="AE74" i="17"/>
  <c r="AO74" i="17" s="1"/>
  <c r="AE60" i="17"/>
  <c r="AO60" i="17" s="1"/>
  <c r="AE44" i="17"/>
  <c r="AO44" i="17" s="1"/>
  <c r="AO15" i="17"/>
  <c r="AO17" i="17"/>
  <c r="AE66" i="17"/>
  <c r="AE52" i="17"/>
  <c r="AO52" i="17" s="1"/>
  <c r="AE70" i="17"/>
  <c r="AO70" i="17" s="1"/>
  <c r="AE56" i="17"/>
  <c r="AO56" i="17" s="1"/>
  <c r="AO20" i="17"/>
  <c r="AO24" i="17"/>
  <c r="AE69" i="17"/>
  <c r="AO69" i="17" s="1"/>
  <c r="AE55" i="17"/>
  <c r="AO55" i="17" s="1"/>
  <c r="AE36" i="17"/>
  <c r="AO36" i="17" s="1"/>
  <c r="AO26" i="17"/>
  <c r="AE38" i="17"/>
  <c r="AO38" i="17" s="1"/>
  <c r="AO2" i="17"/>
  <c r="AO7" i="17"/>
  <c r="AE73" i="17"/>
  <c r="AO73" i="17" s="1"/>
  <c r="AE59" i="17"/>
  <c r="AO59" i="17" s="1"/>
  <c r="AE33" i="17"/>
  <c r="AO33" i="17" s="1"/>
  <c r="AO13" i="17"/>
  <c r="AE58" i="17"/>
  <c r="AO58" i="17" s="1"/>
  <c r="AE72" i="17"/>
  <c r="AO72" i="17" s="1"/>
  <c r="AO16" i="17"/>
  <c r="G67" i="17"/>
  <c r="G53" i="17"/>
  <c r="AL5" i="17"/>
  <c r="G68" i="17"/>
  <c r="G54" i="17"/>
  <c r="AL9" i="17"/>
  <c r="G34" i="17"/>
  <c r="AL14" i="17"/>
  <c r="G75" i="17"/>
  <c r="G61" i="17"/>
  <c r="AL18" i="17"/>
  <c r="G42" i="17"/>
  <c r="AL19" i="17"/>
  <c r="G65" i="17"/>
  <c r="G51" i="17"/>
  <c r="AL21" i="17"/>
  <c r="G49" i="17"/>
  <c r="AL23" i="17"/>
  <c r="G64" i="17"/>
  <c r="G50" i="17"/>
  <c r="AL25" i="17"/>
  <c r="G71" i="17"/>
  <c r="G57" i="17"/>
  <c r="AL29" i="17"/>
  <c r="G47" i="17"/>
  <c r="AL6" i="17"/>
  <c r="G39" i="17"/>
  <c r="AL11" i="17"/>
  <c r="G74" i="17"/>
  <c r="G60" i="17"/>
  <c r="AL12" i="17"/>
  <c r="G44" i="17"/>
  <c r="AL15" i="17"/>
  <c r="G66" i="17"/>
  <c r="G52" i="17"/>
  <c r="AL17" i="17"/>
  <c r="G70" i="17"/>
  <c r="G56" i="17"/>
  <c r="AL20" i="17"/>
  <c r="G69" i="17"/>
  <c r="G55" i="17"/>
  <c r="AL24" i="17"/>
  <c r="G36" i="17"/>
  <c r="AL26" i="17"/>
  <c r="G35" i="17"/>
  <c r="AL30" i="17"/>
  <c r="G38" i="17"/>
  <c r="AL2" i="17"/>
  <c r="G73" i="17"/>
  <c r="G59" i="17"/>
  <c r="AL7" i="17"/>
  <c r="G33" i="17"/>
  <c r="AL13" i="17"/>
  <c r="G72" i="17"/>
  <c r="G58" i="17"/>
  <c r="AL16" i="17"/>
  <c r="G40" i="17"/>
  <c r="AL4" i="17"/>
  <c r="G41" i="17"/>
  <c r="AL8" i="17"/>
  <c r="G46" i="17"/>
  <c r="G45" i="17" s="1"/>
  <c r="AL10" i="17"/>
  <c r="Q22" i="17"/>
  <c r="Q37" i="17" s="1"/>
  <c r="AA37" i="17" s="1"/>
  <c r="G37" i="17"/>
  <c r="AL22" i="17"/>
  <c r="G76" i="17"/>
  <c r="G62" i="17"/>
  <c r="AL27" i="17"/>
  <c r="G43" i="17"/>
  <c r="AL28" i="17"/>
  <c r="F47" i="17"/>
  <c r="AK6" i="17"/>
  <c r="F39" i="17"/>
  <c r="AK11" i="17"/>
  <c r="F74" i="17"/>
  <c r="F60" i="17"/>
  <c r="AK12" i="17"/>
  <c r="F44" i="17"/>
  <c r="AK15" i="17"/>
  <c r="F66" i="17"/>
  <c r="F52" i="17"/>
  <c r="AK17" i="17"/>
  <c r="F70" i="17"/>
  <c r="F56" i="17"/>
  <c r="AK20" i="17"/>
  <c r="F69" i="17"/>
  <c r="F55" i="17"/>
  <c r="AK24" i="17"/>
  <c r="F36" i="17"/>
  <c r="AK26" i="17"/>
  <c r="F35" i="17"/>
  <c r="AK30" i="17"/>
  <c r="F38" i="17"/>
  <c r="AK2" i="17"/>
  <c r="F73" i="17"/>
  <c r="F59" i="17"/>
  <c r="AK7" i="17"/>
  <c r="F33" i="17"/>
  <c r="AK13" i="17"/>
  <c r="F72" i="17"/>
  <c r="F58" i="17"/>
  <c r="AK16" i="17"/>
  <c r="F40" i="17"/>
  <c r="AK4" i="17"/>
  <c r="F41" i="17"/>
  <c r="AK8" i="17"/>
  <c r="F46" i="17"/>
  <c r="F45" i="17" s="1"/>
  <c r="AK10" i="17"/>
  <c r="P22" i="17"/>
  <c r="P37" i="17" s="1"/>
  <c r="Z37" i="17" s="1"/>
  <c r="F37" i="17"/>
  <c r="AK22" i="17"/>
  <c r="F76" i="17"/>
  <c r="F62" i="17"/>
  <c r="AK27" i="17"/>
  <c r="F43" i="17"/>
  <c r="AK28" i="17"/>
  <c r="F67" i="17"/>
  <c r="F53" i="17"/>
  <c r="AK5" i="17"/>
  <c r="F68" i="17"/>
  <c r="F54" i="17"/>
  <c r="AK9" i="17"/>
  <c r="F34" i="17"/>
  <c r="AK14" i="17"/>
  <c r="F75" i="17"/>
  <c r="F61" i="17"/>
  <c r="AK18" i="17"/>
  <c r="F42" i="17"/>
  <c r="AK19" i="17"/>
  <c r="F65" i="17"/>
  <c r="F51" i="17"/>
  <c r="AK21" i="17"/>
  <c r="F49" i="17"/>
  <c r="AK23" i="17"/>
  <c r="F64" i="17"/>
  <c r="F50" i="17"/>
  <c r="AK25" i="17"/>
  <c r="F71" i="17"/>
  <c r="F57" i="17"/>
  <c r="AK29" i="17"/>
  <c r="E38" i="17"/>
  <c r="AJ2" i="17"/>
  <c r="AJ7" i="17"/>
  <c r="E73" i="17"/>
  <c r="E59" i="17"/>
  <c r="E33" i="17"/>
  <c r="AJ13" i="17"/>
  <c r="AJ16" i="17"/>
  <c r="E72" i="17"/>
  <c r="E58" i="17"/>
  <c r="AJ4" i="17"/>
  <c r="E40" i="17"/>
  <c r="E41" i="17"/>
  <c r="AJ8" i="17"/>
  <c r="E46" i="17"/>
  <c r="AJ10" i="17"/>
  <c r="E37" i="17"/>
  <c r="AJ22" i="17"/>
  <c r="E76" i="17"/>
  <c r="E62" i="17"/>
  <c r="AJ27" i="17"/>
  <c r="AJ28" i="17"/>
  <c r="E43" i="17"/>
  <c r="E67" i="17"/>
  <c r="E53" i="17"/>
  <c r="AJ5" i="17"/>
  <c r="E68" i="17"/>
  <c r="E54" i="17"/>
  <c r="AJ9" i="17"/>
  <c r="E34" i="17"/>
  <c r="AJ14" i="17"/>
  <c r="E75" i="17"/>
  <c r="E61" i="17"/>
  <c r="AJ18" i="17"/>
  <c r="E42" i="17"/>
  <c r="AJ19" i="17"/>
  <c r="E65" i="17"/>
  <c r="E51" i="17"/>
  <c r="AJ21" i="17"/>
  <c r="E49" i="17"/>
  <c r="AJ23" i="17"/>
  <c r="E64" i="17"/>
  <c r="E50" i="17"/>
  <c r="AJ25" i="17"/>
  <c r="E71" i="17"/>
  <c r="E57" i="17"/>
  <c r="AJ29" i="17"/>
  <c r="AJ6" i="17"/>
  <c r="E47" i="17"/>
  <c r="E39" i="17"/>
  <c r="AJ11" i="17"/>
  <c r="E74" i="17"/>
  <c r="E60" i="17"/>
  <c r="AJ12" i="17"/>
  <c r="E44" i="17"/>
  <c r="AJ15" i="17"/>
  <c r="E66" i="17"/>
  <c r="E52" i="17"/>
  <c r="AJ17" i="17"/>
  <c r="E70" i="17"/>
  <c r="E56" i="17"/>
  <c r="AJ20" i="17"/>
  <c r="AJ24" i="17"/>
  <c r="E69" i="17"/>
  <c r="E55" i="17"/>
  <c r="E36" i="17"/>
  <c r="AJ26" i="17"/>
  <c r="E35" i="17"/>
  <c r="AJ30" i="17"/>
  <c r="I38" i="17"/>
  <c r="S2" i="17"/>
  <c r="AN2" i="17"/>
  <c r="AN7" i="17"/>
  <c r="I73" i="17"/>
  <c r="I59" i="17"/>
  <c r="S7" i="17"/>
  <c r="I33" i="17"/>
  <c r="S13" i="17"/>
  <c r="AN13" i="17"/>
  <c r="I72" i="17"/>
  <c r="I58" i="17"/>
  <c r="AN16" i="17"/>
  <c r="S16" i="17"/>
  <c r="I40" i="17"/>
  <c r="S4" i="17"/>
  <c r="AN4" i="17"/>
  <c r="I41" i="17"/>
  <c r="AN8" i="17"/>
  <c r="S8" i="17"/>
  <c r="I46" i="17"/>
  <c r="S10" i="17"/>
  <c r="AN10" i="17"/>
  <c r="I37" i="17"/>
  <c r="S22" i="17"/>
  <c r="AN22" i="17"/>
  <c r="I76" i="17"/>
  <c r="I62" i="17"/>
  <c r="S27" i="17"/>
  <c r="AN27" i="17"/>
  <c r="I43" i="17"/>
  <c r="AN28" i="17"/>
  <c r="S28" i="17"/>
  <c r="I67" i="17"/>
  <c r="I53" i="17"/>
  <c r="AN5" i="17"/>
  <c r="S5" i="17"/>
  <c r="AN9" i="17"/>
  <c r="I68" i="17"/>
  <c r="I54" i="17"/>
  <c r="S9" i="17"/>
  <c r="I34" i="17"/>
  <c r="AN14" i="17"/>
  <c r="S14" i="17"/>
  <c r="I75" i="17"/>
  <c r="I61" i="17"/>
  <c r="S18" i="17"/>
  <c r="AN18" i="17"/>
  <c r="I42" i="17"/>
  <c r="AN19" i="17"/>
  <c r="S19" i="17"/>
  <c r="I65" i="17"/>
  <c r="I51" i="17"/>
  <c r="AN21" i="17"/>
  <c r="S21" i="17"/>
  <c r="S23" i="17"/>
  <c r="I49" i="17"/>
  <c r="AN23" i="17"/>
  <c r="I64" i="17"/>
  <c r="I50" i="17"/>
  <c r="S25" i="17"/>
  <c r="AN25" i="17"/>
  <c r="S29" i="17"/>
  <c r="I71" i="17"/>
  <c r="I57" i="17"/>
  <c r="AN29" i="17"/>
  <c r="AN6" i="17"/>
  <c r="I47" i="17"/>
  <c r="S6" i="17"/>
  <c r="I39" i="17"/>
  <c r="S11" i="17"/>
  <c r="AN11" i="17"/>
  <c r="AN12" i="17"/>
  <c r="I74" i="17"/>
  <c r="I60" i="17"/>
  <c r="S12" i="17"/>
  <c r="I44" i="17"/>
  <c r="AN15" i="17"/>
  <c r="S15" i="17"/>
  <c r="I66" i="17"/>
  <c r="I52" i="17"/>
  <c r="AN17" i="17"/>
  <c r="S17" i="17"/>
  <c r="I70" i="17"/>
  <c r="I56" i="17"/>
  <c r="S20" i="17"/>
  <c r="AN20" i="17"/>
  <c r="AN24" i="17"/>
  <c r="I69" i="17"/>
  <c r="I55" i="17"/>
  <c r="S24" i="17"/>
  <c r="I36" i="17"/>
  <c r="S26" i="17"/>
  <c r="AN26" i="17"/>
  <c r="I35" i="17"/>
  <c r="S30" i="17"/>
  <c r="AN30" i="17"/>
  <c r="D40" i="17"/>
  <c r="AI4" i="17"/>
  <c r="D41" i="17"/>
  <c r="AI8" i="17"/>
  <c r="D46" i="17"/>
  <c r="AI10" i="17"/>
  <c r="D37" i="17"/>
  <c r="AI22" i="17"/>
  <c r="D76" i="17"/>
  <c r="D62" i="17"/>
  <c r="AI27" i="17"/>
  <c r="D43" i="17"/>
  <c r="AI28" i="17"/>
  <c r="D67" i="17"/>
  <c r="D53" i="17"/>
  <c r="AI5" i="17"/>
  <c r="D68" i="17"/>
  <c r="D54" i="17"/>
  <c r="AI9" i="17"/>
  <c r="D34" i="17"/>
  <c r="AI14" i="17"/>
  <c r="D75" i="17"/>
  <c r="D61" i="17"/>
  <c r="AI18" i="17"/>
  <c r="D42" i="17"/>
  <c r="AI19" i="17"/>
  <c r="D65" i="17"/>
  <c r="D51" i="17"/>
  <c r="AI21" i="17"/>
  <c r="D49" i="17"/>
  <c r="AI23" i="17"/>
  <c r="D64" i="17"/>
  <c r="D50" i="17"/>
  <c r="AI25" i="17"/>
  <c r="D71" i="17"/>
  <c r="D57" i="17"/>
  <c r="AI29" i="17"/>
  <c r="D47" i="17"/>
  <c r="AI6" i="17"/>
  <c r="AI11" i="17"/>
  <c r="D39" i="17"/>
  <c r="D74" i="17"/>
  <c r="D60" i="17"/>
  <c r="AI12" i="17"/>
  <c r="D44" i="17"/>
  <c r="AI15" i="17"/>
  <c r="D66" i="17"/>
  <c r="D52" i="17"/>
  <c r="AI17" i="17"/>
  <c r="D70" i="17"/>
  <c r="D56" i="17"/>
  <c r="AI20" i="17"/>
  <c r="D69" i="17"/>
  <c r="D55" i="17"/>
  <c r="AI24" i="17"/>
  <c r="AI26" i="17"/>
  <c r="D36" i="17"/>
  <c r="D35" i="17"/>
  <c r="AI30" i="17"/>
  <c r="D38" i="17"/>
  <c r="AI2" i="17"/>
  <c r="D73" i="17"/>
  <c r="D59" i="17"/>
  <c r="AI7" i="17"/>
  <c r="D33" i="17"/>
  <c r="AI13" i="17"/>
  <c r="AI16" i="17"/>
  <c r="D72" i="17"/>
  <c r="D58" i="17"/>
  <c r="H40" i="17"/>
  <c r="AM4" i="17"/>
  <c r="H41" i="17"/>
  <c r="AM8" i="17"/>
  <c r="H46" i="17"/>
  <c r="AM10" i="17"/>
  <c r="H37" i="17"/>
  <c r="AM22" i="17"/>
  <c r="H76" i="17"/>
  <c r="H62" i="17"/>
  <c r="AM27" i="17"/>
  <c r="AM28" i="17"/>
  <c r="H43" i="17"/>
  <c r="H67" i="17"/>
  <c r="H53" i="17"/>
  <c r="AM5" i="17"/>
  <c r="H68" i="17"/>
  <c r="H54" i="17"/>
  <c r="AM9" i="17"/>
  <c r="H34" i="17"/>
  <c r="AM14" i="17"/>
  <c r="H75" i="17"/>
  <c r="H61" i="17"/>
  <c r="AM18" i="17"/>
  <c r="H42" i="17"/>
  <c r="AM19" i="17"/>
  <c r="H65" i="17"/>
  <c r="H51" i="17"/>
  <c r="AM21" i="17"/>
  <c r="H49" i="17"/>
  <c r="AM23" i="17"/>
  <c r="AM25" i="17"/>
  <c r="H64" i="17"/>
  <c r="H50" i="17"/>
  <c r="H71" i="17"/>
  <c r="H57" i="17"/>
  <c r="AM29" i="17"/>
  <c r="H47" i="17"/>
  <c r="AM6" i="17"/>
  <c r="AM11" i="17"/>
  <c r="H39" i="17"/>
  <c r="H74" i="17"/>
  <c r="H60" i="17"/>
  <c r="AM12" i="17"/>
  <c r="H44" i="17"/>
  <c r="AM15" i="17"/>
  <c r="H66" i="17"/>
  <c r="H52" i="17"/>
  <c r="AM17" i="17"/>
  <c r="H70" i="17"/>
  <c r="H56" i="17"/>
  <c r="AM20" i="17"/>
  <c r="H69" i="17"/>
  <c r="H55" i="17"/>
  <c r="AM24" i="17"/>
  <c r="H36" i="17"/>
  <c r="AM26" i="17"/>
  <c r="H35" i="17"/>
  <c r="AM30" i="17"/>
  <c r="H38" i="17"/>
  <c r="AM2" i="17"/>
  <c r="H73" i="17"/>
  <c r="H59" i="17"/>
  <c r="AM7" i="17"/>
  <c r="H33" i="17"/>
  <c r="AM13" i="17"/>
  <c r="H72" i="17"/>
  <c r="H58" i="17"/>
  <c r="AM16" i="17"/>
  <c r="Q59" i="4"/>
  <c r="U59" i="4" s="1"/>
  <c r="Q73" i="4"/>
  <c r="U73" i="4" s="1"/>
  <c r="Q52" i="4"/>
  <c r="U52" i="4" s="1"/>
  <c r="Q66" i="4"/>
  <c r="Q56" i="4"/>
  <c r="U56" i="4" s="1"/>
  <c r="Q70" i="4"/>
  <c r="U70" i="4" s="1"/>
  <c r="Q57" i="4"/>
  <c r="U57" i="4" s="1"/>
  <c r="Q71" i="4"/>
  <c r="U71" i="4" s="1"/>
  <c r="Q53" i="4"/>
  <c r="U53" i="4" s="1"/>
  <c r="Q67" i="4"/>
  <c r="U67" i="4" s="1"/>
  <c r="Q60" i="4"/>
  <c r="U60" i="4" s="1"/>
  <c r="Q74" i="4"/>
  <c r="U74" i="4" s="1"/>
  <c r="Q61" i="4"/>
  <c r="U61" i="4" s="1"/>
  <c r="Q75" i="4"/>
  <c r="U75" i="4" s="1"/>
  <c r="Q50" i="4"/>
  <c r="Q64" i="4"/>
  <c r="Q62" i="4"/>
  <c r="U62" i="4" s="1"/>
  <c r="Q76" i="4"/>
  <c r="U76" i="4" s="1"/>
  <c r="Q58" i="4"/>
  <c r="U58" i="4" s="1"/>
  <c r="Q72" i="4"/>
  <c r="U72" i="4" s="1"/>
  <c r="Q51" i="4"/>
  <c r="U51" i="4" s="1"/>
  <c r="Q65" i="4"/>
  <c r="U65" i="4" s="1"/>
  <c r="Q54" i="4"/>
  <c r="Q68" i="4"/>
  <c r="U68" i="4" s="1"/>
  <c r="Q55" i="4"/>
  <c r="U55" i="4" s="1"/>
  <c r="Q69" i="4"/>
  <c r="U69" i="4" s="1"/>
  <c r="C73" i="4"/>
  <c r="C59" i="4"/>
  <c r="C66" i="4"/>
  <c r="C52" i="4"/>
  <c r="C70" i="4"/>
  <c r="C56" i="4"/>
  <c r="C71" i="4"/>
  <c r="C57" i="4"/>
  <c r="C67" i="4"/>
  <c r="C53" i="4"/>
  <c r="C74" i="4"/>
  <c r="C60" i="4"/>
  <c r="C75" i="4"/>
  <c r="C61" i="4"/>
  <c r="C64" i="4"/>
  <c r="C50" i="4"/>
  <c r="C76" i="4"/>
  <c r="C62" i="4"/>
  <c r="C72" i="4"/>
  <c r="C58" i="4"/>
  <c r="C65" i="4"/>
  <c r="C51" i="4"/>
  <c r="C68" i="4"/>
  <c r="C54" i="4"/>
  <c r="C69" i="4"/>
  <c r="C55" i="4"/>
  <c r="U32" i="17"/>
  <c r="K67" i="17"/>
  <c r="U67" i="17" s="1"/>
  <c r="K53" i="17"/>
  <c r="U53" i="17" s="1"/>
  <c r="U5" i="17"/>
  <c r="AZ53" i="17"/>
  <c r="AZ67" i="17"/>
  <c r="K68" i="17"/>
  <c r="U68" i="17" s="1"/>
  <c r="K54" i="17"/>
  <c r="U54" i="17" s="1"/>
  <c r="U9" i="17"/>
  <c r="AZ54" i="17"/>
  <c r="AZ68" i="17"/>
  <c r="K34" i="17"/>
  <c r="U34" i="17" s="1"/>
  <c r="U14" i="17"/>
  <c r="AZ34" i="17"/>
  <c r="K75" i="17"/>
  <c r="U75" i="17" s="1"/>
  <c r="K61" i="17"/>
  <c r="U61" i="17" s="1"/>
  <c r="U18" i="17"/>
  <c r="AZ61" i="17"/>
  <c r="AZ75" i="17"/>
  <c r="K42" i="17"/>
  <c r="U42" i="17" s="1"/>
  <c r="U19" i="17"/>
  <c r="AZ42" i="17"/>
  <c r="K65" i="17"/>
  <c r="U65" i="17" s="1"/>
  <c r="K51" i="17"/>
  <c r="U51" i="17" s="1"/>
  <c r="U21" i="17"/>
  <c r="AZ51" i="17"/>
  <c r="AZ65" i="17"/>
  <c r="K49" i="17"/>
  <c r="U23" i="17"/>
  <c r="AZ49" i="17"/>
  <c r="K64" i="17"/>
  <c r="U64" i="17" s="1"/>
  <c r="K50" i="17"/>
  <c r="U50" i="17" s="1"/>
  <c r="U25" i="17"/>
  <c r="AZ64" i="17"/>
  <c r="AZ50" i="17"/>
  <c r="K71" i="17"/>
  <c r="U71" i="17" s="1"/>
  <c r="K57" i="17"/>
  <c r="U57" i="17" s="1"/>
  <c r="U29" i="17"/>
  <c r="AZ57" i="17"/>
  <c r="AZ71" i="17"/>
  <c r="K47" i="17"/>
  <c r="U47" i="17" s="1"/>
  <c r="U6" i="17"/>
  <c r="AZ47" i="17"/>
  <c r="K39" i="17"/>
  <c r="U39" i="17" s="1"/>
  <c r="U11" i="17"/>
  <c r="AZ39" i="17"/>
  <c r="K74" i="17"/>
  <c r="U74" i="17" s="1"/>
  <c r="K60" i="17"/>
  <c r="U60" i="17" s="1"/>
  <c r="U12" i="17"/>
  <c r="AZ60" i="17"/>
  <c r="AZ74" i="17"/>
  <c r="K44" i="17"/>
  <c r="U44" i="17" s="1"/>
  <c r="U15" i="17"/>
  <c r="AZ44" i="17"/>
  <c r="K66" i="17"/>
  <c r="K52" i="17"/>
  <c r="U52" i="17" s="1"/>
  <c r="U17" i="17"/>
  <c r="AZ52" i="17"/>
  <c r="AZ66" i="17"/>
  <c r="U20" i="17"/>
  <c r="K70" i="17"/>
  <c r="U70" i="17" s="1"/>
  <c r="K56" i="17"/>
  <c r="U56" i="17" s="1"/>
  <c r="AZ56" i="17"/>
  <c r="AZ70" i="17"/>
  <c r="U24" i="17"/>
  <c r="K69" i="17"/>
  <c r="U69" i="17" s="1"/>
  <c r="K55" i="17"/>
  <c r="U55" i="17" s="1"/>
  <c r="AZ55" i="17"/>
  <c r="AZ69" i="17"/>
  <c r="K36" i="17"/>
  <c r="U36" i="17" s="1"/>
  <c r="U26" i="17"/>
  <c r="AZ36" i="17"/>
  <c r="K38" i="17"/>
  <c r="U38" i="17" s="1"/>
  <c r="U2" i="17"/>
  <c r="AZ38" i="17"/>
  <c r="U7" i="17"/>
  <c r="K73" i="17"/>
  <c r="U73" i="17" s="1"/>
  <c r="K59" i="17"/>
  <c r="U59" i="17" s="1"/>
  <c r="AZ59" i="17"/>
  <c r="AZ73" i="17"/>
  <c r="K33" i="17"/>
  <c r="U33" i="17" s="1"/>
  <c r="U13" i="17"/>
  <c r="AZ33" i="17"/>
  <c r="K72" i="17"/>
  <c r="U72" i="17" s="1"/>
  <c r="K58" i="17"/>
  <c r="U58" i="17" s="1"/>
  <c r="U16" i="17"/>
  <c r="AZ58" i="17"/>
  <c r="AZ72" i="17"/>
  <c r="AF49" i="17"/>
  <c r="AP23" i="17"/>
  <c r="AP25" i="17"/>
  <c r="AF64" i="17"/>
  <c r="AF50" i="17"/>
  <c r="AP50" i="17" s="1"/>
  <c r="K35" i="17"/>
  <c r="U35" i="17" s="1"/>
  <c r="U30" i="17"/>
  <c r="K40" i="17"/>
  <c r="U40" i="17" s="1"/>
  <c r="U4" i="17"/>
  <c r="AZ40" i="17"/>
  <c r="K41" i="17"/>
  <c r="U41" i="17" s="1"/>
  <c r="U8" i="17"/>
  <c r="AZ41" i="17"/>
  <c r="K46" i="17"/>
  <c r="U10" i="17"/>
  <c r="AZ46" i="17"/>
  <c r="K37" i="17"/>
  <c r="U37" i="17" s="1"/>
  <c r="U22" i="17"/>
  <c r="AZ37" i="17"/>
  <c r="K76" i="17"/>
  <c r="U76" i="17" s="1"/>
  <c r="K62" i="17"/>
  <c r="U62" i="17" s="1"/>
  <c r="U27" i="17"/>
  <c r="AZ62" i="17"/>
  <c r="AZ76" i="17"/>
  <c r="K43" i="17"/>
  <c r="U43" i="17" s="1"/>
  <c r="U28" i="17"/>
  <c r="AZ43" i="17"/>
  <c r="AZ35" i="17"/>
  <c r="N41" i="4"/>
  <c r="D68" i="4"/>
  <c r="D54" i="4"/>
  <c r="N46" i="4"/>
  <c r="N33" i="4"/>
  <c r="N72" i="4"/>
  <c r="N58" i="4"/>
  <c r="N65" i="4"/>
  <c r="N51" i="4"/>
  <c r="N49" i="4"/>
  <c r="D69" i="4"/>
  <c r="D55" i="4"/>
  <c r="N38" i="4"/>
  <c r="N47" i="4"/>
  <c r="D73" i="4"/>
  <c r="D59" i="4"/>
  <c r="N54" i="4"/>
  <c r="N68" i="4"/>
  <c r="N39" i="4"/>
  <c r="D66" i="4"/>
  <c r="D52" i="4"/>
  <c r="N42" i="4"/>
  <c r="D70" i="4"/>
  <c r="D56" i="4"/>
  <c r="N69" i="4"/>
  <c r="N55" i="4"/>
  <c r="N36" i="4"/>
  <c r="N43" i="4"/>
  <c r="D71" i="4"/>
  <c r="D57" i="4"/>
  <c r="N40" i="4"/>
  <c r="D67" i="4"/>
  <c r="D53" i="4"/>
  <c r="N73" i="4"/>
  <c r="N59" i="4"/>
  <c r="D74" i="4"/>
  <c r="D60" i="4"/>
  <c r="N34" i="4"/>
  <c r="N66" i="4"/>
  <c r="N52" i="4"/>
  <c r="D75" i="4"/>
  <c r="D61" i="4"/>
  <c r="N70" i="4"/>
  <c r="N56" i="4"/>
  <c r="D64" i="4"/>
  <c r="D50" i="4"/>
  <c r="R50" i="4"/>
  <c r="R48" i="4" s="1"/>
  <c r="R64" i="4"/>
  <c r="R63" i="4" s="1"/>
  <c r="D76" i="4"/>
  <c r="D62" i="4"/>
  <c r="N71" i="4"/>
  <c r="N57" i="4"/>
  <c r="N67" i="4"/>
  <c r="N53" i="4"/>
  <c r="N74" i="4"/>
  <c r="N60" i="4"/>
  <c r="N44" i="4"/>
  <c r="D72" i="4"/>
  <c r="D58" i="4"/>
  <c r="N75" i="4"/>
  <c r="N61" i="4"/>
  <c r="D65" i="4"/>
  <c r="D51" i="4"/>
  <c r="N37" i="4"/>
  <c r="N64" i="4"/>
  <c r="N50" i="4"/>
  <c r="N76" i="4"/>
  <c r="N62" i="4"/>
  <c r="N35" i="4"/>
  <c r="L38" i="15"/>
  <c r="L40" i="15"/>
  <c r="L67" i="15"/>
  <c r="L53" i="15"/>
  <c r="D67" i="15"/>
  <c r="D53" i="15"/>
  <c r="L68" i="15"/>
  <c r="L54" i="15"/>
  <c r="D74" i="15"/>
  <c r="D60" i="15"/>
  <c r="L33" i="15"/>
  <c r="L72" i="15"/>
  <c r="L58" i="15"/>
  <c r="D66" i="15"/>
  <c r="D52" i="15"/>
  <c r="D70" i="15"/>
  <c r="D56" i="15"/>
  <c r="D69" i="15"/>
  <c r="D55" i="15"/>
  <c r="L47" i="15"/>
  <c r="D68" i="15"/>
  <c r="D54" i="15"/>
  <c r="L39" i="15"/>
  <c r="D72" i="15"/>
  <c r="D58" i="15"/>
  <c r="L37" i="15"/>
  <c r="L76" i="15"/>
  <c r="L62" i="15"/>
  <c r="L43" i="15"/>
  <c r="L59" i="15"/>
  <c r="L73" i="15"/>
  <c r="L34" i="15"/>
  <c r="L75" i="15"/>
  <c r="L61" i="15"/>
  <c r="L42" i="15"/>
  <c r="L51" i="15"/>
  <c r="L65" i="15"/>
  <c r="L49" i="15"/>
  <c r="L64" i="15"/>
  <c r="L50" i="15"/>
  <c r="D76" i="15"/>
  <c r="D62" i="15"/>
  <c r="L71" i="15"/>
  <c r="L57" i="15"/>
  <c r="D73" i="15"/>
  <c r="D59" i="15"/>
  <c r="L41" i="15"/>
  <c r="L46" i="15"/>
  <c r="L74" i="15"/>
  <c r="L60" i="15"/>
  <c r="L44" i="15"/>
  <c r="L66" i="15"/>
  <c r="L52" i="15"/>
  <c r="D75" i="15"/>
  <c r="D61" i="15"/>
  <c r="L70" i="15"/>
  <c r="L56" i="15"/>
  <c r="D65" i="15"/>
  <c r="D51" i="15"/>
  <c r="L55" i="15"/>
  <c r="L69" i="15"/>
  <c r="D64" i="15"/>
  <c r="D50" i="15"/>
  <c r="L36" i="15"/>
  <c r="D71" i="15"/>
  <c r="D57" i="15"/>
  <c r="L35" i="15"/>
  <c r="AO3" i="17"/>
  <c r="N3" i="17"/>
  <c r="N32" i="17" s="1"/>
  <c r="R3" i="17"/>
  <c r="R32" i="17" s="1"/>
  <c r="S3" i="17"/>
  <c r="S32" i="17" s="1"/>
  <c r="AJ3" i="17"/>
  <c r="AJ32" i="17" s="1"/>
  <c r="AN3" i="17"/>
  <c r="AN32" i="17" s="1"/>
  <c r="AL3" i="17"/>
  <c r="AL32" i="17" s="1"/>
  <c r="AK3" i="17"/>
  <c r="AK32" i="17" s="1"/>
  <c r="AI3" i="17"/>
  <c r="AI32" i="17" s="1"/>
  <c r="AM3" i="17"/>
  <c r="AM32" i="17" s="1"/>
  <c r="Q31" i="4" l="1"/>
  <c r="F2" i="19"/>
  <c r="C45" i="4"/>
  <c r="Q45" i="4"/>
  <c r="U46" i="4"/>
  <c r="U45" i="4" s="1"/>
  <c r="C31" i="4"/>
  <c r="Q48" i="17"/>
  <c r="C48" i="4"/>
  <c r="H31" i="17"/>
  <c r="D48" i="4"/>
  <c r="D48" i="15"/>
  <c r="E31" i="17"/>
  <c r="D63" i="17"/>
  <c r="I63" i="17"/>
  <c r="I31" i="17"/>
  <c r="F48" i="17"/>
  <c r="J31" i="17"/>
  <c r="AZ31" i="17"/>
  <c r="D31" i="17"/>
  <c r="E63" i="17"/>
  <c r="O63" i="17"/>
  <c r="Y75" i="17"/>
  <c r="O31" i="17"/>
  <c r="Y46" i="17"/>
  <c r="O45" i="17"/>
  <c r="L49" i="4"/>
  <c r="J40" i="4"/>
  <c r="J41" i="4"/>
  <c r="J46" i="4"/>
  <c r="J37" i="4"/>
  <c r="J43" i="4"/>
  <c r="M32" i="4"/>
  <c r="K41" i="4"/>
  <c r="L40" i="4"/>
  <c r="L41" i="4"/>
  <c r="L46" i="4"/>
  <c r="L37" i="4"/>
  <c r="L43" i="4"/>
  <c r="I47" i="4"/>
  <c r="I39" i="4"/>
  <c r="I34" i="4"/>
  <c r="I41" i="4"/>
  <c r="K38" i="4"/>
  <c r="J32" i="4"/>
  <c r="K47" i="4"/>
  <c r="K44" i="4"/>
  <c r="L34" i="4"/>
  <c r="M42" i="4"/>
  <c r="M38" i="4"/>
  <c r="M47" i="4"/>
  <c r="M39" i="4"/>
  <c r="M44" i="4"/>
  <c r="M36" i="4"/>
  <c r="M35" i="4"/>
  <c r="K46" i="4"/>
  <c r="K37" i="4"/>
  <c r="K43" i="4"/>
  <c r="L32" i="4"/>
  <c r="J38" i="4"/>
  <c r="K34" i="4"/>
  <c r="K42" i="4"/>
  <c r="K49" i="4"/>
  <c r="I44" i="4"/>
  <c r="I36" i="4"/>
  <c r="I35" i="4"/>
  <c r="I42" i="4"/>
  <c r="K39" i="4"/>
  <c r="M34" i="4"/>
  <c r="L42" i="4"/>
  <c r="K35" i="4"/>
  <c r="L38" i="4"/>
  <c r="L47" i="4"/>
  <c r="L39" i="4"/>
  <c r="L44" i="4"/>
  <c r="L36" i="4"/>
  <c r="L35" i="4"/>
  <c r="L33" i="4"/>
  <c r="J49" i="4"/>
  <c r="J47" i="4"/>
  <c r="J39" i="4"/>
  <c r="J44" i="4"/>
  <c r="J36" i="4"/>
  <c r="J35" i="4"/>
  <c r="I37" i="4"/>
  <c r="I43" i="4"/>
  <c r="I49" i="4"/>
  <c r="I38" i="4"/>
  <c r="I40" i="4"/>
  <c r="I46" i="4"/>
  <c r="I33" i="4"/>
  <c r="K36" i="4"/>
  <c r="J33" i="4"/>
  <c r="M49" i="4"/>
  <c r="K32" i="4"/>
  <c r="K33" i="4"/>
  <c r="K40" i="4"/>
  <c r="J34" i="4"/>
  <c r="J42" i="4"/>
  <c r="M33" i="4"/>
  <c r="M40" i="4"/>
  <c r="M41" i="4"/>
  <c r="M46" i="4"/>
  <c r="M37" i="4"/>
  <c r="M43" i="4"/>
  <c r="I32" i="4"/>
  <c r="E32" i="4"/>
  <c r="U50" i="4"/>
  <c r="D63" i="15"/>
  <c r="N45" i="4"/>
  <c r="K31" i="17"/>
  <c r="H63" i="17"/>
  <c r="H45" i="17"/>
  <c r="D45" i="17"/>
  <c r="D48" i="17"/>
  <c r="I45" i="17"/>
  <c r="G63" i="17"/>
  <c r="U31" i="4"/>
  <c r="G31" i="17"/>
  <c r="D63" i="19"/>
  <c r="F64" i="19"/>
  <c r="F63" i="19" s="1"/>
  <c r="X75" i="17"/>
  <c r="N63" i="17"/>
  <c r="D49" i="19"/>
  <c r="F23" i="19"/>
  <c r="D38" i="19"/>
  <c r="F38" i="19" s="1"/>
  <c r="Q63" i="17"/>
  <c r="AA66" i="17"/>
  <c r="D42" i="19"/>
  <c r="F42" i="19" s="1"/>
  <c r="F19" i="19"/>
  <c r="D46" i="19"/>
  <c r="F10" i="19"/>
  <c r="D47" i="19"/>
  <c r="F47" i="19" s="1"/>
  <c r="F6" i="19"/>
  <c r="D40" i="19"/>
  <c r="F40" i="19" s="1"/>
  <c r="F4" i="19"/>
  <c r="X46" i="17"/>
  <c r="N45" i="17"/>
  <c r="L32" i="17"/>
  <c r="G48" i="17"/>
  <c r="AB49" i="17"/>
  <c r="R48" i="17"/>
  <c r="O48" i="17"/>
  <c r="Y61" i="17"/>
  <c r="R63" i="17"/>
  <c r="AB64" i="17"/>
  <c r="P48" i="17"/>
  <c r="AB46" i="17"/>
  <c r="R45" i="17"/>
  <c r="Z66" i="17"/>
  <c r="P63" i="17"/>
  <c r="D63" i="4"/>
  <c r="H48" i="17"/>
  <c r="E45" i="17"/>
  <c r="U64" i="4"/>
  <c r="I48" i="17"/>
  <c r="E48" i="17"/>
  <c r="F63" i="17"/>
  <c r="O45" i="15"/>
  <c r="Q46" i="15"/>
  <c r="Q45" i="15" s="1"/>
  <c r="N31" i="4"/>
  <c r="AE31" i="17"/>
  <c r="F31" i="17"/>
  <c r="D44" i="19"/>
  <c r="F44" i="19" s="1"/>
  <c r="F15" i="19"/>
  <c r="X61" i="17"/>
  <c r="N48" i="17"/>
  <c r="D39" i="19"/>
  <c r="F39" i="19" s="1"/>
  <c r="F11" i="19"/>
  <c r="D33" i="19"/>
  <c r="F33" i="19" s="1"/>
  <c r="F13" i="19"/>
  <c r="D37" i="19"/>
  <c r="F37" i="19" s="1"/>
  <c r="F22" i="19"/>
  <c r="D43" i="19"/>
  <c r="F43" i="19" s="1"/>
  <c r="F28" i="19"/>
  <c r="D35" i="19"/>
  <c r="F35" i="19" s="1"/>
  <c r="F30" i="19"/>
  <c r="D36" i="19"/>
  <c r="F36" i="19" s="1"/>
  <c r="F26" i="19"/>
  <c r="D41" i="19"/>
  <c r="F41" i="19" s="1"/>
  <c r="F8" i="19"/>
  <c r="D34" i="19"/>
  <c r="F34" i="19" s="1"/>
  <c r="F14" i="19"/>
  <c r="BB16" i="17"/>
  <c r="BB7" i="17"/>
  <c r="BB24" i="17"/>
  <c r="BB20" i="17"/>
  <c r="BB17" i="17"/>
  <c r="BB12" i="17"/>
  <c r="BB29" i="17"/>
  <c r="BB25" i="17"/>
  <c r="BB21" i="17"/>
  <c r="BB18" i="17"/>
  <c r="BB9" i="17"/>
  <c r="BB5" i="17"/>
  <c r="BB27" i="17"/>
  <c r="U35" i="15"/>
  <c r="H35" i="15"/>
  <c r="N29" i="15"/>
  <c r="J43" i="15"/>
  <c r="F27" i="15"/>
  <c r="U36" i="15"/>
  <c r="H36" i="15"/>
  <c r="N25" i="15"/>
  <c r="I49" i="15"/>
  <c r="J37" i="15"/>
  <c r="N21" i="15"/>
  <c r="I42" i="15"/>
  <c r="N18" i="15"/>
  <c r="U44" i="15"/>
  <c r="H44" i="15"/>
  <c r="I34" i="15"/>
  <c r="K33" i="15"/>
  <c r="G33" i="15"/>
  <c r="J39" i="15"/>
  <c r="U46" i="15"/>
  <c r="H46" i="15"/>
  <c r="U41" i="15"/>
  <c r="H41" i="15"/>
  <c r="N7" i="15"/>
  <c r="J47" i="15"/>
  <c r="K35" i="15"/>
  <c r="G35" i="15"/>
  <c r="I43" i="15"/>
  <c r="N27" i="15"/>
  <c r="K36" i="15"/>
  <c r="G36" i="15"/>
  <c r="U49" i="15"/>
  <c r="H49" i="15"/>
  <c r="I37" i="15"/>
  <c r="U42" i="15"/>
  <c r="H42" i="15"/>
  <c r="F16" i="15"/>
  <c r="K44" i="15"/>
  <c r="G44" i="15"/>
  <c r="U34" i="15"/>
  <c r="H34" i="15"/>
  <c r="J33" i="15"/>
  <c r="I39" i="15"/>
  <c r="K46" i="15"/>
  <c r="G46" i="15"/>
  <c r="F9" i="15"/>
  <c r="K41" i="15"/>
  <c r="G41" i="15"/>
  <c r="I47" i="15"/>
  <c r="J35" i="15"/>
  <c r="U43" i="15"/>
  <c r="H43" i="15"/>
  <c r="J36" i="15"/>
  <c r="F24" i="15"/>
  <c r="K49" i="15"/>
  <c r="G49" i="15"/>
  <c r="U37" i="15"/>
  <c r="H37" i="15"/>
  <c r="F20" i="15"/>
  <c r="K42" i="15"/>
  <c r="G42" i="15"/>
  <c r="F17" i="15"/>
  <c r="N16" i="15"/>
  <c r="J44" i="15"/>
  <c r="K34" i="15"/>
  <c r="G34" i="15"/>
  <c r="I33" i="15"/>
  <c r="F12" i="15"/>
  <c r="U39" i="15"/>
  <c r="H39" i="15"/>
  <c r="J46" i="15"/>
  <c r="N9" i="15"/>
  <c r="J41" i="15"/>
  <c r="U47" i="15"/>
  <c r="H47" i="15"/>
  <c r="I35" i="15"/>
  <c r="F29" i="15"/>
  <c r="K43" i="15"/>
  <c r="G43" i="15"/>
  <c r="I36" i="15"/>
  <c r="F25" i="15"/>
  <c r="N24" i="15"/>
  <c r="J49" i="15"/>
  <c r="K37" i="15"/>
  <c r="G37" i="15"/>
  <c r="F21" i="15"/>
  <c r="N20" i="15"/>
  <c r="J42" i="15"/>
  <c r="F18" i="15"/>
  <c r="N17" i="15"/>
  <c r="I44" i="15"/>
  <c r="J34" i="15"/>
  <c r="U33" i="15"/>
  <c r="H33" i="15"/>
  <c r="N12" i="15"/>
  <c r="K39" i="15"/>
  <c r="G39" i="15"/>
  <c r="I46" i="15"/>
  <c r="I41" i="15"/>
  <c r="G47" i="15"/>
  <c r="N5" i="15"/>
  <c r="J40" i="15"/>
  <c r="K38" i="15"/>
  <c r="G38" i="15"/>
  <c r="J32" i="15"/>
  <c r="F3" i="15"/>
  <c r="F7" i="15"/>
  <c r="I40" i="15"/>
  <c r="J38" i="15"/>
  <c r="I32" i="15"/>
  <c r="U40" i="15"/>
  <c r="H40" i="15"/>
  <c r="I38" i="15"/>
  <c r="U32" i="15"/>
  <c r="H32" i="15"/>
  <c r="K47" i="15"/>
  <c r="F5" i="15"/>
  <c r="K40" i="15"/>
  <c r="G40" i="15"/>
  <c r="U38" i="15"/>
  <c r="H38" i="15"/>
  <c r="K32" i="15"/>
  <c r="G32" i="15"/>
  <c r="P29" i="4"/>
  <c r="P20" i="4"/>
  <c r="P17" i="4"/>
  <c r="V34" i="4"/>
  <c r="P7" i="4"/>
  <c r="V40" i="4"/>
  <c r="V43" i="4"/>
  <c r="V36" i="4"/>
  <c r="P24" i="4"/>
  <c r="V42" i="4"/>
  <c r="V39" i="4"/>
  <c r="P9" i="4"/>
  <c r="V47" i="4"/>
  <c r="V49" i="4"/>
  <c r="P21" i="4"/>
  <c r="P16" i="4"/>
  <c r="V33" i="4"/>
  <c r="V46" i="4"/>
  <c r="V41" i="4"/>
  <c r="V38" i="4"/>
  <c r="V35" i="4"/>
  <c r="P27" i="4"/>
  <c r="P25" i="4"/>
  <c r="V37" i="4"/>
  <c r="P18" i="4"/>
  <c r="V44" i="4"/>
  <c r="P12" i="4"/>
  <c r="P5" i="4"/>
  <c r="V32" i="4"/>
  <c r="AW32" i="17"/>
  <c r="AS32" i="17"/>
  <c r="AU32" i="17"/>
  <c r="AV32" i="17"/>
  <c r="AX32" i="17"/>
  <c r="AT32" i="17"/>
  <c r="AC32" i="17"/>
  <c r="AB32" i="17"/>
  <c r="R31" i="17"/>
  <c r="N31" i="17"/>
  <c r="X32" i="17"/>
  <c r="L63" i="15"/>
  <c r="L45" i="15"/>
  <c r="L48" i="15"/>
  <c r="N63" i="4"/>
  <c r="N48" i="4"/>
  <c r="AZ45" i="17"/>
  <c r="U46" i="17"/>
  <c r="K45" i="17"/>
  <c r="AP64" i="17"/>
  <c r="AF63" i="17"/>
  <c r="AP49" i="17"/>
  <c r="AF48" i="17"/>
  <c r="U66" i="17"/>
  <c r="K63" i="17"/>
  <c r="AZ63" i="17"/>
  <c r="AZ48" i="17"/>
  <c r="U49" i="17"/>
  <c r="K48" i="17"/>
  <c r="C63" i="4"/>
  <c r="Q48" i="4"/>
  <c r="U54" i="4"/>
  <c r="U66" i="4"/>
  <c r="Q63" i="4"/>
  <c r="AM72" i="17"/>
  <c r="AW72" i="17" s="1"/>
  <c r="AM58" i="17"/>
  <c r="AW58" i="17" s="1"/>
  <c r="AW16" i="17"/>
  <c r="AM33" i="17"/>
  <c r="AW33" i="17" s="1"/>
  <c r="AW13" i="17"/>
  <c r="AM59" i="17"/>
  <c r="AW59" i="17" s="1"/>
  <c r="AM73" i="17"/>
  <c r="AW73" i="17" s="1"/>
  <c r="AW7" i="17"/>
  <c r="AM38" i="17"/>
  <c r="AW38" i="17" s="1"/>
  <c r="AW2" i="17"/>
  <c r="AM35" i="17"/>
  <c r="AW35" i="17" s="1"/>
  <c r="AW30" i="17"/>
  <c r="AM36" i="17"/>
  <c r="AW36" i="17" s="1"/>
  <c r="AW26" i="17"/>
  <c r="AM55" i="17"/>
  <c r="AW55" i="17" s="1"/>
  <c r="AM69" i="17"/>
  <c r="AW69" i="17" s="1"/>
  <c r="AW24" i="17"/>
  <c r="AM70" i="17"/>
  <c r="AW70" i="17" s="1"/>
  <c r="AM56" i="17"/>
  <c r="AW56" i="17" s="1"/>
  <c r="AW20" i="17"/>
  <c r="AM66" i="17"/>
  <c r="AW66" i="17" s="1"/>
  <c r="AM52" i="17"/>
  <c r="AW52" i="17" s="1"/>
  <c r="AW17" i="17"/>
  <c r="AM44" i="17"/>
  <c r="AW44" i="17" s="1"/>
  <c r="AW15" i="17"/>
  <c r="AM74" i="17"/>
  <c r="AW74" i="17" s="1"/>
  <c r="AM60" i="17"/>
  <c r="AW60" i="17" s="1"/>
  <c r="AW12" i="17"/>
  <c r="AM39" i="17"/>
  <c r="AW39" i="17" s="1"/>
  <c r="AW11" i="17"/>
  <c r="AM47" i="17"/>
  <c r="AW47" i="17" s="1"/>
  <c r="AW6" i="17"/>
  <c r="AM57" i="17"/>
  <c r="AW57" i="17" s="1"/>
  <c r="AM71" i="17"/>
  <c r="AW71" i="17" s="1"/>
  <c r="AW29" i="17"/>
  <c r="AM64" i="17"/>
  <c r="AM50" i="17"/>
  <c r="AW50" i="17" s="1"/>
  <c r="AW25" i="17"/>
  <c r="AM49" i="17"/>
  <c r="AW23" i="17"/>
  <c r="AM51" i="17"/>
  <c r="AW51" i="17" s="1"/>
  <c r="AM65" i="17"/>
  <c r="AW65" i="17" s="1"/>
  <c r="AW21" i="17"/>
  <c r="AM42" i="17"/>
  <c r="AW42" i="17" s="1"/>
  <c r="AW19" i="17"/>
  <c r="AW18" i="17"/>
  <c r="AM61" i="17"/>
  <c r="AW61" i="17" s="1"/>
  <c r="AM75" i="17"/>
  <c r="AW75" i="17" s="1"/>
  <c r="AM34" i="17"/>
  <c r="AW34" i="17" s="1"/>
  <c r="AW14" i="17"/>
  <c r="AM68" i="17"/>
  <c r="AW68" i="17" s="1"/>
  <c r="AM54" i="17"/>
  <c r="AW54" i="17" s="1"/>
  <c r="AW9" i="17"/>
  <c r="AM53" i="17"/>
  <c r="AW53" i="17" s="1"/>
  <c r="AM67" i="17"/>
  <c r="AW67" i="17" s="1"/>
  <c r="AW5" i="17"/>
  <c r="AM43" i="17"/>
  <c r="AW43" i="17" s="1"/>
  <c r="AW28" i="17"/>
  <c r="AM76" i="17"/>
  <c r="AW76" i="17" s="1"/>
  <c r="AM62" i="17"/>
  <c r="AW62" i="17" s="1"/>
  <c r="AW27" i="17"/>
  <c r="AM37" i="17"/>
  <c r="AW37" i="17" s="1"/>
  <c r="AW22" i="17"/>
  <c r="AM46" i="17"/>
  <c r="AW10" i="17"/>
  <c r="AM41" i="17"/>
  <c r="AW41" i="17" s="1"/>
  <c r="AW8" i="17"/>
  <c r="AM40" i="17"/>
  <c r="AW40" i="17" s="1"/>
  <c r="AW4" i="17"/>
  <c r="AI72" i="17"/>
  <c r="AS72" i="17" s="1"/>
  <c r="AI58" i="17"/>
  <c r="AS58" i="17" s="1"/>
  <c r="AS16" i="17"/>
  <c r="AI33" i="17"/>
  <c r="AS33" i="17" s="1"/>
  <c r="AS13" i="17"/>
  <c r="AI59" i="17"/>
  <c r="AS59" i="17" s="1"/>
  <c r="AI73" i="17"/>
  <c r="AS73" i="17" s="1"/>
  <c r="AS7" i="17"/>
  <c r="AI38" i="17"/>
  <c r="AS38" i="17" s="1"/>
  <c r="AS2" i="17"/>
  <c r="AI35" i="17"/>
  <c r="AS35" i="17" s="1"/>
  <c r="AS30" i="17"/>
  <c r="AI36" i="17"/>
  <c r="AS36" i="17" s="1"/>
  <c r="AS26" i="17"/>
  <c r="AI55" i="17"/>
  <c r="AS55" i="17" s="1"/>
  <c r="AI69" i="17"/>
  <c r="AS69" i="17" s="1"/>
  <c r="AS24" i="17"/>
  <c r="AI70" i="17"/>
  <c r="AS70" i="17" s="1"/>
  <c r="AI56" i="17"/>
  <c r="AS56" i="17" s="1"/>
  <c r="AS20" i="17"/>
  <c r="AI66" i="17"/>
  <c r="AS66" i="17" s="1"/>
  <c r="AI52" i="17"/>
  <c r="AS52" i="17" s="1"/>
  <c r="AS17" i="17"/>
  <c r="AI44" i="17"/>
  <c r="AS44" i="17" s="1"/>
  <c r="AS15" i="17"/>
  <c r="AI74" i="17"/>
  <c r="AS74" i="17" s="1"/>
  <c r="AI60" i="17"/>
  <c r="AS60" i="17" s="1"/>
  <c r="AS12" i="17"/>
  <c r="AI39" i="17"/>
  <c r="AS39" i="17" s="1"/>
  <c r="AS11" i="17"/>
  <c r="AI47" i="17"/>
  <c r="AS47" i="17" s="1"/>
  <c r="AS6" i="17"/>
  <c r="AI57" i="17"/>
  <c r="AS57" i="17" s="1"/>
  <c r="AI71" i="17"/>
  <c r="AS71" i="17" s="1"/>
  <c r="AS29" i="17"/>
  <c r="AI64" i="17"/>
  <c r="AS64" i="17" s="1"/>
  <c r="AI50" i="17"/>
  <c r="AS50" i="17" s="1"/>
  <c r="AS25" i="17"/>
  <c r="AI49" i="17"/>
  <c r="AS49" i="17" s="1"/>
  <c r="AS23" i="17"/>
  <c r="AI51" i="17"/>
  <c r="AS51" i="17" s="1"/>
  <c r="AI65" i="17"/>
  <c r="AS65" i="17" s="1"/>
  <c r="AS21" i="17"/>
  <c r="AI42" i="17"/>
  <c r="AS42" i="17" s="1"/>
  <c r="AS19" i="17"/>
  <c r="AI61" i="17"/>
  <c r="AI75" i="17"/>
  <c r="AS18" i="17"/>
  <c r="AI34" i="17"/>
  <c r="AS34" i="17" s="1"/>
  <c r="AS14" i="17"/>
  <c r="AI68" i="17"/>
  <c r="AS68" i="17" s="1"/>
  <c r="AI54" i="17"/>
  <c r="AS54" i="17" s="1"/>
  <c r="AS9" i="17"/>
  <c r="AI53" i="17"/>
  <c r="AS53" i="17" s="1"/>
  <c r="AI67" i="17"/>
  <c r="AS67" i="17" s="1"/>
  <c r="AS5" i="17"/>
  <c r="AI43" i="17"/>
  <c r="AS43" i="17" s="1"/>
  <c r="AS28" i="17"/>
  <c r="AI76" i="17"/>
  <c r="AS76" i="17" s="1"/>
  <c r="AI62" i="17"/>
  <c r="AS62" i="17" s="1"/>
  <c r="AS27" i="17"/>
  <c r="AI37" i="17"/>
  <c r="AS37" i="17" s="1"/>
  <c r="AS22" i="17"/>
  <c r="AI46" i="17"/>
  <c r="AS10" i="17"/>
  <c r="AI41" i="17"/>
  <c r="AS41" i="17" s="1"/>
  <c r="AS8" i="17"/>
  <c r="AI40" i="17"/>
  <c r="AS40" i="17" s="1"/>
  <c r="AS4" i="17"/>
  <c r="AN35" i="17"/>
  <c r="AX35" i="17" s="1"/>
  <c r="AX30" i="17"/>
  <c r="S35" i="17"/>
  <c r="AC35" i="17" s="1"/>
  <c r="AC30" i="17"/>
  <c r="AN36" i="17"/>
  <c r="AX36" i="17" s="1"/>
  <c r="AX26" i="17"/>
  <c r="S36" i="17"/>
  <c r="AC36" i="17" s="1"/>
  <c r="AC26" i="17"/>
  <c r="S55" i="17"/>
  <c r="AC55" i="17" s="1"/>
  <c r="S69" i="17"/>
  <c r="AC69" i="17" s="1"/>
  <c r="AC24" i="17"/>
  <c r="AN55" i="17"/>
  <c r="AX55" i="17" s="1"/>
  <c r="AN69" i="17"/>
  <c r="AX69" i="17" s="1"/>
  <c r="AX24" i="17"/>
  <c r="AN70" i="17"/>
  <c r="AX70" i="17" s="1"/>
  <c r="AN56" i="17"/>
  <c r="AX56" i="17" s="1"/>
  <c r="AX20" i="17"/>
  <c r="S56" i="17"/>
  <c r="AC56" i="17" s="1"/>
  <c r="S70" i="17"/>
  <c r="AC70" i="17" s="1"/>
  <c r="AC20" i="17"/>
  <c r="S52" i="17"/>
  <c r="AC52" i="17" s="1"/>
  <c r="S66" i="17"/>
  <c r="AC17" i="17"/>
  <c r="AN66" i="17"/>
  <c r="AN52" i="17"/>
  <c r="AX52" i="17" s="1"/>
  <c r="AX17" i="17"/>
  <c r="S44" i="17"/>
  <c r="AC44" i="17" s="1"/>
  <c r="AC15" i="17"/>
  <c r="AN44" i="17"/>
  <c r="AX44" i="17" s="1"/>
  <c r="AX15" i="17"/>
  <c r="S60" i="17"/>
  <c r="AC60" i="17" s="1"/>
  <c r="S74" i="17"/>
  <c r="AC74" i="17" s="1"/>
  <c r="AC12" i="17"/>
  <c r="AN74" i="17"/>
  <c r="AX74" i="17" s="1"/>
  <c r="AN60" i="17"/>
  <c r="AX60" i="17" s="1"/>
  <c r="AX12" i="17"/>
  <c r="AN39" i="17"/>
  <c r="AX39" i="17" s="1"/>
  <c r="AX11" i="17"/>
  <c r="S39" i="17"/>
  <c r="AC39" i="17" s="1"/>
  <c r="AC11" i="17"/>
  <c r="S47" i="17"/>
  <c r="AC47" i="17" s="1"/>
  <c r="AC6" i="17"/>
  <c r="AN47" i="17"/>
  <c r="AX47" i="17" s="1"/>
  <c r="AX6" i="17"/>
  <c r="AN57" i="17"/>
  <c r="AX57" i="17" s="1"/>
  <c r="AN71" i="17"/>
  <c r="AX71" i="17" s="1"/>
  <c r="AX29" i="17"/>
  <c r="S57" i="17"/>
  <c r="AC57" i="17" s="1"/>
  <c r="S71" i="17"/>
  <c r="AC71" i="17" s="1"/>
  <c r="AC29" i="17"/>
  <c r="AN64" i="17"/>
  <c r="AX64" i="17" s="1"/>
  <c r="AN50" i="17"/>
  <c r="AX50" i="17" s="1"/>
  <c r="AX25" i="17"/>
  <c r="S50" i="17"/>
  <c r="AC50" i="17" s="1"/>
  <c r="S64" i="17"/>
  <c r="AC64" i="17" s="1"/>
  <c r="AC25" i="17"/>
  <c r="AN49" i="17"/>
  <c r="AX23" i="17"/>
  <c r="S49" i="17"/>
  <c r="AC23" i="17"/>
  <c r="S51" i="17"/>
  <c r="AC51" i="17" s="1"/>
  <c r="S65" i="17"/>
  <c r="AC65" i="17" s="1"/>
  <c r="AC21" i="17"/>
  <c r="AN51" i="17"/>
  <c r="AX51" i="17" s="1"/>
  <c r="AN65" i="17"/>
  <c r="AX65" i="17" s="1"/>
  <c r="AX21" i="17"/>
  <c r="S42" i="17"/>
  <c r="AC42" i="17" s="1"/>
  <c r="AC19" i="17"/>
  <c r="AN42" i="17"/>
  <c r="AX42" i="17" s="1"/>
  <c r="AX19" i="17"/>
  <c r="AN61" i="17"/>
  <c r="AX61" i="17" s="1"/>
  <c r="AN75" i="17"/>
  <c r="AX75" i="17" s="1"/>
  <c r="AX18" i="17"/>
  <c r="S61" i="17"/>
  <c r="AC61" i="17" s="1"/>
  <c r="S75" i="17"/>
  <c r="AC75" i="17" s="1"/>
  <c r="AC18" i="17"/>
  <c r="AC14" i="17"/>
  <c r="S34" i="17"/>
  <c r="AC34" i="17" s="1"/>
  <c r="AN34" i="17"/>
  <c r="AX34" i="17" s="1"/>
  <c r="AX14" i="17"/>
  <c r="S54" i="17"/>
  <c r="AC54" i="17" s="1"/>
  <c r="S68" i="17"/>
  <c r="AC68" i="17" s="1"/>
  <c r="AC9" i="17"/>
  <c r="AN68" i="17"/>
  <c r="AX68" i="17" s="1"/>
  <c r="AN54" i="17"/>
  <c r="AX54" i="17" s="1"/>
  <c r="AX9" i="17"/>
  <c r="S53" i="17"/>
  <c r="AC53" i="17" s="1"/>
  <c r="S67" i="17"/>
  <c r="AC67" i="17" s="1"/>
  <c r="AC5" i="17"/>
  <c r="AN53" i="17"/>
  <c r="AX53" i="17" s="1"/>
  <c r="AN67" i="17"/>
  <c r="AX67" i="17" s="1"/>
  <c r="AX5" i="17"/>
  <c r="S43" i="17"/>
  <c r="AC43" i="17" s="1"/>
  <c r="AC28" i="17"/>
  <c r="AN43" i="17"/>
  <c r="AX43" i="17" s="1"/>
  <c r="AX28" i="17"/>
  <c r="AN76" i="17"/>
  <c r="AX76" i="17" s="1"/>
  <c r="AN62" i="17"/>
  <c r="AX62" i="17" s="1"/>
  <c r="AX27" i="17"/>
  <c r="S62" i="17"/>
  <c r="AC62" i="17" s="1"/>
  <c r="S76" i="17"/>
  <c r="AC76" i="17" s="1"/>
  <c r="AC27" i="17"/>
  <c r="AN37" i="17"/>
  <c r="AX37" i="17" s="1"/>
  <c r="AX22" i="17"/>
  <c r="S37" i="17"/>
  <c r="AC37" i="17" s="1"/>
  <c r="AC22" i="17"/>
  <c r="AN46" i="17"/>
  <c r="AX10" i="17"/>
  <c r="AC10" i="17"/>
  <c r="S46" i="17"/>
  <c r="S41" i="17"/>
  <c r="AC41" i="17" s="1"/>
  <c r="AC8" i="17"/>
  <c r="AN41" i="17"/>
  <c r="AX41" i="17" s="1"/>
  <c r="AX8" i="17"/>
  <c r="AN40" i="17"/>
  <c r="AX40" i="17" s="1"/>
  <c r="AX4" i="17"/>
  <c r="S40" i="17"/>
  <c r="AC40" i="17" s="1"/>
  <c r="AC4" i="17"/>
  <c r="S58" i="17"/>
  <c r="AC58" i="17" s="1"/>
  <c r="S72" i="17"/>
  <c r="AC72" i="17" s="1"/>
  <c r="AC16" i="17"/>
  <c r="AN72" i="17"/>
  <c r="AX72" i="17" s="1"/>
  <c r="AN58" i="17"/>
  <c r="AX58" i="17" s="1"/>
  <c r="AX16" i="17"/>
  <c r="AN33" i="17"/>
  <c r="AX33" i="17" s="1"/>
  <c r="AX13" i="17"/>
  <c r="S33" i="17"/>
  <c r="AC33" i="17" s="1"/>
  <c r="AC13" i="17"/>
  <c r="S59" i="17"/>
  <c r="AC59" i="17" s="1"/>
  <c r="S73" i="17"/>
  <c r="AC73" i="17" s="1"/>
  <c r="AC7" i="17"/>
  <c r="AN59" i="17"/>
  <c r="AX59" i="17" s="1"/>
  <c r="AN73" i="17"/>
  <c r="AX73" i="17" s="1"/>
  <c r="AX7" i="17"/>
  <c r="AN38" i="17"/>
  <c r="AX38" i="17" s="1"/>
  <c r="AX2" i="17"/>
  <c r="S38" i="17"/>
  <c r="AC38" i="17" s="1"/>
  <c r="AC2" i="17"/>
  <c r="AJ35" i="17"/>
  <c r="AT35" i="17" s="1"/>
  <c r="AT30" i="17"/>
  <c r="AJ36" i="17"/>
  <c r="AT36" i="17" s="1"/>
  <c r="AT26" i="17"/>
  <c r="AJ55" i="17"/>
  <c r="AT55" i="17" s="1"/>
  <c r="AJ69" i="17"/>
  <c r="AT69" i="17" s="1"/>
  <c r="AT24" i="17"/>
  <c r="AJ70" i="17"/>
  <c r="AT70" i="17" s="1"/>
  <c r="AJ56" i="17"/>
  <c r="AT56" i="17" s="1"/>
  <c r="AT20" i="17"/>
  <c r="AJ66" i="17"/>
  <c r="AT66" i="17" s="1"/>
  <c r="AJ52" i="17"/>
  <c r="AT52" i="17" s="1"/>
  <c r="AT17" i="17"/>
  <c r="AJ44" i="17"/>
  <c r="AT44" i="17" s="1"/>
  <c r="AT15" i="17"/>
  <c r="AJ74" i="17"/>
  <c r="AT74" i="17" s="1"/>
  <c r="AJ60" i="17"/>
  <c r="AT60" i="17" s="1"/>
  <c r="AT12" i="17"/>
  <c r="AJ39" i="17"/>
  <c r="AT39" i="17" s="1"/>
  <c r="AT11" i="17"/>
  <c r="AJ47" i="17"/>
  <c r="AT47" i="17" s="1"/>
  <c r="AT6" i="17"/>
  <c r="AJ57" i="17"/>
  <c r="AT57" i="17" s="1"/>
  <c r="AJ71" i="17"/>
  <c r="AT71" i="17" s="1"/>
  <c r="AT29" i="17"/>
  <c r="AJ64" i="17"/>
  <c r="AT64" i="17" s="1"/>
  <c r="AJ50" i="17"/>
  <c r="AT50" i="17" s="1"/>
  <c r="AT25" i="17"/>
  <c r="AJ49" i="17"/>
  <c r="AT49" i="17" s="1"/>
  <c r="AT23" i="17"/>
  <c r="AJ51" i="17"/>
  <c r="AT51" i="17" s="1"/>
  <c r="AJ65" i="17"/>
  <c r="AT65" i="17" s="1"/>
  <c r="AT21" i="17"/>
  <c r="AJ42" i="17"/>
  <c r="AT42" i="17" s="1"/>
  <c r="AT19" i="17"/>
  <c r="AJ61" i="17"/>
  <c r="AJ75" i="17"/>
  <c r="AT18" i="17"/>
  <c r="AJ34" i="17"/>
  <c r="AT34" i="17" s="1"/>
  <c r="AT14" i="17"/>
  <c r="AJ68" i="17"/>
  <c r="AT68" i="17" s="1"/>
  <c r="AJ54" i="17"/>
  <c r="AT54" i="17" s="1"/>
  <c r="AT9" i="17"/>
  <c r="AJ53" i="17"/>
  <c r="AT53" i="17" s="1"/>
  <c r="AJ67" i="17"/>
  <c r="AT67" i="17" s="1"/>
  <c r="AT5" i="17"/>
  <c r="AJ43" i="17"/>
  <c r="AT43" i="17" s="1"/>
  <c r="AT28" i="17"/>
  <c r="AJ76" i="17"/>
  <c r="AT76" i="17" s="1"/>
  <c r="AJ62" i="17"/>
  <c r="AT62" i="17" s="1"/>
  <c r="AT27" i="17"/>
  <c r="AJ37" i="17"/>
  <c r="AT37" i="17" s="1"/>
  <c r="AT22" i="17"/>
  <c r="AJ46" i="17"/>
  <c r="AT10" i="17"/>
  <c r="AJ41" i="17"/>
  <c r="AT41" i="17" s="1"/>
  <c r="AT8" i="17"/>
  <c r="AJ40" i="17"/>
  <c r="AT40" i="17" s="1"/>
  <c r="AT4" i="17"/>
  <c r="AJ72" i="17"/>
  <c r="AT72" i="17" s="1"/>
  <c r="AJ58" i="17"/>
  <c r="AT58" i="17" s="1"/>
  <c r="AT16" i="17"/>
  <c r="AJ33" i="17"/>
  <c r="AT33" i="17" s="1"/>
  <c r="AT13" i="17"/>
  <c r="AJ59" i="17"/>
  <c r="AT59" i="17" s="1"/>
  <c r="AJ73" i="17"/>
  <c r="AT73" i="17" s="1"/>
  <c r="AT7" i="17"/>
  <c r="AJ38" i="17"/>
  <c r="AT38" i="17" s="1"/>
  <c r="AT2" i="17"/>
  <c r="AK71" i="17"/>
  <c r="AU71" i="17" s="1"/>
  <c r="AK57" i="17"/>
  <c r="AU57" i="17" s="1"/>
  <c r="AU29" i="17"/>
  <c r="AK50" i="17"/>
  <c r="AU50" i="17" s="1"/>
  <c r="AK64" i="17"/>
  <c r="AU64" i="17" s="1"/>
  <c r="AU25" i="17"/>
  <c r="AK49" i="17"/>
  <c r="AU23" i="17"/>
  <c r="AK65" i="17"/>
  <c r="AU65" i="17" s="1"/>
  <c r="AK51" i="17"/>
  <c r="AU51" i="17" s="1"/>
  <c r="AU21" i="17"/>
  <c r="AK42" i="17"/>
  <c r="AU42" i="17" s="1"/>
  <c r="AU19" i="17"/>
  <c r="AK75" i="17"/>
  <c r="AU75" i="17" s="1"/>
  <c r="AK61" i="17"/>
  <c r="AU61" i="17" s="1"/>
  <c r="AU18" i="17"/>
  <c r="AK34" i="17"/>
  <c r="AU34" i="17" s="1"/>
  <c r="AU14" i="17"/>
  <c r="AK54" i="17"/>
  <c r="AU54" i="17" s="1"/>
  <c r="AK68" i="17"/>
  <c r="AU68" i="17" s="1"/>
  <c r="AU9" i="17"/>
  <c r="AK67" i="17"/>
  <c r="AU67" i="17" s="1"/>
  <c r="AK53" i="17"/>
  <c r="AU53" i="17" s="1"/>
  <c r="AU5" i="17"/>
  <c r="AK43" i="17"/>
  <c r="AU43" i="17" s="1"/>
  <c r="AU28" i="17"/>
  <c r="AK62" i="17"/>
  <c r="AU62" i="17" s="1"/>
  <c r="AK76" i="17"/>
  <c r="AU76" i="17" s="1"/>
  <c r="AU27" i="17"/>
  <c r="AK37" i="17"/>
  <c r="AU37" i="17" s="1"/>
  <c r="AU22" i="17"/>
  <c r="AU10" i="17"/>
  <c r="AK46" i="17"/>
  <c r="AK41" i="17"/>
  <c r="AU41" i="17" s="1"/>
  <c r="AU8" i="17"/>
  <c r="AK40" i="17"/>
  <c r="AU40" i="17" s="1"/>
  <c r="AU4" i="17"/>
  <c r="AK58" i="17"/>
  <c r="AU58" i="17" s="1"/>
  <c r="AK72" i="17"/>
  <c r="AU72" i="17" s="1"/>
  <c r="AU16" i="17"/>
  <c r="AK33" i="17"/>
  <c r="AU33" i="17" s="1"/>
  <c r="AU13" i="17"/>
  <c r="AK73" i="17"/>
  <c r="AU73" i="17" s="1"/>
  <c r="AK59" i="17"/>
  <c r="AU59" i="17" s="1"/>
  <c r="AU7" i="17"/>
  <c r="AK38" i="17"/>
  <c r="AU38" i="17" s="1"/>
  <c r="AU2" i="17"/>
  <c r="AK35" i="17"/>
  <c r="AU35" i="17" s="1"/>
  <c r="AU30" i="17"/>
  <c r="AK36" i="17"/>
  <c r="AU36" i="17" s="1"/>
  <c r="AU26" i="17"/>
  <c r="AK69" i="17"/>
  <c r="AU69" i="17" s="1"/>
  <c r="AK55" i="17"/>
  <c r="AU55" i="17" s="1"/>
  <c r="AU24" i="17"/>
  <c r="AK56" i="17"/>
  <c r="AU56" i="17" s="1"/>
  <c r="AK70" i="17"/>
  <c r="AU70" i="17" s="1"/>
  <c r="AU20" i="17"/>
  <c r="AK52" i="17"/>
  <c r="AU52" i="17" s="1"/>
  <c r="AK66" i="17"/>
  <c r="AU17" i="17"/>
  <c r="AK44" i="17"/>
  <c r="AU44" i="17" s="1"/>
  <c r="AU15" i="17"/>
  <c r="AK60" i="17"/>
  <c r="AU60" i="17" s="1"/>
  <c r="AK74" i="17"/>
  <c r="AU74" i="17" s="1"/>
  <c r="AU12" i="17"/>
  <c r="AK39" i="17"/>
  <c r="AU39" i="17" s="1"/>
  <c r="AU11" i="17"/>
  <c r="AK47" i="17"/>
  <c r="AU47" i="17" s="1"/>
  <c r="AU6" i="17"/>
  <c r="AL43" i="17"/>
  <c r="AV43" i="17" s="1"/>
  <c r="AV28" i="17"/>
  <c r="AL62" i="17"/>
  <c r="AV62" i="17" s="1"/>
  <c r="AL76" i="17"/>
  <c r="AV76" i="17" s="1"/>
  <c r="AV27" i="17"/>
  <c r="AL37" i="17"/>
  <c r="AV37" i="17" s="1"/>
  <c r="AV22" i="17"/>
  <c r="AL46" i="17"/>
  <c r="AV10" i="17"/>
  <c r="AL41" i="17"/>
  <c r="AV41" i="17" s="1"/>
  <c r="AV8" i="17"/>
  <c r="AL40" i="17"/>
  <c r="AV40" i="17" s="1"/>
  <c r="AV4" i="17"/>
  <c r="AL58" i="17"/>
  <c r="AV58" i="17" s="1"/>
  <c r="AL72" i="17"/>
  <c r="AV72" i="17" s="1"/>
  <c r="AV16" i="17"/>
  <c r="AL33" i="17"/>
  <c r="AV33" i="17" s="1"/>
  <c r="AV13" i="17"/>
  <c r="AL73" i="17"/>
  <c r="AV73" i="17" s="1"/>
  <c r="AL59" i="17"/>
  <c r="AV59" i="17" s="1"/>
  <c r="AV7" i="17"/>
  <c r="AL38" i="17"/>
  <c r="AV38" i="17" s="1"/>
  <c r="AV2" i="17"/>
  <c r="AL35" i="17"/>
  <c r="AV35" i="17" s="1"/>
  <c r="AV30" i="17"/>
  <c r="AL36" i="17"/>
  <c r="AV36" i="17" s="1"/>
  <c r="AV26" i="17"/>
  <c r="AL69" i="17"/>
  <c r="AV69" i="17" s="1"/>
  <c r="AL55" i="17"/>
  <c r="AV55" i="17" s="1"/>
  <c r="AV24" i="17"/>
  <c r="AL56" i="17"/>
  <c r="AV56" i="17" s="1"/>
  <c r="AL70" i="17"/>
  <c r="AV70" i="17" s="1"/>
  <c r="AV20" i="17"/>
  <c r="AV17" i="17"/>
  <c r="AL52" i="17"/>
  <c r="AV52" i="17" s="1"/>
  <c r="AL66" i="17"/>
  <c r="AL44" i="17"/>
  <c r="AV44" i="17" s="1"/>
  <c r="AV15" i="17"/>
  <c r="AL60" i="17"/>
  <c r="AV60" i="17" s="1"/>
  <c r="AL74" i="17"/>
  <c r="AV74" i="17" s="1"/>
  <c r="AV12" i="17"/>
  <c r="AL39" i="17"/>
  <c r="AV39" i="17" s="1"/>
  <c r="AV11" i="17"/>
  <c r="AL47" i="17"/>
  <c r="AV47" i="17" s="1"/>
  <c r="AV6" i="17"/>
  <c r="AL71" i="17"/>
  <c r="AV71" i="17" s="1"/>
  <c r="AL57" i="17"/>
  <c r="AV57" i="17" s="1"/>
  <c r="AV29" i="17"/>
  <c r="AL50" i="17"/>
  <c r="AV50" i="17" s="1"/>
  <c r="AL64" i="17"/>
  <c r="AV64" i="17" s="1"/>
  <c r="AV25" i="17"/>
  <c r="AL49" i="17"/>
  <c r="AV23" i="17"/>
  <c r="AL65" i="17"/>
  <c r="AV65" i="17" s="1"/>
  <c r="AL51" i="17"/>
  <c r="AV51" i="17" s="1"/>
  <c r="AV21" i="17"/>
  <c r="AL42" i="17"/>
  <c r="AV42" i="17" s="1"/>
  <c r="AV19" i="17"/>
  <c r="AL75" i="17"/>
  <c r="AV75" i="17" s="1"/>
  <c r="AL61" i="17"/>
  <c r="AV61" i="17" s="1"/>
  <c r="AV18" i="17"/>
  <c r="AL34" i="17"/>
  <c r="AV34" i="17" s="1"/>
  <c r="AV14" i="17"/>
  <c r="AL54" i="17"/>
  <c r="AV54" i="17" s="1"/>
  <c r="AL68" i="17"/>
  <c r="AV68" i="17" s="1"/>
  <c r="AV9" i="17"/>
  <c r="AL67" i="17"/>
  <c r="AV67" i="17" s="1"/>
  <c r="AL53" i="17"/>
  <c r="AV53" i="17" s="1"/>
  <c r="AV5" i="17"/>
  <c r="AE63" i="17"/>
  <c r="AO66" i="17"/>
  <c r="AO49" i="17"/>
  <c r="AE48" i="17"/>
  <c r="AO46" i="17"/>
  <c r="AE45" i="17"/>
  <c r="J48" i="17"/>
  <c r="T49" i="17"/>
  <c r="J45" i="17"/>
  <c r="T46" i="17"/>
  <c r="J63" i="17"/>
  <c r="T66" i="17"/>
  <c r="C63" i="15"/>
  <c r="C45" i="15"/>
  <c r="C48" i="15"/>
  <c r="C31" i="15"/>
  <c r="Q49" i="15"/>
  <c r="Q48" i="15" s="1"/>
  <c r="O48" i="15"/>
  <c r="Q66" i="15"/>
  <c r="Q63" i="15" s="1"/>
  <c r="O63" i="15"/>
  <c r="L31" i="15"/>
  <c r="P31" i="17"/>
  <c r="Z32" i="17"/>
  <c r="AA32" i="17"/>
  <c r="Q31" i="17"/>
  <c r="Q32" i="15"/>
  <c r="Q31" i="15" s="1"/>
  <c r="O31" i="15"/>
  <c r="AV3" i="17"/>
  <c r="AW3" i="17"/>
  <c r="AS3" i="17"/>
  <c r="AT3" i="17"/>
  <c r="AX3" i="17"/>
  <c r="AU3" i="17"/>
  <c r="R32" i="15"/>
  <c r="BA32" i="17"/>
  <c r="AR3" i="17"/>
  <c r="O32" i="4"/>
  <c r="E5" i="2"/>
  <c r="K5" i="2"/>
  <c r="H5" i="2"/>
  <c r="I45" i="4" l="1"/>
  <c r="V45" i="4"/>
  <c r="U48" i="4"/>
  <c r="M45" i="4"/>
  <c r="I45" i="15"/>
  <c r="AY3" i="17"/>
  <c r="I31" i="4"/>
  <c r="K31" i="15"/>
  <c r="AY32" i="17"/>
  <c r="G45" i="15"/>
  <c r="H45" i="15"/>
  <c r="AY41" i="17"/>
  <c r="AY37" i="17"/>
  <c r="AY28" i="17"/>
  <c r="AY53" i="17"/>
  <c r="AY14" i="17"/>
  <c r="AY65" i="17"/>
  <c r="AY25" i="17"/>
  <c r="AY71" i="17"/>
  <c r="AY11" i="17"/>
  <c r="AY74" i="17"/>
  <c r="AY52" i="17"/>
  <c r="AY70" i="17"/>
  <c r="AY26" i="17"/>
  <c r="AY2" i="17"/>
  <c r="AY59" i="17"/>
  <c r="AY58" i="17"/>
  <c r="AY4" i="17"/>
  <c r="AY10" i="17"/>
  <c r="AY27" i="17"/>
  <c r="AY43" i="17"/>
  <c r="AY9" i="17"/>
  <c r="AY34" i="17"/>
  <c r="AY19" i="17"/>
  <c r="AY51" i="17"/>
  <c r="AY50" i="17"/>
  <c r="AY57" i="17"/>
  <c r="AY39" i="17"/>
  <c r="AY15" i="17"/>
  <c r="AY24" i="17"/>
  <c r="AY36" i="17"/>
  <c r="AY38" i="17"/>
  <c r="AY13" i="17"/>
  <c r="AY72" i="17"/>
  <c r="AN31" i="17"/>
  <c r="AY40" i="17"/>
  <c r="AY62" i="17"/>
  <c r="AY5" i="17"/>
  <c r="AY54" i="17"/>
  <c r="AY18" i="17"/>
  <c r="AY42" i="17"/>
  <c r="AY23" i="17"/>
  <c r="AY6" i="17"/>
  <c r="AY12" i="17"/>
  <c r="AY44" i="17"/>
  <c r="AY20" i="17"/>
  <c r="AY69" i="17"/>
  <c r="AY30" i="17"/>
  <c r="AY7" i="17"/>
  <c r="AY33" i="17"/>
  <c r="AM31" i="17"/>
  <c r="AY8" i="17"/>
  <c r="AY22" i="17"/>
  <c r="AY76" i="17"/>
  <c r="AY67" i="17"/>
  <c r="AY68" i="17"/>
  <c r="AY21" i="17"/>
  <c r="AY29" i="17"/>
  <c r="AY47" i="17"/>
  <c r="AY60" i="17"/>
  <c r="AY17" i="17"/>
  <c r="AY56" i="17"/>
  <c r="AY55" i="17"/>
  <c r="AY35" i="17"/>
  <c r="AY73" i="17"/>
  <c r="AY16" i="17"/>
  <c r="AJ31" i="17"/>
  <c r="H31" i="15"/>
  <c r="S27" i="15"/>
  <c r="V27" i="15"/>
  <c r="E46" i="15"/>
  <c r="F10" i="15"/>
  <c r="S14" i="15"/>
  <c r="S34" i="15" s="1"/>
  <c r="V14" i="15"/>
  <c r="V34" i="15" s="1"/>
  <c r="V25" i="15"/>
  <c r="S25" i="15"/>
  <c r="M39" i="15"/>
  <c r="N39" i="15" s="1"/>
  <c r="N11" i="15"/>
  <c r="S15" i="15"/>
  <c r="S44" i="15" s="1"/>
  <c r="V15" i="15"/>
  <c r="V44" i="15" s="1"/>
  <c r="V26" i="15"/>
  <c r="V36" i="15" s="1"/>
  <c r="S26" i="15"/>
  <c r="S36" i="15" s="1"/>
  <c r="E47" i="15"/>
  <c r="F47" i="15" s="1"/>
  <c r="F6" i="15"/>
  <c r="V16" i="15"/>
  <c r="S16" i="15"/>
  <c r="M42" i="15"/>
  <c r="N42" i="15" s="1"/>
  <c r="N19" i="15"/>
  <c r="E37" i="15"/>
  <c r="F37" i="15" s="1"/>
  <c r="F22" i="15"/>
  <c r="AK31" i="17"/>
  <c r="O39" i="4"/>
  <c r="P39" i="4" s="1"/>
  <c r="P11" i="4"/>
  <c r="M41" i="15"/>
  <c r="N41" i="15" s="1"/>
  <c r="N8" i="15"/>
  <c r="E38" i="15"/>
  <c r="F38" i="15" s="1"/>
  <c r="F2" i="15"/>
  <c r="J31" i="15"/>
  <c r="M46" i="15"/>
  <c r="N10" i="15"/>
  <c r="U31" i="15"/>
  <c r="E34" i="15"/>
  <c r="F34" i="15" s="1"/>
  <c r="F14" i="15"/>
  <c r="M44" i="15"/>
  <c r="N44" i="15" s="1"/>
  <c r="N15" i="15"/>
  <c r="S22" i="15"/>
  <c r="S37" i="15" s="1"/>
  <c r="V22" i="15"/>
  <c r="V37" i="15" s="1"/>
  <c r="M36" i="15"/>
  <c r="N36" i="15" s="1"/>
  <c r="N26" i="15"/>
  <c r="S28" i="15"/>
  <c r="S43" i="15" s="1"/>
  <c r="V28" i="15"/>
  <c r="V43" i="15" s="1"/>
  <c r="V7" i="15"/>
  <c r="S7" i="15"/>
  <c r="V18" i="15"/>
  <c r="S18" i="15"/>
  <c r="V23" i="15"/>
  <c r="V49" i="15" s="1"/>
  <c r="S23" i="15"/>
  <c r="S49" i="15" s="1"/>
  <c r="V29" i="15"/>
  <c r="S29" i="15"/>
  <c r="V8" i="15"/>
  <c r="V41" i="15" s="1"/>
  <c r="S8" i="15"/>
  <c r="S41" i="15" s="1"/>
  <c r="K45" i="15"/>
  <c r="V12" i="15"/>
  <c r="S12" i="15"/>
  <c r="S17" i="15"/>
  <c r="V17" i="15"/>
  <c r="S20" i="15"/>
  <c r="V20" i="15"/>
  <c r="S30" i="15"/>
  <c r="S35" i="15" s="1"/>
  <c r="V30" i="15"/>
  <c r="V35" i="15" s="1"/>
  <c r="J45" i="15"/>
  <c r="S9" i="15"/>
  <c r="V9" i="15"/>
  <c r="E39" i="15"/>
  <c r="F39" i="15" s="1"/>
  <c r="F11" i="15"/>
  <c r="BA40" i="17"/>
  <c r="BB40" i="17" s="1"/>
  <c r="BB4" i="17"/>
  <c r="BA42" i="17"/>
  <c r="BB42" i="17" s="1"/>
  <c r="BB19" i="17"/>
  <c r="BA47" i="17"/>
  <c r="BB47" i="17" s="1"/>
  <c r="BB6" i="17"/>
  <c r="BA33" i="17"/>
  <c r="BB33" i="17" s="1"/>
  <c r="BB13" i="17"/>
  <c r="U63" i="4"/>
  <c r="L47" i="17"/>
  <c r="V47" i="17" s="1"/>
  <c r="V6" i="17"/>
  <c r="L41" i="17"/>
  <c r="V41" i="17" s="1"/>
  <c r="V8" i="17"/>
  <c r="L49" i="17"/>
  <c r="V23" i="17"/>
  <c r="L60" i="17"/>
  <c r="V60" i="17" s="1"/>
  <c r="V12" i="17"/>
  <c r="L74" i="17"/>
  <c r="V74" i="17" s="1"/>
  <c r="L51" i="17"/>
  <c r="V51" i="17" s="1"/>
  <c r="L65" i="17"/>
  <c r="V65" i="17" s="1"/>
  <c r="V21" i="17"/>
  <c r="L46" i="17"/>
  <c r="V10" i="17"/>
  <c r="L42" i="17"/>
  <c r="V42" i="17" s="1"/>
  <c r="V19" i="17"/>
  <c r="L35" i="17"/>
  <c r="V35" i="17" s="1"/>
  <c r="V30" i="17"/>
  <c r="L54" i="17"/>
  <c r="V54" i="17" s="1"/>
  <c r="V9" i="17"/>
  <c r="L68" i="17"/>
  <c r="V68" i="17" s="1"/>
  <c r="L53" i="17"/>
  <c r="V53" i="17" s="1"/>
  <c r="V5" i="17"/>
  <c r="L67" i="17"/>
  <c r="V67" i="17" s="1"/>
  <c r="I61" i="4"/>
  <c r="I75" i="4"/>
  <c r="I71" i="4"/>
  <c r="I57" i="4"/>
  <c r="I70" i="4"/>
  <c r="I56" i="4"/>
  <c r="E47" i="4"/>
  <c r="H47" i="4" s="1"/>
  <c r="H6" i="4"/>
  <c r="M58" i="4"/>
  <c r="M72" i="4"/>
  <c r="K59" i="4"/>
  <c r="K73" i="4"/>
  <c r="M61" i="4"/>
  <c r="M75" i="4"/>
  <c r="E61" i="4"/>
  <c r="H61" i="4" s="1"/>
  <c r="E75" i="4"/>
  <c r="H75" i="4" s="1"/>
  <c r="H18" i="4"/>
  <c r="E36" i="4"/>
  <c r="H36" i="4" s="1"/>
  <c r="H26" i="4"/>
  <c r="E68" i="4"/>
  <c r="H68" i="4" s="1"/>
  <c r="E54" i="4"/>
  <c r="H54" i="4" s="1"/>
  <c r="H9" i="4"/>
  <c r="J70" i="4"/>
  <c r="J56" i="4"/>
  <c r="J66" i="4"/>
  <c r="J52" i="4"/>
  <c r="J74" i="4"/>
  <c r="J60" i="4"/>
  <c r="J71" i="4"/>
  <c r="J57" i="4"/>
  <c r="L69" i="4"/>
  <c r="L55" i="4"/>
  <c r="E46" i="4"/>
  <c r="H10" i="4"/>
  <c r="E49" i="4"/>
  <c r="H23" i="4"/>
  <c r="E43" i="4"/>
  <c r="H43" i="4" s="1"/>
  <c r="H28" i="4"/>
  <c r="K64" i="4"/>
  <c r="K50" i="4"/>
  <c r="K67" i="4"/>
  <c r="K53" i="4"/>
  <c r="J75" i="4"/>
  <c r="J61" i="4"/>
  <c r="M69" i="4"/>
  <c r="M55" i="4"/>
  <c r="J59" i="4"/>
  <c r="J73" i="4"/>
  <c r="E35" i="4"/>
  <c r="H35" i="4" s="1"/>
  <c r="H30" i="4"/>
  <c r="I76" i="4"/>
  <c r="I62" i="4"/>
  <c r="I60" i="4"/>
  <c r="I74" i="4"/>
  <c r="L76" i="4"/>
  <c r="L62" i="4"/>
  <c r="J62" i="4"/>
  <c r="J76" i="4"/>
  <c r="L68" i="4"/>
  <c r="L54" i="4"/>
  <c r="BA37" i="17"/>
  <c r="BB37" i="17" s="1"/>
  <c r="BB22" i="17"/>
  <c r="BA43" i="17"/>
  <c r="BB43" i="17" s="1"/>
  <c r="BB28" i="17"/>
  <c r="BA39" i="17"/>
  <c r="BB39" i="17" s="1"/>
  <c r="BB11" i="17"/>
  <c r="BA44" i="17"/>
  <c r="BB44" i="17" s="1"/>
  <c r="BB15" i="17"/>
  <c r="BA36" i="17"/>
  <c r="BB36" i="17" s="1"/>
  <c r="BB26" i="17"/>
  <c r="BA38" i="17"/>
  <c r="BB38" i="17" s="1"/>
  <c r="BB2" i="17"/>
  <c r="L34" i="17"/>
  <c r="V34" i="17" s="1"/>
  <c r="V14" i="17"/>
  <c r="L40" i="17"/>
  <c r="V40" i="17" s="1"/>
  <c r="V4" i="17"/>
  <c r="V32" i="17"/>
  <c r="E33" i="4"/>
  <c r="H33" i="4" s="1"/>
  <c r="H13" i="4"/>
  <c r="E52" i="4"/>
  <c r="H52" i="4" s="1"/>
  <c r="E66" i="4"/>
  <c r="H66" i="4" s="1"/>
  <c r="H17" i="4"/>
  <c r="L53" i="4"/>
  <c r="L67" i="4"/>
  <c r="K52" i="4"/>
  <c r="K66" i="4"/>
  <c r="E64" i="4"/>
  <c r="E50" i="4"/>
  <c r="H50" i="4" s="1"/>
  <c r="H25" i="4"/>
  <c r="I73" i="4"/>
  <c r="I59" i="4"/>
  <c r="L56" i="4"/>
  <c r="L70" i="4"/>
  <c r="L52" i="4"/>
  <c r="L66" i="4"/>
  <c r="L60" i="4"/>
  <c r="L74" i="4"/>
  <c r="L64" i="4"/>
  <c r="L50" i="4"/>
  <c r="E40" i="4"/>
  <c r="H40" i="4" s="1"/>
  <c r="H4" i="4"/>
  <c r="E58" i="4"/>
  <c r="H58" i="4" s="1"/>
  <c r="E72" i="4"/>
  <c r="H72" i="4" s="1"/>
  <c r="H16" i="4"/>
  <c r="K51" i="4"/>
  <c r="K65" i="4"/>
  <c r="K76" i="4"/>
  <c r="K62" i="4"/>
  <c r="M70" i="4"/>
  <c r="M56" i="4"/>
  <c r="M66" i="4"/>
  <c r="M52" i="4"/>
  <c r="M74" i="4"/>
  <c r="M60" i="4"/>
  <c r="K60" i="4"/>
  <c r="K74" i="4"/>
  <c r="K55" i="4"/>
  <c r="K69" i="4"/>
  <c r="E42" i="4"/>
  <c r="H42" i="4" s="1"/>
  <c r="H19" i="4"/>
  <c r="I69" i="4"/>
  <c r="I55" i="4"/>
  <c r="L45" i="4"/>
  <c r="J67" i="4"/>
  <c r="J53" i="4"/>
  <c r="M31" i="4"/>
  <c r="J45" i="4"/>
  <c r="P32" i="4"/>
  <c r="M32" i="15"/>
  <c r="N3" i="15"/>
  <c r="S31" i="17"/>
  <c r="O35" i="4"/>
  <c r="P35" i="4" s="1"/>
  <c r="P30" i="4"/>
  <c r="O41" i="4"/>
  <c r="P41" i="4" s="1"/>
  <c r="P8" i="4"/>
  <c r="V4" i="15"/>
  <c r="V40" i="15" s="1"/>
  <c r="S4" i="15"/>
  <c r="S40" i="15" s="1"/>
  <c r="M38" i="15"/>
  <c r="N38" i="15" s="1"/>
  <c r="N2" i="15"/>
  <c r="V5" i="15"/>
  <c r="S5" i="15"/>
  <c r="V6" i="15"/>
  <c r="V47" i="15" s="1"/>
  <c r="S6" i="15"/>
  <c r="S47" i="15" s="1"/>
  <c r="E32" i="15"/>
  <c r="S2" i="15"/>
  <c r="S38" i="15" s="1"/>
  <c r="V2" i="15"/>
  <c r="V38" i="15" s="1"/>
  <c r="E40" i="15"/>
  <c r="F40" i="15" s="1"/>
  <c r="F4" i="15"/>
  <c r="V11" i="15"/>
  <c r="V39" i="15" s="1"/>
  <c r="S11" i="15"/>
  <c r="S39" i="15" s="1"/>
  <c r="BB32" i="17"/>
  <c r="AI31" i="17"/>
  <c r="V31" i="4"/>
  <c r="O44" i="4"/>
  <c r="P44" i="4" s="1"/>
  <c r="P15" i="4"/>
  <c r="O38" i="4"/>
  <c r="P38" i="4" s="1"/>
  <c r="P2" i="4"/>
  <c r="O33" i="4"/>
  <c r="P33" i="4" s="1"/>
  <c r="P13" i="4"/>
  <c r="O49" i="4"/>
  <c r="P23" i="4"/>
  <c r="O42" i="4"/>
  <c r="P42" i="4" s="1"/>
  <c r="P19" i="4"/>
  <c r="O43" i="4"/>
  <c r="P43" i="4" s="1"/>
  <c r="P28" i="4"/>
  <c r="E49" i="15"/>
  <c r="F23" i="15"/>
  <c r="M35" i="15"/>
  <c r="N35" i="15" s="1"/>
  <c r="N30" i="15"/>
  <c r="E44" i="15"/>
  <c r="F44" i="15" s="1"/>
  <c r="F15" i="15"/>
  <c r="S19" i="15"/>
  <c r="S42" i="15" s="1"/>
  <c r="V19" i="15"/>
  <c r="V42" i="15" s="1"/>
  <c r="E36" i="15"/>
  <c r="F36" i="15" s="1"/>
  <c r="F26" i="15"/>
  <c r="V10" i="15"/>
  <c r="V46" i="15" s="1"/>
  <c r="S10" i="15"/>
  <c r="S46" i="15" s="1"/>
  <c r="V24" i="15"/>
  <c r="S24" i="15"/>
  <c r="S13" i="15"/>
  <c r="S33" i="15" s="1"/>
  <c r="V13" i="15"/>
  <c r="V33" i="15" s="1"/>
  <c r="M34" i="15"/>
  <c r="N34" i="15" s="1"/>
  <c r="N14" i="15"/>
  <c r="AL31" i="17"/>
  <c r="O37" i="4"/>
  <c r="P37" i="4" s="1"/>
  <c r="P22" i="4"/>
  <c r="O46" i="4"/>
  <c r="P46" i="4" s="1"/>
  <c r="P10" i="4"/>
  <c r="O47" i="4"/>
  <c r="P47" i="4" s="1"/>
  <c r="P6" i="4"/>
  <c r="O36" i="4"/>
  <c r="P36" i="4" s="1"/>
  <c r="P26" i="4"/>
  <c r="O40" i="4"/>
  <c r="P40" i="4" s="1"/>
  <c r="P4" i="4"/>
  <c r="O34" i="4"/>
  <c r="P34" i="4" s="1"/>
  <c r="P14" i="4"/>
  <c r="G31" i="15"/>
  <c r="I31" i="15"/>
  <c r="M40" i="15"/>
  <c r="N40" i="15" s="1"/>
  <c r="N4" i="15"/>
  <c r="E42" i="15"/>
  <c r="F42" i="15" s="1"/>
  <c r="F19" i="15"/>
  <c r="E41" i="15"/>
  <c r="F41" i="15" s="1"/>
  <c r="F8" i="15"/>
  <c r="M33" i="15"/>
  <c r="N33" i="15" s="1"/>
  <c r="N13" i="15"/>
  <c r="V21" i="15"/>
  <c r="S21" i="15"/>
  <c r="E35" i="15"/>
  <c r="F35" i="15" s="1"/>
  <c r="F30" i="15"/>
  <c r="M47" i="15"/>
  <c r="N47" i="15" s="1"/>
  <c r="N6" i="15"/>
  <c r="E33" i="15"/>
  <c r="F33" i="15" s="1"/>
  <c r="F13" i="15"/>
  <c r="M37" i="15"/>
  <c r="N37" i="15" s="1"/>
  <c r="N22" i="15"/>
  <c r="M43" i="15"/>
  <c r="N43" i="15" s="1"/>
  <c r="N28" i="15"/>
  <c r="U45" i="15"/>
  <c r="M49" i="15"/>
  <c r="N49" i="15" s="1"/>
  <c r="N23" i="15"/>
  <c r="BA41" i="17"/>
  <c r="BB41" i="17" s="1"/>
  <c r="BB8" i="17"/>
  <c r="BA34" i="17"/>
  <c r="BB34" i="17" s="1"/>
  <c r="BB14" i="17"/>
  <c r="L62" i="17"/>
  <c r="V62" i="17" s="1"/>
  <c r="V27" i="17"/>
  <c r="L76" i="17"/>
  <c r="V76" i="17" s="1"/>
  <c r="L39" i="17"/>
  <c r="V39" i="17" s="1"/>
  <c r="V11" i="17"/>
  <c r="L44" i="17"/>
  <c r="V44" i="17" s="1"/>
  <c r="V15" i="17"/>
  <c r="L50" i="17"/>
  <c r="V50" i="17" s="1"/>
  <c r="V25" i="17"/>
  <c r="L64" i="17"/>
  <c r="L38" i="17"/>
  <c r="V38" i="17" s="1"/>
  <c r="V2" i="17"/>
  <c r="L59" i="17"/>
  <c r="V59" i="17" s="1"/>
  <c r="L73" i="17"/>
  <c r="V73" i="17" s="1"/>
  <c r="V7" i="17"/>
  <c r="D45" i="19"/>
  <c r="F46" i="19"/>
  <c r="F45" i="19" s="1"/>
  <c r="I67" i="4"/>
  <c r="I53" i="4"/>
  <c r="E41" i="4"/>
  <c r="H41" i="4" s="1"/>
  <c r="H8" i="4"/>
  <c r="E76" i="4"/>
  <c r="H76" i="4" s="1"/>
  <c r="E62" i="4"/>
  <c r="H62" i="4" s="1"/>
  <c r="H27" i="4"/>
  <c r="E74" i="4"/>
  <c r="H74" i="4" s="1"/>
  <c r="E60" i="4"/>
  <c r="H60" i="4" s="1"/>
  <c r="H12" i="4"/>
  <c r="M62" i="4"/>
  <c r="M76" i="4"/>
  <c r="J54" i="4"/>
  <c r="J68" i="4"/>
  <c r="K31" i="4"/>
  <c r="M54" i="4"/>
  <c r="M68" i="4"/>
  <c r="E67" i="4"/>
  <c r="H67" i="4" s="1"/>
  <c r="E53" i="4"/>
  <c r="H53" i="4" s="1"/>
  <c r="H5" i="4"/>
  <c r="E44" i="4"/>
  <c r="H44" i="4" s="1"/>
  <c r="H15" i="4"/>
  <c r="L72" i="4"/>
  <c r="L58" i="4"/>
  <c r="E38" i="4"/>
  <c r="H38" i="4" s="1"/>
  <c r="H2" i="4"/>
  <c r="I54" i="4"/>
  <c r="I68" i="4"/>
  <c r="E37" i="4"/>
  <c r="H37" i="4" s="1"/>
  <c r="H22" i="4"/>
  <c r="K68" i="4"/>
  <c r="K54" i="4"/>
  <c r="L31" i="4"/>
  <c r="M50" i="4"/>
  <c r="M64" i="4"/>
  <c r="L57" i="4"/>
  <c r="L71" i="4"/>
  <c r="K45" i="4"/>
  <c r="E71" i="4"/>
  <c r="H71" i="4" s="1"/>
  <c r="E57" i="4"/>
  <c r="H57" i="4" s="1"/>
  <c r="H29" i="4"/>
  <c r="E70" i="4"/>
  <c r="H70" i="4" s="1"/>
  <c r="E56" i="4"/>
  <c r="H56" i="4" s="1"/>
  <c r="H20" i="4"/>
  <c r="M73" i="4"/>
  <c r="M59" i="4"/>
  <c r="J58" i="4"/>
  <c r="J72" i="4"/>
  <c r="M65" i="4"/>
  <c r="M51" i="4"/>
  <c r="E43" i="15"/>
  <c r="F43" i="15" s="1"/>
  <c r="F28" i="15"/>
  <c r="BA46" i="17"/>
  <c r="BB10" i="17"/>
  <c r="BA35" i="17"/>
  <c r="BB35" i="17" s="1"/>
  <c r="BB30" i="17"/>
  <c r="BA49" i="17"/>
  <c r="BB49" i="17" s="1"/>
  <c r="BB23" i="17"/>
  <c r="L43" i="17"/>
  <c r="V43" i="17" s="1"/>
  <c r="V28" i="17"/>
  <c r="L61" i="17"/>
  <c r="V61" i="17" s="1"/>
  <c r="L75" i="17"/>
  <c r="V75" i="17" s="1"/>
  <c r="V18" i="17"/>
  <c r="L37" i="17"/>
  <c r="V37" i="17" s="1"/>
  <c r="V22" i="17"/>
  <c r="L56" i="17"/>
  <c r="V56" i="17" s="1"/>
  <c r="V20" i="17"/>
  <c r="L70" i="17"/>
  <c r="V70" i="17" s="1"/>
  <c r="L66" i="17"/>
  <c r="V66" i="17" s="1"/>
  <c r="V17" i="17"/>
  <c r="L52" i="17"/>
  <c r="V52" i="17" s="1"/>
  <c r="L55" i="17"/>
  <c r="V55" i="17" s="1"/>
  <c r="L69" i="17"/>
  <c r="V69" i="17" s="1"/>
  <c r="V24" i="17"/>
  <c r="L33" i="17"/>
  <c r="V33" i="17" s="1"/>
  <c r="V13" i="17"/>
  <c r="L36" i="17"/>
  <c r="V36" i="17" s="1"/>
  <c r="V26" i="17"/>
  <c r="L71" i="17"/>
  <c r="V71" i="17" s="1"/>
  <c r="L57" i="17"/>
  <c r="V57" i="17" s="1"/>
  <c r="V29" i="17"/>
  <c r="L72" i="17"/>
  <c r="V72" i="17" s="1"/>
  <c r="L58" i="17"/>
  <c r="V58" i="17" s="1"/>
  <c r="V16" i="17"/>
  <c r="D48" i="19"/>
  <c r="F49" i="19"/>
  <c r="F48" i="19" s="1"/>
  <c r="E65" i="4"/>
  <c r="H65" i="4" s="1"/>
  <c r="E51" i="4"/>
  <c r="H51" i="4" s="1"/>
  <c r="H21" i="4"/>
  <c r="E34" i="4"/>
  <c r="H34" i="4" s="1"/>
  <c r="H14" i="4"/>
  <c r="E55" i="4"/>
  <c r="H55" i="4" s="1"/>
  <c r="E69" i="4"/>
  <c r="H69" i="4" s="1"/>
  <c r="H24" i="4"/>
  <c r="E39" i="4"/>
  <c r="H39" i="4" s="1"/>
  <c r="H11" i="4"/>
  <c r="J50" i="4"/>
  <c r="J64" i="4"/>
  <c r="K72" i="4"/>
  <c r="K58" i="4"/>
  <c r="L65" i="4"/>
  <c r="L51" i="4"/>
  <c r="K56" i="4"/>
  <c r="K70" i="4"/>
  <c r="I65" i="4"/>
  <c r="I51" i="4"/>
  <c r="I58" i="4"/>
  <c r="I72" i="4"/>
  <c r="J55" i="4"/>
  <c r="J69" i="4"/>
  <c r="I50" i="4"/>
  <c r="I64" i="4"/>
  <c r="E59" i="4"/>
  <c r="H59" i="4" s="1"/>
  <c r="E73" i="4"/>
  <c r="H73" i="4" s="1"/>
  <c r="H7" i="4"/>
  <c r="K71" i="4"/>
  <c r="K57" i="4"/>
  <c r="K75" i="4"/>
  <c r="K61" i="4"/>
  <c r="L73" i="4"/>
  <c r="L59" i="4"/>
  <c r="J51" i="4"/>
  <c r="J65" i="4"/>
  <c r="J31" i="4"/>
  <c r="I66" i="4"/>
  <c r="I52" i="4"/>
  <c r="M57" i="4"/>
  <c r="M71" i="4"/>
  <c r="L61" i="4"/>
  <c r="L75" i="4"/>
  <c r="M53" i="4"/>
  <c r="M67" i="4"/>
  <c r="AV49" i="17"/>
  <c r="AL48" i="17"/>
  <c r="AV66" i="17"/>
  <c r="AL63" i="17"/>
  <c r="AL45" i="17"/>
  <c r="AV46" i="17"/>
  <c r="AK63" i="17"/>
  <c r="AU66" i="17"/>
  <c r="AK45" i="17"/>
  <c r="AU46" i="17"/>
  <c r="AU49" i="17"/>
  <c r="AK48" i="17"/>
  <c r="AJ45" i="17"/>
  <c r="AT46" i="17"/>
  <c r="AT75" i="17"/>
  <c r="AJ63" i="17"/>
  <c r="AJ48" i="17"/>
  <c r="AT61" i="17"/>
  <c r="AC46" i="17"/>
  <c r="S45" i="17"/>
  <c r="AX46" i="17"/>
  <c r="AN45" i="17"/>
  <c r="S48" i="17"/>
  <c r="AC49" i="17"/>
  <c r="AN48" i="17"/>
  <c r="AX49" i="17"/>
  <c r="AX66" i="17"/>
  <c r="AN63" i="17"/>
  <c r="S63" i="17"/>
  <c r="AC66" i="17"/>
  <c r="AI45" i="17"/>
  <c r="AS46" i="17"/>
  <c r="AS75" i="17"/>
  <c r="AI63" i="17"/>
  <c r="AI48" i="17"/>
  <c r="AS61" i="17"/>
  <c r="AW46" i="17"/>
  <c r="AM45" i="17"/>
  <c r="AW49" i="17"/>
  <c r="AM48" i="17"/>
  <c r="AM63" i="17"/>
  <c r="AW64" i="17"/>
  <c r="AY64" i="17" s="1"/>
  <c r="O67" i="4"/>
  <c r="P67" i="4" s="1"/>
  <c r="O53" i="4"/>
  <c r="P53" i="4" s="1"/>
  <c r="V53" i="4"/>
  <c r="V67" i="4"/>
  <c r="O74" i="4"/>
  <c r="P74" i="4" s="1"/>
  <c r="O60" i="4"/>
  <c r="P60" i="4" s="1"/>
  <c r="V74" i="4"/>
  <c r="V60" i="4"/>
  <c r="O75" i="4"/>
  <c r="P75" i="4" s="1"/>
  <c r="O61" i="4"/>
  <c r="P61" i="4" s="1"/>
  <c r="V61" i="4"/>
  <c r="V75" i="4"/>
  <c r="O50" i="4"/>
  <c r="P50" i="4" s="1"/>
  <c r="O64" i="4"/>
  <c r="V64" i="4"/>
  <c r="V50" i="4"/>
  <c r="O76" i="4"/>
  <c r="P76" i="4" s="1"/>
  <c r="O62" i="4"/>
  <c r="P62" i="4" s="1"/>
  <c r="V76" i="4"/>
  <c r="V62" i="4"/>
  <c r="O72" i="4"/>
  <c r="P72" i="4" s="1"/>
  <c r="O58" i="4"/>
  <c r="P58" i="4" s="1"/>
  <c r="V72" i="4"/>
  <c r="V58" i="4"/>
  <c r="O65" i="4"/>
  <c r="P65" i="4" s="1"/>
  <c r="O51" i="4"/>
  <c r="P51" i="4" s="1"/>
  <c r="V65" i="4"/>
  <c r="V51" i="4"/>
  <c r="O68" i="4"/>
  <c r="P68" i="4" s="1"/>
  <c r="O54" i="4"/>
  <c r="P54" i="4" s="1"/>
  <c r="V68" i="4"/>
  <c r="V54" i="4"/>
  <c r="O69" i="4"/>
  <c r="P69" i="4" s="1"/>
  <c r="O55" i="4"/>
  <c r="P55" i="4" s="1"/>
  <c r="V69" i="4"/>
  <c r="V55" i="4"/>
  <c r="O59" i="4"/>
  <c r="P59" i="4" s="1"/>
  <c r="O73" i="4"/>
  <c r="P73" i="4" s="1"/>
  <c r="V73" i="4"/>
  <c r="V59" i="4"/>
  <c r="O66" i="4"/>
  <c r="P66" i="4" s="1"/>
  <c r="O52" i="4"/>
  <c r="P52" i="4" s="1"/>
  <c r="V66" i="4"/>
  <c r="V52" i="4"/>
  <c r="O70" i="4"/>
  <c r="P70" i="4" s="1"/>
  <c r="O56" i="4"/>
  <c r="P56" i="4" s="1"/>
  <c r="V70" i="4"/>
  <c r="V56" i="4"/>
  <c r="O71" i="4"/>
  <c r="P71" i="4" s="1"/>
  <c r="O57" i="4"/>
  <c r="P57" i="4" s="1"/>
  <c r="V57" i="4"/>
  <c r="V71" i="4"/>
  <c r="T4" i="15"/>
  <c r="T40" i="15" s="1"/>
  <c r="R40" i="15"/>
  <c r="W4" i="15"/>
  <c r="W40" i="15" s="1"/>
  <c r="E67" i="15"/>
  <c r="F67" i="15" s="1"/>
  <c r="E53" i="15"/>
  <c r="F53" i="15" s="1"/>
  <c r="J67" i="15"/>
  <c r="J53" i="15"/>
  <c r="U68" i="15"/>
  <c r="U54" i="15"/>
  <c r="G67" i="15"/>
  <c r="G53" i="15"/>
  <c r="K67" i="15"/>
  <c r="K53" i="15"/>
  <c r="T5" i="15"/>
  <c r="R67" i="15"/>
  <c r="R53" i="15"/>
  <c r="W5" i="15"/>
  <c r="T6" i="15"/>
  <c r="T47" i="15" s="1"/>
  <c r="R47" i="15"/>
  <c r="W6" i="15"/>
  <c r="W47" i="15" s="1"/>
  <c r="H67" i="15"/>
  <c r="H53" i="15"/>
  <c r="U67" i="15"/>
  <c r="U53" i="15"/>
  <c r="E73" i="15"/>
  <c r="F73" i="15" s="1"/>
  <c r="E59" i="15"/>
  <c r="F59" i="15" s="1"/>
  <c r="H68" i="15"/>
  <c r="H54" i="15"/>
  <c r="T2" i="15"/>
  <c r="T38" i="15" s="1"/>
  <c r="R38" i="15"/>
  <c r="W2" i="15"/>
  <c r="W38" i="15" s="1"/>
  <c r="I67" i="15"/>
  <c r="I53" i="15"/>
  <c r="M67" i="15"/>
  <c r="N67" i="15" s="1"/>
  <c r="M53" i="15"/>
  <c r="N53" i="15" s="1"/>
  <c r="J73" i="15"/>
  <c r="J59" i="15"/>
  <c r="T11" i="15"/>
  <c r="T39" i="15" s="1"/>
  <c r="R39" i="15"/>
  <c r="W11" i="15"/>
  <c r="W39" i="15" s="1"/>
  <c r="I74" i="15"/>
  <c r="I60" i="15"/>
  <c r="M74" i="15"/>
  <c r="N74" i="15" s="1"/>
  <c r="M60" i="15"/>
  <c r="N60" i="15" s="1"/>
  <c r="H72" i="15"/>
  <c r="H58" i="15"/>
  <c r="U72" i="15"/>
  <c r="U58" i="15"/>
  <c r="I66" i="15"/>
  <c r="I52" i="15"/>
  <c r="M66" i="15"/>
  <c r="N66" i="15" s="1"/>
  <c r="M52" i="15"/>
  <c r="N52" i="15" s="1"/>
  <c r="E75" i="15"/>
  <c r="F75" i="15" s="1"/>
  <c r="E61" i="15"/>
  <c r="F61" i="15" s="1"/>
  <c r="J75" i="15"/>
  <c r="J61" i="15"/>
  <c r="I70" i="15"/>
  <c r="I56" i="15"/>
  <c r="M70" i="15"/>
  <c r="N70" i="15" s="1"/>
  <c r="M56" i="15"/>
  <c r="N56" i="15" s="1"/>
  <c r="E65" i="15"/>
  <c r="F65" i="15" s="1"/>
  <c r="E51" i="15"/>
  <c r="F51" i="15" s="1"/>
  <c r="J65" i="15"/>
  <c r="J51" i="15"/>
  <c r="R37" i="15"/>
  <c r="T22" i="15"/>
  <c r="T37" i="15" s="1"/>
  <c r="W22" i="15"/>
  <c r="W37" i="15" s="1"/>
  <c r="I69" i="15"/>
  <c r="I55" i="15"/>
  <c r="M69" i="15"/>
  <c r="N69" i="15" s="1"/>
  <c r="M55" i="15"/>
  <c r="N55" i="15" s="1"/>
  <c r="E64" i="15"/>
  <c r="E50" i="15"/>
  <c r="F50" i="15" s="1"/>
  <c r="J64" i="15"/>
  <c r="J50" i="15"/>
  <c r="G76" i="15"/>
  <c r="G62" i="15"/>
  <c r="K76" i="15"/>
  <c r="K62" i="15"/>
  <c r="T27" i="15"/>
  <c r="R76" i="15"/>
  <c r="R62" i="15"/>
  <c r="W27" i="15"/>
  <c r="T28" i="15"/>
  <c r="T43" i="15" s="1"/>
  <c r="R43" i="15"/>
  <c r="W28" i="15"/>
  <c r="W43" i="15" s="1"/>
  <c r="E71" i="15"/>
  <c r="F71" i="15" s="1"/>
  <c r="E57" i="15"/>
  <c r="F57" i="15" s="1"/>
  <c r="J71" i="15"/>
  <c r="J57" i="15"/>
  <c r="G73" i="15"/>
  <c r="G59" i="15"/>
  <c r="K73" i="15"/>
  <c r="K59" i="15"/>
  <c r="R73" i="15"/>
  <c r="R59" i="15"/>
  <c r="W7" i="15"/>
  <c r="T7" i="15"/>
  <c r="I68" i="15"/>
  <c r="I54" i="15"/>
  <c r="M68" i="15"/>
  <c r="N68" i="15" s="1"/>
  <c r="M54" i="15"/>
  <c r="N54" i="15" s="1"/>
  <c r="E74" i="15"/>
  <c r="F74" i="15" s="1"/>
  <c r="E60" i="15"/>
  <c r="F60" i="15" s="1"/>
  <c r="J74" i="15"/>
  <c r="J60" i="15"/>
  <c r="W14" i="15"/>
  <c r="W34" i="15" s="1"/>
  <c r="R34" i="15"/>
  <c r="T14" i="15"/>
  <c r="T34" i="15" s="1"/>
  <c r="I72" i="15"/>
  <c r="I58" i="15"/>
  <c r="M72" i="15"/>
  <c r="N72" i="15" s="1"/>
  <c r="M58" i="15"/>
  <c r="N58" i="15" s="1"/>
  <c r="E66" i="15"/>
  <c r="F66" i="15" s="1"/>
  <c r="E52" i="15"/>
  <c r="F52" i="15" s="1"/>
  <c r="J66" i="15"/>
  <c r="J52" i="15"/>
  <c r="G75" i="15"/>
  <c r="G61" i="15"/>
  <c r="K75" i="15"/>
  <c r="K61" i="15"/>
  <c r="W18" i="15"/>
  <c r="R75" i="15"/>
  <c r="R61" i="15"/>
  <c r="T18" i="15"/>
  <c r="W19" i="15"/>
  <c r="W42" i="15" s="1"/>
  <c r="R42" i="15"/>
  <c r="T19" i="15"/>
  <c r="T42" i="15" s="1"/>
  <c r="E70" i="15"/>
  <c r="F70" i="15" s="1"/>
  <c r="E56" i="15"/>
  <c r="F56" i="15" s="1"/>
  <c r="J70" i="15"/>
  <c r="J56" i="15"/>
  <c r="G65" i="15"/>
  <c r="G51" i="15"/>
  <c r="K65" i="15"/>
  <c r="K51" i="15"/>
  <c r="W21" i="15"/>
  <c r="R65" i="15"/>
  <c r="R51" i="15"/>
  <c r="T21" i="15"/>
  <c r="W23" i="15"/>
  <c r="W49" i="15" s="1"/>
  <c r="R49" i="15"/>
  <c r="T23" i="15"/>
  <c r="T49" i="15" s="1"/>
  <c r="E69" i="15"/>
  <c r="F69" i="15" s="1"/>
  <c r="E55" i="15"/>
  <c r="F55" i="15" s="1"/>
  <c r="J69" i="15"/>
  <c r="J55" i="15"/>
  <c r="G64" i="15"/>
  <c r="G50" i="15"/>
  <c r="K64" i="15"/>
  <c r="K50" i="15"/>
  <c r="T25" i="15"/>
  <c r="R64" i="15"/>
  <c r="R50" i="15"/>
  <c r="W25" i="15"/>
  <c r="H76" i="15"/>
  <c r="H62" i="15"/>
  <c r="U76" i="15"/>
  <c r="U62" i="15"/>
  <c r="G71" i="15"/>
  <c r="G57" i="15"/>
  <c r="K71" i="15"/>
  <c r="K57" i="15"/>
  <c r="R71" i="15"/>
  <c r="R57" i="15"/>
  <c r="W29" i="15"/>
  <c r="T29" i="15"/>
  <c r="H73" i="15"/>
  <c r="H59" i="15"/>
  <c r="U59" i="15"/>
  <c r="U73" i="15"/>
  <c r="W8" i="15"/>
  <c r="W41" i="15" s="1"/>
  <c r="R41" i="15"/>
  <c r="T8" i="15"/>
  <c r="T41" i="15" s="1"/>
  <c r="E68" i="15"/>
  <c r="F68" i="15" s="1"/>
  <c r="E54" i="15"/>
  <c r="F54" i="15" s="1"/>
  <c r="J68" i="15"/>
  <c r="J54" i="15"/>
  <c r="W10" i="15"/>
  <c r="W46" i="15" s="1"/>
  <c r="R46" i="15"/>
  <c r="T10" i="15"/>
  <c r="T46" i="15" s="1"/>
  <c r="G74" i="15"/>
  <c r="G60" i="15"/>
  <c r="K74" i="15"/>
  <c r="K60" i="15"/>
  <c r="T12" i="15"/>
  <c r="R60" i="15"/>
  <c r="R74" i="15"/>
  <c r="W12" i="15"/>
  <c r="W15" i="15"/>
  <c r="W44" i="15" s="1"/>
  <c r="R44" i="15"/>
  <c r="T15" i="15"/>
  <c r="T44" i="15" s="1"/>
  <c r="E72" i="15"/>
  <c r="F72" i="15" s="1"/>
  <c r="E58" i="15"/>
  <c r="F58" i="15" s="1"/>
  <c r="J72" i="15"/>
  <c r="J58" i="15"/>
  <c r="G66" i="15"/>
  <c r="G52" i="15"/>
  <c r="K66" i="15"/>
  <c r="K52" i="15"/>
  <c r="R52" i="15"/>
  <c r="R66" i="15"/>
  <c r="T17" i="15"/>
  <c r="W17" i="15"/>
  <c r="H75" i="15"/>
  <c r="H61" i="15"/>
  <c r="U75" i="15"/>
  <c r="U61" i="15"/>
  <c r="G70" i="15"/>
  <c r="G56" i="15"/>
  <c r="K70" i="15"/>
  <c r="K56" i="15"/>
  <c r="R56" i="15"/>
  <c r="R70" i="15"/>
  <c r="T20" i="15"/>
  <c r="W20" i="15"/>
  <c r="H65" i="15"/>
  <c r="H51" i="15"/>
  <c r="U51" i="15"/>
  <c r="U65" i="15"/>
  <c r="G69" i="15"/>
  <c r="G55" i="15"/>
  <c r="K69" i="15"/>
  <c r="K55" i="15"/>
  <c r="R69" i="15"/>
  <c r="R55" i="15"/>
  <c r="T24" i="15"/>
  <c r="W24" i="15"/>
  <c r="H64" i="15"/>
  <c r="H50" i="15"/>
  <c r="U64" i="15"/>
  <c r="U50" i="15"/>
  <c r="T26" i="15"/>
  <c r="T36" i="15" s="1"/>
  <c r="R36" i="15"/>
  <c r="W26" i="15"/>
  <c r="W36" i="15" s="1"/>
  <c r="I76" i="15"/>
  <c r="I62" i="15"/>
  <c r="M76" i="15"/>
  <c r="N76" i="15" s="1"/>
  <c r="M62" i="15"/>
  <c r="N62" i="15" s="1"/>
  <c r="H71" i="15"/>
  <c r="H57" i="15"/>
  <c r="U71" i="15"/>
  <c r="U57" i="15"/>
  <c r="T30" i="15"/>
  <c r="T35" i="15" s="1"/>
  <c r="R35" i="15"/>
  <c r="W30" i="15"/>
  <c r="W35" i="15" s="1"/>
  <c r="I73" i="15"/>
  <c r="I59" i="15"/>
  <c r="M73" i="15"/>
  <c r="N73" i="15" s="1"/>
  <c r="M59" i="15"/>
  <c r="N59" i="15" s="1"/>
  <c r="G68" i="15"/>
  <c r="G54" i="15"/>
  <c r="K68" i="15"/>
  <c r="K54" i="15"/>
  <c r="R68" i="15"/>
  <c r="R54" i="15"/>
  <c r="T9" i="15"/>
  <c r="W9" i="15"/>
  <c r="H74" i="15"/>
  <c r="H60" i="15"/>
  <c r="U74" i="15"/>
  <c r="U60" i="15"/>
  <c r="T13" i="15"/>
  <c r="T33" i="15" s="1"/>
  <c r="R33" i="15"/>
  <c r="W13" i="15"/>
  <c r="W33" i="15" s="1"/>
  <c r="G72" i="15"/>
  <c r="G58" i="15"/>
  <c r="K72" i="15"/>
  <c r="K58" i="15"/>
  <c r="W16" i="15"/>
  <c r="R72" i="15"/>
  <c r="R58" i="15"/>
  <c r="T16" i="15"/>
  <c r="H66" i="15"/>
  <c r="H52" i="15"/>
  <c r="U66" i="15"/>
  <c r="U52" i="15"/>
  <c r="I75" i="15"/>
  <c r="I61" i="15"/>
  <c r="M75" i="15"/>
  <c r="N75" i="15" s="1"/>
  <c r="M61" i="15"/>
  <c r="N61" i="15" s="1"/>
  <c r="H70" i="15"/>
  <c r="H56" i="15"/>
  <c r="U70" i="15"/>
  <c r="U56" i="15"/>
  <c r="I65" i="15"/>
  <c r="I51" i="15"/>
  <c r="M65" i="15"/>
  <c r="N65" i="15" s="1"/>
  <c r="M51" i="15"/>
  <c r="N51" i="15" s="1"/>
  <c r="H69" i="15"/>
  <c r="H55" i="15"/>
  <c r="U55" i="15"/>
  <c r="U69" i="15"/>
  <c r="I64" i="15"/>
  <c r="I50" i="15"/>
  <c r="M64" i="15"/>
  <c r="M50" i="15"/>
  <c r="E76" i="15"/>
  <c r="F76" i="15" s="1"/>
  <c r="E62" i="15"/>
  <c r="F62" i="15" s="1"/>
  <c r="J76" i="15"/>
  <c r="J62" i="15"/>
  <c r="I71" i="15"/>
  <c r="I57" i="15"/>
  <c r="M71" i="15"/>
  <c r="N71" i="15" s="1"/>
  <c r="M57" i="15"/>
  <c r="N57" i="15" s="1"/>
  <c r="BA62" i="17"/>
  <c r="BB62" i="17" s="1"/>
  <c r="BA76" i="17"/>
  <c r="BB76" i="17" s="1"/>
  <c r="BA67" i="17"/>
  <c r="BB67" i="17" s="1"/>
  <c r="BA53" i="17"/>
  <c r="BB53" i="17" s="1"/>
  <c r="BA54" i="17"/>
  <c r="BB54" i="17" s="1"/>
  <c r="BA68" i="17"/>
  <c r="BB68" i="17" s="1"/>
  <c r="BA75" i="17"/>
  <c r="BB75" i="17" s="1"/>
  <c r="BA61" i="17"/>
  <c r="BB61" i="17" s="1"/>
  <c r="BA65" i="17"/>
  <c r="BB65" i="17" s="1"/>
  <c r="BA51" i="17"/>
  <c r="BB51" i="17" s="1"/>
  <c r="BA50" i="17"/>
  <c r="BA64" i="17"/>
  <c r="BA71" i="17"/>
  <c r="BB71" i="17" s="1"/>
  <c r="BA57" i="17"/>
  <c r="BB57" i="17" s="1"/>
  <c r="BA60" i="17"/>
  <c r="BB60" i="17" s="1"/>
  <c r="BA74" i="17"/>
  <c r="BB74" i="17" s="1"/>
  <c r="BA52" i="17"/>
  <c r="BB52" i="17" s="1"/>
  <c r="BA66" i="17"/>
  <c r="BB66" i="17" s="1"/>
  <c r="BA56" i="17"/>
  <c r="BB56" i="17" s="1"/>
  <c r="BA70" i="17"/>
  <c r="BB70" i="17" s="1"/>
  <c r="BA69" i="17"/>
  <c r="BB69" i="17" s="1"/>
  <c r="BA55" i="17"/>
  <c r="BB55" i="17" s="1"/>
  <c r="BA73" i="17"/>
  <c r="BB73" i="17" s="1"/>
  <c r="BA59" i="17"/>
  <c r="BB59" i="17" s="1"/>
  <c r="BA58" i="17"/>
  <c r="BB58" i="17" s="1"/>
  <c r="BA72" i="17"/>
  <c r="BB72" i="17" s="1"/>
  <c r="BB3" i="17"/>
  <c r="T3" i="15"/>
  <c r="T32" i="15" s="1"/>
  <c r="S3" i="15"/>
  <c r="S32" i="15" s="1"/>
  <c r="V3" i="15"/>
  <c r="V32" i="15" s="1"/>
  <c r="P3" i="4"/>
  <c r="W3" i="15"/>
  <c r="W32" i="15" s="1"/>
  <c r="E31" i="4" l="1"/>
  <c r="S45" i="15"/>
  <c r="W31" i="15"/>
  <c r="T45" i="15"/>
  <c r="V45" i="15"/>
  <c r="V31" i="15"/>
  <c r="P45" i="4"/>
  <c r="O45" i="4"/>
  <c r="AY31" i="17"/>
  <c r="W45" i="15"/>
  <c r="U48" i="15"/>
  <c r="U63" i="15"/>
  <c r="R45" i="15"/>
  <c r="V48" i="4"/>
  <c r="R31" i="15"/>
  <c r="AY75" i="17"/>
  <c r="J48" i="4"/>
  <c r="AY66" i="17"/>
  <c r="I48" i="4"/>
  <c r="M48" i="4"/>
  <c r="H48" i="15"/>
  <c r="K48" i="15"/>
  <c r="G48" i="15"/>
  <c r="J48" i="15"/>
  <c r="AY61" i="17"/>
  <c r="AY46" i="17"/>
  <c r="AY45" i="17" s="1"/>
  <c r="AY49" i="17"/>
  <c r="M48" i="15"/>
  <c r="N50" i="15"/>
  <c r="N48" i="15" s="1"/>
  <c r="T31" i="15"/>
  <c r="R63" i="15"/>
  <c r="V63" i="4"/>
  <c r="L63" i="17"/>
  <c r="V64" i="17"/>
  <c r="S51" i="15"/>
  <c r="S65" i="15"/>
  <c r="S31" i="15"/>
  <c r="BB31" i="17"/>
  <c r="P31" i="4"/>
  <c r="K48" i="4"/>
  <c r="L45" i="17"/>
  <c r="V46" i="17"/>
  <c r="V49" i="17"/>
  <c r="L48" i="17"/>
  <c r="V56" i="15"/>
  <c r="V70" i="15"/>
  <c r="V73" i="15"/>
  <c r="V59" i="15"/>
  <c r="E45" i="15"/>
  <c r="F46" i="15"/>
  <c r="F45" i="15" s="1"/>
  <c r="S76" i="15"/>
  <c r="S62" i="15"/>
  <c r="M63" i="15"/>
  <c r="N64" i="15"/>
  <c r="N63" i="15" s="1"/>
  <c r="G63" i="15"/>
  <c r="J63" i="15"/>
  <c r="O63" i="4"/>
  <c r="P64" i="4"/>
  <c r="P63" i="4" s="1"/>
  <c r="J63" i="4"/>
  <c r="V65" i="15"/>
  <c r="V51" i="15"/>
  <c r="S55" i="15"/>
  <c r="S69" i="15"/>
  <c r="BA31" i="17"/>
  <c r="E31" i="15"/>
  <c r="F32" i="15"/>
  <c r="F31" i="15" s="1"/>
  <c r="O31" i="4"/>
  <c r="K63" i="4"/>
  <c r="E48" i="4"/>
  <c r="H49" i="4"/>
  <c r="H48" i="4" s="1"/>
  <c r="S70" i="15"/>
  <c r="S56" i="15"/>
  <c r="S57" i="15"/>
  <c r="S71" i="15"/>
  <c r="S61" i="15"/>
  <c r="S75" i="15"/>
  <c r="S72" i="15"/>
  <c r="S58" i="15"/>
  <c r="BA63" i="17"/>
  <c r="BB64" i="17"/>
  <c r="BB63" i="17" s="1"/>
  <c r="I48" i="15"/>
  <c r="H63" i="15"/>
  <c r="I63" i="4"/>
  <c r="BA45" i="17"/>
  <c r="BB46" i="17"/>
  <c r="BB45" i="17" s="1"/>
  <c r="M63" i="4"/>
  <c r="V69" i="15"/>
  <c r="V55" i="15"/>
  <c r="E48" i="15"/>
  <c r="F49" i="15"/>
  <c r="F48" i="15" s="1"/>
  <c r="O48" i="4"/>
  <c r="P49" i="4"/>
  <c r="P48" i="4" s="1"/>
  <c r="S67" i="15"/>
  <c r="S53" i="15"/>
  <c r="L48" i="4"/>
  <c r="L63" i="4"/>
  <c r="E63" i="4"/>
  <c r="H64" i="4"/>
  <c r="H63" i="4" s="1"/>
  <c r="L31" i="17"/>
  <c r="V54" i="15"/>
  <c r="V68" i="15"/>
  <c r="V66" i="15"/>
  <c r="V52" i="15"/>
  <c r="S60" i="15"/>
  <c r="S74" i="15"/>
  <c r="V71" i="15"/>
  <c r="V57" i="15"/>
  <c r="V75" i="15"/>
  <c r="V63" i="15" s="1"/>
  <c r="V61" i="15"/>
  <c r="V48" i="15" s="1"/>
  <c r="V58" i="15"/>
  <c r="V72" i="15"/>
  <c r="S50" i="15"/>
  <c r="S64" i="15"/>
  <c r="BA48" i="17"/>
  <c r="BB50" i="17"/>
  <c r="BB48" i="17" s="1"/>
  <c r="I63" i="15"/>
  <c r="K63" i="15"/>
  <c r="R48" i="15"/>
  <c r="E63" i="15"/>
  <c r="F64" i="15"/>
  <c r="F63" i="15" s="1"/>
  <c r="V53" i="15"/>
  <c r="V67" i="15"/>
  <c r="M31" i="15"/>
  <c r="N32" i="15"/>
  <c r="N31" i="15" s="1"/>
  <c r="E45" i="4"/>
  <c r="H46" i="4"/>
  <c r="H45" i="4" s="1"/>
  <c r="S68" i="15"/>
  <c r="S54" i="15"/>
  <c r="S52" i="15"/>
  <c r="S66" i="15"/>
  <c r="V74" i="15"/>
  <c r="V60" i="15"/>
  <c r="S59" i="15"/>
  <c r="S73" i="15"/>
  <c r="M45" i="15"/>
  <c r="N46" i="15"/>
  <c r="N45" i="15" s="1"/>
  <c r="V64" i="15"/>
  <c r="V50" i="15"/>
  <c r="V62" i="15"/>
  <c r="V76" i="15"/>
  <c r="D32" i="19"/>
  <c r="D31" i="19" s="1"/>
  <c r="T58" i="15"/>
  <c r="T72" i="15"/>
  <c r="W58" i="15"/>
  <c r="W72" i="15"/>
  <c r="W54" i="15"/>
  <c r="W68" i="15"/>
  <c r="T54" i="15"/>
  <c r="T68" i="15"/>
  <c r="W69" i="15"/>
  <c r="W55" i="15"/>
  <c r="T69" i="15"/>
  <c r="T55" i="15"/>
  <c r="W70" i="15"/>
  <c r="W56" i="15"/>
  <c r="T70" i="15"/>
  <c r="T56" i="15"/>
  <c r="W66" i="15"/>
  <c r="W52" i="15"/>
  <c r="T66" i="15"/>
  <c r="T52" i="15"/>
  <c r="W74" i="15"/>
  <c r="W60" i="15"/>
  <c r="T74" i="15"/>
  <c r="T60" i="15"/>
  <c r="T71" i="15"/>
  <c r="T57" i="15"/>
  <c r="W71" i="15"/>
  <c r="W57" i="15"/>
  <c r="W50" i="15"/>
  <c r="W64" i="15"/>
  <c r="T50" i="15"/>
  <c r="T64" i="15"/>
  <c r="T65" i="15"/>
  <c r="T51" i="15"/>
  <c r="W65" i="15"/>
  <c r="W51" i="15"/>
  <c r="T75" i="15"/>
  <c r="T61" i="15"/>
  <c r="W75" i="15"/>
  <c r="W63" i="15" s="1"/>
  <c r="W61" i="15"/>
  <c r="W48" i="15" s="1"/>
  <c r="T73" i="15"/>
  <c r="T59" i="15"/>
  <c r="W73" i="15"/>
  <c r="W59" i="15"/>
  <c r="W62" i="15"/>
  <c r="W76" i="15"/>
  <c r="T62" i="15"/>
  <c r="T76" i="15"/>
  <c r="W67" i="15"/>
  <c r="W53" i="15"/>
  <c r="T67" i="15"/>
  <c r="T53" i="15"/>
  <c r="F3" i="19"/>
  <c r="AA2" i="17"/>
  <c r="AN3" i="18"/>
  <c r="AQ3" i="18"/>
  <c r="AM3" i="18"/>
  <c r="AT3" i="18"/>
  <c r="AR3" i="18"/>
  <c r="AV3" i="18"/>
  <c r="AS3" i="18"/>
  <c r="AU3" i="18"/>
  <c r="AA3" i="17"/>
  <c r="Y3" i="17"/>
  <c r="AB3" i="17"/>
  <c r="Z3" i="17"/>
  <c r="X3" i="17"/>
  <c r="AC3" i="17"/>
  <c r="V3" i="17"/>
  <c r="T3" i="17"/>
  <c r="U3" i="17"/>
  <c r="AY63" i="17" l="1"/>
  <c r="AY48" i="17"/>
  <c r="F32" i="19"/>
  <c r="F31" i="19" s="1"/>
  <c r="T48" i="15"/>
  <c r="S48" i="15"/>
  <c r="S63" i="15"/>
  <c r="T63" i="15"/>
  <c r="Z26" i="17"/>
  <c r="Z10" i="17"/>
  <c r="Z4" i="17"/>
  <c r="Z25" i="17"/>
  <c r="Z16" i="17"/>
  <c r="AA7" i="17"/>
  <c r="AA27" i="17"/>
  <c r="Z20" i="17"/>
  <c r="Z15" i="17"/>
  <c r="AA11" i="17"/>
  <c r="AA21" i="17"/>
  <c r="Z18" i="17"/>
  <c r="AA5" i="17"/>
  <c r="AA22" i="17"/>
  <c r="AA30" i="17"/>
  <c r="AA8" i="17"/>
  <c r="AA25" i="17"/>
  <c r="AA16" i="17"/>
  <c r="Z7" i="17"/>
  <c r="Z27" i="17"/>
  <c r="AA20" i="17"/>
  <c r="AA15" i="17"/>
  <c r="Z11" i="17"/>
  <c r="Z21" i="17"/>
  <c r="AA18" i="17"/>
  <c r="Z5" i="17"/>
  <c r="Z22" i="17"/>
  <c r="Z30" i="17"/>
  <c r="Z8" i="17"/>
  <c r="AA29" i="17"/>
  <c r="Z23" i="17"/>
  <c r="AA14" i="17"/>
  <c r="Z9" i="17"/>
  <c r="AA28" i="17"/>
  <c r="AA24" i="17"/>
  <c r="Z17" i="17"/>
  <c r="Z12" i="17"/>
  <c r="Z6" i="17"/>
  <c r="Z19" i="17"/>
  <c r="Z13" i="17"/>
  <c r="Z2" i="17"/>
  <c r="AA26" i="17"/>
  <c r="AA10" i="17"/>
  <c r="AA4" i="17"/>
  <c r="Z29" i="17"/>
  <c r="AA23" i="17"/>
  <c r="Z14" i="17"/>
  <c r="AA9" i="17"/>
  <c r="Z28" i="17"/>
  <c r="Z24" i="17"/>
  <c r="AA17" i="17"/>
  <c r="AA12" i="17"/>
  <c r="AA6" i="17"/>
  <c r="AA19" i="17"/>
  <c r="AA13" i="17"/>
  <c r="M3" i="17"/>
  <c r="M32" i="17" s="1"/>
  <c r="F3" i="4"/>
  <c r="F32" i="4" s="1"/>
  <c r="F31" i="4" s="1"/>
  <c r="H32" i="4" l="1"/>
  <c r="H31" i="4" s="1"/>
  <c r="W32" i="17"/>
  <c r="AD32" i="17" s="1"/>
  <c r="AP3" i="18"/>
  <c r="BA3" i="18" s="1"/>
  <c r="BA32" i="18" s="1"/>
  <c r="BA31" i="18" s="1"/>
  <c r="M19" i="17"/>
  <c r="M42" i="17" s="1"/>
  <c r="W42" i="17" s="1"/>
  <c r="AD42" i="17" s="1"/>
  <c r="M14" i="17"/>
  <c r="M34" i="17" s="1"/>
  <c r="W34" i="17" s="1"/>
  <c r="AD34" i="17" s="1"/>
  <c r="M22" i="17"/>
  <c r="M37" i="17" s="1"/>
  <c r="W37" i="17" s="1"/>
  <c r="AD37" i="17" s="1"/>
  <c r="M4" i="17"/>
  <c r="M40" i="17" s="1"/>
  <c r="W40" i="17" s="1"/>
  <c r="AD40" i="17" s="1"/>
  <c r="M7" i="17"/>
  <c r="M12" i="17"/>
  <c r="M15" i="17"/>
  <c r="M44" i="17" s="1"/>
  <c r="W44" i="17" s="1"/>
  <c r="AD44" i="17" s="1"/>
  <c r="M24" i="17"/>
  <c r="M27" i="17"/>
  <c r="M28" i="17"/>
  <c r="M43" i="17" s="1"/>
  <c r="W43" i="17" s="1"/>
  <c r="AD43" i="17" s="1"/>
  <c r="M6" i="17"/>
  <c r="M47" i="17" s="1"/>
  <c r="W47" i="17" s="1"/>
  <c r="AD47" i="17" s="1"/>
  <c r="M5" i="17"/>
  <c r="M8" i="17"/>
  <c r="M41" i="17" s="1"/>
  <c r="W41" i="17" s="1"/>
  <c r="AD41" i="17" s="1"/>
  <c r="M16" i="17"/>
  <c r="M20" i="17"/>
  <c r="M23" i="17"/>
  <c r="M49" i="17" s="1"/>
  <c r="M9" i="17"/>
  <c r="M10" i="17"/>
  <c r="M46" i="17" s="1"/>
  <c r="M13" i="17"/>
  <c r="M33" i="17" s="1"/>
  <c r="W33" i="17" s="1"/>
  <c r="AD33" i="17" s="1"/>
  <c r="M29" i="17"/>
  <c r="M38" i="17"/>
  <c r="W38" i="17" s="1"/>
  <c r="AD38" i="17" s="1"/>
  <c r="M17" i="17"/>
  <c r="M21" i="17"/>
  <c r="M25" i="17"/>
  <c r="M18" i="17"/>
  <c r="M11" i="17"/>
  <c r="M39" i="17" s="1"/>
  <c r="W39" i="17" s="1"/>
  <c r="AD39" i="17" s="1"/>
  <c r="M26" i="17"/>
  <c r="M36" i="17" s="1"/>
  <c r="W36" i="17" s="1"/>
  <c r="AD36" i="17" s="1"/>
  <c r="M30" i="17"/>
  <c r="M35" i="17" s="1"/>
  <c r="W35" i="17" s="1"/>
  <c r="AD35" i="17" s="1"/>
  <c r="W3" i="17"/>
  <c r="AD3" i="17" s="1"/>
  <c r="H3" i="4"/>
  <c r="AD31" i="17" l="1"/>
  <c r="M31" i="17"/>
  <c r="M75" i="17"/>
  <c r="W75" i="17" s="1"/>
  <c r="AD75" i="17" s="1"/>
  <c r="M61" i="17"/>
  <c r="W61" i="17" s="1"/>
  <c r="AD61" i="17" s="1"/>
  <c r="M64" i="17"/>
  <c r="W64" i="17" s="1"/>
  <c r="AD64" i="17" s="1"/>
  <c r="M50" i="17"/>
  <c r="W50" i="17" s="1"/>
  <c r="AD50" i="17" s="1"/>
  <c r="M65" i="17"/>
  <c r="W65" i="17" s="1"/>
  <c r="AD65" i="17" s="1"/>
  <c r="M51" i="17"/>
  <c r="W51" i="17" s="1"/>
  <c r="AD51" i="17" s="1"/>
  <c r="M52" i="17"/>
  <c r="W52" i="17" s="1"/>
  <c r="AD52" i="17" s="1"/>
  <c r="M66" i="17"/>
  <c r="M71" i="17"/>
  <c r="W71" i="17" s="1"/>
  <c r="AD71" i="17" s="1"/>
  <c r="M57" i="17"/>
  <c r="W57" i="17" s="1"/>
  <c r="AD57" i="17" s="1"/>
  <c r="M45" i="17"/>
  <c r="W46" i="17"/>
  <c r="AD46" i="17" s="1"/>
  <c r="AD45" i="17" s="1"/>
  <c r="M68" i="17"/>
  <c r="W68" i="17" s="1"/>
  <c r="AD68" i="17" s="1"/>
  <c r="M54" i="17"/>
  <c r="W54" i="17" s="1"/>
  <c r="AD54" i="17" s="1"/>
  <c r="W49" i="17"/>
  <c r="AD49" i="17" s="1"/>
  <c r="M56" i="17"/>
  <c r="W56" i="17" s="1"/>
  <c r="AD56" i="17" s="1"/>
  <c r="M70" i="17"/>
  <c r="W70" i="17" s="1"/>
  <c r="AD70" i="17" s="1"/>
  <c r="M72" i="17"/>
  <c r="W72" i="17" s="1"/>
  <c r="AD72" i="17" s="1"/>
  <c r="M58" i="17"/>
  <c r="W58" i="17" s="1"/>
  <c r="AD58" i="17" s="1"/>
  <c r="M67" i="17"/>
  <c r="W67" i="17" s="1"/>
  <c r="AD67" i="17" s="1"/>
  <c r="M53" i="17"/>
  <c r="W53" i="17" s="1"/>
  <c r="AD53" i="17" s="1"/>
  <c r="M76" i="17"/>
  <c r="W76" i="17" s="1"/>
  <c r="AD76" i="17" s="1"/>
  <c r="M62" i="17"/>
  <c r="W62" i="17" s="1"/>
  <c r="AD62" i="17" s="1"/>
  <c r="M69" i="17"/>
  <c r="W69" i="17" s="1"/>
  <c r="AD69" i="17" s="1"/>
  <c r="M55" i="17"/>
  <c r="W55" i="17" s="1"/>
  <c r="AD55" i="17" s="1"/>
  <c r="M60" i="17"/>
  <c r="W60" i="17" s="1"/>
  <c r="AD60" i="17" s="1"/>
  <c r="M74" i="17"/>
  <c r="W74" i="17" s="1"/>
  <c r="AD74" i="17" s="1"/>
  <c r="M73" i="17"/>
  <c r="W73" i="17" s="1"/>
  <c r="AD73" i="17" s="1"/>
  <c r="M59" i="17"/>
  <c r="W59" i="17" s="1"/>
  <c r="AD59" i="17" s="1"/>
  <c r="W26" i="17"/>
  <c r="AD26" i="17" s="1"/>
  <c r="W18" i="17"/>
  <c r="AD18" i="17" s="1"/>
  <c r="W25" i="17"/>
  <c r="AD25" i="17" s="1"/>
  <c r="W21" i="17"/>
  <c r="AD21" i="17" s="1"/>
  <c r="W29" i="17"/>
  <c r="AD29" i="17" s="1"/>
  <c r="W28" i="17"/>
  <c r="AD28" i="17" s="1"/>
  <c r="W22" i="17"/>
  <c r="AD22" i="17" s="1"/>
  <c r="W17" i="17"/>
  <c r="AD17" i="17" s="1"/>
  <c r="W10" i="17"/>
  <c r="AD10" i="17" s="1"/>
  <c r="W20" i="17"/>
  <c r="AD20" i="17" s="1"/>
  <c r="W8" i="17"/>
  <c r="AD8" i="17" s="1"/>
  <c r="W6" i="17"/>
  <c r="AD6" i="17" s="1"/>
  <c r="W27" i="17"/>
  <c r="AD27" i="17" s="1"/>
  <c r="W24" i="17"/>
  <c r="AD24" i="17" s="1"/>
  <c r="W15" i="17"/>
  <c r="AD15" i="17" s="1"/>
  <c r="W12" i="17"/>
  <c r="AD12" i="17" s="1"/>
  <c r="W4" i="17"/>
  <c r="AD4" i="17" s="1"/>
  <c r="W30" i="17"/>
  <c r="AD30" i="17" s="1"/>
  <c r="W11" i="17"/>
  <c r="AD11" i="17" s="1"/>
  <c r="W2" i="17"/>
  <c r="AD2" i="17" s="1"/>
  <c r="W13" i="17"/>
  <c r="AD13" i="17" s="1"/>
  <c r="W9" i="17"/>
  <c r="AD9" i="17" s="1"/>
  <c r="W23" i="17"/>
  <c r="AD23" i="17" s="1"/>
  <c r="W5" i="17"/>
  <c r="AD5" i="17" s="1"/>
  <c r="W14" i="17"/>
  <c r="AD14" i="17" s="1"/>
  <c r="W16" i="17"/>
  <c r="AD16" i="17" s="1"/>
  <c r="W7" i="17"/>
  <c r="AD7" i="17" s="1"/>
  <c r="W19" i="17"/>
  <c r="AD19" i="17" s="1"/>
  <c r="M48" i="17" l="1"/>
  <c r="AD48" i="17"/>
  <c r="M63" i="17"/>
  <c r="W66" i="17"/>
  <c r="AD66" i="17" s="1"/>
  <c r="AD63"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Manning, Karessa L.</author>
  </authors>
  <commentList>
    <comment ref="A1" authorId="0" shapeId="0" xr:uid="{00000000-0006-0000-0C00-000001000000}">
      <text>
        <r>
          <rPr>
            <b/>
            <sz val="9"/>
            <color indexed="81"/>
            <rFont val="Tahoma"/>
            <family val="2"/>
          </rPr>
          <t>Manning, Karessa L.:</t>
        </r>
        <r>
          <rPr>
            <sz val="9"/>
            <color indexed="81"/>
            <rFont val="Tahoma"/>
            <family val="2"/>
          </rPr>
          <t xml:space="preserve">
Slab Size = 1
Cover Layer = 0</t>
        </r>
      </text>
    </comment>
  </commentList>
</comments>
</file>

<file path=xl/sharedStrings.xml><?xml version="1.0" encoding="utf-8"?>
<sst xmlns="http://schemas.openxmlformats.org/spreadsheetml/2006/main" count="6297" uniqueCount="1447">
  <si>
    <t>Ac-225</t>
  </si>
  <si>
    <t>Am-241</t>
  </si>
  <si>
    <t>At-217</t>
  </si>
  <si>
    <t>At-218</t>
  </si>
  <si>
    <t>Ba-137m</t>
  </si>
  <si>
    <t>Bi-210</t>
  </si>
  <si>
    <t>Bi-213</t>
  </si>
  <si>
    <t>Bi-214</t>
  </si>
  <si>
    <t>Cs-137</t>
  </si>
  <si>
    <t>Fr-221</t>
  </si>
  <si>
    <t>Hg-206</t>
  </si>
  <si>
    <t>Np-237</t>
  </si>
  <si>
    <t>Pa-233</t>
  </si>
  <si>
    <t>Pb-209</t>
  </si>
  <si>
    <t>Pb-210</t>
  </si>
  <si>
    <t>Pb-214</t>
  </si>
  <si>
    <t>Po-210</t>
  </si>
  <si>
    <t>Po-213</t>
  </si>
  <si>
    <t>Po-214</t>
  </si>
  <si>
    <t>Po-218</t>
  </si>
  <si>
    <t>Ra-225</t>
  </si>
  <si>
    <t>Ra-226</t>
  </si>
  <si>
    <t>Rn-218</t>
  </si>
  <si>
    <t>Rn-222</t>
  </si>
  <si>
    <t>Th-229</t>
  </si>
  <si>
    <t>Tl-206</t>
  </si>
  <si>
    <t>Tl-209</t>
  </si>
  <si>
    <t>Tl-210</t>
  </si>
  <si>
    <t>U-233</t>
  </si>
  <si>
    <t>ACFGP</t>
  </si>
  <si>
    <t>ACFSV</t>
  </si>
  <si>
    <t>ACFSV1</t>
  </si>
  <si>
    <t>ACFSV5</t>
  </si>
  <si>
    <t>ACFSV15</t>
  </si>
  <si>
    <t>GSFGP</t>
  </si>
  <si>
    <t>GSFSV</t>
  </si>
  <si>
    <t>GSFSV1</t>
  </si>
  <si>
    <t>GSFSV5</t>
  </si>
  <si>
    <t>GSFSV15</t>
  </si>
  <si>
    <t>Radionuclide</t>
  </si>
  <si>
    <t>General</t>
  </si>
  <si>
    <t>Resident</t>
  </si>
  <si>
    <t>Recreator</t>
  </si>
  <si>
    <t>years</t>
  </si>
  <si>
    <t>m3/day</t>
  </si>
  <si>
    <t>mg/day</t>
  </si>
  <si>
    <t>L/day</t>
  </si>
  <si>
    <t>g/day</t>
  </si>
  <si>
    <t>days/year</t>
  </si>
  <si>
    <t>hours/event</t>
  </si>
  <si>
    <t>hours/day</t>
  </si>
  <si>
    <t>events/day</t>
  </si>
  <si>
    <r>
      <t xml:space="preserve">ED </t>
    </r>
    <r>
      <rPr>
        <vertAlign val="subscript"/>
        <sz val="11"/>
        <color theme="1"/>
        <rFont val="Calibri"/>
        <family val="2"/>
        <scheme val="minor"/>
      </rPr>
      <t>res-c</t>
    </r>
  </si>
  <si>
    <r>
      <t xml:space="preserve">ED </t>
    </r>
    <r>
      <rPr>
        <vertAlign val="subscript"/>
        <sz val="11"/>
        <color theme="1"/>
        <rFont val="Calibri"/>
        <family val="2"/>
        <scheme val="minor"/>
      </rPr>
      <t>rec-c</t>
    </r>
  </si>
  <si>
    <r>
      <t xml:space="preserve">ED </t>
    </r>
    <r>
      <rPr>
        <vertAlign val="subscript"/>
        <sz val="11"/>
        <color theme="1"/>
        <rFont val="Calibri"/>
        <family val="2"/>
        <scheme val="minor"/>
      </rPr>
      <t>far-c</t>
    </r>
  </si>
  <si>
    <r>
      <t xml:space="preserve">ED </t>
    </r>
    <r>
      <rPr>
        <vertAlign val="subscript"/>
        <sz val="11"/>
        <color theme="1"/>
        <rFont val="Calibri"/>
        <family val="2"/>
        <scheme val="minor"/>
      </rPr>
      <t>res-a</t>
    </r>
  </si>
  <si>
    <r>
      <t xml:space="preserve">ED </t>
    </r>
    <r>
      <rPr>
        <vertAlign val="subscript"/>
        <sz val="11"/>
        <color theme="1"/>
        <rFont val="Calibri"/>
        <family val="2"/>
        <scheme val="minor"/>
      </rPr>
      <t>rec-a</t>
    </r>
  </si>
  <si>
    <r>
      <t xml:space="preserve">ED </t>
    </r>
    <r>
      <rPr>
        <vertAlign val="subscript"/>
        <sz val="11"/>
        <color theme="1"/>
        <rFont val="Calibri"/>
        <family val="2"/>
        <scheme val="minor"/>
      </rPr>
      <t>far-a</t>
    </r>
  </si>
  <si>
    <r>
      <t xml:space="preserve">ED </t>
    </r>
    <r>
      <rPr>
        <vertAlign val="subscript"/>
        <sz val="11"/>
        <color theme="1"/>
        <rFont val="Calibri"/>
        <family val="2"/>
        <scheme val="minor"/>
      </rPr>
      <t>res</t>
    </r>
  </si>
  <si>
    <r>
      <t xml:space="preserve">ED </t>
    </r>
    <r>
      <rPr>
        <vertAlign val="subscript"/>
        <sz val="11"/>
        <color theme="1"/>
        <rFont val="Calibri"/>
        <family val="2"/>
        <scheme val="minor"/>
      </rPr>
      <t>rec</t>
    </r>
  </si>
  <si>
    <r>
      <t xml:space="preserve">ED </t>
    </r>
    <r>
      <rPr>
        <vertAlign val="subscript"/>
        <sz val="11"/>
        <color theme="1"/>
        <rFont val="Calibri"/>
        <family val="2"/>
        <scheme val="minor"/>
      </rPr>
      <t>far</t>
    </r>
  </si>
  <si>
    <r>
      <t xml:space="preserve">IRA </t>
    </r>
    <r>
      <rPr>
        <vertAlign val="subscript"/>
        <sz val="11"/>
        <color theme="1"/>
        <rFont val="Calibri"/>
        <family val="2"/>
        <scheme val="minor"/>
      </rPr>
      <t>res-c</t>
    </r>
  </si>
  <si>
    <r>
      <t xml:space="preserve">IRA </t>
    </r>
    <r>
      <rPr>
        <vertAlign val="subscript"/>
        <sz val="11"/>
        <color theme="1"/>
        <rFont val="Calibri"/>
        <family val="2"/>
        <scheme val="minor"/>
      </rPr>
      <t>res-a</t>
    </r>
  </si>
  <si>
    <r>
      <t xml:space="preserve">IRS </t>
    </r>
    <r>
      <rPr>
        <vertAlign val="subscript"/>
        <sz val="11"/>
        <color theme="1"/>
        <rFont val="Calibri"/>
        <family val="2"/>
        <scheme val="minor"/>
      </rPr>
      <t>res-c</t>
    </r>
  </si>
  <si>
    <r>
      <t xml:space="preserve">IRS </t>
    </r>
    <r>
      <rPr>
        <vertAlign val="subscript"/>
        <sz val="11"/>
        <color theme="1"/>
        <rFont val="Calibri"/>
        <family val="2"/>
        <scheme val="minor"/>
      </rPr>
      <t>res-a</t>
    </r>
  </si>
  <si>
    <r>
      <t xml:space="preserve">IRW </t>
    </r>
    <r>
      <rPr>
        <vertAlign val="subscript"/>
        <sz val="11"/>
        <color theme="1"/>
        <rFont val="Calibri"/>
        <family val="2"/>
        <scheme val="minor"/>
      </rPr>
      <t>res-c</t>
    </r>
  </si>
  <si>
    <r>
      <t xml:space="preserve">IRW </t>
    </r>
    <r>
      <rPr>
        <vertAlign val="subscript"/>
        <sz val="11"/>
        <color theme="1"/>
        <rFont val="Calibri"/>
        <family val="2"/>
        <scheme val="minor"/>
      </rPr>
      <t>res-a</t>
    </r>
  </si>
  <si>
    <r>
      <t xml:space="preserve">IRF </t>
    </r>
    <r>
      <rPr>
        <vertAlign val="subscript"/>
        <sz val="11"/>
        <color theme="1"/>
        <rFont val="Calibri"/>
        <family val="2"/>
        <scheme val="minor"/>
      </rPr>
      <t>res</t>
    </r>
  </si>
  <si>
    <r>
      <t xml:space="preserve">EF </t>
    </r>
    <r>
      <rPr>
        <vertAlign val="subscript"/>
        <sz val="11"/>
        <color theme="1"/>
        <rFont val="Calibri"/>
        <family val="2"/>
        <scheme val="minor"/>
      </rPr>
      <t>res-c</t>
    </r>
  </si>
  <si>
    <r>
      <t xml:space="preserve">EF </t>
    </r>
    <r>
      <rPr>
        <vertAlign val="subscript"/>
        <sz val="11"/>
        <color theme="1"/>
        <rFont val="Calibri"/>
        <family val="2"/>
        <scheme val="minor"/>
      </rPr>
      <t>res-a</t>
    </r>
  </si>
  <si>
    <r>
      <t xml:space="preserve">EF </t>
    </r>
    <r>
      <rPr>
        <vertAlign val="subscript"/>
        <sz val="11"/>
        <color theme="1"/>
        <rFont val="Calibri"/>
        <family val="2"/>
        <scheme val="minor"/>
      </rPr>
      <t>res</t>
    </r>
  </si>
  <si>
    <r>
      <t xml:space="preserve">ET </t>
    </r>
    <r>
      <rPr>
        <vertAlign val="subscript"/>
        <sz val="11"/>
        <color theme="1"/>
        <rFont val="Calibri"/>
        <family val="2"/>
        <scheme val="minor"/>
      </rPr>
      <t>event-res-c</t>
    </r>
  </si>
  <si>
    <r>
      <t xml:space="preserve">ET </t>
    </r>
    <r>
      <rPr>
        <vertAlign val="subscript"/>
        <sz val="11"/>
        <color theme="1"/>
        <rFont val="Calibri"/>
        <family val="2"/>
        <scheme val="minor"/>
      </rPr>
      <t>event-res-a</t>
    </r>
  </si>
  <si>
    <r>
      <t xml:space="preserve">ET </t>
    </r>
    <r>
      <rPr>
        <vertAlign val="subscript"/>
        <sz val="11"/>
        <color theme="1"/>
        <rFont val="Calibri"/>
        <family val="2"/>
        <scheme val="minor"/>
      </rPr>
      <t>res-c</t>
    </r>
  </si>
  <si>
    <r>
      <t xml:space="preserve">ET </t>
    </r>
    <r>
      <rPr>
        <vertAlign val="subscript"/>
        <sz val="11"/>
        <color theme="1"/>
        <rFont val="Calibri"/>
        <family val="2"/>
        <scheme val="minor"/>
      </rPr>
      <t>res-a</t>
    </r>
  </si>
  <si>
    <r>
      <t xml:space="preserve">ET </t>
    </r>
    <r>
      <rPr>
        <vertAlign val="subscript"/>
        <sz val="11"/>
        <color theme="1"/>
        <rFont val="Calibri"/>
        <family val="2"/>
        <scheme val="minor"/>
      </rPr>
      <t>res</t>
    </r>
  </si>
  <si>
    <r>
      <t xml:space="preserve">EV </t>
    </r>
    <r>
      <rPr>
        <vertAlign val="subscript"/>
        <sz val="11"/>
        <color theme="1"/>
        <rFont val="Calibri"/>
        <family val="2"/>
        <scheme val="minor"/>
      </rPr>
      <t>res-c</t>
    </r>
  </si>
  <si>
    <r>
      <t xml:space="preserve">EV </t>
    </r>
    <r>
      <rPr>
        <vertAlign val="subscript"/>
        <sz val="11"/>
        <color theme="1"/>
        <rFont val="Calibri"/>
        <family val="2"/>
        <scheme val="minor"/>
      </rPr>
      <t>res-a</t>
    </r>
  </si>
  <si>
    <r>
      <t xml:space="preserve">t </t>
    </r>
    <r>
      <rPr>
        <vertAlign val="subscript"/>
        <sz val="11"/>
        <color theme="1"/>
        <rFont val="Calibri"/>
        <family val="2"/>
        <scheme val="minor"/>
      </rPr>
      <t>res</t>
    </r>
  </si>
  <si>
    <r>
      <t xml:space="preserve">t </t>
    </r>
    <r>
      <rPr>
        <vertAlign val="subscript"/>
        <sz val="11"/>
        <color theme="1"/>
        <rFont val="Calibri"/>
        <family val="2"/>
        <scheme val="minor"/>
      </rPr>
      <t>rec</t>
    </r>
  </si>
  <si>
    <r>
      <t xml:space="preserve">t </t>
    </r>
    <r>
      <rPr>
        <vertAlign val="subscript"/>
        <sz val="11"/>
        <color theme="1"/>
        <rFont val="Calibri"/>
        <family val="2"/>
        <scheme val="minor"/>
      </rPr>
      <t>far</t>
    </r>
  </si>
  <si>
    <r>
      <t xml:space="preserve">GSF </t>
    </r>
    <r>
      <rPr>
        <vertAlign val="subscript"/>
        <sz val="11"/>
        <color theme="1"/>
        <rFont val="Calibri"/>
        <family val="2"/>
        <scheme val="minor"/>
      </rPr>
      <t>a</t>
    </r>
  </si>
  <si>
    <r>
      <t xml:space="preserve">GSF </t>
    </r>
    <r>
      <rPr>
        <vertAlign val="subscript"/>
        <sz val="11"/>
        <color theme="1"/>
        <rFont val="Calibri"/>
        <family val="2"/>
        <scheme val="minor"/>
      </rPr>
      <t>i</t>
    </r>
  </si>
  <si>
    <r>
      <t xml:space="preserve">GSF </t>
    </r>
    <r>
      <rPr>
        <vertAlign val="subscript"/>
        <sz val="11"/>
        <color theme="1"/>
        <rFont val="Calibri"/>
        <family val="2"/>
        <scheme val="minor"/>
      </rPr>
      <t>o</t>
    </r>
  </si>
  <si>
    <r>
      <t xml:space="preserve">ET </t>
    </r>
    <r>
      <rPr>
        <vertAlign val="subscript"/>
        <sz val="11"/>
        <rFont val="Calibri"/>
        <family val="2"/>
        <scheme val="minor"/>
      </rPr>
      <t>res-o</t>
    </r>
  </si>
  <si>
    <r>
      <t xml:space="preserve">ET </t>
    </r>
    <r>
      <rPr>
        <vertAlign val="subscript"/>
        <sz val="11"/>
        <rFont val="Calibri"/>
        <family val="2"/>
        <scheme val="minor"/>
      </rPr>
      <t>res-i</t>
    </r>
  </si>
  <si>
    <r>
      <t xml:space="preserve">CF </t>
    </r>
    <r>
      <rPr>
        <vertAlign val="subscript"/>
        <sz val="11"/>
        <color theme="1"/>
        <rFont val="Calibri"/>
        <family val="2"/>
        <scheme val="minor"/>
      </rPr>
      <t>res-fish</t>
    </r>
  </si>
  <si>
    <t>m^3/day</t>
  </si>
  <si>
    <t>L/hour</t>
  </si>
  <si>
    <t>kg/day</t>
  </si>
  <si>
    <t>unitless</t>
  </si>
  <si>
    <t>K</t>
  </si>
  <si>
    <r>
      <t xml:space="preserve">EV </t>
    </r>
    <r>
      <rPr>
        <vertAlign val="subscript"/>
        <sz val="11"/>
        <color theme="1"/>
        <rFont val="Calibri"/>
        <family val="2"/>
        <scheme val="minor"/>
      </rPr>
      <t>rec-c</t>
    </r>
  </si>
  <si>
    <r>
      <t xml:space="preserve">EV </t>
    </r>
    <r>
      <rPr>
        <vertAlign val="subscript"/>
        <sz val="11"/>
        <color theme="1"/>
        <rFont val="Calibri"/>
        <family val="2"/>
        <scheme val="minor"/>
      </rPr>
      <t>rec-a</t>
    </r>
  </si>
  <si>
    <r>
      <t xml:space="preserve">EF </t>
    </r>
    <r>
      <rPr>
        <vertAlign val="subscript"/>
        <sz val="11"/>
        <color theme="1"/>
        <rFont val="Calibri"/>
        <family val="2"/>
        <scheme val="minor"/>
      </rPr>
      <t>rec-c</t>
    </r>
  </si>
  <si>
    <r>
      <t xml:space="preserve">EF </t>
    </r>
    <r>
      <rPr>
        <vertAlign val="subscript"/>
        <sz val="11"/>
        <color theme="1"/>
        <rFont val="Calibri"/>
        <family val="2"/>
        <scheme val="minor"/>
      </rPr>
      <t>rec-a</t>
    </r>
  </si>
  <si>
    <r>
      <t xml:space="preserve">EF </t>
    </r>
    <r>
      <rPr>
        <vertAlign val="subscript"/>
        <sz val="11"/>
        <color theme="1"/>
        <rFont val="Calibri"/>
        <family val="2"/>
        <scheme val="minor"/>
      </rPr>
      <t>rec</t>
    </r>
  </si>
  <si>
    <r>
      <t xml:space="preserve">ET </t>
    </r>
    <r>
      <rPr>
        <vertAlign val="subscript"/>
        <sz val="11"/>
        <color theme="1"/>
        <rFont val="Calibri"/>
        <family val="2"/>
        <scheme val="minor"/>
      </rPr>
      <t>rec</t>
    </r>
  </si>
  <si>
    <r>
      <t xml:space="preserve">ET </t>
    </r>
    <r>
      <rPr>
        <vertAlign val="subscript"/>
        <sz val="11"/>
        <color theme="1"/>
        <rFont val="Calibri"/>
        <family val="2"/>
        <scheme val="minor"/>
      </rPr>
      <t>rec-c</t>
    </r>
  </si>
  <si>
    <r>
      <t xml:space="preserve">ET </t>
    </r>
    <r>
      <rPr>
        <vertAlign val="subscript"/>
        <sz val="11"/>
        <color theme="1"/>
        <rFont val="Calibri"/>
        <family val="2"/>
        <scheme val="minor"/>
      </rPr>
      <t>rec-a</t>
    </r>
  </si>
  <si>
    <r>
      <t xml:space="preserve">Q </t>
    </r>
    <r>
      <rPr>
        <vertAlign val="subscript"/>
        <sz val="11"/>
        <rFont val="Calibri"/>
        <family val="2"/>
        <scheme val="minor"/>
      </rPr>
      <t>w-game</t>
    </r>
  </si>
  <si>
    <r>
      <t xml:space="preserve">f </t>
    </r>
    <r>
      <rPr>
        <vertAlign val="subscript"/>
        <sz val="11"/>
        <rFont val="Calibri"/>
        <family val="2"/>
        <scheme val="minor"/>
      </rPr>
      <t>s-game</t>
    </r>
  </si>
  <si>
    <r>
      <t xml:space="preserve">f </t>
    </r>
    <r>
      <rPr>
        <vertAlign val="subscript"/>
        <sz val="11"/>
        <rFont val="Calibri"/>
        <family val="2"/>
        <scheme val="minor"/>
      </rPr>
      <t>p-game</t>
    </r>
  </si>
  <si>
    <r>
      <t xml:space="preserve">Q </t>
    </r>
    <r>
      <rPr>
        <vertAlign val="subscript"/>
        <sz val="11"/>
        <rFont val="Calibri"/>
        <family val="2"/>
        <scheme val="minor"/>
      </rPr>
      <t>s-game</t>
    </r>
  </si>
  <si>
    <r>
      <t xml:space="preserve">Q </t>
    </r>
    <r>
      <rPr>
        <vertAlign val="subscript"/>
        <sz val="11"/>
        <rFont val="Calibri"/>
        <family val="2"/>
        <scheme val="minor"/>
      </rPr>
      <t>p-game</t>
    </r>
  </si>
  <si>
    <r>
      <t xml:space="preserve">Q </t>
    </r>
    <r>
      <rPr>
        <vertAlign val="subscript"/>
        <sz val="11"/>
        <rFont val="Calibri"/>
        <family val="2"/>
        <scheme val="minor"/>
      </rPr>
      <t>w-fowl</t>
    </r>
  </si>
  <si>
    <r>
      <t xml:space="preserve">f </t>
    </r>
    <r>
      <rPr>
        <vertAlign val="subscript"/>
        <sz val="11"/>
        <rFont val="Calibri"/>
        <family val="2"/>
        <scheme val="minor"/>
      </rPr>
      <t>s-fowl</t>
    </r>
  </si>
  <si>
    <r>
      <t xml:space="preserve">f </t>
    </r>
    <r>
      <rPr>
        <vertAlign val="subscript"/>
        <sz val="11"/>
        <rFont val="Calibri"/>
        <family val="2"/>
        <scheme val="minor"/>
      </rPr>
      <t>p-fowl</t>
    </r>
  </si>
  <si>
    <r>
      <t xml:space="preserve">Q </t>
    </r>
    <r>
      <rPr>
        <vertAlign val="subscript"/>
        <sz val="11"/>
        <rFont val="Calibri"/>
        <family val="2"/>
        <scheme val="minor"/>
      </rPr>
      <t>s-fowl</t>
    </r>
  </si>
  <si>
    <r>
      <t xml:space="preserve">Q </t>
    </r>
    <r>
      <rPr>
        <vertAlign val="subscript"/>
        <sz val="11"/>
        <rFont val="Calibri"/>
        <family val="2"/>
        <scheme val="minor"/>
      </rPr>
      <t>p-fowl</t>
    </r>
  </si>
  <si>
    <r>
      <t xml:space="preserve">IRA </t>
    </r>
    <r>
      <rPr>
        <vertAlign val="subscript"/>
        <sz val="11"/>
        <color theme="1"/>
        <rFont val="Calibri"/>
        <family val="2"/>
        <scheme val="minor"/>
      </rPr>
      <t>rec-c</t>
    </r>
  </si>
  <si>
    <r>
      <t xml:space="preserve">IRA </t>
    </r>
    <r>
      <rPr>
        <vertAlign val="subscript"/>
        <sz val="11"/>
        <color theme="1"/>
        <rFont val="Calibri"/>
        <family val="2"/>
        <scheme val="minor"/>
      </rPr>
      <t>rec-a</t>
    </r>
  </si>
  <si>
    <r>
      <t xml:space="preserve">IRW </t>
    </r>
    <r>
      <rPr>
        <vertAlign val="subscript"/>
        <sz val="11"/>
        <color theme="1"/>
        <rFont val="Calibri"/>
        <family val="2"/>
        <scheme val="minor"/>
      </rPr>
      <t>rec-c</t>
    </r>
  </si>
  <si>
    <r>
      <t xml:space="preserve">IRW </t>
    </r>
    <r>
      <rPr>
        <vertAlign val="subscript"/>
        <sz val="11"/>
        <color theme="1"/>
        <rFont val="Calibri"/>
        <family val="2"/>
        <scheme val="minor"/>
      </rPr>
      <t>rec-a</t>
    </r>
  </si>
  <si>
    <r>
      <t xml:space="preserve">IRS </t>
    </r>
    <r>
      <rPr>
        <vertAlign val="subscript"/>
        <sz val="11"/>
        <color theme="1"/>
        <rFont val="Calibri"/>
        <family val="2"/>
        <scheme val="minor"/>
      </rPr>
      <t>rec-c</t>
    </r>
  </si>
  <si>
    <r>
      <t xml:space="preserve">IRS </t>
    </r>
    <r>
      <rPr>
        <vertAlign val="subscript"/>
        <sz val="11"/>
        <color theme="1"/>
        <rFont val="Calibri"/>
        <family val="2"/>
        <scheme val="minor"/>
      </rPr>
      <t>rec-a</t>
    </r>
  </si>
  <si>
    <t>hour/event</t>
  </si>
  <si>
    <t>event/day</t>
  </si>
  <si>
    <t>Ir</t>
  </si>
  <si>
    <t>L/m^2-day</t>
  </si>
  <si>
    <t>F</t>
  </si>
  <si>
    <t>day</t>
  </si>
  <si>
    <t>P</t>
  </si>
  <si>
    <t>kg/m^2</t>
  </si>
  <si>
    <t>lambda HL</t>
  </si>
  <si>
    <t>1/day</t>
  </si>
  <si>
    <t>T</t>
  </si>
  <si>
    <t>days</t>
  </si>
  <si>
    <t>kg/L</t>
  </si>
  <si>
    <r>
      <t xml:space="preserve">IRS </t>
    </r>
    <r>
      <rPr>
        <vertAlign val="subscript"/>
        <sz val="11"/>
        <color theme="1"/>
        <rFont val="Calibri"/>
        <family val="2"/>
        <scheme val="minor"/>
      </rPr>
      <t>far-c</t>
    </r>
  </si>
  <si>
    <r>
      <t xml:space="preserve">IRS </t>
    </r>
    <r>
      <rPr>
        <vertAlign val="subscript"/>
        <sz val="11"/>
        <color theme="1"/>
        <rFont val="Calibri"/>
        <family val="2"/>
        <scheme val="minor"/>
      </rPr>
      <t>far-a</t>
    </r>
  </si>
  <si>
    <r>
      <t xml:space="preserve">IRA </t>
    </r>
    <r>
      <rPr>
        <vertAlign val="subscript"/>
        <sz val="11"/>
        <color theme="1"/>
        <rFont val="Calibri"/>
        <family val="2"/>
        <scheme val="minor"/>
      </rPr>
      <t>far-c</t>
    </r>
  </si>
  <si>
    <r>
      <t xml:space="preserve">IRA </t>
    </r>
    <r>
      <rPr>
        <vertAlign val="subscript"/>
        <sz val="11"/>
        <color theme="1"/>
        <rFont val="Calibri"/>
        <family val="2"/>
        <scheme val="minor"/>
      </rPr>
      <t>far-a</t>
    </r>
  </si>
  <si>
    <r>
      <t xml:space="preserve">IRW </t>
    </r>
    <r>
      <rPr>
        <vertAlign val="subscript"/>
        <sz val="11"/>
        <color theme="1"/>
        <rFont val="Calibri"/>
        <family val="2"/>
        <scheme val="minor"/>
      </rPr>
      <t>far-c</t>
    </r>
  </si>
  <si>
    <r>
      <t xml:space="preserve">IRW </t>
    </r>
    <r>
      <rPr>
        <vertAlign val="subscript"/>
        <sz val="11"/>
        <color theme="1"/>
        <rFont val="Calibri"/>
        <family val="2"/>
        <scheme val="minor"/>
      </rPr>
      <t>far-a</t>
    </r>
  </si>
  <si>
    <r>
      <t xml:space="preserve">IRD </t>
    </r>
    <r>
      <rPr>
        <vertAlign val="subscript"/>
        <sz val="11"/>
        <rFont val="Calibri"/>
        <family val="2"/>
        <scheme val="minor"/>
      </rPr>
      <t>far-c</t>
    </r>
  </si>
  <si>
    <r>
      <t xml:space="preserve">IRD </t>
    </r>
    <r>
      <rPr>
        <vertAlign val="subscript"/>
        <sz val="11"/>
        <rFont val="Calibri"/>
        <family val="2"/>
        <scheme val="minor"/>
      </rPr>
      <t>far-a</t>
    </r>
  </si>
  <si>
    <r>
      <t xml:space="preserve">IRB </t>
    </r>
    <r>
      <rPr>
        <vertAlign val="subscript"/>
        <sz val="11"/>
        <rFont val="Calibri"/>
        <family val="2"/>
        <scheme val="minor"/>
      </rPr>
      <t>far-c</t>
    </r>
  </si>
  <si>
    <r>
      <t xml:space="preserve">IRB </t>
    </r>
    <r>
      <rPr>
        <vertAlign val="subscript"/>
        <sz val="11"/>
        <rFont val="Calibri"/>
        <family val="2"/>
        <scheme val="minor"/>
      </rPr>
      <t>far-a</t>
    </r>
  </si>
  <si>
    <r>
      <t xml:space="preserve">IRE </t>
    </r>
    <r>
      <rPr>
        <vertAlign val="subscript"/>
        <sz val="11"/>
        <rFont val="Calibri"/>
        <family val="2"/>
        <scheme val="minor"/>
      </rPr>
      <t>far-c</t>
    </r>
  </si>
  <si>
    <r>
      <t xml:space="preserve">IRE </t>
    </r>
    <r>
      <rPr>
        <vertAlign val="subscript"/>
        <sz val="11"/>
        <rFont val="Calibri"/>
        <family val="2"/>
        <scheme val="minor"/>
      </rPr>
      <t>far-a</t>
    </r>
  </si>
  <si>
    <r>
      <t xml:space="preserve">IRFI </t>
    </r>
    <r>
      <rPr>
        <vertAlign val="subscript"/>
        <sz val="11"/>
        <rFont val="Calibri"/>
        <family val="2"/>
        <scheme val="minor"/>
      </rPr>
      <t>far-c</t>
    </r>
  </si>
  <si>
    <r>
      <t xml:space="preserve">IRFI </t>
    </r>
    <r>
      <rPr>
        <vertAlign val="subscript"/>
        <sz val="11"/>
        <rFont val="Calibri"/>
        <family val="2"/>
        <scheme val="minor"/>
      </rPr>
      <t>far-a</t>
    </r>
  </si>
  <si>
    <r>
      <t xml:space="preserve">IRP </t>
    </r>
    <r>
      <rPr>
        <vertAlign val="subscript"/>
        <sz val="11"/>
        <rFont val="Calibri"/>
        <family val="2"/>
        <scheme val="minor"/>
      </rPr>
      <t>far-c</t>
    </r>
  </si>
  <si>
    <r>
      <t xml:space="preserve">IRP </t>
    </r>
    <r>
      <rPr>
        <vertAlign val="subscript"/>
        <sz val="11"/>
        <rFont val="Calibri"/>
        <family val="2"/>
        <scheme val="minor"/>
      </rPr>
      <t>far-a</t>
    </r>
  </si>
  <si>
    <r>
      <t xml:space="preserve">IRSW </t>
    </r>
    <r>
      <rPr>
        <vertAlign val="subscript"/>
        <sz val="11"/>
        <rFont val="Calibri"/>
        <family val="2"/>
        <scheme val="minor"/>
      </rPr>
      <t>far-c</t>
    </r>
  </si>
  <si>
    <r>
      <t xml:space="preserve">IRSW </t>
    </r>
    <r>
      <rPr>
        <vertAlign val="subscript"/>
        <sz val="11"/>
        <rFont val="Calibri"/>
        <family val="2"/>
        <scheme val="minor"/>
      </rPr>
      <t>far-a</t>
    </r>
  </si>
  <si>
    <r>
      <t xml:space="preserve">ET </t>
    </r>
    <r>
      <rPr>
        <vertAlign val="subscript"/>
        <sz val="11"/>
        <color theme="1"/>
        <rFont val="Calibri"/>
        <family val="2"/>
        <scheme val="minor"/>
      </rPr>
      <t>event-rec-c</t>
    </r>
  </si>
  <si>
    <r>
      <t xml:space="preserve">ET </t>
    </r>
    <r>
      <rPr>
        <vertAlign val="subscript"/>
        <sz val="11"/>
        <color theme="1"/>
        <rFont val="Calibri"/>
        <family val="2"/>
        <scheme val="minor"/>
      </rPr>
      <t>event-rec-a</t>
    </r>
  </si>
  <si>
    <r>
      <t xml:space="preserve">EF </t>
    </r>
    <r>
      <rPr>
        <vertAlign val="subscript"/>
        <sz val="11"/>
        <color theme="1"/>
        <rFont val="Calibri"/>
        <family val="2"/>
        <scheme val="minor"/>
      </rPr>
      <t>far-c</t>
    </r>
  </si>
  <si>
    <r>
      <t xml:space="preserve">EF </t>
    </r>
    <r>
      <rPr>
        <vertAlign val="subscript"/>
        <sz val="11"/>
        <color theme="1"/>
        <rFont val="Calibri"/>
        <family val="2"/>
        <scheme val="minor"/>
      </rPr>
      <t>far-a</t>
    </r>
  </si>
  <si>
    <r>
      <t xml:space="preserve">ET </t>
    </r>
    <r>
      <rPr>
        <vertAlign val="subscript"/>
        <sz val="11"/>
        <color theme="1"/>
        <rFont val="Calibri"/>
        <family val="2"/>
        <scheme val="minor"/>
      </rPr>
      <t>far-c</t>
    </r>
  </si>
  <si>
    <r>
      <t xml:space="preserve">ET </t>
    </r>
    <r>
      <rPr>
        <vertAlign val="subscript"/>
        <sz val="11"/>
        <color theme="1"/>
        <rFont val="Calibri"/>
        <family val="2"/>
        <scheme val="minor"/>
      </rPr>
      <t>far-a</t>
    </r>
  </si>
  <si>
    <r>
      <t xml:space="preserve">ET </t>
    </r>
    <r>
      <rPr>
        <vertAlign val="subscript"/>
        <sz val="11"/>
        <color theme="1"/>
        <rFont val="Calibri"/>
        <family val="2"/>
        <scheme val="minor"/>
      </rPr>
      <t>far</t>
    </r>
  </si>
  <si>
    <r>
      <t xml:space="preserve">ET </t>
    </r>
    <r>
      <rPr>
        <vertAlign val="subscript"/>
        <sz val="11"/>
        <color theme="1"/>
        <rFont val="Calibri"/>
        <family val="2"/>
        <scheme val="minor"/>
      </rPr>
      <t>event-far-c</t>
    </r>
  </si>
  <si>
    <r>
      <t xml:space="preserve">ET </t>
    </r>
    <r>
      <rPr>
        <vertAlign val="subscript"/>
        <sz val="11"/>
        <color theme="1"/>
        <rFont val="Calibri"/>
        <family val="2"/>
        <scheme val="minor"/>
      </rPr>
      <t>event-far-a</t>
    </r>
  </si>
  <si>
    <r>
      <t xml:space="preserve">ET </t>
    </r>
    <r>
      <rPr>
        <vertAlign val="subscript"/>
        <sz val="11"/>
        <rFont val="Calibri"/>
        <family val="2"/>
        <scheme val="minor"/>
      </rPr>
      <t>far-o</t>
    </r>
  </si>
  <si>
    <r>
      <t xml:space="preserve">ET </t>
    </r>
    <r>
      <rPr>
        <vertAlign val="subscript"/>
        <sz val="11"/>
        <rFont val="Calibri"/>
        <family val="2"/>
        <scheme val="minor"/>
      </rPr>
      <t>far-i</t>
    </r>
  </si>
  <si>
    <r>
      <t xml:space="preserve">EV </t>
    </r>
    <r>
      <rPr>
        <vertAlign val="subscript"/>
        <sz val="11"/>
        <color theme="1"/>
        <rFont val="Calibri"/>
        <family val="2"/>
        <scheme val="minor"/>
      </rPr>
      <t>far-c</t>
    </r>
  </si>
  <si>
    <r>
      <t xml:space="preserve">EV </t>
    </r>
    <r>
      <rPr>
        <vertAlign val="subscript"/>
        <sz val="11"/>
        <color theme="1"/>
        <rFont val="Calibri"/>
        <family val="2"/>
        <scheme val="minor"/>
      </rPr>
      <t>far-a</t>
    </r>
  </si>
  <si>
    <r>
      <t xml:space="preserve">DF </t>
    </r>
    <r>
      <rPr>
        <vertAlign val="subscript"/>
        <sz val="11"/>
        <rFont val="Calibri"/>
        <family val="2"/>
        <scheme val="minor"/>
      </rPr>
      <t>i</t>
    </r>
  </si>
  <si>
    <r>
      <t xml:space="preserve">CF </t>
    </r>
    <r>
      <rPr>
        <vertAlign val="subscript"/>
        <sz val="11"/>
        <rFont val="Calibri"/>
        <family val="2"/>
        <scheme val="minor"/>
      </rPr>
      <t>far-dairy</t>
    </r>
  </si>
  <si>
    <r>
      <t xml:space="preserve">CF </t>
    </r>
    <r>
      <rPr>
        <vertAlign val="subscript"/>
        <sz val="11"/>
        <rFont val="Calibri"/>
        <family val="2"/>
        <scheme val="minor"/>
      </rPr>
      <t>far-beef</t>
    </r>
  </si>
  <si>
    <r>
      <t xml:space="preserve">CF </t>
    </r>
    <r>
      <rPr>
        <vertAlign val="subscript"/>
        <sz val="11"/>
        <rFont val="Calibri"/>
        <family val="2"/>
        <scheme val="minor"/>
      </rPr>
      <t>far-fish</t>
    </r>
  </si>
  <si>
    <r>
      <t xml:space="preserve">CF </t>
    </r>
    <r>
      <rPr>
        <vertAlign val="subscript"/>
        <sz val="11"/>
        <rFont val="Calibri"/>
        <family val="2"/>
        <scheme val="minor"/>
      </rPr>
      <t>far-poultry</t>
    </r>
  </si>
  <si>
    <r>
      <t xml:space="preserve">CF </t>
    </r>
    <r>
      <rPr>
        <vertAlign val="subscript"/>
        <sz val="11"/>
        <rFont val="Calibri"/>
        <family val="2"/>
        <scheme val="minor"/>
      </rPr>
      <t>far-swine</t>
    </r>
  </si>
  <si>
    <r>
      <t xml:space="preserve">Q </t>
    </r>
    <r>
      <rPr>
        <vertAlign val="subscript"/>
        <sz val="11"/>
        <rFont val="Calibri"/>
        <family val="2"/>
        <scheme val="minor"/>
      </rPr>
      <t>w dairy</t>
    </r>
  </si>
  <si>
    <r>
      <t xml:space="preserve">Q </t>
    </r>
    <r>
      <rPr>
        <vertAlign val="subscript"/>
        <sz val="11"/>
        <rFont val="Calibri"/>
        <family val="2"/>
        <scheme val="minor"/>
      </rPr>
      <t>p-dairy</t>
    </r>
  </si>
  <si>
    <r>
      <t xml:space="preserve">Q </t>
    </r>
    <r>
      <rPr>
        <vertAlign val="subscript"/>
        <sz val="11"/>
        <rFont val="Calibri"/>
        <family val="2"/>
        <scheme val="minor"/>
      </rPr>
      <t>s-dairy</t>
    </r>
  </si>
  <si>
    <r>
      <t xml:space="preserve">f </t>
    </r>
    <r>
      <rPr>
        <vertAlign val="subscript"/>
        <sz val="11"/>
        <rFont val="Calibri"/>
        <family val="2"/>
        <scheme val="minor"/>
      </rPr>
      <t>p-dairy</t>
    </r>
  </si>
  <si>
    <r>
      <t xml:space="preserve">f </t>
    </r>
    <r>
      <rPr>
        <vertAlign val="subscript"/>
        <sz val="11"/>
        <rFont val="Calibri"/>
        <family val="2"/>
        <scheme val="minor"/>
      </rPr>
      <t>s-dairy</t>
    </r>
  </si>
  <si>
    <r>
      <t xml:space="preserve">Q </t>
    </r>
    <r>
      <rPr>
        <vertAlign val="subscript"/>
        <sz val="11"/>
        <rFont val="Calibri"/>
        <family val="2"/>
        <scheme val="minor"/>
      </rPr>
      <t>p-beef</t>
    </r>
  </si>
  <si>
    <r>
      <t xml:space="preserve">Q </t>
    </r>
    <r>
      <rPr>
        <vertAlign val="subscript"/>
        <sz val="11"/>
        <rFont val="Calibri"/>
        <family val="2"/>
        <scheme val="minor"/>
      </rPr>
      <t>s-beef</t>
    </r>
  </si>
  <si>
    <r>
      <t xml:space="preserve">f </t>
    </r>
    <r>
      <rPr>
        <vertAlign val="subscript"/>
        <sz val="11"/>
        <rFont val="Calibri"/>
        <family val="2"/>
        <scheme val="minor"/>
      </rPr>
      <t>p-beef</t>
    </r>
  </si>
  <si>
    <r>
      <t xml:space="preserve">f </t>
    </r>
    <r>
      <rPr>
        <vertAlign val="subscript"/>
        <sz val="11"/>
        <rFont val="Calibri"/>
        <family val="2"/>
        <scheme val="minor"/>
      </rPr>
      <t>s-beef</t>
    </r>
  </si>
  <si>
    <r>
      <t xml:space="preserve">Q </t>
    </r>
    <r>
      <rPr>
        <vertAlign val="subscript"/>
        <sz val="11"/>
        <rFont val="Calibri"/>
        <family val="2"/>
        <scheme val="minor"/>
      </rPr>
      <t>w-egg</t>
    </r>
  </si>
  <si>
    <r>
      <t xml:space="preserve">Q </t>
    </r>
    <r>
      <rPr>
        <vertAlign val="subscript"/>
        <sz val="11"/>
        <rFont val="Calibri"/>
        <family val="2"/>
        <scheme val="minor"/>
      </rPr>
      <t>p-egg</t>
    </r>
  </si>
  <si>
    <r>
      <t xml:space="preserve">Q </t>
    </r>
    <r>
      <rPr>
        <vertAlign val="subscript"/>
        <sz val="11"/>
        <rFont val="Calibri"/>
        <family val="2"/>
        <scheme val="minor"/>
      </rPr>
      <t>s-egg</t>
    </r>
  </si>
  <si>
    <r>
      <t xml:space="preserve">f </t>
    </r>
    <r>
      <rPr>
        <vertAlign val="subscript"/>
        <sz val="11"/>
        <rFont val="Calibri"/>
        <family val="2"/>
        <scheme val="minor"/>
      </rPr>
      <t>p-egg</t>
    </r>
  </si>
  <si>
    <r>
      <t xml:space="preserve">f </t>
    </r>
    <r>
      <rPr>
        <vertAlign val="subscript"/>
        <sz val="11"/>
        <rFont val="Calibri"/>
        <family val="2"/>
        <scheme val="minor"/>
      </rPr>
      <t>s-egg</t>
    </r>
  </si>
  <si>
    <r>
      <t xml:space="preserve">Q </t>
    </r>
    <r>
      <rPr>
        <vertAlign val="subscript"/>
        <sz val="11"/>
        <rFont val="Calibri"/>
        <family val="2"/>
        <scheme val="minor"/>
      </rPr>
      <t>w-poultry</t>
    </r>
  </si>
  <si>
    <r>
      <t xml:space="preserve">Q </t>
    </r>
    <r>
      <rPr>
        <vertAlign val="subscript"/>
        <sz val="11"/>
        <rFont val="Calibri"/>
        <family val="2"/>
        <scheme val="minor"/>
      </rPr>
      <t>w-beef</t>
    </r>
  </si>
  <si>
    <r>
      <t xml:space="preserve">f </t>
    </r>
    <r>
      <rPr>
        <vertAlign val="subscript"/>
        <sz val="11"/>
        <rFont val="Calibri"/>
        <family val="2"/>
        <scheme val="minor"/>
      </rPr>
      <t>s-swine</t>
    </r>
  </si>
  <si>
    <r>
      <t xml:space="preserve">f </t>
    </r>
    <r>
      <rPr>
        <vertAlign val="subscript"/>
        <sz val="11"/>
        <rFont val="Calibri"/>
        <family val="2"/>
        <scheme val="minor"/>
      </rPr>
      <t>p-swine</t>
    </r>
  </si>
  <si>
    <r>
      <t xml:space="preserve">Q </t>
    </r>
    <r>
      <rPr>
        <vertAlign val="subscript"/>
        <sz val="11"/>
        <rFont val="Calibri"/>
        <family val="2"/>
        <scheme val="minor"/>
      </rPr>
      <t>s-swine</t>
    </r>
  </si>
  <si>
    <r>
      <t xml:space="preserve">Q </t>
    </r>
    <r>
      <rPr>
        <vertAlign val="subscript"/>
        <sz val="11"/>
        <rFont val="Calibri"/>
        <family val="2"/>
        <scheme val="minor"/>
      </rPr>
      <t>p-swine</t>
    </r>
  </si>
  <si>
    <r>
      <t xml:space="preserve">Q </t>
    </r>
    <r>
      <rPr>
        <vertAlign val="subscript"/>
        <sz val="11"/>
        <rFont val="Calibri"/>
        <family val="2"/>
        <scheme val="minor"/>
      </rPr>
      <t>w-swine</t>
    </r>
  </si>
  <si>
    <r>
      <t xml:space="preserve">f </t>
    </r>
    <r>
      <rPr>
        <vertAlign val="subscript"/>
        <sz val="11"/>
        <rFont val="Calibri"/>
        <family val="2"/>
        <scheme val="minor"/>
      </rPr>
      <t>s-poultry</t>
    </r>
  </si>
  <si>
    <r>
      <t xml:space="preserve">f </t>
    </r>
    <r>
      <rPr>
        <vertAlign val="subscript"/>
        <sz val="11"/>
        <rFont val="Calibri"/>
        <family val="2"/>
        <scheme val="minor"/>
      </rPr>
      <t>p-poultry</t>
    </r>
  </si>
  <si>
    <r>
      <t xml:space="preserve">Q </t>
    </r>
    <r>
      <rPr>
        <vertAlign val="subscript"/>
        <sz val="11"/>
        <rFont val="Calibri"/>
        <family val="2"/>
        <scheme val="minor"/>
      </rPr>
      <t>s-poultry</t>
    </r>
  </si>
  <si>
    <r>
      <t xml:space="preserve">Q </t>
    </r>
    <r>
      <rPr>
        <vertAlign val="subscript"/>
        <sz val="11"/>
        <rFont val="Calibri"/>
        <family val="2"/>
        <scheme val="minor"/>
      </rPr>
      <t>p-poultry</t>
    </r>
  </si>
  <si>
    <t xml:space="preserve">ρb </t>
  </si>
  <si>
    <t>m/yr</t>
  </si>
  <si>
    <t>m/m</t>
  </si>
  <si>
    <t>m</t>
  </si>
  <si>
    <r>
      <t xml:space="preserve">ED </t>
    </r>
    <r>
      <rPr>
        <vertAlign val="subscript"/>
        <sz val="11"/>
        <color theme="1"/>
        <rFont val="Calibri"/>
        <family val="2"/>
        <scheme val="minor"/>
      </rPr>
      <t>s2gw</t>
    </r>
  </si>
  <si>
    <r>
      <t xml:space="preserve">K </t>
    </r>
    <r>
      <rPr>
        <vertAlign val="subscript"/>
        <sz val="11"/>
        <color theme="1"/>
        <rFont val="Calibri"/>
        <family val="2"/>
        <scheme val="minor"/>
      </rPr>
      <t>s2gw</t>
    </r>
  </si>
  <si>
    <t>KD</t>
  </si>
  <si>
    <r>
      <t xml:space="preserve">t </t>
    </r>
    <r>
      <rPr>
        <vertAlign val="subscript"/>
        <sz val="11"/>
        <rFont val="Calibri"/>
        <family val="2"/>
        <scheme val="minor"/>
      </rPr>
      <t>b</t>
    </r>
  </si>
  <si>
    <r>
      <t xml:space="preserve">t </t>
    </r>
    <r>
      <rPr>
        <vertAlign val="subscript"/>
        <sz val="11"/>
        <rFont val="Calibri"/>
        <family val="2"/>
        <scheme val="minor"/>
      </rPr>
      <t>v</t>
    </r>
  </si>
  <si>
    <r>
      <t xml:space="preserve">I </t>
    </r>
    <r>
      <rPr>
        <vertAlign val="subscript"/>
        <sz val="11"/>
        <rFont val="Calibri"/>
        <family val="2"/>
        <scheme val="minor"/>
      </rPr>
      <t>f</t>
    </r>
  </si>
  <si>
    <r>
      <t xml:space="preserve">Y </t>
    </r>
    <r>
      <rPr>
        <vertAlign val="subscript"/>
        <sz val="11"/>
        <rFont val="Calibri"/>
        <family val="2"/>
        <scheme val="minor"/>
      </rPr>
      <t>v</t>
    </r>
  </si>
  <si>
    <r>
      <t xml:space="preserve">t </t>
    </r>
    <r>
      <rPr>
        <vertAlign val="subscript"/>
        <sz val="11"/>
        <rFont val="Calibri"/>
        <family val="2"/>
        <scheme val="minor"/>
      </rPr>
      <t>w</t>
    </r>
  </si>
  <si>
    <r>
      <t>θ</t>
    </r>
    <r>
      <rPr>
        <vertAlign val="subscript"/>
        <sz val="11"/>
        <color theme="1"/>
        <rFont val="Calibri"/>
        <family val="2"/>
        <scheme val="minor"/>
      </rPr>
      <t>w</t>
    </r>
  </si>
  <si>
    <r>
      <t>d</t>
    </r>
    <r>
      <rPr>
        <vertAlign val="subscript"/>
        <sz val="11"/>
        <color theme="1"/>
        <rFont val="Calibri"/>
        <family val="2"/>
        <scheme val="minor"/>
      </rPr>
      <t xml:space="preserve"> a</t>
    </r>
  </si>
  <si>
    <r>
      <t>d</t>
    </r>
    <r>
      <rPr>
        <vertAlign val="subscript"/>
        <sz val="11"/>
        <color theme="1"/>
        <rFont val="Calibri"/>
        <family val="2"/>
        <scheme val="minor"/>
      </rPr>
      <t xml:space="preserve"> s</t>
    </r>
  </si>
  <si>
    <t>m³ air / kg soil</t>
  </si>
  <si>
    <t>Um</t>
  </si>
  <si>
    <t>m/s</t>
  </si>
  <si>
    <t>Ut</t>
  </si>
  <si>
    <t>F(x)</t>
  </si>
  <si>
    <t>V</t>
  </si>
  <si>
    <t>As</t>
  </si>
  <si>
    <t>acres</t>
  </si>
  <si>
    <t>g</t>
  </si>
  <si>
    <r>
      <t xml:space="preserve">i </t>
    </r>
    <r>
      <rPr>
        <vertAlign val="subscript"/>
        <sz val="11"/>
        <color theme="1"/>
        <rFont val="Calibri"/>
        <family val="2"/>
        <scheme val="minor"/>
      </rPr>
      <t>s2gw</t>
    </r>
  </si>
  <si>
    <r>
      <t xml:space="preserve">L </t>
    </r>
    <r>
      <rPr>
        <vertAlign val="subscript"/>
        <sz val="11"/>
        <color theme="1"/>
        <rFont val="Calibri"/>
        <family val="2"/>
        <scheme val="minor"/>
      </rPr>
      <t>s2gw</t>
    </r>
  </si>
  <si>
    <r>
      <t>PEF</t>
    </r>
    <r>
      <rPr>
        <sz val="12"/>
        <color theme="1"/>
        <rFont val="Calibri"/>
        <family val="2"/>
        <scheme val="minor"/>
      </rPr>
      <t xml:space="preserve"> </t>
    </r>
    <r>
      <rPr>
        <vertAlign val="subscript"/>
        <sz val="12"/>
        <color theme="1"/>
        <rFont val="Calibri"/>
        <family val="2"/>
        <scheme val="minor"/>
      </rPr>
      <t>wind</t>
    </r>
  </si>
  <si>
    <r>
      <t xml:space="preserve">Q/C </t>
    </r>
    <r>
      <rPr>
        <vertAlign val="subscript"/>
        <sz val="11"/>
        <color theme="1"/>
        <rFont val="Calibri"/>
        <family val="2"/>
        <scheme val="minor"/>
      </rPr>
      <t>wind</t>
    </r>
  </si>
  <si>
    <r>
      <t xml:space="preserve">A </t>
    </r>
    <r>
      <rPr>
        <vertAlign val="subscript"/>
        <sz val="11"/>
        <color theme="1"/>
        <rFont val="Calibri"/>
        <family val="2"/>
        <scheme val="minor"/>
      </rPr>
      <t>wind</t>
    </r>
  </si>
  <si>
    <r>
      <t xml:space="preserve">B </t>
    </r>
    <r>
      <rPr>
        <vertAlign val="subscript"/>
        <sz val="11"/>
        <color theme="1"/>
        <rFont val="Calibri"/>
        <family val="2"/>
        <scheme val="minor"/>
      </rPr>
      <t>wind</t>
    </r>
  </si>
  <si>
    <r>
      <t xml:space="preserve">C </t>
    </r>
    <r>
      <rPr>
        <vertAlign val="subscript"/>
        <sz val="11"/>
        <color theme="1"/>
        <rFont val="Calibri"/>
        <family val="2"/>
        <scheme val="minor"/>
      </rPr>
      <t>wind</t>
    </r>
  </si>
  <si>
    <r>
      <t xml:space="preserve">IFA </t>
    </r>
    <r>
      <rPr>
        <vertAlign val="subscript"/>
        <sz val="11"/>
        <color theme="1"/>
        <rFont val="Calibri"/>
        <family val="2"/>
        <scheme val="minor"/>
      </rPr>
      <t>res-adj</t>
    </r>
  </si>
  <si>
    <r>
      <t xml:space="preserve">IFW </t>
    </r>
    <r>
      <rPr>
        <vertAlign val="subscript"/>
        <sz val="11"/>
        <color theme="1"/>
        <rFont val="Calibri"/>
        <family val="2"/>
        <scheme val="minor"/>
      </rPr>
      <t>res-adj</t>
    </r>
  </si>
  <si>
    <r>
      <t xml:space="preserve">IFS </t>
    </r>
    <r>
      <rPr>
        <vertAlign val="subscript"/>
        <sz val="11"/>
        <color theme="1"/>
        <rFont val="Calibri"/>
        <family val="2"/>
        <scheme val="minor"/>
      </rPr>
      <t>res-adj</t>
    </r>
  </si>
  <si>
    <r>
      <t xml:space="preserve">IFA </t>
    </r>
    <r>
      <rPr>
        <vertAlign val="subscript"/>
        <sz val="11"/>
        <color theme="1"/>
        <rFont val="Calibri"/>
        <family val="2"/>
        <scheme val="minor"/>
      </rPr>
      <t>rec-adj</t>
    </r>
  </si>
  <si>
    <r>
      <t xml:space="preserve">IFS </t>
    </r>
    <r>
      <rPr>
        <vertAlign val="subscript"/>
        <sz val="11"/>
        <color theme="1"/>
        <rFont val="Calibri"/>
        <family val="2"/>
        <scheme val="minor"/>
      </rPr>
      <t>rec-adj</t>
    </r>
  </si>
  <si>
    <r>
      <t xml:space="preserve">IFW </t>
    </r>
    <r>
      <rPr>
        <vertAlign val="subscript"/>
        <sz val="11"/>
        <color theme="1"/>
        <rFont val="Calibri"/>
        <family val="2"/>
        <scheme val="minor"/>
      </rPr>
      <t>rec-adj</t>
    </r>
  </si>
  <si>
    <r>
      <t xml:space="preserve">IFA </t>
    </r>
    <r>
      <rPr>
        <vertAlign val="subscript"/>
        <sz val="11"/>
        <color theme="1"/>
        <rFont val="Calibri"/>
        <family val="2"/>
        <scheme val="minor"/>
      </rPr>
      <t>far-adj</t>
    </r>
  </si>
  <si>
    <r>
      <t xml:space="preserve">IFS </t>
    </r>
    <r>
      <rPr>
        <vertAlign val="subscript"/>
        <sz val="11"/>
        <color theme="1"/>
        <rFont val="Calibri"/>
        <family val="2"/>
        <scheme val="minor"/>
      </rPr>
      <t>far-adj</t>
    </r>
  </si>
  <si>
    <r>
      <t xml:space="preserve">IFW </t>
    </r>
    <r>
      <rPr>
        <vertAlign val="subscript"/>
        <sz val="11"/>
        <color theme="1"/>
        <rFont val="Calibri"/>
        <family val="2"/>
        <scheme val="minor"/>
      </rPr>
      <t>far-adj</t>
    </r>
  </si>
  <si>
    <r>
      <t xml:space="preserve">IFD </t>
    </r>
    <r>
      <rPr>
        <vertAlign val="subscript"/>
        <sz val="11"/>
        <color theme="1"/>
        <rFont val="Calibri"/>
        <family val="2"/>
        <scheme val="minor"/>
      </rPr>
      <t>far-adj</t>
    </r>
  </si>
  <si>
    <r>
      <t xml:space="preserve">IFB </t>
    </r>
    <r>
      <rPr>
        <vertAlign val="subscript"/>
        <sz val="11"/>
        <color theme="1"/>
        <rFont val="Calibri"/>
        <family val="2"/>
        <scheme val="minor"/>
      </rPr>
      <t>far-adj</t>
    </r>
  </si>
  <si>
    <r>
      <t xml:space="preserve">IFE </t>
    </r>
    <r>
      <rPr>
        <vertAlign val="subscript"/>
        <sz val="11"/>
        <color theme="1"/>
        <rFont val="Calibri"/>
        <family val="2"/>
        <scheme val="minor"/>
      </rPr>
      <t>far-adj</t>
    </r>
  </si>
  <si>
    <r>
      <t xml:space="preserve">IFFI </t>
    </r>
    <r>
      <rPr>
        <vertAlign val="subscript"/>
        <sz val="11"/>
        <color theme="1"/>
        <rFont val="Calibri"/>
        <family val="2"/>
        <scheme val="minor"/>
      </rPr>
      <t>far-adj</t>
    </r>
  </si>
  <si>
    <r>
      <t xml:space="preserve">IFP </t>
    </r>
    <r>
      <rPr>
        <vertAlign val="subscript"/>
        <sz val="11"/>
        <color theme="1"/>
        <rFont val="Calibri"/>
        <family val="2"/>
        <scheme val="minor"/>
      </rPr>
      <t>far-adj</t>
    </r>
  </si>
  <si>
    <r>
      <t xml:space="preserve">IFSW </t>
    </r>
    <r>
      <rPr>
        <vertAlign val="subscript"/>
        <sz val="11"/>
        <color theme="1"/>
        <rFont val="Calibri"/>
        <family val="2"/>
        <scheme val="minor"/>
      </rPr>
      <t>far-adj</t>
    </r>
  </si>
  <si>
    <t>m^3</t>
  </si>
  <si>
    <t>mg</t>
  </si>
  <si>
    <t>L</t>
  </si>
  <si>
    <r>
      <t xml:space="preserve">l </t>
    </r>
    <r>
      <rPr>
        <vertAlign val="subscript"/>
        <sz val="11"/>
        <color theme="1"/>
        <rFont val="Calibri"/>
        <family val="2"/>
        <scheme val="minor"/>
      </rPr>
      <t>s2gw</t>
    </r>
  </si>
  <si>
    <t>s_K</t>
  </si>
  <si>
    <r>
      <t xml:space="preserve">s_GSF </t>
    </r>
    <r>
      <rPr>
        <vertAlign val="subscript"/>
        <sz val="11"/>
        <color theme="1"/>
        <rFont val="Calibri"/>
        <family val="2"/>
        <scheme val="minor"/>
      </rPr>
      <t>a</t>
    </r>
  </si>
  <si>
    <r>
      <t xml:space="preserve">s_GSF </t>
    </r>
    <r>
      <rPr>
        <vertAlign val="subscript"/>
        <sz val="11"/>
        <color theme="1"/>
        <rFont val="Calibri"/>
        <family val="2"/>
        <scheme val="minor"/>
      </rPr>
      <t>i</t>
    </r>
  </si>
  <si>
    <r>
      <t xml:space="preserve">s_GSF </t>
    </r>
    <r>
      <rPr>
        <vertAlign val="subscript"/>
        <sz val="11"/>
        <color theme="1"/>
        <rFont val="Calibri"/>
        <family val="2"/>
        <scheme val="minor"/>
      </rPr>
      <t>o</t>
    </r>
  </si>
  <si>
    <t>s_lambda HL</t>
  </si>
  <si>
    <t>s_Ir</t>
  </si>
  <si>
    <t>s_F</t>
  </si>
  <si>
    <r>
      <t xml:space="preserve">s_t </t>
    </r>
    <r>
      <rPr>
        <vertAlign val="subscript"/>
        <sz val="11"/>
        <rFont val="Calibri"/>
        <family val="2"/>
        <scheme val="minor"/>
      </rPr>
      <t>b</t>
    </r>
  </si>
  <si>
    <t>s_P</t>
  </si>
  <si>
    <r>
      <t xml:space="preserve">s_I </t>
    </r>
    <r>
      <rPr>
        <vertAlign val="subscript"/>
        <sz val="11"/>
        <rFont val="Calibri"/>
        <family val="2"/>
        <scheme val="minor"/>
      </rPr>
      <t>f</t>
    </r>
  </si>
  <si>
    <r>
      <t xml:space="preserve">s_t </t>
    </r>
    <r>
      <rPr>
        <vertAlign val="subscript"/>
        <sz val="11"/>
        <rFont val="Calibri"/>
        <family val="2"/>
        <scheme val="minor"/>
      </rPr>
      <t>v</t>
    </r>
  </si>
  <si>
    <r>
      <t xml:space="preserve">s_Y </t>
    </r>
    <r>
      <rPr>
        <vertAlign val="subscript"/>
        <sz val="11"/>
        <rFont val="Calibri"/>
        <family val="2"/>
        <scheme val="minor"/>
      </rPr>
      <t>v</t>
    </r>
  </si>
  <si>
    <t>s_T</t>
  </si>
  <si>
    <r>
      <t xml:space="preserve">s_t </t>
    </r>
    <r>
      <rPr>
        <vertAlign val="subscript"/>
        <sz val="11"/>
        <rFont val="Calibri"/>
        <family val="2"/>
        <scheme val="minor"/>
      </rPr>
      <t>w</t>
    </r>
  </si>
  <si>
    <t xml:space="preserve">s_ρb </t>
  </si>
  <si>
    <r>
      <t>s_θ</t>
    </r>
    <r>
      <rPr>
        <vertAlign val="subscript"/>
        <sz val="11"/>
        <color theme="1"/>
        <rFont val="Calibri"/>
        <family val="2"/>
        <scheme val="minor"/>
      </rPr>
      <t>w</t>
    </r>
  </si>
  <si>
    <r>
      <t xml:space="preserve">s_ED </t>
    </r>
    <r>
      <rPr>
        <vertAlign val="subscript"/>
        <sz val="11"/>
        <color theme="1"/>
        <rFont val="Calibri"/>
        <family val="2"/>
        <scheme val="minor"/>
      </rPr>
      <t>s2gw</t>
    </r>
  </si>
  <si>
    <r>
      <t xml:space="preserve">s_K </t>
    </r>
    <r>
      <rPr>
        <vertAlign val="subscript"/>
        <sz val="11"/>
        <color theme="1"/>
        <rFont val="Calibri"/>
        <family val="2"/>
        <scheme val="minor"/>
      </rPr>
      <t>s2gw</t>
    </r>
  </si>
  <si>
    <r>
      <t xml:space="preserve">s_i </t>
    </r>
    <r>
      <rPr>
        <vertAlign val="subscript"/>
        <sz val="11"/>
        <color theme="1"/>
        <rFont val="Calibri"/>
        <family val="2"/>
        <scheme val="minor"/>
      </rPr>
      <t>s2gw</t>
    </r>
  </si>
  <si>
    <r>
      <t>s_d</t>
    </r>
    <r>
      <rPr>
        <vertAlign val="subscript"/>
        <sz val="11"/>
        <color theme="1"/>
        <rFont val="Calibri"/>
        <family val="2"/>
        <scheme val="minor"/>
      </rPr>
      <t xml:space="preserve"> a</t>
    </r>
  </si>
  <si>
    <r>
      <t>s_d</t>
    </r>
    <r>
      <rPr>
        <vertAlign val="subscript"/>
        <sz val="11"/>
        <color theme="1"/>
        <rFont val="Calibri"/>
        <family val="2"/>
        <scheme val="minor"/>
      </rPr>
      <t xml:space="preserve"> s</t>
    </r>
  </si>
  <si>
    <r>
      <t>s_PEF</t>
    </r>
    <r>
      <rPr>
        <sz val="12"/>
        <color theme="1"/>
        <rFont val="Calibri"/>
        <family val="2"/>
        <scheme val="minor"/>
      </rPr>
      <t xml:space="preserve"> </t>
    </r>
    <r>
      <rPr>
        <vertAlign val="subscript"/>
        <sz val="12"/>
        <color theme="1"/>
        <rFont val="Calibri"/>
        <family val="2"/>
        <scheme val="minor"/>
      </rPr>
      <t>wind</t>
    </r>
  </si>
  <si>
    <t>s_Um</t>
  </si>
  <si>
    <t>s_Ut</t>
  </si>
  <si>
    <t>s_F(x)</t>
  </si>
  <si>
    <t>s_V</t>
  </si>
  <si>
    <r>
      <t xml:space="preserve">s_Q/C </t>
    </r>
    <r>
      <rPr>
        <vertAlign val="subscript"/>
        <sz val="11"/>
        <color theme="1"/>
        <rFont val="Calibri"/>
        <family val="2"/>
        <scheme val="minor"/>
      </rPr>
      <t>wind</t>
    </r>
  </si>
  <si>
    <t>s_As</t>
  </si>
  <si>
    <r>
      <t xml:space="preserve">s_A </t>
    </r>
    <r>
      <rPr>
        <vertAlign val="subscript"/>
        <sz val="11"/>
        <color theme="1"/>
        <rFont val="Calibri"/>
        <family val="2"/>
        <scheme val="minor"/>
      </rPr>
      <t>wind</t>
    </r>
  </si>
  <si>
    <r>
      <t xml:space="preserve">s_B </t>
    </r>
    <r>
      <rPr>
        <vertAlign val="subscript"/>
        <sz val="11"/>
        <color theme="1"/>
        <rFont val="Calibri"/>
        <family val="2"/>
        <scheme val="minor"/>
      </rPr>
      <t>wind</t>
    </r>
  </si>
  <si>
    <r>
      <t xml:space="preserve">s_C </t>
    </r>
    <r>
      <rPr>
        <vertAlign val="subscript"/>
        <sz val="11"/>
        <color theme="1"/>
        <rFont val="Calibri"/>
        <family val="2"/>
        <scheme val="minor"/>
      </rPr>
      <t>wind</t>
    </r>
  </si>
  <si>
    <r>
      <t xml:space="preserve">s_ED </t>
    </r>
    <r>
      <rPr>
        <vertAlign val="subscript"/>
        <sz val="11"/>
        <color theme="1"/>
        <rFont val="Calibri"/>
        <family val="2"/>
        <scheme val="minor"/>
      </rPr>
      <t>res-c</t>
    </r>
  </si>
  <si>
    <r>
      <t xml:space="preserve">s_ED </t>
    </r>
    <r>
      <rPr>
        <vertAlign val="subscript"/>
        <sz val="11"/>
        <color theme="1"/>
        <rFont val="Calibri"/>
        <family val="2"/>
        <scheme val="minor"/>
      </rPr>
      <t>res-a</t>
    </r>
  </si>
  <si>
    <r>
      <t xml:space="preserve">s_ED </t>
    </r>
    <r>
      <rPr>
        <vertAlign val="subscript"/>
        <sz val="11"/>
        <color theme="1"/>
        <rFont val="Calibri"/>
        <family val="2"/>
        <scheme val="minor"/>
      </rPr>
      <t>res</t>
    </r>
  </si>
  <si>
    <r>
      <t xml:space="preserve">s_IRD </t>
    </r>
    <r>
      <rPr>
        <vertAlign val="subscript"/>
        <sz val="11"/>
        <rFont val="Calibri"/>
        <family val="2"/>
        <scheme val="minor"/>
      </rPr>
      <t>far-c</t>
    </r>
  </si>
  <si>
    <r>
      <t xml:space="preserve">s_IRD </t>
    </r>
    <r>
      <rPr>
        <vertAlign val="subscript"/>
        <sz val="11"/>
        <rFont val="Calibri"/>
        <family val="2"/>
        <scheme val="minor"/>
      </rPr>
      <t>far-a</t>
    </r>
  </si>
  <si>
    <r>
      <t xml:space="preserve">s_IFD </t>
    </r>
    <r>
      <rPr>
        <vertAlign val="subscript"/>
        <sz val="11"/>
        <color theme="1"/>
        <rFont val="Calibri"/>
        <family val="2"/>
        <scheme val="minor"/>
      </rPr>
      <t>far-adj</t>
    </r>
  </si>
  <si>
    <r>
      <t xml:space="preserve">s_IRB </t>
    </r>
    <r>
      <rPr>
        <vertAlign val="subscript"/>
        <sz val="11"/>
        <rFont val="Calibri"/>
        <family val="2"/>
        <scheme val="minor"/>
      </rPr>
      <t>far-c</t>
    </r>
  </si>
  <si>
    <r>
      <t xml:space="preserve">s_IRB </t>
    </r>
    <r>
      <rPr>
        <vertAlign val="subscript"/>
        <sz val="11"/>
        <rFont val="Calibri"/>
        <family val="2"/>
        <scheme val="minor"/>
      </rPr>
      <t>far-a</t>
    </r>
  </si>
  <si>
    <r>
      <t xml:space="preserve">s_IFB </t>
    </r>
    <r>
      <rPr>
        <vertAlign val="subscript"/>
        <sz val="11"/>
        <color theme="1"/>
        <rFont val="Calibri"/>
        <family val="2"/>
        <scheme val="minor"/>
      </rPr>
      <t>far-adj</t>
    </r>
  </si>
  <si>
    <r>
      <t xml:space="preserve">s_IRE </t>
    </r>
    <r>
      <rPr>
        <vertAlign val="subscript"/>
        <sz val="11"/>
        <rFont val="Calibri"/>
        <family val="2"/>
        <scheme val="minor"/>
      </rPr>
      <t>far-c</t>
    </r>
  </si>
  <si>
    <r>
      <t xml:space="preserve">s_IRE </t>
    </r>
    <r>
      <rPr>
        <vertAlign val="subscript"/>
        <sz val="11"/>
        <rFont val="Calibri"/>
        <family val="2"/>
        <scheme val="minor"/>
      </rPr>
      <t>far-a</t>
    </r>
  </si>
  <si>
    <r>
      <t xml:space="preserve">s_IFE </t>
    </r>
    <r>
      <rPr>
        <vertAlign val="subscript"/>
        <sz val="11"/>
        <color theme="1"/>
        <rFont val="Calibri"/>
        <family val="2"/>
        <scheme val="minor"/>
      </rPr>
      <t>far-adj</t>
    </r>
  </si>
  <si>
    <r>
      <t xml:space="preserve">s_IRFI </t>
    </r>
    <r>
      <rPr>
        <vertAlign val="subscript"/>
        <sz val="11"/>
        <rFont val="Calibri"/>
        <family val="2"/>
        <scheme val="minor"/>
      </rPr>
      <t>far-c</t>
    </r>
  </si>
  <si>
    <r>
      <t xml:space="preserve">s_IRFI </t>
    </r>
    <r>
      <rPr>
        <vertAlign val="subscript"/>
        <sz val="11"/>
        <rFont val="Calibri"/>
        <family val="2"/>
        <scheme val="minor"/>
      </rPr>
      <t>far-a</t>
    </r>
  </si>
  <si>
    <r>
      <t xml:space="preserve">s_IFFI </t>
    </r>
    <r>
      <rPr>
        <vertAlign val="subscript"/>
        <sz val="11"/>
        <color theme="1"/>
        <rFont val="Calibri"/>
        <family val="2"/>
        <scheme val="minor"/>
      </rPr>
      <t>far-adj</t>
    </r>
  </si>
  <si>
    <r>
      <t xml:space="preserve">s_IRP </t>
    </r>
    <r>
      <rPr>
        <vertAlign val="subscript"/>
        <sz val="11"/>
        <rFont val="Calibri"/>
        <family val="2"/>
        <scheme val="minor"/>
      </rPr>
      <t>far-c</t>
    </r>
  </si>
  <si>
    <r>
      <t xml:space="preserve">s_IRP </t>
    </r>
    <r>
      <rPr>
        <vertAlign val="subscript"/>
        <sz val="11"/>
        <rFont val="Calibri"/>
        <family val="2"/>
        <scheme val="minor"/>
      </rPr>
      <t>far-a</t>
    </r>
  </si>
  <si>
    <r>
      <t xml:space="preserve">s_IFP </t>
    </r>
    <r>
      <rPr>
        <vertAlign val="subscript"/>
        <sz val="11"/>
        <color theme="1"/>
        <rFont val="Calibri"/>
        <family val="2"/>
        <scheme val="minor"/>
      </rPr>
      <t>far-adj</t>
    </r>
  </si>
  <si>
    <r>
      <t xml:space="preserve">s_IRSW </t>
    </r>
    <r>
      <rPr>
        <vertAlign val="subscript"/>
        <sz val="11"/>
        <rFont val="Calibri"/>
        <family val="2"/>
        <scheme val="minor"/>
      </rPr>
      <t>far-c</t>
    </r>
  </si>
  <si>
    <r>
      <t xml:space="preserve">s_IRSW </t>
    </r>
    <r>
      <rPr>
        <vertAlign val="subscript"/>
        <sz val="11"/>
        <rFont val="Calibri"/>
        <family val="2"/>
        <scheme val="minor"/>
      </rPr>
      <t>far-a</t>
    </r>
  </si>
  <si>
    <r>
      <t xml:space="preserve">s_IFSW </t>
    </r>
    <r>
      <rPr>
        <vertAlign val="subscript"/>
        <sz val="11"/>
        <color theme="1"/>
        <rFont val="Calibri"/>
        <family val="2"/>
        <scheme val="minor"/>
      </rPr>
      <t>far-adj</t>
    </r>
  </si>
  <si>
    <r>
      <t xml:space="preserve">s_CF </t>
    </r>
    <r>
      <rPr>
        <vertAlign val="subscript"/>
        <sz val="11"/>
        <rFont val="Calibri"/>
        <family val="2"/>
        <scheme val="minor"/>
      </rPr>
      <t>far-dairy</t>
    </r>
  </si>
  <si>
    <r>
      <t xml:space="preserve">s_CF </t>
    </r>
    <r>
      <rPr>
        <vertAlign val="subscript"/>
        <sz val="11"/>
        <rFont val="Calibri"/>
        <family val="2"/>
        <scheme val="minor"/>
      </rPr>
      <t>far-beef</t>
    </r>
  </si>
  <si>
    <r>
      <t xml:space="preserve">s_CF </t>
    </r>
    <r>
      <rPr>
        <vertAlign val="subscript"/>
        <sz val="11"/>
        <rFont val="Calibri"/>
        <family val="2"/>
        <scheme val="minor"/>
      </rPr>
      <t>far-egg</t>
    </r>
  </si>
  <si>
    <r>
      <t xml:space="preserve">s_CF </t>
    </r>
    <r>
      <rPr>
        <vertAlign val="subscript"/>
        <sz val="11"/>
        <rFont val="Calibri"/>
        <family val="2"/>
        <scheme val="minor"/>
      </rPr>
      <t>far-fish</t>
    </r>
  </si>
  <si>
    <r>
      <t xml:space="preserve">s_CF </t>
    </r>
    <r>
      <rPr>
        <vertAlign val="subscript"/>
        <sz val="11"/>
        <rFont val="Calibri"/>
        <family val="2"/>
        <scheme val="minor"/>
      </rPr>
      <t>far-poultry</t>
    </r>
  </si>
  <si>
    <r>
      <t xml:space="preserve">s_CF </t>
    </r>
    <r>
      <rPr>
        <vertAlign val="subscript"/>
        <sz val="11"/>
        <rFont val="Calibri"/>
        <family val="2"/>
        <scheme val="minor"/>
      </rPr>
      <t>far-swine</t>
    </r>
  </si>
  <si>
    <r>
      <t xml:space="preserve">s_Q </t>
    </r>
    <r>
      <rPr>
        <vertAlign val="subscript"/>
        <sz val="11"/>
        <rFont val="Calibri"/>
        <family val="2"/>
        <scheme val="minor"/>
      </rPr>
      <t>w dairy</t>
    </r>
  </si>
  <si>
    <r>
      <t xml:space="preserve">s_Q </t>
    </r>
    <r>
      <rPr>
        <vertAlign val="subscript"/>
        <sz val="11"/>
        <rFont val="Calibri"/>
        <family val="2"/>
        <scheme val="minor"/>
      </rPr>
      <t>p-dairy</t>
    </r>
  </si>
  <si>
    <r>
      <t xml:space="preserve">s_Q </t>
    </r>
    <r>
      <rPr>
        <vertAlign val="subscript"/>
        <sz val="11"/>
        <rFont val="Calibri"/>
        <family val="2"/>
        <scheme val="minor"/>
      </rPr>
      <t>s-dairy</t>
    </r>
  </si>
  <si>
    <r>
      <t xml:space="preserve">s_f </t>
    </r>
    <r>
      <rPr>
        <vertAlign val="subscript"/>
        <sz val="11"/>
        <rFont val="Calibri"/>
        <family val="2"/>
        <scheme val="minor"/>
      </rPr>
      <t>p-dairy</t>
    </r>
  </si>
  <si>
    <r>
      <t xml:space="preserve">s_f </t>
    </r>
    <r>
      <rPr>
        <vertAlign val="subscript"/>
        <sz val="11"/>
        <rFont val="Calibri"/>
        <family val="2"/>
        <scheme val="minor"/>
      </rPr>
      <t>s-dairy</t>
    </r>
  </si>
  <si>
    <r>
      <t xml:space="preserve">s_Q </t>
    </r>
    <r>
      <rPr>
        <vertAlign val="subscript"/>
        <sz val="11"/>
        <rFont val="Calibri"/>
        <family val="2"/>
        <scheme val="minor"/>
      </rPr>
      <t>w-beef</t>
    </r>
  </si>
  <si>
    <r>
      <t xml:space="preserve">s_Q </t>
    </r>
    <r>
      <rPr>
        <vertAlign val="subscript"/>
        <sz val="11"/>
        <rFont val="Calibri"/>
        <family val="2"/>
        <scheme val="minor"/>
      </rPr>
      <t>p-beef</t>
    </r>
  </si>
  <si>
    <r>
      <t xml:space="preserve">s_Q </t>
    </r>
    <r>
      <rPr>
        <vertAlign val="subscript"/>
        <sz val="11"/>
        <rFont val="Calibri"/>
        <family val="2"/>
        <scheme val="minor"/>
      </rPr>
      <t>s-beef</t>
    </r>
  </si>
  <si>
    <r>
      <t xml:space="preserve">s_f </t>
    </r>
    <r>
      <rPr>
        <vertAlign val="subscript"/>
        <sz val="11"/>
        <rFont val="Calibri"/>
        <family val="2"/>
        <scheme val="minor"/>
      </rPr>
      <t>p-beef</t>
    </r>
  </si>
  <si>
    <r>
      <t xml:space="preserve">s_f </t>
    </r>
    <r>
      <rPr>
        <vertAlign val="subscript"/>
        <sz val="11"/>
        <rFont val="Calibri"/>
        <family val="2"/>
        <scheme val="minor"/>
      </rPr>
      <t>s-beef</t>
    </r>
  </si>
  <si>
    <r>
      <t xml:space="preserve">s_Q </t>
    </r>
    <r>
      <rPr>
        <vertAlign val="subscript"/>
        <sz val="11"/>
        <rFont val="Calibri"/>
        <family val="2"/>
        <scheme val="minor"/>
      </rPr>
      <t>w-egg</t>
    </r>
  </si>
  <si>
    <r>
      <t xml:space="preserve">s_Q </t>
    </r>
    <r>
      <rPr>
        <vertAlign val="subscript"/>
        <sz val="11"/>
        <rFont val="Calibri"/>
        <family val="2"/>
        <scheme val="minor"/>
      </rPr>
      <t>p-egg</t>
    </r>
  </si>
  <si>
    <r>
      <t xml:space="preserve">s_Q </t>
    </r>
    <r>
      <rPr>
        <vertAlign val="subscript"/>
        <sz val="11"/>
        <rFont val="Calibri"/>
        <family val="2"/>
        <scheme val="minor"/>
      </rPr>
      <t>s-egg</t>
    </r>
  </si>
  <si>
    <r>
      <t xml:space="preserve">s_f </t>
    </r>
    <r>
      <rPr>
        <vertAlign val="subscript"/>
        <sz val="11"/>
        <rFont val="Calibri"/>
        <family val="2"/>
        <scheme val="minor"/>
      </rPr>
      <t>p-egg</t>
    </r>
  </si>
  <si>
    <r>
      <t xml:space="preserve">s_f </t>
    </r>
    <r>
      <rPr>
        <vertAlign val="subscript"/>
        <sz val="11"/>
        <rFont val="Calibri"/>
        <family val="2"/>
        <scheme val="minor"/>
      </rPr>
      <t>s-egg</t>
    </r>
  </si>
  <si>
    <r>
      <t xml:space="preserve">s_Q </t>
    </r>
    <r>
      <rPr>
        <vertAlign val="subscript"/>
        <sz val="11"/>
        <rFont val="Calibri"/>
        <family val="2"/>
        <scheme val="minor"/>
      </rPr>
      <t>w-poultry</t>
    </r>
  </si>
  <si>
    <r>
      <t xml:space="preserve">s_Q </t>
    </r>
    <r>
      <rPr>
        <vertAlign val="subscript"/>
        <sz val="11"/>
        <rFont val="Calibri"/>
        <family val="2"/>
        <scheme val="minor"/>
      </rPr>
      <t>p-poultry</t>
    </r>
  </si>
  <si>
    <r>
      <t xml:space="preserve">s_Q </t>
    </r>
    <r>
      <rPr>
        <vertAlign val="subscript"/>
        <sz val="11"/>
        <rFont val="Calibri"/>
        <family val="2"/>
        <scheme val="minor"/>
      </rPr>
      <t>s-poultry</t>
    </r>
  </si>
  <si>
    <r>
      <t xml:space="preserve">s_f </t>
    </r>
    <r>
      <rPr>
        <vertAlign val="subscript"/>
        <sz val="11"/>
        <rFont val="Calibri"/>
        <family val="2"/>
        <scheme val="minor"/>
      </rPr>
      <t>p-poultry</t>
    </r>
  </si>
  <si>
    <r>
      <t xml:space="preserve">s_f </t>
    </r>
    <r>
      <rPr>
        <vertAlign val="subscript"/>
        <sz val="11"/>
        <rFont val="Calibri"/>
        <family val="2"/>
        <scheme val="minor"/>
      </rPr>
      <t>s-poultry</t>
    </r>
  </si>
  <si>
    <r>
      <t xml:space="preserve">s_Q </t>
    </r>
    <r>
      <rPr>
        <vertAlign val="subscript"/>
        <sz val="11"/>
        <rFont val="Calibri"/>
        <family val="2"/>
        <scheme val="minor"/>
      </rPr>
      <t>w-swine</t>
    </r>
  </si>
  <si>
    <r>
      <t xml:space="preserve">s_Q </t>
    </r>
    <r>
      <rPr>
        <vertAlign val="subscript"/>
        <sz val="11"/>
        <rFont val="Calibri"/>
        <family val="2"/>
        <scheme val="minor"/>
      </rPr>
      <t>p-swine</t>
    </r>
  </si>
  <si>
    <r>
      <t xml:space="preserve">s_Q </t>
    </r>
    <r>
      <rPr>
        <vertAlign val="subscript"/>
        <sz val="11"/>
        <rFont val="Calibri"/>
        <family val="2"/>
        <scheme val="minor"/>
      </rPr>
      <t>s-swine</t>
    </r>
  </si>
  <si>
    <r>
      <t xml:space="preserve">s_f </t>
    </r>
    <r>
      <rPr>
        <vertAlign val="subscript"/>
        <sz val="11"/>
        <rFont val="Calibri"/>
        <family val="2"/>
        <scheme val="minor"/>
      </rPr>
      <t>p-swine</t>
    </r>
  </si>
  <si>
    <r>
      <t xml:space="preserve">s_f </t>
    </r>
    <r>
      <rPr>
        <vertAlign val="subscript"/>
        <sz val="11"/>
        <rFont val="Calibri"/>
        <family val="2"/>
        <scheme val="minor"/>
      </rPr>
      <t>s-swine</t>
    </r>
  </si>
  <si>
    <t>YHALFLIFE</t>
  </si>
  <si>
    <t>WEIGHT</t>
  </si>
  <si>
    <t>MILKBTF</t>
  </si>
  <si>
    <t>BEEFBTF</t>
  </si>
  <si>
    <t>FISHBTF</t>
  </si>
  <si>
    <t>EGGBTF</t>
  </si>
  <si>
    <t>SWINEBTF</t>
  </si>
  <si>
    <t>BVWET</t>
  </si>
  <si>
    <t>BVDRY</t>
  </si>
  <si>
    <t>GIABSFCT</t>
  </si>
  <si>
    <t>LAMBDA</t>
  </si>
  <si>
    <t>Test Rad</t>
  </si>
  <si>
    <t>Y</t>
  </si>
  <si>
    <r>
      <t xml:space="preserve">MLF </t>
    </r>
    <r>
      <rPr>
        <vertAlign val="subscript"/>
        <sz val="11"/>
        <rFont val="Calibri"/>
        <family val="2"/>
        <scheme val="minor"/>
      </rPr>
      <t>pasture</t>
    </r>
  </si>
  <si>
    <r>
      <t xml:space="preserve">s_MLF </t>
    </r>
    <r>
      <rPr>
        <vertAlign val="subscript"/>
        <sz val="11"/>
        <rFont val="Calibri"/>
        <family val="2"/>
        <scheme val="minor"/>
      </rPr>
      <t>pasture</t>
    </r>
  </si>
  <si>
    <t>MCL</t>
  </si>
  <si>
    <t>MASS</t>
  </si>
  <si>
    <t>hours</t>
  </si>
  <si>
    <r>
      <t xml:space="preserve">DFA </t>
    </r>
    <r>
      <rPr>
        <vertAlign val="subscript"/>
        <sz val="11"/>
        <color theme="1"/>
        <rFont val="Calibri"/>
        <family val="2"/>
        <scheme val="minor"/>
      </rPr>
      <t>res-adj</t>
    </r>
  </si>
  <si>
    <t>lambda i</t>
  </si>
  <si>
    <t>lambda E</t>
  </si>
  <si>
    <t>lambda B</t>
  </si>
  <si>
    <t>DHALFLIFE</t>
  </si>
  <si>
    <t>Volatile</t>
  </si>
  <si>
    <t>GSFiGP</t>
  </si>
  <si>
    <t>GSFiSV</t>
  </si>
  <si>
    <t>GSFiSV1</t>
  </si>
  <si>
    <t>GSFiSV5</t>
  </si>
  <si>
    <t>GSFiSV15</t>
  </si>
  <si>
    <r>
      <t xml:space="preserve">DFA </t>
    </r>
    <r>
      <rPr>
        <vertAlign val="subscript"/>
        <sz val="11"/>
        <color theme="1"/>
        <rFont val="Calibri"/>
        <family val="2"/>
        <scheme val="minor"/>
      </rPr>
      <t>rec-adj</t>
    </r>
  </si>
  <si>
    <r>
      <t xml:space="preserve">CF </t>
    </r>
    <r>
      <rPr>
        <vertAlign val="subscript"/>
        <sz val="11"/>
        <rFont val="Calibri"/>
        <family val="2"/>
        <scheme val="minor"/>
      </rPr>
      <t>fowl</t>
    </r>
  </si>
  <si>
    <r>
      <t xml:space="preserve">CF </t>
    </r>
    <r>
      <rPr>
        <vertAlign val="subscript"/>
        <sz val="11"/>
        <rFont val="Calibri"/>
        <family val="2"/>
        <scheme val="minor"/>
      </rPr>
      <t>game</t>
    </r>
  </si>
  <si>
    <r>
      <t>IRGL</t>
    </r>
    <r>
      <rPr>
        <vertAlign val="subscript"/>
        <sz val="11"/>
        <color theme="1"/>
        <rFont val="Calibri"/>
        <family val="2"/>
        <scheme val="minor"/>
      </rPr>
      <t xml:space="preserve"> rec</t>
    </r>
  </si>
  <si>
    <r>
      <t xml:space="preserve">IRGF </t>
    </r>
    <r>
      <rPr>
        <vertAlign val="subscript"/>
        <sz val="11"/>
        <color theme="1"/>
        <rFont val="Calibri"/>
        <family val="2"/>
        <scheme val="minor"/>
      </rPr>
      <t>rec</t>
    </r>
  </si>
  <si>
    <t>Rupp</t>
  </si>
  <si>
    <r>
      <t xml:space="preserve">R </t>
    </r>
    <r>
      <rPr>
        <vertAlign val="subscript"/>
        <sz val="11"/>
        <rFont val="Calibri"/>
        <family val="2"/>
        <scheme val="minor"/>
      </rPr>
      <t>es-past</t>
    </r>
  </si>
  <si>
    <r>
      <t xml:space="preserve">s_R </t>
    </r>
    <r>
      <rPr>
        <vertAlign val="subscript"/>
        <sz val="11"/>
        <rFont val="Calibri"/>
        <family val="2"/>
        <scheme val="minor"/>
      </rPr>
      <t>es-past</t>
    </r>
  </si>
  <si>
    <t>Ruvp</t>
  </si>
  <si>
    <r>
      <t xml:space="preserve">EF </t>
    </r>
    <r>
      <rPr>
        <vertAlign val="subscript"/>
        <sz val="11"/>
        <color theme="1"/>
        <rFont val="Calibri"/>
        <family val="2"/>
        <scheme val="minor"/>
      </rPr>
      <t>far</t>
    </r>
  </si>
  <si>
    <r>
      <t xml:space="preserve">D </t>
    </r>
    <r>
      <rPr>
        <vertAlign val="subscript"/>
        <sz val="11"/>
        <rFont val="Calibri"/>
        <family val="2"/>
        <scheme val="minor"/>
      </rPr>
      <t>milk</t>
    </r>
  </si>
  <si>
    <r>
      <t xml:space="preserve">DFA </t>
    </r>
    <r>
      <rPr>
        <vertAlign val="subscript"/>
        <sz val="11"/>
        <color theme="1"/>
        <rFont val="Calibri"/>
        <family val="2"/>
        <scheme val="minor"/>
      </rPr>
      <t>far-adj</t>
    </r>
  </si>
  <si>
    <t>*These are for running contruction worker and recreator with defaults only.</t>
  </si>
  <si>
    <t>DAF</t>
  </si>
  <si>
    <t>dm</t>
  </si>
  <si>
    <t>s_dm</t>
  </si>
  <si>
    <t>Farmer General</t>
  </si>
  <si>
    <r>
      <t>IRAP</t>
    </r>
    <r>
      <rPr>
        <vertAlign val="subscript"/>
        <sz val="11"/>
        <color theme="1"/>
        <rFont val="Calibri"/>
        <family val="2"/>
        <scheme val="minor"/>
      </rPr>
      <t xml:space="preserve"> far-c</t>
    </r>
  </si>
  <si>
    <r>
      <t xml:space="preserve">IRAP </t>
    </r>
    <r>
      <rPr>
        <vertAlign val="subscript"/>
        <sz val="11"/>
        <color theme="1"/>
        <rFont val="Calibri"/>
        <family val="2"/>
        <scheme val="minor"/>
      </rPr>
      <t>far-a</t>
    </r>
  </si>
  <si>
    <r>
      <t xml:space="preserve">IFAP </t>
    </r>
    <r>
      <rPr>
        <vertAlign val="subscript"/>
        <sz val="11"/>
        <color theme="1"/>
        <rFont val="Calibri"/>
        <family val="2"/>
        <scheme val="minor"/>
      </rPr>
      <t>far-adj</t>
    </r>
  </si>
  <si>
    <r>
      <t>IRAS</t>
    </r>
    <r>
      <rPr>
        <vertAlign val="subscript"/>
        <sz val="11"/>
        <color theme="1"/>
        <rFont val="Calibri"/>
        <family val="2"/>
        <scheme val="minor"/>
      </rPr>
      <t xml:space="preserve"> far-c</t>
    </r>
  </si>
  <si>
    <r>
      <t xml:space="preserve">IRAS </t>
    </r>
    <r>
      <rPr>
        <vertAlign val="subscript"/>
        <sz val="11"/>
        <color theme="1"/>
        <rFont val="Calibri"/>
        <family val="2"/>
        <scheme val="minor"/>
      </rPr>
      <t>far-a</t>
    </r>
  </si>
  <si>
    <r>
      <t xml:space="preserve">IFAS </t>
    </r>
    <r>
      <rPr>
        <vertAlign val="subscript"/>
        <sz val="11"/>
        <color theme="1"/>
        <rFont val="Calibri"/>
        <family val="2"/>
        <scheme val="minor"/>
      </rPr>
      <t>far-adj</t>
    </r>
  </si>
  <si>
    <r>
      <t>IRBT</t>
    </r>
    <r>
      <rPr>
        <vertAlign val="subscript"/>
        <sz val="11"/>
        <color theme="1"/>
        <rFont val="Calibri"/>
        <family val="2"/>
        <scheme val="minor"/>
      </rPr>
      <t xml:space="preserve"> far-c</t>
    </r>
  </si>
  <si>
    <r>
      <t xml:space="preserve">IRBT </t>
    </r>
    <r>
      <rPr>
        <vertAlign val="subscript"/>
        <sz val="11"/>
        <color theme="1"/>
        <rFont val="Calibri"/>
        <family val="2"/>
        <scheme val="minor"/>
      </rPr>
      <t>far-a</t>
    </r>
  </si>
  <si>
    <r>
      <t xml:space="preserve">IFBT </t>
    </r>
    <r>
      <rPr>
        <vertAlign val="subscript"/>
        <sz val="11"/>
        <color theme="1"/>
        <rFont val="Calibri"/>
        <family val="2"/>
        <scheme val="minor"/>
      </rPr>
      <t>far-adj</t>
    </r>
  </si>
  <si>
    <r>
      <t>IRBE</t>
    </r>
    <r>
      <rPr>
        <vertAlign val="subscript"/>
        <sz val="11"/>
        <color theme="1"/>
        <rFont val="Calibri"/>
        <family val="2"/>
        <scheme val="minor"/>
      </rPr>
      <t xml:space="preserve"> far-c</t>
    </r>
  </si>
  <si>
    <r>
      <t xml:space="preserve">IRBE </t>
    </r>
    <r>
      <rPr>
        <vertAlign val="subscript"/>
        <sz val="11"/>
        <color theme="1"/>
        <rFont val="Calibri"/>
        <family val="2"/>
        <scheme val="minor"/>
      </rPr>
      <t>far-a</t>
    </r>
  </si>
  <si>
    <r>
      <t xml:space="preserve">IFBE </t>
    </r>
    <r>
      <rPr>
        <vertAlign val="subscript"/>
        <sz val="11"/>
        <color theme="1"/>
        <rFont val="Calibri"/>
        <family val="2"/>
        <scheme val="minor"/>
      </rPr>
      <t>far-adj</t>
    </r>
  </si>
  <si>
    <r>
      <t>IRBR</t>
    </r>
    <r>
      <rPr>
        <vertAlign val="subscript"/>
        <sz val="11"/>
        <color theme="1"/>
        <rFont val="Calibri"/>
        <family val="2"/>
        <scheme val="minor"/>
      </rPr>
      <t xml:space="preserve"> far-c</t>
    </r>
  </si>
  <si>
    <r>
      <t xml:space="preserve">IRBR </t>
    </r>
    <r>
      <rPr>
        <vertAlign val="subscript"/>
        <sz val="11"/>
        <color theme="1"/>
        <rFont val="Calibri"/>
        <family val="2"/>
        <scheme val="minor"/>
      </rPr>
      <t>far-a</t>
    </r>
  </si>
  <si>
    <r>
      <t xml:space="preserve">IFBR </t>
    </r>
    <r>
      <rPr>
        <vertAlign val="subscript"/>
        <sz val="11"/>
        <color theme="1"/>
        <rFont val="Calibri"/>
        <family val="2"/>
        <scheme val="minor"/>
      </rPr>
      <t>far-adj</t>
    </r>
  </si>
  <si>
    <r>
      <t>IRCB</t>
    </r>
    <r>
      <rPr>
        <vertAlign val="subscript"/>
        <sz val="11"/>
        <color theme="1"/>
        <rFont val="Calibri"/>
        <family val="2"/>
        <scheme val="minor"/>
      </rPr>
      <t xml:space="preserve"> far-c</t>
    </r>
  </si>
  <si>
    <r>
      <t xml:space="preserve">IRCB </t>
    </r>
    <r>
      <rPr>
        <vertAlign val="subscript"/>
        <sz val="11"/>
        <color theme="1"/>
        <rFont val="Calibri"/>
        <family val="2"/>
        <scheme val="minor"/>
      </rPr>
      <t>far-a</t>
    </r>
  </si>
  <si>
    <r>
      <t xml:space="preserve">IFCB </t>
    </r>
    <r>
      <rPr>
        <vertAlign val="subscript"/>
        <sz val="11"/>
        <color theme="1"/>
        <rFont val="Calibri"/>
        <family val="2"/>
        <scheme val="minor"/>
      </rPr>
      <t>far-adj</t>
    </r>
  </si>
  <si>
    <r>
      <t>IRCR</t>
    </r>
    <r>
      <rPr>
        <vertAlign val="subscript"/>
        <sz val="11"/>
        <color theme="1"/>
        <rFont val="Calibri"/>
        <family val="2"/>
        <scheme val="minor"/>
      </rPr>
      <t xml:space="preserve"> far-c</t>
    </r>
  </si>
  <si>
    <r>
      <t xml:space="preserve">IRCR </t>
    </r>
    <r>
      <rPr>
        <vertAlign val="subscript"/>
        <sz val="11"/>
        <color theme="1"/>
        <rFont val="Calibri"/>
        <family val="2"/>
        <scheme val="minor"/>
      </rPr>
      <t>far-a</t>
    </r>
  </si>
  <si>
    <r>
      <t xml:space="preserve">IFCR </t>
    </r>
    <r>
      <rPr>
        <vertAlign val="subscript"/>
        <sz val="11"/>
        <color theme="1"/>
        <rFont val="Calibri"/>
        <family val="2"/>
        <scheme val="minor"/>
      </rPr>
      <t>far-adj</t>
    </r>
  </si>
  <si>
    <r>
      <t>IRCG</t>
    </r>
    <r>
      <rPr>
        <vertAlign val="subscript"/>
        <sz val="11"/>
        <color theme="1"/>
        <rFont val="Calibri"/>
        <family val="2"/>
        <scheme val="minor"/>
      </rPr>
      <t xml:space="preserve"> far-c</t>
    </r>
  </si>
  <si>
    <r>
      <t xml:space="preserve">IRCG </t>
    </r>
    <r>
      <rPr>
        <vertAlign val="subscript"/>
        <sz val="11"/>
        <color theme="1"/>
        <rFont val="Calibri"/>
        <family val="2"/>
        <scheme val="minor"/>
      </rPr>
      <t>far-a</t>
    </r>
  </si>
  <si>
    <r>
      <t xml:space="preserve">IFCG </t>
    </r>
    <r>
      <rPr>
        <vertAlign val="subscript"/>
        <sz val="11"/>
        <color theme="1"/>
        <rFont val="Calibri"/>
        <family val="2"/>
        <scheme val="minor"/>
      </rPr>
      <t>far-adj</t>
    </r>
  </si>
  <si>
    <r>
      <t>IRCI</t>
    </r>
    <r>
      <rPr>
        <vertAlign val="subscript"/>
        <sz val="11"/>
        <color theme="1"/>
        <rFont val="Calibri"/>
        <family val="2"/>
        <scheme val="minor"/>
      </rPr>
      <t xml:space="preserve"> far-c</t>
    </r>
  </si>
  <si>
    <r>
      <t xml:space="preserve">IRCI </t>
    </r>
    <r>
      <rPr>
        <vertAlign val="subscript"/>
        <sz val="11"/>
        <color theme="1"/>
        <rFont val="Calibri"/>
        <family val="2"/>
        <scheme val="minor"/>
      </rPr>
      <t>far-a</t>
    </r>
  </si>
  <si>
    <r>
      <t xml:space="preserve">IFCI </t>
    </r>
    <r>
      <rPr>
        <vertAlign val="subscript"/>
        <sz val="11"/>
        <color theme="1"/>
        <rFont val="Calibri"/>
        <family val="2"/>
        <scheme val="minor"/>
      </rPr>
      <t>far-adj</t>
    </r>
  </si>
  <si>
    <r>
      <t>IRCO</t>
    </r>
    <r>
      <rPr>
        <vertAlign val="subscript"/>
        <sz val="11"/>
        <color theme="1"/>
        <rFont val="Calibri"/>
        <family val="2"/>
        <scheme val="minor"/>
      </rPr>
      <t xml:space="preserve"> far-c</t>
    </r>
  </si>
  <si>
    <r>
      <t xml:space="preserve">IRCO </t>
    </r>
    <r>
      <rPr>
        <vertAlign val="subscript"/>
        <sz val="11"/>
        <color theme="1"/>
        <rFont val="Calibri"/>
        <family val="2"/>
        <scheme val="minor"/>
      </rPr>
      <t>far-a</t>
    </r>
  </si>
  <si>
    <r>
      <t xml:space="preserve">IFCO </t>
    </r>
    <r>
      <rPr>
        <vertAlign val="subscript"/>
        <sz val="11"/>
        <color theme="1"/>
        <rFont val="Calibri"/>
        <family val="2"/>
        <scheme val="minor"/>
      </rPr>
      <t>far-adj</t>
    </r>
  </si>
  <si>
    <r>
      <t>IRCU</t>
    </r>
    <r>
      <rPr>
        <vertAlign val="subscript"/>
        <sz val="11"/>
        <color theme="1"/>
        <rFont val="Calibri"/>
        <family val="2"/>
        <scheme val="minor"/>
      </rPr>
      <t xml:space="preserve"> far-c</t>
    </r>
  </si>
  <si>
    <r>
      <t xml:space="preserve">IRCU </t>
    </r>
    <r>
      <rPr>
        <vertAlign val="subscript"/>
        <sz val="11"/>
        <color theme="1"/>
        <rFont val="Calibri"/>
        <family val="2"/>
        <scheme val="minor"/>
      </rPr>
      <t>far-a</t>
    </r>
  </si>
  <si>
    <r>
      <t xml:space="preserve">IFCU </t>
    </r>
    <r>
      <rPr>
        <vertAlign val="subscript"/>
        <sz val="11"/>
        <color theme="1"/>
        <rFont val="Calibri"/>
        <family val="2"/>
        <scheme val="minor"/>
      </rPr>
      <t>far-adj</t>
    </r>
  </si>
  <si>
    <r>
      <t>IRLE</t>
    </r>
    <r>
      <rPr>
        <vertAlign val="subscript"/>
        <sz val="11"/>
        <color theme="1"/>
        <rFont val="Calibri"/>
        <family val="2"/>
        <scheme val="minor"/>
      </rPr>
      <t xml:space="preserve"> far-c</t>
    </r>
  </si>
  <si>
    <r>
      <t xml:space="preserve">IRLE </t>
    </r>
    <r>
      <rPr>
        <vertAlign val="subscript"/>
        <sz val="11"/>
        <color theme="1"/>
        <rFont val="Calibri"/>
        <family val="2"/>
        <scheme val="minor"/>
      </rPr>
      <t>far-a</t>
    </r>
  </si>
  <si>
    <r>
      <t xml:space="preserve">IFLE </t>
    </r>
    <r>
      <rPr>
        <vertAlign val="subscript"/>
        <sz val="11"/>
        <color theme="1"/>
        <rFont val="Calibri"/>
        <family val="2"/>
        <scheme val="minor"/>
      </rPr>
      <t>far-adj</t>
    </r>
  </si>
  <si>
    <r>
      <t>IRLI</t>
    </r>
    <r>
      <rPr>
        <vertAlign val="subscript"/>
        <sz val="11"/>
        <color theme="1"/>
        <rFont val="Calibri"/>
        <family val="2"/>
        <scheme val="minor"/>
      </rPr>
      <t xml:space="preserve"> far-c</t>
    </r>
  </si>
  <si>
    <r>
      <t xml:space="preserve">IRLI </t>
    </r>
    <r>
      <rPr>
        <vertAlign val="subscript"/>
        <sz val="11"/>
        <color theme="1"/>
        <rFont val="Calibri"/>
        <family val="2"/>
        <scheme val="minor"/>
      </rPr>
      <t>far-a</t>
    </r>
  </si>
  <si>
    <r>
      <t xml:space="preserve">IFLI </t>
    </r>
    <r>
      <rPr>
        <vertAlign val="subscript"/>
        <sz val="11"/>
        <color theme="1"/>
        <rFont val="Calibri"/>
        <family val="2"/>
        <scheme val="minor"/>
      </rPr>
      <t>far-adj</t>
    </r>
  </si>
  <si>
    <r>
      <t>IROK</t>
    </r>
    <r>
      <rPr>
        <vertAlign val="subscript"/>
        <sz val="11"/>
        <color theme="1"/>
        <rFont val="Calibri"/>
        <family val="2"/>
        <scheme val="minor"/>
      </rPr>
      <t xml:space="preserve"> far-c</t>
    </r>
  </si>
  <si>
    <r>
      <t xml:space="preserve">IROK </t>
    </r>
    <r>
      <rPr>
        <vertAlign val="subscript"/>
        <sz val="11"/>
        <color theme="1"/>
        <rFont val="Calibri"/>
        <family val="2"/>
        <scheme val="minor"/>
      </rPr>
      <t>far-a</t>
    </r>
  </si>
  <si>
    <r>
      <t xml:space="preserve">IFOK </t>
    </r>
    <r>
      <rPr>
        <vertAlign val="subscript"/>
        <sz val="11"/>
        <color theme="1"/>
        <rFont val="Calibri"/>
        <family val="2"/>
        <scheme val="minor"/>
      </rPr>
      <t>far-adj</t>
    </r>
  </si>
  <si>
    <r>
      <t>IRON</t>
    </r>
    <r>
      <rPr>
        <vertAlign val="subscript"/>
        <sz val="11"/>
        <color theme="1"/>
        <rFont val="Calibri"/>
        <family val="2"/>
        <scheme val="minor"/>
      </rPr>
      <t xml:space="preserve"> far-c</t>
    </r>
  </si>
  <si>
    <r>
      <t xml:space="preserve">IRON </t>
    </r>
    <r>
      <rPr>
        <vertAlign val="subscript"/>
        <sz val="11"/>
        <color theme="1"/>
        <rFont val="Calibri"/>
        <family val="2"/>
        <scheme val="minor"/>
      </rPr>
      <t>far-a</t>
    </r>
  </si>
  <si>
    <r>
      <t xml:space="preserve">IFON </t>
    </r>
    <r>
      <rPr>
        <vertAlign val="subscript"/>
        <sz val="11"/>
        <color theme="1"/>
        <rFont val="Calibri"/>
        <family val="2"/>
        <scheme val="minor"/>
      </rPr>
      <t>far-adj</t>
    </r>
  </si>
  <si>
    <r>
      <t>IRPC</t>
    </r>
    <r>
      <rPr>
        <vertAlign val="subscript"/>
        <sz val="11"/>
        <color theme="1"/>
        <rFont val="Calibri"/>
        <family val="2"/>
        <scheme val="minor"/>
      </rPr>
      <t xml:space="preserve"> far-c</t>
    </r>
  </si>
  <si>
    <r>
      <t xml:space="preserve">IRPC </t>
    </r>
    <r>
      <rPr>
        <vertAlign val="subscript"/>
        <sz val="11"/>
        <color theme="1"/>
        <rFont val="Calibri"/>
        <family val="2"/>
        <scheme val="minor"/>
      </rPr>
      <t>far-a</t>
    </r>
  </si>
  <si>
    <r>
      <t xml:space="preserve">IFPC </t>
    </r>
    <r>
      <rPr>
        <vertAlign val="subscript"/>
        <sz val="11"/>
        <color theme="1"/>
        <rFont val="Calibri"/>
        <family val="2"/>
        <scheme val="minor"/>
      </rPr>
      <t>far-adj</t>
    </r>
  </si>
  <si>
    <r>
      <t>IRPE</t>
    </r>
    <r>
      <rPr>
        <vertAlign val="subscript"/>
        <sz val="11"/>
        <color theme="1"/>
        <rFont val="Calibri"/>
        <family val="2"/>
        <scheme val="minor"/>
      </rPr>
      <t xml:space="preserve"> far-c</t>
    </r>
  </si>
  <si>
    <r>
      <t xml:space="preserve">IRPE </t>
    </r>
    <r>
      <rPr>
        <vertAlign val="subscript"/>
        <sz val="11"/>
        <color theme="1"/>
        <rFont val="Calibri"/>
        <family val="2"/>
        <scheme val="minor"/>
      </rPr>
      <t>far-a</t>
    </r>
  </si>
  <si>
    <r>
      <t xml:space="preserve">IFPE </t>
    </r>
    <r>
      <rPr>
        <vertAlign val="subscript"/>
        <sz val="11"/>
        <color theme="1"/>
        <rFont val="Calibri"/>
        <family val="2"/>
        <scheme val="minor"/>
      </rPr>
      <t>far-adj</t>
    </r>
  </si>
  <si>
    <r>
      <t>IRPT</t>
    </r>
    <r>
      <rPr>
        <vertAlign val="subscript"/>
        <sz val="11"/>
        <color theme="1"/>
        <rFont val="Calibri"/>
        <family val="2"/>
        <scheme val="minor"/>
      </rPr>
      <t xml:space="preserve"> far-c</t>
    </r>
  </si>
  <si>
    <r>
      <t xml:space="preserve">IRPT </t>
    </r>
    <r>
      <rPr>
        <vertAlign val="subscript"/>
        <sz val="11"/>
        <color theme="1"/>
        <rFont val="Calibri"/>
        <family val="2"/>
        <scheme val="minor"/>
      </rPr>
      <t>far-a</t>
    </r>
  </si>
  <si>
    <r>
      <t xml:space="preserve">IFPT </t>
    </r>
    <r>
      <rPr>
        <vertAlign val="subscript"/>
        <sz val="11"/>
        <color theme="1"/>
        <rFont val="Calibri"/>
        <family val="2"/>
        <scheme val="minor"/>
      </rPr>
      <t>far-adj</t>
    </r>
  </si>
  <si>
    <r>
      <t>IRPU</t>
    </r>
    <r>
      <rPr>
        <vertAlign val="subscript"/>
        <sz val="11"/>
        <color theme="1"/>
        <rFont val="Calibri"/>
        <family val="2"/>
        <scheme val="minor"/>
      </rPr>
      <t xml:space="preserve"> far-c</t>
    </r>
  </si>
  <si>
    <r>
      <t xml:space="preserve">IRPU </t>
    </r>
    <r>
      <rPr>
        <vertAlign val="subscript"/>
        <sz val="11"/>
        <color theme="1"/>
        <rFont val="Calibri"/>
        <family val="2"/>
        <scheme val="minor"/>
      </rPr>
      <t>far-a</t>
    </r>
  </si>
  <si>
    <r>
      <t xml:space="preserve">IFPU </t>
    </r>
    <r>
      <rPr>
        <vertAlign val="subscript"/>
        <sz val="11"/>
        <color theme="1"/>
        <rFont val="Calibri"/>
        <family val="2"/>
        <scheme val="minor"/>
      </rPr>
      <t>far-adj</t>
    </r>
  </si>
  <si>
    <r>
      <t>IRRI</t>
    </r>
    <r>
      <rPr>
        <vertAlign val="subscript"/>
        <sz val="11"/>
        <color theme="1"/>
        <rFont val="Calibri"/>
        <family val="2"/>
        <scheme val="minor"/>
      </rPr>
      <t xml:space="preserve"> far-c</t>
    </r>
  </si>
  <si>
    <r>
      <t xml:space="preserve">IRRI </t>
    </r>
    <r>
      <rPr>
        <vertAlign val="subscript"/>
        <sz val="11"/>
        <color theme="1"/>
        <rFont val="Calibri"/>
        <family val="2"/>
        <scheme val="minor"/>
      </rPr>
      <t>far-a</t>
    </r>
  </si>
  <si>
    <r>
      <t xml:space="preserve">IFRI </t>
    </r>
    <r>
      <rPr>
        <vertAlign val="subscript"/>
        <sz val="11"/>
        <color theme="1"/>
        <rFont val="Calibri"/>
        <family val="2"/>
        <scheme val="minor"/>
      </rPr>
      <t>far-adj</t>
    </r>
  </si>
  <si>
    <r>
      <t>IRSN</t>
    </r>
    <r>
      <rPr>
        <vertAlign val="subscript"/>
        <sz val="11"/>
        <color theme="1"/>
        <rFont val="Calibri"/>
        <family val="2"/>
        <scheme val="minor"/>
      </rPr>
      <t xml:space="preserve"> far-c</t>
    </r>
  </si>
  <si>
    <r>
      <t xml:space="preserve">IRSN </t>
    </r>
    <r>
      <rPr>
        <vertAlign val="subscript"/>
        <sz val="11"/>
        <color theme="1"/>
        <rFont val="Calibri"/>
        <family val="2"/>
        <scheme val="minor"/>
      </rPr>
      <t>far-a</t>
    </r>
  </si>
  <si>
    <r>
      <t xml:space="preserve">IFSN </t>
    </r>
    <r>
      <rPr>
        <vertAlign val="subscript"/>
        <sz val="11"/>
        <color theme="1"/>
        <rFont val="Calibri"/>
        <family val="2"/>
        <scheme val="minor"/>
      </rPr>
      <t>far-adj</t>
    </r>
  </si>
  <si>
    <r>
      <t>IRST</t>
    </r>
    <r>
      <rPr>
        <vertAlign val="subscript"/>
        <sz val="11"/>
        <color theme="1"/>
        <rFont val="Calibri"/>
        <family val="2"/>
        <scheme val="minor"/>
      </rPr>
      <t xml:space="preserve"> far-c</t>
    </r>
  </si>
  <si>
    <r>
      <t xml:space="preserve">IRST </t>
    </r>
    <r>
      <rPr>
        <vertAlign val="subscript"/>
        <sz val="11"/>
        <color theme="1"/>
        <rFont val="Calibri"/>
        <family val="2"/>
        <scheme val="minor"/>
      </rPr>
      <t>far-a</t>
    </r>
  </si>
  <si>
    <r>
      <t xml:space="preserve">IFST </t>
    </r>
    <r>
      <rPr>
        <vertAlign val="subscript"/>
        <sz val="11"/>
        <color theme="1"/>
        <rFont val="Calibri"/>
        <family val="2"/>
        <scheme val="minor"/>
      </rPr>
      <t>far-adj</t>
    </r>
  </si>
  <si>
    <r>
      <t>IRTO</t>
    </r>
    <r>
      <rPr>
        <vertAlign val="subscript"/>
        <sz val="11"/>
        <color theme="1"/>
        <rFont val="Calibri"/>
        <family val="2"/>
        <scheme val="minor"/>
      </rPr>
      <t xml:space="preserve"> far-c</t>
    </r>
  </si>
  <si>
    <r>
      <t xml:space="preserve">IRTO </t>
    </r>
    <r>
      <rPr>
        <vertAlign val="subscript"/>
        <sz val="11"/>
        <color theme="1"/>
        <rFont val="Calibri"/>
        <family val="2"/>
        <scheme val="minor"/>
      </rPr>
      <t>far-a</t>
    </r>
  </si>
  <si>
    <r>
      <t xml:space="preserve">IFTO </t>
    </r>
    <r>
      <rPr>
        <vertAlign val="subscript"/>
        <sz val="11"/>
        <color theme="1"/>
        <rFont val="Calibri"/>
        <family val="2"/>
        <scheme val="minor"/>
      </rPr>
      <t>far-adj</t>
    </r>
  </si>
  <si>
    <r>
      <t xml:space="preserve">CF </t>
    </r>
    <r>
      <rPr>
        <vertAlign val="subscript"/>
        <sz val="11"/>
        <rFont val="Calibri"/>
        <family val="2"/>
        <scheme val="minor"/>
      </rPr>
      <t>far-goat</t>
    </r>
  </si>
  <si>
    <r>
      <t xml:space="preserve">CF </t>
    </r>
    <r>
      <rPr>
        <vertAlign val="subscript"/>
        <sz val="11"/>
        <rFont val="Calibri"/>
        <family val="2"/>
        <scheme val="minor"/>
      </rPr>
      <t>far-goat-milk</t>
    </r>
  </si>
  <si>
    <r>
      <t xml:space="preserve">CF </t>
    </r>
    <r>
      <rPr>
        <vertAlign val="subscript"/>
        <sz val="11"/>
        <rFont val="Calibri"/>
        <family val="2"/>
        <scheme val="minor"/>
      </rPr>
      <t>far-sheep-milk</t>
    </r>
  </si>
  <si>
    <r>
      <t>IRGO</t>
    </r>
    <r>
      <rPr>
        <vertAlign val="subscript"/>
        <sz val="11"/>
        <color theme="1"/>
        <rFont val="Calibri"/>
        <family val="2"/>
        <scheme val="minor"/>
      </rPr>
      <t xml:space="preserve"> far-c</t>
    </r>
  </si>
  <si>
    <r>
      <t xml:space="preserve">IRGO </t>
    </r>
    <r>
      <rPr>
        <vertAlign val="subscript"/>
        <sz val="11"/>
        <color theme="1"/>
        <rFont val="Calibri"/>
        <family val="2"/>
        <scheme val="minor"/>
      </rPr>
      <t>far-a</t>
    </r>
  </si>
  <si>
    <r>
      <t xml:space="preserve">IFGO </t>
    </r>
    <r>
      <rPr>
        <vertAlign val="subscript"/>
        <sz val="11"/>
        <color theme="1"/>
        <rFont val="Calibri"/>
        <family val="2"/>
        <scheme val="minor"/>
      </rPr>
      <t>far-adj</t>
    </r>
  </si>
  <si>
    <r>
      <t>IRSM</t>
    </r>
    <r>
      <rPr>
        <vertAlign val="subscript"/>
        <sz val="11"/>
        <color theme="1"/>
        <rFont val="Calibri"/>
        <family val="2"/>
        <scheme val="minor"/>
      </rPr>
      <t xml:space="preserve"> far-c</t>
    </r>
  </si>
  <si>
    <r>
      <t xml:space="preserve">IRSM </t>
    </r>
    <r>
      <rPr>
        <vertAlign val="subscript"/>
        <sz val="11"/>
        <color theme="1"/>
        <rFont val="Calibri"/>
        <family val="2"/>
        <scheme val="minor"/>
      </rPr>
      <t>far-a</t>
    </r>
  </si>
  <si>
    <r>
      <t xml:space="preserve">IFSM </t>
    </r>
    <r>
      <rPr>
        <vertAlign val="subscript"/>
        <sz val="11"/>
        <color theme="1"/>
        <rFont val="Calibri"/>
        <family val="2"/>
        <scheme val="minor"/>
      </rPr>
      <t>far-adj</t>
    </r>
  </si>
  <si>
    <r>
      <t>IRGM</t>
    </r>
    <r>
      <rPr>
        <vertAlign val="subscript"/>
        <sz val="11"/>
        <color theme="1"/>
        <rFont val="Calibri"/>
        <family val="2"/>
        <scheme val="minor"/>
      </rPr>
      <t xml:space="preserve"> far-c</t>
    </r>
  </si>
  <si>
    <r>
      <t xml:space="preserve">IRGM </t>
    </r>
    <r>
      <rPr>
        <vertAlign val="subscript"/>
        <sz val="11"/>
        <color theme="1"/>
        <rFont val="Calibri"/>
        <family val="2"/>
        <scheme val="minor"/>
      </rPr>
      <t>far-a</t>
    </r>
  </si>
  <si>
    <r>
      <t xml:space="preserve">IFGM </t>
    </r>
    <r>
      <rPr>
        <vertAlign val="subscript"/>
        <sz val="11"/>
        <color theme="1"/>
        <rFont val="Calibri"/>
        <family val="2"/>
        <scheme val="minor"/>
      </rPr>
      <t>far-adj</t>
    </r>
  </si>
  <si>
    <r>
      <t xml:space="preserve">MLF </t>
    </r>
    <r>
      <rPr>
        <vertAlign val="subscript"/>
        <sz val="11"/>
        <rFont val="Calibri"/>
        <family val="2"/>
        <scheme val="minor"/>
      </rPr>
      <t>apple</t>
    </r>
  </si>
  <si>
    <r>
      <t xml:space="preserve">MLF </t>
    </r>
    <r>
      <rPr>
        <vertAlign val="subscript"/>
        <sz val="11"/>
        <rFont val="Calibri"/>
        <family val="2"/>
        <scheme val="minor"/>
      </rPr>
      <t>asparagus</t>
    </r>
  </si>
  <si>
    <r>
      <t xml:space="preserve">MLF </t>
    </r>
    <r>
      <rPr>
        <vertAlign val="subscript"/>
        <sz val="11"/>
        <rFont val="Calibri"/>
        <family val="2"/>
        <scheme val="minor"/>
      </rPr>
      <t>beet</t>
    </r>
  </si>
  <si>
    <r>
      <t xml:space="preserve">MLF </t>
    </r>
    <r>
      <rPr>
        <vertAlign val="subscript"/>
        <sz val="11"/>
        <rFont val="Calibri"/>
        <family val="2"/>
        <scheme val="minor"/>
      </rPr>
      <t>berries</t>
    </r>
  </si>
  <si>
    <r>
      <t xml:space="preserve">MLF </t>
    </r>
    <r>
      <rPr>
        <vertAlign val="subscript"/>
        <sz val="11"/>
        <rFont val="Calibri"/>
        <family val="2"/>
        <scheme val="minor"/>
      </rPr>
      <t>broccoli</t>
    </r>
  </si>
  <si>
    <r>
      <t xml:space="preserve">MLF </t>
    </r>
    <r>
      <rPr>
        <vertAlign val="subscript"/>
        <sz val="11"/>
        <rFont val="Calibri"/>
        <family val="2"/>
        <scheme val="minor"/>
      </rPr>
      <t>cabbage</t>
    </r>
  </si>
  <si>
    <r>
      <t xml:space="preserve">MLF </t>
    </r>
    <r>
      <rPr>
        <vertAlign val="subscript"/>
        <sz val="11"/>
        <rFont val="Calibri"/>
        <family val="2"/>
        <scheme val="minor"/>
      </rPr>
      <t>carrot</t>
    </r>
  </si>
  <si>
    <r>
      <t xml:space="preserve">MLF </t>
    </r>
    <r>
      <rPr>
        <vertAlign val="subscript"/>
        <sz val="11"/>
        <rFont val="Calibri"/>
        <family val="2"/>
        <scheme val="minor"/>
      </rPr>
      <t>citrus</t>
    </r>
  </si>
  <si>
    <r>
      <t xml:space="preserve">MLF </t>
    </r>
    <r>
      <rPr>
        <vertAlign val="subscript"/>
        <sz val="11"/>
        <rFont val="Calibri"/>
        <family val="2"/>
        <scheme val="minor"/>
      </rPr>
      <t>corn</t>
    </r>
  </si>
  <si>
    <r>
      <t xml:space="preserve">MLF </t>
    </r>
    <r>
      <rPr>
        <vertAlign val="subscript"/>
        <sz val="11"/>
        <rFont val="Calibri"/>
        <family val="2"/>
        <scheme val="minor"/>
      </rPr>
      <t>cucumber</t>
    </r>
  </si>
  <si>
    <r>
      <t xml:space="preserve">MLF </t>
    </r>
    <r>
      <rPr>
        <vertAlign val="subscript"/>
        <sz val="11"/>
        <rFont val="Calibri"/>
        <family val="2"/>
        <scheme val="minor"/>
      </rPr>
      <t>lettuce</t>
    </r>
  </si>
  <si>
    <r>
      <t xml:space="preserve">MLF </t>
    </r>
    <r>
      <rPr>
        <vertAlign val="subscript"/>
        <sz val="11"/>
        <rFont val="Calibri"/>
        <family val="2"/>
        <scheme val="minor"/>
      </rPr>
      <t>lima bean</t>
    </r>
  </si>
  <si>
    <r>
      <t xml:space="preserve">MLF </t>
    </r>
    <r>
      <rPr>
        <vertAlign val="subscript"/>
        <sz val="11"/>
        <rFont val="Calibri"/>
        <family val="2"/>
        <scheme val="minor"/>
      </rPr>
      <t>okra</t>
    </r>
  </si>
  <si>
    <r>
      <t xml:space="preserve">MLF </t>
    </r>
    <r>
      <rPr>
        <vertAlign val="subscript"/>
        <sz val="11"/>
        <rFont val="Calibri"/>
        <family val="2"/>
        <scheme val="minor"/>
      </rPr>
      <t>onion</t>
    </r>
  </si>
  <si>
    <r>
      <t xml:space="preserve">MLF </t>
    </r>
    <r>
      <rPr>
        <vertAlign val="subscript"/>
        <sz val="11"/>
        <rFont val="Calibri"/>
        <family val="2"/>
        <scheme val="minor"/>
      </rPr>
      <t>peach</t>
    </r>
  </si>
  <si>
    <r>
      <t xml:space="preserve">MLF </t>
    </r>
    <r>
      <rPr>
        <vertAlign val="subscript"/>
        <sz val="11"/>
        <rFont val="Calibri"/>
        <family val="2"/>
        <scheme val="minor"/>
      </rPr>
      <t>pear</t>
    </r>
  </si>
  <si>
    <r>
      <t xml:space="preserve">MLF </t>
    </r>
    <r>
      <rPr>
        <vertAlign val="subscript"/>
        <sz val="11"/>
        <rFont val="Calibri"/>
        <family val="2"/>
        <scheme val="minor"/>
      </rPr>
      <t>peas</t>
    </r>
  </si>
  <si>
    <r>
      <t xml:space="preserve">MLF </t>
    </r>
    <r>
      <rPr>
        <vertAlign val="subscript"/>
        <sz val="11"/>
        <rFont val="Calibri"/>
        <family val="2"/>
        <scheme val="minor"/>
      </rPr>
      <t>potato</t>
    </r>
  </si>
  <si>
    <r>
      <t xml:space="preserve">MLF </t>
    </r>
    <r>
      <rPr>
        <vertAlign val="subscript"/>
        <sz val="11"/>
        <rFont val="Calibri"/>
        <family val="2"/>
        <scheme val="minor"/>
      </rPr>
      <t>pumpkin</t>
    </r>
  </si>
  <si>
    <r>
      <t xml:space="preserve">MLF </t>
    </r>
    <r>
      <rPr>
        <vertAlign val="subscript"/>
        <sz val="11"/>
        <rFont val="Calibri"/>
        <family val="2"/>
        <scheme val="minor"/>
      </rPr>
      <t>snap bean</t>
    </r>
  </si>
  <si>
    <r>
      <t xml:space="preserve">MLF </t>
    </r>
    <r>
      <rPr>
        <vertAlign val="subscript"/>
        <sz val="11"/>
        <rFont val="Calibri"/>
        <family val="2"/>
        <scheme val="minor"/>
      </rPr>
      <t>strawberry</t>
    </r>
  </si>
  <si>
    <r>
      <t xml:space="preserve">MLF </t>
    </r>
    <r>
      <rPr>
        <vertAlign val="subscript"/>
        <sz val="11"/>
        <rFont val="Calibri"/>
        <family val="2"/>
        <scheme val="minor"/>
      </rPr>
      <t>tomato</t>
    </r>
  </si>
  <si>
    <r>
      <t xml:space="preserve">MLF </t>
    </r>
    <r>
      <rPr>
        <vertAlign val="subscript"/>
        <sz val="11"/>
        <rFont val="Calibri"/>
        <family val="2"/>
        <scheme val="minor"/>
      </rPr>
      <t>cereal</t>
    </r>
  </si>
  <si>
    <r>
      <t xml:space="preserve">MLF </t>
    </r>
    <r>
      <rPr>
        <vertAlign val="subscript"/>
        <sz val="11"/>
        <rFont val="Calibri"/>
        <family val="2"/>
        <scheme val="minor"/>
      </rPr>
      <t>rice</t>
    </r>
  </si>
  <si>
    <t>IRAP res-c</t>
  </si>
  <si>
    <t>IRAP res-a</t>
  </si>
  <si>
    <t>IFAP res-adj</t>
  </si>
  <si>
    <t>IRAS res-c</t>
  </si>
  <si>
    <t>IRAS res-a</t>
  </si>
  <si>
    <t>IFAS res-adj</t>
  </si>
  <si>
    <t>IRBT res-c</t>
  </si>
  <si>
    <t>IRBT res-a</t>
  </si>
  <si>
    <t>IFBT res-adj</t>
  </si>
  <si>
    <t>IRBE res-c</t>
  </si>
  <si>
    <t>IRBE res-a</t>
  </si>
  <si>
    <t>IFBE res-adj</t>
  </si>
  <si>
    <t>IRBR res-c</t>
  </si>
  <si>
    <t>IRBR res-a</t>
  </si>
  <si>
    <t>IFBR res-adj</t>
  </si>
  <si>
    <t>IRCB res-c</t>
  </si>
  <si>
    <t>IRCB res-a</t>
  </si>
  <si>
    <t>IFCB res-adj</t>
  </si>
  <si>
    <t>IRCR res-c</t>
  </si>
  <si>
    <t>IRCR res-a</t>
  </si>
  <si>
    <t>IFCR res-adj</t>
  </si>
  <si>
    <t>IRCG res-c</t>
  </si>
  <si>
    <t>IRCG res-a</t>
  </si>
  <si>
    <t>IFCG res-adj</t>
  </si>
  <si>
    <t>IRCI res-c</t>
  </si>
  <si>
    <t>IRCI res-a</t>
  </si>
  <si>
    <t>IFCI res-adj</t>
  </si>
  <si>
    <t>IRCO res-c</t>
  </si>
  <si>
    <t>IRCO res-a</t>
  </si>
  <si>
    <t>IFCO res-adj</t>
  </si>
  <si>
    <t>IRCU res-c</t>
  </si>
  <si>
    <t>IRCU res-a</t>
  </si>
  <si>
    <t>IFCU res-adj</t>
  </si>
  <si>
    <t>IRLE res-c</t>
  </si>
  <si>
    <t>IRLE res-a</t>
  </si>
  <si>
    <t>IFLE res-adj</t>
  </si>
  <si>
    <t>IRLI res-c</t>
  </si>
  <si>
    <t>IRLI res-a</t>
  </si>
  <si>
    <t>IFLI res-adj</t>
  </si>
  <si>
    <t>IROK res-c</t>
  </si>
  <si>
    <t>IROK res-a</t>
  </si>
  <si>
    <t>IFOK res-adj</t>
  </si>
  <si>
    <t>IRON res-c</t>
  </si>
  <si>
    <t>IRON res-a</t>
  </si>
  <si>
    <t>IFON res-adj</t>
  </si>
  <si>
    <t>IRPC res-c</t>
  </si>
  <si>
    <t>IRPC res-a</t>
  </si>
  <si>
    <t>IFPC res-adj</t>
  </si>
  <si>
    <t>IRPE res-c</t>
  </si>
  <si>
    <t>IRPE res-a</t>
  </si>
  <si>
    <t>IFPE res-adj</t>
  </si>
  <si>
    <t>IRPT res-c</t>
  </si>
  <si>
    <t>IRPT res-a</t>
  </si>
  <si>
    <t>IFPT res-adj</t>
  </si>
  <si>
    <t>IRPU res-c</t>
  </si>
  <si>
    <t>IRPU res-a</t>
  </si>
  <si>
    <t>IFPU res-adj</t>
  </si>
  <si>
    <t>IRRI res-c</t>
  </si>
  <si>
    <t>IRRI res-a</t>
  </si>
  <si>
    <t>IFRI res-adj</t>
  </si>
  <si>
    <t>IRSN res-c</t>
  </si>
  <si>
    <t>IRSN res-a</t>
  </si>
  <si>
    <t>IFSN res-adj</t>
  </si>
  <si>
    <t>IRST res-c</t>
  </si>
  <si>
    <t>IRST res-a</t>
  </si>
  <si>
    <t>IFST res-adj</t>
  </si>
  <si>
    <t>IRTO res-c</t>
  </si>
  <si>
    <t>IRTO res-a</t>
  </si>
  <si>
    <t>IFTO res-adj</t>
  </si>
  <si>
    <r>
      <t>IRPR</t>
    </r>
    <r>
      <rPr>
        <vertAlign val="subscript"/>
        <sz val="11"/>
        <color theme="1"/>
        <rFont val="Calibri"/>
        <family val="2"/>
        <scheme val="minor"/>
      </rPr>
      <t xml:space="preserve"> far-c</t>
    </r>
  </si>
  <si>
    <r>
      <t xml:space="preserve">IRPR </t>
    </r>
    <r>
      <rPr>
        <vertAlign val="subscript"/>
        <sz val="11"/>
        <color theme="1"/>
        <rFont val="Calibri"/>
        <family val="2"/>
        <scheme val="minor"/>
      </rPr>
      <t>far-a</t>
    </r>
  </si>
  <si>
    <r>
      <t xml:space="preserve">IFPR </t>
    </r>
    <r>
      <rPr>
        <vertAlign val="subscript"/>
        <sz val="11"/>
        <color theme="1"/>
        <rFont val="Calibri"/>
        <family val="2"/>
        <scheme val="minor"/>
      </rPr>
      <t>far-adj</t>
    </r>
  </si>
  <si>
    <t>IRPR res-c</t>
  </si>
  <si>
    <t>IRPR res-a</t>
  </si>
  <si>
    <t>IFPR res-adj</t>
  </si>
  <si>
    <t xml:space="preserve"> Farmer Produce</t>
  </si>
  <si>
    <t>Farmer Animal Products</t>
  </si>
  <si>
    <t>far_prod_ing_tot</t>
  </si>
  <si>
    <t>res_prod_ing_tot</t>
  </si>
  <si>
    <t>res_apple</t>
  </si>
  <si>
    <t>res_beet</t>
  </si>
  <si>
    <t>res_berry</t>
  </si>
  <si>
    <t>res_broc</t>
  </si>
  <si>
    <t>res_aspar</t>
  </si>
  <si>
    <t>res_cabb</t>
  </si>
  <si>
    <t>res_carr</t>
  </si>
  <si>
    <t>res_citrus</t>
  </si>
  <si>
    <t>res_corn</t>
  </si>
  <si>
    <t>res_cucum</t>
  </si>
  <si>
    <t>res_lett</t>
  </si>
  <si>
    <t>res_lima</t>
  </si>
  <si>
    <t>res_okra</t>
  </si>
  <si>
    <t>res_onion</t>
  </si>
  <si>
    <t>res_peach</t>
  </si>
  <si>
    <t>res_pear</t>
  </si>
  <si>
    <t>res_pea</t>
  </si>
  <si>
    <t>res_potat</t>
  </si>
  <si>
    <t>res_pump</t>
  </si>
  <si>
    <t>res_snap</t>
  </si>
  <si>
    <t>res_straw</t>
  </si>
  <si>
    <t>res_tom</t>
  </si>
  <si>
    <t>res_rice</t>
  </si>
  <si>
    <t>far_apple</t>
  </si>
  <si>
    <t>far_aspar</t>
  </si>
  <si>
    <t>far_beet</t>
  </si>
  <si>
    <t>far_berry</t>
  </si>
  <si>
    <t>far_broc</t>
  </si>
  <si>
    <t>far_cabb</t>
  </si>
  <si>
    <t>far_carr</t>
  </si>
  <si>
    <t>far_citrus</t>
  </si>
  <si>
    <t>far_corn</t>
  </si>
  <si>
    <t>far_cucum</t>
  </si>
  <si>
    <t>far_lett</t>
  </si>
  <si>
    <t>far_lima</t>
  </si>
  <si>
    <t>far_okra</t>
  </si>
  <si>
    <t>far_onion</t>
  </si>
  <si>
    <t>far_peach</t>
  </si>
  <si>
    <t>far_pear</t>
  </si>
  <si>
    <t>far_pea</t>
  </si>
  <si>
    <t>far_potat</t>
  </si>
  <si>
    <t>far_pump</t>
  </si>
  <si>
    <t>far_snap</t>
  </si>
  <si>
    <t>far_straw</t>
  </si>
  <si>
    <t>far_tom</t>
  </si>
  <si>
    <t>far_rice</t>
  </si>
  <si>
    <t>far_grain</t>
  </si>
  <si>
    <r>
      <t xml:space="preserve">CF </t>
    </r>
    <r>
      <rPr>
        <vertAlign val="subscript"/>
        <sz val="11"/>
        <rFont val="Calibri"/>
        <family val="2"/>
        <scheme val="minor"/>
      </rPr>
      <t>apple</t>
    </r>
  </si>
  <si>
    <r>
      <t xml:space="preserve">CF </t>
    </r>
    <r>
      <rPr>
        <vertAlign val="subscript"/>
        <sz val="11"/>
        <rFont val="Calibri"/>
        <family val="2"/>
        <scheme val="minor"/>
      </rPr>
      <t>asparagus</t>
    </r>
  </si>
  <si>
    <r>
      <t xml:space="preserve">CF </t>
    </r>
    <r>
      <rPr>
        <vertAlign val="subscript"/>
        <sz val="11"/>
        <rFont val="Calibri"/>
        <family val="2"/>
        <scheme val="minor"/>
      </rPr>
      <t>beet</t>
    </r>
  </si>
  <si>
    <r>
      <t xml:space="preserve">CF </t>
    </r>
    <r>
      <rPr>
        <vertAlign val="subscript"/>
        <sz val="11"/>
        <rFont val="Calibri"/>
        <family val="2"/>
        <scheme val="minor"/>
      </rPr>
      <t>berries</t>
    </r>
  </si>
  <si>
    <r>
      <t xml:space="preserve">CF </t>
    </r>
    <r>
      <rPr>
        <vertAlign val="subscript"/>
        <sz val="11"/>
        <rFont val="Calibri"/>
        <family val="2"/>
        <scheme val="minor"/>
      </rPr>
      <t>broccoli</t>
    </r>
  </si>
  <si>
    <r>
      <t xml:space="preserve">CF </t>
    </r>
    <r>
      <rPr>
        <vertAlign val="subscript"/>
        <sz val="11"/>
        <rFont val="Calibri"/>
        <family val="2"/>
        <scheme val="minor"/>
      </rPr>
      <t>cabbage</t>
    </r>
  </si>
  <si>
    <r>
      <t xml:space="preserve">CF </t>
    </r>
    <r>
      <rPr>
        <vertAlign val="subscript"/>
        <sz val="11"/>
        <rFont val="Calibri"/>
        <family val="2"/>
        <scheme val="minor"/>
      </rPr>
      <t>carrot</t>
    </r>
  </si>
  <si>
    <r>
      <t xml:space="preserve">CF </t>
    </r>
    <r>
      <rPr>
        <vertAlign val="subscript"/>
        <sz val="11"/>
        <rFont val="Calibri"/>
        <family val="2"/>
        <scheme val="minor"/>
      </rPr>
      <t>citrus</t>
    </r>
  </si>
  <si>
    <r>
      <t xml:space="preserve">CF </t>
    </r>
    <r>
      <rPr>
        <vertAlign val="subscript"/>
        <sz val="11"/>
        <rFont val="Calibri"/>
        <family val="2"/>
        <scheme val="minor"/>
      </rPr>
      <t>corn</t>
    </r>
  </si>
  <si>
    <r>
      <t xml:space="preserve">CF </t>
    </r>
    <r>
      <rPr>
        <vertAlign val="subscript"/>
        <sz val="11"/>
        <rFont val="Calibri"/>
        <family val="2"/>
        <scheme val="minor"/>
      </rPr>
      <t>cucumber</t>
    </r>
  </si>
  <si>
    <r>
      <t xml:space="preserve">CF </t>
    </r>
    <r>
      <rPr>
        <vertAlign val="subscript"/>
        <sz val="11"/>
        <rFont val="Calibri"/>
        <family val="2"/>
        <scheme val="minor"/>
      </rPr>
      <t>lettuce</t>
    </r>
  </si>
  <si>
    <r>
      <t xml:space="preserve">CF </t>
    </r>
    <r>
      <rPr>
        <vertAlign val="subscript"/>
        <sz val="11"/>
        <rFont val="Calibri"/>
        <family val="2"/>
        <scheme val="minor"/>
      </rPr>
      <t>lima bean</t>
    </r>
  </si>
  <si>
    <r>
      <t xml:space="preserve">CF </t>
    </r>
    <r>
      <rPr>
        <vertAlign val="subscript"/>
        <sz val="11"/>
        <rFont val="Calibri"/>
        <family val="2"/>
        <scheme val="minor"/>
      </rPr>
      <t>okra</t>
    </r>
  </si>
  <si>
    <r>
      <t xml:space="preserve">CF </t>
    </r>
    <r>
      <rPr>
        <vertAlign val="subscript"/>
        <sz val="11"/>
        <rFont val="Calibri"/>
        <family val="2"/>
        <scheme val="minor"/>
      </rPr>
      <t>onion</t>
    </r>
  </si>
  <si>
    <r>
      <t xml:space="preserve">CF </t>
    </r>
    <r>
      <rPr>
        <vertAlign val="subscript"/>
        <sz val="11"/>
        <rFont val="Calibri"/>
        <family val="2"/>
        <scheme val="minor"/>
      </rPr>
      <t>peach</t>
    </r>
  </si>
  <si>
    <r>
      <t xml:space="preserve">CF </t>
    </r>
    <r>
      <rPr>
        <vertAlign val="subscript"/>
        <sz val="11"/>
        <rFont val="Calibri"/>
        <family val="2"/>
        <scheme val="minor"/>
      </rPr>
      <t>pear</t>
    </r>
  </si>
  <si>
    <r>
      <t xml:space="preserve">CF </t>
    </r>
    <r>
      <rPr>
        <vertAlign val="subscript"/>
        <sz val="11"/>
        <rFont val="Calibri"/>
        <family val="2"/>
        <scheme val="minor"/>
      </rPr>
      <t>peas</t>
    </r>
  </si>
  <si>
    <r>
      <t xml:space="preserve">CF </t>
    </r>
    <r>
      <rPr>
        <vertAlign val="subscript"/>
        <sz val="11"/>
        <rFont val="Calibri"/>
        <family val="2"/>
        <scheme val="minor"/>
      </rPr>
      <t>potato</t>
    </r>
  </si>
  <si>
    <r>
      <t xml:space="preserve">CF </t>
    </r>
    <r>
      <rPr>
        <vertAlign val="subscript"/>
        <sz val="11"/>
        <rFont val="Calibri"/>
        <family val="2"/>
        <scheme val="minor"/>
      </rPr>
      <t>pumpkin</t>
    </r>
  </si>
  <si>
    <r>
      <t xml:space="preserve">CF </t>
    </r>
    <r>
      <rPr>
        <vertAlign val="subscript"/>
        <sz val="11"/>
        <rFont val="Calibri"/>
        <family val="2"/>
        <scheme val="minor"/>
      </rPr>
      <t>snap bean</t>
    </r>
  </si>
  <si>
    <r>
      <t xml:space="preserve">CF </t>
    </r>
    <r>
      <rPr>
        <vertAlign val="subscript"/>
        <sz val="11"/>
        <rFont val="Calibri"/>
        <family val="2"/>
        <scheme val="minor"/>
      </rPr>
      <t>strawberry</t>
    </r>
  </si>
  <si>
    <r>
      <t xml:space="preserve">CF </t>
    </r>
    <r>
      <rPr>
        <vertAlign val="subscript"/>
        <sz val="11"/>
        <rFont val="Calibri"/>
        <family val="2"/>
        <scheme val="minor"/>
      </rPr>
      <t>tomato</t>
    </r>
  </si>
  <si>
    <r>
      <t xml:space="preserve">CF </t>
    </r>
    <r>
      <rPr>
        <vertAlign val="subscript"/>
        <sz val="11"/>
        <rFont val="Calibri"/>
        <family val="2"/>
        <scheme val="minor"/>
      </rPr>
      <t>cereal</t>
    </r>
  </si>
  <si>
    <r>
      <t xml:space="preserve">CF </t>
    </r>
    <r>
      <rPr>
        <vertAlign val="subscript"/>
        <sz val="11"/>
        <rFont val="Calibri"/>
        <family val="2"/>
        <scheme val="minor"/>
      </rPr>
      <t>rice</t>
    </r>
  </si>
  <si>
    <t>res_cereal</t>
  </si>
  <si>
    <t>res_soil_prod_ing_tot</t>
  </si>
  <si>
    <t>far_soil_prod_ing_tot</t>
  </si>
  <si>
    <t>bvwet_apple</t>
  </si>
  <si>
    <t>bvwet_aspar</t>
  </si>
  <si>
    <t>bvwet_beet</t>
  </si>
  <si>
    <t>bvwet_berry</t>
  </si>
  <si>
    <t>bvwet_broc</t>
  </si>
  <si>
    <t>bvwet_cabb</t>
  </si>
  <si>
    <t>bvwet_carr</t>
  </si>
  <si>
    <t>bvwet_citrus</t>
  </si>
  <si>
    <t>bvwet_corn</t>
  </si>
  <si>
    <t>bvwet_cucum</t>
  </si>
  <si>
    <t>bvwet_lett</t>
  </si>
  <si>
    <t>bvwet_lima</t>
  </si>
  <si>
    <t>bvwet_okra</t>
  </si>
  <si>
    <t>bvwet_onion</t>
  </si>
  <si>
    <t>bvwet_peach</t>
  </si>
  <si>
    <t>bvwet_pear</t>
  </si>
  <si>
    <t>bvwet_pea</t>
  </si>
  <si>
    <t>bvwet_potat</t>
  </si>
  <si>
    <t>bvwet_pump</t>
  </si>
  <si>
    <t>bvwet_snap</t>
  </si>
  <si>
    <t>bvwet_straw</t>
  </si>
  <si>
    <t>bvwet_tom</t>
  </si>
  <si>
    <t>bvwet_rice</t>
  </si>
  <si>
    <t>IRRrup_apple</t>
  </si>
  <si>
    <t>IRRrup_aspar</t>
  </si>
  <si>
    <t>IRRrup_beet</t>
  </si>
  <si>
    <t>IRRrup_berry</t>
  </si>
  <si>
    <t>IRRrup_broc</t>
  </si>
  <si>
    <t>IRRrup_cabb</t>
  </si>
  <si>
    <t>IRRrup_carr</t>
  </si>
  <si>
    <t>IRRrup_citrus</t>
  </si>
  <si>
    <t>IRRrup_corn</t>
  </si>
  <si>
    <t>IRRrup_cucum</t>
  </si>
  <si>
    <t>IRRrup_lett</t>
  </si>
  <si>
    <t>IRRrup_lima</t>
  </si>
  <si>
    <t>IRRrup_okra</t>
  </si>
  <si>
    <t>IRRrup_onion</t>
  </si>
  <si>
    <t>IRRrup_peach</t>
  </si>
  <si>
    <t>IRRrup_pear</t>
  </si>
  <si>
    <t>IRRrup_pea</t>
  </si>
  <si>
    <t>IRRrup_potat</t>
  </si>
  <si>
    <t>IRRrup_pump</t>
  </si>
  <si>
    <t>IRRrup_snap</t>
  </si>
  <si>
    <t>IRRrup_straw</t>
  </si>
  <si>
    <t>IRRrup_tom</t>
  </si>
  <si>
    <t>IRRrup_rice</t>
  </si>
  <si>
    <t>IRRres_apple</t>
  </si>
  <si>
    <t>IRRres_aspar</t>
  </si>
  <si>
    <t>IRRres_beet</t>
  </si>
  <si>
    <t>IRRres_berry</t>
  </si>
  <si>
    <t>IRRres_broc</t>
  </si>
  <si>
    <t>IRRres_cabb</t>
  </si>
  <si>
    <t>IRRres_carr</t>
  </si>
  <si>
    <t>IRRres_citrus</t>
  </si>
  <si>
    <t>IRRres_corn</t>
  </si>
  <si>
    <t>IRRres_cucum</t>
  </si>
  <si>
    <t>IRRres_lett</t>
  </si>
  <si>
    <t>IRRres_lima</t>
  </si>
  <si>
    <t>IRRres_okra</t>
  </si>
  <si>
    <t>IRRres_onion</t>
  </si>
  <si>
    <t>IRRres_peach</t>
  </si>
  <si>
    <t>IRRres_pear</t>
  </si>
  <si>
    <t>IRRres_pea</t>
  </si>
  <si>
    <t>IRRres_potat</t>
  </si>
  <si>
    <t>IRRres_pump</t>
  </si>
  <si>
    <t>IRRres_snap</t>
  </si>
  <si>
    <t>IRRres_straw</t>
  </si>
  <si>
    <t>IRRres_tom</t>
  </si>
  <si>
    <t>IRRres_rice</t>
  </si>
  <si>
    <t>IRRdep_apple</t>
  </si>
  <si>
    <t>IRRdep_aspar</t>
  </si>
  <si>
    <t>IRRdep_beet</t>
  </si>
  <si>
    <t>IRRdep_berry</t>
  </si>
  <si>
    <t>IRRdep_broc</t>
  </si>
  <si>
    <t>IRRdep_cabb</t>
  </si>
  <si>
    <t>IRRdep_carr</t>
  </si>
  <si>
    <t>IRRdep_citrus</t>
  </si>
  <si>
    <t>IRRdep_corn</t>
  </si>
  <si>
    <t>IRRdep_cucum</t>
  </si>
  <si>
    <t>IRRdep_lett</t>
  </si>
  <si>
    <t>IRRdep_lima</t>
  </si>
  <si>
    <t>IRRdep_okra</t>
  </si>
  <si>
    <t>IRRdep_onion</t>
  </si>
  <si>
    <t>IRRdep_peach</t>
  </si>
  <si>
    <t>IRRdep_pear</t>
  </si>
  <si>
    <t>IRRdep_pea</t>
  </si>
  <si>
    <t>IRRdep_potat</t>
  </si>
  <si>
    <t>IRRdep_pump</t>
  </si>
  <si>
    <t>IRRdep_snap</t>
  </si>
  <si>
    <t>IRRdep_straw</t>
  </si>
  <si>
    <t>IRRdep_tom</t>
  </si>
  <si>
    <t>IRRdep_rice</t>
  </si>
  <si>
    <t>bvwet_cereal</t>
  </si>
  <si>
    <t>IRRrup_cereal</t>
  </si>
  <si>
    <t>IRRres_cereal</t>
  </si>
  <si>
    <t>IRRdep_cereal</t>
  </si>
  <si>
    <t>wat_res_prod_ing_tot</t>
  </si>
  <si>
    <t>wat_far_prod_ing_tot</t>
  </si>
  <si>
    <r>
      <t xml:space="preserve">Q </t>
    </r>
    <r>
      <rPr>
        <vertAlign val="subscript"/>
        <sz val="11"/>
        <rFont val="Calibri"/>
        <family val="2"/>
        <scheme val="minor"/>
      </rPr>
      <t>w-goat</t>
    </r>
  </si>
  <si>
    <r>
      <t xml:space="preserve">Q </t>
    </r>
    <r>
      <rPr>
        <vertAlign val="subscript"/>
        <sz val="11"/>
        <rFont val="Calibri"/>
        <family val="2"/>
        <scheme val="minor"/>
      </rPr>
      <t>p-goat</t>
    </r>
  </si>
  <si>
    <r>
      <t xml:space="preserve">Q </t>
    </r>
    <r>
      <rPr>
        <vertAlign val="subscript"/>
        <sz val="11"/>
        <rFont val="Calibri"/>
        <family val="2"/>
        <scheme val="minor"/>
      </rPr>
      <t>s-goat</t>
    </r>
  </si>
  <si>
    <r>
      <t xml:space="preserve">f </t>
    </r>
    <r>
      <rPr>
        <vertAlign val="subscript"/>
        <sz val="11"/>
        <rFont val="Calibri"/>
        <family val="2"/>
        <scheme val="minor"/>
      </rPr>
      <t>p-goat</t>
    </r>
  </si>
  <si>
    <r>
      <t xml:space="preserve">f </t>
    </r>
    <r>
      <rPr>
        <vertAlign val="subscript"/>
        <sz val="11"/>
        <rFont val="Calibri"/>
        <family val="2"/>
        <scheme val="minor"/>
      </rPr>
      <t>s-goat</t>
    </r>
  </si>
  <si>
    <r>
      <t xml:space="preserve">Q </t>
    </r>
    <r>
      <rPr>
        <vertAlign val="subscript"/>
        <sz val="11"/>
        <rFont val="Calibri"/>
        <family val="2"/>
        <scheme val="minor"/>
      </rPr>
      <t>w-goat-milk</t>
    </r>
  </si>
  <si>
    <r>
      <t xml:space="preserve">Q </t>
    </r>
    <r>
      <rPr>
        <vertAlign val="subscript"/>
        <sz val="11"/>
        <rFont val="Calibri"/>
        <family val="2"/>
        <scheme val="minor"/>
      </rPr>
      <t>p-goat-milk</t>
    </r>
  </si>
  <si>
    <r>
      <t xml:space="preserve">Q </t>
    </r>
    <r>
      <rPr>
        <vertAlign val="subscript"/>
        <sz val="11"/>
        <rFont val="Calibri"/>
        <family val="2"/>
        <scheme val="minor"/>
      </rPr>
      <t>s-goat-milk</t>
    </r>
  </si>
  <si>
    <r>
      <t xml:space="preserve">f </t>
    </r>
    <r>
      <rPr>
        <vertAlign val="subscript"/>
        <sz val="11"/>
        <rFont val="Calibri"/>
        <family val="2"/>
        <scheme val="minor"/>
      </rPr>
      <t>p-goat-milk</t>
    </r>
  </si>
  <si>
    <r>
      <t xml:space="preserve">f </t>
    </r>
    <r>
      <rPr>
        <vertAlign val="subscript"/>
        <sz val="11"/>
        <rFont val="Calibri"/>
        <family val="2"/>
        <scheme val="minor"/>
      </rPr>
      <t>s-goat-milk</t>
    </r>
  </si>
  <si>
    <r>
      <t xml:space="preserve">Q </t>
    </r>
    <r>
      <rPr>
        <vertAlign val="subscript"/>
        <sz val="11"/>
        <rFont val="Calibri"/>
        <family val="2"/>
        <scheme val="minor"/>
      </rPr>
      <t>w-sheep-milk</t>
    </r>
  </si>
  <si>
    <r>
      <t xml:space="preserve">Q </t>
    </r>
    <r>
      <rPr>
        <vertAlign val="subscript"/>
        <sz val="11"/>
        <rFont val="Calibri"/>
        <family val="2"/>
        <scheme val="minor"/>
      </rPr>
      <t>p-sheep-milk</t>
    </r>
  </si>
  <si>
    <r>
      <t xml:space="preserve">Q </t>
    </r>
    <r>
      <rPr>
        <vertAlign val="subscript"/>
        <sz val="11"/>
        <rFont val="Calibri"/>
        <family val="2"/>
        <scheme val="minor"/>
      </rPr>
      <t>s-sheep-milk</t>
    </r>
  </si>
  <si>
    <r>
      <t xml:space="preserve">f </t>
    </r>
    <r>
      <rPr>
        <vertAlign val="subscript"/>
        <sz val="11"/>
        <rFont val="Calibri"/>
        <family val="2"/>
        <scheme val="minor"/>
      </rPr>
      <t>p-sheep-milk</t>
    </r>
  </si>
  <si>
    <r>
      <t xml:space="preserve">f </t>
    </r>
    <r>
      <rPr>
        <vertAlign val="subscript"/>
        <sz val="11"/>
        <rFont val="Calibri"/>
        <family val="2"/>
        <scheme val="minor"/>
      </rPr>
      <t>s-sheep-milk</t>
    </r>
  </si>
  <si>
    <r>
      <t xml:space="preserve">CF </t>
    </r>
    <r>
      <rPr>
        <vertAlign val="subscript"/>
        <sz val="11"/>
        <rFont val="Calibri"/>
        <family val="2"/>
        <scheme val="minor"/>
      </rPr>
      <t>far-egg</t>
    </r>
  </si>
  <si>
    <r>
      <t xml:space="preserve">s_CF </t>
    </r>
    <r>
      <rPr>
        <vertAlign val="subscript"/>
        <sz val="11"/>
        <rFont val="Calibri"/>
        <family val="2"/>
        <scheme val="minor"/>
      </rPr>
      <t>apple</t>
    </r>
  </si>
  <si>
    <r>
      <t xml:space="preserve">s_CF </t>
    </r>
    <r>
      <rPr>
        <vertAlign val="subscript"/>
        <sz val="11"/>
        <rFont val="Calibri"/>
        <family val="2"/>
        <scheme val="minor"/>
      </rPr>
      <t>asparagus</t>
    </r>
  </si>
  <si>
    <r>
      <t xml:space="preserve">s_CF </t>
    </r>
    <r>
      <rPr>
        <vertAlign val="subscript"/>
        <sz val="11"/>
        <rFont val="Calibri"/>
        <family val="2"/>
        <scheme val="minor"/>
      </rPr>
      <t>beet</t>
    </r>
  </si>
  <si>
    <r>
      <t xml:space="preserve">s_CF </t>
    </r>
    <r>
      <rPr>
        <vertAlign val="subscript"/>
        <sz val="11"/>
        <rFont val="Calibri"/>
        <family val="2"/>
        <scheme val="minor"/>
      </rPr>
      <t>berries</t>
    </r>
  </si>
  <si>
    <r>
      <t xml:space="preserve">s_CF </t>
    </r>
    <r>
      <rPr>
        <vertAlign val="subscript"/>
        <sz val="11"/>
        <rFont val="Calibri"/>
        <family val="2"/>
        <scheme val="minor"/>
      </rPr>
      <t>broccoli</t>
    </r>
  </si>
  <si>
    <r>
      <t xml:space="preserve">s_CF </t>
    </r>
    <r>
      <rPr>
        <vertAlign val="subscript"/>
        <sz val="11"/>
        <rFont val="Calibri"/>
        <family val="2"/>
        <scheme val="minor"/>
      </rPr>
      <t>cabbage</t>
    </r>
  </si>
  <si>
    <r>
      <t xml:space="preserve">s_CF </t>
    </r>
    <r>
      <rPr>
        <vertAlign val="subscript"/>
        <sz val="11"/>
        <rFont val="Calibri"/>
        <family val="2"/>
        <scheme val="minor"/>
      </rPr>
      <t>carrot</t>
    </r>
  </si>
  <si>
    <r>
      <t xml:space="preserve">s_CF </t>
    </r>
    <r>
      <rPr>
        <vertAlign val="subscript"/>
        <sz val="11"/>
        <rFont val="Calibri"/>
        <family val="2"/>
        <scheme val="minor"/>
      </rPr>
      <t>citrus</t>
    </r>
  </si>
  <si>
    <r>
      <t xml:space="preserve">s_CF </t>
    </r>
    <r>
      <rPr>
        <vertAlign val="subscript"/>
        <sz val="11"/>
        <rFont val="Calibri"/>
        <family val="2"/>
        <scheme val="minor"/>
      </rPr>
      <t>corn</t>
    </r>
  </si>
  <si>
    <r>
      <t xml:space="preserve">s_CF </t>
    </r>
    <r>
      <rPr>
        <vertAlign val="subscript"/>
        <sz val="11"/>
        <rFont val="Calibri"/>
        <family val="2"/>
        <scheme val="minor"/>
      </rPr>
      <t>cucumber</t>
    </r>
  </si>
  <si>
    <r>
      <t xml:space="preserve">s_CF </t>
    </r>
    <r>
      <rPr>
        <vertAlign val="subscript"/>
        <sz val="11"/>
        <rFont val="Calibri"/>
        <family val="2"/>
        <scheme val="minor"/>
      </rPr>
      <t>lettuce</t>
    </r>
  </si>
  <si>
    <r>
      <t xml:space="preserve">s_CF </t>
    </r>
    <r>
      <rPr>
        <vertAlign val="subscript"/>
        <sz val="11"/>
        <rFont val="Calibri"/>
        <family val="2"/>
        <scheme val="minor"/>
      </rPr>
      <t>lima bean</t>
    </r>
  </si>
  <si>
    <r>
      <t xml:space="preserve">s_CF </t>
    </r>
    <r>
      <rPr>
        <vertAlign val="subscript"/>
        <sz val="11"/>
        <rFont val="Calibri"/>
        <family val="2"/>
        <scheme val="minor"/>
      </rPr>
      <t>okra</t>
    </r>
  </si>
  <si>
    <r>
      <t xml:space="preserve">s_CF </t>
    </r>
    <r>
      <rPr>
        <vertAlign val="subscript"/>
        <sz val="11"/>
        <rFont val="Calibri"/>
        <family val="2"/>
        <scheme val="minor"/>
      </rPr>
      <t>onion</t>
    </r>
  </si>
  <si>
    <r>
      <t xml:space="preserve">s_CF </t>
    </r>
    <r>
      <rPr>
        <vertAlign val="subscript"/>
        <sz val="11"/>
        <rFont val="Calibri"/>
        <family val="2"/>
        <scheme val="minor"/>
      </rPr>
      <t>peach</t>
    </r>
  </si>
  <si>
    <r>
      <t xml:space="preserve">s_CF </t>
    </r>
    <r>
      <rPr>
        <vertAlign val="subscript"/>
        <sz val="11"/>
        <rFont val="Calibri"/>
        <family val="2"/>
        <scheme val="minor"/>
      </rPr>
      <t>pear</t>
    </r>
  </si>
  <si>
    <r>
      <t xml:space="preserve">s_CF </t>
    </r>
    <r>
      <rPr>
        <vertAlign val="subscript"/>
        <sz val="11"/>
        <rFont val="Calibri"/>
        <family val="2"/>
        <scheme val="minor"/>
      </rPr>
      <t>peas</t>
    </r>
  </si>
  <si>
    <r>
      <t xml:space="preserve">s_CF </t>
    </r>
    <r>
      <rPr>
        <vertAlign val="subscript"/>
        <sz val="11"/>
        <rFont val="Calibri"/>
        <family val="2"/>
        <scheme val="minor"/>
      </rPr>
      <t>potato</t>
    </r>
  </si>
  <si>
    <r>
      <t xml:space="preserve">s_CF </t>
    </r>
    <r>
      <rPr>
        <vertAlign val="subscript"/>
        <sz val="11"/>
        <rFont val="Calibri"/>
        <family val="2"/>
        <scheme val="minor"/>
      </rPr>
      <t>pumpkin</t>
    </r>
  </si>
  <si>
    <r>
      <t xml:space="preserve">s_CF </t>
    </r>
    <r>
      <rPr>
        <vertAlign val="subscript"/>
        <sz val="11"/>
        <rFont val="Calibri"/>
        <family val="2"/>
        <scheme val="minor"/>
      </rPr>
      <t>snap bean</t>
    </r>
  </si>
  <si>
    <r>
      <t xml:space="preserve">s_CF </t>
    </r>
    <r>
      <rPr>
        <vertAlign val="subscript"/>
        <sz val="11"/>
        <rFont val="Calibri"/>
        <family val="2"/>
        <scheme val="minor"/>
      </rPr>
      <t>strawberry</t>
    </r>
  </si>
  <si>
    <r>
      <t xml:space="preserve">s_CF </t>
    </r>
    <r>
      <rPr>
        <vertAlign val="subscript"/>
        <sz val="11"/>
        <rFont val="Calibri"/>
        <family val="2"/>
        <scheme val="minor"/>
      </rPr>
      <t>tomato</t>
    </r>
  </si>
  <si>
    <r>
      <t xml:space="preserve">s_CF </t>
    </r>
    <r>
      <rPr>
        <vertAlign val="subscript"/>
        <sz val="11"/>
        <rFont val="Calibri"/>
        <family val="2"/>
        <scheme val="minor"/>
      </rPr>
      <t>cereal</t>
    </r>
  </si>
  <si>
    <r>
      <t xml:space="preserve">s_CF </t>
    </r>
    <r>
      <rPr>
        <vertAlign val="subscript"/>
        <sz val="11"/>
        <rFont val="Calibri"/>
        <family val="2"/>
        <scheme val="minor"/>
      </rPr>
      <t>rice</t>
    </r>
  </si>
  <si>
    <r>
      <t>s_IRAP</t>
    </r>
    <r>
      <rPr>
        <vertAlign val="subscript"/>
        <sz val="11"/>
        <color theme="1"/>
        <rFont val="Calibri"/>
        <family val="2"/>
        <scheme val="minor"/>
      </rPr>
      <t xml:space="preserve"> far-c</t>
    </r>
  </si>
  <si>
    <r>
      <t xml:space="preserve">s_IRAP </t>
    </r>
    <r>
      <rPr>
        <vertAlign val="subscript"/>
        <sz val="11"/>
        <color theme="1"/>
        <rFont val="Calibri"/>
        <family val="2"/>
        <scheme val="minor"/>
      </rPr>
      <t>far-a</t>
    </r>
  </si>
  <si>
    <r>
      <t xml:space="preserve">s_IFAP </t>
    </r>
    <r>
      <rPr>
        <vertAlign val="subscript"/>
        <sz val="11"/>
        <color theme="1"/>
        <rFont val="Calibri"/>
        <family val="2"/>
        <scheme val="minor"/>
      </rPr>
      <t>far-adj</t>
    </r>
  </si>
  <si>
    <r>
      <t>s_IRAS</t>
    </r>
    <r>
      <rPr>
        <vertAlign val="subscript"/>
        <sz val="11"/>
        <color theme="1"/>
        <rFont val="Calibri"/>
        <family val="2"/>
        <scheme val="minor"/>
      </rPr>
      <t xml:space="preserve"> far-c</t>
    </r>
  </si>
  <si>
    <r>
      <t xml:space="preserve">s_IRAS </t>
    </r>
    <r>
      <rPr>
        <vertAlign val="subscript"/>
        <sz val="11"/>
        <color theme="1"/>
        <rFont val="Calibri"/>
        <family val="2"/>
        <scheme val="minor"/>
      </rPr>
      <t>far-a</t>
    </r>
  </si>
  <si>
    <r>
      <t xml:space="preserve">s_IFAS </t>
    </r>
    <r>
      <rPr>
        <vertAlign val="subscript"/>
        <sz val="11"/>
        <color theme="1"/>
        <rFont val="Calibri"/>
        <family val="2"/>
        <scheme val="minor"/>
      </rPr>
      <t>far-adj</t>
    </r>
  </si>
  <si>
    <r>
      <t>s_IRBT</t>
    </r>
    <r>
      <rPr>
        <vertAlign val="subscript"/>
        <sz val="11"/>
        <color theme="1"/>
        <rFont val="Calibri"/>
        <family val="2"/>
        <scheme val="minor"/>
      </rPr>
      <t xml:space="preserve"> far-c</t>
    </r>
  </si>
  <si>
    <r>
      <t xml:space="preserve">s_IRBT </t>
    </r>
    <r>
      <rPr>
        <vertAlign val="subscript"/>
        <sz val="11"/>
        <color theme="1"/>
        <rFont val="Calibri"/>
        <family val="2"/>
        <scheme val="minor"/>
      </rPr>
      <t>far-a</t>
    </r>
  </si>
  <si>
    <r>
      <t xml:space="preserve">s_IFBT </t>
    </r>
    <r>
      <rPr>
        <vertAlign val="subscript"/>
        <sz val="11"/>
        <color theme="1"/>
        <rFont val="Calibri"/>
        <family val="2"/>
        <scheme val="minor"/>
      </rPr>
      <t>far-adj</t>
    </r>
  </si>
  <si>
    <r>
      <t>s_IRBE</t>
    </r>
    <r>
      <rPr>
        <vertAlign val="subscript"/>
        <sz val="11"/>
        <color theme="1"/>
        <rFont val="Calibri"/>
        <family val="2"/>
        <scheme val="minor"/>
      </rPr>
      <t xml:space="preserve"> far-c</t>
    </r>
  </si>
  <si>
    <r>
      <t xml:space="preserve">s_IRBE </t>
    </r>
    <r>
      <rPr>
        <vertAlign val="subscript"/>
        <sz val="11"/>
        <color theme="1"/>
        <rFont val="Calibri"/>
        <family val="2"/>
        <scheme val="minor"/>
      </rPr>
      <t>far-a</t>
    </r>
  </si>
  <si>
    <r>
      <t xml:space="preserve">s_IFBE </t>
    </r>
    <r>
      <rPr>
        <vertAlign val="subscript"/>
        <sz val="11"/>
        <color theme="1"/>
        <rFont val="Calibri"/>
        <family val="2"/>
        <scheme val="minor"/>
      </rPr>
      <t>far-adj</t>
    </r>
  </si>
  <si>
    <r>
      <t>s_IRBR</t>
    </r>
    <r>
      <rPr>
        <vertAlign val="subscript"/>
        <sz val="11"/>
        <color theme="1"/>
        <rFont val="Calibri"/>
        <family val="2"/>
        <scheme val="minor"/>
      </rPr>
      <t xml:space="preserve"> far-c</t>
    </r>
  </si>
  <si>
    <r>
      <t xml:space="preserve">s_IRBR </t>
    </r>
    <r>
      <rPr>
        <vertAlign val="subscript"/>
        <sz val="11"/>
        <color theme="1"/>
        <rFont val="Calibri"/>
        <family val="2"/>
        <scheme val="minor"/>
      </rPr>
      <t>far-a</t>
    </r>
  </si>
  <si>
    <r>
      <t xml:space="preserve">s_IFBR </t>
    </r>
    <r>
      <rPr>
        <vertAlign val="subscript"/>
        <sz val="11"/>
        <color theme="1"/>
        <rFont val="Calibri"/>
        <family val="2"/>
        <scheme val="minor"/>
      </rPr>
      <t>far-adj</t>
    </r>
  </si>
  <si>
    <r>
      <t>s_IRCB</t>
    </r>
    <r>
      <rPr>
        <vertAlign val="subscript"/>
        <sz val="11"/>
        <color theme="1"/>
        <rFont val="Calibri"/>
        <family val="2"/>
        <scheme val="minor"/>
      </rPr>
      <t xml:space="preserve"> far-c</t>
    </r>
  </si>
  <si>
    <r>
      <t xml:space="preserve">s_IRCB </t>
    </r>
    <r>
      <rPr>
        <vertAlign val="subscript"/>
        <sz val="11"/>
        <color theme="1"/>
        <rFont val="Calibri"/>
        <family val="2"/>
        <scheme val="minor"/>
      </rPr>
      <t>far-a</t>
    </r>
  </si>
  <si>
    <r>
      <t xml:space="preserve">s_IFCB </t>
    </r>
    <r>
      <rPr>
        <vertAlign val="subscript"/>
        <sz val="11"/>
        <color theme="1"/>
        <rFont val="Calibri"/>
        <family val="2"/>
        <scheme val="minor"/>
      </rPr>
      <t>far-adj</t>
    </r>
  </si>
  <si>
    <r>
      <t>s_IRCR</t>
    </r>
    <r>
      <rPr>
        <vertAlign val="subscript"/>
        <sz val="11"/>
        <color theme="1"/>
        <rFont val="Calibri"/>
        <family val="2"/>
        <scheme val="minor"/>
      </rPr>
      <t xml:space="preserve"> far-c</t>
    </r>
  </si>
  <si>
    <r>
      <t xml:space="preserve">s_IRCR </t>
    </r>
    <r>
      <rPr>
        <vertAlign val="subscript"/>
        <sz val="11"/>
        <color theme="1"/>
        <rFont val="Calibri"/>
        <family val="2"/>
        <scheme val="minor"/>
      </rPr>
      <t>far-a</t>
    </r>
  </si>
  <si>
    <r>
      <t xml:space="preserve">s_IFCR </t>
    </r>
    <r>
      <rPr>
        <vertAlign val="subscript"/>
        <sz val="11"/>
        <color theme="1"/>
        <rFont val="Calibri"/>
        <family val="2"/>
        <scheme val="minor"/>
      </rPr>
      <t>far-adj</t>
    </r>
  </si>
  <si>
    <r>
      <t>s_IRCG</t>
    </r>
    <r>
      <rPr>
        <vertAlign val="subscript"/>
        <sz val="11"/>
        <color theme="1"/>
        <rFont val="Calibri"/>
        <family val="2"/>
        <scheme val="minor"/>
      </rPr>
      <t xml:space="preserve"> far-c</t>
    </r>
  </si>
  <si>
    <r>
      <t xml:space="preserve">s_IRCG </t>
    </r>
    <r>
      <rPr>
        <vertAlign val="subscript"/>
        <sz val="11"/>
        <color theme="1"/>
        <rFont val="Calibri"/>
        <family val="2"/>
        <scheme val="minor"/>
      </rPr>
      <t>far-a</t>
    </r>
  </si>
  <si>
    <r>
      <t xml:space="preserve">s_IFCG </t>
    </r>
    <r>
      <rPr>
        <vertAlign val="subscript"/>
        <sz val="11"/>
        <color theme="1"/>
        <rFont val="Calibri"/>
        <family val="2"/>
        <scheme val="minor"/>
      </rPr>
      <t>far-adj</t>
    </r>
  </si>
  <si>
    <r>
      <t>s_IRCI</t>
    </r>
    <r>
      <rPr>
        <vertAlign val="subscript"/>
        <sz val="11"/>
        <color theme="1"/>
        <rFont val="Calibri"/>
        <family val="2"/>
        <scheme val="minor"/>
      </rPr>
      <t xml:space="preserve"> far-c</t>
    </r>
  </si>
  <si>
    <r>
      <t xml:space="preserve">s_IRCI </t>
    </r>
    <r>
      <rPr>
        <vertAlign val="subscript"/>
        <sz val="11"/>
        <color theme="1"/>
        <rFont val="Calibri"/>
        <family val="2"/>
        <scheme val="minor"/>
      </rPr>
      <t>far-a</t>
    </r>
  </si>
  <si>
    <r>
      <t xml:space="preserve">s_IFCI </t>
    </r>
    <r>
      <rPr>
        <vertAlign val="subscript"/>
        <sz val="11"/>
        <color theme="1"/>
        <rFont val="Calibri"/>
        <family val="2"/>
        <scheme val="minor"/>
      </rPr>
      <t>far-adj</t>
    </r>
  </si>
  <si>
    <r>
      <t>s_IRCO</t>
    </r>
    <r>
      <rPr>
        <vertAlign val="subscript"/>
        <sz val="11"/>
        <color theme="1"/>
        <rFont val="Calibri"/>
        <family val="2"/>
        <scheme val="minor"/>
      </rPr>
      <t xml:space="preserve"> far-c</t>
    </r>
  </si>
  <si>
    <r>
      <t xml:space="preserve">s_IRCO </t>
    </r>
    <r>
      <rPr>
        <vertAlign val="subscript"/>
        <sz val="11"/>
        <color theme="1"/>
        <rFont val="Calibri"/>
        <family val="2"/>
        <scheme val="minor"/>
      </rPr>
      <t>far-a</t>
    </r>
  </si>
  <si>
    <r>
      <t xml:space="preserve">s_IFCO </t>
    </r>
    <r>
      <rPr>
        <vertAlign val="subscript"/>
        <sz val="11"/>
        <color theme="1"/>
        <rFont val="Calibri"/>
        <family val="2"/>
        <scheme val="minor"/>
      </rPr>
      <t>far-adj</t>
    </r>
  </si>
  <si>
    <r>
      <t>s_IRCU</t>
    </r>
    <r>
      <rPr>
        <vertAlign val="subscript"/>
        <sz val="11"/>
        <color theme="1"/>
        <rFont val="Calibri"/>
        <family val="2"/>
        <scheme val="minor"/>
      </rPr>
      <t xml:space="preserve"> far-c</t>
    </r>
  </si>
  <si>
    <r>
      <t xml:space="preserve">s_IRCU </t>
    </r>
    <r>
      <rPr>
        <vertAlign val="subscript"/>
        <sz val="11"/>
        <color theme="1"/>
        <rFont val="Calibri"/>
        <family val="2"/>
        <scheme val="minor"/>
      </rPr>
      <t>far-a</t>
    </r>
  </si>
  <si>
    <r>
      <t xml:space="preserve">s_IFCU </t>
    </r>
    <r>
      <rPr>
        <vertAlign val="subscript"/>
        <sz val="11"/>
        <color theme="1"/>
        <rFont val="Calibri"/>
        <family val="2"/>
        <scheme val="minor"/>
      </rPr>
      <t>far-adj</t>
    </r>
  </si>
  <si>
    <r>
      <t>s_IRLE</t>
    </r>
    <r>
      <rPr>
        <vertAlign val="subscript"/>
        <sz val="11"/>
        <color theme="1"/>
        <rFont val="Calibri"/>
        <family val="2"/>
        <scheme val="minor"/>
      </rPr>
      <t xml:space="preserve"> far-c</t>
    </r>
  </si>
  <si>
    <r>
      <t xml:space="preserve">s_IRLE </t>
    </r>
    <r>
      <rPr>
        <vertAlign val="subscript"/>
        <sz val="11"/>
        <color theme="1"/>
        <rFont val="Calibri"/>
        <family val="2"/>
        <scheme val="minor"/>
      </rPr>
      <t>far-a</t>
    </r>
  </si>
  <si>
    <r>
      <t xml:space="preserve">s_IFLE </t>
    </r>
    <r>
      <rPr>
        <vertAlign val="subscript"/>
        <sz val="11"/>
        <color theme="1"/>
        <rFont val="Calibri"/>
        <family val="2"/>
        <scheme val="minor"/>
      </rPr>
      <t>far-adj</t>
    </r>
  </si>
  <si>
    <r>
      <t>s_IRLI</t>
    </r>
    <r>
      <rPr>
        <vertAlign val="subscript"/>
        <sz val="11"/>
        <color theme="1"/>
        <rFont val="Calibri"/>
        <family val="2"/>
        <scheme val="minor"/>
      </rPr>
      <t xml:space="preserve"> far-c</t>
    </r>
  </si>
  <si>
    <r>
      <t xml:space="preserve">s_IRLI </t>
    </r>
    <r>
      <rPr>
        <vertAlign val="subscript"/>
        <sz val="11"/>
        <color theme="1"/>
        <rFont val="Calibri"/>
        <family val="2"/>
        <scheme val="minor"/>
      </rPr>
      <t>far-a</t>
    </r>
  </si>
  <si>
    <r>
      <t xml:space="preserve">s_IFLI </t>
    </r>
    <r>
      <rPr>
        <vertAlign val="subscript"/>
        <sz val="11"/>
        <color theme="1"/>
        <rFont val="Calibri"/>
        <family val="2"/>
        <scheme val="minor"/>
      </rPr>
      <t>far-adj</t>
    </r>
  </si>
  <si>
    <r>
      <t>s_IROK</t>
    </r>
    <r>
      <rPr>
        <vertAlign val="subscript"/>
        <sz val="11"/>
        <color theme="1"/>
        <rFont val="Calibri"/>
        <family val="2"/>
        <scheme val="minor"/>
      </rPr>
      <t xml:space="preserve"> far-c</t>
    </r>
  </si>
  <si>
    <r>
      <t xml:space="preserve">s_IROK </t>
    </r>
    <r>
      <rPr>
        <vertAlign val="subscript"/>
        <sz val="11"/>
        <color theme="1"/>
        <rFont val="Calibri"/>
        <family val="2"/>
        <scheme val="minor"/>
      </rPr>
      <t>far-a</t>
    </r>
  </si>
  <si>
    <r>
      <t xml:space="preserve">s_IFOK </t>
    </r>
    <r>
      <rPr>
        <vertAlign val="subscript"/>
        <sz val="11"/>
        <color theme="1"/>
        <rFont val="Calibri"/>
        <family val="2"/>
        <scheme val="minor"/>
      </rPr>
      <t>far-adj</t>
    </r>
  </si>
  <si>
    <r>
      <t>s_IRON</t>
    </r>
    <r>
      <rPr>
        <vertAlign val="subscript"/>
        <sz val="11"/>
        <color theme="1"/>
        <rFont val="Calibri"/>
        <family val="2"/>
        <scheme val="minor"/>
      </rPr>
      <t xml:space="preserve"> far-c</t>
    </r>
  </si>
  <si>
    <r>
      <t xml:space="preserve">s_IRON </t>
    </r>
    <r>
      <rPr>
        <vertAlign val="subscript"/>
        <sz val="11"/>
        <color theme="1"/>
        <rFont val="Calibri"/>
        <family val="2"/>
        <scheme val="minor"/>
      </rPr>
      <t>far-a</t>
    </r>
  </si>
  <si>
    <r>
      <t xml:space="preserve">s_IFON </t>
    </r>
    <r>
      <rPr>
        <vertAlign val="subscript"/>
        <sz val="11"/>
        <color theme="1"/>
        <rFont val="Calibri"/>
        <family val="2"/>
        <scheme val="minor"/>
      </rPr>
      <t>far-adj</t>
    </r>
  </si>
  <si>
    <r>
      <t>s_IRPC</t>
    </r>
    <r>
      <rPr>
        <vertAlign val="subscript"/>
        <sz val="11"/>
        <color theme="1"/>
        <rFont val="Calibri"/>
        <family val="2"/>
        <scheme val="minor"/>
      </rPr>
      <t xml:space="preserve"> far-c</t>
    </r>
  </si>
  <si>
    <r>
      <t xml:space="preserve">s_IRPC </t>
    </r>
    <r>
      <rPr>
        <vertAlign val="subscript"/>
        <sz val="11"/>
        <color theme="1"/>
        <rFont val="Calibri"/>
        <family val="2"/>
        <scheme val="minor"/>
      </rPr>
      <t>far-a</t>
    </r>
  </si>
  <si>
    <r>
      <t xml:space="preserve">s_IFPC </t>
    </r>
    <r>
      <rPr>
        <vertAlign val="subscript"/>
        <sz val="11"/>
        <color theme="1"/>
        <rFont val="Calibri"/>
        <family val="2"/>
        <scheme val="minor"/>
      </rPr>
      <t>far-adj</t>
    </r>
  </si>
  <si>
    <r>
      <t>s_IRPR</t>
    </r>
    <r>
      <rPr>
        <vertAlign val="subscript"/>
        <sz val="11"/>
        <color theme="1"/>
        <rFont val="Calibri"/>
        <family val="2"/>
        <scheme val="minor"/>
      </rPr>
      <t xml:space="preserve"> far-c</t>
    </r>
  </si>
  <si>
    <r>
      <t xml:space="preserve">s_IRPR </t>
    </r>
    <r>
      <rPr>
        <vertAlign val="subscript"/>
        <sz val="11"/>
        <color theme="1"/>
        <rFont val="Calibri"/>
        <family val="2"/>
        <scheme val="minor"/>
      </rPr>
      <t>far-a</t>
    </r>
  </si>
  <si>
    <r>
      <t xml:space="preserve">s_IFPR </t>
    </r>
    <r>
      <rPr>
        <vertAlign val="subscript"/>
        <sz val="11"/>
        <color theme="1"/>
        <rFont val="Calibri"/>
        <family val="2"/>
        <scheme val="minor"/>
      </rPr>
      <t>far-adj</t>
    </r>
  </si>
  <si>
    <r>
      <t>s_IRPE</t>
    </r>
    <r>
      <rPr>
        <vertAlign val="subscript"/>
        <sz val="11"/>
        <color theme="1"/>
        <rFont val="Calibri"/>
        <family val="2"/>
        <scheme val="minor"/>
      </rPr>
      <t xml:space="preserve"> far-c</t>
    </r>
  </si>
  <si>
    <r>
      <t xml:space="preserve">s_IRPE </t>
    </r>
    <r>
      <rPr>
        <vertAlign val="subscript"/>
        <sz val="11"/>
        <color theme="1"/>
        <rFont val="Calibri"/>
        <family val="2"/>
        <scheme val="minor"/>
      </rPr>
      <t>far-a</t>
    </r>
  </si>
  <si>
    <r>
      <t xml:space="preserve">s_IFPE </t>
    </r>
    <r>
      <rPr>
        <vertAlign val="subscript"/>
        <sz val="11"/>
        <color theme="1"/>
        <rFont val="Calibri"/>
        <family val="2"/>
        <scheme val="minor"/>
      </rPr>
      <t>far-adj</t>
    </r>
  </si>
  <si>
    <r>
      <t>s_IRPT</t>
    </r>
    <r>
      <rPr>
        <vertAlign val="subscript"/>
        <sz val="11"/>
        <color theme="1"/>
        <rFont val="Calibri"/>
        <family val="2"/>
        <scheme val="minor"/>
      </rPr>
      <t xml:space="preserve"> far-c</t>
    </r>
  </si>
  <si>
    <r>
      <t xml:space="preserve">s_IRPT </t>
    </r>
    <r>
      <rPr>
        <vertAlign val="subscript"/>
        <sz val="11"/>
        <color theme="1"/>
        <rFont val="Calibri"/>
        <family val="2"/>
        <scheme val="minor"/>
      </rPr>
      <t>far-a</t>
    </r>
  </si>
  <si>
    <r>
      <t xml:space="preserve">s_IFPT </t>
    </r>
    <r>
      <rPr>
        <vertAlign val="subscript"/>
        <sz val="11"/>
        <color theme="1"/>
        <rFont val="Calibri"/>
        <family val="2"/>
        <scheme val="minor"/>
      </rPr>
      <t>far-adj</t>
    </r>
  </si>
  <si>
    <r>
      <t>s_IRPU</t>
    </r>
    <r>
      <rPr>
        <vertAlign val="subscript"/>
        <sz val="11"/>
        <color theme="1"/>
        <rFont val="Calibri"/>
        <family val="2"/>
        <scheme val="minor"/>
      </rPr>
      <t xml:space="preserve"> far-c</t>
    </r>
  </si>
  <si>
    <r>
      <t xml:space="preserve">s_IRPU </t>
    </r>
    <r>
      <rPr>
        <vertAlign val="subscript"/>
        <sz val="11"/>
        <color theme="1"/>
        <rFont val="Calibri"/>
        <family val="2"/>
        <scheme val="minor"/>
      </rPr>
      <t>far-a</t>
    </r>
  </si>
  <si>
    <r>
      <t xml:space="preserve">s_IFPU </t>
    </r>
    <r>
      <rPr>
        <vertAlign val="subscript"/>
        <sz val="11"/>
        <color theme="1"/>
        <rFont val="Calibri"/>
        <family val="2"/>
        <scheme val="minor"/>
      </rPr>
      <t>far-adj</t>
    </r>
  </si>
  <si>
    <r>
      <t>s_IRRI</t>
    </r>
    <r>
      <rPr>
        <vertAlign val="subscript"/>
        <sz val="11"/>
        <color theme="1"/>
        <rFont val="Calibri"/>
        <family val="2"/>
        <scheme val="minor"/>
      </rPr>
      <t xml:space="preserve"> far-c</t>
    </r>
  </si>
  <si>
    <r>
      <t xml:space="preserve">s_IRRI </t>
    </r>
    <r>
      <rPr>
        <vertAlign val="subscript"/>
        <sz val="11"/>
        <color theme="1"/>
        <rFont val="Calibri"/>
        <family val="2"/>
        <scheme val="minor"/>
      </rPr>
      <t>far-a</t>
    </r>
  </si>
  <si>
    <r>
      <t xml:space="preserve">s_IFRI </t>
    </r>
    <r>
      <rPr>
        <vertAlign val="subscript"/>
        <sz val="11"/>
        <color theme="1"/>
        <rFont val="Calibri"/>
        <family val="2"/>
        <scheme val="minor"/>
      </rPr>
      <t>far-adj</t>
    </r>
  </si>
  <si>
    <r>
      <t>s_IRSN</t>
    </r>
    <r>
      <rPr>
        <vertAlign val="subscript"/>
        <sz val="11"/>
        <color theme="1"/>
        <rFont val="Calibri"/>
        <family val="2"/>
        <scheme val="minor"/>
      </rPr>
      <t xml:space="preserve"> far-c</t>
    </r>
  </si>
  <si>
    <r>
      <t xml:space="preserve">s_IRSN </t>
    </r>
    <r>
      <rPr>
        <vertAlign val="subscript"/>
        <sz val="11"/>
        <color theme="1"/>
        <rFont val="Calibri"/>
        <family val="2"/>
        <scheme val="minor"/>
      </rPr>
      <t>far-a</t>
    </r>
  </si>
  <si>
    <r>
      <t xml:space="preserve">s_IFSN </t>
    </r>
    <r>
      <rPr>
        <vertAlign val="subscript"/>
        <sz val="11"/>
        <color theme="1"/>
        <rFont val="Calibri"/>
        <family val="2"/>
        <scheme val="minor"/>
      </rPr>
      <t>far-adj</t>
    </r>
  </si>
  <si>
    <r>
      <t>s_IRST</t>
    </r>
    <r>
      <rPr>
        <vertAlign val="subscript"/>
        <sz val="11"/>
        <color theme="1"/>
        <rFont val="Calibri"/>
        <family val="2"/>
        <scheme val="minor"/>
      </rPr>
      <t xml:space="preserve"> far-c</t>
    </r>
  </si>
  <si>
    <r>
      <t xml:space="preserve">s_IRST </t>
    </r>
    <r>
      <rPr>
        <vertAlign val="subscript"/>
        <sz val="11"/>
        <color theme="1"/>
        <rFont val="Calibri"/>
        <family val="2"/>
        <scheme val="minor"/>
      </rPr>
      <t>far-a</t>
    </r>
  </si>
  <si>
    <r>
      <t xml:space="preserve">s_IFST </t>
    </r>
    <r>
      <rPr>
        <vertAlign val="subscript"/>
        <sz val="11"/>
        <color theme="1"/>
        <rFont val="Calibri"/>
        <family val="2"/>
        <scheme val="minor"/>
      </rPr>
      <t>far-adj</t>
    </r>
  </si>
  <si>
    <r>
      <t>s_IRTO</t>
    </r>
    <r>
      <rPr>
        <vertAlign val="subscript"/>
        <sz val="11"/>
        <color theme="1"/>
        <rFont val="Calibri"/>
        <family val="2"/>
        <scheme val="minor"/>
      </rPr>
      <t xml:space="preserve"> far-c</t>
    </r>
  </si>
  <si>
    <r>
      <t xml:space="preserve">s_IRTO </t>
    </r>
    <r>
      <rPr>
        <vertAlign val="subscript"/>
        <sz val="11"/>
        <color theme="1"/>
        <rFont val="Calibri"/>
        <family val="2"/>
        <scheme val="minor"/>
      </rPr>
      <t>far-a</t>
    </r>
  </si>
  <si>
    <r>
      <t xml:space="preserve">s_IFTO </t>
    </r>
    <r>
      <rPr>
        <vertAlign val="subscript"/>
        <sz val="11"/>
        <color theme="1"/>
        <rFont val="Calibri"/>
        <family val="2"/>
        <scheme val="minor"/>
      </rPr>
      <t>far-adj</t>
    </r>
  </si>
  <si>
    <r>
      <t xml:space="preserve">s_MLF </t>
    </r>
    <r>
      <rPr>
        <vertAlign val="subscript"/>
        <sz val="11"/>
        <rFont val="Calibri"/>
        <family val="2"/>
        <scheme val="minor"/>
      </rPr>
      <t>apple</t>
    </r>
  </si>
  <si>
    <r>
      <t xml:space="preserve">s_MLF </t>
    </r>
    <r>
      <rPr>
        <vertAlign val="subscript"/>
        <sz val="11"/>
        <rFont val="Calibri"/>
        <family val="2"/>
        <scheme val="minor"/>
      </rPr>
      <t>asparagus</t>
    </r>
  </si>
  <si>
    <r>
      <t xml:space="preserve">s_MLF </t>
    </r>
    <r>
      <rPr>
        <vertAlign val="subscript"/>
        <sz val="11"/>
        <rFont val="Calibri"/>
        <family val="2"/>
        <scheme val="minor"/>
      </rPr>
      <t>beet</t>
    </r>
  </si>
  <si>
    <r>
      <t xml:space="preserve">s_MLF </t>
    </r>
    <r>
      <rPr>
        <vertAlign val="subscript"/>
        <sz val="11"/>
        <rFont val="Calibri"/>
        <family val="2"/>
        <scheme val="minor"/>
      </rPr>
      <t>berries</t>
    </r>
  </si>
  <si>
    <r>
      <t xml:space="preserve">s_MLF </t>
    </r>
    <r>
      <rPr>
        <vertAlign val="subscript"/>
        <sz val="11"/>
        <rFont val="Calibri"/>
        <family val="2"/>
        <scheme val="minor"/>
      </rPr>
      <t>broccoli</t>
    </r>
  </si>
  <si>
    <r>
      <t xml:space="preserve">s_MLF </t>
    </r>
    <r>
      <rPr>
        <vertAlign val="subscript"/>
        <sz val="11"/>
        <rFont val="Calibri"/>
        <family val="2"/>
        <scheme val="minor"/>
      </rPr>
      <t>cabbage</t>
    </r>
  </si>
  <si>
    <r>
      <t xml:space="preserve">s_MLF </t>
    </r>
    <r>
      <rPr>
        <vertAlign val="subscript"/>
        <sz val="11"/>
        <rFont val="Calibri"/>
        <family val="2"/>
        <scheme val="minor"/>
      </rPr>
      <t>carrot</t>
    </r>
  </si>
  <si>
    <r>
      <t xml:space="preserve">s_MLF </t>
    </r>
    <r>
      <rPr>
        <vertAlign val="subscript"/>
        <sz val="11"/>
        <rFont val="Calibri"/>
        <family val="2"/>
        <scheme val="minor"/>
      </rPr>
      <t>citrus</t>
    </r>
  </si>
  <si>
    <r>
      <t xml:space="preserve">s_MLF </t>
    </r>
    <r>
      <rPr>
        <vertAlign val="subscript"/>
        <sz val="11"/>
        <rFont val="Calibri"/>
        <family val="2"/>
        <scheme val="minor"/>
      </rPr>
      <t>corn</t>
    </r>
  </si>
  <si>
    <r>
      <t xml:space="preserve">s_MLF </t>
    </r>
    <r>
      <rPr>
        <vertAlign val="subscript"/>
        <sz val="11"/>
        <rFont val="Calibri"/>
        <family val="2"/>
        <scheme val="minor"/>
      </rPr>
      <t>cucumber</t>
    </r>
  </si>
  <si>
    <r>
      <t xml:space="preserve">s_MLF </t>
    </r>
    <r>
      <rPr>
        <vertAlign val="subscript"/>
        <sz val="11"/>
        <rFont val="Calibri"/>
        <family val="2"/>
        <scheme val="minor"/>
      </rPr>
      <t>lettuce</t>
    </r>
  </si>
  <si>
    <r>
      <t xml:space="preserve">s_MLF </t>
    </r>
    <r>
      <rPr>
        <vertAlign val="subscript"/>
        <sz val="11"/>
        <rFont val="Calibri"/>
        <family val="2"/>
        <scheme val="minor"/>
      </rPr>
      <t>lima bean</t>
    </r>
  </si>
  <si>
    <r>
      <t xml:space="preserve">s_MLF </t>
    </r>
    <r>
      <rPr>
        <vertAlign val="subscript"/>
        <sz val="11"/>
        <rFont val="Calibri"/>
        <family val="2"/>
        <scheme val="minor"/>
      </rPr>
      <t>okra</t>
    </r>
  </si>
  <si>
    <r>
      <t xml:space="preserve">s_MLF </t>
    </r>
    <r>
      <rPr>
        <vertAlign val="subscript"/>
        <sz val="11"/>
        <rFont val="Calibri"/>
        <family val="2"/>
        <scheme val="minor"/>
      </rPr>
      <t>onion</t>
    </r>
  </si>
  <si>
    <r>
      <t xml:space="preserve">s_MLF </t>
    </r>
    <r>
      <rPr>
        <vertAlign val="subscript"/>
        <sz val="11"/>
        <rFont val="Calibri"/>
        <family val="2"/>
        <scheme val="minor"/>
      </rPr>
      <t>peach</t>
    </r>
  </si>
  <si>
    <r>
      <t xml:space="preserve">s_MLF </t>
    </r>
    <r>
      <rPr>
        <vertAlign val="subscript"/>
        <sz val="11"/>
        <rFont val="Calibri"/>
        <family val="2"/>
        <scheme val="minor"/>
      </rPr>
      <t>pear</t>
    </r>
  </si>
  <si>
    <r>
      <t xml:space="preserve">s_MLF </t>
    </r>
    <r>
      <rPr>
        <vertAlign val="subscript"/>
        <sz val="11"/>
        <rFont val="Calibri"/>
        <family val="2"/>
        <scheme val="minor"/>
      </rPr>
      <t>peas</t>
    </r>
  </si>
  <si>
    <r>
      <t xml:space="preserve">s_MLF </t>
    </r>
    <r>
      <rPr>
        <vertAlign val="subscript"/>
        <sz val="11"/>
        <rFont val="Calibri"/>
        <family val="2"/>
        <scheme val="minor"/>
      </rPr>
      <t>potato</t>
    </r>
  </si>
  <si>
    <r>
      <t xml:space="preserve">s_MLF </t>
    </r>
    <r>
      <rPr>
        <vertAlign val="subscript"/>
        <sz val="11"/>
        <rFont val="Calibri"/>
        <family val="2"/>
        <scheme val="minor"/>
      </rPr>
      <t>pumpkin</t>
    </r>
  </si>
  <si>
    <r>
      <t xml:space="preserve">s_MLF </t>
    </r>
    <r>
      <rPr>
        <vertAlign val="subscript"/>
        <sz val="11"/>
        <rFont val="Calibri"/>
        <family val="2"/>
        <scheme val="minor"/>
      </rPr>
      <t>snap bean</t>
    </r>
  </si>
  <si>
    <r>
      <t xml:space="preserve">s_MLF </t>
    </r>
    <r>
      <rPr>
        <vertAlign val="subscript"/>
        <sz val="11"/>
        <rFont val="Calibri"/>
        <family val="2"/>
        <scheme val="minor"/>
      </rPr>
      <t>strawberry</t>
    </r>
  </si>
  <si>
    <r>
      <t xml:space="preserve">s_MLF </t>
    </r>
    <r>
      <rPr>
        <vertAlign val="subscript"/>
        <sz val="11"/>
        <rFont val="Calibri"/>
        <family val="2"/>
        <scheme val="minor"/>
      </rPr>
      <t>tomato</t>
    </r>
  </si>
  <si>
    <r>
      <t xml:space="preserve">s_MLF </t>
    </r>
    <r>
      <rPr>
        <vertAlign val="subscript"/>
        <sz val="11"/>
        <rFont val="Calibri"/>
        <family val="2"/>
        <scheme val="minor"/>
      </rPr>
      <t>cereal</t>
    </r>
  </si>
  <si>
    <r>
      <t xml:space="preserve">s_MLF </t>
    </r>
    <r>
      <rPr>
        <vertAlign val="subscript"/>
        <sz val="11"/>
        <rFont val="Calibri"/>
        <family val="2"/>
        <scheme val="minor"/>
      </rPr>
      <t>rice</t>
    </r>
  </si>
  <si>
    <r>
      <t xml:space="preserve">s_CF </t>
    </r>
    <r>
      <rPr>
        <vertAlign val="subscript"/>
        <sz val="11"/>
        <rFont val="Calibri"/>
        <family val="2"/>
        <scheme val="minor"/>
      </rPr>
      <t>far-goat</t>
    </r>
  </si>
  <si>
    <r>
      <t xml:space="preserve">s_CF </t>
    </r>
    <r>
      <rPr>
        <vertAlign val="subscript"/>
        <sz val="11"/>
        <rFont val="Calibri"/>
        <family val="2"/>
        <scheme val="minor"/>
      </rPr>
      <t>far-sheep-milk</t>
    </r>
  </si>
  <si>
    <r>
      <t xml:space="preserve">s_CF </t>
    </r>
    <r>
      <rPr>
        <vertAlign val="subscript"/>
        <sz val="11"/>
        <rFont val="Calibri"/>
        <family val="2"/>
        <scheme val="minor"/>
      </rPr>
      <t>far-goat-milk</t>
    </r>
  </si>
  <si>
    <r>
      <t>s_IRGO</t>
    </r>
    <r>
      <rPr>
        <vertAlign val="subscript"/>
        <sz val="11"/>
        <color theme="1"/>
        <rFont val="Calibri"/>
        <family val="2"/>
        <scheme val="minor"/>
      </rPr>
      <t xml:space="preserve"> far-c</t>
    </r>
  </si>
  <si>
    <r>
      <t xml:space="preserve">s_IRGO </t>
    </r>
    <r>
      <rPr>
        <vertAlign val="subscript"/>
        <sz val="11"/>
        <color theme="1"/>
        <rFont val="Calibri"/>
        <family val="2"/>
        <scheme val="minor"/>
      </rPr>
      <t>far-a</t>
    </r>
  </si>
  <si>
    <r>
      <t xml:space="preserve">s_IFGO </t>
    </r>
    <r>
      <rPr>
        <vertAlign val="subscript"/>
        <sz val="11"/>
        <color theme="1"/>
        <rFont val="Calibri"/>
        <family val="2"/>
        <scheme val="minor"/>
      </rPr>
      <t>far-adj</t>
    </r>
  </si>
  <si>
    <r>
      <t>s_IRSM</t>
    </r>
    <r>
      <rPr>
        <vertAlign val="subscript"/>
        <sz val="11"/>
        <color theme="1"/>
        <rFont val="Calibri"/>
        <family val="2"/>
        <scheme val="minor"/>
      </rPr>
      <t xml:space="preserve"> far-c</t>
    </r>
  </si>
  <si>
    <r>
      <t xml:space="preserve">s_IRSM </t>
    </r>
    <r>
      <rPr>
        <vertAlign val="subscript"/>
        <sz val="11"/>
        <color theme="1"/>
        <rFont val="Calibri"/>
        <family val="2"/>
        <scheme val="minor"/>
      </rPr>
      <t>far-a</t>
    </r>
  </si>
  <si>
    <r>
      <t xml:space="preserve">s_IFSM </t>
    </r>
    <r>
      <rPr>
        <vertAlign val="subscript"/>
        <sz val="11"/>
        <color theme="1"/>
        <rFont val="Calibri"/>
        <family val="2"/>
        <scheme val="minor"/>
      </rPr>
      <t>far-adj</t>
    </r>
  </si>
  <si>
    <r>
      <t>s_IRGM</t>
    </r>
    <r>
      <rPr>
        <vertAlign val="subscript"/>
        <sz val="11"/>
        <color theme="1"/>
        <rFont val="Calibri"/>
        <family val="2"/>
        <scheme val="minor"/>
      </rPr>
      <t xml:space="preserve"> far-c</t>
    </r>
  </si>
  <si>
    <r>
      <t xml:space="preserve">s_IRGM </t>
    </r>
    <r>
      <rPr>
        <vertAlign val="subscript"/>
        <sz val="11"/>
        <color theme="1"/>
        <rFont val="Calibri"/>
        <family val="2"/>
        <scheme val="minor"/>
      </rPr>
      <t>far-a</t>
    </r>
  </si>
  <si>
    <r>
      <t xml:space="preserve">s_IFGM </t>
    </r>
    <r>
      <rPr>
        <vertAlign val="subscript"/>
        <sz val="11"/>
        <color theme="1"/>
        <rFont val="Calibri"/>
        <family val="2"/>
        <scheme val="minor"/>
      </rPr>
      <t>far-adj</t>
    </r>
  </si>
  <si>
    <r>
      <t xml:space="preserve">s_D </t>
    </r>
    <r>
      <rPr>
        <vertAlign val="subscript"/>
        <sz val="11"/>
        <rFont val="Calibri"/>
        <family val="2"/>
        <scheme val="minor"/>
      </rPr>
      <t>milk</t>
    </r>
  </si>
  <si>
    <r>
      <t xml:space="preserve">s_Q </t>
    </r>
    <r>
      <rPr>
        <vertAlign val="subscript"/>
        <sz val="11"/>
        <rFont val="Calibri"/>
        <family val="2"/>
        <scheme val="minor"/>
      </rPr>
      <t>w-goat</t>
    </r>
  </si>
  <si>
    <r>
      <t xml:space="preserve">s_Q </t>
    </r>
    <r>
      <rPr>
        <vertAlign val="subscript"/>
        <sz val="11"/>
        <rFont val="Calibri"/>
        <family val="2"/>
        <scheme val="minor"/>
      </rPr>
      <t>p-goat</t>
    </r>
  </si>
  <si>
    <r>
      <t xml:space="preserve">s_Q </t>
    </r>
    <r>
      <rPr>
        <vertAlign val="subscript"/>
        <sz val="11"/>
        <rFont val="Calibri"/>
        <family val="2"/>
        <scheme val="minor"/>
      </rPr>
      <t>s-goat</t>
    </r>
  </si>
  <si>
    <r>
      <t xml:space="preserve">s_f </t>
    </r>
    <r>
      <rPr>
        <vertAlign val="subscript"/>
        <sz val="11"/>
        <rFont val="Calibri"/>
        <family val="2"/>
        <scheme val="minor"/>
      </rPr>
      <t>p-goat</t>
    </r>
  </si>
  <si>
    <r>
      <t xml:space="preserve">s_f </t>
    </r>
    <r>
      <rPr>
        <vertAlign val="subscript"/>
        <sz val="11"/>
        <rFont val="Calibri"/>
        <family val="2"/>
        <scheme val="minor"/>
      </rPr>
      <t>s-goat</t>
    </r>
  </si>
  <si>
    <r>
      <t xml:space="preserve">s_Q </t>
    </r>
    <r>
      <rPr>
        <vertAlign val="subscript"/>
        <sz val="11"/>
        <rFont val="Calibri"/>
        <family val="2"/>
        <scheme val="minor"/>
      </rPr>
      <t>w-goat-milk</t>
    </r>
  </si>
  <si>
    <r>
      <t xml:space="preserve">s_Q </t>
    </r>
    <r>
      <rPr>
        <vertAlign val="subscript"/>
        <sz val="11"/>
        <rFont val="Calibri"/>
        <family val="2"/>
        <scheme val="minor"/>
      </rPr>
      <t>p-goat-milk</t>
    </r>
  </si>
  <si>
    <r>
      <t xml:space="preserve">s_Q </t>
    </r>
    <r>
      <rPr>
        <vertAlign val="subscript"/>
        <sz val="11"/>
        <rFont val="Calibri"/>
        <family val="2"/>
        <scheme val="minor"/>
      </rPr>
      <t>s-goat-milk</t>
    </r>
  </si>
  <si>
    <r>
      <t xml:space="preserve">s_f </t>
    </r>
    <r>
      <rPr>
        <vertAlign val="subscript"/>
        <sz val="11"/>
        <rFont val="Calibri"/>
        <family val="2"/>
        <scheme val="minor"/>
      </rPr>
      <t>p-goat-milk</t>
    </r>
  </si>
  <si>
    <r>
      <t xml:space="preserve">s_f </t>
    </r>
    <r>
      <rPr>
        <vertAlign val="subscript"/>
        <sz val="11"/>
        <rFont val="Calibri"/>
        <family val="2"/>
        <scheme val="minor"/>
      </rPr>
      <t>s-goat-milk</t>
    </r>
  </si>
  <si>
    <r>
      <t xml:space="preserve">s_Q </t>
    </r>
    <r>
      <rPr>
        <vertAlign val="subscript"/>
        <sz val="11"/>
        <rFont val="Calibri"/>
        <family val="2"/>
        <scheme val="minor"/>
      </rPr>
      <t>w-sheep-milk</t>
    </r>
  </si>
  <si>
    <r>
      <t xml:space="preserve">s_Q </t>
    </r>
    <r>
      <rPr>
        <vertAlign val="subscript"/>
        <sz val="11"/>
        <rFont val="Calibri"/>
        <family val="2"/>
        <scheme val="minor"/>
      </rPr>
      <t>p-sheep-milk</t>
    </r>
  </si>
  <si>
    <r>
      <t xml:space="preserve">s_Q </t>
    </r>
    <r>
      <rPr>
        <vertAlign val="subscript"/>
        <sz val="11"/>
        <rFont val="Calibri"/>
        <family val="2"/>
        <scheme val="minor"/>
      </rPr>
      <t>s-sheep-milk</t>
    </r>
  </si>
  <si>
    <r>
      <t xml:space="preserve">s_f </t>
    </r>
    <r>
      <rPr>
        <vertAlign val="subscript"/>
        <sz val="11"/>
        <rFont val="Calibri"/>
        <family val="2"/>
        <scheme val="minor"/>
      </rPr>
      <t>p-sheep-milk</t>
    </r>
  </si>
  <si>
    <r>
      <t xml:space="preserve">s_f </t>
    </r>
    <r>
      <rPr>
        <vertAlign val="subscript"/>
        <sz val="11"/>
        <rFont val="Calibri"/>
        <family val="2"/>
        <scheme val="minor"/>
      </rPr>
      <t>s-sheep-milk</t>
    </r>
  </si>
  <si>
    <r>
      <t xml:space="preserve">s_L </t>
    </r>
    <r>
      <rPr>
        <vertAlign val="subscript"/>
        <sz val="11"/>
        <color theme="1"/>
        <rFont val="Calibri"/>
        <family val="2"/>
        <scheme val="minor"/>
      </rPr>
      <t>s2gw</t>
    </r>
  </si>
  <si>
    <r>
      <t>s_l</t>
    </r>
    <r>
      <rPr>
        <vertAlign val="subscript"/>
        <sz val="11"/>
        <color theme="1"/>
        <rFont val="Calibri"/>
        <family val="2"/>
        <scheme val="minor"/>
      </rPr>
      <t>s2gw</t>
    </r>
  </si>
  <si>
    <r>
      <t xml:space="preserve">s_t </t>
    </r>
    <r>
      <rPr>
        <vertAlign val="subscript"/>
        <sz val="11"/>
        <color theme="1"/>
        <rFont val="Calibri"/>
        <family val="2"/>
        <scheme val="minor"/>
      </rPr>
      <t>res</t>
    </r>
  </si>
  <si>
    <r>
      <t xml:space="preserve">s_IRA </t>
    </r>
    <r>
      <rPr>
        <vertAlign val="subscript"/>
        <sz val="11"/>
        <color theme="1"/>
        <rFont val="Calibri"/>
        <family val="2"/>
        <scheme val="minor"/>
      </rPr>
      <t>res-c</t>
    </r>
  </si>
  <si>
    <r>
      <t xml:space="preserve">s_IRA </t>
    </r>
    <r>
      <rPr>
        <vertAlign val="subscript"/>
        <sz val="11"/>
        <color theme="1"/>
        <rFont val="Calibri"/>
        <family val="2"/>
        <scheme val="minor"/>
      </rPr>
      <t>res-a</t>
    </r>
  </si>
  <si>
    <r>
      <t xml:space="preserve">s_IFA </t>
    </r>
    <r>
      <rPr>
        <vertAlign val="subscript"/>
        <sz val="11"/>
        <color theme="1"/>
        <rFont val="Calibri"/>
        <family val="2"/>
        <scheme val="minor"/>
      </rPr>
      <t>res-adj</t>
    </r>
  </si>
  <si>
    <r>
      <t xml:space="preserve">s_DFA </t>
    </r>
    <r>
      <rPr>
        <vertAlign val="subscript"/>
        <sz val="11"/>
        <color theme="1"/>
        <rFont val="Calibri"/>
        <family val="2"/>
        <scheme val="minor"/>
      </rPr>
      <t>res-adj</t>
    </r>
  </si>
  <si>
    <r>
      <t xml:space="preserve">s_IRS </t>
    </r>
    <r>
      <rPr>
        <vertAlign val="subscript"/>
        <sz val="11"/>
        <color theme="1"/>
        <rFont val="Calibri"/>
        <family val="2"/>
        <scheme val="minor"/>
      </rPr>
      <t>res-c</t>
    </r>
  </si>
  <si>
    <r>
      <t xml:space="preserve">s_IRS </t>
    </r>
    <r>
      <rPr>
        <vertAlign val="subscript"/>
        <sz val="11"/>
        <color theme="1"/>
        <rFont val="Calibri"/>
        <family val="2"/>
        <scheme val="minor"/>
      </rPr>
      <t>res-a</t>
    </r>
  </si>
  <si>
    <r>
      <t xml:space="preserve">s_IFS </t>
    </r>
    <r>
      <rPr>
        <vertAlign val="subscript"/>
        <sz val="11"/>
        <color theme="1"/>
        <rFont val="Calibri"/>
        <family val="2"/>
        <scheme val="minor"/>
      </rPr>
      <t>res-adj</t>
    </r>
  </si>
  <si>
    <r>
      <t xml:space="preserve">s_IRW </t>
    </r>
    <r>
      <rPr>
        <vertAlign val="subscript"/>
        <sz val="11"/>
        <color theme="1"/>
        <rFont val="Calibri"/>
        <family val="2"/>
        <scheme val="minor"/>
      </rPr>
      <t>res-c</t>
    </r>
  </si>
  <si>
    <r>
      <t xml:space="preserve">s_IRW </t>
    </r>
    <r>
      <rPr>
        <vertAlign val="subscript"/>
        <sz val="11"/>
        <color theme="1"/>
        <rFont val="Calibri"/>
        <family val="2"/>
        <scheme val="minor"/>
      </rPr>
      <t>res-a</t>
    </r>
  </si>
  <si>
    <r>
      <t xml:space="preserve">s_IFW </t>
    </r>
    <r>
      <rPr>
        <vertAlign val="subscript"/>
        <sz val="11"/>
        <color theme="1"/>
        <rFont val="Calibri"/>
        <family val="2"/>
        <scheme val="minor"/>
      </rPr>
      <t>res-adj</t>
    </r>
  </si>
  <si>
    <r>
      <t xml:space="preserve">s_IRF </t>
    </r>
    <r>
      <rPr>
        <vertAlign val="subscript"/>
        <sz val="11"/>
        <color theme="1"/>
        <rFont val="Calibri"/>
        <family val="2"/>
        <scheme val="minor"/>
      </rPr>
      <t>res</t>
    </r>
  </si>
  <si>
    <r>
      <t xml:space="preserve">s_EF </t>
    </r>
    <r>
      <rPr>
        <vertAlign val="subscript"/>
        <sz val="11"/>
        <color theme="1"/>
        <rFont val="Calibri"/>
        <family val="2"/>
        <scheme val="minor"/>
      </rPr>
      <t>res-c</t>
    </r>
  </si>
  <si>
    <r>
      <t xml:space="preserve">s_EF </t>
    </r>
    <r>
      <rPr>
        <vertAlign val="subscript"/>
        <sz val="11"/>
        <color theme="1"/>
        <rFont val="Calibri"/>
        <family val="2"/>
        <scheme val="minor"/>
      </rPr>
      <t>res-a</t>
    </r>
  </si>
  <si>
    <r>
      <t xml:space="preserve">s_EF </t>
    </r>
    <r>
      <rPr>
        <vertAlign val="subscript"/>
        <sz val="11"/>
        <color theme="1"/>
        <rFont val="Calibri"/>
        <family val="2"/>
        <scheme val="minor"/>
      </rPr>
      <t>res</t>
    </r>
  </si>
  <si>
    <r>
      <t xml:space="preserve">s_ET </t>
    </r>
    <r>
      <rPr>
        <vertAlign val="subscript"/>
        <sz val="11"/>
        <color theme="1"/>
        <rFont val="Calibri"/>
        <family val="2"/>
        <scheme val="minor"/>
      </rPr>
      <t>event-res-c</t>
    </r>
  </si>
  <si>
    <r>
      <t xml:space="preserve">s_ET </t>
    </r>
    <r>
      <rPr>
        <vertAlign val="subscript"/>
        <sz val="11"/>
        <color theme="1"/>
        <rFont val="Calibri"/>
        <family val="2"/>
        <scheme val="minor"/>
      </rPr>
      <t>event-res-a</t>
    </r>
  </si>
  <si>
    <r>
      <t xml:space="preserve">s_ET </t>
    </r>
    <r>
      <rPr>
        <vertAlign val="subscript"/>
        <sz val="11"/>
        <color theme="1"/>
        <rFont val="Calibri"/>
        <family val="2"/>
        <scheme val="minor"/>
      </rPr>
      <t>res-c</t>
    </r>
  </si>
  <si>
    <r>
      <t xml:space="preserve">s_ET </t>
    </r>
    <r>
      <rPr>
        <vertAlign val="subscript"/>
        <sz val="11"/>
        <color theme="1"/>
        <rFont val="Calibri"/>
        <family val="2"/>
        <scheme val="minor"/>
      </rPr>
      <t>res-a</t>
    </r>
  </si>
  <si>
    <r>
      <t xml:space="preserve">s_ET </t>
    </r>
    <r>
      <rPr>
        <vertAlign val="subscript"/>
        <sz val="11"/>
        <color theme="1"/>
        <rFont val="Calibri"/>
        <family val="2"/>
        <scheme val="minor"/>
      </rPr>
      <t>res</t>
    </r>
  </si>
  <si>
    <r>
      <t xml:space="preserve">s_EV </t>
    </r>
    <r>
      <rPr>
        <vertAlign val="subscript"/>
        <sz val="11"/>
        <color theme="1"/>
        <rFont val="Calibri"/>
        <family val="2"/>
        <scheme val="minor"/>
      </rPr>
      <t>res-c</t>
    </r>
  </si>
  <si>
    <r>
      <t xml:space="preserve">s_EV </t>
    </r>
    <r>
      <rPr>
        <vertAlign val="subscript"/>
        <sz val="11"/>
        <color theme="1"/>
        <rFont val="Calibri"/>
        <family val="2"/>
        <scheme val="minor"/>
      </rPr>
      <t>res-a</t>
    </r>
  </si>
  <si>
    <r>
      <t xml:space="preserve">s_ET </t>
    </r>
    <r>
      <rPr>
        <vertAlign val="subscript"/>
        <sz val="11"/>
        <rFont val="Calibri"/>
        <family val="2"/>
        <scheme val="minor"/>
      </rPr>
      <t>res-o</t>
    </r>
  </si>
  <si>
    <r>
      <t xml:space="preserve">s_ET </t>
    </r>
    <r>
      <rPr>
        <vertAlign val="subscript"/>
        <sz val="11"/>
        <rFont val="Calibri"/>
        <family val="2"/>
        <scheme val="minor"/>
      </rPr>
      <t>res-i</t>
    </r>
  </si>
  <si>
    <r>
      <t xml:space="preserve">s_CF </t>
    </r>
    <r>
      <rPr>
        <vertAlign val="subscript"/>
        <sz val="11"/>
        <color theme="1"/>
        <rFont val="Calibri"/>
        <family val="2"/>
        <scheme val="minor"/>
      </rPr>
      <t>res-fish</t>
    </r>
  </si>
  <si>
    <t>s_IRAP res-c</t>
  </si>
  <si>
    <t>s_IRAP res-a</t>
  </si>
  <si>
    <t>s_IFAP res-adj</t>
  </si>
  <si>
    <t>s_IRAS res-c</t>
  </si>
  <si>
    <t>s_IRAS res-a</t>
  </si>
  <si>
    <t>s_IFAS res-adj</t>
  </si>
  <si>
    <t>s_IRBT res-c</t>
  </si>
  <si>
    <t>s_IRBT res-a</t>
  </si>
  <si>
    <t>s_IFBT res-adj</t>
  </si>
  <si>
    <t>s_IRBE res-c</t>
  </si>
  <si>
    <t>s_IRBE res-a</t>
  </si>
  <si>
    <t>s_IFBE res-adj</t>
  </si>
  <si>
    <t>s_IRBR res-c</t>
  </si>
  <si>
    <t>s_IRBR res-a</t>
  </si>
  <si>
    <t>s_IFBR res-adj</t>
  </si>
  <si>
    <t>s_IRCB res-c</t>
  </si>
  <si>
    <t>s_IRCB res-a</t>
  </si>
  <si>
    <t>s_IFCB res-adj</t>
  </si>
  <si>
    <t>s_IRCR res-c</t>
  </si>
  <si>
    <t>s_IRCR res-a</t>
  </si>
  <si>
    <t>s_IFCR res-adj</t>
  </si>
  <si>
    <t>s_IRCG res-c</t>
  </si>
  <si>
    <t>s_IRCG res-a</t>
  </si>
  <si>
    <t>s_IFCG res-adj</t>
  </si>
  <si>
    <t>s_IRCI res-c</t>
  </si>
  <si>
    <t>s_IRCI res-a</t>
  </si>
  <si>
    <t>s_IFCI res-adj</t>
  </si>
  <si>
    <t>s_IRCO res-c</t>
  </si>
  <si>
    <t>s_IRCO res-a</t>
  </si>
  <si>
    <t>s_IFCO res-adj</t>
  </si>
  <si>
    <t>s_IRCU res-c</t>
  </si>
  <si>
    <t>s_IRCU res-a</t>
  </si>
  <si>
    <t>s_IFCU res-adj</t>
  </si>
  <si>
    <t>s_IRLE res-c</t>
  </si>
  <si>
    <t>s_IRLE res-a</t>
  </si>
  <si>
    <t>s_IFLE res-adj</t>
  </si>
  <si>
    <t>s_IRLI res-c</t>
  </si>
  <si>
    <t>s_IRLI res-a</t>
  </si>
  <si>
    <t>s_IFLI res-adj</t>
  </si>
  <si>
    <t>s_IROK res-c</t>
  </si>
  <si>
    <t>s_IROK res-a</t>
  </si>
  <si>
    <t>s_IFOK res-adj</t>
  </si>
  <si>
    <t>s_IRON res-c</t>
  </si>
  <si>
    <t>s_IRON res-a</t>
  </si>
  <si>
    <t>s_IFON res-adj</t>
  </si>
  <si>
    <t>s_IRPC res-c</t>
  </si>
  <si>
    <t>s_IRPC res-a</t>
  </si>
  <si>
    <t>s_IFPC res-adj</t>
  </si>
  <si>
    <t>s_IRPR res-c</t>
  </si>
  <si>
    <t>s_IRPR res-a</t>
  </si>
  <si>
    <t>s_IFPR res-adj</t>
  </si>
  <si>
    <t>s_IRPE res-c</t>
  </si>
  <si>
    <t>s_IRPE res-a</t>
  </si>
  <si>
    <t>s_IFPE res-adj</t>
  </si>
  <si>
    <t>s_IRPT res-c</t>
  </si>
  <si>
    <t>s_IRPT res-a</t>
  </si>
  <si>
    <t>s_IFPT res-adj</t>
  </si>
  <si>
    <t>s_IRPU res-c</t>
  </si>
  <si>
    <t>s_IRPU res-a</t>
  </si>
  <si>
    <t>s_IFPU res-adj</t>
  </si>
  <si>
    <t>s_IRRI res-c</t>
  </si>
  <si>
    <t>s_IRRI res-a</t>
  </si>
  <si>
    <t>s_IFRI res-adj</t>
  </si>
  <si>
    <t>s_IRSN res-c</t>
  </si>
  <si>
    <t>s_IRSN res-a</t>
  </si>
  <si>
    <t>s_IFSN res-adj</t>
  </si>
  <si>
    <t>s_IRST res-c</t>
  </si>
  <si>
    <t>s_IRST res-a</t>
  </si>
  <si>
    <t>s_IFST res-adj</t>
  </si>
  <si>
    <t>s_IRTO res-c</t>
  </si>
  <si>
    <t>s_IRTO res-a</t>
  </si>
  <si>
    <t>s_IFTO res-adj</t>
  </si>
  <si>
    <r>
      <t xml:space="preserve">s_ED </t>
    </r>
    <r>
      <rPr>
        <vertAlign val="subscript"/>
        <sz val="11"/>
        <color theme="1"/>
        <rFont val="Calibri"/>
        <family val="2"/>
        <scheme val="minor"/>
      </rPr>
      <t>rec-c</t>
    </r>
  </si>
  <si>
    <r>
      <t xml:space="preserve">s_ED </t>
    </r>
    <r>
      <rPr>
        <vertAlign val="subscript"/>
        <sz val="11"/>
        <color theme="1"/>
        <rFont val="Calibri"/>
        <family val="2"/>
        <scheme val="minor"/>
      </rPr>
      <t>rec-a</t>
    </r>
  </si>
  <si>
    <r>
      <t xml:space="preserve">s_ED </t>
    </r>
    <r>
      <rPr>
        <vertAlign val="subscript"/>
        <sz val="11"/>
        <color theme="1"/>
        <rFont val="Calibri"/>
        <family val="2"/>
        <scheme val="minor"/>
      </rPr>
      <t>rec</t>
    </r>
  </si>
  <si>
    <r>
      <t xml:space="preserve">s_t </t>
    </r>
    <r>
      <rPr>
        <vertAlign val="subscript"/>
        <sz val="11"/>
        <color theme="1"/>
        <rFont val="Calibri"/>
        <family val="2"/>
        <scheme val="minor"/>
      </rPr>
      <t>rec</t>
    </r>
  </si>
  <si>
    <r>
      <t xml:space="preserve">s_IRA </t>
    </r>
    <r>
      <rPr>
        <vertAlign val="subscript"/>
        <sz val="11"/>
        <color theme="1"/>
        <rFont val="Calibri"/>
        <family val="2"/>
        <scheme val="minor"/>
      </rPr>
      <t>rec-c</t>
    </r>
  </si>
  <si>
    <r>
      <t xml:space="preserve">s_IRA </t>
    </r>
    <r>
      <rPr>
        <vertAlign val="subscript"/>
        <sz val="11"/>
        <color theme="1"/>
        <rFont val="Calibri"/>
        <family val="2"/>
        <scheme val="minor"/>
      </rPr>
      <t>rec-a</t>
    </r>
  </si>
  <si>
    <r>
      <t xml:space="preserve">s_IFA </t>
    </r>
    <r>
      <rPr>
        <vertAlign val="subscript"/>
        <sz val="11"/>
        <color theme="1"/>
        <rFont val="Calibri"/>
        <family val="2"/>
        <scheme val="minor"/>
      </rPr>
      <t>rec-adj</t>
    </r>
  </si>
  <si>
    <r>
      <t xml:space="preserve">s_DFA </t>
    </r>
    <r>
      <rPr>
        <vertAlign val="subscript"/>
        <sz val="11"/>
        <color theme="1"/>
        <rFont val="Calibri"/>
        <family val="2"/>
        <scheme val="minor"/>
      </rPr>
      <t>rec-adj</t>
    </r>
  </si>
  <si>
    <r>
      <t xml:space="preserve">s_IRS </t>
    </r>
    <r>
      <rPr>
        <vertAlign val="subscript"/>
        <sz val="11"/>
        <color theme="1"/>
        <rFont val="Calibri"/>
        <family val="2"/>
        <scheme val="minor"/>
      </rPr>
      <t>rec-c</t>
    </r>
  </si>
  <si>
    <r>
      <t xml:space="preserve">s_IRS </t>
    </r>
    <r>
      <rPr>
        <vertAlign val="subscript"/>
        <sz val="11"/>
        <color theme="1"/>
        <rFont val="Calibri"/>
        <family val="2"/>
        <scheme val="minor"/>
      </rPr>
      <t>rec-a</t>
    </r>
  </si>
  <si>
    <r>
      <t xml:space="preserve">s_IFS </t>
    </r>
    <r>
      <rPr>
        <vertAlign val="subscript"/>
        <sz val="11"/>
        <color theme="1"/>
        <rFont val="Calibri"/>
        <family val="2"/>
        <scheme val="minor"/>
      </rPr>
      <t>rec-adj</t>
    </r>
  </si>
  <si>
    <r>
      <t xml:space="preserve">s_IRW </t>
    </r>
    <r>
      <rPr>
        <vertAlign val="subscript"/>
        <sz val="11"/>
        <color theme="1"/>
        <rFont val="Calibri"/>
        <family val="2"/>
        <scheme val="minor"/>
      </rPr>
      <t>rec-c</t>
    </r>
  </si>
  <si>
    <r>
      <t xml:space="preserve">s_IRW </t>
    </r>
    <r>
      <rPr>
        <vertAlign val="subscript"/>
        <sz val="11"/>
        <color theme="1"/>
        <rFont val="Calibri"/>
        <family val="2"/>
        <scheme val="minor"/>
      </rPr>
      <t>rec-a</t>
    </r>
  </si>
  <si>
    <r>
      <t xml:space="preserve">s_IFW </t>
    </r>
    <r>
      <rPr>
        <vertAlign val="subscript"/>
        <sz val="11"/>
        <color theme="1"/>
        <rFont val="Calibri"/>
        <family val="2"/>
        <scheme val="minor"/>
      </rPr>
      <t>rec-adj</t>
    </r>
  </si>
  <si>
    <r>
      <t>s_IRGL</t>
    </r>
    <r>
      <rPr>
        <vertAlign val="subscript"/>
        <sz val="11"/>
        <color theme="1"/>
        <rFont val="Calibri"/>
        <family val="2"/>
        <scheme val="minor"/>
      </rPr>
      <t xml:space="preserve"> rec</t>
    </r>
  </si>
  <si>
    <r>
      <t xml:space="preserve">s_IRGF </t>
    </r>
    <r>
      <rPr>
        <vertAlign val="subscript"/>
        <sz val="11"/>
        <color theme="1"/>
        <rFont val="Calibri"/>
        <family val="2"/>
        <scheme val="minor"/>
      </rPr>
      <t>rec</t>
    </r>
  </si>
  <si>
    <r>
      <t xml:space="preserve">s_EF </t>
    </r>
    <r>
      <rPr>
        <vertAlign val="subscript"/>
        <sz val="11"/>
        <color theme="1"/>
        <rFont val="Calibri"/>
        <family val="2"/>
        <scheme val="minor"/>
      </rPr>
      <t>rec-c</t>
    </r>
  </si>
  <si>
    <r>
      <t xml:space="preserve">s_EF </t>
    </r>
    <r>
      <rPr>
        <vertAlign val="subscript"/>
        <sz val="11"/>
        <color theme="1"/>
        <rFont val="Calibri"/>
        <family val="2"/>
        <scheme val="minor"/>
      </rPr>
      <t>rec-a</t>
    </r>
  </si>
  <si>
    <r>
      <t xml:space="preserve">s_EF </t>
    </r>
    <r>
      <rPr>
        <vertAlign val="subscript"/>
        <sz val="11"/>
        <color theme="1"/>
        <rFont val="Calibri"/>
        <family val="2"/>
        <scheme val="minor"/>
      </rPr>
      <t>rec</t>
    </r>
  </si>
  <si>
    <r>
      <t xml:space="preserve">s_ET </t>
    </r>
    <r>
      <rPr>
        <vertAlign val="subscript"/>
        <sz val="11"/>
        <color theme="1"/>
        <rFont val="Calibri"/>
        <family val="2"/>
        <scheme val="minor"/>
      </rPr>
      <t>rec</t>
    </r>
  </si>
  <si>
    <r>
      <t xml:space="preserve">s_ET </t>
    </r>
    <r>
      <rPr>
        <vertAlign val="subscript"/>
        <sz val="11"/>
        <color theme="1"/>
        <rFont val="Calibri"/>
        <family val="2"/>
        <scheme val="minor"/>
      </rPr>
      <t>rec-c</t>
    </r>
  </si>
  <si>
    <r>
      <t xml:space="preserve">s_ET </t>
    </r>
    <r>
      <rPr>
        <vertAlign val="subscript"/>
        <sz val="11"/>
        <color theme="1"/>
        <rFont val="Calibri"/>
        <family val="2"/>
        <scheme val="minor"/>
      </rPr>
      <t>rec-a</t>
    </r>
  </si>
  <si>
    <r>
      <t xml:space="preserve">s_ET </t>
    </r>
    <r>
      <rPr>
        <vertAlign val="subscript"/>
        <sz val="11"/>
        <color theme="1"/>
        <rFont val="Calibri"/>
        <family val="2"/>
        <scheme val="minor"/>
      </rPr>
      <t>event-rec-c</t>
    </r>
  </si>
  <si>
    <r>
      <t xml:space="preserve">s_ET </t>
    </r>
    <r>
      <rPr>
        <vertAlign val="subscript"/>
        <sz val="11"/>
        <color theme="1"/>
        <rFont val="Calibri"/>
        <family val="2"/>
        <scheme val="minor"/>
      </rPr>
      <t>event-rec-a</t>
    </r>
  </si>
  <si>
    <r>
      <t xml:space="preserve">s_EV </t>
    </r>
    <r>
      <rPr>
        <vertAlign val="subscript"/>
        <sz val="11"/>
        <color theme="1"/>
        <rFont val="Calibri"/>
        <family val="2"/>
        <scheme val="minor"/>
      </rPr>
      <t>rec-c</t>
    </r>
  </si>
  <si>
    <r>
      <t xml:space="preserve">s_EV </t>
    </r>
    <r>
      <rPr>
        <vertAlign val="subscript"/>
        <sz val="11"/>
        <color theme="1"/>
        <rFont val="Calibri"/>
        <family val="2"/>
        <scheme val="minor"/>
      </rPr>
      <t>rec-a</t>
    </r>
  </si>
  <si>
    <r>
      <t xml:space="preserve">s_Q </t>
    </r>
    <r>
      <rPr>
        <vertAlign val="subscript"/>
        <sz val="11"/>
        <rFont val="Calibri"/>
        <family val="2"/>
        <scheme val="minor"/>
      </rPr>
      <t>p-fowl</t>
    </r>
  </si>
  <si>
    <r>
      <t xml:space="preserve">s_Q </t>
    </r>
    <r>
      <rPr>
        <vertAlign val="subscript"/>
        <sz val="11"/>
        <rFont val="Calibri"/>
        <family val="2"/>
        <scheme val="minor"/>
      </rPr>
      <t>s-fowl</t>
    </r>
  </si>
  <si>
    <r>
      <t xml:space="preserve">s_f </t>
    </r>
    <r>
      <rPr>
        <vertAlign val="subscript"/>
        <sz val="11"/>
        <rFont val="Calibri"/>
        <family val="2"/>
        <scheme val="minor"/>
      </rPr>
      <t>p-fowl</t>
    </r>
  </si>
  <si>
    <r>
      <t xml:space="preserve">s_f </t>
    </r>
    <r>
      <rPr>
        <vertAlign val="subscript"/>
        <sz val="11"/>
        <rFont val="Calibri"/>
        <family val="2"/>
        <scheme val="minor"/>
      </rPr>
      <t>s-fowl</t>
    </r>
  </si>
  <si>
    <r>
      <t xml:space="preserve">s_Q </t>
    </r>
    <r>
      <rPr>
        <vertAlign val="subscript"/>
        <sz val="11"/>
        <rFont val="Calibri"/>
        <family val="2"/>
        <scheme val="minor"/>
      </rPr>
      <t>w-fowl</t>
    </r>
  </si>
  <si>
    <r>
      <t xml:space="preserve">s_Q </t>
    </r>
    <r>
      <rPr>
        <vertAlign val="subscript"/>
        <sz val="11"/>
        <rFont val="Calibri"/>
        <family val="2"/>
        <scheme val="minor"/>
      </rPr>
      <t>p-game</t>
    </r>
  </si>
  <si>
    <r>
      <t xml:space="preserve">s_Q </t>
    </r>
    <r>
      <rPr>
        <vertAlign val="subscript"/>
        <sz val="11"/>
        <rFont val="Calibri"/>
        <family val="2"/>
        <scheme val="minor"/>
      </rPr>
      <t>s-game</t>
    </r>
  </si>
  <si>
    <r>
      <t xml:space="preserve">s_f </t>
    </r>
    <r>
      <rPr>
        <vertAlign val="subscript"/>
        <sz val="11"/>
        <rFont val="Calibri"/>
        <family val="2"/>
        <scheme val="minor"/>
      </rPr>
      <t>p-game</t>
    </r>
  </si>
  <si>
    <r>
      <t xml:space="preserve">s_f </t>
    </r>
    <r>
      <rPr>
        <vertAlign val="subscript"/>
        <sz val="11"/>
        <rFont val="Calibri"/>
        <family val="2"/>
        <scheme val="minor"/>
      </rPr>
      <t>s-game</t>
    </r>
  </si>
  <si>
    <r>
      <t xml:space="preserve">s_Q </t>
    </r>
    <r>
      <rPr>
        <vertAlign val="subscript"/>
        <sz val="11"/>
        <rFont val="Calibri"/>
        <family val="2"/>
        <scheme val="minor"/>
      </rPr>
      <t>w-game</t>
    </r>
  </si>
  <si>
    <r>
      <t xml:space="preserve">s_CF </t>
    </r>
    <r>
      <rPr>
        <vertAlign val="subscript"/>
        <sz val="11"/>
        <rFont val="Calibri"/>
        <family val="2"/>
        <scheme val="minor"/>
      </rPr>
      <t>fowl</t>
    </r>
  </si>
  <si>
    <r>
      <t xml:space="preserve">s_CF </t>
    </r>
    <r>
      <rPr>
        <vertAlign val="subscript"/>
        <sz val="11"/>
        <rFont val="Calibri"/>
        <family val="2"/>
        <scheme val="minor"/>
      </rPr>
      <t>game</t>
    </r>
  </si>
  <si>
    <r>
      <t xml:space="preserve">s_ED </t>
    </r>
    <r>
      <rPr>
        <vertAlign val="subscript"/>
        <sz val="11"/>
        <color theme="1"/>
        <rFont val="Calibri"/>
        <family val="2"/>
        <scheme val="minor"/>
      </rPr>
      <t>far-c</t>
    </r>
  </si>
  <si>
    <r>
      <t xml:space="preserve">s_ED </t>
    </r>
    <r>
      <rPr>
        <vertAlign val="subscript"/>
        <sz val="11"/>
        <color theme="1"/>
        <rFont val="Calibri"/>
        <family val="2"/>
        <scheme val="minor"/>
      </rPr>
      <t>far-a</t>
    </r>
  </si>
  <si>
    <r>
      <t xml:space="preserve">s_ED </t>
    </r>
    <r>
      <rPr>
        <vertAlign val="subscript"/>
        <sz val="11"/>
        <color theme="1"/>
        <rFont val="Calibri"/>
        <family val="2"/>
        <scheme val="minor"/>
      </rPr>
      <t>far</t>
    </r>
  </si>
  <si>
    <r>
      <t xml:space="preserve">s_t </t>
    </r>
    <r>
      <rPr>
        <vertAlign val="subscript"/>
        <sz val="11"/>
        <color theme="1"/>
        <rFont val="Calibri"/>
        <family val="2"/>
        <scheme val="minor"/>
      </rPr>
      <t>far</t>
    </r>
  </si>
  <si>
    <r>
      <t xml:space="preserve">s_IRA </t>
    </r>
    <r>
      <rPr>
        <vertAlign val="subscript"/>
        <sz val="11"/>
        <color theme="1"/>
        <rFont val="Calibri"/>
        <family val="2"/>
        <scheme val="minor"/>
      </rPr>
      <t>far-c</t>
    </r>
  </si>
  <si>
    <r>
      <t xml:space="preserve">s_IRA </t>
    </r>
    <r>
      <rPr>
        <vertAlign val="subscript"/>
        <sz val="11"/>
        <color theme="1"/>
        <rFont val="Calibri"/>
        <family val="2"/>
        <scheme val="minor"/>
      </rPr>
      <t>far-a</t>
    </r>
  </si>
  <si>
    <r>
      <t xml:space="preserve">s_IFA </t>
    </r>
    <r>
      <rPr>
        <vertAlign val="subscript"/>
        <sz val="11"/>
        <color theme="1"/>
        <rFont val="Calibri"/>
        <family val="2"/>
        <scheme val="minor"/>
      </rPr>
      <t>far-adj</t>
    </r>
  </si>
  <si>
    <r>
      <t xml:space="preserve">s_DFA </t>
    </r>
    <r>
      <rPr>
        <vertAlign val="subscript"/>
        <sz val="11"/>
        <color theme="1"/>
        <rFont val="Calibri"/>
        <family val="2"/>
        <scheme val="minor"/>
      </rPr>
      <t>far-adj</t>
    </r>
  </si>
  <si>
    <r>
      <t xml:space="preserve">s_IRS </t>
    </r>
    <r>
      <rPr>
        <vertAlign val="subscript"/>
        <sz val="11"/>
        <color theme="1"/>
        <rFont val="Calibri"/>
        <family val="2"/>
        <scheme val="minor"/>
      </rPr>
      <t>far-c</t>
    </r>
  </si>
  <si>
    <r>
      <t xml:space="preserve">s_IRS </t>
    </r>
    <r>
      <rPr>
        <vertAlign val="subscript"/>
        <sz val="11"/>
        <color theme="1"/>
        <rFont val="Calibri"/>
        <family val="2"/>
        <scheme val="minor"/>
      </rPr>
      <t>far-a</t>
    </r>
  </si>
  <si>
    <r>
      <t xml:space="preserve">s_IFS </t>
    </r>
    <r>
      <rPr>
        <vertAlign val="subscript"/>
        <sz val="11"/>
        <color theme="1"/>
        <rFont val="Calibri"/>
        <family val="2"/>
        <scheme val="minor"/>
      </rPr>
      <t>far-adj</t>
    </r>
  </si>
  <si>
    <r>
      <t xml:space="preserve">s_IRW </t>
    </r>
    <r>
      <rPr>
        <vertAlign val="subscript"/>
        <sz val="11"/>
        <color theme="1"/>
        <rFont val="Calibri"/>
        <family val="2"/>
        <scheme val="minor"/>
      </rPr>
      <t>far-c</t>
    </r>
  </si>
  <si>
    <r>
      <t xml:space="preserve">s_IRW </t>
    </r>
    <r>
      <rPr>
        <vertAlign val="subscript"/>
        <sz val="11"/>
        <color theme="1"/>
        <rFont val="Calibri"/>
        <family val="2"/>
        <scheme val="minor"/>
      </rPr>
      <t>far-a</t>
    </r>
  </si>
  <si>
    <r>
      <t xml:space="preserve">s_IFW </t>
    </r>
    <r>
      <rPr>
        <vertAlign val="subscript"/>
        <sz val="11"/>
        <color theme="1"/>
        <rFont val="Calibri"/>
        <family val="2"/>
        <scheme val="minor"/>
      </rPr>
      <t>far-adj</t>
    </r>
  </si>
  <si>
    <r>
      <t xml:space="preserve">s_EF </t>
    </r>
    <r>
      <rPr>
        <vertAlign val="subscript"/>
        <sz val="11"/>
        <color theme="1"/>
        <rFont val="Calibri"/>
        <family val="2"/>
        <scheme val="minor"/>
      </rPr>
      <t>far-c</t>
    </r>
  </si>
  <si>
    <r>
      <t xml:space="preserve">s_EF </t>
    </r>
    <r>
      <rPr>
        <vertAlign val="subscript"/>
        <sz val="11"/>
        <color theme="1"/>
        <rFont val="Calibri"/>
        <family val="2"/>
        <scheme val="minor"/>
      </rPr>
      <t>far-a</t>
    </r>
  </si>
  <si>
    <r>
      <t xml:space="preserve">s_EF </t>
    </r>
    <r>
      <rPr>
        <vertAlign val="subscript"/>
        <sz val="11"/>
        <color theme="1"/>
        <rFont val="Calibri"/>
        <family val="2"/>
        <scheme val="minor"/>
      </rPr>
      <t>far</t>
    </r>
  </si>
  <si>
    <r>
      <t xml:space="preserve">s_ET </t>
    </r>
    <r>
      <rPr>
        <vertAlign val="subscript"/>
        <sz val="11"/>
        <color theme="1"/>
        <rFont val="Calibri"/>
        <family val="2"/>
        <scheme val="minor"/>
      </rPr>
      <t>far-c</t>
    </r>
  </si>
  <si>
    <r>
      <t xml:space="preserve">s_ET </t>
    </r>
    <r>
      <rPr>
        <vertAlign val="subscript"/>
        <sz val="11"/>
        <color theme="1"/>
        <rFont val="Calibri"/>
        <family val="2"/>
        <scheme val="minor"/>
      </rPr>
      <t>far-a</t>
    </r>
  </si>
  <si>
    <r>
      <t xml:space="preserve">s_ET </t>
    </r>
    <r>
      <rPr>
        <vertAlign val="subscript"/>
        <sz val="11"/>
        <color theme="1"/>
        <rFont val="Calibri"/>
        <family val="2"/>
        <scheme val="minor"/>
      </rPr>
      <t>far</t>
    </r>
  </si>
  <si>
    <r>
      <t xml:space="preserve">s_ET </t>
    </r>
    <r>
      <rPr>
        <vertAlign val="subscript"/>
        <sz val="11"/>
        <color theme="1"/>
        <rFont val="Calibri"/>
        <family val="2"/>
        <scheme val="minor"/>
      </rPr>
      <t>event-far-c</t>
    </r>
  </si>
  <si>
    <r>
      <t xml:space="preserve">s_ET </t>
    </r>
    <r>
      <rPr>
        <vertAlign val="subscript"/>
        <sz val="11"/>
        <color theme="1"/>
        <rFont val="Calibri"/>
        <family val="2"/>
        <scheme val="minor"/>
      </rPr>
      <t>event-far-a</t>
    </r>
  </si>
  <si>
    <r>
      <t xml:space="preserve">s_ET </t>
    </r>
    <r>
      <rPr>
        <vertAlign val="subscript"/>
        <sz val="11"/>
        <rFont val="Calibri"/>
        <family val="2"/>
        <scheme val="minor"/>
      </rPr>
      <t>far-o</t>
    </r>
  </si>
  <si>
    <r>
      <t xml:space="preserve">s_ET </t>
    </r>
    <r>
      <rPr>
        <vertAlign val="subscript"/>
        <sz val="11"/>
        <rFont val="Calibri"/>
        <family val="2"/>
        <scheme val="minor"/>
      </rPr>
      <t>far-i</t>
    </r>
  </si>
  <si>
    <r>
      <t xml:space="preserve">s_EV </t>
    </r>
    <r>
      <rPr>
        <vertAlign val="subscript"/>
        <sz val="11"/>
        <color theme="1"/>
        <rFont val="Calibri"/>
        <family val="2"/>
        <scheme val="minor"/>
      </rPr>
      <t>far-c</t>
    </r>
  </si>
  <si>
    <r>
      <t xml:space="preserve">s_EV </t>
    </r>
    <r>
      <rPr>
        <vertAlign val="subscript"/>
        <sz val="11"/>
        <color theme="1"/>
        <rFont val="Calibri"/>
        <family val="2"/>
        <scheme val="minor"/>
      </rPr>
      <t>far-a</t>
    </r>
  </si>
  <si>
    <r>
      <t xml:space="preserve">s_DF </t>
    </r>
    <r>
      <rPr>
        <vertAlign val="subscript"/>
        <sz val="11"/>
        <rFont val="Calibri"/>
        <family val="2"/>
        <scheme val="minor"/>
      </rPr>
      <t>i</t>
    </r>
  </si>
  <si>
    <t>s_C</t>
  </si>
  <si>
    <t>MUTTBTF</t>
  </si>
  <si>
    <t>GOATBTF</t>
  </si>
  <si>
    <t>GOATMILKBTF</t>
  </si>
  <si>
    <t>MUTTMILKBTF</t>
  </si>
  <si>
    <t>SE</t>
  </si>
  <si>
    <t>~Ba-137m</t>
  </si>
  <si>
    <t>~Po-218</t>
  </si>
  <si>
    <t>~Pb-214</t>
  </si>
  <si>
    <t>~Np-237</t>
  </si>
  <si>
    <t>~Pa-233</t>
  </si>
  <si>
    <t>~U-233</t>
  </si>
  <si>
    <t>~Th-229</t>
  </si>
  <si>
    <t>~Ra-225</t>
  </si>
  <si>
    <t>~Ac-225</t>
  </si>
  <si>
    <t>~Fr-221</t>
  </si>
  <si>
    <t>~At-217</t>
  </si>
  <si>
    <t>~Bi-213</t>
  </si>
  <si>
    <t>~Po-213</t>
  </si>
  <si>
    <t>~Tl-209</t>
  </si>
  <si>
    <t>~Pb-209</t>
  </si>
  <si>
    <t>~Rn-222</t>
  </si>
  <si>
    <t>~At-218</t>
  </si>
  <si>
    <t>~Bi-214</t>
  </si>
  <si>
    <t>~Rn-218</t>
  </si>
  <si>
    <t>~Po-214</t>
  </si>
  <si>
    <t>~Tl-210</t>
  </si>
  <si>
    <t>~Pb-210</t>
  </si>
  <si>
    <t>~Bi-210</t>
  </si>
  <si>
    <t>~Hg-206</t>
  </si>
  <si>
    <t>~Po-210</t>
  </si>
  <si>
    <t>~Tl-206</t>
  </si>
  <si>
    <t>~Cs-137</t>
  </si>
  <si>
    <t>~Am-241</t>
  </si>
  <si>
    <t>~Ra-226</t>
  </si>
  <si>
    <r>
      <t xml:space="preserve">Q </t>
    </r>
    <r>
      <rPr>
        <vertAlign val="subscript"/>
        <sz val="11"/>
        <rFont val="Calibri"/>
        <family val="2"/>
        <scheme val="minor"/>
      </rPr>
      <t>w-sheep</t>
    </r>
  </si>
  <si>
    <r>
      <t xml:space="preserve">Q </t>
    </r>
    <r>
      <rPr>
        <vertAlign val="subscript"/>
        <sz val="11"/>
        <rFont val="Calibri"/>
        <family val="2"/>
        <scheme val="minor"/>
      </rPr>
      <t>p-sheep</t>
    </r>
  </si>
  <si>
    <r>
      <t xml:space="preserve">Q </t>
    </r>
    <r>
      <rPr>
        <vertAlign val="subscript"/>
        <sz val="11"/>
        <rFont val="Calibri"/>
        <family val="2"/>
        <scheme val="minor"/>
      </rPr>
      <t>s-sheep</t>
    </r>
  </si>
  <si>
    <r>
      <t xml:space="preserve">f </t>
    </r>
    <r>
      <rPr>
        <vertAlign val="subscript"/>
        <sz val="11"/>
        <rFont val="Calibri"/>
        <family val="2"/>
        <scheme val="minor"/>
      </rPr>
      <t>p-sheep</t>
    </r>
  </si>
  <si>
    <r>
      <t xml:space="preserve">f </t>
    </r>
    <r>
      <rPr>
        <vertAlign val="subscript"/>
        <sz val="11"/>
        <rFont val="Calibri"/>
        <family val="2"/>
        <scheme val="minor"/>
      </rPr>
      <t>s-sheep</t>
    </r>
  </si>
  <si>
    <r>
      <t>IRSH</t>
    </r>
    <r>
      <rPr>
        <vertAlign val="subscript"/>
        <sz val="11"/>
        <color theme="1"/>
        <rFont val="Calibri"/>
        <family val="2"/>
        <scheme val="minor"/>
      </rPr>
      <t xml:space="preserve"> far-c</t>
    </r>
  </si>
  <si>
    <r>
      <t xml:space="preserve">IRSH </t>
    </r>
    <r>
      <rPr>
        <vertAlign val="subscript"/>
        <sz val="11"/>
        <color theme="1"/>
        <rFont val="Calibri"/>
        <family val="2"/>
        <scheme val="minor"/>
      </rPr>
      <t>far-a</t>
    </r>
  </si>
  <si>
    <r>
      <t xml:space="preserve">IFSH </t>
    </r>
    <r>
      <rPr>
        <vertAlign val="subscript"/>
        <sz val="11"/>
        <color theme="1"/>
        <rFont val="Calibri"/>
        <family val="2"/>
        <scheme val="minor"/>
      </rPr>
      <t>far-adj</t>
    </r>
  </si>
  <si>
    <r>
      <t xml:space="preserve">CF </t>
    </r>
    <r>
      <rPr>
        <vertAlign val="subscript"/>
        <sz val="11"/>
        <rFont val="Calibri"/>
        <family val="2"/>
        <scheme val="minor"/>
      </rPr>
      <t>far-sheep</t>
    </r>
  </si>
  <si>
    <r>
      <t xml:space="preserve">s_CF </t>
    </r>
    <r>
      <rPr>
        <vertAlign val="subscript"/>
        <sz val="11"/>
        <rFont val="Calibri"/>
        <family val="2"/>
        <scheme val="minor"/>
      </rPr>
      <t>far-sheep</t>
    </r>
  </si>
  <si>
    <r>
      <t>s_IRSH</t>
    </r>
    <r>
      <rPr>
        <vertAlign val="subscript"/>
        <sz val="11"/>
        <color theme="1"/>
        <rFont val="Calibri"/>
        <family val="2"/>
        <scheme val="minor"/>
      </rPr>
      <t xml:space="preserve"> far-c</t>
    </r>
  </si>
  <si>
    <r>
      <t xml:space="preserve">s_IRSH </t>
    </r>
    <r>
      <rPr>
        <vertAlign val="subscript"/>
        <sz val="11"/>
        <color theme="1"/>
        <rFont val="Calibri"/>
        <family val="2"/>
        <scheme val="minor"/>
      </rPr>
      <t>far-a</t>
    </r>
  </si>
  <si>
    <r>
      <t xml:space="preserve">s_IFSH </t>
    </r>
    <r>
      <rPr>
        <vertAlign val="subscript"/>
        <sz val="11"/>
        <color theme="1"/>
        <rFont val="Calibri"/>
        <family val="2"/>
        <scheme val="minor"/>
      </rPr>
      <t>far-adj</t>
    </r>
  </si>
  <si>
    <r>
      <t xml:space="preserve">s_Q </t>
    </r>
    <r>
      <rPr>
        <vertAlign val="subscript"/>
        <sz val="11"/>
        <rFont val="Calibri"/>
        <family val="2"/>
        <scheme val="minor"/>
      </rPr>
      <t>w-sheep</t>
    </r>
  </si>
  <si>
    <r>
      <t xml:space="preserve">s_Q </t>
    </r>
    <r>
      <rPr>
        <vertAlign val="subscript"/>
        <sz val="11"/>
        <rFont val="Calibri"/>
        <family val="2"/>
        <scheme val="minor"/>
      </rPr>
      <t>p-sheep</t>
    </r>
  </si>
  <si>
    <r>
      <t xml:space="preserve">s_Q </t>
    </r>
    <r>
      <rPr>
        <vertAlign val="subscript"/>
        <sz val="11"/>
        <rFont val="Calibri"/>
        <family val="2"/>
        <scheme val="minor"/>
      </rPr>
      <t>s-sheep</t>
    </r>
  </si>
  <si>
    <r>
      <t xml:space="preserve">s_f </t>
    </r>
    <r>
      <rPr>
        <vertAlign val="subscript"/>
        <sz val="11"/>
        <rFont val="Calibri"/>
        <family val="2"/>
        <scheme val="minor"/>
      </rPr>
      <t>p-sheep</t>
    </r>
  </si>
  <si>
    <r>
      <t xml:space="preserve">s_f </t>
    </r>
    <r>
      <rPr>
        <vertAlign val="subscript"/>
        <sz val="11"/>
        <rFont val="Calibri"/>
        <family val="2"/>
        <scheme val="minor"/>
      </rPr>
      <t>s-sheep</t>
    </r>
  </si>
  <si>
    <t>s_x</t>
  </si>
  <si>
    <t>risk_fsh_ing</t>
  </si>
  <si>
    <t>cdi_res_prod_ing_tot</t>
  </si>
  <si>
    <t>cdi_res_apple</t>
  </si>
  <si>
    <t>cdi_res_aspar</t>
  </si>
  <si>
    <t>cdi_res_beet</t>
  </si>
  <si>
    <t>cdi_res_berry</t>
  </si>
  <si>
    <t>cdi_res_broc</t>
  </si>
  <si>
    <t>cdi_res_cabb</t>
  </si>
  <si>
    <t>cdi_res_carr</t>
  </si>
  <si>
    <t>cdi_res_citrus</t>
  </si>
  <si>
    <t>cdi_res_corn</t>
  </si>
  <si>
    <t>cdi_res_cucum</t>
  </si>
  <si>
    <t>cdi_res_lett</t>
  </si>
  <si>
    <t>cdi_res_lima</t>
  </si>
  <si>
    <t>cdi_res_okra</t>
  </si>
  <si>
    <t>cdi_res_onion</t>
  </si>
  <si>
    <t>cdi_res_peach</t>
  </si>
  <si>
    <t>cdi_res_pear</t>
  </si>
  <si>
    <t>cdi_res_pea</t>
  </si>
  <si>
    <t>cdi_res_potat</t>
  </si>
  <si>
    <t>cdi_res_pump</t>
  </si>
  <si>
    <t>cdi_res_snap</t>
  </si>
  <si>
    <t>cdi_res_straw</t>
  </si>
  <si>
    <t>cdi_res_tom</t>
  </si>
  <si>
    <t>cdi_res_rice</t>
  </si>
  <si>
    <t>cdi_res_cereal</t>
  </si>
  <si>
    <t>cdi_far_prod_ing_tot</t>
  </si>
  <si>
    <t>Tab Descriptions</t>
  </si>
  <si>
    <r>
      <t>The</t>
    </r>
    <r>
      <rPr>
        <i/>
        <sz val="11"/>
        <rFont val="Arial"/>
        <family val="2"/>
      </rPr>
      <t xml:space="preserve"> 'RadSpec' </t>
    </r>
    <r>
      <rPr>
        <sz val="11"/>
        <rFont val="Arial"/>
        <family val="2"/>
      </rPr>
      <t>tab contains most isotope specific parameters like slope factors.</t>
    </r>
  </si>
  <si>
    <r>
      <t>The '</t>
    </r>
    <r>
      <rPr>
        <i/>
        <sz val="11"/>
        <rFont val="Arial"/>
        <family val="2"/>
      </rPr>
      <t>def_acf</t>
    </r>
    <r>
      <rPr>
        <sz val="11"/>
        <rFont val="Arial"/>
        <family val="2"/>
      </rPr>
      <t>' tab contains ACFs for slab size 1, cover layer 0, which is used to test recreator output using default input values.</t>
    </r>
  </si>
  <si>
    <t>Relevant Cell Descriptions on Green Tabs</t>
  </si>
  <si>
    <t>These cells, in column A, represent the primary QA isotopes.</t>
  </si>
  <si>
    <t>These cells, in column A, represent the progeny for the primary QA isotopes.</t>
  </si>
  <si>
    <t>These cells represent 'Chronic Daily Intakes'.</t>
  </si>
  <si>
    <r>
      <t xml:space="preserve">In column B, under the </t>
    </r>
    <r>
      <rPr>
        <b/>
        <sz val="10"/>
        <rFont val="Arial"/>
        <family val="2"/>
      </rPr>
      <t xml:space="preserve">'TEST' </t>
    </r>
    <r>
      <rPr>
        <sz val="10"/>
        <rFont val="Arial"/>
        <family val="2"/>
      </rPr>
      <t>filter, a value of '</t>
    </r>
    <r>
      <rPr>
        <b/>
        <sz val="10"/>
        <rFont val="Arial"/>
        <family val="2"/>
      </rPr>
      <t>Y</t>
    </r>
    <r>
      <rPr>
        <sz val="10"/>
        <rFont val="Arial"/>
        <family val="2"/>
      </rPr>
      <t>' means it is a primary test isotope and '</t>
    </r>
    <r>
      <rPr>
        <b/>
        <sz val="10"/>
        <rFont val="Arial"/>
        <family val="2"/>
      </rPr>
      <t>SE</t>
    </r>
    <r>
      <rPr>
        <sz val="10"/>
        <rFont val="Arial"/>
        <family val="2"/>
      </rPr>
      <t>' means it is a progeny for a primary test isotope.</t>
    </r>
  </si>
  <si>
    <t>These cells are intermediate calculation steps for determining total that are not presented in the online tool output.</t>
  </si>
  <si>
    <t>Other Important Notes</t>
  </si>
  <si>
    <t>Since this tool is used to calculate 'risk', the one hit rule is applied when the risk of exposure by route for a single isotope, summation of all routes for a single isotope, summation of single route for all isotopes, or summation of all routes for all isotopes exceed 0.01.</t>
  </si>
  <si>
    <t>prg_soil_ing</t>
  </si>
  <si>
    <t>prg_soil_inh</t>
  </si>
  <si>
    <t>prg_soil_ext</t>
  </si>
  <si>
    <t>prg_soil_tot</t>
  </si>
  <si>
    <t>prg_wat_ing</t>
  </si>
  <si>
    <t>prg_food_produce</t>
  </si>
  <si>
    <t>prg_soil_produce</t>
  </si>
  <si>
    <t>prg_soil_poultry</t>
  </si>
  <si>
    <t>prg_soil_egg</t>
  </si>
  <si>
    <t>prg_soil_beef</t>
  </si>
  <si>
    <t>prg_soil_dairy</t>
  </si>
  <si>
    <t>prg_soil_swine</t>
  </si>
  <si>
    <t>prg_soil_fish</t>
  </si>
  <si>
    <t>soil_ing</t>
  </si>
  <si>
    <t>soil_inh</t>
  </si>
  <si>
    <t>soil_ext</t>
  </si>
  <si>
    <t>soil_produce</t>
  </si>
  <si>
    <t>soil_poultry</t>
  </si>
  <si>
    <t>soil_egg</t>
  </si>
  <si>
    <t>soil_beef</t>
  </si>
  <si>
    <t>soil_dairy</t>
  </si>
  <si>
    <t>soil_swine</t>
  </si>
  <si>
    <t>soil_fish</t>
  </si>
  <si>
    <t>water_ing</t>
  </si>
  <si>
    <t>water_inh</t>
  </si>
  <si>
    <t>water_imm</t>
  </si>
  <si>
    <t>water_produce</t>
  </si>
  <si>
    <t>water_poultry</t>
  </si>
  <si>
    <t>water_egg</t>
  </si>
  <si>
    <t>water_beef</t>
  </si>
  <si>
    <t>water_dairy</t>
  </si>
  <si>
    <t>water_swine</t>
  </si>
  <si>
    <t>water_fish</t>
  </si>
  <si>
    <t>prg_wat_tot</t>
  </si>
  <si>
    <t>prg_food_ingv</t>
  </si>
  <si>
    <t>prg_tap_ing</t>
  </si>
  <si>
    <t>prg_tap_inh</t>
  </si>
  <si>
    <t>prg_tap_imm</t>
  </si>
  <si>
    <t>prg_tap_tot</t>
  </si>
  <si>
    <t>prg_fsh_ing</t>
  </si>
  <si>
    <t>prg_air_inh</t>
  </si>
  <si>
    <t>prg_air_sub</t>
  </si>
  <si>
    <t>prg_air_tot</t>
  </si>
  <si>
    <t>prg_tap_produce</t>
  </si>
  <si>
    <t>prg_wat_imm</t>
  </si>
  <si>
    <t>prg_game_ing</t>
  </si>
  <si>
    <t>prg_fowl_ing</t>
  </si>
  <si>
    <t>prg_wat_game_ing</t>
  </si>
  <si>
    <t>prg_wat_fowl_ing</t>
  </si>
  <si>
    <t>prg_soil_fowl_ing</t>
  </si>
  <si>
    <t>prg_soil_game_ing</t>
  </si>
  <si>
    <t>prg_soil_sv</t>
  </si>
  <si>
    <t>prg_soil_1cm</t>
  </si>
  <si>
    <t>prg_soil_5cm</t>
  </si>
  <si>
    <t>prg_soil_15cm</t>
  </si>
  <si>
    <t>prg_soil_gp</t>
  </si>
  <si>
    <t>cdi_soil_ing</t>
  </si>
  <si>
    <t>cdi_soil_inh</t>
  </si>
  <si>
    <t>cdi_soil_ext</t>
  </si>
  <si>
    <t>cdi_soil_produce</t>
  </si>
  <si>
    <t>risk_soil_tot</t>
  </si>
  <si>
    <t>cdi_soil_sv</t>
  </si>
  <si>
    <t>cdi_soil_1cm</t>
  </si>
  <si>
    <t>cdi_soil_5cm</t>
  </si>
  <si>
    <t>cdi_soil_15cm</t>
  </si>
  <si>
    <t>cdi_soil_gp</t>
  </si>
  <si>
    <t>cdi_air_inh</t>
  </si>
  <si>
    <t>cdi_air_sub</t>
  </si>
  <si>
    <t>risk_air_tot</t>
  </si>
  <si>
    <t>risk_tap_tot</t>
  </si>
  <si>
    <t>cdi_tap_ing</t>
  </si>
  <si>
    <t>cdi_tap_inh</t>
  </si>
  <si>
    <t>cdi_tap_imm</t>
  </si>
  <si>
    <t>cdi_tap_produce</t>
  </si>
  <si>
    <t>cdi_fsh_ing</t>
  </si>
  <si>
    <t>FC</t>
  </si>
  <si>
    <t>These cells represent fractional contribution applied to CDIs used to determine risk. These values are not presented in the tool risk output.</t>
  </si>
  <si>
    <t>prg_produce</t>
  </si>
  <si>
    <t>prg_poultry</t>
  </si>
  <si>
    <t>prg_egg</t>
  </si>
  <si>
    <t>prg_beef</t>
  </si>
  <si>
    <t>prg_dairy</t>
  </si>
  <si>
    <t>prg_swine</t>
  </si>
  <si>
    <t>prg_fish</t>
  </si>
  <si>
    <t>prg_goat</t>
  </si>
  <si>
    <t>prg_sheep</t>
  </si>
  <si>
    <t>prg_g-dairy</t>
  </si>
  <si>
    <t>prg_sh-dairy</t>
  </si>
  <si>
    <t>prg_soil_goat</t>
  </si>
  <si>
    <t>prg_soil_sheep</t>
  </si>
  <si>
    <t>prg_soil_g-dairy</t>
  </si>
  <si>
    <t>prg_soil_sh-dairy</t>
  </si>
  <si>
    <t>soil_goat</t>
  </si>
  <si>
    <t>soil_sheep</t>
  </si>
  <si>
    <t>soil_g-dairy</t>
  </si>
  <si>
    <t>soil_sh-dairy</t>
  </si>
  <si>
    <t>prg_water_ing</t>
  </si>
  <si>
    <t>prg_water_inh</t>
  </si>
  <si>
    <t>prg_water_imm</t>
  </si>
  <si>
    <t>prg_water_produce</t>
  </si>
  <si>
    <t>prg_water_poultry</t>
  </si>
  <si>
    <t>prg_water_egg</t>
  </si>
  <si>
    <t>prg_water_beef</t>
  </si>
  <si>
    <t>prg_water_dairy</t>
  </si>
  <si>
    <t>prg_water_swine</t>
  </si>
  <si>
    <t>prg_water_fish</t>
  </si>
  <si>
    <t>prg_water_goat</t>
  </si>
  <si>
    <t>prg_water_sheep</t>
  </si>
  <si>
    <t>prg_water_g-dairy</t>
  </si>
  <si>
    <t>prg_water_sh-dairy</t>
  </si>
  <si>
    <t>water_goat</t>
  </si>
  <si>
    <t>water_sheep</t>
  </si>
  <si>
    <t>water_g-dairy</t>
  </si>
  <si>
    <t>water_sh-dairy</t>
  </si>
  <si>
    <t>prg_water_tot</t>
  </si>
  <si>
    <t>cdi_produce</t>
  </si>
  <si>
    <t>cdi_poultry</t>
  </si>
  <si>
    <t>cdi_egg</t>
  </si>
  <si>
    <t>cdi_beef</t>
  </si>
  <si>
    <t>cdi_dairy</t>
  </si>
  <si>
    <t>cdi_swine</t>
  </si>
  <si>
    <t>cdi_fish</t>
  </si>
  <si>
    <t>cdi_goat</t>
  </si>
  <si>
    <t>cdi_sheep</t>
  </si>
  <si>
    <t>cdi_g-dairy</t>
  </si>
  <si>
    <t>cdi_sh-dairy</t>
  </si>
  <si>
    <t>cdi_soil_poultry</t>
  </si>
  <si>
    <t>cdi_soil_egg</t>
  </si>
  <si>
    <t>cdi_soil_beef</t>
  </si>
  <si>
    <t>cdi_soil_dairy</t>
  </si>
  <si>
    <t>cdi_soil_swine</t>
  </si>
  <si>
    <t>cdi_soil_fish</t>
  </si>
  <si>
    <t>cdi_soil_goat</t>
  </si>
  <si>
    <t>cdi_soil_sheep</t>
  </si>
  <si>
    <t>cdi_soil_g-dairy</t>
  </si>
  <si>
    <t>cdi_soil_sh-dairy</t>
  </si>
  <si>
    <t>cdi_water_ing</t>
  </si>
  <si>
    <t>cdi_water_inh</t>
  </si>
  <si>
    <t>cdi_water_imm</t>
  </si>
  <si>
    <t>cdi_water_produce</t>
  </si>
  <si>
    <t>cdi_water_fish</t>
  </si>
  <si>
    <t>cdi_water_beef</t>
  </si>
  <si>
    <t>cdi_water_dairy</t>
  </si>
  <si>
    <t>cdi_water_swine</t>
  </si>
  <si>
    <t>cdi_water_poultry</t>
  </si>
  <si>
    <t>cdi_water_egg</t>
  </si>
  <si>
    <t>cdi_water_goat</t>
  </si>
  <si>
    <t>cdi_water_g-dairy</t>
  </si>
  <si>
    <t>cdi_water_sheep</t>
  </si>
  <si>
    <t>cdi_water_sh-dairy</t>
  </si>
  <si>
    <t>risk_water_tot</t>
  </si>
  <si>
    <t>cdi_wat_ing</t>
  </si>
  <si>
    <t>cdi_wat_imm</t>
  </si>
  <si>
    <t>risk_wat_tot</t>
  </si>
  <si>
    <t>cdi_game_ing</t>
  </si>
  <si>
    <t>cdi_soil_game_ing</t>
  </si>
  <si>
    <t>cdi_wat_game_ing</t>
  </si>
  <si>
    <t>cdi_fowl_ing</t>
  </si>
  <si>
    <t>cdi_soil_fowl_ing</t>
  </si>
  <si>
    <t>cdi_wat_fowl_ing</t>
  </si>
  <si>
    <t>mcl_water_conc</t>
  </si>
  <si>
    <t>risk_water_conc</t>
  </si>
  <si>
    <t>mcl_water_sl</t>
  </si>
  <si>
    <t>risk_water_sl</t>
  </si>
  <si>
    <t>s_DAF</t>
  </si>
  <si>
    <t>For the 'Site-Specific with Defaults' and 'Site-Specific User Provided' tabs, the ACF is based on 20,000 and the GSFs are based on 20.</t>
  </si>
  <si>
    <t>cdi_far_apple</t>
  </si>
  <si>
    <t>cdi_far_aspar</t>
  </si>
  <si>
    <t>cdi_far_beet</t>
  </si>
  <si>
    <t>cdi_far_berry</t>
  </si>
  <si>
    <t>cdi_far_broc</t>
  </si>
  <si>
    <t>cdi_far_cabb</t>
  </si>
  <si>
    <t>cdi_far_carr</t>
  </si>
  <si>
    <t>cdi_far_citrus</t>
  </si>
  <si>
    <t>cdi_far_corn</t>
  </si>
  <si>
    <t>cdi_far_cucum</t>
  </si>
  <si>
    <t>cdi_far_lett</t>
  </si>
  <si>
    <t>cdi_far_lima</t>
  </si>
  <si>
    <t>cdi_far_okra</t>
  </si>
  <si>
    <t>cdi_far_onion</t>
  </si>
  <si>
    <t>cdi_far_peach</t>
  </si>
  <si>
    <t>cdi_far_pear</t>
  </si>
  <si>
    <t>cdi_far_pea</t>
  </si>
  <si>
    <t>cdi_far_potat</t>
  </si>
  <si>
    <t>cdi_far_pump</t>
  </si>
  <si>
    <t>cdi_far_snap</t>
  </si>
  <si>
    <t>cdi_far_straw</t>
  </si>
  <si>
    <t>cdi_far_tom</t>
  </si>
  <si>
    <t>cdi_far_rice</t>
  </si>
  <si>
    <t>cdi_far_grain</t>
  </si>
  <si>
    <t>prg_far_prod_ing_tot</t>
  </si>
  <si>
    <t>prg_far_apple</t>
  </si>
  <si>
    <t>prg_far_aspar</t>
  </si>
  <si>
    <t>prg_far_beet</t>
  </si>
  <si>
    <t>prg_far_berry</t>
  </si>
  <si>
    <t>prg_far_broc</t>
  </si>
  <si>
    <t>prg_far_cabb</t>
  </si>
  <si>
    <t>prg_far_carr</t>
  </si>
  <si>
    <t>prg_far_citrus</t>
  </si>
  <si>
    <t>prg_far_corn</t>
  </si>
  <si>
    <t>prg_far_cucum</t>
  </si>
  <si>
    <t>prg_far_lett</t>
  </si>
  <si>
    <t>prg_far_lima</t>
  </si>
  <si>
    <t>prg_far_okra</t>
  </si>
  <si>
    <t>prg_far_onion</t>
  </si>
  <si>
    <t>prg_far_peach</t>
  </si>
  <si>
    <t>prg_far_pear</t>
  </si>
  <si>
    <t>prg_far_pea</t>
  </si>
  <si>
    <t>prg_far_potat</t>
  </si>
  <si>
    <t>prg_far_pump</t>
  </si>
  <si>
    <t>prg_far_snap</t>
  </si>
  <si>
    <t>prg_far_straw</t>
  </si>
  <si>
    <t>prg_far_tom</t>
  </si>
  <si>
    <t>prg_far_rice</t>
  </si>
  <si>
    <t>prg_far_grain</t>
  </si>
  <si>
    <t>prg_res_prod_ing_tot</t>
  </si>
  <si>
    <t>prg_res_apple</t>
  </si>
  <si>
    <t>prg_res_aspar</t>
  </si>
  <si>
    <t>prg_res_beet</t>
  </si>
  <si>
    <t>prg_res_berry</t>
  </si>
  <si>
    <t>prg_res_broc</t>
  </si>
  <si>
    <t>prg_res_cabb</t>
  </si>
  <si>
    <t>prg_res_carr</t>
  </si>
  <si>
    <t>prg_res_citrus</t>
  </si>
  <si>
    <t>prg_res_corn</t>
  </si>
  <si>
    <t>prg_res_cucum</t>
  </si>
  <si>
    <t>prg_res_lett</t>
  </si>
  <si>
    <t>prg_res_lima</t>
  </si>
  <si>
    <t>prg_res_okra</t>
  </si>
  <si>
    <t>prg_res_onion</t>
  </si>
  <si>
    <t>prg_res_peach</t>
  </si>
  <si>
    <t>prg_res_pear</t>
  </si>
  <si>
    <t>prg_res_pea</t>
  </si>
  <si>
    <t>prg_res_potat</t>
  </si>
  <si>
    <t>prg_res_pump</t>
  </si>
  <si>
    <t>prg_res_snap</t>
  </si>
  <si>
    <t>prg_res_straw</t>
  </si>
  <si>
    <t>prg_res_tom</t>
  </si>
  <si>
    <t>prg_res_rice</t>
  </si>
  <si>
    <t>prg_res_cereal</t>
  </si>
  <si>
    <t>prg_far_soil_prod_ing_tot</t>
  </si>
  <si>
    <t>res_water_prod_ing_tot</t>
  </si>
  <si>
    <t>prg_res_soil_prod_ing_tot</t>
  </si>
  <si>
    <t>prg_far_water_prod_ing_tot</t>
  </si>
  <si>
    <t>IAEA</t>
  </si>
  <si>
    <t>EA</t>
  </si>
  <si>
    <t>NCRP</t>
  </si>
  <si>
    <t>Other</t>
  </si>
  <si>
    <t>In the 'd' and 'ss' tabs, these cells are calculated based on specific inputs and cannot be altered unless the respective inputs are altered.</t>
  </si>
  <si>
    <t>Any tab that contains Bv are tabs that contain soil to plant transfer coefficients. 'd_ss' contains default transfer coefficents and 'up' contains altered trasfer coefficients.</t>
  </si>
  <si>
    <r>
      <t xml:space="preserve">AAF </t>
    </r>
    <r>
      <rPr>
        <vertAlign val="subscript"/>
        <sz val="11"/>
        <color theme="1"/>
        <rFont val="Calibri"/>
        <family val="2"/>
        <scheme val="minor"/>
      </rPr>
      <t>res-c</t>
    </r>
  </si>
  <si>
    <r>
      <t xml:space="preserve">AAF </t>
    </r>
    <r>
      <rPr>
        <vertAlign val="subscript"/>
        <sz val="11"/>
        <color theme="1"/>
        <rFont val="Calibri"/>
        <family val="2"/>
        <scheme val="minor"/>
      </rPr>
      <t>res-a</t>
    </r>
  </si>
  <si>
    <t>DL</t>
  </si>
  <si>
    <r>
      <t xml:space="preserve">AAF </t>
    </r>
    <r>
      <rPr>
        <vertAlign val="subscript"/>
        <sz val="11"/>
        <color theme="1"/>
        <rFont val="Calibri"/>
        <family val="2"/>
        <scheme val="minor"/>
      </rPr>
      <t>rec-c</t>
    </r>
  </si>
  <si>
    <r>
      <t xml:space="preserve">AAF </t>
    </r>
    <r>
      <rPr>
        <vertAlign val="subscript"/>
        <sz val="11"/>
        <color theme="1"/>
        <rFont val="Calibri"/>
        <family val="2"/>
        <scheme val="minor"/>
      </rPr>
      <t>rec-a</t>
    </r>
  </si>
  <si>
    <r>
      <t xml:space="preserve">AAF </t>
    </r>
    <r>
      <rPr>
        <vertAlign val="subscript"/>
        <sz val="11"/>
        <color theme="1"/>
        <rFont val="Calibri"/>
        <family val="2"/>
        <scheme val="minor"/>
      </rPr>
      <t>far-c</t>
    </r>
  </si>
  <si>
    <r>
      <t xml:space="preserve">AAF </t>
    </r>
    <r>
      <rPr>
        <vertAlign val="subscript"/>
        <sz val="11"/>
        <color theme="1"/>
        <rFont val="Calibri"/>
        <family val="2"/>
        <scheme val="minor"/>
      </rPr>
      <t>far-a</t>
    </r>
  </si>
  <si>
    <t>POULDLYBTF</t>
  </si>
  <si>
    <t>s_DL</t>
  </si>
  <si>
    <t>s_AAF rec-c</t>
  </si>
  <si>
    <t>s_AAF far-c</t>
  </si>
  <si>
    <t>s_AAF res-c</t>
  </si>
  <si>
    <t>s_AAF rec-a</t>
  </si>
  <si>
    <t>s_AAF far-a</t>
  </si>
  <si>
    <t>s_AAF res-a</t>
  </si>
  <si>
    <t>LUNG_TYPE</t>
  </si>
  <si>
    <t>ING_FORM</t>
  </si>
  <si>
    <t>INH_FORM</t>
  </si>
  <si>
    <t>ABSORPTION</t>
  </si>
  <si>
    <t>LUNG_FRACTION</t>
  </si>
  <si>
    <t>DCFO_soil</t>
  </si>
  <si>
    <t>DCFO_food</t>
  </si>
  <si>
    <t>DCFX</t>
  </si>
  <si>
    <t>DCFI</t>
  </si>
  <si>
    <t>DCFO_wat</t>
  </si>
  <si>
    <t>DCFO_AD</t>
  </si>
  <si>
    <t>DCFXSUB</t>
  </si>
  <si>
    <t>DCFXGP</t>
  </si>
  <si>
    <t>DCFXIMM</t>
  </si>
  <si>
    <t>DCFXSV1</t>
  </si>
  <si>
    <t>DCFXSV5</t>
  </si>
  <si>
    <t>DCFXSV15</t>
  </si>
  <si>
    <t>-</t>
  </si>
  <si>
    <t xml:space="preserve"> </t>
  </si>
  <si>
    <t>S</t>
  </si>
  <si>
    <t>Organic</t>
  </si>
  <si>
    <t>.</t>
  </si>
  <si>
    <t>Disclaimer: This archived file was intended for internal review but has been posted due to interest in historical reviews. This file is no longer used to quality assure the EPA DCC calculator as the calculator has undergone significant updates. Quality assurance spreadsheets have been updated accordingly and are provided on the internal verification page of the EPA DCC website.</t>
  </si>
  <si>
    <t>The point of this QA sheet is to replicate the 'Default', 'Site-Specific with Defaults', and 'Site-Specific User Provided' output results for the DCC (Dose Compliance Concentrations for Radionuclide Contaminants at Superfund Sites) calculator. Below are instructions for understanding the ins and outs of this spreadsheet. Due to the higher than normal processing time for calculating secular equilibrium, this QA sheet only calculates secular equilibrium DCCs for 4 isotopes including Am-241, Ca-137, Rn-222, &amp; Ra-226).</t>
  </si>
  <si>
    <t>These tabs present the risk for site-specific DCCs based on user inputs from the 'ss' tab.</t>
  </si>
  <si>
    <t>The 'dir' tabs contain the direct ingestion DCCs for resident and farmer scenarios.</t>
  </si>
  <si>
    <t>The 'b2s' tabs contain the DCCs back calculated to soil for resident and farmer scenarios.</t>
  </si>
  <si>
    <t>The 'b2w' tabs contain the DCCs back calculated to water for resident and farmer scenarios.</t>
  </si>
  <si>
    <t>The 'd' tab contains all the non isotope specific default exposure parameters that are used to calculate DCCs in the defaults tabs.</t>
  </si>
  <si>
    <t xml:space="preserve">The 'ss' tab contains all the non isotope specific site-specific exposure parameters that are used to calculate DCCs in the site specific tabs. </t>
  </si>
  <si>
    <t>These cells represent secular equilibrium DCCs by route and media.</t>
  </si>
  <si>
    <t>These cells represent fractional contribution applied to DCCs. If individuals progeny are included in the output these values will be presented in the tool output.</t>
  </si>
  <si>
    <t>These cells represent 'Dose' for individual progeny.</t>
  </si>
  <si>
    <t>These cells represent 'Total Dose' by route and media.</t>
  </si>
  <si>
    <t xml:space="preserve">These tabs present DCCs in units of mrem for the output option that assumes secular equilibrium. Tabs that do not begin with 's_ ' or 'up_ 'should be used to test the default output. Tabs that begin with 's_' should be used to test the site-specific output and use inputs from the 'ss' tab . Tabs that begin with 'up_' should be used to test the site-specific user provided output and use inputs from the 'ss'. </t>
  </si>
  <si>
    <t>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</si>
</sst>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00000000000"/>
    <numFmt numFmtId="166" formatCode="0.0"/>
  </numFmts>
  <fonts count="37" x14ac:knownFonts="1">
    <font>
      <sz val="11"/>
      <color theme="1"/>
      <name val="Calibri"/>
      <family val="2"/>
      <scheme val="minor"/>
    </font>
    <font>
      <b/>
      <sz val="10"/>
      <name val="Arial"/>
      <family val="2"/>
    </font>
    <font>
      <sz val="11"/>
      <color theme="1"/>
      <name val="Calibri"/>
      <family val="2"/>
      <scheme val="minor"/>
    </font>
    <font>
      <b/>
      <sz val="14"/>
      <color theme="1"/>
      <name val="Calibri"/>
      <family val="2"/>
      <scheme val="minor"/>
    </font>
    <font>
      <vertAlign val="subscript"/>
      <sz val="12"/>
      <color theme="1"/>
      <name val="Calibri"/>
      <family val="2"/>
      <scheme val="minor"/>
    </font>
    <font>
      <sz val="11"/>
      <color rgb="FF005C00"/>
      <name val="Calibri"/>
      <family val="2"/>
      <scheme val="minor"/>
    </font>
    <font>
      <sz val="10"/>
      <name val="Arial"/>
      <family val="2"/>
    </font>
    <font>
      <vertAlign val="subscript"/>
      <sz val="11"/>
      <color theme="1"/>
      <name val="Calibri"/>
      <family val="2"/>
      <scheme val="minor"/>
    </font>
    <font>
      <sz val="11"/>
      <name val="Calibri"/>
      <family val="2"/>
      <scheme val="minor"/>
    </font>
    <font>
      <vertAlign val="subscript"/>
      <sz val="11"/>
      <name val="Calibri"/>
      <family val="2"/>
      <scheme val="minor"/>
    </font>
    <font>
      <sz val="10"/>
      <name val="Arial"/>
      <family val="2"/>
      <charset val="1"/>
    </font>
    <font>
      <sz val="12"/>
      <color theme="1"/>
      <name val="Calibri"/>
      <family val="2"/>
      <scheme val="minor"/>
    </font>
    <font>
      <sz val="11"/>
      <color rgb="FF7030A0"/>
      <name val="Calibri"/>
      <family val="2"/>
      <scheme val="minor"/>
    </font>
    <font>
      <b/>
      <sz val="11"/>
      <color theme="1"/>
      <name val="Calibri"/>
      <family val="2"/>
      <scheme val="minor"/>
    </font>
    <font>
      <b/>
      <sz val="10"/>
      <name val="Arial"/>
      <family val="2"/>
    </font>
    <font>
      <sz val="9"/>
      <color indexed="81"/>
      <name val="Tahoma"/>
      <family val="2"/>
    </font>
    <font>
      <b/>
      <sz val="9"/>
      <color indexed="81"/>
      <name val="Tahoma"/>
      <family val="2"/>
    </font>
    <font>
      <i/>
      <sz val="9"/>
      <color theme="1"/>
      <name val="Calibri"/>
      <family val="2"/>
      <scheme val="minor"/>
    </font>
    <font>
      <b/>
      <sz val="10"/>
      <color rgb="FFFF0000"/>
      <name val="Arial"/>
      <family val="2"/>
    </font>
    <font>
      <i/>
      <sz val="11"/>
      <color theme="1"/>
      <name val="Calibri"/>
      <family val="2"/>
      <scheme val="minor"/>
    </font>
    <font>
      <sz val="11"/>
      <color rgb="FF151515"/>
      <name val="Calibri"/>
      <family val="2"/>
      <scheme val="minor"/>
    </font>
    <font>
      <b/>
      <i/>
      <sz val="11"/>
      <color theme="1"/>
      <name val="Calibri"/>
      <family val="2"/>
      <scheme val="minor"/>
    </font>
    <font>
      <i/>
      <sz val="11"/>
      <name val="Calibri"/>
      <family val="2"/>
      <scheme val="minor"/>
    </font>
    <font>
      <b/>
      <sz val="22"/>
      <color rgb="FFFF0000"/>
      <name val="Arial"/>
      <family val="2"/>
    </font>
    <font>
      <b/>
      <sz val="11"/>
      <name val="Arial"/>
      <family val="2"/>
    </font>
    <font>
      <sz val="12"/>
      <name val="Arial"/>
      <family val="2"/>
    </font>
    <font>
      <b/>
      <sz val="12"/>
      <name val="Arial"/>
      <family val="2"/>
    </font>
    <font>
      <b/>
      <sz val="11"/>
      <color theme="0"/>
      <name val="Arial"/>
      <family val="2"/>
    </font>
    <font>
      <sz val="11"/>
      <name val="Arial"/>
      <family val="2"/>
    </font>
    <font>
      <i/>
      <sz val="11"/>
      <name val="Arial"/>
      <family val="2"/>
    </font>
    <font>
      <b/>
      <i/>
      <sz val="11"/>
      <color theme="0"/>
      <name val="Calibri"/>
      <family val="2"/>
      <scheme val="minor"/>
    </font>
    <font>
      <sz val="10"/>
      <color theme="0"/>
      <name val="Arial"/>
      <family val="2"/>
    </font>
    <font>
      <sz val="11"/>
      <color theme="9" tint="-0.499984740745262"/>
      <name val="Calibri"/>
      <family val="2"/>
      <scheme val="minor"/>
    </font>
    <font>
      <sz val="10"/>
      <color rgb="FF008000"/>
      <name val="Arial"/>
      <family val="2"/>
    </font>
    <font>
      <b/>
      <sz val="11"/>
      <color theme="0"/>
      <name val="Calibri"/>
      <family val="2"/>
      <scheme val="minor"/>
    </font>
    <font>
      <b/>
      <i/>
      <sz val="11"/>
      <name val="Calibri"/>
      <family val="2"/>
      <scheme val="minor"/>
    </font>
    <font>
      <b/>
      <sz val="12"/>
      <color rgb="FFFF0000"/>
      <name val="Arial"/>
      <family val="2"/>
    </font>
  </fonts>
  <fills count="17">
    <fill>
      <patternFill patternType="none"/>
    </fill>
    <fill>
      <patternFill patternType="gray125"/>
    </fill>
    <fill>
      <patternFill patternType="solid">
        <fgColor theme="8" tint="0.79998168889431442"/>
        <bgColor indexed="64"/>
      </patternFill>
    </fill>
    <fill>
      <patternFill patternType="solid">
        <fgColor rgb="FFB3FFB3"/>
        <bgColor indexed="64"/>
      </patternFill>
    </fill>
    <fill>
      <patternFill patternType="solid">
        <fgColor theme="7" tint="0.79998168889431442"/>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E9D9FF"/>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305496"/>
        <bgColor indexed="64"/>
      </patternFill>
    </fill>
  </fills>
  <borders count="7">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0" fillId="0" borderId="0"/>
    <xf numFmtId="0" fontId="6" fillId="0" borderId="0"/>
    <xf numFmtId="0" fontId="6" fillId="0" borderId="0"/>
    <xf numFmtId="0" fontId="6" fillId="0" borderId="0"/>
  </cellStyleXfs>
  <cellXfs count="170">
    <xf numFmtId="0" fontId="0" fillId="0" borderId="0" xfId="0"/>
    <xf numFmtId="0" fontId="8" fillId="0" borderId="0" xfId="0" applyFont="1"/>
    <xf numFmtId="11" fontId="0" fillId="0" borderId="0" xfId="0" applyNumberFormat="1" applyAlignment="1">
      <alignment horizontal="left"/>
    </xf>
    <xf numFmtId="0" fontId="0" fillId="0" borderId="0" xfId="0" applyAlignment="1">
      <alignment horizontal="left"/>
    </xf>
    <xf numFmtId="0" fontId="0" fillId="0" borderId="0" xfId="0" applyAlignment="1" applyProtection="1">
      <alignment horizontal="left"/>
      <protection locked="0"/>
    </xf>
    <xf numFmtId="11" fontId="0" fillId="0" borderId="0" xfId="0" applyNumberFormat="1" applyAlignment="1" applyProtection="1">
      <alignment horizontal="left"/>
      <protection locked="0"/>
    </xf>
    <xf numFmtId="11" fontId="13" fillId="0" borderId="0" xfId="0" applyNumberFormat="1" applyFont="1" applyAlignment="1">
      <alignment horizontal="left" vertical="center"/>
    </xf>
    <xf numFmtId="0" fontId="13" fillId="0" borderId="0" xfId="0" applyFont="1" applyAlignment="1">
      <alignment horizontal="left"/>
    </xf>
    <xf numFmtId="0" fontId="13" fillId="0" borderId="0" xfId="0" applyFont="1"/>
    <xf numFmtId="0" fontId="0" fillId="0" borderId="0" xfId="0" applyAlignment="1">
      <alignment horizontal="left" vertical="top"/>
    </xf>
    <xf numFmtId="11" fontId="0" fillId="4" borderId="0" xfId="0" applyNumberFormat="1" applyFill="1" applyAlignment="1">
      <alignment horizontal="left"/>
    </xf>
    <xf numFmtId="0" fontId="23" fillId="0" borderId="0" xfId="3" applyFont="1" applyAlignment="1">
      <alignment horizontal="center" vertical="center"/>
    </xf>
    <xf numFmtId="0" fontId="23" fillId="0" borderId="0" xfId="3" applyFont="1" applyAlignment="1" applyProtection="1">
      <alignment vertical="center"/>
      <protection locked="0"/>
    </xf>
    <xf numFmtId="0" fontId="6" fillId="0" borderId="0" xfId="3" applyProtection="1">
      <protection locked="0"/>
    </xf>
    <xf numFmtId="0" fontId="24" fillId="0" borderId="0" xfId="3" applyFont="1" applyAlignment="1" applyProtection="1">
      <alignment wrapText="1"/>
      <protection locked="0"/>
    </xf>
    <xf numFmtId="0" fontId="24" fillId="0" borderId="0" xfId="3" applyFont="1" applyAlignment="1">
      <alignment wrapText="1"/>
    </xf>
    <xf numFmtId="0" fontId="25" fillId="0" borderId="0" xfId="3" applyFont="1" applyAlignment="1">
      <alignment wrapText="1"/>
    </xf>
    <xf numFmtId="0" fontId="26" fillId="0" borderId="0" xfId="3" applyFont="1" applyAlignment="1">
      <alignment horizontal="center"/>
    </xf>
    <xf numFmtId="0" fontId="27" fillId="10" borderId="1" xfId="3" applyFont="1" applyFill="1" applyBorder="1" applyAlignment="1">
      <alignment wrapText="1"/>
    </xf>
    <xf numFmtId="0" fontId="27" fillId="0" borderId="0" xfId="3" applyFont="1" applyProtection="1">
      <protection locked="0"/>
    </xf>
    <xf numFmtId="0" fontId="24" fillId="4" borderId="2" xfId="3" applyFont="1" applyFill="1" applyBorder="1"/>
    <xf numFmtId="0" fontId="24" fillId="0" borderId="2" xfId="3" applyFont="1" applyBorder="1"/>
    <xf numFmtId="0" fontId="28" fillId="0" borderId="2" xfId="3" applyFont="1" applyBorder="1"/>
    <xf numFmtId="0" fontId="28" fillId="0" borderId="3" xfId="3" applyFont="1" applyBorder="1"/>
    <xf numFmtId="0" fontId="6" fillId="9" borderId="1" xfId="4" applyFill="1" applyBorder="1"/>
    <xf numFmtId="0" fontId="6" fillId="6" borderId="2" xfId="4" applyFill="1" applyBorder="1"/>
    <xf numFmtId="0" fontId="6" fillId="4" borderId="2" xfId="4" applyFill="1" applyBorder="1"/>
    <xf numFmtId="0" fontId="6" fillId="0" borderId="3" xfId="3" applyBorder="1" applyAlignment="1">
      <alignment wrapText="1"/>
    </xf>
    <xf numFmtId="0" fontId="6" fillId="0" borderId="0" xfId="3"/>
    <xf numFmtId="11" fontId="17" fillId="11" borderId="0" xfId="0" applyNumberFormat="1" applyFont="1" applyFill="1" applyAlignment="1">
      <alignment horizontal="left" vertical="top"/>
    </xf>
    <xf numFmtId="11" fontId="1" fillId="0" borderId="0" xfId="0" applyNumberFormat="1" applyFont="1" applyAlignment="1">
      <alignment horizontal="left"/>
    </xf>
    <xf numFmtId="0" fontId="0" fillId="6" borderId="0" xfId="0" applyFill="1" applyAlignment="1">
      <alignment horizontal="left"/>
    </xf>
    <xf numFmtId="0" fontId="0" fillId="9" borderId="0" xfId="0" applyFill="1" applyAlignment="1">
      <alignment horizontal="left"/>
    </xf>
    <xf numFmtId="11" fontId="30" fillId="13" borderId="0" xfId="0" applyNumberFormat="1" applyFont="1" applyFill="1" applyAlignment="1">
      <alignment horizontal="left"/>
    </xf>
    <xf numFmtId="11" fontId="0" fillId="12" borderId="0" xfId="0" applyNumberFormat="1" applyFill="1" applyAlignment="1">
      <alignment horizontal="left"/>
    </xf>
    <xf numFmtId="0" fontId="6" fillId="0" borderId="3" xfId="3" applyBorder="1"/>
    <xf numFmtId="0" fontId="31" fillId="13" borderId="2" xfId="4" applyFont="1" applyFill="1" applyBorder="1"/>
    <xf numFmtId="0" fontId="6" fillId="14" borderId="2" xfId="4" applyFill="1" applyBorder="1"/>
    <xf numFmtId="0" fontId="6" fillId="15" borderId="2" xfId="4" applyFill="1" applyBorder="1"/>
    <xf numFmtId="11" fontId="13" fillId="15" borderId="0" xfId="0" applyNumberFormat="1" applyFont="1" applyFill="1" applyAlignment="1">
      <alignment horizontal="left"/>
    </xf>
    <xf numFmtId="11" fontId="19" fillId="15" borderId="0" xfId="0" applyNumberFormat="1" applyFont="1" applyFill="1" applyAlignment="1">
      <alignment horizontal="left"/>
    </xf>
    <xf numFmtId="11" fontId="21" fillId="15" borderId="0" xfId="0" applyNumberFormat="1" applyFont="1" applyFill="1" applyAlignment="1">
      <alignment horizontal="left"/>
    </xf>
    <xf numFmtId="11" fontId="0" fillId="14" borderId="0" xfId="0" applyNumberFormat="1" applyFill="1" applyAlignment="1">
      <alignment horizontal="left"/>
    </xf>
    <xf numFmtId="0" fontId="6" fillId="11" borderId="4" xfId="3" applyFill="1" applyBorder="1" applyAlignment="1">
      <alignment wrapText="1"/>
    </xf>
    <xf numFmtId="0" fontId="6" fillId="2" borderId="2" xfId="3" applyFill="1" applyBorder="1" applyAlignment="1">
      <alignment wrapText="1"/>
    </xf>
    <xf numFmtId="0" fontId="6" fillId="12" borderId="2" xfId="4" applyFill="1" applyBorder="1"/>
    <xf numFmtId="0" fontId="18" fillId="0" borderId="5" xfId="3" applyFont="1" applyBorder="1"/>
    <xf numFmtId="0" fontId="0" fillId="0" borderId="0" xfId="0" applyAlignment="1" applyProtection="1">
      <alignment horizontal="left" vertical="center"/>
      <protection locked="0"/>
    </xf>
    <xf numFmtId="11" fontId="0" fillId="0" borderId="0" xfId="0" applyNumberFormat="1" applyAlignment="1">
      <alignment horizontal="left" vertical="center"/>
    </xf>
    <xf numFmtId="0" fontId="0" fillId="0" borderId="0" xfId="0" applyAlignment="1">
      <alignment horizontal="left" vertical="center"/>
    </xf>
    <xf numFmtId="0" fontId="1" fillId="0" borderId="0" xfId="0" applyFont="1" applyAlignment="1">
      <alignment horizontal="left"/>
    </xf>
    <xf numFmtId="0" fontId="14" fillId="0" borderId="0" xfId="0" applyFont="1" applyAlignment="1">
      <alignment horizontal="left"/>
    </xf>
    <xf numFmtId="0" fontId="8" fillId="0" borderId="0" xfId="0" applyFont="1" applyAlignment="1">
      <alignment horizontal="left" vertical="top"/>
    </xf>
    <xf numFmtId="0" fontId="19" fillId="4" borderId="0" xfId="0" applyFont="1" applyFill="1" applyAlignment="1">
      <alignment horizontal="left"/>
    </xf>
    <xf numFmtId="0" fontId="0" fillId="15" borderId="0" xfId="0" applyFill="1" applyAlignment="1">
      <alignment horizontal="left"/>
    </xf>
    <xf numFmtId="0" fontId="19" fillId="0" borderId="0" xfId="0" applyFont="1" applyAlignment="1">
      <alignment horizontal="left"/>
    </xf>
    <xf numFmtId="0" fontId="20" fillId="0" borderId="0" xfId="0" applyFont="1" applyAlignment="1">
      <alignment horizontal="left"/>
    </xf>
    <xf numFmtId="0" fontId="1" fillId="0" borderId="0" xfId="0" applyFont="1" applyAlignment="1">
      <alignment horizontal="left" vertical="center"/>
    </xf>
    <xf numFmtId="0" fontId="14" fillId="0" borderId="0" xfId="0" applyFont="1" applyAlignment="1">
      <alignment horizontal="left" vertical="center"/>
    </xf>
    <xf numFmtId="0" fontId="8" fillId="0" borderId="0" xfId="0" applyFont="1" applyAlignment="1">
      <alignment horizontal="left" vertical="center"/>
    </xf>
    <xf numFmtId="0" fontId="19" fillId="4" borderId="0" xfId="0" applyFont="1" applyFill="1" applyAlignment="1">
      <alignment horizontal="left" vertical="center"/>
    </xf>
    <xf numFmtId="0" fontId="0" fillId="6" borderId="0" xfId="0" applyFill="1" applyAlignment="1">
      <alignment horizontal="left" vertical="center"/>
    </xf>
    <xf numFmtId="11" fontId="0" fillId="4" borderId="0" xfId="0" applyNumberFormat="1" applyFill="1" applyAlignment="1">
      <alignment horizontal="left" vertical="center"/>
    </xf>
    <xf numFmtId="0" fontId="0" fillId="9" borderId="0" xfId="0" applyFill="1" applyAlignment="1">
      <alignment horizontal="left" vertical="center"/>
    </xf>
    <xf numFmtId="0" fontId="0" fillId="15" borderId="0" xfId="0" applyFill="1" applyAlignment="1">
      <alignment horizontal="left" vertical="center"/>
    </xf>
    <xf numFmtId="11" fontId="19" fillId="15" borderId="0" xfId="0" applyNumberFormat="1" applyFont="1" applyFill="1" applyAlignment="1">
      <alignment horizontal="left" vertical="center"/>
    </xf>
    <xf numFmtId="0" fontId="19" fillId="0" borderId="0" xfId="0" applyFont="1" applyAlignment="1">
      <alignment horizontal="left" vertical="center"/>
    </xf>
    <xf numFmtId="11" fontId="0" fillId="14" borderId="0" xfId="0" applyNumberFormat="1" applyFill="1" applyAlignment="1">
      <alignment horizontal="left" vertical="center"/>
    </xf>
    <xf numFmtId="0" fontId="20" fillId="0" borderId="0" xfId="0" applyFont="1" applyAlignment="1">
      <alignment horizontal="left" vertical="center"/>
    </xf>
    <xf numFmtId="11" fontId="5" fillId="3" borderId="0" xfId="0" applyNumberFormat="1" applyFont="1" applyFill="1" applyAlignment="1">
      <alignment horizontal="left"/>
    </xf>
    <xf numFmtId="0" fontId="33" fillId="3" borderId="1" xfId="3" applyFont="1" applyFill="1" applyBorder="1"/>
    <xf numFmtId="11" fontId="8" fillId="0" borderId="0" xfId="0" applyNumberFormat="1" applyFont="1" applyAlignment="1">
      <alignment horizontal="left" vertical="center"/>
    </xf>
    <xf numFmtId="11" fontId="8" fillId="0" borderId="0" xfId="0" applyNumberFormat="1" applyFont="1"/>
    <xf numFmtId="11" fontId="8" fillId="0" borderId="0" xfId="0" applyNumberFormat="1" applyFont="1" applyAlignment="1">
      <alignment horizontal="left"/>
    </xf>
    <xf numFmtId="11" fontId="17" fillId="11" borderId="0" xfId="0" applyNumberFormat="1" applyFont="1" applyFill="1" applyAlignment="1">
      <alignment horizontal="left"/>
    </xf>
    <xf numFmtId="11" fontId="0" fillId="0" borderId="0" xfId="0" applyNumberFormat="1" applyAlignment="1">
      <alignment horizontal="center"/>
    </xf>
    <xf numFmtId="11" fontId="0" fillId="14" borderId="0" xfId="0" applyNumberFormat="1" applyFill="1" applyAlignment="1">
      <alignment horizontal="center"/>
    </xf>
    <xf numFmtId="11" fontId="22" fillId="15" borderId="0" xfId="0" applyNumberFormat="1" applyFont="1" applyFill="1" applyAlignment="1">
      <alignment horizontal="left"/>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8" fillId="0" borderId="0" xfId="2"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0" xfId="0" applyFont="1" applyAlignment="1" applyProtection="1">
      <alignment vertical="center"/>
      <protection locked="0"/>
    </xf>
    <xf numFmtId="0" fontId="0" fillId="0" borderId="0" xfId="0" applyAlignment="1" applyProtection="1">
      <alignment vertical="center"/>
      <protection locked="0"/>
    </xf>
    <xf numFmtId="0" fontId="10" fillId="0" borderId="0" xfId="1" applyAlignment="1" applyProtection="1">
      <alignment vertical="center"/>
      <protection locked="0"/>
    </xf>
    <xf numFmtId="0" fontId="8" fillId="0" borderId="0" xfId="1" applyFont="1" applyAlignment="1" applyProtection="1">
      <alignment vertical="center"/>
      <protection locked="0"/>
    </xf>
    <xf numFmtId="0" fontId="2"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164" fontId="5" fillId="0" borderId="0" xfId="0" applyNumberFormat="1" applyFont="1" applyAlignment="1" applyProtection="1">
      <alignment horizontal="center" vertical="center"/>
      <protection locked="0"/>
    </xf>
    <xf numFmtId="0" fontId="12" fillId="0" borderId="0" xfId="0" applyFont="1" applyAlignment="1" applyProtection="1">
      <alignment horizontal="center" vertical="center"/>
      <protection locked="0"/>
    </xf>
    <xf numFmtId="11" fontId="5" fillId="0" borderId="0" xfId="0" applyNumberFormat="1" applyFont="1" applyAlignment="1" applyProtection="1">
      <alignment horizontal="center" vertical="center"/>
      <protection locked="0"/>
    </xf>
    <xf numFmtId="0" fontId="8" fillId="0" borderId="0" xfId="2" applyFont="1" applyAlignment="1" applyProtection="1">
      <alignment vertical="center"/>
      <protection locked="0"/>
    </xf>
    <xf numFmtId="11" fontId="5" fillId="3" borderId="0" xfId="0" applyNumberFormat="1" applyFont="1" applyFill="1" applyAlignment="1">
      <alignment horizontal="center" vertical="center"/>
    </xf>
    <xf numFmtId="0" fontId="32" fillId="3" borderId="0" xfId="0" applyFont="1" applyFill="1" applyAlignment="1">
      <alignment horizontal="center" vertical="center"/>
    </xf>
    <xf numFmtId="0" fontId="5" fillId="3" borderId="0" xfId="0" applyFont="1" applyFill="1" applyAlignment="1">
      <alignment horizontal="center" vertical="center"/>
    </xf>
    <xf numFmtId="0" fontId="6" fillId="0" borderId="0" xfId="0" applyFont="1" applyAlignment="1" applyProtection="1">
      <alignment horizontal="center" vertical="center"/>
      <protection locked="0"/>
    </xf>
    <xf numFmtId="1" fontId="8"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protection locked="0"/>
    </xf>
    <xf numFmtId="11" fontId="0" fillId="0" borderId="0" xfId="0" applyNumberFormat="1" applyAlignment="1" applyProtection="1">
      <alignment vertical="center"/>
      <protection locked="0"/>
    </xf>
    <xf numFmtId="11" fontId="8" fillId="0" borderId="0" xfId="0" applyNumberFormat="1" applyFont="1" applyAlignment="1" applyProtection="1">
      <alignment horizontal="center" vertical="center"/>
      <protection locked="0"/>
    </xf>
    <xf numFmtId="11" fontId="14" fillId="0" borderId="0" xfId="0" applyNumberFormat="1" applyFont="1" applyAlignment="1">
      <alignment horizontal="left"/>
    </xf>
    <xf numFmtId="11" fontId="14" fillId="0" borderId="0" xfId="0" applyNumberFormat="1" applyFont="1"/>
    <xf numFmtId="11" fontId="1" fillId="0" borderId="0" xfId="0" applyNumberFormat="1" applyFont="1"/>
    <xf numFmtId="11" fontId="13" fillId="0" borderId="0" xfId="0" applyNumberFormat="1" applyFont="1" applyAlignment="1">
      <alignment horizontal="left"/>
    </xf>
    <xf numFmtId="11" fontId="0" fillId="0" borderId="0" xfId="0" applyNumberFormat="1"/>
    <xf numFmtId="11" fontId="0" fillId="0" borderId="0" xfId="0" applyNumberFormat="1" applyAlignment="1">
      <alignment horizontal="right"/>
    </xf>
    <xf numFmtId="11" fontId="18" fillId="0" borderId="0" xfId="0" applyNumberFormat="1" applyFont="1"/>
    <xf numFmtId="11" fontId="8" fillId="14" borderId="0" xfId="0" applyNumberFormat="1" applyFont="1" applyFill="1" applyAlignment="1">
      <alignment horizontal="left"/>
    </xf>
    <xf numFmtId="11" fontId="0" fillId="11" borderId="0" xfId="0" applyNumberFormat="1" applyFill="1" applyAlignment="1">
      <alignment horizontal="left"/>
    </xf>
    <xf numFmtId="0" fontId="13" fillId="15" borderId="0" xfId="0" applyFont="1" applyFill="1" applyAlignment="1">
      <alignment horizontal="left"/>
    </xf>
    <xf numFmtId="11" fontId="0" fillId="5" borderId="0" xfId="0" applyNumberFormat="1" applyFill="1"/>
    <xf numFmtId="11" fontId="0" fillId="4" borderId="0" xfId="0" applyNumberFormat="1" applyFill="1"/>
    <xf numFmtId="11" fontId="0" fillId="7" borderId="0" xfId="0" applyNumberFormat="1" applyFill="1"/>
    <xf numFmtId="0" fontId="13" fillId="4" borderId="0" xfId="0" applyFont="1" applyFill="1" applyAlignment="1">
      <alignment horizontal="center" vertical="center"/>
    </xf>
    <xf numFmtId="0" fontId="13" fillId="7" borderId="0" xfId="0" applyFont="1" applyFill="1" applyAlignment="1">
      <alignment horizontal="center" vertical="center"/>
    </xf>
    <xf numFmtId="0" fontId="13" fillId="5" borderId="0" xfId="0" applyFont="1" applyFill="1" applyAlignment="1">
      <alignment horizontal="center" vertical="center"/>
    </xf>
    <xf numFmtId="0" fontId="13" fillId="8" borderId="0" xfId="0" applyFont="1" applyFill="1" applyAlignment="1">
      <alignment horizontal="center" vertical="center"/>
    </xf>
    <xf numFmtId="165" fontId="0" fillId="0" borderId="0" xfId="0" applyNumberFormat="1" applyAlignment="1" applyProtection="1">
      <alignment vertical="center"/>
      <protection locked="0"/>
    </xf>
    <xf numFmtId="0" fontId="0" fillId="0" borderId="0" xfId="0" applyAlignment="1">
      <alignment vertical="center"/>
    </xf>
    <xf numFmtId="2" fontId="5" fillId="3" borderId="0" xfId="0" applyNumberFormat="1" applyFont="1" applyFill="1" applyAlignment="1">
      <alignment horizontal="center"/>
    </xf>
    <xf numFmtId="0" fontId="0" fillId="0" borderId="0" xfId="0" applyNumberFormat="1" applyAlignment="1" applyProtection="1">
      <alignment horizontal="center" vertical="center"/>
      <protection locked="0"/>
    </xf>
    <xf numFmtId="166" fontId="5" fillId="3" borderId="0" xfId="0" applyNumberFormat="1" applyFont="1" applyFill="1" applyAlignment="1">
      <alignment horizontal="center" vertical="center"/>
    </xf>
    <xf numFmtId="1" fontId="5" fillId="3" borderId="0" xfId="0" applyNumberFormat="1" applyFont="1" applyFill="1" applyAlignment="1">
      <alignment horizontal="center" vertical="center"/>
    </xf>
    <xf numFmtId="0" fontId="36" fillId="0" borderId="6" xfId="4" applyFont="1" applyBorder="1" applyAlignment="1">
      <alignment horizontal="left" vertical="center" wrapText="1"/>
    </xf>
    <xf numFmtId="0" fontId="3" fillId="0" borderId="0" xfId="0" applyFont="1" applyAlignment="1" applyProtection="1">
      <alignment horizontal="center" vertical="center"/>
      <protection locked="0"/>
    </xf>
    <xf numFmtId="0" fontId="1" fillId="0" borderId="0" xfId="0" applyFont="1" applyAlignment="1" applyProtection="1">
      <alignment horizontal="left"/>
    </xf>
    <xf numFmtId="0" fontId="14" fillId="0" borderId="0" xfId="0" applyFont="1" applyAlignment="1" applyProtection="1">
      <alignment horizontal="left"/>
    </xf>
    <xf numFmtId="0" fontId="0" fillId="0" borderId="0" xfId="0" applyProtection="1"/>
    <xf numFmtId="0" fontId="0" fillId="6" borderId="0" xfId="0" applyFill="1" applyAlignment="1" applyProtection="1">
      <alignment horizontal="left"/>
    </xf>
    <xf numFmtId="0" fontId="0" fillId="0" borderId="0" xfId="0" applyAlignment="1" applyProtection="1">
      <alignment horizontal="left"/>
    </xf>
    <xf numFmtId="11" fontId="0" fillId="0" borderId="0" xfId="0" applyNumberFormat="1" applyAlignment="1" applyProtection="1">
      <alignment horizontal="center"/>
    </xf>
    <xf numFmtId="0" fontId="0" fillId="9" borderId="0" xfId="0" applyFill="1" applyAlignment="1" applyProtection="1">
      <alignment horizontal="left"/>
    </xf>
    <xf numFmtId="0" fontId="0" fillId="15" borderId="0" xfId="0" applyFill="1" applyAlignment="1" applyProtection="1">
      <alignment horizontal="left"/>
    </xf>
    <xf numFmtId="11" fontId="19" fillId="15" borderId="0" xfId="0" applyNumberFormat="1" applyFont="1" applyFill="1" applyAlignment="1" applyProtection="1">
      <alignment horizontal="left"/>
    </xf>
    <xf numFmtId="11" fontId="21" fillId="15" borderId="0" xfId="0" applyNumberFormat="1" applyFont="1" applyFill="1" applyAlignment="1" applyProtection="1">
      <alignment horizontal="left"/>
    </xf>
    <xf numFmtId="0" fontId="19" fillId="0" borderId="0" xfId="0" applyFont="1" applyAlignment="1" applyProtection="1">
      <alignment horizontal="left"/>
    </xf>
    <xf numFmtId="11" fontId="0" fillId="14" borderId="0" xfId="0" applyNumberFormat="1" applyFill="1" applyAlignment="1" applyProtection="1">
      <alignment horizontal="left"/>
    </xf>
    <xf numFmtId="11" fontId="0" fillId="14" borderId="0" xfId="0" applyNumberFormat="1" applyFill="1" applyAlignment="1" applyProtection="1">
      <alignment horizontal="center"/>
    </xf>
    <xf numFmtId="0" fontId="20" fillId="0" borderId="0" xfId="0" applyFont="1" applyAlignment="1" applyProtection="1">
      <alignment horizontal="left"/>
    </xf>
    <xf numFmtId="11" fontId="35" fillId="15" borderId="0" xfId="0" applyNumberFormat="1" applyFont="1" applyFill="1" applyAlignment="1" applyProtection="1">
      <alignment horizontal="left"/>
    </xf>
    <xf numFmtId="11" fontId="1" fillId="0" borderId="0" xfId="0" applyNumberFormat="1" applyFont="1" applyAlignment="1" applyProtection="1">
      <alignment horizontal="left"/>
    </xf>
    <xf numFmtId="11" fontId="0" fillId="0" borderId="0" xfId="0" applyNumberFormat="1" applyAlignment="1" applyProtection="1">
      <alignment horizontal="left"/>
    </xf>
    <xf numFmtId="11" fontId="0" fillId="4" borderId="0" xfId="0" applyNumberFormat="1" applyFill="1" applyAlignment="1" applyProtection="1">
      <alignment horizontal="left"/>
    </xf>
    <xf numFmtId="11" fontId="19" fillId="12" borderId="0" xfId="0" applyNumberFormat="1" applyFont="1" applyFill="1" applyAlignment="1" applyProtection="1">
      <alignment horizontal="left"/>
    </xf>
    <xf numFmtId="11" fontId="19" fillId="4" borderId="0" xfId="0" applyNumberFormat="1" applyFont="1" applyFill="1" applyAlignment="1" applyProtection="1">
      <alignment horizontal="left"/>
    </xf>
    <xf numFmtId="11" fontId="13" fillId="15" borderId="0" xfId="0" applyNumberFormat="1" applyFont="1" applyFill="1" applyAlignment="1" applyProtection="1">
      <alignment horizontal="left"/>
    </xf>
    <xf numFmtId="11" fontId="30" fillId="16" borderId="0" xfId="0" applyNumberFormat="1" applyFont="1" applyFill="1" applyAlignment="1" applyProtection="1">
      <alignment horizontal="left"/>
    </xf>
    <xf numFmtId="11" fontId="30" fillId="13" borderId="0" xfId="0" applyNumberFormat="1" applyFont="1" applyFill="1" applyAlignment="1" applyProtection="1">
      <alignment horizontal="left"/>
    </xf>
    <xf numFmtId="11" fontId="19" fillId="0" borderId="0" xfId="0" applyNumberFormat="1" applyFont="1" applyAlignment="1" applyProtection="1">
      <alignment horizontal="left"/>
    </xf>
    <xf numFmtId="11" fontId="0" fillId="2" borderId="0" xfId="0" applyNumberFormat="1" applyFill="1" applyAlignment="1" applyProtection="1">
      <alignment horizontal="left"/>
    </xf>
    <xf numFmtId="11" fontId="0" fillId="12" borderId="0" xfId="0" applyNumberFormat="1" applyFill="1" applyAlignment="1" applyProtection="1">
      <alignment horizontal="left"/>
    </xf>
    <xf numFmtId="11" fontId="20" fillId="0" borderId="0" xfId="0" applyNumberFormat="1" applyFont="1" applyAlignment="1" applyProtection="1">
      <alignment horizontal="left"/>
    </xf>
    <xf numFmtId="11" fontId="8" fillId="2" borderId="0" xfId="0" applyNumberFormat="1" applyFont="1" applyFill="1" applyAlignment="1" applyProtection="1">
      <alignment horizontal="left"/>
    </xf>
    <xf numFmtId="0" fontId="0" fillId="0" borderId="0" xfId="0" applyAlignment="1" applyProtection="1">
      <alignment horizontal="left" vertical="top"/>
    </xf>
    <xf numFmtId="0" fontId="19" fillId="4" borderId="0" xfId="0" applyFont="1" applyFill="1" applyAlignment="1" applyProtection="1">
      <alignment horizontal="left" vertical="top"/>
    </xf>
    <xf numFmtId="11" fontId="0" fillId="0" borderId="0" xfId="0" applyNumberFormat="1" applyAlignment="1" applyProtection="1">
      <alignment horizontal="left" vertical="top"/>
    </xf>
    <xf numFmtId="11" fontId="17" fillId="11" borderId="0" xfId="0" applyNumberFormat="1" applyFont="1" applyFill="1" applyAlignment="1" applyProtection="1">
      <alignment horizontal="left" vertical="top"/>
    </xf>
    <xf numFmtId="0" fontId="19" fillId="12" borderId="0" xfId="0" applyFont="1" applyFill="1" applyAlignment="1" applyProtection="1">
      <alignment horizontal="left" vertical="top"/>
    </xf>
    <xf numFmtId="11" fontId="17" fillId="11" borderId="0" xfId="0" applyNumberFormat="1" applyFont="1" applyFill="1" applyAlignment="1" applyProtection="1">
      <alignment horizontal="left"/>
    </xf>
    <xf numFmtId="11" fontId="34" fillId="16" borderId="0" xfId="0" applyNumberFormat="1" applyFont="1" applyFill="1" applyAlignment="1" applyProtection="1">
      <alignment horizontal="left"/>
    </xf>
    <xf numFmtId="11" fontId="14" fillId="0" borderId="0" xfId="0" applyNumberFormat="1" applyFont="1" applyProtection="1"/>
    <xf numFmtId="11" fontId="1" fillId="0" borderId="0" xfId="0" applyNumberFormat="1" applyFont="1" applyProtection="1"/>
    <xf numFmtId="11" fontId="14" fillId="0" borderId="0" xfId="0" applyNumberFormat="1" applyFont="1" applyAlignment="1" applyProtection="1">
      <alignment horizontal="left"/>
    </xf>
    <xf numFmtId="11" fontId="13" fillId="0" borderId="0" xfId="0" applyNumberFormat="1" applyFont="1" applyAlignment="1" applyProtection="1">
      <alignment horizontal="left" vertical="center"/>
    </xf>
    <xf numFmtId="0" fontId="13" fillId="0" borderId="0" xfId="0" applyFont="1" applyAlignment="1" applyProtection="1">
      <alignment horizontal="left"/>
    </xf>
    <xf numFmtId="0" fontId="13" fillId="0" borderId="0" xfId="0" applyFont="1" applyProtection="1"/>
    <xf numFmtId="11" fontId="13" fillId="0" borderId="0" xfId="0" applyNumberFormat="1" applyFont="1" applyAlignment="1" applyProtection="1">
      <alignment horizontal="left"/>
    </xf>
    <xf numFmtId="11" fontId="0" fillId="0" borderId="0" xfId="0" applyNumberFormat="1" applyProtection="1"/>
    <xf numFmtId="11" fontId="5" fillId="3" borderId="0" xfId="0" applyNumberFormat="1" applyFont="1" applyFill="1" applyAlignment="1" applyProtection="1">
      <alignment horizontal="left"/>
    </xf>
    <xf numFmtId="11" fontId="0" fillId="0" borderId="0" xfId="0" applyNumberFormat="1" applyAlignment="1" applyProtection="1">
      <alignment horizontal="right"/>
    </xf>
  </cellXfs>
  <cellStyles count="5">
    <cellStyle name="Excel Built-in Normal" xfId="1" xr:uid="{00000000-0005-0000-0000-000000000000}"/>
    <cellStyle name="Excel Built-in Normal 2" xfId="2" xr:uid="{00000000-0005-0000-0000-000001000000}"/>
    <cellStyle name="Normal" xfId="0" builtinId="0"/>
    <cellStyle name="Normal 2" xfId="3" xr:uid="{66F8C8A4-BE9A-4D4F-9666-749D1383DFCF}"/>
    <cellStyle name="Normal 2 2" xfId="4" xr:uid="{2CD6799B-21A8-43AC-B203-D9C414B0BCC5}"/>
  </cellStyles>
  <dxfs count="0"/>
  <tableStyles count="0" defaultTableStyle="TableStyleMedium2" defaultPivotStyle="PivotStyleLight16"/>
  <colors>
    <mruColors>
      <color rgb="FF305496"/>
      <color rgb="FFB3FFB3"/>
      <color rgb="FF008000"/>
      <color rgb="FFCCFFCC"/>
      <color rgb="FFFFCCFF"/>
      <color rgb="FFE9D9FF"/>
      <color rgb="FFCCECFF"/>
      <color rgb="FFFF9966"/>
      <color rgb="FF9966FF"/>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8E036-FF7A-4FF4-8B94-47CD0C2C3D3F}">
  <sheetPr codeName="Sheet1"/>
  <dimension ref="B1:N36"/>
  <sheetViews>
    <sheetView tabSelected="1" workbookViewId="0">
      <pane xSplit="1" ySplit="2" topLeftCell="B3" activePane="bottomRight" state="frozen"/>
      <selection pane="topRight" activeCell="B1" sqref="B1"/>
      <selection pane="bottomLeft" activeCell="A3" sqref="A3"/>
      <selection pane="bottomRight" activeCell="B3" sqref="B3"/>
    </sheetView>
  </sheetViews>
  <sheetFormatPr defaultRowHeight="12.75" x14ac:dyDescent="0.2"/>
  <cols>
    <col min="1" max="1" width="9.140625" style="13"/>
    <col min="2" max="2" width="159.140625" style="28" bestFit="1" customWidth="1"/>
    <col min="3" max="257" width="9.140625" style="13"/>
    <col min="258" max="258" width="118.85546875" style="13" bestFit="1" customWidth="1"/>
    <col min="259" max="513" width="9.140625" style="13"/>
    <col min="514" max="514" width="118.85546875" style="13" bestFit="1" customWidth="1"/>
    <col min="515" max="769" width="9.140625" style="13"/>
    <col min="770" max="770" width="118.85546875" style="13" bestFit="1" customWidth="1"/>
    <col min="771" max="1025" width="9.140625" style="13"/>
    <col min="1026" max="1026" width="118.85546875" style="13" bestFit="1" customWidth="1"/>
    <col min="1027" max="1281" width="9.140625" style="13"/>
    <col min="1282" max="1282" width="118.85546875" style="13" bestFit="1" customWidth="1"/>
    <col min="1283" max="1537" width="9.140625" style="13"/>
    <col min="1538" max="1538" width="118.85546875" style="13" bestFit="1" customWidth="1"/>
    <col min="1539" max="1793" width="9.140625" style="13"/>
    <col min="1794" max="1794" width="118.85546875" style="13" bestFit="1" customWidth="1"/>
    <col min="1795" max="2049" width="9.140625" style="13"/>
    <col min="2050" max="2050" width="118.85546875" style="13" bestFit="1" customWidth="1"/>
    <col min="2051" max="2305" width="9.140625" style="13"/>
    <col min="2306" max="2306" width="118.85546875" style="13" bestFit="1" customWidth="1"/>
    <col min="2307" max="2561" width="9.140625" style="13"/>
    <col min="2562" max="2562" width="118.85546875" style="13" bestFit="1" customWidth="1"/>
    <col min="2563" max="2817" width="9.140625" style="13"/>
    <col min="2818" max="2818" width="118.85546875" style="13" bestFit="1" customWidth="1"/>
    <col min="2819" max="3073" width="9.140625" style="13"/>
    <col min="3074" max="3074" width="118.85546875" style="13" bestFit="1" customWidth="1"/>
    <col min="3075" max="3329" width="9.140625" style="13"/>
    <col min="3330" max="3330" width="118.85546875" style="13" bestFit="1" customWidth="1"/>
    <col min="3331" max="3585" width="9.140625" style="13"/>
    <col min="3586" max="3586" width="118.85546875" style="13" bestFit="1" customWidth="1"/>
    <col min="3587" max="3841" width="9.140625" style="13"/>
    <col min="3842" max="3842" width="118.85546875" style="13" bestFit="1" customWidth="1"/>
    <col min="3843" max="4097" width="9.140625" style="13"/>
    <col min="4098" max="4098" width="118.85546875" style="13" bestFit="1" customWidth="1"/>
    <col min="4099" max="4353" width="9.140625" style="13"/>
    <col min="4354" max="4354" width="118.85546875" style="13" bestFit="1" customWidth="1"/>
    <col min="4355" max="4609" width="9.140625" style="13"/>
    <col min="4610" max="4610" width="118.85546875" style="13" bestFit="1" customWidth="1"/>
    <col min="4611" max="4865" width="9.140625" style="13"/>
    <col min="4866" max="4866" width="118.85546875" style="13" bestFit="1" customWidth="1"/>
    <col min="4867" max="5121" width="9.140625" style="13"/>
    <col min="5122" max="5122" width="118.85546875" style="13" bestFit="1" customWidth="1"/>
    <col min="5123" max="5377" width="9.140625" style="13"/>
    <col min="5378" max="5378" width="118.85546875" style="13" bestFit="1" customWidth="1"/>
    <col min="5379" max="5633" width="9.140625" style="13"/>
    <col min="5634" max="5634" width="118.85546875" style="13" bestFit="1" customWidth="1"/>
    <col min="5635" max="5889" width="9.140625" style="13"/>
    <col min="5890" max="5890" width="118.85546875" style="13" bestFit="1" customWidth="1"/>
    <col min="5891" max="6145" width="9.140625" style="13"/>
    <col min="6146" max="6146" width="118.85546875" style="13" bestFit="1" customWidth="1"/>
    <col min="6147" max="6401" width="9.140625" style="13"/>
    <col min="6402" max="6402" width="118.85546875" style="13" bestFit="1" customWidth="1"/>
    <col min="6403" max="6657" width="9.140625" style="13"/>
    <col min="6658" max="6658" width="118.85546875" style="13" bestFit="1" customWidth="1"/>
    <col min="6659" max="6913" width="9.140625" style="13"/>
    <col min="6914" max="6914" width="118.85546875" style="13" bestFit="1" customWidth="1"/>
    <col min="6915" max="7169" width="9.140625" style="13"/>
    <col min="7170" max="7170" width="118.85546875" style="13" bestFit="1" customWidth="1"/>
    <col min="7171" max="7425" width="9.140625" style="13"/>
    <col min="7426" max="7426" width="118.85546875" style="13" bestFit="1" customWidth="1"/>
    <col min="7427" max="7681" width="9.140625" style="13"/>
    <col min="7682" max="7682" width="118.85546875" style="13" bestFit="1" customWidth="1"/>
    <col min="7683" max="7937" width="9.140625" style="13"/>
    <col min="7938" max="7938" width="118.85546875" style="13" bestFit="1" customWidth="1"/>
    <col min="7939" max="8193" width="9.140625" style="13"/>
    <col min="8194" max="8194" width="118.85546875" style="13" bestFit="1" customWidth="1"/>
    <col min="8195" max="8449" width="9.140625" style="13"/>
    <col min="8450" max="8450" width="118.85546875" style="13" bestFit="1" customWidth="1"/>
    <col min="8451" max="8705" width="9.140625" style="13"/>
    <col min="8706" max="8706" width="118.85546875" style="13" bestFit="1" customWidth="1"/>
    <col min="8707" max="8961" width="9.140625" style="13"/>
    <col min="8962" max="8962" width="118.85546875" style="13" bestFit="1" customWidth="1"/>
    <col min="8963" max="9217" width="9.140625" style="13"/>
    <col min="9218" max="9218" width="118.85546875" style="13" bestFit="1" customWidth="1"/>
    <col min="9219" max="9473" width="9.140625" style="13"/>
    <col min="9474" max="9474" width="118.85546875" style="13" bestFit="1" customWidth="1"/>
    <col min="9475" max="9729" width="9.140625" style="13"/>
    <col min="9730" max="9730" width="118.85546875" style="13" bestFit="1" customWidth="1"/>
    <col min="9731" max="9985" width="9.140625" style="13"/>
    <col min="9986" max="9986" width="118.85546875" style="13" bestFit="1" customWidth="1"/>
    <col min="9987" max="10241" width="9.140625" style="13"/>
    <col min="10242" max="10242" width="118.85546875" style="13" bestFit="1" customWidth="1"/>
    <col min="10243" max="10497" width="9.140625" style="13"/>
    <col min="10498" max="10498" width="118.85546875" style="13" bestFit="1" customWidth="1"/>
    <col min="10499" max="10753" width="9.140625" style="13"/>
    <col min="10754" max="10754" width="118.85546875" style="13" bestFit="1" customWidth="1"/>
    <col min="10755" max="11009" width="9.140625" style="13"/>
    <col min="11010" max="11010" width="118.85546875" style="13" bestFit="1" customWidth="1"/>
    <col min="11011" max="11265" width="9.140625" style="13"/>
    <col min="11266" max="11266" width="118.85546875" style="13" bestFit="1" customWidth="1"/>
    <col min="11267" max="11521" width="9.140625" style="13"/>
    <col min="11522" max="11522" width="118.85546875" style="13" bestFit="1" customWidth="1"/>
    <col min="11523" max="11777" width="9.140625" style="13"/>
    <col min="11778" max="11778" width="118.85546875" style="13" bestFit="1" customWidth="1"/>
    <col min="11779" max="12033" width="9.140625" style="13"/>
    <col min="12034" max="12034" width="118.85546875" style="13" bestFit="1" customWidth="1"/>
    <col min="12035" max="12289" width="9.140625" style="13"/>
    <col min="12290" max="12290" width="118.85546875" style="13" bestFit="1" customWidth="1"/>
    <col min="12291" max="12545" width="9.140625" style="13"/>
    <col min="12546" max="12546" width="118.85546875" style="13" bestFit="1" customWidth="1"/>
    <col min="12547" max="12801" width="9.140625" style="13"/>
    <col min="12802" max="12802" width="118.85546875" style="13" bestFit="1" customWidth="1"/>
    <col min="12803" max="13057" width="9.140625" style="13"/>
    <col min="13058" max="13058" width="118.85546875" style="13" bestFit="1" customWidth="1"/>
    <col min="13059" max="13313" width="9.140625" style="13"/>
    <col min="13314" max="13314" width="118.85546875" style="13" bestFit="1" customWidth="1"/>
    <col min="13315" max="13569" width="9.140625" style="13"/>
    <col min="13570" max="13570" width="118.85546875" style="13" bestFit="1" customWidth="1"/>
    <col min="13571" max="13825" width="9.140625" style="13"/>
    <col min="13826" max="13826" width="118.85546875" style="13" bestFit="1" customWidth="1"/>
    <col min="13827" max="14081" width="9.140625" style="13"/>
    <col min="14082" max="14082" width="118.85546875" style="13" bestFit="1" customWidth="1"/>
    <col min="14083" max="14337" width="9.140625" style="13"/>
    <col min="14338" max="14338" width="118.85546875" style="13" bestFit="1" customWidth="1"/>
    <col min="14339" max="14593" width="9.140625" style="13"/>
    <col min="14594" max="14594" width="118.85546875" style="13" bestFit="1" customWidth="1"/>
    <col min="14595" max="14849" width="9.140625" style="13"/>
    <col min="14850" max="14850" width="118.85546875" style="13" bestFit="1" customWidth="1"/>
    <col min="14851" max="15105" width="9.140625" style="13"/>
    <col min="15106" max="15106" width="118.85546875" style="13" bestFit="1" customWidth="1"/>
    <col min="15107" max="15361" width="9.140625" style="13"/>
    <col min="15362" max="15362" width="118.85546875" style="13" bestFit="1" customWidth="1"/>
    <col min="15363" max="15617" width="9.140625" style="13"/>
    <col min="15618" max="15618" width="118.85546875" style="13" bestFit="1" customWidth="1"/>
    <col min="15619" max="15873" width="9.140625" style="13"/>
    <col min="15874" max="15874" width="118.85546875" style="13" bestFit="1" customWidth="1"/>
    <col min="15875" max="16129" width="9.140625" style="13"/>
    <col min="16130" max="16130" width="118.85546875" style="13" bestFit="1" customWidth="1"/>
    <col min="16131" max="16384" width="9.140625" style="13"/>
  </cols>
  <sheetData>
    <row r="1" spans="2:14" ht="28.5" thickBot="1" x14ac:dyDescent="0.25">
      <c r="B1" s="11" t="s">
        <v>1446</v>
      </c>
      <c r="C1" s="12"/>
      <c r="D1" s="12"/>
      <c r="E1" s="12"/>
      <c r="F1" s="12"/>
      <c r="G1" s="12"/>
      <c r="H1" s="12"/>
      <c r="I1" s="12"/>
      <c r="J1" s="12"/>
      <c r="K1" s="12"/>
      <c r="L1" s="12"/>
      <c r="M1" s="12"/>
      <c r="N1" s="12"/>
    </row>
    <row r="2" spans="2:14" ht="48" thickBot="1" x14ac:dyDescent="0.3">
      <c r="B2" s="123" t="s">
        <v>1433</v>
      </c>
      <c r="C2" s="14"/>
      <c r="D2" s="14"/>
      <c r="E2" s="14"/>
      <c r="F2" s="14"/>
      <c r="G2" s="14"/>
      <c r="H2" s="14"/>
      <c r="I2" s="14"/>
      <c r="J2" s="14"/>
      <c r="K2" s="14"/>
      <c r="L2" s="14"/>
      <c r="M2" s="14"/>
      <c r="N2" s="14"/>
    </row>
    <row r="3" spans="2:14" ht="15" x14ac:dyDescent="0.25">
      <c r="B3" s="15"/>
      <c r="C3" s="14"/>
      <c r="D3" s="14"/>
      <c r="E3" s="14"/>
      <c r="F3" s="14"/>
      <c r="G3" s="14"/>
      <c r="H3" s="14"/>
      <c r="I3" s="14"/>
      <c r="J3" s="14"/>
      <c r="K3" s="14"/>
      <c r="L3" s="14"/>
      <c r="M3" s="14"/>
      <c r="N3" s="14"/>
    </row>
    <row r="4" spans="2:14" ht="60.75" x14ac:dyDescent="0.25">
      <c r="B4" s="16" t="s">
        <v>1434</v>
      </c>
      <c r="C4" s="14"/>
      <c r="D4" s="14"/>
      <c r="E4" s="14"/>
      <c r="F4" s="14"/>
      <c r="G4" s="14"/>
      <c r="H4" s="14"/>
      <c r="I4" s="14"/>
      <c r="J4" s="14"/>
      <c r="K4" s="14"/>
      <c r="L4" s="14"/>
      <c r="M4" s="14"/>
      <c r="N4" s="14"/>
    </row>
    <row r="6" spans="2:14" ht="16.5" thickBot="1" x14ac:dyDescent="0.3">
      <c r="B6" s="17" t="s">
        <v>1135</v>
      </c>
    </row>
    <row r="7" spans="2:14" ht="45" x14ac:dyDescent="0.25">
      <c r="B7" s="18" t="s">
        <v>1445</v>
      </c>
      <c r="C7" s="19"/>
      <c r="D7" s="19"/>
      <c r="E7" s="19"/>
      <c r="F7" s="19"/>
      <c r="G7" s="19"/>
      <c r="H7" s="19"/>
      <c r="I7" s="19"/>
      <c r="J7" s="19"/>
      <c r="K7" s="19"/>
      <c r="L7" s="19"/>
      <c r="M7" s="19"/>
      <c r="N7" s="19"/>
    </row>
    <row r="8" spans="2:14" ht="15" x14ac:dyDescent="0.25">
      <c r="B8" s="20" t="s">
        <v>1435</v>
      </c>
    </row>
    <row r="9" spans="2:14" ht="15" x14ac:dyDescent="0.25">
      <c r="B9" s="21"/>
    </row>
    <row r="10" spans="2:14" ht="14.25" x14ac:dyDescent="0.2">
      <c r="B10" s="22" t="s">
        <v>1136</v>
      </c>
    </row>
    <row r="11" spans="2:14" ht="14.25" x14ac:dyDescent="0.2">
      <c r="B11" s="22" t="s">
        <v>1137</v>
      </c>
    </row>
    <row r="12" spans="2:14" ht="14.25" x14ac:dyDescent="0.2">
      <c r="B12" s="22" t="s">
        <v>1436</v>
      </c>
    </row>
    <row r="13" spans="2:14" ht="14.25" x14ac:dyDescent="0.2">
      <c r="B13" s="22" t="s">
        <v>1437</v>
      </c>
    </row>
    <row r="14" spans="2:14" ht="14.25" x14ac:dyDescent="0.2">
      <c r="B14" s="22" t="s">
        <v>1438</v>
      </c>
    </row>
    <row r="15" spans="2:14" ht="14.25" x14ac:dyDescent="0.2">
      <c r="B15" s="22" t="s">
        <v>1395</v>
      </c>
    </row>
    <row r="16" spans="2:14" ht="14.25" x14ac:dyDescent="0.2">
      <c r="B16" s="22"/>
    </row>
    <row r="17" spans="2:2" ht="14.25" x14ac:dyDescent="0.2">
      <c r="B17" s="22" t="s">
        <v>1439</v>
      </c>
    </row>
    <row r="18" spans="2:2" ht="15" thickBot="1" x14ac:dyDescent="0.25">
      <c r="B18" s="23" t="s">
        <v>1440</v>
      </c>
    </row>
    <row r="21" spans="2:2" ht="16.5" thickBot="1" x14ac:dyDescent="0.3">
      <c r="B21" s="17" t="s">
        <v>1138</v>
      </c>
    </row>
    <row r="22" spans="2:2" x14ac:dyDescent="0.2">
      <c r="B22" s="24" t="s">
        <v>1139</v>
      </c>
    </row>
    <row r="23" spans="2:2" x14ac:dyDescent="0.2">
      <c r="B23" s="25" t="s">
        <v>1140</v>
      </c>
    </row>
    <row r="24" spans="2:2" x14ac:dyDescent="0.2">
      <c r="B24" s="26" t="s">
        <v>1141</v>
      </c>
    </row>
    <row r="25" spans="2:2" x14ac:dyDescent="0.2">
      <c r="B25" s="45" t="s">
        <v>1443</v>
      </c>
    </row>
    <row r="26" spans="2:2" x14ac:dyDescent="0.2">
      <c r="B26" s="36" t="s">
        <v>1444</v>
      </c>
    </row>
    <row r="27" spans="2:2" x14ac:dyDescent="0.2">
      <c r="B27" s="38" t="s">
        <v>1441</v>
      </c>
    </row>
    <row r="28" spans="2:2" x14ac:dyDescent="0.2">
      <c r="B28" s="37" t="s">
        <v>1442</v>
      </c>
    </row>
    <row r="29" spans="2:2" x14ac:dyDescent="0.2">
      <c r="B29" s="44" t="s">
        <v>1222</v>
      </c>
    </row>
    <row r="30" spans="2:2" x14ac:dyDescent="0.2">
      <c r="B30" s="43" t="s">
        <v>1143</v>
      </c>
    </row>
    <row r="31" spans="2:2" ht="13.5" thickBot="1" x14ac:dyDescent="0.25">
      <c r="B31" s="35" t="s">
        <v>1142</v>
      </c>
    </row>
    <row r="33" spans="2:2" ht="16.5" thickBot="1" x14ac:dyDescent="0.3">
      <c r="B33" s="17" t="s">
        <v>1144</v>
      </c>
    </row>
    <row r="34" spans="2:2" x14ac:dyDescent="0.2">
      <c r="B34" s="70" t="s">
        <v>1394</v>
      </c>
    </row>
    <row r="35" spans="2:2" x14ac:dyDescent="0.2">
      <c r="B35" s="46" t="s">
        <v>1311</v>
      </c>
    </row>
    <row r="36" spans="2:2" ht="26.25" thickBot="1" x14ac:dyDescent="0.25">
      <c r="B36" s="27" t="s">
        <v>1145</v>
      </c>
    </row>
  </sheetData>
  <sheetProtection algorithmName="SHA-512" hashValue="ikP8+n3jdjSypKHSoNvBqfcqWrwYdLFrgHgchGDSGvgp29iMqgVM24floTZKEOBLUd2oh9NwVq48WdFtH7djOg==" saltValue="+aav45JIsMRpcpw6GuWmJQ==" spinCount="100000" sheet="1" objects="1" scenarios="1" formatColumns="0" formatRows="0"/>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499984740745262"/>
  </sheetPr>
  <dimension ref="A1:BB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15.5703125" defaultRowHeight="15" x14ac:dyDescent="0.25"/>
  <cols>
    <col min="1" max="1" width="15.42578125" style="4" bestFit="1" customWidth="1"/>
    <col min="2" max="2" width="13.28515625" style="4" bestFit="1" customWidth="1"/>
    <col min="3" max="3" width="14.5703125" style="3" bestFit="1" customWidth="1"/>
    <col min="4" max="4" width="13.85546875" style="3" bestFit="1" customWidth="1"/>
    <col min="5" max="5" width="10.28515625" style="3" bestFit="1" customWidth="1"/>
    <col min="6" max="6" width="11.28515625" style="3" bestFit="1" customWidth="1"/>
    <col min="7" max="7" width="12" style="3" bestFit="1" customWidth="1"/>
    <col min="8" max="8" width="12.5703125" style="3" bestFit="1" customWidth="1"/>
    <col min="9" max="9" width="10.7109375" style="3" bestFit="1" customWidth="1"/>
    <col min="10" max="10" width="14.42578125" style="3" bestFit="1" customWidth="1"/>
    <col min="11" max="11" width="14.5703125" style="3" bestFit="1" customWidth="1"/>
    <col min="12" max="12" width="14.28515625" style="3" bestFit="1" customWidth="1"/>
    <col min="13" max="13" width="19" style="3" bestFit="1" customWidth="1"/>
    <col min="14" max="14" width="18.28515625" style="3" bestFit="1" customWidth="1"/>
    <col min="15" max="15" width="14.5703125" style="3" bestFit="1" customWidth="1"/>
    <col min="16" max="16" width="15.5703125" style="3" bestFit="1" customWidth="1"/>
    <col min="17" max="17" width="16.28515625" style="3" bestFit="1" customWidth="1"/>
    <col min="18" max="18" width="16.85546875" style="3" bestFit="1" customWidth="1"/>
    <col min="19" max="19" width="15" style="3" bestFit="1" customWidth="1"/>
    <col min="20" max="21" width="10" style="3" bestFit="1" customWidth="1"/>
    <col min="22" max="22" width="9.85546875" style="3" bestFit="1" customWidth="1"/>
    <col min="23" max="23" width="13.5703125" style="3" bestFit="1" customWidth="1"/>
    <col min="24" max="24" width="13" style="3" bestFit="1" customWidth="1"/>
    <col min="25" max="25" width="10.28515625" style="3" bestFit="1" customWidth="1"/>
    <col min="26" max="26" width="10.5703125" style="3" bestFit="1" customWidth="1"/>
    <col min="27" max="27" width="11.42578125" style="3" bestFit="1" customWidth="1"/>
    <col min="28" max="28" width="11.7109375" style="3" bestFit="1" customWidth="1"/>
    <col min="29" max="29" width="10.140625" style="3" bestFit="1" customWidth="1"/>
    <col min="30" max="30" width="14.140625" style="3" bestFit="1" customWidth="1"/>
    <col min="31" max="31" width="16.140625" style="3" bestFit="1" customWidth="1"/>
    <col min="32" max="32" width="16.28515625" style="3" bestFit="1" customWidth="1"/>
    <col min="33" max="33" width="17.42578125" style="3" bestFit="1" customWidth="1"/>
    <col min="34" max="34" width="20.85546875" style="3" bestFit="1" customWidth="1"/>
    <col min="35" max="35" width="20" style="3" bestFit="1" customWidth="1"/>
    <col min="36" max="36" width="16.5703125" style="3" bestFit="1" customWidth="1"/>
    <col min="37" max="37" width="17.5703125" style="3" bestFit="1" customWidth="1"/>
    <col min="38" max="38" width="18.140625" style="3" bestFit="1" customWidth="1"/>
    <col min="39" max="39" width="18.7109375" style="3" bestFit="1" customWidth="1"/>
    <col min="40" max="40" width="16.7109375" style="3" bestFit="1" customWidth="1"/>
    <col min="41" max="42" width="11.7109375" style="3" bestFit="1" customWidth="1"/>
    <col min="43" max="43" width="12.7109375" style="3" bestFit="1" customWidth="1"/>
    <col min="44" max="44" width="15.42578125" style="3" bestFit="1" customWidth="1"/>
    <col min="45" max="45" width="14.7109375" style="3" bestFit="1" customWidth="1"/>
    <col min="46" max="46" width="12" style="3" bestFit="1" customWidth="1"/>
    <col min="47" max="47" width="12.42578125" style="3" bestFit="1" customWidth="1"/>
    <col min="48" max="48" width="13.140625" style="3" bestFit="1" customWidth="1"/>
    <col min="49" max="49" width="13.42578125" style="3" bestFit="1" customWidth="1"/>
    <col min="50" max="50" width="11.85546875" style="3" bestFit="1" customWidth="1"/>
    <col min="51" max="51" width="16" style="3" bestFit="1" customWidth="1"/>
    <col min="52" max="52" width="13.85546875" style="3" bestFit="1" customWidth="1"/>
    <col min="53" max="53" width="14.140625" style="3" bestFit="1" customWidth="1"/>
    <col min="54" max="54" width="13.28515625" style="3" bestFit="1" customWidth="1"/>
    <col min="55" max="16384" width="15.5703125" style="3"/>
  </cols>
  <sheetData>
    <row r="1" spans="1:54" s="9" customFormat="1" x14ac:dyDescent="0.2">
      <c r="A1" s="50" t="s">
        <v>39</v>
      </c>
      <c r="B1" s="51" t="s">
        <v>335</v>
      </c>
      <c r="C1" s="9" t="s">
        <v>1223</v>
      </c>
      <c r="D1" s="9" t="s">
        <v>1224</v>
      </c>
      <c r="E1" s="9" t="s">
        <v>1225</v>
      </c>
      <c r="F1" s="9" t="s">
        <v>1226</v>
      </c>
      <c r="G1" s="9" t="s">
        <v>1227</v>
      </c>
      <c r="H1" s="9" t="s">
        <v>1228</v>
      </c>
      <c r="I1" s="9" t="s">
        <v>1229</v>
      </c>
      <c r="J1" s="9" t="s">
        <v>1146</v>
      </c>
      <c r="K1" s="9" t="s">
        <v>1147</v>
      </c>
      <c r="L1" s="9" t="s">
        <v>1148</v>
      </c>
      <c r="M1" s="9" t="s">
        <v>1152</v>
      </c>
      <c r="N1" s="9" t="s">
        <v>1153</v>
      </c>
      <c r="O1" s="9" t="s">
        <v>1154</v>
      </c>
      <c r="P1" s="9" t="s">
        <v>1155</v>
      </c>
      <c r="Q1" s="9" t="s">
        <v>1156</v>
      </c>
      <c r="R1" s="9" t="s">
        <v>1157</v>
      </c>
      <c r="S1" s="9" t="s">
        <v>1158</v>
      </c>
      <c r="T1" s="29" t="s">
        <v>1159</v>
      </c>
      <c r="U1" s="29" t="s">
        <v>1160</v>
      </c>
      <c r="V1" s="29" t="s">
        <v>1161</v>
      </c>
      <c r="W1" s="29" t="s">
        <v>1162</v>
      </c>
      <c r="X1" s="29" t="s">
        <v>1163</v>
      </c>
      <c r="Y1" s="29" t="s">
        <v>1164</v>
      </c>
      <c r="Z1" s="29" t="s">
        <v>1165</v>
      </c>
      <c r="AA1" s="29" t="s">
        <v>1166</v>
      </c>
      <c r="AB1" s="29" t="s">
        <v>1167</v>
      </c>
      <c r="AC1" s="29" t="s">
        <v>1168</v>
      </c>
      <c r="AD1" s="9" t="s">
        <v>1149</v>
      </c>
      <c r="AE1" s="9" t="s">
        <v>1242</v>
      </c>
      <c r="AF1" s="9" t="s">
        <v>1243</v>
      </c>
      <c r="AG1" s="9" t="s">
        <v>1244</v>
      </c>
      <c r="AH1" s="9" t="s">
        <v>1245</v>
      </c>
      <c r="AI1" s="9" t="s">
        <v>1246</v>
      </c>
      <c r="AJ1" s="9" t="s">
        <v>1247</v>
      </c>
      <c r="AK1" s="9" t="s">
        <v>1248</v>
      </c>
      <c r="AL1" s="9" t="s">
        <v>1249</v>
      </c>
      <c r="AM1" s="9" t="s">
        <v>1250</v>
      </c>
      <c r="AN1" s="9" t="s">
        <v>1251</v>
      </c>
      <c r="AO1" s="29" t="s">
        <v>1169</v>
      </c>
      <c r="AP1" s="29" t="s">
        <v>1170</v>
      </c>
      <c r="AQ1" s="29" t="s">
        <v>1171</v>
      </c>
      <c r="AR1" s="29" t="s">
        <v>1172</v>
      </c>
      <c r="AS1" s="29" t="s">
        <v>1173</v>
      </c>
      <c r="AT1" s="29" t="s">
        <v>1174</v>
      </c>
      <c r="AU1" s="29" t="s">
        <v>1175</v>
      </c>
      <c r="AV1" s="29" t="s">
        <v>1176</v>
      </c>
      <c r="AW1" s="29" t="s">
        <v>1177</v>
      </c>
      <c r="AX1" s="29" t="s">
        <v>1178</v>
      </c>
      <c r="AY1" s="9" t="s">
        <v>1260</v>
      </c>
      <c r="AZ1" s="9" t="s">
        <v>1186</v>
      </c>
      <c r="BA1" s="9" t="s">
        <v>1187</v>
      </c>
      <c r="BB1" s="9" t="s">
        <v>1188</v>
      </c>
    </row>
    <row r="2" spans="1:54" customFormat="1" x14ac:dyDescent="0.25">
      <c r="A2" s="31" t="s">
        <v>0</v>
      </c>
      <c r="B2" s="3" t="s">
        <v>1059</v>
      </c>
      <c r="C2" s="2">
        <f>dir!AB2</f>
        <v>1.0531677862165531E-2</v>
      </c>
      <c r="D2" s="2">
        <f>IFERROR(DL/(RadSpec!J2*IFP_far_adj*CF_far_poultry),".")</f>
        <v>0.15016357101930999</v>
      </c>
      <c r="E2" s="2">
        <f>IFERROR(DL/(RadSpec!J2*IFE_far_adj*CF_far_egg),".")</f>
        <v>0.26644109213161882</v>
      </c>
      <c r="F2" s="2">
        <f>IFERROR(DL/(RadSpec!J2*IFB_far_adj*CF_far_beef),".")</f>
        <v>9.8481461533924661E-2</v>
      </c>
      <c r="G2" s="2">
        <f>IFERROR(DL/(RadSpec!J2*IFD_far_adj*CF_far_dairy),".")</f>
        <v>2.0389332413361487E-2</v>
      </c>
      <c r="H2" s="2">
        <f>IFERROR(DL/(RadSpec!J2*IFSW_far_adj*CF_far_swine),".")</f>
        <v>0.17644399044543085</v>
      </c>
      <c r="I2" s="2">
        <f>IFERROR(DL/(RadSpec!J2*IFFI_far_adj*CF_far_fish),".")</f>
        <v>2.0631648762609211E-2</v>
      </c>
      <c r="J2" s="2">
        <f>IFERROR((DL/(RadSpec!I2*IFS_far_adj*(1/1000)))*1,".")</f>
        <v>128.38985322151007</v>
      </c>
      <c r="K2" s="2">
        <f>IFERROR(IF(A2="H-3",(DL/(RadSpec!L2*IFA_far_adj*(1/17)*1000))*1,(DL/(RadSpec!L2*IFA_far_adj*(1/PEF_wind)*1000))*1),".")</f>
        <v>6180.8093516247727</v>
      </c>
      <c r="L2" s="2">
        <f>IFERROR((DL/(RadSpec!K2*EF_far*(1/365)*ED_far*RadSpec!V2*((ET_far_o*(1/24)*RadSpec!AA2)+(ET_far_i*(1/24)*RadSpec!AF2))))*1,".")</f>
        <v>29.277265157356183</v>
      </c>
      <c r="M2" s="2">
        <f>b2s!AB2</f>
        <v>5.8188478017415148</v>
      </c>
      <c r="N2" s="2" t="str">
        <f>IFERROR((D2/(RadSpec!AO2*((Q_p_poultry*f_p_poultry*f_s_poultry*(RadSpec!BG2+R_es_past))+(Q_s_poultry*f_p_poultry))))*1,".")</f>
        <v>.</v>
      </c>
      <c r="O2" s="2" t="str">
        <f>IFERROR((E2/(RadSpec!AP2*((Q_p_poultry*f_p_poultry*f_s_poultry*(RadSpec!BG2+R_es_past))+(Q_s_poultry*f_p_poultry))))*1,".")</f>
        <v>.</v>
      </c>
      <c r="P2" s="2">
        <f>IFERROR((F2/(RadSpec!AM2*((Q_p_beef*f_p_beef*f_s_beef*(RadSpec!BG2+R_es_past))+(Q_s_beef*f_p_beef))))*1,".")</f>
        <v>1065.9320438783923</v>
      </c>
      <c r="Q2" s="2">
        <f>IFERROR(((G2*D_milk)/(RadSpec!AL2*((Q_p_dairy*f_p_dairy*f_s_dairy*(RadSpec!BG2+R_es_past))+(Q_s_dairy*f_p_dairy))))*1,".")</f>
        <v>1399.1347358935598</v>
      </c>
      <c r="R2" s="2" t="str">
        <f>IFERROR((H2/(RadSpec!AQ2*((Q_p_swine*f_p_swine*f_s_swine*(RadSpec!BG2+R_es_past))+(Q_s_swine*f_p_swine))))*1,".")</f>
        <v>.</v>
      </c>
      <c r="S2" s="2">
        <f>IFERROR(((I2*RadSpec!AX2)/RadSpec!AN2)*1,".")</f>
        <v>2.3382535264290438</v>
      </c>
      <c r="T2" s="74">
        <f t="shared" ref="T2:T3" si="0">IFERROR(1/J2,".")</f>
        <v>7.7887774999999991E-3</v>
      </c>
      <c r="U2" s="74">
        <f t="shared" ref="U2:U3" si="1">IFERROR(1/K2,".")</f>
        <v>1.6179110907815433E-4</v>
      </c>
      <c r="V2" s="74">
        <f t="shared" ref="V2:V3" si="2">IFERROR(1/L2,".")</f>
        <v>3.41561957589041E-2</v>
      </c>
      <c r="W2" s="74">
        <f t="shared" ref="W2:W3" si="3">IFERROR(1/M2,".")</f>
        <v>0.17185532842098247</v>
      </c>
      <c r="X2" s="74" t="str">
        <f t="shared" ref="X2:X3" si="4">IFERROR(1/N2,".")</f>
        <v>.</v>
      </c>
      <c r="Y2" s="74" t="str">
        <f t="shared" ref="Y2:Y3" si="5">IFERROR(1/O2,".")</f>
        <v>.</v>
      </c>
      <c r="Z2" s="74">
        <f t="shared" ref="Z2:Z3" si="6">IFERROR(1/P2,".")</f>
        <v>9.3814610954137505E-4</v>
      </c>
      <c r="AA2" s="74">
        <f t="shared" ref="AA2:AA3" si="7">IFERROR(1/Q2,".")</f>
        <v>7.1472744857652918E-4</v>
      </c>
      <c r="AB2" s="74" t="str">
        <f t="shared" ref="AB2:AB3" si="8">IFERROR(1/R2,".")</f>
        <v>.</v>
      </c>
      <c r="AC2" s="74">
        <f t="shared" ref="AC2:AC3" si="9">IFERROR(1/S2,".")</f>
        <v>0.42766962123529412</v>
      </c>
      <c r="AD2" s="2">
        <f t="shared" ref="AD2:AD3" si="10">IFERROR(1/(SUMIF(T2:AC2,"&lt;&gt;0")),".")</f>
        <v>1.554521932133099</v>
      </c>
      <c r="AE2" s="2">
        <f>IFERROR(DL/(RadSpec!M2*IFW_far_adj),".")</f>
        <v>6.5855633900417727</v>
      </c>
      <c r="AF2" s="2" t="str">
        <f>IFERROR(IF(RadSpec!C2=1,DL/(RadSpec!L2*IFA_far_adj*K),"."),".")</f>
        <v>.</v>
      </c>
      <c r="AG2" s="2">
        <f>IFERROR((DL/(RadSpec!Q2*(1/8760)*DFA_far_adj)),".")</f>
        <v>155.35140749066821</v>
      </c>
      <c r="AH2" s="2">
        <f>b2w!AB2</f>
        <v>2.8411288453614101</v>
      </c>
      <c r="AI2" s="2" t="str">
        <f>IFERROR(D2/(RadSpec!AO2*Q_w_poultry*(1/1000)),".")</f>
        <v>.</v>
      </c>
      <c r="AJ2" s="2" t="str">
        <f>IFERROR(E2/(RadSpec!AP2*Q_w_poultry*(1/1000)),".")</f>
        <v>.</v>
      </c>
      <c r="AK2" s="2">
        <f>IFERROR(F2/(RadSpec!AM2*Q_w_beef*(1/1000)),".")</f>
        <v>92907.039182947774</v>
      </c>
      <c r="AL2" s="2">
        <f>IFERROR((G2*D_milk)/(RadSpec!AL2*Q_w_dairy*(1/1000)),".")</f>
        <v>114135.9368791431</v>
      </c>
      <c r="AM2" s="2" t="str">
        <f>IFERROR(H2/(RadSpec!AQ2*Q_w_swine*(1/1000)),".")</f>
        <v>.</v>
      </c>
      <c r="AN2" s="2">
        <f>IFERROR(I2/(RadSpec!AN2*(1/1000)),".")</f>
        <v>1.375443250840614</v>
      </c>
      <c r="AO2" s="74">
        <f t="shared" ref="AO2:AO3" si="11">IFERROR(1/AE2,".")</f>
        <v>0.15184729700000002</v>
      </c>
      <c r="AP2" s="74" t="str">
        <f t="shared" ref="AP2:AP3" si="12">IFERROR(1/AF2,".")</f>
        <v>.</v>
      </c>
      <c r="AQ2" s="74">
        <f t="shared" ref="AQ2:AQ3" si="13">IFERROR(1/AG2,".")</f>
        <v>6.4370192465753422E-3</v>
      </c>
      <c r="AR2" s="74">
        <f t="shared" ref="AR2:AR3" si="14">IFERROR(1/AH2,".")</f>
        <v>0.35197277365039509</v>
      </c>
      <c r="AS2" s="74" t="str">
        <f t="shared" ref="AS2:AS3" si="15">IFERROR(1/AI2,".")</f>
        <v>.</v>
      </c>
      <c r="AT2" s="74" t="str">
        <f t="shared" ref="AT2:AT3" si="16">IFERROR(1/AJ2,".")</f>
        <v>.</v>
      </c>
      <c r="AU2" s="74">
        <f t="shared" ref="AU2:AU3" si="17">IFERROR(1/AK2,".")</f>
        <v>1.0763447084250003E-5</v>
      </c>
      <c r="AV2" s="74">
        <f t="shared" ref="AV2:AV3" si="18">IFERROR(1/AL2,".")</f>
        <v>8.7614823809514568E-6</v>
      </c>
      <c r="AW2" s="74" t="str">
        <f t="shared" ref="AW2:AW3" si="19">IFERROR(1/AM2,".")</f>
        <v>.</v>
      </c>
      <c r="AX2" s="74">
        <f t="shared" ref="AX2:AX3" si="20">IFERROR(1/AN2,".")</f>
        <v>0.72703835610000001</v>
      </c>
      <c r="AY2" s="2">
        <f>IFERROR(1/(SUMIF(AO2:AX2,"&lt;&gt;0")),".")</f>
        <v>0.80820164913324621</v>
      </c>
      <c r="AZ2" s="2">
        <f>IFERROR((DL/(RadSpec!L2*IFA_far_adj)),".")</f>
        <v>4.5469043879218761E-3</v>
      </c>
      <c r="BA2" s="2">
        <f>IFERROR((DL/(RadSpec!O2*EF_far*(1/365)*ED_far*ET_far*(1/24)*GSF_a)),".")</f>
        <v>9.8635106315132955E-3</v>
      </c>
      <c r="BB2" s="2">
        <f t="shared" ref="BB2:BB3" si="21">IFERROR(IF(AND(ISNUMBER(AZ2),ISNUMBER(BA2)),1/((1/AZ2)+(1/BA2)),IF(AND(ISNUMBER(AZ2),NOT(ISNUMBER(BA2))),1/((1/AZ2)),IF(AND(NOT(ISNUMBER(AZ2)),ISNUMBER(BA2)),1/((1/BA2)),IF(AND(NOT(ISNUMBER(AZ2)),NOT(ISNUMBER(BA2))),".")))),".")</f>
        <v>3.1122240206305834E-3</v>
      </c>
    </row>
    <row r="3" spans="1:54" x14ac:dyDescent="0.25">
      <c r="A3" s="32" t="s">
        <v>1</v>
      </c>
      <c r="B3" s="3" t="s">
        <v>336</v>
      </c>
      <c r="C3" s="2">
        <f>dir!AB3</f>
        <v>2.3143140848372159E-3</v>
      </c>
      <c r="D3" s="2">
        <f>IFERROR(DL/(RadSpec!J3*IFP_far_adj*CF_far_poultry),".")</f>
        <v>3.2998129261806355E-2</v>
      </c>
      <c r="E3" s="2">
        <f>IFERROR(DL/(RadSpec!J3*IFE_far_adj*CF_far_egg),".")</f>
        <v>5.8549870245729677E-2</v>
      </c>
      <c r="F3" s="2">
        <f>IFERROR(DL/(RadSpec!J3*IFB_far_adj*CF_far_beef),".")</f>
        <v>2.1641094278253191E-2</v>
      </c>
      <c r="G3" s="2">
        <f>IFERROR(DL/(RadSpec!J3*IFD_far_adj*CF_far_dairy),".")</f>
        <v>4.4805129631042264E-3</v>
      </c>
      <c r="H3" s="2">
        <f>IFERROR(DL/(RadSpec!J3*IFSW_far_adj*CF_far_swine),".")</f>
        <v>3.8773196219731236E-2</v>
      </c>
      <c r="I3" s="2">
        <f>IFERROR(DL/(RadSpec!J3*IFFI_far_adj*CF_far_fish),".")</f>
        <v>4.5337614717834524E-3</v>
      </c>
      <c r="J3" s="2">
        <f>IFERROR((DL/(RadSpec!I3*IFS_far_adj*(1/1000)))*1,".")</f>
        <v>28.213400518844434</v>
      </c>
      <c r="K3" s="2">
        <f>IFERROR(IF(A3="H-3",(DL/(RadSpec!L3*IFA_far_adj*(1/17)*1000))*1,(DL/(RadSpec!L3*IFA_far_adj*(1/PEF_wind)*1000))*1),".")</f>
        <v>578.38766409699713</v>
      </c>
      <c r="L3" s="2">
        <f>IFERROR((DL/(RadSpec!K3*EF_far*(1/365)*ED_far*RadSpec!V3*((ET_far_o*(1/24)*RadSpec!AA3)+(ET_far_i*(1/24)*RadSpec!AF3))))*1,".")</f>
        <v>41.635507736340699</v>
      </c>
      <c r="M3" s="2">
        <f>b2s!AB3</f>
        <v>2.2683664471320366</v>
      </c>
      <c r="N3" s="2">
        <f>IFERROR((D3/(RadSpec!AO3*((Q_p_poultry*f_p_poultry*f_s_poultry*(RadSpec!BG3+R_es_past))+(Q_s_poultry*f_p_poultry))))*1,".")</f>
        <v>76.379193398961775</v>
      </c>
      <c r="O3" s="2">
        <f>IFERROR((E3/(RadSpec!AP3*((Q_p_poultry*f_p_poultry*f_s_poultry*(RadSpec!BG3+R_es_past))+(Q_s_poultry*f_p_poultry))))*1,".")</f>
        <v>271.0451751674787</v>
      </c>
      <c r="P3" s="2">
        <f>IFERROR((F3/(RadSpec!AM3*((Q_p_beef*f_p_beef*f_s_beef*(RadSpec!BG3+R_es_past))+(Q_s_beef*f_p_beef))))*1,".")</f>
        <v>12.571807344090308</v>
      </c>
      <c r="Q3" s="2">
        <f>IFERROR(((G3*D_milk)/(RadSpec!AL3*((Q_p_dairy*f_p_dairy*f_s_dairy*(RadSpec!BG3+R_es_past))+(Q_s_dairy*f_p_dairy))))*1,".")</f>
        <v>2006.7387254308112</v>
      </c>
      <c r="R3" s="2">
        <f>IFERROR((H3/(RadSpec!AQ3*((Q_p_swine*f_p_swine*f_s_swine*(RadSpec!BG3+R_es_past))+(Q_s_swine*f_p_swine))))*1,".")</f>
        <v>147.61170296842479</v>
      </c>
      <c r="S3" s="2">
        <f>IFERROR(((I3*RadSpec!AX3)/RadSpec!AN3)*1,".")</f>
        <v>7.5562691196390873E-5</v>
      </c>
      <c r="T3" s="74">
        <f t="shared" si="0"/>
        <v>3.5444150000000001E-2</v>
      </c>
      <c r="U3" s="74">
        <f t="shared" si="1"/>
        <v>1.7289442048547864E-3</v>
      </c>
      <c r="V3" s="74">
        <f t="shared" si="2"/>
        <v>2.4017960975342461E-2</v>
      </c>
      <c r="W3" s="74">
        <f t="shared" si="3"/>
        <v>0.44084587887655008</v>
      </c>
      <c r="X3" s="74">
        <f t="shared" si="4"/>
        <v>1.3092570836360692E-2</v>
      </c>
      <c r="Y3" s="74">
        <f t="shared" si="5"/>
        <v>3.6894218809912422E-3</v>
      </c>
      <c r="Z3" s="74">
        <f t="shared" si="6"/>
        <v>7.9543057941472109E-2</v>
      </c>
      <c r="AA3" s="74">
        <f t="shared" si="7"/>
        <v>4.9832097588355345E-4</v>
      </c>
      <c r="AB3" s="74">
        <f t="shared" si="8"/>
        <v>6.7745306089579309E-3</v>
      </c>
      <c r="AC3" s="74">
        <f t="shared" si="9"/>
        <v>13234.044264</v>
      </c>
      <c r="AD3" s="2">
        <f t="shared" si="10"/>
        <v>7.5559233349113998E-5</v>
      </c>
      <c r="AE3" s="2">
        <f>IFERROR(DL/(RadSpec!M3*IFW_far_adj),".")</f>
        <v>1.4471637197444738</v>
      </c>
      <c r="AF3" s="2" t="str">
        <f>IFERROR(IF(RadSpec!C3=1,DL/(RadSpec!L3*IFA_far_adj*K),"."),".")</f>
        <v>.</v>
      </c>
      <c r="AG3" s="2">
        <f>IFERROR((DL/(RadSpec!Q3*(1/8760)*DFA_far_adj)),".")</f>
        <v>127.10569703781944</v>
      </c>
      <c r="AH3" s="2">
        <f>b2w!AB3</f>
        <v>0.62907930890654051</v>
      </c>
      <c r="AI3" s="2">
        <f>IFERROR(D3/(RadSpec!AO3*Q_w_poultry*(1/1000)),".")</f>
        <v>13749.220525752646</v>
      </c>
      <c r="AJ3" s="2">
        <f>IFERROR(E3/(RadSpec!AP3*Q_w_poultry*(1/1000)),".")</f>
        <v>48791.55853810806</v>
      </c>
      <c r="AK3" s="2">
        <f>IFERROR(F3/(RadSpec!AM3*Q_w_beef*(1/1000)),".")</f>
        <v>816.64506710389401</v>
      </c>
      <c r="AL3" s="2">
        <f>IFERROR((G3*D_milk)/(RadSpec!AL3*Q_w_dairy*(1/1000)),".")</f>
        <v>119433.9635610081</v>
      </c>
      <c r="AM3" s="2">
        <f>IFERROR(H3/(RadSpec!AQ3*Q_w_swine*(1/1000)),".")</f>
        <v>20006.809194907753</v>
      </c>
      <c r="AN3" s="2">
        <f>IFERROR(I3/(RadSpec!AN3*(1/1000)),".")</f>
        <v>1.8890672799097719E-2</v>
      </c>
      <c r="AO3" s="74">
        <f t="shared" si="11"/>
        <v>0.69100682000000002</v>
      </c>
      <c r="AP3" s="74" t="str">
        <f t="shared" si="12"/>
        <v>.</v>
      </c>
      <c r="AQ3" s="74">
        <f t="shared" si="13"/>
        <v>7.8674679680365289E-3</v>
      </c>
      <c r="AR3" s="74">
        <f t="shared" si="14"/>
        <v>1.5896246877650295</v>
      </c>
      <c r="AS3" s="74">
        <f t="shared" si="15"/>
        <v>7.2731395800000012E-5</v>
      </c>
      <c r="AT3" s="74">
        <f t="shared" si="16"/>
        <v>2.0495348580000001E-5</v>
      </c>
      <c r="AU3" s="74">
        <f t="shared" si="17"/>
        <v>1.2245221826250002E-3</v>
      </c>
      <c r="AV3" s="74">
        <f t="shared" si="18"/>
        <v>8.3728277131922339E-6</v>
      </c>
      <c r="AW3" s="74">
        <f t="shared" si="19"/>
        <v>4.9982982806400014E-5</v>
      </c>
      <c r="AX3" s="74">
        <f t="shared" si="20"/>
        <v>52.936177055999998</v>
      </c>
      <c r="AY3" s="2">
        <f>IFERROR(1/(SUMIF(AO3:AX3,"&lt;&gt;0")),".")</f>
        <v>1.8107396080546786E-2</v>
      </c>
      <c r="AZ3" s="2">
        <f>IFERROR((DL/(RadSpec!L3*IFA_far_adj)),".")</f>
        <v>4.2549013538351499E-4</v>
      </c>
      <c r="BA3" s="2">
        <f>IFERROR((DL/(RadSpec!O3*EF_far*(1/365)*ED_far*ET_far*(1/24)*GSF_a)),".")</f>
        <v>8.307659252137686E-3</v>
      </c>
      <c r="BB3" s="2">
        <f t="shared" si="21"/>
        <v>4.0475971531680083E-4</v>
      </c>
    </row>
    <row r="4" spans="1:54" customFormat="1" x14ac:dyDescent="0.25">
      <c r="A4" s="31" t="s">
        <v>2</v>
      </c>
      <c r="B4" s="3" t="s">
        <v>1059</v>
      </c>
      <c r="C4" s="2" t="str">
        <f>dir!AB4</f>
        <v>.</v>
      </c>
      <c r="D4" s="2" t="str">
        <f>IFERROR(DL/(RadSpec!J4*IFP_far_adj*CF_far_poultry),".")</f>
        <v>.</v>
      </c>
      <c r="E4" s="2" t="str">
        <f>IFERROR(DL/(RadSpec!J4*IFE_far_adj*CF_far_egg),".")</f>
        <v>.</v>
      </c>
      <c r="F4" s="2" t="str">
        <f>IFERROR(DL/(RadSpec!J4*IFB_far_adj*CF_far_beef),".")</f>
        <v>.</v>
      </c>
      <c r="G4" s="2" t="str">
        <f>IFERROR(DL/(RadSpec!J4*IFD_far_adj*CF_far_dairy),".")</f>
        <v>.</v>
      </c>
      <c r="H4" s="2" t="str">
        <f>IFERROR(DL/(RadSpec!J4*IFSW_far_adj*CF_far_swine),".")</f>
        <v>.</v>
      </c>
      <c r="I4" s="2" t="str">
        <f>IFERROR(DL/(RadSpec!J4*IFFI_far_adj*CF_far_fish),".")</f>
        <v>.</v>
      </c>
      <c r="J4" s="2" t="str">
        <f>IFERROR((DL/(RadSpec!I4*IFS_far_adj*(1/1000)))*1,".")</f>
        <v>.</v>
      </c>
      <c r="K4" s="2" t="str">
        <f>IFERROR(IF(A4="H-3",(DL/(RadSpec!L4*IFA_far_adj*(1/17)*1000))*1,(DL/(RadSpec!L4*IFA_far_adj*(1/PEF_wind)*1000))*1),".")</f>
        <v>.</v>
      </c>
      <c r="L4" s="2">
        <f>IFERROR((DL/(RadSpec!K4*EF_far*(1/365)*ED_far*RadSpec!V4*((ET_far_o*(1/24)*RadSpec!AA4)+(ET_far_i*(1/24)*RadSpec!AF4))))*1,".")</f>
        <v>1304.7978015010706</v>
      </c>
      <c r="M4" s="2" t="str">
        <f>b2s!AB4</f>
        <v>.</v>
      </c>
      <c r="N4" s="2" t="str">
        <f>IFERROR((D4/(RadSpec!AO4*((Q_p_poultry*f_p_poultry*f_s_poultry*(RadSpec!BG4+R_es_past))+(Q_s_poultry*f_p_poultry))))*1,".")</f>
        <v>.</v>
      </c>
      <c r="O4" s="2" t="str">
        <f>IFERROR((E4/(RadSpec!AP4*((Q_p_poultry*f_p_poultry*f_s_poultry*(RadSpec!BG4+R_es_past))+(Q_s_poultry*f_p_poultry))))*1,".")</f>
        <v>.</v>
      </c>
      <c r="P4" s="2" t="str">
        <f>IFERROR((F4/(RadSpec!AM4*((Q_p_beef*f_p_beef*f_s_beef*(RadSpec!BG4+R_es_past))+(Q_s_beef*f_p_beef))))*1,".")</f>
        <v>.</v>
      </c>
      <c r="Q4" s="2" t="str">
        <f>IFERROR(((G4*D_milk)/(RadSpec!AL4*((Q_p_dairy*f_p_dairy*f_s_dairy*(RadSpec!BG4+R_es_past))+(Q_s_dairy*f_p_dairy))))*1,".")</f>
        <v>.</v>
      </c>
      <c r="R4" s="2" t="str">
        <f>IFERROR((H4/(RadSpec!AQ4*((Q_p_swine*f_p_swine*f_s_swine*(RadSpec!BG4+R_es_past))+(Q_s_swine*f_p_swine))))*1,".")</f>
        <v>.</v>
      </c>
      <c r="S4" s="2" t="str">
        <f>IFERROR(((I4*RadSpec!AX4)/RadSpec!AN4)*1,".")</f>
        <v>.</v>
      </c>
      <c r="T4" s="74" t="str">
        <f t="shared" ref="T4:T6" si="22">IFERROR(1/J4,".")</f>
        <v>.</v>
      </c>
      <c r="U4" s="74" t="str">
        <f t="shared" ref="U4:U6" si="23">IFERROR(1/K4,".")</f>
        <v>.</v>
      </c>
      <c r="V4" s="74">
        <f t="shared" ref="V4:V6" si="24">IFERROR(1/L4,".")</f>
        <v>7.6640227232876708E-4</v>
      </c>
      <c r="W4" s="74" t="str">
        <f t="shared" ref="W4:W6" si="25">IFERROR(1/M4,".")</f>
        <v>.</v>
      </c>
      <c r="X4" s="74" t="str">
        <f t="shared" ref="X4:X6" si="26">IFERROR(1/N4,".")</f>
        <v>.</v>
      </c>
      <c r="Y4" s="74" t="str">
        <f t="shared" ref="Y4:Y6" si="27">IFERROR(1/O4,".")</f>
        <v>.</v>
      </c>
      <c r="Z4" s="74" t="str">
        <f t="shared" ref="Z4:Z6" si="28">IFERROR(1/P4,".")</f>
        <v>.</v>
      </c>
      <c r="AA4" s="74" t="str">
        <f t="shared" ref="AA4:AA6" si="29">IFERROR(1/Q4,".")</f>
        <v>.</v>
      </c>
      <c r="AB4" s="74" t="str">
        <f t="shared" ref="AB4:AB6" si="30">IFERROR(1/R4,".")</f>
        <v>.</v>
      </c>
      <c r="AC4" s="74" t="str">
        <f t="shared" ref="AC4:AC6" si="31">IFERROR(1/S4,".")</f>
        <v>.</v>
      </c>
      <c r="AD4" s="2">
        <f t="shared" ref="AD4:AD6" si="32">IFERROR(1/(SUMIF(T4:AC4,"&lt;&gt;0")),".")</f>
        <v>1304.7978015010706</v>
      </c>
      <c r="AE4" s="2" t="str">
        <f>IFERROR(DL/(RadSpec!M4*IFW_far_adj),".")</f>
        <v>.</v>
      </c>
      <c r="AF4" s="2" t="str">
        <f>IFERROR(IF(RadSpec!C4=1,DL/(RadSpec!L4*IFA_far_adj*K),"."),".")</f>
        <v>.</v>
      </c>
      <c r="AG4" s="2">
        <f>IFERROR((DL/(RadSpec!Q4*(1/8760)*DFA_far_adj)),".")</f>
        <v>8473.7131358546303</v>
      </c>
      <c r="AH4" s="2" t="str">
        <f>b2w!AB4</f>
        <v>.</v>
      </c>
      <c r="AI4" s="2" t="str">
        <f>IFERROR(D4/(RadSpec!AO4*Q_w_poultry*(1/1000)),".")</f>
        <v>.</v>
      </c>
      <c r="AJ4" s="2" t="str">
        <f>IFERROR(E4/(RadSpec!AP4*Q_w_poultry*(1/1000)),".")</f>
        <v>.</v>
      </c>
      <c r="AK4" s="2" t="str">
        <f>IFERROR(F4/(RadSpec!AM4*Q_w_beef*(1/1000)),".")</f>
        <v>.</v>
      </c>
      <c r="AL4" s="2" t="str">
        <f>IFERROR((G4*D_milk)/(RadSpec!AL4*Q_w_dairy*(1/1000)),".")</f>
        <v>.</v>
      </c>
      <c r="AM4" s="2" t="str">
        <f>IFERROR(H4/(RadSpec!AQ4*Q_w_swine*(1/1000)),".")</f>
        <v>.</v>
      </c>
      <c r="AN4" s="2" t="str">
        <f>IFERROR(I4/(RadSpec!AN4*(1/1000)),".")</f>
        <v>.</v>
      </c>
      <c r="AO4" s="74" t="str">
        <f t="shared" ref="AO4:AO6" si="33">IFERROR(1/AE4,".")</f>
        <v>.</v>
      </c>
      <c r="AP4" s="74" t="str">
        <f t="shared" ref="AP4:AP6" si="34">IFERROR(1/AF4,".")</f>
        <v>.</v>
      </c>
      <c r="AQ4" s="74">
        <f t="shared" ref="AQ4:AQ6" si="35">IFERROR(1/AG4,".")</f>
        <v>1.1801201952054792E-4</v>
      </c>
      <c r="AR4" s="74" t="str">
        <f t="shared" ref="AR4:AR6" si="36">IFERROR(1/AH4,".")</f>
        <v>.</v>
      </c>
      <c r="AS4" s="74" t="str">
        <f t="shared" ref="AS4:AS6" si="37">IFERROR(1/AI4,".")</f>
        <v>.</v>
      </c>
      <c r="AT4" s="74" t="str">
        <f t="shared" ref="AT4:AT6" si="38">IFERROR(1/AJ4,".")</f>
        <v>.</v>
      </c>
      <c r="AU4" s="74" t="str">
        <f t="shared" ref="AU4:AU6" si="39">IFERROR(1/AK4,".")</f>
        <v>.</v>
      </c>
      <c r="AV4" s="74" t="str">
        <f t="shared" ref="AV4:AV6" si="40">IFERROR(1/AL4,".")</f>
        <v>.</v>
      </c>
      <c r="AW4" s="74" t="str">
        <f t="shared" ref="AW4:AW6" si="41">IFERROR(1/AM4,".")</f>
        <v>.</v>
      </c>
      <c r="AX4" s="74" t="str">
        <f t="shared" ref="AX4:AX6" si="42">IFERROR(1/AN4,".")</f>
        <v>.</v>
      </c>
      <c r="AY4" s="2">
        <f t="shared" ref="AY4:AY5" si="43">IFERROR(1/(SUMIF(AO4:AX4,"&lt;&gt;0")),".")</f>
        <v>8473.7131358546303</v>
      </c>
      <c r="AZ4" s="2" t="str">
        <f>IFERROR((DL/(RadSpec!L4*IFA_far_adj)),".")</f>
        <v>.</v>
      </c>
      <c r="BA4" s="2">
        <f>IFERROR((DL/(RadSpec!O4*EF_far*(1/365)*ED_far*ET_far*(1/24)*GSF_a)),".")</f>
        <v>0.52667424692797415</v>
      </c>
      <c r="BB4" s="2">
        <f t="shared" ref="BB4:BB5" si="44">IFERROR(IF(AND(AZ4&lt;&gt;".",BA4&lt;&gt;"."),1/((1/AZ4)+(1/BA4)),IF(AND(AZ4&lt;&gt;".",BA4="."),1/((1/AZ4)),IF(AND(AZ4=".",BA4&lt;&gt;"."),1/((1/BA4)),IF(AND(AZ4=".",BA4="."),".")))),".")</f>
        <v>0.52667424692797415</v>
      </c>
    </row>
    <row r="5" spans="1:54" customFormat="1" x14ac:dyDescent="0.25">
      <c r="A5" s="31" t="s">
        <v>3</v>
      </c>
      <c r="B5" s="3" t="s">
        <v>1059</v>
      </c>
      <c r="C5" s="2" t="str">
        <f>dir!AB5</f>
        <v>.</v>
      </c>
      <c r="D5" s="2" t="str">
        <f>IFERROR(DL/(RadSpec!J5*IFP_far_adj*CF_far_poultry),".")</f>
        <v>.</v>
      </c>
      <c r="E5" s="2" t="str">
        <f>IFERROR(DL/(RadSpec!J5*IFE_far_adj*CF_far_egg),".")</f>
        <v>.</v>
      </c>
      <c r="F5" s="2" t="str">
        <f>IFERROR(DL/(RadSpec!J5*IFB_far_adj*CF_far_beef),".")</f>
        <v>.</v>
      </c>
      <c r="G5" s="2" t="str">
        <f>IFERROR(DL/(RadSpec!J5*IFD_far_adj*CF_far_dairy),".")</f>
        <v>.</v>
      </c>
      <c r="H5" s="2" t="str">
        <f>IFERROR(DL/(RadSpec!J5*IFSW_far_adj*CF_far_swine),".")</f>
        <v>.</v>
      </c>
      <c r="I5" s="2" t="str">
        <f>IFERROR(DL/(RadSpec!J5*IFFI_far_adj*CF_far_fish),".")</f>
        <v>.</v>
      </c>
      <c r="J5" s="2" t="str">
        <f>IFERROR((DL/(RadSpec!I5*IFS_far_adj*(1/1000)))*1,".")</f>
        <v>.</v>
      </c>
      <c r="K5" s="2" t="str">
        <f>IFERROR(IF(A5="H-3",(DL/(RadSpec!L5*IFA_far_adj*(1/17)*1000))*1,(DL/(RadSpec!L5*IFA_far_adj*(1/PEF_wind)*1000))*1),".")</f>
        <v>.</v>
      </c>
      <c r="L5" s="2">
        <f>IFERROR((DL/(RadSpec!K5*EF_far*(1/365)*ED_far*RadSpec!V5*((ET_far_o*(1/24)*RadSpec!AA5)+(ET_far_i*(1/24)*RadSpec!AF5))))*1,".")</f>
        <v>30892.86368207233</v>
      </c>
      <c r="M5" s="2" t="str">
        <f>b2s!AB5</f>
        <v>.</v>
      </c>
      <c r="N5" s="2" t="str">
        <f>IFERROR((D5/(RadSpec!AO5*((Q_p_poultry*f_p_poultry*f_s_poultry*(RadSpec!BG5+R_es_past))+(Q_s_poultry*f_p_poultry))))*1,".")</f>
        <v>.</v>
      </c>
      <c r="O5" s="2" t="str">
        <f>IFERROR((E5/(RadSpec!AP5*((Q_p_poultry*f_p_poultry*f_s_poultry*(RadSpec!BG5+R_es_past))+(Q_s_poultry*f_p_poultry))))*1,".")</f>
        <v>.</v>
      </c>
      <c r="P5" s="2" t="str">
        <f>IFERROR((F5/(RadSpec!AM5*((Q_p_beef*f_p_beef*f_s_beef*(RadSpec!BG5+R_es_past))+(Q_s_beef*f_p_beef))))*1,".")</f>
        <v>.</v>
      </c>
      <c r="Q5" s="2" t="str">
        <f>IFERROR(((G5*D_milk)/(RadSpec!AL5*((Q_p_dairy*f_p_dairy*f_s_dairy*(RadSpec!BG5+R_es_past))+(Q_s_dairy*f_p_dairy))))*1,".")</f>
        <v>.</v>
      </c>
      <c r="R5" s="2" t="str">
        <f>IFERROR((H5/(RadSpec!AQ5*((Q_p_swine*f_p_swine*f_s_swine*(RadSpec!BG5+R_es_past))+(Q_s_swine*f_p_swine))))*1,".")</f>
        <v>.</v>
      </c>
      <c r="S5" s="2" t="str">
        <f>IFERROR(((I5*RadSpec!AX5)/RadSpec!AN5)*1,".")</f>
        <v>.</v>
      </c>
      <c r="T5" s="74" t="str">
        <f t="shared" si="22"/>
        <v>.</v>
      </c>
      <c r="U5" s="74" t="str">
        <f t="shared" si="23"/>
        <v>.</v>
      </c>
      <c r="V5" s="74">
        <f t="shared" si="24"/>
        <v>3.2369935344657529E-5</v>
      </c>
      <c r="W5" s="74" t="str">
        <f t="shared" si="25"/>
        <v>.</v>
      </c>
      <c r="X5" s="74" t="str">
        <f t="shared" si="26"/>
        <v>.</v>
      </c>
      <c r="Y5" s="74" t="str">
        <f t="shared" si="27"/>
        <v>.</v>
      </c>
      <c r="Z5" s="74" t="str">
        <f t="shared" si="28"/>
        <v>.</v>
      </c>
      <c r="AA5" s="74" t="str">
        <f t="shared" si="29"/>
        <v>.</v>
      </c>
      <c r="AB5" s="74" t="str">
        <f t="shared" si="30"/>
        <v>.</v>
      </c>
      <c r="AC5" s="74" t="str">
        <f t="shared" si="31"/>
        <v>.</v>
      </c>
      <c r="AD5" s="2">
        <f t="shared" si="32"/>
        <v>30892.86368207233</v>
      </c>
      <c r="AE5" s="2" t="str">
        <f>IFERROR(DL/(RadSpec!M5*IFW_far_adj),".")</f>
        <v>.</v>
      </c>
      <c r="AF5" s="2" t="str">
        <f>IFERROR(IF(RadSpec!C5=1,DL/(RadSpec!L5*IFA_far_adj*K),"."),".")</f>
        <v>.</v>
      </c>
      <c r="AG5" s="2">
        <f>IFERROR((DL/(RadSpec!Q5*(1/8760)*DFA_far_adj)),".")</f>
        <v>156594.21875059354</v>
      </c>
      <c r="AH5" s="2" t="str">
        <f>b2w!AB5</f>
        <v>.</v>
      </c>
      <c r="AI5" s="2" t="str">
        <f>IFERROR(D5/(RadSpec!AO5*Q_w_poultry*(1/1000)),".")</f>
        <v>.</v>
      </c>
      <c r="AJ5" s="2" t="str">
        <f>IFERROR(E5/(RadSpec!AP5*Q_w_poultry*(1/1000)),".")</f>
        <v>.</v>
      </c>
      <c r="AK5" s="2" t="str">
        <f>IFERROR(F5/(RadSpec!AM5*Q_w_beef*(1/1000)),".")</f>
        <v>.</v>
      </c>
      <c r="AL5" s="2" t="str">
        <f>IFERROR((G5*D_milk)/(RadSpec!AL5*Q_w_dairy*(1/1000)),".")</f>
        <v>.</v>
      </c>
      <c r="AM5" s="2" t="str">
        <f>IFERROR(H5/(RadSpec!AQ5*Q_w_swine*(1/1000)),".")</f>
        <v>.</v>
      </c>
      <c r="AN5" s="2" t="str">
        <f>IFERROR(I5/(RadSpec!AN5*(1/1000)),".")</f>
        <v>.</v>
      </c>
      <c r="AO5" s="74" t="str">
        <f t="shared" si="33"/>
        <v>.</v>
      </c>
      <c r="AP5" s="74" t="str">
        <f t="shared" si="34"/>
        <v>.</v>
      </c>
      <c r="AQ5" s="74">
        <f t="shared" si="35"/>
        <v>6.3859317922374431E-6</v>
      </c>
      <c r="AR5" s="74" t="str">
        <f t="shared" si="36"/>
        <v>.</v>
      </c>
      <c r="AS5" s="74" t="str">
        <f t="shared" si="37"/>
        <v>.</v>
      </c>
      <c r="AT5" s="74" t="str">
        <f t="shared" si="38"/>
        <v>.</v>
      </c>
      <c r="AU5" s="74" t="str">
        <f t="shared" si="39"/>
        <v>.</v>
      </c>
      <c r="AV5" s="74" t="str">
        <f t="shared" si="40"/>
        <v>.</v>
      </c>
      <c r="AW5" s="74" t="str">
        <f t="shared" si="41"/>
        <v>.</v>
      </c>
      <c r="AX5" s="74" t="str">
        <f t="shared" si="42"/>
        <v>.</v>
      </c>
      <c r="AY5" s="2">
        <f t="shared" si="43"/>
        <v>156594.21875059354</v>
      </c>
      <c r="AZ5" s="2" t="str">
        <f>IFERROR((DL/(RadSpec!L5*IFA_far_adj)),".")</f>
        <v>.</v>
      </c>
      <c r="BA5" s="2">
        <f>IFERROR((DL/(RadSpec!O5*EF_far*(1/365)*ED_far*ET_far*(1/24)*GSF_a)),".")</f>
        <v>5.696680630037271</v>
      </c>
      <c r="BB5" s="2">
        <f t="shared" si="44"/>
        <v>5.696680630037271</v>
      </c>
    </row>
    <row r="6" spans="1:54" customFormat="1" x14ac:dyDescent="0.25">
      <c r="A6" s="31" t="s">
        <v>4</v>
      </c>
      <c r="B6" s="3" t="s">
        <v>1059</v>
      </c>
      <c r="C6" s="2" t="str">
        <f>dir!AB6</f>
        <v>.</v>
      </c>
      <c r="D6" s="2" t="str">
        <f>IFERROR(DL/(RadSpec!J6*IFP_far_adj*CF_far_poultry),".")</f>
        <v>.</v>
      </c>
      <c r="E6" s="2" t="str">
        <f>IFERROR(DL/(RadSpec!J6*IFE_far_adj*CF_far_egg),".")</f>
        <v>.</v>
      </c>
      <c r="F6" s="2" t="str">
        <f>IFERROR(DL/(RadSpec!J6*IFB_far_adj*CF_far_beef),".")</f>
        <v>.</v>
      </c>
      <c r="G6" s="2" t="str">
        <f>IFERROR(DL/(RadSpec!J6*IFD_far_adj*CF_far_dairy),".")</f>
        <v>.</v>
      </c>
      <c r="H6" s="2" t="str">
        <f>IFERROR(DL/(RadSpec!J6*IFSW_far_adj*CF_far_swine),".")</f>
        <v>.</v>
      </c>
      <c r="I6" s="2" t="str">
        <f>IFERROR(DL/(RadSpec!J6*IFFI_far_adj*CF_far_fish),".")</f>
        <v>.</v>
      </c>
      <c r="J6" s="2" t="str">
        <f>IFERROR((DL/(RadSpec!I6*IFS_far_adj*(1/1000)))*1,".")</f>
        <v>.</v>
      </c>
      <c r="K6" s="2" t="str">
        <f>IFERROR(IF(A6="H-3",(DL/(RadSpec!L6*IFA_far_adj*(1/17)*1000))*1,(DL/(RadSpec!L6*IFA_far_adj*(1/PEF_wind)*1000))*1),".")</f>
        <v>.</v>
      </c>
      <c r="L6" s="2">
        <f>IFERROR((DL/(RadSpec!K6*EF_far*(1/365)*ED_far*RadSpec!V6*((ET_far_o*(1/24)*RadSpec!AA6)+(ET_far_i*(1/24)*RadSpec!AF6))))*1,".")</f>
        <v>0.45776055467026516</v>
      </c>
      <c r="M6" s="2" t="str">
        <f>b2s!AB6</f>
        <v>.</v>
      </c>
      <c r="N6" s="2" t="str">
        <f>IFERROR((D6/(RadSpec!AO6*((Q_p_poultry*f_p_poultry*f_s_poultry*(RadSpec!BG6+R_es_past))+(Q_s_poultry*f_p_poultry))))*1,".")</f>
        <v>.</v>
      </c>
      <c r="O6" s="2" t="str">
        <f>IFERROR((E6/(RadSpec!AP6*((Q_p_poultry*f_p_poultry*f_s_poultry*(RadSpec!BG6+R_es_past))+(Q_s_poultry*f_p_poultry))))*1,".")</f>
        <v>.</v>
      </c>
      <c r="P6" s="2" t="str">
        <f>IFERROR((F6/(RadSpec!AM6*((Q_p_beef*f_p_beef*f_s_beef*(RadSpec!BG6+R_es_past))+(Q_s_beef*f_p_beef))))*1,".")</f>
        <v>.</v>
      </c>
      <c r="Q6" s="2" t="str">
        <f>IFERROR(((G6*D_milk)/(RadSpec!AL6*((Q_p_dairy*f_p_dairy*f_s_dairy*(RadSpec!BG6+R_es_past))+(Q_s_dairy*f_p_dairy))))*1,".")</f>
        <v>.</v>
      </c>
      <c r="R6" s="2" t="str">
        <f>IFERROR((H6/(RadSpec!AQ6*((Q_p_swine*f_p_swine*f_s_swine*(RadSpec!BG6+R_es_past))+(Q_s_swine*f_p_swine))))*1,".")</f>
        <v>.</v>
      </c>
      <c r="S6" s="2" t="str">
        <f>IFERROR(((I6*RadSpec!AX6)/RadSpec!AN6)*1,".")</f>
        <v>.</v>
      </c>
      <c r="T6" s="74" t="str">
        <f t="shared" si="22"/>
        <v>.</v>
      </c>
      <c r="U6" s="74" t="str">
        <f t="shared" si="23"/>
        <v>.</v>
      </c>
      <c r="V6" s="74">
        <f t="shared" si="24"/>
        <v>2.1845482093150679</v>
      </c>
      <c r="W6" s="74" t="str">
        <f t="shared" si="25"/>
        <v>.</v>
      </c>
      <c r="X6" s="74" t="str">
        <f t="shared" si="26"/>
        <v>.</v>
      </c>
      <c r="Y6" s="74" t="str">
        <f t="shared" si="27"/>
        <v>.</v>
      </c>
      <c r="Z6" s="74" t="str">
        <f t="shared" si="28"/>
        <v>.</v>
      </c>
      <c r="AA6" s="74" t="str">
        <f t="shared" si="29"/>
        <v>.</v>
      </c>
      <c r="AB6" s="74" t="str">
        <f t="shared" si="30"/>
        <v>.</v>
      </c>
      <c r="AC6" s="74" t="str">
        <f t="shared" si="31"/>
        <v>.</v>
      </c>
      <c r="AD6" s="2">
        <f t="shared" si="32"/>
        <v>0.45776055467026516</v>
      </c>
      <c r="AE6" s="2" t="str">
        <f>IFERROR(DL/(RadSpec!M6*IFW_far_adj),".")</f>
        <v>.</v>
      </c>
      <c r="AF6" s="2" t="str">
        <f>IFERROR(IF(RadSpec!C6=1,DL/(RadSpec!L6*IFA_far_adj*K),"."),".")</f>
        <v>.</v>
      </c>
      <c r="AG6" s="2">
        <f>IFERROR((DL/(RadSpec!Q6*(1/8760)*DFA_far_adj)),".")</f>
        <v>3.3575089783574952</v>
      </c>
      <c r="AH6" s="2" t="str">
        <f>b2w!AB6</f>
        <v>.</v>
      </c>
      <c r="AI6" s="2" t="str">
        <f>IFERROR(D6/(RadSpec!AO6*Q_w_poultry*(1/1000)),".")</f>
        <v>.</v>
      </c>
      <c r="AJ6" s="2" t="str">
        <f>IFERROR(E6/(RadSpec!AP6*Q_w_poultry*(1/1000)),".")</f>
        <v>.</v>
      </c>
      <c r="AK6" s="2" t="str">
        <f>IFERROR(F6/(RadSpec!AM6*Q_w_beef*(1/1000)),".")</f>
        <v>.</v>
      </c>
      <c r="AL6" s="2" t="str">
        <f>IFERROR((G6*D_milk)/(RadSpec!AL6*Q_w_dairy*(1/1000)),".")</f>
        <v>.</v>
      </c>
      <c r="AM6" s="2" t="str">
        <f>IFERROR(H6/(RadSpec!AQ6*Q_w_swine*(1/1000)),".")</f>
        <v>.</v>
      </c>
      <c r="AN6" s="2" t="str">
        <f>IFERROR(I6/(RadSpec!AN6*(1/1000)),".")</f>
        <v>.</v>
      </c>
      <c r="AO6" s="74" t="str">
        <f t="shared" si="33"/>
        <v>.</v>
      </c>
      <c r="AP6" s="74" t="str">
        <f t="shared" si="34"/>
        <v>.</v>
      </c>
      <c r="AQ6" s="74">
        <f t="shared" si="35"/>
        <v>0.29783985878995428</v>
      </c>
      <c r="AR6" s="74" t="str">
        <f t="shared" si="36"/>
        <v>.</v>
      </c>
      <c r="AS6" s="74" t="str">
        <f t="shared" si="37"/>
        <v>.</v>
      </c>
      <c r="AT6" s="74" t="str">
        <f t="shared" si="38"/>
        <v>.</v>
      </c>
      <c r="AU6" s="74" t="str">
        <f t="shared" si="39"/>
        <v>.</v>
      </c>
      <c r="AV6" s="74" t="str">
        <f t="shared" si="40"/>
        <v>.</v>
      </c>
      <c r="AW6" s="74" t="str">
        <f t="shared" si="41"/>
        <v>.</v>
      </c>
      <c r="AX6" s="74" t="str">
        <f t="shared" si="42"/>
        <v>.</v>
      </c>
      <c r="AY6" s="2">
        <f>IFERROR(1/(SUMIF(AO6:AX6,"&lt;&gt;0")),".")</f>
        <v>3.3575089783574952</v>
      </c>
      <c r="AZ6" s="2" t="str">
        <f>IFERROR((DL/(RadSpec!L6*IFA_far_adj)),".")</f>
        <v>.</v>
      </c>
      <c r="BA6" s="2">
        <f>IFERROR((DL/(RadSpec!O6*EF_far*(1/365)*ED_far*ET_far*(1/24)*GSF_a)),".")</f>
        <v>2.0753706384522399E-4</v>
      </c>
      <c r="BB6" s="2">
        <f>IFERROR(IF(AND(AZ6&lt;&gt;".",BA6&lt;&gt;"."),1/((1/AZ6)+(1/BA6)),IF(AND(AZ6&lt;&gt;".",BA6="."),1/((1/AZ6)),IF(AND(AZ6=".",BA6&lt;&gt;"."),1/((1/BA6)),IF(AND(AZ6=".",BA6="."),".")))),".")</f>
        <v>2.0753706384522399E-4</v>
      </c>
    </row>
    <row r="7" spans="1:54" customFormat="1" x14ac:dyDescent="0.25">
      <c r="A7" s="31" t="s">
        <v>5</v>
      </c>
      <c r="B7" s="3" t="s">
        <v>1059</v>
      </c>
      <c r="C7" s="2">
        <f>dir!AB7</f>
        <v>0.30600375121736512</v>
      </c>
      <c r="D7" s="2">
        <f>IFERROR(DL/(RadSpec!J7*IFP_far_adj*CF_far_poultry),".")</f>
        <v>4.3630859801721744</v>
      </c>
      <c r="E7" s="2">
        <f>IFERROR(DL/(RadSpec!J7*IFE_far_adj*CF_far_egg),".")</f>
        <v>7.7415939547131476</v>
      </c>
      <c r="F7" s="2">
        <f>IFERROR(DL/(RadSpec!J7*IFB_far_adj*CF_far_beef),".")</f>
        <v>2.8614335767912555</v>
      </c>
      <c r="G7" s="2">
        <f>IFERROR(DL/(RadSpec!J7*IFD_far_adj*CF_far_dairy),".")</f>
        <v>0.59242338067711442</v>
      </c>
      <c r="H7" s="2">
        <f>IFERROR(DL/(RadSpec!J7*IFSW_far_adj*CF_far_swine),".")</f>
        <v>5.1266781668311303</v>
      </c>
      <c r="I7" s="2">
        <f>IFERROR(DL/(RadSpec!J7*IFFI_far_adj*CF_far_fish),".")</f>
        <v>0.59946401682470096</v>
      </c>
      <c r="J7" s="2">
        <f>IFERROR((DL/(RadSpec!I7*IFS_far_adj*(1/1000)))*1,".")</f>
        <v>3730.4385130472087</v>
      </c>
      <c r="K7" s="2">
        <f>IFERROR(IF(A7="H-3",(DL/(RadSpec!L7*IFA_far_adj*(1/17)*1000))*1,(DL/(RadSpec!L7*IFA_far_adj*(1/PEF_wind)*1000))*1),".")</f>
        <v>388628.97156106454</v>
      </c>
      <c r="L7" s="2">
        <f>IFERROR((DL/(RadSpec!K7*EF_far*(1/365)*ED_far*RadSpec!V7*((ET_far_o*(1/24)*RadSpec!AA7)+(ET_far_i*(1/24)*RadSpec!AF7))))*1,".")</f>
        <v>282.78041090552216</v>
      </c>
      <c r="M7" s="2">
        <f>b2s!AB7</f>
        <v>3.0354526237905737</v>
      </c>
      <c r="N7" s="2" t="str">
        <f>IFERROR((D7/(RadSpec!AO7*((Q_p_poultry*f_p_poultry*f_s_poultry*(RadSpec!BG7+R_es_past))+(Q_s_poultry*f_p_poultry))))*1,".")</f>
        <v>.</v>
      </c>
      <c r="O7" s="2" t="str">
        <f>IFERROR((E7/(RadSpec!AP7*((Q_p_poultry*f_p_poultry*f_s_poultry*(RadSpec!BG7+R_es_past))+(Q_s_poultry*f_p_poultry))))*1,".")</f>
        <v>.</v>
      </c>
      <c r="P7" s="2">
        <f>IFERROR((F7/(RadSpec!AM7*((Q_p_beef*f_p_beef*f_s_beef*(RadSpec!BG7+R_es_past))+(Q_s_beef*f_p_beef))))*1,".")</f>
        <v>153.38695131553231</v>
      </c>
      <c r="Q7" s="2">
        <f>IFERROR(((G7*D_milk)/(RadSpec!AL7*((Q_p_dairy*f_p_dairy*f_s_dairy*(RadSpec!BG7+R_es_past))+(Q_s_dairy*f_p_dairy))))*1,".")</f>
        <v>39.052549254235373</v>
      </c>
      <c r="R7" s="2" t="str">
        <f>IFERROR((H7/(RadSpec!AQ7*((Q_p_swine*f_p_swine*f_s_swine*(RadSpec!BG7+R_es_past))+(Q_s_swine*f_p_swine))))*1,".")</f>
        <v>.</v>
      </c>
      <c r="S7" s="2">
        <f>IFERROR(((I7*RadSpec!AX7)/RadSpec!AN7)*1,".")</f>
        <v>19.182848538390431</v>
      </c>
      <c r="T7" s="74">
        <f t="shared" ref="T7:T9" si="45">IFERROR(1/J7,".")</f>
        <v>2.68065E-4</v>
      </c>
      <c r="U7" s="74">
        <f t="shared" ref="U7:U9" si="46">IFERROR(1/K7,".")</f>
        <v>2.5731483578878573E-6</v>
      </c>
      <c r="V7" s="74">
        <f t="shared" ref="V7:V9" si="47">IFERROR(1/L7,".")</f>
        <v>3.5363128471232867E-3</v>
      </c>
      <c r="W7" s="74">
        <f t="shared" ref="W7:W9" si="48">IFERROR(1/M7,".")</f>
        <v>0.32944016064109505</v>
      </c>
      <c r="X7" s="74" t="str">
        <f t="shared" ref="X7:X9" si="49">IFERROR(1/N7,".")</f>
        <v>.</v>
      </c>
      <c r="Y7" s="74" t="str">
        <f t="shared" ref="Y7:Y9" si="50">IFERROR(1/O7,".")</f>
        <v>.</v>
      </c>
      <c r="Z7" s="74">
        <f t="shared" ref="Z7:Z9" si="51">IFERROR(1/P7,".")</f>
        <v>6.5194593896250007E-3</v>
      </c>
      <c r="AA7" s="74">
        <f t="shared" ref="AA7:AA9" si="52">IFERROR(1/Q7,".")</f>
        <v>2.5606522982402919E-2</v>
      </c>
      <c r="AB7" s="74" t="str">
        <f t="shared" ref="AB7:AB9" si="53">IFERROR(1/R7,".")</f>
        <v>.</v>
      </c>
      <c r="AC7" s="74">
        <f t="shared" ref="AC7:AC9" si="54">IFERROR(1/S7,".")</f>
        <v>5.2129901249999999E-2</v>
      </c>
      <c r="AD7" s="2">
        <f t="shared" ref="AD7:AD9" si="55">IFERROR(1/(SUMIF(T7:AC7,"&lt;&gt;0")),".")</f>
        <v>2.3951923970763214</v>
      </c>
      <c r="AE7" s="2">
        <f>IFERROR(DL/(RadSpec!M7*IFW_far_adj),".")</f>
        <v>191.34720294399153</v>
      </c>
      <c r="AF7" s="2" t="str">
        <f>IFERROR(IF(RadSpec!C7=1,DL/(RadSpec!L7*IFA_far_adj*K),"."),".")</f>
        <v>.</v>
      </c>
      <c r="AG7" s="2">
        <f>IFERROR((DL/(RadSpec!Q7*(1/8760)*DFA_far_adj)),".")</f>
        <v>656.85494442363074</v>
      </c>
      <c r="AH7" s="2">
        <f>b2w!AB7</f>
        <v>42.232121011130708</v>
      </c>
      <c r="AI7" s="2" t="str">
        <f>IFERROR(D7/(RadSpec!AO7*Q_w_poultry*(1/1000)),".")</f>
        <v>.</v>
      </c>
      <c r="AJ7" s="2" t="str">
        <f>IFERROR(E7/(RadSpec!AP7*Q_w_poultry*(1/1000)),".")</f>
        <v>.</v>
      </c>
      <c r="AK7" s="2">
        <f>IFERROR(F7/(RadSpec!AM7*Q_w_beef*(1/1000)),".")</f>
        <v>26994.656384823164</v>
      </c>
      <c r="AL7" s="2">
        <f>IFERROR((G7*D_milk)/(RadSpec!AL7*Q_w_dairy*(1/1000)),".")</f>
        <v>6632.5661097546499</v>
      </c>
      <c r="AM7" s="2" t="str">
        <f>IFERROR(H7/(RadSpec!AQ7*Q_w_swine*(1/1000)),".")</f>
        <v>.</v>
      </c>
      <c r="AN7" s="2">
        <f>IFERROR(I7/(RadSpec!AN7*(1/1000)),".")</f>
        <v>39.9642677883134</v>
      </c>
      <c r="AO7" s="74">
        <f t="shared" ref="AO7:AO9" si="56">IFERROR(1/AE7,".")</f>
        <v>5.2261019999999998E-3</v>
      </c>
      <c r="AP7" s="74" t="str">
        <f t="shared" ref="AP7:AP9" si="57">IFERROR(1/AF7,".")</f>
        <v>.</v>
      </c>
      <c r="AQ7" s="74">
        <f t="shared" ref="AQ7:AQ9" si="58">IFERROR(1/AG7,".")</f>
        <v>1.5224061392694061E-3</v>
      </c>
      <c r="AR7" s="74">
        <f t="shared" ref="AR7:AR9" si="59">IFERROR(1/AH7,".")</f>
        <v>2.367865918305263E-2</v>
      </c>
      <c r="AS7" s="74" t="str">
        <f t="shared" ref="AS7:AS9" si="60">IFERROR(1/AI7,".")</f>
        <v>.</v>
      </c>
      <c r="AT7" s="74" t="str">
        <f t="shared" ref="AT7:AT9" si="61">IFERROR(1/AJ7,".")</f>
        <v>.</v>
      </c>
      <c r="AU7" s="74">
        <f t="shared" ref="AU7:AU9" si="62">IFERROR(1/AK7,".")</f>
        <v>3.7044368550000007E-5</v>
      </c>
      <c r="AV7" s="74">
        <f t="shared" ref="AV7:AV9" si="63">IFERROR(1/AL7,".")</f>
        <v>1.5077120732038835E-4</v>
      </c>
      <c r="AW7" s="74" t="str">
        <f t="shared" ref="AW7:AW9" si="64">IFERROR(1/AM7,".")</f>
        <v>.</v>
      </c>
      <c r="AX7" s="74">
        <f t="shared" ref="AX7:AX9" si="65">IFERROR(1/AN7,".")</f>
        <v>2.5022352599999999E-2</v>
      </c>
      <c r="AY7" s="2">
        <f>IFERROR(1/(SUMIF(AO7:AX7,"&lt;&gt;0")),".")</f>
        <v>17.973542245431371</v>
      </c>
      <c r="AZ7" s="2">
        <f>IFERROR((DL/(RadSpec!L7*IFA_far_adj)),".")</f>
        <v>0.28589439918577275</v>
      </c>
      <c r="BA7" s="2">
        <f>IFERROR((DL/(RadSpec!O7*EF_far*(1/365)*ED_far*ET_far*(1/24)*GSF_a)),".")</f>
        <v>2.1638554331149321E-2</v>
      </c>
      <c r="BB7" s="2">
        <f>IFERROR(IF(AND(AZ7&lt;&gt;".",BA7&lt;&gt;"."),1/((1/AZ7)+(1/BA7)),IF(AND(AZ7&lt;&gt;".",BA7="."),1/((1/AZ7)),IF(AND(AZ7=".",BA7&lt;&gt;"."),1/((1/BA7)),IF(AND(AZ7=".",BA7="."),".")))),".")</f>
        <v>2.0116027954097709E-2</v>
      </c>
    </row>
    <row r="8" spans="1:54" customFormat="1" x14ac:dyDescent="0.25">
      <c r="A8" s="31" t="s">
        <v>6</v>
      </c>
      <c r="B8" s="3" t="s">
        <v>1059</v>
      </c>
      <c r="C8" s="2">
        <f>dir!AB8</f>
        <v>2.0552490753405119</v>
      </c>
      <c r="D8" s="2">
        <f>IFERROR(DL/(RadSpec!J8*IFP_far_adj*CF_far_poultry),".")</f>
        <v>29.304308822051915</v>
      </c>
      <c r="E8" s="2">
        <f>IFERROR(DL/(RadSpec!J8*IFE_far_adj*CF_far_egg),".")</f>
        <v>51.995780292849496</v>
      </c>
      <c r="F8" s="2">
        <f>IFERROR(DL/(RadSpec!J8*IFB_far_adj*CF_far_beef),".")</f>
        <v>19.218583724717387</v>
      </c>
      <c r="G8" s="2">
        <f>IFERROR(DL/(RadSpec!J8*IFD_far_adj*CF_far_dairy),".")</f>
        <v>3.9789630045477837</v>
      </c>
      <c r="H8" s="2">
        <f>IFERROR(DL/(RadSpec!J8*IFSW_far_adj*CF_far_swine),".")</f>
        <v>34.432913060806101</v>
      </c>
      <c r="I8" s="2">
        <f>IFERROR(DL/(RadSpec!J8*IFFI_far_adj*CF_far_fish),".")</f>
        <v>4.0262508592703794</v>
      </c>
      <c r="J8" s="2">
        <f>IFERROR((DL/(RadSpec!I8*IFS_far_adj*(1/1000)))*1,".")</f>
        <v>25055.184042854387</v>
      </c>
      <c r="K8" s="2">
        <f>IFERROR(IF(A8="H-3",(DL/(RadSpec!L8*IFA_far_adj*(1/17)*1000))*1,(DL/(RadSpec!L8*IFA_far_adj*(1/PEF_wind)*1000))*1),".")</f>
        <v>1598305.0661384629</v>
      </c>
      <c r="L8" s="2">
        <f>IFERROR((DL/(RadSpec!K8*EF_far*(1/365)*ED_far*RadSpec!V8*((ET_far_o*(1/24)*RadSpec!AA8)+(ET_far_i*(1/24)*RadSpec!AF8))))*1,".")</f>
        <v>2.2514853368292931</v>
      </c>
      <c r="M8" s="2">
        <f>b2s!AB8</f>
        <v>20.38736836874266</v>
      </c>
      <c r="N8" s="2" t="str">
        <f>IFERROR((D8/(RadSpec!AO8*((Q_p_poultry*f_p_poultry*f_s_poultry*(RadSpec!BG8+R_es_past))+(Q_s_poultry*f_p_poultry))))*1,".")</f>
        <v>.</v>
      </c>
      <c r="O8" s="2" t="str">
        <f>IFERROR((E8/(RadSpec!AP8*((Q_p_poultry*f_p_poultry*f_s_poultry*(RadSpec!BG8+R_es_past))+(Q_s_poultry*f_p_poultry))))*1,".")</f>
        <v>.</v>
      </c>
      <c r="P8" s="2">
        <f>IFERROR((F8/(RadSpec!AM8*((Q_p_beef*f_p_beef*f_s_beef*(RadSpec!BG8+R_es_past))+(Q_s_beef*f_p_beef))))*1,".")</f>
        <v>1030.21086704462</v>
      </c>
      <c r="Q8" s="2">
        <f>IFERROR(((G8*D_milk)/(RadSpec!AL8*((Q_p_dairy*f_p_dairy*f_s_dairy*(RadSpec!BG8+R_es_past))+(Q_s_dairy*f_p_dairy))))*1,".")</f>
        <v>262.29324125978985</v>
      </c>
      <c r="R8" s="2" t="str">
        <f>IFERROR((H8/(RadSpec!AQ8*((Q_p_swine*f_p_swine*f_s_swine*(RadSpec!BG8+R_es_past))+(Q_s_swine*f_p_swine))))*1,".")</f>
        <v>.</v>
      </c>
      <c r="S8" s="2">
        <f>IFERROR(((I8*RadSpec!AX8)/RadSpec!AN8)*1,".")</f>
        <v>128.84002749665214</v>
      </c>
      <c r="T8" s="74">
        <f t="shared" si="45"/>
        <v>3.99119E-5</v>
      </c>
      <c r="U8" s="74">
        <f t="shared" si="46"/>
        <v>6.2566278565081448E-7</v>
      </c>
      <c r="V8" s="74">
        <f t="shared" si="47"/>
        <v>0.4441512381369862</v>
      </c>
      <c r="W8" s="74">
        <f t="shared" si="48"/>
        <v>4.9049979473229706E-2</v>
      </c>
      <c r="X8" s="74" t="str">
        <f t="shared" si="49"/>
        <v>.</v>
      </c>
      <c r="Y8" s="74" t="str">
        <f t="shared" si="50"/>
        <v>.</v>
      </c>
      <c r="Z8" s="74">
        <f t="shared" si="51"/>
        <v>9.7067506467750006E-4</v>
      </c>
      <c r="AA8" s="74">
        <f t="shared" si="52"/>
        <v>3.8125267551577672E-3</v>
      </c>
      <c r="AB8" s="74" t="str">
        <f t="shared" si="53"/>
        <v>.</v>
      </c>
      <c r="AC8" s="74">
        <f t="shared" si="54"/>
        <v>7.7615630750000001E-3</v>
      </c>
      <c r="AD8" s="2">
        <f t="shared" si="55"/>
        <v>1.9771187256352314</v>
      </c>
      <c r="AE8" s="2">
        <f>IFERROR(DL/(RadSpec!M8*IFW_far_adj),".")</f>
        <v>1285.1677809671073</v>
      </c>
      <c r="AF8" s="2" t="str">
        <f>IFERROR(IF(RadSpec!C8=1,DL/(RadSpec!L8*IFA_far_adj*K),"."),".")</f>
        <v>.</v>
      </c>
      <c r="AG8" s="2">
        <f>IFERROR((DL/(RadSpec!Q8*(1/8760)*DFA_far_adj)),".")</f>
        <v>15.535140749066819</v>
      </c>
      <c r="AH8" s="2">
        <f>b2w!AB8</f>
        <v>283.64857395535546</v>
      </c>
      <c r="AI8" s="2" t="str">
        <f>IFERROR(D8/(RadSpec!AO8*Q_w_poultry*(1/1000)),".")</f>
        <v>.</v>
      </c>
      <c r="AJ8" s="2" t="str">
        <f>IFERROR(E8/(RadSpec!AP8*Q_w_poultry*(1/1000)),".")</f>
        <v>.</v>
      </c>
      <c r="AK8" s="2">
        <f>IFERROR(F8/(RadSpec!AM8*Q_w_beef*(1/1000)),".")</f>
        <v>181307.39362940931</v>
      </c>
      <c r="AL8" s="2">
        <f>IFERROR((G8*D_milk)/(RadSpec!AL8*Q_w_dairy*(1/1000)),".")</f>
        <v>44547.085811784971</v>
      </c>
      <c r="AM8" s="2" t="str">
        <f>IFERROR(H8/(RadSpec!AQ8*Q_w_swine*(1/1000)),".")</f>
        <v>.</v>
      </c>
      <c r="AN8" s="2">
        <f>IFERROR(I8/(RadSpec!AN8*(1/1000)),".")</f>
        <v>268.41672395135862</v>
      </c>
      <c r="AO8" s="74">
        <f t="shared" si="56"/>
        <v>7.7810851999999999E-4</v>
      </c>
      <c r="AP8" s="74" t="str">
        <f t="shared" si="57"/>
        <v>.</v>
      </c>
      <c r="AQ8" s="74">
        <f t="shared" si="58"/>
        <v>6.4370192465753429E-2</v>
      </c>
      <c r="AR8" s="74">
        <f t="shared" si="59"/>
        <v>3.5254892561433918E-3</v>
      </c>
      <c r="AS8" s="74" t="str">
        <f t="shared" si="60"/>
        <v>.</v>
      </c>
      <c r="AT8" s="74" t="str">
        <f t="shared" si="61"/>
        <v>.</v>
      </c>
      <c r="AU8" s="74">
        <f t="shared" si="62"/>
        <v>5.5154948730000003E-6</v>
      </c>
      <c r="AV8" s="74">
        <f t="shared" si="63"/>
        <v>2.2448157534368928E-5</v>
      </c>
      <c r="AW8" s="74" t="str">
        <f t="shared" si="64"/>
        <v>.</v>
      </c>
      <c r="AX8" s="74">
        <f t="shared" si="65"/>
        <v>3.7255502760000004E-3</v>
      </c>
      <c r="AY8" s="2">
        <f t="shared" ref="AY8:AY9" si="66">IFERROR(1/(SUMIF(AO8:AX8,"&lt;&gt;0")),".")</f>
        <v>13.80694768990185</v>
      </c>
      <c r="AZ8" s="2">
        <f>IFERROR((DL/(RadSpec!L8*IFA_far_adj)),".")</f>
        <v>1.175791050172474</v>
      </c>
      <c r="BA8" s="2">
        <f>IFERROR((DL/(RadSpec!O8*EF_far*(1/365)*ED_far*ET_far*(1/24)*GSF_a)),".")</f>
        <v>9.3985640024183933E-4</v>
      </c>
      <c r="BB8" s="2">
        <f t="shared" ref="BB8:BB9" si="67">IFERROR(IF(AND(AZ8&lt;&gt;".",BA8&lt;&gt;"."),1/((1/AZ8)+(1/BA8)),IF(AND(AZ8&lt;&gt;".",BA8="."),1/((1/AZ8)),IF(AND(AZ8=".",BA8&lt;&gt;"."),1/((1/BA8)),IF(AND(AZ8=".",BA8="."),".")))),".")</f>
        <v>9.3910573579668744E-4</v>
      </c>
    </row>
    <row r="9" spans="1:54" customFormat="1" x14ac:dyDescent="0.25">
      <c r="A9" s="31" t="s">
        <v>7</v>
      </c>
      <c r="B9" s="3" t="s">
        <v>1059</v>
      </c>
      <c r="C9" s="2">
        <f>dir!AB9</f>
        <v>3.6966896120218617</v>
      </c>
      <c r="D9" s="2">
        <f>IFERROR(DL/(RadSpec!J9*IFP_far_adj*CF_far_poultry),".")</f>
        <v>52.708421236979277</v>
      </c>
      <c r="E9" s="2">
        <f>IFERROR(DL/(RadSpec!J9*IFE_far_adj*CF_far_egg),".")</f>
        <v>93.522611533447403</v>
      </c>
      <c r="F9" s="2">
        <f>IFERROR(DL/(RadSpec!J9*IFB_far_adj*CF_far_beef),".")</f>
        <v>34.567653947813817</v>
      </c>
      <c r="G9" s="2">
        <f>IFERROR(DL/(RadSpec!J9*IFD_far_adj*CF_far_dairy),".")</f>
        <v>7.1567925182470189</v>
      </c>
      <c r="H9" s="2">
        <f>IFERROR(DL/(RadSpec!J9*IFSW_far_adj*CF_far_swine),".")</f>
        <v>61.933024834201582</v>
      </c>
      <c r="I9" s="2">
        <f>IFERROR(DL/(RadSpec!J9*IFFI_far_adj*CF_far_fish),".")</f>
        <v>7.2418471831171924</v>
      </c>
      <c r="J9" s="2">
        <f>IFERROR((DL/(RadSpec!I9*IFS_far_adj*(1/1000)))*1,".")</f>
        <v>45065.700157617284</v>
      </c>
      <c r="K9" s="2">
        <f>IFERROR(IF(A9="H-3",(DL/(RadSpec!L9*IFA_far_adj*(1/17)*1000))*1,(DL/(RadSpec!L9*IFA_far_adj*(1/PEF_wind)*1000))*1),".")</f>
        <v>5735993.7277947292</v>
      </c>
      <c r="L9" s="2">
        <f>IFERROR((DL/(RadSpec!K9*EF_far*(1/365)*ED_far*RadSpec!V9*((ET_far_o*(1/24)*RadSpec!AA9)+(ET_far_i*(1/24)*RadSpec!AF9))))*1,".")</f>
        <v>0.16943693332375864</v>
      </c>
      <c r="M9" s="2">
        <f>b2s!AB9</f>
        <v>36.669897468610955</v>
      </c>
      <c r="N9" s="2" t="str">
        <f>IFERROR((D9/(RadSpec!AO9*((Q_p_poultry*f_p_poultry*f_s_poultry*(RadSpec!BG9+R_es_past))+(Q_s_poultry*f_p_poultry))))*1,".")</f>
        <v>.</v>
      </c>
      <c r="O9" s="2" t="str">
        <f>IFERROR((E9/(RadSpec!AP9*((Q_p_poultry*f_p_poultry*f_s_poultry*(RadSpec!BG9+R_es_past))+(Q_s_poultry*f_p_poultry))))*1,".")</f>
        <v>.</v>
      </c>
      <c r="P9" s="2">
        <f>IFERROR((F9/(RadSpec!AM9*((Q_p_beef*f_p_beef*f_s_beef*(RadSpec!BG9+R_es_past))+(Q_s_beef*f_p_beef))))*1,".")</f>
        <v>1852.9967273017321</v>
      </c>
      <c r="Q9" s="2">
        <f>IFERROR(((G9*D_milk)/(RadSpec!AL9*((Q_p_dairy*f_p_dairy*f_s_dairy*(RadSpec!BG9+R_es_past))+(Q_s_dairy*f_p_dairy))))*1,".")</f>
        <v>471.77576280284336</v>
      </c>
      <c r="R9" s="2" t="str">
        <f>IFERROR((H9/(RadSpec!AQ9*((Q_p_swine*f_p_swine*f_s_swine*(RadSpec!BG9+R_es_past))+(Q_s_swine*f_p_swine))))*1,".")</f>
        <v>.</v>
      </c>
      <c r="S9" s="2">
        <f>IFERROR(((I9*RadSpec!AX9)/RadSpec!AN9)*1,".")</f>
        <v>231.73910985975016</v>
      </c>
      <c r="T9" s="74">
        <f t="shared" si="45"/>
        <v>2.2189825000000001E-5</v>
      </c>
      <c r="U9" s="74">
        <f t="shared" si="46"/>
        <v>1.7433770806867005E-7</v>
      </c>
      <c r="V9" s="74">
        <f t="shared" si="47"/>
        <v>5.9019009632876713</v>
      </c>
      <c r="W9" s="74">
        <f t="shared" si="48"/>
        <v>2.727032440862398E-2</v>
      </c>
      <c r="X9" s="74" t="str">
        <f t="shared" si="49"/>
        <v>.</v>
      </c>
      <c r="Y9" s="74" t="str">
        <f t="shared" si="50"/>
        <v>.</v>
      </c>
      <c r="Z9" s="74">
        <f t="shared" si="51"/>
        <v>5.3966636058562522E-4</v>
      </c>
      <c r="AA9" s="74">
        <f t="shared" si="52"/>
        <v>2.1196510690989086E-3</v>
      </c>
      <c r="AB9" s="74" t="str">
        <f t="shared" si="53"/>
        <v>.</v>
      </c>
      <c r="AC9" s="74">
        <f t="shared" si="54"/>
        <v>4.3151973812500001E-3</v>
      </c>
      <c r="AD9" s="2">
        <f t="shared" si="55"/>
        <v>0.1684588394268787</v>
      </c>
      <c r="AE9" s="2">
        <f>IFERROR(DL/(RadSpec!M9*IFW_far_adj),".")</f>
        <v>2311.576948316676</v>
      </c>
      <c r="AF9" s="2" t="str">
        <f>IFERROR(IF(RadSpec!C9=1,DL/(RadSpec!L9*IFA_far_adj*K),"."),".")</f>
        <v>.</v>
      </c>
      <c r="AG9" s="2">
        <f>IFERROR((DL/(RadSpec!Q9*(1/8760)*DFA_far_adj)),".")</f>
        <v>1.2710569703781944</v>
      </c>
      <c r="AH9" s="2">
        <f>b2w!AB9</f>
        <v>510.18669677876011</v>
      </c>
      <c r="AI9" s="2" t="str">
        <f>IFERROR(D9/(RadSpec!AO9*Q_w_poultry*(1/1000)),".")</f>
        <v>.</v>
      </c>
      <c r="AJ9" s="2" t="str">
        <f>IFERROR(E9/(RadSpec!AP9*Q_w_poultry*(1/1000)),".")</f>
        <v>.</v>
      </c>
      <c r="AK9" s="2">
        <f>IFERROR(F9/(RadSpec!AM9*Q_w_beef*(1/1000)),".")</f>
        <v>326109.94290390395</v>
      </c>
      <c r="AL9" s="2">
        <f>IFERROR((G9*D_milk)/(RadSpec!AL9*Q_w_dairy*(1/1000)),".")</f>
        <v>80124.959715156845</v>
      </c>
      <c r="AM9" s="2" t="str">
        <f>IFERROR(H9/(RadSpec!AQ9*Q_w_swine*(1/1000)),".")</f>
        <v>.</v>
      </c>
      <c r="AN9" s="2">
        <f>IFERROR(I9/(RadSpec!AN9*(1/1000)),".")</f>
        <v>482.78981220781287</v>
      </c>
      <c r="AO9" s="74">
        <f t="shared" si="56"/>
        <v>4.3260511000000002E-4</v>
      </c>
      <c r="AP9" s="74" t="str">
        <f t="shared" si="57"/>
        <v>.</v>
      </c>
      <c r="AQ9" s="74">
        <f t="shared" si="58"/>
        <v>0.78674679680365289</v>
      </c>
      <c r="AR9" s="74">
        <f t="shared" si="59"/>
        <v>1.9600667879304682E-3</v>
      </c>
      <c r="AS9" s="74" t="str">
        <f t="shared" si="60"/>
        <v>.</v>
      </c>
      <c r="AT9" s="74" t="str">
        <f t="shared" si="61"/>
        <v>.</v>
      </c>
      <c r="AU9" s="74">
        <f t="shared" si="62"/>
        <v>3.0664505077500006E-6</v>
      </c>
      <c r="AV9" s="74">
        <f t="shared" si="63"/>
        <v>1.248050549485437E-5</v>
      </c>
      <c r="AW9" s="74" t="str">
        <f t="shared" si="64"/>
        <v>.</v>
      </c>
      <c r="AX9" s="74">
        <f t="shared" si="65"/>
        <v>2.0712947430000001E-3</v>
      </c>
      <c r="AY9" s="2">
        <f t="shared" si="66"/>
        <v>1.2638609040866133</v>
      </c>
      <c r="AZ9" s="2">
        <f>IFERROR((DL/(RadSpec!L9*IFA_far_adj)),".")</f>
        <v>4.2196763508238915</v>
      </c>
      <c r="BA9" s="2">
        <f>IFERROR((DL/(RadSpec!O9*EF_far*(1/365)*ED_far*ET_far*(1/24)*GSF_a)),".")</f>
        <v>7.8519648627799229E-5</v>
      </c>
      <c r="BB9" s="2">
        <f t="shared" si="67"/>
        <v>7.8518187563019433E-5</v>
      </c>
    </row>
    <row r="10" spans="1:54" customFormat="1" x14ac:dyDescent="0.25">
      <c r="A10" s="32" t="s">
        <v>8</v>
      </c>
      <c r="B10" s="3" t="s">
        <v>336</v>
      </c>
      <c r="C10" s="2">
        <f>dir!AB10</f>
        <v>4.1414041518139655E-2</v>
      </c>
      <c r="D10" s="2">
        <f>IFERROR(DL/(RadSpec!J10*IFP_far_adj*CF_far_poultry),".")</f>
        <v>0.59049283942179798</v>
      </c>
      <c r="E10" s="2">
        <f>IFERROR(DL/(RadSpec!J10*IFE_far_adj*CF_far_egg),".")</f>
        <v>1.0477345201867416</v>
      </c>
      <c r="F10" s="2">
        <f>IFERROR(DL/(RadSpec!J10*IFB_far_adj*CF_far_beef),".")</f>
        <v>0.38726168708453085</v>
      </c>
      <c r="G10" s="2">
        <f>IFERROR(DL/(RadSpec!J10*IFD_far_adj*CF_far_dairy),".")</f>
        <v>8.0177600392391427E-2</v>
      </c>
      <c r="H10" s="2">
        <f>IFERROR(DL/(RadSpec!J10*IFSW_far_adj*CF_far_swine),".")</f>
        <v>0.6938361428794011</v>
      </c>
      <c r="I10" s="2">
        <f>IFERROR(DL/(RadSpec!J10*IFFI_far_adj*CF_far_fish),".")</f>
        <v>8.1130468442440734E-2</v>
      </c>
      <c r="J10" s="2">
        <f>IFERROR((DL/(RadSpec!I10*IFS_far_adj*(1/1000)))*1,".")</f>
        <v>504.8713777056372</v>
      </c>
      <c r="K10" s="2">
        <f>IFERROR(IF(A10="H-3",(DL/(RadSpec!L10*IFA_far_adj*(1/17)*1000))*1,(DL/(RadSpec!L10*IFA_far_adj*(1/PEF_wind)*1000))*1),".")</f>
        <v>1360667.3824440152</v>
      </c>
      <c r="L10" s="2">
        <f>IFERROR((DL/(RadSpec!K10*EF_far*(1/365)*ED_far*RadSpec!V10*((ET_far_o*(1/24)*RadSpec!AA10)+(ET_far_i*(1/24)*RadSpec!AF10))))*1,".")</f>
        <v>1781.8206536627526</v>
      </c>
      <c r="M10" s="2">
        <f>b2s!AB10</f>
        <v>1.6500657141256105</v>
      </c>
      <c r="N10" s="2">
        <f>IFERROR((D10/(RadSpec!AO10*((Q_p_poultry*f_p_poultry*f_s_poultry*(RadSpec!BG10+R_es_past))+(Q_s_poultry*f_p_poultry))))*1,".")</f>
        <v>2.780098114038597</v>
      </c>
      <c r="O10" s="2">
        <f>IFERROR((E10/(RadSpec!AP10*((Q_p_poultry*f_p_poultry*f_s_poultry*(RadSpec!BG10+R_es_past))+(Q_s_poultry*f_p_poultry))))*1,".")</f>
        <v>33.296647887290518</v>
      </c>
      <c r="P10" s="2">
        <f>IFERROR((F10/(RadSpec!AM10*((Q_p_beef*f_p_beef*f_s_beef*(RadSpec!BG10+R_es_past))+(Q_s_beef*f_p_beef))))*1,".")</f>
        <v>4.5902396345050462</v>
      </c>
      <c r="Q10" s="2">
        <f>IFERROR(((G10*D_milk)/(RadSpec!AL10*((Q_p_dairy*f_p_dairy*f_s_dairy*(RadSpec!BG10+R_es_past))+(Q_s_dairy*f_p_dairy))))*1,".")</f>
        <v>2.9183652976392578</v>
      </c>
      <c r="R10" s="2">
        <f>IFERROR((H10/(RadSpec!AQ10*((Q_p_swine*f_p_swine*f_s_swine*(RadSpec!BG10+R_es_past))+(Q_s_swine*f_p_swine))))*1,".")</f>
        <v>2.0386958164918738</v>
      </c>
      <c r="S10" s="2">
        <f>IFERROR(((I10*RadSpec!AX10)/RadSpec!AN10)*1,".")</f>
        <v>3.2452187376976296E-4</v>
      </c>
      <c r="T10" s="74">
        <f t="shared" ref="T10" si="68">IFERROR(1/J10,".")</f>
        <v>1.9807025000000002E-3</v>
      </c>
      <c r="U10" s="74">
        <f t="shared" ref="U10" si="69">IFERROR(1/K10,".")</f>
        <v>7.3493346934194266E-7</v>
      </c>
      <c r="V10" s="74">
        <f t="shared" ref="V10" si="70">IFERROR(1/L10,".")</f>
        <v>5.6122371123287654E-4</v>
      </c>
      <c r="W10" s="74">
        <f t="shared" ref="W10" si="71">IFERROR(1/M10,".")</f>
        <v>0.6060364696020073</v>
      </c>
      <c r="X10" s="74">
        <f t="shared" ref="X10" si="72">IFERROR(1/N10,".")</f>
        <v>0.35969953540499999</v>
      </c>
      <c r="Y10" s="74">
        <f t="shared" ref="Y10" si="73">IFERROR(1/O10,".")</f>
        <v>3.0033053278666667E-2</v>
      </c>
      <c r="Z10" s="74">
        <f t="shared" ref="Z10" si="74">IFERROR(1/P10,".")</f>
        <v>0.21785355005933746</v>
      </c>
      <c r="AA10" s="74">
        <f t="shared" ref="AA10" si="75">IFERROR(1/Q10,".")</f>
        <v>0.34265758327407686</v>
      </c>
      <c r="AB10" s="74">
        <f t="shared" ref="AB10" si="76">IFERROR(1/R10,".")</f>
        <v>0.49050966402666674</v>
      </c>
      <c r="AC10" s="74">
        <f t="shared" ref="AC10" si="77">IFERROR(1/S10,".")</f>
        <v>3081.456385</v>
      </c>
      <c r="AD10" s="2">
        <f t="shared" ref="AD10" si="78">IFERROR(1/(SUMIF(T10:AC10,"&lt;&gt;0")),".")</f>
        <v>3.2430619288921578E-4</v>
      </c>
      <c r="AE10" s="2">
        <f>IFERROR(DL/(RadSpec!M10*IFW_far_adj),".")</f>
        <v>25.896613932269531</v>
      </c>
      <c r="AF10" s="2" t="str">
        <f>IFERROR(IF(RadSpec!C10=1,DL/(RadSpec!L10*IFA_far_adj*K),"."),".")</f>
        <v>.</v>
      </c>
      <c r="AG10" s="2">
        <f>IFERROR((DL/(RadSpec!Q10*(1/8760)*DFA_far_adj)),".")</f>
        <v>1864.2168898880186</v>
      </c>
      <c r="AH10" s="2">
        <f>b2w!AB10</f>
        <v>9.1233539198793867</v>
      </c>
      <c r="AI10" s="2">
        <f>IFERROR(D10/(RadSpec!AO10*Q_w_poultry*(1/1000)),".")</f>
        <v>546.75262909425737</v>
      </c>
      <c r="AJ10" s="2">
        <f>IFERROR(E10/(RadSpec!AP10*Q_w_poultry*(1/1000)),".")</f>
        <v>6548.3407511671339</v>
      </c>
      <c r="AK10" s="2">
        <f>IFERROR(F10/(RadSpec!AM10*Q_w_beef*(1/1000)),".")</f>
        <v>332.1283765733541</v>
      </c>
      <c r="AL10" s="2">
        <f>IFERROR((G10*D_milk)/(RadSpec!AL10*Q_w_dairy*(1/1000)),".")</f>
        <v>195.13924481134964</v>
      </c>
      <c r="AM10" s="2">
        <f>IFERROR(H10/(RadSpec!AQ10*Q_w_swine*(1/1000)),".")</f>
        <v>304.31409775412322</v>
      </c>
      <c r="AN10" s="2">
        <f>IFERROR(I10/(RadSpec!AN10*(1/1000)),".")</f>
        <v>3.2452187376976291E-2</v>
      </c>
      <c r="AO10" s="74">
        <f t="shared" ref="AO10" si="79">IFERROR(1/AE10,".")</f>
        <v>3.8615086999999999E-2</v>
      </c>
      <c r="AP10" s="74" t="str">
        <f t="shared" ref="AP10" si="80">IFERROR(1/AF10,".")</f>
        <v>.</v>
      </c>
      <c r="AQ10" s="74">
        <f t="shared" ref="AQ10" si="81">IFERROR(1/AG10,".")</f>
        <v>5.3641827054794514E-4</v>
      </c>
      <c r="AR10" s="74">
        <f t="shared" ref="AR10" si="82">IFERROR(1/AH10,".")</f>
        <v>0.10960881368649351</v>
      </c>
      <c r="AS10" s="74">
        <f t="shared" ref="AS10" si="83">IFERROR(1/AI10,".")</f>
        <v>1.8289806885000001E-3</v>
      </c>
      <c r="AT10" s="74">
        <f t="shared" ref="AT10" si="84">IFERROR(1/AJ10,".")</f>
        <v>1.5271044040000002E-4</v>
      </c>
      <c r="AU10" s="74">
        <f t="shared" ref="AU10" si="85">IFERROR(1/AK10,".")</f>
        <v>3.0108839549249995E-3</v>
      </c>
      <c r="AV10" s="74">
        <f t="shared" ref="AV10" si="86">IFERROR(1/AL10,".")</f>
        <v>5.1245458132563107E-3</v>
      </c>
      <c r="AW10" s="74">
        <f t="shared" ref="AW10" si="87">IFERROR(1/AM10,".")</f>
        <v>3.2860784544000007E-3</v>
      </c>
      <c r="AX10" s="74">
        <f t="shared" ref="AX10" si="88">IFERROR(1/AN10,".")</f>
        <v>30.814563850000003</v>
      </c>
      <c r="AY10" s="2">
        <f>IFERROR(1/(SUMIF(AO10:AX10,"&lt;&gt;0")),".")</f>
        <v>3.2282299808825958E-2</v>
      </c>
      <c r="AZ10" s="2">
        <f>IFERROR((DL/(RadSpec!L10*IFA_far_adj)),".")</f>
        <v>1.0009731961899959</v>
      </c>
      <c r="BA10" s="2">
        <f>IFERROR((DL/(RadSpec!O10*EF_far*(1/365)*ED_far*ET_far*(1/24)*GSF_a)),".")</f>
        <v>5.9390925717409844E-2</v>
      </c>
      <c r="BB10" s="2">
        <f>IFERROR(IF(AND(AZ10&lt;&gt;".",BA10&lt;&gt;"."),1/((1/AZ10)+(1/BA10)),IF(AND(AZ10&lt;&gt;".",BA10="."),1/((1/AZ10)),IF(AND(AZ10=".",BA10&lt;&gt;"."),1/((1/BA10)),IF(AND(AZ10=".",BA10="."),".")))),".")</f>
        <v>5.6064443818695707E-2</v>
      </c>
    </row>
    <row r="11" spans="1:54" customFormat="1" x14ac:dyDescent="0.25">
      <c r="A11" s="31" t="s">
        <v>9</v>
      </c>
      <c r="B11" s="3" t="s">
        <v>1059</v>
      </c>
      <c r="C11" s="2" t="str">
        <f>dir!AB11</f>
        <v>.</v>
      </c>
      <c r="D11" s="2" t="str">
        <f>IFERROR(DL/(RadSpec!J11*IFP_far_adj*CF_far_poultry),".")</f>
        <v>.</v>
      </c>
      <c r="E11" s="2" t="str">
        <f>IFERROR(DL/(RadSpec!J11*IFE_far_adj*CF_far_egg),".")</f>
        <v>.</v>
      </c>
      <c r="F11" s="2" t="str">
        <f>IFERROR(DL/(RadSpec!J11*IFB_far_adj*CF_far_beef),".")</f>
        <v>.</v>
      </c>
      <c r="G11" s="2" t="str">
        <f>IFERROR(DL/(RadSpec!J11*IFD_far_adj*CF_far_dairy),".")</f>
        <v>.</v>
      </c>
      <c r="H11" s="2" t="str">
        <f>IFERROR(DL/(RadSpec!J11*IFSW_far_adj*CF_far_swine),".")</f>
        <v>.</v>
      </c>
      <c r="I11" s="2" t="str">
        <f>IFERROR(DL/(RadSpec!J11*IFFI_far_adj*CF_far_fish),".")</f>
        <v>.</v>
      </c>
      <c r="J11" s="2" t="str">
        <f>IFERROR((DL/(RadSpec!I11*IFS_far_adj*(1/1000)))*1,".")</f>
        <v>.</v>
      </c>
      <c r="K11" s="2" t="str">
        <f>IFERROR(IF(A11="H-3",(DL/(RadSpec!L11*IFA_far_adj*(1/17)*1000))*1,(DL/(RadSpec!L11*IFA_far_adj*(1/PEF_wind)*1000))*1),".")</f>
        <v>.</v>
      </c>
      <c r="L11" s="2">
        <f>IFERROR((DL/(RadSpec!K11*EF_far*(1/365)*ED_far*RadSpec!V11*((ET_far_o*(1/24)*RadSpec!AA11)+(ET_far_i*(1/24)*RadSpec!AF11))))*1,".")</f>
        <v>11.620569480409255</v>
      </c>
      <c r="M11" s="2" t="str">
        <f>b2s!AB11</f>
        <v>.</v>
      </c>
      <c r="N11" s="2" t="str">
        <f>IFERROR((D11/(RadSpec!AO11*((Q_p_poultry*f_p_poultry*f_s_poultry*(RadSpec!BG11+R_es_past))+(Q_s_poultry*f_p_poultry))))*1,".")</f>
        <v>.</v>
      </c>
      <c r="O11" s="2" t="str">
        <f>IFERROR((E11/(RadSpec!AP11*((Q_p_poultry*f_p_poultry*f_s_poultry*(RadSpec!BG11+R_es_past))+(Q_s_poultry*f_p_poultry))))*1,".")</f>
        <v>.</v>
      </c>
      <c r="P11" s="2" t="str">
        <f>IFERROR((F11/(RadSpec!AM11*((Q_p_beef*f_p_beef*f_s_beef*(RadSpec!BG11+R_es_past))+(Q_s_beef*f_p_beef))))*1,".")</f>
        <v>.</v>
      </c>
      <c r="Q11" s="2" t="str">
        <f>IFERROR(((G11*D_milk)/(RadSpec!AL11*((Q_p_dairy*f_p_dairy*f_s_dairy*(RadSpec!BG11+R_es_past))+(Q_s_dairy*f_p_dairy))))*1,".")</f>
        <v>.</v>
      </c>
      <c r="R11" s="2" t="str">
        <f>IFERROR((H11/(RadSpec!AQ11*((Q_p_swine*f_p_swine*f_s_swine*(RadSpec!BG11+R_es_past))+(Q_s_swine*f_p_swine))))*1,".")</f>
        <v>.</v>
      </c>
      <c r="S11" s="2" t="str">
        <f>IFERROR(((I11*RadSpec!AX11)/RadSpec!AN11)*1,".")</f>
        <v>.</v>
      </c>
      <c r="T11" s="74" t="str">
        <f t="shared" ref="T11" si="89">IFERROR(1/J11,".")</f>
        <v>.</v>
      </c>
      <c r="U11" s="74" t="str">
        <f t="shared" ref="U11" si="90">IFERROR(1/K11,".")</f>
        <v>.</v>
      </c>
      <c r="V11" s="74">
        <f t="shared" ref="V11" si="91">IFERROR(1/L11,".")</f>
        <v>8.6054302389041076E-2</v>
      </c>
      <c r="W11" s="74" t="str">
        <f t="shared" ref="W11" si="92">IFERROR(1/M11,".")</f>
        <v>.</v>
      </c>
      <c r="X11" s="74" t="str">
        <f t="shared" ref="X11" si="93">IFERROR(1/N11,".")</f>
        <v>.</v>
      </c>
      <c r="Y11" s="74" t="str">
        <f t="shared" ref="Y11" si="94">IFERROR(1/O11,".")</f>
        <v>.</v>
      </c>
      <c r="Z11" s="74" t="str">
        <f t="shared" ref="Z11" si="95">IFERROR(1/P11,".")</f>
        <v>.</v>
      </c>
      <c r="AA11" s="74" t="str">
        <f t="shared" ref="AA11" si="96">IFERROR(1/Q11,".")</f>
        <v>.</v>
      </c>
      <c r="AB11" s="74" t="str">
        <f t="shared" ref="AB11" si="97">IFERROR(1/R11,".")</f>
        <v>.</v>
      </c>
      <c r="AC11" s="74" t="str">
        <f t="shared" ref="AC11" si="98">IFERROR(1/S11,".")</f>
        <v>.</v>
      </c>
      <c r="AD11" s="2">
        <f t="shared" ref="AD11" si="99">IFERROR(1/(SUMIF(T11:AC11,"&lt;&gt;0")),".")</f>
        <v>11.620569480409255</v>
      </c>
      <c r="AE11" s="2" t="str">
        <f>IFERROR(DL/(RadSpec!M11*IFW_far_adj),".")</f>
        <v>.</v>
      </c>
      <c r="AF11" s="2" t="str">
        <f>IFERROR(IF(RadSpec!C11=1,DL/(RadSpec!L11*IFA_far_adj*K),"."),".")</f>
        <v>.</v>
      </c>
      <c r="AG11" s="2">
        <f>IFERROR((DL/(RadSpec!Q11*(1/8760)*DFA_far_adj)),".")</f>
        <v>71.179190341178881</v>
      </c>
      <c r="AH11" s="2" t="str">
        <f>b2w!AB11</f>
        <v>.</v>
      </c>
      <c r="AI11" s="2" t="str">
        <f>IFERROR(D11/(RadSpec!AO11*Q_w_poultry*(1/1000)),".")</f>
        <v>.</v>
      </c>
      <c r="AJ11" s="2" t="str">
        <f>IFERROR(E11/(RadSpec!AP11*Q_w_poultry*(1/1000)),".")</f>
        <v>.</v>
      </c>
      <c r="AK11" s="2" t="str">
        <f>IFERROR(F11/(RadSpec!AM11*Q_w_beef*(1/1000)),".")</f>
        <v>.</v>
      </c>
      <c r="AL11" s="2" t="str">
        <f>IFERROR((G11*D_milk)/(RadSpec!AL11*Q_w_dairy*(1/1000)),".")</f>
        <v>.</v>
      </c>
      <c r="AM11" s="2" t="str">
        <f>IFERROR(H11/(RadSpec!AQ11*Q_w_swine*(1/1000)),".")</f>
        <v>.</v>
      </c>
      <c r="AN11" s="2" t="str">
        <f>IFERROR(I11/(RadSpec!AN11*(1/1000)),".")</f>
        <v>.</v>
      </c>
      <c r="AO11" s="74" t="str">
        <f t="shared" ref="AO11" si="100">IFERROR(1/AE11,".")</f>
        <v>.</v>
      </c>
      <c r="AP11" s="74" t="str">
        <f t="shared" ref="AP11" si="101">IFERROR(1/AF11,".")</f>
        <v>.</v>
      </c>
      <c r="AQ11" s="74">
        <f t="shared" ref="AQ11" si="102">IFERROR(1/AG11,".")</f>
        <v>1.4049049942922375E-2</v>
      </c>
      <c r="AR11" s="74" t="str">
        <f t="shared" ref="AR11" si="103">IFERROR(1/AH11,".")</f>
        <v>.</v>
      </c>
      <c r="AS11" s="74" t="str">
        <f t="shared" ref="AS11" si="104">IFERROR(1/AI11,".")</f>
        <v>.</v>
      </c>
      <c r="AT11" s="74" t="str">
        <f t="shared" ref="AT11" si="105">IFERROR(1/AJ11,".")</f>
        <v>.</v>
      </c>
      <c r="AU11" s="74" t="str">
        <f t="shared" ref="AU11" si="106">IFERROR(1/AK11,".")</f>
        <v>.</v>
      </c>
      <c r="AV11" s="74" t="str">
        <f t="shared" ref="AV11" si="107">IFERROR(1/AL11,".")</f>
        <v>.</v>
      </c>
      <c r="AW11" s="74" t="str">
        <f t="shared" ref="AW11" si="108">IFERROR(1/AM11,".")</f>
        <v>.</v>
      </c>
      <c r="AX11" s="74" t="str">
        <f t="shared" ref="AX11" si="109">IFERROR(1/AN11,".")</f>
        <v>.</v>
      </c>
      <c r="AY11" s="2">
        <f>IFERROR(1/(SUMIF(AO11:AX11,"&lt;&gt;0")),".")</f>
        <v>71.179190341178881</v>
      </c>
      <c r="AZ11" s="2" t="str">
        <f>IFERROR((DL/(RadSpec!L11*IFA_far_adj)),".")</f>
        <v>.</v>
      </c>
      <c r="BA11" s="2">
        <f>IFERROR((DL/(RadSpec!O11*EF_far*(1/365)*ED_far*ET_far*(1/24)*GSF_a)),".")</f>
        <v>4.4661976139492203E-3</v>
      </c>
      <c r="BB11" s="2">
        <f>IFERROR(IF(AND(AZ11&lt;&gt;".",BA11&lt;&gt;"."),1/((1/AZ11)+(1/BA11)),IF(AND(AZ11&lt;&gt;".",BA11="."),1/((1/AZ11)),IF(AND(AZ11=".",BA11&lt;&gt;"."),1/((1/BA11)),IF(AND(AZ11=".",BA11="."),".")))),".")</f>
        <v>4.4661976139492203E-3</v>
      </c>
    </row>
    <row r="12" spans="1:54" customFormat="1" x14ac:dyDescent="0.25">
      <c r="A12" s="31" t="s">
        <v>10</v>
      </c>
      <c r="B12" s="3" t="s">
        <v>1059</v>
      </c>
      <c r="C12" s="2" t="str">
        <f>dir!AB12</f>
        <v>.</v>
      </c>
      <c r="D12" s="2" t="str">
        <f>IFERROR(DL/(RadSpec!J12*IFP_far_adj*CF_far_poultry),".")</f>
        <v>.</v>
      </c>
      <c r="E12" s="2" t="str">
        <f>IFERROR(DL/(RadSpec!J12*IFE_far_adj*CF_far_egg),".")</f>
        <v>.</v>
      </c>
      <c r="F12" s="2" t="str">
        <f>IFERROR(DL/(RadSpec!J12*IFB_far_adj*CF_far_beef),".")</f>
        <v>.</v>
      </c>
      <c r="G12" s="2" t="str">
        <f>IFERROR(DL/(RadSpec!J12*IFD_far_adj*CF_far_dairy),".")</f>
        <v>.</v>
      </c>
      <c r="H12" s="2" t="str">
        <f>IFERROR(DL/(RadSpec!J12*IFSW_far_adj*CF_far_swine),".")</f>
        <v>.</v>
      </c>
      <c r="I12" s="2" t="str">
        <f>IFERROR(DL/(RadSpec!J12*IFFI_far_adj*CF_far_fish),".")</f>
        <v>.</v>
      </c>
      <c r="J12" s="2" t="str">
        <f>IFERROR((DL/(RadSpec!I12*IFS_far_adj*(1/1000)))*1,".")</f>
        <v>.</v>
      </c>
      <c r="K12" s="2" t="str">
        <f>IFERROR(IF(A12="H-3",(DL/(RadSpec!L12*IFA_far_adj*(1/17)*1000))*1,(DL/(RadSpec!L12*IFA_far_adj*(1/PEF_wind)*1000))*1),".")</f>
        <v>.</v>
      </c>
      <c r="L12" s="2">
        <f>IFERROR((DL/(RadSpec!K12*EF_far*(1/365)*ED_far*RadSpec!V12*((ET_far_o*(1/24)*RadSpec!AA12)+(ET_far_i*(1/24)*RadSpec!AF12))))*1,".")</f>
        <v>2.5260567193694512</v>
      </c>
      <c r="M12" s="2" t="str">
        <f>b2s!AB12</f>
        <v>.</v>
      </c>
      <c r="N12" s="2" t="str">
        <f>IFERROR((D12/(RadSpec!AO12*((Q_p_poultry*f_p_poultry*f_s_poultry*(RadSpec!BG12+R_es_past))+(Q_s_poultry*f_p_poultry))))*1,".")</f>
        <v>.</v>
      </c>
      <c r="O12" s="2" t="str">
        <f>IFERROR((E12/(RadSpec!AP12*((Q_p_poultry*f_p_poultry*f_s_poultry*(RadSpec!BG12+R_es_past))+(Q_s_poultry*f_p_poultry))))*1,".")</f>
        <v>.</v>
      </c>
      <c r="P12" s="2" t="str">
        <f>IFERROR((F12/(RadSpec!AM12*((Q_p_beef*f_p_beef*f_s_beef*(RadSpec!BG12+R_es_past))+(Q_s_beef*f_p_beef))))*1,".")</f>
        <v>.</v>
      </c>
      <c r="Q12" s="2" t="str">
        <f>IFERROR(((G12*D_milk)/(RadSpec!AL12*((Q_p_dairy*f_p_dairy*f_s_dairy*(RadSpec!BG12+R_es_past))+(Q_s_dairy*f_p_dairy))))*1,".")</f>
        <v>.</v>
      </c>
      <c r="R12" s="2" t="str">
        <f>IFERROR((H12/(RadSpec!AQ12*((Q_p_swine*f_p_swine*f_s_swine*(RadSpec!BG12+R_es_past))+(Q_s_swine*f_p_swine))))*1,".")</f>
        <v>.</v>
      </c>
      <c r="S12" s="2" t="str">
        <f>IFERROR(((I12*RadSpec!AX12)/RadSpec!AN12)*1,".")</f>
        <v>.</v>
      </c>
      <c r="T12" s="74" t="str">
        <f t="shared" ref="T12" si="110">IFERROR(1/J12,".")</f>
        <v>.</v>
      </c>
      <c r="U12" s="74" t="str">
        <f t="shared" ref="U12" si="111">IFERROR(1/K12,".")</f>
        <v>.</v>
      </c>
      <c r="V12" s="74">
        <f t="shared" ref="V12" si="112">IFERROR(1/L12,".")</f>
        <v>0.3958739296438355</v>
      </c>
      <c r="W12" s="74" t="str">
        <f t="shared" ref="W12" si="113">IFERROR(1/M12,".")</f>
        <v>.</v>
      </c>
      <c r="X12" s="74" t="str">
        <f t="shared" ref="X12" si="114">IFERROR(1/N12,".")</f>
        <v>.</v>
      </c>
      <c r="Y12" s="74" t="str">
        <f t="shared" ref="Y12" si="115">IFERROR(1/O12,".")</f>
        <v>.</v>
      </c>
      <c r="Z12" s="74" t="str">
        <f t="shared" ref="Z12" si="116">IFERROR(1/P12,".")</f>
        <v>.</v>
      </c>
      <c r="AA12" s="74" t="str">
        <f t="shared" ref="AA12" si="117">IFERROR(1/Q12,".")</f>
        <v>.</v>
      </c>
      <c r="AB12" s="74" t="str">
        <f t="shared" ref="AB12" si="118">IFERROR(1/R12,".")</f>
        <v>.</v>
      </c>
      <c r="AC12" s="74" t="str">
        <f t="shared" ref="AC12" si="119">IFERROR(1/S12,".")</f>
        <v>.</v>
      </c>
      <c r="AD12" s="2">
        <f t="shared" ref="AD12" si="120">IFERROR(1/(SUMIF(T12:AC12,"&lt;&gt;0")),".")</f>
        <v>2.5260567193694512</v>
      </c>
      <c r="AE12" s="2" t="str">
        <f>IFERROR(DL/(RadSpec!M12*IFW_far_adj),".")</f>
        <v>.</v>
      </c>
      <c r="AF12" s="2" t="str">
        <f>IFERROR(IF(RadSpec!C12=1,DL/(RadSpec!L12*IFA_far_adj*K),"."),".")</f>
        <v>.</v>
      </c>
      <c r="AG12" s="2">
        <f>IFERROR((DL/(RadSpec!Q12*(1/8760)*DFA_far_adj)),".")</f>
        <v>16.448972557835457</v>
      </c>
      <c r="AH12" s="2" t="str">
        <f>b2w!AB12</f>
        <v>.</v>
      </c>
      <c r="AI12" s="2" t="str">
        <f>IFERROR(D12/(RadSpec!AO12*Q_w_poultry*(1/1000)),".")</f>
        <v>.</v>
      </c>
      <c r="AJ12" s="2" t="str">
        <f>IFERROR(E12/(RadSpec!AP12*Q_w_poultry*(1/1000)),".")</f>
        <v>.</v>
      </c>
      <c r="AK12" s="2" t="str">
        <f>IFERROR(F12/(RadSpec!AM12*Q_w_beef*(1/1000)),".")</f>
        <v>.</v>
      </c>
      <c r="AL12" s="2" t="str">
        <f>IFERROR((G12*D_milk)/(RadSpec!AL12*Q_w_dairy*(1/1000)),".")</f>
        <v>.</v>
      </c>
      <c r="AM12" s="2" t="str">
        <f>IFERROR(H12/(RadSpec!AQ12*Q_w_swine*(1/1000)),".")</f>
        <v>.</v>
      </c>
      <c r="AN12" s="2" t="str">
        <f>IFERROR(I12/(RadSpec!AN12*(1/1000)),".")</f>
        <v>.</v>
      </c>
      <c r="AO12" s="74" t="str">
        <f t="shared" ref="AO12" si="121">IFERROR(1/AE12,".")</f>
        <v>.</v>
      </c>
      <c r="AP12" s="74" t="str">
        <f t="shared" ref="AP12" si="122">IFERROR(1/AF12,".")</f>
        <v>.</v>
      </c>
      <c r="AQ12" s="74">
        <f t="shared" ref="AQ12" si="123">IFERROR(1/AG12,".")</f>
        <v>6.079407066210045E-2</v>
      </c>
      <c r="AR12" s="74" t="str">
        <f t="shared" ref="AR12" si="124">IFERROR(1/AH12,".")</f>
        <v>.</v>
      </c>
      <c r="AS12" s="74" t="str">
        <f t="shared" ref="AS12" si="125">IFERROR(1/AI12,".")</f>
        <v>.</v>
      </c>
      <c r="AT12" s="74" t="str">
        <f t="shared" ref="AT12" si="126">IFERROR(1/AJ12,".")</f>
        <v>.</v>
      </c>
      <c r="AU12" s="74" t="str">
        <f t="shared" ref="AU12" si="127">IFERROR(1/AK12,".")</f>
        <v>.</v>
      </c>
      <c r="AV12" s="74" t="str">
        <f t="shared" ref="AV12" si="128">IFERROR(1/AL12,".")</f>
        <v>.</v>
      </c>
      <c r="AW12" s="74" t="str">
        <f t="shared" ref="AW12" si="129">IFERROR(1/AM12,".")</f>
        <v>.</v>
      </c>
      <c r="AX12" s="74" t="str">
        <f t="shared" ref="AX12" si="130">IFERROR(1/AN12,".")</f>
        <v>.</v>
      </c>
      <c r="AY12" s="2">
        <f>IFERROR(1/(SUMIF(AO12:AX12,"&lt;&gt;0")),".")</f>
        <v>16.448972557835457</v>
      </c>
      <c r="AZ12" s="2" t="str">
        <f>IFERROR((DL/(RadSpec!L12*IFA_far_adj)),".")</f>
        <v>.</v>
      </c>
      <c r="BA12" s="2">
        <f>IFERROR((DL/(RadSpec!O12*EF_far*(1/365)*ED_far*ET_far*(1/24)*GSF_a)),".")</f>
        <v>1.0040911901864253E-3</v>
      </c>
      <c r="BB12" s="2">
        <f>IFERROR(IF(AND(AZ12&lt;&gt;".",BA12&lt;&gt;"."),1/((1/AZ12)+(1/BA12)),IF(AND(AZ12&lt;&gt;".",BA12="."),1/((1/AZ12)),IF(AND(AZ12=".",BA12&lt;&gt;"."),1/((1/BA12)),IF(AND(AZ12=".",BA12="."),".")))),".")</f>
        <v>1.0040911901864253E-3</v>
      </c>
    </row>
    <row r="13" spans="1:54" customFormat="1" x14ac:dyDescent="0.25">
      <c r="A13" s="31" t="s">
        <v>11</v>
      </c>
      <c r="B13" s="3" t="s">
        <v>1059</v>
      </c>
      <c r="C13" s="2">
        <f>dir!AB13</f>
        <v>4.4064540175300579E-3</v>
      </c>
      <c r="D13" s="2">
        <f>IFERROR(DL/(RadSpec!J13*IFP_far_adj*CF_far_poultry),".")</f>
        <v>6.2828438114479301E-2</v>
      </c>
      <c r="E13" s="2">
        <f>IFERROR(DL/(RadSpec!J13*IFE_far_adj*CF_far_egg),".")</f>
        <v>0.11147895294786929</v>
      </c>
      <c r="F13" s="2">
        <f>IFERROR(DL/(RadSpec!J13*IFB_far_adj*CF_far_beef),".")</f>
        <v>4.1204643505794079E-2</v>
      </c>
      <c r="G13" s="2">
        <f>IFERROR(DL/(RadSpec!J13*IFD_far_adj*CF_far_dairy),".")</f>
        <v>8.5308966817504474E-3</v>
      </c>
      <c r="H13" s="2">
        <f>IFERROR(DL/(RadSpec!J13*IFSW_far_adj*CF_far_swine),".")</f>
        <v>7.3824165602368277E-2</v>
      </c>
      <c r="I13" s="2">
        <f>IFERROR(DL/(RadSpec!J13*IFFI_far_adj*CF_far_fish),".")</f>
        <v>8.632281842275694E-3</v>
      </c>
      <c r="J13" s="2">
        <f>IFERROR((DL/(RadSpec!I13*IFS_far_adj*(1/1000)))*1,".")</f>
        <v>53.718314587879803</v>
      </c>
      <c r="K13" s="2">
        <f>IFERROR(IF(A13="H-3",(DL/(RadSpec!L13*IFA_far_adj*(1/17)*1000))*1,(DL/(RadSpec!L13*IFA_far_adj*(1/PEF_wind)*1000))*1),".")</f>
        <v>4503.1610990409063</v>
      </c>
      <c r="L13" s="2">
        <f>IFERROR((DL/(RadSpec!K13*EF_far*(1/365)*ED_far*RadSpec!V13*((ET_far_o*(1/24)*RadSpec!AA13)+(ET_far_i*(1/24)*RadSpec!AF13))))*1,".")</f>
        <v>23.079292589225062</v>
      </c>
      <c r="M13" s="2">
        <f>b2s!AB13</f>
        <v>0.43148104815464566</v>
      </c>
      <c r="N13" s="2" t="str">
        <f>IFERROR((D13/(RadSpec!AO13*((Q_p_poultry*f_p_poultry*f_s_poultry*(RadSpec!BG13+R_es_past))+(Q_s_poultry*f_p_poultry))))*1,".")</f>
        <v>.</v>
      </c>
      <c r="O13" s="2" t="str">
        <f>IFERROR((E13/(RadSpec!AP13*((Q_p_poultry*f_p_poultry*f_s_poultry*(RadSpec!BG13+R_es_past))+(Q_s_poultry*f_p_poultry))))*1,".")</f>
        <v>.</v>
      </c>
      <c r="P13" s="2">
        <f>IFERROR((F13/(RadSpec!AM13*((Q_p_beef*f_p_beef*f_s_beef*(RadSpec!BG13+R_es_past))+(Q_s_beef*f_p_beef))))*1,".")</f>
        <v>11.834520211904247</v>
      </c>
      <c r="Q13" s="2">
        <f>IFERROR(((G13*D_milk)/(RadSpec!AL13*((Q_p_dairy*f_p_dairy*f_s_dairy*(RadSpec!BG13+R_es_past))+(Q_s_dairy*f_p_dairy))))*1,".")</f>
        <v>158.53061550763096</v>
      </c>
      <c r="R13" s="2" t="str">
        <f>IFERROR((H13/(RadSpec!AQ13*((Q_p_swine*f_p_swine*f_s_swine*(RadSpec!BG13+R_es_past))+(Q_s_swine*f_p_swine))))*1,".")</f>
        <v>.</v>
      </c>
      <c r="S13" s="2">
        <f>IFERROR(((I13*RadSpec!AX13)/RadSpec!AN13)*1,".")</f>
        <v>5.7548545615171294E-5</v>
      </c>
      <c r="T13" s="74">
        <f t="shared" ref="T13:T14" si="131">IFERROR(1/J13,".")</f>
        <v>1.8615625E-2</v>
      </c>
      <c r="U13" s="74">
        <f t="shared" ref="U13:U14" si="132">IFERROR(1/K13,".")</f>
        <v>2.2206622814648633E-4</v>
      </c>
      <c r="V13" s="74">
        <f t="shared" ref="V13:V14" si="133">IFERROR(1/L13,".")</f>
        <v>4.3328884372602738E-2</v>
      </c>
      <c r="W13" s="74">
        <f t="shared" ref="W13:W14" si="134">IFERROR(1/M13,".")</f>
        <v>2.3175988940343757</v>
      </c>
      <c r="X13" s="74" t="str">
        <f t="shared" ref="X13:X14" si="135">IFERROR(1/N13,".")</f>
        <v>.</v>
      </c>
      <c r="Y13" s="74" t="str">
        <f t="shared" ref="Y13:Y14" si="136">IFERROR(1/O13,".")</f>
        <v>.</v>
      </c>
      <c r="Z13" s="74">
        <f t="shared" ref="Z13:Z14" si="137">IFERROR(1/P13,".")</f>
        <v>8.4498567081250003E-2</v>
      </c>
      <c r="AA13" s="74">
        <f t="shared" ref="AA13:AA14" si="138">IFERROR(1/Q13,".")</f>
        <v>6.3079298392799367E-3</v>
      </c>
      <c r="AB13" s="74" t="str">
        <f t="shared" ref="AB13:AB14" si="139">IFERROR(1/R13,".")</f>
        <v>.</v>
      </c>
      <c r="AC13" s="74">
        <f t="shared" ref="AC13:AC14" si="140">IFERROR(1/S13,".")</f>
        <v>17376.633750000001</v>
      </c>
      <c r="AD13" s="2">
        <f t="shared" ref="AD13:AD14" si="141">IFERROR(1/(SUMIF(T13:AC13,"&lt;&gt;0")),".")</f>
        <v>5.7540364651361029E-5</v>
      </c>
      <c r="AE13" s="2">
        <f>IFERROR(DL/(RadSpec!M13*IFW_far_adj),".")</f>
        <v>2.7553997223934776</v>
      </c>
      <c r="AF13" s="2" t="str">
        <f>IFERROR(IF(RadSpec!C13=1,DL/(RadSpec!L13*IFA_far_adj*K),"."),".")</f>
        <v>.</v>
      </c>
      <c r="AG13" s="2">
        <f>IFERROR((DL/(RadSpec!Q13*(1/8760)*DFA_far_adj)),".")</f>
        <v>101.42112613380411</v>
      </c>
      <c r="AH13" s="2">
        <f>b2w!AB13</f>
        <v>1.0996281420252119</v>
      </c>
      <c r="AI13" s="2" t="str">
        <f>IFERROR(D13/(RadSpec!AO13*Q_w_poultry*(1/1000)),".")</f>
        <v>.</v>
      </c>
      <c r="AJ13" s="2" t="str">
        <f>IFERROR(E13/(RadSpec!AP13*Q_w_poultry*(1/1000)),".")</f>
        <v>.</v>
      </c>
      <c r="AK13" s="2">
        <f>IFERROR(F13/(RadSpec!AM13*Q_w_beef*(1/1000)),".")</f>
        <v>777.4461038829071</v>
      </c>
      <c r="AL13" s="2">
        <f>IFERROR((G13*D_milk)/(RadSpec!AL13*Q_w_dairy*(1/1000)),".")</f>
        <v>9550.8951980466954</v>
      </c>
      <c r="AM13" s="2" t="str">
        <f>IFERROR(H13/(RadSpec!AQ13*Q_w_swine*(1/1000)),".")</f>
        <v>.</v>
      </c>
      <c r="AN13" s="2">
        <f>IFERROR(I13/(RadSpec!AN13*(1/1000)),".")</f>
        <v>0.28774272807585649</v>
      </c>
      <c r="AO13" s="74">
        <f t="shared" ref="AO13:AO14" si="142">IFERROR(1/AE13,".")</f>
        <v>0.36292375000000004</v>
      </c>
      <c r="AP13" s="74" t="str">
        <f t="shared" ref="AP13:AP14" si="143">IFERROR(1/AF13,".")</f>
        <v>.</v>
      </c>
      <c r="AQ13" s="74">
        <f t="shared" ref="AQ13:AQ14" si="144">IFERROR(1/AG13,".")</f>
        <v>9.8598786872146123E-3</v>
      </c>
      <c r="AR13" s="74">
        <f t="shared" ref="AR13:AR14" si="145">IFERROR(1/AH13,".")</f>
        <v>0.90939833365693579</v>
      </c>
      <c r="AS13" s="74" t="str">
        <f t="shared" ref="AS13:AS14" si="146">IFERROR(1/AI13,".")</f>
        <v>.</v>
      </c>
      <c r="AT13" s="74" t="str">
        <f t="shared" ref="AT13:AT14" si="147">IFERROR(1/AJ13,".")</f>
        <v>.</v>
      </c>
      <c r="AU13" s="74">
        <f t="shared" ref="AU13:AU14" si="148">IFERROR(1/AK13,".")</f>
        <v>1.2862627968750001E-3</v>
      </c>
      <c r="AV13" s="74">
        <f t="shared" ref="AV13:AV14" si="149">IFERROR(1/AL13,".")</f>
        <v>1.0470222730582525E-4</v>
      </c>
      <c r="AW13" s="74" t="str">
        <f t="shared" ref="AW13:AW14" si="150">IFERROR(1/AM13,".")</f>
        <v>.</v>
      </c>
      <c r="AX13" s="74">
        <f t="shared" ref="AX13:AX14" si="151">IFERROR(1/AN13,".")</f>
        <v>3.4753267499999998</v>
      </c>
      <c r="AY13" s="2">
        <f>IFERROR(1/(SUMIF(AO13:AX13,"&lt;&gt;0")),".")</f>
        <v>0.21013260791263402</v>
      </c>
      <c r="AZ13" s="2">
        <f>IFERROR((DL/(RadSpec!L13*IFA_far_adj)),".")</f>
        <v>3.3127446254859381E-3</v>
      </c>
      <c r="BA13" s="2">
        <f>IFERROR((DL/(RadSpec!O13*EF_far*(1/365)*ED_far*ET_far*(1/24)*GSF_a)),".")</f>
        <v>6.4915662993447962E-3</v>
      </c>
      <c r="BB13" s="2">
        <f>IFERROR(IF(AND(AZ13&lt;&gt;".",BA13&lt;&gt;"."),1/((1/AZ13)+(1/BA13)),IF(AND(AZ13&lt;&gt;".",BA13="."),1/((1/AZ13)),IF(AND(AZ13=".",BA13&lt;&gt;"."),1/((1/BA13)),IF(AND(AZ13=".",BA13="."),".")))),".")</f>
        <v>2.1934128297253471E-3</v>
      </c>
    </row>
    <row r="14" spans="1:54" customFormat="1" x14ac:dyDescent="0.25">
      <c r="A14" s="31" t="s">
        <v>12</v>
      </c>
      <c r="B14" s="3" t="s">
        <v>1059</v>
      </c>
      <c r="C14" s="2">
        <f>dir!AB14</f>
        <v>0.41727784256913431</v>
      </c>
      <c r="D14" s="2">
        <f>IFERROR(DL/(RadSpec!J14*IFP_far_adj*CF_far_poultry),".")</f>
        <v>5.9496627002347831</v>
      </c>
      <c r="E14" s="2">
        <f>IFERROR(DL/(RadSpec!J14*IFE_far_adj*CF_far_egg),".")</f>
        <v>10.556719029154291</v>
      </c>
      <c r="F14" s="2">
        <f>IFERROR(DL/(RadSpec!J14*IFB_far_adj*CF_far_beef),".")</f>
        <v>3.9019548774426207</v>
      </c>
      <c r="G14" s="2">
        <f>IFERROR(DL/(RadSpec!J14*IFD_far_adj*CF_far_dairy),".")</f>
        <v>0.80785006455970143</v>
      </c>
      <c r="H14" s="2">
        <f>IFERROR(DL/(RadSpec!J14*IFSW_far_adj*CF_far_swine),".")</f>
        <v>6.9909247729515416</v>
      </c>
      <c r="I14" s="2">
        <f>IFERROR(DL/(RadSpec!J14*IFFI_far_adj*CF_far_fish),".")</f>
        <v>0.81745093203368302</v>
      </c>
      <c r="J14" s="2">
        <f>IFERROR((DL/(RadSpec!I14*IFS_far_adj*(1/1000)))*1,".")</f>
        <v>5086.9616087007389</v>
      </c>
      <c r="K14" s="2">
        <f>IFERROR(IF(A14="H-3",(DL/(RadSpec!L14*IFA_far_adj*(1/17)*1000))*1,(DL/(RadSpec!L14*IFA_far_adj*(1/PEF_wind)*1000))*1),".")</f>
        <v>12442945.142086715</v>
      </c>
      <c r="L14" s="2">
        <f>IFERROR((DL/(RadSpec!K14*EF_far*(1/365)*ED_far*RadSpec!V14*((ET_far_o*(1/24)*RadSpec!AA14)+(ET_far_i*(1/24)*RadSpec!AF14))))*1,".")</f>
        <v>1.5202689980792292</v>
      </c>
      <c r="M14" s="2">
        <f>b2s!AB14</f>
        <v>38.601363487451657</v>
      </c>
      <c r="N14" s="2" t="str">
        <f>IFERROR((D14/(RadSpec!AO14*((Q_p_poultry*f_p_poultry*f_s_poultry*(RadSpec!BG14+R_es_past))+(Q_s_poultry*f_p_poultry))))*1,".")</f>
        <v>.</v>
      </c>
      <c r="O14" s="2" t="str">
        <f>IFERROR((E14/(RadSpec!AP14*((Q_p_poultry*f_p_poultry*f_s_poultry*(RadSpec!BG14+R_es_past))+(Q_s_poultry*f_p_poultry))))*1,".")</f>
        <v>.</v>
      </c>
      <c r="P14" s="2">
        <f>IFERROR((F14/(RadSpec!AM14*((Q_p_beef*f_p_beef*f_s_beef*(RadSpec!BG14+R_es_past))+(Q_s_beef*f_p_beef))))*1,".")</f>
        <v>168934.07846921185</v>
      </c>
      <c r="Q14" s="2">
        <f>IFERROR(((G14*D_milk)/(RadSpec!AL14*((Q_p_dairy*f_p_dairy*f_s_dairy*(RadSpec!BG14+R_es_past))+(Q_s_dairy*f_p_dairy))))*1,".")</f>
        <v>22174.165662797932</v>
      </c>
      <c r="R14" s="2" t="str">
        <f>IFERROR((H14/(RadSpec!AQ14*((Q_p_swine*f_p_swine*f_s_swine*(RadSpec!BG14+R_es_past))+(Q_s_swine*f_p_swine))))*1,".")</f>
        <v>.</v>
      </c>
      <c r="S14" s="2">
        <f>IFERROR(((I14*RadSpec!AX14)/RadSpec!AN14)*1,".")</f>
        <v>163.4901864067366</v>
      </c>
      <c r="T14" s="74">
        <f t="shared" si="131"/>
        <v>1.9658100000000001E-4</v>
      </c>
      <c r="U14" s="74">
        <f t="shared" si="132"/>
        <v>8.0366825424442672E-8</v>
      </c>
      <c r="V14" s="74">
        <f t="shared" si="133"/>
        <v>0.65777832821917792</v>
      </c>
      <c r="W14" s="74">
        <f t="shared" si="134"/>
        <v>2.5905820666803005E-2</v>
      </c>
      <c r="X14" s="74" t="str">
        <f t="shared" si="135"/>
        <v>.</v>
      </c>
      <c r="Y14" s="74" t="str">
        <f t="shared" si="136"/>
        <v>.</v>
      </c>
      <c r="Z14" s="74">
        <f t="shared" si="137"/>
        <v>5.9194687600125014E-6</v>
      </c>
      <c r="AA14" s="74">
        <f t="shared" si="138"/>
        <v>4.5097525435995147E-5</v>
      </c>
      <c r="AB14" s="74" t="str">
        <f t="shared" si="139"/>
        <v>.</v>
      </c>
      <c r="AC14" s="74">
        <f t="shared" si="140"/>
        <v>6.1165750800000014E-3</v>
      </c>
      <c r="AD14" s="2">
        <f t="shared" si="141"/>
        <v>1.4491737052470077</v>
      </c>
      <c r="AE14" s="2">
        <f>IFERROR(DL/(RadSpec!M14*IFW_far_adj),".")</f>
        <v>260.92800401453388</v>
      </c>
      <c r="AF14" s="2" t="str">
        <f>IFERROR(IF(RadSpec!C14=1,DL/(RadSpec!L14*IFA_far_adj*K),"."),".")</f>
        <v>.</v>
      </c>
      <c r="AG14" s="2">
        <f>IFERROR((DL/(RadSpec!Q14*(1/8760)*DFA_far_adj)),".")</f>
        <v>9.6425011545931998</v>
      </c>
      <c r="AH14" s="2">
        <f>b2w!AB14</f>
        <v>103.57934568675314</v>
      </c>
      <c r="AI14" s="2" t="str">
        <f>IFERROR(D14/(RadSpec!AO14*Q_w_poultry*(1/1000)),".")</f>
        <v>.</v>
      </c>
      <c r="AJ14" s="2" t="str">
        <f>IFERROR(E14/(RadSpec!AP14*Q_w_poultry*(1/1000)),".")</f>
        <v>.</v>
      </c>
      <c r="AK14" s="2">
        <f>IFERROR(F14/(RadSpec!AM14*Q_w_beef*(1/1000)),".")</f>
        <v>14724358.028085358</v>
      </c>
      <c r="AL14" s="2">
        <f>IFERROR((G14*D_milk)/(RadSpec!AL14*Q_w_dairy*(1/1000)),".")</f>
        <v>1808881.6662967226</v>
      </c>
      <c r="AM14" s="2" t="str">
        <f>IFERROR(H14/(RadSpec!AQ14*Q_w_swine*(1/1000)),".")</f>
        <v>.</v>
      </c>
      <c r="AN14" s="2">
        <f>IFERROR(I14/(RadSpec!AN14*(1/1000)),".")</f>
        <v>81.745093203368299</v>
      </c>
      <c r="AO14" s="74">
        <f t="shared" si="142"/>
        <v>3.8324748E-3</v>
      </c>
      <c r="AP14" s="74" t="str">
        <f t="shared" si="143"/>
        <v>.</v>
      </c>
      <c r="AQ14" s="74">
        <f t="shared" si="144"/>
        <v>0.10370753230593606</v>
      </c>
      <c r="AR14" s="74">
        <f t="shared" si="145"/>
        <v>9.6544344180761795E-3</v>
      </c>
      <c r="AS14" s="74" t="str">
        <f t="shared" si="146"/>
        <v>.</v>
      </c>
      <c r="AT14" s="74" t="str">
        <f t="shared" si="147"/>
        <v>.</v>
      </c>
      <c r="AU14" s="74">
        <f t="shared" si="148"/>
        <v>6.7914675675000022E-8</v>
      </c>
      <c r="AV14" s="74">
        <f t="shared" si="149"/>
        <v>5.5282776017475733E-7</v>
      </c>
      <c r="AW14" s="74" t="str">
        <f t="shared" si="150"/>
        <v>.</v>
      </c>
      <c r="AX14" s="74">
        <f t="shared" si="151"/>
        <v>1.2233150160000003E-2</v>
      </c>
      <c r="AY14" s="2">
        <f>IFERROR(1/(SUMIF(AO14:AX14,"&lt;&gt;0")),".")</f>
        <v>7.7262907464497621</v>
      </c>
      <c r="AZ14" s="2">
        <f>IFERROR((DL/(RadSpec!L14*IFA_far_adj)),".")</f>
        <v>9.1536364651585131</v>
      </c>
      <c r="BA14" s="2">
        <f>IFERROR((DL/(RadSpec!O14*EF_far*(1/365)*ED_far*ET_far*(1/24)*GSF_a)),".")</f>
        <v>6.0223808170836301E-4</v>
      </c>
      <c r="BB14" s="2">
        <f>IFERROR(IF(AND(AZ14&lt;&gt;".",BA14&lt;&gt;"."),1/((1/AZ14)+(1/BA14)),IF(AND(AZ14&lt;&gt;".",BA14="."),1/((1/AZ14)),IF(AND(AZ14=".",BA14&lt;&gt;"."),1/((1/BA14)),IF(AND(AZ14=".",BA14="."),".")))),".")</f>
        <v>6.0219846173352758E-4</v>
      </c>
    </row>
    <row r="15" spans="1:54" customFormat="1" x14ac:dyDescent="0.25">
      <c r="A15" s="31" t="s">
        <v>13</v>
      </c>
      <c r="B15" s="3" t="s">
        <v>1059</v>
      </c>
      <c r="C15" s="2">
        <f>dir!AB15</f>
        <v>7.373584366683497</v>
      </c>
      <c r="D15" s="2">
        <f>IFERROR(DL/(RadSpec!J15*IFP_far_adj*CF_far_poultry),".")</f>
        <v>105.13460193185962</v>
      </c>
      <c r="E15" s="2">
        <f>IFERROR(DL/(RadSpec!J15*IFE_far_adj*CF_far_egg),".")</f>
        <v>186.54443264369027</v>
      </c>
      <c r="F15" s="2">
        <f>IFERROR(DL/(RadSpec!J15*IFB_far_adj*CF_far_beef),".")</f>
        <v>68.950206669668802</v>
      </c>
      <c r="G15" s="2">
        <f>IFERROR(DL/(RadSpec!J15*IFD_far_adj*CF_far_dairy),".")</f>
        <v>14.275262184990707</v>
      </c>
      <c r="H15" s="2">
        <f>IFERROR(DL/(RadSpec!J15*IFSW_far_adj*CF_far_swine),".")</f>
        <v>123.53441365858144</v>
      </c>
      <c r="I15" s="2">
        <f>IFERROR(DL/(RadSpec!J15*IFFI_far_adj*CF_far_fish),".")</f>
        <v>14.444916068065085</v>
      </c>
      <c r="J15" s="2">
        <f>IFERROR((DL/(RadSpec!I15*IFS_far_adj*(1/1000)))*1,".")</f>
        <v>89890.084651739962</v>
      </c>
      <c r="K15" s="2">
        <f>IFERROR(IF(A15="H-3",(DL/(RadSpec!L15*IFA_far_adj*(1/17)*1000))*1,(DL/(RadSpec!L15*IFA_far_adj*(1/PEF_wind)*1000))*1),".")</f>
        <v>812891545.09907496</v>
      </c>
      <c r="L15" s="2">
        <f>IFERROR((DL/(RadSpec!K15*EF_far*(1/365)*ED_far*RadSpec!V15*((ET_far_o*(1/24)*RadSpec!AA15)+(ET_far_i*(1/24)*RadSpec!AF15))))*1,".")</f>
        <v>2284.3854534137849</v>
      </c>
      <c r="M15" s="2">
        <f>b2s!AB15</f>
        <v>422.02471167580512</v>
      </c>
      <c r="N15" s="2" t="str">
        <f>IFERROR((D15/(RadSpec!AO15*((Q_p_poultry*f_p_poultry*f_s_poultry*(RadSpec!BG15+R_es_past))+(Q_s_poultry*f_p_poultry))))*1,".")</f>
        <v>.</v>
      </c>
      <c r="O15" s="2" t="str">
        <f>IFERROR((E15/(RadSpec!AP15*((Q_p_poultry*f_p_poultry*f_s_poultry*(RadSpec!BG15+R_es_past))+(Q_s_poultry*f_p_poultry))))*1,".")</f>
        <v>.</v>
      </c>
      <c r="P15" s="2">
        <f>IFERROR((F15/(RadSpec!AM15*((Q_p_beef*f_p_beef*f_s_beef*(RadSpec!BG15+R_es_past))+(Q_s_beef*f_p_beef))))*1,".")</f>
        <v>27427.353293424625</v>
      </c>
      <c r="Q15" s="2">
        <f>IFERROR(((G15*D_milk)/(RadSpec!AL15*((Q_p_dairy*f_p_dairy*f_s_dairy*(RadSpec!BG15+R_es_past))+(Q_s_dairy*f_p_dairy))))*1,".")</f>
        <v>13501.648322376848</v>
      </c>
      <c r="R15" s="2" t="str">
        <f>IFERROR((H15/(RadSpec!AQ15*((Q_p_swine*f_p_swine*f_s_swine*(RadSpec!BG15+R_es_past))+(Q_s_swine*f_p_swine))))*1,".")</f>
        <v>.</v>
      </c>
      <c r="S15" s="2">
        <f>IFERROR(((I15*RadSpec!AX15)/RadSpec!AN15)*1,".")</f>
        <v>86.669496408390515</v>
      </c>
      <c r="T15" s="74">
        <f t="shared" ref="T15:T21" si="152">IFERROR(1/J15,".")</f>
        <v>1.11246975E-5</v>
      </c>
      <c r="U15" s="74">
        <f t="shared" ref="U15:U21" si="153">IFERROR(1/K15,".")</f>
        <v>1.2301764067162494E-9</v>
      </c>
      <c r="V15" s="74">
        <f t="shared" ref="V15:V21" si="154">IFERROR(1/L15,".")</f>
        <v>4.3775449476164381E-4</v>
      </c>
      <c r="W15" s="74">
        <f t="shared" ref="W15:W21" si="155">IFERROR(1/M15,".")</f>
        <v>2.3695294904156924E-3</v>
      </c>
      <c r="X15" s="74" t="str">
        <f t="shared" ref="X15:X21" si="156">IFERROR(1/N15,".")</f>
        <v>.</v>
      </c>
      <c r="Y15" s="74" t="str">
        <f t="shared" ref="Y15:Y21" si="157">IFERROR(1/O15,".")</f>
        <v>.</v>
      </c>
      <c r="Z15" s="74">
        <f t="shared" ref="Z15:Z21" si="158">IFERROR(1/P15,".")</f>
        <v>3.6459952562748296E-5</v>
      </c>
      <c r="AA15" s="74">
        <f t="shared" ref="AA15:AA21" si="159">IFERROR(1/Q15,".")</f>
        <v>7.4065030885351829E-5</v>
      </c>
      <c r="AB15" s="74" t="str">
        <f t="shared" ref="AB15:AB21" si="160">IFERROR(1/R15,".")</f>
        <v>.</v>
      </c>
      <c r="AC15" s="74">
        <f t="shared" ref="AC15:AC21" si="161">IFERROR(1/S15,".")</f>
        <v>1.1538084809999998E-2</v>
      </c>
      <c r="AD15" s="2">
        <f t="shared" ref="AD15:AD21" si="162">IFERROR(1/(SUMIF(T15:AC15,"&lt;&gt;0")),".")</f>
        <v>69.122737115260819</v>
      </c>
      <c r="AE15" s="2">
        <f>IFERROR(DL/(RadSpec!M15*IFW_far_adj),".")</f>
        <v>4610.7759745540125</v>
      </c>
      <c r="AF15" s="2" t="str">
        <f>IFERROR(IF(RadSpec!C15=1,DL/(RadSpec!L15*IFA_far_adj*K),"."),".")</f>
        <v>.</v>
      </c>
      <c r="AG15" s="2">
        <f>IFERROR((DL/(RadSpec!Q15*(1/8760)*DFA_far_adj)),".")</f>
        <v>1747.7033342700172</v>
      </c>
      <c r="AH15" s="2">
        <f>b2w!AB15</f>
        <v>1728.1605421322993</v>
      </c>
      <c r="AI15" s="2" t="str">
        <f>IFERROR(D15/(RadSpec!AO15*Q_w_poultry*(1/1000)),".")</f>
        <v>.</v>
      </c>
      <c r="AJ15" s="2" t="str">
        <f>IFERROR(E15/(RadSpec!AP15*Q_w_poultry*(1/1000)),".")</f>
        <v>.</v>
      </c>
      <c r="AK15" s="2">
        <f>IFERROR(F15/(RadSpec!AM15*Q_w_beef*(1/1000)),".")</f>
        <v>1858496.1366487548</v>
      </c>
      <c r="AL15" s="2">
        <f>IFERROR((G15*D_milk)/(RadSpec!AL15*Q_w_dairy*(1/1000)),".")</f>
        <v>841162.47428720968</v>
      </c>
      <c r="AM15" s="2" t="str">
        <f>IFERROR(H15/(RadSpec!AQ15*Q_w_swine*(1/1000)),".")</f>
        <v>.</v>
      </c>
      <c r="AN15" s="2">
        <f>IFERROR(I15/(RadSpec!AN15*(1/1000)),".")</f>
        <v>577.79664272260334</v>
      </c>
      <c r="AO15" s="74">
        <f t="shared" ref="AO15:AO21" si="163">IFERROR(1/AE15,".")</f>
        <v>2.1688323300000001E-4</v>
      </c>
      <c r="AP15" s="74" t="str">
        <f t="shared" ref="AP15:AP21" si="164">IFERROR(1/AF15,".")</f>
        <v>.</v>
      </c>
      <c r="AQ15" s="74">
        <f t="shared" ref="AQ15:AQ21" si="165">IFERROR(1/AG15,".")</f>
        <v>5.7217948858447488E-4</v>
      </c>
      <c r="AR15" s="74">
        <f t="shared" ref="AR15:AR21" si="166">IFERROR(1/AH15,".")</f>
        <v>5.7864994346309116E-4</v>
      </c>
      <c r="AS15" s="74" t="str">
        <f t="shared" ref="AS15:AS21" si="167">IFERROR(1/AI15,".")</f>
        <v>.</v>
      </c>
      <c r="AT15" s="74" t="str">
        <f t="shared" ref="AT15:AT21" si="168">IFERROR(1/AJ15,".")</f>
        <v>.</v>
      </c>
      <c r="AU15" s="74">
        <f t="shared" ref="AU15:AU21" si="169">IFERROR(1/AK15,".")</f>
        <v>5.380694531887501E-7</v>
      </c>
      <c r="AV15" s="74">
        <f t="shared" ref="AV15:AV21" si="170">IFERROR(1/AL15,".")</f>
        <v>1.1888309697212625E-6</v>
      </c>
      <c r="AW15" s="74" t="str">
        <f t="shared" ref="AW15:AW21" si="171">IFERROR(1/AM15,".")</f>
        <v>.</v>
      </c>
      <c r="AX15" s="74">
        <f t="shared" ref="AX15:AX21" si="172">IFERROR(1/AN15,".")</f>
        <v>1.7307127215000001E-3</v>
      </c>
      <c r="AY15" s="2">
        <f t="shared" ref="AY15:AY16" si="173">IFERROR(1/(SUMIF(AO15:AX15,"&lt;&gt;0")),".")</f>
        <v>322.56479922062726</v>
      </c>
      <c r="AZ15" s="2">
        <f>IFERROR((DL/(RadSpec!L15*IFA_far_adj)),".")</f>
        <v>598.00261147740434</v>
      </c>
      <c r="BA15" s="2">
        <f>IFERROR((DL/(RadSpec!O15*EF_far*(1/365)*ED_far*ET_far*(1/24)*GSF_a)),".")</f>
        <v>5.5827470174365249E-2</v>
      </c>
      <c r="BB15" s="2">
        <f t="shared" ref="BB15:BB16" si="174">IFERROR(IF(AND(AZ15&lt;&gt;".",BA15&lt;&gt;"."),1/((1/AZ15)+(1/BA15)),IF(AND(AZ15&lt;&gt;".",BA15="."),1/((1/AZ15)),IF(AND(AZ15=".",BA15&lt;&gt;"."),1/((1/BA15)),IF(AND(AZ15=".",BA15="."),".")))),".")</f>
        <v>5.5822258799985924E-2</v>
      </c>
    </row>
    <row r="16" spans="1:54" customFormat="1" x14ac:dyDescent="0.25">
      <c r="A16" s="31" t="s">
        <v>14</v>
      </c>
      <c r="B16" s="3" t="s">
        <v>1059</v>
      </c>
      <c r="C16" s="2">
        <f>dir!AB16</f>
        <v>5.4000661979535024E-4</v>
      </c>
      <c r="D16" s="2">
        <f>IFERROR(DL/(RadSpec!J16*IFP_far_adj*CF_far_poultry),".")</f>
        <v>7.6995634944214842E-3</v>
      </c>
      <c r="E16" s="2">
        <f>IFERROR(DL/(RadSpec!J16*IFE_far_adj*CF_far_egg),".")</f>
        <v>1.366163639067026E-2</v>
      </c>
      <c r="F16" s="2">
        <f>IFERROR(DL/(RadSpec!J16*IFB_far_adj*CF_far_beef),".")</f>
        <v>5.0495886649257445E-3</v>
      </c>
      <c r="G16" s="2">
        <f>IFERROR(DL/(RadSpec!J16*IFD_far_adj*CF_far_dairy),".")</f>
        <v>1.0454530247243196E-3</v>
      </c>
      <c r="H16" s="2">
        <f>IFERROR(DL/(RadSpec!J16*IFSW_far_adj*CF_far_swine),".")</f>
        <v>9.0470791179372897E-3</v>
      </c>
      <c r="I16" s="2">
        <f>IFERROR(DL/(RadSpec!J16*IFFI_far_adj*CF_far_fish),".")</f>
        <v>1.0578776767494723E-3</v>
      </c>
      <c r="J16" s="2">
        <f>IFERROR((DL/(RadSpec!I16*IFS_far_adj*(1/1000)))*1,".")</f>
        <v>6.5831267877303672</v>
      </c>
      <c r="K16" s="2">
        <f>IFERROR(IF(A16="H-3",(DL/(RadSpec!L16*IFA_far_adj*(1/17)*1000))*1,(DL/(RadSpec!L16*IFA_far_adj*(1/PEF_wind)*1000))*1),".")</f>
        <v>9409.5903562048788</v>
      </c>
      <c r="L16" s="2">
        <f>IFERROR((DL/(RadSpec!K16*EF_far*(1/365)*ED_far*RadSpec!V16*((ET_far_o*(1/24)*RadSpec!AA16)+(ET_far_i*(1/24)*RadSpec!AF16))))*1,".")</f>
        <v>739.77375352962497</v>
      </c>
      <c r="M16" s="2">
        <f>b2s!AB16</f>
        <v>3.0907103884492783E-2</v>
      </c>
      <c r="N16" s="2" t="str">
        <f>IFERROR((D16/(RadSpec!AO16*((Q_p_poultry*f_p_poultry*f_s_poultry*(RadSpec!BG16+R_es_past))+(Q_s_poultry*f_p_poultry))))*1,".")</f>
        <v>.</v>
      </c>
      <c r="O16" s="2" t="str">
        <f>IFERROR((E16/(RadSpec!AP16*((Q_p_poultry*f_p_poultry*f_s_poultry*(RadSpec!BG16+R_es_past))+(Q_s_poultry*f_p_poultry))))*1,".")</f>
        <v>.</v>
      </c>
      <c r="P16" s="2">
        <f>IFERROR((F16/(RadSpec!AM16*((Q_p_beef*f_p_beef*f_s_beef*(RadSpec!BG16+R_es_past))+(Q_s_beef*f_p_beef))))*1,".")</f>
        <v>2.0086502853125681</v>
      </c>
      <c r="Q16" s="2">
        <f>IFERROR(((G16*D_milk)/(RadSpec!AL16*((Q_p_dairy*f_p_dairy*f_s_dairy*(RadSpec!BG16+R_es_past))+(Q_s_dairy*f_p_dairy))))*1,".")</f>
        <v>0.9887971859623047</v>
      </c>
      <c r="R16" s="2" t="str">
        <f>IFERROR((H16/(RadSpec!AQ16*((Q_p_swine*f_p_swine*f_s_swine*(RadSpec!BG16+R_es_past))+(Q_s_swine*f_p_swine))))*1,".")</f>
        <v>.</v>
      </c>
      <c r="S16" s="2">
        <f>IFERROR(((I16*RadSpec!AX16)/RadSpec!AN16)*1,".")</f>
        <v>6.3472660604968331E-3</v>
      </c>
      <c r="T16" s="74">
        <f t="shared" si="152"/>
        <v>0.15190350000000002</v>
      </c>
      <c r="U16" s="74">
        <f t="shared" si="153"/>
        <v>1.0627455204153275E-4</v>
      </c>
      <c r="V16" s="74">
        <f t="shared" si="154"/>
        <v>1.3517646378082189E-3</v>
      </c>
      <c r="W16" s="74">
        <f t="shared" si="155"/>
        <v>32.355021154270503</v>
      </c>
      <c r="X16" s="74" t="str">
        <f t="shared" si="156"/>
        <v>.</v>
      </c>
      <c r="Y16" s="74" t="str">
        <f t="shared" si="157"/>
        <v>.</v>
      </c>
      <c r="Z16" s="74">
        <f t="shared" si="158"/>
        <v>0.49784674182065947</v>
      </c>
      <c r="AA16" s="74">
        <f t="shared" si="159"/>
        <v>1.0113297389967717</v>
      </c>
      <c r="AB16" s="74" t="str">
        <f t="shared" si="160"/>
        <v>.</v>
      </c>
      <c r="AC16" s="74">
        <f t="shared" si="161"/>
        <v>157.54814600000003</v>
      </c>
      <c r="AD16" s="2">
        <f t="shared" si="162"/>
        <v>5.2201410429400467E-3</v>
      </c>
      <c r="AE16" s="2">
        <f>IFERROR(DL/(RadSpec!M16*IFW_far_adj),".")</f>
        <v>0.33767153460704386</v>
      </c>
      <c r="AF16" s="2" t="str">
        <f>IFERROR(IF(RadSpec!C16=1,DL/(RadSpec!L16*IFA_far_adj*K),"."),".")</f>
        <v>.</v>
      </c>
      <c r="AG16" s="2">
        <f>IFERROR((DL/(RadSpec!Q16*(1/8760)*DFA_far_adj)),".")</f>
        <v>1795.8052609013023</v>
      </c>
      <c r="AH16" s="2">
        <f>b2w!AB16</f>
        <v>0.12656234558557136</v>
      </c>
      <c r="AI16" s="2" t="str">
        <f>IFERROR(D16/(RadSpec!AO16*Q_w_poultry*(1/1000)),".")</f>
        <v>.</v>
      </c>
      <c r="AJ16" s="2" t="str">
        <f>IFERROR(E16/(RadSpec!AP16*Q_w_poultry*(1/1000)),".")</f>
        <v>.</v>
      </c>
      <c r="AK16" s="2">
        <f>IFERROR(F16/(RadSpec!AM16*Q_w_beef*(1/1000)),".")</f>
        <v>136.10751118398233</v>
      </c>
      <c r="AL16" s="2">
        <f>IFERROR((G16*D_milk)/(RadSpec!AL16*Q_w_dairy*(1/1000)),".")</f>
        <v>61.602781205151551</v>
      </c>
      <c r="AM16" s="2" t="str">
        <f>IFERROR(H16/(RadSpec!AQ16*Q_w_swine*(1/1000)),".")</f>
        <v>.</v>
      </c>
      <c r="AN16" s="2">
        <f>IFERROR(I16/(RadSpec!AN16*(1/1000)),".")</f>
        <v>4.2315107069978888E-2</v>
      </c>
      <c r="AO16" s="74">
        <f t="shared" si="163"/>
        <v>2.9614578000000003</v>
      </c>
      <c r="AP16" s="74" t="str">
        <f t="shared" si="164"/>
        <v>.</v>
      </c>
      <c r="AQ16" s="74">
        <f t="shared" si="165"/>
        <v>5.5685325228310495E-4</v>
      </c>
      <c r="AR16" s="74">
        <f t="shared" si="166"/>
        <v>7.9012442079297571</v>
      </c>
      <c r="AS16" s="74" t="str">
        <f t="shared" si="167"/>
        <v>.</v>
      </c>
      <c r="AT16" s="74" t="str">
        <f t="shared" si="168"/>
        <v>.</v>
      </c>
      <c r="AU16" s="74">
        <f t="shared" si="169"/>
        <v>7.3471330957500013E-3</v>
      </c>
      <c r="AV16" s="74">
        <f t="shared" si="170"/>
        <v>1.6233033321495144E-2</v>
      </c>
      <c r="AW16" s="74" t="str">
        <f t="shared" si="171"/>
        <v>.</v>
      </c>
      <c r="AX16" s="74">
        <f t="shared" si="172"/>
        <v>23.632221900000001</v>
      </c>
      <c r="AY16" s="2">
        <f t="shared" si="173"/>
        <v>2.8969501867313618E-2</v>
      </c>
      <c r="AZ16" s="2">
        <f>IFERROR((DL/(RadSpec!L16*IFA_far_adj)),".")</f>
        <v>6.9221529487765868E-3</v>
      </c>
      <c r="BA16" s="2">
        <f>IFERROR((DL/(RadSpec!O16*EF_far*(1/365)*ED_far*ET_far*(1/24)*GSF_a)),".")</f>
        <v>0.11852966066744214</v>
      </c>
      <c r="BB16" s="2">
        <f t="shared" si="174"/>
        <v>6.5402038954704205E-3</v>
      </c>
    </row>
    <row r="17" spans="1:54" customFormat="1" x14ac:dyDescent="0.25">
      <c r="A17" s="31" t="s">
        <v>15</v>
      </c>
      <c r="B17" s="3" t="s">
        <v>1059</v>
      </c>
      <c r="C17" s="2">
        <f>dir!AB17</f>
        <v>2.7678731265892331</v>
      </c>
      <c r="D17" s="2">
        <f>IFERROR(DL/(RadSpec!J17*IFP_far_adj*CF_far_poultry),".")</f>
        <v>39.465099318140261</v>
      </c>
      <c r="E17" s="2">
        <f>IFERROR(DL/(RadSpec!J17*IFE_far_adj*CF_far_egg),".")</f>
        <v>70.024467932078707</v>
      </c>
      <c r="F17" s="2">
        <f>IFERROR(DL/(RadSpec!J17*IFB_far_adj*CF_far_beef),".")</f>
        <v>25.882313759920901</v>
      </c>
      <c r="G17" s="2">
        <f>IFERROR(DL/(RadSpec!J17*IFD_far_adj*CF_far_dairy),".")</f>
        <v>5.3586034433105816</v>
      </c>
      <c r="H17" s="2">
        <f>IFERROR(DL/(RadSpec!J17*IFSW_far_adj*CF_far_swine),".")</f>
        <v>46.371963318070527</v>
      </c>
      <c r="I17" s="2">
        <f>IFERROR(DL/(RadSpec!J17*IFFI_far_adj*CF_far_fish),".")</f>
        <v>5.4222875893691542</v>
      </c>
      <c r="J17" s="2">
        <f>IFERROR((DL/(RadSpec!I17*IFS_far_adj*(1/1000)))*1,".")</f>
        <v>33742.659917009929</v>
      </c>
      <c r="K17" s="2">
        <f>IFERROR(IF(A17="H-3",(DL/(RadSpec!L17*IFA_far_adj*(1/17)*1000))*1,(DL/(RadSpec!L17*IFA_far_adj*(1/PEF_wind)*1000))*1),".")</f>
        <v>4505093.7862078762</v>
      </c>
      <c r="L17" s="2">
        <f>IFERROR((DL/(RadSpec!K17*EF_far*(1/365)*ED_far*RadSpec!V17*((ET_far_o*(1/24)*RadSpec!AA17)+(ET_far_i*(1/24)*RadSpec!AF17))))*1,".")</f>
        <v>1.2311242257848143</v>
      </c>
      <c r="M17" s="2">
        <f>b2s!AB17</f>
        <v>158.41832141800322</v>
      </c>
      <c r="N17" s="2" t="str">
        <f>IFERROR((D17/(RadSpec!AO17*((Q_p_poultry*f_p_poultry*f_s_poultry*(RadSpec!BG17+R_es_past))+(Q_s_poultry*f_p_poultry))))*1,".")</f>
        <v>.</v>
      </c>
      <c r="O17" s="2" t="str">
        <f>IFERROR((E17/(RadSpec!AP17*((Q_p_poultry*f_p_poultry*f_s_poultry*(RadSpec!BG17+R_es_past))+(Q_s_poultry*f_p_poultry))))*1,".")</f>
        <v>.</v>
      </c>
      <c r="P17" s="2">
        <f>IFERROR((F17/(RadSpec!AM17*((Q_p_beef*f_p_beef*f_s_beef*(RadSpec!BG17+R_es_past))+(Q_s_beef*f_p_beef))))*1,".")</f>
        <v>10295.594427230248</v>
      </c>
      <c r="Q17" s="2">
        <f>IFERROR(((G17*D_milk)/(RadSpec!AL17*((Q_p_dairy*f_p_dairy*f_s_dairy*(RadSpec!BG17+R_es_past))+(Q_s_dairy*f_p_dairy))))*1,".")</f>
        <v>5068.2066818168369</v>
      </c>
      <c r="R17" s="2" t="str">
        <f>IFERROR((H17/(RadSpec!AQ17*((Q_p_swine*f_p_swine*f_s_swine*(RadSpec!BG17+R_es_past))+(Q_s_swine*f_p_swine))))*1,".")</f>
        <v>.</v>
      </c>
      <c r="S17" s="2">
        <f>IFERROR(((I17*RadSpec!AX17)/RadSpec!AN17)*1,".")</f>
        <v>32.533725536214924</v>
      </c>
      <c r="T17" s="74">
        <f t="shared" si="152"/>
        <v>2.9636075000000001E-5</v>
      </c>
      <c r="U17" s="74">
        <f t="shared" si="153"/>
        <v>2.2197096163934501E-7</v>
      </c>
      <c r="V17" s="74">
        <f t="shared" si="154"/>
        <v>0.81226571539726</v>
      </c>
      <c r="W17" s="74">
        <f t="shared" si="155"/>
        <v>6.3124011859802247E-3</v>
      </c>
      <c r="X17" s="74" t="str">
        <f t="shared" si="156"/>
        <v>.</v>
      </c>
      <c r="Y17" s="74" t="str">
        <f t="shared" si="157"/>
        <v>.</v>
      </c>
      <c r="Z17" s="74">
        <f t="shared" si="158"/>
        <v>9.7128923159128658E-5</v>
      </c>
      <c r="AA17" s="74">
        <f t="shared" si="159"/>
        <v>1.9730844907878199E-4</v>
      </c>
      <c r="AB17" s="74" t="str">
        <f t="shared" si="160"/>
        <v>.</v>
      </c>
      <c r="AC17" s="74">
        <f t="shared" si="161"/>
        <v>3.0737334366666671E-2</v>
      </c>
      <c r="AD17" s="2">
        <f t="shared" si="162"/>
        <v>1.1769694205981152</v>
      </c>
      <c r="AE17" s="2">
        <f>IFERROR(DL/(RadSpec!M17*IFW_far_adj),".")</f>
        <v>1730.7787200964058</v>
      </c>
      <c r="AF17" s="2" t="str">
        <f>IFERROR(IF(RadSpec!C17=1,DL/(RadSpec!L17*IFA_far_adj*K),"."),".")</f>
        <v>.</v>
      </c>
      <c r="AG17" s="2">
        <f>IFERROR((DL/(RadSpec!Q17*(1/8760)*DFA_far_adj)),".")</f>
        <v>8.1221067816697889</v>
      </c>
      <c r="AH17" s="2">
        <f>b2w!AB17</f>
        <v>648.71152008684805</v>
      </c>
      <c r="AI17" s="2" t="str">
        <f>IFERROR(D17/(RadSpec!AO17*Q_w_poultry*(1/1000)),".")</f>
        <v>.</v>
      </c>
      <c r="AJ17" s="2" t="str">
        <f>IFERROR(E17/(RadSpec!AP17*Q_w_poultry*(1/1000)),".")</f>
        <v>.</v>
      </c>
      <c r="AK17" s="2">
        <f>IFERROR(F17/(RadSpec!AM17*Q_w_beef*(1/1000)),".")</f>
        <v>697636.48948573857</v>
      </c>
      <c r="AL17" s="2">
        <f>IFERROR((G17*D_milk)/(RadSpec!AL17*Q_w_dairy*(1/1000)),".")</f>
        <v>315752.94889072649</v>
      </c>
      <c r="AM17" s="2" t="str">
        <f>IFERROR(H17/(RadSpec!AQ17*Q_w_swine*(1/1000)),".")</f>
        <v>.</v>
      </c>
      <c r="AN17" s="2">
        <f>IFERROR(I17/(RadSpec!AN17*(1/1000)),".")</f>
        <v>216.89150357476615</v>
      </c>
      <c r="AO17" s="74">
        <f t="shared" si="163"/>
        <v>5.7777461000000003E-4</v>
      </c>
      <c r="AP17" s="74" t="str">
        <f t="shared" si="164"/>
        <v>.</v>
      </c>
      <c r="AQ17" s="74">
        <f t="shared" si="165"/>
        <v>0.12312076495433791</v>
      </c>
      <c r="AR17" s="74">
        <f t="shared" si="166"/>
        <v>1.5415172523313941E-3</v>
      </c>
      <c r="AS17" s="74" t="str">
        <f t="shared" si="167"/>
        <v>.</v>
      </c>
      <c r="AT17" s="74" t="str">
        <f t="shared" si="168"/>
        <v>.</v>
      </c>
      <c r="AU17" s="74">
        <f t="shared" si="169"/>
        <v>1.4334112608375003E-6</v>
      </c>
      <c r="AV17" s="74">
        <f t="shared" si="170"/>
        <v>3.1670329715466024E-6</v>
      </c>
      <c r="AW17" s="74" t="str">
        <f t="shared" si="171"/>
        <v>.</v>
      </c>
      <c r="AX17" s="74">
        <f t="shared" si="172"/>
        <v>4.610600155000001E-3</v>
      </c>
      <c r="AY17" s="2">
        <f>IFERROR(1/(SUMIF(AO17:AX17,"&lt;&gt;0")),".")</f>
        <v>7.7008818888032415</v>
      </c>
      <c r="AZ17" s="2">
        <f>IFERROR((DL/(RadSpec!L17*IFA_far_adj)),".")</f>
        <v>3.3141664042951593</v>
      </c>
      <c r="BA17" s="2">
        <f>IFERROR((DL/(RadSpec!O17*EF_far*(1/365)*ED_far*ET_far*(1/24)*GSF_a)),".")</f>
        <v>5.0295018175103832E-4</v>
      </c>
      <c r="BB17" s="2">
        <f>IFERROR(IF(AND(AZ17&lt;&gt;".",BA17&lt;&gt;"."),1/((1/AZ17)+(1/BA17)),IF(AND(AZ17&lt;&gt;".",BA17="."),1/((1/AZ17)),IF(AND(AZ17=".",BA17&lt;&gt;"."),1/((1/BA17)),IF(AND(AZ17=".",BA17="."),".")))),".")</f>
        <v>5.0287386678315722E-4</v>
      </c>
    </row>
    <row r="18" spans="1:54" customFormat="1" x14ac:dyDescent="0.25">
      <c r="A18" s="31" t="s">
        <v>16</v>
      </c>
      <c r="B18" s="3" t="s">
        <v>1059</v>
      </c>
      <c r="C18" s="2">
        <f>dir!AB18</f>
        <v>3.1474671553786136E-4</v>
      </c>
      <c r="D18" s="2">
        <f>IFERROR(DL/(RadSpec!J18*IFP_far_adj*CF_far_poultry),".")</f>
        <v>4.4877455796056651E-3</v>
      </c>
      <c r="E18" s="2">
        <f>IFERROR(DL/(RadSpec!J18*IFE_far_adj*CF_far_egg),".")</f>
        <v>7.9627823534192364E-3</v>
      </c>
      <c r="F18" s="2">
        <f>IFERROR(DL/(RadSpec!J18*IFB_far_adj*CF_far_beef),".")</f>
        <v>2.9431888218424337E-3</v>
      </c>
      <c r="G18" s="2">
        <f>IFERROR(DL/(RadSpec!J18*IFD_far_adj*CF_far_dairy),".")</f>
        <v>6.0934976298217475E-4</v>
      </c>
      <c r="H18" s="2">
        <f>IFERROR(DL/(RadSpec!J18*IFSW_far_adj*CF_far_swine),".")</f>
        <v>5.2731546858834485E-3</v>
      </c>
      <c r="I18" s="2">
        <f>IFERROR(DL/(RadSpec!J18*IFFI_far_adj*CF_far_fish),".")</f>
        <v>6.1659156016254958E-4</v>
      </c>
      <c r="J18" s="2">
        <f>IFERROR((DL/(RadSpec!I18*IFS_far_adj*(1/1000)))*1,".")</f>
        <v>3.8370224705628431</v>
      </c>
      <c r="K18" s="2">
        <f>IFERROR(IF(A18="H-3",(DL/(RadSpec!L18*IFA_far_adj*(1/17)*1000))*1,(DL/(RadSpec!L18*IFA_far_adj*(1/PEF_wind)*1000))*1),".")</f>
        <v>12123.895266648593</v>
      </c>
      <c r="L18" s="2">
        <f>IFERROR((DL/(RadSpec!K18*EF_far*(1/365)*ED_far*RadSpec!V18*((ET_far_o*(1/24)*RadSpec!AA18)+(ET_far_i*(1/24)*RadSpec!AF18))))*1,".")</f>
        <v>27435.318011694701</v>
      </c>
      <c r="M18" s="2">
        <f>b2s!AB18</f>
        <v>0.14392862177490903</v>
      </c>
      <c r="N18" s="2">
        <f>IFERROR((D18/(RadSpec!AO18*((Q_p_poultry*f_p_poultry*f_s_poultry*(RadSpec!BG18+R_es_past))+(Q_s_poultry*f_p_poultry))))*1,".")</f>
        <v>2.5950864162312622E-2</v>
      </c>
      <c r="O18" s="2">
        <f>IFERROR((E18/(RadSpec!AP18*((Q_p_poultry*f_p_poultry*f_s_poultry*(RadSpec!BG18+R_es_past))+(Q_s_poultry*f_p_poultry))))*1,".")</f>
        <v>3.5648231525891326E-2</v>
      </c>
      <c r="P18" s="2">
        <f>IFERROR((F18/(RadSpec!AM18*((Q_p_beef*f_p_beef*f_s_beef*(RadSpec!BG18+R_es_past))+(Q_s_beef*f_p_beef))))*1,".")</f>
        <v>0.17083023856382387</v>
      </c>
      <c r="Q18" s="2">
        <f>IFERROR(((G18*D_milk)/(RadSpec!AL18*((Q_p_dairy*f_p_dairy*f_s_dairy*(RadSpec!BG18+R_es_past))+(Q_s_dairy*f_p_dairy))))*1,".")</f>
        <v>0.54532633364059879</v>
      </c>
      <c r="R18" s="2" t="str">
        <f>IFERROR((H18/(RadSpec!AQ18*((Q_p_swine*f_p_swine*f_s_swine*(RadSpec!BG18+R_es_past))+(Q_s_swine*f_p_swine))))*1,".")</f>
        <v>.</v>
      </c>
      <c r="S18" s="2">
        <f>IFERROR(((I18*RadSpec!AX18)/RadSpec!AN18)*1,".")</f>
        <v>3.596784100948206E-3</v>
      </c>
      <c r="T18" s="74">
        <f t="shared" si="152"/>
        <v>0.26061875000000001</v>
      </c>
      <c r="U18" s="74">
        <f t="shared" si="153"/>
        <v>8.2481741882980638E-5</v>
      </c>
      <c r="V18" s="74">
        <f t="shared" si="154"/>
        <v>3.6449367912328759E-5</v>
      </c>
      <c r="W18" s="74">
        <f t="shared" si="155"/>
        <v>6.9478883884812497</v>
      </c>
      <c r="X18" s="74">
        <f t="shared" si="156"/>
        <v>38.534362237241375</v>
      </c>
      <c r="Y18" s="74">
        <f t="shared" si="157"/>
        <v>28.05188244117242</v>
      </c>
      <c r="Z18" s="74">
        <f t="shared" si="158"/>
        <v>5.853764581768643</v>
      </c>
      <c r="AA18" s="74">
        <f t="shared" si="159"/>
        <v>1.833764368802804</v>
      </c>
      <c r="AB18" s="74" t="str">
        <f t="shared" si="160"/>
        <v>.</v>
      </c>
      <c r="AC18" s="74">
        <f t="shared" si="161"/>
        <v>278.02614</v>
      </c>
      <c r="AD18" s="2">
        <f t="shared" si="162"/>
        <v>2.7815750937055144E-3</v>
      </c>
      <c r="AE18" s="2">
        <f>IFERROR(DL/(RadSpec!M18*IFW_far_adj),".")</f>
        <v>0.19681426588524842</v>
      </c>
      <c r="AF18" s="2" t="str">
        <f>IFERROR(IF(RadSpec!C18=1,DL/(RadSpec!L18*IFA_far_adj*K),"."),".")</f>
        <v>.</v>
      </c>
      <c r="AG18" s="2">
        <f>IFERROR((DL/(RadSpec!Q18*(1/8760)*DFA_far_adj)),".")</f>
        <v>202842.25226760824</v>
      </c>
      <c r="AH18" s="2">
        <f>b2w!AB18</f>
        <v>8.460167491226174E-2</v>
      </c>
      <c r="AI18" s="2">
        <f>IFERROR(D18/(RadSpec!AO18*Q_w_poultry*(1/1000)),".")</f>
        <v>4.6747349787559012</v>
      </c>
      <c r="AJ18" s="2">
        <f>IFERROR(E18/(RadSpec!AP18*Q_w_poultry*(1/1000)),".")</f>
        <v>6.4215986721122862</v>
      </c>
      <c r="AK18" s="2">
        <f>IFERROR(F18/(RadSpec!AM18*Q_w_beef*(1/1000)),".")</f>
        <v>11.106372912612956</v>
      </c>
      <c r="AL18" s="2">
        <f>IFERROR((G18*D_milk)/(RadSpec!AL18*Q_w_dairy*(1/1000)),".")</f>
        <v>32.486038088594199</v>
      </c>
      <c r="AM18" s="2" t="str">
        <f>IFERROR(H18/(RadSpec!AQ18*Q_w_swine*(1/1000)),".")</f>
        <v>.</v>
      </c>
      <c r="AN18" s="2">
        <f>IFERROR(I18/(RadSpec!AN18*(1/1000)),".")</f>
        <v>1.7127543337848598E-2</v>
      </c>
      <c r="AO18" s="74">
        <f t="shared" si="163"/>
        <v>5.0809325000000003</v>
      </c>
      <c r="AP18" s="74" t="str">
        <f t="shared" si="164"/>
        <v>.</v>
      </c>
      <c r="AQ18" s="74">
        <f t="shared" si="165"/>
        <v>4.9299393436073049E-6</v>
      </c>
      <c r="AR18" s="74">
        <f t="shared" si="166"/>
        <v>11.820096954783399</v>
      </c>
      <c r="AS18" s="74">
        <f t="shared" si="167"/>
        <v>0.21391586999999998</v>
      </c>
      <c r="AT18" s="74">
        <f t="shared" si="168"/>
        <v>0.15572446225000003</v>
      </c>
      <c r="AU18" s="74">
        <f t="shared" si="169"/>
        <v>9.003839578125003E-2</v>
      </c>
      <c r="AV18" s="74">
        <f t="shared" si="170"/>
        <v>3.0782454827912628E-2</v>
      </c>
      <c r="AW18" s="74" t="str">
        <f t="shared" si="171"/>
        <v>.</v>
      </c>
      <c r="AX18" s="74">
        <f t="shared" si="172"/>
        <v>58.385489400000004</v>
      </c>
      <c r="AY18" s="2">
        <f>IFERROR(1/(SUMIF(AO18:AX18,"&lt;&gt;0")),".")</f>
        <v>1.3196619005464642E-2</v>
      </c>
      <c r="AZ18" s="2">
        <f>IFERROR((DL/(RadSpec!L18*IFA_far_adj)),".")</f>
        <v>8.9189278378467556E-3</v>
      </c>
      <c r="BA18" s="2">
        <f>IFERROR((DL/(RadSpec!O18*EF_far*(1/365)*ED_far*ET_far*(1/24)*GSF_a)),".")</f>
        <v>12.545498915587698</v>
      </c>
      <c r="BB18" s="2">
        <f>IFERROR(IF(AND(AZ18&lt;&gt;".",BA18&lt;&gt;"."),1/((1/AZ18)+(1/BA18)),IF(AND(AZ18&lt;&gt;".",BA18="."),1/((1/AZ18)),IF(AND(AZ18=".",BA18&lt;&gt;"."),1/((1/BA18)),IF(AND(AZ18=".",BA18="."),".")))),".")</f>
        <v>8.9125916401218749E-3</v>
      </c>
    </row>
    <row r="19" spans="1:54" customFormat="1" x14ac:dyDescent="0.25">
      <c r="A19" s="31" t="s">
        <v>17</v>
      </c>
      <c r="B19" s="3" t="s">
        <v>1059</v>
      </c>
      <c r="C19" s="2" t="str">
        <f>dir!AB19</f>
        <v>.</v>
      </c>
      <c r="D19" s="2" t="str">
        <f>IFERROR(DL/(RadSpec!J19*IFP_far_adj*CF_far_poultry),".")</f>
        <v>.</v>
      </c>
      <c r="E19" s="2" t="str">
        <f>IFERROR(DL/(RadSpec!J19*IFE_far_adj*CF_far_egg),".")</f>
        <v>.</v>
      </c>
      <c r="F19" s="2" t="str">
        <f>IFERROR(DL/(RadSpec!J19*IFB_far_adj*CF_far_beef),".")</f>
        <v>.</v>
      </c>
      <c r="G19" s="2" t="str">
        <f>IFERROR(DL/(RadSpec!J19*IFD_far_adj*CF_far_dairy),".")</f>
        <v>.</v>
      </c>
      <c r="H19" s="2" t="str">
        <f>IFERROR(DL/(RadSpec!J19*IFSW_far_adj*CF_far_swine),".")</f>
        <v>.</v>
      </c>
      <c r="I19" s="2" t="str">
        <f>IFERROR(DL/(RadSpec!J19*IFFI_far_adj*CF_far_fish),".")</f>
        <v>.</v>
      </c>
      <c r="J19" s="2" t="str">
        <f>IFERROR((DL/(RadSpec!I19*IFS_far_adj*(1/1000)))*1,".")</f>
        <v>.</v>
      </c>
      <c r="K19" s="2" t="str">
        <f>IFERROR(IF(A19="H-3",(DL/(RadSpec!L19*IFA_far_adj*(1/17)*1000))*1,(DL/(RadSpec!L19*IFA_far_adj*(1/PEF_wind)*1000))*1),".")</f>
        <v>.</v>
      </c>
      <c r="L19" s="2">
        <f>IFERROR((DL/(RadSpec!K19*EF_far*(1/365)*ED_far*RadSpec!V19*((ET_far_o*(1/24)*RadSpec!AA19)+(ET_far_i*(1/24)*RadSpec!AF19))))*1,".")</f>
        <v>7142.6431375274133</v>
      </c>
      <c r="M19" s="2" t="str">
        <f>b2s!AB19</f>
        <v>.</v>
      </c>
      <c r="N19" s="2" t="str">
        <f>IFERROR((D19/(RadSpec!AO19*((Q_p_poultry*f_p_poultry*f_s_poultry*(RadSpec!BG19+R_es_past))+(Q_s_poultry*f_p_poultry))))*1,".")</f>
        <v>.</v>
      </c>
      <c r="O19" s="2" t="str">
        <f>IFERROR((E19/(RadSpec!AP19*((Q_p_poultry*f_p_poultry*f_s_poultry*(RadSpec!BG19+R_es_past))+(Q_s_poultry*f_p_poultry))))*1,".")</f>
        <v>.</v>
      </c>
      <c r="P19" s="2" t="str">
        <f>IFERROR((F19/(RadSpec!AM19*((Q_p_beef*f_p_beef*f_s_beef*(RadSpec!BG19+R_es_past))+(Q_s_beef*f_p_beef))))*1,".")</f>
        <v>.</v>
      </c>
      <c r="Q19" s="2" t="str">
        <f>IFERROR(((G19*D_milk)/(RadSpec!AL19*((Q_p_dairy*f_p_dairy*f_s_dairy*(RadSpec!BG19+R_es_past))+(Q_s_dairy*f_p_dairy))))*1,".")</f>
        <v>.</v>
      </c>
      <c r="R19" s="2" t="str">
        <f>IFERROR((H19/(RadSpec!AQ19*((Q_p_swine*f_p_swine*f_s_swine*(RadSpec!BG19+R_es_past))+(Q_s_swine*f_p_swine))))*1,".")</f>
        <v>.</v>
      </c>
      <c r="S19" s="2" t="str">
        <f>IFERROR(((I19*RadSpec!AX19)/RadSpec!AN19)*1,".")</f>
        <v>.</v>
      </c>
      <c r="T19" s="74" t="str">
        <f t="shared" si="152"/>
        <v>.</v>
      </c>
      <c r="U19" s="74" t="str">
        <f t="shared" si="153"/>
        <v>.</v>
      </c>
      <c r="V19" s="74">
        <f t="shared" si="154"/>
        <v>1.4000419463013695E-4</v>
      </c>
      <c r="W19" s="74" t="str">
        <f t="shared" si="155"/>
        <v>.</v>
      </c>
      <c r="X19" s="74" t="str">
        <f t="shared" si="156"/>
        <v>.</v>
      </c>
      <c r="Y19" s="74" t="str">
        <f t="shared" si="157"/>
        <v>.</v>
      </c>
      <c r="Z19" s="74" t="str">
        <f t="shared" si="158"/>
        <v>.</v>
      </c>
      <c r="AA19" s="74" t="str">
        <f t="shared" si="159"/>
        <v>.</v>
      </c>
      <c r="AB19" s="74" t="str">
        <f t="shared" si="160"/>
        <v>.</v>
      </c>
      <c r="AC19" s="74" t="str">
        <f t="shared" si="161"/>
        <v>.</v>
      </c>
      <c r="AD19" s="2">
        <f t="shared" si="162"/>
        <v>7142.6431375274133</v>
      </c>
      <c r="AE19" s="2" t="str">
        <f>IFERROR(DL/(RadSpec!M19*IFW_far_adj),".")</f>
        <v>.</v>
      </c>
      <c r="AF19" s="2" t="str">
        <f>IFERROR(IF(RadSpec!C19=1,DL/(RadSpec!L19*IFA_far_adj*K),"."),".")</f>
        <v>.</v>
      </c>
      <c r="AG19" s="2">
        <f>IFERROR((DL/(RadSpec!Q19*(1/8760)*DFA_far_adj)),".")</f>
        <v>52760.855374189196</v>
      </c>
      <c r="AH19" s="2" t="str">
        <f>b2w!AB19</f>
        <v>.</v>
      </c>
      <c r="AI19" s="2" t="str">
        <f>IFERROR(D19/(RadSpec!AO19*Q_w_poultry*(1/1000)),".")</f>
        <v>.</v>
      </c>
      <c r="AJ19" s="2" t="str">
        <f>IFERROR(E19/(RadSpec!AP19*Q_w_poultry*(1/1000)),".")</f>
        <v>.</v>
      </c>
      <c r="AK19" s="2" t="str">
        <f>IFERROR(F19/(RadSpec!AM19*Q_w_beef*(1/1000)),".")</f>
        <v>.</v>
      </c>
      <c r="AL19" s="2" t="str">
        <f>IFERROR((G19*D_milk)/(RadSpec!AL19*Q_w_dairy*(1/1000)),".")</f>
        <v>.</v>
      </c>
      <c r="AM19" s="2" t="str">
        <f>IFERROR(H19/(RadSpec!AQ19*Q_w_swine*(1/1000)),".")</f>
        <v>.</v>
      </c>
      <c r="AN19" s="2" t="str">
        <f>IFERROR(I19/(RadSpec!AN19*(1/1000)),".")</f>
        <v>.</v>
      </c>
      <c r="AO19" s="74" t="str">
        <f t="shared" si="163"/>
        <v>.</v>
      </c>
      <c r="AP19" s="74" t="str">
        <f t="shared" si="164"/>
        <v>.</v>
      </c>
      <c r="AQ19" s="74">
        <f t="shared" si="165"/>
        <v>1.8953445559360731E-5</v>
      </c>
      <c r="AR19" s="74" t="str">
        <f t="shared" si="166"/>
        <v>.</v>
      </c>
      <c r="AS19" s="74" t="str">
        <f t="shared" si="167"/>
        <v>.</v>
      </c>
      <c r="AT19" s="74" t="str">
        <f t="shared" si="168"/>
        <v>.</v>
      </c>
      <c r="AU19" s="74" t="str">
        <f t="shared" si="169"/>
        <v>.</v>
      </c>
      <c r="AV19" s="74" t="str">
        <f t="shared" si="170"/>
        <v>.</v>
      </c>
      <c r="AW19" s="74" t="str">
        <f t="shared" si="171"/>
        <v>.</v>
      </c>
      <c r="AX19" s="74" t="str">
        <f t="shared" si="172"/>
        <v>.</v>
      </c>
      <c r="AY19" s="2">
        <f t="shared" ref="AY19:AY20" si="175">IFERROR(1/(SUMIF(AO19:AX19,"&lt;&gt;0")),".")</f>
        <v>52760.855374189196</v>
      </c>
      <c r="AZ19" s="2" t="str">
        <f>IFERROR((DL/(RadSpec!L19*IFA_far_adj)),".")</f>
        <v>.</v>
      </c>
      <c r="BA19" s="2">
        <f>IFERROR((DL/(RadSpec!O19*EF_far*(1/365)*ED_far*ET_far*(1/24)*GSF_a)),".")</f>
        <v>3.2647643376821791</v>
      </c>
      <c r="BB19" s="2">
        <f t="shared" ref="BB19:BB20" si="176">IFERROR(IF(AND(AZ19&lt;&gt;".",BA19&lt;&gt;"."),1/((1/AZ19)+(1/BA19)),IF(AND(AZ19&lt;&gt;".",BA19="."),1/((1/AZ19)),IF(AND(AZ19=".",BA19&lt;&gt;"."),1/((1/BA19)),IF(AND(AZ19=".",BA19="."),".")))),".")</f>
        <v>3.2647643376821791</v>
      </c>
    </row>
    <row r="20" spans="1:54" customFormat="1" x14ac:dyDescent="0.25">
      <c r="A20" s="31" t="s">
        <v>18</v>
      </c>
      <c r="B20" s="3" t="s">
        <v>1059</v>
      </c>
      <c r="C20" s="2" t="str">
        <f>dir!AB20</f>
        <v>.</v>
      </c>
      <c r="D20" s="2" t="str">
        <f>IFERROR(DL/(RadSpec!J20*IFP_far_adj*CF_far_poultry),".")</f>
        <v>.</v>
      </c>
      <c r="E20" s="2" t="str">
        <f>IFERROR(DL/(RadSpec!J20*IFE_far_adj*CF_far_egg),".")</f>
        <v>.</v>
      </c>
      <c r="F20" s="2" t="str">
        <f>IFERROR(DL/(RadSpec!J20*IFB_far_adj*CF_far_beef),".")</f>
        <v>.</v>
      </c>
      <c r="G20" s="2" t="str">
        <f>IFERROR(DL/(RadSpec!J20*IFD_far_adj*CF_far_dairy),".")</f>
        <v>.</v>
      </c>
      <c r="H20" s="2" t="str">
        <f>IFERROR(DL/(RadSpec!J20*IFSW_far_adj*CF_far_swine),".")</f>
        <v>.</v>
      </c>
      <c r="I20" s="2" t="str">
        <f>IFERROR(DL/(RadSpec!J20*IFFI_far_adj*CF_far_fish),".")</f>
        <v>.</v>
      </c>
      <c r="J20" s="2" t="str">
        <f>IFERROR((DL/(RadSpec!I20*IFS_far_adj*(1/1000)))*1,".")</f>
        <v>.</v>
      </c>
      <c r="K20" s="2" t="str">
        <f>IFERROR(IF(A20="H-3",(DL/(RadSpec!L20*IFA_far_adj*(1/17)*1000))*1,(DL/(RadSpec!L20*IFA_far_adj*(1/PEF_wind)*1000))*1),".")</f>
        <v>.</v>
      </c>
      <c r="L20" s="2">
        <f>IFERROR((DL/(RadSpec!K20*EF_far*(1/365)*ED_far*RadSpec!V20*((ET_far_o*(1/24)*RadSpec!AA20)+(ET_far_i*(1/24)*RadSpec!AF20))))*1,".")</f>
        <v>3223.9167468995324</v>
      </c>
      <c r="M20" s="2" t="str">
        <f>b2s!AB20</f>
        <v>.</v>
      </c>
      <c r="N20" s="2" t="str">
        <f>IFERROR((D20/(RadSpec!AO20*((Q_p_poultry*f_p_poultry*f_s_poultry*(RadSpec!BG20+R_es_past))+(Q_s_poultry*f_p_poultry))))*1,".")</f>
        <v>.</v>
      </c>
      <c r="O20" s="2" t="str">
        <f>IFERROR((E20/(RadSpec!AP20*((Q_p_poultry*f_p_poultry*f_s_poultry*(RadSpec!BG20+R_es_past))+(Q_s_poultry*f_p_poultry))))*1,".")</f>
        <v>.</v>
      </c>
      <c r="P20" s="2" t="str">
        <f>IFERROR((F20/(RadSpec!AM20*((Q_p_beef*f_p_beef*f_s_beef*(RadSpec!BG20+R_es_past))+(Q_s_beef*f_p_beef))))*1,".")</f>
        <v>.</v>
      </c>
      <c r="Q20" s="2" t="str">
        <f>IFERROR(((G20*D_milk)/(RadSpec!AL20*((Q_p_dairy*f_p_dairy*f_s_dairy*(RadSpec!BG20+R_es_past))+(Q_s_dairy*f_p_dairy))))*1,".")</f>
        <v>.</v>
      </c>
      <c r="R20" s="2" t="str">
        <f>IFERROR((H20/(RadSpec!AQ20*((Q_p_swine*f_p_swine*f_s_swine*(RadSpec!BG20+R_es_past))+(Q_s_swine*f_p_swine))))*1,".")</f>
        <v>.</v>
      </c>
      <c r="S20" s="2" t="str">
        <f>IFERROR(((I20*RadSpec!AX20)/RadSpec!AN20)*1,".")</f>
        <v>.</v>
      </c>
      <c r="T20" s="74" t="str">
        <f t="shared" si="152"/>
        <v>.</v>
      </c>
      <c r="U20" s="74" t="str">
        <f t="shared" si="153"/>
        <v>.</v>
      </c>
      <c r="V20" s="74">
        <f t="shared" si="154"/>
        <v>3.1018170706849309E-4</v>
      </c>
      <c r="W20" s="74" t="str">
        <f t="shared" si="155"/>
        <v>.</v>
      </c>
      <c r="X20" s="74" t="str">
        <f t="shared" si="156"/>
        <v>.</v>
      </c>
      <c r="Y20" s="74" t="str">
        <f t="shared" si="157"/>
        <v>.</v>
      </c>
      <c r="Z20" s="74" t="str">
        <f t="shared" si="158"/>
        <v>.</v>
      </c>
      <c r="AA20" s="74" t="str">
        <f t="shared" si="159"/>
        <v>.</v>
      </c>
      <c r="AB20" s="74" t="str">
        <f t="shared" si="160"/>
        <v>.</v>
      </c>
      <c r="AC20" s="74" t="str">
        <f t="shared" si="161"/>
        <v>.</v>
      </c>
      <c r="AD20" s="2">
        <f t="shared" si="162"/>
        <v>3223.9167468995324</v>
      </c>
      <c r="AE20" s="2" t="str">
        <f>IFERROR(DL/(RadSpec!M20*IFW_far_adj),".")</f>
        <v>.</v>
      </c>
      <c r="AF20" s="2" t="str">
        <f>IFERROR(IF(RadSpec!C20=1,DL/(RadSpec!L20*IFA_far_adj*K),"."),".")</f>
        <v>.</v>
      </c>
      <c r="AG20" s="2">
        <f>IFERROR((DL/(RadSpec!Q20*(1/8760)*DFA_far_adj)),".")</f>
        <v>23784.055095776661</v>
      </c>
      <c r="AH20" s="2" t="str">
        <f>b2w!AB20</f>
        <v>.</v>
      </c>
      <c r="AI20" s="2" t="str">
        <f>IFERROR(D20/(RadSpec!AO20*Q_w_poultry*(1/1000)),".")</f>
        <v>.</v>
      </c>
      <c r="AJ20" s="2" t="str">
        <f>IFERROR(E20/(RadSpec!AP20*Q_w_poultry*(1/1000)),".")</f>
        <v>.</v>
      </c>
      <c r="AK20" s="2" t="str">
        <f>IFERROR(F20/(RadSpec!AM20*Q_w_beef*(1/1000)),".")</f>
        <v>.</v>
      </c>
      <c r="AL20" s="2" t="str">
        <f>IFERROR((G20*D_milk)/(RadSpec!AL20*Q_w_dairy*(1/1000)),".")</f>
        <v>.</v>
      </c>
      <c r="AM20" s="2" t="str">
        <f>IFERROR(H20/(RadSpec!AQ20*Q_w_swine*(1/1000)),".")</f>
        <v>.</v>
      </c>
      <c r="AN20" s="2" t="str">
        <f>IFERROR(I20/(RadSpec!AN20*(1/1000)),".")</f>
        <v>.</v>
      </c>
      <c r="AO20" s="74" t="str">
        <f t="shared" si="163"/>
        <v>.</v>
      </c>
      <c r="AP20" s="74" t="str">
        <f t="shared" si="164"/>
        <v>.</v>
      </c>
      <c r="AQ20" s="74">
        <f t="shared" si="165"/>
        <v>4.2044974920091325E-5</v>
      </c>
      <c r="AR20" s="74" t="str">
        <f t="shared" si="166"/>
        <v>.</v>
      </c>
      <c r="AS20" s="74" t="str">
        <f t="shared" si="167"/>
        <v>.</v>
      </c>
      <c r="AT20" s="74" t="str">
        <f t="shared" si="168"/>
        <v>.</v>
      </c>
      <c r="AU20" s="74" t="str">
        <f t="shared" si="169"/>
        <v>.</v>
      </c>
      <c r="AV20" s="74" t="str">
        <f t="shared" si="170"/>
        <v>.</v>
      </c>
      <c r="AW20" s="74" t="str">
        <f t="shared" si="171"/>
        <v>.</v>
      </c>
      <c r="AX20" s="74" t="str">
        <f t="shared" si="172"/>
        <v>.</v>
      </c>
      <c r="AY20" s="2">
        <f t="shared" si="175"/>
        <v>23784.055095776661</v>
      </c>
      <c r="AZ20" s="2" t="str">
        <f>IFERROR((DL/(RadSpec!L20*IFA_far_adj)),".")</f>
        <v>.</v>
      </c>
      <c r="BA20" s="2">
        <f>IFERROR((DL/(RadSpec!O20*EF_far*(1/365)*ED_far*ET_far*(1/24)*GSF_a)),".")</f>
        <v>1.46914395195698</v>
      </c>
      <c r="BB20" s="2">
        <f t="shared" si="176"/>
        <v>1.46914395195698</v>
      </c>
    </row>
    <row r="21" spans="1:54" customFormat="1" x14ac:dyDescent="0.25">
      <c r="A21" s="31" t="s">
        <v>19</v>
      </c>
      <c r="B21" s="3" t="s">
        <v>1059</v>
      </c>
      <c r="C21" s="2" t="str">
        <f>dir!AB21</f>
        <v>.</v>
      </c>
      <c r="D21" s="2" t="str">
        <f>IFERROR(DL/(RadSpec!J21*IFP_far_adj*CF_far_poultry),".")</f>
        <v>.</v>
      </c>
      <c r="E21" s="2" t="str">
        <f>IFERROR(DL/(RadSpec!J21*IFE_far_adj*CF_far_egg),".")</f>
        <v>.</v>
      </c>
      <c r="F21" s="2" t="str">
        <f>IFERROR(DL/(RadSpec!J21*IFB_far_adj*CF_far_beef),".")</f>
        <v>.</v>
      </c>
      <c r="G21" s="2" t="str">
        <f>IFERROR(DL/(RadSpec!J21*IFD_far_adj*CF_far_dairy),".")</f>
        <v>.</v>
      </c>
      <c r="H21" s="2" t="str">
        <f>IFERROR(DL/(RadSpec!J21*IFSW_far_adj*CF_far_swine),".")</f>
        <v>.</v>
      </c>
      <c r="I21" s="2" t="str">
        <f>IFERROR(DL/(RadSpec!J21*IFFI_far_adj*CF_far_fish),".")</f>
        <v>.</v>
      </c>
      <c r="J21" s="2" t="str">
        <f>IFERROR((DL/(RadSpec!I21*IFS_far_adj*(1/1000)))*1,".")</f>
        <v>.</v>
      </c>
      <c r="K21" s="2">
        <f>IFERROR(IF(A21="H-3",(DL/(RadSpec!L21*IFA_far_adj*(1/17)*1000))*1,(DL/(RadSpec!L21*IFA_far_adj*(1/PEF_wind)*1000))*1),".")</f>
        <v>27550836.015392002</v>
      </c>
      <c r="L21" s="2">
        <f>IFERROR((DL/(RadSpec!K21*EF_far*(1/365)*ED_far*RadSpec!V21*((ET_far_o*(1/24)*RadSpec!AA21)+(ET_far_i*(1/24)*RadSpec!AF21))))*1,".")</f>
        <v>186357760.67322987</v>
      </c>
      <c r="M21" s="2" t="str">
        <f>b2s!AB21</f>
        <v>.</v>
      </c>
      <c r="N21" s="2" t="str">
        <f>IFERROR((D21/(RadSpec!AO21*((Q_p_poultry*f_p_poultry*f_s_poultry*(RadSpec!BG21+R_es_past))+(Q_s_poultry*f_p_poultry))))*1,".")</f>
        <v>.</v>
      </c>
      <c r="O21" s="2" t="str">
        <f>IFERROR((E21/(RadSpec!AP21*((Q_p_poultry*f_p_poultry*f_s_poultry*(RadSpec!BG21+R_es_past))+(Q_s_poultry*f_p_poultry))))*1,".")</f>
        <v>.</v>
      </c>
      <c r="P21" s="2" t="str">
        <f>IFERROR((F21/(RadSpec!AM21*((Q_p_beef*f_p_beef*f_s_beef*(RadSpec!BG21+R_es_past))+(Q_s_beef*f_p_beef))))*1,".")</f>
        <v>.</v>
      </c>
      <c r="Q21" s="2" t="str">
        <f>IFERROR(((G21*D_milk)/(RadSpec!AL21*((Q_p_dairy*f_p_dairy*f_s_dairy*(RadSpec!BG21+R_es_past))+(Q_s_dairy*f_p_dairy))))*1,".")</f>
        <v>.</v>
      </c>
      <c r="R21" s="2" t="str">
        <f>IFERROR((H21/(RadSpec!AQ21*((Q_p_swine*f_p_swine*f_s_swine*(RadSpec!BG21+R_es_past))+(Q_s_swine*f_p_swine))))*1,".")</f>
        <v>.</v>
      </c>
      <c r="S21" s="2" t="str">
        <f>IFERROR(((I21*RadSpec!AX21)/RadSpec!AN21)*1,".")</f>
        <v>.</v>
      </c>
      <c r="T21" s="74" t="str">
        <f t="shared" si="152"/>
        <v>.</v>
      </c>
      <c r="U21" s="74">
        <f t="shared" si="153"/>
        <v>3.6296539220854265E-8</v>
      </c>
      <c r="V21" s="74">
        <f t="shared" si="154"/>
        <v>5.366022839013697E-9</v>
      </c>
      <c r="W21" s="74" t="str">
        <f t="shared" si="155"/>
        <v>.</v>
      </c>
      <c r="X21" s="74" t="str">
        <f t="shared" si="156"/>
        <v>.</v>
      </c>
      <c r="Y21" s="74" t="str">
        <f t="shared" si="157"/>
        <v>.</v>
      </c>
      <c r="Z21" s="74" t="str">
        <f t="shared" si="158"/>
        <v>.</v>
      </c>
      <c r="AA21" s="74" t="str">
        <f t="shared" si="159"/>
        <v>.</v>
      </c>
      <c r="AB21" s="74" t="str">
        <f t="shared" si="160"/>
        <v>.</v>
      </c>
      <c r="AC21" s="74" t="str">
        <f t="shared" si="161"/>
        <v>.</v>
      </c>
      <c r="AD21" s="2">
        <f t="shared" si="162"/>
        <v>24002364.486442942</v>
      </c>
      <c r="AE21" s="2" t="str">
        <f>IFERROR(DL/(RadSpec!M21*IFW_far_adj),".")</f>
        <v>.</v>
      </c>
      <c r="AF21" s="2" t="str">
        <f>IFERROR(IF(RadSpec!C21=1,DL/(RadSpec!L21*IFA_far_adj*K),"."),".")</f>
        <v>.</v>
      </c>
      <c r="AG21" s="2">
        <f>IFERROR((DL/(RadSpec!Q21*(1/8760)*DFA_far_adj)),".")</f>
        <v>68441529.174210474</v>
      </c>
      <c r="AH21" s="2" t="str">
        <f>b2w!AB21</f>
        <v>.</v>
      </c>
      <c r="AI21" s="2" t="str">
        <f>IFERROR(D21/(RadSpec!AO21*Q_w_poultry*(1/1000)),".")</f>
        <v>.</v>
      </c>
      <c r="AJ21" s="2" t="str">
        <f>IFERROR(E21/(RadSpec!AP21*Q_w_poultry*(1/1000)),".")</f>
        <v>.</v>
      </c>
      <c r="AK21" s="2" t="str">
        <f>IFERROR(F21/(RadSpec!AM21*Q_w_beef*(1/1000)),".")</f>
        <v>.</v>
      </c>
      <c r="AL21" s="2" t="str">
        <f>IFERROR((G21*D_milk)/(RadSpec!AL21*Q_w_dairy*(1/1000)),".")</f>
        <v>.</v>
      </c>
      <c r="AM21" s="2" t="str">
        <f>IFERROR(H21/(RadSpec!AQ21*Q_w_swine*(1/1000)),".")</f>
        <v>.</v>
      </c>
      <c r="AN21" s="2" t="str">
        <f>IFERROR(I21/(RadSpec!AN21*(1/1000)),".")</f>
        <v>.</v>
      </c>
      <c r="AO21" s="74" t="str">
        <f t="shared" si="163"/>
        <v>.</v>
      </c>
      <c r="AP21" s="74" t="str">
        <f t="shared" si="164"/>
        <v>.</v>
      </c>
      <c r="AQ21" s="74">
        <f t="shared" si="165"/>
        <v>1.4611011940639267E-8</v>
      </c>
      <c r="AR21" s="74" t="str">
        <f t="shared" si="166"/>
        <v>.</v>
      </c>
      <c r="AS21" s="74" t="str">
        <f t="shared" si="167"/>
        <v>.</v>
      </c>
      <c r="AT21" s="74" t="str">
        <f t="shared" si="168"/>
        <v>.</v>
      </c>
      <c r="AU21" s="74" t="str">
        <f t="shared" si="169"/>
        <v>.</v>
      </c>
      <c r="AV21" s="74" t="str">
        <f t="shared" si="170"/>
        <v>.</v>
      </c>
      <c r="AW21" s="74" t="str">
        <f t="shared" si="171"/>
        <v>.</v>
      </c>
      <c r="AX21" s="74" t="str">
        <f t="shared" si="172"/>
        <v>.</v>
      </c>
      <c r="AY21" s="2">
        <f>IFERROR(1/(SUMIF(AO21:AX21,"&lt;&gt;0")),".")</f>
        <v>68441529.174210474</v>
      </c>
      <c r="AZ21" s="2">
        <f>IFERROR((DL/(RadSpec!L21*IFA_far_adj)),".")</f>
        <v>20.267736803169875</v>
      </c>
      <c r="BA21" s="2">
        <f>IFERROR((DL/(RadSpec!O21*EF_far*(1/365)*ED_far*ET_far*(1/24)*GSF_a)),".")</f>
        <v>2130.8194723040174</v>
      </c>
      <c r="BB21" s="2">
        <f>IFERROR(IF(AND(AZ21&lt;&gt;".",BA21&lt;&gt;"."),1/((1/AZ21)+(1/BA21)),IF(AND(AZ21&lt;&gt;".",BA21="."),1/((1/AZ21)),IF(AND(AZ21=".",BA21&lt;&gt;"."),1/((1/BA21)),IF(AND(AZ21=".",BA21="."),".")))),".")</f>
        <v>20.076772367426209</v>
      </c>
    </row>
    <row r="22" spans="1:54" customFormat="1" x14ac:dyDescent="0.25">
      <c r="A22" s="31" t="s">
        <v>20</v>
      </c>
      <c r="B22" s="3" t="s">
        <v>1059</v>
      </c>
      <c r="C22" s="2">
        <f>dir!AB22</f>
        <v>2.3143140848372159E-3</v>
      </c>
      <c r="D22" s="2">
        <f>IFERROR(DL/(RadSpec!J22*IFP_far_adj*CF_far_poultry),".")</f>
        <v>3.2998129261806355E-2</v>
      </c>
      <c r="E22" s="2">
        <f>IFERROR(DL/(RadSpec!J22*IFE_far_adj*CF_far_egg),".")</f>
        <v>5.8549870245729677E-2</v>
      </c>
      <c r="F22" s="2">
        <f>IFERROR(DL/(RadSpec!J22*IFB_far_adj*CF_far_beef),".")</f>
        <v>2.1641094278253191E-2</v>
      </c>
      <c r="G22" s="2">
        <f>IFERROR(DL/(RadSpec!J22*IFD_far_adj*CF_far_dairy),".")</f>
        <v>4.4805129631042264E-3</v>
      </c>
      <c r="H22" s="2">
        <f>IFERROR(DL/(RadSpec!J22*IFSW_far_adj*CF_far_swine),".")</f>
        <v>3.8773196219731236E-2</v>
      </c>
      <c r="I22" s="2">
        <f>IFERROR(DL/(RadSpec!J22*IFFI_far_adj*CF_far_fish),".")</f>
        <v>4.5337614717834524E-3</v>
      </c>
      <c r="J22" s="2">
        <f>IFERROR((DL/(RadSpec!I22*IFS_far_adj*(1/1000)))*1,".")</f>
        <v>28.213400518844434</v>
      </c>
      <c r="K22" s="2">
        <f>IFERROR(IF(A22="H-3",(DL/(RadSpec!L22*IFA_far_adj*(1/17)*1000))*1,(DL/(RadSpec!L22*IFA_far_adj*(1/PEF_wind)*1000))*1),".")</f>
        <v>6746.7098511195518</v>
      </c>
      <c r="L22" s="2">
        <f>IFERROR((DL/(RadSpec!K22*EF_far*(1/365)*ED_far*RadSpec!V22*((ET_far_o*(1/24)*RadSpec!AA22)+(ET_far_i*(1/24)*RadSpec!AF22))))*1,".")</f>
        <v>173.69949768410476</v>
      </c>
      <c r="M22" s="2">
        <f>b2s!AB22</f>
        <v>0.10212982082054942</v>
      </c>
      <c r="N22" s="2" t="str">
        <f>IFERROR((D22/(RadSpec!AO22*((Q_p_poultry*f_p_poultry*f_s_poultry*(RadSpec!BG22+R_es_past))+(Q_s_poultry*f_p_poultry))))*1,".")</f>
        <v>.</v>
      </c>
      <c r="O22" s="2" t="str">
        <f>IFERROR((E22/(RadSpec!AP22*((Q_p_poultry*f_p_poultry*f_s_poultry*(RadSpec!BG22+R_es_past))+(Q_s_poultry*f_p_poultry))))*1,".")</f>
        <v>.</v>
      </c>
      <c r="P22" s="2">
        <f>IFERROR((F22/(RadSpec!AM22*((Q_p_beef*f_p_beef*f_s_beef*(RadSpec!BG22+R_es_past))+(Q_s_beef*f_p_beef))))*1,".")</f>
        <v>3.4663295577030566</v>
      </c>
      <c r="Q22" s="2">
        <f>IFERROR(((G22*D_milk)/(RadSpec!AL22*((Q_p_dairy*f_p_dairy*f_s_dairy*(RadSpec!BG22+R_es_past))+(Q_s_dairy*f_p_dairy))))*1,".")</f>
        <v>2.0683306775015393</v>
      </c>
      <c r="R22" s="2" t="str">
        <f>IFERROR((H22/(RadSpec!AQ22*((Q_p_swine*f_p_swine*f_s_swine*(RadSpec!BG22+R_es_past))+(Q_s_swine*f_p_swine))))*1,".")</f>
        <v>.</v>
      </c>
      <c r="S22" s="2">
        <f>IFERROR(((I22*RadSpec!AX22)/RadSpec!AN22)*1,".")</f>
        <v>1.1334403679458631E-3</v>
      </c>
      <c r="T22" s="74">
        <f t="shared" ref="T22:T23" si="177">IFERROR(1/J22,".")</f>
        <v>3.5444150000000001E-2</v>
      </c>
      <c r="U22" s="74">
        <f t="shared" ref="U22:U23" si="178">IFERROR(1/K22,".")</f>
        <v>1.4822039513586903E-4</v>
      </c>
      <c r="V22" s="74">
        <f t="shared" ref="V22:V23" si="179">IFERROR(1/L22,".")</f>
        <v>5.7570690378082193E-3</v>
      </c>
      <c r="W22" s="74">
        <f t="shared" ref="W22:W23" si="180">IFERROR(1/M22,".")</f>
        <v>9.7914594578314507</v>
      </c>
      <c r="X22" s="74" t="str">
        <f t="shared" ref="X22:X23" si="181">IFERROR(1/N22,".")</f>
        <v>.</v>
      </c>
      <c r="Y22" s="74" t="str">
        <f t="shared" ref="Y22:Y23" si="182">IFERROR(1/O22,".")</f>
        <v>.</v>
      </c>
      <c r="Z22" s="74">
        <f t="shared" ref="Z22:Z23" si="183">IFERROR(1/P22,".")</f>
        <v>0.28848959204636165</v>
      </c>
      <c r="AA22" s="74">
        <f t="shared" ref="AA22:AA23" si="184">IFERROR(1/Q22,".")</f>
        <v>0.48348168447028017</v>
      </c>
      <c r="AB22" s="74" t="str">
        <f t="shared" ref="AB22:AB23" si="185">IFERROR(1/R22,".")</f>
        <v>.</v>
      </c>
      <c r="AC22" s="74">
        <f t="shared" ref="AC22:AC23" si="186">IFERROR(1/S22,".")</f>
        <v>882.26961760000006</v>
      </c>
      <c r="AD22" s="2">
        <f t="shared" ref="AD22:AD23" si="187">IFERROR(1/(SUMIF(T22:AC22,"&lt;&gt;0")),".")</f>
        <v>1.1199783558508531E-3</v>
      </c>
      <c r="AE22" s="2">
        <f>IFERROR(DL/(RadSpec!M22*IFW_far_adj),".")</f>
        <v>1.4471637197444738</v>
      </c>
      <c r="AF22" s="2" t="str">
        <f>IFERROR(IF(RadSpec!C22=1,DL/(RadSpec!L22*IFA_far_adj*K),"."),".")</f>
        <v>.</v>
      </c>
      <c r="AG22" s="2">
        <f>IFERROR((DL/(RadSpec!Q22*(1/8760)*DFA_far_adj)),".")</f>
        <v>360.48392898387101</v>
      </c>
      <c r="AH22" s="2">
        <f>b2w!AB22</f>
        <v>0.51981388199222101</v>
      </c>
      <c r="AI22" s="2" t="str">
        <f>IFERROR(D22/(RadSpec!AO22*Q_w_poultry*(1/1000)),".")</f>
        <v>.</v>
      </c>
      <c r="AJ22" s="2" t="str">
        <f>IFERROR(E22/(RadSpec!AP22*Q_w_poultry*(1/1000)),".")</f>
        <v>.</v>
      </c>
      <c r="AK22" s="2">
        <f>IFERROR(F22/(RadSpec!AM22*Q_w_beef*(1/1000)),".")</f>
        <v>240.18972561879232</v>
      </c>
      <c r="AL22" s="2">
        <f>IFERROR((G22*D_milk)/(RadSpec!AL22*Q_w_dairy*(1/1000)),".")</f>
        <v>132.00595972532471</v>
      </c>
      <c r="AM22" s="2" t="str">
        <f>IFERROR(H22/(RadSpec!AQ22*Q_w_swine*(1/1000)),".")</f>
        <v>.</v>
      </c>
      <c r="AN22" s="2">
        <f>IFERROR(I22/(RadSpec!AN22*(1/1000)),".")</f>
        <v>1.1334403679458631</v>
      </c>
      <c r="AO22" s="74">
        <f t="shared" ref="AO22:AO23" si="188">IFERROR(1/AE22,".")</f>
        <v>0.69100682000000002</v>
      </c>
      <c r="AP22" s="74" t="str">
        <f t="shared" ref="AP22:AP23" si="189">IFERROR(1/AF22,".")</f>
        <v>.</v>
      </c>
      <c r="AQ22" s="74">
        <f t="shared" ref="AQ22:AQ23" si="190">IFERROR(1/AG22,".")</f>
        <v>2.7740487705479448E-3</v>
      </c>
      <c r="AR22" s="74">
        <f t="shared" ref="AR22:AR23" si="191">IFERROR(1/AH22,".")</f>
        <v>1.923765475764968</v>
      </c>
      <c r="AS22" s="74" t="str">
        <f t="shared" ref="AS22:AS23" si="192">IFERROR(1/AI22,".")</f>
        <v>.</v>
      </c>
      <c r="AT22" s="74" t="str">
        <f t="shared" ref="AT22:AT23" si="193">IFERROR(1/AJ22,".")</f>
        <v>.</v>
      </c>
      <c r="AU22" s="74">
        <f t="shared" ref="AU22:AU23" si="194">IFERROR(1/AK22,".")</f>
        <v>4.163375420925001E-3</v>
      </c>
      <c r="AV22" s="74">
        <f t="shared" ref="AV22:AV23" si="195">IFERROR(1/AL22,".")</f>
        <v>7.5754155500310704E-3</v>
      </c>
      <c r="AW22" s="74" t="str">
        <f t="shared" ref="AW22:AW23" si="196">IFERROR(1/AM22,".")</f>
        <v>.</v>
      </c>
      <c r="AX22" s="74">
        <f t="shared" ref="AX22:AX23" si="197">IFERROR(1/AN22,".")</f>
        <v>0.8822696176</v>
      </c>
      <c r="AY22" s="2">
        <f t="shared" ref="AY22:AY23" si="198">IFERROR(1/(SUMIF(AO22:AX22,"&lt;&gt;0")),".")</f>
        <v>0.28477414430612452</v>
      </c>
      <c r="AZ22" s="2">
        <f>IFERROR((DL/(RadSpec!L22*IFA_far_adj)),".")</f>
        <v>4.9632083568517029E-3</v>
      </c>
      <c r="BA22" s="2">
        <f>IFERROR((DL/(RadSpec!O22*EF_far*(1/365)*ED_far*ET_far*(1/24)*GSF_a)),".")</f>
        <v>2.2602214645492003E-2</v>
      </c>
      <c r="BB22" s="2">
        <f t="shared" ref="BB22:BB23" si="199">IFERROR(IF(AND(AZ22&lt;&gt;".",BA22&lt;&gt;"."),1/((1/AZ22)+(1/BA22)),IF(AND(AZ22&lt;&gt;".",BA22="."),1/((1/AZ22)),IF(AND(AZ22=".",BA22&lt;&gt;"."),1/((1/BA22)),IF(AND(AZ22=".",BA22="."),".")))),".")</f>
        <v>4.0695729792473703E-3</v>
      </c>
    </row>
    <row r="23" spans="1:54" customFormat="1" x14ac:dyDescent="0.25">
      <c r="A23" s="32" t="s">
        <v>21</v>
      </c>
      <c r="B23" s="3" t="s">
        <v>336</v>
      </c>
      <c r="C23" s="2">
        <f>dir!AB23</f>
        <v>1.2159089452345635E-3</v>
      </c>
      <c r="D23" s="2">
        <f>IFERROR(DL/(RadSpec!J23*IFP_far_adj*CF_far_poultry),".")</f>
        <v>1.7336765484127842E-2</v>
      </c>
      <c r="E23" s="2">
        <f>IFERROR(DL/(RadSpec!J23*IFE_far_adj*CF_far_egg),".")</f>
        <v>3.0761300482303893E-2</v>
      </c>
      <c r="F23" s="2">
        <f>IFERROR(DL/(RadSpec!J23*IFB_far_adj*CF_far_beef),".")</f>
        <v>1.1369934742216908E-2</v>
      </c>
      <c r="G23" s="2">
        <f>IFERROR(DL/(RadSpec!J23*IFD_far_adj*CF_far_dairy),".")</f>
        <v>2.3540001881209843E-3</v>
      </c>
      <c r="H23" s="2">
        <f>IFERROR(DL/(RadSpec!J23*IFSW_far_adj*CF_far_swine),".")</f>
        <v>2.0370906623170055E-2</v>
      </c>
      <c r="I23" s="2">
        <f>IFERROR(DL/(RadSpec!J23*IFFI_far_adj*CF_far_fish),".")</f>
        <v>2.3819762257935137E-3</v>
      </c>
      <c r="J23" s="2">
        <f>IFERROR((DL/(RadSpec!I23*IFS_far_adj*(1/1000)))*1,".")</f>
        <v>14.822934488929304</v>
      </c>
      <c r="K23" s="2">
        <f>IFERROR(IF(A23="H-3",(DL/(RadSpec!L23*IFA_far_adj*(1/17)*1000))*1,(DL/(RadSpec!L23*IFA_far_adj*(1/PEF_wind)*1000))*1),".")</f>
        <v>5508.7213444578083</v>
      </c>
      <c r="L23" s="2">
        <f>IFERROR((DL/(RadSpec!K23*EF_far*(1/365)*ED_far*RadSpec!V23*((ET_far_o*(1/24)*RadSpec!AA23)+(ET_far_i*(1/24)*RadSpec!AF23))))*1,".")</f>
        <v>48.738035526657647</v>
      </c>
      <c r="M23" s="2">
        <f>b2s!AB23</f>
        <v>5.3657610055829502E-2</v>
      </c>
      <c r="N23" s="2" t="str">
        <f>IFERROR((D23/(RadSpec!AO23*((Q_p_poultry*f_p_poultry*f_s_poultry*(RadSpec!BG23+R_es_past))+(Q_s_poultry*f_p_poultry))))*1,".")</f>
        <v>.</v>
      </c>
      <c r="O23" s="2" t="str">
        <f>IFERROR((E23/(RadSpec!AP23*((Q_p_poultry*f_p_poultry*f_s_poultry*(RadSpec!BG23+R_es_past))+(Q_s_poultry*f_p_poultry))))*1,".")</f>
        <v>.</v>
      </c>
      <c r="P23" s="2">
        <f>IFERROR((F23/(RadSpec!AM23*((Q_p_beef*f_p_beef*f_s_beef*(RadSpec!BG23+R_es_past))+(Q_s_beef*f_p_beef))))*1,".")</f>
        <v>1.8211621075790894</v>
      </c>
      <c r="Q23" s="2">
        <f>IFERROR(((G23*D_milk)/(RadSpec!AL23*((Q_p_dairy*f_p_dairy*f_s_dairy*(RadSpec!BG23+R_es_past))+(Q_s_dairy*f_p_dairy))))*1,".")</f>
        <v>1.0866726296807205</v>
      </c>
      <c r="R23" s="2" t="str">
        <f>IFERROR((H23/(RadSpec!AQ23*((Q_p_swine*f_p_swine*f_s_swine*(RadSpec!BG23+R_es_past))+(Q_s_swine*f_p_swine))))*1,".")</f>
        <v>.</v>
      </c>
      <c r="S23" s="2">
        <f>IFERROR(((I23*RadSpec!AX23)/RadSpec!AN23)*1,".")</f>
        <v>5.9549405644837843E-4</v>
      </c>
      <c r="T23" s="74">
        <f t="shared" si="177"/>
        <v>6.746302500000001E-2</v>
      </c>
      <c r="U23" s="74">
        <f t="shared" si="178"/>
        <v>1.8153032935784198E-4</v>
      </c>
      <c r="V23" s="74">
        <f t="shared" si="179"/>
        <v>2.0517856109589033E-2</v>
      </c>
      <c r="W23" s="74">
        <f t="shared" si="180"/>
        <v>18.636685438645575</v>
      </c>
      <c r="X23" s="74" t="str">
        <f t="shared" si="181"/>
        <v>.</v>
      </c>
      <c r="Y23" s="74" t="str">
        <f t="shared" si="182"/>
        <v>.</v>
      </c>
      <c r="Z23" s="74">
        <f t="shared" si="183"/>
        <v>0.54909993780252864</v>
      </c>
      <c r="AA23" s="74">
        <f t="shared" si="184"/>
        <v>0.92024034901276008</v>
      </c>
      <c r="AB23" s="74" t="str">
        <f t="shared" si="185"/>
        <v>.</v>
      </c>
      <c r="AC23" s="74">
        <f t="shared" si="186"/>
        <v>1679.2778856</v>
      </c>
      <c r="AD23" s="2">
        <f t="shared" si="187"/>
        <v>5.8841802431100899E-4</v>
      </c>
      <c r="AE23" s="2">
        <f>IFERROR(DL/(RadSpec!M23*IFW_far_adj),".")</f>
        <v>0.76032001169797958</v>
      </c>
      <c r="AF23" s="2">
        <f>IFERROR(IF(RadSpec!C23=1,DL/(RadSpec!L23*IFA_far_adj*K),"."),".")</f>
        <v>8.1049674332277326E-3</v>
      </c>
      <c r="AG23" s="2">
        <f>IFERROR((DL/(RadSpec!Q23*(1/8760)*DFA_far_adj)),".")</f>
        <v>286.17364537754668</v>
      </c>
      <c r="AH23" s="2">
        <f>b2w!AB23</f>
        <v>0.273087471945621</v>
      </c>
      <c r="AI23" s="2" t="str">
        <f>IFERROR(D23/(RadSpec!AO23*Q_w_poultry*(1/1000)),".")</f>
        <v>.</v>
      </c>
      <c r="AJ23" s="2" t="str">
        <f>IFERROR(E23/(RadSpec!AP23*Q_w_poultry*(1/1000)),".")</f>
        <v>.</v>
      </c>
      <c r="AK23" s="2">
        <f>IFERROR(F23/(RadSpec!AM23*Q_w_beef*(1/1000)),".")</f>
        <v>126.19239447521539</v>
      </c>
      <c r="AL23" s="2">
        <f>IFERROR((G23*D_milk)/(RadSpec!AL23*Q_w_dairy*(1/1000)),".")</f>
        <v>69.354124535601073</v>
      </c>
      <c r="AM23" s="2" t="str">
        <f>IFERROR(H23/(RadSpec!AQ23*Q_w_swine*(1/1000)),".")</f>
        <v>.</v>
      </c>
      <c r="AN23" s="2">
        <f>IFERROR(I23/(RadSpec!AN23*(1/1000)),".")</f>
        <v>0.59549405644837838</v>
      </c>
      <c r="AO23" s="74">
        <f t="shared" si="188"/>
        <v>1.3152356700000001</v>
      </c>
      <c r="AP23" s="74">
        <f t="shared" si="189"/>
        <v>123.381125</v>
      </c>
      <c r="AQ23" s="74">
        <f t="shared" si="190"/>
        <v>3.4943818767123286E-3</v>
      </c>
      <c r="AR23" s="74">
        <f t="shared" si="191"/>
        <v>3.6618303757234485</v>
      </c>
      <c r="AS23" s="74" t="str">
        <f t="shared" si="192"/>
        <v>.</v>
      </c>
      <c r="AT23" s="74" t="str">
        <f t="shared" si="193"/>
        <v>.</v>
      </c>
      <c r="AU23" s="74">
        <f t="shared" si="194"/>
        <v>7.9244078389875024E-3</v>
      </c>
      <c r="AV23" s="74">
        <f t="shared" si="195"/>
        <v>1.4418753126739807E-2</v>
      </c>
      <c r="AW23" s="74" t="str">
        <f t="shared" si="196"/>
        <v>.</v>
      </c>
      <c r="AX23" s="74">
        <f t="shared" si="197"/>
        <v>1.6792778856000001</v>
      </c>
      <c r="AY23" s="2">
        <f t="shared" si="198"/>
        <v>7.6885635703766103E-3</v>
      </c>
      <c r="AZ23" s="2">
        <f>IFERROR((DL/(RadSpec!L23*IFA_far_adj)),".")</f>
        <v>4.0524837166138663E-3</v>
      </c>
      <c r="BA23" s="2">
        <f>IFERROR((DL/(RadSpec!O23*EF_far*(1/365)*ED_far*ET_far*(1/24)*GSF_a)),".")</f>
        <v>1.7950955039988826E-2</v>
      </c>
      <c r="BB23" s="2">
        <f t="shared" si="199"/>
        <v>3.3061174574539201E-3</v>
      </c>
    </row>
    <row r="24" spans="1:54" customFormat="1" x14ac:dyDescent="0.25">
      <c r="A24" s="31" t="s">
        <v>22</v>
      </c>
      <c r="B24" s="3" t="s">
        <v>1059</v>
      </c>
      <c r="C24" s="2" t="str">
        <f>dir!AB24</f>
        <v>.</v>
      </c>
      <c r="D24" s="2" t="str">
        <f>IFERROR(DL/(RadSpec!J24*IFP_far_adj*CF_far_poultry),".")</f>
        <v>.</v>
      </c>
      <c r="E24" s="2" t="str">
        <f>IFERROR(DL/(RadSpec!J24*IFE_far_adj*CF_far_egg),".")</f>
        <v>.</v>
      </c>
      <c r="F24" s="2" t="str">
        <f>IFERROR(DL/(RadSpec!J24*IFB_far_adj*CF_far_beef),".")</f>
        <v>.</v>
      </c>
      <c r="G24" s="2" t="str">
        <f>IFERROR(DL/(RadSpec!J24*IFD_far_adj*CF_far_dairy),".")</f>
        <v>.</v>
      </c>
      <c r="H24" s="2" t="str">
        <f>IFERROR(DL/(RadSpec!J24*IFSW_far_adj*CF_far_swine),".")</f>
        <v>.</v>
      </c>
      <c r="I24" s="2" t="str">
        <f>IFERROR(DL/(RadSpec!J24*IFFI_far_adj*CF_far_fish),".")</f>
        <v>.</v>
      </c>
      <c r="J24" s="2" t="str">
        <f>IFERROR((DL/(RadSpec!I24*IFS_far_adj*(1/1000)))*1,".")</f>
        <v>.</v>
      </c>
      <c r="K24" s="2" t="str">
        <f>IFERROR(IF(A24="H-3",(DL/(RadSpec!L24*IFA_far_adj*(1/17)*1000))*1,(DL/(RadSpec!L24*IFA_far_adj*(1/PEF_wind)*1000))*1),".")</f>
        <v>.</v>
      </c>
      <c r="L24" s="2">
        <f>IFERROR((DL/(RadSpec!K24*EF_far*(1/365)*ED_far*RadSpec!V24*((ET_far_o*(1/24)*RadSpec!AA24)+(ET_far_i*(1/24)*RadSpec!AF24))))*1,".")</f>
        <v>363.39763331279812</v>
      </c>
      <c r="M24" s="2" t="str">
        <f>b2s!AB24</f>
        <v>.</v>
      </c>
      <c r="N24" s="2" t="str">
        <f>IFERROR((D24/(RadSpec!AO24*((Q_p_poultry*f_p_poultry*f_s_poultry*(RadSpec!BG24+R_es_past))+(Q_s_poultry*f_p_poultry))))*1,".")</f>
        <v>.</v>
      </c>
      <c r="O24" s="2" t="str">
        <f>IFERROR((E24/(RadSpec!AP24*((Q_p_poultry*f_p_poultry*f_s_poultry*(RadSpec!BG24+R_es_past))+(Q_s_poultry*f_p_poultry))))*1,".")</f>
        <v>.</v>
      </c>
      <c r="P24" s="2" t="str">
        <f>IFERROR((F24/(RadSpec!AM24*((Q_p_beef*f_p_beef*f_s_beef*(RadSpec!BG24+R_es_past))+(Q_s_beef*f_p_beef))))*1,".")</f>
        <v>.</v>
      </c>
      <c r="Q24" s="2" t="str">
        <f>IFERROR(((G24*D_milk)/(RadSpec!AL24*((Q_p_dairy*f_p_dairy*f_s_dairy*(RadSpec!BG24+R_es_past))+(Q_s_dairy*f_p_dairy))))*1,".")</f>
        <v>.</v>
      </c>
      <c r="R24" s="2" t="str">
        <f>IFERROR((H24/(RadSpec!AQ24*((Q_p_swine*f_p_swine*f_s_swine*(RadSpec!BG24+R_es_past))+(Q_s_swine*f_p_swine))))*1,".")</f>
        <v>.</v>
      </c>
      <c r="S24" s="2" t="str">
        <f>IFERROR(((I24*RadSpec!AX24)/RadSpec!AN24)*1,".")</f>
        <v>.</v>
      </c>
      <c r="T24" s="74" t="str">
        <f t="shared" ref="T24:T25" si="200">IFERROR(1/J24,".")</f>
        <v>.</v>
      </c>
      <c r="U24" s="74" t="str">
        <f t="shared" ref="U24:U25" si="201">IFERROR(1/K24,".")</f>
        <v>.</v>
      </c>
      <c r="V24" s="74">
        <f t="shared" ref="V24:V25" si="202">IFERROR(1/L24,".")</f>
        <v>2.7518065841095891E-3</v>
      </c>
      <c r="W24" s="74" t="str">
        <f t="shared" ref="W24:W25" si="203">IFERROR(1/M24,".")</f>
        <v>.</v>
      </c>
      <c r="X24" s="74" t="str">
        <f t="shared" ref="X24:X25" si="204">IFERROR(1/N24,".")</f>
        <v>.</v>
      </c>
      <c r="Y24" s="74" t="str">
        <f t="shared" ref="Y24:Y25" si="205">IFERROR(1/O24,".")</f>
        <v>.</v>
      </c>
      <c r="Z24" s="74" t="str">
        <f t="shared" ref="Z24:Z25" si="206">IFERROR(1/P24,".")</f>
        <v>.</v>
      </c>
      <c r="AA24" s="74" t="str">
        <f t="shared" ref="AA24:AA25" si="207">IFERROR(1/Q24,".")</f>
        <v>.</v>
      </c>
      <c r="AB24" s="74" t="str">
        <f t="shared" ref="AB24:AB25" si="208">IFERROR(1/R24,".")</f>
        <v>.</v>
      </c>
      <c r="AC24" s="74" t="str">
        <f t="shared" ref="AC24:AC25" si="209">IFERROR(1/S24,".")</f>
        <v>.</v>
      </c>
      <c r="AD24" s="2">
        <f t="shared" ref="AD24:AD25" si="210">IFERROR(1/(SUMIF(T24:AC24,"&lt;&gt;0")),".")</f>
        <v>363.39763331279812</v>
      </c>
      <c r="AE24" s="2" t="str">
        <f>IFERROR(DL/(RadSpec!M24*IFW_far_adj),".")</f>
        <v>.</v>
      </c>
      <c r="AF24" s="2" t="str">
        <f>IFERROR(IF(RadSpec!C24=1,DL/(RadSpec!L24*IFA_far_adj*K),"."),".")</f>
        <v>.</v>
      </c>
      <c r="AG24" s="2">
        <f>IFERROR((DL/(RadSpec!Q24*(1/8760)*DFA_far_adj)),".")</f>
        <v>2648.7520086365621</v>
      </c>
      <c r="AH24" s="2" t="str">
        <f>b2w!AB24</f>
        <v>.</v>
      </c>
      <c r="AI24" s="2" t="str">
        <f>IFERROR(D24/(RadSpec!AO24*Q_w_poultry*(1/1000)),".")</f>
        <v>.</v>
      </c>
      <c r="AJ24" s="2" t="str">
        <f>IFERROR(E24/(RadSpec!AP24*Q_w_poultry*(1/1000)),".")</f>
        <v>.</v>
      </c>
      <c r="AK24" s="2" t="str">
        <f>IFERROR(F24/(RadSpec!AM24*Q_w_beef*(1/1000)),".")</f>
        <v>.</v>
      </c>
      <c r="AL24" s="2" t="str">
        <f>IFERROR((G24*D_milk)/(RadSpec!AL24*Q_w_dairy*(1/1000)),".")</f>
        <v>.</v>
      </c>
      <c r="AM24" s="2" t="str">
        <f>IFERROR(H24/(RadSpec!AQ24*Q_w_swine*(1/1000)),".")</f>
        <v>.</v>
      </c>
      <c r="AN24" s="2" t="str">
        <f>IFERROR(I24/(RadSpec!AN24*(1/1000)),".")</f>
        <v>.</v>
      </c>
      <c r="AO24" s="74" t="str">
        <f t="shared" ref="AO24:AO25" si="211">IFERROR(1/AE24,".")</f>
        <v>.</v>
      </c>
      <c r="AP24" s="74" t="str">
        <f t="shared" ref="AP24:AP25" si="212">IFERROR(1/AF24,".")</f>
        <v>.</v>
      </c>
      <c r="AQ24" s="74">
        <f t="shared" ref="AQ24:AQ25" si="213">IFERROR(1/AG24,".")</f>
        <v>3.7753628755707758E-4</v>
      </c>
      <c r="AR24" s="74" t="str">
        <f t="shared" ref="AR24:AR25" si="214">IFERROR(1/AH24,".")</f>
        <v>.</v>
      </c>
      <c r="AS24" s="74" t="str">
        <f t="shared" ref="AS24:AS25" si="215">IFERROR(1/AI24,".")</f>
        <v>.</v>
      </c>
      <c r="AT24" s="74" t="str">
        <f t="shared" ref="AT24:AT25" si="216">IFERROR(1/AJ24,".")</f>
        <v>.</v>
      </c>
      <c r="AU24" s="74" t="str">
        <f t="shared" ref="AU24:AU25" si="217">IFERROR(1/AK24,".")</f>
        <v>.</v>
      </c>
      <c r="AV24" s="74" t="str">
        <f t="shared" ref="AV24:AV25" si="218">IFERROR(1/AL24,".")</f>
        <v>.</v>
      </c>
      <c r="AW24" s="74" t="str">
        <f t="shared" ref="AW24:AW25" si="219">IFERROR(1/AM24,".")</f>
        <v>.</v>
      </c>
      <c r="AX24" s="74" t="str">
        <f t="shared" ref="AX24:AX25" si="220">IFERROR(1/AN24,".")</f>
        <v>.</v>
      </c>
      <c r="AY24" s="2">
        <f>IFERROR(1/(SUMIF(AO24:AX24,"&lt;&gt;0")),".")</f>
        <v>2648.7520086365621</v>
      </c>
      <c r="AZ24" s="2" t="str">
        <f>IFERROR((DL/(RadSpec!L24*IFA_far_adj)),".")</f>
        <v>.</v>
      </c>
      <c r="BA24" s="2">
        <f>IFERROR((DL/(RadSpec!O24*EF_far*(1/365)*ED_far*ET_far*(1/24)*GSF_a)),".")</f>
        <v>0.16419844168930955</v>
      </c>
      <c r="BB24" s="2">
        <f t="shared" ref="BB24:BB30" si="221">IFERROR(IF(AND(AZ24&lt;&gt;".",BA24&lt;&gt;"."),1/((1/AZ24)+(1/BA24)),IF(AND(AZ24&lt;&gt;".",BA24="."),1/((1/AZ24)),IF(AND(AZ24=".",BA24&lt;&gt;"."),1/((1/BA24)),IF(AND(AZ24=".",BA24="."),".")))),".")</f>
        <v>0.16419844168930955</v>
      </c>
    </row>
    <row r="25" spans="1:54" customFormat="1" x14ac:dyDescent="0.25">
      <c r="A25" s="32" t="s">
        <v>23</v>
      </c>
      <c r="B25" s="3" t="s">
        <v>336</v>
      </c>
      <c r="C25" s="2" t="str">
        <f>dir!AB25</f>
        <v>.</v>
      </c>
      <c r="D25" s="2" t="str">
        <f>IFERROR(DL/(RadSpec!J25*IFP_far_adj*CF_far_poultry),".")</f>
        <v>.</v>
      </c>
      <c r="E25" s="2" t="str">
        <f>IFERROR(DL/(RadSpec!J25*IFE_far_adj*CF_far_egg),".")</f>
        <v>.</v>
      </c>
      <c r="F25" s="2" t="str">
        <f>IFERROR(DL/(RadSpec!J25*IFB_far_adj*CF_far_beef),".")</f>
        <v>.</v>
      </c>
      <c r="G25" s="2" t="str">
        <f>IFERROR(DL/(RadSpec!J25*IFD_far_adj*CF_far_dairy),".")</f>
        <v>.</v>
      </c>
      <c r="H25" s="2" t="str">
        <f>IFERROR(DL/(RadSpec!J25*IFSW_far_adj*CF_far_swine),".")</f>
        <v>.</v>
      </c>
      <c r="I25" s="2" t="str">
        <f>IFERROR(DL/(RadSpec!J25*IFFI_far_adj*CF_far_fish),".")</f>
        <v>.</v>
      </c>
      <c r="J25" s="2" t="str">
        <f>IFERROR((DL/(RadSpec!I25*IFS_far_adj*(1/1000)))*1,".")</f>
        <v>.</v>
      </c>
      <c r="K25" s="2">
        <f>IFERROR(IF(A25="H-3",(DL/(RadSpec!L25*IFA_far_adj*(1/17)*1000))*1,(DL/(RadSpec!L25*IFA_far_adj*(1/PEF_wind)*1000))*1),".")</f>
        <v>32051506.936990399</v>
      </c>
      <c r="L25" s="2">
        <f>IFERROR((DL/(RadSpec!K25*EF_far*(1/365)*ED_far*RadSpec!V25*((ET_far_o*(1/24)*RadSpec!AA25)+(ET_far_i*(1/24)*RadSpec!AF25))))*1,".")</f>
        <v>726.79526662559624</v>
      </c>
      <c r="M25" s="2" t="str">
        <f>b2s!AB25</f>
        <v>.</v>
      </c>
      <c r="N25" s="2" t="str">
        <f>IFERROR((D25/(RadSpec!AO25*((Q_p_poultry*f_p_poultry*f_s_poultry*(RadSpec!BG25+R_es_past))+(Q_s_poultry*f_p_poultry))))*1,".")</f>
        <v>.</v>
      </c>
      <c r="O25" s="2" t="str">
        <f>IFERROR((E25/(RadSpec!AP25*((Q_p_poultry*f_p_poultry*f_s_poultry*(RadSpec!BG25+R_es_past))+(Q_s_poultry*f_p_poultry))))*1,".")</f>
        <v>.</v>
      </c>
      <c r="P25" s="2" t="str">
        <f>IFERROR((F25/(RadSpec!AM25*((Q_p_beef*f_p_beef*f_s_beef*(RadSpec!BG25+R_es_past))+(Q_s_beef*f_p_beef))))*1,".")</f>
        <v>.</v>
      </c>
      <c r="Q25" s="2" t="str">
        <f>IFERROR(((G25*D_milk)/(RadSpec!AL25*((Q_p_dairy*f_p_dairy*f_s_dairy*(RadSpec!BG25+R_es_past))+(Q_s_dairy*f_p_dairy))))*1,".")</f>
        <v>.</v>
      </c>
      <c r="R25" s="2" t="str">
        <f>IFERROR((H25/(RadSpec!AQ25*((Q_p_swine*f_p_swine*f_s_swine*(RadSpec!BG25+R_es_past))+(Q_s_swine*f_p_swine))))*1,".")</f>
        <v>.</v>
      </c>
      <c r="S25" s="2" t="str">
        <f>IFERROR(((I25*RadSpec!AX25)/RadSpec!AN25)*1,".")</f>
        <v>.</v>
      </c>
      <c r="T25" s="74" t="str">
        <f t="shared" si="200"/>
        <v>.</v>
      </c>
      <c r="U25" s="74">
        <f t="shared" si="201"/>
        <v>3.1199781088792043E-8</v>
      </c>
      <c r="V25" s="74">
        <f t="shared" si="202"/>
        <v>1.3759032920547946E-3</v>
      </c>
      <c r="W25" s="74" t="str">
        <f t="shared" si="203"/>
        <v>.</v>
      </c>
      <c r="X25" s="74" t="str">
        <f t="shared" si="204"/>
        <v>.</v>
      </c>
      <c r="Y25" s="74" t="str">
        <f t="shared" si="205"/>
        <v>.</v>
      </c>
      <c r="Z25" s="74" t="str">
        <f t="shared" si="206"/>
        <v>.</v>
      </c>
      <c r="AA25" s="74" t="str">
        <f t="shared" si="207"/>
        <v>.</v>
      </c>
      <c r="AB25" s="74" t="str">
        <f t="shared" si="208"/>
        <v>.</v>
      </c>
      <c r="AC25" s="74" t="str">
        <f t="shared" si="209"/>
        <v>.</v>
      </c>
      <c r="AD25" s="2">
        <f t="shared" si="210"/>
        <v>726.77878629651832</v>
      </c>
      <c r="AE25" s="2" t="str">
        <f>IFERROR(DL/(RadSpec!M25*IFW_far_adj),".")</f>
        <v>.</v>
      </c>
      <c r="AF25" s="2">
        <f>IFERROR(IF(RadSpec!C25=1,DL/(RadSpec!L25*IFA_far_adj*K),"."),".")</f>
        <v>47.157299065696016</v>
      </c>
      <c r="AG25" s="2">
        <f>IFERROR((DL/(RadSpec!Q25*(1/8760)*DFA_far_adj)),".")</f>
        <v>5205.9248254851573</v>
      </c>
      <c r="AH25" s="2" t="str">
        <f>b2w!AB25</f>
        <v>.</v>
      </c>
      <c r="AI25" s="2" t="str">
        <f>IFERROR(D25/(RadSpec!AO25*Q_w_poultry*(1/1000)),".")</f>
        <v>.</v>
      </c>
      <c r="AJ25" s="2" t="str">
        <f>IFERROR(E25/(RadSpec!AP25*Q_w_poultry*(1/1000)),".")</f>
        <v>.</v>
      </c>
      <c r="AK25" s="2" t="str">
        <f>IFERROR(F25/(RadSpec!AM25*Q_w_beef*(1/1000)),".")</f>
        <v>.</v>
      </c>
      <c r="AL25" s="2" t="str">
        <f>IFERROR((G25*D_milk)/(RadSpec!AL25*Q_w_dairy*(1/1000)),".")</f>
        <v>.</v>
      </c>
      <c r="AM25" s="2" t="str">
        <f>IFERROR(H25/(RadSpec!AQ25*Q_w_swine*(1/1000)),".")</f>
        <v>.</v>
      </c>
      <c r="AN25" s="2" t="str">
        <f>IFERROR(I25/(RadSpec!AN25*(1/1000)),".")</f>
        <v>.</v>
      </c>
      <c r="AO25" s="74" t="str">
        <f t="shared" si="211"/>
        <v>.</v>
      </c>
      <c r="AP25" s="74">
        <f t="shared" si="212"/>
        <v>2.1205624999999999E-2</v>
      </c>
      <c r="AQ25" s="74">
        <f t="shared" si="213"/>
        <v>1.9208882831050231E-4</v>
      </c>
      <c r="AR25" s="74" t="str">
        <f t="shared" si="214"/>
        <v>.</v>
      </c>
      <c r="AS25" s="74" t="str">
        <f t="shared" si="215"/>
        <v>.</v>
      </c>
      <c r="AT25" s="74" t="str">
        <f t="shared" si="216"/>
        <v>.</v>
      </c>
      <c r="AU25" s="74" t="str">
        <f t="shared" si="217"/>
        <v>.</v>
      </c>
      <c r="AV25" s="74" t="str">
        <f t="shared" si="218"/>
        <v>.</v>
      </c>
      <c r="AW25" s="74" t="str">
        <f t="shared" si="219"/>
        <v>.</v>
      </c>
      <c r="AX25" s="74" t="str">
        <f t="shared" si="220"/>
        <v>.</v>
      </c>
      <c r="AY25" s="2">
        <f>IFERROR(1/(SUMIF(AO25:AX25,"&lt;&gt;0")),".")</f>
        <v>46.733964573212397</v>
      </c>
      <c r="AZ25" s="2">
        <f>IFERROR((DL/(RadSpec!L25*IFA_far_adj)),".")</f>
        <v>23.578649532848008</v>
      </c>
      <c r="BA25" s="2">
        <f>IFERROR((DL/(RadSpec!O25*EF_far*(1/365)*ED_far*ET_far*(1/24)*GSF_a)),".")</f>
        <v>0.32270213973621537</v>
      </c>
      <c r="BB25" s="2">
        <f t="shared" si="221"/>
        <v>0.3183452032576069</v>
      </c>
    </row>
    <row r="26" spans="1:54" customFormat="1" x14ac:dyDescent="0.25">
      <c r="A26" s="31" t="s">
        <v>24</v>
      </c>
      <c r="B26" s="3" t="s">
        <v>1059</v>
      </c>
      <c r="C26" s="2">
        <f>dir!AB26</f>
        <v>9.0444458487891181E-4</v>
      </c>
      <c r="D26" s="2">
        <f>IFERROR(DL/(RadSpec!J26*IFP_far_adj*CF_far_poultry),".")</f>
        <v>1.2895820631050759E-2</v>
      </c>
      <c r="E26" s="2">
        <f>IFERROR(DL/(RadSpec!J26*IFE_far_adj*CF_far_egg),".")</f>
        <v>2.2881558486836883E-2</v>
      </c>
      <c r="F26" s="2">
        <f>IFERROR(DL/(RadSpec!J26*IFB_far_adj*CF_far_beef),".")</f>
        <v>8.4574391432253853E-3</v>
      </c>
      <c r="G26" s="2">
        <f>IFERROR(DL/(RadSpec!J26*IFD_far_adj*CF_far_dairy),".")</f>
        <v>1.7510050660407318E-3</v>
      </c>
      <c r="H26" s="2">
        <f>IFERROR(DL/(RadSpec!J26*IFSW_far_adj*CF_far_swine),".")</f>
        <v>1.5152743350239792E-2</v>
      </c>
      <c r="I26" s="2">
        <f>IFERROR(DL/(RadSpec!J26*IFFI_far_adj*CF_far_fish),".")</f>
        <v>1.7718148280533033E-3</v>
      </c>
      <c r="J26" s="2">
        <f>IFERROR((DL/(RadSpec!I26*IFS_far_adj*(1/1000)))*1,".")</f>
        <v>11.025926639548398</v>
      </c>
      <c r="K26" s="2">
        <f>IFERROR(IF(A26="H-3",(DL/(RadSpec!L26*IFA_far_adj*(1/17)*1000))*1,(DL/(RadSpec!L26*IFA_far_adj*(1/PEF_wind)*1000))*1),".")</f>
        <v>751.52092513795276</v>
      </c>
      <c r="L26" s="2">
        <f>IFERROR((DL/(RadSpec!K26*EF_far*(1/365)*ED_far*RadSpec!V26*((ET_far_o*(1/24)*RadSpec!AA26)+(ET_far_i*(1/24)*RadSpec!AF26))))*1,".")</f>
        <v>5.3801727529427268</v>
      </c>
      <c r="M26" s="2">
        <f>b2s!AB26</f>
        <v>0.63244270591067919</v>
      </c>
      <c r="N26" s="2" t="str">
        <f>IFERROR((D26/(RadSpec!AO26*((Q_p_poultry*f_p_poultry*f_s_poultry*(RadSpec!BG26+R_es_past))+(Q_s_poultry*f_p_poultry))))*1,".")</f>
        <v>.</v>
      </c>
      <c r="O26" s="2" t="str">
        <f>IFERROR((E26/(RadSpec!AP26*((Q_p_poultry*f_p_poultry*f_s_poultry*(RadSpec!BG26+R_es_past))+(Q_s_poultry*f_p_poultry))))*1,".")</f>
        <v>.</v>
      </c>
      <c r="P26" s="2">
        <f>IFERROR((F26/(RadSpec!AM26*((Q_p_beef*f_p_beef*f_s_beef*(RadSpec!BG26+R_es_past))+(Q_s_beef*f_p_beef))))*1,".")</f>
        <v>10.594187369477885</v>
      </c>
      <c r="Q26" s="2">
        <f>IFERROR(((G26*D_milk)/(RadSpec!AL26*((Q_p_dairy*f_p_dairy*f_s_dairy*(RadSpec!BG26+R_es_past))+(Q_s_dairy*f_p_dairy))))*1,".")</f>
        <v>65.298161405573978</v>
      </c>
      <c r="R26" s="2" t="str">
        <f>IFERROR((H26/(RadSpec!AQ26*((Q_p_swine*f_p_swine*f_s_swine*(RadSpec!BG26+R_es_past))+(Q_s_swine*f_p_swine))))*1,".")</f>
        <v>.</v>
      </c>
      <c r="S26" s="2">
        <f>IFERROR(((I26*RadSpec!AX26)/RadSpec!AN26)*1,".")</f>
        <v>5.9060494268443446E-3</v>
      </c>
      <c r="T26" s="74">
        <f t="shared" ref="T26" si="222">IFERROR(1/J26,".")</f>
        <v>9.0695325000000021E-2</v>
      </c>
      <c r="U26" s="74">
        <f t="shared" ref="U26" si="223">IFERROR(1/K26,".")</f>
        <v>1.3306349384968027E-3</v>
      </c>
      <c r="V26" s="74">
        <f t="shared" ref="V26" si="224">IFERROR(1/L26,".")</f>
        <v>0.1858676376986301</v>
      </c>
      <c r="W26" s="74">
        <f t="shared" ref="W26" si="225">IFERROR(1/M26,".")</f>
        <v>1.5811708960419752</v>
      </c>
      <c r="X26" s="74" t="str">
        <f t="shared" ref="X26" si="226">IFERROR(1/N26,".")</f>
        <v>.</v>
      </c>
      <c r="Y26" s="74" t="str">
        <f t="shared" ref="Y26" si="227">IFERROR(1/O26,".")</f>
        <v>.</v>
      </c>
      <c r="Z26" s="74">
        <f t="shared" ref="Z26" si="228">IFERROR(1/P26,".")</f>
        <v>9.4391383229734518E-2</v>
      </c>
      <c r="AA26" s="74">
        <f t="shared" ref="AA26" si="229">IFERROR(1/Q26,".")</f>
        <v>1.5314366874572338E-2</v>
      </c>
      <c r="AB26" s="74" t="str">
        <f t="shared" ref="AB26" si="230">IFERROR(1/R26,".")</f>
        <v>.</v>
      </c>
      <c r="AC26" s="74">
        <f t="shared" ref="AC26" si="231">IFERROR(1/S26,".")</f>
        <v>169.31791926</v>
      </c>
      <c r="AD26" s="2">
        <f t="shared" ref="AD26" si="232">IFERROR(1/(SUMIF(T26:AC26,"&lt;&gt;0")),".")</f>
        <v>5.8381652590577494E-3</v>
      </c>
      <c r="AE26" s="2">
        <f>IFERROR(DL/(RadSpec!M26*IFW_far_adj),".")</f>
        <v>0.56555823530243787</v>
      </c>
      <c r="AF26" s="2" t="str">
        <f>IFERROR(IF(RadSpec!C26=1,DL/(RadSpec!L26*IFA_far_adj*K),"."),".")</f>
        <v>.</v>
      </c>
      <c r="AG26" s="2">
        <f>IFERROR((DL/(RadSpec!Q26*(1/8760)*DFA_far_adj)),".")</f>
        <v>26.451726140302963</v>
      </c>
      <c r="AH26" s="2">
        <f>b2w!AB26</f>
        <v>0.24488886790225914</v>
      </c>
      <c r="AI26" s="2" t="str">
        <f>IFERROR(D26/(RadSpec!AO26*Q_w_poultry*(1/1000)),".")</f>
        <v>.</v>
      </c>
      <c r="AJ26" s="2" t="str">
        <f>IFERROR(E26/(RadSpec!AP26*Q_w_poultry*(1/1000)),".")</f>
        <v>.</v>
      </c>
      <c r="AK26" s="2">
        <f>IFERROR(F26/(RadSpec!AM26*Q_w_beef*(1/1000)),".")</f>
        <v>693.80140633514225</v>
      </c>
      <c r="AL26" s="2">
        <f>IFERROR((G26*D_milk)/(RadSpec!AL26*Q_w_dairy*(1/1000)),".")</f>
        <v>3920.7287348303339</v>
      </c>
      <c r="AM26" s="2" t="str">
        <f>IFERROR(H26/(RadSpec!AQ26*Q_w_swine*(1/1000)),".")</f>
        <v>.</v>
      </c>
      <c r="AN26" s="2">
        <f>IFERROR(I26/(RadSpec!AN26*(1/1000)),".")</f>
        <v>0.29530247134221721</v>
      </c>
      <c r="AO26" s="74">
        <f t="shared" ref="AO26" si="233">IFERROR(1/AE26,".")</f>
        <v>1.7681645100000005</v>
      </c>
      <c r="AP26" s="74" t="str">
        <f t="shared" ref="AP26" si="234">IFERROR(1/AF26,".")</f>
        <v>.</v>
      </c>
      <c r="AQ26" s="74">
        <f t="shared" ref="AQ26" si="235">IFERROR(1/AG26,".")</f>
        <v>3.7804716210045664E-2</v>
      </c>
      <c r="AR26" s="74">
        <f t="shared" ref="AR26" si="236">IFERROR(1/AH26,".")</f>
        <v>4.0834849234515769</v>
      </c>
      <c r="AS26" s="74" t="str">
        <f t="shared" ref="AS26" si="237">IFERROR(1/AI26,".")</f>
        <v>.</v>
      </c>
      <c r="AT26" s="74" t="str">
        <f t="shared" ref="AT26" si="238">IFERROR(1/AJ26,".")</f>
        <v>.</v>
      </c>
      <c r="AU26" s="74">
        <f t="shared" ref="AU26" si="239">IFERROR(1/AK26,".")</f>
        <v>1.4413346396662504E-3</v>
      </c>
      <c r="AV26" s="74">
        <f t="shared" ref="AV26" si="240">IFERROR(1/AL26,".")</f>
        <v>2.5505462571699038E-4</v>
      </c>
      <c r="AW26" s="74" t="str">
        <f t="shared" ref="AW26" si="241">IFERROR(1/AM26,".")</f>
        <v>.</v>
      </c>
      <c r="AX26" s="74">
        <f t="shared" ref="AX26" si="242">IFERROR(1/AN26,".")</f>
        <v>3.3863583852000003</v>
      </c>
      <c r="AY26" s="2">
        <f>IFERROR(1/(SUMIF(AO26:AX26,"&lt;&gt;0")),".")</f>
        <v>0.10778755463111535</v>
      </c>
      <c r="AZ26" s="2">
        <f>IFERROR((DL/(RadSpec!L26*IFA_far_adj)),".")</f>
        <v>5.5285539445195796E-4</v>
      </c>
      <c r="BA26" s="2">
        <f>IFERROR((DL/(RadSpec!O26*EF_far*(1/365)*ED_far*ET_far*(1/24)*GSF_a)),".")</f>
        <v>1.6815503064567844E-3</v>
      </c>
      <c r="BB26" s="2">
        <f t="shared" si="221"/>
        <v>4.1606327695497826E-4</v>
      </c>
    </row>
    <row r="27" spans="1:54" customFormat="1" x14ac:dyDescent="0.25">
      <c r="A27" s="31" t="s">
        <v>25</v>
      </c>
      <c r="B27" s="3" t="s">
        <v>1059</v>
      </c>
      <c r="C27" s="2" t="str">
        <f>dir!AB27</f>
        <v>.</v>
      </c>
      <c r="D27" s="2" t="str">
        <f>IFERROR(DL/(RadSpec!J27*IFP_far_adj*CF_far_poultry),".")</f>
        <v>.</v>
      </c>
      <c r="E27" s="2" t="str">
        <f>IFERROR(DL/(RadSpec!J27*IFE_far_adj*CF_far_egg),".")</f>
        <v>.</v>
      </c>
      <c r="F27" s="2" t="str">
        <f>IFERROR(DL/(RadSpec!J27*IFB_far_adj*CF_far_beef),".")</f>
        <v>.</v>
      </c>
      <c r="G27" s="2" t="str">
        <f>IFERROR(DL/(RadSpec!J27*IFD_far_adj*CF_far_dairy),".")</f>
        <v>.</v>
      </c>
      <c r="H27" s="2" t="str">
        <f>IFERROR(DL/(RadSpec!J27*IFSW_far_adj*CF_far_swine),".")</f>
        <v>.</v>
      </c>
      <c r="I27" s="2" t="str">
        <f>IFERROR(DL/(RadSpec!J27*IFFI_far_adj*CF_far_fish),".")</f>
        <v>.</v>
      </c>
      <c r="J27" s="2" t="str">
        <f>IFERROR((DL/(RadSpec!I27*IFS_far_adj*(1/1000)))*1,".")</f>
        <v>.</v>
      </c>
      <c r="K27" s="2" t="str">
        <f>IFERROR(IF(A27="H-3",(DL/(RadSpec!L27*IFA_far_adj*(1/17)*1000))*1,(DL/(RadSpec!L27*IFA_far_adj*(1/PEF_wind)*1000))*1),".")</f>
        <v>.</v>
      </c>
      <c r="L27" s="2">
        <f>IFERROR((DL/(RadSpec!K27*EF_far*(1/365)*ED_far*RadSpec!V27*((ET_far_o*(1/24)*RadSpec!AA27)+(ET_far_i*(1/24)*RadSpec!AF27))))*1,".")</f>
        <v>121.13254443759941</v>
      </c>
      <c r="M27" s="2" t="str">
        <f>b2s!AB27</f>
        <v>.</v>
      </c>
      <c r="N27" s="2" t="str">
        <f>IFERROR((D27/(RadSpec!AO27*((Q_p_poultry*f_p_poultry*f_s_poultry*(RadSpec!BG27+R_es_past))+(Q_s_poultry*f_p_poultry))))*1,".")</f>
        <v>.</v>
      </c>
      <c r="O27" s="2" t="str">
        <f>IFERROR((E27/(RadSpec!AP27*((Q_p_poultry*f_p_poultry*f_s_poultry*(RadSpec!BG27+R_es_past))+(Q_s_poultry*f_p_poultry))))*1,".")</f>
        <v>.</v>
      </c>
      <c r="P27" s="2" t="str">
        <f>IFERROR((F27/(RadSpec!AM27*((Q_p_beef*f_p_beef*f_s_beef*(RadSpec!BG27+R_es_past))+(Q_s_beef*f_p_beef))))*1,".")</f>
        <v>.</v>
      </c>
      <c r="Q27" s="2" t="str">
        <f>IFERROR(((G27*D_milk)/(RadSpec!AL27*((Q_p_dairy*f_p_dairy*f_s_dairy*(RadSpec!BG27+R_es_past))+(Q_s_dairy*f_p_dairy))))*1,".")</f>
        <v>.</v>
      </c>
      <c r="R27" s="2" t="str">
        <f>IFERROR((H27/(RadSpec!AQ27*((Q_p_swine*f_p_swine*f_s_swine*(RadSpec!BG27+R_es_past))+(Q_s_swine*f_p_swine))))*1,".")</f>
        <v>.</v>
      </c>
      <c r="S27" s="2" t="str">
        <f>IFERROR(((I27*RadSpec!AX27)/RadSpec!AN27)*1,".")</f>
        <v>.</v>
      </c>
      <c r="T27" s="74" t="str">
        <f t="shared" ref="T27:T30" si="243">IFERROR(1/J27,".")</f>
        <v>.</v>
      </c>
      <c r="U27" s="74" t="str">
        <f t="shared" ref="U27:U30" si="244">IFERROR(1/K27,".")</f>
        <v>.</v>
      </c>
      <c r="V27" s="74">
        <f t="shared" ref="V27:V30" si="245">IFERROR(1/L27,".")</f>
        <v>8.2554197523287652E-3</v>
      </c>
      <c r="W27" s="74" t="str">
        <f t="shared" ref="W27:W30" si="246">IFERROR(1/M27,".")</f>
        <v>.</v>
      </c>
      <c r="X27" s="74" t="str">
        <f t="shared" ref="X27:X30" si="247">IFERROR(1/N27,".")</f>
        <v>.</v>
      </c>
      <c r="Y27" s="74" t="str">
        <f t="shared" ref="Y27:Y30" si="248">IFERROR(1/O27,".")</f>
        <v>.</v>
      </c>
      <c r="Z27" s="74" t="str">
        <f t="shared" ref="Z27:Z30" si="249">IFERROR(1/P27,".")</f>
        <v>.</v>
      </c>
      <c r="AA27" s="74" t="str">
        <f t="shared" ref="AA27:AA30" si="250">IFERROR(1/Q27,".")</f>
        <v>.</v>
      </c>
      <c r="AB27" s="74" t="str">
        <f t="shared" ref="AB27:AB30" si="251">IFERROR(1/R27,".")</f>
        <v>.</v>
      </c>
      <c r="AC27" s="74" t="str">
        <f t="shared" ref="AC27:AC30" si="252">IFERROR(1/S27,".")</f>
        <v>.</v>
      </c>
      <c r="AD27" s="2">
        <f t="shared" ref="AD27:AD30" si="253">IFERROR(1/(SUMIF(T27:AC27,"&lt;&gt;0")),".")</f>
        <v>121.13254443759941</v>
      </c>
      <c r="AE27" s="2" t="str">
        <f>IFERROR(DL/(RadSpec!M27*IFW_far_adj),".")</f>
        <v>.</v>
      </c>
      <c r="AF27" s="2" t="str">
        <f>IFERROR(IF(RadSpec!C27=1,DL/(RadSpec!L27*IFA_far_adj*K),"."),".")</f>
        <v>.</v>
      </c>
      <c r="AG27" s="2">
        <f>IFERROR((DL/(RadSpec!Q27*(1/8760)*DFA_far_adj)),".")</f>
        <v>412.09004934366726</v>
      </c>
      <c r="AH27" s="2" t="str">
        <f>b2w!AB27</f>
        <v>.</v>
      </c>
      <c r="AI27" s="2" t="str">
        <f>IFERROR(D27/(RadSpec!AO27*Q_w_poultry*(1/1000)),".")</f>
        <v>.</v>
      </c>
      <c r="AJ27" s="2" t="str">
        <f>IFERROR(E27/(RadSpec!AP27*Q_w_poultry*(1/1000)),".")</f>
        <v>.</v>
      </c>
      <c r="AK27" s="2" t="str">
        <f>IFERROR(F27/(RadSpec!AM27*Q_w_beef*(1/1000)),".")</f>
        <v>.</v>
      </c>
      <c r="AL27" s="2" t="str">
        <f>IFERROR((G27*D_milk)/(RadSpec!AL27*Q_w_dairy*(1/1000)),".")</f>
        <v>.</v>
      </c>
      <c r="AM27" s="2" t="str">
        <f>IFERROR(H27/(RadSpec!AQ27*Q_w_swine*(1/1000)),".")</f>
        <v>.</v>
      </c>
      <c r="AN27" s="2" t="str">
        <f>IFERROR(I27/(RadSpec!AN27*(1/1000)),".")</f>
        <v>.</v>
      </c>
      <c r="AO27" s="74" t="str">
        <f t="shared" ref="AO27:AO30" si="254">IFERROR(1/AE27,".")</f>
        <v>.</v>
      </c>
      <c r="AP27" s="74" t="str">
        <f t="shared" ref="AP27:AP30" si="255">IFERROR(1/AF27,".")</f>
        <v>.</v>
      </c>
      <c r="AQ27" s="74">
        <f t="shared" ref="AQ27:AQ30" si="256">IFERROR(1/AG27,".")</f>
        <v>2.426654081050228E-3</v>
      </c>
      <c r="AR27" s="74" t="str">
        <f t="shared" ref="AR27:AR30" si="257">IFERROR(1/AH27,".")</f>
        <v>.</v>
      </c>
      <c r="AS27" s="74" t="str">
        <f t="shared" ref="AS27:AS30" si="258">IFERROR(1/AI27,".")</f>
        <v>.</v>
      </c>
      <c r="AT27" s="74" t="str">
        <f t="shared" ref="AT27:AT30" si="259">IFERROR(1/AJ27,".")</f>
        <v>.</v>
      </c>
      <c r="AU27" s="74" t="str">
        <f t="shared" ref="AU27:AU30" si="260">IFERROR(1/AK27,".")</f>
        <v>.</v>
      </c>
      <c r="AV27" s="74" t="str">
        <f t="shared" ref="AV27:AV30" si="261">IFERROR(1/AL27,".")</f>
        <v>.</v>
      </c>
      <c r="AW27" s="74" t="str">
        <f t="shared" ref="AW27:AW30" si="262">IFERROR(1/AM27,".")</f>
        <v>.</v>
      </c>
      <c r="AX27" s="74" t="str">
        <f t="shared" ref="AX27:AX30" si="263">IFERROR(1/AN27,".")</f>
        <v>.</v>
      </c>
      <c r="AY27" s="2">
        <f>IFERROR(1/(SUMIF(AO27:AX27,"&lt;&gt;0")),".")</f>
        <v>412.09004934366726</v>
      </c>
      <c r="AZ27" s="2" t="str">
        <f>IFERROR((DL/(RadSpec!L27*IFA_far_adj)),".")</f>
        <v>.</v>
      </c>
      <c r="BA27" s="2">
        <f>IFERROR((DL/(RadSpec!O27*EF_far*(1/365)*ED_far*ET_far*(1/24)*GSF_a)),".")</f>
        <v>1.4062335056515175E-2</v>
      </c>
      <c r="BB27" s="2">
        <f t="shared" si="221"/>
        <v>1.4062335056515175E-2</v>
      </c>
    </row>
    <row r="28" spans="1:54" customFormat="1" x14ac:dyDescent="0.25">
      <c r="A28" s="31" t="s">
        <v>26</v>
      </c>
      <c r="B28" s="3" t="s">
        <v>1059</v>
      </c>
      <c r="C28" s="2" t="str">
        <f>dir!AB28</f>
        <v>.</v>
      </c>
      <c r="D28" s="2" t="str">
        <f>IFERROR(DL/(RadSpec!J28*IFP_far_adj*CF_far_poultry),".")</f>
        <v>.</v>
      </c>
      <c r="E28" s="2" t="str">
        <f>IFERROR(DL/(RadSpec!J28*IFE_far_adj*CF_far_egg),".")</f>
        <v>.</v>
      </c>
      <c r="F28" s="2" t="str">
        <f>IFERROR(DL/(RadSpec!J28*IFB_far_adj*CF_far_beef),".")</f>
        <v>.</v>
      </c>
      <c r="G28" s="2" t="str">
        <f>IFERROR(DL/(RadSpec!J28*IFD_far_adj*CF_far_dairy),".")</f>
        <v>.</v>
      </c>
      <c r="H28" s="2" t="str">
        <f>IFERROR(DL/(RadSpec!J28*IFSW_far_adj*CF_far_swine),".")</f>
        <v>.</v>
      </c>
      <c r="I28" s="2" t="str">
        <f>IFERROR(DL/(RadSpec!J28*IFFI_far_adj*CF_far_fish),".")</f>
        <v>.</v>
      </c>
      <c r="J28" s="2" t="str">
        <f>IFERROR((DL/(RadSpec!I28*IFS_far_adj*(1/1000)))*1,".")</f>
        <v>.</v>
      </c>
      <c r="K28" s="2" t="str">
        <f>IFERROR(IF(A28="H-3",(DL/(RadSpec!L28*IFA_far_adj*(1/17)*1000))*1,(DL/(RadSpec!L28*IFA_far_adj*(1/PEF_wind)*1000))*1),".")</f>
        <v>.</v>
      </c>
      <c r="L28" s="2">
        <f>IFERROR((DL/(RadSpec!K28*EF_far*(1/365)*ED_far*RadSpec!V28*((ET_far_o*(1/24)*RadSpec!AA28)+(ET_far_i*(1/24)*RadSpec!AF28))))*1,".")</f>
        <v>0.12025349839668792</v>
      </c>
      <c r="M28" s="2" t="str">
        <f>b2s!AB28</f>
        <v>.</v>
      </c>
      <c r="N28" s="2" t="str">
        <f>IFERROR((D28/(RadSpec!AO28*((Q_p_poultry*f_p_poultry*f_s_poultry*(RadSpec!BG28+R_es_past))+(Q_s_poultry*f_p_poultry))))*1,".")</f>
        <v>.</v>
      </c>
      <c r="O28" s="2" t="str">
        <f>IFERROR((E28/(RadSpec!AP28*((Q_p_poultry*f_p_poultry*f_s_poultry*(RadSpec!BG28+R_es_past))+(Q_s_poultry*f_p_poultry))))*1,".")</f>
        <v>.</v>
      </c>
      <c r="P28" s="2" t="str">
        <f>IFERROR((F28/(RadSpec!AM28*((Q_p_beef*f_p_beef*f_s_beef*(RadSpec!BG28+R_es_past))+(Q_s_beef*f_p_beef))))*1,".")</f>
        <v>.</v>
      </c>
      <c r="Q28" s="2" t="str">
        <f>IFERROR(((G28*D_milk)/(RadSpec!AL28*((Q_p_dairy*f_p_dairy*f_s_dairy*(RadSpec!BG28+R_es_past))+(Q_s_dairy*f_p_dairy))))*1,".")</f>
        <v>.</v>
      </c>
      <c r="R28" s="2" t="str">
        <f>IFERROR((H28/(RadSpec!AQ28*((Q_p_swine*f_p_swine*f_s_swine*(RadSpec!BG28+R_es_past))+(Q_s_swine*f_p_swine))))*1,".")</f>
        <v>.</v>
      </c>
      <c r="S28" s="2" t="str">
        <f>IFERROR(((I28*RadSpec!AX28)/RadSpec!AN28)*1,".")</f>
        <v>.</v>
      </c>
      <c r="T28" s="74" t="str">
        <f t="shared" si="243"/>
        <v>.</v>
      </c>
      <c r="U28" s="74" t="str">
        <f t="shared" si="244"/>
        <v>.</v>
      </c>
      <c r="V28" s="74">
        <f t="shared" si="245"/>
        <v>8.3157663879452048</v>
      </c>
      <c r="W28" s="74" t="str">
        <f t="shared" si="246"/>
        <v>.</v>
      </c>
      <c r="X28" s="74" t="str">
        <f t="shared" si="247"/>
        <v>.</v>
      </c>
      <c r="Y28" s="74" t="str">
        <f t="shared" si="248"/>
        <v>.</v>
      </c>
      <c r="Z28" s="74" t="str">
        <f t="shared" si="249"/>
        <v>.</v>
      </c>
      <c r="AA28" s="74" t="str">
        <f t="shared" si="250"/>
        <v>.</v>
      </c>
      <c r="AB28" s="74" t="str">
        <f t="shared" si="251"/>
        <v>.</v>
      </c>
      <c r="AC28" s="74" t="str">
        <f t="shared" si="252"/>
        <v>.</v>
      </c>
      <c r="AD28" s="2">
        <f t="shared" si="253"/>
        <v>0.12025349839668792</v>
      </c>
      <c r="AE28" s="2" t="str">
        <f>IFERROR(DL/(RadSpec!M28*IFW_far_adj),".")</f>
        <v>.</v>
      </c>
      <c r="AF28" s="2" t="str">
        <f>IFERROR(IF(RadSpec!C28=1,DL/(RadSpec!L28*IFA_far_adj*K),"."),".")</f>
        <v>.</v>
      </c>
      <c r="AG28" s="2">
        <f>IFERROR((DL/(RadSpec!Q28*(1/8760)*DFA_far_adj)),".")</f>
        <v>0.8897398792647363</v>
      </c>
      <c r="AH28" s="2" t="str">
        <f>b2w!AB28</f>
        <v>.</v>
      </c>
      <c r="AI28" s="2" t="str">
        <f>IFERROR(D28/(RadSpec!AO28*Q_w_poultry*(1/1000)),".")</f>
        <v>.</v>
      </c>
      <c r="AJ28" s="2" t="str">
        <f>IFERROR(E28/(RadSpec!AP28*Q_w_poultry*(1/1000)),".")</f>
        <v>.</v>
      </c>
      <c r="AK28" s="2" t="str">
        <f>IFERROR(F28/(RadSpec!AM28*Q_w_beef*(1/1000)),".")</f>
        <v>.</v>
      </c>
      <c r="AL28" s="2" t="str">
        <f>IFERROR((G28*D_milk)/(RadSpec!AL28*Q_w_dairy*(1/1000)),".")</f>
        <v>.</v>
      </c>
      <c r="AM28" s="2" t="str">
        <f>IFERROR(H28/(RadSpec!AQ28*Q_w_swine*(1/1000)),".")</f>
        <v>.</v>
      </c>
      <c r="AN28" s="2" t="str">
        <f>IFERROR(I28/(RadSpec!AN28*(1/1000)),".")</f>
        <v>.</v>
      </c>
      <c r="AO28" s="74" t="str">
        <f t="shared" si="254"/>
        <v>.</v>
      </c>
      <c r="AP28" s="74" t="str">
        <f t="shared" si="255"/>
        <v>.</v>
      </c>
      <c r="AQ28" s="74">
        <f t="shared" si="256"/>
        <v>1.1239239954337896</v>
      </c>
      <c r="AR28" s="74" t="str">
        <f t="shared" si="257"/>
        <v>.</v>
      </c>
      <c r="AS28" s="74" t="str">
        <f t="shared" si="258"/>
        <v>.</v>
      </c>
      <c r="AT28" s="74" t="str">
        <f t="shared" si="259"/>
        <v>.</v>
      </c>
      <c r="AU28" s="74" t="str">
        <f t="shared" si="260"/>
        <v>.</v>
      </c>
      <c r="AV28" s="74" t="str">
        <f t="shared" si="261"/>
        <v>.</v>
      </c>
      <c r="AW28" s="74" t="str">
        <f t="shared" si="262"/>
        <v>.</v>
      </c>
      <c r="AX28" s="74" t="str">
        <f t="shared" si="263"/>
        <v>.</v>
      </c>
      <c r="AY28" s="2">
        <f t="shared" ref="AY28:AY29" si="264">IFERROR(1/(SUMIF(AO28:AX28,"&lt;&gt;0")),".")</f>
        <v>0.8897398792647363</v>
      </c>
      <c r="AZ28" s="2" t="str">
        <f>IFERROR((DL/(RadSpec!L28*IFA_far_adj)),".")</f>
        <v>.</v>
      </c>
      <c r="BA28" s="2">
        <f>IFERROR((DL/(RadSpec!O28*EF_far*(1/365)*ED_far*ET_far*(1/24)*GSF_a)),".")</f>
        <v>5.4732813896436524E-5</v>
      </c>
      <c r="BB28" s="2">
        <f t="shared" si="221"/>
        <v>5.4732813896436524E-5</v>
      </c>
    </row>
    <row r="29" spans="1:54" customFormat="1" x14ac:dyDescent="0.25">
      <c r="A29" s="31" t="s">
        <v>27</v>
      </c>
      <c r="B29" s="3" t="s">
        <v>1059</v>
      </c>
      <c r="C29" s="2" t="str">
        <f>dir!AB29</f>
        <v>.</v>
      </c>
      <c r="D29" s="2" t="str">
        <f>IFERROR(DL/(RadSpec!J29*IFP_far_adj*CF_far_poultry),".")</f>
        <v>.</v>
      </c>
      <c r="E29" s="2" t="str">
        <f>IFERROR(DL/(RadSpec!J29*IFE_far_adj*CF_far_egg),".")</f>
        <v>.</v>
      </c>
      <c r="F29" s="2" t="str">
        <f>IFERROR(DL/(RadSpec!J29*IFB_far_adj*CF_far_beef),".")</f>
        <v>.</v>
      </c>
      <c r="G29" s="2" t="str">
        <f>IFERROR(DL/(RadSpec!J29*IFD_far_adj*CF_far_dairy),".")</f>
        <v>.</v>
      </c>
      <c r="H29" s="2" t="str">
        <f>IFERROR(DL/(RadSpec!J29*IFSW_far_adj*CF_far_swine),".")</f>
        <v>.</v>
      </c>
      <c r="I29" s="2" t="str">
        <f>IFERROR(DL/(RadSpec!J29*IFFI_far_adj*CF_far_fish),".")</f>
        <v>.</v>
      </c>
      <c r="J29" s="2" t="str">
        <f>IFERROR((DL/(RadSpec!I29*IFS_far_adj*(1/1000)))*1,".")</f>
        <v>.</v>
      </c>
      <c r="K29" s="2" t="str">
        <f>IFERROR(IF(A29="H-3",(DL/(RadSpec!L29*IFA_far_adj*(1/17)*1000))*1,(DL/(RadSpec!L29*IFA_far_adj*(1/PEF_wind)*1000))*1),".")</f>
        <v>.</v>
      </c>
      <c r="L29" s="2">
        <f>IFERROR((DL/(RadSpec!K29*EF_far*(1/365)*ED_far*RadSpec!V29*((ET_far_o*(1/24)*RadSpec!AA29)+(ET_far_i*(1/24)*RadSpec!AF29))))*1,".")</f>
        <v>9.2265768814385279E-2</v>
      </c>
      <c r="M29" s="2" t="str">
        <f>b2s!AB29</f>
        <v>.</v>
      </c>
      <c r="N29" s="2" t="str">
        <f>IFERROR((D29/(RadSpec!AO29*((Q_p_poultry*f_p_poultry*f_s_poultry*(RadSpec!BG29+R_es_past))+(Q_s_poultry*f_p_poultry))))*1,".")</f>
        <v>.</v>
      </c>
      <c r="O29" s="2" t="str">
        <f>IFERROR((E29/(RadSpec!AP29*((Q_p_poultry*f_p_poultry*f_s_poultry*(RadSpec!BG29+R_es_past))+(Q_s_poultry*f_p_poultry))))*1,".")</f>
        <v>.</v>
      </c>
      <c r="P29" s="2" t="str">
        <f>IFERROR((F29/(RadSpec!AM29*((Q_p_beef*f_p_beef*f_s_beef*(RadSpec!BG29+R_es_past))+(Q_s_beef*f_p_beef))))*1,".")</f>
        <v>.</v>
      </c>
      <c r="Q29" s="2" t="str">
        <f>IFERROR(((G29*D_milk)/(RadSpec!AL29*((Q_p_dairy*f_p_dairy*f_s_dairy*(RadSpec!BG29+R_es_past))+(Q_s_dairy*f_p_dairy))))*1,".")</f>
        <v>.</v>
      </c>
      <c r="R29" s="2" t="str">
        <f>IFERROR((H29/(RadSpec!AQ29*((Q_p_swine*f_p_swine*f_s_swine*(RadSpec!BG29+R_es_past))+(Q_s_swine*f_p_swine))))*1,".")</f>
        <v>.</v>
      </c>
      <c r="S29" s="2" t="str">
        <f>IFERROR(((I29*RadSpec!AX29)/RadSpec!AN29)*1,".")</f>
        <v>.</v>
      </c>
      <c r="T29" s="74" t="str">
        <f t="shared" si="243"/>
        <v>.</v>
      </c>
      <c r="U29" s="74" t="str">
        <f t="shared" si="244"/>
        <v>.</v>
      </c>
      <c r="V29" s="74">
        <f t="shared" si="245"/>
        <v>10.838255756712327</v>
      </c>
      <c r="W29" s="74" t="str">
        <f t="shared" si="246"/>
        <v>.</v>
      </c>
      <c r="X29" s="74" t="str">
        <f t="shared" si="247"/>
        <v>.</v>
      </c>
      <c r="Y29" s="74" t="str">
        <f t="shared" si="248"/>
        <v>.</v>
      </c>
      <c r="Z29" s="74" t="str">
        <f t="shared" si="249"/>
        <v>.</v>
      </c>
      <c r="AA29" s="74" t="str">
        <f t="shared" si="250"/>
        <v>.</v>
      </c>
      <c r="AB29" s="74" t="str">
        <f t="shared" si="251"/>
        <v>.</v>
      </c>
      <c r="AC29" s="74" t="str">
        <f t="shared" si="252"/>
        <v>.</v>
      </c>
      <c r="AD29" s="2">
        <f t="shared" si="253"/>
        <v>9.2265768814385279E-2</v>
      </c>
      <c r="AE29" s="2" t="str">
        <f>IFERROR(DL/(RadSpec!M29*IFW_far_adj),".")</f>
        <v>.</v>
      </c>
      <c r="AF29" s="2" t="str">
        <f>IFERROR(IF(RadSpec!C29=1,DL/(RadSpec!L29*IFA_far_adj*K),"."),".")</f>
        <v>.</v>
      </c>
      <c r="AG29" s="2">
        <f>IFERROR((DL/(RadSpec!Q29*(1/8760)*DFA_far_adj)),".")</f>
        <v>0.686816748906112</v>
      </c>
      <c r="AH29" s="2" t="str">
        <f>b2w!AB29</f>
        <v>.</v>
      </c>
      <c r="AI29" s="2" t="str">
        <f>IFERROR(D29/(RadSpec!AO29*Q_w_poultry*(1/1000)),".")</f>
        <v>.</v>
      </c>
      <c r="AJ29" s="2" t="str">
        <f>IFERROR(E29/(RadSpec!AP29*Q_w_poultry*(1/1000)),".")</f>
        <v>.</v>
      </c>
      <c r="AK29" s="2" t="str">
        <f>IFERROR(F29/(RadSpec!AM29*Q_w_beef*(1/1000)),".")</f>
        <v>.</v>
      </c>
      <c r="AL29" s="2" t="str">
        <f>IFERROR((G29*D_milk)/(RadSpec!AL29*Q_w_dairy*(1/1000)),".")</f>
        <v>.</v>
      </c>
      <c r="AM29" s="2" t="str">
        <f>IFERROR(H29/(RadSpec!AQ29*Q_w_swine*(1/1000)),".")</f>
        <v>.</v>
      </c>
      <c r="AN29" s="2" t="str">
        <f>IFERROR(I29/(RadSpec!AN29*(1/1000)),".")</f>
        <v>.</v>
      </c>
      <c r="AO29" s="74" t="str">
        <f t="shared" si="254"/>
        <v>.</v>
      </c>
      <c r="AP29" s="74" t="str">
        <f t="shared" si="255"/>
        <v>.</v>
      </c>
      <c r="AQ29" s="74">
        <f t="shared" si="256"/>
        <v>1.455992448630137</v>
      </c>
      <c r="AR29" s="74" t="str">
        <f t="shared" si="257"/>
        <v>.</v>
      </c>
      <c r="AS29" s="74" t="str">
        <f t="shared" si="258"/>
        <v>.</v>
      </c>
      <c r="AT29" s="74" t="str">
        <f t="shared" si="259"/>
        <v>.</v>
      </c>
      <c r="AU29" s="74" t="str">
        <f t="shared" si="260"/>
        <v>.</v>
      </c>
      <c r="AV29" s="74" t="str">
        <f t="shared" si="261"/>
        <v>.</v>
      </c>
      <c r="AW29" s="74" t="str">
        <f t="shared" si="262"/>
        <v>.</v>
      </c>
      <c r="AX29" s="74" t="str">
        <f t="shared" si="263"/>
        <v>.</v>
      </c>
      <c r="AY29" s="2">
        <f t="shared" si="264"/>
        <v>0.686816748906112</v>
      </c>
      <c r="AZ29" s="2" t="str">
        <f>IFERROR((DL/(RadSpec!L29*IFA_far_adj)),".")</f>
        <v>.</v>
      </c>
      <c r="BA29" s="2">
        <f>IFERROR((DL/(RadSpec!O29*EF_far*(1/365)*ED_far*ET_far*(1/24)*GSF_a)),".")</f>
        <v>4.2293538010882762E-5</v>
      </c>
      <c r="BB29" s="2">
        <f t="shared" si="221"/>
        <v>4.2293538010882762E-5</v>
      </c>
    </row>
    <row r="30" spans="1:54" customFormat="1" x14ac:dyDescent="0.25">
      <c r="A30" s="31" t="s">
        <v>28</v>
      </c>
      <c r="B30" s="3" t="s">
        <v>1059</v>
      </c>
      <c r="C30" s="2">
        <f>dir!AB30</f>
        <v>9.1496138237750387E-3</v>
      </c>
      <c r="D30" s="2">
        <f>IFERROR(DL/(RadSpec!J30*IFP_far_adj*CF_far_poultry),".")</f>
        <v>0.13045772033737396</v>
      </c>
      <c r="E30" s="2">
        <f>IFERROR(DL/(RadSpec!J30*IFE_far_adj*CF_far_egg),".")</f>
        <v>0.23147623120404753</v>
      </c>
      <c r="F30" s="2">
        <f>IFERROR(DL/(RadSpec!J30*IFB_far_adj*CF_far_beef),".")</f>
        <v>8.5557814588442846E-2</v>
      </c>
      <c r="G30" s="2">
        <f>IFERROR(DL/(RadSpec!J30*IFD_far_adj*CF_far_dairy),".")</f>
        <v>1.7713655900644616E-2</v>
      </c>
      <c r="H30" s="2">
        <f>IFERROR(DL/(RadSpec!J30*IFSW_far_adj*CF_far_swine),".")</f>
        <v>0.15328938040358864</v>
      </c>
      <c r="I30" s="2">
        <f>IFERROR(DL/(RadSpec!J30*IFFI_far_adj*CF_far_fish),".")</f>
        <v>1.7924173260539231E-2</v>
      </c>
      <c r="J30" s="2">
        <f>IFERROR((DL/(RadSpec!I30*IFS_far_adj*(1/1000)))*1,".")</f>
        <v>111.54135088845474</v>
      </c>
      <c r="K30" s="2">
        <f>IFERROR(IF(A30="H-3",(DL/(RadSpec!L30*IFA_far_adj*(1/17)*1000))*1,(DL/(RadSpec!L30*IFA_far_adj*(1/PEF_wind)*1000))*1),".")</f>
        <v>5508.7213444578083</v>
      </c>
      <c r="L30" s="2">
        <f>IFERROR((DL/(RadSpec!K30*EF_far*(1/365)*ED_far*RadSpec!V30*((ET_far_o*(1/24)*RadSpec!AA30)+(ET_far_i*(1/24)*RadSpec!AF30))))*1,".")</f>
        <v>1684.0378129129674</v>
      </c>
      <c r="M30" s="2">
        <f>b2s!AB30</f>
        <v>1.1422703462751311</v>
      </c>
      <c r="N30" s="2">
        <f>IFERROR((D30/(RadSpec!AO30*((Q_p_poultry*f_p_poultry*f_s_poultry*(RadSpec!BG30+R_es_past))+(Q_s_poultry*f_p_poultry))))*1,".")</f>
        <v>2.3689880336780496</v>
      </c>
      <c r="O30" s="2">
        <f>IFERROR((E30/(RadSpec!AP30*((Q_p_poultry*f_p_poultry*f_s_poultry*(RadSpec!BG30+R_es_past))+(Q_s_poultry*f_p_poultry))))*1,".")</f>
        <v>2.8659463930597333</v>
      </c>
      <c r="P30" s="2">
        <f>IFERROR((F30/(RadSpec!AM30*((Q_p_beef*f_p_beef*f_s_beef*(RadSpec!BG30+R_es_past))+(Q_s_beef*f_p_beef))))*1,".")</f>
        <v>62.21085821040608</v>
      </c>
      <c r="Q30" s="2">
        <f>IFERROR(((G30*D_milk)/(RadSpec!AL30*((Q_p_dairy*f_p_dairy*f_s_dairy*(RadSpec!BG30+R_es_past))+(Q_s_dairy*f_p_dairy))))*1,".")</f>
        <v>1.8036919526330106</v>
      </c>
      <c r="R30" s="2">
        <f>IFERROR((H30/(RadSpec!AQ30*((Q_p_swine*f_p_swine*f_s_swine*(RadSpec!BG30+R_es_past))+(Q_s_swine*f_p_swine))))*1,".")</f>
        <v>2.2070714215682798</v>
      </c>
      <c r="S30" s="2">
        <f>IFERROR(((I30*RadSpec!AX30)/RadSpec!AN30)*1,".")</f>
        <v>7.4684055252246797E-3</v>
      </c>
      <c r="T30" s="74">
        <f t="shared" si="243"/>
        <v>8.9652849999999999E-3</v>
      </c>
      <c r="U30" s="74">
        <f t="shared" si="244"/>
        <v>1.8153032935784198E-4</v>
      </c>
      <c r="V30" s="74">
        <f t="shared" si="245"/>
        <v>5.9381089446575326E-4</v>
      </c>
      <c r="W30" s="74">
        <f t="shared" si="246"/>
        <v>0.87544949692595508</v>
      </c>
      <c r="X30" s="74">
        <f t="shared" si="247"/>
        <v>0.4221211697922414</v>
      </c>
      <c r="Y30" s="74">
        <f t="shared" si="248"/>
        <v>0.34892487955170121</v>
      </c>
      <c r="Z30" s="74">
        <f t="shared" si="249"/>
        <v>1.6074364327491771E-2</v>
      </c>
      <c r="AA30" s="74">
        <f t="shared" si="250"/>
        <v>0.55441839641198731</v>
      </c>
      <c r="AB30" s="74">
        <f t="shared" si="251"/>
        <v>0.45308909817219667</v>
      </c>
      <c r="AC30" s="74">
        <f t="shared" si="252"/>
        <v>133.89738902400001</v>
      </c>
      <c r="AD30" s="2">
        <f t="shared" si="253"/>
        <v>7.3218659361977507E-3</v>
      </c>
      <c r="AE30" s="2">
        <f>IFERROR(DL/(RadSpec!M30*IFW_far_adj),".")</f>
        <v>5.7213449385246635</v>
      </c>
      <c r="AF30" s="2" t="str">
        <f>IFERROR(IF(RadSpec!C30=1,DL/(RadSpec!L30*IFA_far_adj*K),"."),".")</f>
        <v>.</v>
      </c>
      <c r="AG30" s="2">
        <f>IFERROR((DL/(RadSpec!Q30*(1/8760)*DFA_far_adj)),".")</f>
        <v>8329.4797207762531</v>
      </c>
      <c r="AH30" s="2">
        <f>b2w!AB30</f>
        <v>2.3290378105334995</v>
      </c>
      <c r="AI30" s="2">
        <f>IFERROR(D30/(RadSpec!AO30*Q_w_poultry*(1/1000)),".")</f>
        <v>434.8590677912465</v>
      </c>
      <c r="AJ30" s="2">
        <f>IFERROR(E30/(RadSpec!AP30*Q_w_poultry*(1/1000)),".")</f>
        <v>526.08234364556245</v>
      </c>
      <c r="AK30" s="2">
        <f>IFERROR(F30/(RadSpec!AM30*Q_w_beef*(1/1000)),".")</f>
        <v>4139.2266370799634</v>
      </c>
      <c r="AL30" s="2">
        <f>IFERROR((G30*D_milk)/(RadSpec!AL30*Q_w_dairy*(1/1000)),".")</f>
        <v>110.17551677333306</v>
      </c>
      <c r="AM30" s="2">
        <f>IFERROR(H30/(RadSpec!AQ30*Q_w_swine*(1/1000)),".")</f>
        <v>305.60083812517672</v>
      </c>
      <c r="AN30" s="2">
        <f>IFERROR(I30/(RadSpec!AN30*(1/1000)),".")</f>
        <v>18.671013813061698</v>
      </c>
      <c r="AO30" s="74">
        <f t="shared" si="254"/>
        <v>0.17478407800000001</v>
      </c>
      <c r="AP30" s="74" t="str">
        <f t="shared" si="255"/>
        <v>.</v>
      </c>
      <c r="AQ30" s="74">
        <f t="shared" si="256"/>
        <v>1.2005551769406392E-4</v>
      </c>
      <c r="AR30" s="74">
        <f t="shared" si="257"/>
        <v>0.42936185727742038</v>
      </c>
      <c r="AS30" s="74">
        <f t="shared" si="258"/>
        <v>2.2995956025000002E-3</v>
      </c>
      <c r="AT30" s="74">
        <f t="shared" si="259"/>
        <v>1.9008431134000007E-3</v>
      </c>
      <c r="AU30" s="74">
        <f t="shared" si="260"/>
        <v>2.4159102356025004E-4</v>
      </c>
      <c r="AV30" s="74">
        <f t="shared" si="261"/>
        <v>9.0764266806873783E-3</v>
      </c>
      <c r="AW30" s="74">
        <f t="shared" si="262"/>
        <v>3.2722423345919994E-3</v>
      </c>
      <c r="AX30" s="74">
        <f t="shared" si="263"/>
        <v>5.3558955609600001E-2</v>
      </c>
      <c r="AY30" s="2">
        <f>IFERROR(1/(SUMIF(AO30:AX30,"&lt;&gt;0")),".")</f>
        <v>1.4823255392537436</v>
      </c>
      <c r="AZ30" s="2">
        <f>IFERROR((DL/(RadSpec!L30*IFA_far_adj)),".")</f>
        <v>4.0524837166138663E-3</v>
      </c>
      <c r="BA30" s="2">
        <f>IFERROR((DL/(RadSpec!O30*EF_far*(1/365)*ED_far*ET_far*(1/24)*GSF_a)),".")</f>
        <v>0.52667424692797415</v>
      </c>
      <c r="BB30" s="2">
        <f t="shared" si="221"/>
        <v>4.0215400627046788E-3</v>
      </c>
    </row>
    <row r="31" spans="1:54" x14ac:dyDescent="0.25">
      <c r="A31" s="54" t="s">
        <v>1</v>
      </c>
      <c r="B31" s="39" t="s">
        <v>1221</v>
      </c>
      <c r="C31" s="40">
        <f>1/SUM(1/C32,1/C33,1/C34,1/C35,1/C36,1/C37,1/C38,1/C41,1/C44)</f>
        <v>4.1596608128098339E-4</v>
      </c>
      <c r="D31" s="40">
        <f t="shared" ref="D31:M31" si="265">1/SUM(1/D32,1/D33,1/D34,1/D35,1/D36,1/D37,1/D38,1/D41,1/D44)</f>
        <v>5.9309592455781147E-3</v>
      </c>
      <c r="E31" s="40">
        <f t="shared" si="265"/>
        <v>1.0523532758665853E-2</v>
      </c>
      <c r="F31" s="40">
        <f t="shared" si="265"/>
        <v>3.8896886297913502E-3</v>
      </c>
      <c r="G31" s="40">
        <f t="shared" si="265"/>
        <v>8.0531049419863162E-4</v>
      </c>
      <c r="H31" s="40">
        <f t="shared" si="265"/>
        <v>6.9689479902183098E-3</v>
      </c>
      <c r="I31" s="40">
        <f t="shared" si="265"/>
        <v>8.1488118023233507E-4</v>
      </c>
      <c r="J31" s="40">
        <f t="shared" si="265"/>
        <v>5.0709701549692872</v>
      </c>
      <c r="K31" s="40">
        <f t="shared" si="265"/>
        <v>264.97826827050432</v>
      </c>
      <c r="L31" s="40">
        <f>1/SUM(1/L32,1/L33,1/L34,1/L35,1/L36,1/L37,1/L38,1/L39,1/L40,1/L41,1/L42,1/L43,1/L44)</f>
        <v>0.60358336939430135</v>
      </c>
      <c r="M31" s="40">
        <f t="shared" si="265"/>
        <v>6.5549273926842455E-2</v>
      </c>
      <c r="N31" s="40">
        <f>1/SUM(1/N32,1/N35)</f>
        <v>2.2977215713723731</v>
      </c>
      <c r="O31" s="40">
        <f>1/SUM(1/O32,1/O35)</f>
        <v>2.835959846032738</v>
      </c>
      <c r="P31" s="40">
        <f t="shared" ref="P31" si="266">1/SUM(1/P32,1/P33,1/P34,1/P35,1/P36,1/P37,1/P38,1/P41,1/P44)</f>
        <v>1.7700742749235416</v>
      </c>
      <c r="Q31" s="40">
        <f t="shared" ref="Q31" si="267">1/SUM(1/Q32,1/Q33,1/Q34,1/Q35,1/Q36,1/Q37,1/Q38,1/Q41,1/Q44)</f>
        <v>0.93926113022760271</v>
      </c>
      <c r="R31" s="40">
        <f>1/SUM(1/R32,1/R35)</f>
        <v>2.1745577110554484</v>
      </c>
      <c r="S31" s="40">
        <f t="shared" ref="S31" si="268">1/SUM(1/S32,1/S33,1/S34,1/S35,1/S36,1/S37,1/S38,1/S41,1/S44)</f>
        <v>3.1449887600104598E-5</v>
      </c>
      <c r="T31" s="108"/>
      <c r="U31" s="108"/>
      <c r="V31" s="108"/>
      <c r="W31" s="108"/>
      <c r="X31" s="108"/>
      <c r="Y31" s="108"/>
      <c r="Z31" s="108"/>
      <c r="AA31" s="108"/>
      <c r="AB31" s="108"/>
      <c r="AC31" s="108"/>
      <c r="AD31" s="41">
        <f>1/SUM(1/AD32,1/AD33,1/AD34,1/AD35,1/AD36,1/AD37,1/AD38,1/AD39,1/AD40,1/AD41,1/AD42,1/AD43,1/AD44)</f>
        <v>3.1430127261871182E-5</v>
      </c>
      <c r="AE31" s="40">
        <f>1/SUM(1/AE32,1/AE33,1/AE34,1/AE35,1/AE36,1/AE37,1/AE38,1/AE41,1/AE44)</f>
        <v>0.26010774657514191</v>
      </c>
      <c r="AF31" s="40" t="str">
        <f>IFERROR(1/SUM(1/AF32,1/AF33,1/AF34,1/AF35,1/AF36,1/AF37,1/AF38,1/AF39,1/AF40,1/AF41,1/AF42,1/AF43,1/AF44),".")</f>
        <v>.</v>
      </c>
      <c r="AG31" s="40">
        <f>1/SUM(1/AG32,1/AG33,1/AG34,1/AG35,1/AG36,1/AG37,1/AG38,1/AG39,1/AG40,1/AG41,1/AG42,1/AG43,1/AG44)</f>
        <v>3.6876133174417225</v>
      </c>
      <c r="AH31" s="40">
        <f>1/SUM(1/AH32,1/AH33,1/AH34,1/AH35,1/AH36,1/AH37,1/AH38,1/AH41,1/AH44)</f>
        <v>0.10751108877283654</v>
      </c>
      <c r="AI31" s="40">
        <f>1/SUM(1/AI32,1/AI35)</f>
        <v>421.52704948204695</v>
      </c>
      <c r="AJ31" s="40">
        <f>1/SUM(1/AJ32,1/AJ35)</f>
        <v>520.4705052172161</v>
      </c>
      <c r="AK31" s="40">
        <f t="shared" ref="AK31:AL31" si="269">1/SUM(1/AK32,1/AK33,1/AK34,1/AK35,1/AK36,1/AK37,1/AK38,1/AK41,1/AK44)</f>
        <v>119.41766791093669</v>
      </c>
      <c r="AL31" s="40">
        <f t="shared" si="269"/>
        <v>58.640982194729645</v>
      </c>
      <c r="AM31" s="40">
        <f>1/SUM(1/AM32,1/AM35)</f>
        <v>301.00306404957797</v>
      </c>
      <c r="AN31" s="40">
        <f>1/SUM(1/AN32,1/AN33,1/AN34,1/AN35,1/AN36,1/AN37,1/AN38,1/AN41,1/AN44)</f>
        <v>1.6265870764103657E-2</v>
      </c>
      <c r="AO31" s="108"/>
      <c r="AP31" s="108"/>
      <c r="AQ31" s="108"/>
      <c r="AR31" s="108"/>
      <c r="AS31" s="108"/>
      <c r="AT31" s="108"/>
      <c r="AU31" s="108"/>
      <c r="AV31" s="108"/>
      <c r="AW31" s="108"/>
      <c r="AX31" s="108"/>
      <c r="AY31" s="41">
        <f>1/SUM(1/AY32,1/AY33,1/AY34,1/AY35,1/AY36,1/AY37,1/AY38,1/AY39,1/AY40,1/AY41,1/AY42,1/AY43,1/AY44)</f>
        <v>1.3346044903257269E-2</v>
      </c>
      <c r="AZ31" s="40">
        <f>1/SUM(1/AZ32,1/AZ33,1/AZ34,1/AZ35,1/AZ36,1/AZ37,1/AZ38,1/AZ41,1/AZ44)</f>
        <v>1.9493091958683E-4</v>
      </c>
      <c r="BA31" s="40">
        <f t="shared" ref="BA31:BB31" si="270">1/SUM(1/BA32,1/BA33,1/BA34,1/BA35,1/BA36,1/BA37,1/BA38,1/BA39,1/BA40,1/BA41,1/BA42,1/BA43,1/BA44)</f>
        <v>2.2900107547766158E-4</v>
      </c>
      <c r="BB31" s="41">
        <f t="shared" si="270"/>
        <v>1.0529846944541843E-4</v>
      </c>
    </row>
    <row r="32" spans="1:54" x14ac:dyDescent="0.25">
      <c r="A32" s="55" t="s">
        <v>1087</v>
      </c>
      <c r="B32" s="3">
        <v>1</v>
      </c>
      <c r="C32" s="42">
        <f t="shared" ref="C32:S32" si="271">IFERROR(C3/$B32,0)</f>
        <v>2.3143140848372159E-3</v>
      </c>
      <c r="D32" s="42">
        <f t="shared" si="271"/>
        <v>3.2998129261806355E-2</v>
      </c>
      <c r="E32" s="42">
        <f t="shared" si="271"/>
        <v>5.8549870245729677E-2</v>
      </c>
      <c r="F32" s="42">
        <f t="shared" si="271"/>
        <v>2.1641094278253191E-2</v>
      </c>
      <c r="G32" s="42">
        <f t="shared" si="271"/>
        <v>4.4805129631042264E-3</v>
      </c>
      <c r="H32" s="42">
        <f t="shared" si="271"/>
        <v>3.8773196219731236E-2</v>
      </c>
      <c r="I32" s="42">
        <f t="shared" si="271"/>
        <v>4.5337614717834524E-3</v>
      </c>
      <c r="J32" s="42">
        <f t="shared" si="271"/>
        <v>28.213400518844434</v>
      </c>
      <c r="K32" s="42">
        <f t="shared" si="271"/>
        <v>578.38766409699713</v>
      </c>
      <c r="L32" s="42">
        <f t="shared" si="271"/>
        <v>41.635507736340699</v>
      </c>
      <c r="M32" s="42">
        <f t="shared" si="271"/>
        <v>2.2683664471320366</v>
      </c>
      <c r="N32" s="42">
        <f t="shared" si="271"/>
        <v>76.379193398961775</v>
      </c>
      <c r="O32" s="42">
        <f t="shared" si="271"/>
        <v>271.0451751674787</v>
      </c>
      <c r="P32" s="42">
        <f t="shared" si="271"/>
        <v>12.571807344090308</v>
      </c>
      <c r="Q32" s="42">
        <f t="shared" si="271"/>
        <v>2006.7387254308112</v>
      </c>
      <c r="R32" s="42">
        <f t="shared" si="271"/>
        <v>147.61170296842479</v>
      </c>
      <c r="S32" s="42">
        <f t="shared" si="271"/>
        <v>7.5562691196390873E-5</v>
      </c>
      <c r="T32" s="74">
        <f t="shared" ref="T32:T44" si="272">IFERROR(1/J32,".")</f>
        <v>3.5444150000000001E-2</v>
      </c>
      <c r="U32" s="74">
        <f t="shared" ref="U32:U44" si="273">IFERROR(1/K32,".")</f>
        <v>1.7289442048547864E-3</v>
      </c>
      <c r="V32" s="74">
        <f t="shared" ref="V32:V44" si="274">IFERROR(1/L32,".")</f>
        <v>2.4017960975342461E-2</v>
      </c>
      <c r="W32" s="74">
        <f t="shared" ref="W32:W44" si="275">IFERROR(1/M32,".")</f>
        <v>0.44084587887655008</v>
      </c>
      <c r="X32" s="74">
        <f t="shared" ref="X32:X44" si="276">IFERROR(1/N32,".")</f>
        <v>1.3092570836360692E-2</v>
      </c>
      <c r="Y32" s="74">
        <f t="shared" ref="Y32:Y44" si="277">IFERROR(1/O32,".")</f>
        <v>3.6894218809912422E-3</v>
      </c>
      <c r="Z32" s="74">
        <f t="shared" ref="Z32:Z44" si="278">IFERROR(1/P32,".")</f>
        <v>7.9543057941472109E-2</v>
      </c>
      <c r="AA32" s="74">
        <f t="shared" ref="AA32:AA44" si="279">IFERROR(1/Q32,".")</f>
        <v>4.9832097588355345E-4</v>
      </c>
      <c r="AB32" s="74">
        <f t="shared" ref="AB32:AB44" si="280">IFERROR(1/R32,".")</f>
        <v>6.7745306089579309E-3</v>
      </c>
      <c r="AC32" s="74">
        <f t="shared" ref="AC32:AC44" si="281">IFERROR(1/S32,".")</f>
        <v>13234.044264</v>
      </c>
      <c r="AD32" s="42">
        <f t="shared" ref="AD32:AD73" si="282">IFERROR(1/(SUMIF(T32:AC32,"&lt;&gt;0")),".")</f>
        <v>7.5559233349113998E-5</v>
      </c>
      <c r="AE32" s="42">
        <f t="shared" ref="AE32:AN32" si="283">IFERROR(AE3/$B32,0)</f>
        <v>1.4471637197444738</v>
      </c>
      <c r="AF32" s="42">
        <f t="shared" si="283"/>
        <v>0</v>
      </c>
      <c r="AG32" s="42">
        <f t="shared" si="283"/>
        <v>127.10569703781944</v>
      </c>
      <c r="AH32" s="42">
        <f t="shared" si="283"/>
        <v>0.62907930890654051</v>
      </c>
      <c r="AI32" s="42">
        <f t="shared" si="283"/>
        <v>13749.220525752646</v>
      </c>
      <c r="AJ32" s="42">
        <f t="shared" si="283"/>
        <v>48791.55853810806</v>
      </c>
      <c r="AK32" s="42">
        <f t="shared" si="283"/>
        <v>816.64506710389401</v>
      </c>
      <c r="AL32" s="42">
        <f t="shared" si="283"/>
        <v>119433.9635610081</v>
      </c>
      <c r="AM32" s="42">
        <f t="shared" si="283"/>
        <v>20006.809194907753</v>
      </c>
      <c r="AN32" s="42">
        <f t="shared" si="283"/>
        <v>1.8890672799097719E-2</v>
      </c>
      <c r="AO32" s="74">
        <f t="shared" ref="AO32:AO44" si="284">IFERROR(1/AE32,".")</f>
        <v>0.69100682000000002</v>
      </c>
      <c r="AP32" s="74" t="str">
        <f t="shared" ref="AP32:AP44" si="285">IFERROR(1/AF32,".")</f>
        <v>.</v>
      </c>
      <c r="AQ32" s="74">
        <f t="shared" ref="AQ32:AQ44" si="286">IFERROR(1/AG32,".")</f>
        <v>7.8674679680365289E-3</v>
      </c>
      <c r="AR32" s="74">
        <f t="shared" ref="AR32:AR44" si="287">IFERROR(1/AH32,".")</f>
        <v>1.5896246877650295</v>
      </c>
      <c r="AS32" s="74">
        <f t="shared" ref="AS32:AS44" si="288">IFERROR(1/AI32,".")</f>
        <v>7.2731395800000012E-5</v>
      </c>
      <c r="AT32" s="74">
        <f t="shared" ref="AT32:AT44" si="289">IFERROR(1/AJ32,".")</f>
        <v>2.0495348580000001E-5</v>
      </c>
      <c r="AU32" s="74">
        <f t="shared" ref="AU32:AU44" si="290">IFERROR(1/AK32,".")</f>
        <v>1.2245221826250002E-3</v>
      </c>
      <c r="AV32" s="74">
        <f t="shared" ref="AV32:AV44" si="291">IFERROR(1/AL32,".")</f>
        <v>8.3728277131922339E-6</v>
      </c>
      <c r="AW32" s="74">
        <f t="shared" ref="AW32:AW44" si="292">IFERROR(1/AM32,".")</f>
        <v>4.9982982806400014E-5</v>
      </c>
      <c r="AX32" s="74">
        <f t="shared" ref="AX32:AX44" si="293">IFERROR(1/AN32,".")</f>
        <v>52.936177055999998</v>
      </c>
      <c r="AY32" s="42">
        <f t="shared" ref="AY32:AY44" si="294">IFERROR(1/(SUMIF(AO32:AX32,"&lt;&gt;0")),".")</f>
        <v>1.8107396080546786E-2</v>
      </c>
      <c r="AZ32" s="42">
        <f>IFERROR(AZ3/$B32,0)</f>
        <v>4.2549013538351499E-4</v>
      </c>
      <c r="BA32" s="42">
        <f>IFERROR(BA3/$B32,0)</f>
        <v>8.307659252137686E-3</v>
      </c>
      <c r="BB32" s="42">
        <f t="shared" ref="BB32:BB44" si="295">IFERROR(IF(AND(AZ32&lt;&gt;0,BA32&lt;&gt;0),1/((1/AZ32)+(1/BA32)),IF(AND(AZ32&lt;&gt;0,BA32=0),1/((1/AZ32)),IF(AND(AZ32=0,BA32&lt;&gt;0),1/((1/BA32)),IF(AND(AZ32=0,BA32=0),0)))),0)</f>
        <v>4.0475971531680083E-4</v>
      </c>
    </row>
    <row r="33" spans="1:54" x14ac:dyDescent="0.25">
      <c r="A33" s="55" t="s">
        <v>1063</v>
      </c>
      <c r="B33" s="3">
        <v>1</v>
      </c>
      <c r="C33" s="42">
        <f t="shared" ref="C33:S33" si="296">IFERROR(C13/$B33,0)</f>
        <v>4.4064540175300579E-3</v>
      </c>
      <c r="D33" s="42">
        <f t="shared" si="296"/>
        <v>6.2828438114479301E-2</v>
      </c>
      <c r="E33" s="42">
        <f t="shared" si="296"/>
        <v>0.11147895294786929</v>
      </c>
      <c r="F33" s="42">
        <f t="shared" si="296"/>
        <v>4.1204643505794079E-2</v>
      </c>
      <c r="G33" s="42">
        <f t="shared" si="296"/>
        <v>8.5308966817504474E-3</v>
      </c>
      <c r="H33" s="42">
        <f t="shared" si="296"/>
        <v>7.3824165602368277E-2</v>
      </c>
      <c r="I33" s="42">
        <f t="shared" si="296"/>
        <v>8.632281842275694E-3</v>
      </c>
      <c r="J33" s="42">
        <f t="shared" si="296"/>
        <v>53.718314587879803</v>
      </c>
      <c r="K33" s="42">
        <f t="shared" si="296"/>
        <v>4503.1610990409063</v>
      </c>
      <c r="L33" s="42">
        <f t="shared" si="296"/>
        <v>23.079292589225062</v>
      </c>
      <c r="M33" s="42">
        <f t="shared" si="296"/>
        <v>0.43148104815464566</v>
      </c>
      <c r="N33" s="42">
        <f t="shared" si="296"/>
        <v>0</v>
      </c>
      <c r="O33" s="42">
        <f t="shared" si="296"/>
        <v>0</v>
      </c>
      <c r="P33" s="42">
        <f t="shared" si="296"/>
        <v>11.834520211904247</v>
      </c>
      <c r="Q33" s="42">
        <f t="shared" si="296"/>
        <v>158.53061550763096</v>
      </c>
      <c r="R33" s="42">
        <f t="shared" si="296"/>
        <v>0</v>
      </c>
      <c r="S33" s="42">
        <f t="shared" si="296"/>
        <v>5.7548545615171294E-5</v>
      </c>
      <c r="T33" s="74">
        <f t="shared" si="272"/>
        <v>1.8615625E-2</v>
      </c>
      <c r="U33" s="74">
        <f t="shared" si="273"/>
        <v>2.2206622814648633E-4</v>
      </c>
      <c r="V33" s="74">
        <f t="shared" si="274"/>
        <v>4.3328884372602738E-2</v>
      </c>
      <c r="W33" s="74">
        <f t="shared" si="275"/>
        <v>2.3175988940343757</v>
      </c>
      <c r="X33" s="74" t="str">
        <f t="shared" si="276"/>
        <v>.</v>
      </c>
      <c r="Y33" s="74" t="str">
        <f t="shared" si="277"/>
        <v>.</v>
      </c>
      <c r="Z33" s="74">
        <f t="shared" si="278"/>
        <v>8.4498567081250003E-2</v>
      </c>
      <c r="AA33" s="74">
        <f t="shared" si="279"/>
        <v>6.3079298392799367E-3</v>
      </c>
      <c r="AB33" s="74" t="str">
        <f t="shared" si="280"/>
        <v>.</v>
      </c>
      <c r="AC33" s="74">
        <f t="shared" si="281"/>
        <v>17376.633750000001</v>
      </c>
      <c r="AD33" s="42">
        <f t="shared" si="282"/>
        <v>5.7540364651361029E-5</v>
      </c>
      <c r="AE33" s="42">
        <f t="shared" ref="AE33:AN33" si="297">IFERROR(AE13/$B33,0)</f>
        <v>2.7553997223934776</v>
      </c>
      <c r="AF33" s="42">
        <f t="shared" si="297"/>
        <v>0</v>
      </c>
      <c r="AG33" s="42">
        <f t="shared" si="297"/>
        <v>101.42112613380411</v>
      </c>
      <c r="AH33" s="42">
        <f t="shared" si="297"/>
        <v>1.0996281420252119</v>
      </c>
      <c r="AI33" s="42">
        <f t="shared" si="297"/>
        <v>0</v>
      </c>
      <c r="AJ33" s="42">
        <f t="shared" si="297"/>
        <v>0</v>
      </c>
      <c r="AK33" s="42">
        <f t="shared" si="297"/>
        <v>777.4461038829071</v>
      </c>
      <c r="AL33" s="42">
        <f t="shared" si="297"/>
        <v>9550.8951980466954</v>
      </c>
      <c r="AM33" s="42">
        <f t="shared" si="297"/>
        <v>0</v>
      </c>
      <c r="AN33" s="42">
        <f t="shared" si="297"/>
        <v>0.28774272807585649</v>
      </c>
      <c r="AO33" s="74">
        <f t="shared" si="284"/>
        <v>0.36292375000000004</v>
      </c>
      <c r="AP33" s="74" t="str">
        <f t="shared" si="285"/>
        <v>.</v>
      </c>
      <c r="AQ33" s="74">
        <f t="shared" si="286"/>
        <v>9.8598786872146123E-3</v>
      </c>
      <c r="AR33" s="74">
        <f t="shared" si="287"/>
        <v>0.90939833365693579</v>
      </c>
      <c r="AS33" s="74" t="str">
        <f t="shared" si="288"/>
        <v>.</v>
      </c>
      <c r="AT33" s="74" t="str">
        <f t="shared" si="289"/>
        <v>.</v>
      </c>
      <c r="AU33" s="74">
        <f t="shared" si="290"/>
        <v>1.2862627968750001E-3</v>
      </c>
      <c r="AV33" s="74">
        <f t="shared" si="291"/>
        <v>1.0470222730582525E-4</v>
      </c>
      <c r="AW33" s="74" t="str">
        <f t="shared" si="292"/>
        <v>.</v>
      </c>
      <c r="AX33" s="74">
        <f t="shared" si="293"/>
        <v>3.4753267499999998</v>
      </c>
      <c r="AY33" s="42">
        <f t="shared" si="294"/>
        <v>0.21013260791263402</v>
      </c>
      <c r="AZ33" s="42">
        <f>IFERROR(AZ13/$B33,0)</f>
        <v>3.3127446254859381E-3</v>
      </c>
      <c r="BA33" s="42">
        <f>IFERROR(BA13/$B33,0)</f>
        <v>6.4915662993447962E-3</v>
      </c>
      <c r="BB33" s="42">
        <f t="shared" si="295"/>
        <v>2.1934128297253471E-3</v>
      </c>
    </row>
    <row r="34" spans="1:54" x14ac:dyDescent="0.25">
      <c r="A34" s="55" t="s">
        <v>1064</v>
      </c>
      <c r="B34" s="3">
        <v>1</v>
      </c>
      <c r="C34" s="42">
        <f t="shared" ref="C34:S34" si="298">IFERROR(C14/$B34,0)</f>
        <v>0.41727784256913431</v>
      </c>
      <c r="D34" s="42">
        <f t="shared" si="298"/>
        <v>5.9496627002347831</v>
      </c>
      <c r="E34" s="42">
        <f t="shared" si="298"/>
        <v>10.556719029154291</v>
      </c>
      <c r="F34" s="42">
        <f t="shared" si="298"/>
        <v>3.9019548774426207</v>
      </c>
      <c r="G34" s="42">
        <f t="shared" si="298"/>
        <v>0.80785006455970143</v>
      </c>
      <c r="H34" s="42">
        <f t="shared" si="298"/>
        <v>6.9909247729515416</v>
      </c>
      <c r="I34" s="42">
        <f t="shared" si="298"/>
        <v>0.81745093203368302</v>
      </c>
      <c r="J34" s="42">
        <f t="shared" si="298"/>
        <v>5086.9616087007389</v>
      </c>
      <c r="K34" s="42">
        <f t="shared" si="298"/>
        <v>12442945.142086715</v>
      </c>
      <c r="L34" s="42">
        <f t="shared" si="298"/>
        <v>1.5202689980792292</v>
      </c>
      <c r="M34" s="42">
        <f t="shared" si="298"/>
        <v>38.601363487451657</v>
      </c>
      <c r="N34" s="42">
        <f t="shared" si="298"/>
        <v>0</v>
      </c>
      <c r="O34" s="42">
        <f t="shared" si="298"/>
        <v>0</v>
      </c>
      <c r="P34" s="42">
        <f t="shared" si="298"/>
        <v>168934.07846921185</v>
      </c>
      <c r="Q34" s="42">
        <f t="shared" si="298"/>
        <v>22174.165662797932</v>
      </c>
      <c r="R34" s="42">
        <f t="shared" si="298"/>
        <v>0</v>
      </c>
      <c r="S34" s="42">
        <f t="shared" si="298"/>
        <v>163.4901864067366</v>
      </c>
      <c r="T34" s="74">
        <f t="shared" si="272"/>
        <v>1.9658100000000001E-4</v>
      </c>
      <c r="U34" s="74">
        <f t="shared" si="273"/>
        <v>8.0366825424442672E-8</v>
      </c>
      <c r="V34" s="74">
        <f t="shared" si="274"/>
        <v>0.65777832821917792</v>
      </c>
      <c r="W34" s="74">
        <f t="shared" si="275"/>
        <v>2.5905820666803005E-2</v>
      </c>
      <c r="X34" s="74" t="str">
        <f t="shared" si="276"/>
        <v>.</v>
      </c>
      <c r="Y34" s="74" t="str">
        <f t="shared" si="277"/>
        <v>.</v>
      </c>
      <c r="Z34" s="74">
        <f t="shared" si="278"/>
        <v>5.9194687600125014E-6</v>
      </c>
      <c r="AA34" s="74">
        <f t="shared" si="279"/>
        <v>4.5097525435995147E-5</v>
      </c>
      <c r="AB34" s="74" t="str">
        <f t="shared" si="280"/>
        <v>.</v>
      </c>
      <c r="AC34" s="74">
        <f t="shared" si="281"/>
        <v>6.1165750800000014E-3</v>
      </c>
      <c r="AD34" s="42">
        <f t="shared" si="282"/>
        <v>1.4491737052470077</v>
      </c>
      <c r="AE34" s="42">
        <f t="shared" ref="AE34:AN34" si="299">IFERROR(AE14/$B34,0)</f>
        <v>260.92800401453388</v>
      </c>
      <c r="AF34" s="42">
        <f t="shared" si="299"/>
        <v>0</v>
      </c>
      <c r="AG34" s="42">
        <f t="shared" si="299"/>
        <v>9.6425011545931998</v>
      </c>
      <c r="AH34" s="42">
        <f t="shared" si="299"/>
        <v>103.57934568675314</v>
      </c>
      <c r="AI34" s="42">
        <f t="shared" si="299"/>
        <v>0</v>
      </c>
      <c r="AJ34" s="42">
        <f t="shared" si="299"/>
        <v>0</v>
      </c>
      <c r="AK34" s="42">
        <f t="shared" si="299"/>
        <v>14724358.028085358</v>
      </c>
      <c r="AL34" s="42">
        <f t="shared" si="299"/>
        <v>1808881.6662967226</v>
      </c>
      <c r="AM34" s="42">
        <f t="shared" si="299"/>
        <v>0</v>
      </c>
      <c r="AN34" s="42">
        <f t="shared" si="299"/>
        <v>81.745093203368299</v>
      </c>
      <c r="AO34" s="74">
        <f t="shared" si="284"/>
        <v>3.8324748E-3</v>
      </c>
      <c r="AP34" s="74" t="str">
        <f t="shared" si="285"/>
        <v>.</v>
      </c>
      <c r="AQ34" s="74">
        <f t="shared" si="286"/>
        <v>0.10370753230593606</v>
      </c>
      <c r="AR34" s="74">
        <f t="shared" si="287"/>
        <v>9.6544344180761795E-3</v>
      </c>
      <c r="AS34" s="74" t="str">
        <f t="shared" si="288"/>
        <v>.</v>
      </c>
      <c r="AT34" s="74" t="str">
        <f t="shared" si="289"/>
        <v>.</v>
      </c>
      <c r="AU34" s="74">
        <f t="shared" si="290"/>
        <v>6.7914675675000022E-8</v>
      </c>
      <c r="AV34" s="74">
        <f t="shared" si="291"/>
        <v>5.5282776017475733E-7</v>
      </c>
      <c r="AW34" s="74" t="str">
        <f t="shared" si="292"/>
        <v>.</v>
      </c>
      <c r="AX34" s="74">
        <f t="shared" si="293"/>
        <v>1.2233150160000003E-2</v>
      </c>
      <c r="AY34" s="42">
        <f t="shared" si="294"/>
        <v>7.7262907464497621</v>
      </c>
      <c r="AZ34" s="42">
        <f>IFERROR(AZ14/$B34,0)</f>
        <v>9.1536364651585131</v>
      </c>
      <c r="BA34" s="42">
        <f>IFERROR(BA14/$B34,0)</f>
        <v>6.0223808170836301E-4</v>
      </c>
      <c r="BB34" s="42">
        <f t="shared" si="295"/>
        <v>6.0219846173352758E-4</v>
      </c>
    </row>
    <row r="35" spans="1:54" x14ac:dyDescent="0.25">
      <c r="A35" s="55" t="s">
        <v>1065</v>
      </c>
      <c r="B35" s="3">
        <v>1</v>
      </c>
      <c r="C35" s="42">
        <f t="shared" ref="C35:S35" si="300">IFERROR(C30/$B35,0)</f>
        <v>9.1496138237750387E-3</v>
      </c>
      <c r="D35" s="42">
        <f t="shared" si="300"/>
        <v>0.13045772033737396</v>
      </c>
      <c r="E35" s="42">
        <f t="shared" si="300"/>
        <v>0.23147623120404753</v>
      </c>
      <c r="F35" s="42">
        <f t="shared" si="300"/>
        <v>8.5557814588442846E-2</v>
      </c>
      <c r="G35" s="42">
        <f t="shared" si="300"/>
        <v>1.7713655900644616E-2</v>
      </c>
      <c r="H35" s="42">
        <f t="shared" si="300"/>
        <v>0.15328938040358864</v>
      </c>
      <c r="I35" s="42">
        <f t="shared" si="300"/>
        <v>1.7924173260539231E-2</v>
      </c>
      <c r="J35" s="42">
        <f t="shared" si="300"/>
        <v>111.54135088845474</v>
      </c>
      <c r="K35" s="42">
        <f t="shared" si="300"/>
        <v>5508.7213444578083</v>
      </c>
      <c r="L35" s="42">
        <f t="shared" si="300"/>
        <v>1684.0378129129674</v>
      </c>
      <c r="M35" s="42">
        <f t="shared" si="300"/>
        <v>1.1422703462751311</v>
      </c>
      <c r="N35" s="42">
        <f t="shared" si="300"/>
        <v>2.3689880336780496</v>
      </c>
      <c r="O35" s="42">
        <f t="shared" si="300"/>
        <v>2.8659463930597333</v>
      </c>
      <c r="P35" s="42">
        <f t="shared" si="300"/>
        <v>62.21085821040608</v>
      </c>
      <c r="Q35" s="42">
        <f t="shared" si="300"/>
        <v>1.8036919526330106</v>
      </c>
      <c r="R35" s="42">
        <f t="shared" si="300"/>
        <v>2.2070714215682798</v>
      </c>
      <c r="S35" s="42">
        <f t="shared" si="300"/>
        <v>7.4684055252246797E-3</v>
      </c>
      <c r="T35" s="74">
        <f t="shared" si="272"/>
        <v>8.9652849999999999E-3</v>
      </c>
      <c r="U35" s="74">
        <f t="shared" si="273"/>
        <v>1.8153032935784198E-4</v>
      </c>
      <c r="V35" s="74">
        <f t="shared" si="274"/>
        <v>5.9381089446575326E-4</v>
      </c>
      <c r="W35" s="74">
        <f t="shared" si="275"/>
        <v>0.87544949692595508</v>
      </c>
      <c r="X35" s="74">
        <f t="shared" si="276"/>
        <v>0.4221211697922414</v>
      </c>
      <c r="Y35" s="74">
        <f t="shared" si="277"/>
        <v>0.34892487955170121</v>
      </c>
      <c r="Z35" s="74">
        <f t="shared" si="278"/>
        <v>1.6074364327491771E-2</v>
      </c>
      <c r="AA35" s="74">
        <f t="shared" si="279"/>
        <v>0.55441839641198731</v>
      </c>
      <c r="AB35" s="74">
        <f t="shared" si="280"/>
        <v>0.45308909817219667</v>
      </c>
      <c r="AC35" s="74">
        <f t="shared" si="281"/>
        <v>133.89738902400001</v>
      </c>
      <c r="AD35" s="42">
        <f t="shared" si="282"/>
        <v>7.3218659361977507E-3</v>
      </c>
      <c r="AE35" s="42">
        <f t="shared" ref="AE35:AN35" si="301">IFERROR(AE30/$B35,0)</f>
        <v>5.7213449385246635</v>
      </c>
      <c r="AF35" s="42">
        <f t="shared" si="301"/>
        <v>0</v>
      </c>
      <c r="AG35" s="42">
        <f t="shared" si="301"/>
        <v>8329.4797207762531</v>
      </c>
      <c r="AH35" s="42">
        <f t="shared" si="301"/>
        <v>2.3290378105334995</v>
      </c>
      <c r="AI35" s="42">
        <f t="shared" si="301"/>
        <v>434.8590677912465</v>
      </c>
      <c r="AJ35" s="42">
        <f t="shared" si="301"/>
        <v>526.08234364556245</v>
      </c>
      <c r="AK35" s="42">
        <f t="shared" si="301"/>
        <v>4139.2266370799634</v>
      </c>
      <c r="AL35" s="42">
        <f t="shared" si="301"/>
        <v>110.17551677333306</v>
      </c>
      <c r="AM35" s="42">
        <f t="shared" si="301"/>
        <v>305.60083812517672</v>
      </c>
      <c r="AN35" s="42">
        <f t="shared" si="301"/>
        <v>18.671013813061698</v>
      </c>
      <c r="AO35" s="74">
        <f t="shared" si="284"/>
        <v>0.17478407800000001</v>
      </c>
      <c r="AP35" s="74" t="str">
        <f t="shared" si="285"/>
        <v>.</v>
      </c>
      <c r="AQ35" s="74">
        <f t="shared" si="286"/>
        <v>1.2005551769406392E-4</v>
      </c>
      <c r="AR35" s="74">
        <f t="shared" si="287"/>
        <v>0.42936185727742038</v>
      </c>
      <c r="AS35" s="74">
        <f t="shared" si="288"/>
        <v>2.2995956025000002E-3</v>
      </c>
      <c r="AT35" s="74">
        <f t="shared" si="289"/>
        <v>1.9008431134000007E-3</v>
      </c>
      <c r="AU35" s="74">
        <f t="shared" si="290"/>
        <v>2.4159102356025004E-4</v>
      </c>
      <c r="AV35" s="74">
        <f t="shared" si="291"/>
        <v>9.0764266806873783E-3</v>
      </c>
      <c r="AW35" s="74">
        <f t="shared" si="292"/>
        <v>3.2722423345919994E-3</v>
      </c>
      <c r="AX35" s="74">
        <f t="shared" si="293"/>
        <v>5.3558955609600001E-2</v>
      </c>
      <c r="AY35" s="42">
        <f t="shared" si="294"/>
        <v>1.4823255392537436</v>
      </c>
      <c r="AZ35" s="42">
        <f>IFERROR(AZ30/$B35,0)</f>
        <v>4.0524837166138663E-3</v>
      </c>
      <c r="BA35" s="42">
        <f>IFERROR(BA30/$B35,0)</f>
        <v>0.52667424692797415</v>
      </c>
      <c r="BB35" s="42">
        <f t="shared" si="295"/>
        <v>4.0215400627046788E-3</v>
      </c>
    </row>
    <row r="36" spans="1:54" x14ac:dyDescent="0.25">
      <c r="A36" s="55" t="s">
        <v>1066</v>
      </c>
      <c r="B36" s="3">
        <v>1</v>
      </c>
      <c r="C36" s="42">
        <f t="shared" ref="C36:S36" si="302">IFERROR(C26/$B36,0)</f>
        <v>9.0444458487891181E-4</v>
      </c>
      <c r="D36" s="42">
        <f t="shared" si="302"/>
        <v>1.2895820631050759E-2</v>
      </c>
      <c r="E36" s="42">
        <f t="shared" si="302"/>
        <v>2.2881558486836883E-2</v>
      </c>
      <c r="F36" s="42">
        <f t="shared" si="302"/>
        <v>8.4574391432253853E-3</v>
      </c>
      <c r="G36" s="42">
        <f t="shared" si="302"/>
        <v>1.7510050660407318E-3</v>
      </c>
      <c r="H36" s="42">
        <f t="shared" si="302"/>
        <v>1.5152743350239792E-2</v>
      </c>
      <c r="I36" s="42">
        <f t="shared" si="302"/>
        <v>1.7718148280533033E-3</v>
      </c>
      <c r="J36" s="42">
        <f t="shared" si="302"/>
        <v>11.025926639548398</v>
      </c>
      <c r="K36" s="42">
        <f t="shared" si="302"/>
        <v>751.52092513795276</v>
      </c>
      <c r="L36" s="42">
        <f t="shared" si="302"/>
        <v>5.3801727529427268</v>
      </c>
      <c r="M36" s="42">
        <f t="shared" si="302"/>
        <v>0.63244270591067919</v>
      </c>
      <c r="N36" s="42">
        <f t="shared" si="302"/>
        <v>0</v>
      </c>
      <c r="O36" s="42">
        <f t="shared" si="302"/>
        <v>0</v>
      </c>
      <c r="P36" s="42">
        <f t="shared" si="302"/>
        <v>10.594187369477885</v>
      </c>
      <c r="Q36" s="42">
        <f t="shared" si="302"/>
        <v>65.298161405573978</v>
      </c>
      <c r="R36" s="42">
        <f t="shared" si="302"/>
        <v>0</v>
      </c>
      <c r="S36" s="42">
        <f t="shared" si="302"/>
        <v>5.9060494268443446E-3</v>
      </c>
      <c r="T36" s="74">
        <f t="shared" si="272"/>
        <v>9.0695325000000021E-2</v>
      </c>
      <c r="U36" s="74">
        <f t="shared" si="273"/>
        <v>1.3306349384968027E-3</v>
      </c>
      <c r="V36" s="74">
        <f t="shared" si="274"/>
        <v>0.1858676376986301</v>
      </c>
      <c r="W36" s="74">
        <f t="shared" si="275"/>
        <v>1.5811708960419752</v>
      </c>
      <c r="X36" s="74" t="str">
        <f t="shared" si="276"/>
        <v>.</v>
      </c>
      <c r="Y36" s="74" t="str">
        <f t="shared" si="277"/>
        <v>.</v>
      </c>
      <c r="Z36" s="74">
        <f t="shared" si="278"/>
        <v>9.4391383229734518E-2</v>
      </c>
      <c r="AA36" s="74">
        <f t="shared" si="279"/>
        <v>1.5314366874572338E-2</v>
      </c>
      <c r="AB36" s="74" t="str">
        <f t="shared" si="280"/>
        <v>.</v>
      </c>
      <c r="AC36" s="74">
        <f t="shared" si="281"/>
        <v>169.31791926</v>
      </c>
      <c r="AD36" s="42">
        <f t="shared" si="282"/>
        <v>5.8381652590577494E-3</v>
      </c>
      <c r="AE36" s="42">
        <f t="shared" ref="AE36:AN36" si="303">IFERROR(AE26/$B36,0)</f>
        <v>0.56555823530243787</v>
      </c>
      <c r="AF36" s="42">
        <f t="shared" si="303"/>
        <v>0</v>
      </c>
      <c r="AG36" s="42">
        <f t="shared" si="303"/>
        <v>26.451726140302963</v>
      </c>
      <c r="AH36" s="42">
        <f t="shared" si="303"/>
        <v>0.24488886790225914</v>
      </c>
      <c r="AI36" s="42">
        <f t="shared" si="303"/>
        <v>0</v>
      </c>
      <c r="AJ36" s="42">
        <f t="shared" si="303"/>
        <v>0</v>
      </c>
      <c r="AK36" s="42">
        <f t="shared" si="303"/>
        <v>693.80140633514225</v>
      </c>
      <c r="AL36" s="42">
        <f t="shared" si="303"/>
        <v>3920.7287348303339</v>
      </c>
      <c r="AM36" s="42">
        <f t="shared" si="303"/>
        <v>0</v>
      </c>
      <c r="AN36" s="42">
        <f t="shared" si="303"/>
        <v>0.29530247134221721</v>
      </c>
      <c r="AO36" s="74">
        <f t="shared" si="284"/>
        <v>1.7681645100000005</v>
      </c>
      <c r="AP36" s="74" t="str">
        <f t="shared" si="285"/>
        <v>.</v>
      </c>
      <c r="AQ36" s="74">
        <f t="shared" si="286"/>
        <v>3.7804716210045664E-2</v>
      </c>
      <c r="AR36" s="74">
        <f t="shared" si="287"/>
        <v>4.0834849234515769</v>
      </c>
      <c r="AS36" s="74" t="str">
        <f t="shared" si="288"/>
        <v>.</v>
      </c>
      <c r="AT36" s="74" t="str">
        <f t="shared" si="289"/>
        <v>.</v>
      </c>
      <c r="AU36" s="74">
        <f t="shared" si="290"/>
        <v>1.4413346396662504E-3</v>
      </c>
      <c r="AV36" s="74">
        <f t="shared" si="291"/>
        <v>2.5505462571699038E-4</v>
      </c>
      <c r="AW36" s="74" t="str">
        <f t="shared" si="292"/>
        <v>.</v>
      </c>
      <c r="AX36" s="74">
        <f t="shared" si="293"/>
        <v>3.3863583852000003</v>
      </c>
      <c r="AY36" s="42">
        <f t="shared" si="294"/>
        <v>0.10778755463111535</v>
      </c>
      <c r="AZ36" s="42">
        <f>IFERROR(AZ26/$B36,0)</f>
        <v>5.5285539445195796E-4</v>
      </c>
      <c r="BA36" s="42">
        <f>IFERROR(BA26/$B36,0)</f>
        <v>1.6815503064567844E-3</v>
      </c>
      <c r="BB36" s="42">
        <f t="shared" si="295"/>
        <v>4.1606327695497826E-4</v>
      </c>
    </row>
    <row r="37" spans="1:54" x14ac:dyDescent="0.25">
      <c r="A37" s="55" t="s">
        <v>1067</v>
      </c>
      <c r="B37" s="3">
        <v>1</v>
      </c>
      <c r="C37" s="42">
        <f t="shared" ref="C37:S37" si="304">IFERROR(C22/$B37,0)</f>
        <v>2.3143140848372159E-3</v>
      </c>
      <c r="D37" s="42">
        <f t="shared" si="304"/>
        <v>3.2998129261806355E-2</v>
      </c>
      <c r="E37" s="42">
        <f t="shared" si="304"/>
        <v>5.8549870245729677E-2</v>
      </c>
      <c r="F37" s="42">
        <f t="shared" si="304"/>
        <v>2.1641094278253191E-2</v>
      </c>
      <c r="G37" s="42">
        <f t="shared" si="304"/>
        <v>4.4805129631042264E-3</v>
      </c>
      <c r="H37" s="42">
        <f t="shared" si="304"/>
        <v>3.8773196219731236E-2</v>
      </c>
      <c r="I37" s="42">
        <f t="shared" si="304"/>
        <v>4.5337614717834524E-3</v>
      </c>
      <c r="J37" s="42">
        <f t="shared" si="304"/>
        <v>28.213400518844434</v>
      </c>
      <c r="K37" s="42">
        <f t="shared" si="304"/>
        <v>6746.7098511195518</v>
      </c>
      <c r="L37" s="42">
        <f t="shared" si="304"/>
        <v>173.69949768410476</v>
      </c>
      <c r="M37" s="42">
        <f t="shared" si="304"/>
        <v>0.10212982082054942</v>
      </c>
      <c r="N37" s="42">
        <f t="shared" si="304"/>
        <v>0</v>
      </c>
      <c r="O37" s="42">
        <f t="shared" si="304"/>
        <v>0</v>
      </c>
      <c r="P37" s="42">
        <f t="shared" si="304"/>
        <v>3.4663295577030566</v>
      </c>
      <c r="Q37" s="42">
        <f t="shared" si="304"/>
        <v>2.0683306775015393</v>
      </c>
      <c r="R37" s="42">
        <f t="shared" si="304"/>
        <v>0</v>
      </c>
      <c r="S37" s="42">
        <f t="shared" si="304"/>
        <v>1.1334403679458631E-3</v>
      </c>
      <c r="T37" s="74">
        <f t="shared" si="272"/>
        <v>3.5444150000000001E-2</v>
      </c>
      <c r="U37" s="74">
        <f t="shared" si="273"/>
        <v>1.4822039513586903E-4</v>
      </c>
      <c r="V37" s="74">
        <f t="shared" si="274"/>
        <v>5.7570690378082193E-3</v>
      </c>
      <c r="W37" s="74">
        <f t="shared" si="275"/>
        <v>9.7914594578314507</v>
      </c>
      <c r="X37" s="74" t="str">
        <f t="shared" si="276"/>
        <v>.</v>
      </c>
      <c r="Y37" s="74" t="str">
        <f t="shared" si="277"/>
        <v>.</v>
      </c>
      <c r="Z37" s="74">
        <f t="shared" si="278"/>
        <v>0.28848959204636165</v>
      </c>
      <c r="AA37" s="74">
        <f t="shared" si="279"/>
        <v>0.48348168447028017</v>
      </c>
      <c r="AB37" s="74" t="str">
        <f t="shared" si="280"/>
        <v>.</v>
      </c>
      <c r="AC37" s="74">
        <f t="shared" si="281"/>
        <v>882.26961760000006</v>
      </c>
      <c r="AD37" s="42">
        <f t="shared" si="282"/>
        <v>1.1199783558508531E-3</v>
      </c>
      <c r="AE37" s="42">
        <f t="shared" ref="AE37:AN37" si="305">IFERROR(AE22/$B37,0)</f>
        <v>1.4471637197444738</v>
      </c>
      <c r="AF37" s="42">
        <f t="shared" si="305"/>
        <v>0</v>
      </c>
      <c r="AG37" s="42">
        <f t="shared" si="305"/>
        <v>360.48392898387101</v>
      </c>
      <c r="AH37" s="42">
        <f t="shared" si="305"/>
        <v>0.51981388199222101</v>
      </c>
      <c r="AI37" s="42">
        <f t="shared" si="305"/>
        <v>0</v>
      </c>
      <c r="AJ37" s="42">
        <f t="shared" si="305"/>
        <v>0</v>
      </c>
      <c r="AK37" s="42">
        <f t="shared" si="305"/>
        <v>240.18972561879232</v>
      </c>
      <c r="AL37" s="42">
        <f t="shared" si="305"/>
        <v>132.00595972532471</v>
      </c>
      <c r="AM37" s="42">
        <f t="shared" si="305"/>
        <v>0</v>
      </c>
      <c r="AN37" s="42">
        <f t="shared" si="305"/>
        <v>1.1334403679458631</v>
      </c>
      <c r="AO37" s="74">
        <f t="shared" si="284"/>
        <v>0.69100682000000002</v>
      </c>
      <c r="AP37" s="74" t="str">
        <f t="shared" si="285"/>
        <v>.</v>
      </c>
      <c r="AQ37" s="74">
        <f t="shared" si="286"/>
        <v>2.7740487705479448E-3</v>
      </c>
      <c r="AR37" s="74">
        <f t="shared" si="287"/>
        <v>1.923765475764968</v>
      </c>
      <c r="AS37" s="74" t="str">
        <f t="shared" si="288"/>
        <v>.</v>
      </c>
      <c r="AT37" s="74" t="str">
        <f t="shared" si="289"/>
        <v>.</v>
      </c>
      <c r="AU37" s="74">
        <f t="shared" si="290"/>
        <v>4.163375420925001E-3</v>
      </c>
      <c r="AV37" s="74">
        <f t="shared" si="291"/>
        <v>7.5754155500310704E-3</v>
      </c>
      <c r="AW37" s="74" t="str">
        <f t="shared" si="292"/>
        <v>.</v>
      </c>
      <c r="AX37" s="74">
        <f t="shared" si="293"/>
        <v>0.8822696176</v>
      </c>
      <c r="AY37" s="42">
        <f t="shared" si="294"/>
        <v>0.28477414430612452</v>
      </c>
      <c r="AZ37" s="42">
        <f>IFERROR(AZ22/$B37,0)</f>
        <v>4.9632083568517029E-3</v>
      </c>
      <c r="BA37" s="42">
        <f>IFERROR(BA22/$B37,0)</f>
        <v>2.2602214645492003E-2</v>
      </c>
      <c r="BB37" s="42">
        <f t="shared" si="295"/>
        <v>4.0695729792473703E-3</v>
      </c>
    </row>
    <row r="38" spans="1:54" x14ac:dyDescent="0.25">
      <c r="A38" s="55" t="s">
        <v>1068</v>
      </c>
      <c r="B38" s="3">
        <v>1</v>
      </c>
      <c r="C38" s="42">
        <f t="shared" ref="C38:S38" si="306">IFERROR(C2/$B38,0)</f>
        <v>1.0531677862165531E-2</v>
      </c>
      <c r="D38" s="42">
        <f t="shared" si="306"/>
        <v>0.15016357101930999</v>
      </c>
      <c r="E38" s="42">
        <f t="shared" si="306"/>
        <v>0.26644109213161882</v>
      </c>
      <c r="F38" s="42">
        <f t="shared" si="306"/>
        <v>9.8481461533924661E-2</v>
      </c>
      <c r="G38" s="42">
        <f t="shared" si="306"/>
        <v>2.0389332413361487E-2</v>
      </c>
      <c r="H38" s="42">
        <f t="shared" si="306"/>
        <v>0.17644399044543085</v>
      </c>
      <c r="I38" s="42">
        <f t="shared" si="306"/>
        <v>2.0631648762609211E-2</v>
      </c>
      <c r="J38" s="42">
        <f t="shared" si="306"/>
        <v>128.38985322151007</v>
      </c>
      <c r="K38" s="42">
        <f t="shared" si="306"/>
        <v>6180.8093516247727</v>
      </c>
      <c r="L38" s="42">
        <f t="shared" si="306"/>
        <v>29.277265157356183</v>
      </c>
      <c r="M38" s="42">
        <f t="shared" si="306"/>
        <v>5.8188478017415148</v>
      </c>
      <c r="N38" s="42">
        <f t="shared" si="306"/>
        <v>0</v>
      </c>
      <c r="O38" s="42">
        <f t="shared" si="306"/>
        <v>0</v>
      </c>
      <c r="P38" s="42">
        <f t="shared" si="306"/>
        <v>1065.9320438783923</v>
      </c>
      <c r="Q38" s="42">
        <f t="shared" si="306"/>
        <v>1399.1347358935598</v>
      </c>
      <c r="R38" s="42">
        <f t="shared" si="306"/>
        <v>0</v>
      </c>
      <c r="S38" s="42">
        <f t="shared" si="306"/>
        <v>2.3382535264290438</v>
      </c>
      <c r="T38" s="74">
        <f t="shared" si="272"/>
        <v>7.7887774999999991E-3</v>
      </c>
      <c r="U38" s="74">
        <f t="shared" si="273"/>
        <v>1.6179110907815433E-4</v>
      </c>
      <c r="V38" s="74">
        <f t="shared" si="274"/>
        <v>3.41561957589041E-2</v>
      </c>
      <c r="W38" s="74">
        <f t="shared" si="275"/>
        <v>0.17185532842098247</v>
      </c>
      <c r="X38" s="74" t="str">
        <f t="shared" si="276"/>
        <v>.</v>
      </c>
      <c r="Y38" s="74" t="str">
        <f t="shared" si="277"/>
        <v>.</v>
      </c>
      <c r="Z38" s="74">
        <f t="shared" si="278"/>
        <v>9.3814610954137505E-4</v>
      </c>
      <c r="AA38" s="74">
        <f t="shared" si="279"/>
        <v>7.1472744857652918E-4</v>
      </c>
      <c r="AB38" s="74" t="str">
        <f t="shared" si="280"/>
        <v>.</v>
      </c>
      <c r="AC38" s="74">
        <f t="shared" si="281"/>
        <v>0.42766962123529412</v>
      </c>
      <c r="AD38" s="42">
        <f t="shared" si="282"/>
        <v>1.554521932133099</v>
      </c>
      <c r="AE38" s="42">
        <f t="shared" ref="AE38:AN38" si="307">IFERROR(AE2/$B38,0)</f>
        <v>6.5855633900417727</v>
      </c>
      <c r="AF38" s="42">
        <f t="shared" si="307"/>
        <v>0</v>
      </c>
      <c r="AG38" s="42">
        <f t="shared" si="307"/>
        <v>155.35140749066821</v>
      </c>
      <c r="AH38" s="42">
        <f t="shared" si="307"/>
        <v>2.8411288453614101</v>
      </c>
      <c r="AI38" s="42">
        <f t="shared" si="307"/>
        <v>0</v>
      </c>
      <c r="AJ38" s="42">
        <f t="shared" si="307"/>
        <v>0</v>
      </c>
      <c r="AK38" s="42">
        <f t="shared" si="307"/>
        <v>92907.039182947774</v>
      </c>
      <c r="AL38" s="42">
        <f t="shared" si="307"/>
        <v>114135.9368791431</v>
      </c>
      <c r="AM38" s="42">
        <f t="shared" si="307"/>
        <v>0</v>
      </c>
      <c r="AN38" s="42">
        <f t="shared" si="307"/>
        <v>1.375443250840614</v>
      </c>
      <c r="AO38" s="74">
        <f t="shared" si="284"/>
        <v>0.15184729700000002</v>
      </c>
      <c r="AP38" s="74" t="str">
        <f t="shared" si="285"/>
        <v>.</v>
      </c>
      <c r="AQ38" s="74">
        <f t="shared" si="286"/>
        <v>6.4370192465753422E-3</v>
      </c>
      <c r="AR38" s="74">
        <f t="shared" si="287"/>
        <v>0.35197277365039509</v>
      </c>
      <c r="AS38" s="74" t="str">
        <f t="shared" si="288"/>
        <v>.</v>
      </c>
      <c r="AT38" s="74" t="str">
        <f t="shared" si="289"/>
        <v>.</v>
      </c>
      <c r="AU38" s="74">
        <f t="shared" si="290"/>
        <v>1.0763447084250003E-5</v>
      </c>
      <c r="AV38" s="74">
        <f t="shared" si="291"/>
        <v>8.7614823809514568E-6</v>
      </c>
      <c r="AW38" s="74" t="str">
        <f t="shared" si="292"/>
        <v>.</v>
      </c>
      <c r="AX38" s="74">
        <f t="shared" si="293"/>
        <v>0.72703835610000001</v>
      </c>
      <c r="AY38" s="42">
        <f t="shared" si="294"/>
        <v>0.80820164913324621</v>
      </c>
      <c r="AZ38" s="42">
        <f>IFERROR(AZ2/$B38,0)</f>
        <v>4.5469043879218761E-3</v>
      </c>
      <c r="BA38" s="42">
        <f>IFERROR(BA2/$B38,0)</f>
        <v>9.8635106315132955E-3</v>
      </c>
      <c r="BB38" s="42">
        <f t="shared" si="295"/>
        <v>3.1122240206305834E-3</v>
      </c>
    </row>
    <row r="39" spans="1:54" x14ac:dyDescent="0.25">
      <c r="A39" s="55" t="s">
        <v>1069</v>
      </c>
      <c r="B39" s="3">
        <v>1</v>
      </c>
      <c r="C39" s="42">
        <f t="shared" ref="C39:S39" si="308">IFERROR(C11/$B39,0)</f>
        <v>0</v>
      </c>
      <c r="D39" s="42">
        <f t="shared" si="308"/>
        <v>0</v>
      </c>
      <c r="E39" s="42">
        <f t="shared" si="308"/>
        <v>0</v>
      </c>
      <c r="F39" s="42">
        <f t="shared" si="308"/>
        <v>0</v>
      </c>
      <c r="G39" s="42">
        <f t="shared" si="308"/>
        <v>0</v>
      </c>
      <c r="H39" s="42">
        <f t="shared" si="308"/>
        <v>0</v>
      </c>
      <c r="I39" s="42">
        <f t="shared" si="308"/>
        <v>0</v>
      </c>
      <c r="J39" s="42">
        <f t="shared" si="308"/>
        <v>0</v>
      </c>
      <c r="K39" s="42">
        <f t="shared" si="308"/>
        <v>0</v>
      </c>
      <c r="L39" s="42">
        <f t="shared" si="308"/>
        <v>11.620569480409255</v>
      </c>
      <c r="M39" s="42">
        <f t="shared" si="308"/>
        <v>0</v>
      </c>
      <c r="N39" s="42">
        <f t="shared" si="308"/>
        <v>0</v>
      </c>
      <c r="O39" s="42">
        <f t="shared" si="308"/>
        <v>0</v>
      </c>
      <c r="P39" s="42">
        <f t="shared" si="308"/>
        <v>0</v>
      </c>
      <c r="Q39" s="42">
        <f t="shared" si="308"/>
        <v>0</v>
      </c>
      <c r="R39" s="42">
        <f t="shared" si="308"/>
        <v>0</v>
      </c>
      <c r="S39" s="42">
        <f t="shared" si="308"/>
        <v>0</v>
      </c>
      <c r="T39" s="74" t="str">
        <f t="shared" si="272"/>
        <v>.</v>
      </c>
      <c r="U39" s="74" t="str">
        <f t="shared" si="273"/>
        <v>.</v>
      </c>
      <c r="V39" s="74">
        <f t="shared" si="274"/>
        <v>8.6054302389041076E-2</v>
      </c>
      <c r="W39" s="74" t="str">
        <f t="shared" si="275"/>
        <v>.</v>
      </c>
      <c r="X39" s="74" t="str">
        <f t="shared" si="276"/>
        <v>.</v>
      </c>
      <c r="Y39" s="74" t="str">
        <f t="shared" si="277"/>
        <v>.</v>
      </c>
      <c r="Z39" s="74" t="str">
        <f t="shared" si="278"/>
        <v>.</v>
      </c>
      <c r="AA39" s="74" t="str">
        <f t="shared" si="279"/>
        <v>.</v>
      </c>
      <c r="AB39" s="74" t="str">
        <f t="shared" si="280"/>
        <v>.</v>
      </c>
      <c r="AC39" s="74" t="str">
        <f t="shared" si="281"/>
        <v>.</v>
      </c>
      <c r="AD39" s="42">
        <f t="shared" si="282"/>
        <v>11.620569480409255</v>
      </c>
      <c r="AE39" s="42">
        <f t="shared" ref="AE39:AN39" si="309">IFERROR(AE11/$B39,0)</f>
        <v>0</v>
      </c>
      <c r="AF39" s="42">
        <f t="shared" si="309"/>
        <v>0</v>
      </c>
      <c r="AG39" s="42">
        <f t="shared" si="309"/>
        <v>71.179190341178881</v>
      </c>
      <c r="AH39" s="42">
        <f t="shared" si="309"/>
        <v>0</v>
      </c>
      <c r="AI39" s="42">
        <f t="shared" si="309"/>
        <v>0</v>
      </c>
      <c r="AJ39" s="42">
        <f t="shared" si="309"/>
        <v>0</v>
      </c>
      <c r="AK39" s="42">
        <f t="shared" si="309"/>
        <v>0</v>
      </c>
      <c r="AL39" s="42">
        <f t="shared" si="309"/>
        <v>0</v>
      </c>
      <c r="AM39" s="42">
        <f t="shared" si="309"/>
        <v>0</v>
      </c>
      <c r="AN39" s="42">
        <f t="shared" si="309"/>
        <v>0</v>
      </c>
      <c r="AO39" s="74" t="str">
        <f t="shared" si="284"/>
        <v>.</v>
      </c>
      <c r="AP39" s="74" t="str">
        <f t="shared" si="285"/>
        <v>.</v>
      </c>
      <c r="AQ39" s="74">
        <f t="shared" si="286"/>
        <v>1.4049049942922375E-2</v>
      </c>
      <c r="AR39" s="74" t="str">
        <f t="shared" si="287"/>
        <v>.</v>
      </c>
      <c r="AS39" s="74" t="str">
        <f t="shared" si="288"/>
        <v>.</v>
      </c>
      <c r="AT39" s="74" t="str">
        <f t="shared" si="289"/>
        <v>.</v>
      </c>
      <c r="AU39" s="74" t="str">
        <f t="shared" si="290"/>
        <v>.</v>
      </c>
      <c r="AV39" s="74" t="str">
        <f t="shared" si="291"/>
        <v>.</v>
      </c>
      <c r="AW39" s="74" t="str">
        <f t="shared" si="292"/>
        <v>.</v>
      </c>
      <c r="AX39" s="74" t="str">
        <f t="shared" si="293"/>
        <v>.</v>
      </c>
      <c r="AY39" s="42">
        <f t="shared" si="294"/>
        <v>71.179190341178881</v>
      </c>
      <c r="AZ39" s="42">
        <f>IFERROR(AZ11/$B39,0)</f>
        <v>0</v>
      </c>
      <c r="BA39" s="42">
        <f>IFERROR(BA11/$B39,0)</f>
        <v>4.4661976139492203E-3</v>
      </c>
      <c r="BB39" s="42">
        <f t="shared" si="295"/>
        <v>4.4661976139492203E-3</v>
      </c>
    </row>
    <row r="40" spans="1:54" x14ac:dyDescent="0.25">
      <c r="A40" s="55" t="s">
        <v>1070</v>
      </c>
      <c r="B40" s="3">
        <v>1</v>
      </c>
      <c r="C40" s="42">
        <f t="shared" ref="C40:S40" si="310">IFERROR(C4/$B40,0)</f>
        <v>0</v>
      </c>
      <c r="D40" s="42">
        <f t="shared" si="310"/>
        <v>0</v>
      </c>
      <c r="E40" s="42">
        <f t="shared" si="310"/>
        <v>0</v>
      </c>
      <c r="F40" s="42">
        <f t="shared" si="310"/>
        <v>0</v>
      </c>
      <c r="G40" s="42">
        <f t="shared" si="310"/>
        <v>0</v>
      </c>
      <c r="H40" s="42">
        <f t="shared" si="310"/>
        <v>0</v>
      </c>
      <c r="I40" s="42">
        <f t="shared" si="310"/>
        <v>0</v>
      </c>
      <c r="J40" s="42">
        <f t="shared" si="310"/>
        <v>0</v>
      </c>
      <c r="K40" s="42">
        <f t="shared" si="310"/>
        <v>0</v>
      </c>
      <c r="L40" s="42">
        <f t="shared" si="310"/>
        <v>1304.7978015010706</v>
      </c>
      <c r="M40" s="42">
        <f t="shared" si="310"/>
        <v>0</v>
      </c>
      <c r="N40" s="42">
        <f t="shared" si="310"/>
        <v>0</v>
      </c>
      <c r="O40" s="42">
        <f t="shared" si="310"/>
        <v>0</v>
      </c>
      <c r="P40" s="42">
        <f t="shared" si="310"/>
        <v>0</v>
      </c>
      <c r="Q40" s="42">
        <f t="shared" si="310"/>
        <v>0</v>
      </c>
      <c r="R40" s="42">
        <f t="shared" si="310"/>
        <v>0</v>
      </c>
      <c r="S40" s="42">
        <f t="shared" si="310"/>
        <v>0</v>
      </c>
      <c r="T40" s="74" t="str">
        <f t="shared" si="272"/>
        <v>.</v>
      </c>
      <c r="U40" s="74" t="str">
        <f t="shared" si="273"/>
        <v>.</v>
      </c>
      <c r="V40" s="74">
        <f t="shared" si="274"/>
        <v>7.6640227232876708E-4</v>
      </c>
      <c r="W40" s="74" t="str">
        <f t="shared" si="275"/>
        <v>.</v>
      </c>
      <c r="X40" s="74" t="str">
        <f t="shared" si="276"/>
        <v>.</v>
      </c>
      <c r="Y40" s="74" t="str">
        <f t="shared" si="277"/>
        <v>.</v>
      </c>
      <c r="Z40" s="74" t="str">
        <f t="shared" si="278"/>
        <v>.</v>
      </c>
      <c r="AA40" s="74" t="str">
        <f t="shared" si="279"/>
        <v>.</v>
      </c>
      <c r="AB40" s="74" t="str">
        <f t="shared" si="280"/>
        <v>.</v>
      </c>
      <c r="AC40" s="74" t="str">
        <f t="shared" si="281"/>
        <v>.</v>
      </c>
      <c r="AD40" s="42">
        <f t="shared" si="282"/>
        <v>1304.7978015010706</v>
      </c>
      <c r="AE40" s="42">
        <f t="shared" ref="AE40:AN40" si="311">IFERROR(AE4/$B40,0)</f>
        <v>0</v>
      </c>
      <c r="AF40" s="42">
        <f t="shared" si="311"/>
        <v>0</v>
      </c>
      <c r="AG40" s="42">
        <f t="shared" si="311"/>
        <v>8473.7131358546303</v>
      </c>
      <c r="AH40" s="42">
        <f t="shared" si="311"/>
        <v>0</v>
      </c>
      <c r="AI40" s="42">
        <f t="shared" si="311"/>
        <v>0</v>
      </c>
      <c r="AJ40" s="42">
        <f t="shared" si="311"/>
        <v>0</v>
      </c>
      <c r="AK40" s="42">
        <f t="shared" si="311"/>
        <v>0</v>
      </c>
      <c r="AL40" s="42">
        <f t="shared" si="311"/>
        <v>0</v>
      </c>
      <c r="AM40" s="42">
        <f t="shared" si="311"/>
        <v>0</v>
      </c>
      <c r="AN40" s="42">
        <f t="shared" si="311"/>
        <v>0</v>
      </c>
      <c r="AO40" s="74" t="str">
        <f t="shared" si="284"/>
        <v>.</v>
      </c>
      <c r="AP40" s="74" t="str">
        <f t="shared" si="285"/>
        <v>.</v>
      </c>
      <c r="AQ40" s="74">
        <f t="shared" si="286"/>
        <v>1.1801201952054792E-4</v>
      </c>
      <c r="AR40" s="74" t="str">
        <f t="shared" si="287"/>
        <v>.</v>
      </c>
      <c r="AS40" s="74" t="str">
        <f t="shared" si="288"/>
        <v>.</v>
      </c>
      <c r="AT40" s="74" t="str">
        <f t="shared" si="289"/>
        <v>.</v>
      </c>
      <c r="AU40" s="74" t="str">
        <f t="shared" si="290"/>
        <v>.</v>
      </c>
      <c r="AV40" s="74" t="str">
        <f t="shared" si="291"/>
        <v>.</v>
      </c>
      <c r="AW40" s="74" t="str">
        <f t="shared" si="292"/>
        <v>.</v>
      </c>
      <c r="AX40" s="74" t="str">
        <f t="shared" si="293"/>
        <v>.</v>
      </c>
      <c r="AY40" s="42">
        <f t="shared" si="294"/>
        <v>8473.7131358546303</v>
      </c>
      <c r="AZ40" s="42">
        <f>IFERROR(AZ4/$B40,0)</f>
        <v>0</v>
      </c>
      <c r="BA40" s="42">
        <f>IFERROR(BA4/$B40,0)</f>
        <v>0.52667424692797415</v>
      </c>
      <c r="BB40" s="42">
        <f t="shared" si="295"/>
        <v>0.52667424692797415</v>
      </c>
    </row>
    <row r="41" spans="1:54" x14ac:dyDescent="0.25">
      <c r="A41" s="55" t="s">
        <v>1071</v>
      </c>
      <c r="B41" s="56">
        <v>0.99987999999999999</v>
      </c>
      <c r="C41" s="42">
        <f t="shared" ref="C41:S41" si="312">IFERROR(C8/$B41,0)</f>
        <v>2.0554957348286913</v>
      </c>
      <c r="D41" s="42">
        <f t="shared" si="312"/>
        <v>29.307825761143253</v>
      </c>
      <c r="E41" s="42">
        <f t="shared" si="312"/>
        <v>52.002020535313733</v>
      </c>
      <c r="F41" s="42">
        <f t="shared" si="312"/>
        <v>19.220890231545173</v>
      </c>
      <c r="G41" s="42">
        <f t="shared" si="312"/>
        <v>3.9794405374122732</v>
      </c>
      <c r="H41" s="42">
        <f t="shared" si="312"/>
        <v>34.437045506266855</v>
      </c>
      <c r="I41" s="42">
        <f t="shared" si="312"/>
        <v>4.0267340673584622</v>
      </c>
      <c r="J41" s="42">
        <f t="shared" si="312"/>
        <v>25058.19102577748</v>
      </c>
      <c r="K41" s="42">
        <f t="shared" si="312"/>
        <v>1598496.8857647546</v>
      </c>
      <c r="L41" s="42">
        <f t="shared" si="312"/>
        <v>2.2517555474949926</v>
      </c>
      <c r="M41" s="42">
        <f t="shared" si="312"/>
        <v>20.389815146560249</v>
      </c>
      <c r="N41" s="42">
        <f t="shared" si="312"/>
        <v>0</v>
      </c>
      <c r="O41" s="42">
        <f t="shared" si="312"/>
        <v>0</v>
      </c>
      <c r="P41" s="42">
        <f t="shared" si="312"/>
        <v>1030.3345071854824</v>
      </c>
      <c r="Q41" s="42">
        <f t="shared" si="312"/>
        <v>262.32472022621698</v>
      </c>
      <c r="R41" s="42">
        <f t="shared" si="312"/>
        <v>0</v>
      </c>
      <c r="S41" s="42">
        <f t="shared" si="312"/>
        <v>128.85549015547079</v>
      </c>
      <c r="T41" s="74">
        <f t="shared" si="272"/>
        <v>3.9907110571999998E-5</v>
      </c>
      <c r="U41" s="74">
        <f t="shared" si="273"/>
        <v>6.2558770611653646E-7</v>
      </c>
      <c r="V41" s="74">
        <f t="shared" si="274"/>
        <v>0.44409793998840974</v>
      </c>
      <c r="W41" s="74">
        <f t="shared" si="275"/>
        <v>4.9044093475692913E-2</v>
      </c>
      <c r="X41" s="74" t="str">
        <f t="shared" si="276"/>
        <v>.</v>
      </c>
      <c r="Y41" s="74" t="str">
        <f t="shared" si="277"/>
        <v>.</v>
      </c>
      <c r="Z41" s="74">
        <f t="shared" si="278"/>
        <v>9.7055858366973868E-4</v>
      </c>
      <c r="AA41" s="74">
        <f t="shared" si="279"/>
        <v>3.8120692519471484E-3</v>
      </c>
      <c r="AB41" s="74" t="str">
        <f t="shared" si="280"/>
        <v>.</v>
      </c>
      <c r="AC41" s="74">
        <f t="shared" si="281"/>
        <v>7.7606316874310006E-3</v>
      </c>
      <c r="AD41" s="42">
        <f t="shared" si="282"/>
        <v>1.9773560083562343</v>
      </c>
      <c r="AE41" s="42">
        <f t="shared" ref="AE41:AN41" si="313">IFERROR(AE8/$B41,0)</f>
        <v>1285.3220196094605</v>
      </c>
      <c r="AF41" s="42">
        <f t="shared" si="313"/>
        <v>0</v>
      </c>
      <c r="AG41" s="42">
        <f t="shared" si="313"/>
        <v>15.537005189689582</v>
      </c>
      <c r="AH41" s="42">
        <f t="shared" si="313"/>
        <v>283.68261586925979</v>
      </c>
      <c r="AI41" s="42">
        <f t="shared" si="313"/>
        <v>0</v>
      </c>
      <c r="AJ41" s="42">
        <f t="shared" si="313"/>
        <v>0</v>
      </c>
      <c r="AK41" s="42">
        <f t="shared" si="313"/>
        <v>181329.15312778464</v>
      </c>
      <c r="AL41" s="42">
        <f t="shared" si="313"/>
        <v>44552.432103637409</v>
      </c>
      <c r="AM41" s="42">
        <f t="shared" si="313"/>
        <v>0</v>
      </c>
      <c r="AN41" s="42">
        <f t="shared" si="313"/>
        <v>268.4489378238975</v>
      </c>
      <c r="AO41" s="74">
        <f t="shared" si="284"/>
        <v>7.7801514697759986E-4</v>
      </c>
      <c r="AP41" s="74" t="str">
        <f t="shared" si="285"/>
        <v>.</v>
      </c>
      <c r="AQ41" s="74">
        <f t="shared" si="286"/>
        <v>6.4362468042657536E-2</v>
      </c>
      <c r="AR41" s="74">
        <f t="shared" si="287"/>
        <v>3.5250661974326543E-3</v>
      </c>
      <c r="AS41" s="74" t="str">
        <f t="shared" si="288"/>
        <v>.</v>
      </c>
      <c r="AT41" s="74" t="str">
        <f t="shared" si="289"/>
        <v>.</v>
      </c>
      <c r="AU41" s="74">
        <f t="shared" si="290"/>
        <v>5.514833013615241E-6</v>
      </c>
      <c r="AV41" s="74">
        <f t="shared" si="291"/>
        <v>2.2445463755464802E-5</v>
      </c>
      <c r="AW41" s="74" t="str">
        <f t="shared" si="292"/>
        <v>.</v>
      </c>
      <c r="AX41" s="74">
        <f t="shared" si="293"/>
        <v>3.7251032099668803E-3</v>
      </c>
      <c r="AY41" s="42">
        <f t="shared" si="294"/>
        <v>13.808604722468544</v>
      </c>
      <c r="AZ41" s="42">
        <f>IFERROR(AZ8/$B41,0)</f>
        <v>1.1759321620319179</v>
      </c>
      <c r="BA41" s="42">
        <f>IFERROR(BA8/$B41,0)</f>
        <v>9.3996919654542482E-4</v>
      </c>
      <c r="BB41" s="42">
        <f t="shared" si="295"/>
        <v>9.3921844200972853E-4</v>
      </c>
    </row>
    <row r="42" spans="1:54" x14ac:dyDescent="0.25">
      <c r="A42" s="55" t="s">
        <v>1072</v>
      </c>
      <c r="B42" s="3">
        <v>0.97898250799999997</v>
      </c>
      <c r="C42" s="42">
        <f t="shared" ref="C42:S42" si="314">IFERROR(C19/$B42,0)</f>
        <v>0</v>
      </c>
      <c r="D42" s="42">
        <f t="shared" si="314"/>
        <v>0</v>
      </c>
      <c r="E42" s="42">
        <f t="shared" si="314"/>
        <v>0</v>
      </c>
      <c r="F42" s="42">
        <f t="shared" si="314"/>
        <v>0</v>
      </c>
      <c r="G42" s="42">
        <f t="shared" si="314"/>
        <v>0</v>
      </c>
      <c r="H42" s="42">
        <f t="shared" si="314"/>
        <v>0</v>
      </c>
      <c r="I42" s="42">
        <f t="shared" si="314"/>
        <v>0</v>
      </c>
      <c r="J42" s="42">
        <f t="shared" si="314"/>
        <v>0</v>
      </c>
      <c r="K42" s="42">
        <f t="shared" si="314"/>
        <v>0</v>
      </c>
      <c r="L42" s="42">
        <f t="shared" si="314"/>
        <v>7295.9864748956406</v>
      </c>
      <c r="M42" s="42">
        <f t="shared" si="314"/>
        <v>0</v>
      </c>
      <c r="N42" s="42">
        <f t="shared" si="314"/>
        <v>0</v>
      </c>
      <c r="O42" s="42">
        <f t="shared" si="314"/>
        <v>0</v>
      </c>
      <c r="P42" s="42">
        <f t="shared" si="314"/>
        <v>0</v>
      </c>
      <c r="Q42" s="42">
        <f t="shared" si="314"/>
        <v>0</v>
      </c>
      <c r="R42" s="42">
        <f t="shared" si="314"/>
        <v>0</v>
      </c>
      <c r="S42" s="42">
        <f t="shared" si="314"/>
        <v>0</v>
      </c>
      <c r="T42" s="74" t="str">
        <f t="shared" si="272"/>
        <v>.</v>
      </c>
      <c r="U42" s="74" t="str">
        <f t="shared" si="273"/>
        <v>.</v>
      </c>
      <c r="V42" s="74">
        <f t="shared" si="274"/>
        <v>1.3706165758953161E-4</v>
      </c>
      <c r="W42" s="74" t="str">
        <f t="shared" si="275"/>
        <v>.</v>
      </c>
      <c r="X42" s="74" t="str">
        <f t="shared" si="276"/>
        <v>.</v>
      </c>
      <c r="Y42" s="74" t="str">
        <f t="shared" si="277"/>
        <v>.</v>
      </c>
      <c r="Z42" s="74" t="str">
        <f t="shared" si="278"/>
        <v>.</v>
      </c>
      <c r="AA42" s="74" t="str">
        <f t="shared" si="279"/>
        <v>.</v>
      </c>
      <c r="AB42" s="74" t="str">
        <f t="shared" si="280"/>
        <v>.</v>
      </c>
      <c r="AC42" s="74" t="str">
        <f t="shared" si="281"/>
        <v>.</v>
      </c>
      <c r="AD42" s="42">
        <f t="shared" si="282"/>
        <v>7295.9864748956406</v>
      </c>
      <c r="AE42" s="42">
        <f t="shared" ref="AE42:AN42" si="315">IFERROR(AE19/$B42,0)</f>
        <v>0</v>
      </c>
      <c r="AF42" s="42">
        <f t="shared" si="315"/>
        <v>0</v>
      </c>
      <c r="AG42" s="42">
        <f t="shared" si="315"/>
        <v>53893.562901319172</v>
      </c>
      <c r="AH42" s="42">
        <f t="shared" si="315"/>
        <v>0</v>
      </c>
      <c r="AI42" s="42">
        <f t="shared" si="315"/>
        <v>0</v>
      </c>
      <c r="AJ42" s="42">
        <f t="shared" si="315"/>
        <v>0</v>
      </c>
      <c r="AK42" s="42">
        <f t="shared" si="315"/>
        <v>0</v>
      </c>
      <c r="AL42" s="42">
        <f t="shared" si="315"/>
        <v>0</v>
      </c>
      <c r="AM42" s="42">
        <f t="shared" si="315"/>
        <v>0</v>
      </c>
      <c r="AN42" s="42">
        <f t="shared" si="315"/>
        <v>0</v>
      </c>
      <c r="AO42" s="74" t="str">
        <f t="shared" si="284"/>
        <v>.</v>
      </c>
      <c r="AP42" s="74" t="str">
        <f t="shared" si="285"/>
        <v>.</v>
      </c>
      <c r="AQ42" s="74">
        <f t="shared" si="286"/>
        <v>1.8555091668944429E-5</v>
      </c>
      <c r="AR42" s="74" t="str">
        <f t="shared" si="287"/>
        <v>.</v>
      </c>
      <c r="AS42" s="74" t="str">
        <f t="shared" si="288"/>
        <v>.</v>
      </c>
      <c r="AT42" s="74" t="str">
        <f t="shared" si="289"/>
        <v>.</v>
      </c>
      <c r="AU42" s="74" t="str">
        <f t="shared" si="290"/>
        <v>.</v>
      </c>
      <c r="AV42" s="74" t="str">
        <f t="shared" si="291"/>
        <v>.</v>
      </c>
      <c r="AW42" s="74" t="str">
        <f t="shared" si="292"/>
        <v>.</v>
      </c>
      <c r="AX42" s="74" t="str">
        <f t="shared" si="293"/>
        <v>.</v>
      </c>
      <c r="AY42" s="42">
        <f t="shared" si="294"/>
        <v>53893.562901319172</v>
      </c>
      <c r="AZ42" s="42">
        <f>IFERROR(AZ19/$B42,0)</f>
        <v>0</v>
      </c>
      <c r="BA42" s="42">
        <f>IFERROR(BA19/$B42,0)</f>
        <v>3.3348546179358083</v>
      </c>
      <c r="BB42" s="42">
        <f t="shared" si="295"/>
        <v>3.3348546179358087</v>
      </c>
    </row>
    <row r="43" spans="1:54" x14ac:dyDescent="0.25">
      <c r="A43" s="55" t="s">
        <v>1073</v>
      </c>
      <c r="B43" s="3">
        <v>2.0897492E-2</v>
      </c>
      <c r="C43" s="42">
        <f t="shared" ref="C43:S43" si="316">IFERROR(C28/$B43,0)</f>
        <v>0</v>
      </c>
      <c r="D43" s="42">
        <f t="shared" si="316"/>
        <v>0</v>
      </c>
      <c r="E43" s="42">
        <f t="shared" si="316"/>
        <v>0</v>
      </c>
      <c r="F43" s="42">
        <f t="shared" si="316"/>
        <v>0</v>
      </c>
      <c r="G43" s="42">
        <f t="shared" si="316"/>
        <v>0</v>
      </c>
      <c r="H43" s="42">
        <f t="shared" si="316"/>
        <v>0</v>
      </c>
      <c r="I43" s="42">
        <f t="shared" si="316"/>
        <v>0</v>
      </c>
      <c r="J43" s="42">
        <f t="shared" si="316"/>
        <v>0</v>
      </c>
      <c r="K43" s="42">
        <f t="shared" si="316"/>
        <v>0</v>
      </c>
      <c r="L43" s="42">
        <f t="shared" si="316"/>
        <v>5.754446437720274</v>
      </c>
      <c r="M43" s="42">
        <f t="shared" si="316"/>
        <v>0</v>
      </c>
      <c r="N43" s="42">
        <f t="shared" si="316"/>
        <v>0</v>
      </c>
      <c r="O43" s="42">
        <f t="shared" si="316"/>
        <v>0</v>
      </c>
      <c r="P43" s="42">
        <f t="shared" si="316"/>
        <v>0</v>
      </c>
      <c r="Q43" s="42">
        <f t="shared" si="316"/>
        <v>0</v>
      </c>
      <c r="R43" s="42">
        <f t="shared" si="316"/>
        <v>0</v>
      </c>
      <c r="S43" s="42">
        <f t="shared" si="316"/>
        <v>0</v>
      </c>
      <c r="T43" s="74" t="str">
        <f t="shared" si="272"/>
        <v>.</v>
      </c>
      <c r="U43" s="74" t="str">
        <f t="shared" si="273"/>
        <v>.</v>
      </c>
      <c r="V43" s="74">
        <f t="shared" si="274"/>
        <v>0.17377866156595381</v>
      </c>
      <c r="W43" s="74" t="str">
        <f t="shared" si="275"/>
        <v>.</v>
      </c>
      <c r="X43" s="74" t="str">
        <f t="shared" si="276"/>
        <v>.</v>
      </c>
      <c r="Y43" s="74" t="str">
        <f t="shared" si="277"/>
        <v>.</v>
      </c>
      <c r="Z43" s="74" t="str">
        <f t="shared" si="278"/>
        <v>.</v>
      </c>
      <c r="AA43" s="74" t="str">
        <f t="shared" si="279"/>
        <v>.</v>
      </c>
      <c r="AB43" s="74" t="str">
        <f t="shared" si="280"/>
        <v>.</v>
      </c>
      <c r="AC43" s="74" t="str">
        <f t="shared" si="281"/>
        <v>.</v>
      </c>
      <c r="AD43" s="42">
        <f t="shared" si="282"/>
        <v>5.754446437720274</v>
      </c>
      <c r="AE43" s="42">
        <f t="shared" ref="AE43:AN43" si="317">IFERROR(AE28/$B43,0)</f>
        <v>0</v>
      </c>
      <c r="AF43" s="42">
        <f t="shared" si="317"/>
        <v>0</v>
      </c>
      <c r="AG43" s="42">
        <f t="shared" si="317"/>
        <v>42.576395256652631</v>
      </c>
      <c r="AH43" s="42">
        <f t="shared" si="317"/>
        <v>0</v>
      </c>
      <c r="AI43" s="42">
        <f t="shared" si="317"/>
        <v>0</v>
      </c>
      <c r="AJ43" s="42">
        <f t="shared" si="317"/>
        <v>0</v>
      </c>
      <c r="AK43" s="42">
        <f t="shared" si="317"/>
        <v>0</v>
      </c>
      <c r="AL43" s="42">
        <f t="shared" si="317"/>
        <v>0</v>
      </c>
      <c r="AM43" s="42">
        <f t="shared" si="317"/>
        <v>0</v>
      </c>
      <c r="AN43" s="42">
        <f t="shared" si="317"/>
        <v>0</v>
      </c>
      <c r="AO43" s="74" t="str">
        <f t="shared" si="284"/>
        <v>.</v>
      </c>
      <c r="AP43" s="74" t="str">
        <f t="shared" si="285"/>
        <v>.</v>
      </c>
      <c r="AQ43" s="74">
        <f t="shared" si="286"/>
        <v>2.3487192703185656E-2</v>
      </c>
      <c r="AR43" s="74" t="str">
        <f t="shared" si="287"/>
        <v>.</v>
      </c>
      <c r="AS43" s="74" t="str">
        <f t="shared" si="288"/>
        <v>.</v>
      </c>
      <c r="AT43" s="74" t="str">
        <f t="shared" si="289"/>
        <v>.</v>
      </c>
      <c r="AU43" s="74" t="str">
        <f t="shared" si="290"/>
        <v>.</v>
      </c>
      <c r="AV43" s="74" t="str">
        <f t="shared" si="291"/>
        <v>.</v>
      </c>
      <c r="AW43" s="74" t="str">
        <f t="shared" si="292"/>
        <v>.</v>
      </c>
      <c r="AX43" s="74" t="str">
        <f t="shared" si="293"/>
        <v>.</v>
      </c>
      <c r="AY43" s="42">
        <f t="shared" si="294"/>
        <v>42.576395256652631</v>
      </c>
      <c r="AZ43" s="42">
        <f>IFERROR(AZ28/$B43,0)</f>
        <v>0</v>
      </c>
      <c r="BA43" s="42">
        <f>IFERROR(BA28/$B43,0)</f>
        <v>2.6191092163804406E-3</v>
      </c>
      <c r="BB43" s="42">
        <f t="shared" si="295"/>
        <v>2.6191092163804406E-3</v>
      </c>
    </row>
    <row r="44" spans="1:54" x14ac:dyDescent="0.25">
      <c r="A44" s="55" t="s">
        <v>1074</v>
      </c>
      <c r="B44" s="3">
        <v>0.99987999999999999</v>
      </c>
      <c r="C44" s="42">
        <f t="shared" ref="C44:S44" si="318">IFERROR(C15/$B44,0)</f>
        <v>7.3744693029998567</v>
      </c>
      <c r="D44" s="42">
        <f t="shared" si="318"/>
        <v>105.14721959821141</v>
      </c>
      <c r="E44" s="42">
        <f t="shared" si="318"/>
        <v>186.56682066216973</v>
      </c>
      <c r="F44" s="42">
        <f t="shared" si="318"/>
        <v>68.958481687471306</v>
      </c>
      <c r="G44" s="42">
        <f t="shared" si="318"/>
        <v>14.276975422041351</v>
      </c>
      <c r="H44" s="42">
        <f t="shared" si="318"/>
        <v>123.54923956732952</v>
      </c>
      <c r="I44" s="42">
        <f t="shared" si="318"/>
        <v>14.446649666025008</v>
      </c>
      <c r="J44" s="42">
        <f t="shared" si="318"/>
        <v>89900.872756470737</v>
      </c>
      <c r="K44" s="42">
        <f t="shared" si="318"/>
        <v>812989103.79152989</v>
      </c>
      <c r="L44" s="42">
        <f t="shared" si="318"/>
        <v>2284.6596125672932</v>
      </c>
      <c r="M44" s="42">
        <f t="shared" si="318"/>
        <v>422.07536071909141</v>
      </c>
      <c r="N44" s="42">
        <f t="shared" si="318"/>
        <v>0</v>
      </c>
      <c r="O44" s="42">
        <f t="shared" si="318"/>
        <v>0</v>
      </c>
      <c r="P44" s="42">
        <f t="shared" si="318"/>
        <v>27430.644970821122</v>
      </c>
      <c r="Q44" s="42">
        <f t="shared" si="318"/>
        <v>13503.268714622604</v>
      </c>
      <c r="R44" s="42">
        <f t="shared" si="318"/>
        <v>0</v>
      </c>
      <c r="S44" s="42">
        <f t="shared" si="318"/>
        <v>86.679897996150061</v>
      </c>
      <c r="T44" s="74">
        <f t="shared" si="272"/>
        <v>1.1123362536300002E-5</v>
      </c>
      <c r="U44" s="74">
        <f t="shared" si="273"/>
        <v>1.2300287855474434E-9</v>
      </c>
      <c r="V44" s="74">
        <f t="shared" si="274"/>
        <v>4.3770196422227237E-4</v>
      </c>
      <c r="W44" s="74">
        <f t="shared" si="275"/>
        <v>2.3692451468768426E-3</v>
      </c>
      <c r="X44" s="74" t="str">
        <f t="shared" si="276"/>
        <v>.</v>
      </c>
      <c r="Y44" s="74" t="str">
        <f t="shared" si="277"/>
        <v>.</v>
      </c>
      <c r="Z44" s="74">
        <f t="shared" si="278"/>
        <v>3.6455577368440766E-5</v>
      </c>
      <c r="AA44" s="74">
        <f t="shared" si="279"/>
        <v>7.4056143081645582E-5</v>
      </c>
      <c r="AB44" s="74" t="str">
        <f t="shared" si="280"/>
        <v>.</v>
      </c>
      <c r="AC44" s="74">
        <f t="shared" si="281"/>
        <v>1.1536700239822797E-2</v>
      </c>
      <c r="AD44" s="42">
        <f t="shared" si="282"/>
        <v>69.131032839201524</v>
      </c>
      <c r="AE44" s="42">
        <f t="shared" ref="AE44:AN44" si="319">IFERROR(AE15/$B44,0)</f>
        <v>4611.3293340741011</v>
      </c>
      <c r="AF44" s="42">
        <f t="shared" si="319"/>
        <v>0</v>
      </c>
      <c r="AG44" s="42">
        <f t="shared" si="319"/>
        <v>1747.9130838400781</v>
      </c>
      <c r="AH44" s="42">
        <f t="shared" si="319"/>
        <v>1728.3679462858536</v>
      </c>
      <c r="AI44" s="42">
        <f t="shared" si="319"/>
        <v>0</v>
      </c>
      <c r="AJ44" s="42">
        <f t="shared" si="319"/>
        <v>0</v>
      </c>
      <c r="AK44" s="42">
        <f t="shared" si="319"/>
        <v>1858719.182950709</v>
      </c>
      <c r="AL44" s="42">
        <f t="shared" si="319"/>
        <v>841263.42589831748</v>
      </c>
      <c r="AM44" s="42">
        <f t="shared" si="319"/>
        <v>0</v>
      </c>
      <c r="AN44" s="42">
        <f t="shared" si="319"/>
        <v>577.86598664100029</v>
      </c>
      <c r="AO44" s="74">
        <f t="shared" si="284"/>
        <v>2.1685720701204001E-4</v>
      </c>
      <c r="AP44" s="74" t="str">
        <f t="shared" si="285"/>
        <v>.</v>
      </c>
      <c r="AQ44" s="74">
        <f t="shared" si="286"/>
        <v>5.721108270458447E-4</v>
      </c>
      <c r="AR44" s="74">
        <f t="shared" si="287"/>
        <v>5.7858050546987557E-4</v>
      </c>
      <c r="AS44" s="74" t="str">
        <f t="shared" si="288"/>
        <v>.</v>
      </c>
      <c r="AT44" s="74" t="str">
        <f t="shared" si="289"/>
        <v>.</v>
      </c>
      <c r="AU44" s="74">
        <f t="shared" si="290"/>
        <v>5.3800488485436741E-7</v>
      </c>
      <c r="AV44" s="74">
        <f t="shared" si="291"/>
        <v>1.188688310004896E-6</v>
      </c>
      <c r="AW44" s="74" t="str">
        <f t="shared" si="292"/>
        <v>.</v>
      </c>
      <c r="AX44" s="74">
        <f t="shared" si="293"/>
        <v>1.73050503597342E-3</v>
      </c>
      <c r="AY44" s="42">
        <f t="shared" si="294"/>
        <v>322.60351164202427</v>
      </c>
      <c r="AZ44" s="42">
        <f>IFERROR(AZ15/$B44,0)</f>
        <v>598.07438040305271</v>
      </c>
      <c r="BA44" s="42">
        <f>IFERROR(BA15/$B44,0)</f>
        <v>5.5834170274798228E-2</v>
      </c>
      <c r="BB44" s="42">
        <f t="shared" si="295"/>
        <v>5.5828958274978933E-2</v>
      </c>
    </row>
    <row r="45" spans="1:54" x14ac:dyDescent="0.25">
      <c r="A45" s="54" t="s">
        <v>8</v>
      </c>
      <c r="B45" s="39" t="s">
        <v>1221</v>
      </c>
      <c r="C45" s="40">
        <f t="shared" ref="C45" si="320">IFERROR(IF(AND(C46&lt;&gt;0,C47&lt;&gt;0),1/SUM(1/C46,1/C47),IF(AND(C46&lt;&gt;0,C47=0),1/(1/C46),IF(AND(C46=0,C47&lt;&gt;0),1/(1/C47),IF(AND(C46=0,C47=0),".")))),".")</f>
        <v>4.1414041518139655E-2</v>
      </c>
      <c r="D45" s="40">
        <f t="shared" ref="D45:L45" si="321">IFERROR(IF(AND(D46&lt;&gt;0,D47&lt;&gt;0),1/SUM(1/D46,1/D47),IF(AND(D46&lt;&gt;0,D47=0),1/(1/D46),IF(AND(D46=0,D47&lt;&gt;0),1/(1/D47),IF(AND(D46=0,D47=0),".")))),".")</f>
        <v>0.59049283942179798</v>
      </c>
      <c r="E45" s="40">
        <f t="shared" si="321"/>
        <v>1.0477345201867416</v>
      </c>
      <c r="F45" s="40">
        <f t="shared" si="321"/>
        <v>0.38726168708453085</v>
      </c>
      <c r="G45" s="40">
        <f t="shared" si="321"/>
        <v>8.0177600392391427E-2</v>
      </c>
      <c r="H45" s="40">
        <f t="shared" si="321"/>
        <v>0.6938361428794011</v>
      </c>
      <c r="I45" s="40">
        <f t="shared" si="321"/>
        <v>8.1130468442440734E-2</v>
      </c>
      <c r="J45" s="40">
        <f t="shared" si="321"/>
        <v>504.8713777056372</v>
      </c>
      <c r="K45" s="40">
        <f t="shared" si="321"/>
        <v>1360667.3824440152</v>
      </c>
      <c r="L45" s="40">
        <f t="shared" si="321"/>
        <v>0.48478904375967075</v>
      </c>
      <c r="M45" s="40">
        <f t="shared" ref="M45:S45" si="322">IFERROR(IF(AND(M46&lt;&gt;0,M47&lt;&gt;0),1/SUM(1/M46,1/M47),IF(AND(M46&lt;&gt;0,M47=0),1/(1/M46),IF(AND(M46=0,M47&lt;&gt;0),1/(1/M47),IF(AND(M46=0,M47=0),".")))),".")</f>
        <v>1.6500657141256105</v>
      </c>
      <c r="N45" s="40">
        <f t="shared" si="322"/>
        <v>2.780098114038597</v>
      </c>
      <c r="O45" s="40">
        <f t="shared" si="322"/>
        <v>33.296647887290518</v>
      </c>
      <c r="P45" s="40">
        <f t="shared" si="322"/>
        <v>4.5902396345050462</v>
      </c>
      <c r="Q45" s="40">
        <f t="shared" si="322"/>
        <v>2.9183652976392578</v>
      </c>
      <c r="R45" s="40">
        <f t="shared" si="322"/>
        <v>2.0386958164918738</v>
      </c>
      <c r="S45" s="40">
        <f t="shared" si="322"/>
        <v>3.2452187376976296E-4</v>
      </c>
      <c r="T45" s="108"/>
      <c r="U45" s="108"/>
      <c r="V45" s="108"/>
      <c r="W45" s="108"/>
      <c r="X45" s="108"/>
      <c r="Y45" s="108"/>
      <c r="Z45" s="108"/>
      <c r="AA45" s="108"/>
      <c r="AB45" s="108"/>
      <c r="AC45" s="108"/>
      <c r="AD45" s="41">
        <f t="shared" ref="AD45" si="323">IFERROR(IF(AND(AD46&lt;&gt;0,AD47&lt;&gt;0),1/SUM(1/AD46,1/AD47),IF(AND(AD46&lt;&gt;0,AD47=0),1/(1/AD46),IF(AND(AD46=0,AD47&lt;&gt;0),1/(1/AD47),IF(AND(AD46=0,AD47=0),".")))),".")</f>
        <v>3.2408944785320288E-4</v>
      </c>
      <c r="AE45" s="40">
        <f>IFERROR(IF(AND(AE46&lt;&gt;0,AE47&lt;&gt;0),1/SUM(1/AE46,1/AE47),IF(AND(AE46&lt;&gt;0,AE47=0),1/(1/AE46),IF(AND(AE46=0,AE47&lt;&gt;0),1/(1/AE47),IF(AND(AE46=0,AE47=0),".")))),".")</f>
        <v>25.896613932269531</v>
      </c>
      <c r="AF45" s="40" t="str">
        <f>IFERROR(IF(AND(AF46&lt;&gt;0,AF47&lt;&gt;0),1/SUM(1/AF46,1/AF47),IF(AND(AF46&lt;&gt;0,AF47=0),1/(1/AF46),IF(AND(AF46=0,AF47&lt;&gt;0),1/(1/AF47),IF(AND(AF46=0,AF47=0),".")))),".")</f>
        <v>.</v>
      </c>
      <c r="AG45" s="40">
        <f>IFERROR(IF(AND(AG46&lt;&gt;0,AG47&lt;&gt;0),1/SUM(1/AG46,1/AG47),IF(AND(AG46&lt;&gt;0,AG47=0),1/(1/AG46),IF(AND(AG46=0,AG47&lt;&gt;0),1/(1/AG47),IF(AND(AG46=0,AG47=0),".")))),".")</f>
        <v>3.5499480063171633</v>
      </c>
      <c r="AH45" s="40">
        <f t="shared" ref="AH45:AN45" si="324">IFERROR(IF(AND(AH46&lt;&gt;0,AH47&lt;&gt;0),1/SUM(1/AH46,1/AH47),IF(AND(AH46&lt;&gt;0,AH47=0),1/(1/AH46),IF(AND(AH46=0,AH47&lt;&gt;0),1/(1/AH47),IF(AND(AH46=0,AH47=0),".")))),".")</f>
        <v>9.1233539198793867</v>
      </c>
      <c r="AI45" s="40">
        <f t="shared" si="324"/>
        <v>546.75262909425737</v>
      </c>
      <c r="AJ45" s="40">
        <f t="shared" si="324"/>
        <v>6548.3407511671339</v>
      </c>
      <c r="AK45" s="40">
        <f t="shared" si="324"/>
        <v>332.1283765733541</v>
      </c>
      <c r="AL45" s="40">
        <f t="shared" si="324"/>
        <v>195.13924481134964</v>
      </c>
      <c r="AM45" s="40">
        <f t="shared" si="324"/>
        <v>304.31409775412322</v>
      </c>
      <c r="AN45" s="40">
        <f t="shared" si="324"/>
        <v>3.2452187376976291E-2</v>
      </c>
      <c r="AO45" s="108"/>
      <c r="AP45" s="108"/>
      <c r="AQ45" s="108"/>
      <c r="AR45" s="108"/>
      <c r="AS45" s="108"/>
      <c r="AT45" s="108"/>
      <c r="AU45" s="108"/>
      <c r="AV45" s="108"/>
      <c r="AW45" s="108"/>
      <c r="AX45" s="108"/>
      <c r="AY45" s="41">
        <f>IFERROR(IF(AND(AY46&lt;&gt;0,AY47&lt;&gt;0),1/SUM(1/AY46,1/AY47),IF(AND(AY46&lt;&gt;0,AY47=0),1/(1/AY46),IF(AND(AY46=0,AY47&lt;&gt;0),1/(1/AY47),IF(AND(AY46=0,AY47=0),".")))),".")</f>
        <v>3.1991927575083977E-2</v>
      </c>
      <c r="AZ45" s="40">
        <f t="shared" ref="AZ45:BB45" si="325">IFERROR(IF(AND(AZ46&lt;&gt;0,AZ47&lt;&gt;0),1/SUM(1/AZ46,1/AZ47),IF(AND(AZ46&lt;&gt;0,AZ47=0),1/(1/AZ46),IF(AND(AZ46=0,AZ47&lt;&gt;0),1/(1/AZ47),IF(AND(AZ46=0,AZ47=0),".")))),".")</f>
        <v>1.0009731961899959</v>
      </c>
      <c r="BA45" s="40">
        <f t="shared" si="325"/>
        <v>2.1904007985130045E-4</v>
      </c>
      <c r="BB45" s="41">
        <f t="shared" si="325"/>
        <v>2.1899215842837767E-4</v>
      </c>
    </row>
    <row r="46" spans="1:54" x14ac:dyDescent="0.25">
      <c r="A46" s="55" t="s">
        <v>1086</v>
      </c>
      <c r="B46" s="3">
        <v>1</v>
      </c>
      <c r="C46" s="42">
        <f t="shared" ref="C46:S46" si="326">IFERROR(C10/$B46,0)</f>
        <v>4.1414041518139655E-2</v>
      </c>
      <c r="D46" s="42">
        <f t="shared" si="326"/>
        <v>0.59049283942179798</v>
      </c>
      <c r="E46" s="42">
        <f t="shared" si="326"/>
        <v>1.0477345201867416</v>
      </c>
      <c r="F46" s="42">
        <f t="shared" si="326"/>
        <v>0.38726168708453085</v>
      </c>
      <c r="G46" s="42">
        <f t="shared" si="326"/>
        <v>8.0177600392391427E-2</v>
      </c>
      <c r="H46" s="42">
        <f t="shared" si="326"/>
        <v>0.6938361428794011</v>
      </c>
      <c r="I46" s="42">
        <f t="shared" si="326"/>
        <v>8.1130468442440734E-2</v>
      </c>
      <c r="J46" s="42">
        <f t="shared" si="326"/>
        <v>504.8713777056372</v>
      </c>
      <c r="K46" s="42">
        <f t="shared" si="326"/>
        <v>1360667.3824440152</v>
      </c>
      <c r="L46" s="42">
        <f t="shared" si="326"/>
        <v>1781.8206536627526</v>
      </c>
      <c r="M46" s="42">
        <f t="shared" si="326"/>
        <v>1.6500657141256105</v>
      </c>
      <c r="N46" s="42">
        <f t="shared" si="326"/>
        <v>2.780098114038597</v>
      </c>
      <c r="O46" s="42">
        <f t="shared" si="326"/>
        <v>33.296647887290518</v>
      </c>
      <c r="P46" s="42">
        <f t="shared" si="326"/>
        <v>4.5902396345050462</v>
      </c>
      <c r="Q46" s="42">
        <f t="shared" si="326"/>
        <v>2.9183652976392578</v>
      </c>
      <c r="R46" s="42">
        <f t="shared" si="326"/>
        <v>2.0386958164918738</v>
      </c>
      <c r="S46" s="42">
        <f t="shared" si="326"/>
        <v>3.2452187376976296E-4</v>
      </c>
      <c r="T46" s="74">
        <f t="shared" ref="T46:T47" si="327">IFERROR(1/J46,".")</f>
        <v>1.9807025000000002E-3</v>
      </c>
      <c r="U46" s="74">
        <f t="shared" ref="U46:U47" si="328">IFERROR(1/K46,".")</f>
        <v>7.3493346934194266E-7</v>
      </c>
      <c r="V46" s="74">
        <f t="shared" ref="V46:V47" si="329">IFERROR(1/L46,".")</f>
        <v>5.6122371123287654E-4</v>
      </c>
      <c r="W46" s="74">
        <f t="shared" ref="W46:W47" si="330">IFERROR(1/M46,".")</f>
        <v>0.6060364696020073</v>
      </c>
      <c r="X46" s="74">
        <f t="shared" ref="X46:X47" si="331">IFERROR(1/N46,".")</f>
        <v>0.35969953540499999</v>
      </c>
      <c r="Y46" s="74">
        <f t="shared" ref="Y46:Y47" si="332">IFERROR(1/O46,".")</f>
        <v>3.0033053278666667E-2</v>
      </c>
      <c r="Z46" s="74">
        <f t="shared" ref="Z46:Z47" si="333">IFERROR(1/P46,".")</f>
        <v>0.21785355005933746</v>
      </c>
      <c r="AA46" s="74">
        <f t="shared" ref="AA46:AA47" si="334">IFERROR(1/Q46,".")</f>
        <v>0.34265758327407686</v>
      </c>
      <c r="AB46" s="74">
        <f t="shared" ref="AB46:AB47" si="335">IFERROR(1/R46,".")</f>
        <v>0.49050966402666674</v>
      </c>
      <c r="AC46" s="74">
        <f t="shared" ref="AC46:AC47" si="336">IFERROR(1/S46,".")</f>
        <v>3081.456385</v>
      </c>
      <c r="AD46" s="42">
        <f t="shared" si="282"/>
        <v>3.2430619288921578E-4</v>
      </c>
      <c r="AE46" s="42">
        <f t="shared" ref="AE46:AN46" si="337">IFERROR(AE10/$B46,0)</f>
        <v>25.896613932269531</v>
      </c>
      <c r="AF46" s="42">
        <f t="shared" si="337"/>
        <v>0</v>
      </c>
      <c r="AG46" s="42">
        <f t="shared" si="337"/>
        <v>1864.2168898880186</v>
      </c>
      <c r="AH46" s="42">
        <f t="shared" si="337"/>
        <v>9.1233539198793867</v>
      </c>
      <c r="AI46" s="42">
        <f t="shared" si="337"/>
        <v>546.75262909425737</v>
      </c>
      <c r="AJ46" s="42">
        <f t="shared" si="337"/>
        <v>6548.3407511671339</v>
      </c>
      <c r="AK46" s="42">
        <f t="shared" si="337"/>
        <v>332.1283765733541</v>
      </c>
      <c r="AL46" s="42">
        <f t="shared" si="337"/>
        <v>195.13924481134964</v>
      </c>
      <c r="AM46" s="42">
        <f t="shared" si="337"/>
        <v>304.31409775412322</v>
      </c>
      <c r="AN46" s="42">
        <f t="shared" si="337"/>
        <v>3.2452187376976291E-2</v>
      </c>
      <c r="AO46" s="74">
        <f t="shared" ref="AO46:AO47" si="338">IFERROR(1/AE46,".")</f>
        <v>3.8615086999999999E-2</v>
      </c>
      <c r="AP46" s="74" t="str">
        <f t="shared" ref="AP46:AP47" si="339">IFERROR(1/AF46,".")</f>
        <v>.</v>
      </c>
      <c r="AQ46" s="74">
        <f t="shared" ref="AQ46:AQ47" si="340">IFERROR(1/AG46,".")</f>
        <v>5.3641827054794514E-4</v>
      </c>
      <c r="AR46" s="74">
        <f t="shared" ref="AR46:AR47" si="341">IFERROR(1/AH46,".")</f>
        <v>0.10960881368649351</v>
      </c>
      <c r="AS46" s="74">
        <f t="shared" ref="AS46:AS47" si="342">IFERROR(1/AI46,".")</f>
        <v>1.8289806885000001E-3</v>
      </c>
      <c r="AT46" s="74">
        <f t="shared" ref="AT46:AT47" si="343">IFERROR(1/AJ46,".")</f>
        <v>1.5271044040000002E-4</v>
      </c>
      <c r="AU46" s="74">
        <f t="shared" ref="AU46:AU47" si="344">IFERROR(1/AK46,".")</f>
        <v>3.0108839549249995E-3</v>
      </c>
      <c r="AV46" s="74">
        <f t="shared" ref="AV46:AV47" si="345">IFERROR(1/AL46,".")</f>
        <v>5.1245458132563107E-3</v>
      </c>
      <c r="AW46" s="74">
        <f t="shared" ref="AW46:AW47" si="346">IFERROR(1/AM46,".")</f>
        <v>3.2860784544000007E-3</v>
      </c>
      <c r="AX46" s="74">
        <f t="shared" ref="AX46:AX47" si="347">IFERROR(1/AN46,".")</f>
        <v>30.814563850000003</v>
      </c>
      <c r="AY46" s="42">
        <f t="shared" ref="AY46:AY47" si="348">IFERROR(1/(SUMIF(AO46:AX46,"&lt;&gt;0")),".")</f>
        <v>3.2282299808825958E-2</v>
      </c>
      <c r="AZ46" s="42">
        <f>IFERROR(AZ10/$B46,0)</f>
        <v>1.0009731961899959</v>
      </c>
      <c r="BA46" s="42">
        <f>IFERROR(BA10/$B46,0)</f>
        <v>5.9390925717409844E-2</v>
      </c>
      <c r="BB46" s="42">
        <f>IFERROR(IF(AND(AZ46&lt;&gt;0,BA46&lt;&gt;0),1/((1/AZ46)+(1/BA46)),IF(AND(AZ46&lt;&gt;0,BA46=0),1/((1/AZ46)),IF(AND(AZ46=0,BA46&lt;&gt;0),1/((1/BA46)),IF(AND(AZ46=0,BA46=0),0)))),0)</f>
        <v>5.6064443818695707E-2</v>
      </c>
    </row>
    <row r="47" spans="1:54" x14ac:dyDescent="0.25">
      <c r="A47" s="55" t="s">
        <v>1060</v>
      </c>
      <c r="B47" s="3">
        <v>0.94399</v>
      </c>
      <c r="C47" s="42">
        <f t="shared" ref="C47:S47" si="349">IFERROR(C6/$B$47,0)</f>
        <v>0</v>
      </c>
      <c r="D47" s="42">
        <f t="shared" si="349"/>
        <v>0</v>
      </c>
      <c r="E47" s="42">
        <f t="shared" si="349"/>
        <v>0</v>
      </c>
      <c r="F47" s="42">
        <f t="shared" si="349"/>
        <v>0</v>
      </c>
      <c r="G47" s="42">
        <f t="shared" si="349"/>
        <v>0</v>
      </c>
      <c r="H47" s="42">
        <f t="shared" si="349"/>
        <v>0</v>
      </c>
      <c r="I47" s="42">
        <f t="shared" si="349"/>
        <v>0</v>
      </c>
      <c r="J47" s="42">
        <f t="shared" si="349"/>
        <v>0</v>
      </c>
      <c r="K47" s="42">
        <f t="shared" si="349"/>
        <v>0</v>
      </c>
      <c r="L47" s="42">
        <f t="shared" si="349"/>
        <v>0.48492097868649581</v>
      </c>
      <c r="M47" s="42">
        <f t="shared" si="349"/>
        <v>0</v>
      </c>
      <c r="N47" s="42">
        <f t="shared" si="349"/>
        <v>0</v>
      </c>
      <c r="O47" s="42">
        <f t="shared" si="349"/>
        <v>0</v>
      </c>
      <c r="P47" s="42">
        <f t="shared" si="349"/>
        <v>0</v>
      </c>
      <c r="Q47" s="42">
        <f t="shared" si="349"/>
        <v>0</v>
      </c>
      <c r="R47" s="42">
        <f t="shared" si="349"/>
        <v>0</v>
      </c>
      <c r="S47" s="42">
        <f t="shared" si="349"/>
        <v>0</v>
      </c>
      <c r="T47" s="74" t="str">
        <f t="shared" si="327"/>
        <v>.</v>
      </c>
      <c r="U47" s="74" t="str">
        <f t="shared" si="328"/>
        <v>.</v>
      </c>
      <c r="V47" s="74">
        <f t="shared" si="329"/>
        <v>2.0621916641113307</v>
      </c>
      <c r="W47" s="74" t="str">
        <f t="shared" si="330"/>
        <v>.</v>
      </c>
      <c r="X47" s="74" t="str">
        <f t="shared" si="331"/>
        <v>.</v>
      </c>
      <c r="Y47" s="74" t="str">
        <f t="shared" si="332"/>
        <v>.</v>
      </c>
      <c r="Z47" s="74" t="str">
        <f t="shared" si="333"/>
        <v>.</v>
      </c>
      <c r="AA47" s="74" t="str">
        <f t="shared" si="334"/>
        <v>.</v>
      </c>
      <c r="AB47" s="74" t="str">
        <f t="shared" si="335"/>
        <v>.</v>
      </c>
      <c r="AC47" s="74" t="str">
        <f t="shared" si="336"/>
        <v>.</v>
      </c>
      <c r="AD47" s="42">
        <f>IFERROR(1/(SUMIF(T47:AC47,"&lt;&gt;0")),".")</f>
        <v>0.48492097868649586</v>
      </c>
      <c r="AE47" s="42">
        <f t="shared" ref="AE47:AN47" si="350">IFERROR(AE6/$B$47,0)</f>
        <v>0</v>
      </c>
      <c r="AF47" s="42">
        <f t="shared" si="350"/>
        <v>0</v>
      </c>
      <c r="AG47" s="42">
        <f t="shared" si="350"/>
        <v>3.5567209169138394</v>
      </c>
      <c r="AH47" s="42">
        <f t="shared" si="350"/>
        <v>0</v>
      </c>
      <c r="AI47" s="42">
        <f t="shared" si="350"/>
        <v>0</v>
      </c>
      <c r="AJ47" s="42">
        <f t="shared" si="350"/>
        <v>0</v>
      </c>
      <c r="AK47" s="42">
        <f t="shared" si="350"/>
        <v>0</v>
      </c>
      <c r="AL47" s="42">
        <f t="shared" si="350"/>
        <v>0</v>
      </c>
      <c r="AM47" s="42">
        <f t="shared" si="350"/>
        <v>0</v>
      </c>
      <c r="AN47" s="42">
        <f t="shared" si="350"/>
        <v>0</v>
      </c>
      <c r="AO47" s="74" t="str">
        <f t="shared" si="338"/>
        <v>.</v>
      </c>
      <c r="AP47" s="74" t="str">
        <f t="shared" si="339"/>
        <v>.</v>
      </c>
      <c r="AQ47" s="74">
        <f t="shared" si="340"/>
        <v>0.28115784829912893</v>
      </c>
      <c r="AR47" s="74" t="str">
        <f t="shared" si="341"/>
        <v>.</v>
      </c>
      <c r="AS47" s="74" t="str">
        <f t="shared" si="342"/>
        <v>.</v>
      </c>
      <c r="AT47" s="74" t="str">
        <f t="shared" si="343"/>
        <v>.</v>
      </c>
      <c r="AU47" s="74" t="str">
        <f t="shared" si="344"/>
        <v>.</v>
      </c>
      <c r="AV47" s="74" t="str">
        <f t="shared" si="345"/>
        <v>.</v>
      </c>
      <c r="AW47" s="74" t="str">
        <f t="shared" si="346"/>
        <v>.</v>
      </c>
      <c r="AX47" s="74" t="str">
        <f t="shared" si="347"/>
        <v>.</v>
      </c>
      <c r="AY47" s="42">
        <f t="shared" si="348"/>
        <v>3.5567209169138394</v>
      </c>
      <c r="AZ47" s="42">
        <f>IFERROR(AZ6/$B$47,0)</f>
        <v>0</v>
      </c>
      <c r="BA47" s="42">
        <f>IFERROR(BA6/$B$47,0)</f>
        <v>2.1985091351097363E-4</v>
      </c>
      <c r="BB47" s="42">
        <f>IFERROR(IF(AND(AZ47&lt;&gt;0,BA47&lt;&gt;0),1/((1/AZ47)+(1/BA47)),IF(AND(AZ47&lt;&gt;0,BA47=0),1/((1/AZ47)),IF(AND(AZ47=0,BA47&lt;&gt;0),1/((1/BA47)),IF(AND(AZ47=0,BA47=0),0)))),0)</f>
        <v>2.1985091351097363E-4</v>
      </c>
    </row>
    <row r="48" spans="1:54" x14ac:dyDescent="0.25">
      <c r="A48" s="54" t="s">
        <v>21</v>
      </c>
      <c r="B48" s="39" t="s">
        <v>1221</v>
      </c>
      <c r="C48" s="40">
        <f>1/SUM(1/C49,1/C52,1/C54,1/C58,1/C59,1/C61)</f>
        <v>1.7078495591321327E-4</v>
      </c>
      <c r="D48" s="40">
        <f t="shared" ref="D48:M48" si="351">1/SUM(1/D49,1/D52,1/D54,1/D58,1/D59,1/D61)</f>
        <v>2.43509905942283E-3</v>
      </c>
      <c r="E48" s="40">
        <f t="shared" si="351"/>
        <v>4.3206914196111121E-3</v>
      </c>
      <c r="F48" s="40">
        <f t="shared" si="351"/>
        <v>1.5970059364198749E-3</v>
      </c>
      <c r="G48" s="40">
        <f t="shared" si="351"/>
        <v>3.3063974068418589E-4</v>
      </c>
      <c r="H48" s="40">
        <f t="shared" si="351"/>
        <v>2.8612704949539883E-3</v>
      </c>
      <c r="I48" s="40">
        <f t="shared" si="351"/>
        <v>3.3456921778792382E-4</v>
      </c>
      <c r="J48" s="40">
        <f t="shared" si="351"/>
        <v>2.0820096958065193</v>
      </c>
      <c r="K48" s="40">
        <f t="shared" si="351"/>
        <v>2679.1261329236941</v>
      </c>
      <c r="L48" s="40">
        <f>1/SUM(1/L49,1/L50,1/L51,1/L52,1/L53,1/L54,1/L55,1/L56,1/L57,1/L58,1/L59,1/L60,1/L61,1/L62)</f>
        <v>0.14829298069115954</v>
      </c>
      <c r="M48" s="40">
        <f t="shared" si="351"/>
        <v>1.7151888857166103E-2</v>
      </c>
      <c r="N48" s="40">
        <f>1/SUM(1/N61)</f>
        <v>2.5950864162312622E-2</v>
      </c>
      <c r="O48" s="40">
        <f>1/SUM(1/O61)</f>
        <v>3.5648231525891326E-2</v>
      </c>
      <c r="P48" s="40">
        <f>1/SUM(1/P49,1/P52,1/P54,1/P58,1/P59,1/P61)</f>
        <v>0.14476247561235231</v>
      </c>
      <c r="Q48" s="40">
        <f t="shared" ref="Q48" si="352">1/SUM(1/Q49,1/Q52,1/Q54,1/Q58,1/Q59,1/Q61)</f>
        <v>0.26362562908021075</v>
      </c>
      <c r="R48" s="40" t="str">
        <f>IFERROR(1/SUM(1/R49,1/R50,1/R51,1/R52,1/R53,1/R54,1/R55,1/R56,1/R57,1/R58,1/R59,1/R60,1/R61,1/R62),".")</f>
        <v>.</v>
      </c>
      <c r="S48" s="40">
        <f t="shared" ref="S48" si="353">1/SUM(1/S49,1/S52,1/S54,1/S58,1/S59,1/S61)</f>
        <v>4.7282679808297365E-4</v>
      </c>
      <c r="T48" s="108"/>
      <c r="U48" s="108"/>
      <c r="V48" s="108"/>
      <c r="W48" s="108"/>
      <c r="X48" s="108"/>
      <c r="Y48" s="108"/>
      <c r="Z48" s="108"/>
      <c r="AA48" s="108"/>
      <c r="AB48" s="108"/>
      <c r="AC48" s="108"/>
      <c r="AD48" s="41">
        <f>1/SUM(1/AD49,1/AD50,1/AD51,1/AD52,1/AD53,1/AD54,1/AD55,1/AD56,1/AD57,1/AD58,1/AD59,1/AD60,1/AD61,1/AD62)</f>
        <v>4.4291816409004769E-4</v>
      </c>
      <c r="AE48" s="40">
        <f>1/SUM(1/AE49,1/AE52,1/AE54,1/AE58,1/AE59,1/AE61)</f>
        <v>0.10679353925858596</v>
      </c>
      <c r="AF48" s="40">
        <f>1/SUM(1/AF49,1/AF50)</f>
        <v>8.1035746645567053E-3</v>
      </c>
      <c r="AG48" s="40">
        <f>1/SUM(1/AG49,1/AG50,1/AG51,1/AG52,1/AG53,1/AG54,1/AG55,1/AG56,1/AG57,1/AG58,1/AG59,1/AG60,1/AG61,1/AG62)</f>
        <v>1.0917492354273293</v>
      </c>
      <c r="AH48" s="40">
        <f>1/SUM(1/AH49,1/AH52,1/AH54,1/AH58,1/AH59,1/AH61)</f>
        <v>4.2716146366057521E-2</v>
      </c>
      <c r="AI48" s="40">
        <f>1/SUM(1/AI61)</f>
        <v>4.6747349787559012</v>
      </c>
      <c r="AJ48" s="40">
        <f>1/SUM(1/AJ61)</f>
        <v>6.4215986721122862</v>
      </c>
      <c r="AK48" s="40">
        <f>1/SUM(1/AK49,1/AK52,1/AK54,1/AK58,1/AK59,1/AK61)</f>
        <v>9.4920355532228697</v>
      </c>
      <c r="AL48" s="40">
        <f>1/SUM(1/AL49,1/AL52,1/AL54,1/AL58,1/AL59,1/AL61)</f>
        <v>16.233592464218919</v>
      </c>
      <c r="AM48" s="40" t="str">
        <f>IFERROR(1/SUM(1/AM49,1/AM50,1/AM51,1/AM52,1/AM53,1/AM54,1/AM55,1/AM56,1/AM57,1/AM58,1/AM59,1/AM60,1/AM61,1/AM62),".")</f>
        <v>.</v>
      </c>
      <c r="AN48" s="40">
        <f>1/SUM(1/AN49,1/AN52,1/AN54,1/AN58,1/AN59,1/AN61)</f>
        <v>1.194333710482621E-2</v>
      </c>
      <c r="AO48" s="108"/>
      <c r="AP48" s="108"/>
      <c r="AQ48" s="108"/>
      <c r="AR48" s="108"/>
      <c r="AS48" s="108"/>
      <c r="AT48" s="108"/>
      <c r="AU48" s="108"/>
      <c r="AV48" s="108"/>
      <c r="AW48" s="108"/>
      <c r="AX48" s="108"/>
      <c r="AY48" s="41">
        <f>1/SUM(1/AY49,1/AY50,1/AY51,1/AY52,1/AY53,1/AY54,1/AY55,1/AY56,1/AY57,1/AY58,1/AY59,1/AY60,1/AY61,1/AY62)</f>
        <v>4.1432265236415345E-3</v>
      </c>
      <c r="AZ48" s="40">
        <f>1/SUM(1/AZ49,1/AZ50,1/AZ51,1/AZ52,1/AZ54,1/AZ58,1/AZ59,1/AZ61)</f>
        <v>1.9705393320818905E-3</v>
      </c>
      <c r="BA48" s="40">
        <f t="shared" ref="BA48:BB48" si="354">1/SUM(1/BA49,1/BA50,1/BA51,1/BA52,1/BA53,1/BA54,1/BA55,1/BA56,1/BA57,1/BA58,1/BA59,1/BA60,1/BA61,1/BA62)</f>
        <v>6.7373110162628836E-5</v>
      </c>
      <c r="BB48" s="41">
        <f t="shared" si="354"/>
        <v>6.514576423799903E-5</v>
      </c>
    </row>
    <row r="49" spans="1:54" x14ac:dyDescent="0.25">
      <c r="A49" s="55" t="s">
        <v>1088</v>
      </c>
      <c r="B49" s="3">
        <v>1</v>
      </c>
      <c r="C49" s="42">
        <f t="shared" ref="C49:S49" si="355">IFERROR(C23/$B49,0)</f>
        <v>1.2159089452345635E-3</v>
      </c>
      <c r="D49" s="42">
        <f t="shared" si="355"/>
        <v>1.7336765484127842E-2</v>
      </c>
      <c r="E49" s="42">
        <f t="shared" si="355"/>
        <v>3.0761300482303893E-2</v>
      </c>
      <c r="F49" s="42">
        <f t="shared" si="355"/>
        <v>1.1369934742216908E-2</v>
      </c>
      <c r="G49" s="42">
        <f t="shared" si="355"/>
        <v>2.3540001881209843E-3</v>
      </c>
      <c r="H49" s="42">
        <f t="shared" si="355"/>
        <v>2.0370906623170055E-2</v>
      </c>
      <c r="I49" s="42">
        <f t="shared" si="355"/>
        <v>2.3819762257935137E-3</v>
      </c>
      <c r="J49" s="42">
        <f t="shared" si="355"/>
        <v>14.822934488929304</v>
      </c>
      <c r="K49" s="42">
        <f t="shared" si="355"/>
        <v>5508.7213444578083</v>
      </c>
      <c r="L49" s="42">
        <f t="shared" si="355"/>
        <v>48.738035526657647</v>
      </c>
      <c r="M49" s="42">
        <f t="shared" si="355"/>
        <v>5.3657610055829502E-2</v>
      </c>
      <c r="N49" s="42">
        <f t="shared" si="355"/>
        <v>0</v>
      </c>
      <c r="O49" s="42">
        <f t="shared" si="355"/>
        <v>0</v>
      </c>
      <c r="P49" s="42">
        <f t="shared" si="355"/>
        <v>1.8211621075790894</v>
      </c>
      <c r="Q49" s="42">
        <f t="shared" si="355"/>
        <v>1.0866726296807205</v>
      </c>
      <c r="R49" s="42">
        <f t="shared" si="355"/>
        <v>0</v>
      </c>
      <c r="S49" s="42">
        <f t="shared" si="355"/>
        <v>5.9549405644837843E-4</v>
      </c>
      <c r="T49" s="74">
        <f t="shared" ref="T49:T62" si="356">IFERROR(1/J49,".")</f>
        <v>6.746302500000001E-2</v>
      </c>
      <c r="U49" s="74">
        <f t="shared" ref="U49:U62" si="357">IFERROR(1/K49,".")</f>
        <v>1.8153032935784198E-4</v>
      </c>
      <c r="V49" s="74">
        <f t="shared" ref="V49:V62" si="358">IFERROR(1/L49,".")</f>
        <v>2.0517856109589033E-2</v>
      </c>
      <c r="W49" s="74">
        <f t="shared" ref="W49:W62" si="359">IFERROR(1/M49,".")</f>
        <v>18.636685438645575</v>
      </c>
      <c r="X49" s="74" t="str">
        <f t="shared" ref="X49:X62" si="360">IFERROR(1/N49,".")</f>
        <v>.</v>
      </c>
      <c r="Y49" s="74" t="str">
        <f t="shared" ref="Y49:Y62" si="361">IFERROR(1/O49,".")</f>
        <v>.</v>
      </c>
      <c r="Z49" s="74">
        <f t="shared" ref="Z49:Z62" si="362">IFERROR(1/P49,".")</f>
        <v>0.54909993780252864</v>
      </c>
      <c r="AA49" s="74">
        <f t="shared" ref="AA49:AA62" si="363">IFERROR(1/Q49,".")</f>
        <v>0.92024034901276008</v>
      </c>
      <c r="AB49" s="74" t="str">
        <f t="shared" ref="AB49:AB62" si="364">IFERROR(1/R49,".")</f>
        <v>.</v>
      </c>
      <c r="AC49" s="74">
        <f t="shared" ref="AC49:AC62" si="365">IFERROR(1/S49,".")</f>
        <v>1679.2778856</v>
      </c>
      <c r="AD49" s="42">
        <f t="shared" si="282"/>
        <v>5.8841802431100899E-4</v>
      </c>
      <c r="AE49" s="42">
        <f t="shared" ref="AE49:AN49" si="366">IFERROR(AE23/$B49,0)</f>
        <v>0.76032001169797958</v>
      </c>
      <c r="AF49" s="42">
        <f t="shared" si="366"/>
        <v>8.1049674332277326E-3</v>
      </c>
      <c r="AG49" s="42">
        <f t="shared" si="366"/>
        <v>286.17364537754668</v>
      </c>
      <c r="AH49" s="42">
        <f t="shared" si="366"/>
        <v>0.273087471945621</v>
      </c>
      <c r="AI49" s="42">
        <f t="shared" si="366"/>
        <v>0</v>
      </c>
      <c r="AJ49" s="42">
        <f t="shared" si="366"/>
        <v>0</v>
      </c>
      <c r="AK49" s="42">
        <f t="shared" si="366"/>
        <v>126.19239447521539</v>
      </c>
      <c r="AL49" s="42">
        <f t="shared" si="366"/>
        <v>69.354124535601073</v>
      </c>
      <c r="AM49" s="42">
        <f t="shared" si="366"/>
        <v>0</v>
      </c>
      <c r="AN49" s="42">
        <f t="shared" si="366"/>
        <v>0.59549405644837838</v>
      </c>
      <c r="AO49" s="74">
        <f t="shared" ref="AO49:AO62" si="367">IFERROR(1/AE49,".")</f>
        <v>1.3152356700000001</v>
      </c>
      <c r="AP49" s="74">
        <f t="shared" ref="AP49:AP62" si="368">IFERROR(1/AF49,".")</f>
        <v>123.381125</v>
      </c>
      <c r="AQ49" s="74">
        <f t="shared" ref="AQ49:AQ62" si="369">IFERROR(1/AG49,".")</f>
        <v>3.4943818767123286E-3</v>
      </c>
      <c r="AR49" s="74">
        <f t="shared" ref="AR49:AR62" si="370">IFERROR(1/AH49,".")</f>
        <v>3.6618303757234485</v>
      </c>
      <c r="AS49" s="74" t="str">
        <f t="shared" ref="AS49:AS62" si="371">IFERROR(1/AI49,".")</f>
        <v>.</v>
      </c>
      <c r="AT49" s="74" t="str">
        <f t="shared" ref="AT49:AT62" si="372">IFERROR(1/AJ49,".")</f>
        <v>.</v>
      </c>
      <c r="AU49" s="74">
        <f t="shared" ref="AU49:AU62" si="373">IFERROR(1/AK49,".")</f>
        <v>7.9244078389875024E-3</v>
      </c>
      <c r="AV49" s="74">
        <f t="shared" ref="AV49:AV62" si="374">IFERROR(1/AL49,".")</f>
        <v>1.4418753126739807E-2</v>
      </c>
      <c r="AW49" s="74" t="str">
        <f t="shared" ref="AW49:AW62" si="375">IFERROR(1/AM49,".")</f>
        <v>.</v>
      </c>
      <c r="AX49" s="74">
        <f t="shared" ref="AX49:AX62" si="376">IFERROR(1/AN49,".")</f>
        <v>1.6792778856000001</v>
      </c>
      <c r="AY49" s="42">
        <f t="shared" ref="AY49:AY62" si="377">IFERROR(1/(SUMIF(AO49:AX49,"&lt;&gt;0")),".")</f>
        <v>7.6885635703766103E-3</v>
      </c>
      <c r="AZ49" s="42">
        <f>IFERROR(AZ23/$B49,0)</f>
        <v>4.0524837166138663E-3</v>
      </c>
      <c r="BA49" s="42">
        <f>IFERROR(BA23/$B49,0)</f>
        <v>1.7950955039988826E-2</v>
      </c>
      <c r="BB49" s="42">
        <f t="shared" ref="BB49:BB62" si="378">IFERROR(IF(AND(AZ49&lt;&gt;0,BA49&lt;&gt;0),1/((1/AZ49)+(1/BA49)),IF(AND(AZ49&lt;&gt;0,BA49=0),1/((1/AZ49)),IF(AND(AZ49=0,BA49&lt;&gt;0),1/((1/BA49)),IF(AND(AZ49=0,BA49=0),0)))),0)</f>
        <v>3.3061174574539201E-3</v>
      </c>
    </row>
    <row r="50" spans="1:54" x14ac:dyDescent="0.25">
      <c r="A50" s="55" t="s">
        <v>1075</v>
      </c>
      <c r="B50" s="3">
        <v>1</v>
      </c>
      <c r="C50" s="42">
        <f t="shared" ref="C50:S50" si="379">IFERROR(C25/$B50,0)</f>
        <v>0</v>
      </c>
      <c r="D50" s="42">
        <f t="shared" si="379"/>
        <v>0</v>
      </c>
      <c r="E50" s="42">
        <f t="shared" si="379"/>
        <v>0</v>
      </c>
      <c r="F50" s="42">
        <f t="shared" si="379"/>
        <v>0</v>
      </c>
      <c r="G50" s="42">
        <f t="shared" si="379"/>
        <v>0</v>
      </c>
      <c r="H50" s="42">
        <f t="shared" si="379"/>
        <v>0</v>
      </c>
      <c r="I50" s="42">
        <f t="shared" si="379"/>
        <v>0</v>
      </c>
      <c r="J50" s="42">
        <f t="shared" si="379"/>
        <v>0</v>
      </c>
      <c r="K50" s="42">
        <f t="shared" si="379"/>
        <v>32051506.936990399</v>
      </c>
      <c r="L50" s="42">
        <f t="shared" si="379"/>
        <v>726.79526662559624</v>
      </c>
      <c r="M50" s="42">
        <f t="shared" si="379"/>
        <v>0</v>
      </c>
      <c r="N50" s="42">
        <f t="shared" si="379"/>
        <v>0</v>
      </c>
      <c r="O50" s="42">
        <f t="shared" si="379"/>
        <v>0</v>
      </c>
      <c r="P50" s="42">
        <f t="shared" si="379"/>
        <v>0</v>
      </c>
      <c r="Q50" s="42">
        <f t="shared" si="379"/>
        <v>0</v>
      </c>
      <c r="R50" s="42">
        <f t="shared" si="379"/>
        <v>0</v>
      </c>
      <c r="S50" s="42">
        <f t="shared" si="379"/>
        <v>0</v>
      </c>
      <c r="T50" s="74" t="str">
        <f t="shared" si="356"/>
        <v>.</v>
      </c>
      <c r="U50" s="74">
        <f t="shared" si="357"/>
        <v>3.1199781088792043E-8</v>
      </c>
      <c r="V50" s="74">
        <f t="shared" si="358"/>
        <v>1.3759032920547946E-3</v>
      </c>
      <c r="W50" s="74" t="str">
        <f t="shared" si="359"/>
        <v>.</v>
      </c>
      <c r="X50" s="74" t="str">
        <f t="shared" si="360"/>
        <v>.</v>
      </c>
      <c r="Y50" s="74" t="str">
        <f t="shared" si="361"/>
        <v>.</v>
      </c>
      <c r="Z50" s="74" t="str">
        <f t="shared" si="362"/>
        <v>.</v>
      </c>
      <c r="AA50" s="74" t="str">
        <f t="shared" si="363"/>
        <v>.</v>
      </c>
      <c r="AB50" s="74" t="str">
        <f t="shared" si="364"/>
        <v>.</v>
      </c>
      <c r="AC50" s="74" t="str">
        <f t="shared" si="365"/>
        <v>.</v>
      </c>
      <c r="AD50" s="42">
        <f t="shared" si="282"/>
        <v>726.77878629651832</v>
      </c>
      <c r="AE50" s="42">
        <f t="shared" ref="AE50:AN50" si="380">IFERROR(AE25/$B50,0)</f>
        <v>0</v>
      </c>
      <c r="AF50" s="42">
        <f t="shared" si="380"/>
        <v>47.157299065696016</v>
      </c>
      <c r="AG50" s="42">
        <f t="shared" si="380"/>
        <v>5205.9248254851573</v>
      </c>
      <c r="AH50" s="42">
        <f t="shared" si="380"/>
        <v>0</v>
      </c>
      <c r="AI50" s="42">
        <f t="shared" si="380"/>
        <v>0</v>
      </c>
      <c r="AJ50" s="42">
        <f t="shared" si="380"/>
        <v>0</v>
      </c>
      <c r="AK50" s="42">
        <f t="shared" si="380"/>
        <v>0</v>
      </c>
      <c r="AL50" s="42">
        <f t="shared" si="380"/>
        <v>0</v>
      </c>
      <c r="AM50" s="42">
        <f t="shared" si="380"/>
        <v>0</v>
      </c>
      <c r="AN50" s="42">
        <f t="shared" si="380"/>
        <v>0</v>
      </c>
      <c r="AO50" s="74" t="str">
        <f t="shared" si="367"/>
        <v>.</v>
      </c>
      <c r="AP50" s="74">
        <f t="shared" si="368"/>
        <v>2.1205624999999999E-2</v>
      </c>
      <c r="AQ50" s="74">
        <f t="shared" si="369"/>
        <v>1.9208882831050231E-4</v>
      </c>
      <c r="AR50" s="74" t="str">
        <f t="shared" si="370"/>
        <v>.</v>
      </c>
      <c r="AS50" s="74" t="str">
        <f t="shared" si="371"/>
        <v>.</v>
      </c>
      <c r="AT50" s="74" t="str">
        <f t="shared" si="372"/>
        <v>.</v>
      </c>
      <c r="AU50" s="74" t="str">
        <f t="shared" si="373"/>
        <v>.</v>
      </c>
      <c r="AV50" s="74" t="str">
        <f t="shared" si="374"/>
        <v>.</v>
      </c>
      <c r="AW50" s="74" t="str">
        <f t="shared" si="375"/>
        <v>.</v>
      </c>
      <c r="AX50" s="74" t="str">
        <f t="shared" si="376"/>
        <v>.</v>
      </c>
      <c r="AY50" s="42">
        <f t="shared" si="377"/>
        <v>46.733964573212397</v>
      </c>
      <c r="AZ50" s="42">
        <f>IFERROR(AZ25/$B50,0)</f>
        <v>23.578649532848008</v>
      </c>
      <c r="BA50" s="42">
        <f>IFERROR(BA25/$B50,0)</f>
        <v>0.32270213973621537</v>
      </c>
      <c r="BB50" s="42">
        <f t="shared" si="378"/>
        <v>0.3183452032576069</v>
      </c>
    </row>
    <row r="51" spans="1:54" x14ac:dyDescent="0.25">
      <c r="A51" s="55" t="s">
        <v>1061</v>
      </c>
      <c r="B51" s="3">
        <v>1</v>
      </c>
      <c r="C51" s="42">
        <f t="shared" ref="C51:S51" si="381">IFERROR(C21/$B51,0)</f>
        <v>0</v>
      </c>
      <c r="D51" s="42">
        <f t="shared" si="381"/>
        <v>0</v>
      </c>
      <c r="E51" s="42">
        <f t="shared" si="381"/>
        <v>0</v>
      </c>
      <c r="F51" s="42">
        <f t="shared" si="381"/>
        <v>0</v>
      </c>
      <c r="G51" s="42">
        <f t="shared" si="381"/>
        <v>0</v>
      </c>
      <c r="H51" s="42">
        <f t="shared" si="381"/>
        <v>0</v>
      </c>
      <c r="I51" s="42">
        <f t="shared" si="381"/>
        <v>0</v>
      </c>
      <c r="J51" s="42">
        <f t="shared" si="381"/>
        <v>0</v>
      </c>
      <c r="K51" s="42">
        <f t="shared" si="381"/>
        <v>27550836.015392002</v>
      </c>
      <c r="L51" s="42">
        <f t="shared" si="381"/>
        <v>186357760.67322987</v>
      </c>
      <c r="M51" s="42">
        <f t="shared" si="381"/>
        <v>0</v>
      </c>
      <c r="N51" s="42">
        <f t="shared" si="381"/>
        <v>0</v>
      </c>
      <c r="O51" s="42">
        <f t="shared" si="381"/>
        <v>0</v>
      </c>
      <c r="P51" s="42">
        <f t="shared" si="381"/>
        <v>0</v>
      </c>
      <c r="Q51" s="42">
        <f t="shared" si="381"/>
        <v>0</v>
      </c>
      <c r="R51" s="42">
        <f t="shared" si="381"/>
        <v>0</v>
      </c>
      <c r="S51" s="42">
        <f t="shared" si="381"/>
        <v>0</v>
      </c>
      <c r="T51" s="74" t="str">
        <f t="shared" si="356"/>
        <v>.</v>
      </c>
      <c r="U51" s="74">
        <f t="shared" si="357"/>
        <v>3.6296539220854265E-8</v>
      </c>
      <c r="V51" s="74">
        <f t="shared" si="358"/>
        <v>5.366022839013697E-9</v>
      </c>
      <c r="W51" s="74" t="str">
        <f t="shared" si="359"/>
        <v>.</v>
      </c>
      <c r="X51" s="74" t="str">
        <f t="shared" si="360"/>
        <v>.</v>
      </c>
      <c r="Y51" s="74" t="str">
        <f t="shared" si="361"/>
        <v>.</v>
      </c>
      <c r="Z51" s="74" t="str">
        <f t="shared" si="362"/>
        <v>.</v>
      </c>
      <c r="AA51" s="74" t="str">
        <f t="shared" si="363"/>
        <v>.</v>
      </c>
      <c r="AB51" s="74" t="str">
        <f t="shared" si="364"/>
        <v>.</v>
      </c>
      <c r="AC51" s="74" t="str">
        <f t="shared" si="365"/>
        <v>.</v>
      </c>
      <c r="AD51" s="42">
        <f t="shared" si="282"/>
        <v>24002364.486442942</v>
      </c>
      <c r="AE51" s="42">
        <f t="shared" ref="AE51:AN51" si="382">IFERROR(AE21/$B51,0)</f>
        <v>0</v>
      </c>
      <c r="AF51" s="42">
        <f t="shared" si="382"/>
        <v>0</v>
      </c>
      <c r="AG51" s="42">
        <f t="shared" si="382"/>
        <v>68441529.174210474</v>
      </c>
      <c r="AH51" s="42">
        <f t="shared" si="382"/>
        <v>0</v>
      </c>
      <c r="AI51" s="42">
        <f t="shared" si="382"/>
        <v>0</v>
      </c>
      <c r="AJ51" s="42">
        <f t="shared" si="382"/>
        <v>0</v>
      </c>
      <c r="AK51" s="42">
        <f t="shared" si="382"/>
        <v>0</v>
      </c>
      <c r="AL51" s="42">
        <f t="shared" si="382"/>
        <v>0</v>
      </c>
      <c r="AM51" s="42">
        <f t="shared" si="382"/>
        <v>0</v>
      </c>
      <c r="AN51" s="42">
        <f t="shared" si="382"/>
        <v>0</v>
      </c>
      <c r="AO51" s="74" t="str">
        <f t="shared" si="367"/>
        <v>.</v>
      </c>
      <c r="AP51" s="74" t="str">
        <f t="shared" si="368"/>
        <v>.</v>
      </c>
      <c r="AQ51" s="74">
        <f t="shared" si="369"/>
        <v>1.4611011940639267E-8</v>
      </c>
      <c r="AR51" s="74" t="str">
        <f t="shared" si="370"/>
        <v>.</v>
      </c>
      <c r="AS51" s="74" t="str">
        <f t="shared" si="371"/>
        <v>.</v>
      </c>
      <c r="AT51" s="74" t="str">
        <f t="shared" si="372"/>
        <v>.</v>
      </c>
      <c r="AU51" s="74" t="str">
        <f t="shared" si="373"/>
        <v>.</v>
      </c>
      <c r="AV51" s="74" t="str">
        <f t="shared" si="374"/>
        <v>.</v>
      </c>
      <c r="AW51" s="74" t="str">
        <f t="shared" si="375"/>
        <v>.</v>
      </c>
      <c r="AX51" s="74" t="str">
        <f t="shared" si="376"/>
        <v>.</v>
      </c>
      <c r="AY51" s="42">
        <f t="shared" si="377"/>
        <v>68441529.174210474</v>
      </c>
      <c r="AZ51" s="42">
        <f>IFERROR(AZ21/$B51,0)</f>
        <v>20.267736803169875</v>
      </c>
      <c r="BA51" s="42">
        <f>IFERROR(BA21/$B51,0)</f>
        <v>2130.8194723040174</v>
      </c>
      <c r="BB51" s="42">
        <f t="shared" si="378"/>
        <v>20.076772367426209</v>
      </c>
    </row>
    <row r="52" spans="1:54" x14ac:dyDescent="0.25">
      <c r="A52" s="55" t="s">
        <v>1062</v>
      </c>
      <c r="B52" s="3">
        <v>0.99980000000000002</v>
      </c>
      <c r="C52" s="42">
        <f t="shared" ref="C52:S52" si="383">IFERROR(C17/$B52,0)</f>
        <v>2.7684268119516235</v>
      </c>
      <c r="D52" s="42">
        <f t="shared" si="383"/>
        <v>39.472993916923642</v>
      </c>
      <c r="E52" s="42">
        <f t="shared" si="383"/>
        <v>70.03847562720415</v>
      </c>
      <c r="F52" s="42">
        <f t="shared" si="383"/>
        <v>25.887491258172535</v>
      </c>
      <c r="G52" s="42">
        <f t="shared" si="383"/>
        <v>5.3596753783862585</v>
      </c>
      <c r="H52" s="42">
        <f t="shared" si="383"/>
        <v>46.381239565983726</v>
      </c>
      <c r="I52" s="42">
        <f t="shared" si="383"/>
        <v>5.4233722638219186</v>
      </c>
      <c r="J52" s="42">
        <f t="shared" si="383"/>
        <v>33749.409798969726</v>
      </c>
      <c r="K52" s="42">
        <f t="shared" si="383"/>
        <v>4505994.9852049174</v>
      </c>
      <c r="L52" s="42">
        <f t="shared" si="383"/>
        <v>1.2313704998847912</v>
      </c>
      <c r="M52" s="42">
        <f t="shared" si="383"/>
        <v>158.45001142028727</v>
      </c>
      <c r="N52" s="42">
        <f t="shared" si="383"/>
        <v>0</v>
      </c>
      <c r="O52" s="42">
        <f t="shared" si="383"/>
        <v>0</v>
      </c>
      <c r="P52" s="42">
        <f t="shared" si="383"/>
        <v>10297.653958021852</v>
      </c>
      <c r="Q52" s="42">
        <f t="shared" si="383"/>
        <v>5069.2205259220209</v>
      </c>
      <c r="R52" s="42">
        <f t="shared" si="383"/>
        <v>0</v>
      </c>
      <c r="S52" s="42">
        <f t="shared" si="383"/>
        <v>32.540233582931506</v>
      </c>
      <c r="T52" s="74">
        <f t="shared" si="356"/>
        <v>2.9630147784999996E-5</v>
      </c>
      <c r="U52" s="74">
        <f t="shared" si="357"/>
        <v>2.2192656744701713E-7</v>
      </c>
      <c r="V52" s="74">
        <f t="shared" si="358"/>
        <v>0.81210326225418061</v>
      </c>
      <c r="W52" s="74">
        <f t="shared" si="359"/>
        <v>6.3111387057430291E-3</v>
      </c>
      <c r="X52" s="74" t="str">
        <f t="shared" si="360"/>
        <v>.</v>
      </c>
      <c r="Y52" s="74" t="str">
        <f t="shared" si="361"/>
        <v>.</v>
      </c>
      <c r="Z52" s="74">
        <f t="shared" si="362"/>
        <v>9.7109497374496835E-5</v>
      </c>
      <c r="AA52" s="74">
        <f t="shared" si="363"/>
        <v>1.9726898738896625E-4</v>
      </c>
      <c r="AB52" s="74" t="str">
        <f t="shared" si="364"/>
        <v>.</v>
      </c>
      <c r="AC52" s="74">
        <f t="shared" si="365"/>
        <v>3.0731186899793341E-2</v>
      </c>
      <c r="AD52" s="42">
        <f t="shared" si="282"/>
        <v>1.1772048615704294</v>
      </c>
      <c r="AE52" s="42">
        <f t="shared" ref="AE52:AN52" si="384">IFERROR(AE17/$B52,0)</f>
        <v>1731.1249450854227</v>
      </c>
      <c r="AF52" s="42">
        <f t="shared" si="384"/>
        <v>0</v>
      </c>
      <c r="AG52" s="42">
        <f t="shared" si="384"/>
        <v>8.1237315279753837</v>
      </c>
      <c r="AH52" s="42">
        <f t="shared" si="384"/>
        <v>648.8412883445169</v>
      </c>
      <c r="AI52" s="42">
        <f t="shared" si="384"/>
        <v>0</v>
      </c>
      <c r="AJ52" s="42">
        <f t="shared" si="384"/>
        <v>0</v>
      </c>
      <c r="AK52" s="42">
        <f t="shared" si="384"/>
        <v>697776.04469467746</v>
      </c>
      <c r="AL52" s="42">
        <f t="shared" si="384"/>
        <v>315816.11211314914</v>
      </c>
      <c r="AM52" s="42">
        <f t="shared" si="384"/>
        <v>0</v>
      </c>
      <c r="AN52" s="42">
        <f t="shared" si="384"/>
        <v>216.93489055287671</v>
      </c>
      <c r="AO52" s="74">
        <f t="shared" si="367"/>
        <v>5.77659055078E-4</v>
      </c>
      <c r="AP52" s="74" t="str">
        <f t="shared" si="368"/>
        <v>.</v>
      </c>
      <c r="AQ52" s="74">
        <f t="shared" si="369"/>
        <v>0.12309614080134705</v>
      </c>
      <c r="AR52" s="74">
        <f t="shared" si="370"/>
        <v>1.5412089488809279E-3</v>
      </c>
      <c r="AS52" s="74" t="str">
        <f t="shared" si="371"/>
        <v>.</v>
      </c>
      <c r="AT52" s="74" t="str">
        <f t="shared" si="372"/>
        <v>.</v>
      </c>
      <c r="AU52" s="74">
        <f t="shared" si="373"/>
        <v>1.4331245785853329E-6</v>
      </c>
      <c r="AV52" s="74">
        <f t="shared" si="374"/>
        <v>3.1663995649522929E-6</v>
      </c>
      <c r="AW52" s="74" t="str">
        <f t="shared" si="375"/>
        <v>.</v>
      </c>
      <c r="AX52" s="74">
        <f t="shared" si="376"/>
        <v>4.6096780349690007E-3</v>
      </c>
      <c r="AY52" s="42">
        <f t="shared" si="377"/>
        <v>7.7024223732778943</v>
      </c>
      <c r="AZ52" s="42">
        <f>IFERROR(AZ17/$B52,0)</f>
        <v>3.3148293701691931</v>
      </c>
      <c r="BA52" s="42">
        <f>IFERROR(BA17/$B52,0)</f>
        <v>5.030507919094202E-4</v>
      </c>
      <c r="BB52" s="42">
        <f t="shared" si="378"/>
        <v>5.0297446167549232E-4</v>
      </c>
    </row>
    <row r="53" spans="1:54" x14ac:dyDescent="0.25">
      <c r="A53" s="55" t="s">
        <v>1076</v>
      </c>
      <c r="B53" s="3">
        <v>2.0000000000000001E-4</v>
      </c>
      <c r="C53" s="42">
        <f t="shared" ref="C53:S53" si="385">IFERROR(C5/$B53,0)</f>
        <v>0</v>
      </c>
      <c r="D53" s="42">
        <f t="shared" si="385"/>
        <v>0</v>
      </c>
      <c r="E53" s="42">
        <f t="shared" si="385"/>
        <v>0</v>
      </c>
      <c r="F53" s="42">
        <f t="shared" si="385"/>
        <v>0</v>
      </c>
      <c r="G53" s="42">
        <f t="shared" si="385"/>
        <v>0</v>
      </c>
      <c r="H53" s="42">
        <f t="shared" si="385"/>
        <v>0</v>
      </c>
      <c r="I53" s="42">
        <f t="shared" si="385"/>
        <v>0</v>
      </c>
      <c r="J53" s="42">
        <f t="shared" si="385"/>
        <v>0</v>
      </c>
      <c r="K53" s="42">
        <f t="shared" si="385"/>
        <v>0</v>
      </c>
      <c r="L53" s="42">
        <f t="shared" si="385"/>
        <v>154464318.41036165</v>
      </c>
      <c r="M53" s="42">
        <f t="shared" si="385"/>
        <v>0</v>
      </c>
      <c r="N53" s="42">
        <f t="shared" si="385"/>
        <v>0</v>
      </c>
      <c r="O53" s="42">
        <f t="shared" si="385"/>
        <v>0</v>
      </c>
      <c r="P53" s="42">
        <f t="shared" si="385"/>
        <v>0</v>
      </c>
      <c r="Q53" s="42">
        <f t="shared" si="385"/>
        <v>0</v>
      </c>
      <c r="R53" s="42">
        <f t="shared" si="385"/>
        <v>0</v>
      </c>
      <c r="S53" s="42">
        <f t="shared" si="385"/>
        <v>0</v>
      </c>
      <c r="T53" s="74" t="str">
        <f t="shared" si="356"/>
        <v>.</v>
      </c>
      <c r="U53" s="74" t="str">
        <f t="shared" si="357"/>
        <v>.</v>
      </c>
      <c r="V53" s="74">
        <f t="shared" si="358"/>
        <v>6.4739870689315054E-9</v>
      </c>
      <c r="W53" s="74" t="str">
        <f t="shared" si="359"/>
        <v>.</v>
      </c>
      <c r="X53" s="74" t="str">
        <f t="shared" si="360"/>
        <v>.</v>
      </c>
      <c r="Y53" s="74" t="str">
        <f t="shared" si="361"/>
        <v>.</v>
      </c>
      <c r="Z53" s="74" t="str">
        <f t="shared" si="362"/>
        <v>.</v>
      </c>
      <c r="AA53" s="74" t="str">
        <f t="shared" si="363"/>
        <v>.</v>
      </c>
      <c r="AB53" s="74" t="str">
        <f t="shared" si="364"/>
        <v>.</v>
      </c>
      <c r="AC53" s="74" t="str">
        <f t="shared" si="365"/>
        <v>.</v>
      </c>
      <c r="AD53" s="42">
        <f t="shared" si="282"/>
        <v>154464318.41036165</v>
      </c>
      <c r="AE53" s="42">
        <f t="shared" ref="AE53:AN53" si="386">IFERROR(AE5/$B53,0)</f>
        <v>0</v>
      </c>
      <c r="AF53" s="42">
        <f t="shared" si="386"/>
        <v>0</v>
      </c>
      <c r="AG53" s="42">
        <f t="shared" si="386"/>
        <v>782971093.75296772</v>
      </c>
      <c r="AH53" s="42">
        <f t="shared" si="386"/>
        <v>0</v>
      </c>
      <c r="AI53" s="42">
        <f t="shared" si="386"/>
        <v>0</v>
      </c>
      <c r="AJ53" s="42">
        <f t="shared" si="386"/>
        <v>0</v>
      </c>
      <c r="AK53" s="42">
        <f t="shared" si="386"/>
        <v>0</v>
      </c>
      <c r="AL53" s="42">
        <f t="shared" si="386"/>
        <v>0</v>
      </c>
      <c r="AM53" s="42">
        <f t="shared" si="386"/>
        <v>0</v>
      </c>
      <c r="AN53" s="42">
        <f t="shared" si="386"/>
        <v>0</v>
      </c>
      <c r="AO53" s="74" t="str">
        <f t="shared" si="367"/>
        <v>.</v>
      </c>
      <c r="AP53" s="74" t="str">
        <f t="shared" si="368"/>
        <v>.</v>
      </c>
      <c r="AQ53" s="74">
        <f t="shared" si="369"/>
        <v>1.2771863584474886E-9</v>
      </c>
      <c r="AR53" s="74" t="str">
        <f t="shared" si="370"/>
        <v>.</v>
      </c>
      <c r="AS53" s="74" t="str">
        <f t="shared" si="371"/>
        <v>.</v>
      </c>
      <c r="AT53" s="74" t="str">
        <f t="shared" si="372"/>
        <v>.</v>
      </c>
      <c r="AU53" s="74" t="str">
        <f t="shared" si="373"/>
        <v>.</v>
      </c>
      <c r="AV53" s="74" t="str">
        <f t="shared" si="374"/>
        <v>.</v>
      </c>
      <c r="AW53" s="74" t="str">
        <f t="shared" si="375"/>
        <v>.</v>
      </c>
      <c r="AX53" s="74" t="str">
        <f t="shared" si="376"/>
        <v>.</v>
      </c>
      <c r="AY53" s="42">
        <f t="shared" si="377"/>
        <v>782971093.75296772</v>
      </c>
      <c r="AZ53" s="42">
        <f>IFERROR(AZ5/$B53,0)</f>
        <v>0</v>
      </c>
      <c r="BA53" s="42">
        <f>IFERROR(BA5/$B53,0)</f>
        <v>28483.403150186354</v>
      </c>
      <c r="BB53" s="42">
        <f t="shared" si="378"/>
        <v>28483.403150186354</v>
      </c>
    </row>
    <row r="54" spans="1:54" x14ac:dyDescent="0.25">
      <c r="A54" s="55" t="s">
        <v>1077</v>
      </c>
      <c r="B54" s="3">
        <v>0.99999979999999999</v>
      </c>
      <c r="C54" s="42">
        <f t="shared" ref="C54:S54" si="387">IFERROR(C9/$B54,0)</f>
        <v>3.6966903513599321</v>
      </c>
      <c r="D54" s="42">
        <f t="shared" si="387"/>
        <v>52.708431778665634</v>
      </c>
      <c r="E54" s="42">
        <f t="shared" si="387"/>
        <v>93.522630237973445</v>
      </c>
      <c r="F54" s="42">
        <f t="shared" si="387"/>
        <v>34.567660861345992</v>
      </c>
      <c r="G54" s="42">
        <f t="shared" si="387"/>
        <v>7.1567939496058086</v>
      </c>
      <c r="H54" s="42">
        <f t="shared" si="387"/>
        <v>61.933037220809027</v>
      </c>
      <c r="I54" s="42">
        <f t="shared" si="387"/>
        <v>7.2418486314869188</v>
      </c>
      <c r="J54" s="42">
        <f t="shared" si="387"/>
        <v>45065.709170759117</v>
      </c>
      <c r="K54" s="42">
        <f t="shared" si="387"/>
        <v>5735994.8749937043</v>
      </c>
      <c r="L54" s="42">
        <f t="shared" si="387"/>
        <v>0.16943696721115209</v>
      </c>
      <c r="M54" s="42">
        <f t="shared" si="387"/>
        <v>36.669904802591915</v>
      </c>
      <c r="N54" s="42">
        <f t="shared" si="387"/>
        <v>0</v>
      </c>
      <c r="O54" s="42">
        <f t="shared" si="387"/>
        <v>0</v>
      </c>
      <c r="P54" s="42">
        <f t="shared" si="387"/>
        <v>1852.9970979011516</v>
      </c>
      <c r="Q54" s="42">
        <f t="shared" si="387"/>
        <v>471.77585715801479</v>
      </c>
      <c r="R54" s="42">
        <f t="shared" si="387"/>
        <v>0</v>
      </c>
      <c r="S54" s="42">
        <f t="shared" si="387"/>
        <v>231.7391562075814</v>
      </c>
      <c r="T54" s="74">
        <f t="shared" si="356"/>
        <v>2.2189820562035001E-5</v>
      </c>
      <c r="U54" s="74">
        <f t="shared" si="357"/>
        <v>1.7433767320112844E-7</v>
      </c>
      <c r="V54" s="74">
        <f t="shared" si="358"/>
        <v>5.9018997829074777</v>
      </c>
      <c r="W54" s="74">
        <f t="shared" si="359"/>
        <v>2.7270318954559097E-2</v>
      </c>
      <c r="X54" s="74" t="str">
        <f t="shared" si="360"/>
        <v>.</v>
      </c>
      <c r="Y54" s="74" t="str">
        <f t="shared" si="361"/>
        <v>.</v>
      </c>
      <c r="Z54" s="74">
        <f t="shared" si="362"/>
        <v>5.3966625265235309E-4</v>
      </c>
      <c r="AA54" s="74">
        <f t="shared" si="363"/>
        <v>2.1196506451686948E-3</v>
      </c>
      <c r="AB54" s="74" t="str">
        <f t="shared" si="364"/>
        <v>.</v>
      </c>
      <c r="AC54" s="74">
        <f t="shared" si="365"/>
        <v>4.3151965182105243E-3</v>
      </c>
      <c r="AD54" s="42">
        <f t="shared" si="282"/>
        <v>0.16845887311865335</v>
      </c>
      <c r="AE54" s="42">
        <f t="shared" ref="AE54:AN54" si="388">IFERROR(AE9/$B54,0)</f>
        <v>2311.5774106321583</v>
      </c>
      <c r="AF54" s="42">
        <f t="shared" si="388"/>
        <v>0</v>
      </c>
      <c r="AG54" s="42">
        <f t="shared" si="388"/>
        <v>1.2710572245896394</v>
      </c>
      <c r="AH54" s="42">
        <f t="shared" si="388"/>
        <v>510.18679881611985</v>
      </c>
      <c r="AI54" s="42">
        <f t="shared" si="388"/>
        <v>0</v>
      </c>
      <c r="AJ54" s="42">
        <f t="shared" si="388"/>
        <v>0</v>
      </c>
      <c r="AK54" s="42">
        <f t="shared" si="388"/>
        <v>326110.00812590559</v>
      </c>
      <c r="AL54" s="42">
        <f t="shared" si="388"/>
        <v>80124.975740151989</v>
      </c>
      <c r="AM54" s="42">
        <f t="shared" si="388"/>
        <v>0</v>
      </c>
      <c r="AN54" s="42">
        <f t="shared" si="388"/>
        <v>482.78990876579462</v>
      </c>
      <c r="AO54" s="74">
        <f t="shared" si="367"/>
        <v>4.3260502347897801E-4</v>
      </c>
      <c r="AP54" s="74" t="str">
        <f t="shared" si="368"/>
        <v>.</v>
      </c>
      <c r="AQ54" s="74">
        <f t="shared" si="369"/>
        <v>0.78674663945429346</v>
      </c>
      <c r="AR54" s="74">
        <f t="shared" si="370"/>
        <v>1.9600663959171106E-3</v>
      </c>
      <c r="AS54" s="74" t="str">
        <f t="shared" si="371"/>
        <v>.</v>
      </c>
      <c r="AT54" s="74" t="str">
        <f t="shared" si="372"/>
        <v>.</v>
      </c>
      <c r="AU54" s="74">
        <f t="shared" si="373"/>
        <v>3.066449894459899E-6</v>
      </c>
      <c r="AV54" s="74">
        <f t="shared" si="374"/>
        <v>1.2480502998753271E-5</v>
      </c>
      <c r="AW54" s="74" t="str">
        <f t="shared" si="375"/>
        <v>.</v>
      </c>
      <c r="AX54" s="74">
        <f t="shared" si="376"/>
        <v>2.0712943287410513E-3</v>
      </c>
      <c r="AY54" s="42">
        <f t="shared" si="377"/>
        <v>1.2638611568588449</v>
      </c>
      <c r="AZ54" s="42">
        <f>IFERROR(AZ9/$B54,0)</f>
        <v>4.2196771947593303</v>
      </c>
      <c r="BA54" s="42">
        <f>IFERROR(BA9/$B54,0)</f>
        <v>7.8519664331732093E-5</v>
      </c>
      <c r="BB54" s="42">
        <f t="shared" si="378"/>
        <v>7.8518203266660092E-5</v>
      </c>
    </row>
    <row r="55" spans="1:54" x14ac:dyDescent="0.25">
      <c r="A55" s="55" t="s">
        <v>1078</v>
      </c>
      <c r="B55" s="3">
        <v>1.9999999999999999E-7</v>
      </c>
      <c r="C55" s="42">
        <f t="shared" ref="C55:S55" si="389">IFERROR(C24/$B55,0)</f>
        <v>0</v>
      </c>
      <c r="D55" s="42">
        <f t="shared" si="389"/>
        <v>0</v>
      </c>
      <c r="E55" s="42">
        <f t="shared" si="389"/>
        <v>0</v>
      </c>
      <c r="F55" s="42">
        <f t="shared" si="389"/>
        <v>0</v>
      </c>
      <c r="G55" s="42">
        <f t="shared" si="389"/>
        <v>0</v>
      </c>
      <c r="H55" s="42">
        <f t="shared" si="389"/>
        <v>0</v>
      </c>
      <c r="I55" s="42">
        <f t="shared" si="389"/>
        <v>0</v>
      </c>
      <c r="J55" s="42">
        <f t="shared" si="389"/>
        <v>0</v>
      </c>
      <c r="K55" s="42">
        <f t="shared" si="389"/>
        <v>0</v>
      </c>
      <c r="L55" s="42">
        <f t="shared" si="389"/>
        <v>1816988166.5639906</v>
      </c>
      <c r="M55" s="42">
        <f t="shared" si="389"/>
        <v>0</v>
      </c>
      <c r="N55" s="42">
        <f t="shared" si="389"/>
        <v>0</v>
      </c>
      <c r="O55" s="42">
        <f t="shared" si="389"/>
        <v>0</v>
      </c>
      <c r="P55" s="42">
        <f t="shared" si="389"/>
        <v>0</v>
      </c>
      <c r="Q55" s="42">
        <f t="shared" si="389"/>
        <v>0</v>
      </c>
      <c r="R55" s="42">
        <f t="shared" si="389"/>
        <v>0</v>
      </c>
      <c r="S55" s="42">
        <f t="shared" si="389"/>
        <v>0</v>
      </c>
      <c r="T55" s="74" t="str">
        <f t="shared" si="356"/>
        <v>.</v>
      </c>
      <c r="U55" s="74" t="str">
        <f t="shared" si="357"/>
        <v>.</v>
      </c>
      <c r="V55" s="74">
        <f t="shared" si="358"/>
        <v>5.5036131682191784E-10</v>
      </c>
      <c r="W55" s="74" t="str">
        <f t="shared" si="359"/>
        <v>.</v>
      </c>
      <c r="X55" s="74" t="str">
        <f t="shared" si="360"/>
        <v>.</v>
      </c>
      <c r="Y55" s="74" t="str">
        <f t="shared" si="361"/>
        <v>.</v>
      </c>
      <c r="Z55" s="74" t="str">
        <f t="shared" si="362"/>
        <v>.</v>
      </c>
      <c r="AA55" s="74" t="str">
        <f t="shared" si="363"/>
        <v>.</v>
      </c>
      <c r="AB55" s="74" t="str">
        <f t="shared" si="364"/>
        <v>.</v>
      </c>
      <c r="AC55" s="74" t="str">
        <f t="shared" si="365"/>
        <v>.</v>
      </c>
      <c r="AD55" s="42">
        <f t="shared" si="282"/>
        <v>1816988166.5639906</v>
      </c>
      <c r="AE55" s="42">
        <f t="shared" ref="AE55:AN55" si="390">IFERROR(AE24/$B55,0)</f>
        <v>0</v>
      </c>
      <c r="AF55" s="42">
        <f t="shared" si="390"/>
        <v>0</v>
      </c>
      <c r="AG55" s="42">
        <f t="shared" si="390"/>
        <v>13243760043.182812</v>
      </c>
      <c r="AH55" s="42">
        <f t="shared" si="390"/>
        <v>0</v>
      </c>
      <c r="AI55" s="42">
        <f t="shared" si="390"/>
        <v>0</v>
      </c>
      <c r="AJ55" s="42">
        <f t="shared" si="390"/>
        <v>0</v>
      </c>
      <c r="AK55" s="42">
        <f t="shared" si="390"/>
        <v>0</v>
      </c>
      <c r="AL55" s="42">
        <f t="shared" si="390"/>
        <v>0</v>
      </c>
      <c r="AM55" s="42">
        <f t="shared" si="390"/>
        <v>0</v>
      </c>
      <c r="AN55" s="42">
        <f t="shared" si="390"/>
        <v>0</v>
      </c>
      <c r="AO55" s="74" t="str">
        <f t="shared" si="367"/>
        <v>.</v>
      </c>
      <c r="AP55" s="74" t="str">
        <f t="shared" si="368"/>
        <v>.</v>
      </c>
      <c r="AQ55" s="74">
        <f t="shared" si="369"/>
        <v>7.5507257511415509E-11</v>
      </c>
      <c r="AR55" s="74" t="str">
        <f t="shared" si="370"/>
        <v>.</v>
      </c>
      <c r="AS55" s="74" t="str">
        <f t="shared" si="371"/>
        <v>.</v>
      </c>
      <c r="AT55" s="74" t="str">
        <f t="shared" si="372"/>
        <v>.</v>
      </c>
      <c r="AU55" s="74" t="str">
        <f t="shared" si="373"/>
        <v>.</v>
      </c>
      <c r="AV55" s="74" t="str">
        <f t="shared" si="374"/>
        <v>.</v>
      </c>
      <c r="AW55" s="74" t="str">
        <f t="shared" si="375"/>
        <v>.</v>
      </c>
      <c r="AX55" s="74" t="str">
        <f t="shared" si="376"/>
        <v>.</v>
      </c>
      <c r="AY55" s="42">
        <f t="shared" si="377"/>
        <v>13243760043.182812</v>
      </c>
      <c r="AZ55" s="42">
        <f>IFERROR(AZ24/$B55,0)</f>
        <v>0</v>
      </c>
      <c r="BA55" s="42">
        <f>IFERROR(BA24/$B55,0)</f>
        <v>820992.20844654785</v>
      </c>
      <c r="BB55" s="42">
        <f t="shared" si="378"/>
        <v>820992.20844654785</v>
      </c>
    </row>
    <row r="56" spans="1:54" x14ac:dyDescent="0.25">
      <c r="A56" s="55" t="s">
        <v>1079</v>
      </c>
      <c r="B56" s="3">
        <v>0.99979000004200003</v>
      </c>
      <c r="C56" s="42">
        <f t="shared" ref="C56:S56" si="391">IFERROR(C20/$B56,0)</f>
        <v>0</v>
      </c>
      <c r="D56" s="42">
        <f t="shared" si="391"/>
        <v>0</v>
      </c>
      <c r="E56" s="42">
        <f t="shared" si="391"/>
        <v>0</v>
      </c>
      <c r="F56" s="42">
        <f t="shared" si="391"/>
        <v>0</v>
      </c>
      <c r="G56" s="42">
        <f t="shared" si="391"/>
        <v>0</v>
      </c>
      <c r="H56" s="42">
        <f t="shared" si="391"/>
        <v>0</v>
      </c>
      <c r="I56" s="42">
        <f t="shared" si="391"/>
        <v>0</v>
      </c>
      <c r="J56" s="42">
        <f t="shared" si="391"/>
        <v>0</v>
      </c>
      <c r="K56" s="42">
        <f t="shared" si="391"/>
        <v>0</v>
      </c>
      <c r="L56" s="42">
        <f t="shared" si="391"/>
        <v>3224.5939114855114</v>
      </c>
      <c r="M56" s="42">
        <f t="shared" si="391"/>
        <v>0</v>
      </c>
      <c r="N56" s="42">
        <f t="shared" si="391"/>
        <v>0</v>
      </c>
      <c r="O56" s="42">
        <f t="shared" si="391"/>
        <v>0</v>
      </c>
      <c r="P56" s="42">
        <f t="shared" si="391"/>
        <v>0</v>
      </c>
      <c r="Q56" s="42">
        <f t="shared" si="391"/>
        <v>0</v>
      </c>
      <c r="R56" s="42">
        <f t="shared" si="391"/>
        <v>0</v>
      </c>
      <c r="S56" s="42">
        <f t="shared" si="391"/>
        <v>0</v>
      </c>
      <c r="T56" s="74" t="str">
        <f t="shared" si="356"/>
        <v>.</v>
      </c>
      <c r="U56" s="74" t="str">
        <f t="shared" si="357"/>
        <v>.</v>
      </c>
      <c r="V56" s="74">
        <f t="shared" si="358"/>
        <v>3.1011656892303638E-4</v>
      </c>
      <c r="W56" s="74" t="str">
        <f t="shared" si="359"/>
        <v>.</v>
      </c>
      <c r="X56" s="74" t="str">
        <f t="shared" si="360"/>
        <v>.</v>
      </c>
      <c r="Y56" s="74" t="str">
        <f t="shared" si="361"/>
        <v>.</v>
      </c>
      <c r="Z56" s="74" t="str">
        <f t="shared" si="362"/>
        <v>.</v>
      </c>
      <c r="AA56" s="74" t="str">
        <f t="shared" si="363"/>
        <v>.</v>
      </c>
      <c r="AB56" s="74" t="str">
        <f t="shared" si="364"/>
        <v>.</v>
      </c>
      <c r="AC56" s="74" t="str">
        <f t="shared" si="365"/>
        <v>.</v>
      </c>
      <c r="AD56" s="42">
        <f t="shared" si="282"/>
        <v>3224.5939114855114</v>
      </c>
      <c r="AE56" s="42">
        <f t="shared" ref="AE56:AN56" si="392">IFERROR(AE20/$B56,0)</f>
        <v>0</v>
      </c>
      <c r="AF56" s="42">
        <f t="shared" si="392"/>
        <v>0</v>
      </c>
      <c r="AG56" s="42">
        <f t="shared" si="392"/>
        <v>23789.050795444564</v>
      </c>
      <c r="AH56" s="42">
        <f t="shared" si="392"/>
        <v>0</v>
      </c>
      <c r="AI56" s="42">
        <f t="shared" si="392"/>
        <v>0</v>
      </c>
      <c r="AJ56" s="42">
        <f t="shared" si="392"/>
        <v>0</v>
      </c>
      <c r="AK56" s="42">
        <f t="shared" si="392"/>
        <v>0</v>
      </c>
      <c r="AL56" s="42">
        <f t="shared" si="392"/>
        <v>0</v>
      </c>
      <c r="AM56" s="42">
        <f t="shared" si="392"/>
        <v>0</v>
      </c>
      <c r="AN56" s="42">
        <f t="shared" si="392"/>
        <v>0</v>
      </c>
      <c r="AO56" s="74" t="str">
        <f t="shared" si="367"/>
        <v>.</v>
      </c>
      <c r="AP56" s="74" t="str">
        <f t="shared" si="368"/>
        <v>.</v>
      </c>
      <c r="AQ56" s="74">
        <f t="shared" si="369"/>
        <v>4.2036145477123995E-5</v>
      </c>
      <c r="AR56" s="74" t="str">
        <f t="shared" si="370"/>
        <v>.</v>
      </c>
      <c r="AS56" s="74" t="str">
        <f t="shared" si="371"/>
        <v>.</v>
      </c>
      <c r="AT56" s="74" t="str">
        <f t="shared" si="372"/>
        <v>.</v>
      </c>
      <c r="AU56" s="74" t="str">
        <f t="shared" si="373"/>
        <v>.</v>
      </c>
      <c r="AV56" s="74" t="str">
        <f t="shared" si="374"/>
        <v>.</v>
      </c>
      <c r="AW56" s="74" t="str">
        <f t="shared" si="375"/>
        <v>.</v>
      </c>
      <c r="AX56" s="74" t="str">
        <f t="shared" si="376"/>
        <v>.</v>
      </c>
      <c r="AY56" s="42">
        <f t="shared" si="377"/>
        <v>23789.050795444564</v>
      </c>
      <c r="AZ56" s="42">
        <f>IFERROR(AZ20/$B56,0)</f>
        <v>0</v>
      </c>
      <c r="BA56" s="42">
        <f>IFERROR(BA20/$B56,0)</f>
        <v>1.4694525369280178</v>
      </c>
      <c r="BB56" s="42">
        <f t="shared" si="378"/>
        <v>1.4694525369280178</v>
      </c>
    </row>
    <row r="57" spans="1:54" x14ac:dyDescent="0.25">
      <c r="A57" s="55" t="s">
        <v>1080</v>
      </c>
      <c r="B57" s="3">
        <v>2.0999995799999999E-4</v>
      </c>
      <c r="C57" s="42">
        <f t="shared" ref="C57:S57" si="393">IFERROR(C29/$B57,0)</f>
        <v>0</v>
      </c>
      <c r="D57" s="42">
        <f t="shared" si="393"/>
        <v>0</v>
      </c>
      <c r="E57" s="42">
        <f t="shared" si="393"/>
        <v>0</v>
      </c>
      <c r="F57" s="42">
        <f t="shared" si="393"/>
        <v>0</v>
      </c>
      <c r="G57" s="42">
        <f t="shared" si="393"/>
        <v>0</v>
      </c>
      <c r="H57" s="42">
        <f t="shared" si="393"/>
        <v>0</v>
      </c>
      <c r="I57" s="42">
        <f t="shared" si="393"/>
        <v>0</v>
      </c>
      <c r="J57" s="42">
        <f t="shared" si="393"/>
        <v>0</v>
      </c>
      <c r="K57" s="42">
        <f t="shared" si="393"/>
        <v>0</v>
      </c>
      <c r="L57" s="42">
        <f t="shared" si="393"/>
        <v>439.36089175020351</v>
      </c>
      <c r="M57" s="42">
        <f t="shared" si="393"/>
        <v>0</v>
      </c>
      <c r="N57" s="42">
        <f t="shared" si="393"/>
        <v>0</v>
      </c>
      <c r="O57" s="42">
        <f t="shared" si="393"/>
        <v>0</v>
      </c>
      <c r="P57" s="42">
        <f t="shared" si="393"/>
        <v>0</v>
      </c>
      <c r="Q57" s="42">
        <f t="shared" si="393"/>
        <v>0</v>
      </c>
      <c r="R57" s="42">
        <f t="shared" si="393"/>
        <v>0</v>
      </c>
      <c r="S57" s="42">
        <f t="shared" si="393"/>
        <v>0</v>
      </c>
      <c r="T57" s="74" t="str">
        <f t="shared" si="356"/>
        <v>.</v>
      </c>
      <c r="U57" s="74" t="str">
        <f t="shared" si="357"/>
        <v>.</v>
      </c>
      <c r="V57" s="74">
        <f t="shared" si="358"/>
        <v>2.2760332537028467E-3</v>
      </c>
      <c r="W57" s="74" t="str">
        <f t="shared" si="359"/>
        <v>.</v>
      </c>
      <c r="X57" s="74" t="str">
        <f t="shared" si="360"/>
        <v>.</v>
      </c>
      <c r="Y57" s="74" t="str">
        <f t="shared" si="361"/>
        <v>.</v>
      </c>
      <c r="Z57" s="74" t="str">
        <f t="shared" si="362"/>
        <v>.</v>
      </c>
      <c r="AA57" s="74" t="str">
        <f t="shared" si="363"/>
        <v>.</v>
      </c>
      <c r="AB57" s="74" t="str">
        <f t="shared" si="364"/>
        <v>.</v>
      </c>
      <c r="AC57" s="74" t="str">
        <f t="shared" si="365"/>
        <v>.</v>
      </c>
      <c r="AD57" s="42">
        <f t="shared" si="282"/>
        <v>439.36089175020356</v>
      </c>
      <c r="AE57" s="42">
        <f t="shared" ref="AE57:AN57" si="394">IFERROR(AE29/$B57,0)</f>
        <v>0</v>
      </c>
      <c r="AF57" s="42">
        <f t="shared" si="394"/>
        <v>0</v>
      </c>
      <c r="AG57" s="42">
        <f t="shared" si="394"/>
        <v>3270.5566012832824</v>
      </c>
      <c r="AH57" s="42">
        <f t="shared" si="394"/>
        <v>0</v>
      </c>
      <c r="AI57" s="42">
        <f t="shared" si="394"/>
        <v>0</v>
      </c>
      <c r="AJ57" s="42">
        <f t="shared" si="394"/>
        <v>0</v>
      </c>
      <c r="AK57" s="42">
        <f t="shared" si="394"/>
        <v>0</v>
      </c>
      <c r="AL57" s="42">
        <f t="shared" si="394"/>
        <v>0</v>
      </c>
      <c r="AM57" s="42">
        <f t="shared" si="394"/>
        <v>0</v>
      </c>
      <c r="AN57" s="42">
        <f t="shared" si="394"/>
        <v>0</v>
      </c>
      <c r="AO57" s="74" t="str">
        <f t="shared" si="367"/>
        <v>.</v>
      </c>
      <c r="AP57" s="74" t="str">
        <f t="shared" si="368"/>
        <v>.</v>
      </c>
      <c r="AQ57" s="74">
        <f t="shared" si="369"/>
        <v>3.0575835306064593E-4</v>
      </c>
      <c r="AR57" s="74" t="str">
        <f t="shared" si="370"/>
        <v>.</v>
      </c>
      <c r="AS57" s="74" t="str">
        <f t="shared" si="371"/>
        <v>.</v>
      </c>
      <c r="AT57" s="74" t="str">
        <f t="shared" si="372"/>
        <v>.</v>
      </c>
      <c r="AU57" s="74" t="str">
        <f t="shared" si="373"/>
        <v>.</v>
      </c>
      <c r="AV57" s="74" t="str">
        <f t="shared" si="374"/>
        <v>.</v>
      </c>
      <c r="AW57" s="74" t="str">
        <f t="shared" si="375"/>
        <v>.</v>
      </c>
      <c r="AX57" s="74" t="str">
        <f t="shared" si="376"/>
        <v>.</v>
      </c>
      <c r="AY57" s="42">
        <f t="shared" si="377"/>
        <v>3270.5566012832824</v>
      </c>
      <c r="AZ57" s="42">
        <f>IFERROR(AZ29/$B57,0)</f>
        <v>0</v>
      </c>
      <c r="BA57" s="42">
        <f>IFERROR(BA29/$B57,0)</f>
        <v>0.20139784033139074</v>
      </c>
      <c r="BB57" s="42">
        <f t="shared" si="378"/>
        <v>0.20139784033139074</v>
      </c>
    </row>
    <row r="58" spans="1:54" x14ac:dyDescent="0.25">
      <c r="A58" s="55" t="s">
        <v>1081</v>
      </c>
      <c r="B58" s="3">
        <v>1</v>
      </c>
      <c r="C58" s="42">
        <f t="shared" ref="C58:S58" si="395">IFERROR(C16/$B58,0)</f>
        <v>5.4000661979535024E-4</v>
      </c>
      <c r="D58" s="42">
        <f t="shared" si="395"/>
        <v>7.6995634944214842E-3</v>
      </c>
      <c r="E58" s="42">
        <f t="shared" si="395"/>
        <v>1.366163639067026E-2</v>
      </c>
      <c r="F58" s="42">
        <f t="shared" si="395"/>
        <v>5.0495886649257445E-3</v>
      </c>
      <c r="G58" s="42">
        <f t="shared" si="395"/>
        <v>1.0454530247243196E-3</v>
      </c>
      <c r="H58" s="42">
        <f t="shared" si="395"/>
        <v>9.0470791179372897E-3</v>
      </c>
      <c r="I58" s="42">
        <f t="shared" si="395"/>
        <v>1.0578776767494723E-3</v>
      </c>
      <c r="J58" s="42">
        <f t="shared" si="395"/>
        <v>6.5831267877303672</v>
      </c>
      <c r="K58" s="42">
        <f t="shared" si="395"/>
        <v>9409.5903562048788</v>
      </c>
      <c r="L58" s="42">
        <f t="shared" si="395"/>
        <v>739.77375352962497</v>
      </c>
      <c r="M58" s="42">
        <f t="shared" si="395"/>
        <v>3.0907103884492783E-2</v>
      </c>
      <c r="N58" s="42">
        <f t="shared" si="395"/>
        <v>0</v>
      </c>
      <c r="O58" s="42">
        <f t="shared" si="395"/>
        <v>0</v>
      </c>
      <c r="P58" s="42">
        <f t="shared" si="395"/>
        <v>2.0086502853125681</v>
      </c>
      <c r="Q58" s="42">
        <f t="shared" si="395"/>
        <v>0.9887971859623047</v>
      </c>
      <c r="R58" s="42">
        <f t="shared" si="395"/>
        <v>0</v>
      </c>
      <c r="S58" s="42">
        <f t="shared" si="395"/>
        <v>6.3472660604968331E-3</v>
      </c>
      <c r="T58" s="74">
        <f t="shared" si="356"/>
        <v>0.15190350000000002</v>
      </c>
      <c r="U58" s="74">
        <f t="shared" si="357"/>
        <v>1.0627455204153275E-4</v>
      </c>
      <c r="V58" s="74">
        <f t="shared" si="358"/>
        <v>1.3517646378082189E-3</v>
      </c>
      <c r="W58" s="74">
        <f t="shared" si="359"/>
        <v>32.355021154270503</v>
      </c>
      <c r="X58" s="74" t="str">
        <f t="shared" si="360"/>
        <v>.</v>
      </c>
      <c r="Y58" s="74" t="str">
        <f t="shared" si="361"/>
        <v>.</v>
      </c>
      <c r="Z58" s="74">
        <f t="shared" si="362"/>
        <v>0.49784674182065947</v>
      </c>
      <c r="AA58" s="74">
        <f t="shared" si="363"/>
        <v>1.0113297389967717</v>
      </c>
      <c r="AB58" s="74" t="str">
        <f t="shared" si="364"/>
        <v>.</v>
      </c>
      <c r="AC58" s="74">
        <f t="shared" si="365"/>
        <v>157.54814600000003</v>
      </c>
      <c r="AD58" s="42">
        <f t="shared" si="282"/>
        <v>5.2201410429400467E-3</v>
      </c>
      <c r="AE58" s="42">
        <f t="shared" ref="AE58:AN58" si="396">IFERROR(AE16/$B58,0)</f>
        <v>0.33767153460704386</v>
      </c>
      <c r="AF58" s="42">
        <f t="shared" si="396"/>
        <v>0</v>
      </c>
      <c r="AG58" s="42">
        <f t="shared" si="396"/>
        <v>1795.8052609013023</v>
      </c>
      <c r="AH58" s="42">
        <f t="shared" si="396"/>
        <v>0.12656234558557136</v>
      </c>
      <c r="AI58" s="42">
        <f t="shared" si="396"/>
        <v>0</v>
      </c>
      <c r="AJ58" s="42">
        <f t="shared" si="396"/>
        <v>0</v>
      </c>
      <c r="AK58" s="42">
        <f t="shared" si="396"/>
        <v>136.10751118398233</v>
      </c>
      <c r="AL58" s="42">
        <f t="shared" si="396"/>
        <v>61.602781205151551</v>
      </c>
      <c r="AM58" s="42">
        <f t="shared" si="396"/>
        <v>0</v>
      </c>
      <c r="AN58" s="42">
        <f t="shared" si="396"/>
        <v>4.2315107069978888E-2</v>
      </c>
      <c r="AO58" s="74">
        <f t="shared" si="367"/>
        <v>2.9614578000000003</v>
      </c>
      <c r="AP58" s="74" t="str">
        <f t="shared" si="368"/>
        <v>.</v>
      </c>
      <c r="AQ58" s="74">
        <f t="shared" si="369"/>
        <v>5.5685325228310495E-4</v>
      </c>
      <c r="AR58" s="74">
        <f t="shared" si="370"/>
        <v>7.9012442079297571</v>
      </c>
      <c r="AS58" s="74" t="str">
        <f t="shared" si="371"/>
        <v>.</v>
      </c>
      <c r="AT58" s="74" t="str">
        <f t="shared" si="372"/>
        <v>.</v>
      </c>
      <c r="AU58" s="74">
        <f t="shared" si="373"/>
        <v>7.3471330957500013E-3</v>
      </c>
      <c r="AV58" s="74">
        <f t="shared" si="374"/>
        <v>1.6233033321495144E-2</v>
      </c>
      <c r="AW58" s="74" t="str">
        <f t="shared" si="375"/>
        <v>.</v>
      </c>
      <c r="AX58" s="74">
        <f t="shared" si="376"/>
        <v>23.632221900000001</v>
      </c>
      <c r="AY58" s="42">
        <f t="shared" si="377"/>
        <v>2.8969501867313618E-2</v>
      </c>
      <c r="AZ58" s="42">
        <f>IFERROR(AZ16/$B58,0)</f>
        <v>6.9221529487765868E-3</v>
      </c>
      <c r="BA58" s="42">
        <f>IFERROR(BA16/$B58,0)</f>
        <v>0.11852966066744214</v>
      </c>
      <c r="BB58" s="42">
        <f t="shared" si="378"/>
        <v>6.5402038954704205E-3</v>
      </c>
    </row>
    <row r="59" spans="1:54" x14ac:dyDescent="0.25">
      <c r="A59" s="55" t="s">
        <v>1082</v>
      </c>
      <c r="B59" s="3">
        <v>1</v>
      </c>
      <c r="C59" s="42">
        <f t="shared" ref="C59:S59" si="397">IFERROR(C7/$B59,0)</f>
        <v>0.30600375121736512</v>
      </c>
      <c r="D59" s="42">
        <f t="shared" si="397"/>
        <v>4.3630859801721744</v>
      </c>
      <c r="E59" s="42">
        <f t="shared" si="397"/>
        <v>7.7415939547131476</v>
      </c>
      <c r="F59" s="42">
        <f t="shared" si="397"/>
        <v>2.8614335767912555</v>
      </c>
      <c r="G59" s="42">
        <f t="shared" si="397"/>
        <v>0.59242338067711442</v>
      </c>
      <c r="H59" s="42">
        <f t="shared" si="397"/>
        <v>5.1266781668311303</v>
      </c>
      <c r="I59" s="42">
        <f t="shared" si="397"/>
        <v>0.59946401682470096</v>
      </c>
      <c r="J59" s="42">
        <f t="shared" si="397"/>
        <v>3730.4385130472087</v>
      </c>
      <c r="K59" s="42">
        <f t="shared" si="397"/>
        <v>388628.97156106454</v>
      </c>
      <c r="L59" s="42">
        <f t="shared" si="397"/>
        <v>282.78041090552216</v>
      </c>
      <c r="M59" s="42">
        <f t="shared" si="397"/>
        <v>3.0354526237905737</v>
      </c>
      <c r="N59" s="42">
        <f t="shared" si="397"/>
        <v>0</v>
      </c>
      <c r="O59" s="42">
        <f t="shared" si="397"/>
        <v>0</v>
      </c>
      <c r="P59" s="42">
        <f t="shared" si="397"/>
        <v>153.38695131553231</v>
      </c>
      <c r="Q59" s="42">
        <f t="shared" si="397"/>
        <v>39.052549254235373</v>
      </c>
      <c r="R59" s="42">
        <f t="shared" si="397"/>
        <v>0</v>
      </c>
      <c r="S59" s="42">
        <f t="shared" si="397"/>
        <v>19.182848538390431</v>
      </c>
      <c r="T59" s="74">
        <f t="shared" si="356"/>
        <v>2.68065E-4</v>
      </c>
      <c r="U59" s="74">
        <f t="shared" si="357"/>
        <v>2.5731483578878573E-6</v>
      </c>
      <c r="V59" s="74">
        <f t="shared" si="358"/>
        <v>3.5363128471232867E-3</v>
      </c>
      <c r="W59" s="74">
        <f t="shared" si="359"/>
        <v>0.32944016064109505</v>
      </c>
      <c r="X59" s="74" t="str">
        <f t="shared" si="360"/>
        <v>.</v>
      </c>
      <c r="Y59" s="74" t="str">
        <f t="shared" si="361"/>
        <v>.</v>
      </c>
      <c r="Z59" s="74">
        <f t="shared" si="362"/>
        <v>6.5194593896250007E-3</v>
      </c>
      <c r="AA59" s="74">
        <f t="shared" si="363"/>
        <v>2.5606522982402919E-2</v>
      </c>
      <c r="AB59" s="74" t="str">
        <f t="shared" si="364"/>
        <v>.</v>
      </c>
      <c r="AC59" s="74">
        <f t="shared" si="365"/>
        <v>5.2129901249999999E-2</v>
      </c>
      <c r="AD59" s="42">
        <f t="shared" si="282"/>
        <v>2.3951923970763214</v>
      </c>
      <c r="AE59" s="42">
        <f t="shared" ref="AE59:AN59" si="398">IFERROR(AE7/$B59,0)</f>
        <v>191.34720294399153</v>
      </c>
      <c r="AF59" s="42">
        <f t="shared" si="398"/>
        <v>0</v>
      </c>
      <c r="AG59" s="42">
        <f t="shared" si="398"/>
        <v>656.85494442363074</v>
      </c>
      <c r="AH59" s="42">
        <f t="shared" si="398"/>
        <v>42.232121011130708</v>
      </c>
      <c r="AI59" s="42">
        <f t="shared" si="398"/>
        <v>0</v>
      </c>
      <c r="AJ59" s="42">
        <f t="shared" si="398"/>
        <v>0</v>
      </c>
      <c r="AK59" s="42">
        <f t="shared" si="398"/>
        <v>26994.656384823164</v>
      </c>
      <c r="AL59" s="42">
        <f t="shared" si="398"/>
        <v>6632.5661097546499</v>
      </c>
      <c r="AM59" s="42">
        <f t="shared" si="398"/>
        <v>0</v>
      </c>
      <c r="AN59" s="42">
        <f t="shared" si="398"/>
        <v>39.9642677883134</v>
      </c>
      <c r="AO59" s="74">
        <f t="shared" si="367"/>
        <v>5.2261019999999998E-3</v>
      </c>
      <c r="AP59" s="74" t="str">
        <f t="shared" si="368"/>
        <v>.</v>
      </c>
      <c r="AQ59" s="74">
        <f t="shared" si="369"/>
        <v>1.5224061392694061E-3</v>
      </c>
      <c r="AR59" s="74">
        <f t="shared" si="370"/>
        <v>2.367865918305263E-2</v>
      </c>
      <c r="AS59" s="74" t="str">
        <f t="shared" si="371"/>
        <v>.</v>
      </c>
      <c r="AT59" s="74" t="str">
        <f t="shared" si="372"/>
        <v>.</v>
      </c>
      <c r="AU59" s="74">
        <f t="shared" si="373"/>
        <v>3.7044368550000007E-5</v>
      </c>
      <c r="AV59" s="74">
        <f t="shared" si="374"/>
        <v>1.5077120732038835E-4</v>
      </c>
      <c r="AW59" s="74" t="str">
        <f t="shared" si="375"/>
        <v>.</v>
      </c>
      <c r="AX59" s="74">
        <f t="shared" si="376"/>
        <v>2.5022352599999999E-2</v>
      </c>
      <c r="AY59" s="42">
        <f t="shared" si="377"/>
        <v>17.973542245431371</v>
      </c>
      <c r="AZ59" s="42">
        <f>IFERROR(AZ7/$B59,0)</f>
        <v>0.28589439918577275</v>
      </c>
      <c r="BA59" s="42">
        <f>IFERROR(BA7/$B59,0)</f>
        <v>2.1638554331149321E-2</v>
      </c>
      <c r="BB59" s="42">
        <f t="shared" si="378"/>
        <v>2.0116027954097709E-2</v>
      </c>
    </row>
    <row r="60" spans="1:54" x14ac:dyDescent="0.25">
      <c r="A60" s="55" t="s">
        <v>1083</v>
      </c>
      <c r="B60" s="3">
        <v>1.9000000000000001E-8</v>
      </c>
      <c r="C60" s="42">
        <f t="shared" ref="C60:S60" si="399">IFERROR(C12/$B60,0)</f>
        <v>0</v>
      </c>
      <c r="D60" s="42">
        <f t="shared" si="399"/>
        <v>0</v>
      </c>
      <c r="E60" s="42">
        <f t="shared" si="399"/>
        <v>0</v>
      </c>
      <c r="F60" s="42">
        <f t="shared" si="399"/>
        <v>0</v>
      </c>
      <c r="G60" s="42">
        <f t="shared" si="399"/>
        <v>0</v>
      </c>
      <c r="H60" s="42">
        <f t="shared" si="399"/>
        <v>0</v>
      </c>
      <c r="I60" s="42">
        <f t="shared" si="399"/>
        <v>0</v>
      </c>
      <c r="J60" s="42">
        <f t="shared" si="399"/>
        <v>0</v>
      </c>
      <c r="K60" s="42">
        <f t="shared" si="399"/>
        <v>0</v>
      </c>
      <c r="L60" s="42">
        <f t="shared" si="399"/>
        <v>132950353.65102373</v>
      </c>
      <c r="M60" s="42">
        <f t="shared" si="399"/>
        <v>0</v>
      </c>
      <c r="N60" s="42">
        <f t="shared" si="399"/>
        <v>0</v>
      </c>
      <c r="O60" s="42">
        <f t="shared" si="399"/>
        <v>0</v>
      </c>
      <c r="P60" s="42">
        <f t="shared" si="399"/>
        <v>0</v>
      </c>
      <c r="Q60" s="42">
        <f t="shared" si="399"/>
        <v>0</v>
      </c>
      <c r="R60" s="42">
        <f t="shared" si="399"/>
        <v>0</v>
      </c>
      <c r="S60" s="42">
        <f t="shared" si="399"/>
        <v>0</v>
      </c>
      <c r="T60" s="74" t="str">
        <f t="shared" si="356"/>
        <v>.</v>
      </c>
      <c r="U60" s="74" t="str">
        <f t="shared" si="357"/>
        <v>.</v>
      </c>
      <c r="V60" s="74">
        <f t="shared" si="358"/>
        <v>7.5216046632328748E-9</v>
      </c>
      <c r="W60" s="74" t="str">
        <f t="shared" si="359"/>
        <v>.</v>
      </c>
      <c r="X60" s="74" t="str">
        <f t="shared" si="360"/>
        <v>.</v>
      </c>
      <c r="Y60" s="74" t="str">
        <f t="shared" si="361"/>
        <v>.</v>
      </c>
      <c r="Z60" s="74" t="str">
        <f t="shared" si="362"/>
        <v>.</v>
      </c>
      <c r="AA60" s="74" t="str">
        <f t="shared" si="363"/>
        <v>.</v>
      </c>
      <c r="AB60" s="74" t="str">
        <f t="shared" si="364"/>
        <v>.</v>
      </c>
      <c r="AC60" s="74" t="str">
        <f t="shared" si="365"/>
        <v>.</v>
      </c>
      <c r="AD60" s="42">
        <f t="shared" si="282"/>
        <v>132950353.65102373</v>
      </c>
      <c r="AE60" s="42">
        <f t="shared" ref="AE60:AN60" si="400">IFERROR(AE12/$B60,0)</f>
        <v>0</v>
      </c>
      <c r="AF60" s="42">
        <f t="shared" si="400"/>
        <v>0</v>
      </c>
      <c r="AG60" s="42">
        <f t="shared" si="400"/>
        <v>865735397.78081346</v>
      </c>
      <c r="AH60" s="42">
        <f t="shared" si="400"/>
        <v>0</v>
      </c>
      <c r="AI60" s="42">
        <f t="shared" si="400"/>
        <v>0</v>
      </c>
      <c r="AJ60" s="42">
        <f t="shared" si="400"/>
        <v>0</v>
      </c>
      <c r="AK60" s="42">
        <f t="shared" si="400"/>
        <v>0</v>
      </c>
      <c r="AL60" s="42">
        <f t="shared" si="400"/>
        <v>0</v>
      </c>
      <c r="AM60" s="42">
        <f t="shared" si="400"/>
        <v>0</v>
      </c>
      <c r="AN60" s="42">
        <f t="shared" si="400"/>
        <v>0</v>
      </c>
      <c r="AO60" s="74" t="str">
        <f t="shared" si="367"/>
        <v>.</v>
      </c>
      <c r="AP60" s="74" t="str">
        <f t="shared" si="368"/>
        <v>.</v>
      </c>
      <c r="AQ60" s="74">
        <f t="shared" si="369"/>
        <v>1.1550873425799086E-9</v>
      </c>
      <c r="AR60" s="74" t="str">
        <f t="shared" si="370"/>
        <v>.</v>
      </c>
      <c r="AS60" s="74" t="str">
        <f t="shared" si="371"/>
        <v>.</v>
      </c>
      <c r="AT60" s="74" t="str">
        <f t="shared" si="372"/>
        <v>.</v>
      </c>
      <c r="AU60" s="74" t="str">
        <f t="shared" si="373"/>
        <v>.</v>
      </c>
      <c r="AV60" s="74" t="str">
        <f t="shared" si="374"/>
        <v>.</v>
      </c>
      <c r="AW60" s="74" t="str">
        <f t="shared" si="375"/>
        <v>.</v>
      </c>
      <c r="AX60" s="74" t="str">
        <f t="shared" si="376"/>
        <v>.</v>
      </c>
      <c r="AY60" s="42">
        <f t="shared" si="377"/>
        <v>865735397.78081346</v>
      </c>
      <c r="AZ60" s="42">
        <f>IFERROR(AZ12/$B60,0)</f>
        <v>0</v>
      </c>
      <c r="BA60" s="42">
        <f>IFERROR(BA12/$B60,0)</f>
        <v>52846.904746653963</v>
      </c>
      <c r="BB60" s="42">
        <f t="shared" si="378"/>
        <v>52846.904746653963</v>
      </c>
    </row>
    <row r="61" spans="1:54" x14ac:dyDescent="0.25">
      <c r="A61" s="55" t="s">
        <v>1084</v>
      </c>
      <c r="B61" s="3">
        <v>1</v>
      </c>
      <c r="C61" s="42">
        <f t="shared" ref="C61:S61" si="401">IFERROR(C18/$B61,0)</f>
        <v>3.1474671553786136E-4</v>
      </c>
      <c r="D61" s="42">
        <f t="shared" si="401"/>
        <v>4.4877455796056651E-3</v>
      </c>
      <c r="E61" s="42">
        <f t="shared" si="401"/>
        <v>7.9627823534192364E-3</v>
      </c>
      <c r="F61" s="42">
        <f t="shared" si="401"/>
        <v>2.9431888218424337E-3</v>
      </c>
      <c r="G61" s="42">
        <f t="shared" si="401"/>
        <v>6.0934976298217475E-4</v>
      </c>
      <c r="H61" s="42">
        <f t="shared" si="401"/>
        <v>5.2731546858834485E-3</v>
      </c>
      <c r="I61" s="42">
        <f t="shared" si="401"/>
        <v>6.1659156016254958E-4</v>
      </c>
      <c r="J61" s="42">
        <f t="shared" si="401"/>
        <v>3.8370224705628431</v>
      </c>
      <c r="K61" s="42">
        <f t="shared" si="401"/>
        <v>12123.895266648593</v>
      </c>
      <c r="L61" s="42">
        <f t="shared" si="401"/>
        <v>27435.318011694701</v>
      </c>
      <c r="M61" s="42">
        <f t="shared" si="401"/>
        <v>0.14392862177490903</v>
      </c>
      <c r="N61" s="42">
        <f t="shared" si="401"/>
        <v>2.5950864162312622E-2</v>
      </c>
      <c r="O61" s="42">
        <f t="shared" si="401"/>
        <v>3.5648231525891326E-2</v>
      </c>
      <c r="P61" s="42">
        <f t="shared" si="401"/>
        <v>0.17083023856382387</v>
      </c>
      <c r="Q61" s="42">
        <f t="shared" si="401"/>
        <v>0.54532633364059879</v>
      </c>
      <c r="R61" s="42">
        <f t="shared" si="401"/>
        <v>0</v>
      </c>
      <c r="S61" s="42">
        <f t="shared" si="401"/>
        <v>3.596784100948206E-3</v>
      </c>
      <c r="T61" s="74">
        <f t="shared" si="356"/>
        <v>0.26061875000000001</v>
      </c>
      <c r="U61" s="74">
        <f t="shared" si="357"/>
        <v>8.2481741882980638E-5</v>
      </c>
      <c r="V61" s="74">
        <f t="shared" si="358"/>
        <v>3.6449367912328759E-5</v>
      </c>
      <c r="W61" s="74">
        <f t="shared" si="359"/>
        <v>6.9478883884812497</v>
      </c>
      <c r="X61" s="74">
        <f t="shared" si="360"/>
        <v>38.534362237241375</v>
      </c>
      <c r="Y61" s="74">
        <f t="shared" si="361"/>
        <v>28.05188244117242</v>
      </c>
      <c r="Z61" s="74">
        <f t="shared" si="362"/>
        <v>5.853764581768643</v>
      </c>
      <c r="AA61" s="74">
        <f t="shared" si="363"/>
        <v>1.833764368802804</v>
      </c>
      <c r="AB61" s="74" t="str">
        <f t="shared" si="364"/>
        <v>.</v>
      </c>
      <c r="AC61" s="74">
        <f t="shared" si="365"/>
        <v>278.02614</v>
      </c>
      <c r="AD61" s="42">
        <f t="shared" si="282"/>
        <v>2.7815750937055144E-3</v>
      </c>
      <c r="AE61" s="42">
        <f t="shared" ref="AE61:AN61" si="402">IFERROR(AE18/$B61,0)</f>
        <v>0.19681426588524842</v>
      </c>
      <c r="AF61" s="42">
        <f t="shared" si="402"/>
        <v>0</v>
      </c>
      <c r="AG61" s="42">
        <f t="shared" si="402"/>
        <v>202842.25226760824</v>
      </c>
      <c r="AH61" s="42">
        <f t="shared" si="402"/>
        <v>8.460167491226174E-2</v>
      </c>
      <c r="AI61" s="42">
        <f t="shared" si="402"/>
        <v>4.6747349787559012</v>
      </c>
      <c r="AJ61" s="42">
        <f t="shared" si="402"/>
        <v>6.4215986721122862</v>
      </c>
      <c r="AK61" s="42">
        <f t="shared" si="402"/>
        <v>11.106372912612956</v>
      </c>
      <c r="AL61" s="42">
        <f t="shared" si="402"/>
        <v>32.486038088594199</v>
      </c>
      <c r="AM61" s="42">
        <f t="shared" si="402"/>
        <v>0</v>
      </c>
      <c r="AN61" s="42">
        <f t="shared" si="402"/>
        <v>1.7127543337848598E-2</v>
      </c>
      <c r="AO61" s="74">
        <f t="shared" si="367"/>
        <v>5.0809325000000003</v>
      </c>
      <c r="AP61" s="74" t="str">
        <f t="shared" si="368"/>
        <v>.</v>
      </c>
      <c r="AQ61" s="74">
        <f t="shared" si="369"/>
        <v>4.9299393436073049E-6</v>
      </c>
      <c r="AR61" s="74">
        <f t="shared" si="370"/>
        <v>11.820096954783399</v>
      </c>
      <c r="AS61" s="74">
        <f t="shared" si="371"/>
        <v>0.21391586999999998</v>
      </c>
      <c r="AT61" s="74">
        <f t="shared" si="372"/>
        <v>0.15572446225000003</v>
      </c>
      <c r="AU61" s="74">
        <f t="shared" si="373"/>
        <v>9.003839578125003E-2</v>
      </c>
      <c r="AV61" s="74">
        <f t="shared" si="374"/>
        <v>3.0782454827912628E-2</v>
      </c>
      <c r="AW61" s="74" t="str">
        <f t="shared" si="375"/>
        <v>.</v>
      </c>
      <c r="AX61" s="74">
        <f t="shared" si="376"/>
        <v>58.385489400000004</v>
      </c>
      <c r="AY61" s="42">
        <f t="shared" si="377"/>
        <v>1.3196619005464642E-2</v>
      </c>
      <c r="AZ61" s="42">
        <f>IFERROR(AZ18/$B61,0)</f>
        <v>8.9189278378467556E-3</v>
      </c>
      <c r="BA61" s="42">
        <f>IFERROR(BA18/$B61,0)</f>
        <v>12.545498915587698</v>
      </c>
      <c r="BB61" s="42">
        <f t="shared" si="378"/>
        <v>8.9125916401218749E-3</v>
      </c>
    </row>
    <row r="62" spans="1:54" x14ac:dyDescent="0.25">
      <c r="A62" s="55" t="s">
        <v>1085</v>
      </c>
      <c r="B62" s="3">
        <v>1.339E-6</v>
      </c>
      <c r="C62" s="42">
        <f t="shared" ref="C62:S62" si="403">IFERROR(C27/$B62,0)</f>
        <v>0</v>
      </c>
      <c r="D62" s="42">
        <f t="shared" si="403"/>
        <v>0</v>
      </c>
      <c r="E62" s="42">
        <f t="shared" si="403"/>
        <v>0</v>
      </c>
      <c r="F62" s="42">
        <f t="shared" si="403"/>
        <v>0</v>
      </c>
      <c r="G62" s="42">
        <f t="shared" si="403"/>
        <v>0</v>
      </c>
      <c r="H62" s="42">
        <f t="shared" si="403"/>
        <v>0</v>
      </c>
      <c r="I62" s="42">
        <f t="shared" si="403"/>
        <v>0</v>
      </c>
      <c r="J62" s="42">
        <f t="shared" si="403"/>
        <v>0</v>
      </c>
      <c r="K62" s="42">
        <f t="shared" si="403"/>
        <v>0</v>
      </c>
      <c r="L62" s="42">
        <f t="shared" si="403"/>
        <v>90464932.365645558</v>
      </c>
      <c r="M62" s="42">
        <f t="shared" si="403"/>
        <v>0</v>
      </c>
      <c r="N62" s="42">
        <f t="shared" si="403"/>
        <v>0</v>
      </c>
      <c r="O62" s="42">
        <f t="shared" si="403"/>
        <v>0</v>
      </c>
      <c r="P62" s="42">
        <f t="shared" si="403"/>
        <v>0</v>
      </c>
      <c r="Q62" s="42">
        <f t="shared" si="403"/>
        <v>0</v>
      </c>
      <c r="R62" s="42">
        <f t="shared" si="403"/>
        <v>0</v>
      </c>
      <c r="S62" s="42">
        <f t="shared" si="403"/>
        <v>0</v>
      </c>
      <c r="T62" s="74" t="str">
        <f t="shared" si="356"/>
        <v>.</v>
      </c>
      <c r="U62" s="74" t="str">
        <f t="shared" si="357"/>
        <v>.</v>
      </c>
      <c r="V62" s="74">
        <f t="shared" si="358"/>
        <v>1.1054007048368217E-8</v>
      </c>
      <c r="W62" s="74" t="str">
        <f t="shared" si="359"/>
        <v>.</v>
      </c>
      <c r="X62" s="74" t="str">
        <f t="shared" si="360"/>
        <v>.</v>
      </c>
      <c r="Y62" s="74" t="str">
        <f t="shared" si="361"/>
        <v>.</v>
      </c>
      <c r="Z62" s="74" t="str">
        <f t="shared" si="362"/>
        <v>.</v>
      </c>
      <c r="AA62" s="74" t="str">
        <f t="shared" si="363"/>
        <v>.</v>
      </c>
      <c r="AB62" s="74" t="str">
        <f t="shared" si="364"/>
        <v>.</v>
      </c>
      <c r="AC62" s="74" t="str">
        <f t="shared" si="365"/>
        <v>.</v>
      </c>
      <c r="AD62" s="42">
        <f t="shared" si="282"/>
        <v>90464932.365645558</v>
      </c>
      <c r="AE62" s="42">
        <f t="shared" ref="AE62:AN62" si="404">IFERROR(AE27/$B62,0)</f>
        <v>0</v>
      </c>
      <c r="AF62" s="42">
        <f t="shared" si="404"/>
        <v>0</v>
      </c>
      <c r="AG62" s="42">
        <f t="shared" si="404"/>
        <v>307759558.88249981</v>
      </c>
      <c r="AH62" s="42">
        <f t="shared" si="404"/>
        <v>0</v>
      </c>
      <c r="AI62" s="42">
        <f t="shared" si="404"/>
        <v>0</v>
      </c>
      <c r="AJ62" s="42">
        <f t="shared" si="404"/>
        <v>0</v>
      </c>
      <c r="AK62" s="42">
        <f t="shared" si="404"/>
        <v>0</v>
      </c>
      <c r="AL62" s="42">
        <f t="shared" si="404"/>
        <v>0</v>
      </c>
      <c r="AM62" s="42">
        <f t="shared" si="404"/>
        <v>0</v>
      </c>
      <c r="AN62" s="42">
        <f t="shared" si="404"/>
        <v>0</v>
      </c>
      <c r="AO62" s="74" t="str">
        <f t="shared" si="367"/>
        <v>.</v>
      </c>
      <c r="AP62" s="74" t="str">
        <f t="shared" si="368"/>
        <v>.</v>
      </c>
      <c r="AQ62" s="74">
        <f t="shared" si="369"/>
        <v>3.2492898145262552E-9</v>
      </c>
      <c r="AR62" s="74" t="str">
        <f t="shared" si="370"/>
        <v>.</v>
      </c>
      <c r="AS62" s="74" t="str">
        <f t="shared" si="371"/>
        <v>.</v>
      </c>
      <c r="AT62" s="74" t="str">
        <f t="shared" si="372"/>
        <v>.</v>
      </c>
      <c r="AU62" s="74" t="str">
        <f t="shared" si="373"/>
        <v>.</v>
      </c>
      <c r="AV62" s="74" t="str">
        <f t="shared" si="374"/>
        <v>.</v>
      </c>
      <c r="AW62" s="74" t="str">
        <f t="shared" si="375"/>
        <v>.</v>
      </c>
      <c r="AX62" s="74" t="str">
        <f t="shared" si="376"/>
        <v>.</v>
      </c>
      <c r="AY62" s="42">
        <f t="shared" si="377"/>
        <v>307759558.88249981</v>
      </c>
      <c r="AZ62" s="42">
        <f>IFERROR(AZ27/$B62,0)</f>
        <v>0</v>
      </c>
      <c r="BA62" s="42">
        <f>IFERROR(BA27/$B62,0)</f>
        <v>10502.117293887361</v>
      </c>
      <c r="BB62" s="42">
        <f t="shared" si="378"/>
        <v>10502.117293887361</v>
      </c>
    </row>
    <row r="63" spans="1:54" x14ac:dyDescent="0.25">
      <c r="A63" s="54" t="s">
        <v>23</v>
      </c>
      <c r="B63" s="39" t="s">
        <v>1221</v>
      </c>
      <c r="C63" s="40">
        <f>1/SUM(1/C66,1/C68,1/C72,1/C73,1/C75)</f>
        <v>1.9869312897621806E-4</v>
      </c>
      <c r="D63" s="40">
        <f t="shared" ref="D63:K63" si="405">1/SUM(1/D66,1/D68,1/D72,1/D73,1/D75)</f>
        <v>2.8330214971021002E-3</v>
      </c>
      <c r="E63" s="40">
        <f t="shared" si="405"/>
        <v>5.0267407507455387E-3</v>
      </c>
      <c r="F63" s="40">
        <f t="shared" si="405"/>
        <v>1.857974578639746E-3</v>
      </c>
      <c r="G63" s="40">
        <f t="shared" si="405"/>
        <v>3.8466997452521798E-4</v>
      </c>
      <c r="H63" s="40">
        <f t="shared" si="405"/>
        <v>3.3288341145143881E-3</v>
      </c>
      <c r="I63" s="40">
        <f t="shared" si="405"/>
        <v>3.8924157216276896E-4</v>
      </c>
      <c r="J63" s="40">
        <f t="shared" si="405"/>
        <v>2.4222333800222953</v>
      </c>
      <c r="K63" s="40">
        <f t="shared" si="405"/>
        <v>5215.784665160586</v>
      </c>
      <c r="L63" s="40">
        <f>1/SUM(1/L64,1/L65,1/L66,1/L67,1/L68,1/L69,1/L70,1/L71,1/L72,1/L73,1/L74,1/L75,1/L76)</f>
        <v>0.14874556197622121</v>
      </c>
      <c r="M63" s="40">
        <f t="shared" ref="M63:S63" si="406">1/SUM(1/M66,1/M68,1/M72,1/M73,1/M75)</f>
        <v>2.5210551491650638E-2</v>
      </c>
      <c r="N63" s="40">
        <f>1/SUM(1/N75)</f>
        <v>2.5950864162312622E-2</v>
      </c>
      <c r="O63" s="40">
        <f>1/SUM(1/O75)</f>
        <v>3.5648231525891326E-2</v>
      </c>
      <c r="P63" s="40">
        <f t="shared" si="406"/>
        <v>0.15726317887296523</v>
      </c>
      <c r="Q63" s="40">
        <f t="shared" si="406"/>
        <v>0.34806609512556375</v>
      </c>
      <c r="R63" s="40" t="str">
        <f>IFERROR(1/SUM(1/R64,1/R65,1/R66,1/R67,1/R68,1/R69,1/R70,1/R71,1/R72,1/R73,1/R74,1/R75,1/R76,1/R77),".")</f>
        <v>.</v>
      </c>
      <c r="S63" s="40">
        <f t="shared" si="406"/>
        <v>2.2953602431481177E-3</v>
      </c>
      <c r="T63" s="108"/>
      <c r="U63" s="108"/>
      <c r="V63" s="108"/>
      <c r="W63" s="108"/>
      <c r="X63" s="108"/>
      <c r="Y63" s="108"/>
      <c r="Z63" s="108"/>
      <c r="AA63" s="108"/>
      <c r="AB63" s="108"/>
      <c r="AC63" s="108"/>
      <c r="AD63" s="41">
        <f>1/SUM(1/AD64,1/AD65,1/AD66,1/AD67,1/AD68,1/AD69,1/AD70,1/AD71,1/AD72,1/AD73,1/AD74,1/AD75,1/AD76)</f>
        <v>1.7912115561453926E-3</v>
      </c>
      <c r="AE63" s="40">
        <f>1/SUM(1/AE66,1/AE68,1/AE72,1/AE73,1/AE75)</f>
        <v>0.12424479870765565</v>
      </c>
      <c r="AF63" s="40">
        <f>1/SUM(1/AF64)</f>
        <v>47.157299065696016</v>
      </c>
      <c r="AG63" s="40">
        <f>1/SUM(1/AG64,1/AG65,1/AG66,1/AG67,1/AG68,1/AG69,1/AG70,1/AG71,1/AG72,1/AG73,1/AG74,1/AG75,1/AG76)</f>
        <v>1.0959301967903123</v>
      </c>
      <c r="AH63" s="40">
        <f>1/SUM(1/AH66,1/AH68,1/AH72,1/AH73,1/AH75)</f>
        <v>5.0636703127086631E-2</v>
      </c>
      <c r="AI63" s="40">
        <f>1/SUM(1/AI75)</f>
        <v>4.6747349787559012</v>
      </c>
      <c r="AJ63" s="40">
        <f>1/SUM(1/AJ75)</f>
        <v>6.4215986721122862</v>
      </c>
      <c r="AK63" s="40">
        <f t="shared" ref="AK63:AL63" si="407">1/SUM(1/AK66,1/AK68,1/AK72,1/AK73,1/AK75)</f>
        <v>10.26408749698658</v>
      </c>
      <c r="AL63" s="40">
        <f t="shared" si="407"/>
        <v>21.194565444312946</v>
      </c>
      <c r="AM63" s="40" t="str">
        <f>IFERROR(1/SUM(1/AM64,1/AM65,1/AM66,1/AM67,1/AM68,1/AM69,1/AM70,1/AM71,1/AM72,1/AM73,1/AM74,1/AM75,1/AM76),".")</f>
        <v>.</v>
      </c>
      <c r="AN63" s="40">
        <f>1/SUM(1/AN66,1/AN68,1/AN72,1/AN73,1/AN75)</f>
        <v>1.2187777384773051E-2</v>
      </c>
      <c r="AO63" s="108"/>
      <c r="AP63" s="108"/>
      <c r="AQ63" s="108"/>
      <c r="AR63" s="108"/>
      <c r="AS63" s="108"/>
      <c r="AT63" s="108"/>
      <c r="AU63" s="108"/>
      <c r="AV63" s="108"/>
      <c r="AW63" s="108"/>
      <c r="AX63" s="108"/>
      <c r="AY63" s="41">
        <f>1/SUM(1/AY64,1/AY65,1/AY66,1/AY67,1/AY68,1/AY69,1/AY70,1/AY71,1/AY72,1/AY73,1/AY74,1/AY75,1/AY76)</f>
        <v>8.9851712527090569E-3</v>
      </c>
      <c r="AZ63" s="40">
        <f>1/SUM(1/AZ64,1/AZ65,1/AZ66,1/AZ68,1/AZ72,1/AZ73,1/AZ75)</f>
        <v>3.8356349072236119E-3</v>
      </c>
      <c r="BA63" s="40">
        <f t="shared" ref="BA63:BB63" si="408">1/SUM(1/BA64,1/BA65,1/BA66,1/BA67,1/BA68,1/BA69,1/BA70,1/BA71,1/BA72,1/BA73,1/BA74,1/BA75,1/BA76)</f>
        <v>6.7626925980444143E-5</v>
      </c>
      <c r="BB63" s="41">
        <f t="shared" si="408"/>
        <v>6.6455238988129227E-5</v>
      </c>
    </row>
    <row r="64" spans="1:54" x14ac:dyDescent="0.25">
      <c r="A64" s="55" t="s">
        <v>1075</v>
      </c>
      <c r="B64" s="3">
        <v>1</v>
      </c>
      <c r="C64" s="42">
        <f t="shared" ref="C64:S64" si="409">IFERROR(C25/$B50,0)</f>
        <v>0</v>
      </c>
      <c r="D64" s="42">
        <f t="shared" si="409"/>
        <v>0</v>
      </c>
      <c r="E64" s="42">
        <f t="shared" si="409"/>
        <v>0</v>
      </c>
      <c r="F64" s="42">
        <f t="shared" si="409"/>
        <v>0</v>
      </c>
      <c r="G64" s="42">
        <f t="shared" si="409"/>
        <v>0</v>
      </c>
      <c r="H64" s="42">
        <f t="shared" si="409"/>
        <v>0</v>
      </c>
      <c r="I64" s="42">
        <f t="shared" si="409"/>
        <v>0</v>
      </c>
      <c r="J64" s="42">
        <f t="shared" si="409"/>
        <v>0</v>
      </c>
      <c r="K64" s="42">
        <f t="shared" si="409"/>
        <v>32051506.936990399</v>
      </c>
      <c r="L64" s="42">
        <f t="shared" si="409"/>
        <v>726.79526662559624</v>
      </c>
      <c r="M64" s="42">
        <f t="shared" si="409"/>
        <v>0</v>
      </c>
      <c r="N64" s="42">
        <f t="shared" si="409"/>
        <v>0</v>
      </c>
      <c r="O64" s="42">
        <f t="shared" si="409"/>
        <v>0</v>
      </c>
      <c r="P64" s="42">
        <f t="shared" si="409"/>
        <v>0</v>
      </c>
      <c r="Q64" s="42">
        <f t="shared" si="409"/>
        <v>0</v>
      </c>
      <c r="R64" s="42">
        <f t="shared" si="409"/>
        <v>0</v>
      </c>
      <c r="S64" s="42">
        <f t="shared" si="409"/>
        <v>0</v>
      </c>
      <c r="T64" s="74" t="str">
        <f t="shared" ref="T64:T76" si="410">IFERROR(1/J64,".")</f>
        <v>.</v>
      </c>
      <c r="U64" s="74">
        <f t="shared" ref="U64:U76" si="411">IFERROR(1/K64,".")</f>
        <v>3.1199781088792043E-8</v>
      </c>
      <c r="V64" s="74">
        <f t="shared" ref="V64:V76" si="412">IFERROR(1/L64,".")</f>
        <v>1.3759032920547946E-3</v>
      </c>
      <c r="W64" s="74" t="str">
        <f t="shared" ref="W64:W76" si="413">IFERROR(1/M64,".")</f>
        <v>.</v>
      </c>
      <c r="X64" s="74" t="str">
        <f t="shared" ref="X64:X76" si="414">IFERROR(1/N64,".")</f>
        <v>.</v>
      </c>
      <c r="Y64" s="74" t="str">
        <f t="shared" ref="Y64:Y76" si="415">IFERROR(1/O64,".")</f>
        <v>.</v>
      </c>
      <c r="Z64" s="74" t="str">
        <f t="shared" ref="Z64:Z76" si="416">IFERROR(1/P64,".")</f>
        <v>.</v>
      </c>
      <c r="AA64" s="74" t="str">
        <f t="shared" ref="AA64:AA76" si="417">IFERROR(1/Q64,".")</f>
        <v>.</v>
      </c>
      <c r="AB64" s="74" t="str">
        <f t="shared" ref="AB64:AB76" si="418">IFERROR(1/R64,".")</f>
        <v>.</v>
      </c>
      <c r="AC64" s="74" t="str">
        <f t="shared" ref="AC64:AC76" si="419">IFERROR(1/S64,".")</f>
        <v>.</v>
      </c>
      <c r="AD64" s="42">
        <f t="shared" si="282"/>
        <v>726.77878629651832</v>
      </c>
      <c r="AE64" s="42">
        <f t="shared" ref="AE64:AN64" si="420">IFERROR(AE25/$B50,0)</f>
        <v>0</v>
      </c>
      <c r="AF64" s="42">
        <f t="shared" si="420"/>
        <v>47.157299065696016</v>
      </c>
      <c r="AG64" s="42">
        <f t="shared" si="420"/>
        <v>5205.9248254851573</v>
      </c>
      <c r="AH64" s="42">
        <f t="shared" si="420"/>
        <v>0</v>
      </c>
      <c r="AI64" s="42">
        <f t="shared" si="420"/>
        <v>0</v>
      </c>
      <c r="AJ64" s="42">
        <f t="shared" si="420"/>
        <v>0</v>
      </c>
      <c r="AK64" s="42">
        <f t="shared" si="420"/>
        <v>0</v>
      </c>
      <c r="AL64" s="42">
        <f t="shared" si="420"/>
        <v>0</v>
      </c>
      <c r="AM64" s="42">
        <f t="shared" si="420"/>
        <v>0</v>
      </c>
      <c r="AN64" s="42">
        <f t="shared" si="420"/>
        <v>0</v>
      </c>
      <c r="AO64" s="74" t="str">
        <f t="shared" ref="AO64:AO76" si="421">IFERROR(1/AE64,".")</f>
        <v>.</v>
      </c>
      <c r="AP64" s="74">
        <f t="shared" ref="AP64:AP76" si="422">IFERROR(1/AF64,".")</f>
        <v>2.1205624999999999E-2</v>
      </c>
      <c r="AQ64" s="74">
        <f t="shared" ref="AQ64:AQ76" si="423">IFERROR(1/AG64,".")</f>
        <v>1.9208882831050231E-4</v>
      </c>
      <c r="AR64" s="74" t="str">
        <f t="shared" ref="AR64:AR76" si="424">IFERROR(1/AH64,".")</f>
        <v>.</v>
      </c>
      <c r="AS64" s="74" t="str">
        <f t="shared" ref="AS64:AS76" si="425">IFERROR(1/AI64,".")</f>
        <v>.</v>
      </c>
      <c r="AT64" s="74" t="str">
        <f t="shared" ref="AT64:AT76" si="426">IFERROR(1/AJ64,".")</f>
        <v>.</v>
      </c>
      <c r="AU64" s="74" t="str">
        <f t="shared" ref="AU64:AU76" si="427">IFERROR(1/AK64,".")</f>
        <v>.</v>
      </c>
      <c r="AV64" s="74" t="str">
        <f t="shared" ref="AV64:AV76" si="428">IFERROR(1/AL64,".")</f>
        <v>.</v>
      </c>
      <c r="AW64" s="74" t="str">
        <f t="shared" ref="AW64:AW76" si="429">IFERROR(1/AM64,".")</f>
        <v>.</v>
      </c>
      <c r="AX64" s="74" t="str">
        <f t="shared" ref="AX64:AX76" si="430">IFERROR(1/AN64,".")</f>
        <v>.</v>
      </c>
      <c r="AY64" s="42">
        <f t="shared" ref="AY64:AY76" si="431">IFERROR(1/(SUMIF(AO64:AX64,"&lt;&gt;0")),".")</f>
        <v>46.733964573212397</v>
      </c>
      <c r="AZ64" s="42">
        <f>IFERROR(AZ25/$B50,0)</f>
        <v>23.578649532848008</v>
      </c>
      <c r="BA64" s="42">
        <f>IFERROR(BA25/$B50,0)</f>
        <v>0.32270213973621537</v>
      </c>
      <c r="BB64" s="42">
        <f t="shared" ref="BB64:BB76" si="432">IFERROR(IF(AND(AZ64&lt;&gt;0,BA64&lt;&gt;0),1/((1/AZ64)+(1/BA64)),IF(AND(AZ64&lt;&gt;0,BA64=0),1/((1/AZ64)),IF(AND(AZ64=0,BA64&lt;&gt;0),1/((1/BA64)),IF(AND(AZ64=0,BA64=0),0)))),0)</f>
        <v>0.3183452032576069</v>
      </c>
    </row>
    <row r="65" spans="1:54" x14ac:dyDescent="0.25">
      <c r="A65" s="55" t="s">
        <v>1061</v>
      </c>
      <c r="B65" s="3">
        <v>1</v>
      </c>
      <c r="C65" s="42">
        <f t="shared" ref="C65:S65" si="433">IFERROR(C21/$B51,0)</f>
        <v>0</v>
      </c>
      <c r="D65" s="42">
        <f t="shared" si="433"/>
        <v>0</v>
      </c>
      <c r="E65" s="42">
        <f t="shared" si="433"/>
        <v>0</v>
      </c>
      <c r="F65" s="42">
        <f t="shared" si="433"/>
        <v>0</v>
      </c>
      <c r="G65" s="42">
        <f t="shared" si="433"/>
        <v>0</v>
      </c>
      <c r="H65" s="42">
        <f t="shared" si="433"/>
        <v>0</v>
      </c>
      <c r="I65" s="42">
        <f t="shared" si="433"/>
        <v>0</v>
      </c>
      <c r="J65" s="42">
        <f t="shared" si="433"/>
        <v>0</v>
      </c>
      <c r="K65" s="42">
        <f t="shared" si="433"/>
        <v>27550836.015392002</v>
      </c>
      <c r="L65" s="42">
        <f t="shared" si="433"/>
        <v>186357760.67322987</v>
      </c>
      <c r="M65" s="42">
        <f t="shared" si="433"/>
        <v>0</v>
      </c>
      <c r="N65" s="42">
        <f t="shared" si="433"/>
        <v>0</v>
      </c>
      <c r="O65" s="42">
        <f t="shared" si="433"/>
        <v>0</v>
      </c>
      <c r="P65" s="42">
        <f t="shared" si="433"/>
        <v>0</v>
      </c>
      <c r="Q65" s="42">
        <f t="shared" si="433"/>
        <v>0</v>
      </c>
      <c r="R65" s="42">
        <f t="shared" si="433"/>
        <v>0</v>
      </c>
      <c r="S65" s="42">
        <f t="shared" si="433"/>
        <v>0</v>
      </c>
      <c r="T65" s="74" t="str">
        <f t="shared" si="410"/>
        <v>.</v>
      </c>
      <c r="U65" s="74">
        <f t="shared" si="411"/>
        <v>3.6296539220854265E-8</v>
      </c>
      <c r="V65" s="74">
        <f t="shared" si="412"/>
        <v>5.366022839013697E-9</v>
      </c>
      <c r="W65" s="74" t="str">
        <f t="shared" si="413"/>
        <v>.</v>
      </c>
      <c r="X65" s="74" t="str">
        <f t="shared" si="414"/>
        <v>.</v>
      </c>
      <c r="Y65" s="74" t="str">
        <f t="shared" si="415"/>
        <v>.</v>
      </c>
      <c r="Z65" s="74" t="str">
        <f t="shared" si="416"/>
        <v>.</v>
      </c>
      <c r="AA65" s="74" t="str">
        <f t="shared" si="417"/>
        <v>.</v>
      </c>
      <c r="AB65" s="74" t="str">
        <f t="shared" si="418"/>
        <v>.</v>
      </c>
      <c r="AC65" s="74" t="str">
        <f t="shared" si="419"/>
        <v>.</v>
      </c>
      <c r="AD65" s="42">
        <f t="shared" si="282"/>
        <v>24002364.486442942</v>
      </c>
      <c r="AE65" s="42">
        <f t="shared" ref="AE65:AN65" si="434">IFERROR(AE21/$B51,0)</f>
        <v>0</v>
      </c>
      <c r="AF65" s="42">
        <f t="shared" si="434"/>
        <v>0</v>
      </c>
      <c r="AG65" s="42">
        <f t="shared" si="434"/>
        <v>68441529.174210474</v>
      </c>
      <c r="AH65" s="42">
        <f t="shared" si="434"/>
        <v>0</v>
      </c>
      <c r="AI65" s="42">
        <f t="shared" si="434"/>
        <v>0</v>
      </c>
      <c r="AJ65" s="42">
        <f t="shared" si="434"/>
        <v>0</v>
      </c>
      <c r="AK65" s="42">
        <f t="shared" si="434"/>
        <v>0</v>
      </c>
      <c r="AL65" s="42">
        <f t="shared" si="434"/>
        <v>0</v>
      </c>
      <c r="AM65" s="42">
        <f t="shared" si="434"/>
        <v>0</v>
      </c>
      <c r="AN65" s="42">
        <f t="shared" si="434"/>
        <v>0</v>
      </c>
      <c r="AO65" s="74" t="str">
        <f t="shared" si="421"/>
        <v>.</v>
      </c>
      <c r="AP65" s="74" t="str">
        <f t="shared" si="422"/>
        <v>.</v>
      </c>
      <c r="AQ65" s="74">
        <f t="shared" si="423"/>
        <v>1.4611011940639267E-8</v>
      </c>
      <c r="AR65" s="74" t="str">
        <f t="shared" si="424"/>
        <v>.</v>
      </c>
      <c r="AS65" s="74" t="str">
        <f t="shared" si="425"/>
        <v>.</v>
      </c>
      <c r="AT65" s="74" t="str">
        <f t="shared" si="426"/>
        <v>.</v>
      </c>
      <c r="AU65" s="74" t="str">
        <f t="shared" si="427"/>
        <v>.</v>
      </c>
      <c r="AV65" s="74" t="str">
        <f t="shared" si="428"/>
        <v>.</v>
      </c>
      <c r="AW65" s="74" t="str">
        <f t="shared" si="429"/>
        <v>.</v>
      </c>
      <c r="AX65" s="74" t="str">
        <f t="shared" si="430"/>
        <v>.</v>
      </c>
      <c r="AY65" s="42">
        <f t="shared" si="431"/>
        <v>68441529.174210474</v>
      </c>
      <c r="AZ65" s="42">
        <f>IFERROR(AZ21/$B51,0)</f>
        <v>20.267736803169875</v>
      </c>
      <c r="BA65" s="42">
        <f>IFERROR(BA21/$B51,0)</f>
        <v>2130.8194723040174</v>
      </c>
      <c r="BB65" s="42">
        <f t="shared" si="432"/>
        <v>20.076772367426209</v>
      </c>
    </row>
    <row r="66" spans="1:54" x14ac:dyDescent="0.25">
      <c r="A66" s="55" t="s">
        <v>1062</v>
      </c>
      <c r="B66" s="3">
        <v>0.99980000000000002</v>
      </c>
      <c r="C66" s="42">
        <f t="shared" ref="C66:S66" si="435">IFERROR(C17/$B52,0)</f>
        <v>2.7684268119516235</v>
      </c>
      <c r="D66" s="42">
        <f t="shared" si="435"/>
        <v>39.472993916923642</v>
      </c>
      <c r="E66" s="42">
        <f t="shared" si="435"/>
        <v>70.03847562720415</v>
      </c>
      <c r="F66" s="42">
        <f t="shared" si="435"/>
        <v>25.887491258172535</v>
      </c>
      <c r="G66" s="42">
        <f t="shared" si="435"/>
        <v>5.3596753783862585</v>
      </c>
      <c r="H66" s="42">
        <f t="shared" si="435"/>
        <v>46.381239565983726</v>
      </c>
      <c r="I66" s="42">
        <f t="shared" si="435"/>
        <v>5.4233722638219186</v>
      </c>
      <c r="J66" s="42">
        <f t="shared" si="435"/>
        <v>33749.409798969726</v>
      </c>
      <c r="K66" s="42">
        <f t="shared" si="435"/>
        <v>4505994.9852049174</v>
      </c>
      <c r="L66" s="42">
        <f t="shared" si="435"/>
        <v>1.2313704998847912</v>
      </c>
      <c r="M66" s="42">
        <f t="shared" si="435"/>
        <v>158.45001142028727</v>
      </c>
      <c r="N66" s="42">
        <f t="shared" si="435"/>
        <v>0</v>
      </c>
      <c r="O66" s="42">
        <f t="shared" si="435"/>
        <v>0</v>
      </c>
      <c r="P66" s="42">
        <f t="shared" si="435"/>
        <v>10297.653958021852</v>
      </c>
      <c r="Q66" s="42">
        <f t="shared" si="435"/>
        <v>5069.2205259220209</v>
      </c>
      <c r="R66" s="42">
        <f t="shared" si="435"/>
        <v>0</v>
      </c>
      <c r="S66" s="42">
        <f t="shared" si="435"/>
        <v>32.540233582931506</v>
      </c>
      <c r="T66" s="74">
        <f t="shared" si="410"/>
        <v>2.9630147784999996E-5</v>
      </c>
      <c r="U66" s="74">
        <f t="shared" si="411"/>
        <v>2.2192656744701713E-7</v>
      </c>
      <c r="V66" s="74">
        <f t="shared" si="412"/>
        <v>0.81210326225418061</v>
      </c>
      <c r="W66" s="74">
        <f t="shared" si="413"/>
        <v>6.3111387057430291E-3</v>
      </c>
      <c r="X66" s="74" t="str">
        <f t="shared" si="414"/>
        <v>.</v>
      </c>
      <c r="Y66" s="74" t="str">
        <f t="shared" si="415"/>
        <v>.</v>
      </c>
      <c r="Z66" s="74">
        <f t="shared" si="416"/>
        <v>9.7109497374496835E-5</v>
      </c>
      <c r="AA66" s="74">
        <f t="shared" si="417"/>
        <v>1.9726898738896625E-4</v>
      </c>
      <c r="AB66" s="74" t="str">
        <f t="shared" si="418"/>
        <v>.</v>
      </c>
      <c r="AC66" s="74">
        <f t="shared" si="419"/>
        <v>3.0731186899793341E-2</v>
      </c>
      <c r="AD66" s="42">
        <f t="shared" si="282"/>
        <v>1.1772048615704294</v>
      </c>
      <c r="AE66" s="42">
        <f t="shared" ref="AE66:AN66" si="436">IFERROR(AE17/$B52,0)</f>
        <v>1731.1249450854227</v>
      </c>
      <c r="AF66" s="42">
        <f t="shared" si="436"/>
        <v>0</v>
      </c>
      <c r="AG66" s="42">
        <f t="shared" si="436"/>
        <v>8.1237315279753837</v>
      </c>
      <c r="AH66" s="42">
        <f t="shared" si="436"/>
        <v>648.8412883445169</v>
      </c>
      <c r="AI66" s="42">
        <f t="shared" si="436"/>
        <v>0</v>
      </c>
      <c r="AJ66" s="42">
        <f t="shared" si="436"/>
        <v>0</v>
      </c>
      <c r="AK66" s="42">
        <f t="shared" si="436"/>
        <v>697776.04469467746</v>
      </c>
      <c r="AL66" s="42">
        <f t="shared" si="436"/>
        <v>315816.11211314914</v>
      </c>
      <c r="AM66" s="42">
        <f t="shared" si="436"/>
        <v>0</v>
      </c>
      <c r="AN66" s="42">
        <f t="shared" si="436"/>
        <v>216.93489055287671</v>
      </c>
      <c r="AO66" s="74">
        <f t="shared" si="421"/>
        <v>5.77659055078E-4</v>
      </c>
      <c r="AP66" s="74" t="str">
        <f t="shared" si="422"/>
        <v>.</v>
      </c>
      <c r="AQ66" s="74">
        <f t="shared" si="423"/>
        <v>0.12309614080134705</v>
      </c>
      <c r="AR66" s="74">
        <f t="shared" si="424"/>
        <v>1.5412089488809279E-3</v>
      </c>
      <c r="AS66" s="74" t="str">
        <f t="shared" si="425"/>
        <v>.</v>
      </c>
      <c r="AT66" s="74" t="str">
        <f t="shared" si="426"/>
        <v>.</v>
      </c>
      <c r="AU66" s="74">
        <f t="shared" si="427"/>
        <v>1.4331245785853329E-6</v>
      </c>
      <c r="AV66" s="74">
        <f t="shared" si="428"/>
        <v>3.1663995649522929E-6</v>
      </c>
      <c r="AW66" s="74" t="str">
        <f t="shared" si="429"/>
        <v>.</v>
      </c>
      <c r="AX66" s="74">
        <f t="shared" si="430"/>
        <v>4.6096780349690007E-3</v>
      </c>
      <c r="AY66" s="42">
        <f t="shared" si="431"/>
        <v>7.7024223732778943</v>
      </c>
      <c r="AZ66" s="42">
        <f>IFERROR(AZ17/$B52,0)</f>
        <v>3.3148293701691931</v>
      </c>
      <c r="BA66" s="42">
        <f>IFERROR(BA17/$B52,0)</f>
        <v>5.030507919094202E-4</v>
      </c>
      <c r="BB66" s="42">
        <f t="shared" si="432"/>
        <v>5.0297446167549232E-4</v>
      </c>
    </row>
    <row r="67" spans="1:54" x14ac:dyDescent="0.25">
      <c r="A67" s="55" t="s">
        <v>1076</v>
      </c>
      <c r="B67" s="3">
        <v>2.0000000000000001E-4</v>
      </c>
      <c r="C67" s="42">
        <f t="shared" ref="C67:S67" si="437">IFERROR(C5/$B53,0)</f>
        <v>0</v>
      </c>
      <c r="D67" s="42">
        <f t="shared" si="437"/>
        <v>0</v>
      </c>
      <c r="E67" s="42">
        <f t="shared" si="437"/>
        <v>0</v>
      </c>
      <c r="F67" s="42">
        <f t="shared" si="437"/>
        <v>0</v>
      </c>
      <c r="G67" s="42">
        <f t="shared" si="437"/>
        <v>0</v>
      </c>
      <c r="H67" s="42">
        <f t="shared" si="437"/>
        <v>0</v>
      </c>
      <c r="I67" s="42">
        <f t="shared" si="437"/>
        <v>0</v>
      </c>
      <c r="J67" s="42">
        <f t="shared" si="437"/>
        <v>0</v>
      </c>
      <c r="K67" s="42">
        <f t="shared" si="437"/>
        <v>0</v>
      </c>
      <c r="L67" s="42">
        <f t="shared" si="437"/>
        <v>154464318.41036165</v>
      </c>
      <c r="M67" s="42">
        <f t="shared" si="437"/>
        <v>0</v>
      </c>
      <c r="N67" s="42">
        <f t="shared" si="437"/>
        <v>0</v>
      </c>
      <c r="O67" s="42">
        <f t="shared" si="437"/>
        <v>0</v>
      </c>
      <c r="P67" s="42">
        <f t="shared" si="437"/>
        <v>0</v>
      </c>
      <c r="Q67" s="42">
        <f t="shared" si="437"/>
        <v>0</v>
      </c>
      <c r="R67" s="42">
        <f t="shared" si="437"/>
        <v>0</v>
      </c>
      <c r="S67" s="42">
        <f t="shared" si="437"/>
        <v>0</v>
      </c>
      <c r="T67" s="74" t="str">
        <f t="shared" si="410"/>
        <v>.</v>
      </c>
      <c r="U67" s="74" t="str">
        <f t="shared" si="411"/>
        <v>.</v>
      </c>
      <c r="V67" s="74">
        <f t="shared" si="412"/>
        <v>6.4739870689315054E-9</v>
      </c>
      <c r="W67" s="74" t="str">
        <f t="shared" si="413"/>
        <v>.</v>
      </c>
      <c r="X67" s="74" t="str">
        <f t="shared" si="414"/>
        <v>.</v>
      </c>
      <c r="Y67" s="74" t="str">
        <f t="shared" si="415"/>
        <v>.</v>
      </c>
      <c r="Z67" s="74" t="str">
        <f t="shared" si="416"/>
        <v>.</v>
      </c>
      <c r="AA67" s="74" t="str">
        <f t="shared" si="417"/>
        <v>.</v>
      </c>
      <c r="AB67" s="74" t="str">
        <f t="shared" si="418"/>
        <v>.</v>
      </c>
      <c r="AC67" s="74" t="str">
        <f t="shared" si="419"/>
        <v>.</v>
      </c>
      <c r="AD67" s="42">
        <f t="shared" si="282"/>
        <v>154464318.41036165</v>
      </c>
      <c r="AE67" s="42">
        <f t="shared" ref="AE67:AN67" si="438">IFERROR(AE5/$B53,0)</f>
        <v>0</v>
      </c>
      <c r="AF67" s="42">
        <f t="shared" si="438"/>
        <v>0</v>
      </c>
      <c r="AG67" s="42">
        <f t="shared" si="438"/>
        <v>782971093.75296772</v>
      </c>
      <c r="AH67" s="42">
        <f t="shared" si="438"/>
        <v>0</v>
      </c>
      <c r="AI67" s="42">
        <f t="shared" si="438"/>
        <v>0</v>
      </c>
      <c r="AJ67" s="42">
        <f t="shared" si="438"/>
        <v>0</v>
      </c>
      <c r="AK67" s="42">
        <f t="shared" si="438"/>
        <v>0</v>
      </c>
      <c r="AL67" s="42">
        <f t="shared" si="438"/>
        <v>0</v>
      </c>
      <c r="AM67" s="42">
        <f t="shared" si="438"/>
        <v>0</v>
      </c>
      <c r="AN67" s="42">
        <f t="shared" si="438"/>
        <v>0</v>
      </c>
      <c r="AO67" s="74" t="str">
        <f t="shared" si="421"/>
        <v>.</v>
      </c>
      <c r="AP67" s="74" t="str">
        <f t="shared" si="422"/>
        <v>.</v>
      </c>
      <c r="AQ67" s="74">
        <f t="shared" si="423"/>
        <v>1.2771863584474886E-9</v>
      </c>
      <c r="AR67" s="74" t="str">
        <f t="shared" si="424"/>
        <v>.</v>
      </c>
      <c r="AS67" s="74" t="str">
        <f t="shared" si="425"/>
        <v>.</v>
      </c>
      <c r="AT67" s="74" t="str">
        <f t="shared" si="426"/>
        <v>.</v>
      </c>
      <c r="AU67" s="74" t="str">
        <f t="shared" si="427"/>
        <v>.</v>
      </c>
      <c r="AV67" s="74" t="str">
        <f t="shared" si="428"/>
        <v>.</v>
      </c>
      <c r="AW67" s="74" t="str">
        <f t="shared" si="429"/>
        <v>.</v>
      </c>
      <c r="AX67" s="74" t="str">
        <f t="shared" si="430"/>
        <v>.</v>
      </c>
      <c r="AY67" s="42">
        <f t="shared" si="431"/>
        <v>782971093.75296772</v>
      </c>
      <c r="AZ67" s="42">
        <f>IFERROR(AZ5/$B53,0)</f>
        <v>0</v>
      </c>
      <c r="BA67" s="42">
        <f>IFERROR(BA5/$B53,0)</f>
        <v>28483.403150186354</v>
      </c>
      <c r="BB67" s="42">
        <f t="shared" si="432"/>
        <v>28483.403150186354</v>
      </c>
    </row>
    <row r="68" spans="1:54" x14ac:dyDescent="0.25">
      <c r="A68" s="55" t="s">
        <v>1077</v>
      </c>
      <c r="B68" s="3">
        <v>0.99999979999999999</v>
      </c>
      <c r="C68" s="42">
        <f t="shared" ref="C68:S68" si="439">IFERROR(C9/$B54,0)</f>
        <v>3.6966903513599321</v>
      </c>
      <c r="D68" s="42">
        <f t="shared" si="439"/>
        <v>52.708431778665634</v>
      </c>
      <c r="E68" s="42">
        <f t="shared" si="439"/>
        <v>93.522630237973445</v>
      </c>
      <c r="F68" s="42">
        <f t="shared" si="439"/>
        <v>34.567660861345992</v>
      </c>
      <c r="G68" s="42">
        <f t="shared" si="439"/>
        <v>7.1567939496058086</v>
      </c>
      <c r="H68" s="42">
        <f t="shared" si="439"/>
        <v>61.933037220809027</v>
      </c>
      <c r="I68" s="42">
        <f t="shared" si="439"/>
        <v>7.2418486314869188</v>
      </c>
      <c r="J68" s="42">
        <f t="shared" si="439"/>
        <v>45065.709170759117</v>
      </c>
      <c r="K68" s="42">
        <f t="shared" si="439"/>
        <v>5735994.8749937043</v>
      </c>
      <c r="L68" s="42">
        <f t="shared" si="439"/>
        <v>0.16943696721115209</v>
      </c>
      <c r="M68" s="42">
        <f t="shared" si="439"/>
        <v>36.669904802591915</v>
      </c>
      <c r="N68" s="42">
        <f t="shared" si="439"/>
        <v>0</v>
      </c>
      <c r="O68" s="42">
        <f t="shared" si="439"/>
        <v>0</v>
      </c>
      <c r="P68" s="42">
        <f t="shared" si="439"/>
        <v>1852.9970979011516</v>
      </c>
      <c r="Q68" s="42">
        <f t="shared" si="439"/>
        <v>471.77585715801479</v>
      </c>
      <c r="R68" s="42">
        <f t="shared" si="439"/>
        <v>0</v>
      </c>
      <c r="S68" s="42">
        <f t="shared" si="439"/>
        <v>231.7391562075814</v>
      </c>
      <c r="T68" s="74">
        <f t="shared" si="410"/>
        <v>2.2189820562035001E-5</v>
      </c>
      <c r="U68" s="74">
        <f t="shared" si="411"/>
        <v>1.7433767320112844E-7</v>
      </c>
      <c r="V68" s="74">
        <f t="shared" si="412"/>
        <v>5.9018997829074777</v>
      </c>
      <c r="W68" s="74">
        <f t="shared" si="413"/>
        <v>2.7270318954559097E-2</v>
      </c>
      <c r="X68" s="74" t="str">
        <f t="shared" si="414"/>
        <v>.</v>
      </c>
      <c r="Y68" s="74" t="str">
        <f t="shared" si="415"/>
        <v>.</v>
      </c>
      <c r="Z68" s="74">
        <f t="shared" si="416"/>
        <v>5.3966625265235309E-4</v>
      </c>
      <c r="AA68" s="74">
        <f t="shared" si="417"/>
        <v>2.1196506451686948E-3</v>
      </c>
      <c r="AB68" s="74" t="str">
        <f t="shared" si="418"/>
        <v>.</v>
      </c>
      <c r="AC68" s="74">
        <f t="shared" si="419"/>
        <v>4.3151965182105243E-3</v>
      </c>
      <c r="AD68" s="42">
        <f t="shared" si="282"/>
        <v>0.16845887311865335</v>
      </c>
      <c r="AE68" s="42">
        <f t="shared" ref="AE68:AN68" si="440">IFERROR(AE9/$B54,0)</f>
        <v>2311.5774106321583</v>
      </c>
      <c r="AF68" s="42">
        <f t="shared" si="440"/>
        <v>0</v>
      </c>
      <c r="AG68" s="42">
        <f t="shared" si="440"/>
        <v>1.2710572245896394</v>
      </c>
      <c r="AH68" s="42">
        <f t="shared" si="440"/>
        <v>510.18679881611985</v>
      </c>
      <c r="AI68" s="42">
        <f t="shared" si="440"/>
        <v>0</v>
      </c>
      <c r="AJ68" s="42">
        <f t="shared" si="440"/>
        <v>0</v>
      </c>
      <c r="AK68" s="42">
        <f t="shared" si="440"/>
        <v>326110.00812590559</v>
      </c>
      <c r="AL68" s="42">
        <f t="shared" si="440"/>
        <v>80124.975740151989</v>
      </c>
      <c r="AM68" s="42">
        <f t="shared" si="440"/>
        <v>0</v>
      </c>
      <c r="AN68" s="42">
        <f t="shared" si="440"/>
        <v>482.78990876579462</v>
      </c>
      <c r="AO68" s="74">
        <f t="shared" si="421"/>
        <v>4.3260502347897801E-4</v>
      </c>
      <c r="AP68" s="74" t="str">
        <f t="shared" si="422"/>
        <v>.</v>
      </c>
      <c r="AQ68" s="74">
        <f t="shared" si="423"/>
        <v>0.78674663945429346</v>
      </c>
      <c r="AR68" s="74">
        <f t="shared" si="424"/>
        <v>1.9600663959171106E-3</v>
      </c>
      <c r="AS68" s="74" t="str">
        <f t="shared" si="425"/>
        <v>.</v>
      </c>
      <c r="AT68" s="74" t="str">
        <f t="shared" si="426"/>
        <v>.</v>
      </c>
      <c r="AU68" s="74">
        <f t="shared" si="427"/>
        <v>3.066449894459899E-6</v>
      </c>
      <c r="AV68" s="74">
        <f t="shared" si="428"/>
        <v>1.2480502998753271E-5</v>
      </c>
      <c r="AW68" s="74" t="str">
        <f t="shared" si="429"/>
        <v>.</v>
      </c>
      <c r="AX68" s="74">
        <f t="shared" si="430"/>
        <v>2.0712943287410513E-3</v>
      </c>
      <c r="AY68" s="42">
        <f t="shared" si="431"/>
        <v>1.2638611568588449</v>
      </c>
      <c r="AZ68" s="42">
        <f>IFERROR(AZ9/$B54,0)</f>
        <v>4.2196771947593303</v>
      </c>
      <c r="BA68" s="42">
        <f>IFERROR(BA9/$B54,0)</f>
        <v>7.8519664331732093E-5</v>
      </c>
      <c r="BB68" s="42">
        <f t="shared" si="432"/>
        <v>7.8518203266660092E-5</v>
      </c>
    </row>
    <row r="69" spans="1:54" x14ac:dyDescent="0.25">
      <c r="A69" s="55" t="s">
        <v>1078</v>
      </c>
      <c r="B69" s="3">
        <v>1.9999999999999999E-7</v>
      </c>
      <c r="C69" s="42">
        <f t="shared" ref="C69:S69" si="441">IFERROR(C24/$B55,0)</f>
        <v>0</v>
      </c>
      <c r="D69" s="42">
        <f t="shared" si="441"/>
        <v>0</v>
      </c>
      <c r="E69" s="42">
        <f t="shared" si="441"/>
        <v>0</v>
      </c>
      <c r="F69" s="42">
        <f t="shared" si="441"/>
        <v>0</v>
      </c>
      <c r="G69" s="42">
        <f t="shared" si="441"/>
        <v>0</v>
      </c>
      <c r="H69" s="42">
        <f t="shared" si="441"/>
        <v>0</v>
      </c>
      <c r="I69" s="42">
        <f t="shared" si="441"/>
        <v>0</v>
      </c>
      <c r="J69" s="42">
        <f t="shared" si="441"/>
        <v>0</v>
      </c>
      <c r="K69" s="42">
        <f t="shared" si="441"/>
        <v>0</v>
      </c>
      <c r="L69" s="42">
        <f t="shared" si="441"/>
        <v>1816988166.5639906</v>
      </c>
      <c r="M69" s="42">
        <f t="shared" si="441"/>
        <v>0</v>
      </c>
      <c r="N69" s="42">
        <f t="shared" si="441"/>
        <v>0</v>
      </c>
      <c r="O69" s="42">
        <f t="shared" si="441"/>
        <v>0</v>
      </c>
      <c r="P69" s="42">
        <f t="shared" si="441"/>
        <v>0</v>
      </c>
      <c r="Q69" s="42">
        <f t="shared" si="441"/>
        <v>0</v>
      </c>
      <c r="R69" s="42">
        <f t="shared" si="441"/>
        <v>0</v>
      </c>
      <c r="S69" s="42">
        <f t="shared" si="441"/>
        <v>0</v>
      </c>
      <c r="T69" s="74" t="str">
        <f t="shared" si="410"/>
        <v>.</v>
      </c>
      <c r="U69" s="74" t="str">
        <f t="shared" si="411"/>
        <v>.</v>
      </c>
      <c r="V69" s="74">
        <f t="shared" si="412"/>
        <v>5.5036131682191784E-10</v>
      </c>
      <c r="W69" s="74" t="str">
        <f t="shared" si="413"/>
        <v>.</v>
      </c>
      <c r="X69" s="74" t="str">
        <f t="shared" si="414"/>
        <v>.</v>
      </c>
      <c r="Y69" s="74" t="str">
        <f t="shared" si="415"/>
        <v>.</v>
      </c>
      <c r="Z69" s="74" t="str">
        <f t="shared" si="416"/>
        <v>.</v>
      </c>
      <c r="AA69" s="74" t="str">
        <f t="shared" si="417"/>
        <v>.</v>
      </c>
      <c r="AB69" s="74" t="str">
        <f t="shared" si="418"/>
        <v>.</v>
      </c>
      <c r="AC69" s="74" t="str">
        <f t="shared" si="419"/>
        <v>.</v>
      </c>
      <c r="AD69" s="42">
        <f t="shared" si="282"/>
        <v>1816988166.5639906</v>
      </c>
      <c r="AE69" s="42">
        <f t="shared" ref="AE69:AN69" si="442">IFERROR(AE24/$B55,0)</f>
        <v>0</v>
      </c>
      <c r="AF69" s="42">
        <f t="shared" si="442"/>
        <v>0</v>
      </c>
      <c r="AG69" s="42">
        <f t="shared" si="442"/>
        <v>13243760043.182812</v>
      </c>
      <c r="AH69" s="42">
        <f t="shared" si="442"/>
        <v>0</v>
      </c>
      <c r="AI69" s="42">
        <f t="shared" si="442"/>
        <v>0</v>
      </c>
      <c r="AJ69" s="42">
        <f t="shared" si="442"/>
        <v>0</v>
      </c>
      <c r="AK69" s="42">
        <f t="shared" si="442"/>
        <v>0</v>
      </c>
      <c r="AL69" s="42">
        <f t="shared" si="442"/>
        <v>0</v>
      </c>
      <c r="AM69" s="42">
        <f t="shared" si="442"/>
        <v>0</v>
      </c>
      <c r="AN69" s="42">
        <f t="shared" si="442"/>
        <v>0</v>
      </c>
      <c r="AO69" s="74" t="str">
        <f t="shared" si="421"/>
        <v>.</v>
      </c>
      <c r="AP69" s="74" t="str">
        <f t="shared" si="422"/>
        <v>.</v>
      </c>
      <c r="AQ69" s="74">
        <f t="shared" si="423"/>
        <v>7.5507257511415509E-11</v>
      </c>
      <c r="AR69" s="74" t="str">
        <f t="shared" si="424"/>
        <v>.</v>
      </c>
      <c r="AS69" s="74" t="str">
        <f t="shared" si="425"/>
        <v>.</v>
      </c>
      <c r="AT69" s="74" t="str">
        <f t="shared" si="426"/>
        <v>.</v>
      </c>
      <c r="AU69" s="74" t="str">
        <f t="shared" si="427"/>
        <v>.</v>
      </c>
      <c r="AV69" s="74" t="str">
        <f t="shared" si="428"/>
        <v>.</v>
      </c>
      <c r="AW69" s="74" t="str">
        <f t="shared" si="429"/>
        <v>.</v>
      </c>
      <c r="AX69" s="74" t="str">
        <f t="shared" si="430"/>
        <v>.</v>
      </c>
      <c r="AY69" s="42">
        <f t="shared" si="431"/>
        <v>13243760043.182812</v>
      </c>
      <c r="AZ69" s="42">
        <f>IFERROR(AZ24/$B55,0)</f>
        <v>0</v>
      </c>
      <c r="BA69" s="42">
        <f>IFERROR(BA24/$B55,0)</f>
        <v>820992.20844654785</v>
      </c>
      <c r="BB69" s="42">
        <f t="shared" si="432"/>
        <v>820992.20844654785</v>
      </c>
    </row>
    <row r="70" spans="1:54" x14ac:dyDescent="0.25">
      <c r="A70" s="55" t="s">
        <v>1079</v>
      </c>
      <c r="B70" s="3">
        <v>0.99979000004200003</v>
      </c>
      <c r="C70" s="42">
        <f t="shared" ref="C70:S70" si="443">IFERROR(C20/$B56,0)</f>
        <v>0</v>
      </c>
      <c r="D70" s="42">
        <f t="shared" si="443"/>
        <v>0</v>
      </c>
      <c r="E70" s="42">
        <f t="shared" si="443"/>
        <v>0</v>
      </c>
      <c r="F70" s="42">
        <f t="shared" si="443"/>
        <v>0</v>
      </c>
      <c r="G70" s="42">
        <f t="shared" si="443"/>
        <v>0</v>
      </c>
      <c r="H70" s="42">
        <f t="shared" si="443"/>
        <v>0</v>
      </c>
      <c r="I70" s="42">
        <f t="shared" si="443"/>
        <v>0</v>
      </c>
      <c r="J70" s="42">
        <f t="shared" si="443"/>
        <v>0</v>
      </c>
      <c r="K70" s="42">
        <f t="shared" si="443"/>
        <v>0</v>
      </c>
      <c r="L70" s="42">
        <f t="shared" si="443"/>
        <v>3224.5939114855114</v>
      </c>
      <c r="M70" s="42">
        <f t="shared" si="443"/>
        <v>0</v>
      </c>
      <c r="N70" s="42">
        <f t="shared" si="443"/>
        <v>0</v>
      </c>
      <c r="O70" s="42">
        <f t="shared" si="443"/>
        <v>0</v>
      </c>
      <c r="P70" s="42">
        <f t="shared" si="443"/>
        <v>0</v>
      </c>
      <c r="Q70" s="42">
        <f t="shared" si="443"/>
        <v>0</v>
      </c>
      <c r="R70" s="42">
        <f t="shared" si="443"/>
        <v>0</v>
      </c>
      <c r="S70" s="42">
        <f t="shared" si="443"/>
        <v>0</v>
      </c>
      <c r="T70" s="74" t="str">
        <f t="shared" si="410"/>
        <v>.</v>
      </c>
      <c r="U70" s="74" t="str">
        <f t="shared" si="411"/>
        <v>.</v>
      </c>
      <c r="V70" s="74">
        <f t="shared" si="412"/>
        <v>3.1011656892303638E-4</v>
      </c>
      <c r="W70" s="74" t="str">
        <f t="shared" si="413"/>
        <v>.</v>
      </c>
      <c r="X70" s="74" t="str">
        <f t="shared" si="414"/>
        <v>.</v>
      </c>
      <c r="Y70" s="74" t="str">
        <f t="shared" si="415"/>
        <v>.</v>
      </c>
      <c r="Z70" s="74" t="str">
        <f t="shared" si="416"/>
        <v>.</v>
      </c>
      <c r="AA70" s="74" t="str">
        <f t="shared" si="417"/>
        <v>.</v>
      </c>
      <c r="AB70" s="74" t="str">
        <f t="shared" si="418"/>
        <v>.</v>
      </c>
      <c r="AC70" s="74" t="str">
        <f t="shared" si="419"/>
        <v>.</v>
      </c>
      <c r="AD70" s="42">
        <f t="shared" si="282"/>
        <v>3224.5939114855114</v>
      </c>
      <c r="AE70" s="42">
        <f t="shared" ref="AE70:AN70" si="444">IFERROR(AE20/$B56,0)</f>
        <v>0</v>
      </c>
      <c r="AF70" s="42">
        <f t="shared" si="444"/>
        <v>0</v>
      </c>
      <c r="AG70" s="42">
        <f t="shared" si="444"/>
        <v>23789.050795444564</v>
      </c>
      <c r="AH70" s="42">
        <f t="shared" si="444"/>
        <v>0</v>
      </c>
      <c r="AI70" s="42">
        <f t="shared" si="444"/>
        <v>0</v>
      </c>
      <c r="AJ70" s="42">
        <f t="shared" si="444"/>
        <v>0</v>
      </c>
      <c r="AK70" s="42">
        <f t="shared" si="444"/>
        <v>0</v>
      </c>
      <c r="AL70" s="42">
        <f t="shared" si="444"/>
        <v>0</v>
      </c>
      <c r="AM70" s="42">
        <f t="shared" si="444"/>
        <v>0</v>
      </c>
      <c r="AN70" s="42">
        <f t="shared" si="444"/>
        <v>0</v>
      </c>
      <c r="AO70" s="74" t="str">
        <f t="shared" si="421"/>
        <v>.</v>
      </c>
      <c r="AP70" s="74" t="str">
        <f t="shared" si="422"/>
        <v>.</v>
      </c>
      <c r="AQ70" s="74">
        <f t="shared" si="423"/>
        <v>4.2036145477123995E-5</v>
      </c>
      <c r="AR70" s="74" t="str">
        <f t="shared" si="424"/>
        <v>.</v>
      </c>
      <c r="AS70" s="74" t="str">
        <f t="shared" si="425"/>
        <v>.</v>
      </c>
      <c r="AT70" s="74" t="str">
        <f t="shared" si="426"/>
        <v>.</v>
      </c>
      <c r="AU70" s="74" t="str">
        <f t="shared" si="427"/>
        <v>.</v>
      </c>
      <c r="AV70" s="74" t="str">
        <f t="shared" si="428"/>
        <v>.</v>
      </c>
      <c r="AW70" s="74" t="str">
        <f t="shared" si="429"/>
        <v>.</v>
      </c>
      <c r="AX70" s="74" t="str">
        <f t="shared" si="430"/>
        <v>.</v>
      </c>
      <c r="AY70" s="42">
        <f t="shared" si="431"/>
        <v>23789.050795444564</v>
      </c>
      <c r="AZ70" s="42">
        <f>IFERROR(AZ20/$B56,0)</f>
        <v>0</v>
      </c>
      <c r="BA70" s="42">
        <f>IFERROR(BA20/$B56,0)</f>
        <v>1.4694525369280178</v>
      </c>
      <c r="BB70" s="42">
        <f t="shared" si="432"/>
        <v>1.4694525369280178</v>
      </c>
    </row>
    <row r="71" spans="1:54" x14ac:dyDescent="0.25">
      <c r="A71" s="55" t="s">
        <v>1080</v>
      </c>
      <c r="B71" s="3">
        <v>2.0999995799999999E-4</v>
      </c>
      <c r="C71" s="42">
        <f t="shared" ref="C71:S71" si="445">IFERROR(C29/$B57,0)</f>
        <v>0</v>
      </c>
      <c r="D71" s="42">
        <f t="shared" si="445"/>
        <v>0</v>
      </c>
      <c r="E71" s="42">
        <f t="shared" si="445"/>
        <v>0</v>
      </c>
      <c r="F71" s="42">
        <f t="shared" si="445"/>
        <v>0</v>
      </c>
      <c r="G71" s="42">
        <f t="shared" si="445"/>
        <v>0</v>
      </c>
      <c r="H71" s="42">
        <f t="shared" si="445"/>
        <v>0</v>
      </c>
      <c r="I71" s="42">
        <f t="shared" si="445"/>
        <v>0</v>
      </c>
      <c r="J71" s="42">
        <f t="shared" si="445"/>
        <v>0</v>
      </c>
      <c r="K71" s="42">
        <f t="shared" si="445"/>
        <v>0</v>
      </c>
      <c r="L71" s="42">
        <f t="shared" si="445"/>
        <v>439.36089175020351</v>
      </c>
      <c r="M71" s="42">
        <f t="shared" si="445"/>
        <v>0</v>
      </c>
      <c r="N71" s="42">
        <f t="shared" si="445"/>
        <v>0</v>
      </c>
      <c r="O71" s="42">
        <f t="shared" si="445"/>
        <v>0</v>
      </c>
      <c r="P71" s="42">
        <f t="shared" si="445"/>
        <v>0</v>
      </c>
      <c r="Q71" s="42">
        <f t="shared" si="445"/>
        <v>0</v>
      </c>
      <c r="R71" s="42">
        <f t="shared" si="445"/>
        <v>0</v>
      </c>
      <c r="S71" s="42">
        <f t="shared" si="445"/>
        <v>0</v>
      </c>
      <c r="T71" s="74" t="str">
        <f t="shared" si="410"/>
        <v>.</v>
      </c>
      <c r="U71" s="74" t="str">
        <f t="shared" si="411"/>
        <v>.</v>
      </c>
      <c r="V71" s="74">
        <f t="shared" si="412"/>
        <v>2.2760332537028467E-3</v>
      </c>
      <c r="W71" s="74" t="str">
        <f t="shared" si="413"/>
        <v>.</v>
      </c>
      <c r="X71" s="74" t="str">
        <f t="shared" si="414"/>
        <v>.</v>
      </c>
      <c r="Y71" s="74" t="str">
        <f t="shared" si="415"/>
        <v>.</v>
      </c>
      <c r="Z71" s="74" t="str">
        <f t="shared" si="416"/>
        <v>.</v>
      </c>
      <c r="AA71" s="74" t="str">
        <f t="shared" si="417"/>
        <v>.</v>
      </c>
      <c r="AB71" s="74" t="str">
        <f t="shared" si="418"/>
        <v>.</v>
      </c>
      <c r="AC71" s="74" t="str">
        <f t="shared" si="419"/>
        <v>.</v>
      </c>
      <c r="AD71" s="42">
        <f t="shared" si="282"/>
        <v>439.36089175020356</v>
      </c>
      <c r="AE71" s="42">
        <f t="shared" ref="AE71:AN71" si="446">IFERROR(AE29/$B57,0)</f>
        <v>0</v>
      </c>
      <c r="AF71" s="42">
        <f t="shared" si="446"/>
        <v>0</v>
      </c>
      <c r="AG71" s="42">
        <f t="shared" si="446"/>
        <v>3270.5566012832824</v>
      </c>
      <c r="AH71" s="42">
        <f t="shared" si="446"/>
        <v>0</v>
      </c>
      <c r="AI71" s="42">
        <f t="shared" si="446"/>
        <v>0</v>
      </c>
      <c r="AJ71" s="42">
        <f t="shared" si="446"/>
        <v>0</v>
      </c>
      <c r="AK71" s="42">
        <f t="shared" si="446"/>
        <v>0</v>
      </c>
      <c r="AL71" s="42">
        <f t="shared" si="446"/>
        <v>0</v>
      </c>
      <c r="AM71" s="42">
        <f t="shared" si="446"/>
        <v>0</v>
      </c>
      <c r="AN71" s="42">
        <f t="shared" si="446"/>
        <v>0</v>
      </c>
      <c r="AO71" s="74" t="str">
        <f t="shared" si="421"/>
        <v>.</v>
      </c>
      <c r="AP71" s="74" t="str">
        <f t="shared" si="422"/>
        <v>.</v>
      </c>
      <c r="AQ71" s="74">
        <f t="shared" si="423"/>
        <v>3.0575835306064593E-4</v>
      </c>
      <c r="AR71" s="74" t="str">
        <f t="shared" si="424"/>
        <v>.</v>
      </c>
      <c r="AS71" s="74" t="str">
        <f t="shared" si="425"/>
        <v>.</v>
      </c>
      <c r="AT71" s="74" t="str">
        <f t="shared" si="426"/>
        <v>.</v>
      </c>
      <c r="AU71" s="74" t="str">
        <f t="shared" si="427"/>
        <v>.</v>
      </c>
      <c r="AV71" s="74" t="str">
        <f t="shared" si="428"/>
        <v>.</v>
      </c>
      <c r="AW71" s="74" t="str">
        <f t="shared" si="429"/>
        <v>.</v>
      </c>
      <c r="AX71" s="74" t="str">
        <f t="shared" si="430"/>
        <v>.</v>
      </c>
      <c r="AY71" s="42">
        <f t="shared" si="431"/>
        <v>3270.5566012832824</v>
      </c>
      <c r="AZ71" s="42">
        <f>IFERROR(AZ29/$B57,0)</f>
        <v>0</v>
      </c>
      <c r="BA71" s="42">
        <f>IFERROR(BA29/$B57,0)</f>
        <v>0.20139784033139074</v>
      </c>
      <c r="BB71" s="42">
        <f t="shared" si="432"/>
        <v>0.20139784033139074</v>
      </c>
    </row>
    <row r="72" spans="1:54" x14ac:dyDescent="0.25">
      <c r="A72" s="55" t="s">
        <v>1081</v>
      </c>
      <c r="B72" s="3">
        <v>1</v>
      </c>
      <c r="C72" s="42">
        <f t="shared" ref="C72:S72" si="447">IFERROR(C16/$B58,0)</f>
        <v>5.4000661979535024E-4</v>
      </c>
      <c r="D72" s="42">
        <f t="shared" si="447"/>
        <v>7.6995634944214842E-3</v>
      </c>
      <c r="E72" s="42">
        <f t="shared" si="447"/>
        <v>1.366163639067026E-2</v>
      </c>
      <c r="F72" s="42">
        <f t="shared" si="447"/>
        <v>5.0495886649257445E-3</v>
      </c>
      <c r="G72" s="42">
        <f t="shared" si="447"/>
        <v>1.0454530247243196E-3</v>
      </c>
      <c r="H72" s="42">
        <f t="shared" si="447"/>
        <v>9.0470791179372897E-3</v>
      </c>
      <c r="I72" s="42">
        <f t="shared" si="447"/>
        <v>1.0578776767494723E-3</v>
      </c>
      <c r="J72" s="42">
        <f t="shared" si="447"/>
        <v>6.5831267877303672</v>
      </c>
      <c r="K72" s="42">
        <f t="shared" si="447"/>
        <v>9409.5903562048788</v>
      </c>
      <c r="L72" s="42">
        <f t="shared" si="447"/>
        <v>739.77375352962497</v>
      </c>
      <c r="M72" s="42">
        <f t="shared" si="447"/>
        <v>3.0907103884492783E-2</v>
      </c>
      <c r="N72" s="42">
        <f t="shared" si="447"/>
        <v>0</v>
      </c>
      <c r="O72" s="42">
        <f t="shared" si="447"/>
        <v>0</v>
      </c>
      <c r="P72" s="42">
        <f t="shared" si="447"/>
        <v>2.0086502853125681</v>
      </c>
      <c r="Q72" s="42">
        <f t="shared" si="447"/>
        <v>0.9887971859623047</v>
      </c>
      <c r="R72" s="42">
        <f t="shared" si="447"/>
        <v>0</v>
      </c>
      <c r="S72" s="42">
        <f t="shared" si="447"/>
        <v>6.3472660604968331E-3</v>
      </c>
      <c r="T72" s="74">
        <f t="shared" si="410"/>
        <v>0.15190350000000002</v>
      </c>
      <c r="U72" s="74">
        <f t="shared" si="411"/>
        <v>1.0627455204153275E-4</v>
      </c>
      <c r="V72" s="74">
        <f t="shared" si="412"/>
        <v>1.3517646378082189E-3</v>
      </c>
      <c r="W72" s="74">
        <f t="shared" si="413"/>
        <v>32.355021154270503</v>
      </c>
      <c r="X72" s="74" t="str">
        <f t="shared" si="414"/>
        <v>.</v>
      </c>
      <c r="Y72" s="74" t="str">
        <f t="shared" si="415"/>
        <v>.</v>
      </c>
      <c r="Z72" s="74">
        <f t="shared" si="416"/>
        <v>0.49784674182065947</v>
      </c>
      <c r="AA72" s="74">
        <f t="shared" si="417"/>
        <v>1.0113297389967717</v>
      </c>
      <c r="AB72" s="74" t="str">
        <f t="shared" si="418"/>
        <v>.</v>
      </c>
      <c r="AC72" s="74">
        <f t="shared" si="419"/>
        <v>157.54814600000003</v>
      </c>
      <c r="AD72" s="42">
        <f t="shared" si="282"/>
        <v>5.2201410429400467E-3</v>
      </c>
      <c r="AE72" s="42">
        <f t="shared" ref="AE72:AN72" si="448">IFERROR(AE16/$B58,0)</f>
        <v>0.33767153460704386</v>
      </c>
      <c r="AF72" s="42">
        <f t="shared" si="448"/>
        <v>0</v>
      </c>
      <c r="AG72" s="42">
        <f t="shared" si="448"/>
        <v>1795.8052609013023</v>
      </c>
      <c r="AH72" s="42">
        <f t="shared" si="448"/>
        <v>0.12656234558557136</v>
      </c>
      <c r="AI72" s="42">
        <f t="shared" si="448"/>
        <v>0</v>
      </c>
      <c r="AJ72" s="42">
        <f t="shared" si="448"/>
        <v>0</v>
      </c>
      <c r="AK72" s="42">
        <f t="shared" si="448"/>
        <v>136.10751118398233</v>
      </c>
      <c r="AL72" s="42">
        <f t="shared" si="448"/>
        <v>61.602781205151551</v>
      </c>
      <c r="AM72" s="42">
        <f t="shared" si="448"/>
        <v>0</v>
      </c>
      <c r="AN72" s="42">
        <f t="shared" si="448"/>
        <v>4.2315107069978888E-2</v>
      </c>
      <c r="AO72" s="74">
        <f t="shared" si="421"/>
        <v>2.9614578000000003</v>
      </c>
      <c r="AP72" s="74" t="str">
        <f t="shared" si="422"/>
        <v>.</v>
      </c>
      <c r="AQ72" s="74">
        <f t="shared" si="423"/>
        <v>5.5685325228310495E-4</v>
      </c>
      <c r="AR72" s="74">
        <f t="shared" si="424"/>
        <v>7.9012442079297571</v>
      </c>
      <c r="AS72" s="74" t="str">
        <f t="shared" si="425"/>
        <v>.</v>
      </c>
      <c r="AT72" s="74" t="str">
        <f t="shared" si="426"/>
        <v>.</v>
      </c>
      <c r="AU72" s="74">
        <f t="shared" si="427"/>
        <v>7.3471330957500013E-3</v>
      </c>
      <c r="AV72" s="74">
        <f t="shared" si="428"/>
        <v>1.6233033321495144E-2</v>
      </c>
      <c r="AW72" s="74" t="str">
        <f t="shared" si="429"/>
        <v>.</v>
      </c>
      <c r="AX72" s="74">
        <f t="shared" si="430"/>
        <v>23.632221900000001</v>
      </c>
      <c r="AY72" s="42">
        <f t="shared" si="431"/>
        <v>2.8969501867313618E-2</v>
      </c>
      <c r="AZ72" s="42">
        <f>IFERROR(AZ16/$B58,0)</f>
        <v>6.9221529487765868E-3</v>
      </c>
      <c r="BA72" s="42">
        <f>IFERROR(BA16/$B58,0)</f>
        <v>0.11852966066744214</v>
      </c>
      <c r="BB72" s="42">
        <f t="shared" si="432"/>
        <v>6.5402038954704205E-3</v>
      </c>
    </row>
    <row r="73" spans="1:54" x14ac:dyDescent="0.25">
      <c r="A73" s="55" t="s">
        <v>1082</v>
      </c>
      <c r="B73" s="3">
        <v>1</v>
      </c>
      <c r="C73" s="42">
        <f t="shared" ref="C73:S73" si="449">IFERROR(C7/$B59,0)</f>
        <v>0.30600375121736512</v>
      </c>
      <c r="D73" s="42">
        <f t="shared" si="449"/>
        <v>4.3630859801721744</v>
      </c>
      <c r="E73" s="42">
        <f t="shared" si="449"/>
        <v>7.7415939547131476</v>
      </c>
      <c r="F73" s="42">
        <f t="shared" si="449"/>
        <v>2.8614335767912555</v>
      </c>
      <c r="G73" s="42">
        <f t="shared" si="449"/>
        <v>0.59242338067711442</v>
      </c>
      <c r="H73" s="42">
        <f t="shared" si="449"/>
        <v>5.1266781668311303</v>
      </c>
      <c r="I73" s="42">
        <f t="shared" si="449"/>
        <v>0.59946401682470096</v>
      </c>
      <c r="J73" s="42">
        <f t="shared" si="449"/>
        <v>3730.4385130472087</v>
      </c>
      <c r="K73" s="42">
        <f t="shared" si="449"/>
        <v>388628.97156106454</v>
      </c>
      <c r="L73" s="42">
        <f t="shared" si="449"/>
        <v>282.78041090552216</v>
      </c>
      <c r="M73" s="42">
        <f t="shared" si="449"/>
        <v>3.0354526237905737</v>
      </c>
      <c r="N73" s="42">
        <f t="shared" si="449"/>
        <v>0</v>
      </c>
      <c r="O73" s="42">
        <f t="shared" si="449"/>
        <v>0</v>
      </c>
      <c r="P73" s="42">
        <f t="shared" si="449"/>
        <v>153.38695131553231</v>
      </c>
      <c r="Q73" s="42">
        <f t="shared" si="449"/>
        <v>39.052549254235373</v>
      </c>
      <c r="R73" s="42">
        <f t="shared" si="449"/>
        <v>0</v>
      </c>
      <c r="S73" s="42">
        <f t="shared" si="449"/>
        <v>19.182848538390431</v>
      </c>
      <c r="T73" s="74">
        <f t="shared" si="410"/>
        <v>2.68065E-4</v>
      </c>
      <c r="U73" s="74">
        <f t="shared" si="411"/>
        <v>2.5731483578878573E-6</v>
      </c>
      <c r="V73" s="74">
        <f t="shared" si="412"/>
        <v>3.5363128471232867E-3</v>
      </c>
      <c r="W73" s="74">
        <f t="shared" si="413"/>
        <v>0.32944016064109505</v>
      </c>
      <c r="X73" s="74" t="str">
        <f t="shared" si="414"/>
        <v>.</v>
      </c>
      <c r="Y73" s="74" t="str">
        <f t="shared" si="415"/>
        <v>.</v>
      </c>
      <c r="Z73" s="74">
        <f t="shared" si="416"/>
        <v>6.5194593896250007E-3</v>
      </c>
      <c r="AA73" s="74">
        <f t="shared" si="417"/>
        <v>2.5606522982402919E-2</v>
      </c>
      <c r="AB73" s="74" t="str">
        <f t="shared" si="418"/>
        <v>.</v>
      </c>
      <c r="AC73" s="74">
        <f t="shared" si="419"/>
        <v>5.2129901249999999E-2</v>
      </c>
      <c r="AD73" s="42">
        <f t="shared" si="282"/>
        <v>2.3951923970763214</v>
      </c>
      <c r="AE73" s="42">
        <f t="shared" ref="AE73:AN73" si="450">IFERROR(AE7/$B59,0)</f>
        <v>191.34720294399153</v>
      </c>
      <c r="AF73" s="42">
        <f t="shared" si="450"/>
        <v>0</v>
      </c>
      <c r="AG73" s="42">
        <f t="shared" si="450"/>
        <v>656.85494442363074</v>
      </c>
      <c r="AH73" s="42">
        <f t="shared" si="450"/>
        <v>42.232121011130708</v>
      </c>
      <c r="AI73" s="42">
        <f t="shared" si="450"/>
        <v>0</v>
      </c>
      <c r="AJ73" s="42">
        <f t="shared" si="450"/>
        <v>0</v>
      </c>
      <c r="AK73" s="42">
        <f t="shared" si="450"/>
        <v>26994.656384823164</v>
      </c>
      <c r="AL73" s="42">
        <f t="shared" si="450"/>
        <v>6632.5661097546499</v>
      </c>
      <c r="AM73" s="42">
        <f t="shared" si="450"/>
        <v>0</v>
      </c>
      <c r="AN73" s="42">
        <f t="shared" si="450"/>
        <v>39.9642677883134</v>
      </c>
      <c r="AO73" s="74">
        <f t="shared" si="421"/>
        <v>5.2261019999999998E-3</v>
      </c>
      <c r="AP73" s="74" t="str">
        <f t="shared" si="422"/>
        <v>.</v>
      </c>
      <c r="AQ73" s="74">
        <f t="shared" si="423"/>
        <v>1.5224061392694061E-3</v>
      </c>
      <c r="AR73" s="74">
        <f t="shared" si="424"/>
        <v>2.367865918305263E-2</v>
      </c>
      <c r="AS73" s="74" t="str">
        <f t="shared" si="425"/>
        <v>.</v>
      </c>
      <c r="AT73" s="74" t="str">
        <f t="shared" si="426"/>
        <v>.</v>
      </c>
      <c r="AU73" s="74">
        <f t="shared" si="427"/>
        <v>3.7044368550000007E-5</v>
      </c>
      <c r="AV73" s="74">
        <f t="shared" si="428"/>
        <v>1.5077120732038835E-4</v>
      </c>
      <c r="AW73" s="74" t="str">
        <f t="shared" si="429"/>
        <v>.</v>
      </c>
      <c r="AX73" s="74">
        <f t="shared" si="430"/>
        <v>2.5022352599999999E-2</v>
      </c>
      <c r="AY73" s="42">
        <f t="shared" si="431"/>
        <v>17.973542245431371</v>
      </c>
      <c r="AZ73" s="42">
        <f>IFERROR(AZ7/$B59,0)</f>
        <v>0.28589439918577275</v>
      </c>
      <c r="BA73" s="42">
        <f>IFERROR(BA7/$B59,0)</f>
        <v>2.1638554331149321E-2</v>
      </c>
      <c r="BB73" s="42">
        <f t="shared" si="432"/>
        <v>2.0116027954097709E-2</v>
      </c>
    </row>
    <row r="74" spans="1:54" x14ac:dyDescent="0.25">
      <c r="A74" s="55" t="s">
        <v>1083</v>
      </c>
      <c r="B74" s="3">
        <v>1.9000000000000001E-8</v>
      </c>
      <c r="C74" s="42">
        <f t="shared" ref="C74:S74" si="451">IFERROR(C12/$B60,0)</f>
        <v>0</v>
      </c>
      <c r="D74" s="42">
        <f t="shared" si="451"/>
        <v>0</v>
      </c>
      <c r="E74" s="42">
        <f t="shared" si="451"/>
        <v>0</v>
      </c>
      <c r="F74" s="42">
        <f t="shared" si="451"/>
        <v>0</v>
      </c>
      <c r="G74" s="42">
        <f t="shared" si="451"/>
        <v>0</v>
      </c>
      <c r="H74" s="42">
        <f t="shared" si="451"/>
        <v>0</v>
      </c>
      <c r="I74" s="42">
        <f t="shared" si="451"/>
        <v>0</v>
      </c>
      <c r="J74" s="42">
        <f t="shared" si="451"/>
        <v>0</v>
      </c>
      <c r="K74" s="42">
        <f t="shared" si="451"/>
        <v>0</v>
      </c>
      <c r="L74" s="42">
        <f t="shared" si="451"/>
        <v>132950353.65102373</v>
      </c>
      <c r="M74" s="42">
        <f t="shared" si="451"/>
        <v>0</v>
      </c>
      <c r="N74" s="42">
        <f t="shared" si="451"/>
        <v>0</v>
      </c>
      <c r="O74" s="42">
        <f t="shared" si="451"/>
        <v>0</v>
      </c>
      <c r="P74" s="42">
        <f t="shared" si="451"/>
        <v>0</v>
      </c>
      <c r="Q74" s="42">
        <f t="shared" si="451"/>
        <v>0</v>
      </c>
      <c r="R74" s="42">
        <f t="shared" si="451"/>
        <v>0</v>
      </c>
      <c r="S74" s="42">
        <f t="shared" si="451"/>
        <v>0</v>
      </c>
      <c r="T74" s="74" t="str">
        <f t="shared" si="410"/>
        <v>.</v>
      </c>
      <c r="U74" s="74" t="str">
        <f t="shared" si="411"/>
        <v>.</v>
      </c>
      <c r="V74" s="74">
        <f t="shared" si="412"/>
        <v>7.5216046632328748E-9</v>
      </c>
      <c r="W74" s="74" t="str">
        <f t="shared" si="413"/>
        <v>.</v>
      </c>
      <c r="X74" s="74" t="str">
        <f t="shared" si="414"/>
        <v>.</v>
      </c>
      <c r="Y74" s="74" t="str">
        <f t="shared" si="415"/>
        <v>.</v>
      </c>
      <c r="Z74" s="74" t="str">
        <f t="shared" si="416"/>
        <v>.</v>
      </c>
      <c r="AA74" s="74" t="str">
        <f t="shared" si="417"/>
        <v>.</v>
      </c>
      <c r="AB74" s="74" t="str">
        <f t="shared" si="418"/>
        <v>.</v>
      </c>
      <c r="AC74" s="74" t="str">
        <f t="shared" si="419"/>
        <v>.</v>
      </c>
      <c r="AD74" s="42">
        <f t="shared" ref="AD74:AD76" si="452">IFERROR(1/(SUMIF(T74:AC74,"&lt;&gt;0")),".")</f>
        <v>132950353.65102373</v>
      </c>
      <c r="AE74" s="42">
        <f t="shared" ref="AE74:AN74" si="453">IFERROR(AE12/$B60,0)</f>
        <v>0</v>
      </c>
      <c r="AF74" s="42">
        <f t="shared" si="453"/>
        <v>0</v>
      </c>
      <c r="AG74" s="42">
        <f t="shared" si="453"/>
        <v>865735397.78081346</v>
      </c>
      <c r="AH74" s="42">
        <f t="shared" si="453"/>
        <v>0</v>
      </c>
      <c r="AI74" s="42">
        <f t="shared" si="453"/>
        <v>0</v>
      </c>
      <c r="AJ74" s="42">
        <f t="shared" si="453"/>
        <v>0</v>
      </c>
      <c r="AK74" s="42">
        <f t="shared" si="453"/>
        <v>0</v>
      </c>
      <c r="AL74" s="42">
        <f t="shared" si="453"/>
        <v>0</v>
      </c>
      <c r="AM74" s="42">
        <f t="shared" si="453"/>
        <v>0</v>
      </c>
      <c r="AN74" s="42">
        <f t="shared" si="453"/>
        <v>0</v>
      </c>
      <c r="AO74" s="74" t="str">
        <f t="shared" si="421"/>
        <v>.</v>
      </c>
      <c r="AP74" s="74" t="str">
        <f t="shared" si="422"/>
        <v>.</v>
      </c>
      <c r="AQ74" s="74">
        <f t="shared" si="423"/>
        <v>1.1550873425799086E-9</v>
      </c>
      <c r="AR74" s="74" t="str">
        <f t="shared" si="424"/>
        <v>.</v>
      </c>
      <c r="AS74" s="74" t="str">
        <f t="shared" si="425"/>
        <v>.</v>
      </c>
      <c r="AT74" s="74" t="str">
        <f t="shared" si="426"/>
        <v>.</v>
      </c>
      <c r="AU74" s="74" t="str">
        <f t="shared" si="427"/>
        <v>.</v>
      </c>
      <c r="AV74" s="74" t="str">
        <f t="shared" si="428"/>
        <v>.</v>
      </c>
      <c r="AW74" s="74" t="str">
        <f t="shared" si="429"/>
        <v>.</v>
      </c>
      <c r="AX74" s="74" t="str">
        <f t="shared" si="430"/>
        <v>.</v>
      </c>
      <c r="AY74" s="42">
        <f t="shared" si="431"/>
        <v>865735397.78081346</v>
      </c>
      <c r="AZ74" s="42">
        <f>IFERROR(AZ12/$B60,0)</f>
        <v>0</v>
      </c>
      <c r="BA74" s="42">
        <f>IFERROR(BA12/$B60,0)</f>
        <v>52846.904746653963</v>
      </c>
      <c r="BB74" s="42">
        <f t="shared" si="432"/>
        <v>52846.904746653963</v>
      </c>
    </row>
    <row r="75" spans="1:54" x14ac:dyDescent="0.25">
      <c r="A75" s="55" t="s">
        <v>1084</v>
      </c>
      <c r="B75" s="3">
        <v>1</v>
      </c>
      <c r="C75" s="42">
        <f t="shared" ref="C75:S75" si="454">IFERROR(C18/$B61,0)</f>
        <v>3.1474671553786136E-4</v>
      </c>
      <c r="D75" s="42">
        <f t="shared" si="454"/>
        <v>4.4877455796056651E-3</v>
      </c>
      <c r="E75" s="42">
        <f t="shared" si="454"/>
        <v>7.9627823534192364E-3</v>
      </c>
      <c r="F75" s="42">
        <f t="shared" si="454"/>
        <v>2.9431888218424337E-3</v>
      </c>
      <c r="G75" s="42">
        <f t="shared" si="454"/>
        <v>6.0934976298217475E-4</v>
      </c>
      <c r="H75" s="42">
        <f t="shared" si="454"/>
        <v>5.2731546858834485E-3</v>
      </c>
      <c r="I75" s="42">
        <f t="shared" si="454"/>
        <v>6.1659156016254958E-4</v>
      </c>
      <c r="J75" s="42">
        <f t="shared" si="454"/>
        <v>3.8370224705628431</v>
      </c>
      <c r="K75" s="42">
        <f t="shared" si="454"/>
        <v>12123.895266648593</v>
      </c>
      <c r="L75" s="42">
        <f t="shared" si="454"/>
        <v>27435.318011694701</v>
      </c>
      <c r="M75" s="42">
        <f t="shared" si="454"/>
        <v>0.14392862177490903</v>
      </c>
      <c r="N75" s="42">
        <f t="shared" si="454"/>
        <v>2.5950864162312622E-2</v>
      </c>
      <c r="O75" s="42">
        <f t="shared" si="454"/>
        <v>3.5648231525891326E-2</v>
      </c>
      <c r="P75" s="42">
        <f t="shared" si="454"/>
        <v>0.17083023856382387</v>
      </c>
      <c r="Q75" s="42">
        <f t="shared" si="454"/>
        <v>0.54532633364059879</v>
      </c>
      <c r="R75" s="42">
        <f t="shared" si="454"/>
        <v>0</v>
      </c>
      <c r="S75" s="42">
        <f t="shared" si="454"/>
        <v>3.596784100948206E-3</v>
      </c>
      <c r="T75" s="74">
        <f t="shared" si="410"/>
        <v>0.26061875000000001</v>
      </c>
      <c r="U75" s="74">
        <f t="shared" si="411"/>
        <v>8.2481741882980638E-5</v>
      </c>
      <c r="V75" s="74">
        <f t="shared" si="412"/>
        <v>3.6449367912328759E-5</v>
      </c>
      <c r="W75" s="74">
        <f t="shared" si="413"/>
        <v>6.9478883884812497</v>
      </c>
      <c r="X75" s="74">
        <f t="shared" si="414"/>
        <v>38.534362237241375</v>
      </c>
      <c r="Y75" s="74">
        <f t="shared" si="415"/>
        <v>28.05188244117242</v>
      </c>
      <c r="Z75" s="74">
        <f t="shared" si="416"/>
        <v>5.853764581768643</v>
      </c>
      <c r="AA75" s="74">
        <f t="shared" si="417"/>
        <v>1.833764368802804</v>
      </c>
      <c r="AB75" s="74" t="str">
        <f t="shared" si="418"/>
        <v>.</v>
      </c>
      <c r="AC75" s="74">
        <f t="shared" si="419"/>
        <v>278.02614</v>
      </c>
      <c r="AD75" s="42">
        <f t="shared" si="452"/>
        <v>2.7815750937055144E-3</v>
      </c>
      <c r="AE75" s="42">
        <f t="shared" ref="AE75:AN75" si="455">IFERROR(AE18/$B61,0)</f>
        <v>0.19681426588524842</v>
      </c>
      <c r="AF75" s="42">
        <f t="shared" si="455"/>
        <v>0</v>
      </c>
      <c r="AG75" s="42">
        <f t="shared" si="455"/>
        <v>202842.25226760824</v>
      </c>
      <c r="AH75" s="42">
        <f t="shared" si="455"/>
        <v>8.460167491226174E-2</v>
      </c>
      <c r="AI75" s="42">
        <f t="shared" si="455"/>
        <v>4.6747349787559012</v>
      </c>
      <c r="AJ75" s="42">
        <f t="shared" si="455"/>
        <v>6.4215986721122862</v>
      </c>
      <c r="AK75" s="42">
        <f t="shared" si="455"/>
        <v>11.106372912612956</v>
      </c>
      <c r="AL75" s="42">
        <f t="shared" si="455"/>
        <v>32.486038088594199</v>
      </c>
      <c r="AM75" s="42">
        <f t="shared" si="455"/>
        <v>0</v>
      </c>
      <c r="AN75" s="42">
        <f t="shared" si="455"/>
        <v>1.7127543337848598E-2</v>
      </c>
      <c r="AO75" s="74">
        <f t="shared" si="421"/>
        <v>5.0809325000000003</v>
      </c>
      <c r="AP75" s="74" t="str">
        <f t="shared" si="422"/>
        <v>.</v>
      </c>
      <c r="AQ75" s="74">
        <f t="shared" si="423"/>
        <v>4.9299393436073049E-6</v>
      </c>
      <c r="AR75" s="74">
        <f t="shared" si="424"/>
        <v>11.820096954783399</v>
      </c>
      <c r="AS75" s="74">
        <f t="shared" si="425"/>
        <v>0.21391586999999998</v>
      </c>
      <c r="AT75" s="74">
        <f t="shared" si="426"/>
        <v>0.15572446225000003</v>
      </c>
      <c r="AU75" s="74">
        <f t="shared" si="427"/>
        <v>9.003839578125003E-2</v>
      </c>
      <c r="AV75" s="74">
        <f t="shared" si="428"/>
        <v>3.0782454827912628E-2</v>
      </c>
      <c r="AW75" s="74" t="str">
        <f t="shared" si="429"/>
        <v>.</v>
      </c>
      <c r="AX75" s="74">
        <f t="shared" si="430"/>
        <v>58.385489400000004</v>
      </c>
      <c r="AY75" s="42">
        <f t="shared" si="431"/>
        <v>1.3196619005464642E-2</v>
      </c>
      <c r="AZ75" s="42">
        <f>IFERROR(AZ18/$B61,0)</f>
        <v>8.9189278378467556E-3</v>
      </c>
      <c r="BA75" s="42">
        <f>IFERROR(BA18/$B61,0)</f>
        <v>12.545498915587698</v>
      </c>
      <c r="BB75" s="42">
        <f t="shared" si="432"/>
        <v>8.9125916401218749E-3</v>
      </c>
    </row>
    <row r="76" spans="1:54" x14ac:dyDescent="0.25">
      <c r="A76" s="55" t="s">
        <v>1085</v>
      </c>
      <c r="B76" s="3">
        <v>1.339E-6</v>
      </c>
      <c r="C76" s="42">
        <f t="shared" ref="C76:S76" si="456">IFERROR(C27/$B62,0)</f>
        <v>0</v>
      </c>
      <c r="D76" s="42">
        <f t="shared" si="456"/>
        <v>0</v>
      </c>
      <c r="E76" s="42">
        <f t="shared" si="456"/>
        <v>0</v>
      </c>
      <c r="F76" s="42">
        <f t="shared" si="456"/>
        <v>0</v>
      </c>
      <c r="G76" s="42">
        <f t="shared" si="456"/>
        <v>0</v>
      </c>
      <c r="H76" s="42">
        <f t="shared" si="456"/>
        <v>0</v>
      </c>
      <c r="I76" s="42">
        <f t="shared" si="456"/>
        <v>0</v>
      </c>
      <c r="J76" s="42">
        <f t="shared" si="456"/>
        <v>0</v>
      </c>
      <c r="K76" s="42">
        <f t="shared" si="456"/>
        <v>0</v>
      </c>
      <c r="L76" s="42">
        <f t="shared" si="456"/>
        <v>90464932.365645558</v>
      </c>
      <c r="M76" s="42">
        <f t="shared" si="456"/>
        <v>0</v>
      </c>
      <c r="N76" s="42">
        <f t="shared" si="456"/>
        <v>0</v>
      </c>
      <c r="O76" s="42">
        <f t="shared" si="456"/>
        <v>0</v>
      </c>
      <c r="P76" s="42">
        <f t="shared" si="456"/>
        <v>0</v>
      </c>
      <c r="Q76" s="42">
        <f t="shared" si="456"/>
        <v>0</v>
      </c>
      <c r="R76" s="42">
        <f t="shared" si="456"/>
        <v>0</v>
      </c>
      <c r="S76" s="42">
        <f t="shared" si="456"/>
        <v>0</v>
      </c>
      <c r="T76" s="74" t="str">
        <f t="shared" si="410"/>
        <v>.</v>
      </c>
      <c r="U76" s="74" t="str">
        <f t="shared" si="411"/>
        <v>.</v>
      </c>
      <c r="V76" s="74">
        <f t="shared" si="412"/>
        <v>1.1054007048368217E-8</v>
      </c>
      <c r="W76" s="74" t="str">
        <f t="shared" si="413"/>
        <v>.</v>
      </c>
      <c r="X76" s="74" t="str">
        <f t="shared" si="414"/>
        <v>.</v>
      </c>
      <c r="Y76" s="74" t="str">
        <f t="shared" si="415"/>
        <v>.</v>
      </c>
      <c r="Z76" s="74" t="str">
        <f t="shared" si="416"/>
        <v>.</v>
      </c>
      <c r="AA76" s="74" t="str">
        <f t="shared" si="417"/>
        <v>.</v>
      </c>
      <c r="AB76" s="74" t="str">
        <f t="shared" si="418"/>
        <v>.</v>
      </c>
      <c r="AC76" s="74" t="str">
        <f t="shared" si="419"/>
        <v>.</v>
      </c>
      <c r="AD76" s="42">
        <f t="shared" si="452"/>
        <v>90464932.365645558</v>
      </c>
      <c r="AE76" s="42">
        <f t="shared" ref="AE76:AN76" si="457">IFERROR(AE27/$B62,0)</f>
        <v>0</v>
      </c>
      <c r="AF76" s="42">
        <f t="shared" si="457"/>
        <v>0</v>
      </c>
      <c r="AG76" s="42">
        <f t="shared" si="457"/>
        <v>307759558.88249981</v>
      </c>
      <c r="AH76" s="42">
        <f t="shared" si="457"/>
        <v>0</v>
      </c>
      <c r="AI76" s="42">
        <f t="shared" si="457"/>
        <v>0</v>
      </c>
      <c r="AJ76" s="42">
        <f t="shared" si="457"/>
        <v>0</v>
      </c>
      <c r="AK76" s="42">
        <f t="shared" si="457"/>
        <v>0</v>
      </c>
      <c r="AL76" s="42">
        <f t="shared" si="457"/>
        <v>0</v>
      </c>
      <c r="AM76" s="42">
        <f t="shared" si="457"/>
        <v>0</v>
      </c>
      <c r="AN76" s="42">
        <f t="shared" si="457"/>
        <v>0</v>
      </c>
      <c r="AO76" s="74" t="str">
        <f t="shared" si="421"/>
        <v>.</v>
      </c>
      <c r="AP76" s="74" t="str">
        <f t="shared" si="422"/>
        <v>.</v>
      </c>
      <c r="AQ76" s="74">
        <f t="shared" si="423"/>
        <v>3.2492898145262552E-9</v>
      </c>
      <c r="AR76" s="74" t="str">
        <f t="shared" si="424"/>
        <v>.</v>
      </c>
      <c r="AS76" s="74" t="str">
        <f t="shared" si="425"/>
        <v>.</v>
      </c>
      <c r="AT76" s="74" t="str">
        <f t="shared" si="426"/>
        <v>.</v>
      </c>
      <c r="AU76" s="74" t="str">
        <f t="shared" si="427"/>
        <v>.</v>
      </c>
      <c r="AV76" s="74" t="str">
        <f t="shared" si="428"/>
        <v>.</v>
      </c>
      <c r="AW76" s="74" t="str">
        <f t="shared" si="429"/>
        <v>.</v>
      </c>
      <c r="AX76" s="74" t="str">
        <f t="shared" si="430"/>
        <v>.</v>
      </c>
      <c r="AY76" s="42">
        <f t="shared" si="431"/>
        <v>307759558.88249981</v>
      </c>
      <c r="AZ76" s="42">
        <f>IFERROR(AZ27/$B62,0)</f>
        <v>0</v>
      </c>
      <c r="BA76" s="42">
        <f>IFERROR(BA27/$B62,0)</f>
        <v>10502.117293887361</v>
      </c>
      <c r="BB76" s="42">
        <f t="shared" si="432"/>
        <v>10502.117293887361</v>
      </c>
    </row>
  </sheetData>
  <sheetProtection algorithmName="SHA-512" hashValue="ZYGJLNe3bXEuNxm0Kc7ZSHJm8VivGEI4F2e9zjTeEK9A43Z78QmHX2umg6hoGrxLEj4RUU7G2N0WEZLk5/bUOQ==" saltValue="eAGzQk4d/zYrKMni9bvsxA==" spinCount="100000" sheet="1" objects="1" scenarios="1" formatColumns="0" formatRows="0" autoFilter="0"/>
  <autoFilter ref="A1:BB76" xr:uid="{00000000-0009-0000-0000-00000800000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499984740745262"/>
  </sheetPr>
  <dimension ref="A1:W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42578125" style="4" bestFit="1" customWidth="1"/>
    <col min="2" max="2" width="13.28515625" style="4" bestFit="1" customWidth="1"/>
    <col min="3" max="3" width="14.42578125" style="3" bestFit="1" customWidth="1"/>
    <col min="4" max="4" width="14.5703125" style="3" bestFit="1" customWidth="1"/>
    <col min="5" max="5" width="14.28515625" style="3" bestFit="1" customWidth="1"/>
    <col min="6" max="6" width="14.140625" style="3" bestFit="1" customWidth="1"/>
    <col min="7" max="7" width="13.5703125" style="3" bestFit="1" customWidth="1"/>
    <col min="8" max="9" width="15.42578125" style="3" bestFit="1" customWidth="1"/>
    <col min="10" max="10" width="16.42578125" style="3" bestFit="1" customWidth="1"/>
    <col min="11" max="12" width="13.85546875" style="3" bestFit="1" customWidth="1"/>
    <col min="13" max="13" width="14.140625" style="3" bestFit="1" customWidth="1"/>
    <col min="14" max="14" width="13.28515625" style="3" bestFit="1" customWidth="1"/>
    <col min="15" max="15" width="14.28515625" style="3" bestFit="1" customWidth="1"/>
    <col min="16" max="16" width="15.5703125" style="3" bestFit="1" customWidth="1"/>
    <col min="17" max="17" width="14" style="3" bestFit="1" customWidth="1"/>
    <col min="18" max="18" width="15.85546875" style="3" bestFit="1" customWidth="1"/>
    <col min="19" max="19" width="20.140625" style="3" bestFit="1" customWidth="1"/>
    <col min="20" max="20" width="20.28515625" style="3" bestFit="1" customWidth="1"/>
    <col min="21" max="21" width="14.85546875" style="3" bestFit="1" customWidth="1"/>
    <col min="22" max="23" width="19.28515625" style="3" bestFit="1" customWidth="1"/>
    <col min="24" max="16384" width="9.140625" style="3"/>
  </cols>
  <sheetData>
    <row r="1" spans="1:23" x14ac:dyDescent="0.25">
      <c r="A1" s="50" t="s">
        <v>39</v>
      </c>
      <c r="B1" s="51" t="s">
        <v>335</v>
      </c>
      <c r="C1" s="2" t="s">
        <v>1146</v>
      </c>
      <c r="D1" s="2" t="s">
        <v>1147</v>
      </c>
      <c r="E1" s="2" t="s">
        <v>1148</v>
      </c>
      <c r="F1" s="2" t="s">
        <v>1149</v>
      </c>
      <c r="G1" s="3" t="s">
        <v>1197</v>
      </c>
      <c r="H1" s="3" t="s">
        <v>1198</v>
      </c>
      <c r="I1" s="3" t="s">
        <v>1199</v>
      </c>
      <c r="J1" s="3" t="s">
        <v>1200</v>
      </c>
      <c r="K1" s="3" t="s">
        <v>1201</v>
      </c>
      <c r="L1" s="3" t="s">
        <v>1186</v>
      </c>
      <c r="M1" s="3" t="s">
        <v>1187</v>
      </c>
      <c r="N1" s="3" t="s">
        <v>1188</v>
      </c>
      <c r="O1" s="2" t="s">
        <v>1150</v>
      </c>
      <c r="P1" s="2" t="s">
        <v>1190</v>
      </c>
      <c r="Q1" s="2" t="s">
        <v>1179</v>
      </c>
      <c r="R1" s="2" t="s">
        <v>1191</v>
      </c>
      <c r="S1" s="2" t="s">
        <v>1196</v>
      </c>
      <c r="T1" s="2" t="s">
        <v>1193</v>
      </c>
      <c r="U1" s="2" t="s">
        <v>1192</v>
      </c>
      <c r="V1" s="2" t="s">
        <v>1195</v>
      </c>
      <c r="W1" s="2" t="s">
        <v>1194</v>
      </c>
    </row>
    <row r="2" spans="1:23" customFormat="1" x14ac:dyDescent="0.25">
      <c r="A2" s="31" t="s">
        <v>0</v>
      </c>
      <c r="B2" s="3" t="s">
        <v>1059</v>
      </c>
      <c r="C2" s="2">
        <f>IFERROR(((DL)/(RadSpec!I2*IFS_rec_adj*(1/1000))),".")</f>
        <v>560.18337042447467</v>
      </c>
      <c r="D2" s="2">
        <f>IFERROR(IF(A2="H-3",(DL/(RadSpec!L2*IFA_rec_adj*(1/17)*1000))*RadSpec!#REF!,(DL/(RadSpec!L2*IFA_rec_adj*(1/PEF_wind)*1000))),".")</f>
        <v>723538.81223539717</v>
      </c>
      <c r="E2" s="2">
        <f>IFERROR((DL/(RadSpec!K2*EF_rec*(1/365)*ED_rec*def_acf!D2*ET_rec*(1/24)*RadSpec!AA2)),".")</f>
        <v>23742.08562115737</v>
      </c>
      <c r="F2" s="2">
        <f t="shared" ref="F2" si="0">(IF(AND(ISNUMBER(C2),ISNUMBER(D2),ISNUMBER(E2)),1/((1/C2)+(1/D2)+(1/E2)),IF(AND(ISNUMBER(C2),ISNUMBER(D2),NOT(ISNUMBER(E2))), 1/((1/C2)+(1/D2)),IF(AND(ISNUMBER(C2),NOT(ISNUMBER(D2)),ISNUMBER(E2)),1/((1/C2)+(1/E2)),IF(AND(NOT(ISNUMBER(C2)),ISNUMBER(D2),ISNUMBER(E2)),1/((1/D2)+(1/E2)),IF(AND(ISNUMBER(C2),NOT(ISNUMBER(D2)),NOT(ISNUMBER(E2))),1/((1/C2)),IF(AND(NOT(ISNUMBER(C2)),NOT(ISNUMBER(D2)),ISNUMBER(E2)),1/((1/E2)),IF(AND(NOT(ISNUMBER(C2)),ISNUMBER(D2),NOT(ISNUMBER(E2))),1/((1/D2)),IF(AND(NOT(ISNUMBER(C2)),NOT(ISNUMBER(D2)),NOT(ISNUMBER(E2))),".")))))))))</f>
        <v>546.857141136059</v>
      </c>
      <c r="G2" s="2">
        <f>IFERROR((DL/(RadSpec!K2*EF_rec*(1/365)*ED_rec*def_acf!D2*ET_rec*(1/24)*RadSpec!AA2)),".")</f>
        <v>23742.08562115737</v>
      </c>
      <c r="H2" s="2">
        <f>IFERROR((DL/(RadSpec!R2*EF_rec*(1/365)*ED_rec*def_acf!E2*ET_rec*(1/24)*RadSpec!W2)),".")</f>
        <v>82890.280215951148</v>
      </c>
      <c r="I2" s="2">
        <f>IFERROR((DL/(RadSpec!S2*EF_rec*(1/365)*ED_rec*def_acf!F2*ET_rec*(1/24)*RadSpec!X2)),".")</f>
        <v>33791.227010549082</v>
      </c>
      <c r="J2" s="2">
        <f>IFERROR((DL/(RadSpec!T2*EF_rec*(1/365)*ED_rec*def_acf!G2*ET_rec*(1/24)*RadSpec!AD2)),".")</f>
        <v>23585.006259719121</v>
      </c>
      <c r="K2" s="2">
        <f>IFERROR((DL/(RadSpec!P2*EF_rec*(1/365)*ED_rec*def_acf!C2*ET_rec*(1/24)*RadSpec!Z2)),".")</f>
        <v>79013.633145913176</v>
      </c>
      <c r="L2" s="2">
        <f>IFERROR((DL/(RadSpec!L2*IFA_rec_adj)),".")</f>
        <v>0.53227038936576987</v>
      </c>
      <c r="M2" s="2">
        <f>IFERROR((DL/(RadSpec!O2*EF_rec*(1/365)*ED_rec*ET_rec*(1/24)*GSF_o)),".")</f>
        <v>1.1047131907294889</v>
      </c>
      <c r="N2" s="2">
        <f t="shared" ref="N2" si="1">IFERROR(IF(AND(L2&lt;&gt;0,M2&lt;&gt;0),1/((1/L2)+(1/M2)),IF(AND(L2&lt;&gt;0,M2=0),1/((1/L2)),IF(AND(L2=0,M2&lt;&gt;0),1/((1/M2)),IF(AND(L2=0,M2=0),0)))),0)</f>
        <v>0.35920098852358068</v>
      </c>
      <c r="O2" s="2">
        <f>IFERROR(DL/(RadSpec!M2*IFW_rec_adj),".")</f>
        <v>837.51737647028551</v>
      </c>
      <c r="P2" s="2">
        <f>IFERROR(DL/(RadSpec!Q2*(1/8760)*DFA_rec_adj),".")</f>
        <v>496.24417932769109</v>
      </c>
      <c r="Q2" s="2">
        <f t="shared" ref="Q2" si="2">IFERROR(IF(AND(O2&lt;&gt;0,P2&lt;&gt;0),1/((1/O2)+(1/P2)),IF(AND(O2&lt;&gt;0,P2=0),1/((1/O2)),IF(AND(O2=0,P2&lt;&gt;0),1/((1/P2)),IF(AND(O2=0,P2=0),0)))),0)</f>
        <v>311.60976364363751</v>
      </c>
      <c r="R2" s="2">
        <f>IFERROR(DL/(RadSpec!J2*EF_rec*ED_rec*IRGL_rec*CF_game),".")</f>
        <v>68.902554562210398</v>
      </c>
      <c r="S2" s="2">
        <f>IFERROR((R2/(RadSpec!AM2*((Q_p_game*f_p_game*f_s_game*(RadSpec!BG2+R_es_past))+(Q_s_game*f_p_game)))),".")</f>
        <v>2551946.4652670515</v>
      </c>
      <c r="T2" s="2">
        <f>IFERROR(R2/(RadSpec!AM2*Q_w_game*(1/1000)),".")</f>
        <v>3445127728.1105199</v>
      </c>
      <c r="U2" s="2">
        <f>IFERROR(DL/(RadSpec!J2*EF_rec*ED_rec*IRGF_rec*CF_fowl),".")</f>
        <v>68.902554562210398</v>
      </c>
      <c r="V2" s="2" t="str">
        <f>IFERROR((R2/(RadSpec!AO2*((Q_p_fowl*f_p_fowl*f_s_fowl*(RadSpec!BG2+R_es_past))+(Q_s_fowl*f_p_fowl)))),".")</f>
        <v>.</v>
      </c>
      <c r="W2" s="2" t="str">
        <f>IFERROR(R2/(RadSpec!AO2*Q_w_fowl*(1/1000)),".")</f>
        <v>.</v>
      </c>
    </row>
    <row r="3" spans="1:23" x14ac:dyDescent="0.25">
      <c r="A3" s="32" t="s">
        <v>1</v>
      </c>
      <c r="B3" s="3" t="s">
        <v>336</v>
      </c>
      <c r="C3" s="2">
        <f>IFERROR(((DL)/(RadSpec!I3*IFS_rec_adj*(1/1000))),".")</f>
        <v>123.09911879495809</v>
      </c>
      <c r="D3" s="2">
        <f>IFERROR(IF(A3="H-3",(DL/(RadSpec!L3*IFA_rec_adj*(1/17)*1000))*RadSpec!#REF!,(DL/(RadSpec!L3*IFA_rec_adj*(1/PEF_wind)*1000))),".")</f>
        <v>67707.301695422502</v>
      </c>
      <c r="E3" s="2">
        <f>IFERROR((DL/(RadSpec!K3*EF_rec*(1/365)*ED_rec*def_acf!D3*ET_rec*(1/24)*RadSpec!AA3)),".")</f>
        <v>29176.165317256124</v>
      </c>
      <c r="F3" s="2">
        <f>IF(AND(C3&lt;&gt;".",D3&lt;&gt;".",E3&lt;&gt;"."),1/((1/C3)+(1/D3)+(1/E3)),IF(AND(C3&lt;&gt;".",D3&lt;&gt;".",E3="."), 1/((1/C3)+(1/D3)),IF(AND(C3&lt;&gt;".",D3=".",E3&lt;&gt;"."),1/((1/C3)+(1/E3)),IF(AND(C3=".",D3&lt;&gt;".",E3&lt;&gt;"."),1/((1/D3)+(1/E3)),IF(AND(C3&lt;&gt;".",D3=".",E3="."),1/((1/C3)),IF(AND(C3=".",D3&lt;&gt;".",E3="."),1/((1/D3)),IF(AND(C3=".",D3=".",E3&lt;&gt;"."),1/((1/E3)),IF(AND(C3=".",D3=".",E3="."),"."))))))))</f>
        <v>122.36039554044059</v>
      </c>
      <c r="G3" s="2">
        <f>IFERROR((DL/(RadSpec!K3*EF_rec*(1/365)*ED_rec*def_acf!D3*ET_rec*(1/24)*RadSpec!AA3)),".")</f>
        <v>29176.165317256124</v>
      </c>
      <c r="H3" s="2">
        <f>IFERROR((DL/(RadSpec!R3*EF_rec*(1/365)*ED_rec*def_acf!E3*ET_rec*(1/24)*RadSpec!W3)),".")</f>
        <v>67472.896949043236</v>
      </c>
      <c r="I3" s="2">
        <f>IFERROR((DL/(RadSpec!S3*EF_rec*(1/365)*ED_rec*def_acf!F3*ET_rec*(1/24)*RadSpec!X3)),".")</f>
        <v>35567.794214385489</v>
      </c>
      <c r="J3" s="2">
        <f>IFERROR((DL/(RadSpec!T3*EF_rec*(1/365)*ED_rec*def_acf!G3*ET_rec*(1/24)*RadSpec!AD3)),".")</f>
        <v>32417.375402667745</v>
      </c>
      <c r="K3" s="2">
        <f>IFERROR((DL/(RadSpec!P3*EF_rec*(1/365)*ED_rec*def_acf!C3*ET_rec*(1/24)*RadSpec!Z3)),".")</f>
        <v>54305.52158236254</v>
      </c>
      <c r="L3" s="2">
        <f>IFERROR((DL/(RadSpec!L3*IFA_rec_adj)),".")</f>
        <v>4.9808788729640847E-2</v>
      </c>
      <c r="M3" s="2">
        <f>IFERROR((DL/(RadSpec!O3*EF_rec*(1/365)*ED_rec*ET_rec*(1/24)*GSF_o)),".")</f>
        <v>0.93045783623942102</v>
      </c>
      <c r="N3" s="2">
        <f t="shared" ref="N3" si="3">IFERROR(IF(AND(L3&lt;&gt;0,M3&lt;&gt;0),1/((1/L3)+(1/M3)),IF(AND(L3&lt;&gt;0,M3=0),1/((1/L3)),IF(AND(L3=0,M3&lt;&gt;0),1/((1/M3)),IF(AND(L3=0,M3=0),0)))),0)</f>
        <v>4.7277930928792747E-2</v>
      </c>
      <c r="O3" s="2">
        <f>IFERROR(DL/(RadSpec!M3*IFW_rec_adj),".")</f>
        <v>184.04268398905853</v>
      </c>
      <c r="P3" s="2">
        <f>IFERROR(DL/(RadSpec!Q3*(1/8760)*DFA_rec_adj),".")</f>
        <v>406.01796490447458</v>
      </c>
      <c r="Q3" s="2">
        <f t="shared" ref="Q3" si="4">IFERROR(IF(AND(O3&lt;&gt;0,P3&lt;&gt;0),1/((1/O3)+(1/P3)),IF(AND(O3&lt;&gt;0,P3=0),1/((1/O3)),IF(AND(O3=0,P3&lt;&gt;0),1/((1/P3)),IF(AND(O3=0,P3=0),0)))),0)</f>
        <v>126.6389076257104</v>
      </c>
      <c r="R3" s="2">
        <f>IFERROR(DL/(RadSpec!J3*EF_rec*ED_rec*IRGL_rec*CF_game),".")</f>
        <v>15.141191611779846</v>
      </c>
      <c r="S3" s="2">
        <f>IFERROR((R3/(RadSpec!AM3*((Q_p_game*f_p_game*f_s_game*(RadSpec!BG3+R_es_past))+(Q_s_game*f_p_game)))),".")</f>
        <v>24225.416501456461</v>
      </c>
      <c r="T3" s="2">
        <f>IFERROR(R3/(RadSpec!AM3*Q_w_game*(1/1000)),".")</f>
        <v>30282383.223559693</v>
      </c>
      <c r="U3" s="2">
        <f>IFERROR(DL/(RadSpec!J3*EF_rec*ED_rec*IRGF_rec*CF_fowl),".")</f>
        <v>15.141191611779846</v>
      </c>
      <c r="V3" s="2">
        <f>IFERROR((R3/(RadSpec!AO3*((Q_p_fowl*f_p_fowl*f_s_fowl*(RadSpec!BG3+R_es_past))+(Q_s_fowl*f_p_fowl)))),".")</f>
        <v>2018.784708454705</v>
      </c>
      <c r="W3" s="2">
        <f>IFERROR(R3/(RadSpec!AO3*Q_w_fowl*(1/1000)),".")</f>
        <v>2523531.9352966407</v>
      </c>
    </row>
    <row r="4" spans="1:23" customFormat="1" x14ac:dyDescent="0.25">
      <c r="A4" s="31" t="s">
        <v>2</v>
      </c>
      <c r="B4" s="3" t="s">
        <v>1059</v>
      </c>
      <c r="C4" s="2" t="str">
        <f>IFERROR(((DL)/(RadSpec!I4*IFS_rec_adj*(1/1000))),".")</f>
        <v>.</v>
      </c>
      <c r="D4" s="2" t="str">
        <f>IFERROR(IF(A4="H-3",(DL/(RadSpec!L4*IFA_rec_adj*(1/17)*1000))*RadSpec!#REF!,(DL/(RadSpec!L4*IFA_rec_adj*(1/PEF_wind)*1000))),".")</f>
        <v>.</v>
      </c>
      <c r="E4" s="2">
        <f>IFERROR((DL/(RadSpec!K4*EF_rec*(1/365)*ED_rec*def_acf!D4*ET_rec*(1/24)*RadSpec!AA4)),".")</f>
        <v>1297791.4194653612</v>
      </c>
      <c r="F4" s="2">
        <f t="shared" ref="F4:F5" si="5">IF(AND(C4&lt;&gt;".",D4&lt;&gt;".",E4&lt;&gt;"."),1/((1/C4)+(1/D4)+(1/E4)),IF(AND(C4&lt;&gt;".",D4&lt;&gt;".",E4="."), 1/((1/C4)+(1/D4)),IF(AND(C4&lt;&gt;".",D4=".",E4&lt;&gt;"."),1/((1/C4)+(1/E4)),IF(AND(C4=".",D4&lt;&gt;".",E4&lt;&gt;"."),1/((1/D4)+(1/E4)),IF(AND(C4&lt;&gt;".",D4=".",E4="."),1/((1/C4)),IF(AND(C4=".",D4&lt;&gt;".",E4="."),1/((1/D4)),IF(AND(C4=".",D4=".",E4&lt;&gt;"."),1/((1/E4)),IF(AND(C4=".",D4=".",E4="."),"."))))))))</f>
        <v>1297791.4194653612</v>
      </c>
      <c r="G4" s="2">
        <f>IFERROR((DL/(RadSpec!K4*EF_rec*(1/365)*ED_rec*def_acf!D4*ET_rec*(1/24)*RadSpec!AA4)),".")</f>
        <v>1297791.4194653612</v>
      </c>
      <c r="H4" s="2">
        <f>IFERROR((DL/(RadSpec!R4*EF_rec*(1/365)*ED_rec*def_acf!E4*ET_rec*(1/24)*RadSpec!W4)),".")</f>
        <v>8561382.4806180671</v>
      </c>
      <c r="I4" s="2">
        <f>IFERROR((DL/(RadSpec!S4*EF_rec*(1/365)*ED_rec*def_acf!F4*ET_rec*(1/24)*RadSpec!X4)),".")</f>
        <v>2187270.2866822211</v>
      </c>
      <c r="J4" s="2">
        <f>IFERROR((DL/(RadSpec!T4*EF_rec*(1/365)*ED_rec*def_acf!G4*ET_rec*(1/24)*RadSpec!AD4)),".")</f>
        <v>1256258.4892489887</v>
      </c>
      <c r="K4" s="2">
        <f>IFERROR((DL/(RadSpec!P4*EF_rec*(1/365)*ED_rec*def_acf!C4*ET_rec*(1/24)*RadSpec!Z4)),".")</f>
        <v>10476852.515552316</v>
      </c>
      <c r="L4" s="2" t="str">
        <f>IFERROR((DL/(RadSpec!L4*IFA_rec_adj)),".")</f>
        <v>.</v>
      </c>
      <c r="M4" s="2">
        <f>IFERROR((DL/(RadSpec!O4*EF_rec*(1/365)*ED_rec*ET_rec*(1/24)*GSF_o)),".")</f>
        <v>58.987515655933102</v>
      </c>
      <c r="N4" s="2">
        <f t="shared" ref="N4:N5" si="6">IFERROR(IF(AND(L4&lt;&gt;0,M4&lt;&gt;0),1/((1/L4)+(1/M4)),IF(AND(L4&lt;&gt;0,M4=0),1/((1/L4)),IF(AND(L4=0,M4&lt;&gt;0),1/((1/M4)),IF(AND(L4=0,M4=0),0)))),0)</f>
        <v>0</v>
      </c>
      <c r="O4" s="2" t="str">
        <f>IFERROR(DL/(RadSpec!M4*IFW_rec_adj),".")</f>
        <v>.</v>
      </c>
      <c r="P4" s="2">
        <f>IFERROR(DL/(RadSpec!Q4*(1/8760)*DFA_rec_adj),".")</f>
        <v>27067.864326964969</v>
      </c>
      <c r="Q4" s="2">
        <f t="shared" ref="Q4:Q5" si="7">IFERROR(IF(AND(O4&lt;&gt;0,P4&lt;&gt;0),1/((1/O4)+(1/P4)),IF(AND(O4&lt;&gt;0,P4=0),1/((1/O4)),IF(AND(O4=0,P4&lt;&gt;0),1/((1/P4)),IF(AND(O4=0,P4=0),0)))),0)</f>
        <v>0</v>
      </c>
      <c r="R4" s="2" t="str">
        <f>IFERROR(DL/(RadSpec!J4*EF_rec*ED_rec*IRGL_rec*CF_game),".")</f>
        <v>.</v>
      </c>
      <c r="S4" s="2" t="str">
        <f>IFERROR((R4/(RadSpec!AM4*((Q_p_game*f_p_game*f_s_game*(RadSpec!BG4+R_es_past))+(Q_s_game*f_p_game)))),".")</f>
        <v>.</v>
      </c>
      <c r="T4" s="2" t="str">
        <f>IFERROR(R4/(RadSpec!AM4*Q_w_game*(1/1000)),".")</f>
        <v>.</v>
      </c>
      <c r="U4" s="2" t="str">
        <f>IFERROR(DL/(RadSpec!J4*EF_rec*ED_rec*IRGF_rec*CF_fowl),".")</f>
        <v>.</v>
      </c>
      <c r="V4" s="2" t="str">
        <f>IFERROR((R4/(RadSpec!AO4*((Q_p_fowl*f_p_fowl*f_s_fowl*(RadSpec!BG4+R_es_past))+(Q_s_fowl*f_p_fowl)))),".")</f>
        <v>.</v>
      </c>
      <c r="W4" s="2" t="str">
        <f>IFERROR(R4/(RadSpec!AO4*Q_w_fowl*(1/1000)),".")</f>
        <v>.</v>
      </c>
    </row>
    <row r="5" spans="1:23" customFormat="1" x14ac:dyDescent="0.25">
      <c r="A5" s="31" t="s">
        <v>3</v>
      </c>
      <c r="B5" s="3" t="s">
        <v>1059</v>
      </c>
      <c r="C5" s="2" t="str">
        <f>IFERROR(((DL)/(RadSpec!I5*IFS_rec_adj*(1/1000))),".")</f>
        <v>.</v>
      </c>
      <c r="D5" s="2" t="str">
        <f>IFERROR(IF(A5="H-3",(DL/(RadSpec!L5*IFA_rec_adj*(1/17)*1000))*RadSpec!#REF!,(DL/(RadSpec!L5*IFA_rec_adj*(1/PEF_wind)*1000))),".")</f>
        <v>.</v>
      </c>
      <c r="E5" s="2">
        <f>IFERROR((DL/(RadSpec!K5*EF_rec*(1/365)*ED_rec*def_acf!D5*ET_rec*(1/24)*RadSpec!AA5)),".")</f>
        <v>2331348.4934857972</v>
      </c>
      <c r="F5" s="2">
        <f t="shared" si="5"/>
        <v>2331348.4934857972</v>
      </c>
      <c r="G5" s="2">
        <f>IFERROR((DL/(RadSpec!K5*EF_rec*(1/365)*ED_rec*def_acf!D5*ET_rec*(1/24)*RadSpec!AA5)),".")</f>
        <v>2331348.4934857972</v>
      </c>
      <c r="H5" s="2">
        <f>IFERROR((DL/(RadSpec!R5*EF_rec*(1/365)*ED_rec*def_acf!E5*ET_rec*(1/24)*RadSpec!W5)),".")</f>
        <v>4567665.0299721733</v>
      </c>
      <c r="I5" s="2">
        <f>IFERROR((DL/(RadSpec!S5*EF_rec*(1/365)*ED_rec*def_acf!F5*ET_rec*(1/24)*RadSpec!X5)),".")</f>
        <v>3257111.3504864858</v>
      </c>
      <c r="J5" s="2">
        <f>IFERROR((DL/(RadSpec!T5*EF_rec*(1/365)*ED_rec*def_acf!G5*ET_rec*(1/24)*RadSpec!AD5)),".")</f>
        <v>2429167.3113942915</v>
      </c>
      <c r="K5" s="2">
        <f>IFERROR((DL/(RadSpec!P5*EF_rec*(1/365)*ED_rec*def_acf!C5*ET_rec*(1/24)*RadSpec!Z5)),".")</f>
        <v>888128.50489497208</v>
      </c>
      <c r="L5" s="2" t="str">
        <f>IFERROR((DL/(RadSpec!L5*IFA_rec_adj)),".")</f>
        <v>.</v>
      </c>
      <c r="M5" s="2">
        <f>IFERROR((DL/(RadSpec!O5*EF_rec*(1/365)*ED_rec*ET_rec*(1/24)*GSF_o)),".")</f>
        <v>638.02823056417435</v>
      </c>
      <c r="N5" s="2">
        <f t="shared" si="6"/>
        <v>0</v>
      </c>
      <c r="O5" s="2" t="str">
        <f>IFERROR(DL/(RadSpec!M5*IFW_rec_adj),".")</f>
        <v>.</v>
      </c>
      <c r="P5" s="2">
        <f>IFERROR(DL/(RadSpec!Q5*(1/8760)*DFA_rec_adj),".")</f>
        <v>500214.13276231266</v>
      </c>
      <c r="Q5" s="2">
        <f t="shared" si="7"/>
        <v>0</v>
      </c>
      <c r="R5" s="2" t="str">
        <f>IFERROR(DL/(RadSpec!J5*EF_rec*ED_rec*IRGL_rec*CF_game),".")</f>
        <v>.</v>
      </c>
      <c r="S5" s="2" t="str">
        <f>IFERROR((R5/(RadSpec!AM5*((Q_p_game*f_p_game*f_s_game*(RadSpec!BG5+R_es_past))+(Q_s_game*f_p_game)))),".")</f>
        <v>.</v>
      </c>
      <c r="T5" s="2" t="str">
        <f>IFERROR(R5/(RadSpec!AM5*Q_w_game*(1/1000)),".")</f>
        <v>.</v>
      </c>
      <c r="U5" s="2" t="str">
        <f>IFERROR(DL/(RadSpec!J5*EF_rec*ED_rec*IRGF_rec*CF_fowl),".")</f>
        <v>.</v>
      </c>
      <c r="V5" s="2" t="str">
        <f>IFERROR((R5/(RadSpec!AO5*((Q_p_fowl*f_p_fowl*f_s_fowl*(RadSpec!BG5+R_es_past))+(Q_s_fowl*f_p_fowl)))),".")</f>
        <v>.</v>
      </c>
      <c r="W5" s="2" t="str">
        <f>IFERROR(R5/(RadSpec!AO5*Q_w_fowl*(1/1000)),".")</f>
        <v>.</v>
      </c>
    </row>
    <row r="6" spans="1:23" customFormat="1" x14ac:dyDescent="0.25">
      <c r="A6" s="31" t="s">
        <v>4</v>
      </c>
      <c r="B6" s="3" t="s">
        <v>1059</v>
      </c>
      <c r="C6" s="2" t="str">
        <f>IFERROR(((DL)/(RadSpec!I6*IFS_rec_adj*(1/1000))),".")</f>
        <v>.</v>
      </c>
      <c r="D6" s="2" t="str">
        <f>IFERROR(IF(A6="H-3",(DL/(RadSpec!L6*IFA_rec_adj*(1/17)*1000))*RadSpec!#REF!,(DL/(RadSpec!L6*IFA_rec_adj*(1/PEF_wind)*1000))),".")</f>
        <v>.</v>
      </c>
      <c r="E6" s="2">
        <f>IFERROR((DL/(RadSpec!K6*EF_rec*(1/365)*ED_rec*def_acf!D6*ET_rec*(1/24)*RadSpec!AA6)),".")</f>
        <v>394.20502019396719</v>
      </c>
      <c r="F6" s="2">
        <f>IF(AND(C6&lt;&gt;".",D6&lt;&gt;".",E6&lt;&gt;"."),1/((1/C6)+(1/D6)+(1/E6)),IF(AND(C6&lt;&gt;".",D6&lt;&gt;".",E6="."), 1/((1/C6)+(1/D6)),IF(AND(C6&lt;&gt;".",D6=".",E6&lt;&gt;"."),1/((1/C6)+(1/E6)),IF(AND(C6=".",D6&lt;&gt;".",E6&lt;&gt;"."),1/((1/D6)+(1/E6)),IF(AND(C6&lt;&gt;".",D6=".",E6="."),1/((1/C6)),IF(AND(C6=".",D6&lt;&gt;".",E6="."),1/((1/D6)),IF(AND(C6=".",D6=".",E6&lt;&gt;"."),1/((1/E6)),IF(AND(C6=".",D6=".",E6="."),"."))))))))</f>
        <v>394.20502019396719</v>
      </c>
      <c r="G6" s="2">
        <f>IFERROR((DL/(RadSpec!K6*EF_rec*(1/365)*ED_rec*def_acf!D6*ET_rec*(1/24)*RadSpec!AA6)),".")</f>
        <v>394.20502019396719</v>
      </c>
      <c r="H6" s="2">
        <f>IFERROR((DL/(RadSpec!R6*EF_rec*(1/365)*ED_rec*def_acf!E6*ET_rec*(1/24)*RadSpec!W6)),".")</f>
        <v>3724.0666790987962</v>
      </c>
      <c r="I6" s="2">
        <f>IFERROR((DL/(RadSpec!S6*EF_rec*(1/365)*ED_rec*def_acf!F6*ET_rec*(1/24)*RadSpec!X6)),".")</f>
        <v>896.7172184332527</v>
      </c>
      <c r="J6" s="2">
        <f>IFERROR((DL/(RadSpec!T6*EF_rec*(1/365)*ED_rec*def_acf!G6*ET_rec*(1/24)*RadSpec!AD6)),".")</f>
        <v>445.06063179309893</v>
      </c>
      <c r="K6" s="2">
        <f>IFERROR((DL/(RadSpec!P6*EF_rec*(1/365)*ED_rec*def_acf!C6*ET_rec*(1/24)*RadSpec!Z6)),".")</f>
        <v>5535.2629787814967</v>
      </c>
      <c r="L6" s="2" t="str">
        <f>IFERROR((DL/(RadSpec!L6*IFA_rec_adj)),".")</f>
        <v>.</v>
      </c>
      <c r="M6" s="2">
        <f>IFERROR((DL/(RadSpec!O6*EF_rec*(1/365)*ED_rec*ET_rec*(1/24)*GSF_o)),".")</f>
        <v>2.3244151150665086E-2</v>
      </c>
      <c r="N6" s="2">
        <f t="shared" ref="N6" si="8">IFERROR(IF(AND(L6&lt;&gt;0,M6&lt;&gt;0),1/((1/L6)+(1/M6)),IF(AND(L6&lt;&gt;0,M6=0),1/((1/L6)),IF(AND(L6=0,M6&lt;&gt;0),1/((1/M6)),IF(AND(L6=0,M6=0),0)))),0)</f>
        <v>0</v>
      </c>
      <c r="O6" s="2" t="str">
        <f>IFERROR(DL/(RadSpec!M6*IFW_rec_adj),".")</f>
        <v>.</v>
      </c>
      <c r="P6" s="2">
        <f>IFERROR(DL/(RadSpec!Q6*(1/8760)*DFA_rec_adj),".")</f>
        <v>10.725002846533291</v>
      </c>
      <c r="Q6" s="2">
        <f t="shared" ref="Q6" si="9">IFERROR(IF(AND(O6&lt;&gt;0,P6&lt;&gt;0),1/((1/O6)+(1/P6)),IF(AND(O6&lt;&gt;0,P6=0),1/((1/O6)),IF(AND(O6=0,P6&lt;&gt;0),1/((1/P6)),IF(AND(O6=0,P6=0),0)))),0)</f>
        <v>0</v>
      </c>
      <c r="R6" s="2" t="str">
        <f>IFERROR(DL/(RadSpec!J6*EF_rec*ED_rec*IRGL_rec*CF_game),".")</f>
        <v>.</v>
      </c>
      <c r="S6" s="2" t="str">
        <f>IFERROR((R6/(RadSpec!AM6*((Q_p_game*f_p_game*f_s_game*(RadSpec!BG6+R_es_past))+(Q_s_game*f_p_game)))),".")</f>
        <v>.</v>
      </c>
      <c r="T6" s="2" t="str">
        <f>IFERROR(R6/(RadSpec!AM6*Q_w_game*(1/1000)),".")</f>
        <v>.</v>
      </c>
      <c r="U6" s="2" t="str">
        <f>IFERROR(DL/(RadSpec!J6*EF_rec*ED_rec*IRGF_rec*CF_fowl),".")</f>
        <v>.</v>
      </c>
      <c r="V6" s="2" t="str">
        <f>IFERROR((R6/(RadSpec!AO6*((Q_p_fowl*f_p_fowl*f_s_fowl*(RadSpec!BG6+R_es_past))+(Q_s_fowl*f_p_fowl)))),".")</f>
        <v>.</v>
      </c>
      <c r="W6" s="2" t="str">
        <f>IFERROR(R6/(RadSpec!AO6*Q_w_fowl*(1/1000)),".")</f>
        <v>.</v>
      </c>
    </row>
    <row r="7" spans="1:23" customFormat="1" x14ac:dyDescent="0.25">
      <c r="A7" s="31" t="s">
        <v>5</v>
      </c>
      <c r="B7" s="3" t="s">
        <v>1059</v>
      </c>
      <c r="C7" s="2">
        <f>IFERROR(((DL)/(RadSpec!I7*IFS_rec_adj*(1/1000))),".")</f>
        <v>16276.439040666684</v>
      </c>
      <c r="D7" s="2">
        <f>IFERROR(IF(A7="H-3",(DL/(RadSpec!L7*IFA_rec_adj*(1/17)*1000))*RadSpec!#REF!,(DL/(RadSpec!L7*IFA_rec_adj*(1/PEF_wind)*1000))),".")</f>
        <v>45493741.755622923</v>
      </c>
      <c r="E7" s="2">
        <f>IFERROR((DL/(RadSpec!K7*EF_rec*(1/365)*ED_rec*def_acf!D7*ET_rec*(1/24)*RadSpec!AA7)),".")</f>
        <v>285741.5723392049</v>
      </c>
      <c r="F7" s="2">
        <f>IF(AND(C7&lt;&gt;".",D7&lt;&gt;".",E7&lt;&gt;"."),1/((1/C7)+(1/D7)+(1/E7)),IF(AND(C7&lt;&gt;".",D7&lt;&gt;".",E7="."), 1/((1/C7)+(1/D7)),IF(AND(C7&lt;&gt;".",D7=".",E7&lt;&gt;"."),1/((1/C7)+(1/E7)),IF(AND(C7=".",D7&lt;&gt;".",E7&lt;&gt;"."),1/((1/D7)+(1/E7)),IF(AND(C7&lt;&gt;".",D7=".",E7="."),1/((1/C7)),IF(AND(C7=".",D7&lt;&gt;".",E7="."),1/((1/D7)),IF(AND(C7=".",D7=".",E7&lt;&gt;"."),1/((1/E7)),IF(AND(C7=".",D7=".",E7="."),"."))))))))</f>
        <v>15394.053877848639</v>
      </c>
      <c r="G7" s="2">
        <f>IFERROR((DL/(RadSpec!K7*EF_rec*(1/365)*ED_rec*def_acf!D7*ET_rec*(1/24)*RadSpec!AA7)),".")</f>
        <v>285741.5723392049</v>
      </c>
      <c r="H7" s="2">
        <f>IFERROR((DL/(RadSpec!R7*EF_rec*(1/365)*ED_rec*def_acf!E7*ET_rec*(1/24)*RadSpec!W7)),".")</f>
        <v>744366.26899153669</v>
      </c>
      <c r="I7" s="2">
        <f>IFERROR((DL/(RadSpec!S7*EF_rec*(1/365)*ED_rec*def_acf!F7*ET_rec*(1/24)*RadSpec!X7)),".")</f>
        <v>357504.00070870714</v>
      </c>
      <c r="J7" s="2">
        <f>IFERROR((DL/(RadSpec!T7*EF_rec*(1/365)*ED_rec*def_acf!G7*ET_rec*(1/24)*RadSpec!AD7)),".")</f>
        <v>262674.15254818671</v>
      </c>
      <c r="K7" s="2">
        <f>IFERROR((DL/(RadSpec!P7*EF_rec*(1/365)*ED_rec*def_acf!C7*ET_rec*(1/24)*RadSpec!Z7)),".")</f>
        <v>74518.376513113224</v>
      </c>
      <c r="L7" s="2">
        <f>IFERROR((DL/(RadSpec!L7*IFA_rec_adj)),".")</f>
        <v>33.467412153272377</v>
      </c>
      <c r="M7" s="2">
        <f>IFERROR((DL/(RadSpec!O7*EF_rec*(1/365)*ED_rec*ET_rec*(1/24)*GSF_o)),".")</f>
        <v>2.4235180850887241</v>
      </c>
      <c r="N7" s="2">
        <f t="shared" ref="N7" si="10">IFERROR(IF(AND(L7&lt;&gt;0,M7&lt;&gt;0),1/((1/L7)+(1/M7)),IF(AND(L7&lt;&gt;0,M7=0),1/((1/L7)),IF(AND(L7=0,M7&lt;&gt;0),1/((1/M7)),IF(AND(L7=0,M7=0),0)))),0)</f>
        <v>2.2598711729093779</v>
      </c>
      <c r="O7" s="2">
        <f>IFERROR(DL/(RadSpec!M7*IFW_rec_adj),".")</f>
        <v>24334.53266077552</v>
      </c>
      <c r="P7" s="2">
        <f>IFERROR(DL/(RadSpec!Q7*(1/8760)*DFA_rec_adj),".")</f>
        <v>2098.2136441372177</v>
      </c>
      <c r="Q7" s="2">
        <f t="shared" ref="Q7" si="11">IFERROR(IF(AND(O7&lt;&gt;0,P7&lt;&gt;0),1/((1/O7)+(1/P7)),IF(AND(O7&lt;&gt;0,P7=0),1/((1/O7)),IF(AND(O7=0,P7&lt;&gt;0),1/((1/P7)),IF(AND(O7=0,P7=0),0)))),0)</f>
        <v>1931.6588546477374</v>
      </c>
      <c r="R7" s="2">
        <f>IFERROR(DL/(RadSpec!J7*EF_rec*ED_rec*IRGL_rec*CF_game),".")</f>
        <v>2002.0020020020022</v>
      </c>
      <c r="S7" s="2">
        <f>IFERROR((R7/(RadSpec!AM7*((Q_p_game*f_p_game*f_s_game*(RadSpec!BG7+R_es_past))+(Q_s_game*f_p_game)))),".")</f>
        <v>572000.57200057199</v>
      </c>
      <c r="T7" s="2">
        <f>IFERROR(R7/(RadSpec!AM7*Q_w_game*(1/1000)),".")</f>
        <v>1001001001.0010011</v>
      </c>
      <c r="U7" s="2">
        <f>IFERROR(DL/(RadSpec!J7*EF_rec*ED_rec*IRGF_rec*CF_fowl),".")</f>
        <v>2002.0020020020022</v>
      </c>
      <c r="V7" s="2" t="str">
        <f>IFERROR((R7/(RadSpec!AO7*((Q_p_fowl*f_p_fowl*f_s_fowl*(RadSpec!BG7+R_es_past))+(Q_s_fowl*f_p_fowl)))),".")</f>
        <v>.</v>
      </c>
      <c r="W7" s="2" t="str">
        <f>IFERROR(R7/(RadSpec!AO7*Q_w_fowl*(1/1000)),".")</f>
        <v>.</v>
      </c>
    </row>
    <row r="8" spans="1:23" customFormat="1" x14ac:dyDescent="0.25">
      <c r="A8" s="31" t="s">
        <v>6</v>
      </c>
      <c r="B8" s="3" t="s">
        <v>1059</v>
      </c>
      <c r="C8" s="2">
        <f>IFERROR(((DL)/(RadSpec!I8*IFS_rec_adj*(1/1000))),".")</f>
        <v>109319.3666910449</v>
      </c>
      <c r="D8" s="2">
        <f>IFERROR(IF(A8="H-3",(DL/(RadSpec!L8*IFA_rec_adj*(1/17)*1000))*RadSpec!#REF!,(DL/(RadSpec!L8*IFA_rec_adj*(1/PEF_wind)*1000))),".")</f>
        <v>187101022.43157595</v>
      </c>
      <c r="E8" s="2">
        <f>IFERROR((DL/(RadSpec!K8*EF_rec*(1/365)*ED_rec*def_acf!D8*ET_rec*(1/24)*RadSpec!AA8)),".")</f>
        <v>1927.0245537386941</v>
      </c>
      <c r="F8" s="2">
        <f t="shared" ref="F8:F9" si="12">IF(AND(C8&lt;&gt;".",D8&lt;&gt;".",E8&lt;&gt;"."),1/((1/C8)+(1/D8)+(1/E8)),IF(AND(C8&lt;&gt;".",D8&lt;&gt;".",E8="."), 1/((1/C8)+(1/D8)),IF(AND(C8&lt;&gt;".",D8=".",E8&lt;&gt;"."),1/((1/C8)+(1/E8)),IF(AND(C8=".",D8&lt;&gt;".",E8&lt;&gt;"."),1/((1/D8)+(1/E8)),IF(AND(C8&lt;&gt;".",D8=".",E8="."),1/((1/C8)),IF(AND(C8=".",D8&lt;&gt;".",E8="."),1/((1/D8)),IF(AND(C8=".",D8=".",E8&lt;&gt;"."),1/((1/E8)),IF(AND(C8=".",D8=".",E8="."),"."))))))))</f>
        <v>1893.6252167994362</v>
      </c>
      <c r="G8" s="2">
        <f>IFERROR((DL/(RadSpec!K8*EF_rec*(1/365)*ED_rec*def_acf!D8*ET_rec*(1/24)*RadSpec!AA8)),".")</f>
        <v>1927.0245537386941</v>
      </c>
      <c r="H8" s="2">
        <f>IFERROR((DL/(RadSpec!R8*EF_rec*(1/365)*ED_rec*def_acf!E8*ET_rec*(1/24)*RadSpec!W8)),".")</f>
        <v>16320.656505594136</v>
      </c>
      <c r="I8" s="2">
        <f>IFERROR((DL/(RadSpec!S8*EF_rec*(1/365)*ED_rec*def_acf!F8*ET_rec*(1/24)*RadSpec!X8)),".")</f>
        <v>3943.1294249281423</v>
      </c>
      <c r="J8" s="2">
        <f>IFERROR((DL/(RadSpec!T8*EF_rec*(1/365)*ED_rec*def_acf!G8*ET_rec*(1/24)*RadSpec!AD8)),".")</f>
        <v>2173.8110626012513</v>
      </c>
      <c r="K8" s="2">
        <f>IFERROR((DL/(RadSpec!P8*EF_rec*(1/365)*ED_rec*def_acf!C8*ET_rec*(1/24)*RadSpec!Z8)),".")</f>
        <v>18244.45539597734</v>
      </c>
      <c r="L8" s="2">
        <f>IFERROR((DL/(RadSpec!L8*IFA_rec_adj)),".")</f>
        <v>137.64062463035967</v>
      </c>
      <c r="M8" s="2">
        <f>IFERROR((DL/(RadSpec!O8*EF_rec*(1/365)*ED_rec*ET_rec*(1/24)*GSF_o)),".")</f>
        <v>0.105263916827086</v>
      </c>
      <c r="N8" s="2">
        <f t="shared" ref="N8:N9" si="13">IFERROR(IF(AND(L8&lt;&gt;0,M8&lt;&gt;0),1/((1/L8)+(1/M8)),IF(AND(L8&lt;&gt;0,M8=0),1/((1/L8)),IF(AND(L8=0,M8&lt;&gt;0),1/((1/M8)),IF(AND(L8=0,M8=0),0)))),0)</f>
        <v>0.10518347528140616</v>
      </c>
      <c r="O8" s="2">
        <f>IFERROR(DL/(RadSpec!M8*IFW_rec_adj),".")</f>
        <v>163440.89100520872</v>
      </c>
      <c r="P8" s="2">
        <f>IFERROR(DL/(RadSpec!Q8*(1/8760)*DFA_rec_adj),".")</f>
        <v>49.624417932769106</v>
      </c>
      <c r="Q8" s="2">
        <f t="shared" ref="Q8:Q9" si="14">IFERROR(IF(AND(O8&lt;&gt;0,P8&lt;&gt;0),1/((1/O8)+(1/P8)),IF(AND(O8&lt;&gt;0,P8=0),1/((1/O8)),IF(AND(O8=0,P8&lt;&gt;0),1/((1/P8)),IF(AND(O8=0,P8=0),0)))),0)</f>
        <v>49.609355390157425</v>
      </c>
      <c r="R8" s="2">
        <f>IFERROR(DL/(RadSpec!J8*EF_rec*ED_rec*IRGL_rec*CF_game),".")</f>
        <v>13446.282102998523</v>
      </c>
      <c r="S8" s="2">
        <f>IFERROR((R8/(RadSpec!AM8*((Q_p_game*f_p_game*f_s_game*(RadSpec!BG8+R_es_past))+(Q_s_game*f_p_game)))),".")</f>
        <v>3841794.8865710064</v>
      </c>
      <c r="T8" s="2">
        <f>IFERROR(R8/(RadSpec!AM8*Q_w_game*(1/1000)),".")</f>
        <v>6723141051.4992619</v>
      </c>
      <c r="U8" s="2">
        <f>IFERROR(DL/(RadSpec!J8*EF_rec*ED_rec*IRGF_rec*CF_fowl),".")</f>
        <v>13446.282102998523</v>
      </c>
      <c r="V8" s="2" t="str">
        <f>IFERROR((R8/(RadSpec!AO8*((Q_p_fowl*f_p_fowl*f_s_fowl*(RadSpec!BG8+R_es_past))+(Q_s_fowl*f_p_fowl)))),".")</f>
        <v>.</v>
      </c>
      <c r="W8" s="2" t="str">
        <f>IFERROR(R8/(RadSpec!AO8*Q_w_fowl*(1/1000)),".")</f>
        <v>.</v>
      </c>
    </row>
    <row r="9" spans="1:23" customFormat="1" x14ac:dyDescent="0.25">
      <c r="A9" s="31" t="s">
        <v>7</v>
      </c>
      <c r="B9" s="3" t="s">
        <v>1059</v>
      </c>
      <c r="C9" s="2">
        <f>IFERROR(((DL)/(RadSpec!I9*IFS_rec_adj*(1/1000))),".")</f>
        <v>196628.12263892635</v>
      </c>
      <c r="D9" s="2">
        <f>IFERROR(IF(A9="H-3",(DL/(RadSpec!L9*IFA_rec_adj*(1/17)*1000))*RadSpec!#REF!,(DL/(RadSpec!L9*IFA_rec_adj*(1/PEF_wind)*1000))),".")</f>
        <v>671467740.33845627</v>
      </c>
      <c r="E9" s="2">
        <f>IFERROR((DL/(RadSpec!K9*EF_rec*(1/365)*ED_rec*def_acf!D9*ET_rec*(1/24)*RadSpec!AA9)),".")</f>
        <v>136.52218347374742</v>
      </c>
      <c r="F9" s="2">
        <f t="shared" si="12"/>
        <v>136.42743189514792</v>
      </c>
      <c r="G9" s="2">
        <f>IFERROR((DL/(RadSpec!K9*EF_rec*(1/365)*ED_rec*def_acf!D9*ET_rec*(1/24)*RadSpec!AA9)),".")</f>
        <v>136.52218347374742</v>
      </c>
      <c r="H9" s="2">
        <f>IFERROR((DL/(RadSpec!R9*EF_rec*(1/365)*ED_rec*def_acf!E9*ET_rec*(1/24)*RadSpec!W9)),".")</f>
        <v>1667.9208281052872</v>
      </c>
      <c r="I9" s="2">
        <f>IFERROR((DL/(RadSpec!S9*EF_rec*(1/365)*ED_rec*def_acf!F9*ET_rec*(1/24)*RadSpec!X9)),".")</f>
        <v>382.49699808037025</v>
      </c>
      <c r="J9" s="2">
        <f>IFERROR((DL/(RadSpec!T9*EF_rec*(1/365)*ED_rec*def_acf!G9*ET_rec*(1/24)*RadSpec!AD9)),".")</f>
        <v>181.92481109318777</v>
      </c>
      <c r="K9" s="2">
        <f>IFERROR((DL/(RadSpec!P9*EF_rec*(1/365)*ED_rec*def_acf!C9*ET_rec*(1/24)*RadSpec!Z9)),".")</f>
        <v>2429.3507657987038</v>
      </c>
      <c r="L9" s="2">
        <f>IFERROR((DL/(RadSpec!L9*IFA_rec_adj)),".")</f>
        <v>493.96437281961033</v>
      </c>
      <c r="M9" s="2">
        <f>IFERROR((DL/(RadSpec!O9*EF_rec*(1/365)*ED_rec*ET_rec*(1/24)*GSF_o)),".")</f>
        <v>8.7942006463135134E-3</v>
      </c>
      <c r="N9" s="2">
        <f t="shared" si="13"/>
        <v>8.7940440832243207E-3</v>
      </c>
      <c r="O9" s="2">
        <f>IFERROR(DL/(RadSpec!M9*IFW_rec_adj),".")</f>
        <v>293974.22006305994</v>
      </c>
      <c r="P9" s="2">
        <f>IFERROR(DL/(RadSpec!Q9*(1/8760)*DFA_rec_adj),".")</f>
        <v>4.0601796490447457</v>
      </c>
      <c r="Q9" s="2">
        <f t="shared" si="14"/>
        <v>4.0601235732735397</v>
      </c>
      <c r="R9" s="2">
        <f>IFERROR(DL/(RadSpec!J9*EF_rec*ED_rec*IRGL_rec*CF_game),".")</f>
        <v>24185.259084587942</v>
      </c>
      <c r="S9" s="2">
        <f>IFERROR((R9/(RadSpec!AM9*((Q_p_game*f_p_game*f_s_game*(RadSpec!BG9+R_es_past))+(Q_s_game*f_p_game)))),".")</f>
        <v>6910074.0241679838</v>
      </c>
      <c r="T9" s="2">
        <f>IFERROR(R9/(RadSpec!AM9*Q_w_game*(1/1000)),".")</f>
        <v>12092629542.293972</v>
      </c>
      <c r="U9" s="2">
        <f>IFERROR(DL/(RadSpec!J9*EF_rec*ED_rec*IRGF_rec*CF_fowl),".")</f>
        <v>24185.259084587942</v>
      </c>
      <c r="V9" s="2" t="str">
        <f>IFERROR((R9/(RadSpec!AO9*((Q_p_fowl*f_p_fowl*f_s_fowl*(RadSpec!BG9+R_es_past))+(Q_s_fowl*f_p_fowl)))),".")</f>
        <v>.</v>
      </c>
      <c r="W9" s="2" t="str">
        <f>IFERROR(R9/(RadSpec!AO9*Q_w_fowl*(1/1000)),".")</f>
        <v>.</v>
      </c>
    </row>
    <row r="10" spans="1:23" customFormat="1" x14ac:dyDescent="0.25">
      <c r="A10" s="32" t="s">
        <v>8</v>
      </c>
      <c r="B10" s="3" t="s">
        <v>336</v>
      </c>
      <c r="C10" s="2">
        <f>IFERROR(((DL)/(RadSpec!I10*IFS_rec_adj*(1/1000))),".")</f>
        <v>2202.8263363308297</v>
      </c>
      <c r="D10" s="2">
        <f>IFERROR(IF(A10="H-3",(DL/(RadSpec!L10*IFA_rec_adj*(1/17)*1000))*RadSpec!#REF!,(DL/(RadSpec!L10*IFA_rec_adj*(1/PEF_wind)*1000))),".")</f>
        <v>159282644.99570617</v>
      </c>
      <c r="E10" s="2">
        <f>IFERROR((DL/(RadSpec!K10*EF_rec*(1/365)*ED_rec*def_acf!D10*ET_rec*(1/24)*RadSpec!AA10)),".")</f>
        <v>1826109.9025997738</v>
      </c>
      <c r="F10" s="2">
        <f>IF(AND(C10&lt;&gt;".",D10&lt;&gt;".",E10&lt;&gt;"."),1/((1/C10)+(1/D10)+(1/E10)),IF(AND(C10&lt;&gt;".",D10&lt;&gt;".",E10="."), 1/((1/C10)+(1/D10)),IF(AND(C10&lt;&gt;".",D10=".",E10&lt;&gt;"."),1/((1/C10)+(1/E10)),IF(AND(C10=".",D10&lt;&gt;".",E10&lt;&gt;"."),1/((1/D10)+(1/E10)),IF(AND(C10&lt;&gt;".",D10=".",E10="."),1/((1/C10)),IF(AND(C10=".",D10&lt;&gt;".",E10="."),1/((1/D10)),IF(AND(C10=".",D10=".",E10&lt;&gt;"."),1/((1/E10)),IF(AND(C10=".",D10=".",E10="."),"."))))))))</f>
        <v>2200.1418900291542</v>
      </c>
      <c r="G10" s="2">
        <f>IFERROR((DL/(RadSpec!K10*EF_rec*(1/365)*ED_rec*def_acf!D10*ET_rec*(1/24)*RadSpec!AA10)),".")</f>
        <v>1826109.9025997738</v>
      </c>
      <c r="H10" s="2">
        <f>IFERROR((DL/(RadSpec!R10*EF_rec*(1/365)*ED_rec*def_acf!E10*ET_rec*(1/24)*RadSpec!W10)),".")</f>
        <v>5910671.5005993089</v>
      </c>
      <c r="I10" s="2">
        <f>IFERROR((DL/(RadSpec!S10*EF_rec*(1/365)*ED_rec*def_acf!F10*ET_rec*(1/24)*RadSpec!X10)),".")</f>
        <v>2326512.4097766969</v>
      </c>
      <c r="J10" s="2">
        <f>IFERROR((DL/(RadSpec!T10*EF_rec*(1/365)*ED_rec*def_acf!G10*ET_rec*(1/24)*RadSpec!AD10)),".")</f>
        <v>1649480.3970255319</v>
      </c>
      <c r="K10" s="2">
        <f>IFERROR((DL/(RadSpec!P10*EF_rec*(1/365)*ED_rec*def_acf!C10*ET_rec*(1/24)*RadSpec!Z10)),".")</f>
        <v>955382.61096886278</v>
      </c>
      <c r="L10" s="2">
        <f>IFERROR((DL/(RadSpec!L10*IFA_rec_adj)),".")</f>
        <v>117.17607132800403</v>
      </c>
      <c r="M10" s="2">
        <f>IFERROR((DL/(RadSpec!O10*EF_rec*(1/365)*ED_rec*ET_rec*(1/24)*GSF_o)),".")</f>
        <v>6.6517836803499018</v>
      </c>
      <c r="N10" s="2">
        <f t="shared" ref="N10" si="15">IFERROR(IF(AND(L10&lt;&gt;0,M10&lt;&gt;0),1/((1/L10)+(1/M10)),IF(AND(L10&lt;&gt;0,M10=0),1/((1/L10)),IF(AND(L10=0,M10&lt;&gt;0),1/((1/M10)),IF(AND(L10=0,M10=0),0)))),0)</f>
        <v>6.2944632202063886</v>
      </c>
      <c r="O10" s="2">
        <f>IFERROR(DL/(RadSpec!M10*IFW_rec_adj),".")</f>
        <v>3293.3953976989424</v>
      </c>
      <c r="P10" s="2">
        <f>IFERROR(DL/(RadSpec!Q10*(1/8760)*DFA_rec_adj),".")</f>
        <v>5954.9301519322926</v>
      </c>
      <c r="Q10" s="2">
        <f t="shared" ref="Q10" si="16">IFERROR(IF(AND(O10&lt;&gt;0,P10&lt;&gt;0),1/((1/O10)+(1/P10)),IF(AND(O10&lt;&gt;0,P10=0),1/((1/O10)),IF(AND(O10=0,P10&lt;&gt;0),1/((1/P10)),IF(AND(O10=0,P10=0),0)))),0)</f>
        <v>2120.5935550976014</v>
      </c>
      <c r="R10" s="2">
        <f>IFERROR(DL/(RadSpec!J10*EF_rec*ED_rec*IRGL_rec*CF_game),".")</f>
        <v>270.94763936869202</v>
      </c>
      <c r="S10" s="2">
        <f>IFERROR((R10/(RadSpec!AM10*((Q_p_game*f_p_game*f_s_game*(RadSpec!BG10+R_es_past))+(Q_s_game*f_p_game)))),".")</f>
        <v>9596.7286671319507</v>
      </c>
      <c r="T10" s="2">
        <f>IFERROR(R10/(RadSpec!AM10*Q_w_game*(1/1000)),".")</f>
        <v>12315801.789486002</v>
      </c>
      <c r="U10" s="2">
        <f>IFERROR(DL/(RadSpec!J10*EF_rec*ED_rec*IRGF_rec*CF_fowl),".")</f>
        <v>270.94763936869202</v>
      </c>
      <c r="V10" s="2">
        <f>IFERROR((R10/(RadSpec!AO10*((Q_p_fowl*f_p_fowl*f_s_fowl*(RadSpec!BG10+R_es_past))+(Q_s_fowl*f_p_fowl)))),".")</f>
        <v>78.195566917371437</v>
      </c>
      <c r="W10" s="2">
        <f>IFERROR(R10/(RadSpec!AO10*Q_w_fowl*(1/1000)),".")</f>
        <v>100350.97754396001</v>
      </c>
    </row>
    <row r="11" spans="1:23" customFormat="1" x14ac:dyDescent="0.25">
      <c r="A11" s="31" t="s">
        <v>9</v>
      </c>
      <c r="B11" s="3" t="s">
        <v>1059</v>
      </c>
      <c r="C11" s="2" t="str">
        <f>IFERROR(((DL)/(RadSpec!I11*IFS_rec_adj*(1/1000))),".")</f>
        <v>.</v>
      </c>
      <c r="D11" s="2" t="str">
        <f>IFERROR(IF(A11="H-3",(DL/(RadSpec!L11*IFA_rec_adj*(1/17)*1000))*RadSpec!#REF!,(DL/(RadSpec!L11*IFA_rec_adj*(1/PEF_wind)*1000))),".")</f>
        <v>.</v>
      </c>
      <c r="E11" s="2">
        <f>IFERROR((DL/(RadSpec!K11*EF_rec*(1/365)*ED_rec*def_acf!D11*ET_rec*(1/24)*RadSpec!AA11)),".")</f>
        <v>11873.79176740338</v>
      </c>
      <c r="F11" s="2">
        <f>IF(AND(C11&lt;&gt;".",D11&lt;&gt;".",E11&lt;&gt;"."),1/((1/C11)+(1/D11)+(1/E11)),IF(AND(C11&lt;&gt;".",D11&lt;&gt;".",E11="."), 1/((1/C11)+(1/D11)),IF(AND(C11&lt;&gt;".",D11=".",E11&lt;&gt;"."),1/((1/C11)+(1/E11)),IF(AND(C11=".",D11&lt;&gt;".",E11&lt;&gt;"."),1/((1/D11)+(1/E11)),IF(AND(C11&lt;&gt;".",D11=".",E11="."),1/((1/C11)),IF(AND(C11=".",D11&lt;&gt;".",E11="."),1/((1/D11)),IF(AND(C11=".",D11=".",E11&lt;&gt;"."),1/((1/E11)),IF(AND(C11=".",D11=".",E11="."),"."))))))))</f>
        <v>11873.79176740338</v>
      </c>
      <c r="G11" s="2">
        <f>IFERROR((DL/(RadSpec!K11*EF_rec*(1/365)*ED_rec*def_acf!D11*ET_rec*(1/24)*RadSpec!AA11)),".")</f>
        <v>11873.79176740338</v>
      </c>
      <c r="H11" s="2">
        <f>IFERROR((DL/(RadSpec!R11*EF_rec*(1/365)*ED_rec*def_acf!E11*ET_rec*(1/24)*RadSpec!W11)),".")</f>
        <v>69338.757844461783</v>
      </c>
      <c r="I11" s="2">
        <f>IFERROR((DL/(RadSpec!S11*EF_rec*(1/365)*ED_rec*def_acf!F11*ET_rec*(1/24)*RadSpec!X11)),".")</f>
        <v>18194.361523543612</v>
      </c>
      <c r="J11" s="2">
        <f>IFERROR((DL/(RadSpec!T11*EF_rec*(1/365)*ED_rec*def_acf!G11*ET_rec*(1/24)*RadSpec!AD11)),".")</f>
        <v>10823.693197070808</v>
      </c>
      <c r="K11" s="2">
        <f>IFERROR((DL/(RadSpec!P11*EF_rec*(1/365)*ED_rec*def_acf!C11*ET_rec*(1/24)*RadSpec!Z11)),".")</f>
        <v>82672.952623182806</v>
      </c>
      <c r="L11" s="2" t="str">
        <f>IFERROR((DL/(RadSpec!L11*IFA_rec_adj)),".")</f>
        <v>.</v>
      </c>
      <c r="M11" s="2">
        <f>IFERROR((DL/(RadSpec!O11*EF_rec*(1/365)*ED_rec*ET_rec*(1/24)*GSF_o)),".")</f>
        <v>0.50021413276231264</v>
      </c>
      <c r="N11" s="2">
        <f t="shared" ref="N11" si="17">IFERROR(IF(AND(L11&lt;&gt;0,M11&lt;&gt;0),1/((1/L11)+(1/M11)),IF(AND(L11&lt;&gt;0,M11=0),1/((1/L11)),IF(AND(L11=0,M11&lt;&gt;0),1/((1/M11)),IF(AND(L11=0,M11=0),0)))),0)</f>
        <v>0</v>
      </c>
      <c r="O11" s="2" t="str">
        <f>IFERROR(DL/(RadSpec!M11*IFW_rec_adj),".")</f>
        <v>.</v>
      </c>
      <c r="P11" s="2">
        <f>IFERROR(DL/(RadSpec!Q11*(1/8760)*DFA_rec_adj),".")</f>
        <v>227.37006034650574</v>
      </c>
      <c r="Q11" s="2">
        <f t="shared" ref="Q11" si="18">IFERROR(IF(AND(O11&lt;&gt;0,P11&lt;&gt;0),1/((1/O11)+(1/P11)),IF(AND(O11&lt;&gt;0,P11=0),1/((1/O11)),IF(AND(O11=0,P11&lt;&gt;0),1/((1/P11)),IF(AND(O11=0,P11=0),0)))),0)</f>
        <v>0</v>
      </c>
      <c r="R11" s="2" t="str">
        <f>IFERROR(DL/(RadSpec!J11*EF_rec*ED_rec*IRGL_rec*CF_game),".")</f>
        <v>.</v>
      </c>
      <c r="S11" s="2" t="str">
        <f>IFERROR((R11/(RadSpec!AM11*((Q_p_game*f_p_game*f_s_game*(RadSpec!BG11+R_es_past))+(Q_s_game*f_p_game)))),".")</f>
        <v>.</v>
      </c>
      <c r="T11" s="2" t="str">
        <f>IFERROR(R11/(RadSpec!AM11*Q_w_game*(1/1000)),".")</f>
        <v>.</v>
      </c>
      <c r="U11" s="2" t="str">
        <f>IFERROR(DL/(RadSpec!J11*EF_rec*ED_rec*IRGF_rec*CF_fowl),".")</f>
        <v>.</v>
      </c>
      <c r="V11" s="2" t="str">
        <f>IFERROR((R11/(RadSpec!AO11*((Q_p_fowl*f_p_fowl*f_s_fowl*(RadSpec!BG11+R_es_past))+(Q_s_fowl*f_p_fowl)))),".")</f>
        <v>.</v>
      </c>
      <c r="W11" s="2" t="str">
        <f>IFERROR(R11/(RadSpec!AO11*Q_w_fowl*(1/1000)),".")</f>
        <v>.</v>
      </c>
    </row>
    <row r="12" spans="1:23" customFormat="1" x14ac:dyDescent="0.25">
      <c r="A12" s="31" t="s">
        <v>10</v>
      </c>
      <c r="B12" s="3" t="s">
        <v>1059</v>
      </c>
      <c r="C12" s="2" t="str">
        <f>IFERROR(((DL)/(RadSpec!I12*IFS_rec_adj*(1/1000))),".")</f>
        <v>.</v>
      </c>
      <c r="D12" s="2" t="str">
        <f>IFERROR(IF(A12="H-3",(DL/(RadSpec!L12*IFA_rec_adj*(1/17)*1000))*RadSpec!#REF!,(DL/(RadSpec!L12*IFA_rec_adj*(1/PEF_wind)*1000))),".")</f>
        <v>.</v>
      </c>
      <c r="E12" s="2">
        <f>IFERROR((DL/(RadSpec!K12*EF_rec*(1/365)*ED_rec*def_acf!D12*ET_rec*(1/24)*RadSpec!AA12)),".")</f>
        <v>2415.466215278198</v>
      </c>
      <c r="F12" s="2">
        <f>IF(AND(C12&lt;&gt;".",D12&lt;&gt;".",E12&lt;&gt;"."),1/((1/C12)+(1/D12)+(1/E12)),IF(AND(C12&lt;&gt;".",D12&lt;&gt;".",E12="."), 1/((1/C12)+(1/D12)),IF(AND(C12&lt;&gt;".",D12=".",E12&lt;&gt;"."),1/((1/C12)+(1/E12)),IF(AND(C12=".",D12&lt;&gt;".",E12&lt;&gt;"."),1/((1/D12)+(1/E12)),IF(AND(C12&lt;&gt;".",D12=".",E12="."),1/((1/C12)),IF(AND(C12=".",D12&lt;&gt;".",E12="."),1/((1/D12)),IF(AND(C12=".",D12=".",E12&lt;&gt;"."),1/((1/E12)),IF(AND(C12=".",D12=".",E12="."),"."))))))))</f>
        <v>2415.466215278198</v>
      </c>
      <c r="G12" s="2">
        <f>IFERROR((DL/(RadSpec!K12*EF_rec*(1/365)*ED_rec*def_acf!D12*ET_rec*(1/24)*RadSpec!AA12)),".")</f>
        <v>2415.466215278198</v>
      </c>
      <c r="H12" s="2">
        <f>IFERROR((DL/(RadSpec!R12*EF_rec*(1/365)*ED_rec*def_acf!E12*ET_rec*(1/24)*RadSpec!W12)),".")</f>
        <v>16919.928562725483</v>
      </c>
      <c r="I12" s="2">
        <f>IFERROR((DL/(RadSpec!S12*EF_rec*(1/365)*ED_rec*def_acf!F12*ET_rec*(1/24)*RadSpec!X12)),".")</f>
        <v>4212.4247106491393</v>
      </c>
      <c r="J12" s="2">
        <f>IFERROR((DL/(RadSpec!T12*EF_rec*(1/365)*ED_rec*def_acf!G12*ET_rec*(1/24)*RadSpec!AD12)),".")</f>
        <v>2422.973657797902</v>
      </c>
      <c r="K12" s="2">
        <f>IFERROR((DL/(RadSpec!P12*EF_rec*(1/365)*ED_rec*def_acf!C12*ET_rec*(1/24)*RadSpec!Z12)),".")</f>
        <v>17715.136521718596</v>
      </c>
      <c r="L12" s="2" t="str">
        <f>IFERROR((DL/(RadSpec!L12*IFA_rec_adj)),".")</f>
        <v>.</v>
      </c>
      <c r="M12" s="2">
        <f>IFERROR((DL/(RadSpec!O12*EF_rec*(1/365)*ED_rec*ET_rec*(1/24)*GSF_o)),".")</f>
        <v>0.11245821330087966</v>
      </c>
      <c r="N12" s="2">
        <f t="shared" ref="N12" si="19">IFERROR(IF(AND(L12&lt;&gt;0,M12&lt;&gt;0),1/((1/L12)+(1/M12)),IF(AND(L12&lt;&gt;0,M12=0),1/((1/L12)),IF(AND(L12=0,M12&lt;&gt;0),1/((1/M12)),IF(AND(L12=0,M12=0),0)))),0)</f>
        <v>0</v>
      </c>
      <c r="O12" s="2" t="str">
        <f>IFERROR(DL/(RadSpec!M12*IFW_rec_adj),".")</f>
        <v>.</v>
      </c>
      <c r="P12" s="2">
        <f>IFERROR(DL/(RadSpec!Q12*(1/8760)*DFA_rec_adj),".")</f>
        <v>52.543501340579063</v>
      </c>
      <c r="Q12" s="2">
        <f t="shared" ref="Q12" si="20">IFERROR(IF(AND(O12&lt;&gt;0,P12&lt;&gt;0),1/((1/O12)+(1/P12)),IF(AND(O12&lt;&gt;0,P12=0),1/((1/O12)),IF(AND(O12=0,P12&lt;&gt;0),1/((1/P12)),IF(AND(O12=0,P12=0),0)))),0)</f>
        <v>0</v>
      </c>
      <c r="R12" s="2" t="str">
        <f>IFERROR(DL/(RadSpec!J12*EF_rec*ED_rec*IRGL_rec*CF_game),".")</f>
        <v>.</v>
      </c>
      <c r="S12" s="2" t="str">
        <f>IFERROR((R12/(RadSpec!AM12*((Q_p_game*f_p_game*f_s_game*(RadSpec!BG12+R_es_past))+(Q_s_game*f_p_game)))),".")</f>
        <v>.</v>
      </c>
      <c r="T12" s="2" t="str">
        <f>IFERROR(R12/(RadSpec!AM12*Q_w_game*(1/1000)),".")</f>
        <v>.</v>
      </c>
      <c r="U12" s="2" t="str">
        <f>IFERROR(DL/(RadSpec!J12*EF_rec*ED_rec*IRGF_rec*CF_fowl),".")</f>
        <v>.</v>
      </c>
      <c r="V12" s="2" t="str">
        <f>IFERROR((R12/(RadSpec!AO12*((Q_p_fowl*f_p_fowl*f_s_fowl*(RadSpec!BG12+R_es_past))+(Q_s_fowl*f_p_fowl)))),".")</f>
        <v>.</v>
      </c>
      <c r="W12" s="2" t="str">
        <f>IFERROR(R12/(RadSpec!AO12*Q_w_fowl*(1/1000)),".")</f>
        <v>.</v>
      </c>
    </row>
    <row r="13" spans="1:23" customFormat="1" x14ac:dyDescent="0.25">
      <c r="A13" s="31" t="s">
        <v>11</v>
      </c>
      <c r="B13" s="3" t="s">
        <v>1059</v>
      </c>
      <c r="C13" s="2">
        <f>IFERROR(((DL)/(RadSpec!I13*IFS_rec_adj*(1/1000))),".")</f>
        <v>234.38072218560021</v>
      </c>
      <c r="D13" s="2">
        <f>IFERROR(IF(A13="H-3",(DL/(RadSpec!L13*IFA_rec_adj*(1/17)*1000))*RadSpec!#REF!,(DL/(RadSpec!L13*IFA_rec_adj*(1/PEF_wind)*1000))),".")</f>
        <v>527149.7060572179</v>
      </c>
      <c r="E13" s="2">
        <f>IFERROR((DL/(RadSpec!K13*EF_rec*(1/365)*ED_rec*def_acf!D13*ET_rec*(1/24)*RadSpec!AA13)),".")</f>
        <v>16686.146489967417</v>
      </c>
      <c r="F13" s="2">
        <f>IF(AND(C13&lt;&gt;".",D13&lt;&gt;".",E13&lt;&gt;"."),1/((1/C13)+(1/D13)+(1/E13)),IF(AND(C13&lt;&gt;".",D13&lt;&gt;".",E13="."), 1/((1/C13)+(1/D13)),IF(AND(C13&lt;&gt;".",D13=".",E13&lt;&gt;"."),1/((1/C13)+(1/E13)),IF(AND(C13=".",D13&lt;&gt;".",E13&lt;&gt;"."),1/((1/D13)+(1/E13)),IF(AND(C13&lt;&gt;".",D13=".",E13="."),1/((1/C13)),IF(AND(C13=".",D13&lt;&gt;".",E13="."),1/((1/D13)),IF(AND(C13=".",D13=".",E13&lt;&gt;"."),1/((1/E13)),IF(AND(C13=".",D13=".",E13="."),"."))))))))</f>
        <v>231.03281528208373</v>
      </c>
      <c r="G13" s="2">
        <f>IFERROR((DL/(RadSpec!K13*EF_rec*(1/365)*ED_rec*def_acf!D13*ET_rec*(1/24)*RadSpec!AA13)),".")</f>
        <v>16686.146489967417</v>
      </c>
      <c r="H13" s="2">
        <f>IFERROR((DL/(RadSpec!R13*EF_rec*(1/365)*ED_rec*def_acf!E13*ET_rec*(1/24)*RadSpec!W13)),".")</f>
        <v>48654.9342711688</v>
      </c>
      <c r="I13" s="2">
        <f>IFERROR((DL/(RadSpec!S13*EF_rec*(1/365)*ED_rec*def_acf!F13*ET_rec*(1/24)*RadSpec!X13)),".")</f>
        <v>20798.401537822894</v>
      </c>
      <c r="J13" s="2">
        <f>IFERROR((DL/(RadSpec!T13*EF_rec*(1/365)*ED_rec*def_acf!G13*ET_rec*(1/24)*RadSpec!AD13)),".")</f>
        <v>16468.062464401421</v>
      </c>
      <c r="K13" s="2">
        <f>IFERROR((DL/(RadSpec!P13*EF_rec*(1/365)*ED_rec*def_acf!C13*ET_rec*(1/24)*RadSpec!Z13)),".")</f>
        <v>45394.390209210236</v>
      </c>
      <c r="L13" s="2">
        <f>IFERROR((DL/(RadSpec!L13*IFA_rec_adj)),".")</f>
        <v>0.38779699796648948</v>
      </c>
      <c r="M13" s="2">
        <f>IFERROR((DL/(RadSpec!O13*EF_rec*(1/365)*ED_rec*ET_rec*(1/24)*GSF_o)),".")</f>
        <v>0.72705542552661717</v>
      </c>
      <c r="N13" s="2">
        <f t="shared" ref="N13" si="21">IFERROR(IF(AND(L13&lt;&gt;0,M13&lt;&gt;0),1/((1/L13)+(1/M13)),IF(AND(L13&lt;&gt;0,M13=0),1/((1/L13)),IF(AND(L13=0,M13&lt;&gt;0),1/((1/M13)),IF(AND(L13=0,M13=0),0)))),0)</f>
        <v>0.25290334884957449</v>
      </c>
      <c r="O13" s="2">
        <f>IFERROR(DL/(RadSpec!M13*IFW_rec_adj),".")</f>
        <v>350.41727031516746</v>
      </c>
      <c r="P13" s="2">
        <f>IFERROR(DL/(RadSpec!Q13*(1/8760)*DFA_rec_adj),".")</f>
        <v>323.97288391341488</v>
      </c>
      <c r="Q13" s="2">
        <f t="shared" ref="Q13" si="22">IFERROR(IF(AND(O13&lt;&gt;0,P13&lt;&gt;0),1/((1/O13)+(1/P13)),IF(AND(O13&lt;&gt;0,P13=0),1/((1/O13)),IF(AND(O13=0,P13&lt;&gt;0),1/((1/P13)),IF(AND(O13=0,P13=0),0)))),0)</f>
        <v>168.33830227982881</v>
      </c>
      <c r="R13" s="2">
        <f>IFERROR(DL/(RadSpec!J13*EF_rec*ED_rec*IRGL_rec*CF_game),".")</f>
        <v>28.828828828828826</v>
      </c>
      <c r="S13" s="2">
        <f>IFERROR((R13/(RadSpec!AM13*((Q_p_game*f_p_game*f_s_game*(RadSpec!BG13+R_es_past))+(Q_s_game*f_p_game)))),".")</f>
        <v>23001.725129384697</v>
      </c>
      <c r="T13" s="2">
        <f>IFERROR(R13/(RadSpec!AM13*Q_w_game*(1/1000)),".")</f>
        <v>28828828.828828827</v>
      </c>
      <c r="U13" s="2">
        <f>IFERROR(DL/(RadSpec!J13*EF_rec*ED_rec*IRGF_rec*CF_fowl),".")</f>
        <v>28.828828828828826</v>
      </c>
      <c r="V13" s="2" t="str">
        <f>IFERROR((R13/(RadSpec!AO13*((Q_p_fowl*f_p_fowl*f_s_fowl*(RadSpec!BG13+R_es_past))+(Q_s_fowl*f_p_fowl)))),".")</f>
        <v>.</v>
      </c>
      <c r="W13" s="2" t="str">
        <f>IFERROR(R13/(RadSpec!AO13*Q_w_fowl*(1/1000)),".")</f>
        <v>.</v>
      </c>
    </row>
    <row r="14" spans="1:23" customFormat="1" x14ac:dyDescent="0.25">
      <c r="A14" s="31" t="s">
        <v>12</v>
      </c>
      <c r="B14" s="3" t="s">
        <v>1059</v>
      </c>
      <c r="C14" s="2">
        <f>IFERROR(((DL)/(RadSpec!I14*IFS_rec_adj*(1/1000))),".")</f>
        <v>22195.144146363658</v>
      </c>
      <c r="D14" s="2">
        <f>IFERROR(IF(A14="H-3",(DL/(RadSpec!L14*IFA_rec_adj*(1/17)*1000))*RadSpec!#REF!,(DL/(RadSpec!L14*IFA_rec_adj*(1/PEF_wind)*1000))),".")</f>
        <v>1456597872.0002077</v>
      </c>
      <c r="E14" s="2">
        <f>IFERROR((DL/(RadSpec!K14*EF_rec*(1/365)*ED_rec*def_acf!D14*ET_rec*(1/24)*RadSpec!AA14)),".")</f>
        <v>1417.0680829632508</v>
      </c>
      <c r="F14" s="2">
        <f>IF(AND(C14&lt;&gt;".",D14&lt;&gt;".",E14&lt;&gt;"."),1/((1/C14)+(1/D14)+(1/E14)),IF(AND(C14&lt;&gt;".",D14&lt;&gt;".",E14="."), 1/((1/C14)+(1/D14)),IF(AND(C14&lt;&gt;".",D14=".",E14&lt;&gt;"."),1/((1/C14)+(1/E14)),IF(AND(C14=".",D14&lt;&gt;".",E14&lt;&gt;"."),1/((1/D14)+(1/E14)),IF(AND(C14&lt;&gt;".",D14=".",E14="."),1/((1/C14)),IF(AND(C14=".",D14&lt;&gt;".",E14="."),1/((1/D14)),IF(AND(C14=".",D14=".",E14&lt;&gt;"."),1/((1/E14)),IF(AND(C14=".",D14=".",E14="."),"."))))))))</f>
        <v>1332.0226541676677</v>
      </c>
      <c r="G14" s="2">
        <f>IFERROR((DL/(RadSpec!K14*EF_rec*(1/365)*ED_rec*def_acf!D14*ET_rec*(1/24)*RadSpec!AA14)),".")</f>
        <v>1417.0680829632508</v>
      </c>
      <c r="H14" s="2">
        <f>IFERROR((DL/(RadSpec!R14*EF_rec*(1/365)*ED_rec*def_acf!E14*ET_rec*(1/24)*RadSpec!W14)),".")</f>
        <v>7985.9346014195262</v>
      </c>
      <c r="I14" s="2">
        <f>IFERROR((DL/(RadSpec!S14*EF_rec*(1/365)*ED_rec*def_acf!F14*ET_rec*(1/24)*RadSpec!X14)),".")</f>
        <v>2301.6847228623892</v>
      </c>
      <c r="J14" s="2">
        <f>IFERROR((DL/(RadSpec!T14*EF_rec*(1/365)*ED_rec*def_acf!G14*ET_rec*(1/24)*RadSpec!AD14)),".")</f>
        <v>1410.3340811736059</v>
      </c>
      <c r="K14" s="2">
        <f>IFERROR((DL/(RadSpec!P14*EF_rec*(1/365)*ED_rec*def_acf!C14*ET_rec*(1/24)*RadSpec!Z14)),".")</f>
        <v>8634.9966860802815</v>
      </c>
      <c r="L14" s="2">
        <f>IFERROR((DL/(RadSpec!L14*IFA_rec_adj)),".")</f>
        <v>1071.5443364863524</v>
      </c>
      <c r="M14" s="2">
        <f>IFERROR((DL/(RadSpec!O14*EF_rec*(1/365)*ED_rec*ET_rec*(1/24)*GSF_o)),".")</f>
        <v>6.7450665151336658E-2</v>
      </c>
      <c r="N14" s="2">
        <f t="shared" ref="N14" si="23">IFERROR(IF(AND(L14&lt;&gt;0,M14&lt;&gt;0),1/((1/L14)+(1/M14)),IF(AND(L14&lt;&gt;0,M14=0),1/((1/L14)),IF(AND(L14=0,M14&lt;&gt;0),1/((1/M14)),IF(AND(L14=0,M14=0),0)))),0)</f>
        <v>6.7446419591252388E-2</v>
      </c>
      <c r="O14" s="2">
        <f>IFERROR(DL/(RadSpec!M14*IFW_rec_adj),".")</f>
        <v>33183.453628330251</v>
      </c>
      <c r="P14" s="2">
        <f>IFERROR(DL/(RadSpec!Q14*(1/8760)*DFA_rec_adj),".")</f>
        <v>30.801362854822212</v>
      </c>
      <c r="Q14" s="2">
        <f t="shared" ref="Q14" si="24">IFERROR(IF(AND(O14&lt;&gt;0,P14&lt;&gt;0),1/((1/O14)+(1/P14)),IF(AND(O14&lt;&gt;0,P14=0),1/((1/O14)),IF(AND(O14=0,P14&lt;&gt;0),1/((1/P14)),IF(AND(O14=0,P14=0),0)))),0)</f>
        <v>30.772799096461046</v>
      </c>
      <c r="R14" s="2">
        <f>IFERROR(DL/(RadSpec!J14*EF_rec*ED_rec*IRGL_rec*CF_game),".")</f>
        <v>2730.00273000273</v>
      </c>
      <c r="S14" s="2">
        <f>IFERROR((R14/(RadSpec!AM14*((Q_p_game*f_p_game*f_s_game*(RadSpec!BG14+R_es_past))+(Q_s_game*f_p_game)))),".")</f>
        <v>404444848.88929331</v>
      </c>
      <c r="T14" s="2">
        <f>IFERROR(R14/(RadSpec!AM14*Q_w_game*(1/1000)),".")</f>
        <v>546000546000.54596</v>
      </c>
      <c r="U14" s="2">
        <f>IFERROR(DL/(RadSpec!J14*EF_rec*ED_rec*IRGF_rec*CF_fowl),".")</f>
        <v>2730.00273000273</v>
      </c>
      <c r="V14" s="2" t="str">
        <f>IFERROR((R14/(RadSpec!AO14*((Q_p_fowl*f_p_fowl*f_s_fowl*(RadSpec!BG14+R_es_past))+(Q_s_fowl*f_p_fowl)))),".")</f>
        <v>.</v>
      </c>
      <c r="W14" s="2" t="str">
        <f>IFERROR(R14/(RadSpec!AO14*Q_w_fowl*(1/1000)),".")</f>
        <v>.</v>
      </c>
    </row>
    <row r="15" spans="1:23" customFormat="1" x14ac:dyDescent="0.25">
      <c r="A15" s="31" t="s">
        <v>13</v>
      </c>
      <c r="B15" s="3" t="s">
        <v>1059</v>
      </c>
      <c r="C15" s="2">
        <f>IFERROR(((DL)/(RadSpec!I15*IFS_rec_adj*(1/1000))),".")</f>
        <v>392203.35037751042</v>
      </c>
      <c r="D15" s="2">
        <f>IFERROR(IF(A15="H-3",(DL/(RadSpec!L15*IFA_rec_adj*(1/17)*1000))*RadSpec!#REF!,(DL/(RadSpec!L15*IFA_rec_adj*(1/PEF_wind)*1000))),".")</f>
        <v>95158829460.185501</v>
      </c>
      <c r="E15" s="2">
        <f>IFERROR((DL/(RadSpec!K15*EF_rec*(1/365)*ED_rec*def_acf!D15*ET_rec*(1/24)*RadSpec!AA15)),".")</f>
        <v>172392.5188731433</v>
      </c>
      <c r="F15" s="2">
        <f t="shared" ref="F15:F16" si="25">IF(AND(C15&lt;&gt;".",D15&lt;&gt;".",E15&lt;&gt;"."),1/((1/C15)+(1/D15)+(1/E15)),IF(AND(C15&lt;&gt;".",D15&lt;&gt;".",E15="."), 1/((1/C15)+(1/D15)),IF(AND(C15&lt;&gt;".",D15=".",E15&lt;&gt;"."),1/((1/C15)+(1/E15)),IF(AND(C15=".",D15&lt;&gt;".",E15&lt;&gt;"."),1/((1/D15)+(1/E15)),IF(AND(C15&lt;&gt;".",D15=".",E15="."),1/((1/C15)),IF(AND(C15=".",D15&lt;&gt;".",E15="."),1/((1/D15)),IF(AND(C15=".",D15=".",E15&lt;&gt;"."),1/((1/E15)),IF(AND(C15=".",D15=".",E15="."),"."))))))))</f>
        <v>119754.39792547906</v>
      </c>
      <c r="G15" s="2">
        <f>IFERROR((DL/(RadSpec!K15*EF_rec*(1/365)*ED_rec*def_acf!D15*ET_rec*(1/24)*RadSpec!AA15)),".")</f>
        <v>172392.5188731433</v>
      </c>
      <c r="H15" s="2">
        <f>IFERROR((DL/(RadSpec!R15*EF_rec*(1/365)*ED_rec*def_acf!E15*ET_rec*(1/24)*RadSpec!W15)),".")</f>
        <v>488566.70257297292</v>
      </c>
      <c r="I15" s="2">
        <f>IFERROR((DL/(RadSpec!S15*EF_rec*(1/365)*ED_rec*def_acf!F15*ET_rec*(1/24)*RadSpec!X15)),".")</f>
        <v>241986.0156944505</v>
      </c>
      <c r="J15" s="2">
        <f>IFERROR((DL/(RadSpec!T15*EF_rec*(1/365)*ED_rec*def_acf!G15*ET_rec*(1/24)*RadSpec!AD15)),".")</f>
        <v>174997.94736996666</v>
      </c>
      <c r="K15" s="2">
        <f>IFERROR((DL/(RadSpec!P15*EF_rec*(1/365)*ED_rec*def_acf!C15*ET_rec*(1/24)*RadSpec!Z15)),".")</f>
        <v>34801.273702781036</v>
      </c>
      <c r="L15" s="2">
        <f>IFERROR((DL/(RadSpec!L15*IFA_rec_adj)),".")</f>
        <v>70003.46954695943</v>
      </c>
      <c r="M15" s="2">
        <f>IFERROR((DL/(RadSpec!O15*EF_rec*(1/365)*ED_rec*ET_rec*(1/24)*GSF_o)),".")</f>
        <v>6.2526766595289081</v>
      </c>
      <c r="N15" s="2">
        <f t="shared" ref="N15:N16" si="26">IFERROR(IF(AND(L15&lt;&gt;0,M15&lt;&gt;0),1/((1/L15)+(1/M15)),IF(AND(L15&lt;&gt;0,M15=0),1/((1/L15)),IF(AND(L15=0,M15&lt;&gt;0),1/((1/M15)),IF(AND(L15=0,M15=0),0)))),0)</f>
        <v>6.2521182232979546</v>
      </c>
      <c r="O15" s="2">
        <f>IFERROR(DL/(RadSpec!M15*IFW_rec_adj),".")</f>
        <v>586374.28098254267</v>
      </c>
      <c r="P15" s="2">
        <f>IFERROR(DL/(RadSpec!Q15*(1/8760)*DFA_rec_adj),".")</f>
        <v>5582.7470174365253</v>
      </c>
      <c r="Q15" s="2">
        <f t="shared" ref="Q15:Q16" si="27">IFERROR(IF(AND(O15&lt;&gt;0,P15&lt;&gt;0),1/((1/O15)+(1/P15)),IF(AND(O15&lt;&gt;0,P15=0),1/((1/O15)),IF(AND(O15=0,P15&lt;&gt;0),1/((1/P15)),IF(AND(O15=0,P15=0),0)))),0)</f>
        <v>5530.096127614338</v>
      </c>
      <c r="R15" s="2">
        <f>IFERROR(DL/(RadSpec!J15*EF_rec*ED_rec*IRGL_rec*CF_game),".")</f>
        <v>48241.012096433777</v>
      </c>
      <c r="S15" s="2">
        <f>IFERROR((R15/(RadSpec!AM15*((Q_p_game*f_p_game*f_s_game*(RadSpec!BG15+R_es_past))+(Q_s_game*f_p_game)))),".")</f>
        <v>54580506.565963171</v>
      </c>
      <c r="T15" s="2">
        <f>IFERROR(R15/(RadSpec!AM15*Q_w_game*(1/1000)),".")</f>
        <v>68915731566.333969</v>
      </c>
      <c r="U15" s="2">
        <f>IFERROR(DL/(RadSpec!J15*EF_rec*ED_rec*IRGF_rec*CF_fowl),".")</f>
        <v>48241.012096433777</v>
      </c>
      <c r="V15" s="2" t="str">
        <f>IFERROR((R15/(RadSpec!AO15*((Q_p_fowl*f_p_fowl*f_s_fowl*(RadSpec!BG15+R_es_past))+(Q_s_fowl*f_p_fowl)))),".")</f>
        <v>.</v>
      </c>
      <c r="W15" s="2" t="str">
        <f>IFERROR(R15/(RadSpec!AO15*Q_w_fowl*(1/1000)),".")</f>
        <v>.</v>
      </c>
    </row>
    <row r="16" spans="1:23" customFormat="1" x14ac:dyDescent="0.25">
      <c r="A16" s="31" t="s">
        <v>14</v>
      </c>
      <c r="B16" s="3" t="s">
        <v>1059</v>
      </c>
      <c r="C16" s="2">
        <f>IFERROR(((DL)/(RadSpec!I16*IFS_rec_adj*(1/1000))),".")</f>
        <v>28.723127718823555</v>
      </c>
      <c r="D16" s="2">
        <f>IFERROR(IF(A16="H-3",(DL/(RadSpec!L16*IFA_rec_adj*(1/17)*1000))*RadSpec!#REF!,(DL/(RadSpec!L16*IFA_rec_adj*(1/PEF_wind)*1000))),".")</f>
        <v>1101506.8484777689</v>
      </c>
      <c r="E16" s="2">
        <f>IFERROR((DL/(RadSpec!K16*EF_rec*(1/365)*ED_rec*def_acf!D16*ET_rec*(1/24)*RadSpec!AA16)),".")</f>
        <v>424389.81852006185</v>
      </c>
      <c r="F16" s="2">
        <f t="shared" si="25"/>
        <v>28.720434970843215</v>
      </c>
      <c r="G16" s="2">
        <f>IFERROR((DL/(RadSpec!K16*EF_rec*(1/365)*ED_rec*def_acf!D16*ET_rec*(1/24)*RadSpec!AA16)),".")</f>
        <v>424389.81852006185</v>
      </c>
      <c r="H16" s="2">
        <f>IFERROR((DL/(RadSpec!R16*EF_rec*(1/365)*ED_rec*def_acf!E16*ET_rec*(1/24)*RadSpec!W16)),".")</f>
        <v>583530.77192898234</v>
      </c>
      <c r="I16" s="2">
        <f>IFERROR((DL/(RadSpec!S16*EF_rec*(1/365)*ED_rec*def_acf!F16*ET_rec*(1/24)*RadSpec!X16)),".")</f>
        <v>412386.87415787758</v>
      </c>
      <c r="J16" s="2">
        <f>IFERROR((DL/(RadSpec!T16*EF_rec*(1/365)*ED_rec*def_acf!G16*ET_rec*(1/24)*RadSpec!AD16)),".")</f>
        <v>384036.10056251351</v>
      </c>
      <c r="K16" s="2">
        <f>IFERROR((DL/(RadSpec!P16*EF_rec*(1/365)*ED_rec*def_acf!C16*ET_rec*(1/24)*RadSpec!Z16)),".")</f>
        <v>364037.26028066827</v>
      </c>
      <c r="L16" s="2">
        <f>IFERROR((DL/(RadSpec!L16*IFA_rec_adj)),".")</f>
        <v>0.81032208530311234</v>
      </c>
      <c r="M16" s="2">
        <f>IFERROR((DL/(RadSpec!O16*EF_rec*(1/365)*ED_rec*ET_rec*(1/24)*GSF_o)),".")</f>
        <v>13.27532199475352</v>
      </c>
      <c r="N16" s="2">
        <f t="shared" si="26"/>
        <v>0.76370569501254171</v>
      </c>
      <c r="O16" s="2">
        <f>IFERROR(DL/(RadSpec!M16*IFW_rec_adj),".")</f>
        <v>42.943292930780331</v>
      </c>
      <c r="P16" s="2">
        <f>IFERROR(DL/(RadSpec!Q16*(1/8760)*DFA_rec_adj),".")</f>
        <v>5736.4006050723938</v>
      </c>
      <c r="Q16" s="2">
        <f t="shared" si="27"/>
        <v>42.624203698458302</v>
      </c>
      <c r="R16" s="2">
        <f>IFERROR(DL/(RadSpec!J16*EF_rec*ED_rec*IRGL_rec*CF_game),".")</f>
        <v>3.5329447094152973</v>
      </c>
      <c r="S16" s="2">
        <f>IFERROR((R16/(RadSpec!AM16*((Q_p_game*f_p_game*f_s_game*(RadSpec!BG16+R_es_past))+(Q_s_game*f_p_game)))),".")</f>
        <v>3997.2194514484795</v>
      </c>
      <c r="T16" s="2">
        <f>IFERROR(R16/(RadSpec!AM16*Q_w_game*(1/1000)),".")</f>
        <v>5047063.8705932824</v>
      </c>
      <c r="U16" s="2">
        <f>IFERROR(DL/(RadSpec!J16*EF_rec*ED_rec*IRGF_rec*CF_fowl),".")</f>
        <v>3.5329447094152973</v>
      </c>
      <c r="V16" s="2" t="str">
        <f>IFERROR((R16/(RadSpec!AO16*((Q_p_fowl*f_p_fowl*f_s_fowl*(RadSpec!BG16+R_es_past))+(Q_s_fowl*f_p_fowl)))),".")</f>
        <v>.</v>
      </c>
      <c r="W16" s="2" t="str">
        <f>IFERROR(R16/(RadSpec!AO16*Q_w_fowl*(1/1000)),".")</f>
        <v>.</v>
      </c>
    </row>
    <row r="17" spans="1:23" customFormat="1" x14ac:dyDescent="0.25">
      <c r="A17" s="31" t="s">
        <v>15</v>
      </c>
      <c r="B17" s="3" t="s">
        <v>1059</v>
      </c>
      <c r="C17" s="2">
        <f>IFERROR(((DL)/(RadSpec!I17*IFS_rec_adj*(1/1000))),".")</f>
        <v>147224.07172462324</v>
      </c>
      <c r="D17" s="2">
        <f>IFERROR(IF(A17="H-3",(DL/(RadSpec!L17*IFA_rec_adj*(1/17)*1000))*RadSpec!#REF!,(DL/(RadSpec!L17*IFA_rec_adj*(1/PEF_wind)*1000))),".")</f>
        <v>527375950.56625545</v>
      </c>
      <c r="E17" s="2">
        <f>IFERROR((DL/(RadSpec!K17*EF_rec*(1/365)*ED_rec*def_acf!D17*ET_rec*(1/24)*RadSpec!AA17)),".")</f>
        <v>1143.3294598172683</v>
      </c>
      <c r="F17" s="2">
        <f>IF(AND(C17&lt;&gt;".",D17&lt;&gt;".",E17&lt;&gt;"."),1/((1/C17)+(1/D17)+(1/E17)),IF(AND(C17&lt;&gt;".",D17&lt;&gt;".",E17="."), 1/((1/C17)+(1/D17)),IF(AND(C17&lt;&gt;".",D17=".",E17&lt;&gt;"."),1/((1/C17)+(1/E17)),IF(AND(C17=".",D17&lt;&gt;".",E17&lt;&gt;"."),1/((1/D17)+(1/E17)),IF(AND(C17&lt;&gt;".",D17=".",E17="."),1/((1/C17)),IF(AND(C17=".",D17&lt;&gt;".",E17="."),1/((1/D17)),IF(AND(C17=".",D17=".",E17&lt;&gt;"."),1/((1/E17)),IF(AND(C17=".",D17=".",E17="."),"."))))))))</f>
        <v>1134.5164432557294</v>
      </c>
      <c r="G17" s="2">
        <f>IFERROR((DL/(RadSpec!K17*EF_rec*(1/365)*ED_rec*def_acf!D17*ET_rec*(1/24)*RadSpec!AA17)),".")</f>
        <v>1143.3294598172683</v>
      </c>
      <c r="H17" s="2">
        <f>IFERROR((DL/(RadSpec!R17*EF_rec*(1/365)*ED_rec*def_acf!E17*ET_rec*(1/24)*RadSpec!W17)),".")</f>
        <v>8222.1742006037712</v>
      </c>
      <c r="I17" s="2">
        <f>IFERROR((DL/(RadSpec!S17*EF_rec*(1/365)*ED_rec*def_acf!F17*ET_rec*(1/24)*RadSpec!X17)),".")</f>
        <v>2034.4762510986561</v>
      </c>
      <c r="J17" s="2">
        <f>IFERROR((DL/(RadSpec!T17*EF_rec*(1/365)*ED_rec*def_acf!G17*ET_rec*(1/24)*RadSpec!AD17)),".")</f>
        <v>1183.0209817132829</v>
      </c>
      <c r="K17" s="2">
        <f>IFERROR((DL/(RadSpec!P17*EF_rec*(1/365)*ED_rec*def_acf!C17*ET_rec*(1/24)*RadSpec!Z17)),".")</f>
        <v>10025.803771645416</v>
      </c>
      <c r="L17" s="2">
        <f>IFERROR((DL/(RadSpec!L17*IFA_rec_adj)),".")</f>
        <v>387.96343444630344</v>
      </c>
      <c r="M17" s="2">
        <f>IFERROR((DL/(RadSpec!O17*EF_rec*(1/365)*ED_rec*ET_rec*(1/24)*GSF_o)),".")</f>
        <v>5.6330420356116288E-2</v>
      </c>
      <c r="N17" s="2">
        <f t="shared" ref="N17" si="28">IFERROR(IF(AND(L17&lt;&gt;0,M17&lt;&gt;0),1/((1/L17)+(1/M17)),IF(AND(L17&lt;&gt;0,M17=0),1/((1/L17)),IF(AND(L17=0,M17&lt;&gt;0),1/((1/M17)),IF(AND(L17=0,M17=0),0)))),0)</f>
        <v>5.6322242638008065E-2</v>
      </c>
      <c r="O17" s="2">
        <f>IFERROR(DL/(RadSpec!M17*IFW_rec_adj),".")</f>
        <v>220111.35070048206</v>
      </c>
      <c r="P17" s="2">
        <f>IFERROR(DL/(RadSpec!Q17*(1/8760)*DFA_rec_adj),".")</f>
        <v>25.944716429580534</v>
      </c>
      <c r="Q17" s="2">
        <f t="shared" ref="Q17" si="29">IFERROR(IF(AND(O17&lt;&gt;0,P17&lt;&gt;0),1/((1/O17)+(1/P17)),IF(AND(O17&lt;&gt;0,P17=0),1/((1/O17)),IF(AND(O17=0,P17&lt;&gt;0),1/((1/P17)),IF(AND(O17=0,P17=0),0)))),0)</f>
        <v>25.941658663701581</v>
      </c>
      <c r="R17" s="2">
        <f>IFERROR(DL/(RadSpec!J17*EF_rec*ED_rec*IRGL_rec*CF_game),".")</f>
        <v>18108.56082212866</v>
      </c>
      <c r="S17" s="2">
        <f>IFERROR((R17/(RadSpec!AM17*((Q_p_game*f_p_game*f_s_game*(RadSpec!BG17+R_es_past))+(Q_s_game*f_p_game)))),".")</f>
        <v>20488260.504911806</v>
      </c>
      <c r="T17" s="2">
        <f>IFERROR(R17/(RadSpec!AM17*Q_w_game*(1/1000)),".")</f>
        <v>25869372603.040943</v>
      </c>
      <c r="U17" s="2">
        <f>IFERROR(DL/(RadSpec!J17*EF_rec*ED_rec*IRGF_rec*CF_fowl),".")</f>
        <v>18108.56082212866</v>
      </c>
      <c r="V17" s="2" t="str">
        <f>IFERROR((R17/(RadSpec!AO17*((Q_p_fowl*f_p_fowl*f_s_fowl*(RadSpec!BG17+R_es_past))+(Q_s_fowl*f_p_fowl)))),".")</f>
        <v>.</v>
      </c>
      <c r="W17" s="2" t="str">
        <f>IFERROR(R17/(RadSpec!AO17*Q_w_fowl*(1/1000)),".")</f>
        <v>.</v>
      </c>
    </row>
    <row r="18" spans="1:23" customFormat="1" x14ac:dyDescent="0.25">
      <c r="A18" s="31" t="s">
        <v>16</v>
      </c>
      <c r="B18" s="3" t="s">
        <v>1059</v>
      </c>
      <c r="C18" s="2">
        <f>IFERROR(((DL)/(RadSpec!I18*IFS_rec_adj*(1/1000))),".")</f>
        <v>16.741480156114303</v>
      </c>
      <c r="D18" s="2">
        <f>IFERROR(IF(A18="H-3",(DL/(RadSpec!L18*IFA_rec_adj*(1/17)*1000))*RadSpec!#REF!,(DL/(RadSpec!L18*IFA_rec_adj*(1/PEF_wind)*1000))),".")</f>
        <v>1419249.2086155869</v>
      </c>
      <c r="E18" s="2">
        <f>IFERROR((DL/(RadSpec!K18*EF_rec*(1/365)*ED_rec*def_acf!D18*ET_rec*(1/24)*RadSpec!AA18)),".")</f>
        <v>22013393.949983113</v>
      </c>
      <c r="F18" s="2">
        <f>IF(AND(C18&lt;&gt;".",D18&lt;&gt;".",E18&lt;&gt;"."),1/((1/C18)+(1/D18)+(1/E18)),IF(AND(C18&lt;&gt;".",D18&lt;&gt;".",E18="."), 1/((1/C18)+(1/D18)),IF(AND(C18&lt;&gt;".",D18=".",E18&lt;&gt;"."),1/((1/C18)+(1/E18)),IF(AND(C18=".",D18&lt;&gt;".",E18&lt;&gt;"."),1/((1/D18)+(1/E18)),IF(AND(C18&lt;&gt;".",D18=".",E18="."),1/((1/C18)),IF(AND(C18=".",D18&lt;&gt;".",E18="."),1/((1/D18)),IF(AND(C18=".",D18=".",E18&lt;&gt;"."),1/((1/E18)),IF(AND(C18=".",D18=".",E18="."),"."))))))))</f>
        <v>16.741269943940093</v>
      </c>
      <c r="G18" s="2">
        <f>IFERROR((DL/(RadSpec!K18*EF_rec*(1/365)*ED_rec*def_acf!D18*ET_rec*(1/24)*RadSpec!AA18)),".")</f>
        <v>22013393.949983113</v>
      </c>
      <c r="H18" s="2">
        <f>IFERROR((DL/(RadSpec!R18*EF_rec*(1/365)*ED_rec*def_acf!E18*ET_rec*(1/24)*RadSpec!W18)),".")</f>
        <v>235931170.18229866</v>
      </c>
      <c r="I18" s="2">
        <f>IFERROR((DL/(RadSpec!S18*EF_rec*(1/365)*ED_rec*def_acf!F18*ET_rec*(1/24)*RadSpec!X18)),".")</f>
        <v>54987056.644858643</v>
      </c>
      <c r="J18" s="2">
        <f>IFERROR((DL/(RadSpec!T18*EF_rec*(1/365)*ED_rec*def_acf!G18*ET_rec*(1/24)*RadSpec!AD18)),".")</f>
        <v>27113793.961003933</v>
      </c>
      <c r="K18" s="2">
        <f>IFERROR((DL/(RadSpec!P18*EF_rec*(1/365)*ED_rec*def_acf!C18*ET_rec*(1/24)*RadSpec!Z18)),".")</f>
        <v>362246929.09492135</v>
      </c>
      <c r="L18" s="2">
        <f>IFERROR((DL/(RadSpec!L18*IFA_rec_adj)),".")</f>
        <v>1.04406884067901</v>
      </c>
      <c r="M18" s="2">
        <f>IFERROR((DL/(RadSpec!O18*EF_rec*(1/365)*ED_rec*ET_rec*(1/24)*GSF_o)),".")</f>
        <v>1405.0958785458217</v>
      </c>
      <c r="N18" s="2">
        <f t="shared" ref="N18" si="30">IFERROR(IF(AND(L18&lt;&gt;0,M18&lt;&gt;0),1/((1/L18)+(1/M18)),IF(AND(L18&lt;&gt;0,M18=0),1/((1/L18)),IF(AND(L18=0,M18&lt;&gt;0),1/((1/M18)),IF(AND(L18=0,M18=0),0)))),0)</f>
        <v>1.0432936121919003</v>
      </c>
      <c r="O18" s="2">
        <f>IFERROR(DL/(RadSpec!M18*IFW_rec_adj),".")</f>
        <v>25.029805022511962</v>
      </c>
      <c r="P18" s="2">
        <f>IFERROR(DL/(RadSpec!Q18*(1/8760)*DFA_rec_adj),".")</f>
        <v>647945.76782682992</v>
      </c>
      <c r="Q18" s="2">
        <f t="shared" ref="Q18" si="31">IFERROR(IF(AND(O18&lt;&gt;0,P18&lt;&gt;0),1/((1/O18)+(1/P18)),IF(AND(O18&lt;&gt;0,P18=0),1/((1/O18)),IF(AND(O18=0,P18&lt;&gt;0),1/((1/P18)),IF(AND(O18=0,P18=0),0)))),0)</f>
        <v>25.028838171626468</v>
      </c>
      <c r="R18" s="2">
        <f>IFERROR(DL/(RadSpec!J18*EF_rec*ED_rec*IRGL_rec*CF_game),".")</f>
        <v>2.0592020592020592</v>
      </c>
      <c r="S18" s="2">
        <f>IFERROR((R18/(RadSpec!AM18*((Q_p_game*f_p_game*f_s_game*(RadSpec!BG18+R_es_past))+(Q_s_game*f_p_game)))),".")</f>
        <v>329.39963438060408</v>
      </c>
      <c r="T18" s="2">
        <f>IFERROR(R18/(RadSpec!AM18*Q_w_game*(1/1000)),".")</f>
        <v>411840.41184041183</v>
      </c>
      <c r="U18" s="2">
        <f>IFERROR(DL/(RadSpec!J18*EF_rec*ED_rec*IRGF_rec*CF_fowl),".")</f>
        <v>2.0592020592020592</v>
      </c>
      <c r="V18" s="2">
        <f>IFERROR((R18/(RadSpec!AO18*((Q_p_fowl*f_p_fowl*f_s_fowl*(RadSpec!BG18+R_es_past))+(Q_s_fowl*f_p_fowl)))),".")</f>
        <v>0.68624923829292517</v>
      </c>
      <c r="W18" s="2">
        <f>IFERROR(R18/(RadSpec!AO18*Q_w_fowl*(1/1000)),".")</f>
        <v>858.0008580008581</v>
      </c>
    </row>
    <row r="19" spans="1:23" customFormat="1" x14ac:dyDescent="0.25">
      <c r="A19" s="31" t="s">
        <v>17</v>
      </c>
      <c r="B19" s="3" t="s">
        <v>1059</v>
      </c>
      <c r="C19" s="2" t="str">
        <f>IFERROR(((DL)/(RadSpec!I19*IFS_rec_adj*(1/1000))),".")</f>
        <v>.</v>
      </c>
      <c r="D19" s="2" t="str">
        <f>IFERROR(IF(A19="H-3",(DL/(RadSpec!L19*IFA_rec_adj*(1/17)*1000))*RadSpec!#REF!,(DL/(RadSpec!L19*IFA_rec_adj*(1/PEF_wind)*1000))),".")</f>
        <v>.</v>
      </c>
      <c r="E19" s="2">
        <f>IFERROR((DL/(RadSpec!K19*EF_rec*(1/365)*ED_rec*def_acf!D19*ET_rec*(1/24)*RadSpec!AA19)),".")</f>
        <v>5787065.8737971205</v>
      </c>
      <c r="F19" s="2">
        <f t="shared" ref="F19:F20" si="32">IF(AND(C19&lt;&gt;".",D19&lt;&gt;".",E19&lt;&gt;"."),1/((1/C19)+(1/D19)+(1/E19)),IF(AND(C19&lt;&gt;".",D19&lt;&gt;".",E19="."), 1/((1/C19)+(1/D19)),IF(AND(C19&lt;&gt;".",D19=".",E19&lt;&gt;"."),1/((1/C19)+(1/E19)),IF(AND(C19=".",D19&lt;&gt;".",E19&lt;&gt;"."),1/((1/D19)+(1/E19)),IF(AND(C19&lt;&gt;".",D19=".",E19="."),1/((1/C19)),IF(AND(C19=".",D19&lt;&gt;".",E19="."),1/((1/D19)),IF(AND(C19=".",D19=".",E19&lt;&gt;"."),1/((1/E19)),IF(AND(C19=".",D19=".",E19="."),"."))))))))</f>
        <v>5787065.8737971205</v>
      </c>
      <c r="G19" s="2">
        <f>IFERROR((DL/(RadSpec!K19*EF_rec*(1/365)*ED_rec*def_acf!D19*ET_rec*(1/24)*RadSpec!AA19)),".")</f>
        <v>5787065.8737971205</v>
      </c>
      <c r="H19" s="2">
        <f>IFERROR((DL/(RadSpec!R19*EF_rec*(1/365)*ED_rec*def_acf!E19*ET_rec*(1/24)*RadSpec!W19)),".")</f>
        <v>60741951.712769963</v>
      </c>
      <c r="I19" s="2">
        <f>IFERROR((DL/(RadSpec!S19*EF_rec*(1/365)*ED_rec*def_acf!F19*ET_rec*(1/24)*RadSpec!X19)),".")</f>
        <v>14254556.526746746</v>
      </c>
      <c r="J19" s="2">
        <f>IFERROR((DL/(RadSpec!T19*EF_rec*(1/365)*ED_rec*def_acf!G19*ET_rec*(1/24)*RadSpec!AD19)),".")</f>
        <v>7006826.8200361859</v>
      </c>
      <c r="K19" s="2">
        <f>IFERROR((DL/(RadSpec!P19*EF_rec*(1/365)*ED_rec*def_acf!C19*ET_rec*(1/24)*RadSpec!Z19)),".")</f>
        <v>92885197.123195454</v>
      </c>
      <c r="L19" s="2" t="str">
        <f>IFERROR((DL/(RadSpec!L19*IFA_rec_adj)),".")</f>
        <v>.</v>
      </c>
      <c r="M19" s="2">
        <f>IFERROR((DL/(RadSpec!O19*EF_rec*(1/365)*ED_rec*ET_rec*(1/24)*GSF_o)),".")</f>
        <v>365.65360582040398</v>
      </c>
      <c r="N19" s="2">
        <f t="shared" ref="N19:N20" si="33">IFERROR(IF(AND(L19&lt;&gt;0,M19&lt;&gt;0),1/((1/L19)+(1/M19)),IF(AND(L19&lt;&gt;0,M19=0),1/((1/L19)),IF(AND(L19=0,M19&lt;&gt;0),1/((1/M19)),IF(AND(L19=0,M19=0),0)))),0)</f>
        <v>0</v>
      </c>
      <c r="O19" s="2" t="str">
        <f>IFERROR(DL/(RadSpec!M19*IFW_rec_adj),".")</f>
        <v>.</v>
      </c>
      <c r="P19" s="2">
        <f>IFERROR(DL/(RadSpec!Q19*(1/8760)*DFA_rec_adj),".")</f>
        <v>168535.75901695166</v>
      </c>
      <c r="Q19" s="2">
        <f t="shared" ref="Q19:Q20" si="34">IFERROR(IF(AND(O19&lt;&gt;0,P19&lt;&gt;0),1/((1/O19)+(1/P19)),IF(AND(O19&lt;&gt;0,P19=0),1/((1/O19)),IF(AND(O19=0,P19&lt;&gt;0),1/((1/P19)),IF(AND(O19=0,P19=0),0)))),0)</f>
        <v>0</v>
      </c>
      <c r="R19" s="2" t="str">
        <f>IFERROR(DL/(RadSpec!J19*EF_rec*ED_rec*IRGL_rec*CF_game),".")</f>
        <v>.</v>
      </c>
      <c r="S19" s="2" t="str">
        <f>IFERROR((R19/(RadSpec!AM19*((Q_p_game*f_p_game*f_s_game*(RadSpec!BG19+R_es_past))+(Q_s_game*f_p_game)))),".")</f>
        <v>.</v>
      </c>
      <c r="T19" s="2" t="str">
        <f>IFERROR(R19/(RadSpec!AM19*Q_w_game*(1/1000)),".")</f>
        <v>.</v>
      </c>
      <c r="U19" s="2" t="str">
        <f>IFERROR(DL/(RadSpec!J19*EF_rec*ED_rec*IRGF_rec*CF_fowl),".")</f>
        <v>.</v>
      </c>
      <c r="V19" s="2" t="str">
        <f>IFERROR((R19/(RadSpec!AO19*((Q_p_fowl*f_p_fowl*f_s_fowl*(RadSpec!BG19+R_es_past))+(Q_s_fowl*f_p_fowl)))),".")</f>
        <v>.</v>
      </c>
      <c r="W19" s="2" t="str">
        <f>IFERROR(R19/(RadSpec!AO19*Q_w_fowl*(1/1000)),".")</f>
        <v>.</v>
      </c>
    </row>
    <row r="20" spans="1:23" customFormat="1" x14ac:dyDescent="0.25">
      <c r="A20" s="31" t="s">
        <v>18</v>
      </c>
      <c r="B20" s="3" t="s">
        <v>1059</v>
      </c>
      <c r="C20" s="2" t="str">
        <f>IFERROR(((DL)/(RadSpec!I20*IFS_rec_adj*(1/1000))),".")</f>
        <v>.</v>
      </c>
      <c r="D20" s="2" t="str">
        <f>IFERROR(IF(A20="H-3",(DL/(RadSpec!L20*IFA_rec_adj*(1/17)*1000))*RadSpec!#REF!,(DL/(RadSpec!L20*IFA_rec_adj*(1/PEF_wind)*1000))),".")</f>
        <v>.</v>
      </c>
      <c r="E20" s="2">
        <f>IFERROR((DL/(RadSpec!K20*EF_rec*(1/365)*ED_rec*def_acf!D20*ET_rec*(1/24)*RadSpec!AA20)),".")</f>
        <v>2593362.2780788653</v>
      </c>
      <c r="F20" s="2">
        <f t="shared" si="32"/>
        <v>2593362.2780788653</v>
      </c>
      <c r="G20" s="2">
        <f>IFERROR((DL/(RadSpec!K20*EF_rec*(1/365)*ED_rec*def_acf!D20*ET_rec*(1/24)*RadSpec!AA20)),".")</f>
        <v>2593362.2780788653</v>
      </c>
      <c r="H20" s="2">
        <f>IFERROR((DL/(RadSpec!R20*EF_rec*(1/365)*ED_rec*def_acf!E20*ET_rec*(1/24)*RadSpec!W20)),".")</f>
        <v>27675077.448361639</v>
      </c>
      <c r="I20" s="2">
        <f>IFERROR((DL/(RadSpec!S20*EF_rec*(1/365)*ED_rec*def_acf!F20*ET_rec*(1/24)*RadSpec!X20)),".")</f>
        <v>6451501.7122992538</v>
      </c>
      <c r="J20" s="2">
        <f>IFERROR((DL/(RadSpec!T20*EF_rec*(1/365)*ED_rec*def_acf!G20*ET_rec*(1/24)*RadSpec!AD20)),".")</f>
        <v>3161909.8151852889</v>
      </c>
      <c r="K20" s="2">
        <f>IFERROR((DL/(RadSpec!P20*EF_rec*(1/365)*ED_rec*def_acf!C20*ET_rec*(1/24)*RadSpec!Z20)),".")</f>
        <v>42458830.738192312</v>
      </c>
      <c r="L20" s="2" t="str">
        <f>IFERROR((DL/(RadSpec!L20*IFA_rec_adj)),".")</f>
        <v>.</v>
      </c>
      <c r="M20" s="2">
        <f>IFERROR((DL/(RadSpec!O20*EF_rec*(1/365)*ED_rec*ET_rec*(1/24)*GSF_o)),".")</f>
        <v>164.54412261918179</v>
      </c>
      <c r="N20" s="2">
        <f t="shared" si="33"/>
        <v>0</v>
      </c>
      <c r="O20" s="2" t="str">
        <f>IFERROR(DL/(RadSpec!M20*IFW_rec_adj),".")</f>
        <v>.</v>
      </c>
      <c r="P20" s="2">
        <f>IFERROR(DL/(RadSpec!Q20*(1/8760)*DFA_rec_adj),".")</f>
        <v>75974.199994275914</v>
      </c>
      <c r="Q20" s="2">
        <f t="shared" si="34"/>
        <v>0</v>
      </c>
      <c r="R20" s="2" t="str">
        <f>IFERROR(DL/(RadSpec!J20*EF_rec*ED_rec*IRGL_rec*CF_game),".")</f>
        <v>.</v>
      </c>
      <c r="S20" s="2" t="str">
        <f>IFERROR((R20/(RadSpec!AM20*((Q_p_game*f_p_game*f_s_game*(RadSpec!BG20+R_es_past))+(Q_s_game*f_p_game)))),".")</f>
        <v>.</v>
      </c>
      <c r="T20" s="2" t="str">
        <f>IFERROR(R20/(RadSpec!AM20*Q_w_game*(1/1000)),".")</f>
        <v>.</v>
      </c>
      <c r="U20" s="2" t="str">
        <f>IFERROR(DL/(RadSpec!J20*EF_rec*ED_rec*IRGF_rec*CF_fowl),".")</f>
        <v>.</v>
      </c>
      <c r="V20" s="2" t="str">
        <f>IFERROR((R20/(RadSpec!AO20*((Q_p_fowl*f_p_fowl*f_s_fowl*(RadSpec!BG20+R_es_past))+(Q_s_fowl*f_p_fowl)))),".")</f>
        <v>.</v>
      </c>
      <c r="W20" s="2" t="str">
        <f>IFERROR(R20/(RadSpec!AO20*Q_w_fowl*(1/1000)),".")</f>
        <v>.</v>
      </c>
    </row>
    <row r="21" spans="1:23" customFormat="1" x14ac:dyDescent="0.25">
      <c r="A21" s="31" t="s">
        <v>19</v>
      </c>
      <c r="B21" s="3" t="s">
        <v>1059</v>
      </c>
      <c r="C21" s="2" t="str">
        <f>IFERROR(((DL)/(RadSpec!I21*IFS_rec_adj*(1/1000))),".")</f>
        <v>.</v>
      </c>
      <c r="D21" s="2">
        <f>IFERROR(IF(A21="H-3",(DL/(RadSpec!L21*IFA_rec_adj*(1/17)*1000))*RadSpec!#REF!,(DL/(RadSpec!L21*IFA_rec_adj*(1/PEF_wind)*1000))),".")</f>
        <v>3225160012.6492791</v>
      </c>
      <c r="E21" s="2">
        <f>IFERROR((DL/(RadSpec!K21*EF_rec*(1/365)*ED_rec*def_acf!D21*ET_rec*(1/24)*RadSpec!AA21)),".")</f>
        <v>14063600223.861692</v>
      </c>
      <c r="F21" s="2">
        <f>IF(AND(C21&lt;&gt;".",D21&lt;&gt;".",E21&lt;&gt;"."),1/((1/C21)+(1/D21)+(1/E21)),IF(AND(C21&lt;&gt;".",D21&lt;&gt;".",E21="."), 1/((1/C21)+(1/D21)),IF(AND(C21&lt;&gt;".",D21=".",E21&lt;&gt;"."),1/((1/C21)+(1/E21)),IF(AND(C21=".",D21&lt;&gt;".",E21&lt;&gt;"."),1/((1/D21)+(1/E21)),IF(AND(C21&lt;&gt;".",D21=".",E21="."),1/((1/C21)),IF(AND(C21=".",D21&lt;&gt;".",E21="."),1/((1/D21)),IF(AND(C21=".",D21=".",E21&lt;&gt;"."),1/((1/E21)),IF(AND(C21=".",D21=".",E21="."),"."))))))))</f>
        <v>2623517271.0705433</v>
      </c>
      <c r="G21" s="2">
        <f>IFERROR((DL/(RadSpec!K21*EF_rec*(1/365)*ED_rec*def_acf!D21*ET_rec*(1/24)*RadSpec!AA21)),".")</f>
        <v>14063600223.861692</v>
      </c>
      <c r="H21" s="2">
        <f>IFERROR((DL/(RadSpec!R21*EF_rec*(1/365)*ED_rec*def_acf!E21*ET_rec*(1/24)*RadSpec!W21)),".")</f>
        <v>33273077157.986954</v>
      </c>
      <c r="I21" s="2">
        <f>IFERROR((DL/(RadSpec!S21*EF_rec*(1/365)*ED_rec*def_acf!F21*ET_rec*(1/24)*RadSpec!X21)),".")</f>
        <v>17786529725.006851</v>
      </c>
      <c r="J21" s="2">
        <f>IFERROR((DL/(RadSpec!T21*EF_rec*(1/365)*ED_rec*def_acf!G21*ET_rec*(1/24)*RadSpec!AD21)),".")</f>
        <v>14063600223.861692</v>
      </c>
      <c r="K21" s="2">
        <f>IFERROR((DL/(RadSpec!P21*EF_rec*(1/365)*ED_rec*def_acf!C21*ET_rec*(1/24)*RadSpec!Z21)),".")</f>
        <v>16694144828.852856</v>
      </c>
      <c r="L21" s="2">
        <f>IFERROR((DL/(RadSpec!L21*IFA_rec_adj)),".")</f>
        <v>2372.584782834349</v>
      </c>
      <c r="M21" s="2">
        <f>IFERROR((DL/(RadSpec!O21*EF_rec*(1/365)*ED_rec*ET_rec*(1/24)*GSF_o)),".")</f>
        <v>238651.78089804991</v>
      </c>
      <c r="N21" s="2">
        <f t="shared" ref="N21" si="35">IFERROR(IF(AND(L21&lt;&gt;0,M21&lt;&gt;0),1/((1/L21)+(1/M21)),IF(AND(L21&lt;&gt;0,M21=0),1/((1/L21)),IF(AND(L21=0,M21&lt;&gt;0),1/((1/M21)),IF(AND(L21=0,M21=0),0)))),0)</f>
        <v>2349.2296397315554</v>
      </c>
      <c r="O21" s="2" t="str">
        <f>IFERROR(DL/(RadSpec!M21*IFW_rec_adj),".")</f>
        <v>.</v>
      </c>
      <c r="P21" s="2">
        <f>IFERROR(DL/(RadSpec!Q21*(1/8760)*DFA_rec_adj),".")</f>
        <v>218625058.02548632</v>
      </c>
      <c r="Q21" s="2">
        <f t="shared" ref="Q21" si="36">IFERROR(IF(AND(O21&lt;&gt;0,P21&lt;&gt;0),1/((1/O21)+(1/P21)),IF(AND(O21&lt;&gt;0,P21=0),1/((1/O21)),IF(AND(O21=0,P21&lt;&gt;0),1/((1/P21)),IF(AND(O21=0,P21=0),0)))),0)</f>
        <v>0</v>
      </c>
      <c r="R21" s="2" t="str">
        <f>IFERROR(DL/(RadSpec!J21*EF_rec*ED_rec*IRGL_rec*CF_game),".")</f>
        <v>.</v>
      </c>
      <c r="S21" s="2" t="str">
        <f>IFERROR((R21/(RadSpec!AM21*((Q_p_game*f_p_game*f_s_game*(RadSpec!BG21+R_es_past))+(Q_s_game*f_p_game)))),".")</f>
        <v>.</v>
      </c>
      <c r="T21" s="2" t="str">
        <f>IFERROR(R21/(RadSpec!AM21*Q_w_game*(1/1000)),".")</f>
        <v>.</v>
      </c>
      <c r="U21" s="2" t="str">
        <f>IFERROR(DL/(RadSpec!J21*EF_rec*ED_rec*IRGF_rec*CF_fowl),".")</f>
        <v>.</v>
      </c>
      <c r="V21" s="2" t="str">
        <f>IFERROR((R21/(RadSpec!AO21*((Q_p_fowl*f_p_fowl*f_s_fowl*(RadSpec!BG21+R_es_past))+(Q_s_fowl*f_p_fowl)))),".")</f>
        <v>.</v>
      </c>
      <c r="W21" s="2" t="str">
        <f>IFERROR(R21/(RadSpec!AO21*Q_w_fowl*(1/1000)),".")</f>
        <v>.</v>
      </c>
    </row>
    <row r="22" spans="1:23" customFormat="1" x14ac:dyDescent="0.25">
      <c r="A22" s="31" t="s">
        <v>20</v>
      </c>
      <c r="B22" s="3" t="s">
        <v>1059</v>
      </c>
      <c r="C22" s="2">
        <f>IFERROR(((DL)/(RadSpec!I22*IFS_rec_adj*(1/1000))),".")</f>
        <v>123.09911879495809</v>
      </c>
      <c r="D22" s="2">
        <f>IFERROR(IF(A22="H-3",(DL/(RadSpec!L22*IFA_rec_adj*(1/17)*1000))*RadSpec!#REF!,(DL/(RadSpec!L22*IFA_rec_adj*(1/PEF_wind)*1000))),".")</f>
        <v>789784.33963388193</v>
      </c>
      <c r="E22" s="2">
        <f>IFERROR((DL/(RadSpec!K22*EF_rec*(1/365)*ED_rec*def_acf!D22*ET_rec*(1/24)*RadSpec!AA22)),".")</f>
        <v>132568.73206904699</v>
      </c>
      <c r="F22" s="2">
        <f t="shared" ref="F22:F23" si="37">IF(AND(C22&lt;&gt;".",D22&lt;&gt;".",E22&lt;&gt;"."),1/((1/C22)+(1/D22)+(1/E22)),IF(AND(C22&lt;&gt;".",D22&lt;&gt;".",E22="."), 1/((1/C22)+(1/D22)),IF(AND(C22&lt;&gt;".",D22=".",E22&lt;&gt;"."),1/((1/C22)+(1/E22)),IF(AND(C22=".",D22&lt;&gt;".",E22&lt;&gt;"."),1/((1/D22)+(1/E22)),IF(AND(C22&lt;&gt;".",D22=".",E22="."),1/((1/C22)),IF(AND(C22=".",D22&lt;&gt;".",E22="."),1/((1/D22)),IF(AND(C22=".",D22=".",E22&lt;&gt;"."),1/((1/E22)),IF(AND(C22=".",D22=".",E22="."),"."))))))))</f>
        <v>122.96577071767379</v>
      </c>
      <c r="G22" s="2">
        <f>IFERROR((DL/(RadSpec!K22*EF_rec*(1/365)*ED_rec*def_acf!D22*ET_rec*(1/24)*RadSpec!AA22)),".")</f>
        <v>132568.73206904699</v>
      </c>
      <c r="H22" s="2">
        <f>IFERROR((DL/(RadSpec!R22*EF_rec*(1/365)*ED_rec*def_acf!E22*ET_rec*(1/24)*RadSpec!W22)),".")</f>
        <v>196809.11064722066</v>
      </c>
      <c r="I22" s="2">
        <f>IFERROR((DL/(RadSpec!S22*EF_rec*(1/365)*ED_rec*def_acf!F22*ET_rec*(1/24)*RadSpec!X22)),".")</f>
        <v>128171.21130336229</v>
      </c>
      <c r="J22" s="2">
        <f>IFERROR((DL/(RadSpec!T22*EF_rec*(1/365)*ED_rec*def_acf!G22*ET_rec*(1/24)*RadSpec!AD22)),".")</f>
        <v>109967.42807080026</v>
      </c>
      <c r="K22" s="2">
        <f>IFERROR((DL/(RadSpec!P22*EF_rec*(1/365)*ED_rec*def_acf!C22*ET_rec*(1/24)*RadSpec!Z22)),".")</f>
        <v>115793.83371968415</v>
      </c>
      <c r="L22" s="2">
        <f>IFERROR((DL/(RadSpec!L22*IFA_rec_adj)),".")</f>
        <v>0.58100382572862874</v>
      </c>
      <c r="M22" s="2">
        <f>IFERROR((DL/(RadSpec!O22*EF_rec*(1/365)*ED_rec*ET_rec*(1/24)*GSF_o)),".")</f>
        <v>2.5314480402951043</v>
      </c>
      <c r="N22" s="2">
        <f t="shared" ref="N22:N23" si="38">IFERROR(IF(AND(L22&lt;&gt;0,M22&lt;&gt;0),1/((1/L22)+(1/M22)),IF(AND(L22&lt;&gt;0,M22=0),1/((1/L22)),IF(AND(L22=0,M22&lt;&gt;0),1/((1/M22)),IF(AND(L22=0,M22=0),0)))),0)</f>
        <v>0.47254738686888353</v>
      </c>
      <c r="O22" s="2">
        <f>IFERROR(DL/(RadSpec!M22*IFW_rec_adj),".")</f>
        <v>184.04268398905853</v>
      </c>
      <c r="P22" s="2">
        <f>IFERROR(DL/(RadSpec!Q22*(1/8760)*DFA_rec_adj),".")</f>
        <v>1151.5058304841452</v>
      </c>
      <c r="Q22" s="2">
        <f t="shared" ref="Q22:Q23" si="39">IFERROR(IF(AND(O22&lt;&gt;0,P22&lt;&gt;0),1/((1/O22)+(1/P22)),IF(AND(O22&lt;&gt;0,P22=0),1/((1/O22)),IF(AND(O22=0,P22&lt;&gt;0),1/((1/P22)),IF(AND(O22=0,P22=0),0)))),0)</f>
        <v>158.68103732266479</v>
      </c>
      <c r="R22" s="2">
        <f>IFERROR(DL/(RadSpec!J22*EF_rec*ED_rec*IRGL_rec*CF_game),".")</f>
        <v>15.141191611779846</v>
      </c>
      <c r="S22" s="2">
        <f>IFERROR((R22/(RadSpec!AM22*((Q_p_game*f_p_game*f_s_game*(RadSpec!BG22+R_es_past))+(Q_s_game*f_p_game)))),".")</f>
        <v>7015.5975300234149</v>
      </c>
      <c r="T22" s="2">
        <f>IFERROR(R22/(RadSpec!AM22*Q_w_game*(1/1000)),".")</f>
        <v>8906583.3010469675</v>
      </c>
      <c r="U22" s="2">
        <f>IFERROR(DL/(RadSpec!J22*EF_rec*ED_rec*IRGF_rec*CF_fowl),".")</f>
        <v>15.141191611779846</v>
      </c>
      <c r="V22" s="2" t="str">
        <f>IFERROR((R22/(RadSpec!AO22*((Q_p_fowl*f_p_fowl*f_s_fowl*(RadSpec!BG22+R_es_past))+(Q_s_fowl*f_p_fowl)))),".")</f>
        <v>.</v>
      </c>
      <c r="W22" s="2" t="str">
        <f>IFERROR(R22/(RadSpec!AO22*Q_w_fowl*(1/1000)),".")</f>
        <v>.</v>
      </c>
    </row>
    <row r="23" spans="1:23" customFormat="1" x14ac:dyDescent="0.25">
      <c r="A23" s="32" t="s">
        <v>21</v>
      </c>
      <c r="B23" s="3" t="s">
        <v>336</v>
      </c>
      <c r="C23" s="2">
        <f>IFERROR(((DL)/(RadSpec!I23*IFS_rec_adj*(1/1000))),".")</f>
        <v>64.6745922145696</v>
      </c>
      <c r="D23" s="2">
        <f>IFERROR(IF(A23="H-3",(DL/(RadSpec!L23*IFA_rec_adj*(1/17)*1000))*RadSpec!#REF!,(DL/(RadSpec!L23*IFA_rec_adj*(1/PEF_wind)*1000))),".")</f>
        <v>644862.74721562583</v>
      </c>
      <c r="E23" s="2">
        <f>IFERROR((DL/(RadSpec!K23*EF_rec*(1/365)*ED_rec*def_acf!D23*ET_rec*(1/24)*RadSpec!AA23)),".")</f>
        <v>46493.598193265934</v>
      </c>
      <c r="F23" s="2">
        <f t="shared" si="37"/>
        <v>64.57828436001661</v>
      </c>
      <c r="G23" s="2">
        <f>IFERROR((DL/(RadSpec!K23*EF_rec*(1/365)*ED_rec*def_acf!D23*ET_rec*(1/24)*RadSpec!AA23)),".")</f>
        <v>46493.598193265934</v>
      </c>
      <c r="H23" s="2">
        <f>IFERROR((DL/(RadSpec!R23*EF_rec*(1/365)*ED_rec*def_acf!E23*ET_rec*(1/24)*RadSpec!W23)),".")</f>
        <v>268793.52701941802</v>
      </c>
      <c r="I23" s="2">
        <f>IFERROR((DL/(RadSpec!S23*EF_rec*(1/365)*ED_rec*def_acf!F23*ET_rec*(1/24)*RadSpec!X23)),".")</f>
        <v>74627.490045048966</v>
      </c>
      <c r="J23" s="2">
        <f>IFERROR((DL/(RadSpec!T23*EF_rec*(1/365)*ED_rec*def_acf!G23*ET_rec*(1/24)*RadSpec!AD23)),".")</f>
        <v>43348.300190582071</v>
      </c>
      <c r="K23" s="2">
        <f>IFERROR((DL/(RadSpec!P23*EF_rec*(1/365)*ED_rec*def_acf!C23*ET_rec*(1/24)*RadSpec!Z23)),".")</f>
        <v>302414.42538082181</v>
      </c>
      <c r="L23" s="2">
        <f>IFERROR((DL/(RadSpec!L23*IFA_rec_adj)),".")</f>
        <v>0.47439244411434633</v>
      </c>
      <c r="M23" s="2">
        <f>IFERROR((DL/(RadSpec!O23*EF_rec*(1/365)*ED_rec*ET_rec*(1/24)*GSF_o)),".")</f>
        <v>2.0105069644787488</v>
      </c>
      <c r="N23" s="2">
        <f t="shared" si="38"/>
        <v>0.38382612571347335</v>
      </c>
      <c r="O23" s="2">
        <f>IFERROR(DL/(RadSpec!M23*IFW_rec_adj),".")</f>
        <v>96.69350726135967</v>
      </c>
      <c r="P23" s="2">
        <f>IFERROR(DL/(RadSpec!Q23*(1/8760)*DFA_rec_adj),".")</f>
        <v>914.13401455101007</v>
      </c>
      <c r="Q23" s="2">
        <f t="shared" si="39"/>
        <v>87.444021919152988</v>
      </c>
      <c r="R23" s="2">
        <f>IFERROR(DL/(RadSpec!J23*EF_rec*ED_rec*IRGL_rec*CF_game),".")</f>
        <v>7.954974842392061</v>
      </c>
      <c r="S23" s="2">
        <f>IFERROR((R23/(RadSpec!AM23*((Q_p_game*f_p_game*f_s_game*(RadSpec!BG23+R_es_past))+(Q_s_game*f_p_game)))),".")</f>
        <v>3685.8989230586599</v>
      </c>
      <c r="T23" s="2">
        <f>IFERROR(R23/(RadSpec!AM23*Q_w_game*(1/1000)),".")</f>
        <v>4679396.9661129769</v>
      </c>
      <c r="U23" s="2">
        <f>IFERROR(DL/(RadSpec!J23*EF_rec*ED_rec*IRGF_rec*CF_fowl),".")</f>
        <v>7.954974842392061</v>
      </c>
      <c r="V23" s="2" t="str">
        <f>IFERROR((R23/(RadSpec!AO23*((Q_p_fowl*f_p_fowl*f_s_fowl*(RadSpec!BG23+R_es_past))+(Q_s_fowl*f_p_fowl)))),".")</f>
        <v>.</v>
      </c>
      <c r="W23" s="2" t="str">
        <f>IFERROR(R23/(RadSpec!AO23*Q_w_fowl*(1/1000)),".")</f>
        <v>.</v>
      </c>
    </row>
    <row r="24" spans="1:23" customFormat="1" x14ac:dyDescent="0.25">
      <c r="A24" s="31" t="s">
        <v>22</v>
      </c>
      <c r="B24" s="3" t="s">
        <v>1059</v>
      </c>
      <c r="C24" s="2" t="str">
        <f>IFERROR(((DL)/(RadSpec!I24*IFS_rec_adj*(1/1000))),".")</f>
        <v>.</v>
      </c>
      <c r="D24" s="2" t="str">
        <f>IFERROR(IF(A24="H-3",(DL/(RadSpec!L24*IFA_rec_adj*(1/17)*1000))*RadSpec!#REF!,(DL/(RadSpec!L24*IFA_rec_adj*(1/PEF_wind)*1000))),".")</f>
        <v>.</v>
      </c>
      <c r="E24" s="2">
        <f>IFERROR((DL/(RadSpec!K24*EF_rec*(1/365)*ED_rec*def_acf!D24*ET_rec*(1/24)*RadSpec!AA24)),".")</f>
        <v>318759.71806096914</v>
      </c>
      <c r="F24" s="2">
        <f>IF(AND(C24&lt;&gt;".",D24&lt;&gt;".",E24&lt;&gt;"."),1/((1/C24)+(1/D24)+(1/E24)),IF(AND(C24&lt;&gt;".",D24&lt;&gt;".",E24="."), 1/((1/C24)+(1/D24)),IF(AND(C24&lt;&gt;".",D24=".",E24&lt;&gt;"."),1/((1/C24)+(1/E24)),IF(AND(C24=".",D24&lt;&gt;".",E24&lt;&gt;"."),1/((1/D24)+(1/E24)),IF(AND(C24&lt;&gt;".",D24=".",E24="."),1/((1/C24)),IF(AND(C24=".",D24&lt;&gt;".",E24="."),1/((1/D24)),IF(AND(C24=".",D24=".",E24&lt;&gt;"."),1/((1/E24)),IF(AND(C24=".",D24=".",E24="."),"."))))))))</f>
        <v>318759.71806096914</v>
      </c>
      <c r="G24" s="2">
        <f>IFERROR((DL/(RadSpec!K24*EF_rec*(1/365)*ED_rec*def_acf!D24*ET_rec*(1/24)*RadSpec!AA24)),".")</f>
        <v>318759.71806096914</v>
      </c>
      <c r="H24" s="2">
        <f>IFERROR((DL/(RadSpec!R24*EF_rec*(1/365)*ED_rec*def_acf!E24*ET_rec*(1/24)*RadSpec!W24)),".")</f>
        <v>2922533.8610106683</v>
      </c>
      <c r="I24" s="2">
        <f>IFERROR((DL/(RadSpec!S24*EF_rec*(1/365)*ED_rec*def_acf!F24*ET_rec*(1/24)*RadSpec!X24)),".")</f>
        <v>702696.91042203573</v>
      </c>
      <c r="J24" s="2">
        <f>IFERROR((DL/(RadSpec!T24*EF_rec*(1/365)*ED_rec*def_acf!G24*ET_rec*(1/24)*RadSpec!AD24)),".")</f>
        <v>350290.00893719372</v>
      </c>
      <c r="K24" s="2">
        <f>IFERROR((DL/(RadSpec!P24*EF_rec*(1/365)*ED_rec*def_acf!C24*ET_rec*(1/24)*RadSpec!Z24)),".")</f>
        <v>4390175.0642890399</v>
      </c>
      <c r="L24" s="2" t="str">
        <f>IFERROR((DL/(RadSpec!L24*IFA_rec_adj)),".")</f>
        <v>.</v>
      </c>
      <c r="M24" s="2">
        <f>IFERROR((DL/(RadSpec!O24*EF_rec*(1/365)*ED_rec*ET_rec*(1/24)*GSF_o)),".")</f>
        <v>18.390225469202669</v>
      </c>
      <c r="N24" s="2">
        <f t="shared" ref="N24" si="40">IFERROR(IF(AND(L24&lt;&gt;0,M24&lt;&gt;0),1/((1/L24)+(1/M24)),IF(AND(L24&lt;&gt;0,M24=0),1/((1/L24)),IF(AND(L24=0,M24&lt;&gt;0),1/((1/M24)),IF(AND(L24=0,M24=0),0)))),0)</f>
        <v>0</v>
      </c>
      <c r="O24" s="2" t="str">
        <f>IFERROR(DL/(RadSpec!M24*IFW_rec_adj),".")</f>
        <v>.</v>
      </c>
      <c r="P24" s="2">
        <f>IFERROR(DL/(RadSpec!Q24*(1/8760)*DFA_rec_adj),".")</f>
        <v>8460.9968329213916</v>
      </c>
      <c r="Q24" s="2">
        <f t="shared" ref="Q24" si="41">IFERROR(IF(AND(O24&lt;&gt;0,P24&lt;&gt;0),1/((1/O24)+(1/P24)),IF(AND(O24&lt;&gt;0,P24=0),1/((1/O24)),IF(AND(O24=0,P24&lt;&gt;0),1/((1/P24)),IF(AND(O24=0,P24=0),0)))),0)</f>
        <v>0</v>
      </c>
      <c r="R24" s="2" t="str">
        <f>IFERROR(DL/(RadSpec!J24*EF_rec*ED_rec*IRGL_rec*CF_game),".")</f>
        <v>.</v>
      </c>
      <c r="S24" s="2" t="str">
        <f>IFERROR((R24/(RadSpec!AM24*((Q_p_game*f_p_game*f_s_game*(RadSpec!BG24+R_es_past))+(Q_s_game*f_p_game)))),".")</f>
        <v>.</v>
      </c>
      <c r="T24" s="2" t="str">
        <f>IFERROR(R24/(RadSpec!AM24*Q_w_game*(1/1000)),".")</f>
        <v>.</v>
      </c>
      <c r="U24" s="2" t="str">
        <f>IFERROR(DL/(RadSpec!J24*EF_rec*ED_rec*IRGF_rec*CF_fowl),".")</f>
        <v>.</v>
      </c>
      <c r="V24" s="2" t="str">
        <f>IFERROR((R24/(RadSpec!AO24*((Q_p_fowl*f_p_fowl*f_s_fowl*(RadSpec!BG24+R_es_past))+(Q_s_fowl*f_p_fowl)))),".")</f>
        <v>.</v>
      </c>
      <c r="W24" s="2" t="str">
        <f>IFERROR(R24/(RadSpec!AO24*Q_w_fowl*(1/1000)),".")</f>
        <v>.</v>
      </c>
    </row>
    <row r="25" spans="1:23" customFormat="1" x14ac:dyDescent="0.25">
      <c r="A25" s="32" t="s">
        <v>23</v>
      </c>
      <c r="B25" s="3" t="s">
        <v>336</v>
      </c>
      <c r="C25" s="2" t="str">
        <f>IFERROR(((DL)/(RadSpec!I25*IFS_rec_adj*(1/1000))),".")</f>
        <v>.</v>
      </c>
      <c r="D25" s="2">
        <f>IFERROR(IF(A25="H-3",(DL/(RadSpec!L25*IFA_rec_adj*(1/17)*1000))*RadSpec!#REF!,(DL/(RadSpec!L25*IFA_rec_adj*(1/PEF_wind)*1000))),".")</f>
        <v>3752018213.1889324</v>
      </c>
      <c r="E25" s="2">
        <f>IFERROR((DL/(RadSpec!K25*EF_rec*(1/365)*ED_rec*def_acf!D25*ET_rec*(1/24)*RadSpec!AA25)),".")</f>
        <v>630931.7120038342</v>
      </c>
      <c r="F25" s="2">
        <f>IF(AND(C25&lt;&gt;".",D25&lt;&gt;".",E25&lt;&gt;"."),1/((1/C25)+(1/D25)+(1/E25)),IF(AND(C25&lt;&gt;".",D25&lt;&gt;".",E25="."), 1/((1/C25)+(1/D25)),IF(AND(C25&lt;&gt;".",D25=".",E25&lt;&gt;"."),1/((1/C25)+(1/E25)),IF(AND(C25=".",D25&lt;&gt;".",E25&lt;&gt;"."),1/((1/D25)+(1/E25)),IF(AND(C25&lt;&gt;".",D25=".",E25="."),1/((1/C25)),IF(AND(C25=".",D25&lt;&gt;".",E25="."),1/((1/D25)),IF(AND(C25=".",D25=".",E25&lt;&gt;"."),1/((1/E25)),IF(AND(C25=".",D25=".",E25="."),"."))))))))</f>
        <v>630825.63365495554</v>
      </c>
      <c r="G25" s="2">
        <f>IFERROR((DL/(RadSpec!K25*EF_rec*(1/365)*ED_rec*def_acf!D25*ET_rec*(1/24)*RadSpec!AA25)),".")</f>
        <v>630931.7120038342</v>
      </c>
      <c r="H25" s="2">
        <f>IFERROR((DL/(RadSpec!R25*EF_rec*(1/365)*ED_rec*def_acf!E25*ET_rec*(1/24)*RadSpec!W25)),".")</f>
        <v>5583382.0699922517</v>
      </c>
      <c r="I25" s="2">
        <f>IFERROR((DL/(RadSpec!S25*EF_rec*(1/365)*ED_rec*def_acf!F25*ET_rec*(1/24)*RadSpec!X25)),".")</f>
        <v>1334235.9337832199</v>
      </c>
      <c r="J25" s="2">
        <f>IFERROR((DL/(RadSpec!T25*EF_rec*(1/365)*ED_rec*def_acf!G25*ET_rec*(1/24)*RadSpec!AD25)),".")</f>
        <v>698019.76357534796</v>
      </c>
      <c r="K25" s="2">
        <f>IFERROR((DL/(RadSpec!P25*EF_rec*(1/365)*ED_rec*def_acf!C25*ET_rec*(1/24)*RadSpec!Z25)),".")</f>
        <v>8556914.2938275579</v>
      </c>
      <c r="L25" s="2">
        <f>IFERROR((DL/(RadSpec!L25*IFA_rec_adj)),".")</f>
        <v>2760.1673351446934</v>
      </c>
      <c r="M25" s="2">
        <f>IFERROR((DL/(RadSpec!O25*EF_rec*(1/365)*ED_rec*ET_rec*(1/24)*GSF_o)),".")</f>
        <v>36.142639650456118</v>
      </c>
      <c r="N25" s="2">
        <f t="shared" ref="N25" si="42">IFERROR(IF(AND(L25&lt;&gt;0,M25&lt;&gt;0),1/((1/L25)+(1/M25)),IF(AND(L25&lt;&gt;0,M25=0),1/((1/L25)),IF(AND(L25=0,M25&lt;&gt;0),1/((1/M25)),IF(AND(L25=0,M25=0),0)))),0)</f>
        <v>35.675491725985253</v>
      </c>
      <c r="O25" s="2" t="str">
        <f>IFERROR(DL/(RadSpec!M25*IFW_rec_adj),".")</f>
        <v>.</v>
      </c>
      <c r="P25" s="2">
        <f>IFERROR(DL/(RadSpec!Q25*(1/8760)*DFA_rec_adj),".")</f>
        <v>16629.459200874757</v>
      </c>
      <c r="Q25" s="2">
        <f t="shared" ref="Q25" si="43">IFERROR(IF(AND(O25&lt;&gt;0,P25&lt;&gt;0),1/((1/O25)+(1/P25)),IF(AND(O25&lt;&gt;0,P25=0),1/((1/O25)),IF(AND(O25=0,P25&lt;&gt;0),1/((1/P25)),IF(AND(O25=0,P25=0),0)))),0)</f>
        <v>0</v>
      </c>
      <c r="R25" s="2" t="str">
        <f>IFERROR(DL/(RadSpec!J25*EF_rec*ED_rec*IRGL_rec*CF_game),".")</f>
        <v>.</v>
      </c>
      <c r="S25" s="2" t="str">
        <f>IFERROR((R25/(RadSpec!AM25*((Q_p_game*f_p_game*f_s_game*(RadSpec!BG25+R_es_past))+(Q_s_game*f_p_game)))),".")</f>
        <v>.</v>
      </c>
      <c r="T25" s="2" t="str">
        <f>IFERROR(R25/(RadSpec!AM25*Q_w_game*(1/1000)),".")</f>
        <v>.</v>
      </c>
      <c r="U25" s="2" t="str">
        <f>IFERROR(DL/(RadSpec!J25*EF_rec*ED_rec*IRGF_rec*CF_fowl),".")</f>
        <v>.</v>
      </c>
      <c r="V25" s="2" t="str">
        <f>IFERROR((R25/(RadSpec!AO25*((Q_p_fowl*f_p_fowl*f_s_fowl*(RadSpec!BG25+R_es_past))+(Q_s_fowl*f_p_fowl)))),".")</f>
        <v>.</v>
      </c>
      <c r="W25" s="2" t="str">
        <f>IFERROR(R25/(RadSpec!AO25*Q_w_fowl*(1/1000)),".")</f>
        <v>.</v>
      </c>
    </row>
    <row r="26" spans="1:23" customFormat="1" x14ac:dyDescent="0.25">
      <c r="A26" s="31" t="s">
        <v>24</v>
      </c>
      <c r="B26" s="3" t="s">
        <v>1059</v>
      </c>
      <c r="C26" s="2">
        <f>IFERROR(((DL)/(RadSpec!I26*IFS_rec_adj*(1/1000))),".")</f>
        <v>48.1077015980296</v>
      </c>
      <c r="D26" s="2">
        <f>IFERROR(IF(A26="H-3",(DL/(RadSpec!L26*IFA_rec_adj*(1/17)*1000))*RadSpec!#REF!,(DL/(RadSpec!L26*IFA_rec_adj*(1/PEF_wind)*1000))),".")</f>
        <v>87974.652931403281</v>
      </c>
      <c r="E26" s="2">
        <f>IFERROR((DL/(RadSpec!K26*EF_rec*(1/365)*ED_rec*def_acf!D26*ET_rec*(1/24)*RadSpec!AA26)),".")</f>
        <v>4545.6359114305287</v>
      </c>
      <c r="F26" s="2">
        <f>IF(AND(C26&lt;&gt;".",D26&lt;&gt;".",E26&lt;&gt;"."),1/((1/C26)+(1/D26)+(1/E26)),IF(AND(C26&lt;&gt;".",D26&lt;&gt;".",E26="."), 1/((1/C26)+(1/D26)),IF(AND(C26&lt;&gt;".",D26=".",E26&lt;&gt;"."),1/((1/C26)+(1/E26)),IF(AND(C26=".",D26&lt;&gt;".",E26&lt;&gt;"."),1/((1/D26)+(1/E26)),IF(AND(C26&lt;&gt;".",D26=".",E26="."),1/((1/C26)),IF(AND(C26=".",D26&lt;&gt;".",E26="."),1/((1/D26)),IF(AND(C26=".",D26=".",E26&lt;&gt;"."),1/((1/E26)),IF(AND(C26=".",D26=".",E26="."),"."))))))))</f>
        <v>47.578151631519745</v>
      </c>
      <c r="G26" s="2">
        <f>IFERROR((DL/(RadSpec!K26*EF_rec*(1/365)*ED_rec*def_acf!D26*ET_rec*(1/24)*RadSpec!AA26)),".")</f>
        <v>4545.6359114305287</v>
      </c>
      <c r="H26" s="2">
        <f>IFERROR((DL/(RadSpec!R26*EF_rec*(1/365)*ED_rec*def_acf!E26*ET_rec*(1/24)*RadSpec!W26)),".")</f>
        <v>15794.07447703933</v>
      </c>
      <c r="I26" s="2">
        <f>IFERROR((DL/(RadSpec!S26*EF_rec*(1/365)*ED_rec*def_acf!F26*ET_rec*(1/24)*RadSpec!X26)),".")</f>
        <v>6163.7568880294675</v>
      </c>
      <c r="J26" s="2">
        <f>IFERROR((DL/(RadSpec!T26*EF_rec*(1/365)*ED_rec*def_acf!G26*ET_rec*(1/24)*RadSpec!AD26)),".")</f>
        <v>4454.9809132371802</v>
      </c>
      <c r="K26" s="2">
        <f>IFERROR((DL/(RadSpec!P26*EF_rec*(1/365)*ED_rec*def_acf!C26*ET_rec*(1/24)*RadSpec!Z26)),".")</f>
        <v>14599.167566695482</v>
      </c>
      <c r="L26" s="2">
        <f>IFERROR((DL/(RadSpec!L26*IFA_rec_adj)),".")</f>
        <v>6.4718439395732019E-2</v>
      </c>
      <c r="M26" s="2">
        <f>IFERROR((DL/(RadSpec!O26*EF_rec*(1/365)*ED_rec*ET_rec*(1/24)*GSF_o)),".")</f>
        <v>0.18833363432315986</v>
      </c>
      <c r="N26" s="2">
        <f t="shared" ref="N26" si="44">IFERROR(IF(AND(L26&lt;&gt;0,M26&lt;&gt;0),1/((1/L26)+(1/M26)),IF(AND(L26&lt;&gt;0,M26=0),1/((1/L26)),IF(AND(L26=0,M26&lt;&gt;0),1/((1/M26)),IF(AND(L26=0,M26=0),0)))),0)</f>
        <v>4.8166603497829467E-2</v>
      </c>
      <c r="O26" s="2">
        <f>IFERROR(DL/(RadSpec!M26*IFW_rec_adj),".")</f>
        <v>71.924727076183785</v>
      </c>
      <c r="P26" s="2">
        <f>IFERROR(DL/(RadSpec!Q26*(1/8760)*DFA_rec_adj),".")</f>
        <v>84.495630534174424</v>
      </c>
      <c r="Q26" s="2">
        <f t="shared" ref="Q26" si="45">IFERROR(IF(AND(O26&lt;&gt;0,P26&lt;&gt;0),1/((1/O26)+(1/P26)),IF(AND(O26&lt;&gt;0,P26=0),1/((1/O26)),IF(AND(O26=0,P26&lt;&gt;0),1/((1/P26)),IF(AND(O26=0,P26=0),0)))),0)</f>
        <v>38.85252059350946</v>
      </c>
      <c r="R26" s="2">
        <f>IFERROR(DL/(RadSpec!J26*EF_rec*ED_rec*IRGL_rec*CF_game),".")</f>
        <v>5.9172472965576404</v>
      </c>
      <c r="S26" s="2">
        <f>IFERROR((R26/(RadSpec!AM26*((Q_p_game*f_p_game*f_s_game*(RadSpec!BG26+R_es_past))+(Q_s_game*f_p_game)))),".")</f>
        <v>20542.062296515462</v>
      </c>
      <c r="T26" s="2">
        <f>IFERROR(R26/(RadSpec!AM26*Q_w_game*(1/1000)),".")</f>
        <v>25727162.158946261</v>
      </c>
      <c r="U26" s="2">
        <f>IFERROR(DL/(RadSpec!J26*EF_rec*ED_rec*IRGF_rec*CF_fowl),".")</f>
        <v>5.9172472965576404</v>
      </c>
      <c r="V26" s="2" t="str">
        <f>IFERROR((R26/(RadSpec!AO26*((Q_p_fowl*f_p_fowl*f_s_fowl*(RadSpec!BG26+R_es_past))+(Q_s_fowl*f_p_fowl)))),".")</f>
        <v>.</v>
      </c>
      <c r="W26" s="2" t="str">
        <f>IFERROR(R26/(RadSpec!AO26*Q_w_fowl*(1/1000)),".")</f>
        <v>.</v>
      </c>
    </row>
    <row r="27" spans="1:23" customFormat="1" x14ac:dyDescent="0.25">
      <c r="A27" s="31" t="s">
        <v>25</v>
      </c>
      <c r="B27" s="3" t="s">
        <v>1059</v>
      </c>
      <c r="C27" s="2" t="str">
        <f>IFERROR(((DL)/(RadSpec!I27*IFS_rec_adj*(1/1000))),".")</f>
        <v>.</v>
      </c>
      <c r="D27" s="2" t="str">
        <f>IFERROR(IF(A27="H-3",(DL/(RadSpec!L27*IFA_rec_adj*(1/17)*1000))*RadSpec!#REF!,(DL/(RadSpec!L27*IFA_rec_adj*(1/PEF_wind)*1000))),".")</f>
        <v>.</v>
      </c>
      <c r="E27" s="2">
        <f>IFERROR((DL/(RadSpec!K27*EF_rec*(1/365)*ED_rec*def_acf!D27*ET_rec*(1/24)*RadSpec!AA27)),".")</f>
        <v>99801.925353333791</v>
      </c>
      <c r="F27" s="2">
        <f>IF(AND(C27&lt;&gt;".",D27&lt;&gt;".",E27&lt;&gt;"."),1/((1/C27)+(1/D27)+(1/E27)),IF(AND(C27&lt;&gt;".",D27&lt;&gt;".",E27="."), 1/((1/C27)+(1/D27)),IF(AND(C27&lt;&gt;".",D27=".",E27&lt;&gt;"."),1/((1/C27)+(1/E27)),IF(AND(C27=".",D27&lt;&gt;".",E27&lt;&gt;"."),1/((1/D27)+(1/E27)),IF(AND(C27&lt;&gt;".",D27=".",E27="."),1/((1/C27)),IF(AND(C27=".",D27&lt;&gt;".",E27="."),1/((1/D27)),IF(AND(C27=".",D27=".",E27&lt;&gt;"."),1/((1/E27)),IF(AND(C27=".",D27=".",E27="."),"."))))))))</f>
        <v>99801.925353333791</v>
      </c>
      <c r="G27" s="2">
        <f>IFERROR((DL/(RadSpec!K27*EF_rec*(1/365)*ED_rec*def_acf!D27*ET_rec*(1/24)*RadSpec!AA27)),".")</f>
        <v>99801.925353333791</v>
      </c>
      <c r="H27" s="2">
        <f>IFERROR((DL/(RadSpec!R27*EF_rec*(1/365)*ED_rec*def_acf!E27*ET_rec*(1/24)*RadSpec!W27)),".")</f>
        <v>258334.0110404444</v>
      </c>
      <c r="I27" s="2">
        <f>IFERROR((DL/(RadSpec!S27*EF_rec*(1/365)*ED_rec*def_acf!F27*ET_rec*(1/24)*RadSpec!X27)),".")</f>
        <v>146478.60045592784</v>
      </c>
      <c r="J27" s="2">
        <f>IFERROR((DL/(RadSpec!T27*EF_rec*(1/365)*ED_rec*def_acf!G27*ET_rec*(1/24)*RadSpec!AD27)),".")</f>
        <v>110221.58888435869</v>
      </c>
      <c r="K27" s="2">
        <f>IFERROR((DL/(RadSpec!P27*EF_rec*(1/365)*ED_rec*def_acf!C27*ET_rec*(1/24)*RadSpec!Z27)),".")</f>
        <v>24138.99691613172</v>
      </c>
      <c r="L27" s="2" t="str">
        <f>IFERROR((DL/(RadSpec!L27*IFA_rec_adj)),".")</f>
        <v>.</v>
      </c>
      <c r="M27" s="2">
        <f>IFERROR((DL/(RadSpec!O27*EF_rec*(1/365)*ED_rec*ET_rec*(1/24)*GSF_o)),".")</f>
        <v>1.5749815263296996</v>
      </c>
      <c r="N27" s="2">
        <f t="shared" ref="N27" si="46">IFERROR(IF(AND(L27&lt;&gt;0,M27&lt;&gt;0),1/((1/L27)+(1/M27)),IF(AND(L27&lt;&gt;0,M27=0),1/((1/L27)),IF(AND(L27=0,M27&lt;&gt;0),1/((1/M27)),IF(AND(L27=0,M27=0),0)))),0)</f>
        <v>0</v>
      </c>
      <c r="O27" s="2" t="str">
        <f>IFERROR(DL/(RadSpec!M27*IFW_rec_adj),".")</f>
        <v>.</v>
      </c>
      <c r="P27" s="2">
        <f>IFERROR(DL/(RadSpec!Q27*(1/8760)*DFA_rec_adj),".")</f>
        <v>1316.3529809534543</v>
      </c>
      <c r="Q27" s="2">
        <f t="shared" ref="Q27" si="47">IFERROR(IF(AND(O27&lt;&gt;0,P27&lt;&gt;0),1/((1/O27)+(1/P27)),IF(AND(O27&lt;&gt;0,P27=0),1/((1/O27)),IF(AND(O27=0,P27&lt;&gt;0),1/((1/P27)),IF(AND(O27=0,P27=0),0)))),0)</f>
        <v>0</v>
      </c>
      <c r="R27" s="2" t="str">
        <f>IFERROR(DL/(RadSpec!J27*EF_rec*ED_rec*IRGL_rec*CF_game),".")</f>
        <v>.</v>
      </c>
      <c r="S27" s="2" t="str">
        <f>IFERROR((R27/(RadSpec!AM27*((Q_p_game*f_p_game*f_s_game*(RadSpec!BG27+R_es_past))+(Q_s_game*f_p_game)))),".")</f>
        <v>.</v>
      </c>
      <c r="T27" s="2" t="str">
        <f>IFERROR(R27/(RadSpec!AM27*Q_w_game*(1/1000)),".")</f>
        <v>.</v>
      </c>
      <c r="U27" s="2" t="str">
        <f>IFERROR(DL/(RadSpec!J27*EF_rec*ED_rec*IRGF_rec*CF_fowl),".")</f>
        <v>.</v>
      </c>
      <c r="V27" s="2" t="str">
        <f>IFERROR((R27/(RadSpec!AO27*((Q_p_fowl*f_p_fowl*f_s_fowl*(RadSpec!BG27+R_es_past))+(Q_s_fowl*f_p_fowl)))),".")</f>
        <v>.</v>
      </c>
      <c r="W27" s="2" t="str">
        <f>IFERROR(R27/(RadSpec!AO27*Q_w_fowl*(1/1000)),".")</f>
        <v>.</v>
      </c>
    </row>
    <row r="28" spans="1:23" customFormat="1" x14ac:dyDescent="0.25">
      <c r="A28" s="31" t="s">
        <v>26</v>
      </c>
      <c r="B28" s="3" t="s">
        <v>1059</v>
      </c>
      <c r="C28" s="2" t="str">
        <f>IFERROR(((DL)/(RadSpec!I28*IFS_rec_adj*(1/1000))),".")</f>
        <v>.</v>
      </c>
      <c r="D28" s="2" t="str">
        <f>IFERROR(IF(A28="H-3",(DL/(RadSpec!L28*IFA_rec_adj*(1/17)*1000))*RadSpec!#REF!,(DL/(RadSpec!L28*IFA_rec_adj*(1/PEF_wind)*1000))),".")</f>
        <v>.</v>
      </c>
      <c r="E28" s="2">
        <f>IFERROR((DL/(RadSpec!K28*EF_rec*(1/365)*ED_rec*def_acf!D28*ET_rec*(1/24)*RadSpec!AA28)),".")</f>
        <v>96.337605186890556</v>
      </c>
      <c r="F28" s="2">
        <f t="shared" ref="F28:F29" si="48">IF(AND(C28&lt;&gt;".",D28&lt;&gt;".",E28&lt;&gt;"."),1/((1/C28)+(1/D28)+(1/E28)),IF(AND(C28&lt;&gt;".",D28&lt;&gt;".",E28="."), 1/((1/C28)+(1/D28)),IF(AND(C28&lt;&gt;".",D28=".",E28&lt;&gt;"."),1/((1/C28)+(1/E28)),IF(AND(C28=".",D28&lt;&gt;".",E28&lt;&gt;"."),1/((1/D28)+(1/E28)),IF(AND(C28&lt;&gt;".",D28=".",E28="."),1/((1/C28)),IF(AND(C28=".",D28&lt;&gt;".",E28="."),1/((1/D28)),IF(AND(C28=".",D28=".",E28&lt;&gt;"."),1/((1/E28)),IF(AND(C28=".",D28=".",E28="."),"."))))))))</f>
        <v>96.337605186890556</v>
      </c>
      <c r="G28" s="2">
        <f>IFERROR((DL/(RadSpec!K28*EF_rec*(1/365)*ED_rec*def_acf!D28*ET_rec*(1/24)*RadSpec!AA28)),".")</f>
        <v>96.337605186890556</v>
      </c>
      <c r="H28" s="2">
        <f>IFERROR((DL/(RadSpec!R28*EF_rec*(1/365)*ED_rec*def_acf!E28*ET_rec*(1/24)*RadSpec!W28)),".")</f>
        <v>1141.864320015962</v>
      </c>
      <c r="I28" s="2">
        <f>IFERROR((DL/(RadSpec!S28*EF_rec*(1/365)*ED_rec*def_acf!F28*ET_rec*(1/24)*RadSpec!X28)),".")</f>
        <v>261.5407564506574</v>
      </c>
      <c r="J28" s="2">
        <f>IFERROR((DL/(RadSpec!T28*EF_rec*(1/365)*ED_rec*def_acf!G28*ET_rec*(1/24)*RadSpec!AD28)),".")</f>
        <v>128.83132225796615</v>
      </c>
      <c r="K28" s="2">
        <f>IFERROR((DL/(RadSpec!P28*EF_rec*(1/365)*ED_rec*def_acf!C28*ET_rec*(1/24)*RadSpec!Z28)),".")</f>
        <v>1651.0275551905513</v>
      </c>
      <c r="L28" s="2" t="str">
        <f>IFERROR((DL/(RadSpec!L28*IFA_rec_adj)),".")</f>
        <v>.</v>
      </c>
      <c r="M28" s="2">
        <f>IFERROR((DL/(RadSpec!O28*EF_rec*(1/365)*ED_rec*ET_rec*(1/24)*GSF_o)),".")</f>
        <v>6.130075156400891E-3</v>
      </c>
      <c r="N28" s="2">
        <f t="shared" ref="N28:N29" si="49">IFERROR(IF(AND(L28&lt;&gt;0,M28&lt;&gt;0),1/((1/L28)+(1/M28)),IF(AND(L28&lt;&gt;0,M28=0),1/((1/L28)),IF(AND(L28=0,M28&lt;&gt;0),1/((1/M28)),IF(AND(L28=0,M28=0),0)))),0)</f>
        <v>0</v>
      </c>
      <c r="O28" s="2" t="str">
        <f>IFERROR(DL/(RadSpec!M28*IFW_rec_adj),".")</f>
        <v>.</v>
      </c>
      <c r="P28" s="2">
        <f>IFERROR(DL/(RadSpec!Q28*(1/8760)*DFA_rec_adj),".")</f>
        <v>2.8421257543313221</v>
      </c>
      <c r="Q28" s="2">
        <f t="shared" ref="Q28:Q29" si="50">IFERROR(IF(AND(O28&lt;&gt;0,P28&lt;&gt;0),1/((1/O28)+(1/P28)),IF(AND(O28&lt;&gt;0,P28=0),1/((1/O28)),IF(AND(O28=0,P28&lt;&gt;0),1/((1/P28)),IF(AND(O28=0,P28=0),0)))),0)</f>
        <v>0</v>
      </c>
      <c r="R28" s="2" t="str">
        <f>IFERROR(DL/(RadSpec!J28*EF_rec*ED_rec*IRGL_rec*CF_game),".")</f>
        <v>.</v>
      </c>
      <c r="S28" s="2" t="str">
        <f>IFERROR((R28/(RadSpec!AM28*((Q_p_game*f_p_game*f_s_game*(RadSpec!BG28+R_es_past))+(Q_s_game*f_p_game)))),".")</f>
        <v>.</v>
      </c>
      <c r="T28" s="2" t="str">
        <f>IFERROR(R28/(RadSpec!AM28*Q_w_game*(1/1000)),".")</f>
        <v>.</v>
      </c>
      <c r="U28" s="2" t="str">
        <f>IFERROR(DL/(RadSpec!J28*EF_rec*ED_rec*IRGF_rec*CF_fowl),".")</f>
        <v>.</v>
      </c>
      <c r="V28" s="2" t="str">
        <f>IFERROR((R28/(RadSpec!AO28*((Q_p_fowl*f_p_fowl*f_s_fowl*(RadSpec!BG28+R_es_past))+(Q_s_fowl*f_p_fowl)))),".")</f>
        <v>.</v>
      </c>
      <c r="W28" s="2" t="str">
        <f>IFERROR(R28/(RadSpec!AO28*Q_w_fowl*(1/1000)),".")</f>
        <v>.</v>
      </c>
    </row>
    <row r="29" spans="1:23" customFormat="1" x14ac:dyDescent="0.25">
      <c r="A29" s="31" t="s">
        <v>27</v>
      </c>
      <c r="B29" s="3" t="s">
        <v>1059</v>
      </c>
      <c r="C29" s="2" t="str">
        <f>IFERROR(((DL)/(RadSpec!I29*IFS_rec_adj*(1/1000))),".")</f>
        <v>.</v>
      </c>
      <c r="D29" s="2" t="str">
        <f>IFERROR(IF(A29="H-3",(DL/(RadSpec!L29*IFA_rec_adj*(1/17)*1000))*RadSpec!#REF!,(DL/(RadSpec!L29*IFA_rec_adj*(1/PEF_wind)*1000))),".")</f>
        <v>.</v>
      </c>
      <c r="E29" s="2">
        <f>IFERROR((DL/(RadSpec!K29*EF_rec*(1/365)*ED_rec*def_acf!D29*ET_rec*(1/24)*RadSpec!AA29)),".")</f>
        <v>75.431325699587774</v>
      </c>
      <c r="F29" s="2">
        <f t="shared" si="48"/>
        <v>75.431325699587774</v>
      </c>
      <c r="G29" s="2">
        <f>IFERROR((DL/(RadSpec!K29*EF_rec*(1/365)*ED_rec*def_acf!D29*ET_rec*(1/24)*RadSpec!AA29)),".")</f>
        <v>75.431325699587774</v>
      </c>
      <c r="H29" s="2">
        <f>IFERROR((DL/(RadSpec!R29*EF_rec*(1/365)*ED_rec*def_acf!E29*ET_rec*(1/24)*RadSpec!W29)),".")</f>
        <v>863.393227896231</v>
      </c>
      <c r="I29" s="2">
        <f>IFERROR((DL/(RadSpec!S29*EF_rec*(1/365)*ED_rec*def_acf!F29*ET_rec*(1/24)*RadSpec!X29)),".")</f>
        <v>202.33762148137328</v>
      </c>
      <c r="J29" s="2">
        <f>IFERROR((DL/(RadSpec!T29*EF_rec*(1/365)*ED_rec*def_acf!G29*ET_rec*(1/24)*RadSpec!AD29)),".")</f>
        <v>97.935744635128827</v>
      </c>
      <c r="K29" s="2">
        <f>IFERROR((DL/(RadSpec!P29*EF_rec*(1/365)*ED_rec*def_acf!C29*ET_rec*(1/24)*RadSpec!Z29)),".")</f>
        <v>1235.4001370786468</v>
      </c>
      <c r="L29" s="2" t="str">
        <f>IFERROR((DL/(RadSpec!L29*IFA_rec_adj)),".")</f>
        <v>.</v>
      </c>
      <c r="M29" s="2">
        <f>IFERROR((DL/(RadSpec!O29*EF_rec*(1/365)*ED_rec*ET_rec*(1/24)*GSF_o)),".")</f>
        <v>4.7368762572188696E-3</v>
      </c>
      <c r="N29" s="2">
        <f t="shared" si="49"/>
        <v>0</v>
      </c>
      <c r="O29" s="2" t="str">
        <f>IFERROR(DL/(RadSpec!M29*IFW_rec_adj),".")</f>
        <v>.</v>
      </c>
      <c r="P29" s="2">
        <f>IFERROR(DL/(RadSpec!Q29*(1/8760)*DFA_rec_adj),".")</f>
        <v>2.193921634922424</v>
      </c>
      <c r="Q29" s="2">
        <f t="shared" si="50"/>
        <v>0</v>
      </c>
      <c r="R29" s="2" t="str">
        <f>IFERROR(DL/(RadSpec!J29*EF_rec*ED_rec*IRGL_rec*CF_game),".")</f>
        <v>.</v>
      </c>
      <c r="S29" s="2" t="str">
        <f>IFERROR((R29/(RadSpec!AM29*((Q_p_game*f_p_game*f_s_game*(RadSpec!BG29+R_es_past))+(Q_s_game*f_p_game)))),".")</f>
        <v>.</v>
      </c>
      <c r="T29" s="2" t="str">
        <f>IFERROR(R29/(RadSpec!AM29*Q_w_game*(1/1000)),".")</f>
        <v>.</v>
      </c>
      <c r="U29" s="2" t="str">
        <f>IFERROR(DL/(RadSpec!J29*EF_rec*ED_rec*IRGF_rec*CF_fowl),".")</f>
        <v>.</v>
      </c>
      <c r="V29" s="2" t="str">
        <f>IFERROR((R29/(RadSpec!AO29*((Q_p_fowl*f_p_fowl*f_s_fowl*(RadSpec!BG29+R_es_past))+(Q_s_fowl*f_p_fowl)))),".")</f>
        <v>.</v>
      </c>
      <c r="W29" s="2" t="str">
        <f>IFERROR(R29/(RadSpec!AO29*Q_w_fowl*(1/1000)),".")</f>
        <v>.</v>
      </c>
    </row>
    <row r="30" spans="1:23" customFormat="1" x14ac:dyDescent="0.25">
      <c r="A30" s="31" t="s">
        <v>28</v>
      </c>
      <c r="B30" s="3" t="s">
        <v>1059</v>
      </c>
      <c r="C30" s="2">
        <f>IFERROR(((DL)/(RadSpec!I30*IFS_rec_adj*(1/1000))),".")</f>
        <v>486.67093477076457</v>
      </c>
      <c r="D30" s="2">
        <f>IFERROR(IF(A30="H-3",(DL/(RadSpec!L30*IFA_rec_adj*(1/17)*1000))*RadSpec!#REF!,(DL/(RadSpec!L30*IFA_rec_adj*(1/PEF_wind)*1000))),".")</f>
        <v>644862.74721562583</v>
      </c>
      <c r="E30" s="2">
        <f>IFERROR((DL/(RadSpec!K30*EF_rec*(1/365)*ED_rec*def_acf!D30*ET_rec*(1/24)*RadSpec!AA30)),".")</f>
        <v>825296.77744880575</v>
      </c>
      <c r="F30" s="2">
        <f>IF(AND(C30&lt;&gt;".",D30&lt;&gt;".",E30&lt;&gt;"."),1/((1/C30)+(1/D30)+(1/E30)),IF(AND(C30&lt;&gt;".",D30&lt;&gt;".",E30="."), 1/((1/C30)+(1/D30)),IF(AND(C30&lt;&gt;".",D30=".",E30&lt;&gt;"."),1/((1/C30)+(1/E30)),IF(AND(C30=".",D30&lt;&gt;".",E30&lt;&gt;"."),1/((1/D30)+(1/E30)),IF(AND(C30&lt;&gt;".",D30=".",E30="."),1/((1/C30)),IF(AND(C30=".",D30&lt;&gt;".",E30="."),1/((1/D30)),IF(AND(C30=".",D30=".",E30&lt;&gt;"."),1/((1/E30)),IF(AND(C30=".",D30=".",E30="."),"."))))))))</f>
        <v>486.01754192043688</v>
      </c>
      <c r="G30" s="2">
        <f>IFERROR((DL/(RadSpec!K30*EF_rec*(1/365)*ED_rec*def_acf!D30*ET_rec*(1/24)*RadSpec!AA30)),".")</f>
        <v>825296.77744880575</v>
      </c>
      <c r="H30" s="2">
        <f>IFERROR((DL/(RadSpec!R30*EF_rec*(1/365)*ED_rec*def_acf!E30*ET_rec*(1/24)*RadSpec!W30)),".")</f>
        <v>2814770.6978099104</v>
      </c>
      <c r="I30" s="2">
        <f>IFERROR((DL/(RadSpec!S30*EF_rec*(1/365)*ED_rec*def_acf!F30*ET_rec*(1/24)*RadSpec!X30)),".")</f>
        <v>1195840.0807635507</v>
      </c>
      <c r="J30" s="2">
        <f>IFERROR((DL/(RadSpec!T30*EF_rec*(1/365)*ED_rec*def_acf!G30*ET_rec*(1/24)*RadSpec!AD30)),".")</f>
        <v>847263.95911683992</v>
      </c>
      <c r="K30" s="2">
        <f>IFERROR((DL/(RadSpec!P30*EF_rec*(1/365)*ED_rec*def_acf!C30*ET_rec*(1/24)*RadSpec!Z30)),".")</f>
        <v>1941311.6393973741</v>
      </c>
      <c r="L30" s="2">
        <f>IFERROR((DL/(RadSpec!L30*IFA_rec_adj)),".")</f>
        <v>0.47439244411434633</v>
      </c>
      <c r="M30" s="2">
        <f>IFERROR((DL/(RadSpec!O30*EF_rec*(1/365)*ED_rec*ET_rec*(1/24)*GSF_o)),".")</f>
        <v>58.987515655933102</v>
      </c>
      <c r="N30" s="2">
        <f t="shared" ref="N30" si="51">IFERROR(IF(AND(L30&lt;&gt;0,M30&lt;&gt;0),1/((1/L30)+(1/M30)),IF(AND(L30&lt;&gt;0,M30=0),1/((1/L30)),IF(AND(L30=0,M30&lt;&gt;0),1/((1/M30)),IF(AND(L30=0,M30=0),0)))),0)</f>
        <v>0.47060769858189339</v>
      </c>
      <c r="O30" s="2">
        <f>IFERROR(DL/(RadSpec!M30*IFW_rec_adj),".")</f>
        <v>727.61061111953381</v>
      </c>
      <c r="P30" s="2">
        <f>IFERROR(DL/(RadSpec!Q30*(1/8760)*DFA_rec_adj),".")</f>
        <v>26607.134721399605</v>
      </c>
      <c r="Q30" s="2">
        <f t="shared" ref="Q30" si="52">IFERROR(IF(AND(O30&lt;&gt;0,P30&lt;&gt;0),1/((1/O30)+(1/P30)),IF(AND(O30&lt;&gt;0,P30=0),1/((1/O30)),IF(AND(O30=0,P30&lt;&gt;0),1/((1/P30)),IF(AND(O30=0,P30=0),0)))),0)</f>
        <v>708.24268963449583</v>
      </c>
      <c r="R30" s="2">
        <f>IFERROR(DL/(RadSpec!J30*EF_rec*ED_rec*IRGL_rec*CF_game),".")</f>
        <v>59.860524976804044</v>
      </c>
      <c r="S30" s="2">
        <f>IFERROR((R30/(RadSpec!AM30*((Q_p_game*f_p_game*f_s_game*(RadSpec!BG30+R_es_past))+(Q_s_game*f_p_game)))),".")</f>
        <v>122094.74010784263</v>
      </c>
      <c r="T30" s="2">
        <f>IFERROR(R30/(RadSpec!AM30*Q_w_game*(1/1000)),".")</f>
        <v>153488525.58154881</v>
      </c>
      <c r="U30" s="2">
        <f>IFERROR(DL/(RadSpec!J30*EF_rec*ED_rec*IRGF_rec*CF_fowl),".")</f>
        <v>59.860524976804044</v>
      </c>
      <c r="V30" s="2">
        <f>IFERROR((R30/(RadSpec!AO30*((Q_p_fowl*f_p_fowl*f_s_fowl*(RadSpec!BG30+R_es_past))+(Q_s_fowl*f_p_fowl)))),".")</f>
        <v>63.489264856078172</v>
      </c>
      <c r="W30" s="2">
        <f>IFERROR(R30/(RadSpec!AO30*Q_w_fowl*(1/1000)),".")</f>
        <v>79814.033302405383</v>
      </c>
    </row>
    <row r="31" spans="1:23" x14ac:dyDescent="0.25">
      <c r="A31" s="54" t="s">
        <v>1</v>
      </c>
      <c r="B31" s="39" t="s">
        <v>1221</v>
      </c>
      <c r="C31" s="40">
        <f>1/SUM(1/C32,1/C33,1/C34,1/C35,1/C36,1/C37,1/C38,1/C41,1/C44)</f>
        <v>22.125371136857868</v>
      </c>
      <c r="D31" s="40">
        <f>1/SUM(1/D32,1/D33,1/D34,1/D35,1/D36,1/D37,1/D38,1/D41,1/D44)</f>
        <v>31018.924963643218</v>
      </c>
      <c r="E31" s="40">
        <f>1/SUM(1/E32,1/E33,1/E34,1/E35,1/E36,1/E37,1/E38,1/E39,1/E40,1/E41,1/E42,1/E43,1/E44)</f>
        <v>527.00838201228999</v>
      </c>
      <c r="F31" s="41">
        <f>1/SUM(1/F32,1/F33,1/F34,1/F35,1/F36,1/F37,1/F38,1/F39,1/F40,1/F41,1/F42,1/F43,1/F44)</f>
        <v>21.219383156936352</v>
      </c>
      <c r="G31" s="40">
        <f t="shared" ref="G31:Q31" si="53">1/SUM(1/G32,1/G33,1/G34,1/G35,1/G36,1/G37,1/G38,1/G39,1/G40,1/G41,1/G42,1/G43,1/G44)</f>
        <v>527.00838201228999</v>
      </c>
      <c r="H31" s="40">
        <f t="shared" si="53"/>
        <v>2962.2914434092204</v>
      </c>
      <c r="I31" s="40">
        <f t="shared" si="53"/>
        <v>905.61052949936447</v>
      </c>
      <c r="J31" s="40">
        <f t="shared" si="53"/>
        <v>555.87101261010775</v>
      </c>
      <c r="K31" s="40">
        <f t="shared" si="53"/>
        <v>2817.2951961894355</v>
      </c>
      <c r="L31" s="40">
        <f>1/SUM(1/L32,1/L33,1/L34,1/L35,1/L36,1/L37,1/L38,1/L41,1/L44)</f>
        <v>2.2819031942593892E-2</v>
      </c>
      <c r="M31" s="40">
        <f t="shared" si="53"/>
        <v>2.564812045349809E-2</v>
      </c>
      <c r="N31" s="41">
        <f t="shared" si="53"/>
        <v>1.2075503737311788E-2</v>
      </c>
      <c r="O31" s="40">
        <f>1/SUM(1/O32,1/O33,1/O34,1/O35,1/O36,1/O37,1/O38,1/O41,1/O44)</f>
        <v>33.079137593697801</v>
      </c>
      <c r="P31" s="40">
        <f t="shared" si="53"/>
        <v>11.77946614034801</v>
      </c>
      <c r="Q31" s="41">
        <f t="shared" si="53"/>
        <v>8.6862842086443397</v>
      </c>
      <c r="R31" s="40">
        <f>1/SUM(1/R32,1/R33,1/R34,1/R35,1/R36,1/R37,1/R38,1/R41,1/R44)</f>
        <v>2.7214206498335187</v>
      </c>
      <c r="S31" s="40">
        <f>1/SUM(1/S32,1/S33,1/S34,1/S35,1/S36,1/S37,1/S38,1/S41,1/S44)</f>
        <v>3510.7752632870674</v>
      </c>
      <c r="T31" s="40">
        <f>1/SUM(1/T32,1/T33,1/T34,1/T35,1/T36,1/T37,1/T38,1/T41,1/T44)</f>
        <v>4428180.2817560015</v>
      </c>
      <c r="U31" s="40">
        <f>1/SUM(1/U32,1/U33,1/U34,1/U35,1/U36,1/U37,1/U38,1/U41,1/U44)</f>
        <v>2.7214206498335187</v>
      </c>
      <c r="V31" s="40">
        <f>1/SUM(1/V32,1/V35)</f>
        <v>61.553454869673658</v>
      </c>
      <c r="W31" s="40">
        <f>1/SUM(1/W32,1/W35)</f>
        <v>77367.074661934894</v>
      </c>
    </row>
    <row r="32" spans="1:23" x14ac:dyDescent="0.25">
      <c r="A32" s="55" t="s">
        <v>1087</v>
      </c>
      <c r="B32" s="3">
        <v>1</v>
      </c>
      <c r="C32" s="42">
        <f>IFERROR(C3/$B32,0)</f>
        <v>123.09911879495809</v>
      </c>
      <c r="D32" s="42">
        <f>IFERROR(D3/$B32,0)</f>
        <v>67707.301695422502</v>
      </c>
      <c r="E32" s="42">
        <f>IFERROR(E3/$B32,0)</f>
        <v>29176.165317256124</v>
      </c>
      <c r="F32" s="42">
        <f t="shared" ref="F32:F44" si="54">IF(AND(C32&lt;&gt;0,D32&lt;&gt;0,E32&lt;&gt;0),1/((1/C32)+(1/D32)+(1/E32)),IF(AND(C32&lt;&gt;0,D32&lt;&gt;0,E32=0), 1/((1/C32)+(1/D32)),IF(AND(C32&lt;&gt;0,D32=0,E32&lt;&gt;0),1/((1/C32)+(1/E32)),IF(AND(C32=0,D32&lt;&gt;0,E32&lt;&gt;0),1/((1/D32)+(1/E32)),IF(AND(C32&lt;&gt;0,D32=0,E32=0),1/((1/C32)),IF(AND(C32=0,D32&lt;&gt;0,E32=0),1/((1/D32)),IF(AND(C32=0,D32=0,E32&lt;&gt;0),1/((1/E32)),IF(AND(C32=0,D32=0,E32=0),0))))))))</f>
        <v>122.36039554044059</v>
      </c>
      <c r="G32" s="42">
        <f t="shared" ref="G32:M32" si="55">IFERROR(G3/$B32,0)</f>
        <v>29176.165317256124</v>
      </c>
      <c r="H32" s="42">
        <f t="shared" si="55"/>
        <v>67472.896949043236</v>
      </c>
      <c r="I32" s="42">
        <f t="shared" si="55"/>
        <v>35567.794214385489</v>
      </c>
      <c r="J32" s="42">
        <f t="shared" si="55"/>
        <v>32417.375402667745</v>
      </c>
      <c r="K32" s="42">
        <f t="shared" si="55"/>
        <v>54305.52158236254</v>
      </c>
      <c r="L32" s="42">
        <f t="shared" si="55"/>
        <v>4.9808788729640847E-2</v>
      </c>
      <c r="M32" s="42">
        <f t="shared" si="55"/>
        <v>0.93045783623942102</v>
      </c>
      <c r="N32" s="42">
        <f t="shared" ref="N32:N44" si="56">IFERROR(IF(AND(L32&lt;&gt;0,M32&lt;&gt;0),1/((1/L32)+(1/M32)),IF(AND(L32&lt;&gt;0,M32=0),1/((1/L32)),IF(AND(L32=0,M32&lt;&gt;0),1/((1/M32)),IF(AND(L32=0,M32=0),0)))),0)</f>
        <v>4.7277930928792747E-2</v>
      </c>
      <c r="O32" s="42">
        <f>IFERROR(O3/$B32,0)</f>
        <v>184.04268398905853</v>
      </c>
      <c r="P32" s="42">
        <f>IFERROR(P3/$B32,0)</f>
        <v>406.01796490447458</v>
      </c>
      <c r="Q32" s="42">
        <f t="shared" ref="Q32:Q44" si="57">IFERROR(IF(AND(O32&lt;&gt;0,P32&lt;&gt;0),1/((1/O32)+(1/P32)),IF(AND(O32&lt;&gt;0,P32=0),1/((1/O32)),IF(AND(O32=0,P32&lt;&gt;0),1/((1/P32)),IF(AND(O32=0,P32=0),0)))),0)</f>
        <v>126.6389076257104</v>
      </c>
      <c r="R32" s="42">
        <f t="shared" ref="R32:W32" si="58">IFERROR(R3/$B32,0)</f>
        <v>15.141191611779846</v>
      </c>
      <c r="S32" s="42">
        <f t="shared" si="58"/>
        <v>24225.416501456461</v>
      </c>
      <c r="T32" s="42">
        <f t="shared" si="58"/>
        <v>30282383.223559693</v>
      </c>
      <c r="U32" s="42">
        <f t="shared" si="58"/>
        <v>15.141191611779846</v>
      </c>
      <c r="V32" s="42">
        <f t="shared" si="58"/>
        <v>2018.784708454705</v>
      </c>
      <c r="W32" s="42">
        <f t="shared" si="58"/>
        <v>2523531.9352966407</v>
      </c>
    </row>
    <row r="33" spans="1:23" x14ac:dyDescent="0.25">
      <c r="A33" s="55" t="s">
        <v>1063</v>
      </c>
      <c r="B33" s="3">
        <v>1</v>
      </c>
      <c r="C33" s="42">
        <f t="shared" ref="C33:E34" si="59">IFERROR(C13/$B33,0)</f>
        <v>234.38072218560021</v>
      </c>
      <c r="D33" s="42">
        <f t="shared" si="59"/>
        <v>527149.7060572179</v>
      </c>
      <c r="E33" s="42">
        <f t="shared" si="59"/>
        <v>16686.146489967417</v>
      </c>
      <c r="F33" s="42">
        <f t="shared" si="54"/>
        <v>231.03281528208373</v>
      </c>
      <c r="G33" s="42">
        <f t="shared" ref="G33:M34" si="60">IFERROR(G13/$B33,0)</f>
        <v>16686.146489967417</v>
      </c>
      <c r="H33" s="42">
        <f t="shared" si="60"/>
        <v>48654.9342711688</v>
      </c>
      <c r="I33" s="42">
        <f t="shared" si="60"/>
        <v>20798.401537822894</v>
      </c>
      <c r="J33" s="42">
        <f t="shared" si="60"/>
        <v>16468.062464401421</v>
      </c>
      <c r="K33" s="42">
        <f t="shared" si="60"/>
        <v>45394.390209210236</v>
      </c>
      <c r="L33" s="42">
        <f t="shared" si="60"/>
        <v>0.38779699796648948</v>
      </c>
      <c r="M33" s="42">
        <f t="shared" si="60"/>
        <v>0.72705542552661717</v>
      </c>
      <c r="N33" s="42">
        <f t="shared" si="56"/>
        <v>0.25290334884957449</v>
      </c>
      <c r="O33" s="42">
        <f>IFERROR(O13/$B33,0)</f>
        <v>350.41727031516746</v>
      </c>
      <c r="P33" s="42">
        <f>IFERROR(P13/$B33,0)</f>
        <v>323.97288391341488</v>
      </c>
      <c r="Q33" s="42">
        <f t="shared" si="57"/>
        <v>168.33830227982881</v>
      </c>
      <c r="R33" s="42">
        <f t="shared" ref="R33:W34" si="61">IFERROR(R13/$B33,0)</f>
        <v>28.828828828828826</v>
      </c>
      <c r="S33" s="42">
        <f t="shared" si="61"/>
        <v>23001.725129384697</v>
      </c>
      <c r="T33" s="42">
        <f t="shared" si="61"/>
        <v>28828828.828828827</v>
      </c>
      <c r="U33" s="42">
        <f t="shared" si="61"/>
        <v>28.828828828828826</v>
      </c>
      <c r="V33" s="42">
        <f t="shared" si="61"/>
        <v>0</v>
      </c>
      <c r="W33" s="42">
        <f t="shared" si="61"/>
        <v>0</v>
      </c>
    </row>
    <row r="34" spans="1:23" x14ac:dyDescent="0.25">
      <c r="A34" s="55" t="s">
        <v>1064</v>
      </c>
      <c r="B34" s="3">
        <v>1</v>
      </c>
      <c r="C34" s="42">
        <f t="shared" si="59"/>
        <v>22195.144146363658</v>
      </c>
      <c r="D34" s="42">
        <f t="shared" si="59"/>
        <v>1456597872.0002077</v>
      </c>
      <c r="E34" s="42">
        <f t="shared" si="59"/>
        <v>1417.0680829632508</v>
      </c>
      <c r="F34" s="42">
        <f t="shared" si="54"/>
        <v>1332.0226541676677</v>
      </c>
      <c r="G34" s="42">
        <f t="shared" si="60"/>
        <v>1417.0680829632508</v>
      </c>
      <c r="H34" s="42">
        <f t="shared" si="60"/>
        <v>7985.9346014195262</v>
      </c>
      <c r="I34" s="42">
        <f t="shared" si="60"/>
        <v>2301.6847228623892</v>
      </c>
      <c r="J34" s="42">
        <f t="shared" si="60"/>
        <v>1410.3340811736059</v>
      </c>
      <c r="K34" s="42">
        <f t="shared" si="60"/>
        <v>8634.9966860802815</v>
      </c>
      <c r="L34" s="42">
        <f t="shared" si="60"/>
        <v>1071.5443364863524</v>
      </c>
      <c r="M34" s="42">
        <f t="shared" si="60"/>
        <v>6.7450665151336658E-2</v>
      </c>
      <c r="N34" s="42">
        <f t="shared" si="56"/>
        <v>6.7446419591252388E-2</v>
      </c>
      <c r="O34" s="42">
        <f>IFERROR(O14/$B34,0)</f>
        <v>33183.453628330251</v>
      </c>
      <c r="P34" s="42">
        <f>IFERROR(P14/$B34,0)</f>
        <v>30.801362854822212</v>
      </c>
      <c r="Q34" s="42">
        <f t="shared" si="57"/>
        <v>30.772799096461046</v>
      </c>
      <c r="R34" s="42">
        <f t="shared" si="61"/>
        <v>2730.00273000273</v>
      </c>
      <c r="S34" s="42">
        <f t="shared" si="61"/>
        <v>404444848.88929331</v>
      </c>
      <c r="T34" s="42">
        <f t="shared" si="61"/>
        <v>546000546000.54596</v>
      </c>
      <c r="U34" s="42">
        <f t="shared" si="61"/>
        <v>2730.00273000273</v>
      </c>
      <c r="V34" s="42">
        <f t="shared" si="61"/>
        <v>0</v>
      </c>
      <c r="W34" s="42">
        <f t="shared" si="61"/>
        <v>0</v>
      </c>
    </row>
    <row r="35" spans="1:23" x14ac:dyDescent="0.25">
      <c r="A35" s="55" t="s">
        <v>1065</v>
      </c>
      <c r="B35" s="3">
        <v>1</v>
      </c>
      <c r="C35" s="42">
        <f>IFERROR(C30/$B35,0)</f>
        <v>486.67093477076457</v>
      </c>
      <c r="D35" s="42">
        <f>IFERROR(D30/$B35,0)</f>
        <v>644862.74721562583</v>
      </c>
      <c r="E35" s="42">
        <f>IFERROR(E30/$B35,0)</f>
        <v>825296.77744880575</v>
      </c>
      <c r="F35" s="42">
        <f t="shared" si="54"/>
        <v>486.01754192043688</v>
      </c>
      <c r="G35" s="42">
        <f t="shared" ref="G35:M35" si="62">IFERROR(G30/$B35,0)</f>
        <v>825296.77744880575</v>
      </c>
      <c r="H35" s="42">
        <f t="shared" si="62"/>
        <v>2814770.6978099104</v>
      </c>
      <c r="I35" s="42">
        <f t="shared" si="62"/>
        <v>1195840.0807635507</v>
      </c>
      <c r="J35" s="42">
        <f t="shared" si="62"/>
        <v>847263.95911683992</v>
      </c>
      <c r="K35" s="42">
        <f t="shared" si="62"/>
        <v>1941311.6393973741</v>
      </c>
      <c r="L35" s="42">
        <f t="shared" si="62"/>
        <v>0.47439244411434633</v>
      </c>
      <c r="M35" s="42">
        <f t="shared" si="62"/>
        <v>58.987515655933102</v>
      </c>
      <c r="N35" s="42">
        <f t="shared" si="56"/>
        <v>0.47060769858189339</v>
      </c>
      <c r="O35" s="42">
        <f>IFERROR(O30/$B35,0)</f>
        <v>727.61061111953381</v>
      </c>
      <c r="P35" s="42">
        <f>IFERROR(P30/$B35,0)</f>
        <v>26607.134721399605</v>
      </c>
      <c r="Q35" s="42">
        <f t="shared" si="57"/>
        <v>708.24268963449583</v>
      </c>
      <c r="R35" s="42">
        <f t="shared" ref="R35:W35" si="63">IFERROR(R30/$B35,0)</f>
        <v>59.860524976804044</v>
      </c>
      <c r="S35" s="42">
        <f t="shared" si="63"/>
        <v>122094.74010784263</v>
      </c>
      <c r="T35" s="42">
        <f t="shared" si="63"/>
        <v>153488525.58154881</v>
      </c>
      <c r="U35" s="42">
        <f t="shared" si="63"/>
        <v>59.860524976804044</v>
      </c>
      <c r="V35" s="42">
        <f t="shared" si="63"/>
        <v>63.489264856078172</v>
      </c>
      <c r="W35" s="42">
        <f t="shared" si="63"/>
        <v>79814.033302405383</v>
      </c>
    </row>
    <row r="36" spans="1:23" x14ac:dyDescent="0.25">
      <c r="A36" s="55" t="s">
        <v>1066</v>
      </c>
      <c r="B36" s="3">
        <v>1</v>
      </c>
      <c r="C36" s="42">
        <f>IFERROR(C26/$B36,0)</f>
        <v>48.1077015980296</v>
      </c>
      <c r="D36" s="42">
        <f>IFERROR(D26/$B36,0)</f>
        <v>87974.652931403281</v>
      </c>
      <c r="E36" s="42">
        <f>IFERROR(E26/$B36,0)</f>
        <v>4545.6359114305287</v>
      </c>
      <c r="F36" s="42">
        <f t="shared" si="54"/>
        <v>47.578151631519745</v>
      </c>
      <c r="G36" s="42">
        <f t="shared" ref="G36:M36" si="64">IFERROR(G26/$B36,0)</f>
        <v>4545.6359114305287</v>
      </c>
      <c r="H36" s="42">
        <f t="shared" si="64"/>
        <v>15794.07447703933</v>
      </c>
      <c r="I36" s="42">
        <f t="shared" si="64"/>
        <v>6163.7568880294675</v>
      </c>
      <c r="J36" s="42">
        <f t="shared" si="64"/>
        <v>4454.9809132371802</v>
      </c>
      <c r="K36" s="42">
        <f t="shared" si="64"/>
        <v>14599.167566695482</v>
      </c>
      <c r="L36" s="42">
        <f t="shared" si="64"/>
        <v>6.4718439395732019E-2</v>
      </c>
      <c r="M36" s="42">
        <f t="shared" si="64"/>
        <v>0.18833363432315986</v>
      </c>
      <c r="N36" s="42">
        <f t="shared" si="56"/>
        <v>4.8166603497829467E-2</v>
      </c>
      <c r="O36" s="42">
        <f>IFERROR(O26/$B36,0)</f>
        <v>71.924727076183785</v>
      </c>
      <c r="P36" s="42">
        <f>IFERROR(P26/$B36,0)</f>
        <v>84.495630534174424</v>
      </c>
      <c r="Q36" s="42">
        <f t="shared" si="57"/>
        <v>38.85252059350946</v>
      </c>
      <c r="R36" s="42">
        <f t="shared" ref="R36:W36" si="65">IFERROR(R26/$B36,0)</f>
        <v>5.9172472965576404</v>
      </c>
      <c r="S36" s="42">
        <f t="shared" si="65"/>
        <v>20542.062296515462</v>
      </c>
      <c r="T36" s="42">
        <f t="shared" si="65"/>
        <v>25727162.158946261</v>
      </c>
      <c r="U36" s="42">
        <f t="shared" si="65"/>
        <v>5.9172472965576404</v>
      </c>
      <c r="V36" s="42">
        <f t="shared" si="65"/>
        <v>0</v>
      </c>
      <c r="W36" s="42">
        <f t="shared" si="65"/>
        <v>0</v>
      </c>
    </row>
    <row r="37" spans="1:23" x14ac:dyDescent="0.25">
      <c r="A37" s="55" t="s">
        <v>1067</v>
      </c>
      <c r="B37" s="3">
        <v>1</v>
      </c>
      <c r="C37" s="42">
        <f>IFERROR(C22/$B37,0)</f>
        <v>123.09911879495809</v>
      </c>
      <c r="D37" s="42">
        <f>IFERROR(D22/$B37,0)</f>
        <v>789784.33963388193</v>
      </c>
      <c r="E37" s="42">
        <f>IFERROR(E22/$B37,0)</f>
        <v>132568.73206904699</v>
      </c>
      <c r="F37" s="42">
        <f t="shared" si="54"/>
        <v>122.96577071767379</v>
      </c>
      <c r="G37" s="42">
        <f t="shared" ref="G37:M37" si="66">IFERROR(G22/$B37,0)</f>
        <v>132568.73206904699</v>
      </c>
      <c r="H37" s="42">
        <f t="shared" si="66"/>
        <v>196809.11064722066</v>
      </c>
      <c r="I37" s="42">
        <f t="shared" si="66"/>
        <v>128171.21130336229</v>
      </c>
      <c r="J37" s="42">
        <f t="shared" si="66"/>
        <v>109967.42807080026</v>
      </c>
      <c r="K37" s="42">
        <f t="shared" si="66"/>
        <v>115793.83371968415</v>
      </c>
      <c r="L37" s="42">
        <f t="shared" si="66"/>
        <v>0.58100382572862874</v>
      </c>
      <c r="M37" s="42">
        <f t="shared" si="66"/>
        <v>2.5314480402951043</v>
      </c>
      <c r="N37" s="42">
        <f t="shared" si="56"/>
        <v>0.47254738686888353</v>
      </c>
      <c r="O37" s="42">
        <f>IFERROR(O22/$B37,0)</f>
        <v>184.04268398905853</v>
      </c>
      <c r="P37" s="42">
        <f>IFERROR(P22/$B37,0)</f>
        <v>1151.5058304841452</v>
      </c>
      <c r="Q37" s="42">
        <f t="shared" si="57"/>
        <v>158.68103732266479</v>
      </c>
      <c r="R37" s="42">
        <f t="shared" ref="R37:W37" si="67">IFERROR(R22/$B37,0)</f>
        <v>15.141191611779846</v>
      </c>
      <c r="S37" s="42">
        <f t="shared" si="67"/>
        <v>7015.5975300234149</v>
      </c>
      <c r="T37" s="42">
        <f t="shared" si="67"/>
        <v>8906583.3010469675</v>
      </c>
      <c r="U37" s="42">
        <f t="shared" si="67"/>
        <v>15.141191611779846</v>
      </c>
      <c r="V37" s="42">
        <f t="shared" si="67"/>
        <v>0</v>
      </c>
      <c r="W37" s="42">
        <f t="shared" si="67"/>
        <v>0</v>
      </c>
    </row>
    <row r="38" spans="1:23" x14ac:dyDescent="0.25">
      <c r="A38" s="55" t="s">
        <v>1068</v>
      </c>
      <c r="B38" s="3">
        <v>1</v>
      </c>
      <c r="C38" s="42">
        <f>IFERROR(C2/$B38,0)</f>
        <v>560.18337042447467</v>
      </c>
      <c r="D38" s="42">
        <f>IFERROR(D2/$B38,0)</f>
        <v>723538.81223539717</v>
      </c>
      <c r="E38" s="42">
        <f>IFERROR(E2/$B38,0)</f>
        <v>23742.08562115737</v>
      </c>
      <c r="F38" s="42">
        <f t="shared" si="54"/>
        <v>546.857141136059</v>
      </c>
      <c r="G38" s="42">
        <f t="shared" ref="G38:M38" si="68">IFERROR(G2/$B38,0)</f>
        <v>23742.08562115737</v>
      </c>
      <c r="H38" s="42">
        <f t="shared" si="68"/>
        <v>82890.280215951148</v>
      </c>
      <c r="I38" s="42">
        <f t="shared" si="68"/>
        <v>33791.227010549082</v>
      </c>
      <c r="J38" s="42">
        <f t="shared" si="68"/>
        <v>23585.006259719121</v>
      </c>
      <c r="K38" s="42">
        <f t="shared" si="68"/>
        <v>79013.633145913176</v>
      </c>
      <c r="L38" s="42">
        <f t="shared" si="68"/>
        <v>0.53227038936576987</v>
      </c>
      <c r="M38" s="42">
        <f t="shared" si="68"/>
        <v>1.1047131907294889</v>
      </c>
      <c r="N38" s="42">
        <f t="shared" si="56"/>
        <v>0.35920098852358068</v>
      </c>
      <c r="O38" s="42">
        <f>IFERROR(O2/$B38,0)</f>
        <v>837.51737647028551</v>
      </c>
      <c r="P38" s="42">
        <f>IFERROR(P2/$B38,0)</f>
        <v>496.24417932769109</v>
      </c>
      <c r="Q38" s="42">
        <f t="shared" si="57"/>
        <v>311.60976364363751</v>
      </c>
      <c r="R38" s="42">
        <f t="shared" ref="R38:W38" si="69">IFERROR(R2/$B38,0)</f>
        <v>68.902554562210398</v>
      </c>
      <c r="S38" s="42">
        <f t="shared" si="69"/>
        <v>2551946.4652670515</v>
      </c>
      <c r="T38" s="42">
        <f t="shared" si="69"/>
        <v>3445127728.1105199</v>
      </c>
      <c r="U38" s="42">
        <f t="shared" si="69"/>
        <v>68.902554562210398</v>
      </c>
      <c r="V38" s="42">
        <f t="shared" si="69"/>
        <v>0</v>
      </c>
      <c r="W38" s="42">
        <f t="shared" si="69"/>
        <v>0</v>
      </c>
    </row>
    <row r="39" spans="1:23" x14ac:dyDescent="0.25">
      <c r="A39" s="55" t="s">
        <v>1069</v>
      </c>
      <c r="B39" s="3">
        <v>1</v>
      </c>
      <c r="C39" s="42">
        <f>IFERROR(C11/$B39,0)</f>
        <v>0</v>
      </c>
      <c r="D39" s="42">
        <f>IFERROR(D11/$B39,0)</f>
        <v>0</v>
      </c>
      <c r="E39" s="42">
        <f>IFERROR(E11/$B39,0)</f>
        <v>11873.79176740338</v>
      </c>
      <c r="F39" s="42">
        <f t="shared" si="54"/>
        <v>11873.79176740338</v>
      </c>
      <c r="G39" s="42">
        <f t="shared" ref="G39:M39" si="70">IFERROR(G11/$B39,0)</f>
        <v>11873.79176740338</v>
      </c>
      <c r="H39" s="42">
        <f t="shared" si="70"/>
        <v>69338.757844461783</v>
      </c>
      <c r="I39" s="42">
        <f t="shared" si="70"/>
        <v>18194.361523543612</v>
      </c>
      <c r="J39" s="42">
        <f t="shared" si="70"/>
        <v>10823.693197070808</v>
      </c>
      <c r="K39" s="42">
        <f t="shared" si="70"/>
        <v>82672.952623182806</v>
      </c>
      <c r="L39" s="42">
        <f t="shared" si="70"/>
        <v>0</v>
      </c>
      <c r="M39" s="42">
        <f t="shared" si="70"/>
        <v>0.50021413276231264</v>
      </c>
      <c r="N39" s="42">
        <f t="shared" si="56"/>
        <v>0.50021413276231264</v>
      </c>
      <c r="O39" s="42">
        <f>IFERROR(O11/$B39,0)</f>
        <v>0</v>
      </c>
      <c r="P39" s="42">
        <f>IFERROR(P11/$B39,0)</f>
        <v>227.37006034650574</v>
      </c>
      <c r="Q39" s="42">
        <f t="shared" si="57"/>
        <v>227.37006034650574</v>
      </c>
      <c r="R39" s="42">
        <f t="shared" ref="R39:W39" si="71">IFERROR(R11/$B39,0)</f>
        <v>0</v>
      </c>
      <c r="S39" s="42">
        <f t="shared" si="71"/>
        <v>0</v>
      </c>
      <c r="T39" s="42">
        <f t="shared" si="71"/>
        <v>0</v>
      </c>
      <c r="U39" s="42">
        <f t="shared" si="71"/>
        <v>0</v>
      </c>
      <c r="V39" s="42">
        <f t="shared" si="71"/>
        <v>0</v>
      </c>
      <c r="W39" s="42">
        <f t="shared" si="71"/>
        <v>0</v>
      </c>
    </row>
    <row r="40" spans="1:23" x14ac:dyDescent="0.25">
      <c r="A40" s="55" t="s">
        <v>1070</v>
      </c>
      <c r="B40" s="3">
        <v>1</v>
      </c>
      <c r="C40" s="42">
        <f>IFERROR(C4/$B40,0)</f>
        <v>0</v>
      </c>
      <c r="D40" s="42">
        <f>IFERROR(D4/$B40,0)</f>
        <v>0</v>
      </c>
      <c r="E40" s="42">
        <f>IFERROR(E4/$B40,0)</f>
        <v>1297791.4194653612</v>
      </c>
      <c r="F40" s="42">
        <f t="shared" si="54"/>
        <v>1297791.4194653612</v>
      </c>
      <c r="G40" s="42">
        <f t="shared" ref="G40:M40" si="72">IFERROR(G4/$B40,0)</f>
        <v>1297791.4194653612</v>
      </c>
      <c r="H40" s="42">
        <f t="shared" si="72"/>
        <v>8561382.4806180671</v>
      </c>
      <c r="I40" s="42">
        <f t="shared" si="72"/>
        <v>2187270.2866822211</v>
      </c>
      <c r="J40" s="42">
        <f t="shared" si="72"/>
        <v>1256258.4892489887</v>
      </c>
      <c r="K40" s="42">
        <f t="shared" si="72"/>
        <v>10476852.515552316</v>
      </c>
      <c r="L40" s="42">
        <f t="shared" si="72"/>
        <v>0</v>
      </c>
      <c r="M40" s="42">
        <f t="shared" si="72"/>
        <v>58.987515655933102</v>
      </c>
      <c r="N40" s="42">
        <f t="shared" si="56"/>
        <v>58.987515655933102</v>
      </c>
      <c r="O40" s="42">
        <f>IFERROR(O4/$B40,0)</f>
        <v>0</v>
      </c>
      <c r="P40" s="42">
        <f>IFERROR(P4/$B40,0)</f>
        <v>27067.864326964969</v>
      </c>
      <c r="Q40" s="42">
        <f t="shared" si="57"/>
        <v>27067.864326964969</v>
      </c>
      <c r="R40" s="42">
        <f t="shared" ref="R40:W40" si="73">IFERROR(R4/$B40,0)</f>
        <v>0</v>
      </c>
      <c r="S40" s="42">
        <f t="shared" si="73"/>
        <v>0</v>
      </c>
      <c r="T40" s="42">
        <f t="shared" si="73"/>
        <v>0</v>
      </c>
      <c r="U40" s="42">
        <f t="shared" si="73"/>
        <v>0</v>
      </c>
      <c r="V40" s="42">
        <f t="shared" si="73"/>
        <v>0</v>
      </c>
      <c r="W40" s="42">
        <f t="shared" si="73"/>
        <v>0</v>
      </c>
    </row>
    <row r="41" spans="1:23" x14ac:dyDescent="0.25">
      <c r="A41" s="55" t="s">
        <v>1071</v>
      </c>
      <c r="B41" s="56">
        <v>0.99987999999999999</v>
      </c>
      <c r="C41" s="42">
        <f>IFERROR(C8/$B41,0)</f>
        <v>109332.48658943563</v>
      </c>
      <c r="D41" s="42">
        <f>IFERROR(D8/$B41,0)</f>
        <v>187123477.24884582</v>
      </c>
      <c r="E41" s="42">
        <f>IFERROR(E8/$B41,0)</f>
        <v>1927.2558244376266</v>
      </c>
      <c r="F41" s="42">
        <f t="shared" si="54"/>
        <v>1893.8524790969277</v>
      </c>
      <c r="G41" s="42">
        <f t="shared" ref="G41:M41" si="74">IFERROR(G8/$B41,0)</f>
        <v>1927.2558244376266</v>
      </c>
      <c r="H41" s="42">
        <f t="shared" si="74"/>
        <v>16322.615219420466</v>
      </c>
      <c r="I41" s="42">
        <f t="shared" si="74"/>
        <v>3943.6026572470118</v>
      </c>
      <c r="J41" s="42">
        <f t="shared" si="74"/>
        <v>2174.0719512353994</v>
      </c>
      <c r="K41" s="42">
        <f t="shared" si="74"/>
        <v>18246.644993376547</v>
      </c>
      <c r="L41" s="42">
        <f t="shared" si="74"/>
        <v>137.65714348757817</v>
      </c>
      <c r="M41" s="42">
        <f t="shared" si="74"/>
        <v>0.10527655001308757</v>
      </c>
      <c r="N41" s="42">
        <f t="shared" si="56"/>
        <v>0.10519609881326374</v>
      </c>
      <c r="O41" s="42">
        <f>IFERROR(O8/$B41,0)</f>
        <v>163460.50626596063</v>
      </c>
      <c r="P41" s="42">
        <f>IFERROR(P8/$B41,0)</f>
        <v>49.630373577598419</v>
      </c>
      <c r="Q41" s="42">
        <f t="shared" si="57"/>
        <v>49.615309227264703</v>
      </c>
      <c r="R41" s="42">
        <f t="shared" ref="R41:W41" si="75">IFERROR(R8/$B41,0)</f>
        <v>13447.895850500583</v>
      </c>
      <c r="S41" s="42">
        <f t="shared" si="75"/>
        <v>3842255.9572858806</v>
      </c>
      <c r="T41" s="42">
        <f t="shared" si="75"/>
        <v>6723947925.2502918</v>
      </c>
      <c r="U41" s="42">
        <f t="shared" si="75"/>
        <v>13447.895850500583</v>
      </c>
      <c r="V41" s="42">
        <f t="shared" si="75"/>
        <v>0</v>
      </c>
      <c r="W41" s="42">
        <f t="shared" si="75"/>
        <v>0</v>
      </c>
    </row>
    <row r="42" spans="1:23" x14ac:dyDescent="0.25">
      <c r="A42" s="55" t="s">
        <v>1072</v>
      </c>
      <c r="B42" s="3">
        <v>0.97898250799999997</v>
      </c>
      <c r="C42" s="42">
        <f>IFERROR(C19/$B42,0)</f>
        <v>0</v>
      </c>
      <c r="D42" s="42">
        <f>IFERROR(D19/$B42,0)</f>
        <v>0</v>
      </c>
      <c r="E42" s="42">
        <f>IFERROR(E19/$B42,0)</f>
        <v>5911306.7153975349</v>
      </c>
      <c r="F42" s="42">
        <f t="shared" si="54"/>
        <v>5911306.7153975349</v>
      </c>
      <c r="G42" s="42">
        <f t="shared" ref="G42:M42" si="76">IFERROR(G19/$B42,0)</f>
        <v>5911306.7153975349</v>
      </c>
      <c r="H42" s="42">
        <f t="shared" si="76"/>
        <v>62046003.086267568</v>
      </c>
      <c r="I42" s="42">
        <f t="shared" si="76"/>
        <v>14560583.47341457</v>
      </c>
      <c r="J42" s="42">
        <f t="shared" si="76"/>
        <v>7157254.3562097903</v>
      </c>
      <c r="K42" s="42">
        <f t="shared" si="76"/>
        <v>94879322.525337145</v>
      </c>
      <c r="L42" s="42">
        <f t="shared" si="76"/>
        <v>0</v>
      </c>
      <c r="M42" s="42">
        <f t="shared" si="76"/>
        <v>373.50371720881043</v>
      </c>
      <c r="N42" s="42">
        <f t="shared" si="56"/>
        <v>373.50371720881043</v>
      </c>
      <c r="O42" s="42">
        <f>IFERROR(O19/$B42,0)</f>
        <v>0</v>
      </c>
      <c r="P42" s="42">
        <f>IFERROR(P19/$B42,0)</f>
        <v>172154.00442778051</v>
      </c>
      <c r="Q42" s="42">
        <f t="shared" si="57"/>
        <v>172154.00442778051</v>
      </c>
      <c r="R42" s="42">
        <f t="shared" ref="R42:W42" si="77">IFERROR(R19/$B42,0)</f>
        <v>0</v>
      </c>
      <c r="S42" s="42">
        <f t="shared" si="77"/>
        <v>0</v>
      </c>
      <c r="T42" s="42">
        <f t="shared" si="77"/>
        <v>0</v>
      </c>
      <c r="U42" s="42">
        <f t="shared" si="77"/>
        <v>0</v>
      </c>
      <c r="V42" s="42">
        <f t="shared" si="77"/>
        <v>0</v>
      </c>
      <c r="W42" s="42">
        <f t="shared" si="77"/>
        <v>0</v>
      </c>
    </row>
    <row r="43" spans="1:23" x14ac:dyDescent="0.25">
      <c r="A43" s="55" t="s">
        <v>1073</v>
      </c>
      <c r="B43" s="3">
        <v>2.0897492E-2</v>
      </c>
      <c r="C43" s="42">
        <f>IFERROR(C28/$B43,0)</f>
        <v>0</v>
      </c>
      <c r="D43" s="42">
        <f>IFERROR(D28/$B43,0)</f>
        <v>0</v>
      </c>
      <c r="E43" s="42">
        <f>IFERROR(E28/$B43,0)</f>
        <v>4610.0079945904781</v>
      </c>
      <c r="F43" s="42">
        <f t="shared" si="54"/>
        <v>4610.0079945904781</v>
      </c>
      <c r="G43" s="42">
        <f t="shared" ref="G43:M43" si="78">IFERROR(G28/$B43,0)</f>
        <v>4610.0079945904781</v>
      </c>
      <c r="H43" s="42">
        <f t="shared" si="78"/>
        <v>54641.213405702561</v>
      </c>
      <c r="I43" s="42">
        <f t="shared" si="78"/>
        <v>12515.413641534467</v>
      </c>
      <c r="J43" s="42">
        <f t="shared" si="78"/>
        <v>6164.9178886139134</v>
      </c>
      <c r="K43" s="42">
        <f t="shared" si="78"/>
        <v>79006.014462910258</v>
      </c>
      <c r="L43" s="42">
        <f t="shared" si="78"/>
        <v>0</v>
      </c>
      <c r="M43" s="42">
        <f t="shared" si="78"/>
        <v>0.29334023223460937</v>
      </c>
      <c r="N43" s="42">
        <f t="shared" si="56"/>
        <v>0.29334023223460937</v>
      </c>
      <c r="O43" s="42">
        <f>IFERROR(O28/$B43,0)</f>
        <v>0</v>
      </c>
      <c r="P43" s="42">
        <f>IFERROR(P28/$B43,0)</f>
        <v>136.0031985815007</v>
      </c>
      <c r="Q43" s="42">
        <f t="shared" si="57"/>
        <v>136.0031985815007</v>
      </c>
      <c r="R43" s="42">
        <f t="shared" ref="R43:W43" si="79">IFERROR(R28/$B43,0)</f>
        <v>0</v>
      </c>
      <c r="S43" s="42">
        <f t="shared" si="79"/>
        <v>0</v>
      </c>
      <c r="T43" s="42">
        <f t="shared" si="79"/>
        <v>0</v>
      </c>
      <c r="U43" s="42">
        <f t="shared" si="79"/>
        <v>0</v>
      </c>
      <c r="V43" s="42">
        <f t="shared" si="79"/>
        <v>0</v>
      </c>
      <c r="W43" s="42">
        <f t="shared" si="79"/>
        <v>0</v>
      </c>
    </row>
    <row r="44" spans="1:23" x14ac:dyDescent="0.25">
      <c r="A44" s="55" t="s">
        <v>1074</v>
      </c>
      <c r="B44" s="3">
        <v>0.99987999999999999</v>
      </c>
      <c r="C44" s="42">
        <f>IFERROR(C15/$B44,0)</f>
        <v>392250.4204279618</v>
      </c>
      <c r="D44" s="42">
        <f>IFERROR(D15/$B44,0)</f>
        <v>95170249890.172318</v>
      </c>
      <c r="E44" s="42">
        <f>IFERROR(E15/$B44,0)</f>
        <v>172413.20845815827</v>
      </c>
      <c r="F44" s="42">
        <f t="shared" si="54"/>
        <v>119768.7701779004</v>
      </c>
      <c r="G44" s="42">
        <f t="shared" ref="G44:M44" si="80">IFERROR(G15/$B44,0)</f>
        <v>172413.20845815827</v>
      </c>
      <c r="H44" s="42">
        <f t="shared" si="80"/>
        <v>488625.33761348657</v>
      </c>
      <c r="I44" s="42">
        <f t="shared" si="80"/>
        <v>242015.05750135068</v>
      </c>
      <c r="J44" s="42">
        <f t="shared" si="80"/>
        <v>175018.94964392393</v>
      </c>
      <c r="K44" s="42">
        <f t="shared" si="80"/>
        <v>34805.450356823858</v>
      </c>
      <c r="L44" s="42">
        <f t="shared" si="80"/>
        <v>70011.870971476004</v>
      </c>
      <c r="M44" s="42">
        <f t="shared" si="80"/>
        <v>6.2534270707774011</v>
      </c>
      <c r="N44" s="42">
        <f t="shared" si="56"/>
        <v>6.2528685675260576</v>
      </c>
      <c r="O44" s="42">
        <f>IFERROR(O15/$B44,0)</f>
        <v>586444.65434106358</v>
      </c>
      <c r="P44" s="42">
        <f>IFERROR(P15/$B44,0)</f>
        <v>5583.4170274798225</v>
      </c>
      <c r="Q44" s="42">
        <f t="shared" si="57"/>
        <v>5530.7598187925933</v>
      </c>
      <c r="R44" s="42">
        <f t="shared" ref="R44:W44" si="81">IFERROR(R15/$B44,0)</f>
        <v>48246.801712639295</v>
      </c>
      <c r="S44" s="42">
        <f t="shared" si="81"/>
        <v>54587057.012804709</v>
      </c>
      <c r="T44" s="42">
        <f t="shared" si="81"/>
        <v>68924002446.627563</v>
      </c>
      <c r="U44" s="42">
        <f t="shared" si="81"/>
        <v>48246.801712639295</v>
      </c>
      <c r="V44" s="42">
        <f t="shared" si="81"/>
        <v>0</v>
      </c>
      <c r="W44" s="42">
        <f t="shared" si="81"/>
        <v>0</v>
      </c>
    </row>
    <row r="45" spans="1:23" x14ac:dyDescent="0.25">
      <c r="A45" s="54" t="s">
        <v>8</v>
      </c>
      <c r="B45" s="39" t="s">
        <v>1221</v>
      </c>
      <c r="C45" s="40">
        <f t="shared" ref="C45:F45" si="82">IFERROR(IF(AND(C46&lt;&gt;0,C47&lt;&gt;0),1/SUM(1/C46,1/C47),IF(AND(C46&lt;&gt;0,C47=0),1/(1/C46),IF(AND(C46=0,C47&lt;&gt;0),1/(1/C47),IF(AND(C46=0,C47=0),".")))),".")</f>
        <v>2202.8263363308297</v>
      </c>
      <c r="D45" s="40">
        <f t="shared" si="82"/>
        <v>159282644.99570617</v>
      </c>
      <c r="E45" s="40">
        <f t="shared" si="82"/>
        <v>417.49901383505454</v>
      </c>
      <c r="F45" s="41">
        <f t="shared" si="82"/>
        <v>350.97771217948889</v>
      </c>
      <c r="G45" s="40">
        <f t="shared" ref="G45:N45" si="83">IFERROR(IF(AND(G46&lt;&gt;0,G47&lt;&gt;0),1/SUM(1/G46,1/G47),IF(AND(G46&lt;&gt;0,G47=0),1/(1/G46),IF(AND(G46=0,G47&lt;&gt;0),1/(1/G47),IF(AND(G46=0,G47=0),".")))),".")</f>
        <v>417.49901383505454</v>
      </c>
      <c r="H45" s="40">
        <f t="shared" si="83"/>
        <v>3942.3963603315151</v>
      </c>
      <c r="I45" s="40">
        <f t="shared" si="83"/>
        <v>949.53467239135443</v>
      </c>
      <c r="J45" s="40">
        <f t="shared" si="83"/>
        <v>471.33280796895832</v>
      </c>
      <c r="K45" s="40">
        <f t="shared" si="83"/>
        <v>5827.9191315113885</v>
      </c>
      <c r="L45" s="40">
        <f t="shared" si="83"/>
        <v>117.17607132800403</v>
      </c>
      <c r="M45" s="40">
        <f t="shared" si="83"/>
        <v>2.4532488943345646E-2</v>
      </c>
      <c r="N45" s="41">
        <f t="shared" si="83"/>
        <v>2.452735379050381E-2</v>
      </c>
      <c r="O45" s="40">
        <f t="shared" ref="O45:Q45" si="84">IFERROR(IF(AND(O46&lt;&gt;0,O47&lt;&gt;0),1/SUM(1/O46,1/O47),IF(AND(O46&lt;&gt;0,O47=0),1/(1/O46),IF(AND(O46=0,O47&lt;&gt;0),1/(1/O47),IF(AND(O46=0,O47=0),".")))),".")</f>
        <v>3293.3953976989424</v>
      </c>
      <c r="P45" s="40">
        <f t="shared" si="84"/>
        <v>11.339717248179126</v>
      </c>
      <c r="Q45" s="41">
        <f t="shared" si="84"/>
        <v>11.300806659948604</v>
      </c>
      <c r="R45" s="40">
        <f t="shared" ref="R45:W45" si="85">IFERROR(IF(AND(R46&lt;&gt;0,R47&lt;&gt;0),1/SUM(1/R46,1/R47),IF(AND(R46&lt;&gt;0,R47=0),1/(1/R46),IF(AND(R46=0,R47&lt;&gt;0),1/(1/R47),IF(AND(R46=0,R47=0),".")))),".")</f>
        <v>270.94763936869202</v>
      </c>
      <c r="S45" s="40">
        <f t="shared" si="85"/>
        <v>9596.7286671319507</v>
      </c>
      <c r="T45" s="40">
        <f t="shared" si="85"/>
        <v>12315801.789486002</v>
      </c>
      <c r="U45" s="40">
        <f t="shared" si="85"/>
        <v>270.94763936869202</v>
      </c>
      <c r="V45" s="40">
        <f t="shared" si="85"/>
        <v>78.195566917371437</v>
      </c>
      <c r="W45" s="40">
        <f t="shared" si="85"/>
        <v>100350.97754396002</v>
      </c>
    </row>
    <row r="46" spans="1:23" x14ac:dyDescent="0.25">
      <c r="A46" s="55" t="s">
        <v>1086</v>
      </c>
      <c r="B46" s="3">
        <v>1</v>
      </c>
      <c r="C46" s="42">
        <f>IFERROR(C10/$B46,0)</f>
        <v>2202.8263363308297</v>
      </c>
      <c r="D46" s="42">
        <f>IFERROR(D10/$B46,0)</f>
        <v>159282644.99570617</v>
      </c>
      <c r="E46" s="42">
        <f>IFERROR(E10/$B46,0)</f>
        <v>1826109.9025997738</v>
      </c>
      <c r="F46" s="42">
        <f>IF(AND(C46&lt;&gt;0,D46&lt;&gt;0,E46&lt;&gt;0),1/((1/C46)+(1/D46)+(1/E46)),IF(AND(C46&lt;&gt;0,D46&lt;&gt;0,E46=0), 1/((1/C46)+(1/D46)),IF(AND(C46&lt;&gt;0,D46=0,E46&lt;&gt;0),1/((1/C46)+(1/E46)),IF(AND(C46=0,D46&lt;&gt;0,E46&lt;&gt;0),1/((1/D46)+(1/E46)),IF(AND(C46&lt;&gt;0,D46=0,E46=0),1/((1/C46)),IF(AND(C46=0,D46&lt;&gt;0,E46=0),1/((1/D46)),IF(AND(C46=0,D46=0,E46&lt;&gt;0),1/((1/E46)),IF(AND(C46=0,D46=0,E46=0),0))))))))</f>
        <v>2200.1418900291542</v>
      </c>
      <c r="G46" s="42">
        <f t="shared" ref="G46:M46" si="86">IFERROR(G10/$B46,0)</f>
        <v>1826109.9025997738</v>
      </c>
      <c r="H46" s="42">
        <f t="shared" si="86"/>
        <v>5910671.5005993089</v>
      </c>
      <c r="I46" s="42">
        <f t="shared" si="86"/>
        <v>2326512.4097766969</v>
      </c>
      <c r="J46" s="42">
        <f t="shared" si="86"/>
        <v>1649480.3970255319</v>
      </c>
      <c r="K46" s="42">
        <f t="shared" si="86"/>
        <v>955382.61096886278</v>
      </c>
      <c r="L46" s="42">
        <f t="shared" si="86"/>
        <v>117.17607132800403</v>
      </c>
      <c r="M46" s="42">
        <f t="shared" si="86"/>
        <v>6.6517836803499018</v>
      </c>
      <c r="N46" s="42">
        <f t="shared" ref="N46:N47" si="87">IFERROR(IF(AND(L46&lt;&gt;0,M46&lt;&gt;0),1/((1/L46)+(1/M46)),IF(AND(L46&lt;&gt;0,M46=0),1/((1/L46)),IF(AND(L46=0,M46&lt;&gt;0),1/((1/M46)),IF(AND(L46=0,M46=0),0)))),0)</f>
        <v>6.2944632202063886</v>
      </c>
      <c r="O46" s="42">
        <f>IFERROR(O10/$B46,0)</f>
        <v>3293.3953976989424</v>
      </c>
      <c r="P46" s="42">
        <f>IFERROR(P10/$B46,0)</f>
        <v>5954.9301519322926</v>
      </c>
      <c r="Q46" s="42">
        <f t="shared" ref="Q46:Q47" si="88">IFERROR(IF(AND(O46&lt;&gt;0,P46&lt;&gt;0),1/((1/O46)+(1/P46)),IF(AND(O46&lt;&gt;0,P46=0),1/((1/O46)),IF(AND(O46=0,P46&lt;&gt;0),1/((1/P46)),IF(AND(O46=0,P46=0),0)))),0)</f>
        <v>2120.5935550976014</v>
      </c>
      <c r="R46" s="42">
        <f t="shared" ref="R46:W46" si="89">IFERROR(R10/$B46,0)</f>
        <v>270.94763936869202</v>
      </c>
      <c r="S46" s="42">
        <f t="shared" si="89"/>
        <v>9596.7286671319507</v>
      </c>
      <c r="T46" s="42">
        <f t="shared" si="89"/>
        <v>12315801.789486002</v>
      </c>
      <c r="U46" s="42">
        <f t="shared" si="89"/>
        <v>270.94763936869202</v>
      </c>
      <c r="V46" s="42">
        <f t="shared" si="89"/>
        <v>78.195566917371437</v>
      </c>
      <c r="W46" s="42">
        <f t="shared" si="89"/>
        <v>100350.97754396001</v>
      </c>
    </row>
    <row r="47" spans="1:23" x14ac:dyDescent="0.25">
      <c r="A47" s="55" t="s">
        <v>1060</v>
      </c>
      <c r="B47" s="3">
        <v>0.94399</v>
      </c>
      <c r="C47" s="42">
        <f>IFERROR(C6/$B$47,0)</f>
        <v>0</v>
      </c>
      <c r="D47" s="42">
        <f>IFERROR(D6/$B$47,0)</f>
        <v>0</v>
      </c>
      <c r="E47" s="42">
        <f>IFERROR(E6/$B$47,0)</f>
        <v>417.59448743521352</v>
      </c>
      <c r="F47" s="42">
        <f>IF(AND(C47&lt;&gt;0,D47&lt;&gt;0,E47&lt;&gt;0),1/((1/C47)+(1/D47)+(1/E47)),IF(AND(C47&lt;&gt;0,D47&lt;&gt;0,E47=0), 1/((1/C47)+(1/D47)),IF(AND(C47&lt;&gt;0,D47=0,E47&lt;&gt;0),1/((1/C47)+(1/E47)),IF(AND(C47=0,D47&lt;&gt;0,E47&lt;&gt;0),1/((1/D47)+(1/E47)),IF(AND(C47&lt;&gt;0,D47=0,E47=0),1/((1/C47)),IF(AND(C47=0,D47&lt;&gt;0,E47=0),1/((1/D47)),IF(AND(C47=0,D47=0,E47&lt;&gt;0),1/((1/E47)),IF(AND(C47=0,D47=0,E47=0),0))))))))</f>
        <v>417.59448743521352</v>
      </c>
      <c r="G47" s="42">
        <f t="shared" ref="G47:M47" si="90">IFERROR(G6/$B$47,0)</f>
        <v>417.59448743521352</v>
      </c>
      <c r="H47" s="42">
        <f t="shared" si="90"/>
        <v>3945.027679423295</v>
      </c>
      <c r="I47" s="42">
        <f t="shared" si="90"/>
        <v>949.92237039931854</v>
      </c>
      <c r="J47" s="42">
        <f t="shared" si="90"/>
        <v>471.46752803853741</v>
      </c>
      <c r="K47" s="42">
        <f t="shared" si="90"/>
        <v>5863.6881521854011</v>
      </c>
      <c r="L47" s="42">
        <f t="shared" si="90"/>
        <v>0</v>
      </c>
      <c r="M47" s="42">
        <f t="shared" si="90"/>
        <v>2.4623302313229043E-2</v>
      </c>
      <c r="N47" s="42">
        <f t="shared" si="87"/>
        <v>2.4623302313229043E-2</v>
      </c>
      <c r="O47" s="42">
        <f>IFERROR(O6/$B$47,0)</f>
        <v>0</v>
      </c>
      <c r="P47" s="42">
        <f>IFERROR(P6/$B$47,0)</f>
        <v>11.361352182261774</v>
      </c>
      <c r="Q47" s="42">
        <f t="shared" si="88"/>
        <v>11.361352182261774</v>
      </c>
      <c r="R47" s="42">
        <f t="shared" ref="R47:W47" si="91">IFERROR(R6/$B$47,0)</f>
        <v>0</v>
      </c>
      <c r="S47" s="42">
        <f t="shared" si="91"/>
        <v>0</v>
      </c>
      <c r="T47" s="42">
        <f t="shared" si="91"/>
        <v>0</v>
      </c>
      <c r="U47" s="42">
        <f t="shared" si="91"/>
        <v>0</v>
      </c>
      <c r="V47" s="42">
        <f t="shared" si="91"/>
        <v>0</v>
      </c>
      <c r="W47" s="42">
        <f t="shared" si="91"/>
        <v>0</v>
      </c>
    </row>
    <row r="48" spans="1:23" x14ac:dyDescent="0.25">
      <c r="A48" s="54" t="s">
        <v>21</v>
      </c>
      <c r="B48" s="39" t="s">
        <v>1221</v>
      </c>
      <c r="C48" s="40">
        <f>1/SUM(1/C49,1/C52,1/C54,1/C58,1/C59,1/C61)</f>
        <v>9.0841073448468759</v>
      </c>
      <c r="D48" s="40">
        <f>1/SUM(1/D49,1/D52,1/D54,1/D58,1/D59,1/D61)</f>
        <v>313624.25691626518</v>
      </c>
      <c r="E48" s="40">
        <f>1/SUM(1/E49,1/E50,1/E51,1/E52,1/E53,1/E54,1/E55,1/E56,1/E57,1/E58,1/E59,1/E60,1/E61,1/E62)</f>
        <v>121.48537552523513</v>
      </c>
      <c r="F48" s="41">
        <f>1/SUM(1/F49,1/F50,1/F51,1/F52,1/F53,1/F54,1/F55,1/F56,1/F57,1/F58,1/F59,1/F60,1/F61,1/F62)</f>
        <v>8.4518711561192195</v>
      </c>
      <c r="G48" s="40">
        <f t="shared" ref="G48:Q48" si="92">1/SUM(1/G49,1/G50,1/G51,1/G52,1/G53,1/G54,1/G55,1/G56,1/G57,1/G58,1/G59,1/G60,1/G61,1/G62)</f>
        <v>121.48537552523513</v>
      </c>
      <c r="H48" s="40">
        <f t="shared" si="92"/>
        <v>1372.8966244586816</v>
      </c>
      <c r="I48" s="40">
        <f t="shared" si="92"/>
        <v>319.85564150939302</v>
      </c>
      <c r="J48" s="40">
        <f t="shared" si="92"/>
        <v>156.85512358199986</v>
      </c>
      <c r="K48" s="40">
        <f t="shared" si="92"/>
        <v>1882.7360188379953</v>
      </c>
      <c r="L48" s="40">
        <f>1/SUM(1/L49,1/L52,1/L54,1/L58,1/L59,1/L61)</f>
        <v>0.23071727807887171</v>
      </c>
      <c r="M48" s="40">
        <f t="shared" si="92"/>
        <v>7.5457883382144316E-3</v>
      </c>
      <c r="N48" s="41">
        <f t="shared" si="92"/>
        <v>7.3067714704693051E-3</v>
      </c>
      <c r="O48" s="40">
        <f>1/SUM(1/O49,1/O52,1/O54,1/O58,1/O59,1/O61)</f>
        <v>13.581441636272828</v>
      </c>
      <c r="P48" s="40">
        <f t="shared" si="92"/>
        <v>3.4874109743666994</v>
      </c>
      <c r="Q48" s="41">
        <f t="shared" si="92"/>
        <v>2.7748829807420829</v>
      </c>
      <c r="R48" s="40">
        <f>1/SUM(1/R49,1/R52,1/R54,1/R58,1/R59,1/R61)</f>
        <v>1.1173452034161657</v>
      </c>
      <c r="S48" s="40">
        <f>1/SUM(1/S49,1/S52,1/S54,1/S58,1/S59,1/S61)</f>
        <v>280.95838386226797</v>
      </c>
      <c r="T48" s="40">
        <f>1/SUM(1/T49,1/T52,1/T54,1/T58,1/T59,1/T61)</f>
        <v>351978.44176505628</v>
      </c>
      <c r="U48" s="40">
        <f>1/SUM(1/U49,1/U52,1/U54,1/U58,1/U59,1/U61)</f>
        <v>1.1173452034161657</v>
      </c>
      <c r="V48" s="40">
        <f>1/SUM(1/V61)</f>
        <v>0.68624923829292517</v>
      </c>
      <c r="W48" s="40">
        <f>1/SUM(1/W61)</f>
        <v>858.0008580008581</v>
      </c>
    </row>
    <row r="49" spans="1:23" x14ac:dyDescent="0.25">
      <c r="A49" s="55" t="s">
        <v>1088</v>
      </c>
      <c r="B49" s="3">
        <v>1</v>
      </c>
      <c r="C49" s="42">
        <f>IFERROR(C23/$B49,0)</f>
        <v>64.6745922145696</v>
      </c>
      <c r="D49" s="42">
        <f>IFERROR(D23/$B49,0)</f>
        <v>644862.74721562583</v>
      </c>
      <c r="E49" s="42">
        <f>IFERROR(E23/$B49,0)</f>
        <v>46493.598193265934</v>
      </c>
      <c r="F49" s="42">
        <f t="shared" ref="F49:F62" si="93">IF(AND(C49&lt;&gt;0,D49&lt;&gt;0,E49&lt;&gt;0),1/((1/C49)+(1/D49)+(1/E49)),IF(AND(C49&lt;&gt;0,D49&lt;&gt;0,E49=0), 1/((1/C49)+(1/D49)),IF(AND(C49&lt;&gt;0,D49=0,E49&lt;&gt;0),1/((1/C49)+(1/E49)),IF(AND(C49=0,D49&lt;&gt;0,E49&lt;&gt;0),1/((1/D49)+(1/E49)),IF(AND(C49&lt;&gt;0,D49=0,E49=0),1/((1/C49)),IF(AND(C49=0,D49&lt;&gt;0,E49=0),1/((1/D49)),IF(AND(C49=0,D49=0,E49&lt;&gt;0),1/((1/E49)),IF(AND(C49=0,D49=0,E49=0),0))))))))</f>
        <v>64.57828436001661</v>
      </c>
      <c r="G49" s="42">
        <f t="shared" ref="G49:M49" si="94">IFERROR(G23/$B49,0)</f>
        <v>46493.598193265934</v>
      </c>
      <c r="H49" s="42">
        <f t="shared" si="94"/>
        <v>268793.52701941802</v>
      </c>
      <c r="I49" s="42">
        <f t="shared" si="94"/>
        <v>74627.490045048966</v>
      </c>
      <c r="J49" s="42">
        <f t="shared" si="94"/>
        <v>43348.300190582071</v>
      </c>
      <c r="K49" s="42">
        <f t="shared" si="94"/>
        <v>302414.42538082181</v>
      </c>
      <c r="L49" s="42">
        <f t="shared" si="94"/>
        <v>0.47439244411434633</v>
      </c>
      <c r="M49" s="42">
        <f t="shared" si="94"/>
        <v>2.0105069644787488</v>
      </c>
      <c r="N49" s="42">
        <f t="shared" ref="N49:N62" si="95">IFERROR(IF(AND(L49&lt;&gt;0,M49&lt;&gt;0),1/((1/L49)+(1/M49)),IF(AND(L49&lt;&gt;0,M49=0),1/((1/L49)),IF(AND(L49=0,M49&lt;&gt;0),1/((1/M49)),IF(AND(L49=0,M49=0),0)))),0)</f>
        <v>0.38382612571347335</v>
      </c>
      <c r="O49" s="42">
        <f>IFERROR(O23/$B49,0)</f>
        <v>96.69350726135967</v>
      </c>
      <c r="P49" s="42">
        <f>IFERROR(P23/$B49,0)</f>
        <v>914.13401455101007</v>
      </c>
      <c r="Q49" s="42">
        <f t="shared" ref="Q49:Q62" si="96">IFERROR(IF(AND(O49&lt;&gt;0,P49&lt;&gt;0),1/((1/O49)+(1/P49)),IF(AND(O49&lt;&gt;0,P49=0),1/((1/O49)),IF(AND(O49=0,P49&lt;&gt;0),1/((1/P49)),IF(AND(O49=0,P49=0),0)))),0)</f>
        <v>87.444021919152988</v>
      </c>
      <c r="R49" s="42">
        <f t="shared" ref="R49:W49" si="97">IFERROR(R23/$B49,0)</f>
        <v>7.954974842392061</v>
      </c>
      <c r="S49" s="42">
        <f t="shared" si="97"/>
        <v>3685.8989230586599</v>
      </c>
      <c r="T49" s="42">
        <f t="shared" si="97"/>
        <v>4679396.9661129769</v>
      </c>
      <c r="U49" s="42">
        <f t="shared" si="97"/>
        <v>7.954974842392061</v>
      </c>
      <c r="V49" s="42">
        <f t="shared" si="97"/>
        <v>0</v>
      </c>
      <c r="W49" s="42">
        <f t="shared" si="97"/>
        <v>0</v>
      </c>
    </row>
    <row r="50" spans="1:23" x14ac:dyDescent="0.25">
      <c r="A50" s="55" t="s">
        <v>1075</v>
      </c>
      <c r="B50" s="3">
        <v>1</v>
      </c>
      <c r="C50" s="42">
        <f>IFERROR(C25/$B50,0)</f>
        <v>0</v>
      </c>
      <c r="D50" s="42">
        <f>IFERROR(D25/$B50,0)</f>
        <v>3752018213.1889324</v>
      </c>
      <c r="E50" s="42">
        <f>IFERROR(E25/$B50,0)</f>
        <v>630931.7120038342</v>
      </c>
      <c r="F50" s="42">
        <f t="shared" si="93"/>
        <v>630825.63365495554</v>
      </c>
      <c r="G50" s="42">
        <f t="shared" ref="G50:M50" si="98">IFERROR(G25/$B50,0)</f>
        <v>630931.7120038342</v>
      </c>
      <c r="H50" s="42">
        <f t="shared" si="98"/>
        <v>5583382.0699922517</v>
      </c>
      <c r="I50" s="42">
        <f t="shared" si="98"/>
        <v>1334235.9337832199</v>
      </c>
      <c r="J50" s="42">
        <f t="shared" si="98"/>
        <v>698019.76357534796</v>
      </c>
      <c r="K50" s="42">
        <f t="shared" si="98"/>
        <v>8556914.2938275579</v>
      </c>
      <c r="L50" s="42">
        <f t="shared" si="98"/>
        <v>2760.1673351446934</v>
      </c>
      <c r="M50" s="42">
        <f t="shared" si="98"/>
        <v>36.142639650456118</v>
      </c>
      <c r="N50" s="42">
        <f t="shared" si="95"/>
        <v>35.675491725985253</v>
      </c>
      <c r="O50" s="42">
        <f>IFERROR(O25/$B50,0)</f>
        <v>0</v>
      </c>
      <c r="P50" s="42">
        <f>IFERROR(P25/$B50,0)</f>
        <v>16629.459200874757</v>
      </c>
      <c r="Q50" s="42">
        <f t="shared" si="96"/>
        <v>16629.459200874757</v>
      </c>
      <c r="R50" s="42">
        <f t="shared" ref="R50:W50" si="99">IFERROR(R25/$B50,0)</f>
        <v>0</v>
      </c>
      <c r="S50" s="42">
        <f t="shared" si="99"/>
        <v>0</v>
      </c>
      <c r="T50" s="42">
        <f t="shared" si="99"/>
        <v>0</v>
      </c>
      <c r="U50" s="42">
        <f t="shared" si="99"/>
        <v>0</v>
      </c>
      <c r="V50" s="42">
        <f t="shared" si="99"/>
        <v>0</v>
      </c>
      <c r="W50" s="42">
        <f t="shared" si="99"/>
        <v>0</v>
      </c>
    </row>
    <row r="51" spans="1:23" x14ac:dyDescent="0.25">
      <c r="A51" s="55" t="s">
        <v>1061</v>
      </c>
      <c r="B51" s="3">
        <v>1</v>
      </c>
      <c r="C51" s="42">
        <f>IFERROR(C21/$B51,0)</f>
        <v>0</v>
      </c>
      <c r="D51" s="42">
        <f>IFERROR(D21/$B51,0)</f>
        <v>3225160012.6492791</v>
      </c>
      <c r="E51" s="42">
        <f>IFERROR(E21/$B51,0)</f>
        <v>14063600223.861692</v>
      </c>
      <c r="F51" s="42">
        <f t="shared" si="93"/>
        <v>2623517271.0705433</v>
      </c>
      <c r="G51" s="42">
        <f t="shared" ref="G51:M51" si="100">IFERROR(G21/$B51,0)</f>
        <v>14063600223.861692</v>
      </c>
      <c r="H51" s="42">
        <f t="shared" si="100"/>
        <v>33273077157.986954</v>
      </c>
      <c r="I51" s="42">
        <f t="shared" si="100"/>
        <v>17786529725.006851</v>
      </c>
      <c r="J51" s="42">
        <f t="shared" si="100"/>
        <v>14063600223.861692</v>
      </c>
      <c r="K51" s="42">
        <f t="shared" si="100"/>
        <v>16694144828.852856</v>
      </c>
      <c r="L51" s="42">
        <f t="shared" si="100"/>
        <v>2372.584782834349</v>
      </c>
      <c r="M51" s="42">
        <f t="shared" si="100"/>
        <v>238651.78089804991</v>
      </c>
      <c r="N51" s="42">
        <f t="shared" si="95"/>
        <v>2349.2296397315554</v>
      </c>
      <c r="O51" s="42">
        <f>IFERROR(O21/$B51,0)</f>
        <v>0</v>
      </c>
      <c r="P51" s="42">
        <f>IFERROR(P21/$B51,0)</f>
        <v>218625058.02548632</v>
      </c>
      <c r="Q51" s="42">
        <f t="shared" si="96"/>
        <v>218625058.02548632</v>
      </c>
      <c r="R51" s="42">
        <f t="shared" ref="R51:W51" si="101">IFERROR(R21/$B51,0)</f>
        <v>0</v>
      </c>
      <c r="S51" s="42">
        <f t="shared" si="101"/>
        <v>0</v>
      </c>
      <c r="T51" s="42">
        <f t="shared" si="101"/>
        <v>0</v>
      </c>
      <c r="U51" s="42">
        <f t="shared" si="101"/>
        <v>0</v>
      </c>
      <c r="V51" s="42">
        <f t="shared" si="101"/>
        <v>0</v>
      </c>
      <c r="W51" s="42">
        <f t="shared" si="101"/>
        <v>0</v>
      </c>
    </row>
    <row r="52" spans="1:23" x14ac:dyDescent="0.25">
      <c r="A52" s="55" t="s">
        <v>1062</v>
      </c>
      <c r="B52" s="3">
        <v>0.99980000000000002</v>
      </c>
      <c r="C52" s="42">
        <f>IFERROR(C17/$B52,0)</f>
        <v>147253.52242910906</v>
      </c>
      <c r="D52" s="42">
        <f>IFERROR(D17/$B52,0)</f>
        <v>527481446.85562658</v>
      </c>
      <c r="E52" s="42">
        <f>IFERROR(E17/$B52,0)</f>
        <v>1143.5581714515586</v>
      </c>
      <c r="F52" s="42">
        <f t="shared" si="93"/>
        <v>1134.7433919341161</v>
      </c>
      <c r="G52" s="42">
        <f t="shared" ref="G52:M52" si="102">IFERROR(G17/$B52,0)</f>
        <v>1143.5581714515586</v>
      </c>
      <c r="H52" s="42">
        <f t="shared" si="102"/>
        <v>8223.8189643966507</v>
      </c>
      <c r="I52" s="42">
        <f t="shared" si="102"/>
        <v>2034.883227744205</v>
      </c>
      <c r="J52" s="42">
        <f t="shared" si="102"/>
        <v>1183.2576332399308</v>
      </c>
      <c r="K52" s="42">
        <f t="shared" si="102"/>
        <v>10027.809333512119</v>
      </c>
      <c r="L52" s="42">
        <f t="shared" si="102"/>
        <v>388.04104265483437</v>
      </c>
      <c r="M52" s="42">
        <f t="shared" si="102"/>
        <v>5.6341688693855058E-2</v>
      </c>
      <c r="N52" s="42">
        <f t="shared" si="95"/>
        <v>5.6333509339876041E-2</v>
      </c>
      <c r="O52" s="42">
        <f>IFERROR(O17/$B52,0)</f>
        <v>220155.38177683743</v>
      </c>
      <c r="P52" s="42">
        <f>IFERROR(P17/$B52,0)</f>
        <v>25.949906410862706</v>
      </c>
      <c r="Q52" s="42">
        <f t="shared" si="96"/>
        <v>25.946848033308235</v>
      </c>
      <c r="R52" s="42">
        <f t="shared" ref="R52:W52" si="103">IFERROR(R17/$B52,0)</f>
        <v>18112.183258780417</v>
      </c>
      <c r="S52" s="42">
        <f t="shared" si="103"/>
        <v>20492358.976707146</v>
      </c>
      <c r="T52" s="42">
        <f t="shared" si="103"/>
        <v>25874547512.543449</v>
      </c>
      <c r="U52" s="42">
        <f t="shared" si="103"/>
        <v>18112.183258780417</v>
      </c>
      <c r="V52" s="42">
        <f t="shared" si="103"/>
        <v>0</v>
      </c>
      <c r="W52" s="42">
        <f t="shared" si="103"/>
        <v>0</v>
      </c>
    </row>
    <row r="53" spans="1:23" x14ac:dyDescent="0.25">
      <c r="A53" s="55" t="s">
        <v>1076</v>
      </c>
      <c r="B53" s="3">
        <v>2.0000000000000001E-4</v>
      </c>
      <c r="C53" s="42">
        <f>IFERROR(C5/$B53,0)</f>
        <v>0</v>
      </c>
      <c r="D53" s="42">
        <f>IFERROR(D5/$B53,0)</f>
        <v>0</v>
      </c>
      <c r="E53" s="42">
        <f>IFERROR(E5/$B53,0)</f>
        <v>11656742467.428986</v>
      </c>
      <c r="F53" s="42">
        <f t="shared" si="93"/>
        <v>11656742467.428986</v>
      </c>
      <c r="G53" s="42">
        <f t="shared" ref="G53:M53" si="104">IFERROR(G5/$B53,0)</f>
        <v>11656742467.428986</v>
      </c>
      <c r="H53" s="42">
        <f t="shared" si="104"/>
        <v>22838325149.860867</v>
      </c>
      <c r="I53" s="42">
        <f t="shared" si="104"/>
        <v>16285556752.432428</v>
      </c>
      <c r="J53" s="42">
        <f t="shared" si="104"/>
        <v>12145836556.971457</v>
      </c>
      <c r="K53" s="42">
        <f t="shared" si="104"/>
        <v>4440642524.4748602</v>
      </c>
      <c r="L53" s="42">
        <f t="shared" si="104"/>
        <v>0</v>
      </c>
      <c r="M53" s="42">
        <f t="shared" si="104"/>
        <v>3190141.1528208717</v>
      </c>
      <c r="N53" s="42">
        <f t="shared" si="95"/>
        <v>3190141.1528208717</v>
      </c>
      <c r="O53" s="42">
        <f>IFERROR(O5/$B53,0)</f>
        <v>0</v>
      </c>
      <c r="P53" s="42">
        <f>IFERROR(P5/$B53,0)</f>
        <v>2501070663.811563</v>
      </c>
      <c r="Q53" s="42">
        <f t="shared" si="96"/>
        <v>2501070663.811563</v>
      </c>
      <c r="R53" s="42">
        <f t="shared" ref="R53:W53" si="105">IFERROR(R5/$B53,0)</f>
        <v>0</v>
      </c>
      <c r="S53" s="42">
        <f t="shared" si="105"/>
        <v>0</v>
      </c>
      <c r="T53" s="42">
        <f t="shared" si="105"/>
        <v>0</v>
      </c>
      <c r="U53" s="42">
        <f t="shared" si="105"/>
        <v>0</v>
      </c>
      <c r="V53" s="42">
        <f t="shared" si="105"/>
        <v>0</v>
      </c>
      <c r="W53" s="42">
        <f t="shared" si="105"/>
        <v>0</v>
      </c>
    </row>
    <row r="54" spans="1:23" x14ac:dyDescent="0.25">
      <c r="A54" s="55" t="s">
        <v>1077</v>
      </c>
      <c r="B54" s="3">
        <v>0.99999979999999999</v>
      </c>
      <c r="C54" s="42">
        <f>IFERROR(C9/$B54,0)</f>
        <v>196628.16196455873</v>
      </c>
      <c r="D54" s="42">
        <f>IFERROR(D9/$B54,0)</f>
        <v>671467874.6320312</v>
      </c>
      <c r="E54" s="42">
        <f>IFERROR(E9/$B54,0)</f>
        <v>136.52221077818959</v>
      </c>
      <c r="F54" s="42">
        <f t="shared" si="93"/>
        <v>136.42745918063974</v>
      </c>
      <c r="G54" s="42">
        <f t="shared" ref="G54:M54" si="106">IFERROR(G9/$B54,0)</f>
        <v>136.52221077818959</v>
      </c>
      <c r="H54" s="42">
        <f t="shared" si="106"/>
        <v>1667.9211616895195</v>
      </c>
      <c r="I54" s="42">
        <f t="shared" si="106"/>
        <v>382.49707457978519</v>
      </c>
      <c r="J54" s="42">
        <f t="shared" si="106"/>
        <v>181.92484747815726</v>
      </c>
      <c r="K54" s="42">
        <f t="shared" si="106"/>
        <v>2429.3512516689543</v>
      </c>
      <c r="L54" s="42">
        <f t="shared" si="106"/>
        <v>493.96447161250467</v>
      </c>
      <c r="M54" s="42">
        <f t="shared" si="106"/>
        <v>8.7942024051539947E-3</v>
      </c>
      <c r="N54" s="42">
        <f t="shared" si="95"/>
        <v>8.7940458420334884E-3</v>
      </c>
      <c r="O54" s="42">
        <f>IFERROR(O9/$B54,0)</f>
        <v>293974.27885791572</v>
      </c>
      <c r="P54" s="42">
        <f>IFERROR(P9/$B54,0)</f>
        <v>4.0601804610808383</v>
      </c>
      <c r="Q54" s="42">
        <f t="shared" si="96"/>
        <v>4.0601243852984172</v>
      </c>
      <c r="R54" s="42">
        <f t="shared" ref="R54:W54" si="107">IFERROR(R9/$B54,0)</f>
        <v>24185.263921640726</v>
      </c>
      <c r="S54" s="42">
        <f t="shared" si="107"/>
        <v>6910075.4061830649</v>
      </c>
      <c r="T54" s="42">
        <f t="shared" si="107"/>
        <v>12092631960.820364</v>
      </c>
      <c r="U54" s="42">
        <f t="shared" si="107"/>
        <v>24185.263921640726</v>
      </c>
      <c r="V54" s="42">
        <f t="shared" si="107"/>
        <v>0</v>
      </c>
      <c r="W54" s="42">
        <f t="shared" si="107"/>
        <v>0</v>
      </c>
    </row>
    <row r="55" spans="1:23" x14ac:dyDescent="0.25">
      <c r="A55" s="55" t="s">
        <v>1078</v>
      </c>
      <c r="B55" s="3">
        <v>1.9999999999999999E-7</v>
      </c>
      <c r="C55" s="42">
        <f>IFERROR(C24/$B55,0)</f>
        <v>0</v>
      </c>
      <c r="D55" s="42">
        <f>IFERROR(D24/$B55,0)</f>
        <v>0</v>
      </c>
      <c r="E55" s="42">
        <f>IFERROR(E24/$B55,0)</f>
        <v>1593798590304.8457</v>
      </c>
      <c r="F55" s="42">
        <f t="shared" si="93"/>
        <v>1593798590304.8457</v>
      </c>
      <c r="G55" s="42">
        <f t="shared" ref="G55:M55" si="108">IFERROR(G24/$B55,0)</f>
        <v>1593798590304.8457</v>
      </c>
      <c r="H55" s="42">
        <f t="shared" si="108"/>
        <v>14612669305053.342</v>
      </c>
      <c r="I55" s="42">
        <f t="shared" si="108"/>
        <v>3513484552110.1787</v>
      </c>
      <c r="J55" s="42">
        <f t="shared" si="108"/>
        <v>1751450044685.9688</v>
      </c>
      <c r="K55" s="42">
        <f t="shared" si="108"/>
        <v>21950875321445.199</v>
      </c>
      <c r="L55" s="42">
        <f t="shared" si="108"/>
        <v>0</v>
      </c>
      <c r="M55" s="42">
        <f t="shared" si="108"/>
        <v>91951127.346013352</v>
      </c>
      <c r="N55" s="42">
        <f t="shared" si="95"/>
        <v>91951127.346013352</v>
      </c>
      <c r="O55" s="42">
        <f>IFERROR(O24/$B55,0)</f>
        <v>0</v>
      </c>
      <c r="P55" s="42">
        <f>IFERROR(P24/$B55,0)</f>
        <v>42304984164.606956</v>
      </c>
      <c r="Q55" s="42">
        <f t="shared" si="96"/>
        <v>42304984164.606956</v>
      </c>
      <c r="R55" s="42">
        <f t="shared" ref="R55:W55" si="109">IFERROR(R24/$B55,0)</f>
        <v>0</v>
      </c>
      <c r="S55" s="42">
        <f t="shared" si="109"/>
        <v>0</v>
      </c>
      <c r="T55" s="42">
        <f t="shared" si="109"/>
        <v>0</v>
      </c>
      <c r="U55" s="42">
        <f t="shared" si="109"/>
        <v>0</v>
      </c>
      <c r="V55" s="42">
        <f t="shared" si="109"/>
        <v>0</v>
      </c>
      <c r="W55" s="42">
        <f t="shared" si="109"/>
        <v>0</v>
      </c>
    </row>
    <row r="56" spans="1:23" x14ac:dyDescent="0.25">
      <c r="A56" s="55" t="s">
        <v>1079</v>
      </c>
      <c r="B56" s="3">
        <v>0.99979000004200003</v>
      </c>
      <c r="C56" s="42">
        <f>IFERROR(C20/$B56,0)</f>
        <v>0</v>
      </c>
      <c r="D56" s="42">
        <f>IFERROR(D20/$B56,0)</f>
        <v>0</v>
      </c>
      <c r="E56" s="42">
        <f>IFERROR(E20/$B56,0)</f>
        <v>2593906.9984395932</v>
      </c>
      <c r="F56" s="42">
        <f t="shared" si="93"/>
        <v>2593906.9984395932</v>
      </c>
      <c r="G56" s="42">
        <f t="shared" ref="G56:M56" si="110">IFERROR(G20/$B56,0)</f>
        <v>2593906.9984395932</v>
      </c>
      <c r="H56" s="42">
        <f t="shared" si="110"/>
        <v>27680890.434190221</v>
      </c>
      <c r="I56" s="42">
        <f t="shared" si="110"/>
        <v>6452856.8119587451</v>
      </c>
      <c r="J56" s="42">
        <f t="shared" si="110"/>
        <v>3162573.9555831333</v>
      </c>
      <c r="K56" s="42">
        <f t="shared" si="110"/>
        <v>42467748.963691041</v>
      </c>
      <c r="L56" s="42">
        <f t="shared" si="110"/>
        <v>0</v>
      </c>
      <c r="M56" s="42">
        <f t="shared" si="110"/>
        <v>164.57868413593803</v>
      </c>
      <c r="N56" s="42">
        <f t="shared" si="95"/>
        <v>164.57868413593803</v>
      </c>
      <c r="O56" s="42">
        <f>IFERROR(O20/$B56,0)</f>
        <v>0</v>
      </c>
      <c r="P56" s="42">
        <f>IFERROR(P20/$B56,0)</f>
        <v>75990.157924248415</v>
      </c>
      <c r="Q56" s="42">
        <f t="shared" si="96"/>
        <v>75990.157924248415</v>
      </c>
      <c r="R56" s="42">
        <f t="shared" ref="R56:W56" si="111">IFERROR(R20/$B56,0)</f>
        <v>0</v>
      </c>
      <c r="S56" s="42">
        <f t="shared" si="111"/>
        <v>0</v>
      </c>
      <c r="T56" s="42">
        <f t="shared" si="111"/>
        <v>0</v>
      </c>
      <c r="U56" s="42">
        <f t="shared" si="111"/>
        <v>0</v>
      </c>
      <c r="V56" s="42">
        <f t="shared" si="111"/>
        <v>0</v>
      </c>
      <c r="W56" s="42">
        <f t="shared" si="111"/>
        <v>0</v>
      </c>
    </row>
    <row r="57" spans="1:23" x14ac:dyDescent="0.25">
      <c r="A57" s="55" t="s">
        <v>1080</v>
      </c>
      <c r="B57" s="3">
        <v>2.0999995799999999E-4</v>
      </c>
      <c r="C57" s="42">
        <f>IFERROR(C29/$B57,0)</f>
        <v>0</v>
      </c>
      <c r="D57" s="42">
        <f>IFERROR(D29/$B57,0)</f>
        <v>0</v>
      </c>
      <c r="E57" s="42">
        <f>IFERROR(E29/$B57,0)</f>
        <v>359196.86088502826</v>
      </c>
      <c r="F57" s="42">
        <f t="shared" si="93"/>
        <v>359196.86088502826</v>
      </c>
      <c r="G57" s="42">
        <f t="shared" ref="G57:M57" si="112">IFERROR(G29/$B57,0)</f>
        <v>359196.86088502826</v>
      </c>
      <c r="H57" s="42">
        <f t="shared" si="112"/>
        <v>4111397.1455948153</v>
      </c>
      <c r="I57" s="42">
        <f t="shared" si="112"/>
        <v>963512.67594716989</v>
      </c>
      <c r="J57" s="42">
        <f t="shared" si="112"/>
        <v>466360.78201086511</v>
      </c>
      <c r="K57" s="42">
        <f t="shared" si="112"/>
        <v>5882858.9721843991</v>
      </c>
      <c r="L57" s="42">
        <f t="shared" si="112"/>
        <v>0</v>
      </c>
      <c r="M57" s="42">
        <f t="shared" si="112"/>
        <v>22.556558117115767</v>
      </c>
      <c r="N57" s="42">
        <f t="shared" si="95"/>
        <v>22.556558117115767</v>
      </c>
      <c r="O57" s="42">
        <f>IFERROR(O29/$B57,0)</f>
        <v>0</v>
      </c>
      <c r="P57" s="42">
        <f>IFERROR(P29/$B57,0)</f>
        <v>10447.247970032566</v>
      </c>
      <c r="Q57" s="42">
        <f t="shared" si="96"/>
        <v>10447.247970032566</v>
      </c>
      <c r="R57" s="42">
        <f t="shared" ref="R57:W57" si="113">IFERROR(R29/$B57,0)</f>
        <v>0</v>
      </c>
      <c r="S57" s="42">
        <f t="shared" si="113"/>
        <v>0</v>
      </c>
      <c r="T57" s="42">
        <f t="shared" si="113"/>
        <v>0</v>
      </c>
      <c r="U57" s="42">
        <f t="shared" si="113"/>
        <v>0</v>
      </c>
      <c r="V57" s="42">
        <f t="shared" si="113"/>
        <v>0</v>
      </c>
      <c r="W57" s="42">
        <f t="shared" si="113"/>
        <v>0</v>
      </c>
    </row>
    <row r="58" spans="1:23" x14ac:dyDescent="0.25">
      <c r="A58" s="55" t="s">
        <v>1081</v>
      </c>
      <c r="B58" s="3">
        <v>1</v>
      </c>
      <c r="C58" s="42">
        <f>IFERROR(C16/$B58,0)</f>
        <v>28.723127718823555</v>
      </c>
      <c r="D58" s="42">
        <f>IFERROR(D16/$B58,0)</f>
        <v>1101506.8484777689</v>
      </c>
      <c r="E58" s="42">
        <f>IFERROR(E16/$B58,0)</f>
        <v>424389.81852006185</v>
      </c>
      <c r="F58" s="42">
        <f t="shared" si="93"/>
        <v>28.720434970843215</v>
      </c>
      <c r="G58" s="42">
        <f t="shared" ref="G58:M58" si="114">IFERROR(G16/$B58,0)</f>
        <v>424389.81852006185</v>
      </c>
      <c r="H58" s="42">
        <f t="shared" si="114"/>
        <v>583530.77192898234</v>
      </c>
      <c r="I58" s="42">
        <f t="shared" si="114"/>
        <v>412386.87415787758</v>
      </c>
      <c r="J58" s="42">
        <f t="shared" si="114"/>
        <v>384036.10056251351</v>
      </c>
      <c r="K58" s="42">
        <f t="shared" si="114"/>
        <v>364037.26028066827</v>
      </c>
      <c r="L58" s="42">
        <f t="shared" si="114"/>
        <v>0.81032208530311234</v>
      </c>
      <c r="M58" s="42">
        <f t="shared" si="114"/>
        <v>13.27532199475352</v>
      </c>
      <c r="N58" s="42">
        <f t="shared" si="95"/>
        <v>0.76370569501254171</v>
      </c>
      <c r="O58" s="42">
        <f>IFERROR(O16/$B58,0)</f>
        <v>42.943292930780331</v>
      </c>
      <c r="P58" s="42">
        <f>IFERROR(P16/$B58,0)</f>
        <v>5736.4006050723938</v>
      </c>
      <c r="Q58" s="42">
        <f t="shared" si="96"/>
        <v>42.624203698458302</v>
      </c>
      <c r="R58" s="42">
        <f t="shared" ref="R58:W58" si="115">IFERROR(R16/$B58,0)</f>
        <v>3.5329447094152973</v>
      </c>
      <c r="S58" s="42">
        <f t="shared" si="115"/>
        <v>3997.2194514484795</v>
      </c>
      <c r="T58" s="42">
        <f t="shared" si="115"/>
        <v>5047063.8705932824</v>
      </c>
      <c r="U58" s="42">
        <f t="shared" si="115"/>
        <v>3.5329447094152973</v>
      </c>
      <c r="V58" s="42">
        <f t="shared" si="115"/>
        <v>0</v>
      </c>
      <c r="W58" s="42">
        <f t="shared" si="115"/>
        <v>0</v>
      </c>
    </row>
    <row r="59" spans="1:23" x14ac:dyDescent="0.25">
      <c r="A59" s="55" t="s">
        <v>1082</v>
      </c>
      <c r="B59" s="3">
        <v>1</v>
      </c>
      <c r="C59" s="42">
        <f>IFERROR(C7/$B59,0)</f>
        <v>16276.439040666684</v>
      </c>
      <c r="D59" s="42">
        <f>IFERROR(D7/$B59,0)</f>
        <v>45493741.755622923</v>
      </c>
      <c r="E59" s="42">
        <f>IFERROR(E7/$B59,0)</f>
        <v>285741.5723392049</v>
      </c>
      <c r="F59" s="42">
        <f t="shared" si="93"/>
        <v>15394.053877848639</v>
      </c>
      <c r="G59" s="42">
        <f t="shared" ref="G59:M59" si="116">IFERROR(G7/$B59,0)</f>
        <v>285741.5723392049</v>
      </c>
      <c r="H59" s="42">
        <f t="shared" si="116"/>
        <v>744366.26899153669</v>
      </c>
      <c r="I59" s="42">
        <f t="shared" si="116"/>
        <v>357504.00070870714</v>
      </c>
      <c r="J59" s="42">
        <f t="shared" si="116"/>
        <v>262674.15254818671</v>
      </c>
      <c r="K59" s="42">
        <f t="shared" si="116"/>
        <v>74518.376513113224</v>
      </c>
      <c r="L59" s="42">
        <f t="shared" si="116"/>
        <v>33.467412153272377</v>
      </c>
      <c r="M59" s="42">
        <f t="shared" si="116"/>
        <v>2.4235180850887241</v>
      </c>
      <c r="N59" s="42">
        <f t="shared" si="95"/>
        <v>2.2598711729093779</v>
      </c>
      <c r="O59" s="42">
        <f>IFERROR(O7/$B59,0)</f>
        <v>24334.53266077552</v>
      </c>
      <c r="P59" s="42">
        <f>IFERROR(P7/$B59,0)</f>
        <v>2098.2136441372177</v>
      </c>
      <c r="Q59" s="42">
        <f t="shared" si="96"/>
        <v>1931.6588546477374</v>
      </c>
      <c r="R59" s="42">
        <f t="shared" ref="R59:W59" si="117">IFERROR(R7/$B59,0)</f>
        <v>2002.0020020020022</v>
      </c>
      <c r="S59" s="42">
        <f t="shared" si="117"/>
        <v>572000.57200057199</v>
      </c>
      <c r="T59" s="42">
        <f t="shared" si="117"/>
        <v>1001001001.0010011</v>
      </c>
      <c r="U59" s="42">
        <f t="shared" si="117"/>
        <v>2002.0020020020022</v>
      </c>
      <c r="V59" s="42">
        <f t="shared" si="117"/>
        <v>0</v>
      </c>
      <c r="W59" s="42">
        <f t="shared" si="117"/>
        <v>0</v>
      </c>
    </row>
    <row r="60" spans="1:23" x14ac:dyDescent="0.25">
      <c r="A60" s="55" t="s">
        <v>1083</v>
      </c>
      <c r="B60" s="3">
        <v>1.9000000000000001E-8</v>
      </c>
      <c r="C60" s="42">
        <f>IFERROR(C12/$B60,0)</f>
        <v>0</v>
      </c>
      <c r="D60" s="42">
        <f>IFERROR(D12/$B60,0)</f>
        <v>0</v>
      </c>
      <c r="E60" s="42">
        <f>IFERROR(E12/$B60,0)</f>
        <v>127129800804.11568</v>
      </c>
      <c r="F60" s="42">
        <f t="shared" si="93"/>
        <v>127129800804.11568</v>
      </c>
      <c r="G60" s="42">
        <f t="shared" ref="G60:M60" si="118">IFERROR(G12/$B60,0)</f>
        <v>127129800804.11568</v>
      </c>
      <c r="H60" s="42">
        <f t="shared" si="118"/>
        <v>890522555932.92004</v>
      </c>
      <c r="I60" s="42">
        <f t="shared" si="118"/>
        <v>221706563718.37573</v>
      </c>
      <c r="J60" s="42">
        <f t="shared" si="118"/>
        <v>127524929357.7843</v>
      </c>
      <c r="K60" s="42">
        <f t="shared" si="118"/>
        <v>932375606406.24182</v>
      </c>
      <c r="L60" s="42">
        <f t="shared" si="118"/>
        <v>0</v>
      </c>
      <c r="M60" s="42">
        <f t="shared" si="118"/>
        <v>5918853.3316252446</v>
      </c>
      <c r="N60" s="42">
        <f t="shared" si="95"/>
        <v>5918853.3316252446</v>
      </c>
      <c r="O60" s="42">
        <f>IFERROR(O12/$B60,0)</f>
        <v>0</v>
      </c>
      <c r="P60" s="42">
        <f>IFERROR(P12/$B60,0)</f>
        <v>2765447438.9778452</v>
      </c>
      <c r="Q60" s="42">
        <f t="shared" si="96"/>
        <v>2765447438.9778452</v>
      </c>
      <c r="R60" s="42">
        <f t="shared" ref="R60:W60" si="119">IFERROR(R12/$B60,0)</f>
        <v>0</v>
      </c>
      <c r="S60" s="42">
        <f t="shared" si="119"/>
        <v>0</v>
      </c>
      <c r="T60" s="42">
        <f t="shared" si="119"/>
        <v>0</v>
      </c>
      <c r="U60" s="42">
        <f t="shared" si="119"/>
        <v>0</v>
      </c>
      <c r="V60" s="42">
        <f t="shared" si="119"/>
        <v>0</v>
      </c>
      <c r="W60" s="42">
        <f t="shared" si="119"/>
        <v>0</v>
      </c>
    </row>
    <row r="61" spans="1:23" x14ac:dyDescent="0.25">
      <c r="A61" s="55" t="s">
        <v>1084</v>
      </c>
      <c r="B61" s="3">
        <v>1</v>
      </c>
      <c r="C61" s="42">
        <f>IFERROR(C18/$B61,0)</f>
        <v>16.741480156114303</v>
      </c>
      <c r="D61" s="42">
        <f>IFERROR(D18/$B61,0)</f>
        <v>1419249.2086155869</v>
      </c>
      <c r="E61" s="42">
        <f>IFERROR(E18/$B61,0)</f>
        <v>22013393.949983113</v>
      </c>
      <c r="F61" s="42">
        <f t="shared" si="93"/>
        <v>16.741269943940093</v>
      </c>
      <c r="G61" s="42">
        <f t="shared" ref="G61:M61" si="120">IFERROR(G18/$B61,0)</f>
        <v>22013393.949983113</v>
      </c>
      <c r="H61" s="42">
        <f t="shared" si="120"/>
        <v>235931170.18229866</v>
      </c>
      <c r="I61" s="42">
        <f t="shared" si="120"/>
        <v>54987056.644858643</v>
      </c>
      <c r="J61" s="42">
        <f t="shared" si="120"/>
        <v>27113793.961003933</v>
      </c>
      <c r="K61" s="42">
        <f t="shared" si="120"/>
        <v>362246929.09492135</v>
      </c>
      <c r="L61" s="42">
        <f t="shared" si="120"/>
        <v>1.04406884067901</v>
      </c>
      <c r="M61" s="42">
        <f t="shared" si="120"/>
        <v>1405.0958785458217</v>
      </c>
      <c r="N61" s="42">
        <f t="shared" si="95"/>
        <v>1.0432936121919003</v>
      </c>
      <c r="O61" s="42">
        <f>IFERROR(O18/$B61,0)</f>
        <v>25.029805022511962</v>
      </c>
      <c r="P61" s="42">
        <f>IFERROR(P18/$B61,0)</f>
        <v>647945.76782682992</v>
      </c>
      <c r="Q61" s="42">
        <f t="shared" si="96"/>
        <v>25.028838171626468</v>
      </c>
      <c r="R61" s="42">
        <f t="shared" ref="R61:W61" si="121">IFERROR(R18/$B61,0)</f>
        <v>2.0592020592020592</v>
      </c>
      <c r="S61" s="42">
        <f t="shared" si="121"/>
        <v>329.39963438060408</v>
      </c>
      <c r="T61" s="42">
        <f t="shared" si="121"/>
        <v>411840.41184041183</v>
      </c>
      <c r="U61" s="42">
        <f t="shared" si="121"/>
        <v>2.0592020592020592</v>
      </c>
      <c r="V61" s="42">
        <f t="shared" si="121"/>
        <v>0.68624923829292517</v>
      </c>
      <c r="W61" s="42">
        <f t="shared" si="121"/>
        <v>858.0008580008581</v>
      </c>
    </row>
    <row r="62" spans="1:23" x14ac:dyDescent="0.25">
      <c r="A62" s="55" t="s">
        <v>1085</v>
      </c>
      <c r="B62" s="3">
        <v>1.339E-6</v>
      </c>
      <c r="C62" s="42">
        <f>IFERROR(C27/$B62,0)</f>
        <v>0</v>
      </c>
      <c r="D62" s="42">
        <f>IFERROR(D27/$B62,0)</f>
        <v>0</v>
      </c>
      <c r="E62" s="42">
        <f>IFERROR(E27/$B62,0)</f>
        <v>74534671660.443451</v>
      </c>
      <c r="F62" s="42">
        <f t="shared" si="93"/>
        <v>74534671660.443451</v>
      </c>
      <c r="G62" s="42">
        <f t="shared" ref="G62:M62" si="122">IFERROR(G27/$B62,0)</f>
        <v>74534671660.443451</v>
      </c>
      <c r="H62" s="42">
        <f t="shared" si="122"/>
        <v>192930553428.26318</v>
      </c>
      <c r="I62" s="42">
        <f t="shared" si="122"/>
        <v>109394025732.5824</v>
      </c>
      <c r="J62" s="42">
        <f t="shared" si="122"/>
        <v>82316347187.721207</v>
      </c>
      <c r="K62" s="42">
        <f t="shared" si="122"/>
        <v>18027630258.500164</v>
      </c>
      <c r="L62" s="42">
        <f t="shared" si="122"/>
        <v>0</v>
      </c>
      <c r="M62" s="42">
        <f t="shared" si="122"/>
        <v>1176237.1369153843</v>
      </c>
      <c r="N62" s="42">
        <f t="shared" si="95"/>
        <v>1176237.1369153843</v>
      </c>
      <c r="O62" s="42">
        <f>IFERROR(O27/$B62,0)</f>
        <v>0</v>
      </c>
      <c r="P62" s="42">
        <f>IFERROR(P27/$B62,0)</f>
        <v>983086617.59033179</v>
      </c>
      <c r="Q62" s="42">
        <f t="shared" si="96"/>
        <v>983086617.59033191</v>
      </c>
      <c r="R62" s="42">
        <f t="shared" ref="R62:W62" si="123">IFERROR(R27/$B62,0)</f>
        <v>0</v>
      </c>
      <c r="S62" s="42">
        <f t="shared" si="123"/>
        <v>0</v>
      </c>
      <c r="T62" s="42">
        <f t="shared" si="123"/>
        <v>0</v>
      </c>
      <c r="U62" s="42">
        <f t="shared" si="123"/>
        <v>0</v>
      </c>
      <c r="V62" s="42">
        <f t="shared" si="123"/>
        <v>0</v>
      </c>
      <c r="W62" s="42">
        <f t="shared" si="123"/>
        <v>0</v>
      </c>
    </row>
    <row r="63" spans="1:23" x14ac:dyDescent="0.25">
      <c r="A63" s="54" t="s">
        <v>23</v>
      </c>
      <c r="B63" s="39" t="s">
        <v>1221</v>
      </c>
      <c r="C63" s="40">
        <f>1/SUM(1/C66,1/C68,1/C72,1/C73,1/C75)</f>
        <v>10.568552145896737</v>
      </c>
      <c r="D63" s="40">
        <f>1/SUM(1/D66,1/D68,1/D72,1/D73,1/D75)</f>
        <v>610570.9506334879</v>
      </c>
      <c r="E63" s="40">
        <f>1/SUM(1/E64,1/E65,1/E66,1/E67,1/E68,1/E69,1/E70,1/E71,1/E72,1/E73,1/E74,1/E75,1/E76)</f>
        <v>121.80364216373216</v>
      </c>
      <c r="F63" s="41">
        <f>1/SUM(1/F64,1/F65,1/F66,1/F67,1/F68,1/F69,1/F70,1/F71,1/F72,1/F73,1/F74,1/F75,1/F76)</f>
        <v>9.7246075018417297</v>
      </c>
      <c r="G63" s="40">
        <f t="shared" ref="G63:Q63" si="124">1/SUM(1/G64,1/G65,1/G66,1/G67,1/G68,1/G69,1/G70,1/G71,1/G72,1/G73,1/G74,1/G75,1/G76)</f>
        <v>121.80364216373216</v>
      </c>
      <c r="H63" s="40">
        <f t="shared" si="124"/>
        <v>1379.9448657954335</v>
      </c>
      <c r="I63" s="40">
        <f t="shared" si="124"/>
        <v>321.23245335687807</v>
      </c>
      <c r="J63" s="40">
        <f t="shared" si="124"/>
        <v>157.4247625407279</v>
      </c>
      <c r="K63" s="40">
        <f t="shared" si="124"/>
        <v>1894.5307647569866</v>
      </c>
      <c r="L63" s="40">
        <f>1/SUM(1/L66,1/L68,1/L72,1/L73,1/L75)</f>
        <v>0.4491657284079219</v>
      </c>
      <c r="M63" s="40">
        <f t="shared" si="124"/>
        <v>7.5742157098097444E-3</v>
      </c>
      <c r="N63" s="41">
        <f t="shared" si="124"/>
        <v>7.4485673933615106E-3</v>
      </c>
      <c r="O63" s="40">
        <f>1/SUM(1/O66,1/O68,1/O72,1/O73,1/O75)</f>
        <v>15.800801190534807</v>
      </c>
      <c r="P63" s="40">
        <f t="shared" si="124"/>
        <v>3.5007663586138555</v>
      </c>
      <c r="Q63" s="41">
        <f t="shared" si="124"/>
        <v>2.8658249184227422</v>
      </c>
      <c r="R63" s="40">
        <f>1/SUM(1/R66,1/R68,1/R72,1/R73,1/R75)</f>
        <v>1.2999319139452987</v>
      </c>
      <c r="S63" s="40">
        <f>1/SUM(1/S66,1/S68,1/S72,1/S73,1/S75)</f>
        <v>304.14164141223029</v>
      </c>
      <c r="T63" s="40">
        <f>1/SUM(1/T66,1/T68,1/T72,1/T73,1/T75)</f>
        <v>380607.24731513317</v>
      </c>
      <c r="U63" s="40">
        <f>1/SUM(1/U66,1/U68,1/U72,1/U73,1/U75)</f>
        <v>1.2999319139452987</v>
      </c>
      <c r="V63" s="40">
        <f>1/SUM(1/V75)</f>
        <v>0.68624923829292517</v>
      </c>
      <c r="W63" s="40">
        <f>1/SUM(1/W75)</f>
        <v>858.0008580008581</v>
      </c>
    </row>
    <row r="64" spans="1:23" x14ac:dyDescent="0.25">
      <c r="A64" s="55" t="s">
        <v>1075</v>
      </c>
      <c r="B64" s="3">
        <v>1</v>
      </c>
      <c r="C64" s="42">
        <f>IFERROR(C25/$B50,0)</f>
        <v>0</v>
      </c>
      <c r="D64" s="42">
        <f>IFERROR(D25/$B50,0)</f>
        <v>3752018213.1889324</v>
      </c>
      <c r="E64" s="42">
        <f>IFERROR(E25/$B50,0)</f>
        <v>630931.7120038342</v>
      </c>
      <c r="F64" s="42">
        <f t="shared" ref="F64:F76" si="125">IF(AND(C64&lt;&gt;0,D64&lt;&gt;0,E64&lt;&gt;0),1/((1/C64)+(1/D64)+(1/E64)),IF(AND(C64&lt;&gt;0,D64&lt;&gt;0,E64=0), 1/((1/C64)+(1/D64)),IF(AND(C64&lt;&gt;0,D64=0,E64&lt;&gt;0),1/((1/C64)+(1/E64)),IF(AND(C64=0,D64&lt;&gt;0,E64&lt;&gt;0),1/((1/D64)+(1/E64)),IF(AND(C64&lt;&gt;0,D64=0,E64=0),1/((1/C64)),IF(AND(C64=0,D64&lt;&gt;0,E64=0),1/((1/D64)),IF(AND(C64=0,D64=0,E64&lt;&gt;0),1/((1/E64)),IF(AND(C64=0,D64=0,E64=0),0))))))))</f>
        <v>630825.63365495554</v>
      </c>
      <c r="G64" s="42">
        <f t="shared" ref="G64:M64" si="126">IFERROR(G25/$B50,0)</f>
        <v>630931.7120038342</v>
      </c>
      <c r="H64" s="42">
        <f t="shared" si="126"/>
        <v>5583382.0699922517</v>
      </c>
      <c r="I64" s="42">
        <f t="shared" si="126"/>
        <v>1334235.9337832199</v>
      </c>
      <c r="J64" s="42">
        <f t="shared" si="126"/>
        <v>698019.76357534796</v>
      </c>
      <c r="K64" s="42">
        <f t="shared" si="126"/>
        <v>8556914.2938275579</v>
      </c>
      <c r="L64" s="42">
        <f t="shared" si="126"/>
        <v>2760.1673351446934</v>
      </c>
      <c r="M64" s="42">
        <f t="shared" si="126"/>
        <v>36.142639650456118</v>
      </c>
      <c r="N64" s="42">
        <f t="shared" ref="N64:N76" si="127">IFERROR(IF(AND(L64&lt;&gt;0,M64&lt;&gt;0),1/((1/L64)+(1/M64)),IF(AND(L64&lt;&gt;0,M64=0),1/((1/L64)),IF(AND(L64=0,M64&lt;&gt;0),1/((1/M64)),IF(AND(L64=0,M64=0),0)))),0)</f>
        <v>35.675491725985253</v>
      </c>
      <c r="O64" s="42">
        <f>IFERROR(O25/$B50,0)</f>
        <v>0</v>
      </c>
      <c r="P64" s="42">
        <f>IFERROR(P25/$B50,0)</f>
        <v>16629.459200874757</v>
      </c>
      <c r="Q64" s="42">
        <f t="shared" ref="Q64:Q76" si="128">IFERROR(IF(AND(O64&lt;&gt;0,P64&lt;&gt;0),1/((1/O64)+(1/P64)),IF(AND(O64&lt;&gt;0,P64=0),1/((1/O64)),IF(AND(O64=0,P64&lt;&gt;0),1/((1/P64)),IF(AND(O64=0,P64=0),0)))),0)</f>
        <v>16629.459200874757</v>
      </c>
      <c r="R64" s="42">
        <f t="shared" ref="R64:W64" si="129">IFERROR(R25/$B50,0)</f>
        <v>0</v>
      </c>
      <c r="S64" s="42">
        <f t="shared" si="129"/>
        <v>0</v>
      </c>
      <c r="T64" s="42">
        <f t="shared" si="129"/>
        <v>0</v>
      </c>
      <c r="U64" s="42">
        <f t="shared" si="129"/>
        <v>0</v>
      </c>
      <c r="V64" s="42">
        <f t="shared" si="129"/>
        <v>0</v>
      </c>
      <c r="W64" s="42">
        <f t="shared" si="129"/>
        <v>0</v>
      </c>
    </row>
    <row r="65" spans="1:23" x14ac:dyDescent="0.25">
      <c r="A65" s="55" t="s">
        <v>1061</v>
      </c>
      <c r="B65" s="3">
        <v>1</v>
      </c>
      <c r="C65" s="42">
        <f>IFERROR(C21/$B51,0)</f>
        <v>0</v>
      </c>
      <c r="D65" s="42">
        <f>IFERROR(D21/$B51,0)</f>
        <v>3225160012.6492791</v>
      </c>
      <c r="E65" s="42">
        <f>IFERROR(E21/$B51,0)</f>
        <v>14063600223.861692</v>
      </c>
      <c r="F65" s="42">
        <f t="shared" si="125"/>
        <v>2623517271.0705433</v>
      </c>
      <c r="G65" s="42">
        <f t="shared" ref="G65:M65" si="130">IFERROR(G21/$B51,0)</f>
        <v>14063600223.861692</v>
      </c>
      <c r="H65" s="42">
        <f t="shared" si="130"/>
        <v>33273077157.986954</v>
      </c>
      <c r="I65" s="42">
        <f t="shared" si="130"/>
        <v>17786529725.006851</v>
      </c>
      <c r="J65" s="42">
        <f t="shared" si="130"/>
        <v>14063600223.861692</v>
      </c>
      <c r="K65" s="42">
        <f t="shared" si="130"/>
        <v>16694144828.852856</v>
      </c>
      <c r="L65" s="42">
        <f t="shared" si="130"/>
        <v>2372.584782834349</v>
      </c>
      <c r="M65" s="42">
        <f t="shared" si="130"/>
        <v>238651.78089804991</v>
      </c>
      <c r="N65" s="42">
        <f t="shared" si="127"/>
        <v>2349.2296397315554</v>
      </c>
      <c r="O65" s="42">
        <f>IFERROR(O21/$B51,0)</f>
        <v>0</v>
      </c>
      <c r="P65" s="42">
        <f>IFERROR(P21/$B51,0)</f>
        <v>218625058.02548632</v>
      </c>
      <c r="Q65" s="42">
        <f t="shared" si="128"/>
        <v>218625058.02548632</v>
      </c>
      <c r="R65" s="42">
        <f t="shared" ref="R65:W65" si="131">IFERROR(R21/$B51,0)</f>
        <v>0</v>
      </c>
      <c r="S65" s="42">
        <f t="shared" si="131"/>
        <v>0</v>
      </c>
      <c r="T65" s="42">
        <f t="shared" si="131"/>
        <v>0</v>
      </c>
      <c r="U65" s="42">
        <f t="shared" si="131"/>
        <v>0</v>
      </c>
      <c r="V65" s="42">
        <f t="shared" si="131"/>
        <v>0</v>
      </c>
      <c r="W65" s="42">
        <f t="shared" si="131"/>
        <v>0</v>
      </c>
    </row>
    <row r="66" spans="1:23" x14ac:dyDescent="0.25">
      <c r="A66" s="55" t="s">
        <v>1062</v>
      </c>
      <c r="B66" s="3">
        <v>0.99980000000000002</v>
      </c>
      <c r="C66" s="42">
        <f>IFERROR(C17/$B52,0)</f>
        <v>147253.52242910906</v>
      </c>
      <c r="D66" s="42">
        <f>IFERROR(D17/$B52,0)</f>
        <v>527481446.85562658</v>
      </c>
      <c r="E66" s="42">
        <f>IFERROR(E17/$B52,0)</f>
        <v>1143.5581714515586</v>
      </c>
      <c r="F66" s="42">
        <f t="shared" si="125"/>
        <v>1134.7433919341161</v>
      </c>
      <c r="G66" s="42">
        <f t="shared" ref="G66:M66" si="132">IFERROR(G17/$B52,0)</f>
        <v>1143.5581714515586</v>
      </c>
      <c r="H66" s="42">
        <f t="shared" si="132"/>
        <v>8223.8189643966507</v>
      </c>
      <c r="I66" s="42">
        <f t="shared" si="132"/>
        <v>2034.883227744205</v>
      </c>
      <c r="J66" s="42">
        <f t="shared" si="132"/>
        <v>1183.2576332399308</v>
      </c>
      <c r="K66" s="42">
        <f t="shared" si="132"/>
        <v>10027.809333512119</v>
      </c>
      <c r="L66" s="42">
        <f t="shared" si="132"/>
        <v>388.04104265483437</v>
      </c>
      <c r="M66" s="42">
        <f t="shared" si="132"/>
        <v>5.6341688693855058E-2</v>
      </c>
      <c r="N66" s="42">
        <f t="shared" si="127"/>
        <v>5.6333509339876041E-2</v>
      </c>
      <c r="O66" s="42">
        <f>IFERROR(O17/$B52,0)</f>
        <v>220155.38177683743</v>
      </c>
      <c r="P66" s="42">
        <f>IFERROR(P17/$B52,0)</f>
        <v>25.949906410862706</v>
      </c>
      <c r="Q66" s="42">
        <f t="shared" si="128"/>
        <v>25.946848033308235</v>
      </c>
      <c r="R66" s="42">
        <f t="shared" ref="R66:W66" si="133">IFERROR(R17/$B52,0)</f>
        <v>18112.183258780417</v>
      </c>
      <c r="S66" s="42">
        <f t="shared" si="133"/>
        <v>20492358.976707146</v>
      </c>
      <c r="T66" s="42">
        <f t="shared" si="133"/>
        <v>25874547512.543449</v>
      </c>
      <c r="U66" s="42">
        <f t="shared" si="133"/>
        <v>18112.183258780417</v>
      </c>
      <c r="V66" s="42">
        <f t="shared" si="133"/>
        <v>0</v>
      </c>
      <c r="W66" s="42">
        <f t="shared" si="133"/>
        <v>0</v>
      </c>
    </row>
    <row r="67" spans="1:23" x14ac:dyDescent="0.25">
      <c r="A67" s="55" t="s">
        <v>1076</v>
      </c>
      <c r="B67" s="3">
        <v>2.0000000000000001E-4</v>
      </c>
      <c r="C67" s="42">
        <f>IFERROR(C5/$B53,0)</f>
        <v>0</v>
      </c>
      <c r="D67" s="42">
        <f>IFERROR(D5/$B53,0)</f>
        <v>0</v>
      </c>
      <c r="E67" s="42">
        <f>IFERROR(E5/$B53,0)</f>
        <v>11656742467.428986</v>
      </c>
      <c r="F67" s="42">
        <f t="shared" si="125"/>
        <v>11656742467.428986</v>
      </c>
      <c r="G67" s="42">
        <f t="shared" ref="G67:M67" si="134">IFERROR(G5/$B53,0)</f>
        <v>11656742467.428986</v>
      </c>
      <c r="H67" s="42">
        <f t="shared" si="134"/>
        <v>22838325149.860867</v>
      </c>
      <c r="I67" s="42">
        <f t="shared" si="134"/>
        <v>16285556752.432428</v>
      </c>
      <c r="J67" s="42">
        <f t="shared" si="134"/>
        <v>12145836556.971457</v>
      </c>
      <c r="K67" s="42">
        <f t="shared" si="134"/>
        <v>4440642524.4748602</v>
      </c>
      <c r="L67" s="42">
        <f t="shared" si="134"/>
        <v>0</v>
      </c>
      <c r="M67" s="42">
        <f t="shared" si="134"/>
        <v>3190141.1528208717</v>
      </c>
      <c r="N67" s="42">
        <f t="shared" si="127"/>
        <v>3190141.1528208717</v>
      </c>
      <c r="O67" s="42">
        <f>IFERROR(O5/$B53,0)</f>
        <v>0</v>
      </c>
      <c r="P67" s="42">
        <f>IFERROR(P5/$B53,0)</f>
        <v>2501070663.811563</v>
      </c>
      <c r="Q67" s="42">
        <f t="shared" si="128"/>
        <v>2501070663.811563</v>
      </c>
      <c r="R67" s="42">
        <f t="shared" ref="R67:W67" si="135">IFERROR(R5/$B53,0)</f>
        <v>0</v>
      </c>
      <c r="S67" s="42">
        <f t="shared" si="135"/>
        <v>0</v>
      </c>
      <c r="T67" s="42">
        <f t="shared" si="135"/>
        <v>0</v>
      </c>
      <c r="U67" s="42">
        <f t="shared" si="135"/>
        <v>0</v>
      </c>
      <c r="V67" s="42">
        <f t="shared" si="135"/>
        <v>0</v>
      </c>
      <c r="W67" s="42">
        <f t="shared" si="135"/>
        <v>0</v>
      </c>
    </row>
    <row r="68" spans="1:23" x14ac:dyDescent="0.25">
      <c r="A68" s="55" t="s">
        <v>1077</v>
      </c>
      <c r="B68" s="3">
        <v>0.99999979999999999</v>
      </c>
      <c r="C68" s="42">
        <f>IFERROR(C9/$B54,0)</f>
        <v>196628.16196455873</v>
      </c>
      <c r="D68" s="42">
        <f>IFERROR(D9/$B54,0)</f>
        <v>671467874.6320312</v>
      </c>
      <c r="E68" s="42">
        <f>IFERROR(E9/$B54,0)</f>
        <v>136.52221077818959</v>
      </c>
      <c r="F68" s="42">
        <f t="shared" si="125"/>
        <v>136.42745918063974</v>
      </c>
      <c r="G68" s="42">
        <f t="shared" ref="G68:M68" si="136">IFERROR(G9/$B54,0)</f>
        <v>136.52221077818959</v>
      </c>
      <c r="H68" s="42">
        <f t="shared" si="136"/>
        <v>1667.9211616895195</v>
      </c>
      <c r="I68" s="42">
        <f t="shared" si="136"/>
        <v>382.49707457978519</v>
      </c>
      <c r="J68" s="42">
        <f t="shared" si="136"/>
        <v>181.92484747815726</v>
      </c>
      <c r="K68" s="42">
        <f t="shared" si="136"/>
        <v>2429.3512516689543</v>
      </c>
      <c r="L68" s="42">
        <f t="shared" si="136"/>
        <v>493.96447161250467</v>
      </c>
      <c r="M68" s="42">
        <f t="shared" si="136"/>
        <v>8.7942024051539947E-3</v>
      </c>
      <c r="N68" s="42">
        <f t="shared" si="127"/>
        <v>8.7940458420334884E-3</v>
      </c>
      <c r="O68" s="42">
        <f>IFERROR(O9/$B54,0)</f>
        <v>293974.27885791572</v>
      </c>
      <c r="P68" s="42">
        <f>IFERROR(P9/$B54,0)</f>
        <v>4.0601804610808383</v>
      </c>
      <c r="Q68" s="42">
        <f t="shared" si="128"/>
        <v>4.0601243852984172</v>
      </c>
      <c r="R68" s="42">
        <f t="shared" ref="R68:W68" si="137">IFERROR(R9/$B54,0)</f>
        <v>24185.263921640726</v>
      </c>
      <c r="S68" s="42">
        <f t="shared" si="137"/>
        <v>6910075.4061830649</v>
      </c>
      <c r="T68" s="42">
        <f t="shared" si="137"/>
        <v>12092631960.820364</v>
      </c>
      <c r="U68" s="42">
        <f t="shared" si="137"/>
        <v>24185.263921640726</v>
      </c>
      <c r="V68" s="42">
        <f t="shared" si="137"/>
        <v>0</v>
      </c>
      <c r="W68" s="42">
        <f t="shared" si="137"/>
        <v>0</v>
      </c>
    </row>
    <row r="69" spans="1:23" x14ac:dyDescent="0.25">
      <c r="A69" s="55" t="s">
        <v>1078</v>
      </c>
      <c r="B69" s="3">
        <v>1.9999999999999999E-7</v>
      </c>
      <c r="C69" s="42">
        <f>IFERROR(C24/$B55,0)</f>
        <v>0</v>
      </c>
      <c r="D69" s="42">
        <f>IFERROR(D24/$B55,0)</f>
        <v>0</v>
      </c>
      <c r="E69" s="42">
        <f>IFERROR(E24/$B55,0)</f>
        <v>1593798590304.8457</v>
      </c>
      <c r="F69" s="42">
        <f t="shared" si="125"/>
        <v>1593798590304.8457</v>
      </c>
      <c r="G69" s="42">
        <f t="shared" ref="G69:M69" si="138">IFERROR(G24/$B55,0)</f>
        <v>1593798590304.8457</v>
      </c>
      <c r="H69" s="42">
        <f t="shared" si="138"/>
        <v>14612669305053.342</v>
      </c>
      <c r="I69" s="42">
        <f t="shared" si="138"/>
        <v>3513484552110.1787</v>
      </c>
      <c r="J69" s="42">
        <f t="shared" si="138"/>
        <v>1751450044685.9688</v>
      </c>
      <c r="K69" s="42">
        <f t="shared" si="138"/>
        <v>21950875321445.199</v>
      </c>
      <c r="L69" s="42">
        <f t="shared" si="138"/>
        <v>0</v>
      </c>
      <c r="M69" s="42">
        <f t="shared" si="138"/>
        <v>91951127.346013352</v>
      </c>
      <c r="N69" s="42">
        <f t="shared" si="127"/>
        <v>91951127.346013352</v>
      </c>
      <c r="O69" s="42">
        <f>IFERROR(O24/$B55,0)</f>
        <v>0</v>
      </c>
      <c r="P69" s="42">
        <f>IFERROR(P24/$B55,0)</f>
        <v>42304984164.606956</v>
      </c>
      <c r="Q69" s="42">
        <f t="shared" si="128"/>
        <v>42304984164.606956</v>
      </c>
      <c r="R69" s="42">
        <f t="shared" ref="R69:W69" si="139">IFERROR(R24/$B55,0)</f>
        <v>0</v>
      </c>
      <c r="S69" s="42">
        <f t="shared" si="139"/>
        <v>0</v>
      </c>
      <c r="T69" s="42">
        <f t="shared" si="139"/>
        <v>0</v>
      </c>
      <c r="U69" s="42">
        <f t="shared" si="139"/>
        <v>0</v>
      </c>
      <c r="V69" s="42">
        <f t="shared" si="139"/>
        <v>0</v>
      </c>
      <c r="W69" s="42">
        <f t="shared" si="139"/>
        <v>0</v>
      </c>
    </row>
    <row r="70" spans="1:23" x14ac:dyDescent="0.25">
      <c r="A70" s="55" t="s">
        <v>1079</v>
      </c>
      <c r="B70" s="3">
        <v>0.99979000004200003</v>
      </c>
      <c r="C70" s="42">
        <f>IFERROR(C20/$B56,0)</f>
        <v>0</v>
      </c>
      <c r="D70" s="42">
        <f>IFERROR(D20/$B56,0)</f>
        <v>0</v>
      </c>
      <c r="E70" s="42">
        <f>IFERROR(E20/$B56,0)</f>
        <v>2593906.9984395932</v>
      </c>
      <c r="F70" s="42">
        <f t="shared" si="125"/>
        <v>2593906.9984395932</v>
      </c>
      <c r="G70" s="42">
        <f t="shared" ref="G70:M70" si="140">IFERROR(G20/$B56,0)</f>
        <v>2593906.9984395932</v>
      </c>
      <c r="H70" s="42">
        <f t="shared" si="140"/>
        <v>27680890.434190221</v>
      </c>
      <c r="I70" s="42">
        <f t="shared" si="140"/>
        <v>6452856.8119587451</v>
      </c>
      <c r="J70" s="42">
        <f t="shared" si="140"/>
        <v>3162573.9555831333</v>
      </c>
      <c r="K70" s="42">
        <f t="shared" si="140"/>
        <v>42467748.963691041</v>
      </c>
      <c r="L70" s="42">
        <f t="shared" si="140"/>
        <v>0</v>
      </c>
      <c r="M70" s="42">
        <f t="shared" si="140"/>
        <v>164.57868413593803</v>
      </c>
      <c r="N70" s="42">
        <f t="shared" si="127"/>
        <v>164.57868413593803</v>
      </c>
      <c r="O70" s="42">
        <f>IFERROR(O20/$B56,0)</f>
        <v>0</v>
      </c>
      <c r="P70" s="42">
        <f>IFERROR(P20/$B56,0)</f>
        <v>75990.157924248415</v>
      </c>
      <c r="Q70" s="42">
        <f t="shared" si="128"/>
        <v>75990.157924248415</v>
      </c>
      <c r="R70" s="42">
        <f t="shared" ref="R70:W70" si="141">IFERROR(R20/$B56,0)</f>
        <v>0</v>
      </c>
      <c r="S70" s="42">
        <f t="shared" si="141"/>
        <v>0</v>
      </c>
      <c r="T70" s="42">
        <f t="shared" si="141"/>
        <v>0</v>
      </c>
      <c r="U70" s="42">
        <f t="shared" si="141"/>
        <v>0</v>
      </c>
      <c r="V70" s="42">
        <f t="shared" si="141"/>
        <v>0</v>
      </c>
      <c r="W70" s="42">
        <f t="shared" si="141"/>
        <v>0</v>
      </c>
    </row>
    <row r="71" spans="1:23" x14ac:dyDescent="0.25">
      <c r="A71" s="55" t="s">
        <v>1080</v>
      </c>
      <c r="B71" s="3">
        <v>2.0999995799999999E-4</v>
      </c>
      <c r="C71" s="42">
        <f>IFERROR(C29/$B57,0)</f>
        <v>0</v>
      </c>
      <c r="D71" s="42">
        <f>IFERROR(D29/$B57,0)</f>
        <v>0</v>
      </c>
      <c r="E71" s="42">
        <f>IFERROR(E29/$B57,0)</f>
        <v>359196.86088502826</v>
      </c>
      <c r="F71" s="42">
        <f t="shared" si="125"/>
        <v>359196.86088502826</v>
      </c>
      <c r="G71" s="42">
        <f t="shared" ref="G71:M71" si="142">IFERROR(G29/$B57,0)</f>
        <v>359196.86088502826</v>
      </c>
      <c r="H71" s="42">
        <f t="shared" si="142"/>
        <v>4111397.1455948153</v>
      </c>
      <c r="I71" s="42">
        <f t="shared" si="142"/>
        <v>963512.67594716989</v>
      </c>
      <c r="J71" s="42">
        <f t="shared" si="142"/>
        <v>466360.78201086511</v>
      </c>
      <c r="K71" s="42">
        <f t="shared" si="142"/>
        <v>5882858.9721843991</v>
      </c>
      <c r="L71" s="42">
        <f t="shared" si="142"/>
        <v>0</v>
      </c>
      <c r="M71" s="42">
        <f t="shared" si="142"/>
        <v>22.556558117115767</v>
      </c>
      <c r="N71" s="42">
        <f t="shared" si="127"/>
        <v>22.556558117115767</v>
      </c>
      <c r="O71" s="42">
        <f>IFERROR(O29/$B57,0)</f>
        <v>0</v>
      </c>
      <c r="P71" s="42">
        <f>IFERROR(P29/$B57,0)</f>
        <v>10447.247970032566</v>
      </c>
      <c r="Q71" s="42">
        <f t="shared" si="128"/>
        <v>10447.247970032566</v>
      </c>
      <c r="R71" s="42">
        <f t="shared" ref="R71:W71" si="143">IFERROR(R29/$B57,0)</f>
        <v>0</v>
      </c>
      <c r="S71" s="42">
        <f t="shared" si="143"/>
        <v>0</v>
      </c>
      <c r="T71" s="42">
        <f t="shared" si="143"/>
        <v>0</v>
      </c>
      <c r="U71" s="42">
        <f t="shared" si="143"/>
        <v>0</v>
      </c>
      <c r="V71" s="42">
        <f t="shared" si="143"/>
        <v>0</v>
      </c>
      <c r="W71" s="42">
        <f t="shared" si="143"/>
        <v>0</v>
      </c>
    </row>
    <row r="72" spans="1:23" x14ac:dyDescent="0.25">
      <c r="A72" s="55" t="s">
        <v>1081</v>
      </c>
      <c r="B72" s="3">
        <v>1</v>
      </c>
      <c r="C72" s="42">
        <f>IFERROR(C16/$B58,0)</f>
        <v>28.723127718823555</v>
      </c>
      <c r="D72" s="42">
        <f>IFERROR(D16/$B58,0)</f>
        <v>1101506.8484777689</v>
      </c>
      <c r="E72" s="42">
        <f>IFERROR(E16/$B58,0)</f>
        <v>424389.81852006185</v>
      </c>
      <c r="F72" s="42">
        <f t="shared" si="125"/>
        <v>28.720434970843215</v>
      </c>
      <c r="G72" s="42">
        <f t="shared" ref="G72:M72" si="144">IFERROR(G16/$B58,0)</f>
        <v>424389.81852006185</v>
      </c>
      <c r="H72" s="42">
        <f t="shared" si="144"/>
        <v>583530.77192898234</v>
      </c>
      <c r="I72" s="42">
        <f t="shared" si="144"/>
        <v>412386.87415787758</v>
      </c>
      <c r="J72" s="42">
        <f t="shared" si="144"/>
        <v>384036.10056251351</v>
      </c>
      <c r="K72" s="42">
        <f t="shared" si="144"/>
        <v>364037.26028066827</v>
      </c>
      <c r="L72" s="42">
        <f t="shared" si="144"/>
        <v>0.81032208530311234</v>
      </c>
      <c r="M72" s="42">
        <f t="shared" si="144"/>
        <v>13.27532199475352</v>
      </c>
      <c r="N72" s="42">
        <f t="shared" si="127"/>
        <v>0.76370569501254171</v>
      </c>
      <c r="O72" s="42">
        <f>IFERROR(O16/$B58,0)</f>
        <v>42.943292930780331</v>
      </c>
      <c r="P72" s="42">
        <f>IFERROR(P16/$B58,0)</f>
        <v>5736.4006050723938</v>
      </c>
      <c r="Q72" s="42">
        <f t="shared" si="128"/>
        <v>42.624203698458302</v>
      </c>
      <c r="R72" s="42">
        <f t="shared" ref="R72:W72" si="145">IFERROR(R16/$B58,0)</f>
        <v>3.5329447094152973</v>
      </c>
      <c r="S72" s="42">
        <f t="shared" si="145"/>
        <v>3997.2194514484795</v>
      </c>
      <c r="T72" s="42">
        <f t="shared" si="145"/>
        <v>5047063.8705932824</v>
      </c>
      <c r="U72" s="42">
        <f t="shared" si="145"/>
        <v>3.5329447094152973</v>
      </c>
      <c r="V72" s="42">
        <f t="shared" si="145"/>
        <v>0</v>
      </c>
      <c r="W72" s="42">
        <f t="shared" si="145"/>
        <v>0</v>
      </c>
    </row>
    <row r="73" spans="1:23" x14ac:dyDescent="0.25">
      <c r="A73" s="55" t="s">
        <v>1082</v>
      </c>
      <c r="B73" s="3">
        <v>1</v>
      </c>
      <c r="C73" s="42">
        <f>IFERROR(C7/$B59,0)</f>
        <v>16276.439040666684</v>
      </c>
      <c r="D73" s="42">
        <f>IFERROR(D7/$B59,0)</f>
        <v>45493741.755622923</v>
      </c>
      <c r="E73" s="42">
        <f>IFERROR(E7/$B59,0)</f>
        <v>285741.5723392049</v>
      </c>
      <c r="F73" s="42">
        <f t="shared" si="125"/>
        <v>15394.053877848639</v>
      </c>
      <c r="G73" s="42">
        <f t="shared" ref="G73:M73" si="146">IFERROR(G7/$B59,0)</f>
        <v>285741.5723392049</v>
      </c>
      <c r="H73" s="42">
        <f t="shared" si="146"/>
        <v>744366.26899153669</v>
      </c>
      <c r="I73" s="42">
        <f t="shared" si="146"/>
        <v>357504.00070870714</v>
      </c>
      <c r="J73" s="42">
        <f t="shared" si="146"/>
        <v>262674.15254818671</v>
      </c>
      <c r="K73" s="42">
        <f t="shared" si="146"/>
        <v>74518.376513113224</v>
      </c>
      <c r="L73" s="42">
        <f t="shared" si="146"/>
        <v>33.467412153272377</v>
      </c>
      <c r="M73" s="42">
        <f t="shared" si="146"/>
        <v>2.4235180850887241</v>
      </c>
      <c r="N73" s="42">
        <f t="shared" si="127"/>
        <v>2.2598711729093779</v>
      </c>
      <c r="O73" s="42">
        <f>IFERROR(O7/$B59,0)</f>
        <v>24334.53266077552</v>
      </c>
      <c r="P73" s="42">
        <f>IFERROR(P7/$B59,0)</f>
        <v>2098.2136441372177</v>
      </c>
      <c r="Q73" s="42">
        <f t="shared" si="128"/>
        <v>1931.6588546477374</v>
      </c>
      <c r="R73" s="42">
        <f t="shared" ref="R73:W73" si="147">IFERROR(R7/$B59,0)</f>
        <v>2002.0020020020022</v>
      </c>
      <c r="S73" s="42">
        <f t="shared" si="147"/>
        <v>572000.57200057199</v>
      </c>
      <c r="T73" s="42">
        <f t="shared" si="147"/>
        <v>1001001001.0010011</v>
      </c>
      <c r="U73" s="42">
        <f t="shared" si="147"/>
        <v>2002.0020020020022</v>
      </c>
      <c r="V73" s="42">
        <f t="shared" si="147"/>
        <v>0</v>
      </c>
      <c r="W73" s="42">
        <f t="shared" si="147"/>
        <v>0</v>
      </c>
    </row>
    <row r="74" spans="1:23" x14ac:dyDescent="0.25">
      <c r="A74" s="55" t="s">
        <v>1083</v>
      </c>
      <c r="B74" s="3">
        <v>1.9000000000000001E-8</v>
      </c>
      <c r="C74" s="42">
        <f>IFERROR(C12/$B60,0)</f>
        <v>0</v>
      </c>
      <c r="D74" s="42">
        <f>IFERROR(D12/$B60,0)</f>
        <v>0</v>
      </c>
      <c r="E74" s="42">
        <f>IFERROR(E12/$B60,0)</f>
        <v>127129800804.11568</v>
      </c>
      <c r="F74" s="42">
        <f t="shared" si="125"/>
        <v>127129800804.11568</v>
      </c>
      <c r="G74" s="42">
        <f t="shared" ref="G74:M74" si="148">IFERROR(G12/$B60,0)</f>
        <v>127129800804.11568</v>
      </c>
      <c r="H74" s="42">
        <f t="shared" si="148"/>
        <v>890522555932.92004</v>
      </c>
      <c r="I74" s="42">
        <f t="shared" si="148"/>
        <v>221706563718.37573</v>
      </c>
      <c r="J74" s="42">
        <f t="shared" si="148"/>
        <v>127524929357.7843</v>
      </c>
      <c r="K74" s="42">
        <f t="shared" si="148"/>
        <v>932375606406.24182</v>
      </c>
      <c r="L74" s="42">
        <f t="shared" si="148"/>
        <v>0</v>
      </c>
      <c r="M74" s="42">
        <f t="shared" si="148"/>
        <v>5918853.3316252446</v>
      </c>
      <c r="N74" s="42">
        <f t="shared" si="127"/>
        <v>5918853.3316252446</v>
      </c>
      <c r="O74" s="42">
        <f>IFERROR(O12/$B60,0)</f>
        <v>0</v>
      </c>
      <c r="P74" s="42">
        <f>IFERROR(P12/$B60,0)</f>
        <v>2765447438.9778452</v>
      </c>
      <c r="Q74" s="42">
        <f t="shared" si="128"/>
        <v>2765447438.9778452</v>
      </c>
      <c r="R74" s="42">
        <f t="shared" ref="R74:W74" si="149">IFERROR(R12/$B60,0)</f>
        <v>0</v>
      </c>
      <c r="S74" s="42">
        <f t="shared" si="149"/>
        <v>0</v>
      </c>
      <c r="T74" s="42">
        <f t="shared" si="149"/>
        <v>0</v>
      </c>
      <c r="U74" s="42">
        <f t="shared" si="149"/>
        <v>0</v>
      </c>
      <c r="V74" s="42">
        <f t="shared" si="149"/>
        <v>0</v>
      </c>
      <c r="W74" s="42">
        <f t="shared" si="149"/>
        <v>0</v>
      </c>
    </row>
    <row r="75" spans="1:23" x14ac:dyDescent="0.25">
      <c r="A75" s="55" t="s">
        <v>1084</v>
      </c>
      <c r="B75" s="3">
        <v>1</v>
      </c>
      <c r="C75" s="42">
        <f>IFERROR(C18/$B61,0)</f>
        <v>16.741480156114303</v>
      </c>
      <c r="D75" s="42">
        <f>IFERROR(D18/$B61,0)</f>
        <v>1419249.2086155869</v>
      </c>
      <c r="E75" s="42">
        <f>IFERROR(E18/$B61,0)</f>
        <v>22013393.949983113</v>
      </c>
      <c r="F75" s="42">
        <f t="shared" si="125"/>
        <v>16.741269943940093</v>
      </c>
      <c r="G75" s="42">
        <f t="shared" ref="G75:M75" si="150">IFERROR(G18/$B61,0)</f>
        <v>22013393.949983113</v>
      </c>
      <c r="H75" s="42">
        <f t="shared" si="150"/>
        <v>235931170.18229866</v>
      </c>
      <c r="I75" s="42">
        <f t="shared" si="150"/>
        <v>54987056.644858643</v>
      </c>
      <c r="J75" s="42">
        <f t="shared" si="150"/>
        <v>27113793.961003933</v>
      </c>
      <c r="K75" s="42">
        <f t="shared" si="150"/>
        <v>362246929.09492135</v>
      </c>
      <c r="L75" s="42">
        <f t="shared" si="150"/>
        <v>1.04406884067901</v>
      </c>
      <c r="M75" s="42">
        <f t="shared" si="150"/>
        <v>1405.0958785458217</v>
      </c>
      <c r="N75" s="42">
        <f t="shared" si="127"/>
        <v>1.0432936121919003</v>
      </c>
      <c r="O75" s="42">
        <f>IFERROR(O18/$B61,0)</f>
        <v>25.029805022511962</v>
      </c>
      <c r="P75" s="42">
        <f>IFERROR(P18/$B61,0)</f>
        <v>647945.76782682992</v>
      </c>
      <c r="Q75" s="42">
        <f t="shared" si="128"/>
        <v>25.028838171626468</v>
      </c>
      <c r="R75" s="42">
        <f t="shared" ref="R75:W75" si="151">IFERROR(R18/$B61,0)</f>
        <v>2.0592020592020592</v>
      </c>
      <c r="S75" s="42">
        <f t="shared" si="151"/>
        <v>329.39963438060408</v>
      </c>
      <c r="T75" s="42">
        <f t="shared" si="151"/>
        <v>411840.41184041183</v>
      </c>
      <c r="U75" s="42">
        <f t="shared" si="151"/>
        <v>2.0592020592020592</v>
      </c>
      <c r="V75" s="42">
        <f t="shared" si="151"/>
        <v>0.68624923829292517</v>
      </c>
      <c r="W75" s="42">
        <f t="shared" si="151"/>
        <v>858.0008580008581</v>
      </c>
    </row>
    <row r="76" spans="1:23" x14ac:dyDescent="0.25">
      <c r="A76" s="55" t="s">
        <v>1085</v>
      </c>
      <c r="B76" s="3">
        <v>1.339E-6</v>
      </c>
      <c r="C76" s="42">
        <f>IFERROR(C27/$B62,0)</f>
        <v>0</v>
      </c>
      <c r="D76" s="42">
        <f>IFERROR(D27/$B62,0)</f>
        <v>0</v>
      </c>
      <c r="E76" s="42">
        <f>IFERROR(E27/$B62,0)</f>
        <v>74534671660.443451</v>
      </c>
      <c r="F76" s="42">
        <f t="shared" si="125"/>
        <v>74534671660.443451</v>
      </c>
      <c r="G76" s="42">
        <f t="shared" ref="G76:M76" si="152">IFERROR(G27/$B62,0)</f>
        <v>74534671660.443451</v>
      </c>
      <c r="H76" s="42">
        <f t="shared" si="152"/>
        <v>192930553428.26318</v>
      </c>
      <c r="I76" s="42">
        <f t="shared" si="152"/>
        <v>109394025732.5824</v>
      </c>
      <c r="J76" s="42">
        <f t="shared" si="152"/>
        <v>82316347187.721207</v>
      </c>
      <c r="K76" s="42">
        <f t="shared" si="152"/>
        <v>18027630258.500164</v>
      </c>
      <c r="L76" s="42">
        <f t="shared" si="152"/>
        <v>0</v>
      </c>
      <c r="M76" s="42">
        <f t="shared" si="152"/>
        <v>1176237.1369153843</v>
      </c>
      <c r="N76" s="42">
        <f t="shared" si="127"/>
        <v>1176237.1369153843</v>
      </c>
      <c r="O76" s="42">
        <f>IFERROR(O27/$B62,0)</f>
        <v>0</v>
      </c>
      <c r="P76" s="42">
        <f>IFERROR(P27/$B62,0)</f>
        <v>983086617.59033179</v>
      </c>
      <c r="Q76" s="42">
        <f t="shared" si="128"/>
        <v>983086617.59033191</v>
      </c>
      <c r="R76" s="42">
        <f t="shared" ref="R76:W76" si="153">IFERROR(R27/$B62,0)</f>
        <v>0</v>
      </c>
      <c r="S76" s="42">
        <f t="shared" si="153"/>
        <v>0</v>
      </c>
      <c r="T76" s="42">
        <f t="shared" si="153"/>
        <v>0</v>
      </c>
      <c r="U76" s="42">
        <f t="shared" si="153"/>
        <v>0</v>
      </c>
      <c r="V76" s="42">
        <f t="shared" si="153"/>
        <v>0</v>
      </c>
      <c r="W76" s="42">
        <f t="shared" si="153"/>
        <v>0</v>
      </c>
    </row>
  </sheetData>
  <sheetProtection algorithmName="SHA-512" hashValue="LQ0sSmPQXodSm5fSttJBb+m94PwNo9r5B89+IJC40Wi1sOu2DG7iACzKhIZFkgQCQmV6kcnOJRDqw8LAoAaNCg==" saltValue="we52n1TPvQs9A1CuhqyPgQ==" spinCount="100000" sheet="1" objects="1" scenarios="1" formatColumns="0" formatRows="0" autoFilter="0"/>
  <autoFilter ref="A1:W76" xr:uid="{C24D8B07-A305-4F8F-8A5E-8C939A267B1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499984740745262"/>
  </sheetPr>
  <dimension ref="A1:F76"/>
  <sheetViews>
    <sheetView zoomScaleNormal="10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RowHeight="15" x14ac:dyDescent="0.25"/>
  <cols>
    <col min="1" max="1" width="14.5703125" style="4" bestFit="1" customWidth="1"/>
    <col min="2" max="2" width="11.7109375" style="4" bestFit="1" customWidth="1"/>
    <col min="3" max="4" width="15.85546875" bestFit="1" customWidth="1"/>
    <col min="5" max="5" width="13.42578125" bestFit="1" customWidth="1"/>
    <col min="6" max="6" width="13.28515625" bestFit="1" customWidth="1"/>
  </cols>
  <sheetData>
    <row r="1" spans="1:6" x14ac:dyDescent="0.25">
      <c r="A1" s="50" t="s">
        <v>39</v>
      </c>
      <c r="B1" s="51" t="s">
        <v>335</v>
      </c>
      <c r="C1" t="s">
        <v>1306</v>
      </c>
      <c r="D1" t="s">
        <v>1307</v>
      </c>
      <c r="E1" t="s">
        <v>1308</v>
      </c>
      <c r="F1" t="s">
        <v>1309</v>
      </c>
    </row>
    <row r="2" spans="1:6" x14ac:dyDescent="0.25">
      <c r="A2" s="31" t="s">
        <v>0</v>
      </c>
      <c r="B2" s="3" t="s">
        <v>1059</v>
      </c>
      <c r="C2" s="75">
        <f>IF(RadSpec!BA2*DAF=0,".",RadSpec!BA2*DAF)</f>
        <v>15</v>
      </c>
      <c r="D2" s="75">
        <f>IFERROR(d_res!U2*DAF,".")</f>
        <v>2.0779723169550435</v>
      </c>
      <c r="E2" s="75">
        <f>IFERROR((C2*0.001*(RadSpec!AX2+(θw/ρb))*1),".")</f>
        <v>25.503</v>
      </c>
      <c r="F2" s="75">
        <f>IFERROR((D2*0.001*(RadSpec!AX2+(θw/ρb))*1),".")</f>
        <v>3.5329685332869647</v>
      </c>
    </row>
    <row r="3" spans="1:6" x14ac:dyDescent="0.25">
      <c r="A3" s="32" t="s">
        <v>1</v>
      </c>
      <c r="B3" s="3" t="s">
        <v>336</v>
      </c>
      <c r="C3" s="75">
        <f>IF(RadSpec!BA3*DAF=0,".",RadSpec!BA3*DAF)</f>
        <v>15</v>
      </c>
      <c r="D3" s="75">
        <f>IFERROR(d_res!U3*DAF,".")</f>
        <v>0.4634839175225281</v>
      </c>
      <c r="E3" s="75">
        <f>IFERROR((C3*0.001*(RadSpec!AX3+(θw/ρb))*1),".")</f>
        <v>6.3E-2</v>
      </c>
      <c r="F3" s="75">
        <f>IFERROR((D3*0.001*(RadSpec!AX3+(θw/ρb))*1),".")</f>
        <v>1.946632453594618E-3</v>
      </c>
    </row>
    <row r="4" spans="1:6" x14ac:dyDescent="0.25">
      <c r="A4" s="31" t="s">
        <v>2</v>
      </c>
      <c r="B4" s="3" t="s">
        <v>1059</v>
      </c>
      <c r="C4" s="75">
        <f>IF(RadSpec!BA4*DAF=0,".",RadSpec!BA4*DAF)</f>
        <v>15</v>
      </c>
      <c r="D4" s="75">
        <f>IFERROR(d_res!U4*DAF,".")</f>
        <v>8645.4861253428135</v>
      </c>
      <c r="E4" s="75">
        <f>IFERROR((C4*0.001*(RadSpec!AX4+(θw/ρb))*1),".")</f>
        <v>0.153</v>
      </c>
      <c r="F4" s="75">
        <f>IFERROR((D4*0.001*(RadSpec!AX4+(θw/ρb))*1),".")</f>
        <v>88.183958478496692</v>
      </c>
    </row>
    <row r="5" spans="1:6" x14ac:dyDescent="0.25">
      <c r="A5" s="31" t="s">
        <v>3</v>
      </c>
      <c r="B5" s="3" t="s">
        <v>1059</v>
      </c>
      <c r="C5" s="75">
        <f>IF(RadSpec!BA5*DAF=0,".",RadSpec!BA5*DAF)</f>
        <v>15</v>
      </c>
      <c r="D5" s="75">
        <f>IFERROR(d_res!U5*DAF,".")</f>
        <v>159768.58359633517</v>
      </c>
      <c r="E5" s="75">
        <f>IFERROR((C5*0.001*(RadSpec!AX5+(θw/ρb))*1),".")</f>
        <v>0.153</v>
      </c>
      <c r="F5" s="75">
        <f>IFERROR((D5*0.001*(RadSpec!AX5+(θw/ρb))*1),".")</f>
        <v>1629.6395526826186</v>
      </c>
    </row>
    <row r="6" spans="1:6" x14ac:dyDescent="0.25">
      <c r="A6" s="31" t="s">
        <v>4</v>
      </c>
      <c r="B6" s="3" t="s">
        <v>1059</v>
      </c>
      <c r="C6" s="75" t="str">
        <f>IF(RadSpec!BA6*DAF=0,".",RadSpec!BA6*DAF)</f>
        <v>.</v>
      </c>
      <c r="D6" s="75">
        <f>IFERROR(d_res!U6*DAF,".")</f>
        <v>3.4255699741924359</v>
      </c>
      <c r="E6" s="75" t="str">
        <f>IFERROR((C6*0.001*(RadSpec!AX6+(θw/ρb))*1),".")</f>
        <v>.</v>
      </c>
      <c r="F6" s="75">
        <f>IFERROR((D6*0.001*(RadSpec!AX6+(θw/ρb))*1),".")</f>
        <v>2.0553419845154618E-3</v>
      </c>
    </row>
    <row r="7" spans="1:6" x14ac:dyDescent="0.25">
      <c r="A7" s="31" t="s">
        <v>5</v>
      </c>
      <c r="B7" s="3" t="s">
        <v>1059</v>
      </c>
      <c r="C7" s="75">
        <f>IF(RadSpec!BA7*DAF=0,".",RadSpec!BA7*DAF)</f>
        <v>15</v>
      </c>
      <c r="D7" s="75">
        <f>IFERROR(d_res!U7*DAF,".")</f>
        <v>34.767827708442141</v>
      </c>
      <c r="E7" s="75">
        <f>IFERROR((C7*0.001*(RadSpec!AX7+(θw/ρb))*1),".")</f>
        <v>7.2029999999999994</v>
      </c>
      <c r="F7" s="75">
        <f>IFERROR((D7*0.001*(RadSpec!AX7+(θw/ρb))*1),".")</f>
        <v>16.695510865593914</v>
      </c>
    </row>
    <row r="8" spans="1:6" x14ac:dyDescent="0.25">
      <c r="A8" s="31" t="s">
        <v>6</v>
      </c>
      <c r="B8" s="3" t="s">
        <v>1059</v>
      </c>
      <c r="C8" s="75">
        <f>IF(RadSpec!BA8*DAF=0,".",RadSpec!BA8*DAF)</f>
        <v>15</v>
      </c>
      <c r="D8" s="75">
        <f>IFERROR(d_res!U8*DAF,".")</f>
        <v>14.891708586107701</v>
      </c>
      <c r="E8" s="75">
        <f>IFERROR((C8*0.001*(RadSpec!AX8+(θw/ρb))*1),".")</f>
        <v>7.2029999999999994</v>
      </c>
      <c r="F8" s="75">
        <f>IFERROR((D8*0.001*(RadSpec!AX8+(θw/ρb))*1),".")</f>
        <v>7.1509984630489178</v>
      </c>
    </row>
    <row r="9" spans="1:6" x14ac:dyDescent="0.25">
      <c r="A9" s="31" t="s">
        <v>7</v>
      </c>
      <c r="B9" s="3" t="s">
        <v>1059</v>
      </c>
      <c r="C9" s="75">
        <f>IF(RadSpec!BA9*DAF=0,".",RadSpec!BA9*DAF)</f>
        <v>15</v>
      </c>
      <c r="D9" s="75">
        <f>IFERROR(d_res!U9*DAF,".")</f>
        <v>1.2930376930201195</v>
      </c>
      <c r="E9" s="75">
        <f>IFERROR((C9*0.001*(RadSpec!AX9+(θw/ρb))*1),".")</f>
        <v>7.2029999999999994</v>
      </c>
      <c r="F9" s="75">
        <f>IFERROR((D9*0.001*(RadSpec!AX9+(θw/ρb))*1),".")</f>
        <v>0.62091670018826139</v>
      </c>
    </row>
    <row r="10" spans="1:6" x14ac:dyDescent="0.25">
      <c r="A10" s="32" t="s">
        <v>8</v>
      </c>
      <c r="B10" s="3" t="s">
        <v>336</v>
      </c>
      <c r="C10" s="75">
        <f>IF(RadSpec!BA10*DAF=0,".",RadSpec!BA10*DAF)</f>
        <v>200</v>
      </c>
      <c r="D10" s="75">
        <f>IFERROR(d_res!U10*DAF,".")</f>
        <v>7.1490436581207932</v>
      </c>
      <c r="E10" s="75">
        <f>IFERROR((C10*0.001*(RadSpec!AX10+(θw/ρb))*1),".")</f>
        <v>2.04</v>
      </c>
      <c r="F10" s="75">
        <f>IFERROR((D10*0.001*(RadSpec!AX10+(θw/ρb))*1),".")</f>
        <v>7.2920245312832088E-2</v>
      </c>
    </row>
    <row r="11" spans="1:6" x14ac:dyDescent="0.25">
      <c r="A11" s="31" t="s">
        <v>9</v>
      </c>
      <c r="B11" s="3" t="s">
        <v>1059</v>
      </c>
      <c r="C11" s="75">
        <f>IF(RadSpec!BA11*DAF=0,".",RadSpec!BA11*DAF)</f>
        <v>15</v>
      </c>
      <c r="D11" s="75">
        <f>IFERROR(d_res!U11*DAF,".")</f>
        <v>72.622083452879622</v>
      </c>
      <c r="E11" s="75">
        <f>IFERROR((C11*0.001*(RadSpec!AX11+(θw/ρb))*1),".")</f>
        <v>3.7529999999999997</v>
      </c>
      <c r="F11" s="75">
        <f>IFERROR((D11*0.001*(RadSpec!AX11+(θw/ρb))*1),".")</f>
        <v>18.170045279910482</v>
      </c>
    </row>
    <row r="12" spans="1:6" x14ac:dyDescent="0.25">
      <c r="A12" s="31" t="s">
        <v>10</v>
      </c>
      <c r="B12" s="3" t="s">
        <v>1059</v>
      </c>
      <c r="C12" s="75" t="str">
        <f>IF(RadSpec!BA12*DAF=0,".",RadSpec!BA12*DAF)</f>
        <v>.</v>
      </c>
      <c r="D12" s="75">
        <f>IFERROR(d_res!U12*DAF,".")</f>
        <v>16.782414243312523</v>
      </c>
      <c r="E12" s="75" t="str">
        <f>IFERROR((C12*0.001*(RadSpec!AX12+(θw/ρb))*1),".")</f>
        <v>.</v>
      </c>
      <c r="F12" s="75">
        <f>IFERROR((D12*0.001*(RadSpec!AX12+(θw/ρb))*1),".")</f>
        <v>105.73256621571755</v>
      </c>
    </row>
    <row r="13" spans="1:6" x14ac:dyDescent="0.25">
      <c r="A13" s="31" t="s">
        <v>11</v>
      </c>
      <c r="B13" s="3" t="s">
        <v>1059</v>
      </c>
      <c r="C13" s="75">
        <f>IF(RadSpec!BA13*DAF=0,".",RadSpec!BA13*DAF)</f>
        <v>15</v>
      </c>
      <c r="D13" s="75">
        <f>IFERROR(d_res!U13*DAF,".")</f>
        <v>0.82652497229859379</v>
      </c>
      <c r="E13" s="75">
        <f>IFERROR((C13*0.001*(RadSpec!AX13+(θw/ρb))*1),".")</f>
        <v>6.0000000000000001E-3</v>
      </c>
      <c r="F13" s="75">
        <f>IFERROR((D13*0.001*(RadSpec!AX13+(θw/ρb))*1),".")</f>
        <v>3.3060998891943754E-4</v>
      </c>
    </row>
    <row r="14" spans="1:6" x14ac:dyDescent="0.25">
      <c r="A14" s="31" t="s">
        <v>12</v>
      </c>
      <c r="B14" s="3" t="s">
        <v>1059</v>
      </c>
      <c r="C14" s="75">
        <f>IF(RadSpec!BA14*DAF=0,".",RadSpec!BA14*DAF)</f>
        <v>300</v>
      </c>
      <c r="D14" s="75">
        <f>IFERROR(d_res!U14*DAF,".")</f>
        <v>8.7441587050035761</v>
      </c>
      <c r="E14" s="75">
        <f>IFERROR((C14*0.001*(RadSpec!AX14+(θw/ρb))*1),".")</f>
        <v>600.05999999999995</v>
      </c>
      <c r="F14" s="75">
        <f>IFERROR((D14*0.001*(RadSpec!AX14+(θw/ρb))*1),".")</f>
        <v>17.490066241748153</v>
      </c>
    </row>
    <row r="15" spans="1:6" x14ac:dyDescent="0.25">
      <c r="A15" s="31" t="s">
        <v>13</v>
      </c>
      <c r="B15" s="3" t="s">
        <v>1059</v>
      </c>
      <c r="C15" s="75" t="str">
        <f>IF(RadSpec!BA15*DAF=0,".",RadSpec!BA15*DAF)</f>
        <v>.</v>
      </c>
      <c r="D15" s="75">
        <f>IFERROR(d_res!U15*DAF,".")</f>
        <v>761.9806850142777</v>
      </c>
      <c r="E15" s="75" t="str">
        <f>IFERROR((C15*0.001*(RadSpec!AX15+(θw/ρb))*1),".")</f>
        <v>.</v>
      </c>
      <c r="F15" s="75">
        <f>IFERROR((D15*0.001*(RadSpec!AX15+(θw/ρb))*1),".")</f>
        <v>114.44949888914451</v>
      </c>
    </row>
    <row r="16" spans="1:6" x14ac:dyDescent="0.25">
      <c r="A16" s="31" t="s">
        <v>14</v>
      </c>
      <c r="B16" s="3" t="s">
        <v>1059</v>
      </c>
      <c r="C16" s="75" t="str">
        <f>IF(RadSpec!BA16*DAF=0,".",RadSpec!BA16*DAF)</f>
        <v>.</v>
      </c>
      <c r="D16" s="75">
        <f>IFERROR(d_res!U16*DAF,".")</f>
        <v>9.7439439534219158E-2</v>
      </c>
      <c r="E16" s="75" t="str">
        <f>IFERROR((C16*0.001*(RadSpec!AX16+(θw/ρb))*1),".")</f>
        <v>.</v>
      </c>
      <c r="F16" s="75">
        <f>IFERROR((D16*0.001*(RadSpec!AX16+(θw/ρb))*1),".")</f>
        <v>1.4635403818039718E-2</v>
      </c>
    </row>
    <row r="17" spans="1:6" x14ac:dyDescent="0.25">
      <c r="A17" s="31" t="s">
        <v>15</v>
      </c>
      <c r="B17" s="3" t="s">
        <v>1059</v>
      </c>
      <c r="C17" s="75" t="str">
        <f>IF(RadSpec!BA17*DAF=0,".",RadSpec!BA17*DAF)</f>
        <v>.</v>
      </c>
      <c r="D17" s="75">
        <f>IFERROR(d_res!U17*DAF,".")</f>
        <v>8.1515084597752647</v>
      </c>
      <c r="E17" s="75" t="str">
        <f>IFERROR((C17*0.001*(RadSpec!AX17+(θw/ρb))*1),".")</f>
        <v>.</v>
      </c>
      <c r="F17" s="75">
        <f>IFERROR((D17*0.001*(RadSpec!AX17+(θw/ρb))*1),".")</f>
        <v>1.2243565706582447</v>
      </c>
    </row>
    <row r="18" spans="1:6" x14ac:dyDescent="0.25">
      <c r="A18" s="31" t="s">
        <v>16</v>
      </c>
      <c r="B18" s="3" t="s">
        <v>1059</v>
      </c>
      <c r="C18" s="75">
        <f>IF(RadSpec!BA18*DAF=0,".",RadSpec!BA18*DAF)</f>
        <v>15</v>
      </c>
      <c r="D18" s="75">
        <f>IFERROR(d_res!U18*DAF,".")</f>
        <v>6.2767388994604156E-2</v>
      </c>
      <c r="E18" s="75">
        <f>IFERROR((C18*0.001*(RadSpec!AX18+(θw/ρb))*1),".")</f>
        <v>3.1529999999999996</v>
      </c>
      <c r="F18" s="75">
        <f>IFERROR((D18*0.001*(RadSpec!AX18+(θw/ρb))*1),".")</f>
        <v>1.3193705166665794E-2</v>
      </c>
    </row>
    <row r="19" spans="1:6" x14ac:dyDescent="0.25">
      <c r="A19" s="31" t="s">
        <v>17</v>
      </c>
      <c r="B19" s="3" t="s">
        <v>1059</v>
      </c>
      <c r="C19" s="75">
        <f>IF(RadSpec!BA19*DAF=0,".",RadSpec!BA19*DAF)</f>
        <v>15</v>
      </c>
      <c r="D19" s="75">
        <f>IFERROR(d_res!U19*DAF,".")</f>
        <v>53830.385308738267</v>
      </c>
      <c r="E19" s="75">
        <f>IFERROR((C19*0.001*(RadSpec!AX19+(θw/ρb))*1),".")</f>
        <v>3.1529999999999996</v>
      </c>
      <c r="F19" s="75">
        <f>IFERROR((D19*0.001*(RadSpec!AX19+(θw/ρb))*1),".")</f>
        <v>11315.146991896783</v>
      </c>
    </row>
    <row r="20" spans="1:6" x14ac:dyDescent="0.25">
      <c r="A20" s="31" t="s">
        <v>18</v>
      </c>
      <c r="B20" s="3" t="s">
        <v>1059</v>
      </c>
      <c r="C20" s="75">
        <f>IF(RadSpec!BA20*DAF=0,".",RadSpec!BA20*DAF)</f>
        <v>15</v>
      </c>
      <c r="D20" s="75">
        <f>IFERROR(d_res!U20*DAF,".")</f>
        <v>24266.18827404848</v>
      </c>
      <c r="E20" s="75">
        <f>IFERROR((C20*0.001*(RadSpec!AX20+(θw/ρb))*1),".")</f>
        <v>3.1529999999999996</v>
      </c>
      <c r="F20" s="75">
        <f>IFERROR((D20*0.001*(RadSpec!AX20+(θw/ρb))*1),".")</f>
        <v>5100.7527752049909</v>
      </c>
    </row>
    <row r="21" spans="1:6" x14ac:dyDescent="0.25">
      <c r="A21" s="31" t="s">
        <v>19</v>
      </c>
      <c r="B21" s="3" t="s">
        <v>1059</v>
      </c>
      <c r="C21" s="75">
        <f>IF(RadSpec!BA21*DAF=0,".",RadSpec!BA21*DAF)</f>
        <v>15</v>
      </c>
      <c r="D21" s="75">
        <f>IFERROR(d_res!U21*DAF,".")</f>
        <v>69828926.396999657</v>
      </c>
      <c r="E21" s="75">
        <f>IFERROR((C21*0.001*(RadSpec!AX21+(θw/ρb))*1),".")</f>
        <v>3.1529999999999996</v>
      </c>
      <c r="F21" s="75">
        <f>IFERROR((D21*0.001*(RadSpec!AX21+(θw/ρb))*1),".")</f>
        <v>14678040.328649327</v>
      </c>
    </row>
    <row r="22" spans="1:6" x14ac:dyDescent="0.25">
      <c r="A22" s="31" t="s">
        <v>20</v>
      </c>
      <c r="B22" s="3" t="s">
        <v>1059</v>
      </c>
      <c r="C22" s="75" t="str">
        <f>IF(RadSpec!BA22*DAF=0,".",RadSpec!BA22*DAF)</f>
        <v>.</v>
      </c>
      <c r="D22" s="75">
        <f>IFERROR(d_res!U22*DAF,".")</f>
        <v>0.40426055274677286</v>
      </c>
      <c r="E22" s="75" t="str">
        <f>IFERROR((C22*0.001*(RadSpec!AX22+(θw/ρb))*1),".")</f>
        <v>.</v>
      </c>
      <c r="F22" s="75">
        <f>IFERROR((D22*0.001*(RadSpec!AX22+(θw/ρb))*1),".")</f>
        <v>4.8511266329612744E-4</v>
      </c>
    </row>
    <row r="23" spans="1:6" x14ac:dyDescent="0.25">
      <c r="A23" s="32" t="s">
        <v>21</v>
      </c>
      <c r="B23" s="3" t="s">
        <v>336</v>
      </c>
      <c r="C23" s="75">
        <f>IF(RadSpec!BA23*DAF=0,".",RadSpec!BA23*DAF)</f>
        <v>5</v>
      </c>
      <c r="D23" s="75">
        <f>IFERROR(d_res!U23*DAF,".")</f>
        <v>8.1464792794099117E-3</v>
      </c>
      <c r="E23" s="75">
        <f>IFERROR((C23*0.001*(RadSpec!AX23+(θw/ρb))*1),".")</f>
        <v>6.0000000000000001E-3</v>
      </c>
      <c r="F23" s="75">
        <f>IFERROR((D23*0.001*(RadSpec!AX23+(θw/ρb))*1),".")</f>
        <v>9.7757751352918924E-6</v>
      </c>
    </row>
    <row r="24" spans="1:6" x14ac:dyDescent="0.25">
      <c r="A24" s="31" t="s">
        <v>22</v>
      </c>
      <c r="B24" s="3" t="s">
        <v>1059</v>
      </c>
      <c r="C24" s="75" t="str">
        <f>IF(RadSpec!BA24*DAF=0,".",RadSpec!BA24*DAF)</f>
        <v>.</v>
      </c>
      <c r="D24" s="75">
        <f>IFERROR(d_res!U24*DAF,".")</f>
        <v>2702.4455953371989</v>
      </c>
      <c r="E24" s="75" t="str">
        <f>IFERROR((C24*0.001*(RadSpec!AX24+(θw/ρb))*1),".")</f>
        <v>.</v>
      </c>
      <c r="F24" s="75">
        <f>IFERROR((D24*0.001*(RadSpec!AX24+(θw/ρb))*1),".")</f>
        <v>0.54048911906743979</v>
      </c>
    </row>
    <row r="25" spans="1:6" x14ac:dyDescent="0.25">
      <c r="A25" s="32" t="s">
        <v>23</v>
      </c>
      <c r="B25" s="3" t="s">
        <v>336</v>
      </c>
      <c r="C25" s="75" t="str">
        <f>IF(RadSpec!BA25*DAF=0,".",RadSpec!BA25*DAF)</f>
        <v>.</v>
      </c>
      <c r="D25" s="75">
        <f>IFERROR(d_res!U25*DAF,".")</f>
        <v>48.835523514740295</v>
      </c>
      <c r="E25" s="75" t="str">
        <f>IFERROR((C25*0.001*(RadSpec!AX25+(θw/ρb))*1),".")</f>
        <v>.</v>
      </c>
      <c r="F25" s="75">
        <f>IFERROR((D25*0.001*(RadSpec!AX25+(θw/ρb))*1),".")</f>
        <v>9.7671047029480595E-3</v>
      </c>
    </row>
    <row r="26" spans="1:6" x14ac:dyDescent="0.25">
      <c r="A26" s="31" t="s">
        <v>24</v>
      </c>
      <c r="B26" s="3" t="s">
        <v>1059</v>
      </c>
      <c r="C26" s="75">
        <f>IF(RadSpec!BA26*DAF=0,".",RadSpec!BA26*DAF)</f>
        <v>15</v>
      </c>
      <c r="D26" s="75">
        <f>IFERROR(d_res!U26*DAF,".")</f>
        <v>0.18007483173520852</v>
      </c>
      <c r="E26" s="75">
        <f>IFERROR((C26*0.001*(RadSpec!AX26+(θw/ρb))*1),".")</f>
        <v>0.30299999999999999</v>
      </c>
      <c r="F26" s="75">
        <f>IFERROR((D26*0.001*(RadSpec!AX26+(θw/ρb))*1),".")</f>
        <v>3.6375116010512122E-3</v>
      </c>
    </row>
    <row r="27" spans="1:6" x14ac:dyDescent="0.25">
      <c r="A27" s="31" t="s">
        <v>25</v>
      </c>
      <c r="B27" s="3" t="s">
        <v>1059</v>
      </c>
      <c r="C27" s="75" t="str">
        <f>IF(RadSpec!BA27*DAF=0,".",RadSpec!BA27*DAF)</f>
        <v>.</v>
      </c>
      <c r="D27" s="75">
        <f>IFERROR(d_res!U27*DAF,".")</f>
        <v>420.44364104298739</v>
      </c>
      <c r="E27" s="75" t="str">
        <f>IFERROR((C27*0.001*(RadSpec!AX27+(θw/ρb))*1),".")</f>
        <v>.</v>
      </c>
      <c r="F27" s="75">
        <f>IFERROR((D27*0.001*(RadSpec!AX27+(θw/ρb))*1),".")</f>
        <v>630.74955029268972</v>
      </c>
    </row>
    <row r="28" spans="1:6" x14ac:dyDescent="0.25">
      <c r="A28" s="31" t="s">
        <v>26</v>
      </c>
      <c r="B28" s="3" t="s">
        <v>1059</v>
      </c>
      <c r="C28" s="75" t="str">
        <f>IF(RadSpec!BA28*DAF=0,".",RadSpec!BA28*DAF)</f>
        <v>.</v>
      </c>
      <c r="D28" s="75">
        <f>IFERROR(d_res!U28*DAF,".")</f>
        <v>0.90777604316099558</v>
      </c>
      <c r="E28" s="75" t="str">
        <f>IFERROR((C28*0.001*(RadSpec!AX28+(θw/ρb))*1),".")</f>
        <v>.</v>
      </c>
      <c r="F28" s="75">
        <f>IFERROR((D28*0.001*(RadSpec!AX28+(θw/ρb))*1),".")</f>
        <v>1.3618456199501257</v>
      </c>
    </row>
    <row r="29" spans="1:6" x14ac:dyDescent="0.25">
      <c r="A29" s="31" t="s">
        <v>27</v>
      </c>
      <c r="B29" s="3" t="s">
        <v>1059</v>
      </c>
      <c r="C29" s="75" t="str">
        <f>IF(RadSpec!BA29*DAF=0,".",RadSpec!BA29*DAF)</f>
        <v>.</v>
      </c>
      <c r="D29" s="75">
        <f>IFERROR(d_res!U29*DAF,".")</f>
        <v>0.70073940173831217</v>
      </c>
      <c r="E29" s="75" t="str">
        <f>IFERROR((C29*0.001*(RadSpec!AX29+(θw/ρb))*1),".")</f>
        <v>.</v>
      </c>
      <c r="F29" s="75">
        <f>IFERROR((D29*0.001*(RadSpec!AX29+(θw/ρb))*1),".")</f>
        <v>1.0512492504878161</v>
      </c>
    </row>
    <row r="30" spans="1:6" x14ac:dyDescent="0.25">
      <c r="A30" s="31" t="s">
        <v>28</v>
      </c>
      <c r="B30" s="3" t="s">
        <v>1059</v>
      </c>
      <c r="C30" s="75">
        <f>IF(RadSpec!BA30*DAF=0,".",RadSpec!BA30*DAF)</f>
        <v>289207.91735594597</v>
      </c>
      <c r="D30" s="75">
        <f>IFERROR(d_res!U30*DAF,".")</f>
        <v>1.7569688135220212</v>
      </c>
      <c r="E30" s="75">
        <f>IFERROR((C30*0.001*(RadSpec!AX30+(θw/ρb))*1),".")</f>
        <v>173.5247504135676</v>
      </c>
      <c r="F30" s="75">
        <f>IFERROR((D30*0.001*(RadSpec!AX30+(θw/ρb))*1),".")</f>
        <v>1.0541812881132127E-3</v>
      </c>
    </row>
    <row r="31" spans="1:6" x14ac:dyDescent="0.25">
      <c r="A31" s="54" t="s">
        <v>1</v>
      </c>
      <c r="B31" s="39" t="s">
        <v>1221</v>
      </c>
      <c r="C31" s="40">
        <f>1/SUM(1/C32,1/C33,1/C34,1/C35,1/C36,1/C38,1/C39,1/C40,1/C41,1/C42)</f>
        <v>1.8682475988220888</v>
      </c>
      <c r="D31" s="40">
        <f>1/SUM(1/D32,1/D33,1/D34,1/D35,1/D36,1/D37,1/D38,1/D39,1/D40,1/D41,1/D42,1/D43,1/D44)</f>
        <v>7.8960884499740286E-2</v>
      </c>
      <c r="E31" s="77">
        <f>1/SUM(1/E32,1/E33,1/E34,1/E35,1/E36,1/E38,1/E39,1/E40,1/E41,1/E42)</f>
        <v>5.1776353222086824E-3</v>
      </c>
      <c r="F31" s="77">
        <f>1/SUM(1/F32,1/F33,1/F34,1/F35,1/F36,1/F37,1/F38,1/F39,1/F40,1/F41,1/F42,1/F43,1/F44)</f>
        <v>1.4654411481013156E-4</v>
      </c>
    </row>
    <row r="32" spans="1:6" x14ac:dyDescent="0.25">
      <c r="A32" s="55" t="s">
        <v>1087</v>
      </c>
      <c r="B32" s="3">
        <v>1</v>
      </c>
      <c r="C32" s="42">
        <f>IFERROR(C3/$B32,0)</f>
        <v>15</v>
      </c>
      <c r="D32" s="42">
        <f>IFERROR(D3/$B32,0)</f>
        <v>0.4634839175225281</v>
      </c>
      <c r="E32" s="107">
        <f>IFERROR((C32*0.001*(RadSpec!$AX3+(θw/ρb))*1),".")</f>
        <v>6.3E-2</v>
      </c>
      <c r="F32" s="107">
        <f>IFERROR((D32*0.001*(RadSpec!$AX3+(θw/ρb))*1),".")</f>
        <v>1.946632453594618E-3</v>
      </c>
    </row>
    <row r="33" spans="1:6" x14ac:dyDescent="0.25">
      <c r="A33" s="55" t="s">
        <v>1063</v>
      </c>
      <c r="B33" s="3">
        <v>1</v>
      </c>
      <c r="C33" s="42">
        <f>IFERROR(C13/$B33,0)</f>
        <v>15</v>
      </c>
      <c r="D33" s="42">
        <f>IFERROR(D13/$B33,0)</f>
        <v>0.82652497229859379</v>
      </c>
      <c r="E33" s="107">
        <f>IFERROR((C33*0.001*(RadSpec!$AX13+(θw/ρb))*1),".")</f>
        <v>6.0000000000000001E-3</v>
      </c>
      <c r="F33" s="107">
        <f>IFERROR((D33*0.001*(RadSpec!$AX13+(θw/ρb))*1),".")</f>
        <v>3.3060998891943754E-4</v>
      </c>
    </row>
    <row r="34" spans="1:6" x14ac:dyDescent="0.25">
      <c r="A34" s="55" t="s">
        <v>1064</v>
      </c>
      <c r="B34" s="3">
        <v>1</v>
      </c>
      <c r="C34" s="42">
        <f>IFERROR(C14/$B34,0)</f>
        <v>300</v>
      </c>
      <c r="D34" s="42">
        <f>IFERROR(D14/$B34,0)</f>
        <v>8.7441587050035761</v>
      </c>
      <c r="E34" s="107">
        <f>IFERROR((C34*0.001*(RadSpec!$AX14+(θw/ρb))*1),".")</f>
        <v>600.05999999999995</v>
      </c>
      <c r="F34" s="107">
        <f>IFERROR((D34*0.001*(RadSpec!$AX14+(θw/ρb))*1),".")</f>
        <v>17.490066241748153</v>
      </c>
    </row>
    <row r="35" spans="1:6" x14ac:dyDescent="0.25">
      <c r="A35" s="55" t="s">
        <v>1065</v>
      </c>
      <c r="B35" s="3">
        <v>1</v>
      </c>
      <c r="C35" s="42">
        <f>IFERROR(C30/$B35,0)</f>
        <v>289207.91735594597</v>
      </c>
      <c r="D35" s="42">
        <f>IFERROR(D30/$B35,0)</f>
        <v>1.7569688135220212</v>
      </c>
      <c r="E35" s="107">
        <f>IFERROR((C35*0.001*(RadSpec!$AX30+(θw/ρb))*1),".")</f>
        <v>173.5247504135676</v>
      </c>
      <c r="F35" s="107">
        <f>IFERROR((D35*0.001*(RadSpec!$AX30+(θw/ρb))*1),".")</f>
        <v>1.0541812881132127E-3</v>
      </c>
    </row>
    <row r="36" spans="1:6" x14ac:dyDescent="0.25">
      <c r="A36" s="55" t="s">
        <v>1066</v>
      </c>
      <c r="B36" s="3">
        <v>1</v>
      </c>
      <c r="C36" s="42">
        <f>IFERROR(C26/$B36,0)</f>
        <v>15</v>
      </c>
      <c r="D36" s="42">
        <f>IFERROR(D26/$B36,0)</f>
        <v>0.18007483173520852</v>
      </c>
      <c r="E36" s="107">
        <f>IFERROR((C36*0.001*(RadSpec!$AX26+(θw/ρb))*1),".")</f>
        <v>0.30299999999999999</v>
      </c>
      <c r="F36" s="107">
        <f>IFERROR((D36*0.001*(RadSpec!$AX26+(θw/ρb))*1),".")</f>
        <v>3.6375116010512122E-3</v>
      </c>
    </row>
    <row r="37" spans="1:6" x14ac:dyDescent="0.25">
      <c r="A37" s="55" t="s">
        <v>1067</v>
      </c>
      <c r="B37" s="3">
        <v>1</v>
      </c>
      <c r="C37" s="42">
        <f>IFERROR(C22/$B37,0)</f>
        <v>0</v>
      </c>
      <c r="D37" s="42">
        <f>IFERROR(D22/$B37,0)</f>
        <v>0.40426055274677286</v>
      </c>
      <c r="E37" s="107">
        <f>IFERROR((C37*0.001*(RadSpec!$AX22+(θw/ρb))*1),".")</f>
        <v>0</v>
      </c>
      <c r="F37" s="107">
        <f>IFERROR((D37*0.001*(RadSpec!$AX22+(θw/ρb))*1),".")</f>
        <v>4.8511266329612744E-4</v>
      </c>
    </row>
    <row r="38" spans="1:6" x14ac:dyDescent="0.25">
      <c r="A38" s="55" t="s">
        <v>1068</v>
      </c>
      <c r="B38" s="3">
        <v>1</v>
      </c>
      <c r="C38" s="42">
        <f>IFERROR(C2/$B38,0)</f>
        <v>15</v>
      </c>
      <c r="D38" s="42">
        <f>IFERROR(D2/$B38,0)</f>
        <v>2.0779723169550435</v>
      </c>
      <c r="E38" s="107">
        <f>IFERROR((C38*0.001*(RadSpec!$AX2+(θw/ρb))*1),".")</f>
        <v>25.503</v>
      </c>
      <c r="F38" s="107">
        <f>IFERROR((D38*0.001*(RadSpec!$AX2+(θw/ρb))*1),".")</f>
        <v>3.5329685332869647</v>
      </c>
    </row>
    <row r="39" spans="1:6" x14ac:dyDescent="0.25">
      <c r="A39" s="55" t="s">
        <v>1069</v>
      </c>
      <c r="B39" s="3">
        <v>1</v>
      </c>
      <c r="C39" s="42">
        <f>IFERROR(C11/$B39,0)</f>
        <v>15</v>
      </c>
      <c r="D39" s="42">
        <f>IFERROR(D11/$B39,0)</f>
        <v>72.622083452879622</v>
      </c>
      <c r="E39" s="107">
        <f>IFERROR((C39*0.001*(RadSpec!$AX11+(θw/ρb))*1),".")</f>
        <v>3.7529999999999997</v>
      </c>
      <c r="F39" s="107">
        <f>IFERROR((D39*0.001*(RadSpec!$AX11+(θw/ρb))*1),".")</f>
        <v>18.170045279910482</v>
      </c>
    </row>
    <row r="40" spans="1:6" x14ac:dyDescent="0.25">
      <c r="A40" s="55" t="s">
        <v>1070</v>
      </c>
      <c r="B40" s="3">
        <v>1</v>
      </c>
      <c r="C40" s="42">
        <f>IFERROR(C4/$B40,0)</f>
        <v>15</v>
      </c>
      <c r="D40" s="42">
        <f>IFERROR(D4/$B40,0)</f>
        <v>8645.4861253428135</v>
      </c>
      <c r="E40" s="107">
        <f>IFERROR((C40*0.001*(RadSpec!$AX4+(θw/ρb))*1),".")</f>
        <v>0.153</v>
      </c>
      <c r="F40" s="107">
        <f>IFERROR((D40*0.001*(RadSpec!$AX4+(θw/ρb))*1),".")</f>
        <v>88.183958478496692</v>
      </c>
    </row>
    <row r="41" spans="1:6" x14ac:dyDescent="0.25">
      <c r="A41" s="55" t="s">
        <v>1071</v>
      </c>
      <c r="B41" s="56">
        <v>0.99987999999999999</v>
      </c>
      <c r="C41" s="42">
        <f>IFERROR(C8/$B41,0)</f>
        <v>15.001800216025924</v>
      </c>
      <c r="D41" s="42">
        <f>IFERROR(D8/$B41,0)</f>
        <v>14.893495805604374</v>
      </c>
      <c r="E41" s="107">
        <f>IFERROR((C41*0.001*(RadSpec!$AX8+(θw/ρb))*1),".")</f>
        <v>7.2038644637356484</v>
      </c>
      <c r="F41" s="107">
        <f>IFERROR((D41*0.001*(RadSpec!$AX8+(θw/ρb))*1),".")</f>
        <v>7.1518566858512207</v>
      </c>
    </row>
    <row r="42" spans="1:6" x14ac:dyDescent="0.25">
      <c r="A42" s="55" t="s">
        <v>1072</v>
      </c>
      <c r="B42" s="3">
        <v>0.97898250799999997</v>
      </c>
      <c r="C42" s="42">
        <f>IFERROR(C19/$B42,0)</f>
        <v>15.322030656752041</v>
      </c>
      <c r="D42" s="42">
        <f>IFERROR(D19/$B42,0)</f>
        <v>54986.054264350831</v>
      </c>
      <c r="E42" s="107">
        <f>IFERROR((C42*0.001*(RadSpec!$AX19+(θw/ρb))*1),".")</f>
        <v>3.2206908440492792</v>
      </c>
      <c r="F42" s="107">
        <f>IFERROR((D42*0.001*(RadSpec!$AX19+(θw/ρb))*1),".")</f>
        <v>11558.068606366545</v>
      </c>
    </row>
    <row r="43" spans="1:6" x14ac:dyDescent="0.25">
      <c r="A43" s="55" t="s">
        <v>1073</v>
      </c>
      <c r="B43" s="3">
        <v>2.0897492E-2</v>
      </c>
      <c r="C43" s="42">
        <f>IFERROR(C28/$B43,0)</f>
        <v>0</v>
      </c>
      <c r="D43" s="42">
        <f>IFERROR(D28/$B43,0)</f>
        <v>43.439473175106158</v>
      </c>
      <c r="E43" s="107">
        <f>IFERROR((C43*0.001*(RadSpec!$AX28+(θw/ρb))*1),".")</f>
        <v>0</v>
      </c>
      <c r="F43" s="107">
        <f>IFERROR((D43*0.001*(RadSpec!$AX28+(θw/ρb))*1),".")</f>
        <v>65.167897657294262</v>
      </c>
    </row>
    <row r="44" spans="1:6" x14ac:dyDescent="0.25">
      <c r="A44" s="55" t="s">
        <v>1074</v>
      </c>
      <c r="B44" s="3">
        <v>0.99987999999999999</v>
      </c>
      <c r="C44" s="42">
        <f>IFERROR(C15/$B44,0)</f>
        <v>0</v>
      </c>
      <c r="D44" s="42">
        <f>IFERROR(D15/$B44,0)</f>
        <v>762.07213367031818</v>
      </c>
      <c r="E44" s="107">
        <f>IFERROR((C44*0.001*(RadSpec!$AX15+(θw/ρb))*1),".")</f>
        <v>0</v>
      </c>
      <c r="F44" s="107">
        <f>IFERROR((D44*0.001*(RadSpec!$AX15+(θw/ρb))*1),".")</f>
        <v>114.46323447728179</v>
      </c>
    </row>
    <row r="45" spans="1:6" x14ac:dyDescent="0.25">
      <c r="A45" s="54" t="s">
        <v>8</v>
      </c>
      <c r="B45" s="39" t="s">
        <v>1221</v>
      </c>
      <c r="C45" s="40">
        <f t="shared" ref="C45:E45" si="0">IFERROR(IF(AND(C46&lt;&gt;0,C47&lt;&gt;0),1/SUM(1/C46,1/C47),IF(AND(C46&lt;&gt;0,C47=0),1/(1/C46),IF(AND(C46=0,C47&lt;&gt;0),1/(1/C47),IF(AND(C46=0,C47=0),".")))),".")</f>
        <v>200</v>
      </c>
      <c r="D45" s="40">
        <f t="shared" si="0"/>
        <v>2.4070255800778284</v>
      </c>
      <c r="E45" s="77">
        <f t="shared" si="0"/>
        <v>2.04</v>
      </c>
      <c r="F45" s="77">
        <f>IFERROR(IF(AND(F46&lt;&gt;0,F47&lt;&gt;0),1/SUM(1/F46,1/F47),IF(AND(F46&lt;&gt;0,F47=0),1/(1/F46),IF(AND(F46=0,F47&lt;&gt;0),1/(1/F47),IF(AND(F46=0,F47=0),".")))),".")</f>
        <v>2.1141661983500081E-3</v>
      </c>
    </row>
    <row r="46" spans="1:6" x14ac:dyDescent="0.25">
      <c r="A46" s="55" t="s">
        <v>1086</v>
      </c>
      <c r="B46" s="3">
        <v>1</v>
      </c>
      <c r="C46" s="42">
        <f>IFERROR(C10/$B46,0)</f>
        <v>200</v>
      </c>
      <c r="D46" s="42">
        <f>IFERROR(D10/$B46,0)</f>
        <v>7.1490436581207932</v>
      </c>
      <c r="E46" s="42">
        <f>IFERROR((C46*0.001*(RadSpec!$AX10+(θw/ρb))*1),".")</f>
        <v>2.04</v>
      </c>
      <c r="F46" s="42">
        <f>IFERROR((D46*0.001*(RadSpec!$AX10+(θw/ρb))*1),".")</f>
        <v>7.2920245312832088E-2</v>
      </c>
    </row>
    <row r="47" spans="1:6" x14ac:dyDescent="0.25">
      <c r="A47" s="55" t="s">
        <v>1060</v>
      </c>
      <c r="B47" s="3">
        <v>0.94399</v>
      </c>
      <c r="C47" s="42">
        <f>IFERROR(C6/$B$47,0)</f>
        <v>0</v>
      </c>
      <c r="D47" s="42">
        <f>IFERROR(D6/$B$47,0)</f>
        <v>3.6288201932143731</v>
      </c>
      <c r="E47" s="42">
        <f>IFERROR((C47*0.001*(RadSpec!$AX6+(θw/ρb))*1),".")</f>
        <v>0</v>
      </c>
      <c r="F47" s="42">
        <f>IFERROR((D47*0.001*(RadSpec!$AX6+(θw/ρb))*1),".")</f>
        <v>2.1772921159286238E-3</v>
      </c>
    </row>
    <row r="48" spans="1:6" x14ac:dyDescent="0.25">
      <c r="A48" s="54" t="s">
        <v>21</v>
      </c>
      <c r="B48" s="39" t="s">
        <v>1221</v>
      </c>
      <c r="C48" s="40">
        <f>1/SUM(1/C49,1/C51,1/C53,1/C54,1/C56,1/C59,1/C61)</f>
        <v>1.8750023906182043</v>
      </c>
      <c r="D48" s="40">
        <f>1/SUM(1/D49,1/D50,1/D51,1/D52,1/D53,1/D54,1/D55,1/D56,1/D57,1/D58,1/D59,1/D60,1/D61,1/D62)</f>
        <v>6.6714414681913149E-3</v>
      </c>
      <c r="E48" s="40">
        <f>1/SUM(1/E49,1/E51,1/E53,1/E54,1/E56,1/E59,1/E61)</f>
        <v>5.9560310032971617E-3</v>
      </c>
      <c r="F48" s="40">
        <f>1/SUM(1/F49,1/F50,1/F51,1/F52,1/F53,1/F54,1/F55,1/F56,1/F57,1/F58,1/F59,1/F60,1/F61,1/F62)</f>
        <v>9.7520376972434108E-6</v>
      </c>
    </row>
    <row r="49" spans="1:6" x14ac:dyDescent="0.25">
      <c r="A49" s="55" t="s">
        <v>1088</v>
      </c>
      <c r="B49" s="3">
        <v>1</v>
      </c>
      <c r="C49" s="42">
        <f>IFERROR(C23/$B49,0)</f>
        <v>5</v>
      </c>
      <c r="D49" s="42">
        <f>IFERROR(D23/$B49,0)</f>
        <v>8.1464792794099117E-3</v>
      </c>
      <c r="E49" s="42">
        <f>IFERROR((C49*0.001*(RadSpec!$AX23+(θw/ρb))*1),".")</f>
        <v>6.0000000000000001E-3</v>
      </c>
      <c r="F49" s="42">
        <f>IFERROR((D49*0.001*(RadSpec!$AX23+(θw/ρb))*1),".")</f>
        <v>9.7757751352918924E-6</v>
      </c>
    </row>
    <row r="50" spans="1:6" x14ac:dyDescent="0.25">
      <c r="A50" s="55" t="s">
        <v>1075</v>
      </c>
      <c r="B50" s="3">
        <v>1</v>
      </c>
      <c r="C50" s="42">
        <f>IFERROR(C25/$B50,0)</f>
        <v>0</v>
      </c>
      <c r="D50" s="42">
        <f>IFERROR(D25/$B50,0)</f>
        <v>48.835523514740295</v>
      </c>
      <c r="E50" s="42">
        <f>IFERROR((C50*0.001*(RadSpec!$AX25+(θw/ρb))*1),".")</f>
        <v>0</v>
      </c>
      <c r="F50" s="42">
        <f>IFERROR((D50*0.001*(RadSpec!$AX25+(θw/ρb))*1),".")</f>
        <v>9.7671047029480595E-3</v>
      </c>
    </row>
    <row r="51" spans="1:6" x14ac:dyDescent="0.25">
      <c r="A51" s="55" t="s">
        <v>1061</v>
      </c>
      <c r="B51" s="3">
        <v>1</v>
      </c>
      <c r="C51" s="42">
        <f>IFERROR(C21/$B51,0)</f>
        <v>15</v>
      </c>
      <c r="D51" s="42">
        <f>IFERROR(D21/$B51,0)</f>
        <v>69828926.396999657</v>
      </c>
      <c r="E51" s="42">
        <f>IFERROR((C51*0.001*(RadSpec!$AX21+(θw/ρb))*1),".")</f>
        <v>3.1529999999999996</v>
      </c>
      <c r="F51" s="42">
        <f>IFERROR((D51*0.001*(RadSpec!$AX21+(θw/ρb))*1),".")</f>
        <v>14678040.328649327</v>
      </c>
    </row>
    <row r="52" spans="1:6" x14ac:dyDescent="0.25">
      <c r="A52" s="55" t="s">
        <v>1062</v>
      </c>
      <c r="B52" s="3">
        <v>0.99980000000000002</v>
      </c>
      <c r="C52" s="42">
        <f>IFERROR(C17/$B52,0)</f>
        <v>0</v>
      </c>
      <c r="D52" s="42">
        <f>IFERROR(D17/$B52,0)</f>
        <v>8.1531390875927823</v>
      </c>
      <c r="E52" s="42">
        <f>IFERROR((C52*0.001*(RadSpec!$AX17+(θw/ρb))*1),".")</f>
        <v>0</v>
      </c>
      <c r="F52" s="42">
        <f>IFERROR((D52*0.001*(RadSpec!$AX17+(θw/ρb))*1),".")</f>
        <v>1.2246014909564358</v>
      </c>
    </row>
    <row r="53" spans="1:6" x14ac:dyDescent="0.25">
      <c r="A53" s="55" t="s">
        <v>1076</v>
      </c>
      <c r="B53" s="3">
        <v>2.0000000000000001E-4</v>
      </c>
      <c r="C53" s="42">
        <f>IFERROR(C5/$B53,0)</f>
        <v>75000</v>
      </c>
      <c r="D53" s="42">
        <f>IFERROR(D5/$B53,0)</f>
        <v>798842917.98167586</v>
      </c>
      <c r="E53" s="42">
        <f>IFERROR((C53*0.001*(RadSpec!$AX5+(θw/ρb))*1),".")</f>
        <v>765</v>
      </c>
      <c r="F53" s="42">
        <f>IFERROR((D53*0.001*(RadSpec!$AX5+(θw/ρb))*1),".")</f>
        <v>8148197.7634130931</v>
      </c>
    </row>
    <row r="54" spans="1:6" x14ac:dyDescent="0.25">
      <c r="A54" s="55" t="s">
        <v>1077</v>
      </c>
      <c r="B54" s="3">
        <v>0.99999979999999999</v>
      </c>
      <c r="C54" s="42">
        <f>IFERROR(C9/$B54,0)</f>
        <v>15.0000030000006</v>
      </c>
      <c r="D54" s="42">
        <f>IFERROR(D9/$B54,0)</f>
        <v>1.2930379516277097</v>
      </c>
      <c r="E54" s="42">
        <f>IFERROR((C54*0.001*(RadSpec!$AX9+(θw/ρb))*1),".")</f>
        <v>7.2030014406002882</v>
      </c>
      <c r="F54" s="42">
        <f>IFERROR((D54*0.001*(RadSpec!$AX9+(θw/ρb))*1),".")</f>
        <v>0.62091682437162621</v>
      </c>
    </row>
    <row r="55" spans="1:6" x14ac:dyDescent="0.25">
      <c r="A55" s="55" t="s">
        <v>1078</v>
      </c>
      <c r="B55" s="3">
        <v>1.9999999999999999E-7</v>
      </c>
      <c r="C55" s="42">
        <f>IFERROR(C24/$B55,0)</f>
        <v>0</v>
      </c>
      <c r="D55" s="42">
        <f>IFERROR(D24/$B55,0)</f>
        <v>13512227976.685995</v>
      </c>
      <c r="E55" s="42">
        <f>IFERROR((C55*0.001*(RadSpec!$AX24+(θw/ρb))*1),".")</f>
        <v>0</v>
      </c>
      <c r="F55" s="42">
        <f>IFERROR((D55*0.001*(RadSpec!$AX24+(θw/ρb))*1),".")</f>
        <v>2702445.595337199</v>
      </c>
    </row>
    <row r="56" spans="1:6" x14ac:dyDescent="0.25">
      <c r="A56" s="55" t="s">
        <v>1079</v>
      </c>
      <c r="B56" s="3">
        <v>0.99979000004200003</v>
      </c>
      <c r="C56" s="42">
        <f>IFERROR(C20/$B56,0)</f>
        <v>15.003150661008679</v>
      </c>
      <c r="D56" s="42">
        <f>IFERROR(D20/$B56,0)</f>
        <v>24271.285242930102</v>
      </c>
      <c r="E56" s="42">
        <f>IFERROR((C56*0.001*(RadSpec!$AX20+(θw/ρb))*1),".")</f>
        <v>3.1536622689440241</v>
      </c>
      <c r="F56" s="42">
        <f>IFERROR((D56*0.001*(RadSpec!$AX20+(θw/ρb))*1),".")</f>
        <v>5101.8241580639069</v>
      </c>
    </row>
    <row r="57" spans="1:6" x14ac:dyDescent="0.25">
      <c r="A57" s="55" t="s">
        <v>1080</v>
      </c>
      <c r="B57" s="3">
        <v>2.0999995799999999E-4</v>
      </c>
      <c r="C57" s="42">
        <f>IFERROR(C29/$B57,0)</f>
        <v>0</v>
      </c>
      <c r="D57" s="42">
        <f>IFERROR(D29/$B57,0)</f>
        <v>3336.8549613629552</v>
      </c>
      <c r="E57" s="42">
        <f>IFERROR((C57*0.001*(RadSpec!$AX29+(θw/ρb))*1),".")</f>
        <v>0</v>
      </c>
      <c r="F57" s="42">
        <f>IFERROR((D57*0.001*(RadSpec!$AX29+(θw/ρb))*1),".")</f>
        <v>5005.9498130367056</v>
      </c>
    </row>
    <row r="58" spans="1:6" x14ac:dyDescent="0.25">
      <c r="A58" s="55" t="s">
        <v>1081</v>
      </c>
      <c r="B58" s="3">
        <v>1</v>
      </c>
      <c r="C58" s="42">
        <f>IFERROR(C16/$B58,0)</f>
        <v>0</v>
      </c>
      <c r="D58" s="42">
        <f>IFERROR(D16/$B58,0)</f>
        <v>9.7439439534219158E-2</v>
      </c>
      <c r="E58" s="42">
        <f>IFERROR((C58*0.001*(RadSpec!$AX16+(θw/ρb))*1),".")</f>
        <v>0</v>
      </c>
      <c r="F58" s="42">
        <f>IFERROR((D58*0.001*(RadSpec!$AX16+(θw/ρb))*1),".")</f>
        <v>1.4635403818039718E-2</v>
      </c>
    </row>
    <row r="59" spans="1:6" x14ac:dyDescent="0.25">
      <c r="A59" s="55" t="s">
        <v>1082</v>
      </c>
      <c r="B59" s="3">
        <v>1</v>
      </c>
      <c r="C59" s="42">
        <f>IFERROR(C7/$B59,0)</f>
        <v>15</v>
      </c>
      <c r="D59" s="42">
        <f>IFERROR(D7/$B59,0)</f>
        <v>34.767827708442141</v>
      </c>
      <c r="E59" s="42">
        <f>IFERROR((C59*0.001*(RadSpec!$AX7+(θw/ρb))*1),".")</f>
        <v>7.2029999999999994</v>
      </c>
      <c r="F59" s="42">
        <f>IFERROR((D59*0.001*(RadSpec!$AX7+(θw/ρb))*1),".")</f>
        <v>16.695510865593914</v>
      </c>
    </row>
    <row r="60" spans="1:6" x14ac:dyDescent="0.25">
      <c r="A60" s="55" t="s">
        <v>1083</v>
      </c>
      <c r="B60" s="3">
        <v>1.9000000000000001E-8</v>
      </c>
      <c r="C60" s="42">
        <f>IFERROR(C12/$B60,0)</f>
        <v>0</v>
      </c>
      <c r="D60" s="42">
        <f>IFERROR(D12/$B60,0)</f>
        <v>883284960.17434323</v>
      </c>
      <c r="E60" s="42">
        <f>IFERROR((C60*0.001*(RadSpec!$AX12+(θw/ρb))*1),".")</f>
        <v>0</v>
      </c>
      <c r="F60" s="42">
        <f>IFERROR((D60*0.001*(RadSpec!$AX12+(θw/ρb))*1),".")</f>
        <v>5564871906.0903969</v>
      </c>
    </row>
    <row r="61" spans="1:6" x14ac:dyDescent="0.25">
      <c r="A61" s="55" t="s">
        <v>1084</v>
      </c>
      <c r="B61" s="3">
        <v>1</v>
      </c>
      <c r="C61" s="42">
        <f>IFERROR(C18/$B61,0)</f>
        <v>15</v>
      </c>
      <c r="D61" s="42">
        <f>IFERROR(D18/$B61,0)</f>
        <v>6.2767388994604156E-2</v>
      </c>
      <c r="E61" s="42">
        <f>IFERROR((C61*0.001*(RadSpec!$AX18+(θw/ρb))*1),".")</f>
        <v>3.1529999999999996</v>
      </c>
      <c r="F61" s="42">
        <f>IFERROR((D61*0.001*(RadSpec!$AX18+(θw/ρb))*1),".")</f>
        <v>1.3193705166665794E-2</v>
      </c>
    </row>
    <row r="62" spans="1:6" x14ac:dyDescent="0.25">
      <c r="A62" s="55" t="s">
        <v>1085</v>
      </c>
      <c r="B62" s="3">
        <v>1.339E-6</v>
      </c>
      <c r="C62" s="42">
        <f>IFERROR(C27/$B62,0)</f>
        <v>0</v>
      </c>
      <c r="D62" s="42">
        <f>IFERROR(D27/$B62,0)</f>
        <v>313998238.26959479</v>
      </c>
      <c r="E62" s="42">
        <f>IFERROR((C62*0.001*(RadSpec!$AX27+(θw/ρb))*1),".")</f>
        <v>0</v>
      </c>
      <c r="F62" s="42">
        <f>IFERROR((D62*0.001*(RadSpec!$AX27+(θw/ρb))*1),".")</f>
        <v>471060157.05204612</v>
      </c>
    </row>
    <row r="63" spans="1:6" x14ac:dyDescent="0.25">
      <c r="A63" s="54" t="s">
        <v>23</v>
      </c>
      <c r="B63" s="39" t="s">
        <v>1221</v>
      </c>
      <c r="C63" s="40">
        <f>1/SUM(1/C65,1/C67,1/C68,1/C70,1/C73,1/C75)</f>
        <v>3.0000061199872849</v>
      </c>
      <c r="D63" s="40">
        <f>1/SUM(1/D64,1/D65,1/D66,1/D67,1/D68,1/D69,1/D70,1/D71,1/D72,1/D73,1/D74,1/D75,1/D76)</f>
        <v>3.6845672206542723E-2</v>
      </c>
      <c r="E63" s="40">
        <f>1/SUM(1/E65,1/E67,1/E68,1/E70,1/E73,1/E75)</f>
        <v>0.81275873227910567</v>
      </c>
      <c r="F63" s="40">
        <f>1/SUM(1/F64,1/F65,1/F66,1/F67,1/F68,1/F69,1/F70,1/F71,1/F72,1/F73,1/F74,1/F75,1/F76)</f>
        <v>4.0161759430161707E-3</v>
      </c>
    </row>
    <row r="64" spans="1:6" x14ac:dyDescent="0.25">
      <c r="A64" s="55" t="s">
        <v>1075</v>
      </c>
      <c r="B64" s="3">
        <v>1</v>
      </c>
      <c r="C64" s="42">
        <f>IFERROR(C25/$B50,0)</f>
        <v>0</v>
      </c>
      <c r="D64" s="42">
        <f>IFERROR(D25/$B50,0)</f>
        <v>48.835523514740295</v>
      </c>
      <c r="E64" s="42">
        <f>IFERROR((C64*0.001*(RadSpec!$AX25+(θw/ρb))*1),".")</f>
        <v>0</v>
      </c>
      <c r="F64" s="42">
        <f>IFERROR((D64*0.001*(RadSpec!$AX25+(θw/ρb))*1),".")</f>
        <v>9.7671047029480595E-3</v>
      </c>
    </row>
    <row r="65" spans="1:6" x14ac:dyDescent="0.25">
      <c r="A65" s="55" t="s">
        <v>1061</v>
      </c>
      <c r="B65" s="3">
        <v>1</v>
      </c>
      <c r="C65" s="42">
        <f>IFERROR(C21/$B51,0)</f>
        <v>15</v>
      </c>
      <c r="D65" s="42">
        <f>IFERROR(D21/$B51,0)</f>
        <v>69828926.396999657</v>
      </c>
      <c r="E65" s="42">
        <f>IFERROR((C65*0.001*(RadSpec!$AX21+(θw/ρb))*1),".")</f>
        <v>3.1529999999999996</v>
      </c>
      <c r="F65" s="42">
        <f>IFERROR((D65*0.001*(RadSpec!$AX21+(θw/ρb))*1),".")</f>
        <v>14678040.328649327</v>
      </c>
    </row>
    <row r="66" spans="1:6" x14ac:dyDescent="0.25">
      <c r="A66" s="55" t="s">
        <v>1062</v>
      </c>
      <c r="B66" s="3">
        <v>0.99980000000000002</v>
      </c>
      <c r="C66" s="42">
        <f>IFERROR(C17/$B52,0)</f>
        <v>0</v>
      </c>
      <c r="D66" s="42">
        <f>IFERROR(D17/$B52,0)</f>
        <v>8.1531390875927823</v>
      </c>
      <c r="E66" s="42">
        <f>IFERROR((C66*0.001*(RadSpec!$AX17+(θw/ρb))*1),".")</f>
        <v>0</v>
      </c>
      <c r="F66" s="42">
        <f>IFERROR((D66*0.001*(RadSpec!$AX17+(θw/ρb))*1),".")</f>
        <v>1.2246014909564358</v>
      </c>
    </row>
    <row r="67" spans="1:6" x14ac:dyDescent="0.25">
      <c r="A67" s="55" t="s">
        <v>1076</v>
      </c>
      <c r="B67" s="3">
        <v>2.0000000000000001E-4</v>
      </c>
      <c r="C67" s="42">
        <f>IFERROR(C5/$B53,0)</f>
        <v>75000</v>
      </c>
      <c r="D67" s="42">
        <f>IFERROR(D5/$B53,0)</f>
        <v>798842917.98167586</v>
      </c>
      <c r="E67" s="42">
        <f>IFERROR((C67*0.001*(RadSpec!$AX5+(θw/ρb))*1),".")</f>
        <v>765</v>
      </c>
      <c r="F67" s="42">
        <f>IFERROR((D67*0.001*(RadSpec!$AX5+(θw/ρb))*1),".")</f>
        <v>8148197.7634130931</v>
      </c>
    </row>
    <row r="68" spans="1:6" x14ac:dyDescent="0.25">
      <c r="A68" s="55" t="s">
        <v>1077</v>
      </c>
      <c r="B68" s="3">
        <v>0.99999979999999999</v>
      </c>
      <c r="C68" s="42">
        <f>IFERROR(C9/$B54,0)</f>
        <v>15.0000030000006</v>
      </c>
      <c r="D68" s="42">
        <f>IFERROR(D9/$B54,0)</f>
        <v>1.2930379516277097</v>
      </c>
      <c r="E68" s="42">
        <f>IFERROR((C68*0.001*(RadSpec!$AX9+(θw/ρb))*1),".")</f>
        <v>7.2030014406002882</v>
      </c>
      <c r="F68" s="42">
        <f>IFERROR((D68*0.001*(RadSpec!$AX9+(θw/ρb))*1),".")</f>
        <v>0.62091682437162621</v>
      </c>
    </row>
    <row r="69" spans="1:6" x14ac:dyDescent="0.25">
      <c r="A69" s="55" t="s">
        <v>1078</v>
      </c>
      <c r="B69" s="3">
        <v>1.9999999999999999E-7</v>
      </c>
      <c r="C69" s="42">
        <f>IFERROR(C24/$B55,0)</f>
        <v>0</v>
      </c>
      <c r="D69" s="42">
        <f>IFERROR(D24/$B55,0)</f>
        <v>13512227976.685995</v>
      </c>
      <c r="E69" s="42">
        <f>IFERROR((C69*0.001*(RadSpec!$AX24+(θw/ρb))*1),".")</f>
        <v>0</v>
      </c>
      <c r="F69" s="42">
        <f>IFERROR((D69*0.001*(RadSpec!$AX24+(θw/ρb))*1),".")</f>
        <v>2702445.595337199</v>
      </c>
    </row>
    <row r="70" spans="1:6" x14ac:dyDescent="0.25">
      <c r="A70" s="55" t="s">
        <v>1079</v>
      </c>
      <c r="B70" s="3">
        <v>0.99979000004200003</v>
      </c>
      <c r="C70" s="42">
        <f>IFERROR(C20/$B56,0)</f>
        <v>15.003150661008679</v>
      </c>
      <c r="D70" s="42">
        <f>IFERROR(D20/$B56,0)</f>
        <v>24271.285242930102</v>
      </c>
      <c r="E70" s="42">
        <f>IFERROR((C70*0.001*(RadSpec!$AX20+(θw/ρb))*1),".")</f>
        <v>3.1536622689440241</v>
      </c>
      <c r="F70" s="42">
        <f>IFERROR((D70*0.001*(RadSpec!$AX20+(θw/ρb))*1),".")</f>
        <v>5101.8241580639069</v>
      </c>
    </row>
    <row r="71" spans="1:6" x14ac:dyDescent="0.25">
      <c r="A71" s="55" t="s">
        <v>1080</v>
      </c>
      <c r="B71" s="3">
        <v>2.0999995799999999E-4</v>
      </c>
      <c r="C71" s="42">
        <f>IFERROR(C29/$B57,0)</f>
        <v>0</v>
      </c>
      <c r="D71" s="42">
        <f>IFERROR(D29/$B57,0)</f>
        <v>3336.8549613629552</v>
      </c>
      <c r="E71" s="42">
        <f>IFERROR((C71*0.001*(RadSpec!$AX29+(θw/ρb))*1),".")</f>
        <v>0</v>
      </c>
      <c r="F71" s="42">
        <f>IFERROR((D71*0.001*(RadSpec!$AX29+(θw/ρb))*1),".")</f>
        <v>5005.9498130367056</v>
      </c>
    </row>
    <row r="72" spans="1:6" x14ac:dyDescent="0.25">
      <c r="A72" s="55" t="s">
        <v>1081</v>
      </c>
      <c r="B72" s="3">
        <v>1</v>
      </c>
      <c r="C72" s="42">
        <f>IFERROR(C16/$B58,0)</f>
        <v>0</v>
      </c>
      <c r="D72" s="42">
        <f>IFERROR(D16/$B58,0)</f>
        <v>9.7439439534219158E-2</v>
      </c>
      <c r="E72" s="42">
        <f>IFERROR((C72*0.001*(RadSpec!$AX16+(θw/ρb))*1),".")</f>
        <v>0</v>
      </c>
      <c r="F72" s="42">
        <f>IFERROR((D72*0.001*(RadSpec!$AX16+(θw/ρb))*1),".")</f>
        <v>1.4635403818039718E-2</v>
      </c>
    </row>
    <row r="73" spans="1:6" x14ac:dyDescent="0.25">
      <c r="A73" s="55" t="s">
        <v>1082</v>
      </c>
      <c r="B73" s="3">
        <v>1</v>
      </c>
      <c r="C73" s="42">
        <f>IFERROR(C7/$B59,0)</f>
        <v>15</v>
      </c>
      <c r="D73" s="42">
        <f>IFERROR(D7/$B59,0)</f>
        <v>34.767827708442141</v>
      </c>
      <c r="E73" s="42">
        <f>IFERROR((C73*0.001*(RadSpec!$AX7+(θw/ρb))*1),".")</f>
        <v>7.2029999999999994</v>
      </c>
      <c r="F73" s="42">
        <f>IFERROR((D73*0.001*(RadSpec!$AX7+(θw/ρb))*1),".")</f>
        <v>16.695510865593914</v>
      </c>
    </row>
    <row r="74" spans="1:6" x14ac:dyDescent="0.25">
      <c r="A74" s="55" t="s">
        <v>1083</v>
      </c>
      <c r="B74" s="3">
        <v>1.9000000000000001E-8</v>
      </c>
      <c r="C74" s="42">
        <f>IFERROR(C12/$B60,0)</f>
        <v>0</v>
      </c>
      <c r="D74" s="42">
        <f>IFERROR(D12/$B60,0)</f>
        <v>883284960.17434323</v>
      </c>
      <c r="E74" s="42">
        <f>IFERROR((C74*0.001*(RadSpec!$AX12+(θw/ρb))*1),".")</f>
        <v>0</v>
      </c>
      <c r="F74" s="42">
        <f>IFERROR((D74*0.001*(RadSpec!$AX12+(θw/ρb))*1),".")</f>
        <v>5564871906.0903969</v>
      </c>
    </row>
    <row r="75" spans="1:6" x14ac:dyDescent="0.25">
      <c r="A75" s="55" t="s">
        <v>1084</v>
      </c>
      <c r="B75" s="3">
        <v>1</v>
      </c>
      <c r="C75" s="42">
        <f>IFERROR(C18/$B61,0)</f>
        <v>15</v>
      </c>
      <c r="D75" s="42">
        <f>IFERROR(D18/$B61,0)</f>
        <v>6.2767388994604156E-2</v>
      </c>
      <c r="E75" s="42">
        <f>IFERROR((C75*0.001*(RadSpec!$AX18+(θw/ρb))*1),".")</f>
        <v>3.1529999999999996</v>
      </c>
      <c r="F75" s="42">
        <f>IFERROR((D75*0.001*(RadSpec!$AX18+(θw/ρb))*1),".")</f>
        <v>1.3193705166665794E-2</v>
      </c>
    </row>
    <row r="76" spans="1:6" x14ac:dyDescent="0.25">
      <c r="A76" s="55" t="s">
        <v>1085</v>
      </c>
      <c r="B76" s="3">
        <v>1.339E-6</v>
      </c>
      <c r="C76" s="42">
        <f>IFERROR(C27/$B62,0)</f>
        <v>0</v>
      </c>
      <c r="D76" s="42">
        <f>IFERROR(D27/$B62,0)</f>
        <v>313998238.26959479</v>
      </c>
      <c r="E76" s="42">
        <f>IFERROR((C76*0.001*(RadSpec!$AX27+(θw/ρb))*1),".")</f>
        <v>0</v>
      </c>
      <c r="F76" s="42">
        <f>IFERROR((D76*0.001*(RadSpec!$AX27+(θw/ρb))*1),".")</f>
        <v>471060157.05204612</v>
      </c>
    </row>
  </sheetData>
  <sheetProtection algorithmName="SHA-512" hashValue="OO8kD/hm/0fjA9iaQumvc7WYAjr8WO7rgX7ExDQcPvT/n8rZabCM/2fnnr8eayy4t6JC+iGuPbuqgBOI8jZyHw==" saltValue="xivat0Rwvvje/nD/FLo8uQ==" spinCount="100000" sheet="1" objects="1" scenarios="1" formatColumns="0" formatRows="0" autoFilter="0"/>
  <autoFilter ref="A1:F76" xr:uid="{00000000-0009-0000-0000-00000A000000}"/>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H3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9.28515625" bestFit="1" customWidth="1"/>
    <col min="4" max="4" width="9" bestFit="1" customWidth="1"/>
    <col min="5" max="6" width="10" bestFit="1" customWidth="1"/>
    <col min="7" max="7" width="11" bestFit="1" customWidth="1"/>
    <col min="8" max="8" width="67.5703125" bestFit="1" customWidth="1"/>
  </cols>
  <sheetData>
    <row r="1" spans="1:8" x14ac:dyDescent="0.25">
      <c r="A1" s="51" t="s">
        <v>39</v>
      </c>
      <c r="B1" s="51" t="s">
        <v>335</v>
      </c>
      <c r="C1" s="102" t="s">
        <v>29</v>
      </c>
      <c r="D1" s="102" t="s">
        <v>30</v>
      </c>
      <c r="E1" s="102" t="s">
        <v>31</v>
      </c>
      <c r="F1" s="102" t="s">
        <v>32</v>
      </c>
      <c r="G1" s="102" t="s">
        <v>33</v>
      </c>
      <c r="H1" s="106" t="s">
        <v>365</v>
      </c>
    </row>
    <row r="2" spans="1:8" x14ac:dyDescent="0.25">
      <c r="A2" s="31" t="s">
        <v>0</v>
      </c>
      <c r="B2" s="3" t="s">
        <v>1059</v>
      </c>
      <c r="C2" s="104">
        <v>9.5797101449275404E-2</v>
      </c>
      <c r="D2" s="104">
        <v>9.3059490084985805E-2</v>
      </c>
      <c r="E2" s="104">
        <v>9.6585365853658595E-2</v>
      </c>
      <c r="F2" s="104">
        <v>9.0705128205128202E-2</v>
      </c>
      <c r="G2" s="104">
        <v>9.6404494382022504E-2</v>
      </c>
    </row>
    <row r="3" spans="1:8" x14ac:dyDescent="0.25">
      <c r="A3" s="32" t="s">
        <v>1</v>
      </c>
      <c r="B3" s="3" t="s">
        <v>336</v>
      </c>
      <c r="C3" s="104">
        <v>8.4397163120567401E-2</v>
      </c>
      <c r="D3" s="104">
        <v>0.107692307692308</v>
      </c>
      <c r="E3" s="104">
        <v>9.4560669456066906E-2</v>
      </c>
      <c r="F3" s="104">
        <v>9.5024875621890506E-2</v>
      </c>
      <c r="G3" s="104">
        <v>9.6924829157175402E-2</v>
      </c>
    </row>
    <row r="4" spans="1:8" x14ac:dyDescent="0.25">
      <c r="A4" s="31" t="s">
        <v>2</v>
      </c>
      <c r="B4" s="3" t="s">
        <v>1059</v>
      </c>
      <c r="C4" s="104">
        <v>4.2011834319526598E-2</v>
      </c>
      <c r="D4" s="104">
        <v>7.5873015873015898E-2</v>
      </c>
      <c r="E4" s="104">
        <v>5.07177033492823E-2</v>
      </c>
      <c r="F4" s="104">
        <v>7.1111111111111097E-2</v>
      </c>
      <c r="G4" s="104">
        <v>8.3791606367583205E-2</v>
      </c>
    </row>
    <row r="5" spans="1:8" x14ac:dyDescent="0.25">
      <c r="A5" s="31" t="s">
        <v>3</v>
      </c>
      <c r="B5" s="3" t="s">
        <v>1059</v>
      </c>
      <c r="C5" s="104">
        <v>0.9</v>
      </c>
      <c r="D5" s="104">
        <v>0.9</v>
      </c>
      <c r="E5" s="104">
        <v>0.9</v>
      </c>
      <c r="F5" s="104">
        <v>0.9</v>
      </c>
      <c r="G5" s="104">
        <v>0.9</v>
      </c>
    </row>
    <row r="6" spans="1:8" x14ac:dyDescent="0.25">
      <c r="A6" s="31" t="s">
        <v>4</v>
      </c>
      <c r="B6" s="3" t="s">
        <v>1059</v>
      </c>
      <c r="C6" s="104">
        <v>3.1283422459892997E-2</v>
      </c>
      <c r="D6" s="104">
        <v>8.7632508833922304E-2</v>
      </c>
      <c r="E6" s="104">
        <v>4.6638655462184903E-2</v>
      </c>
      <c r="F6" s="104">
        <v>6.7697594501718195E-2</v>
      </c>
      <c r="G6" s="104">
        <v>8.7261146496815295E-2</v>
      </c>
    </row>
    <row r="7" spans="1:8" x14ac:dyDescent="0.25">
      <c r="A7" s="31" t="s">
        <v>5</v>
      </c>
      <c r="B7" s="3" t="s">
        <v>1059</v>
      </c>
      <c r="C7" s="104">
        <v>3.81995133819951E-2</v>
      </c>
      <c r="D7" s="104">
        <v>7.4683544303797506E-2</v>
      </c>
      <c r="E7" s="104">
        <v>0.05</v>
      </c>
      <c r="F7" s="104">
        <v>7.1974522292993601E-2</v>
      </c>
      <c r="G7" s="104">
        <v>8.2940516273849602E-2</v>
      </c>
    </row>
    <row r="8" spans="1:8" x14ac:dyDescent="0.25">
      <c r="A8" s="31" t="s">
        <v>6</v>
      </c>
      <c r="B8" s="3" t="s">
        <v>1059</v>
      </c>
      <c r="C8" s="104">
        <v>3.3392857142857099E-2</v>
      </c>
      <c r="D8" s="104">
        <v>8.8172043010752696E-2</v>
      </c>
      <c r="E8" s="104">
        <v>4.81904761904762E-2</v>
      </c>
      <c r="F8" s="104">
        <v>7.1428571428571397E-2</v>
      </c>
      <c r="G8" s="104">
        <v>8.5352112676056302E-2</v>
      </c>
    </row>
    <row r="9" spans="1:8" x14ac:dyDescent="0.25">
      <c r="A9" s="31" t="s">
        <v>7</v>
      </c>
      <c r="B9" s="3" t="s">
        <v>1059</v>
      </c>
      <c r="C9" s="104">
        <v>2.8963414634146301E-2</v>
      </c>
      <c r="D9" s="104">
        <v>9.3659942363112397E-2</v>
      </c>
      <c r="E9" s="104">
        <v>4.2990654205607499E-2</v>
      </c>
      <c r="F9" s="104">
        <v>6.4869029275808898E-2</v>
      </c>
      <c r="G9" s="104">
        <v>8.4239130434782594E-2</v>
      </c>
    </row>
    <row r="10" spans="1:8" x14ac:dyDescent="0.25">
      <c r="A10" s="32" t="s">
        <v>8</v>
      </c>
      <c r="B10" s="3" t="s">
        <v>336</v>
      </c>
      <c r="C10" s="104">
        <v>3.3412322274881501E-2</v>
      </c>
      <c r="D10" s="104">
        <v>7.3635307781649201E-2</v>
      </c>
      <c r="E10" s="104">
        <v>4.92028985507246E-2</v>
      </c>
      <c r="F10" s="104">
        <v>7.1668667466986802E-2</v>
      </c>
      <c r="G10" s="104">
        <v>8.2947368421052603E-2</v>
      </c>
    </row>
    <row r="11" spans="1:8" x14ac:dyDescent="0.25">
      <c r="A11" s="31" t="s">
        <v>9</v>
      </c>
      <c r="B11" s="3" t="s">
        <v>1059</v>
      </c>
      <c r="C11" s="104">
        <v>4.4927536231884099E-2</v>
      </c>
      <c r="D11" s="104">
        <v>7.3856209150326799E-2</v>
      </c>
      <c r="E11" s="104">
        <v>5.2734375E-2</v>
      </c>
      <c r="F11" s="104">
        <v>7.1895424836601302E-2</v>
      </c>
      <c r="G11" s="104">
        <v>8.42105263157895E-2</v>
      </c>
    </row>
    <row r="12" spans="1:8" x14ac:dyDescent="0.25">
      <c r="A12" s="31" t="s">
        <v>10</v>
      </c>
      <c r="B12" s="3" t="s">
        <v>1059</v>
      </c>
      <c r="C12" s="104">
        <v>3.7852760736196298E-2</v>
      </c>
      <c r="D12" s="104">
        <v>7.8920741989881901E-2</v>
      </c>
      <c r="E12" s="104">
        <v>4.9803921568627403E-2</v>
      </c>
      <c r="F12" s="104">
        <v>7.1707317073170698E-2</v>
      </c>
      <c r="G12" s="104">
        <v>8.4057971014492805E-2</v>
      </c>
    </row>
    <row r="13" spans="1:8" x14ac:dyDescent="0.25">
      <c r="A13" s="31" t="s">
        <v>11</v>
      </c>
      <c r="B13" s="3" t="s">
        <v>1059</v>
      </c>
      <c r="C13" s="104">
        <v>9.0206185567010294E-2</v>
      </c>
      <c r="D13" s="104">
        <v>0.104379562043796</v>
      </c>
      <c r="E13" s="104">
        <v>0.10709219858155999</v>
      </c>
      <c r="F13" s="104">
        <v>0.105116279069767</v>
      </c>
      <c r="G13" s="104">
        <v>0.106057268722467</v>
      </c>
    </row>
    <row r="14" spans="1:8" x14ac:dyDescent="0.25">
      <c r="A14" s="31" t="s">
        <v>12</v>
      </c>
      <c r="B14" s="3" t="s">
        <v>1059</v>
      </c>
      <c r="C14" s="104">
        <v>5.7281553398058301E-2</v>
      </c>
      <c r="D14" s="104">
        <v>8.0961538461538501E-2</v>
      </c>
      <c r="E14" s="104">
        <v>6.16504854368932E-2</v>
      </c>
      <c r="F14" s="104">
        <v>7.6956521739130396E-2</v>
      </c>
      <c r="G14" s="104">
        <v>8.5919999999999996E-2</v>
      </c>
    </row>
    <row r="15" spans="1:8" x14ac:dyDescent="0.25">
      <c r="A15" s="31" t="s">
        <v>13</v>
      </c>
      <c r="B15" s="3" t="s">
        <v>1059</v>
      </c>
      <c r="C15" s="104">
        <v>0.9</v>
      </c>
      <c r="D15" s="104">
        <v>0.9</v>
      </c>
      <c r="E15" s="104">
        <v>0.9</v>
      </c>
      <c r="F15" s="104">
        <v>0.9</v>
      </c>
      <c r="G15" s="104">
        <v>0.9</v>
      </c>
    </row>
    <row r="16" spans="1:8" x14ac:dyDescent="0.25">
      <c r="A16" s="31" t="s">
        <v>14</v>
      </c>
      <c r="B16" s="3" t="s">
        <v>1059</v>
      </c>
      <c r="C16" s="104">
        <v>0.12648026315789501</v>
      </c>
      <c r="D16" s="104">
        <v>0.131547619047619</v>
      </c>
      <c r="E16" s="104">
        <v>0.15049504950494999</v>
      </c>
      <c r="F16" s="104">
        <v>0.13783783783783801</v>
      </c>
      <c r="G16" s="104">
        <v>0.14537037037037001</v>
      </c>
    </row>
    <row r="17" spans="1:7" x14ac:dyDescent="0.25">
      <c r="A17" s="31" t="s">
        <v>15</v>
      </c>
      <c r="B17" s="3" t="s">
        <v>1059</v>
      </c>
      <c r="C17" s="104">
        <v>4.1011235955056201E-2</v>
      </c>
      <c r="D17" s="104">
        <v>8.1260504201680697E-2</v>
      </c>
      <c r="E17" s="104">
        <v>5.06976744186046E-2</v>
      </c>
      <c r="F17" s="104">
        <v>7.2656250000000006E-2</v>
      </c>
      <c r="G17" s="104">
        <v>8.4027777777777798E-2</v>
      </c>
    </row>
    <row r="18" spans="1:7" x14ac:dyDescent="0.25">
      <c r="A18" s="31" t="s">
        <v>16</v>
      </c>
      <c r="B18" s="3" t="s">
        <v>1059</v>
      </c>
      <c r="C18" s="104">
        <v>2.9915254237288101E-2</v>
      </c>
      <c r="D18" s="104">
        <v>9.4052863436123402E-2</v>
      </c>
      <c r="E18" s="104">
        <v>4.5225464190981397E-2</v>
      </c>
      <c r="F18" s="104">
        <v>6.7685589519650702E-2</v>
      </c>
      <c r="G18" s="104">
        <v>8.7351778656126505E-2</v>
      </c>
    </row>
    <row r="19" spans="1:7" x14ac:dyDescent="0.25">
      <c r="A19" s="31" t="s">
        <v>17</v>
      </c>
      <c r="B19" s="3" t="s">
        <v>1059</v>
      </c>
      <c r="C19" s="104">
        <v>3.0131004366812202E-2</v>
      </c>
      <c r="D19" s="104">
        <v>9.3142857142857097E-2</v>
      </c>
      <c r="E19" s="104">
        <v>4.5547945205479501E-2</v>
      </c>
      <c r="F19" s="104">
        <v>6.7796610169491497E-2</v>
      </c>
      <c r="G19" s="104">
        <v>8.7487179487179503E-2</v>
      </c>
    </row>
    <row r="20" spans="1:7" x14ac:dyDescent="0.25">
      <c r="A20" s="31" t="s">
        <v>18</v>
      </c>
      <c r="B20" s="3" t="s">
        <v>1059</v>
      </c>
      <c r="C20" s="104">
        <v>2.99009900990099E-2</v>
      </c>
      <c r="D20" s="104">
        <v>9.3814432989690694E-2</v>
      </c>
      <c r="E20" s="104">
        <v>4.5186335403726699E-2</v>
      </c>
      <c r="F20" s="104">
        <v>6.7774936061381102E-2</v>
      </c>
      <c r="G20" s="104">
        <v>8.7499999999999994E-2</v>
      </c>
    </row>
    <row r="21" spans="1:7" x14ac:dyDescent="0.25">
      <c r="A21" s="31" t="s">
        <v>19</v>
      </c>
      <c r="B21" s="3" t="s">
        <v>1059</v>
      </c>
      <c r="C21" s="104">
        <v>0.9</v>
      </c>
      <c r="D21" s="104">
        <v>0.9</v>
      </c>
      <c r="E21" s="104">
        <v>0.9</v>
      </c>
      <c r="F21" s="104">
        <v>0.9</v>
      </c>
      <c r="G21" s="104">
        <v>0.9</v>
      </c>
    </row>
    <row r="22" spans="1:7" x14ac:dyDescent="0.25">
      <c r="A22" s="31" t="s">
        <v>20</v>
      </c>
      <c r="B22" s="3" t="s">
        <v>1059</v>
      </c>
      <c r="C22" s="104">
        <v>7.8442280945758003E-2</v>
      </c>
      <c r="D22" s="104">
        <v>9.8879551820728301E-2</v>
      </c>
      <c r="E22" s="104">
        <v>9.1821561338289906E-2</v>
      </c>
      <c r="F22" s="104">
        <v>0.102702702702703</v>
      </c>
      <c r="G22" s="104">
        <v>0.119201995012469</v>
      </c>
    </row>
    <row r="23" spans="1:7" x14ac:dyDescent="0.25">
      <c r="A23" s="32" t="s">
        <v>21</v>
      </c>
      <c r="B23" s="3" t="s">
        <v>336</v>
      </c>
      <c r="C23" s="104">
        <v>4.9459459459459502E-2</v>
      </c>
      <c r="D23" s="104">
        <v>7.9108635097492996E-2</v>
      </c>
      <c r="E23" s="104">
        <v>5.4863221884498499E-2</v>
      </c>
      <c r="F23" s="104">
        <v>7.1611253196930902E-2</v>
      </c>
      <c r="G23" s="104">
        <v>8.6893203883495099E-2</v>
      </c>
    </row>
    <row r="24" spans="1:7" x14ac:dyDescent="0.25">
      <c r="A24" s="31" t="s">
        <v>22</v>
      </c>
      <c r="B24" s="3" t="s">
        <v>1059</v>
      </c>
      <c r="C24" s="104">
        <v>3.1434599156118098E-2</v>
      </c>
      <c r="D24" s="104">
        <v>8.6033519553072604E-2</v>
      </c>
      <c r="E24" s="104">
        <v>4.6611570247933901E-2</v>
      </c>
      <c r="F24" s="104">
        <v>6.7924528301886805E-2</v>
      </c>
      <c r="G24" s="104">
        <v>8.7499999999999994E-2</v>
      </c>
    </row>
    <row r="25" spans="1:7" x14ac:dyDescent="0.25">
      <c r="A25" s="32" t="s">
        <v>23</v>
      </c>
      <c r="B25" s="3" t="s">
        <v>336</v>
      </c>
      <c r="C25" s="104">
        <v>3.1388329979879302E-2</v>
      </c>
      <c r="D25" s="104">
        <v>8.6931818181818193E-2</v>
      </c>
      <c r="E25" s="104">
        <v>4.7452229299363102E-2</v>
      </c>
      <c r="F25" s="104">
        <v>6.9633507853403095E-2</v>
      </c>
      <c r="G25" s="104">
        <v>8.61320754716981E-2</v>
      </c>
    </row>
    <row r="26" spans="1:7" x14ac:dyDescent="0.25">
      <c r="A26" s="31" t="s">
        <v>24</v>
      </c>
      <c r="B26" s="3" t="s">
        <v>1059</v>
      </c>
      <c r="C26" s="104">
        <v>8.8307692307692295E-2</v>
      </c>
      <c r="D26" s="104">
        <v>8.9320388349514598E-2</v>
      </c>
      <c r="E26" s="104">
        <v>8.6249999999999993E-2</v>
      </c>
      <c r="F26" s="104">
        <v>8.6703096539162097E-2</v>
      </c>
      <c r="G26" s="104">
        <v>9.2337164750957906E-2</v>
      </c>
    </row>
    <row r="27" spans="1:7" x14ac:dyDescent="0.25">
      <c r="A27" s="31" t="s">
        <v>25</v>
      </c>
      <c r="B27" s="3" t="s">
        <v>1059</v>
      </c>
      <c r="C27" s="104">
        <v>6.7632850241545903E-2</v>
      </c>
      <c r="D27" s="104">
        <v>9.1594827586206906E-2</v>
      </c>
      <c r="E27" s="104">
        <v>5.9615384615384598E-2</v>
      </c>
      <c r="F27" s="104">
        <v>7.5418060200668893E-2</v>
      </c>
      <c r="G27" s="104">
        <v>8.5049833887043194E-2</v>
      </c>
    </row>
    <row r="28" spans="1:7" x14ac:dyDescent="0.25">
      <c r="A28" s="31" t="s">
        <v>26</v>
      </c>
      <c r="B28" s="3" t="s">
        <v>1059</v>
      </c>
      <c r="C28" s="104">
        <v>2.99586776859504E-2</v>
      </c>
      <c r="D28" s="104">
        <v>9.4200000000000006E-2</v>
      </c>
      <c r="E28" s="104">
        <v>4.3459119496855297E-2</v>
      </c>
      <c r="F28" s="104">
        <v>6.6041666666666707E-2</v>
      </c>
      <c r="G28" s="104">
        <v>8.38235294117647E-2</v>
      </c>
    </row>
    <row r="29" spans="1:7" x14ac:dyDescent="0.25">
      <c r="A29" s="31" t="s">
        <v>27</v>
      </c>
      <c r="B29" s="3" t="s">
        <v>1059</v>
      </c>
      <c r="C29" s="104">
        <v>3.0634920634920602E-2</v>
      </c>
      <c r="D29" s="104">
        <v>9.2307692307692299E-2</v>
      </c>
      <c r="E29" s="104">
        <v>4.4158415841584198E-2</v>
      </c>
      <c r="F29" s="104">
        <v>6.5609756097561006E-2</v>
      </c>
      <c r="G29" s="104">
        <v>8.4339080459770094E-2</v>
      </c>
    </row>
    <row r="30" spans="1:7" x14ac:dyDescent="0.25">
      <c r="A30" s="31" t="s">
        <v>28</v>
      </c>
      <c r="B30" s="3" t="s">
        <v>1059</v>
      </c>
      <c r="C30" s="104">
        <v>0.108125</v>
      </c>
      <c r="D30" s="104">
        <v>0.15398936170212801</v>
      </c>
      <c r="E30" s="104">
        <v>0.153198653198653</v>
      </c>
      <c r="F30" s="104">
        <v>0.14896551724137899</v>
      </c>
      <c r="G30" s="104">
        <v>0.15503875968992201</v>
      </c>
    </row>
  </sheetData>
  <sheetProtection algorithmName="SHA-512" hashValue="lVNqnkSvbLyRxFXlz9QLo4iLx97qlgeFN68grR3rnUle1+cQdWoTiX2zFxfmOEx+wgHI3T1K3CXabFQbpVHvlA==" saltValue="73s7vAcdmuQCjnYqFZbEog==" spinCount="100000" sheet="1" objects="1" scenarios="1" formatColumns="0" formatRows="0" autoFilter="0"/>
  <autoFilter ref="A1:G30"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H3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140625" style="4" bestFit="1" customWidth="1"/>
    <col min="3" max="3" width="10.28515625" style="4" bestFit="1" customWidth="1"/>
    <col min="4" max="4" width="13.28515625" bestFit="1" customWidth="1"/>
    <col min="5" max="5" width="27.85546875" bestFit="1" customWidth="1"/>
    <col min="6" max="6" width="12.85546875" bestFit="1" customWidth="1"/>
    <col min="7" max="7" width="14.85546875" bestFit="1" customWidth="1"/>
    <col min="8" max="8" width="18.28515625" bestFit="1" customWidth="1"/>
    <col min="9" max="9" width="12.85546875" style="4" bestFit="1" customWidth="1"/>
    <col min="10" max="10" width="13.5703125" style="5" bestFit="1" customWidth="1"/>
    <col min="11" max="11" width="11.7109375" style="5" bestFit="1" customWidth="1"/>
    <col min="12" max="12" width="11" style="5" bestFit="1" customWidth="1"/>
    <col min="13" max="13" width="12.7109375" style="5" bestFit="1" customWidth="1"/>
    <col min="14" max="14" width="12" style="5" bestFit="1" customWidth="1"/>
    <col min="15" max="15" width="15.5703125" style="5" bestFit="1" customWidth="1"/>
    <col min="16" max="16" width="14.28515625" style="5" bestFit="1" customWidth="1"/>
    <col min="17" max="19" width="15.42578125" style="5" bestFit="1" customWidth="1"/>
    <col min="20" max="20" width="16.42578125" style="5" bestFit="1" customWidth="1"/>
    <col min="21" max="21" width="9.7109375" style="2" bestFit="1" customWidth="1"/>
    <col min="22" max="22" width="9.5703125" style="2" bestFit="1" customWidth="1"/>
    <col min="23" max="24" width="10.5703125" style="2" bestFit="1" customWidth="1"/>
    <col min="25" max="25" width="11.5703125" style="2" bestFit="1" customWidth="1"/>
    <col min="26" max="26" width="9.85546875" style="2" bestFit="1" customWidth="1"/>
    <col min="27" max="27" width="9.7109375" style="2" bestFit="1" customWidth="1"/>
    <col min="28" max="29" width="10.7109375" style="2" bestFit="1" customWidth="1"/>
    <col min="30" max="30" width="11.7109375" style="2" bestFit="1" customWidth="1"/>
    <col min="31" max="31" width="10.42578125" style="2" bestFit="1" customWidth="1"/>
    <col min="32" max="32" width="10.28515625" style="2" bestFit="1" customWidth="1"/>
    <col min="33" max="34" width="11.28515625" style="2" bestFit="1" customWidth="1"/>
    <col min="35" max="36" width="12.28515625" style="2" bestFit="1" customWidth="1"/>
    <col min="37" max="37" width="10.5703125" style="2" bestFit="1" customWidth="1"/>
    <col min="38" max="38" width="10.85546875" style="2" bestFit="1" customWidth="1"/>
    <col min="39" max="39" width="10.5703125" style="2" bestFit="1" customWidth="1"/>
    <col min="40" max="40" width="10.28515625" style="2" bestFit="1" customWidth="1"/>
    <col min="41" max="41" width="14.5703125" style="2" bestFit="1" customWidth="1"/>
    <col min="42" max="42" width="10.28515625" style="2" bestFit="1" customWidth="1"/>
    <col min="43" max="43" width="12.42578125" style="2" bestFit="1" customWidth="1"/>
    <col min="44" max="44" width="11.7109375" style="2" bestFit="1" customWidth="1"/>
    <col min="45" max="45" width="16.28515625" style="2" bestFit="1" customWidth="1"/>
    <col min="46" max="46" width="11.5703125" style="2" bestFit="1" customWidth="1"/>
    <col min="47" max="47" width="16.140625" style="2" bestFit="1" customWidth="1"/>
    <col min="48" max="48" width="9.7109375" style="2" bestFit="1" customWidth="1"/>
    <col min="49" max="49" width="9.28515625" style="2" bestFit="1" customWidth="1"/>
    <col min="50" max="50" width="8.5703125" style="2" bestFit="1" customWidth="1"/>
    <col min="51" max="51" width="11.85546875" style="2" bestFit="1" customWidth="1"/>
    <col min="52" max="52" width="11" style="2" bestFit="1" customWidth="1"/>
    <col min="53" max="53" width="12" style="2" bestFit="1" customWidth="1"/>
    <col min="54" max="54" width="8.42578125" style="3" bestFit="1" customWidth="1"/>
    <col min="55" max="55" width="11.42578125" style="3" bestFit="1" customWidth="1"/>
    <col min="56" max="56" width="11.28515625" style="2" bestFit="1" customWidth="1"/>
    <col min="57" max="57" width="10.85546875" style="3" bestFit="1" customWidth="1"/>
    <col min="58" max="58" width="12.42578125" style="3" bestFit="1" customWidth="1"/>
    <col min="59" max="60" width="8.5703125" style="3" bestFit="1" customWidth="1"/>
    <col min="61" max="16384" width="9.140625" style="3"/>
  </cols>
  <sheetData>
    <row r="1" spans="1:60" s="7" customFormat="1" x14ac:dyDescent="0.25">
      <c r="A1" s="50" t="s">
        <v>39</v>
      </c>
      <c r="B1" s="51" t="s">
        <v>335</v>
      </c>
      <c r="C1" s="51" t="s">
        <v>347</v>
      </c>
      <c r="D1" t="s">
        <v>1411</v>
      </c>
      <c r="E1" t="s">
        <v>1412</v>
      </c>
      <c r="F1" t="s">
        <v>1413</v>
      </c>
      <c r="G1" t="s">
        <v>1414</v>
      </c>
      <c r="H1" t="s">
        <v>1415</v>
      </c>
      <c r="I1" s="30" t="s">
        <v>1416</v>
      </c>
      <c r="J1" s="30" t="s">
        <v>1417</v>
      </c>
      <c r="K1" s="30" t="s">
        <v>1418</v>
      </c>
      <c r="L1" s="30" t="s">
        <v>1419</v>
      </c>
      <c r="M1" s="30" t="s">
        <v>1420</v>
      </c>
      <c r="N1" s="30" t="s">
        <v>1421</v>
      </c>
      <c r="O1" s="30" t="s">
        <v>1422</v>
      </c>
      <c r="P1" s="30" t="s">
        <v>1423</v>
      </c>
      <c r="Q1" s="30" t="s">
        <v>1424</v>
      </c>
      <c r="R1" s="30" t="s">
        <v>1425</v>
      </c>
      <c r="S1" s="30" t="s">
        <v>1426</v>
      </c>
      <c r="T1" s="30" t="s">
        <v>1427</v>
      </c>
      <c r="U1" s="101" t="s">
        <v>29</v>
      </c>
      <c r="V1" s="101" t="s">
        <v>30</v>
      </c>
      <c r="W1" s="101" t="s">
        <v>31</v>
      </c>
      <c r="X1" s="101" t="s">
        <v>32</v>
      </c>
      <c r="Y1" s="101" t="s">
        <v>33</v>
      </c>
      <c r="Z1" s="102" t="s">
        <v>34</v>
      </c>
      <c r="AA1" s="102" t="s">
        <v>35</v>
      </c>
      <c r="AB1" s="102" t="s">
        <v>36</v>
      </c>
      <c r="AC1" s="102" t="s">
        <v>37</v>
      </c>
      <c r="AD1" s="102" t="s">
        <v>38</v>
      </c>
      <c r="AE1" s="100" t="s">
        <v>348</v>
      </c>
      <c r="AF1" s="100" t="s">
        <v>349</v>
      </c>
      <c r="AG1" s="100" t="s">
        <v>350</v>
      </c>
      <c r="AH1" s="100" t="s">
        <v>351</v>
      </c>
      <c r="AI1" s="100" t="s">
        <v>352</v>
      </c>
      <c r="AJ1" s="6" t="s">
        <v>324</v>
      </c>
      <c r="AK1" s="6" t="s">
        <v>325</v>
      </c>
      <c r="AL1" s="6" t="s">
        <v>326</v>
      </c>
      <c r="AM1" s="6" t="s">
        <v>327</v>
      </c>
      <c r="AN1" s="6" t="s">
        <v>328</v>
      </c>
      <c r="AO1" s="6" t="s">
        <v>1403</v>
      </c>
      <c r="AP1" s="6" t="s">
        <v>329</v>
      </c>
      <c r="AQ1" s="6" t="s">
        <v>330</v>
      </c>
      <c r="AR1" s="6" t="s">
        <v>1055</v>
      </c>
      <c r="AS1" s="6" t="s">
        <v>1058</v>
      </c>
      <c r="AT1" s="6" t="s">
        <v>1056</v>
      </c>
      <c r="AU1" s="6" t="s">
        <v>1057</v>
      </c>
      <c r="AV1" s="6" t="s">
        <v>331</v>
      </c>
      <c r="AW1" s="6" t="s">
        <v>332</v>
      </c>
      <c r="AX1" s="6" t="s">
        <v>197</v>
      </c>
      <c r="AY1" s="6" t="s">
        <v>333</v>
      </c>
      <c r="AZ1" s="6" t="s">
        <v>334</v>
      </c>
      <c r="BA1" s="7" t="s">
        <v>339</v>
      </c>
      <c r="BB1" s="7" t="s">
        <v>340</v>
      </c>
      <c r="BC1" s="8" t="s">
        <v>345</v>
      </c>
      <c r="BD1" s="8" t="s">
        <v>344</v>
      </c>
      <c r="BE1" s="8" t="s">
        <v>343</v>
      </c>
      <c r="BF1" s="103" t="s">
        <v>346</v>
      </c>
      <c r="BG1" s="7" t="s">
        <v>358</v>
      </c>
      <c r="BH1" s="7" t="s">
        <v>361</v>
      </c>
    </row>
    <row r="2" spans="1:60" x14ac:dyDescent="0.25">
      <c r="A2" s="31" t="s">
        <v>0</v>
      </c>
      <c r="B2" s="3" t="s">
        <v>1059</v>
      </c>
      <c r="C2" s="3"/>
      <c r="D2" t="s">
        <v>1430</v>
      </c>
      <c r="E2" t="s">
        <v>1429</v>
      </c>
      <c r="F2" t="s">
        <v>1429</v>
      </c>
      <c r="G2">
        <v>5.0000000000000001E-3</v>
      </c>
      <c r="H2">
        <v>5.0000000000000001E-3</v>
      </c>
      <c r="I2" s="2">
        <v>1.9351000000000001E-4</v>
      </c>
      <c r="J2" s="2">
        <v>1.9351000000000001E-4</v>
      </c>
      <c r="K2" s="2">
        <v>5.2864399999999999E-2</v>
      </c>
      <c r="L2" s="2">
        <v>3.3966000000000003E-2</v>
      </c>
      <c r="M2" s="2">
        <v>1.9351000000000001E-4</v>
      </c>
      <c r="N2" s="2">
        <v>1.4281999999999999E-4</v>
      </c>
      <c r="O2" s="2">
        <v>105.72880000000001</v>
      </c>
      <c r="P2" s="2">
        <v>1.54308E-2</v>
      </c>
      <c r="Q2" s="2">
        <v>0.23536799999999999</v>
      </c>
      <c r="R2" s="2">
        <v>1.4589080000000001E-2</v>
      </c>
      <c r="S2" s="2">
        <v>3.8107200000000001E-2</v>
      </c>
      <c r="T2" s="2">
        <v>5.1369999999999999E-2</v>
      </c>
      <c r="U2" s="104">
        <v>0.98115942028985503</v>
      </c>
      <c r="V2" s="104">
        <v>0.94192634560906496</v>
      </c>
      <c r="W2" s="104">
        <v>0.931707317073171</v>
      </c>
      <c r="X2" s="104">
        <v>0.91452991452991494</v>
      </c>
      <c r="Y2" s="104">
        <v>0.91685393258426995</v>
      </c>
      <c r="Z2" s="104">
        <v>1.1999999999999999E-3</v>
      </c>
      <c r="AA2" s="104">
        <v>0.02</v>
      </c>
      <c r="AB2" s="104">
        <v>0.01</v>
      </c>
      <c r="AC2" s="104">
        <v>1.4999999999999999E-2</v>
      </c>
      <c r="AD2" s="104">
        <v>1.7999999999999999E-2</v>
      </c>
      <c r="AE2" s="69">
        <f t="shared" ref="AE2:AI3" si="0">0.4*Z2</f>
        <v>4.7999999999999996E-4</v>
      </c>
      <c r="AF2" s="69">
        <f t="shared" si="0"/>
        <v>8.0000000000000002E-3</v>
      </c>
      <c r="AG2" s="69">
        <f t="shared" si="0"/>
        <v>4.0000000000000001E-3</v>
      </c>
      <c r="AH2" s="69">
        <f t="shared" si="0"/>
        <v>6.0000000000000001E-3</v>
      </c>
      <c r="AI2" s="69">
        <f t="shared" si="0"/>
        <v>7.1999999999999998E-3</v>
      </c>
      <c r="AJ2" s="2">
        <v>2.7397260273972601E-2</v>
      </c>
      <c r="AK2" s="2">
        <v>225</v>
      </c>
      <c r="AL2" s="2">
        <v>1.9999999999999999E-6</v>
      </c>
      <c r="AM2" s="2">
        <v>2.0000000000000002E-5</v>
      </c>
      <c r="AN2" s="2">
        <v>15</v>
      </c>
      <c r="AV2" s="2">
        <v>1E-3</v>
      </c>
      <c r="AW2" s="2">
        <v>0.1</v>
      </c>
      <c r="AX2" s="2">
        <v>1700</v>
      </c>
      <c r="AY2" s="2">
        <v>5.0000000000000001E-4</v>
      </c>
      <c r="AZ2" s="2">
        <v>25.294499999999999</v>
      </c>
      <c r="BA2" s="3">
        <v>15</v>
      </c>
      <c r="BB2" s="3">
        <v>225</v>
      </c>
      <c r="BC2" s="69">
        <f t="shared" ref="BC2:BC3" si="1">BE2+s_lambda_HL</f>
        <v>5.5000000000000002E-5</v>
      </c>
      <c r="BD2" s="69">
        <f t="shared" ref="BD2:BD3" si="2">BE2+(0.693/s_t_w)</f>
        <v>0.1386</v>
      </c>
      <c r="BE2" s="69">
        <v>0</v>
      </c>
      <c r="BF2" s="2">
        <v>10</v>
      </c>
      <c r="BG2" s="69">
        <f t="shared" ref="BG2" si="3">AW2</f>
        <v>0.1</v>
      </c>
      <c r="BH2" s="69">
        <f t="shared" ref="BH2" si="4">AV2</f>
        <v>1E-3</v>
      </c>
    </row>
    <row r="3" spans="1:60" x14ac:dyDescent="0.25">
      <c r="A3" s="32" t="s">
        <v>1</v>
      </c>
      <c r="B3" s="3" t="s">
        <v>336</v>
      </c>
      <c r="C3" s="3"/>
      <c r="D3" t="s">
        <v>120</v>
      </c>
      <c r="E3" t="s">
        <v>1429</v>
      </c>
      <c r="F3" t="s">
        <v>1429</v>
      </c>
      <c r="G3">
        <v>5.0000000000000001E-3</v>
      </c>
      <c r="H3">
        <v>5.0000000000000001E-3</v>
      </c>
      <c r="I3" s="2">
        <v>8.8060000000000005E-4</v>
      </c>
      <c r="J3" s="2">
        <v>8.8060000000000005E-4</v>
      </c>
      <c r="K3" s="2">
        <v>3.7173200000000003E-2</v>
      </c>
      <c r="L3" s="2">
        <v>0.36297000000000001</v>
      </c>
      <c r="M3" s="2">
        <v>8.8060000000000005E-4</v>
      </c>
      <c r="N3" s="2">
        <v>7.5480000000000002E-4</v>
      </c>
      <c r="O3" s="2">
        <v>125.5296</v>
      </c>
      <c r="P3" s="2">
        <v>2.5484199999999999E-2</v>
      </c>
      <c r="Q3" s="2">
        <v>0.28767199999999998</v>
      </c>
      <c r="R3" s="2">
        <v>1.83064E-2</v>
      </c>
      <c r="S3" s="2">
        <v>3.4557999999999998E-2</v>
      </c>
      <c r="T3" s="2">
        <v>3.7173200000000003E-2</v>
      </c>
      <c r="U3" s="104">
        <v>0.98581560283687897</v>
      </c>
      <c r="V3" s="104">
        <v>0.95726495726495697</v>
      </c>
      <c r="W3" s="104">
        <v>0.93096234309623405</v>
      </c>
      <c r="X3" s="104">
        <v>0.90049751243781095</v>
      </c>
      <c r="Y3" s="104">
        <v>0.87357630979498901</v>
      </c>
      <c r="Z3" s="104">
        <v>6.7000000000000002E-5</v>
      </c>
      <c r="AA3" s="104">
        <v>1.4999999999999999E-4</v>
      </c>
      <c r="AB3" s="104">
        <v>1.1E-4</v>
      </c>
      <c r="AC3" s="104">
        <v>1.4999999999999999E-4</v>
      </c>
      <c r="AD3" s="104">
        <v>1.4999999999999999E-4</v>
      </c>
      <c r="AE3" s="69">
        <f t="shared" si="0"/>
        <v>2.6800000000000001E-5</v>
      </c>
      <c r="AF3" s="69">
        <f t="shared" si="0"/>
        <v>5.9999999999999995E-5</v>
      </c>
      <c r="AG3" s="69">
        <f t="shared" si="0"/>
        <v>4.4000000000000006E-5</v>
      </c>
      <c r="AH3" s="69">
        <f t="shared" si="0"/>
        <v>5.9999999999999995E-5</v>
      </c>
      <c r="AI3" s="69">
        <f t="shared" si="0"/>
        <v>5.9999999999999995E-5</v>
      </c>
      <c r="AJ3" s="2">
        <v>432.2</v>
      </c>
      <c r="AK3" s="2">
        <v>241</v>
      </c>
      <c r="AL3" s="2">
        <v>4.2E-7</v>
      </c>
      <c r="AM3" s="2">
        <v>5.0000000000000001E-4</v>
      </c>
      <c r="AN3" s="2">
        <v>240</v>
      </c>
      <c r="AO3" s="2">
        <v>6.0000000000000001E-3</v>
      </c>
      <c r="AP3" s="2">
        <v>3.0000000000000001E-3</v>
      </c>
      <c r="AQ3" s="2">
        <v>1.7000000000000001E-4</v>
      </c>
      <c r="AR3" s="104">
        <v>1.1E-4</v>
      </c>
      <c r="AU3" s="104">
        <v>6.9E-6</v>
      </c>
      <c r="AV3" s="2">
        <v>2.1999999999999999E-5</v>
      </c>
      <c r="AW3" s="2">
        <v>2.52873563218391E-5</v>
      </c>
      <c r="AX3" s="2">
        <v>4</v>
      </c>
      <c r="AY3" s="2">
        <v>5.0000000000000001E-4</v>
      </c>
      <c r="AZ3" s="2">
        <v>1.60342434058306E-3</v>
      </c>
      <c r="BA3" s="3">
        <v>15</v>
      </c>
      <c r="BB3" s="3">
        <v>241</v>
      </c>
      <c r="BC3" s="69">
        <f t="shared" si="1"/>
        <v>5.5000000000000002E-5</v>
      </c>
      <c r="BD3" s="69">
        <f t="shared" si="2"/>
        <v>0.1386</v>
      </c>
      <c r="BE3" s="69">
        <v>0</v>
      </c>
      <c r="BF3" s="2">
        <v>157753</v>
      </c>
      <c r="BG3" s="69">
        <f>AW3</f>
        <v>2.52873563218391E-5</v>
      </c>
      <c r="BH3" s="69">
        <f>AV3</f>
        <v>2.1999999999999999E-5</v>
      </c>
    </row>
    <row r="4" spans="1:60" x14ac:dyDescent="0.25">
      <c r="A4" s="31" t="s">
        <v>2</v>
      </c>
      <c r="B4" s="3" t="s">
        <v>1059</v>
      </c>
      <c r="C4" s="3"/>
      <c r="D4" t="s">
        <v>1428</v>
      </c>
      <c r="E4" t="s">
        <v>1429</v>
      </c>
      <c r="F4" t="s">
        <v>1429</v>
      </c>
      <c r="G4" t="s">
        <v>1429</v>
      </c>
      <c r="H4">
        <v>0</v>
      </c>
      <c r="I4" s="2">
        <v>0</v>
      </c>
      <c r="J4" s="2">
        <v>0</v>
      </c>
      <c r="K4" s="2">
        <v>1.18618E-3</v>
      </c>
      <c r="L4" s="2">
        <v>0</v>
      </c>
      <c r="M4" s="2">
        <v>0</v>
      </c>
      <c r="N4" s="2">
        <v>0</v>
      </c>
      <c r="O4" s="2">
        <v>1.9800800000000001</v>
      </c>
      <c r="P4" s="2">
        <v>2.6536300000000001E-4</v>
      </c>
      <c r="Q4" s="2">
        <v>4.3150799999999998E-3</v>
      </c>
      <c r="R4" s="2">
        <v>2.6899200000000002E-4</v>
      </c>
      <c r="S4" s="2">
        <v>7.5093600000000001E-4</v>
      </c>
      <c r="T4" s="2">
        <v>1.109592E-3</v>
      </c>
      <c r="U4" s="104">
        <v>0.914201183431953</v>
      </c>
      <c r="V4" s="104">
        <v>0.85714285714285698</v>
      </c>
      <c r="W4" s="104">
        <v>0.90909090909090895</v>
      </c>
      <c r="X4" s="104">
        <v>0.91269841269841301</v>
      </c>
      <c r="Y4" s="104">
        <v>0.89869753979739497</v>
      </c>
      <c r="Z4" s="104">
        <v>1.4E-2</v>
      </c>
      <c r="AA4" s="104">
        <v>4.4999999999999998E-2</v>
      </c>
      <c r="AB4" s="104">
        <v>2.5999999999999999E-2</v>
      </c>
      <c r="AC4" s="104">
        <v>3.5999999999999997E-2</v>
      </c>
      <c r="AD4" s="104">
        <v>4.2000000000000003E-2</v>
      </c>
      <c r="AE4" s="69">
        <f t="shared" ref="AE4:AI5" si="5">0.4*Z4</f>
        <v>5.6000000000000008E-3</v>
      </c>
      <c r="AF4" s="69">
        <f t="shared" si="5"/>
        <v>1.7999999999999999E-2</v>
      </c>
      <c r="AG4" s="69">
        <f t="shared" si="5"/>
        <v>1.04E-2</v>
      </c>
      <c r="AH4" s="69">
        <f t="shared" si="5"/>
        <v>1.44E-2</v>
      </c>
      <c r="AI4" s="69">
        <f t="shared" si="5"/>
        <v>1.6800000000000002E-2</v>
      </c>
      <c r="AJ4" s="2">
        <v>1.0242262810756E-9</v>
      </c>
      <c r="AK4" s="2">
        <v>217</v>
      </c>
      <c r="AL4" s="2">
        <v>0.01</v>
      </c>
      <c r="AM4" s="2">
        <v>0.01</v>
      </c>
      <c r="AV4" s="2">
        <v>0.2</v>
      </c>
      <c r="AW4" s="2">
        <v>0.9</v>
      </c>
      <c r="AX4" s="2">
        <v>10</v>
      </c>
      <c r="AZ4" s="2">
        <v>676608297.21362197</v>
      </c>
      <c r="BA4" s="3">
        <v>15</v>
      </c>
      <c r="BB4" s="3">
        <v>217</v>
      </c>
      <c r="BC4" s="69">
        <f t="shared" ref="BC4:BC5" si="6">BE4+s_lambda_HL</f>
        <v>5.5000000000000002E-5</v>
      </c>
      <c r="BD4" s="69">
        <f t="shared" ref="BD4:BD5" si="7">BE4+(0.693/s_t_w)</f>
        <v>0.1386</v>
      </c>
      <c r="BE4" s="69">
        <v>0</v>
      </c>
      <c r="BF4" s="2">
        <v>3.7384259259259298E-7</v>
      </c>
      <c r="BG4" s="69">
        <f t="shared" ref="BG4:BG5" si="8">AW4</f>
        <v>0.9</v>
      </c>
      <c r="BH4" s="69">
        <f t="shared" ref="BH4:BH5" si="9">AV4</f>
        <v>0.2</v>
      </c>
    </row>
    <row r="5" spans="1:60" x14ac:dyDescent="0.25">
      <c r="A5" s="31" t="s">
        <v>3</v>
      </c>
      <c r="B5" s="3" t="s">
        <v>1059</v>
      </c>
      <c r="C5" s="3"/>
      <c r="D5" t="s">
        <v>1428</v>
      </c>
      <c r="E5" t="s">
        <v>1429</v>
      </c>
      <c r="F5" t="s">
        <v>1429</v>
      </c>
      <c r="G5" t="s">
        <v>1429</v>
      </c>
      <c r="H5">
        <v>0</v>
      </c>
      <c r="I5" s="2">
        <v>0</v>
      </c>
      <c r="J5" s="2">
        <v>0</v>
      </c>
      <c r="K5" s="2">
        <v>5.56664E-5</v>
      </c>
      <c r="L5" s="2">
        <v>0</v>
      </c>
      <c r="M5" s="2">
        <v>0</v>
      </c>
      <c r="N5" s="2">
        <v>0</v>
      </c>
      <c r="O5" s="2">
        <v>0.183064</v>
      </c>
      <c r="P5" s="2">
        <v>1.4612499999999999E-4</v>
      </c>
      <c r="Q5" s="2">
        <v>2.3350000000000001E-4</v>
      </c>
      <c r="R5" s="2">
        <v>3.1569200000000003E-5</v>
      </c>
      <c r="S5" s="2">
        <v>4.4271599999999998E-5</v>
      </c>
      <c r="T5" s="2">
        <v>5.3424799999999997E-5</v>
      </c>
      <c r="U5" s="104">
        <v>0.9</v>
      </c>
      <c r="V5" s="104">
        <v>0.9</v>
      </c>
      <c r="W5" s="104">
        <v>0.9</v>
      </c>
      <c r="X5" s="104">
        <v>0.9</v>
      </c>
      <c r="Y5" s="104">
        <v>0.9</v>
      </c>
      <c r="Z5" s="104">
        <v>0</v>
      </c>
      <c r="AA5" s="104">
        <v>0</v>
      </c>
      <c r="AB5" s="104">
        <v>0</v>
      </c>
      <c r="AC5" s="104">
        <v>0</v>
      </c>
      <c r="AD5" s="104">
        <v>0</v>
      </c>
      <c r="AE5" s="69">
        <f t="shared" si="5"/>
        <v>0</v>
      </c>
      <c r="AF5" s="69">
        <f t="shared" si="5"/>
        <v>0</v>
      </c>
      <c r="AG5" s="69">
        <f t="shared" si="5"/>
        <v>0</v>
      </c>
      <c r="AH5" s="69">
        <f t="shared" si="5"/>
        <v>0</v>
      </c>
      <c r="AI5" s="69">
        <f t="shared" si="5"/>
        <v>0</v>
      </c>
      <c r="AJ5" s="2">
        <v>4.7564687975646899E-8</v>
      </c>
      <c r="AK5" s="2">
        <v>218</v>
      </c>
      <c r="AL5" s="2">
        <v>0.01</v>
      </c>
      <c r="AM5" s="2">
        <v>0.01</v>
      </c>
      <c r="AV5" s="2">
        <v>0.2</v>
      </c>
      <c r="AW5" s="2">
        <v>0.9</v>
      </c>
      <c r="AX5" s="2">
        <v>10</v>
      </c>
      <c r="AZ5" s="2">
        <v>14569632</v>
      </c>
      <c r="BA5" s="3">
        <v>15</v>
      </c>
      <c r="BB5" s="3">
        <v>218</v>
      </c>
      <c r="BC5" s="69">
        <f t="shared" si="6"/>
        <v>5.5000000000000002E-5</v>
      </c>
      <c r="BD5" s="69">
        <f t="shared" si="7"/>
        <v>0.1386</v>
      </c>
      <c r="BE5" s="69">
        <v>0</v>
      </c>
      <c r="BF5" s="2">
        <v>1.7361111111111101E-5</v>
      </c>
      <c r="BG5" s="69">
        <f t="shared" si="8"/>
        <v>0.9</v>
      </c>
      <c r="BH5" s="69">
        <f t="shared" si="9"/>
        <v>0.2</v>
      </c>
    </row>
    <row r="6" spans="1:60" x14ac:dyDescent="0.25">
      <c r="A6" s="31" t="s">
        <v>4</v>
      </c>
      <c r="B6" s="3" t="s">
        <v>1059</v>
      </c>
      <c r="C6" s="3"/>
      <c r="D6" t="s">
        <v>1428</v>
      </c>
      <c r="E6" t="s">
        <v>1429</v>
      </c>
      <c r="F6" t="s">
        <v>1429</v>
      </c>
      <c r="G6" t="s">
        <v>1429</v>
      </c>
      <c r="H6">
        <v>0</v>
      </c>
      <c r="I6" s="2">
        <v>0</v>
      </c>
      <c r="J6" s="2">
        <v>0</v>
      </c>
      <c r="K6" s="2">
        <v>3.3810799999999999</v>
      </c>
      <c r="L6" s="2">
        <v>0</v>
      </c>
      <c r="M6" s="2">
        <v>0</v>
      </c>
      <c r="N6" s="2">
        <v>0</v>
      </c>
      <c r="O6" s="2">
        <v>5024.92</v>
      </c>
      <c r="P6" s="2">
        <v>0.67451300000000003</v>
      </c>
      <c r="Q6" s="2">
        <v>10.89044</v>
      </c>
      <c r="R6" s="2">
        <v>0.67247999999999997</v>
      </c>
      <c r="S6" s="2">
        <v>1.92404</v>
      </c>
      <c r="T6" s="2">
        <v>3.0074800000000002</v>
      </c>
      <c r="U6" s="104">
        <v>0.88636363636363602</v>
      </c>
      <c r="V6" s="104">
        <v>0.91519434628975305</v>
      </c>
      <c r="W6" s="104">
        <v>0.93487394957983205</v>
      </c>
      <c r="X6" s="104">
        <v>0.91752577319587603</v>
      </c>
      <c r="Y6" s="104">
        <v>0.95541401273885396</v>
      </c>
      <c r="Z6" s="104">
        <v>2.7E-2</v>
      </c>
      <c r="AA6" s="104">
        <v>8.2000000000000003E-2</v>
      </c>
      <c r="AB6" s="104">
        <v>4.2999999999999997E-2</v>
      </c>
      <c r="AC6" s="104">
        <v>6.2E-2</v>
      </c>
      <c r="AD6" s="104">
        <v>7.1999999999999995E-2</v>
      </c>
      <c r="AE6" s="69">
        <f t="shared" ref="AE6:AI7" si="10">0.4*Z6</f>
        <v>1.0800000000000001E-2</v>
      </c>
      <c r="AF6" s="69">
        <f t="shared" si="10"/>
        <v>3.2800000000000003E-2</v>
      </c>
      <c r="AG6" s="69">
        <f t="shared" si="10"/>
        <v>1.72E-2</v>
      </c>
      <c r="AH6" s="69">
        <f t="shared" si="10"/>
        <v>2.4800000000000003E-2</v>
      </c>
      <c r="AI6" s="69">
        <f t="shared" si="10"/>
        <v>2.8799999999999999E-2</v>
      </c>
      <c r="AJ6" s="2">
        <v>4.8554033485540298E-6</v>
      </c>
      <c r="AK6" s="2">
        <v>137</v>
      </c>
      <c r="AL6" s="2">
        <v>1.6000000000000001E-4</v>
      </c>
      <c r="AM6" s="2">
        <v>1.3999999999999999E-4</v>
      </c>
      <c r="AN6" s="2">
        <v>1.2</v>
      </c>
      <c r="AO6" s="2">
        <v>1.9E-2</v>
      </c>
      <c r="AP6" s="2">
        <v>0.87</v>
      </c>
      <c r="AR6" s="104">
        <v>5.0000000000000001E-3</v>
      </c>
      <c r="AS6" s="104">
        <v>4.1000000000000002E-2</v>
      </c>
      <c r="AT6" s="104">
        <v>1.2999999999999999E-5</v>
      </c>
      <c r="AU6" s="104">
        <v>1.0999999999999999E-2</v>
      </c>
      <c r="AV6" s="2">
        <v>1E-3</v>
      </c>
      <c r="AW6" s="2">
        <v>1.1494252873563201E-3</v>
      </c>
      <c r="AX6" s="2">
        <v>0.4</v>
      </c>
      <c r="AZ6" s="2">
        <v>142727.58620689699</v>
      </c>
      <c r="BA6" s="3"/>
      <c r="BB6" s="3">
        <v>137</v>
      </c>
      <c r="BC6" s="69">
        <f t="shared" ref="BC6:BC9" si="11">BE6+s_lambda_HL</f>
        <v>5.5000000000000002E-5</v>
      </c>
      <c r="BD6" s="69">
        <f t="shared" ref="BD6:BD9" si="12">BE6+(0.693/s_t_w)</f>
        <v>0.1386</v>
      </c>
      <c r="BE6" s="69">
        <v>0</v>
      </c>
      <c r="BF6" s="2">
        <v>1.77222222222222E-3</v>
      </c>
      <c r="BG6" s="69">
        <f t="shared" ref="BG6:BG9" si="13">AW6</f>
        <v>1.1494252873563201E-3</v>
      </c>
      <c r="BH6" s="69">
        <f t="shared" ref="BH6:BH9" si="14">AV6</f>
        <v>1E-3</v>
      </c>
    </row>
    <row r="7" spans="1:60" x14ac:dyDescent="0.25">
      <c r="A7" s="31" t="s">
        <v>5</v>
      </c>
      <c r="B7" s="3" t="s">
        <v>1059</v>
      </c>
      <c r="C7" s="3"/>
      <c r="D7" t="s">
        <v>1430</v>
      </c>
      <c r="E7" t="s">
        <v>1429</v>
      </c>
      <c r="F7" t="s">
        <v>1429</v>
      </c>
      <c r="G7">
        <v>0.1</v>
      </c>
      <c r="H7">
        <v>0.1</v>
      </c>
      <c r="I7" s="2">
        <v>6.6599999999999998E-6</v>
      </c>
      <c r="J7" s="2">
        <v>6.6599999999999998E-6</v>
      </c>
      <c r="K7" s="2">
        <v>5.4732399999999999E-3</v>
      </c>
      <c r="L7" s="2">
        <v>5.4020000000000001E-4</v>
      </c>
      <c r="M7" s="2">
        <v>6.6599999999999998E-6</v>
      </c>
      <c r="N7" s="2">
        <v>4.8470000000000003E-6</v>
      </c>
      <c r="O7" s="2">
        <v>48.194400000000002</v>
      </c>
      <c r="P7" s="2">
        <v>4.1031900000000003E-2</v>
      </c>
      <c r="Q7" s="2">
        <v>5.5666399999999998E-2</v>
      </c>
      <c r="R7" s="2">
        <v>3.13824E-3</v>
      </c>
      <c r="S7" s="2">
        <v>4.5392399999999999E-3</v>
      </c>
      <c r="T7" s="2">
        <v>5.3611600000000002E-3</v>
      </c>
      <c r="U7" s="104">
        <v>0.90997566909975702</v>
      </c>
      <c r="V7" s="104">
        <v>0.867088607594937</v>
      </c>
      <c r="W7" s="104">
        <v>0.90839694656488501</v>
      </c>
      <c r="X7" s="104">
        <v>0.92993630573248398</v>
      </c>
      <c r="Y7" s="104">
        <v>0.87429854096520798</v>
      </c>
      <c r="Z7" s="104">
        <v>1.4E-2</v>
      </c>
      <c r="AA7" s="104">
        <v>0.04</v>
      </c>
      <c r="AB7" s="104">
        <v>2.4E-2</v>
      </c>
      <c r="AC7" s="104">
        <v>3.2000000000000001E-2</v>
      </c>
      <c r="AD7" s="104">
        <v>3.6999999999999998E-2</v>
      </c>
      <c r="AE7" s="69">
        <f t="shared" si="10"/>
        <v>5.6000000000000008E-3</v>
      </c>
      <c r="AF7" s="69">
        <f t="shared" si="10"/>
        <v>1.6E-2</v>
      </c>
      <c r="AG7" s="69">
        <f t="shared" si="10"/>
        <v>9.6000000000000009E-3</v>
      </c>
      <c r="AH7" s="69">
        <f t="shared" si="10"/>
        <v>1.2800000000000001E-2</v>
      </c>
      <c r="AI7" s="69">
        <f t="shared" si="10"/>
        <v>1.4800000000000001E-2</v>
      </c>
      <c r="AJ7" s="2">
        <v>1.37342465753425E-2</v>
      </c>
      <c r="AK7" s="2">
        <v>210</v>
      </c>
      <c r="AL7" s="2">
        <v>1E-3</v>
      </c>
      <c r="AM7" s="2">
        <v>2E-3</v>
      </c>
      <c r="AN7" s="2">
        <v>15</v>
      </c>
      <c r="AV7" s="2">
        <v>0.1</v>
      </c>
      <c r="AW7" s="2">
        <v>0.5</v>
      </c>
      <c r="AX7" s="2">
        <v>480</v>
      </c>
      <c r="AY7" s="2">
        <v>0.05</v>
      </c>
      <c r="AZ7" s="2">
        <v>50.457809694793497</v>
      </c>
      <c r="BA7" s="3">
        <v>15</v>
      </c>
      <c r="BB7" s="3">
        <v>210</v>
      </c>
      <c r="BC7" s="69">
        <f t="shared" si="11"/>
        <v>5.5000000000000002E-5</v>
      </c>
      <c r="BD7" s="69">
        <f t="shared" si="12"/>
        <v>0.1386</v>
      </c>
      <c r="BE7" s="69">
        <v>0</v>
      </c>
      <c r="BF7" s="2">
        <v>5.0129999999999999</v>
      </c>
      <c r="BG7" s="69">
        <f t="shared" si="13"/>
        <v>0.5</v>
      </c>
      <c r="BH7" s="69">
        <f t="shared" si="14"/>
        <v>0.1</v>
      </c>
    </row>
    <row r="8" spans="1:60" x14ac:dyDescent="0.25">
      <c r="A8" s="31" t="s">
        <v>6</v>
      </c>
      <c r="B8" s="3" t="s">
        <v>1059</v>
      </c>
      <c r="C8" s="3"/>
      <c r="D8" t="s">
        <v>1430</v>
      </c>
      <c r="E8" t="s">
        <v>1429</v>
      </c>
      <c r="F8" t="s">
        <v>1429</v>
      </c>
      <c r="G8">
        <v>0.1</v>
      </c>
      <c r="H8">
        <v>0.1</v>
      </c>
      <c r="I8" s="2">
        <v>9.9159999999999996E-7</v>
      </c>
      <c r="J8" s="2">
        <v>9.9159999999999996E-7</v>
      </c>
      <c r="K8" s="2">
        <v>0.68742400000000004</v>
      </c>
      <c r="L8" s="2">
        <v>1.3134999999999999E-4</v>
      </c>
      <c r="M8" s="2">
        <v>9.9159999999999996E-7</v>
      </c>
      <c r="N8" s="2">
        <v>7.3259999999999998E-7</v>
      </c>
      <c r="O8" s="2">
        <v>1109.5920000000001</v>
      </c>
      <c r="P8" s="2">
        <v>0.191716</v>
      </c>
      <c r="Q8" s="2">
        <v>2.3536800000000002</v>
      </c>
      <c r="R8" s="2">
        <v>0.148506</v>
      </c>
      <c r="S8" s="2">
        <v>0.41469600000000001</v>
      </c>
      <c r="T8" s="2">
        <v>0.62951599999999996</v>
      </c>
      <c r="U8" s="104">
        <v>0.88690476190476197</v>
      </c>
      <c r="V8" s="104">
        <v>0.97311827956989205</v>
      </c>
      <c r="W8" s="104">
        <v>0.93904761904761902</v>
      </c>
      <c r="X8" s="104">
        <v>0.93809523809523798</v>
      </c>
      <c r="Y8" s="104">
        <v>0.89295774647887305</v>
      </c>
      <c r="Z8" s="104">
        <v>0.02</v>
      </c>
      <c r="AA8" s="104">
        <v>6.2E-2</v>
      </c>
      <c r="AB8" s="104">
        <v>3.5000000000000003E-2</v>
      </c>
      <c r="AC8" s="104">
        <v>4.8000000000000001E-2</v>
      </c>
      <c r="AD8" s="104">
        <v>5.5E-2</v>
      </c>
      <c r="AE8" s="69">
        <f t="shared" ref="AE8:AI9" si="15">0.4*Z8</f>
        <v>8.0000000000000002E-3</v>
      </c>
      <c r="AF8" s="69">
        <f t="shared" si="15"/>
        <v>2.4800000000000003E-2</v>
      </c>
      <c r="AG8" s="69">
        <f t="shared" si="15"/>
        <v>1.4000000000000002E-2</v>
      </c>
      <c r="AH8" s="69">
        <f t="shared" si="15"/>
        <v>1.9200000000000002E-2</v>
      </c>
      <c r="AI8" s="69">
        <f t="shared" si="15"/>
        <v>2.2000000000000002E-2</v>
      </c>
      <c r="AJ8" s="2">
        <v>8.6738964992389594E-5</v>
      </c>
      <c r="AK8" s="2">
        <v>213</v>
      </c>
      <c r="AL8" s="2">
        <v>1E-3</v>
      </c>
      <c r="AM8" s="2">
        <v>2E-3</v>
      </c>
      <c r="AN8" s="2">
        <v>15</v>
      </c>
      <c r="AV8" s="2">
        <v>0.1</v>
      </c>
      <c r="AW8" s="2">
        <v>0.5</v>
      </c>
      <c r="AX8" s="2">
        <v>480</v>
      </c>
      <c r="AY8" s="2">
        <v>0.05</v>
      </c>
      <c r="AZ8" s="2">
        <v>7989.4889230094304</v>
      </c>
      <c r="BA8" s="3">
        <v>15</v>
      </c>
      <c r="BB8" s="3">
        <v>213</v>
      </c>
      <c r="BC8" s="69">
        <f t="shared" si="11"/>
        <v>5.5000000000000002E-5</v>
      </c>
      <c r="BD8" s="69">
        <f t="shared" si="12"/>
        <v>0.1386</v>
      </c>
      <c r="BE8" s="69">
        <v>0</v>
      </c>
      <c r="BF8" s="2">
        <v>3.16597222222222E-2</v>
      </c>
      <c r="BG8" s="69">
        <f t="shared" si="13"/>
        <v>0.5</v>
      </c>
      <c r="BH8" s="69">
        <f t="shared" si="14"/>
        <v>0.1</v>
      </c>
    </row>
    <row r="9" spans="1:60" x14ac:dyDescent="0.25">
      <c r="A9" s="31" t="s">
        <v>7</v>
      </c>
      <c r="B9" s="3" t="s">
        <v>1059</v>
      </c>
      <c r="C9" s="3"/>
      <c r="D9" t="s">
        <v>1430</v>
      </c>
      <c r="E9" t="s">
        <v>1429</v>
      </c>
      <c r="F9" t="s">
        <v>1429</v>
      </c>
      <c r="G9">
        <v>0.1</v>
      </c>
      <c r="H9">
        <v>0.1</v>
      </c>
      <c r="I9" s="2">
        <v>5.5130000000000002E-7</v>
      </c>
      <c r="J9" s="2">
        <v>5.5130000000000002E-7</v>
      </c>
      <c r="K9" s="2">
        <v>9.1345200000000002</v>
      </c>
      <c r="L9" s="2">
        <v>3.6600000000000002E-5</v>
      </c>
      <c r="M9" s="2">
        <v>5.5130000000000002E-7</v>
      </c>
      <c r="N9" s="2">
        <v>4.144E-7</v>
      </c>
      <c r="O9" s="2">
        <v>13281.48</v>
      </c>
      <c r="P9" s="2">
        <v>1.65998</v>
      </c>
      <c r="Q9" s="2">
        <v>28.767199999999999</v>
      </c>
      <c r="R9" s="2">
        <v>1.6288959999999999</v>
      </c>
      <c r="S9" s="2">
        <v>4.7073600000000004</v>
      </c>
      <c r="T9" s="2">
        <v>7.6214399999999998</v>
      </c>
      <c r="U9" s="104">
        <v>0.86585365853658502</v>
      </c>
      <c r="V9" s="104">
        <v>0.94236311239193105</v>
      </c>
      <c r="W9" s="104">
        <v>0.934579439252336</v>
      </c>
      <c r="X9" s="104">
        <v>0.94453004622496095</v>
      </c>
      <c r="Y9" s="104">
        <v>0.9375</v>
      </c>
      <c r="Z9" s="104">
        <v>3.9E-2</v>
      </c>
      <c r="AA9" s="104">
        <v>0.13</v>
      </c>
      <c r="AB9" s="104">
        <v>6.4000000000000001E-2</v>
      </c>
      <c r="AC9" s="104">
        <v>0.09</v>
      </c>
      <c r="AD9" s="104">
        <v>0.11</v>
      </c>
      <c r="AE9" s="69">
        <f t="shared" si="15"/>
        <v>1.5600000000000001E-2</v>
      </c>
      <c r="AF9" s="69">
        <f t="shared" si="15"/>
        <v>5.2000000000000005E-2</v>
      </c>
      <c r="AG9" s="69">
        <f t="shared" si="15"/>
        <v>2.5600000000000001E-2</v>
      </c>
      <c r="AH9" s="69">
        <f t="shared" si="15"/>
        <v>3.5999999999999997E-2</v>
      </c>
      <c r="AI9" s="69">
        <f t="shared" si="15"/>
        <v>4.4000000000000004E-2</v>
      </c>
      <c r="AJ9" s="2">
        <v>3.7861491628614902E-5</v>
      </c>
      <c r="AK9" s="2">
        <v>214</v>
      </c>
      <c r="AL9" s="2">
        <v>1E-3</v>
      </c>
      <c r="AM9" s="2">
        <v>2E-3</v>
      </c>
      <c r="AN9" s="2">
        <v>15</v>
      </c>
      <c r="AV9" s="2">
        <v>0.1</v>
      </c>
      <c r="AW9" s="2">
        <v>0.5</v>
      </c>
      <c r="AX9" s="2">
        <v>480</v>
      </c>
      <c r="AY9" s="2">
        <v>0.05</v>
      </c>
      <c r="AZ9" s="2">
        <v>18303.557788944701</v>
      </c>
      <c r="BA9" s="3">
        <v>15</v>
      </c>
      <c r="BB9" s="3">
        <v>214</v>
      </c>
      <c r="BC9" s="69">
        <f t="shared" si="11"/>
        <v>5.5000000000000002E-5</v>
      </c>
      <c r="BD9" s="69">
        <f t="shared" si="12"/>
        <v>0.1386</v>
      </c>
      <c r="BE9" s="69">
        <v>0</v>
      </c>
      <c r="BF9" s="2">
        <v>1.38194444444444E-2</v>
      </c>
      <c r="BG9" s="69">
        <f t="shared" si="13"/>
        <v>0.5</v>
      </c>
      <c r="BH9" s="69">
        <f t="shared" si="14"/>
        <v>0.1</v>
      </c>
    </row>
    <row r="10" spans="1:60" x14ac:dyDescent="0.25">
      <c r="A10" s="32" t="s">
        <v>8</v>
      </c>
      <c r="B10" s="3" t="s">
        <v>336</v>
      </c>
      <c r="C10" s="3"/>
      <c r="D10" t="s">
        <v>1430</v>
      </c>
      <c r="E10" t="s">
        <v>1429</v>
      </c>
      <c r="F10" t="s">
        <v>1429</v>
      </c>
      <c r="G10">
        <v>1</v>
      </c>
      <c r="H10">
        <v>0.02</v>
      </c>
      <c r="I10" s="2">
        <v>4.9209999999999998E-5</v>
      </c>
      <c r="J10" s="2">
        <v>4.9209999999999998E-5</v>
      </c>
      <c r="K10" s="2">
        <v>8.6861999999999996E-4</v>
      </c>
      <c r="L10" s="2">
        <v>1.5428999999999999E-4</v>
      </c>
      <c r="M10" s="2">
        <v>4.9209999999999998E-5</v>
      </c>
      <c r="N10" s="2">
        <v>5.0319999999999999E-5</v>
      </c>
      <c r="O10" s="2">
        <v>17.559200000000001</v>
      </c>
      <c r="P10" s="2">
        <v>3.6589700000000001E-3</v>
      </c>
      <c r="Q10" s="2">
        <v>1.9613999999999999E-2</v>
      </c>
      <c r="R10" s="2">
        <v>4.0161999999999999E-4</v>
      </c>
      <c r="S10" s="2">
        <v>7.0049999999999995E-4</v>
      </c>
      <c r="T10" s="2">
        <v>8.5367600000000004E-4</v>
      </c>
      <c r="U10" s="104">
        <v>0.90521327014218</v>
      </c>
      <c r="V10" s="104">
        <v>0.85365853658536595</v>
      </c>
      <c r="W10" s="104">
        <v>0.91304347826086996</v>
      </c>
      <c r="X10" s="104">
        <v>0.92797118847538995</v>
      </c>
      <c r="Y10" s="104">
        <v>0.87368421052631595</v>
      </c>
      <c r="Z10" s="104">
        <v>2.7E-2</v>
      </c>
      <c r="AA10" s="104">
        <v>7.4999999999999997E-2</v>
      </c>
      <c r="AB10" s="104">
        <v>4.4999999999999998E-2</v>
      </c>
      <c r="AC10" s="104">
        <v>6.2E-2</v>
      </c>
      <c r="AD10" s="104">
        <v>7.1999999999999995E-2</v>
      </c>
      <c r="AE10" s="69">
        <f t="shared" ref="AE10:AI10" si="16">0.4*Z10</f>
        <v>1.0800000000000001E-2</v>
      </c>
      <c r="AF10" s="69">
        <f t="shared" si="16"/>
        <v>0.03</v>
      </c>
      <c r="AG10" s="69">
        <f t="shared" si="16"/>
        <v>1.7999999999999999E-2</v>
      </c>
      <c r="AH10" s="69">
        <f t="shared" si="16"/>
        <v>2.4800000000000003E-2</v>
      </c>
      <c r="AI10" s="69">
        <f t="shared" si="16"/>
        <v>2.8799999999999999E-2</v>
      </c>
      <c r="AJ10" s="2">
        <v>30.167100000000001</v>
      </c>
      <c r="AK10" s="2">
        <v>137</v>
      </c>
      <c r="AL10" s="2">
        <v>4.5999999999999999E-3</v>
      </c>
      <c r="AM10" s="2">
        <v>2.1999999999999999E-2</v>
      </c>
      <c r="AN10" s="2">
        <v>2500</v>
      </c>
      <c r="AO10" s="2">
        <v>2.7</v>
      </c>
      <c r="AP10" s="2">
        <v>0.4</v>
      </c>
      <c r="AQ10" s="2">
        <v>0.2</v>
      </c>
      <c r="AR10" s="104">
        <v>0.19</v>
      </c>
      <c r="AS10" s="104">
        <v>5.8000000000000003E-2</v>
      </c>
      <c r="AT10" s="104">
        <v>0.32</v>
      </c>
      <c r="AU10" s="104">
        <v>0.11</v>
      </c>
      <c r="AV10" s="2">
        <v>2.9000000000000001E-2</v>
      </c>
      <c r="AW10" s="2">
        <v>3.3333333333333298E-2</v>
      </c>
      <c r="AX10" s="2">
        <v>10</v>
      </c>
      <c r="AY10" s="2">
        <v>1</v>
      </c>
      <c r="AZ10" s="2">
        <v>2.2972045705420802E-2</v>
      </c>
      <c r="BA10" s="3">
        <v>200</v>
      </c>
      <c r="BB10" s="3">
        <v>137</v>
      </c>
      <c r="BC10" s="69">
        <f t="shared" ref="BC10" si="17">BE10+s_lambda_HL</f>
        <v>5.5000000000000002E-5</v>
      </c>
      <c r="BD10" s="69">
        <f t="shared" ref="BD10" si="18">BE10+(0.693/s_t_w)</f>
        <v>0.1386</v>
      </c>
      <c r="BE10" s="69">
        <v>0</v>
      </c>
      <c r="BF10" s="2">
        <v>11010.9915</v>
      </c>
      <c r="BG10" s="69">
        <f t="shared" ref="BG10" si="19">AW10</f>
        <v>3.3333333333333298E-2</v>
      </c>
      <c r="BH10" s="69">
        <f t="shared" ref="BH10" si="20">AV10</f>
        <v>2.9000000000000001E-2</v>
      </c>
    </row>
    <row r="11" spans="1:60" x14ac:dyDescent="0.25">
      <c r="A11" s="31" t="s">
        <v>9</v>
      </c>
      <c r="B11" s="3" t="s">
        <v>1059</v>
      </c>
      <c r="C11" s="3"/>
      <c r="D11" t="s">
        <v>1428</v>
      </c>
      <c r="E11" t="s">
        <v>1429</v>
      </c>
      <c r="F11" t="s">
        <v>1429</v>
      </c>
      <c r="G11" t="s">
        <v>1429</v>
      </c>
      <c r="H11">
        <v>0</v>
      </c>
      <c r="I11" s="2">
        <v>0</v>
      </c>
      <c r="J11" s="2">
        <v>0</v>
      </c>
      <c r="K11" s="2">
        <v>0.13318840000000001</v>
      </c>
      <c r="L11" s="2">
        <v>0</v>
      </c>
      <c r="M11" s="2">
        <v>0</v>
      </c>
      <c r="N11" s="2">
        <v>0</v>
      </c>
      <c r="O11" s="2">
        <v>233.5</v>
      </c>
      <c r="P11" s="2">
        <v>3.1446099999999998E-2</v>
      </c>
      <c r="Q11" s="2">
        <v>0.51370000000000005</v>
      </c>
      <c r="R11" s="2">
        <v>3.19428E-2</v>
      </c>
      <c r="S11" s="2">
        <v>8.9290400000000006E-2</v>
      </c>
      <c r="T11" s="2">
        <v>0.1281448</v>
      </c>
      <c r="U11" s="104">
        <v>0.92753623188405798</v>
      </c>
      <c r="V11" s="104">
        <v>0.82352941176470595</v>
      </c>
      <c r="W11" s="104">
        <v>0.890625</v>
      </c>
      <c r="X11" s="104">
        <v>0.908496732026144</v>
      </c>
      <c r="Y11" s="104">
        <v>0.88038277511961704</v>
      </c>
      <c r="Z11" s="104">
        <v>9.7999999999999997E-3</v>
      </c>
      <c r="AA11" s="104">
        <v>2.5999999999999999E-2</v>
      </c>
      <c r="AB11" s="104">
        <v>1.9E-2</v>
      </c>
      <c r="AC11" s="104">
        <v>2.4E-2</v>
      </c>
      <c r="AD11" s="104">
        <v>2.5999999999999999E-2</v>
      </c>
      <c r="AE11" s="69">
        <f t="shared" ref="AE11:AI11" si="21">0.4*Z11</f>
        <v>3.9199999999999999E-3</v>
      </c>
      <c r="AF11" s="69">
        <f t="shared" si="21"/>
        <v>1.04E-2</v>
      </c>
      <c r="AG11" s="69">
        <f t="shared" si="21"/>
        <v>7.6E-3</v>
      </c>
      <c r="AH11" s="69">
        <f t="shared" si="21"/>
        <v>9.6000000000000009E-3</v>
      </c>
      <c r="AI11" s="69">
        <f t="shared" si="21"/>
        <v>1.04E-2</v>
      </c>
      <c r="AJ11" s="2">
        <v>9.3226788432267907E-6</v>
      </c>
      <c r="AK11" s="2">
        <v>221</v>
      </c>
      <c r="AL11" s="2">
        <v>8.0000000000000002E-3</v>
      </c>
      <c r="AM11" s="2">
        <v>0.03</v>
      </c>
      <c r="AV11" s="2">
        <v>0.03</v>
      </c>
      <c r="AW11" s="2">
        <v>0.1</v>
      </c>
      <c r="AX11" s="2">
        <v>250</v>
      </c>
      <c r="AZ11" s="2">
        <v>74334.857142857101</v>
      </c>
      <c r="BA11" s="3">
        <v>15</v>
      </c>
      <c r="BB11" s="3">
        <v>221</v>
      </c>
      <c r="BC11" s="69">
        <f t="shared" ref="BC11" si="22">BE11+s_lambda_HL</f>
        <v>5.5000000000000002E-5</v>
      </c>
      <c r="BD11" s="69">
        <f t="shared" ref="BD11" si="23">BE11+(0.693/s_t_w)</f>
        <v>0.1386</v>
      </c>
      <c r="BE11" s="69">
        <v>0</v>
      </c>
      <c r="BF11" s="2">
        <v>3.4027777777777802E-3</v>
      </c>
      <c r="BG11" s="69">
        <f t="shared" ref="BG11" si="24">AW11</f>
        <v>0.1</v>
      </c>
      <c r="BH11" s="69">
        <f t="shared" ref="BH11" si="25">AV11</f>
        <v>0.03</v>
      </c>
    </row>
    <row r="12" spans="1:60" x14ac:dyDescent="0.25">
      <c r="A12" s="31" t="s">
        <v>10</v>
      </c>
      <c r="B12" s="3" t="s">
        <v>1059</v>
      </c>
      <c r="C12" s="3"/>
      <c r="D12" t="s">
        <v>1428</v>
      </c>
      <c r="E12" t="s">
        <v>1429</v>
      </c>
      <c r="F12" t="s">
        <v>1429</v>
      </c>
      <c r="G12" t="s">
        <v>1429</v>
      </c>
      <c r="H12">
        <v>0</v>
      </c>
      <c r="I12" s="2">
        <v>0</v>
      </c>
      <c r="J12" s="2">
        <v>0</v>
      </c>
      <c r="K12" s="2">
        <v>0.61270400000000003</v>
      </c>
      <c r="L12" s="2">
        <v>0</v>
      </c>
      <c r="M12" s="2">
        <v>0</v>
      </c>
      <c r="N12" s="2">
        <v>0</v>
      </c>
      <c r="O12" s="2">
        <v>1038.6079999999999</v>
      </c>
      <c r="P12" s="2">
        <v>0.174181</v>
      </c>
      <c r="Q12" s="2">
        <v>2.2229199999999998</v>
      </c>
      <c r="R12" s="2">
        <v>0.1386056</v>
      </c>
      <c r="S12" s="2">
        <v>0.38667600000000002</v>
      </c>
      <c r="T12" s="2">
        <v>0.57347599999999999</v>
      </c>
      <c r="U12" s="104">
        <v>0.90184049079754602</v>
      </c>
      <c r="V12" s="104">
        <v>0.89376053962900504</v>
      </c>
      <c r="W12" s="104">
        <v>0.92254901960784297</v>
      </c>
      <c r="X12" s="104">
        <v>0.92845528455284598</v>
      </c>
      <c r="Y12" s="104">
        <v>0.88405797101449302</v>
      </c>
      <c r="Z12" s="104">
        <v>1.6E-2</v>
      </c>
      <c r="AA12" s="104">
        <v>0.05</v>
      </c>
      <c r="AB12" s="104">
        <v>2.7E-2</v>
      </c>
      <c r="AC12" s="104">
        <v>3.6999999999999998E-2</v>
      </c>
      <c r="AD12" s="104">
        <v>4.3999999999999997E-2</v>
      </c>
      <c r="AE12" s="69">
        <f t="shared" ref="AE12:AI12" si="26">0.4*Z12</f>
        <v>6.4000000000000003E-3</v>
      </c>
      <c r="AF12" s="69">
        <f t="shared" si="26"/>
        <v>2.0000000000000004E-2</v>
      </c>
      <c r="AG12" s="69">
        <f t="shared" si="26"/>
        <v>1.0800000000000001E-2</v>
      </c>
      <c r="AH12" s="69">
        <f t="shared" si="26"/>
        <v>1.4800000000000001E-2</v>
      </c>
      <c r="AI12" s="69">
        <f t="shared" si="26"/>
        <v>1.7600000000000001E-2</v>
      </c>
      <c r="AJ12" s="2">
        <v>1.5506088280060901E-5</v>
      </c>
      <c r="AK12" s="2">
        <v>206</v>
      </c>
      <c r="AL12" s="2">
        <v>5.0000000000000001E-4</v>
      </c>
      <c r="AM12" s="2">
        <v>0.01</v>
      </c>
      <c r="AN12" s="2">
        <v>6100</v>
      </c>
      <c r="AO12" s="2">
        <v>0.03</v>
      </c>
      <c r="AV12" s="2">
        <v>0.3</v>
      </c>
      <c r="AW12" s="2">
        <v>1</v>
      </c>
      <c r="AX12" s="2">
        <v>6300</v>
      </c>
      <c r="AZ12" s="2">
        <v>44692.122699386498</v>
      </c>
      <c r="BA12" s="3"/>
      <c r="BB12" s="3">
        <v>206</v>
      </c>
      <c r="BC12" s="69">
        <f t="shared" ref="BC12" si="27">BE12+s_lambda_HL</f>
        <v>5.5000000000000002E-5</v>
      </c>
      <c r="BD12" s="69">
        <f t="shared" ref="BD12" si="28">BE12+(0.693/s_t_w)</f>
        <v>0.1386</v>
      </c>
      <c r="BE12" s="69">
        <v>0</v>
      </c>
      <c r="BF12" s="2">
        <v>5.6597222222222196E-3</v>
      </c>
      <c r="BG12" s="69">
        <f t="shared" ref="BG12" si="29">AW12</f>
        <v>1</v>
      </c>
      <c r="BH12" s="69">
        <f t="shared" ref="BH12" si="30">AV12</f>
        <v>0.3</v>
      </c>
    </row>
    <row r="13" spans="1:60" x14ac:dyDescent="0.25">
      <c r="A13" s="31" t="s">
        <v>11</v>
      </c>
      <c r="B13" s="3" t="s">
        <v>1059</v>
      </c>
      <c r="C13" s="3"/>
      <c r="D13" t="s">
        <v>1430</v>
      </c>
      <c r="E13" t="s">
        <v>1429</v>
      </c>
      <c r="F13" t="s">
        <v>1429</v>
      </c>
      <c r="G13">
        <v>5.0000000000000001E-3</v>
      </c>
      <c r="H13">
        <v>5.0000000000000001E-3</v>
      </c>
      <c r="I13" s="2">
        <v>4.6250000000000002E-4</v>
      </c>
      <c r="J13" s="2">
        <v>4.6250000000000002E-4</v>
      </c>
      <c r="K13" s="2">
        <v>6.7061200000000001E-2</v>
      </c>
      <c r="L13" s="2">
        <v>4.6620000000000002E-2</v>
      </c>
      <c r="M13" s="2">
        <v>4.6250000000000002E-4</v>
      </c>
      <c r="N13" s="2">
        <v>3.9589999999999997E-4</v>
      </c>
      <c r="O13" s="2">
        <v>160.648</v>
      </c>
      <c r="P13" s="2">
        <v>2.85236E-2</v>
      </c>
      <c r="Q13" s="2">
        <v>0.36052400000000001</v>
      </c>
      <c r="R13" s="2">
        <v>2.2415999999999998E-2</v>
      </c>
      <c r="S13" s="2">
        <v>5.3424800000000001E-2</v>
      </c>
      <c r="T13" s="2">
        <v>6.6874400000000001E-2</v>
      </c>
      <c r="U13" s="104">
        <v>0.98969072164948502</v>
      </c>
      <c r="V13" s="104">
        <v>0.98540145985401395</v>
      </c>
      <c r="W13" s="104">
        <v>0.95212765957446799</v>
      </c>
      <c r="X13" s="104">
        <v>0.93488372093023298</v>
      </c>
      <c r="Y13" s="104">
        <v>0.93722466960352402</v>
      </c>
      <c r="Z13" s="104">
        <v>2.7999999999999998E-4</v>
      </c>
      <c r="AA13" s="104">
        <v>5.8999999999999999E-3</v>
      </c>
      <c r="AB13" s="104">
        <v>2.8E-3</v>
      </c>
      <c r="AC13" s="104">
        <v>4.7999999999999996E-3</v>
      </c>
      <c r="AD13" s="104">
        <v>5.7999999999999996E-3</v>
      </c>
      <c r="AE13" s="69">
        <f t="shared" ref="AE13:AI13" si="31">0.4*Z13</f>
        <v>1.12E-4</v>
      </c>
      <c r="AF13" s="69">
        <f t="shared" si="31"/>
        <v>2.3600000000000001E-3</v>
      </c>
      <c r="AG13" s="69">
        <f t="shared" si="31"/>
        <v>1.1200000000000001E-3</v>
      </c>
      <c r="AH13" s="69">
        <f t="shared" si="31"/>
        <v>1.9199999999999998E-3</v>
      </c>
      <c r="AI13" s="69">
        <f t="shared" si="31"/>
        <v>2.32E-3</v>
      </c>
      <c r="AJ13" s="2">
        <v>2144000</v>
      </c>
      <c r="AK13" s="2">
        <v>237</v>
      </c>
      <c r="AL13" s="2">
        <v>1.0000000000000001E-5</v>
      </c>
      <c r="AM13" s="2">
        <v>1E-3</v>
      </c>
      <c r="AN13" s="2">
        <v>30</v>
      </c>
      <c r="AR13" s="104">
        <v>4.0000000000000002E-4</v>
      </c>
      <c r="AU13" s="104">
        <v>5.3000000000000001E-5</v>
      </c>
      <c r="AV13" s="2">
        <v>2.8999999999999998E-3</v>
      </c>
      <c r="AW13" s="2">
        <v>3.3333333333333301E-3</v>
      </c>
      <c r="AX13" s="2">
        <v>0.2</v>
      </c>
      <c r="AY13" s="2">
        <v>5.0000000000000001E-4</v>
      </c>
      <c r="AZ13" s="2">
        <v>3.2322761194029798E-7</v>
      </c>
      <c r="BA13" s="3">
        <v>15</v>
      </c>
      <c r="BB13" s="3">
        <v>237</v>
      </c>
      <c r="BC13" s="69">
        <f t="shared" ref="BC13:BC14" si="32">BE13+s_lambda_HL</f>
        <v>5.5000000000000002E-5</v>
      </c>
      <c r="BD13" s="69">
        <f t="shared" ref="BD13:BD14" si="33">BE13+(0.693/s_t_w)</f>
        <v>0.1386</v>
      </c>
      <c r="BE13" s="69">
        <v>0</v>
      </c>
      <c r="BF13" s="2">
        <v>782560000</v>
      </c>
      <c r="BG13" s="69">
        <f t="shared" ref="BG13:BG14" si="34">AW13</f>
        <v>3.3333333333333301E-3</v>
      </c>
      <c r="BH13" s="69">
        <f t="shared" ref="BH13:BH14" si="35">AV13</f>
        <v>2.8999999999999998E-3</v>
      </c>
    </row>
    <row r="14" spans="1:60" x14ac:dyDescent="0.25">
      <c r="A14" s="31" t="s">
        <v>12</v>
      </c>
      <c r="B14" s="3" t="s">
        <v>1059</v>
      </c>
      <c r="C14" s="3"/>
      <c r="D14" t="s">
        <v>1430</v>
      </c>
      <c r="E14" t="s">
        <v>1429</v>
      </c>
      <c r="F14" t="s">
        <v>1429</v>
      </c>
      <c r="G14">
        <v>5.0000000000000001E-3</v>
      </c>
      <c r="H14">
        <v>5.0000000000000001E-3</v>
      </c>
      <c r="I14" s="2">
        <v>4.8840000000000002E-6</v>
      </c>
      <c r="J14" s="2">
        <v>4.8840000000000002E-6</v>
      </c>
      <c r="K14" s="2">
        <v>1.01806</v>
      </c>
      <c r="L14" s="2">
        <v>1.6872E-5</v>
      </c>
      <c r="M14" s="2">
        <v>4.8840000000000002E-6</v>
      </c>
      <c r="N14" s="2">
        <v>3.5742E-6</v>
      </c>
      <c r="O14" s="2">
        <v>1731.636</v>
      </c>
      <c r="P14" s="2">
        <v>0.23613799999999999</v>
      </c>
      <c r="Q14" s="2">
        <v>3.7920400000000001</v>
      </c>
      <c r="R14" s="2">
        <v>0.237236</v>
      </c>
      <c r="S14" s="2">
        <v>0.65940399999999999</v>
      </c>
      <c r="T14" s="2">
        <v>0.96388799999999997</v>
      </c>
      <c r="U14" s="104">
        <v>0.93203883495145601</v>
      </c>
      <c r="V14" s="104">
        <v>0.922115384615385</v>
      </c>
      <c r="W14" s="104">
        <v>0.92718446601941695</v>
      </c>
      <c r="X14" s="104">
        <v>0.93043478260869505</v>
      </c>
      <c r="Y14" s="104">
        <v>0.88959999999999995</v>
      </c>
      <c r="Z14" s="104">
        <v>8.2000000000000007E-3</v>
      </c>
      <c r="AA14" s="104">
        <v>4.2000000000000003E-2</v>
      </c>
      <c r="AB14" s="104">
        <v>2.3E-2</v>
      </c>
      <c r="AC14" s="104">
        <v>3.1E-2</v>
      </c>
      <c r="AD14" s="104">
        <v>3.6999999999999998E-2</v>
      </c>
      <c r="AE14" s="69">
        <f t="shared" ref="AE14:AI14" si="36">0.4*Z14</f>
        <v>3.2800000000000004E-3</v>
      </c>
      <c r="AF14" s="69">
        <f t="shared" si="36"/>
        <v>1.6800000000000002E-2</v>
      </c>
      <c r="AG14" s="69">
        <f t="shared" si="36"/>
        <v>9.1999999999999998E-3</v>
      </c>
      <c r="AH14" s="69">
        <f t="shared" si="36"/>
        <v>1.2400000000000001E-2</v>
      </c>
      <c r="AI14" s="69">
        <f t="shared" si="36"/>
        <v>1.4800000000000001E-2</v>
      </c>
      <c r="AJ14" s="2">
        <v>7.3882191780821893E-2</v>
      </c>
      <c r="AK14" s="2">
        <v>233</v>
      </c>
      <c r="AL14" s="2">
        <v>5.0000000000000004E-6</v>
      </c>
      <c r="AM14" s="2">
        <v>5.0000000000000004E-6</v>
      </c>
      <c r="AN14" s="2">
        <v>10</v>
      </c>
      <c r="AV14" s="2">
        <v>0.01</v>
      </c>
      <c r="AW14" s="2">
        <v>0.1</v>
      </c>
      <c r="AX14" s="2">
        <v>2000</v>
      </c>
      <c r="AY14" s="2">
        <v>5.0000000000000001E-4</v>
      </c>
      <c r="AZ14" s="2">
        <v>9.3797975303148302</v>
      </c>
      <c r="BA14" s="3">
        <v>300</v>
      </c>
      <c r="BB14" s="3">
        <v>233</v>
      </c>
      <c r="BC14" s="69">
        <f t="shared" si="32"/>
        <v>5.5000000000000002E-5</v>
      </c>
      <c r="BD14" s="69">
        <f t="shared" si="33"/>
        <v>0.1386</v>
      </c>
      <c r="BE14" s="69">
        <v>0</v>
      </c>
      <c r="BF14" s="2">
        <v>26.966999999999999</v>
      </c>
      <c r="BG14" s="69">
        <f t="shared" si="34"/>
        <v>0.1</v>
      </c>
      <c r="BH14" s="69">
        <f t="shared" si="35"/>
        <v>0.01</v>
      </c>
    </row>
    <row r="15" spans="1:60" x14ac:dyDescent="0.25">
      <c r="A15" s="31" t="s">
        <v>13</v>
      </c>
      <c r="B15" s="3" t="s">
        <v>1059</v>
      </c>
      <c r="C15" s="3"/>
      <c r="D15" t="s">
        <v>1430</v>
      </c>
      <c r="E15" t="s">
        <v>1429</v>
      </c>
      <c r="F15" t="s">
        <v>1429</v>
      </c>
      <c r="G15">
        <v>0.6</v>
      </c>
      <c r="H15">
        <v>0.02</v>
      </c>
      <c r="I15" s="2">
        <v>2.7639E-7</v>
      </c>
      <c r="J15" s="2">
        <v>2.7639E-7</v>
      </c>
      <c r="K15" s="2">
        <v>7.5280400000000004E-4</v>
      </c>
      <c r="L15" s="2">
        <v>2.5825999999999998E-7</v>
      </c>
      <c r="M15" s="2">
        <v>2.7639E-7</v>
      </c>
      <c r="N15" s="2">
        <v>2.0979E-7</v>
      </c>
      <c r="O15" s="2">
        <v>18.68</v>
      </c>
      <c r="P15" s="2">
        <v>3.7291099999999999E-3</v>
      </c>
      <c r="Q15" s="2">
        <v>2.0921599999999999E-2</v>
      </c>
      <c r="R15" s="2">
        <v>2.9514400000000001E-4</v>
      </c>
      <c r="S15" s="2">
        <v>5.9589199999999999E-4</v>
      </c>
      <c r="T15" s="2">
        <v>7.4159599999999997E-4</v>
      </c>
      <c r="U15" s="104">
        <v>0.9</v>
      </c>
      <c r="V15" s="104">
        <v>0.9</v>
      </c>
      <c r="W15" s="104">
        <v>0.9</v>
      </c>
      <c r="X15" s="104">
        <v>0.9</v>
      </c>
      <c r="Y15" s="104">
        <v>0.9</v>
      </c>
      <c r="Z15" s="104">
        <v>0</v>
      </c>
      <c r="AA15" s="104">
        <v>0</v>
      </c>
      <c r="AB15" s="104">
        <v>0</v>
      </c>
      <c r="AC15" s="104">
        <v>0</v>
      </c>
      <c r="AD15" s="104">
        <v>0</v>
      </c>
      <c r="AE15" s="69">
        <f t="shared" ref="AE15:AI17" si="37">0.4*Z15</f>
        <v>0</v>
      </c>
      <c r="AF15" s="69">
        <f t="shared" si="37"/>
        <v>0</v>
      </c>
      <c r="AG15" s="69">
        <f t="shared" si="37"/>
        <v>0</v>
      </c>
      <c r="AH15" s="69">
        <f t="shared" si="37"/>
        <v>0</v>
      </c>
      <c r="AI15" s="69">
        <f t="shared" si="37"/>
        <v>0</v>
      </c>
      <c r="AJ15" s="2">
        <v>3.7134703196347002E-4</v>
      </c>
      <c r="AK15" s="2">
        <v>209</v>
      </c>
      <c r="AL15" s="2">
        <v>1.9000000000000001E-4</v>
      </c>
      <c r="AM15" s="2">
        <v>6.9999999999999999E-4</v>
      </c>
      <c r="AN15" s="2">
        <v>25</v>
      </c>
      <c r="AR15" s="104">
        <v>7.1000000000000004E-3</v>
      </c>
      <c r="AS15" s="104">
        <v>3.5000000000000003E-2</v>
      </c>
      <c r="AU15" s="104">
        <v>6.0000000000000001E-3</v>
      </c>
      <c r="AV15" s="2">
        <v>1.0999999999999999E-2</v>
      </c>
      <c r="AW15" s="2">
        <v>1.26436781609195E-2</v>
      </c>
      <c r="AX15" s="2">
        <v>150</v>
      </c>
      <c r="AY15" s="2">
        <v>0.2</v>
      </c>
      <c r="AZ15" s="2">
        <v>1866.1789117737501</v>
      </c>
      <c r="BA15" s="3"/>
      <c r="BB15" s="3">
        <v>209</v>
      </c>
      <c r="BC15" s="69">
        <f t="shared" ref="BC15:BC21" si="38">BE15+s_lambda_HL</f>
        <v>5.5000000000000002E-5</v>
      </c>
      <c r="BD15" s="69">
        <f t="shared" ref="BD15:BD21" si="39">BE15+(0.693/s_t_w)</f>
        <v>0.1386</v>
      </c>
      <c r="BE15" s="69">
        <v>0</v>
      </c>
      <c r="BF15" s="2">
        <v>0.135541666666667</v>
      </c>
      <c r="BG15" s="69">
        <f t="shared" ref="BG15:BG21" si="40">AW15</f>
        <v>1.26436781609195E-2</v>
      </c>
      <c r="BH15" s="69">
        <f t="shared" ref="BH15:BH21" si="41">AV15</f>
        <v>1.0999999999999999E-2</v>
      </c>
    </row>
    <row r="16" spans="1:60" x14ac:dyDescent="0.25">
      <c r="A16" s="31" t="s">
        <v>14</v>
      </c>
      <c r="B16" s="3" t="s">
        <v>1059</v>
      </c>
      <c r="C16" s="3"/>
      <c r="D16" t="s">
        <v>1430</v>
      </c>
      <c r="E16" t="s">
        <v>1429</v>
      </c>
      <c r="F16" t="s">
        <v>1429</v>
      </c>
      <c r="G16">
        <v>0.6</v>
      </c>
      <c r="H16">
        <v>0.02</v>
      </c>
      <c r="I16" s="2">
        <v>3.774E-3</v>
      </c>
      <c r="J16" s="2">
        <v>3.774E-3</v>
      </c>
      <c r="K16" s="2">
        <v>2.09216E-3</v>
      </c>
      <c r="L16" s="2">
        <v>2.2311000000000001E-2</v>
      </c>
      <c r="M16" s="2">
        <v>3.774E-3</v>
      </c>
      <c r="N16" s="2">
        <v>2.5752000000000001E-3</v>
      </c>
      <c r="O16" s="2">
        <v>8.7982800000000001</v>
      </c>
      <c r="P16" s="2">
        <v>2.5367300000000001E-3</v>
      </c>
      <c r="Q16" s="2">
        <v>2.0361199999999999E-2</v>
      </c>
      <c r="R16" s="2">
        <v>1.3300160000000001E-3</v>
      </c>
      <c r="S16" s="2">
        <v>2.0547999999999999E-3</v>
      </c>
      <c r="T16" s="2">
        <v>2.09216E-3</v>
      </c>
      <c r="U16" s="104">
        <v>1</v>
      </c>
      <c r="V16" s="104">
        <v>0.94642857142857095</v>
      </c>
      <c r="W16" s="104">
        <v>0.97425742574257401</v>
      </c>
      <c r="X16" s="104">
        <v>0.94932432432432401</v>
      </c>
      <c r="Y16" s="104">
        <v>0.94444444444444398</v>
      </c>
      <c r="Z16" s="104">
        <v>9.9999999999999995E-8</v>
      </c>
      <c r="AA16" s="104">
        <v>4.4000000000000002E-6</v>
      </c>
      <c r="AB16" s="104">
        <v>2.3999999999999999E-6</v>
      </c>
      <c r="AC16" s="104">
        <v>4.0999999999999997E-6</v>
      </c>
      <c r="AD16" s="104">
        <v>4.0999999999999997E-6</v>
      </c>
      <c r="AE16" s="69">
        <f t="shared" si="37"/>
        <v>4.0000000000000001E-8</v>
      </c>
      <c r="AF16" s="69">
        <f t="shared" si="37"/>
        <v>1.7600000000000001E-6</v>
      </c>
      <c r="AG16" s="69">
        <f t="shared" si="37"/>
        <v>9.5999999999999991E-7</v>
      </c>
      <c r="AH16" s="69">
        <f t="shared" si="37"/>
        <v>1.64E-6</v>
      </c>
      <c r="AI16" s="69">
        <f t="shared" si="37"/>
        <v>1.64E-6</v>
      </c>
      <c r="AJ16" s="2">
        <v>22.2</v>
      </c>
      <c r="AK16" s="2">
        <v>210</v>
      </c>
      <c r="AL16" s="2">
        <v>1.9000000000000001E-4</v>
      </c>
      <c r="AM16" s="2">
        <v>6.9999999999999999E-4</v>
      </c>
      <c r="AN16" s="2">
        <v>25</v>
      </c>
      <c r="AR16" s="104">
        <v>7.1000000000000004E-3</v>
      </c>
      <c r="AS16" s="104">
        <v>3.5000000000000003E-2</v>
      </c>
      <c r="AU16" s="104">
        <v>6.0000000000000001E-3</v>
      </c>
      <c r="AV16" s="2">
        <v>1.0999999999999999E-2</v>
      </c>
      <c r="AW16" s="2">
        <v>1.26436781609195E-2</v>
      </c>
      <c r="AX16" s="2">
        <v>150</v>
      </c>
      <c r="AY16" s="2">
        <v>0.2</v>
      </c>
      <c r="AZ16" s="2">
        <v>3.1216216216216199E-2</v>
      </c>
      <c r="BA16" s="3"/>
      <c r="BB16" s="3">
        <v>210</v>
      </c>
      <c r="BC16" s="69">
        <f t="shared" si="38"/>
        <v>5.5000000000000002E-5</v>
      </c>
      <c r="BD16" s="69">
        <f t="shared" si="39"/>
        <v>0.1386</v>
      </c>
      <c r="BE16" s="69">
        <v>0</v>
      </c>
      <c r="BF16" s="2">
        <v>8103</v>
      </c>
      <c r="BG16" s="69">
        <f t="shared" si="40"/>
        <v>1.26436781609195E-2</v>
      </c>
      <c r="BH16" s="69">
        <f t="shared" si="41"/>
        <v>1.0999999999999999E-2</v>
      </c>
    </row>
    <row r="17" spans="1:60" x14ac:dyDescent="0.25">
      <c r="A17" s="31" t="s">
        <v>15</v>
      </c>
      <c r="B17" s="3" t="s">
        <v>1059</v>
      </c>
      <c r="C17" s="3"/>
      <c r="D17" t="s">
        <v>1430</v>
      </c>
      <c r="E17" t="s">
        <v>1429</v>
      </c>
      <c r="F17" t="s">
        <v>1429</v>
      </c>
      <c r="G17">
        <v>0.6</v>
      </c>
      <c r="H17">
        <v>0.02</v>
      </c>
      <c r="I17" s="2">
        <v>7.3630000000000005E-7</v>
      </c>
      <c r="J17" s="2">
        <v>7.3630000000000005E-7</v>
      </c>
      <c r="K17" s="2">
        <v>1.2571639999999999</v>
      </c>
      <c r="L17" s="2">
        <v>4.6600000000000001E-5</v>
      </c>
      <c r="M17" s="2">
        <v>7.3630000000000005E-7</v>
      </c>
      <c r="N17" s="2">
        <v>5.1429999999999999E-7</v>
      </c>
      <c r="O17" s="2">
        <v>2073.48</v>
      </c>
      <c r="P17" s="2">
        <v>0.28406700000000001</v>
      </c>
      <c r="Q17" s="2">
        <v>4.5018799999999999</v>
      </c>
      <c r="R17" s="2">
        <v>0.2802</v>
      </c>
      <c r="S17" s="2">
        <v>0.79016399999999998</v>
      </c>
      <c r="T17" s="2">
        <v>1.1749719999999999</v>
      </c>
      <c r="U17" s="104">
        <v>0.901685393258427</v>
      </c>
      <c r="V17" s="104">
        <v>0.92436974789916004</v>
      </c>
      <c r="W17" s="104">
        <v>0.92558139534883699</v>
      </c>
      <c r="X17" s="104">
        <v>0.9296875</v>
      </c>
      <c r="Y17" s="104">
        <v>0.87916666666666698</v>
      </c>
      <c r="Z17" s="104">
        <v>1.4999999999999999E-2</v>
      </c>
      <c r="AA17" s="104">
        <v>4.9000000000000002E-2</v>
      </c>
      <c r="AB17" s="104">
        <v>2.8000000000000001E-2</v>
      </c>
      <c r="AC17" s="104">
        <v>3.6999999999999998E-2</v>
      </c>
      <c r="AD17" s="104">
        <v>4.3999999999999997E-2</v>
      </c>
      <c r="AE17" s="69">
        <f t="shared" si="37"/>
        <v>6.0000000000000001E-3</v>
      </c>
      <c r="AF17" s="69">
        <f t="shared" si="37"/>
        <v>1.9600000000000003E-2</v>
      </c>
      <c r="AG17" s="69">
        <f t="shared" si="37"/>
        <v>1.1200000000000002E-2</v>
      </c>
      <c r="AH17" s="69">
        <f t="shared" si="37"/>
        <v>1.4800000000000001E-2</v>
      </c>
      <c r="AI17" s="69">
        <f t="shared" si="37"/>
        <v>1.7600000000000001E-2</v>
      </c>
      <c r="AJ17" s="2">
        <v>5.0989345509893397E-5</v>
      </c>
      <c r="AK17" s="2">
        <v>214</v>
      </c>
      <c r="AL17" s="2">
        <v>1.9000000000000001E-4</v>
      </c>
      <c r="AM17" s="2">
        <v>6.9999999999999999E-4</v>
      </c>
      <c r="AN17" s="2">
        <v>25</v>
      </c>
      <c r="AR17" s="104">
        <v>7.1000000000000004E-3</v>
      </c>
      <c r="AS17" s="104">
        <v>3.5000000000000003E-2</v>
      </c>
      <c r="AU17" s="104">
        <v>6.0000000000000001E-3</v>
      </c>
      <c r="AV17" s="2">
        <v>1.0999999999999999E-2</v>
      </c>
      <c r="AW17" s="2">
        <v>1.26436781609195E-2</v>
      </c>
      <c r="AX17" s="2">
        <v>150</v>
      </c>
      <c r="AY17" s="2">
        <v>0.2</v>
      </c>
      <c r="AZ17" s="2">
        <v>13591.0746268657</v>
      </c>
      <c r="BA17" s="3"/>
      <c r="BB17" s="3">
        <v>214</v>
      </c>
      <c r="BC17" s="69">
        <f t="shared" si="38"/>
        <v>5.5000000000000002E-5</v>
      </c>
      <c r="BD17" s="69">
        <f t="shared" si="39"/>
        <v>0.1386</v>
      </c>
      <c r="BE17" s="69">
        <v>0</v>
      </c>
      <c r="BF17" s="2">
        <v>1.8611111111111099E-2</v>
      </c>
      <c r="BG17" s="69">
        <f t="shared" si="40"/>
        <v>1.26436781609195E-2</v>
      </c>
      <c r="BH17" s="69">
        <f t="shared" si="41"/>
        <v>1.0999999999999999E-2</v>
      </c>
    </row>
    <row r="18" spans="1:60" x14ac:dyDescent="0.25">
      <c r="A18" s="31" t="s">
        <v>16</v>
      </c>
      <c r="B18" s="3" t="s">
        <v>1059</v>
      </c>
      <c r="C18" s="3"/>
      <c r="D18" t="s">
        <v>1430</v>
      </c>
      <c r="E18" t="s">
        <v>1431</v>
      </c>
      <c r="F18" t="s">
        <v>1429</v>
      </c>
      <c r="G18">
        <v>1</v>
      </c>
      <c r="H18">
        <v>0.02</v>
      </c>
      <c r="I18" s="2">
        <v>6.4749999999999999E-3</v>
      </c>
      <c r="J18" s="2">
        <v>6.4749999999999999E-3</v>
      </c>
      <c r="K18" s="2">
        <v>5.6413599999999998E-5</v>
      </c>
      <c r="L18" s="2">
        <v>1.7316000000000002E-2</v>
      </c>
      <c r="M18" s="2">
        <v>6.4749999999999999E-3</v>
      </c>
      <c r="N18" s="2">
        <v>4.4770000000000001E-3</v>
      </c>
      <c r="O18" s="2">
        <v>8.3126000000000005E-2</v>
      </c>
      <c r="P18" s="2">
        <v>1.077818E-5</v>
      </c>
      <c r="Q18" s="2">
        <v>1.8026199999999999E-4</v>
      </c>
      <c r="R18" s="2">
        <v>1.094648E-5</v>
      </c>
      <c r="S18" s="2">
        <v>3.13824E-5</v>
      </c>
      <c r="T18" s="2">
        <v>4.9315199999999998E-5</v>
      </c>
      <c r="U18" s="104">
        <v>0.88135593220339004</v>
      </c>
      <c r="V18" s="104">
        <v>0.93612334801762098</v>
      </c>
      <c r="W18" s="104">
        <v>0.93633952254641895</v>
      </c>
      <c r="X18" s="104">
        <v>0.93013100436681195</v>
      </c>
      <c r="Y18" s="104">
        <v>0.94466403162055301</v>
      </c>
      <c r="Z18" s="104">
        <v>0.03</v>
      </c>
      <c r="AA18" s="104">
        <v>9.5000000000000001E-2</v>
      </c>
      <c r="AB18" s="104">
        <v>4.8000000000000001E-2</v>
      </c>
      <c r="AC18" s="104">
        <v>6.9000000000000006E-2</v>
      </c>
      <c r="AD18" s="104">
        <v>8.2000000000000003E-2</v>
      </c>
      <c r="AE18" s="69">
        <f t="shared" ref="AE18:AI21" si="42">0.4*Z18</f>
        <v>1.2E-2</v>
      </c>
      <c r="AF18" s="69">
        <f t="shared" si="42"/>
        <v>3.8000000000000006E-2</v>
      </c>
      <c r="AG18" s="69">
        <f t="shared" si="42"/>
        <v>1.9200000000000002E-2</v>
      </c>
      <c r="AH18" s="69">
        <f t="shared" si="42"/>
        <v>2.7600000000000003E-2</v>
      </c>
      <c r="AI18" s="69">
        <f t="shared" si="42"/>
        <v>3.2800000000000003E-2</v>
      </c>
      <c r="AJ18" s="2">
        <v>0.37911232876712297</v>
      </c>
      <c r="AK18" s="2">
        <v>210</v>
      </c>
      <c r="AL18" s="2">
        <v>2.1000000000000001E-4</v>
      </c>
      <c r="AM18" s="2">
        <v>5.0000000000000001E-3</v>
      </c>
      <c r="AN18" s="2">
        <v>36</v>
      </c>
      <c r="AO18" s="2">
        <v>2.4</v>
      </c>
      <c r="AP18" s="2">
        <v>3.1</v>
      </c>
      <c r="AR18" s="104">
        <v>0.05</v>
      </c>
      <c r="AU18" s="104">
        <v>2.3E-3</v>
      </c>
      <c r="AV18" s="2">
        <v>2.4000000000000001E-4</v>
      </c>
      <c r="AW18" s="2">
        <v>2.7586206896551698E-4</v>
      </c>
      <c r="AX18" s="2">
        <v>210</v>
      </c>
      <c r="AZ18" s="2">
        <v>1.8279542695265101</v>
      </c>
      <c r="BA18" s="3">
        <v>15</v>
      </c>
      <c r="BB18" s="3">
        <v>210</v>
      </c>
      <c r="BC18" s="69">
        <f t="shared" si="38"/>
        <v>5.5000000000000002E-5</v>
      </c>
      <c r="BD18" s="69">
        <f t="shared" si="39"/>
        <v>0.1386</v>
      </c>
      <c r="BE18" s="69">
        <v>0</v>
      </c>
      <c r="BF18" s="2">
        <v>138.376</v>
      </c>
      <c r="BG18" s="69">
        <f t="shared" si="40"/>
        <v>2.7586206896551698E-4</v>
      </c>
      <c r="BH18" s="69">
        <f t="shared" si="41"/>
        <v>2.4000000000000001E-4</v>
      </c>
    </row>
    <row r="19" spans="1:60" x14ac:dyDescent="0.25">
      <c r="A19" s="31" t="s">
        <v>17</v>
      </c>
      <c r="B19" s="3" t="s">
        <v>1059</v>
      </c>
      <c r="C19" s="3"/>
      <c r="D19" t="s">
        <v>1428</v>
      </c>
      <c r="E19" t="s">
        <v>1429</v>
      </c>
      <c r="F19" t="s">
        <v>1429</v>
      </c>
      <c r="G19" t="s">
        <v>1429</v>
      </c>
      <c r="H19">
        <v>0</v>
      </c>
      <c r="I19" s="2">
        <v>0</v>
      </c>
      <c r="J19" s="2">
        <v>0</v>
      </c>
      <c r="K19" s="2">
        <v>2.1668800000000001E-4</v>
      </c>
      <c r="L19" s="2">
        <v>0</v>
      </c>
      <c r="M19" s="2">
        <v>0</v>
      </c>
      <c r="N19" s="2">
        <v>0</v>
      </c>
      <c r="O19" s="2">
        <v>0.31942799999999999</v>
      </c>
      <c r="P19" s="2">
        <v>4.1733300000000002E-5</v>
      </c>
      <c r="Q19" s="2">
        <v>6.9302800000000005E-4</v>
      </c>
      <c r="R19" s="2">
        <v>4.2216799999999999E-5</v>
      </c>
      <c r="S19" s="2">
        <v>1.208596E-4</v>
      </c>
      <c r="T19" s="2">
        <v>1.9053599999999999E-4</v>
      </c>
      <c r="U19" s="104">
        <v>0.87991266375545796</v>
      </c>
      <c r="V19" s="104">
        <v>0.93714285714285706</v>
      </c>
      <c r="W19" s="104">
        <v>0.93493150684931503</v>
      </c>
      <c r="X19" s="104">
        <v>0.93220338983050799</v>
      </c>
      <c r="Y19" s="104">
        <v>0.94871794871794901</v>
      </c>
      <c r="Z19" s="104">
        <v>2.9000000000000001E-2</v>
      </c>
      <c r="AA19" s="104">
        <v>9.2999999999999999E-2</v>
      </c>
      <c r="AB19" s="104">
        <v>4.7E-2</v>
      </c>
      <c r="AC19" s="104">
        <v>6.8000000000000005E-2</v>
      </c>
      <c r="AD19" s="104">
        <v>0.08</v>
      </c>
      <c r="AE19" s="69">
        <f t="shared" si="42"/>
        <v>1.1600000000000001E-2</v>
      </c>
      <c r="AF19" s="69">
        <f t="shared" si="42"/>
        <v>3.7200000000000004E-2</v>
      </c>
      <c r="AG19" s="69">
        <f t="shared" si="42"/>
        <v>1.8800000000000001E-2</v>
      </c>
      <c r="AH19" s="69">
        <f t="shared" si="42"/>
        <v>2.7200000000000002E-2</v>
      </c>
      <c r="AI19" s="69">
        <f t="shared" si="42"/>
        <v>3.2000000000000001E-2</v>
      </c>
      <c r="AJ19" s="2">
        <v>1.3318112633181101E-13</v>
      </c>
      <c r="AK19" s="2">
        <v>213</v>
      </c>
      <c r="AL19" s="2">
        <v>2.1000000000000001E-4</v>
      </c>
      <c r="AM19" s="2">
        <v>5.0000000000000001E-3</v>
      </c>
      <c r="AN19" s="2">
        <v>36</v>
      </c>
      <c r="AO19" s="2">
        <v>2.4</v>
      </c>
      <c r="AP19" s="2">
        <v>3.1</v>
      </c>
      <c r="AR19" s="104">
        <v>0.05</v>
      </c>
      <c r="AU19" s="104">
        <v>2.3E-3</v>
      </c>
      <c r="AV19" s="2">
        <v>2.4000000000000001E-4</v>
      </c>
      <c r="AW19" s="2">
        <v>2.7586206896551698E-4</v>
      </c>
      <c r="AX19" s="2">
        <v>210</v>
      </c>
      <c r="AZ19" s="2">
        <v>5203440000000</v>
      </c>
      <c r="BA19" s="3">
        <v>15</v>
      </c>
      <c r="BB19" s="3">
        <v>213</v>
      </c>
      <c r="BC19" s="69">
        <f t="shared" si="38"/>
        <v>5.5000000000000002E-5</v>
      </c>
      <c r="BD19" s="69">
        <f t="shared" si="39"/>
        <v>0.1386</v>
      </c>
      <c r="BE19" s="69">
        <v>0</v>
      </c>
      <c r="BF19" s="2">
        <v>4.8611111111111103E-11</v>
      </c>
      <c r="BG19" s="69">
        <f t="shared" si="40"/>
        <v>2.7586206896551698E-4</v>
      </c>
      <c r="BH19" s="69">
        <f t="shared" si="41"/>
        <v>2.4000000000000001E-4</v>
      </c>
    </row>
    <row r="20" spans="1:60" x14ac:dyDescent="0.25">
      <c r="A20" s="31" t="s">
        <v>18</v>
      </c>
      <c r="B20" s="3" t="s">
        <v>1059</v>
      </c>
      <c r="C20" s="3"/>
      <c r="D20" t="s">
        <v>1428</v>
      </c>
      <c r="E20" t="s">
        <v>1429</v>
      </c>
      <c r="F20" t="s">
        <v>1429</v>
      </c>
      <c r="G20" t="s">
        <v>1429</v>
      </c>
      <c r="H20">
        <v>0</v>
      </c>
      <c r="I20" s="2">
        <v>0</v>
      </c>
      <c r="J20" s="2">
        <v>0</v>
      </c>
      <c r="K20" s="2">
        <v>4.8007600000000002E-4</v>
      </c>
      <c r="L20" s="2">
        <v>0</v>
      </c>
      <c r="M20" s="2">
        <v>0</v>
      </c>
      <c r="N20" s="2">
        <v>0</v>
      </c>
      <c r="O20" s="2">
        <v>0.70984000000000003</v>
      </c>
      <c r="P20" s="2">
        <v>9.2000299999999994E-5</v>
      </c>
      <c r="Q20" s="2">
        <v>1.537364E-3</v>
      </c>
      <c r="R20" s="2">
        <v>9.3399999999999993E-5</v>
      </c>
      <c r="S20" s="2">
        <v>2.6712399999999999E-4</v>
      </c>
      <c r="T20" s="2">
        <v>4.22168E-4</v>
      </c>
      <c r="U20" s="104">
        <v>0.87920792079207899</v>
      </c>
      <c r="V20" s="104">
        <v>0.93298969072164994</v>
      </c>
      <c r="W20" s="104">
        <v>0.93633540372670798</v>
      </c>
      <c r="X20" s="104">
        <v>0.930946291560102</v>
      </c>
      <c r="Y20" s="104">
        <v>0.94444444444444398</v>
      </c>
      <c r="Z20" s="104">
        <v>0.03</v>
      </c>
      <c r="AA20" s="104">
        <v>9.5000000000000001E-2</v>
      </c>
      <c r="AB20" s="104">
        <v>4.8000000000000001E-2</v>
      </c>
      <c r="AC20" s="104">
        <v>6.9000000000000006E-2</v>
      </c>
      <c r="AD20" s="104">
        <v>8.1000000000000003E-2</v>
      </c>
      <c r="AE20" s="69">
        <f t="shared" si="42"/>
        <v>1.2E-2</v>
      </c>
      <c r="AF20" s="69">
        <f t="shared" si="42"/>
        <v>3.8000000000000006E-2</v>
      </c>
      <c r="AG20" s="69">
        <f t="shared" si="42"/>
        <v>1.9200000000000002E-2</v>
      </c>
      <c r="AH20" s="69">
        <f t="shared" si="42"/>
        <v>2.7600000000000003E-2</v>
      </c>
      <c r="AI20" s="69">
        <f t="shared" si="42"/>
        <v>3.2400000000000005E-2</v>
      </c>
      <c r="AJ20" s="2">
        <v>5.20991882293252E-12</v>
      </c>
      <c r="AK20" s="2">
        <v>214</v>
      </c>
      <c r="AL20" s="2">
        <v>2.1000000000000001E-4</v>
      </c>
      <c r="AM20" s="2">
        <v>5.0000000000000001E-3</v>
      </c>
      <c r="AN20" s="2">
        <v>36</v>
      </c>
      <c r="AO20" s="2">
        <v>2.4</v>
      </c>
      <c r="AP20" s="2">
        <v>3.1</v>
      </c>
      <c r="AR20" s="104">
        <v>0.05</v>
      </c>
      <c r="AU20" s="104">
        <v>2.3E-3</v>
      </c>
      <c r="AV20" s="2">
        <v>2.4000000000000001E-4</v>
      </c>
      <c r="AW20" s="2">
        <v>2.7586206896551698E-4</v>
      </c>
      <c r="AX20" s="2">
        <v>210</v>
      </c>
      <c r="AZ20" s="2">
        <v>133015508216.677</v>
      </c>
      <c r="BA20" s="3">
        <v>15</v>
      </c>
      <c r="BB20" s="3">
        <v>214</v>
      </c>
      <c r="BC20" s="69">
        <f t="shared" si="38"/>
        <v>5.5000000000000002E-5</v>
      </c>
      <c r="BD20" s="69">
        <f t="shared" si="39"/>
        <v>0.1386</v>
      </c>
      <c r="BE20" s="69">
        <v>0</v>
      </c>
      <c r="BF20" s="2">
        <v>1.9016203703703698E-9</v>
      </c>
      <c r="BG20" s="69">
        <f t="shared" si="40"/>
        <v>2.7586206896551698E-4</v>
      </c>
      <c r="BH20" s="69">
        <f t="shared" si="41"/>
        <v>2.4000000000000001E-4</v>
      </c>
    </row>
    <row r="21" spans="1:60" x14ac:dyDescent="0.25">
      <c r="A21" s="31" t="s">
        <v>19</v>
      </c>
      <c r="B21" s="3" t="s">
        <v>1059</v>
      </c>
      <c r="C21" s="3"/>
      <c r="D21" t="s">
        <v>1428</v>
      </c>
      <c r="E21" t="s">
        <v>1429</v>
      </c>
      <c r="F21" t="s">
        <v>1429</v>
      </c>
      <c r="G21" t="s">
        <v>1429</v>
      </c>
      <c r="H21">
        <v>0</v>
      </c>
      <c r="I21" s="2">
        <v>0</v>
      </c>
      <c r="J21" s="2">
        <v>0</v>
      </c>
      <c r="K21" s="2">
        <v>9.2279199999999993E-9</v>
      </c>
      <c r="L21" s="2">
        <v>7.6199999999999999E-6</v>
      </c>
      <c r="M21" s="2">
        <v>0</v>
      </c>
      <c r="N21" s="2">
        <v>0</v>
      </c>
      <c r="O21" s="2">
        <v>4.89416E-4</v>
      </c>
      <c r="P21" s="2">
        <v>7.7738500000000008E-9</v>
      </c>
      <c r="Q21" s="2">
        <v>5.3424799999999995E-7</v>
      </c>
      <c r="R21" s="2">
        <v>4.3337599999999997E-9</v>
      </c>
      <c r="S21" s="2">
        <v>8.1071199999999996E-9</v>
      </c>
      <c r="T21" s="2">
        <v>9.2279199999999993E-9</v>
      </c>
      <c r="U21" s="104">
        <v>0.9</v>
      </c>
      <c r="V21" s="104">
        <v>0.9</v>
      </c>
      <c r="W21" s="104">
        <v>0.9</v>
      </c>
      <c r="X21" s="104">
        <v>0.9</v>
      </c>
      <c r="Y21" s="104">
        <v>0.9</v>
      </c>
      <c r="Z21" s="104">
        <v>0</v>
      </c>
      <c r="AA21" s="104">
        <v>0</v>
      </c>
      <c r="AB21" s="104">
        <v>0</v>
      </c>
      <c r="AC21" s="104">
        <v>0</v>
      </c>
      <c r="AD21" s="104">
        <v>0</v>
      </c>
      <c r="AE21" s="69">
        <f t="shared" si="42"/>
        <v>0</v>
      </c>
      <c r="AF21" s="69">
        <f t="shared" si="42"/>
        <v>0</v>
      </c>
      <c r="AG21" s="69">
        <f t="shared" si="42"/>
        <v>0</v>
      </c>
      <c r="AH21" s="69">
        <f t="shared" si="42"/>
        <v>0</v>
      </c>
      <c r="AI21" s="69">
        <f t="shared" si="42"/>
        <v>0</v>
      </c>
      <c r="AJ21" s="2">
        <v>5.8980213089802101E-6</v>
      </c>
      <c r="AK21" s="2">
        <v>218</v>
      </c>
      <c r="AL21" s="2">
        <v>2.1000000000000001E-4</v>
      </c>
      <c r="AM21" s="2">
        <v>5.0000000000000001E-3</v>
      </c>
      <c r="AN21" s="2">
        <v>36</v>
      </c>
      <c r="AO21" s="2">
        <v>2.4</v>
      </c>
      <c r="AP21" s="2">
        <v>3.1</v>
      </c>
      <c r="AR21" s="104">
        <v>0.05</v>
      </c>
      <c r="AU21" s="104">
        <v>2.3E-3</v>
      </c>
      <c r="AV21" s="2">
        <v>2.4000000000000001E-4</v>
      </c>
      <c r="AW21" s="2">
        <v>2.7586206896551698E-4</v>
      </c>
      <c r="AX21" s="2">
        <v>210</v>
      </c>
      <c r="AZ21" s="2">
        <v>117497.032258065</v>
      </c>
      <c r="BA21" s="3">
        <v>15</v>
      </c>
      <c r="BB21" s="3">
        <v>218</v>
      </c>
      <c r="BC21" s="69">
        <f t="shared" si="38"/>
        <v>5.5000000000000002E-5</v>
      </c>
      <c r="BD21" s="69">
        <f t="shared" si="39"/>
        <v>0.1386</v>
      </c>
      <c r="BE21" s="69">
        <v>0</v>
      </c>
      <c r="BF21" s="2">
        <v>2.1527777777777799E-3</v>
      </c>
      <c r="BG21" s="69">
        <f t="shared" si="40"/>
        <v>2.7586206896551698E-4</v>
      </c>
      <c r="BH21" s="69">
        <f t="shared" si="41"/>
        <v>2.4000000000000001E-4</v>
      </c>
    </row>
    <row r="22" spans="1:60" x14ac:dyDescent="0.25">
      <c r="A22" s="31" t="s">
        <v>20</v>
      </c>
      <c r="B22" s="3" t="s">
        <v>1059</v>
      </c>
      <c r="C22" s="3"/>
      <c r="D22" t="s">
        <v>1430</v>
      </c>
      <c r="E22" t="s">
        <v>1429</v>
      </c>
      <c r="F22" t="s">
        <v>1429</v>
      </c>
      <c r="G22">
        <v>0.6</v>
      </c>
      <c r="H22">
        <v>0.02</v>
      </c>
      <c r="I22" s="2">
        <v>8.8060000000000005E-4</v>
      </c>
      <c r="J22" s="2">
        <v>8.8060000000000005E-4</v>
      </c>
      <c r="K22" s="2">
        <v>8.9103600000000008E-3</v>
      </c>
      <c r="L22" s="2">
        <v>3.1116999999999999E-2</v>
      </c>
      <c r="M22" s="2">
        <v>8.8060000000000005E-4</v>
      </c>
      <c r="N22" s="2">
        <v>3.6852E-4</v>
      </c>
      <c r="O22" s="2">
        <v>46.139600000000002</v>
      </c>
      <c r="P22" s="2">
        <v>1.2859000000000001E-2</v>
      </c>
      <c r="Q22" s="2">
        <v>0.10143240000000001</v>
      </c>
      <c r="R22" s="2">
        <v>6.4632800000000001E-3</v>
      </c>
      <c r="S22" s="2">
        <v>8.8730000000000007E-3</v>
      </c>
      <c r="T22" s="2">
        <v>8.9103600000000008E-3</v>
      </c>
      <c r="U22" s="104">
        <v>0.98748261474269805</v>
      </c>
      <c r="V22" s="104">
        <v>0.86834733893557403</v>
      </c>
      <c r="W22" s="104">
        <v>0.98884758364312197</v>
      </c>
      <c r="X22" s="104">
        <v>0.95495495495495497</v>
      </c>
      <c r="Y22" s="104">
        <v>0.95760598503740701</v>
      </c>
      <c r="Z22" s="104">
        <v>4.1000000000000003E-9</v>
      </c>
      <c r="AA22" s="104">
        <v>2.4E-8</v>
      </c>
      <c r="AB22" s="104">
        <v>2.3000000000000001E-8</v>
      </c>
      <c r="AC22" s="104">
        <v>3.1E-8</v>
      </c>
      <c r="AD22" s="104">
        <v>2.9999999999999997E-8</v>
      </c>
      <c r="AE22" s="69">
        <f t="shared" ref="AE22:AI23" si="43">0.4*Z22</f>
        <v>1.6400000000000001E-9</v>
      </c>
      <c r="AF22" s="69">
        <f t="shared" si="43"/>
        <v>9.5999999999999999E-9</v>
      </c>
      <c r="AG22" s="69">
        <f t="shared" si="43"/>
        <v>9.2000000000000013E-9</v>
      </c>
      <c r="AH22" s="69">
        <f t="shared" si="43"/>
        <v>1.24E-8</v>
      </c>
      <c r="AI22" s="69">
        <f t="shared" si="43"/>
        <v>1.2E-8</v>
      </c>
      <c r="AJ22" s="2">
        <v>4.0821917808219199E-2</v>
      </c>
      <c r="AK22" s="2">
        <v>225</v>
      </c>
      <c r="AL22" s="2">
        <v>3.8000000000000002E-4</v>
      </c>
      <c r="AM22" s="2">
        <v>1.6999999999999999E-3</v>
      </c>
      <c r="AN22" s="2">
        <v>4</v>
      </c>
      <c r="AR22" s="104">
        <v>5.0000000000000001E-3</v>
      </c>
      <c r="AV22" s="2">
        <v>1.7000000000000001E-2</v>
      </c>
      <c r="AW22" s="2">
        <v>1.9540229885057499E-2</v>
      </c>
      <c r="AX22" s="2">
        <v>1</v>
      </c>
      <c r="AY22" s="2">
        <v>0.2</v>
      </c>
      <c r="AZ22" s="2">
        <v>16.976174496644301</v>
      </c>
      <c r="BA22" s="3"/>
      <c r="BB22" s="3">
        <v>225</v>
      </c>
      <c r="BC22" s="69">
        <f t="shared" ref="BC22:BC23" si="44">BE22+s_lambda_HL</f>
        <v>5.5000000000000002E-5</v>
      </c>
      <c r="BD22" s="69">
        <f t="shared" ref="BD22:BD23" si="45">BE22+(0.693/s_t_w)</f>
        <v>0.1386</v>
      </c>
      <c r="BE22" s="69">
        <v>0</v>
      </c>
      <c r="BF22" s="2">
        <v>14.9</v>
      </c>
      <c r="BG22" s="69">
        <f>AW22</f>
        <v>1.9540229885057499E-2</v>
      </c>
      <c r="BH22" s="69">
        <f t="shared" ref="BH22:BH23" si="46">AV22</f>
        <v>1.7000000000000001E-2</v>
      </c>
    </row>
    <row r="23" spans="1:60" x14ac:dyDescent="0.25">
      <c r="A23" s="32" t="s">
        <v>21</v>
      </c>
      <c r="B23" s="3" t="s">
        <v>336</v>
      </c>
      <c r="C23" s="3">
        <v>1</v>
      </c>
      <c r="D23" t="s">
        <v>1430</v>
      </c>
      <c r="E23" t="s">
        <v>1429</v>
      </c>
      <c r="F23" t="s">
        <v>1429</v>
      </c>
      <c r="G23">
        <v>0.6</v>
      </c>
      <c r="H23">
        <v>0.02</v>
      </c>
      <c r="I23" s="2">
        <v>1.6761E-3</v>
      </c>
      <c r="J23" s="2">
        <v>1.6761E-3</v>
      </c>
      <c r="K23" s="2">
        <v>3.1756E-2</v>
      </c>
      <c r="L23" s="2">
        <v>3.8109999999999998E-2</v>
      </c>
      <c r="M23" s="2">
        <v>1.6761E-3</v>
      </c>
      <c r="N23" s="2">
        <v>1.036E-3</v>
      </c>
      <c r="O23" s="2">
        <v>58.094799999999999</v>
      </c>
      <c r="P23" s="2">
        <v>7.8089199999999996E-3</v>
      </c>
      <c r="Q23" s="2">
        <v>0.1277712</v>
      </c>
      <c r="R23" s="2">
        <v>7.9203199999999998E-3</v>
      </c>
      <c r="S23" s="2">
        <v>2.1855599999999999E-2</v>
      </c>
      <c r="T23" s="2">
        <v>3.10088E-2</v>
      </c>
      <c r="U23" s="104">
        <v>0.927927927927928</v>
      </c>
      <c r="V23" s="104">
        <v>0.82729805013927604</v>
      </c>
      <c r="W23" s="104">
        <v>0.88145896656534894</v>
      </c>
      <c r="X23" s="104">
        <v>0.89258312020460395</v>
      </c>
      <c r="Y23" s="104">
        <v>0.88349514563106801</v>
      </c>
      <c r="Z23" s="104">
        <v>3.5000000000000003E-2</v>
      </c>
      <c r="AA23" s="104">
        <v>0.11</v>
      </c>
      <c r="AB23" s="104">
        <v>5.8000000000000003E-2</v>
      </c>
      <c r="AC23" s="104">
        <v>8.1000000000000003E-2</v>
      </c>
      <c r="AD23" s="104">
        <v>0.1</v>
      </c>
      <c r="AE23" s="69">
        <f t="shared" si="43"/>
        <v>1.4000000000000002E-2</v>
      </c>
      <c r="AF23" s="69">
        <f t="shared" si="43"/>
        <v>4.4000000000000004E-2</v>
      </c>
      <c r="AG23" s="69">
        <f t="shared" si="43"/>
        <v>2.3200000000000002E-2</v>
      </c>
      <c r="AH23" s="69">
        <f t="shared" si="43"/>
        <v>3.2400000000000005E-2</v>
      </c>
      <c r="AI23" s="69">
        <f t="shared" si="43"/>
        <v>4.0000000000000008E-2</v>
      </c>
      <c r="AJ23" s="2">
        <v>1600</v>
      </c>
      <c r="AK23" s="2">
        <v>226</v>
      </c>
      <c r="AL23" s="2">
        <v>3.8000000000000002E-4</v>
      </c>
      <c r="AM23" s="2">
        <v>1.6999999999999999E-3</v>
      </c>
      <c r="AN23" s="2">
        <v>4</v>
      </c>
      <c r="AR23" s="104">
        <v>5.0000000000000001E-3</v>
      </c>
      <c r="AV23" s="2">
        <v>1.7000000000000001E-2</v>
      </c>
      <c r="AW23" s="2">
        <v>1.9540229885057499E-2</v>
      </c>
      <c r="AX23" s="2">
        <v>1</v>
      </c>
      <c r="AY23" s="2">
        <v>0.2</v>
      </c>
      <c r="AZ23" s="2">
        <v>4.3312500000000002E-4</v>
      </c>
      <c r="BA23" s="3">
        <v>5</v>
      </c>
      <c r="BB23" s="3">
        <v>226</v>
      </c>
      <c r="BC23" s="69">
        <f t="shared" si="44"/>
        <v>5.5000000000000002E-5</v>
      </c>
      <c r="BD23" s="69">
        <f t="shared" si="45"/>
        <v>0.1386</v>
      </c>
      <c r="BE23" s="69">
        <v>0</v>
      </c>
      <c r="BF23" s="2">
        <v>584000</v>
      </c>
      <c r="BG23" s="69">
        <f t="shared" ref="BG23" si="47">AW23</f>
        <v>1.9540229885057499E-2</v>
      </c>
      <c r="BH23" s="69">
        <f t="shared" si="46"/>
        <v>1.7000000000000001E-2</v>
      </c>
    </row>
    <row r="24" spans="1:60" x14ac:dyDescent="0.25">
      <c r="A24" s="31" t="s">
        <v>22</v>
      </c>
      <c r="B24" s="3" t="s">
        <v>1059</v>
      </c>
      <c r="C24" s="3"/>
      <c r="D24" t="s">
        <v>1428</v>
      </c>
      <c r="E24" t="s">
        <v>1429</v>
      </c>
      <c r="F24" t="s">
        <v>1429</v>
      </c>
      <c r="G24" t="s">
        <v>1429</v>
      </c>
      <c r="H24">
        <v>0</v>
      </c>
      <c r="I24" s="2">
        <v>0</v>
      </c>
      <c r="J24" s="2">
        <v>0</v>
      </c>
      <c r="K24" s="2">
        <v>4.2590400000000004E-3</v>
      </c>
      <c r="L24" s="2">
        <v>0</v>
      </c>
      <c r="M24" s="2">
        <v>0</v>
      </c>
      <c r="N24" s="2">
        <v>0</v>
      </c>
      <c r="O24" s="2">
        <v>6.3512000000000004</v>
      </c>
      <c r="P24" s="2">
        <v>8.4635600000000004E-4</v>
      </c>
      <c r="Q24" s="2">
        <v>1.3804520000000001E-2</v>
      </c>
      <c r="R24" s="2">
        <v>8.57412E-4</v>
      </c>
      <c r="S24" s="2">
        <v>2.4470799999999999E-3</v>
      </c>
      <c r="T24" s="2">
        <v>3.8107200000000001E-3</v>
      </c>
      <c r="U24" s="104">
        <v>0.886075949367089</v>
      </c>
      <c r="V24" s="104">
        <v>0.91340782122904995</v>
      </c>
      <c r="W24" s="104">
        <v>0.93388429752066104</v>
      </c>
      <c r="X24" s="104">
        <v>0.91913746630727799</v>
      </c>
      <c r="Y24" s="104">
        <v>0.95499999999999996</v>
      </c>
      <c r="Z24" s="104">
        <v>2.5999999999999999E-2</v>
      </c>
      <c r="AA24" s="104">
        <v>7.5999999999999998E-2</v>
      </c>
      <c r="AB24" s="104">
        <v>4.1000000000000002E-2</v>
      </c>
      <c r="AC24" s="104">
        <v>5.8999999999999997E-2</v>
      </c>
      <c r="AD24" s="104">
        <v>6.8000000000000005E-2</v>
      </c>
      <c r="AE24" s="69">
        <f t="shared" ref="AE24:AI25" si="48">0.4*Z24</f>
        <v>1.04E-2</v>
      </c>
      <c r="AF24" s="69">
        <f t="shared" si="48"/>
        <v>3.04E-2</v>
      </c>
      <c r="AG24" s="69">
        <f t="shared" si="48"/>
        <v>1.6400000000000001E-2</v>
      </c>
      <c r="AH24" s="69">
        <f t="shared" si="48"/>
        <v>2.3599999999999999E-2</v>
      </c>
      <c r="AI24" s="69">
        <f t="shared" si="48"/>
        <v>2.7200000000000002E-2</v>
      </c>
      <c r="AJ24" s="2">
        <v>1.1098427194317601E-9</v>
      </c>
      <c r="AK24" s="2">
        <v>218</v>
      </c>
      <c r="AL24" s="2">
        <v>0</v>
      </c>
      <c r="AM24" s="2">
        <v>0</v>
      </c>
      <c r="AN24" s="2">
        <v>0</v>
      </c>
      <c r="AV24" s="2">
        <v>0</v>
      </c>
      <c r="AW24" s="2">
        <v>0</v>
      </c>
      <c r="AX24" s="2">
        <v>0</v>
      </c>
      <c r="AZ24" s="2">
        <v>624412800</v>
      </c>
      <c r="BA24" s="3"/>
      <c r="BB24" s="3">
        <v>218</v>
      </c>
      <c r="BC24" s="69">
        <f t="shared" ref="BC24:BC25" si="49">BE24+s_lambda_HL</f>
        <v>5.5000000000000002E-5</v>
      </c>
      <c r="BD24" s="69">
        <f t="shared" ref="BD24:BD25" si="50">BE24+(0.693/s_t_w)</f>
        <v>0.1386</v>
      </c>
      <c r="BE24" s="69">
        <v>0</v>
      </c>
      <c r="BF24" s="2">
        <v>4.05092592592593E-7</v>
      </c>
      <c r="BG24" s="69">
        <f t="shared" ref="BG24:BG25" si="51">AW24</f>
        <v>0</v>
      </c>
      <c r="BH24" s="69">
        <f t="shared" ref="BH24:BH25" si="52">AV24</f>
        <v>0</v>
      </c>
    </row>
    <row r="25" spans="1:60" x14ac:dyDescent="0.25">
      <c r="A25" s="32" t="s">
        <v>23</v>
      </c>
      <c r="B25" s="3" t="s">
        <v>336</v>
      </c>
      <c r="C25" s="3">
        <v>1</v>
      </c>
      <c r="D25" t="s">
        <v>1428</v>
      </c>
      <c r="E25" t="s">
        <v>1429</v>
      </c>
      <c r="F25" t="s">
        <v>1429</v>
      </c>
      <c r="G25" t="s">
        <v>1429</v>
      </c>
      <c r="H25">
        <v>0</v>
      </c>
      <c r="I25" s="2">
        <v>0</v>
      </c>
      <c r="J25" s="2">
        <v>0</v>
      </c>
      <c r="K25" s="2">
        <v>2.1295200000000002E-3</v>
      </c>
      <c r="L25" s="2">
        <v>6.55E-6</v>
      </c>
      <c r="M25" s="2">
        <v>0</v>
      </c>
      <c r="N25" s="2">
        <v>0</v>
      </c>
      <c r="O25" s="2">
        <v>3.2316400000000001</v>
      </c>
      <c r="P25" s="2">
        <v>4.3486799999999998E-4</v>
      </c>
      <c r="Q25" s="2">
        <v>7.02368E-3</v>
      </c>
      <c r="R25" s="2">
        <v>4.4084799999999998E-4</v>
      </c>
      <c r="S25" s="2">
        <v>1.2571640000000001E-3</v>
      </c>
      <c r="T25" s="2">
        <v>1.94272E-3</v>
      </c>
      <c r="U25" s="104">
        <v>0.881287726358149</v>
      </c>
      <c r="V25" s="104">
        <v>0.94318181818181801</v>
      </c>
      <c r="W25" s="104">
        <v>0.93949044585987296</v>
      </c>
      <c r="X25" s="104">
        <v>0.93193717277486898</v>
      </c>
      <c r="Y25" s="104">
        <v>0.91981132075471705</v>
      </c>
      <c r="Z25" s="104">
        <v>2.1999999999999999E-2</v>
      </c>
      <c r="AA25" s="104">
        <v>6.6000000000000003E-2</v>
      </c>
      <c r="AB25" s="104">
        <v>3.6999999999999998E-2</v>
      </c>
      <c r="AC25" s="104">
        <v>5.1999999999999998E-2</v>
      </c>
      <c r="AD25" s="104">
        <v>5.8999999999999997E-2</v>
      </c>
      <c r="AE25" s="69">
        <f t="shared" si="48"/>
        <v>8.8000000000000005E-3</v>
      </c>
      <c r="AF25" s="69">
        <f t="shared" si="48"/>
        <v>2.6400000000000003E-2</v>
      </c>
      <c r="AG25" s="69">
        <f t="shared" si="48"/>
        <v>1.4800000000000001E-2</v>
      </c>
      <c r="AH25" s="69">
        <f t="shared" si="48"/>
        <v>2.0799999999999999E-2</v>
      </c>
      <c r="AI25" s="69">
        <f t="shared" si="48"/>
        <v>2.3599999999999999E-2</v>
      </c>
      <c r="AJ25" s="2">
        <v>1.04753424657534E-2</v>
      </c>
      <c r="AK25" s="2">
        <v>222</v>
      </c>
      <c r="AL25" s="2">
        <v>0</v>
      </c>
      <c r="AM25" s="2">
        <v>0</v>
      </c>
      <c r="AN25" s="2">
        <v>0</v>
      </c>
      <c r="AV25" s="2">
        <v>0</v>
      </c>
      <c r="AW25" s="2">
        <v>0</v>
      </c>
      <c r="AX25" s="2">
        <v>0</v>
      </c>
      <c r="AZ25" s="2">
        <v>66.155355041192607</v>
      </c>
      <c r="BA25" s="3"/>
      <c r="BB25" s="3">
        <v>222</v>
      </c>
      <c r="BC25" s="69">
        <f t="shared" si="49"/>
        <v>5.5000000000000002E-5</v>
      </c>
      <c r="BD25" s="69">
        <f t="shared" si="50"/>
        <v>0.1386</v>
      </c>
      <c r="BE25" s="69">
        <v>0</v>
      </c>
      <c r="BF25" s="2">
        <v>3.8235000000000001</v>
      </c>
      <c r="BG25" s="69">
        <f t="shared" si="51"/>
        <v>0</v>
      </c>
      <c r="BH25" s="69">
        <f t="shared" si="52"/>
        <v>0</v>
      </c>
    </row>
    <row r="26" spans="1:60" x14ac:dyDescent="0.25">
      <c r="A26" s="31" t="s">
        <v>24</v>
      </c>
      <c r="B26" s="3" t="s">
        <v>1059</v>
      </c>
      <c r="C26" s="3"/>
      <c r="D26" t="s">
        <v>1430</v>
      </c>
      <c r="E26" t="s">
        <v>1429</v>
      </c>
      <c r="F26" t="s">
        <v>1429</v>
      </c>
      <c r="G26">
        <v>5.0000000000000001E-3</v>
      </c>
      <c r="H26">
        <v>5.0000000000000001E-3</v>
      </c>
      <c r="I26" s="2">
        <v>2.2533000000000002E-3</v>
      </c>
      <c r="J26" s="2">
        <v>2.2533000000000002E-3</v>
      </c>
      <c r="K26" s="2">
        <v>0.28767199999999998</v>
      </c>
      <c r="L26" s="2">
        <v>0.27934999999999999</v>
      </c>
      <c r="M26" s="2">
        <v>2.2533000000000002E-3</v>
      </c>
      <c r="N26" s="2">
        <v>1.8462999999999999E-3</v>
      </c>
      <c r="O26" s="2">
        <v>620.17600000000004</v>
      </c>
      <c r="P26" s="2">
        <v>9.0597499999999997E-2</v>
      </c>
      <c r="Q26" s="2">
        <v>1.38232</v>
      </c>
      <c r="R26" s="2">
        <v>8.5741200000000004E-2</v>
      </c>
      <c r="S26" s="2">
        <v>0.218556</v>
      </c>
      <c r="T26" s="2">
        <v>0.28393600000000002</v>
      </c>
      <c r="U26" s="104">
        <v>0.97538461538461496</v>
      </c>
      <c r="V26" s="104">
        <v>0.95145631067961201</v>
      </c>
      <c r="W26" s="104">
        <v>0.91964285714285698</v>
      </c>
      <c r="X26" s="104">
        <v>0.91074681238615696</v>
      </c>
      <c r="Y26" s="104">
        <v>0.91954022988505801</v>
      </c>
      <c r="Z26" s="104">
        <v>1.1000000000000001E-3</v>
      </c>
      <c r="AA26" s="104">
        <v>1.2E-2</v>
      </c>
      <c r="AB26" s="104">
        <v>6.7999999999999996E-3</v>
      </c>
      <c r="AC26" s="104">
        <v>9.4999999999999998E-3</v>
      </c>
      <c r="AD26" s="104">
        <v>1.0999999999999999E-2</v>
      </c>
      <c r="AE26" s="69">
        <f t="shared" ref="AE26:AI26" si="53">0.4*Z26</f>
        <v>4.4000000000000007E-4</v>
      </c>
      <c r="AF26" s="69">
        <f t="shared" si="53"/>
        <v>4.8000000000000004E-3</v>
      </c>
      <c r="AG26" s="69">
        <f t="shared" si="53"/>
        <v>2.7200000000000002E-3</v>
      </c>
      <c r="AH26" s="69">
        <f t="shared" si="53"/>
        <v>3.8E-3</v>
      </c>
      <c r="AI26" s="69">
        <f t="shared" si="53"/>
        <v>4.4000000000000003E-3</v>
      </c>
      <c r="AJ26" s="2">
        <v>7340</v>
      </c>
      <c r="AK26" s="2">
        <v>229</v>
      </c>
      <c r="AL26" s="2">
        <v>5.0000000000000004E-6</v>
      </c>
      <c r="AM26" s="2">
        <v>2.3000000000000001E-4</v>
      </c>
      <c r="AN26" s="2">
        <v>6</v>
      </c>
      <c r="AR26" s="104">
        <v>1E-3</v>
      </c>
      <c r="AV26" s="2">
        <v>2.0999999999999999E-3</v>
      </c>
      <c r="AW26" s="2">
        <v>2.4137931034482799E-3</v>
      </c>
      <c r="AX26" s="2">
        <v>20</v>
      </c>
      <c r="AY26" s="2">
        <v>5.0000000000000001E-4</v>
      </c>
      <c r="AZ26" s="2">
        <v>9.4414168937329696E-5</v>
      </c>
      <c r="BA26" s="3">
        <v>15</v>
      </c>
      <c r="BB26" s="3">
        <v>229</v>
      </c>
      <c r="BC26" s="69">
        <f t="shared" ref="BC26" si="54">BE26+s_lambda_HL</f>
        <v>5.5000000000000002E-5</v>
      </c>
      <c r="BD26" s="69">
        <f t="shared" ref="BD26" si="55">BE26+(0.693/s_t_w)</f>
        <v>0.1386</v>
      </c>
      <c r="BE26" s="69">
        <v>0</v>
      </c>
      <c r="BF26" s="2">
        <v>2679100</v>
      </c>
      <c r="BG26" s="69">
        <f t="shared" ref="BG26" si="56">AW26</f>
        <v>2.4137931034482799E-3</v>
      </c>
      <c r="BH26" s="69">
        <f t="shared" ref="BH26" si="57">AV26</f>
        <v>2.0999999999999999E-3</v>
      </c>
    </row>
    <row r="27" spans="1:60" x14ac:dyDescent="0.25">
      <c r="A27" s="31" t="s">
        <v>25</v>
      </c>
      <c r="B27" s="3" t="s">
        <v>1059</v>
      </c>
      <c r="C27" s="3"/>
      <c r="D27" t="s">
        <v>1428</v>
      </c>
      <c r="E27" t="s">
        <v>1429</v>
      </c>
      <c r="F27" t="s">
        <v>1429</v>
      </c>
      <c r="G27" t="s">
        <v>1429</v>
      </c>
      <c r="H27">
        <v>0</v>
      </c>
      <c r="I27" s="2">
        <v>0</v>
      </c>
      <c r="J27" s="2">
        <v>0</v>
      </c>
      <c r="K27" s="2">
        <v>1.2777119999999999E-2</v>
      </c>
      <c r="L27" s="2">
        <v>0</v>
      </c>
      <c r="M27" s="2">
        <v>0</v>
      </c>
      <c r="N27" s="2">
        <v>0</v>
      </c>
      <c r="O27" s="2">
        <v>74.159599999999998</v>
      </c>
      <c r="P27" s="2">
        <v>7.1542800000000004E-2</v>
      </c>
      <c r="Q27" s="2">
        <v>8.8730000000000003E-2</v>
      </c>
      <c r="R27" s="2">
        <v>7.58408E-3</v>
      </c>
      <c r="S27" s="2">
        <v>1.057288E-2</v>
      </c>
      <c r="T27" s="2">
        <v>1.245956E-2</v>
      </c>
      <c r="U27" s="104">
        <v>0.94202898550724601</v>
      </c>
      <c r="V27" s="104">
        <v>0.96767241379310298</v>
      </c>
      <c r="W27" s="104">
        <v>0.91346153846153799</v>
      </c>
      <c r="X27" s="104">
        <v>0.90301003344481601</v>
      </c>
      <c r="Y27" s="104">
        <v>0.91029900332225899</v>
      </c>
      <c r="Z27" s="104">
        <v>6.1999999999999998E-3</v>
      </c>
      <c r="AA27" s="104">
        <v>5.6000000000000001E-2</v>
      </c>
      <c r="AB27" s="104">
        <v>0.02</v>
      </c>
      <c r="AC27" s="104">
        <v>3.3000000000000002E-2</v>
      </c>
      <c r="AD27" s="104">
        <v>4.4999999999999998E-2</v>
      </c>
      <c r="AE27" s="69">
        <f t="shared" ref="AE27:AI30" si="58">0.4*Z27</f>
        <v>2.48E-3</v>
      </c>
      <c r="AF27" s="69">
        <f t="shared" si="58"/>
        <v>2.2400000000000003E-2</v>
      </c>
      <c r="AG27" s="69">
        <f t="shared" si="58"/>
        <v>8.0000000000000002E-3</v>
      </c>
      <c r="AH27" s="69">
        <f t="shared" si="58"/>
        <v>1.3200000000000002E-2</v>
      </c>
      <c r="AI27" s="69">
        <f t="shared" si="58"/>
        <v>1.7999999999999999E-2</v>
      </c>
      <c r="AJ27" s="2">
        <v>7.9908675799086794E-6</v>
      </c>
      <c r="AK27" s="2">
        <v>206</v>
      </c>
      <c r="AL27" s="2">
        <v>3.0000000000000001E-3</v>
      </c>
      <c r="AM27" s="2">
        <v>0.02</v>
      </c>
      <c r="AN27" s="2">
        <v>900</v>
      </c>
      <c r="AR27" s="104">
        <v>0.4</v>
      </c>
      <c r="AV27" s="2">
        <v>0.2</v>
      </c>
      <c r="AW27" s="2">
        <v>0.6</v>
      </c>
      <c r="AX27" s="2">
        <v>1500</v>
      </c>
      <c r="AZ27" s="2">
        <v>86724</v>
      </c>
      <c r="BA27" s="3"/>
      <c r="BB27" s="3">
        <v>206</v>
      </c>
      <c r="BC27" s="69">
        <f t="shared" ref="BC27:BC30" si="59">BE27+s_lambda_HL</f>
        <v>5.5000000000000002E-5</v>
      </c>
      <c r="BD27" s="69">
        <f t="shared" ref="BD27:BD30" si="60">BE27+(0.693/s_t_w)</f>
        <v>0.1386</v>
      </c>
      <c r="BE27" s="69">
        <v>0</v>
      </c>
      <c r="BF27" s="2">
        <v>2.9166666666666698E-3</v>
      </c>
      <c r="BG27" s="69">
        <f t="shared" ref="BG27:BG30" si="61">AW27</f>
        <v>0.6</v>
      </c>
      <c r="BH27" s="69">
        <f t="shared" ref="BH27:BH30" si="62">AV27</f>
        <v>0.2</v>
      </c>
    </row>
    <row r="28" spans="1:60" x14ac:dyDescent="0.25">
      <c r="A28" s="31" t="s">
        <v>26</v>
      </c>
      <c r="B28" s="3" t="s">
        <v>1059</v>
      </c>
      <c r="C28" s="3"/>
      <c r="D28" t="s">
        <v>1428</v>
      </c>
      <c r="E28" t="s">
        <v>1429</v>
      </c>
      <c r="F28" t="s">
        <v>1429</v>
      </c>
      <c r="G28" t="s">
        <v>1429</v>
      </c>
      <c r="H28">
        <v>0</v>
      </c>
      <c r="I28" s="2">
        <v>0</v>
      </c>
      <c r="J28" s="2">
        <v>0</v>
      </c>
      <c r="K28" s="2">
        <v>12.870520000000001</v>
      </c>
      <c r="L28" s="2">
        <v>0</v>
      </c>
      <c r="M28" s="2">
        <v>0</v>
      </c>
      <c r="N28" s="2">
        <v>0</v>
      </c>
      <c r="O28" s="2">
        <v>19053.599999999999</v>
      </c>
      <c r="P28" s="2">
        <v>2.36138</v>
      </c>
      <c r="Q28" s="2">
        <v>41.095999999999997</v>
      </c>
      <c r="R28" s="2">
        <v>2.3536800000000002</v>
      </c>
      <c r="S28" s="2">
        <v>6.7621599999999997</v>
      </c>
      <c r="T28" s="2">
        <v>10.815720000000001</v>
      </c>
      <c r="U28" s="104">
        <v>0.86776859504132198</v>
      </c>
      <c r="V28" s="104">
        <v>0.94199999999999995</v>
      </c>
      <c r="W28" s="104">
        <v>0.93081761006289299</v>
      </c>
      <c r="X28" s="104">
        <v>0.94166666666666698</v>
      </c>
      <c r="Y28" s="104">
        <v>0.91360294117647101</v>
      </c>
      <c r="Z28" s="104">
        <v>3.5999999999999997E-2</v>
      </c>
      <c r="AA28" s="104">
        <v>0.13</v>
      </c>
      <c r="AB28" s="104">
        <v>5.8999999999999997E-2</v>
      </c>
      <c r="AC28" s="104">
        <v>8.4000000000000005E-2</v>
      </c>
      <c r="AD28" s="104">
        <v>0.1</v>
      </c>
      <c r="AE28" s="69">
        <f t="shared" si="58"/>
        <v>1.44E-2</v>
      </c>
      <c r="AF28" s="69">
        <f t="shared" si="58"/>
        <v>5.2000000000000005E-2</v>
      </c>
      <c r="AG28" s="69">
        <f t="shared" si="58"/>
        <v>2.3599999999999999E-2</v>
      </c>
      <c r="AH28" s="69">
        <f t="shared" si="58"/>
        <v>3.3600000000000005E-2</v>
      </c>
      <c r="AI28" s="69">
        <f t="shared" si="58"/>
        <v>4.0000000000000008E-2</v>
      </c>
      <c r="AJ28" s="2">
        <v>4.1114916286149197E-6</v>
      </c>
      <c r="AK28" s="2">
        <v>209</v>
      </c>
      <c r="AL28" s="2">
        <v>3.0000000000000001E-3</v>
      </c>
      <c r="AM28" s="2">
        <v>0.02</v>
      </c>
      <c r="AN28" s="2">
        <v>900</v>
      </c>
      <c r="AR28" s="104">
        <v>0.4</v>
      </c>
      <c r="AV28" s="2">
        <v>0.2</v>
      </c>
      <c r="AW28" s="2">
        <v>0.6</v>
      </c>
      <c r="AX28" s="2">
        <v>1500</v>
      </c>
      <c r="AZ28" s="2">
        <v>168551.966682092</v>
      </c>
      <c r="BA28" s="3"/>
      <c r="BB28" s="3">
        <v>209</v>
      </c>
      <c r="BC28" s="69">
        <f t="shared" si="59"/>
        <v>5.5000000000000002E-5</v>
      </c>
      <c r="BD28" s="69">
        <f t="shared" si="60"/>
        <v>0.1386</v>
      </c>
      <c r="BE28" s="69">
        <v>0</v>
      </c>
      <c r="BF28" s="2">
        <v>1.5006944444444399E-3</v>
      </c>
      <c r="BG28" s="69">
        <f t="shared" si="61"/>
        <v>0.6</v>
      </c>
      <c r="BH28" s="69">
        <f t="shared" si="62"/>
        <v>0.2</v>
      </c>
    </row>
    <row r="29" spans="1:60" x14ac:dyDescent="0.25">
      <c r="A29" s="31" t="s">
        <v>27</v>
      </c>
      <c r="B29" s="3" t="s">
        <v>1059</v>
      </c>
      <c r="C29" s="3"/>
      <c r="D29" t="s">
        <v>1428</v>
      </c>
      <c r="E29" t="s">
        <v>1429</v>
      </c>
      <c r="F29" t="s">
        <v>1429</v>
      </c>
      <c r="G29" t="s">
        <v>1429</v>
      </c>
      <c r="H29">
        <v>0</v>
      </c>
      <c r="I29" s="2">
        <v>0</v>
      </c>
      <c r="J29" s="2">
        <v>0</v>
      </c>
      <c r="K29" s="2">
        <v>16.774640000000002</v>
      </c>
      <c r="L29" s="2">
        <v>0</v>
      </c>
      <c r="M29" s="2">
        <v>0</v>
      </c>
      <c r="N29" s="2">
        <v>0</v>
      </c>
      <c r="O29" s="2">
        <v>24657.599999999999</v>
      </c>
      <c r="P29" s="2">
        <v>3.08616</v>
      </c>
      <c r="Q29" s="2">
        <v>53.238</v>
      </c>
      <c r="R29" s="2">
        <v>3.06352</v>
      </c>
      <c r="S29" s="2">
        <v>8.7982800000000001</v>
      </c>
      <c r="T29" s="2">
        <v>14.14076</v>
      </c>
      <c r="U29" s="104">
        <v>0.87301587301587302</v>
      </c>
      <c r="V29" s="104">
        <v>0.93846153846153801</v>
      </c>
      <c r="W29" s="104">
        <v>0.94059405940594099</v>
      </c>
      <c r="X29" s="104">
        <v>0.94308943089430897</v>
      </c>
      <c r="Y29" s="104">
        <v>0.93390804597701205</v>
      </c>
      <c r="Z29" s="104">
        <v>3.5999999999999997E-2</v>
      </c>
      <c r="AA29" s="104">
        <v>0.12</v>
      </c>
      <c r="AB29" s="104">
        <v>0.06</v>
      </c>
      <c r="AC29" s="104">
        <v>8.4000000000000005E-2</v>
      </c>
      <c r="AD29" s="104">
        <v>0.1</v>
      </c>
      <c r="AE29" s="69">
        <f t="shared" si="58"/>
        <v>1.44E-2</v>
      </c>
      <c r="AF29" s="69">
        <f t="shared" si="58"/>
        <v>4.8000000000000001E-2</v>
      </c>
      <c r="AG29" s="69">
        <f t="shared" si="58"/>
        <v>2.4E-2</v>
      </c>
      <c r="AH29" s="69">
        <f t="shared" si="58"/>
        <v>3.3600000000000005E-2</v>
      </c>
      <c r="AI29" s="69">
        <f t="shared" si="58"/>
        <v>4.0000000000000008E-2</v>
      </c>
      <c r="AJ29" s="2">
        <v>2.4733637747336398E-6</v>
      </c>
      <c r="AK29" s="2">
        <v>210</v>
      </c>
      <c r="AL29" s="2">
        <v>3.0000000000000001E-3</v>
      </c>
      <c r="AM29" s="2">
        <v>0.02</v>
      </c>
      <c r="AN29" s="2">
        <v>900</v>
      </c>
      <c r="AR29" s="104">
        <v>0.4</v>
      </c>
      <c r="AV29" s="2">
        <v>0.2</v>
      </c>
      <c r="AW29" s="2">
        <v>0.6</v>
      </c>
      <c r="AX29" s="2">
        <v>1500</v>
      </c>
      <c r="AZ29" s="2">
        <v>280185.23076923098</v>
      </c>
      <c r="BA29" s="3"/>
      <c r="BB29" s="3">
        <v>210</v>
      </c>
      <c r="BC29" s="69">
        <f t="shared" si="59"/>
        <v>5.5000000000000002E-5</v>
      </c>
      <c r="BD29" s="69">
        <f t="shared" si="60"/>
        <v>0.1386</v>
      </c>
      <c r="BE29" s="69">
        <v>0</v>
      </c>
      <c r="BF29" s="2">
        <v>9.0277777777777795E-4</v>
      </c>
      <c r="BG29" s="69">
        <f t="shared" si="61"/>
        <v>0.6</v>
      </c>
      <c r="BH29" s="69">
        <f t="shared" si="62"/>
        <v>0.2</v>
      </c>
    </row>
    <row r="30" spans="1:60" x14ac:dyDescent="0.25">
      <c r="A30" s="31" t="s">
        <v>28</v>
      </c>
      <c r="B30" s="3" t="s">
        <v>1059</v>
      </c>
      <c r="C30" s="3"/>
      <c r="D30" t="s">
        <v>1430</v>
      </c>
      <c r="E30" t="s">
        <v>1429</v>
      </c>
      <c r="F30" t="s">
        <v>1429</v>
      </c>
      <c r="G30">
        <v>0.04</v>
      </c>
      <c r="H30">
        <v>0.02</v>
      </c>
      <c r="I30" s="2">
        <v>2.2274E-4</v>
      </c>
      <c r="J30" s="2">
        <v>2.2274E-4</v>
      </c>
      <c r="K30" s="2">
        <v>9.1905600000000002E-4</v>
      </c>
      <c r="L30" s="2">
        <v>3.8109999999999998E-2</v>
      </c>
      <c r="M30" s="2">
        <v>2.2274E-4</v>
      </c>
      <c r="N30" s="2">
        <v>1.8944E-4</v>
      </c>
      <c r="O30" s="2">
        <v>1.9800800000000001</v>
      </c>
      <c r="P30" s="2">
        <v>5.5644400000000001E-4</v>
      </c>
      <c r="Q30" s="2">
        <v>4.3898000000000001E-3</v>
      </c>
      <c r="R30" s="2">
        <v>2.7085999999999999E-4</v>
      </c>
      <c r="S30" s="2">
        <v>6.5566799999999998E-4</v>
      </c>
      <c r="T30" s="2">
        <v>8.8916799999999997E-4</v>
      </c>
      <c r="U30" s="105">
        <v>1</v>
      </c>
      <c r="V30" s="105">
        <v>1</v>
      </c>
      <c r="W30" s="105">
        <v>0.97979797979798</v>
      </c>
      <c r="X30" s="105">
        <v>0.97103448275862103</v>
      </c>
      <c r="Y30" s="105">
        <v>0.96124031007751898</v>
      </c>
      <c r="Z30" s="2">
        <v>1E-4</v>
      </c>
      <c r="AA30" s="2">
        <v>1.2E-2</v>
      </c>
      <c r="AB30" s="2">
        <v>2.5000000000000001E-3</v>
      </c>
      <c r="AC30" s="2">
        <v>7.0000000000000001E-3</v>
      </c>
      <c r="AD30" s="2">
        <v>9.4999999999999998E-3</v>
      </c>
      <c r="AE30" s="69">
        <f t="shared" si="58"/>
        <v>4.0000000000000003E-5</v>
      </c>
      <c r="AF30" s="69">
        <f t="shared" si="58"/>
        <v>4.8000000000000004E-3</v>
      </c>
      <c r="AG30" s="69">
        <f t="shared" si="58"/>
        <v>1E-3</v>
      </c>
      <c r="AH30" s="69">
        <f t="shared" si="58"/>
        <v>2.8000000000000004E-3</v>
      </c>
      <c r="AI30" s="69">
        <f t="shared" si="58"/>
        <v>3.8E-3</v>
      </c>
      <c r="AJ30" s="2">
        <v>159200</v>
      </c>
      <c r="AK30" s="2">
        <v>233</v>
      </c>
      <c r="AL30" s="2">
        <v>1.8E-3</v>
      </c>
      <c r="AM30" s="2">
        <v>3.8999999999999999E-4</v>
      </c>
      <c r="AN30" s="2">
        <v>0.96</v>
      </c>
      <c r="AO30" s="2">
        <v>0.75</v>
      </c>
      <c r="AP30" s="2">
        <v>1.1000000000000001</v>
      </c>
      <c r="AQ30" s="2">
        <v>4.3999999999999997E-2</v>
      </c>
      <c r="AR30" s="104">
        <v>2E-3</v>
      </c>
      <c r="AU30" s="104">
        <v>1.4E-3</v>
      </c>
      <c r="AV30" s="2">
        <v>6.1999999999999998E-3</v>
      </c>
      <c r="AW30" s="2">
        <v>7.1264367816091896E-3</v>
      </c>
      <c r="AX30" s="2">
        <v>0.4</v>
      </c>
      <c r="AY30" s="2">
        <v>0.02</v>
      </c>
      <c r="AZ30" s="2">
        <v>4.3530150753768799E-6</v>
      </c>
      <c r="BA30" s="3">
        <v>289207.91735594597</v>
      </c>
      <c r="BB30" s="3">
        <v>233</v>
      </c>
      <c r="BC30" s="69">
        <f t="shared" si="59"/>
        <v>5.5000000000000002E-5</v>
      </c>
      <c r="BD30" s="69">
        <f t="shared" si="60"/>
        <v>0.1386</v>
      </c>
      <c r="BE30" s="69">
        <v>0</v>
      </c>
      <c r="BF30" s="2">
        <v>58108000</v>
      </c>
      <c r="BG30" s="69">
        <f t="shared" si="61"/>
        <v>7.1264367816091896E-3</v>
      </c>
      <c r="BH30" s="69">
        <f t="shared" si="62"/>
        <v>6.1999999999999998E-3</v>
      </c>
    </row>
  </sheetData>
  <sheetProtection algorithmName="SHA-512" hashValue="x/fCmRJPWZUiDgMVS/hB0MxuSO6y2Dk4Cvr1r6MrpFuvSTMY647WLVg+acbOw5xBWzrvDDxLJNuBiiZ7L0gIqA==" saltValue="b0UtmiWiwVtCQ2ftDzaPuA==" spinCount="100000" sheet="1" objects="1" scenarios="1" formatColumns="0" formatRows="0" autoFilter="0"/>
  <autoFilter ref="A1:BH30" xr:uid="{00000000-0009-0000-0000-00000D000000}"/>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121"/>
  <sheetViews>
    <sheetView zoomScale="85" zoomScaleNormal="85" workbookViewId="0">
      <pane ySplit="1" topLeftCell="A2" activePane="bottomLeft" state="frozen"/>
      <selection pane="bottomLeft" activeCell="A2" sqref="A2"/>
    </sheetView>
  </sheetViews>
  <sheetFormatPr defaultColWidth="12.42578125" defaultRowHeight="15" x14ac:dyDescent="0.25"/>
  <cols>
    <col min="1" max="1" width="13.7109375" style="83" bestFit="1" customWidth="1"/>
    <col min="2" max="3" width="12.42578125" style="83"/>
    <col min="4" max="4" width="13.140625" style="83" bestFit="1" customWidth="1"/>
    <col min="5" max="12" width="12.42578125" style="83"/>
    <col min="13" max="13" width="14.28515625" style="83" bestFit="1" customWidth="1"/>
    <col min="14" max="15" width="12.42578125" style="83"/>
    <col min="16" max="16" width="14.42578125" style="83" bestFit="1" customWidth="1"/>
    <col min="17" max="17" width="12.42578125" style="83" customWidth="1"/>
    <col min="18" max="16384" width="12.42578125" style="83"/>
  </cols>
  <sheetData>
    <row r="1" spans="1:18" ht="18.75" x14ac:dyDescent="0.25">
      <c r="A1" s="124" t="s">
        <v>40</v>
      </c>
      <c r="B1" s="124"/>
      <c r="C1" s="124"/>
      <c r="D1" s="124" t="s">
        <v>41</v>
      </c>
      <c r="E1" s="124"/>
      <c r="F1" s="124"/>
      <c r="G1" s="124" t="s">
        <v>42</v>
      </c>
      <c r="H1" s="124"/>
      <c r="I1" s="124"/>
      <c r="J1" s="124" t="s">
        <v>369</v>
      </c>
      <c r="K1" s="124"/>
      <c r="L1" s="124"/>
      <c r="M1" s="124" t="s">
        <v>550</v>
      </c>
      <c r="N1" s="124"/>
      <c r="O1" s="124"/>
      <c r="P1" s="124" t="s">
        <v>551</v>
      </c>
      <c r="Q1" s="124"/>
      <c r="R1" s="124"/>
    </row>
    <row r="2" spans="1:18" ht="18" x14ac:dyDescent="0.25">
      <c r="A2" s="83" t="s">
        <v>1404</v>
      </c>
      <c r="B2" s="120">
        <v>5</v>
      </c>
      <c r="D2" s="83" t="s">
        <v>272</v>
      </c>
      <c r="E2" s="78">
        <v>5</v>
      </c>
      <c r="F2" s="47" t="s">
        <v>43</v>
      </c>
      <c r="G2" s="83" t="s">
        <v>989</v>
      </c>
      <c r="H2" s="78">
        <v>5</v>
      </c>
      <c r="I2" s="47" t="s">
        <v>43</v>
      </c>
      <c r="J2" s="83" t="s">
        <v>1027</v>
      </c>
      <c r="K2" s="78">
        <v>5</v>
      </c>
      <c r="L2" s="47" t="s">
        <v>43</v>
      </c>
      <c r="M2" s="82" t="s">
        <v>742</v>
      </c>
      <c r="N2" s="81">
        <v>0.5</v>
      </c>
      <c r="P2" s="82" t="s">
        <v>294</v>
      </c>
      <c r="Q2" s="81">
        <v>0.5</v>
      </c>
    </row>
    <row r="3" spans="1:18" ht="18" x14ac:dyDescent="0.25">
      <c r="A3" s="82" t="s">
        <v>241</v>
      </c>
      <c r="B3" s="95">
        <v>0.5</v>
      </c>
      <c r="D3" s="83" t="s">
        <v>273</v>
      </c>
      <c r="E3" s="78">
        <v>15</v>
      </c>
      <c r="F3" s="47" t="s">
        <v>43</v>
      </c>
      <c r="G3" s="83" t="s">
        <v>990</v>
      </c>
      <c r="H3" s="78">
        <v>15</v>
      </c>
      <c r="I3" s="47" t="s">
        <v>43</v>
      </c>
      <c r="J3" s="83" t="s">
        <v>1028</v>
      </c>
      <c r="K3" s="78">
        <v>15</v>
      </c>
      <c r="L3" s="47" t="s">
        <v>43</v>
      </c>
      <c r="M3" s="82" t="s">
        <v>743</v>
      </c>
      <c r="N3" s="81">
        <v>0.5</v>
      </c>
      <c r="P3" s="82" t="s">
        <v>293</v>
      </c>
      <c r="Q3" s="81">
        <v>0.5</v>
      </c>
    </row>
    <row r="4" spans="1:18" ht="18" x14ac:dyDescent="0.25">
      <c r="A4" s="83" t="s">
        <v>242</v>
      </c>
      <c r="B4" s="81">
        <v>2</v>
      </c>
      <c r="D4" s="83" t="s">
        <v>274</v>
      </c>
      <c r="E4" s="94">
        <v>1</v>
      </c>
      <c r="F4" s="47" t="s">
        <v>43</v>
      </c>
      <c r="G4" s="83" t="s">
        <v>991</v>
      </c>
      <c r="H4" s="94">
        <v>1</v>
      </c>
      <c r="I4" s="47" t="s">
        <v>43</v>
      </c>
      <c r="J4" s="83" t="s">
        <v>1029</v>
      </c>
      <c r="K4" s="94">
        <v>1</v>
      </c>
      <c r="L4" s="47" t="s">
        <v>43</v>
      </c>
      <c r="M4" s="82" t="s">
        <v>744</v>
      </c>
      <c r="N4" s="81">
        <v>0.5</v>
      </c>
      <c r="P4" s="82" t="s">
        <v>297</v>
      </c>
      <c r="Q4" s="81">
        <v>0.5</v>
      </c>
    </row>
    <row r="5" spans="1:18" ht="18" x14ac:dyDescent="0.25">
      <c r="A5" s="83" t="s">
        <v>243</v>
      </c>
      <c r="B5" s="94">
        <v>0.4</v>
      </c>
      <c r="D5" s="83" t="s">
        <v>892</v>
      </c>
      <c r="E5" s="93">
        <f>s_ED_res</f>
        <v>1</v>
      </c>
      <c r="G5" s="83" t="s">
        <v>992</v>
      </c>
      <c r="H5" s="93">
        <f>s_ED_rec</f>
        <v>1</v>
      </c>
      <c r="I5" s="47"/>
      <c r="J5" s="83" t="s">
        <v>1030</v>
      </c>
      <c r="K5" s="93">
        <f>s_ED_far</f>
        <v>1</v>
      </c>
      <c r="L5" s="47"/>
      <c r="M5" s="82" t="s">
        <v>745</v>
      </c>
      <c r="N5" s="81">
        <v>0.5</v>
      </c>
      <c r="P5" s="82" t="s">
        <v>295</v>
      </c>
      <c r="Q5" s="81">
        <v>0.5</v>
      </c>
    </row>
    <row r="6" spans="1:18" ht="18" x14ac:dyDescent="0.25">
      <c r="A6" s="83" t="s">
        <v>244</v>
      </c>
      <c r="B6" s="81">
        <v>2</v>
      </c>
      <c r="D6" s="83" t="s">
        <v>893</v>
      </c>
      <c r="E6" s="81">
        <v>5</v>
      </c>
      <c r="F6" s="83" t="s">
        <v>44</v>
      </c>
      <c r="G6" s="83" t="s">
        <v>993</v>
      </c>
      <c r="H6" s="81">
        <v>5</v>
      </c>
      <c r="I6" s="82" t="s">
        <v>87</v>
      </c>
      <c r="J6" s="83" t="s">
        <v>1031</v>
      </c>
      <c r="K6" s="81">
        <v>5</v>
      </c>
      <c r="L6" s="82" t="s">
        <v>87</v>
      </c>
      <c r="M6" s="82" t="s">
        <v>746</v>
      </c>
      <c r="N6" s="81">
        <v>0.5</v>
      </c>
      <c r="P6" s="82" t="s">
        <v>296</v>
      </c>
      <c r="Q6" s="81">
        <v>0.5</v>
      </c>
    </row>
    <row r="7" spans="1:18" ht="18" x14ac:dyDescent="0.25">
      <c r="A7" s="82" t="s">
        <v>245</v>
      </c>
      <c r="B7" s="81">
        <v>5.5000000000000002E-5</v>
      </c>
      <c r="C7" s="82" t="s">
        <v>125</v>
      </c>
      <c r="D7" s="83" t="s">
        <v>894</v>
      </c>
      <c r="E7" s="81">
        <v>10</v>
      </c>
      <c r="F7" s="83" t="s">
        <v>44</v>
      </c>
      <c r="G7" s="83" t="s">
        <v>994</v>
      </c>
      <c r="H7" s="81">
        <v>10</v>
      </c>
      <c r="I7" s="82" t="s">
        <v>87</v>
      </c>
      <c r="J7" s="83" t="s">
        <v>1032</v>
      </c>
      <c r="K7" s="81">
        <v>10</v>
      </c>
      <c r="L7" s="82" t="s">
        <v>87</v>
      </c>
      <c r="M7" s="82" t="s">
        <v>747</v>
      </c>
      <c r="N7" s="81">
        <v>0.5</v>
      </c>
      <c r="P7" s="82" t="s">
        <v>298</v>
      </c>
      <c r="Q7" s="81">
        <v>0.5</v>
      </c>
    </row>
    <row r="8" spans="1:18" ht="18" x14ac:dyDescent="0.25">
      <c r="A8" s="82" t="s">
        <v>246</v>
      </c>
      <c r="B8" s="81">
        <v>5</v>
      </c>
      <c r="C8" s="82" t="s">
        <v>119</v>
      </c>
      <c r="D8" s="83" t="s">
        <v>895</v>
      </c>
      <c r="E8" s="94">
        <f>((s_EF_res_c*1*s_ET_res_c*(1/24)*s_IRA_res_c*s_AAF_res_c)+(s_EF_res_a*1*s_ET_res_a*(1/24)*s_IRA_res_a*s_AAF_res_a))</f>
        <v>100.26041666666666</v>
      </c>
      <c r="F8" s="47" t="s">
        <v>237</v>
      </c>
      <c r="G8" s="83" t="s">
        <v>995</v>
      </c>
      <c r="H8" s="94">
        <f>((s_EF_rec_c*1*s_ET_rec_c*(1/24)*s_IRA_rec_c*s_AAF_rec_c)+(s_EF_rec_a*1*s_ET_rec_a*(1/24)*s_IRA_rec_a*s_AAF_rec_a))</f>
        <v>9.1145833333333321</v>
      </c>
      <c r="J8" s="83" t="s">
        <v>1033</v>
      </c>
      <c r="K8" s="94">
        <f>((s_EF_far_c*1*s_ET_far_c*(1/24)*s_IRA_far_c*s_AAF_far_c)+(s_EF_far_a*1*s_ET_far_a*(1/24)*s_IRA_far_a*s_AAF_far_a))</f>
        <v>100.26041666666666</v>
      </c>
      <c r="L8" s="47" t="s">
        <v>237</v>
      </c>
      <c r="M8" s="82" t="s">
        <v>748</v>
      </c>
      <c r="N8" s="81">
        <v>0.5</v>
      </c>
      <c r="P8" s="82" t="s">
        <v>1098</v>
      </c>
      <c r="Q8" s="81">
        <v>0.5</v>
      </c>
    </row>
    <row r="9" spans="1:18" ht="18" x14ac:dyDescent="0.25">
      <c r="A9" s="82" t="s">
        <v>247</v>
      </c>
      <c r="B9" s="81">
        <v>0.5</v>
      </c>
      <c r="C9" s="82" t="s">
        <v>90</v>
      </c>
      <c r="D9" s="83" t="s">
        <v>896</v>
      </c>
      <c r="E9" s="94">
        <f>((s_EF_res_c*1*s_ET_event_res_c*s_EV_res_c*s_AAF_res_c)+(s_EF_res_a*1*s_ET_event_res_a*s_EV_res_a*s_AAF_res_a))</f>
        <v>220</v>
      </c>
      <c r="F9" s="47" t="s">
        <v>341</v>
      </c>
      <c r="G9" s="83" t="s">
        <v>996</v>
      </c>
      <c r="H9" s="94">
        <f>((s_EF_rec_c*1*s_ET_event_rec_c*s_EV_rec_c*s_AAF_rec_c)+(s_EF_rec_a*1*s_ET_event_rec_a*s_EV_rec_a*s_AAF_rec_a))</f>
        <v>20</v>
      </c>
      <c r="I9" s="47" t="s">
        <v>341</v>
      </c>
      <c r="J9" s="83" t="s">
        <v>1034</v>
      </c>
      <c r="K9" s="94">
        <f>((s_EF_far_c*1*s_EV_far_c*s_ET_event_far_c*s_AAF_far_c)+(s_EF_far_a*1*s_EV_far_a*s_ET_event_far_a*s_AAF_far_a))</f>
        <v>220</v>
      </c>
      <c r="L9" s="47" t="s">
        <v>341</v>
      </c>
      <c r="M9" s="82" t="s">
        <v>749</v>
      </c>
      <c r="N9" s="81">
        <v>0.5</v>
      </c>
      <c r="P9" s="82" t="s">
        <v>862</v>
      </c>
      <c r="Q9" s="81">
        <v>0.5</v>
      </c>
    </row>
    <row r="10" spans="1:18" ht="18" x14ac:dyDescent="0.25">
      <c r="A10" s="82" t="s">
        <v>248</v>
      </c>
      <c r="B10" s="81">
        <v>5000</v>
      </c>
      <c r="C10" s="82" t="s">
        <v>121</v>
      </c>
      <c r="D10" s="83" t="s">
        <v>897</v>
      </c>
      <c r="E10" s="81">
        <v>55</v>
      </c>
      <c r="F10" s="83" t="s">
        <v>45</v>
      </c>
      <c r="G10" s="83" t="s">
        <v>997</v>
      </c>
      <c r="H10" s="81">
        <v>55</v>
      </c>
      <c r="I10" s="82" t="s">
        <v>45</v>
      </c>
      <c r="J10" s="83" t="s">
        <v>1035</v>
      </c>
      <c r="K10" s="81">
        <v>55</v>
      </c>
      <c r="L10" s="82" t="s">
        <v>45</v>
      </c>
      <c r="M10" s="82" t="s">
        <v>750</v>
      </c>
      <c r="N10" s="81">
        <v>0.5</v>
      </c>
      <c r="P10" s="82" t="s">
        <v>863</v>
      </c>
      <c r="Q10" s="81">
        <v>0.5</v>
      </c>
    </row>
    <row r="11" spans="1:18" ht="18" x14ac:dyDescent="0.25">
      <c r="A11" s="82" t="s">
        <v>249</v>
      </c>
      <c r="B11" s="81">
        <v>55</v>
      </c>
      <c r="C11" s="82" t="s">
        <v>123</v>
      </c>
      <c r="D11" s="83" t="s">
        <v>898</v>
      </c>
      <c r="E11" s="81">
        <v>55</v>
      </c>
      <c r="F11" s="83" t="s">
        <v>45</v>
      </c>
      <c r="G11" s="83" t="s">
        <v>998</v>
      </c>
      <c r="H11" s="81">
        <v>55</v>
      </c>
      <c r="I11" s="82" t="s">
        <v>45</v>
      </c>
      <c r="J11" s="83" t="s">
        <v>1036</v>
      </c>
      <c r="K11" s="81">
        <v>55</v>
      </c>
      <c r="L11" s="82" t="s">
        <v>45</v>
      </c>
      <c r="M11" s="82" t="s">
        <v>751</v>
      </c>
      <c r="N11" s="81">
        <v>0.5</v>
      </c>
      <c r="P11" s="82" t="s">
        <v>864</v>
      </c>
      <c r="Q11" s="81">
        <v>0.5</v>
      </c>
    </row>
    <row r="12" spans="1:18" ht="18" x14ac:dyDescent="0.25">
      <c r="A12" s="82" t="s">
        <v>250</v>
      </c>
      <c r="B12" s="81">
        <v>0.5</v>
      </c>
      <c r="C12" s="82" t="s">
        <v>90</v>
      </c>
      <c r="D12" s="83" t="s">
        <v>899</v>
      </c>
      <c r="E12" s="94">
        <f>((s_EF_res_c*1*s_IRS_res_c*s_AAF_res_c)+(s_EF_res_a*1*s_IRS_res_a*s_AAF_res_a))</f>
        <v>3025</v>
      </c>
      <c r="F12" s="82" t="s">
        <v>238</v>
      </c>
      <c r="G12" s="83" t="s">
        <v>999</v>
      </c>
      <c r="H12" s="94">
        <f>((s_EF_rec_c*1*s_IRS_rec_c*s_AAF_rec_c)+(s_EF_rec_a*1*s_IRS_rec_a*s_AAF_rec_a))</f>
        <v>275</v>
      </c>
      <c r="I12" s="82" t="s">
        <v>238</v>
      </c>
      <c r="J12" s="83" t="s">
        <v>1037</v>
      </c>
      <c r="K12" s="94">
        <f>((s_EF_far_c*1*s_IRS_far_c*s_AAF_far_c)+(s_EF_far_a*1*s_IRS_far_a*s_AAF_far_a))</f>
        <v>3025</v>
      </c>
      <c r="L12" s="82" t="s">
        <v>238</v>
      </c>
      <c r="M12" s="82" t="s">
        <v>752</v>
      </c>
      <c r="N12" s="81">
        <v>0.5</v>
      </c>
      <c r="P12" s="82" t="s">
        <v>278</v>
      </c>
      <c r="Q12" s="81">
        <v>55</v>
      </c>
      <c r="R12" s="82" t="s">
        <v>47</v>
      </c>
    </row>
    <row r="13" spans="1:18" ht="18" x14ac:dyDescent="0.25">
      <c r="A13" s="82" t="s">
        <v>251</v>
      </c>
      <c r="B13" s="81">
        <v>55</v>
      </c>
      <c r="C13" s="82" t="s">
        <v>121</v>
      </c>
      <c r="D13" s="83" t="s">
        <v>900</v>
      </c>
      <c r="E13" s="81">
        <v>5</v>
      </c>
      <c r="F13" s="83" t="s">
        <v>46</v>
      </c>
      <c r="G13" s="83" t="s">
        <v>1000</v>
      </c>
      <c r="H13" s="81">
        <v>2</v>
      </c>
      <c r="I13" s="82" t="s">
        <v>88</v>
      </c>
      <c r="J13" s="83" t="s">
        <v>1038</v>
      </c>
      <c r="K13" s="81">
        <v>5</v>
      </c>
      <c r="L13" s="82" t="s">
        <v>46</v>
      </c>
      <c r="M13" s="82" t="s">
        <v>753</v>
      </c>
      <c r="N13" s="81">
        <v>0.5</v>
      </c>
      <c r="P13" s="82" t="s">
        <v>279</v>
      </c>
      <c r="Q13" s="81">
        <v>55</v>
      </c>
      <c r="R13" s="82" t="s">
        <v>47</v>
      </c>
    </row>
    <row r="14" spans="1:18" ht="18" x14ac:dyDescent="0.25">
      <c r="A14" s="82" t="s">
        <v>252</v>
      </c>
      <c r="B14" s="81">
        <v>5</v>
      </c>
      <c r="C14" s="82" t="s">
        <v>123</v>
      </c>
      <c r="D14" s="83" t="s">
        <v>901</v>
      </c>
      <c r="E14" s="81">
        <v>5</v>
      </c>
      <c r="F14" s="83" t="s">
        <v>46</v>
      </c>
      <c r="G14" s="83" t="s">
        <v>1001</v>
      </c>
      <c r="H14" s="81">
        <v>2</v>
      </c>
      <c r="I14" s="82" t="s">
        <v>88</v>
      </c>
      <c r="J14" s="83" t="s">
        <v>1039</v>
      </c>
      <c r="K14" s="81">
        <v>5</v>
      </c>
      <c r="L14" s="82" t="s">
        <v>46</v>
      </c>
      <c r="M14" s="82" t="s">
        <v>754</v>
      </c>
      <c r="N14" s="81">
        <v>0.5</v>
      </c>
      <c r="P14" s="83" t="s">
        <v>280</v>
      </c>
      <c r="Q14" s="93">
        <f>((s_EF_far_c*1*s_IRB_far_c*s_AAF_far_c)+(s_EF_far_a*1*s_IRB_far_a*s_AAF_far_a))</f>
        <v>3025</v>
      </c>
      <c r="R14" s="82" t="s">
        <v>214</v>
      </c>
    </row>
    <row r="15" spans="1:18" ht="18" x14ac:dyDescent="0.25">
      <c r="A15" s="82" t="s">
        <v>253</v>
      </c>
      <c r="B15" s="81">
        <v>5</v>
      </c>
      <c r="C15" s="82" t="s">
        <v>90</v>
      </c>
      <c r="D15" s="83" t="s">
        <v>902</v>
      </c>
      <c r="E15" s="94">
        <f>((s_EF_res_c*1*s_IRW_res_c*s_AAF_res_c)+(s_EF_res_a*1*s_IRW_res_a*s_AAF_res_a))</f>
        <v>275</v>
      </c>
      <c r="F15" s="82" t="s">
        <v>239</v>
      </c>
      <c r="G15" s="83" t="s">
        <v>1002</v>
      </c>
      <c r="H15" s="94">
        <f>((s_EF_rec_c*1*s_IRW_rec_c*s_ET_event_rec_c*s_EV_rec_c*s_AAF_rec_c)+(s_EF_rec_a*1*s_IRW_rec_a*s_ET_event_rec_a*s_EV_rec_a*s_AAF_rec_a))</f>
        <v>40</v>
      </c>
      <c r="I15" s="82" t="s">
        <v>239</v>
      </c>
      <c r="J15" s="83" t="s">
        <v>1040</v>
      </c>
      <c r="K15" s="94">
        <f>((s_EF_far_c*1*s_IRW_far_c*s_AAF_far_c)+(s_EF_far_a*1*s_IRW_far_a*s_AAF_far_a))</f>
        <v>275</v>
      </c>
      <c r="L15" s="82" t="s">
        <v>239</v>
      </c>
      <c r="M15" s="82" t="s">
        <v>755</v>
      </c>
      <c r="N15" s="81">
        <v>0.5</v>
      </c>
      <c r="P15" s="82" t="s">
        <v>275</v>
      </c>
      <c r="Q15" s="81">
        <v>55</v>
      </c>
      <c r="R15" s="82" t="s">
        <v>47</v>
      </c>
    </row>
    <row r="16" spans="1:18" ht="18" x14ac:dyDescent="0.25">
      <c r="A16" s="82" t="s">
        <v>254</v>
      </c>
      <c r="B16" s="81">
        <v>5</v>
      </c>
      <c r="C16" s="82" t="s">
        <v>127</v>
      </c>
      <c r="D16" s="83" t="s">
        <v>903</v>
      </c>
      <c r="E16" s="81">
        <v>55000</v>
      </c>
      <c r="F16" s="83" t="s">
        <v>45</v>
      </c>
      <c r="G16" s="118" t="s">
        <v>1405</v>
      </c>
      <c r="H16" s="119">
        <f>s_ED_rec_c/(s_ED_rec_c+s_ED_rec_a)</f>
        <v>0.25</v>
      </c>
      <c r="J16" s="118" t="s">
        <v>1406</v>
      </c>
      <c r="K16" s="119">
        <f>s_ED_far_c/(s_ED_far_c+s_ED_far_a)</f>
        <v>0.25</v>
      </c>
      <c r="M16" s="82" t="s">
        <v>756</v>
      </c>
      <c r="N16" s="81">
        <v>0.5</v>
      </c>
      <c r="P16" s="82" t="s">
        <v>276</v>
      </c>
      <c r="Q16" s="81">
        <v>55</v>
      </c>
      <c r="R16" s="82" t="s">
        <v>47</v>
      </c>
    </row>
    <row r="17" spans="1:21" ht="18" x14ac:dyDescent="0.25">
      <c r="A17" s="83" t="s">
        <v>255</v>
      </c>
      <c r="B17" s="78">
        <v>2</v>
      </c>
      <c r="D17" s="118" t="s">
        <v>1407</v>
      </c>
      <c r="E17" s="119">
        <f>s_ED_res_c/(s_ED_res_c+s_ED_res_a)</f>
        <v>0.25</v>
      </c>
      <c r="G17" s="118" t="s">
        <v>1408</v>
      </c>
      <c r="H17" s="119">
        <f>s_ED_rec_a/(s_ED_rec_c+s_ED_rec_a)</f>
        <v>0.75</v>
      </c>
      <c r="J17" s="118" t="s">
        <v>1409</v>
      </c>
      <c r="K17" s="119">
        <f>s_ED_far_a/(s_ED_far_c+s_ED_far_a)</f>
        <v>0.75</v>
      </c>
      <c r="M17" s="82" t="s">
        <v>757</v>
      </c>
      <c r="N17" s="81">
        <v>0.5</v>
      </c>
      <c r="P17" s="83" t="s">
        <v>277</v>
      </c>
      <c r="Q17" s="93">
        <f>((s_EF_far_c*1*s_IRD_far_c*s_AAF_far_c)+(s_EF_far_a*1*s_IRD_far_a*s_AAF_far_a))</f>
        <v>3025</v>
      </c>
      <c r="R17" s="82" t="s">
        <v>214</v>
      </c>
    </row>
    <row r="18" spans="1:21" ht="18" x14ac:dyDescent="0.25">
      <c r="A18" s="83" t="s">
        <v>256</v>
      </c>
      <c r="B18" s="78">
        <v>0.15</v>
      </c>
      <c r="D18" s="118" t="s">
        <v>1410</v>
      </c>
      <c r="E18" s="119">
        <f>s_ED_res_a/(s_ED_res_c+s_ED_res_a)</f>
        <v>0.75</v>
      </c>
      <c r="G18" s="83" t="s">
        <v>1003</v>
      </c>
      <c r="H18" s="81">
        <v>2</v>
      </c>
      <c r="I18" s="82" t="s">
        <v>47</v>
      </c>
      <c r="J18" s="83" t="s">
        <v>1041</v>
      </c>
      <c r="K18" s="81">
        <v>55</v>
      </c>
      <c r="L18" s="82" t="s">
        <v>48</v>
      </c>
      <c r="M18" s="82" t="s">
        <v>758</v>
      </c>
      <c r="N18" s="81">
        <v>0.5</v>
      </c>
      <c r="P18" s="82" t="s">
        <v>281</v>
      </c>
      <c r="Q18" s="81">
        <v>55</v>
      </c>
      <c r="R18" s="82" t="s">
        <v>47</v>
      </c>
    </row>
    <row r="19" spans="1:21" ht="18" x14ac:dyDescent="0.25">
      <c r="A19" s="83" t="s">
        <v>257</v>
      </c>
      <c r="B19" s="78">
        <v>70</v>
      </c>
      <c r="C19" s="83" t="s">
        <v>43</v>
      </c>
      <c r="D19" s="83" t="s">
        <v>904</v>
      </c>
      <c r="E19" s="81">
        <v>55</v>
      </c>
      <c r="F19" s="83" t="s">
        <v>48</v>
      </c>
      <c r="G19" s="83" t="s">
        <v>1004</v>
      </c>
      <c r="H19" s="81">
        <v>2</v>
      </c>
      <c r="I19" s="82" t="s">
        <v>47</v>
      </c>
      <c r="J19" s="83" t="s">
        <v>1042</v>
      </c>
      <c r="K19" s="81">
        <v>55</v>
      </c>
      <c r="L19" s="82" t="s">
        <v>48</v>
      </c>
      <c r="M19" s="82" t="s">
        <v>759</v>
      </c>
      <c r="N19" s="81">
        <v>0.5</v>
      </c>
      <c r="P19" s="82" t="s">
        <v>282</v>
      </c>
      <c r="Q19" s="81">
        <v>55</v>
      </c>
      <c r="R19" s="82" t="s">
        <v>47</v>
      </c>
    </row>
    <row r="20" spans="1:21" ht="18" x14ac:dyDescent="0.25">
      <c r="A20" s="83" t="s">
        <v>258</v>
      </c>
      <c r="B20" s="78">
        <v>5</v>
      </c>
      <c r="C20" s="83" t="s">
        <v>192</v>
      </c>
      <c r="D20" s="83" t="s">
        <v>905</v>
      </c>
      <c r="E20" s="81">
        <v>55</v>
      </c>
      <c r="F20" s="83" t="s">
        <v>48</v>
      </c>
      <c r="G20" s="83" t="s">
        <v>1005</v>
      </c>
      <c r="H20" s="96">
        <v>5</v>
      </c>
      <c r="I20" s="97" t="s">
        <v>48</v>
      </c>
      <c r="J20" s="83" t="s">
        <v>1043</v>
      </c>
      <c r="K20" s="78">
        <v>55</v>
      </c>
      <c r="L20" s="83" t="s">
        <v>48</v>
      </c>
      <c r="M20" s="82" t="s">
        <v>760</v>
      </c>
      <c r="N20" s="81">
        <v>0.5</v>
      </c>
      <c r="P20" s="83" t="s">
        <v>283</v>
      </c>
      <c r="Q20" s="93">
        <f>((s_EF_far_c*1*s_IRE_far_c*s_AAF_far_c)+(s_EF_far_a*1*s_IRE_far_a*s_AAF_far_a))</f>
        <v>3025</v>
      </c>
      <c r="R20" s="82" t="s">
        <v>214</v>
      </c>
    </row>
    <row r="21" spans="1:21" ht="18" x14ac:dyDescent="0.25">
      <c r="A21" s="83" t="s">
        <v>259</v>
      </c>
      <c r="B21" s="78">
        <v>5</v>
      </c>
      <c r="C21" s="83" t="s">
        <v>193</v>
      </c>
      <c r="D21" s="83" t="s">
        <v>906</v>
      </c>
      <c r="E21" s="81">
        <v>55</v>
      </c>
      <c r="F21" s="83" t="s">
        <v>48</v>
      </c>
      <c r="G21" s="83" t="s">
        <v>1006</v>
      </c>
      <c r="H21" s="81">
        <v>5</v>
      </c>
      <c r="I21" s="97" t="s">
        <v>48</v>
      </c>
      <c r="J21" s="83" t="s">
        <v>1044</v>
      </c>
      <c r="K21" s="81">
        <v>5</v>
      </c>
      <c r="L21" s="82" t="s">
        <v>50</v>
      </c>
      <c r="M21" s="82" t="s">
        <v>761</v>
      </c>
      <c r="N21" s="81">
        <v>0.5</v>
      </c>
      <c r="P21" s="82" t="s">
        <v>287</v>
      </c>
      <c r="Q21" s="81">
        <v>55</v>
      </c>
      <c r="R21" s="82" t="s">
        <v>47</v>
      </c>
    </row>
    <row r="22" spans="1:21" ht="18" x14ac:dyDescent="0.25">
      <c r="A22" s="83" t="s">
        <v>891</v>
      </c>
      <c r="B22" s="78">
        <v>0.5</v>
      </c>
      <c r="C22" s="83" t="s">
        <v>192</v>
      </c>
      <c r="D22" s="83" t="s">
        <v>907</v>
      </c>
      <c r="E22" s="81">
        <v>2</v>
      </c>
      <c r="F22" s="47" t="s">
        <v>49</v>
      </c>
      <c r="G22" s="83" t="s">
        <v>1007</v>
      </c>
      <c r="H22" s="81">
        <v>5</v>
      </c>
      <c r="I22" s="97" t="s">
        <v>48</v>
      </c>
      <c r="J22" s="83" t="s">
        <v>1045</v>
      </c>
      <c r="K22" s="81">
        <v>5</v>
      </c>
      <c r="L22" s="82" t="s">
        <v>50</v>
      </c>
      <c r="M22" s="82" t="s">
        <v>762</v>
      </c>
      <c r="N22" s="81">
        <v>0.5</v>
      </c>
      <c r="P22" s="82" t="s">
        <v>288</v>
      </c>
      <c r="Q22" s="81">
        <v>55</v>
      </c>
      <c r="R22" s="82" t="s">
        <v>47</v>
      </c>
    </row>
    <row r="23" spans="1:21" ht="18" x14ac:dyDescent="0.25">
      <c r="A23" s="83" t="s">
        <v>890</v>
      </c>
      <c r="B23" s="78">
        <v>5</v>
      </c>
      <c r="C23" s="83" t="s">
        <v>194</v>
      </c>
      <c r="D23" s="83" t="s">
        <v>908</v>
      </c>
      <c r="E23" s="81">
        <v>2</v>
      </c>
      <c r="F23" s="47" t="s">
        <v>49</v>
      </c>
      <c r="G23" s="83" t="s">
        <v>1008</v>
      </c>
      <c r="H23" s="81">
        <v>5</v>
      </c>
      <c r="I23" s="97" t="s">
        <v>50</v>
      </c>
      <c r="J23" s="83" t="s">
        <v>1046</v>
      </c>
      <c r="K23" s="81">
        <v>5</v>
      </c>
      <c r="L23" s="82" t="s">
        <v>50</v>
      </c>
      <c r="M23" s="82" t="s">
        <v>763</v>
      </c>
      <c r="N23" s="81">
        <v>0.5</v>
      </c>
      <c r="P23" s="83" t="s">
        <v>289</v>
      </c>
      <c r="Q23" s="93">
        <f>((s_EF_far_c*1*s_IRP_far_c*s_AAF_far_c)+(s_EF_far_a*1*s_IRP_far_a*s_AAF_far_a))</f>
        <v>3025</v>
      </c>
    </row>
    <row r="24" spans="1:21" ht="18" x14ac:dyDescent="0.25">
      <c r="A24" s="83" t="s">
        <v>260</v>
      </c>
      <c r="B24" s="78">
        <v>5</v>
      </c>
      <c r="C24" s="83" t="s">
        <v>194</v>
      </c>
      <c r="D24" s="83" t="s">
        <v>909</v>
      </c>
      <c r="E24" s="81">
        <v>5</v>
      </c>
      <c r="F24" s="83" t="s">
        <v>50</v>
      </c>
      <c r="G24" s="83" t="s">
        <v>1009</v>
      </c>
      <c r="H24" s="81">
        <v>5</v>
      </c>
      <c r="I24" s="97" t="s">
        <v>50</v>
      </c>
      <c r="J24" s="83" t="s">
        <v>1047</v>
      </c>
      <c r="K24" s="81">
        <v>2</v>
      </c>
      <c r="L24" s="82" t="s">
        <v>116</v>
      </c>
      <c r="M24" s="82" t="s">
        <v>764</v>
      </c>
      <c r="N24" s="81">
        <v>0.5</v>
      </c>
      <c r="P24" s="82" t="s">
        <v>284</v>
      </c>
      <c r="Q24" s="81">
        <v>55</v>
      </c>
      <c r="R24" s="82" t="s">
        <v>47</v>
      </c>
    </row>
    <row r="25" spans="1:21" ht="18" x14ac:dyDescent="0.25">
      <c r="A25" s="83" t="s">
        <v>261</v>
      </c>
      <c r="B25" s="78">
        <v>5</v>
      </c>
      <c r="C25" s="83" t="s">
        <v>194</v>
      </c>
      <c r="D25" s="83" t="s">
        <v>910</v>
      </c>
      <c r="E25" s="81">
        <v>5</v>
      </c>
      <c r="F25" s="83" t="s">
        <v>50</v>
      </c>
      <c r="G25" s="83" t="s">
        <v>1010</v>
      </c>
      <c r="H25" s="81">
        <v>5</v>
      </c>
      <c r="I25" s="97" t="s">
        <v>50</v>
      </c>
      <c r="J25" s="83" t="s">
        <v>1048</v>
      </c>
      <c r="K25" s="81">
        <v>2</v>
      </c>
      <c r="L25" s="82" t="s">
        <v>116</v>
      </c>
      <c r="M25" s="82" t="s">
        <v>765</v>
      </c>
      <c r="N25" s="81">
        <v>0.5</v>
      </c>
      <c r="P25" s="82" t="s">
        <v>285</v>
      </c>
      <c r="Q25" s="81">
        <v>55</v>
      </c>
      <c r="R25" s="82" t="s">
        <v>47</v>
      </c>
    </row>
    <row r="26" spans="1:21" ht="18" x14ac:dyDescent="0.25">
      <c r="A26" s="83" t="s">
        <v>368</v>
      </c>
      <c r="B26" s="93">
        <f>((0.0112*((s_L_s2gw)^2))^0.5)+(s_d_a*(1-EXP((-s_L_s2gw*s_ls2gw)/(s_K_s2gw*s_i_s2gw*s_d_a))))</f>
        <v>0.62815689567914179</v>
      </c>
      <c r="D26" s="83" t="s">
        <v>911</v>
      </c>
      <c r="E26" s="81">
        <v>5</v>
      </c>
      <c r="F26" s="83" t="s">
        <v>50</v>
      </c>
      <c r="G26" s="83" t="s">
        <v>1011</v>
      </c>
      <c r="H26" s="81">
        <v>2</v>
      </c>
      <c r="I26" s="82" t="s">
        <v>49</v>
      </c>
      <c r="J26" s="82" t="s">
        <v>1049</v>
      </c>
      <c r="K26" s="81">
        <v>10</v>
      </c>
      <c r="L26" s="82" t="s">
        <v>50</v>
      </c>
      <c r="M26" s="83" t="s">
        <v>766</v>
      </c>
      <c r="N26" s="81">
        <v>55</v>
      </c>
      <c r="O26" s="82" t="s">
        <v>47</v>
      </c>
      <c r="P26" s="83" t="s">
        <v>286</v>
      </c>
      <c r="Q26" s="93">
        <f>((s_EF_far_c*1*s_IRFI_far_c*s_AAF_far_c)+(s_EF_far_a*1*s_IRFI_far_a*s_AAF_far_a))</f>
        <v>3025</v>
      </c>
      <c r="R26" s="82" t="s">
        <v>214</v>
      </c>
    </row>
    <row r="27" spans="1:21" ht="18.75" x14ac:dyDescent="0.25">
      <c r="A27" s="83" t="s">
        <v>262</v>
      </c>
      <c r="B27" s="92">
        <f>s_Q_C_wind*((3600)/(B37*(1-s_V)*((s_Um/s_Ut)^3)*s_F_x))</f>
        <v>309803863.81386524</v>
      </c>
      <c r="C27" s="83" t="s">
        <v>206</v>
      </c>
      <c r="D27" s="83" t="s">
        <v>912</v>
      </c>
      <c r="E27" s="81">
        <v>2</v>
      </c>
      <c r="F27" s="47" t="s">
        <v>51</v>
      </c>
      <c r="G27" s="83" t="s">
        <v>1012</v>
      </c>
      <c r="H27" s="81">
        <v>2</v>
      </c>
      <c r="I27" s="82" t="s">
        <v>49</v>
      </c>
      <c r="J27" s="82" t="s">
        <v>1050</v>
      </c>
      <c r="K27" s="81">
        <v>5</v>
      </c>
      <c r="L27" s="82" t="s">
        <v>50</v>
      </c>
      <c r="M27" s="83" t="s">
        <v>767</v>
      </c>
      <c r="N27" s="81">
        <v>55</v>
      </c>
      <c r="O27" s="82" t="s">
        <v>47</v>
      </c>
      <c r="P27" s="82" t="s">
        <v>290</v>
      </c>
      <c r="Q27" s="81">
        <v>55</v>
      </c>
      <c r="R27" s="82" t="s">
        <v>47</v>
      </c>
    </row>
    <row r="28" spans="1:21" ht="18" x14ac:dyDescent="0.25">
      <c r="A28" s="84" t="s">
        <v>263</v>
      </c>
      <c r="B28" s="78">
        <v>5</v>
      </c>
      <c r="C28" s="83" t="s">
        <v>208</v>
      </c>
      <c r="D28" s="83" t="s">
        <v>913</v>
      </c>
      <c r="E28" s="81">
        <v>2</v>
      </c>
      <c r="F28" s="47" t="s">
        <v>51</v>
      </c>
      <c r="G28" s="83" t="s">
        <v>1013</v>
      </c>
      <c r="H28" s="81">
        <v>2</v>
      </c>
      <c r="I28" s="97" t="s">
        <v>51</v>
      </c>
      <c r="J28" s="83" t="s">
        <v>1051</v>
      </c>
      <c r="K28" s="81">
        <v>2</v>
      </c>
      <c r="L28" s="82" t="s">
        <v>117</v>
      </c>
      <c r="M28" s="83" t="s">
        <v>768</v>
      </c>
      <c r="N28" s="93">
        <f>((s_EF_far_c*1*s_IRAP_far_c*s_AAF_far_c)+(s_EF_far_a*1*s_IRAP_far_a*s_AAF_far_a))</f>
        <v>3025</v>
      </c>
      <c r="O28" s="82" t="s">
        <v>214</v>
      </c>
      <c r="P28" s="82" t="s">
        <v>291</v>
      </c>
      <c r="Q28" s="81">
        <v>55</v>
      </c>
      <c r="R28" s="82" t="s">
        <v>47</v>
      </c>
      <c r="U28" s="98"/>
    </row>
    <row r="29" spans="1:21" ht="18" x14ac:dyDescent="0.25">
      <c r="A29" s="84" t="s">
        <v>264</v>
      </c>
      <c r="B29" s="78">
        <v>11.32</v>
      </c>
      <c r="C29" s="83" t="s">
        <v>208</v>
      </c>
      <c r="D29" s="83" t="s">
        <v>914</v>
      </c>
      <c r="E29" s="81">
        <v>5</v>
      </c>
      <c r="F29" s="82" t="s">
        <v>50</v>
      </c>
      <c r="G29" s="83" t="s">
        <v>1014</v>
      </c>
      <c r="H29" s="81">
        <v>2</v>
      </c>
      <c r="I29" s="97" t="s">
        <v>51</v>
      </c>
      <c r="J29" s="83" t="s">
        <v>1052</v>
      </c>
      <c r="K29" s="81">
        <v>2</v>
      </c>
      <c r="L29" s="82" t="s">
        <v>117</v>
      </c>
      <c r="M29" s="83" t="s">
        <v>769</v>
      </c>
      <c r="N29" s="81">
        <v>55</v>
      </c>
      <c r="O29" s="82" t="s">
        <v>47</v>
      </c>
      <c r="P29" s="83" t="s">
        <v>292</v>
      </c>
      <c r="Q29" s="93">
        <f>((s_EF_far_c*1*s_IRSW_far_c*s_AAF_far_c)+(s_EF_far_a*1*s_IRSW_far_a*s_AAF_far_a))</f>
        <v>3025</v>
      </c>
      <c r="R29" s="82" t="s">
        <v>214</v>
      </c>
      <c r="U29" s="98"/>
    </row>
    <row r="30" spans="1:21" ht="18" x14ac:dyDescent="0.25">
      <c r="A30" s="85" t="s">
        <v>265</v>
      </c>
      <c r="B30" s="93">
        <f>IFERROR(IF(s_x&lt;2,1.91207-(0.0278085*s_x)+(0.48113*(s_x^2))-(1.0987*(s_x^3))+(0.335341*(s_x^4)),0.18*((8*(s_x^3))+(12*s_x))*(EXP(-(s_x^2)))),".")</f>
        <v>0.28539705786106906</v>
      </c>
      <c r="C30" s="86" t="s">
        <v>90</v>
      </c>
      <c r="D30" s="83" t="s">
        <v>915</v>
      </c>
      <c r="E30" s="81">
        <v>10</v>
      </c>
      <c r="F30" s="82" t="s">
        <v>50</v>
      </c>
      <c r="G30" s="82" t="s">
        <v>1015</v>
      </c>
      <c r="H30" s="81">
        <v>2</v>
      </c>
      <c r="I30" s="82" t="s">
        <v>89</v>
      </c>
      <c r="J30" s="82" t="s">
        <v>1053</v>
      </c>
      <c r="K30" s="81">
        <v>0.4</v>
      </c>
      <c r="L30" s="82"/>
      <c r="M30" s="83" t="s">
        <v>770</v>
      </c>
      <c r="N30" s="81">
        <v>55</v>
      </c>
      <c r="O30" s="82" t="s">
        <v>47</v>
      </c>
      <c r="P30" s="83" t="s">
        <v>1099</v>
      </c>
      <c r="Q30" s="81">
        <v>55</v>
      </c>
      <c r="R30" s="82" t="s">
        <v>47</v>
      </c>
    </row>
    <row r="31" spans="1:21" ht="18" x14ac:dyDescent="0.25">
      <c r="A31" s="85" t="s">
        <v>266</v>
      </c>
      <c r="B31" s="79">
        <v>0.25</v>
      </c>
      <c r="C31" s="86"/>
      <c r="D31" s="83" t="s">
        <v>916</v>
      </c>
      <c r="E31" s="81">
        <v>0.5</v>
      </c>
      <c r="G31" s="82" t="s">
        <v>1016</v>
      </c>
      <c r="H31" s="81">
        <v>2</v>
      </c>
      <c r="I31" s="82" t="s">
        <v>89</v>
      </c>
      <c r="L31" s="82"/>
      <c r="M31" s="83" t="s">
        <v>771</v>
      </c>
      <c r="N31" s="93">
        <f>((s_EF_far_c*1*s_IRAS_far_c*s_AAF_far_c)+(s_EF_far_a*1*s_IRAS_far_a*s_AAF_far_a))</f>
        <v>3025</v>
      </c>
      <c r="O31" s="82" t="s">
        <v>214</v>
      </c>
      <c r="P31" s="83" t="s">
        <v>1100</v>
      </c>
      <c r="Q31" s="81">
        <v>55</v>
      </c>
      <c r="R31" s="82" t="s">
        <v>47</v>
      </c>
    </row>
    <row r="32" spans="1:21" ht="18" x14ac:dyDescent="0.25">
      <c r="A32" s="83" t="s">
        <v>267</v>
      </c>
      <c r="B32" s="94">
        <f>s_A_wind*EXP((((LN(s_As))-s_B_wind)^2)/s_C_wind)</f>
        <v>57.143694778447667</v>
      </c>
      <c r="C32" s="86"/>
      <c r="D32" s="83" t="s">
        <v>917</v>
      </c>
      <c r="E32" s="81">
        <v>55</v>
      </c>
      <c r="F32" s="82" t="s">
        <v>47</v>
      </c>
      <c r="G32" s="82" t="s">
        <v>1017</v>
      </c>
      <c r="H32" s="81">
        <v>2</v>
      </c>
      <c r="I32" s="82" t="s">
        <v>90</v>
      </c>
      <c r="L32" s="82"/>
      <c r="M32" s="83" t="s">
        <v>772</v>
      </c>
      <c r="N32" s="81">
        <v>55</v>
      </c>
      <c r="O32" s="82" t="s">
        <v>47</v>
      </c>
      <c r="P32" s="83" t="s">
        <v>1101</v>
      </c>
      <c r="Q32" s="93">
        <f>((s_EF_far_c*1*s_IRSH_far_c*s_AAF_far_c)+(s_EF_far_a*1*s_IRSH_far_a*s_AAF_far_a))</f>
        <v>3025</v>
      </c>
      <c r="R32" s="82" t="s">
        <v>214</v>
      </c>
    </row>
    <row r="33" spans="1:18" ht="18" x14ac:dyDescent="0.25">
      <c r="A33" s="85" t="s">
        <v>268</v>
      </c>
      <c r="B33" s="79">
        <v>5</v>
      </c>
      <c r="C33" s="86" t="s">
        <v>213</v>
      </c>
      <c r="D33" s="83" t="s">
        <v>918</v>
      </c>
      <c r="E33" s="81">
        <v>55</v>
      </c>
      <c r="F33" s="82" t="s">
        <v>47</v>
      </c>
      <c r="G33" s="82" t="s">
        <v>1018</v>
      </c>
      <c r="H33" s="81">
        <v>2</v>
      </c>
      <c r="I33" s="82" t="s">
        <v>90</v>
      </c>
      <c r="L33" s="82"/>
      <c r="M33" s="83" t="s">
        <v>773</v>
      </c>
      <c r="N33" s="81">
        <v>55</v>
      </c>
      <c r="O33" s="82" t="s">
        <v>47</v>
      </c>
      <c r="P33" s="83" t="s">
        <v>865</v>
      </c>
      <c r="Q33" s="81">
        <v>55</v>
      </c>
      <c r="R33" s="82" t="s">
        <v>47</v>
      </c>
    </row>
    <row r="34" spans="1:18" ht="18" x14ac:dyDescent="0.25">
      <c r="A34" s="83" t="s">
        <v>269</v>
      </c>
      <c r="B34" s="80">
        <v>15.0235</v>
      </c>
      <c r="C34" s="86"/>
      <c r="D34" s="83" t="s">
        <v>919</v>
      </c>
      <c r="E34" s="94">
        <f>((s_EF_res_c*1*s_IRAP_res_c*s_AAF_res_c)+(s_EF_res_a*1*s_IRAP_res_a*s_AAF_res_a))</f>
        <v>3025</v>
      </c>
      <c r="F34" s="82" t="s">
        <v>214</v>
      </c>
      <c r="G34" s="82" t="s">
        <v>1019</v>
      </c>
      <c r="H34" s="81">
        <v>2</v>
      </c>
      <c r="I34" s="82" t="s">
        <v>46</v>
      </c>
      <c r="L34" s="82"/>
      <c r="M34" s="83" t="s">
        <v>774</v>
      </c>
      <c r="N34" s="93">
        <f>((s_EF_far_c*1*s_IRBT_far_c*s_AAF_far_c)+(s_EF_far_a*1*s_IRBT_far_a*s_AAF_far_a))</f>
        <v>3025</v>
      </c>
      <c r="O34" s="82" t="s">
        <v>214</v>
      </c>
      <c r="P34" s="83" t="s">
        <v>866</v>
      </c>
      <c r="Q34" s="81">
        <v>55</v>
      </c>
      <c r="R34" s="82" t="s">
        <v>47</v>
      </c>
    </row>
    <row r="35" spans="1:18" ht="18" x14ac:dyDescent="0.25">
      <c r="A35" s="83" t="s">
        <v>270</v>
      </c>
      <c r="B35" s="80">
        <v>18.252600000000001</v>
      </c>
      <c r="C35" s="86"/>
      <c r="D35" s="83" t="s">
        <v>920</v>
      </c>
      <c r="E35" s="81">
        <v>55</v>
      </c>
      <c r="F35" s="82" t="s">
        <v>47</v>
      </c>
      <c r="G35" s="82" t="s">
        <v>1020</v>
      </c>
      <c r="H35" s="81">
        <v>2</v>
      </c>
      <c r="I35" s="82" t="s">
        <v>89</v>
      </c>
      <c r="M35" s="83" t="s">
        <v>775</v>
      </c>
      <c r="N35" s="81">
        <v>55</v>
      </c>
      <c r="O35" s="82" t="s">
        <v>47</v>
      </c>
      <c r="P35" s="83" t="s">
        <v>867</v>
      </c>
      <c r="Q35" s="93">
        <f>((s_EF_far_c*1*s_IRGO_far_c*s_AAF_far_c)+(s_EF_far_a*1*s_IRGO_far_a*s_AAF_far_a))</f>
        <v>3025</v>
      </c>
      <c r="R35" s="82" t="s">
        <v>214</v>
      </c>
    </row>
    <row r="36" spans="1:18" ht="18" x14ac:dyDescent="0.25">
      <c r="A36" s="83" t="s">
        <v>271</v>
      </c>
      <c r="B36" s="80">
        <v>207.33869999999999</v>
      </c>
      <c r="C36" s="86"/>
      <c r="D36" s="83" t="s">
        <v>921</v>
      </c>
      <c r="E36" s="81">
        <v>55</v>
      </c>
      <c r="F36" s="82" t="s">
        <v>47</v>
      </c>
      <c r="G36" s="82" t="s">
        <v>1021</v>
      </c>
      <c r="H36" s="81">
        <v>2</v>
      </c>
      <c r="I36" s="82" t="s">
        <v>89</v>
      </c>
      <c r="M36" s="83" t="s">
        <v>776</v>
      </c>
      <c r="N36" s="81">
        <v>55</v>
      </c>
      <c r="O36" s="82" t="s">
        <v>47</v>
      </c>
      <c r="P36" s="83" t="s">
        <v>868</v>
      </c>
      <c r="Q36" s="81">
        <v>55</v>
      </c>
      <c r="R36" s="82" t="s">
        <v>47</v>
      </c>
    </row>
    <row r="37" spans="1:18" ht="18" x14ac:dyDescent="0.25">
      <c r="A37" s="86"/>
      <c r="B37" s="79">
        <v>3.5999999999999997E-2</v>
      </c>
      <c r="C37" s="86"/>
      <c r="D37" s="83" t="s">
        <v>922</v>
      </c>
      <c r="E37" s="94">
        <f>((s_EF_res_c*1*s_IRAS_res_c*s_AAF_res_c)+(s_EF_res_a*1*s_IRAS_res_a*s_AAF_res_a))</f>
        <v>3025</v>
      </c>
      <c r="F37" s="82" t="s">
        <v>214</v>
      </c>
      <c r="G37" s="82" t="s">
        <v>1022</v>
      </c>
      <c r="H37" s="81">
        <v>2</v>
      </c>
      <c r="I37" s="82" t="s">
        <v>90</v>
      </c>
      <c r="M37" s="83" t="s">
        <v>777</v>
      </c>
      <c r="N37" s="93">
        <f>((s_EF_far_c*1*s_IRBE_far_c*s_AAF_far_c)+(s_EF_far_a*1*s_IRBE_far_a*s_AAF_far_a))</f>
        <v>3025</v>
      </c>
      <c r="O37" s="82" t="s">
        <v>214</v>
      </c>
      <c r="P37" s="83" t="s">
        <v>869</v>
      </c>
      <c r="Q37" s="81">
        <v>55</v>
      </c>
      <c r="R37" s="82" t="s">
        <v>47</v>
      </c>
    </row>
    <row r="38" spans="1:18" ht="18" x14ac:dyDescent="0.25">
      <c r="A38" s="83" t="s">
        <v>1054</v>
      </c>
      <c r="B38" s="81">
        <v>5</v>
      </c>
      <c r="C38" s="86"/>
      <c r="D38" s="83" t="s">
        <v>923</v>
      </c>
      <c r="E38" s="81">
        <v>55</v>
      </c>
      <c r="F38" s="82" t="s">
        <v>47</v>
      </c>
      <c r="G38" s="82" t="s">
        <v>1023</v>
      </c>
      <c r="H38" s="81">
        <v>2</v>
      </c>
      <c r="I38" s="82" t="s">
        <v>90</v>
      </c>
      <c r="M38" s="83" t="s">
        <v>778</v>
      </c>
      <c r="N38" s="81">
        <v>55</v>
      </c>
      <c r="O38" s="82" t="s">
        <v>47</v>
      </c>
      <c r="P38" s="83" t="s">
        <v>870</v>
      </c>
      <c r="Q38" s="93">
        <f>((s_EF_far_c*1*s_IRSM_far_c*s_AAF_far_c)+(s_EF_far_a*1*s_IRSM_far_a*s_AAF_far_a))</f>
        <v>3025</v>
      </c>
      <c r="R38" s="82" t="s">
        <v>214</v>
      </c>
    </row>
    <row r="39" spans="1:18" ht="18" x14ac:dyDescent="0.25">
      <c r="A39" s="83" t="s">
        <v>1107</v>
      </c>
      <c r="B39" s="94">
        <f>0.886*(s_Ut/s_Um)</f>
        <v>2.0059040000000001</v>
      </c>
      <c r="C39" s="86"/>
      <c r="D39" s="83" t="s">
        <v>924</v>
      </c>
      <c r="E39" s="81">
        <v>55</v>
      </c>
      <c r="F39" s="82" t="s">
        <v>47</v>
      </c>
      <c r="G39" s="82" t="s">
        <v>1024</v>
      </c>
      <c r="H39" s="81">
        <v>2</v>
      </c>
      <c r="I39" s="82" t="s">
        <v>46</v>
      </c>
      <c r="M39" s="83" t="s">
        <v>779</v>
      </c>
      <c r="N39" s="81">
        <v>55</v>
      </c>
      <c r="O39" s="82" t="s">
        <v>47</v>
      </c>
      <c r="P39" s="83" t="s">
        <v>871</v>
      </c>
      <c r="Q39" s="81">
        <v>55</v>
      </c>
      <c r="R39" s="82" t="s">
        <v>47</v>
      </c>
    </row>
    <row r="40" spans="1:18" ht="18" x14ac:dyDescent="0.25">
      <c r="A40" s="83" t="s">
        <v>1310</v>
      </c>
      <c r="B40" s="92">
        <f>1+((s_K_s2gw*s_i_s2gw*s_dm)/(s_L_s2gw*s_ls2gw))</f>
        <v>7.2815689567914177</v>
      </c>
      <c r="C40" s="86"/>
      <c r="D40" s="83" t="s">
        <v>925</v>
      </c>
      <c r="E40" s="94">
        <f>((s_EF_res_c*1*s_IRBT_res_c*s_AAF_res_c)+(s_EF_res_a*1*s_IRBT_res_a*s_AAF_res_a))</f>
        <v>3025</v>
      </c>
      <c r="F40" s="82" t="s">
        <v>214</v>
      </c>
      <c r="G40" s="82" t="s">
        <v>1025</v>
      </c>
      <c r="H40" s="81">
        <v>0.5</v>
      </c>
      <c r="M40" s="83" t="s">
        <v>780</v>
      </c>
      <c r="N40" s="93">
        <f>((s_EF_far_c*1*s_IRBR_far_c*s_AAF_far_c)+(s_EF_far_a*1*s_IRBR_far_a*s_AAF_far_a))</f>
        <v>3025</v>
      </c>
      <c r="O40" s="82" t="s">
        <v>214</v>
      </c>
      <c r="P40" s="83" t="s">
        <v>872</v>
      </c>
      <c r="Q40" s="81">
        <v>55</v>
      </c>
      <c r="R40" s="82" t="s">
        <v>47</v>
      </c>
    </row>
    <row r="41" spans="1:18" ht="18" x14ac:dyDescent="0.25">
      <c r="D41" s="83" t="s">
        <v>926</v>
      </c>
      <c r="E41" s="81">
        <v>55</v>
      </c>
      <c r="F41" s="82" t="s">
        <v>47</v>
      </c>
      <c r="G41" s="82" t="s">
        <v>1026</v>
      </c>
      <c r="H41" s="81">
        <v>0.5</v>
      </c>
      <c r="M41" s="83" t="s">
        <v>781</v>
      </c>
      <c r="N41" s="81">
        <v>55</v>
      </c>
      <c r="O41" s="82" t="s">
        <v>47</v>
      </c>
      <c r="P41" s="83" t="s">
        <v>873</v>
      </c>
      <c r="Q41" s="93">
        <f>((s_EF_far_c*1*s_IRGM_far_c*s_AAF_far_c)+(s_EF_far_a*1*s_IRGM_far_a*s_AAF_far_a))</f>
        <v>3025</v>
      </c>
      <c r="R41" s="82" t="s">
        <v>214</v>
      </c>
    </row>
    <row r="42" spans="1:18" ht="18" x14ac:dyDescent="0.25">
      <c r="D42" s="83" t="s">
        <v>927</v>
      </c>
      <c r="E42" s="81">
        <v>55</v>
      </c>
      <c r="F42" s="82" t="s">
        <v>47</v>
      </c>
      <c r="M42" s="83" t="s">
        <v>782</v>
      </c>
      <c r="N42" s="81">
        <v>55</v>
      </c>
      <c r="O42" s="82" t="s">
        <v>47</v>
      </c>
      <c r="P42" s="82" t="s">
        <v>299</v>
      </c>
      <c r="Q42" s="81">
        <v>5</v>
      </c>
      <c r="R42" s="82" t="s">
        <v>46</v>
      </c>
    </row>
    <row r="43" spans="1:18" ht="18" x14ac:dyDescent="0.25">
      <c r="A43" s="86"/>
      <c r="B43" s="87"/>
      <c r="C43" s="86"/>
      <c r="D43" s="83" t="s">
        <v>928</v>
      </c>
      <c r="E43" s="94">
        <f>((s_EF_res_c*1*s_IRBE_res_c*s_AAF_res_c)+(s_EF_res_a*1*s_IRBE_res_a*s_AAF_res_a))</f>
        <v>3025</v>
      </c>
      <c r="F43" s="82" t="s">
        <v>214</v>
      </c>
      <c r="M43" s="83" t="s">
        <v>783</v>
      </c>
      <c r="N43" s="93">
        <f>((s_EF_far_c*1*s_IRCB_far_c*s_AAF_far_c)+(s_EF_far_a*1*s_IRCB_far_a*s_AAF_far_a))</f>
        <v>3025</v>
      </c>
      <c r="O43" s="82" t="s">
        <v>214</v>
      </c>
      <c r="P43" s="82" t="s">
        <v>874</v>
      </c>
      <c r="Q43" s="80">
        <v>1.03</v>
      </c>
      <c r="R43" s="82" t="s">
        <v>128</v>
      </c>
    </row>
    <row r="44" spans="1:18" ht="18" x14ac:dyDescent="0.25">
      <c r="A44" s="86"/>
      <c r="B44" s="87"/>
      <c r="C44" s="86"/>
      <c r="D44" s="83" t="s">
        <v>929</v>
      </c>
      <c r="E44" s="81">
        <v>55</v>
      </c>
      <c r="F44" s="82" t="s">
        <v>47</v>
      </c>
      <c r="M44" s="83" t="s">
        <v>784</v>
      </c>
      <c r="N44" s="81">
        <v>55</v>
      </c>
      <c r="O44" s="82" t="s">
        <v>47</v>
      </c>
      <c r="P44" s="82" t="s">
        <v>300</v>
      </c>
      <c r="Q44" s="81">
        <v>5</v>
      </c>
      <c r="R44" s="82" t="s">
        <v>89</v>
      </c>
    </row>
    <row r="45" spans="1:18" ht="18" x14ac:dyDescent="0.25">
      <c r="A45" s="86"/>
      <c r="B45" s="87"/>
      <c r="C45" s="86"/>
      <c r="D45" s="83" t="s">
        <v>930</v>
      </c>
      <c r="E45" s="81">
        <v>55</v>
      </c>
      <c r="F45" s="82" t="s">
        <v>47</v>
      </c>
      <c r="M45" s="83" t="s">
        <v>785</v>
      </c>
      <c r="N45" s="81">
        <v>55</v>
      </c>
      <c r="O45" s="82" t="s">
        <v>47</v>
      </c>
      <c r="P45" s="82" t="s">
        <v>301</v>
      </c>
      <c r="Q45" s="81">
        <v>5</v>
      </c>
      <c r="R45" s="82" t="s">
        <v>89</v>
      </c>
    </row>
    <row r="46" spans="1:18" ht="18" x14ac:dyDescent="0.25">
      <c r="A46" s="86"/>
      <c r="B46" s="88"/>
      <c r="C46" s="86"/>
      <c r="D46" s="83" t="s">
        <v>931</v>
      </c>
      <c r="E46" s="94">
        <f>((s_EF_res_c*1*s_IRBR_res_c*s_AAF_res_c)+(s_EF_res_a*1*s_IRBR_res_a*s_AAF_res_a))</f>
        <v>3025</v>
      </c>
      <c r="F46" s="82" t="s">
        <v>214</v>
      </c>
      <c r="M46" s="83" t="s">
        <v>786</v>
      </c>
      <c r="N46" s="93">
        <f>((s_EF_far_c*1*s_IRCR_far_c*s_AAF_far_c)+(s_EF_far_a*1*s_IRCR_far_a*s_AAF_far_a))</f>
        <v>3025</v>
      </c>
      <c r="O46" s="82" t="s">
        <v>214</v>
      </c>
      <c r="P46" s="82" t="s">
        <v>302</v>
      </c>
      <c r="Q46" s="81">
        <v>5</v>
      </c>
      <c r="R46" s="82"/>
    </row>
    <row r="47" spans="1:18" ht="18" x14ac:dyDescent="0.25">
      <c r="A47" s="86"/>
      <c r="B47" s="87"/>
      <c r="C47" s="86"/>
      <c r="D47" s="83" t="s">
        <v>932</v>
      </c>
      <c r="E47" s="81">
        <v>55</v>
      </c>
      <c r="F47" s="82" t="s">
        <v>47</v>
      </c>
      <c r="M47" s="83" t="s">
        <v>787</v>
      </c>
      <c r="N47" s="81">
        <v>55</v>
      </c>
      <c r="O47" s="82" t="s">
        <v>47</v>
      </c>
      <c r="P47" s="82" t="s">
        <v>303</v>
      </c>
      <c r="Q47" s="81">
        <v>5</v>
      </c>
      <c r="R47" s="82"/>
    </row>
    <row r="48" spans="1:18" ht="18" x14ac:dyDescent="0.25">
      <c r="A48" s="86"/>
      <c r="B48" s="87"/>
      <c r="C48" s="86"/>
      <c r="D48" s="83" t="s">
        <v>933</v>
      </c>
      <c r="E48" s="81">
        <v>55</v>
      </c>
      <c r="F48" s="82" t="s">
        <v>47</v>
      </c>
      <c r="M48" s="83" t="s">
        <v>788</v>
      </c>
      <c r="N48" s="81">
        <v>55</v>
      </c>
      <c r="O48" s="82" t="s">
        <v>47</v>
      </c>
      <c r="P48" s="82" t="s">
        <v>304</v>
      </c>
      <c r="Q48" s="81">
        <v>5</v>
      </c>
      <c r="R48" s="82" t="s">
        <v>46</v>
      </c>
    </row>
    <row r="49" spans="1:18" ht="18" x14ac:dyDescent="0.25">
      <c r="A49" s="86"/>
      <c r="B49" s="87"/>
      <c r="C49" s="86"/>
      <c r="D49" s="83" t="s">
        <v>934</v>
      </c>
      <c r="E49" s="94">
        <f>((s_EF_res_c*1*s_IRCB_res_c*s_AAF_res_c)+(s_EF_res_a*1*s_IRCB_res_a*s_AAF_res_a))</f>
        <v>3025</v>
      </c>
      <c r="F49" s="82" t="s">
        <v>214</v>
      </c>
      <c r="M49" s="83" t="s">
        <v>789</v>
      </c>
      <c r="N49" s="93">
        <f>((s_EF_far_c*1*s_IRCG_far_c*s_AAF_far_c)+(s_EF_far_a*1*s_IRCG_far_a*s_AAF_far_a))</f>
        <v>3025</v>
      </c>
      <c r="O49" s="82" t="s">
        <v>214</v>
      </c>
      <c r="P49" s="82" t="s">
        <v>305</v>
      </c>
      <c r="Q49" s="81">
        <v>5</v>
      </c>
      <c r="R49" s="82" t="s">
        <v>89</v>
      </c>
    </row>
    <row r="50" spans="1:18" ht="18" x14ac:dyDescent="0.25">
      <c r="A50" s="86"/>
      <c r="B50" s="89"/>
      <c r="C50" s="86"/>
      <c r="D50" s="83" t="s">
        <v>935</v>
      </c>
      <c r="E50" s="81">
        <v>55</v>
      </c>
      <c r="F50" s="82" t="s">
        <v>47</v>
      </c>
      <c r="M50" s="83" t="s">
        <v>790</v>
      </c>
      <c r="N50" s="81">
        <v>55</v>
      </c>
      <c r="O50" s="82" t="s">
        <v>47</v>
      </c>
      <c r="P50" s="82" t="s">
        <v>306</v>
      </c>
      <c r="Q50" s="81">
        <v>5</v>
      </c>
      <c r="R50" s="82" t="s">
        <v>89</v>
      </c>
    </row>
    <row r="51" spans="1:18" ht="18" x14ac:dyDescent="0.25">
      <c r="A51" s="86"/>
      <c r="B51" s="79"/>
      <c r="C51" s="86"/>
      <c r="D51" s="83" t="s">
        <v>936</v>
      </c>
      <c r="E51" s="81">
        <v>55</v>
      </c>
      <c r="F51" s="82" t="s">
        <v>47</v>
      </c>
      <c r="M51" s="83" t="s">
        <v>791</v>
      </c>
      <c r="N51" s="81">
        <v>55</v>
      </c>
      <c r="O51" s="82" t="s">
        <v>47</v>
      </c>
      <c r="P51" s="82" t="s">
        <v>307</v>
      </c>
      <c r="Q51" s="81">
        <v>5</v>
      </c>
      <c r="R51" s="82"/>
    </row>
    <row r="52" spans="1:18" ht="18" x14ac:dyDescent="0.25">
      <c r="A52" s="86"/>
      <c r="B52" s="79"/>
      <c r="C52" s="86"/>
      <c r="D52" s="83" t="s">
        <v>937</v>
      </c>
      <c r="E52" s="94">
        <f>((s_EF_res_c*1*s_IRCR_res_c*s_AAF_res_c)+(s_EF_res_a*1*s_IRCR_res_a*s_AAF_res_a))</f>
        <v>3025</v>
      </c>
      <c r="F52" s="82" t="s">
        <v>214</v>
      </c>
      <c r="M52" s="83" t="s">
        <v>792</v>
      </c>
      <c r="N52" s="93">
        <f>((s_EF_far_c*1*s_IRCI_far_c*s_AAF_far_c)+(s_EF_far_a*1*s_IRCI_far_a*s_AAF_far_a))</f>
        <v>3025</v>
      </c>
      <c r="O52" s="82" t="s">
        <v>214</v>
      </c>
      <c r="P52" s="82" t="s">
        <v>308</v>
      </c>
      <c r="Q52" s="81">
        <v>5</v>
      </c>
      <c r="R52" s="82"/>
    </row>
    <row r="53" spans="1:18" ht="18" x14ac:dyDescent="0.25">
      <c r="A53" s="86"/>
      <c r="B53" s="79"/>
      <c r="C53" s="86"/>
      <c r="D53" s="83" t="s">
        <v>938</v>
      </c>
      <c r="E53" s="81">
        <v>55</v>
      </c>
      <c r="F53" s="82" t="s">
        <v>47</v>
      </c>
      <c r="M53" s="83" t="s">
        <v>793</v>
      </c>
      <c r="N53" s="81">
        <v>55</v>
      </c>
      <c r="O53" s="82" t="s">
        <v>47</v>
      </c>
      <c r="P53" s="82" t="s">
        <v>309</v>
      </c>
      <c r="Q53" s="81">
        <v>5</v>
      </c>
      <c r="R53" s="82" t="s">
        <v>46</v>
      </c>
    </row>
    <row r="54" spans="1:18" ht="18" x14ac:dyDescent="0.25">
      <c r="A54" s="86"/>
      <c r="B54" s="79"/>
      <c r="C54" s="86"/>
      <c r="D54" s="83" t="s">
        <v>939</v>
      </c>
      <c r="E54" s="81">
        <v>55</v>
      </c>
      <c r="F54" s="82" t="s">
        <v>47</v>
      </c>
      <c r="M54" s="83" t="s">
        <v>794</v>
      </c>
      <c r="N54" s="81">
        <v>55</v>
      </c>
      <c r="O54" s="82" t="s">
        <v>47</v>
      </c>
      <c r="P54" s="82" t="s">
        <v>310</v>
      </c>
      <c r="Q54" s="81">
        <v>5</v>
      </c>
      <c r="R54" s="82" t="s">
        <v>89</v>
      </c>
    </row>
    <row r="55" spans="1:18" ht="18" x14ac:dyDescent="0.25">
      <c r="A55" s="86"/>
      <c r="B55" s="89"/>
      <c r="C55" s="86"/>
      <c r="D55" s="83" t="s">
        <v>940</v>
      </c>
      <c r="E55" s="94">
        <f>((s_EF_res_c*1*s_IRCG_res_c*s_AAF_res_c)+(s_EF_res_a*1*s_IRCG_res_a*s_AAF_res_a))</f>
        <v>3025</v>
      </c>
      <c r="F55" s="82" t="s">
        <v>214</v>
      </c>
      <c r="M55" s="83" t="s">
        <v>795</v>
      </c>
      <c r="N55" s="93">
        <f>((s_EF_far_c*1*s_IRCO_far_c*s_AAF_far_c)+(s_EF_far_a*1*s_IRCO_far_a*s_AAF_far_a))</f>
        <v>3025</v>
      </c>
      <c r="O55" s="82" t="s">
        <v>214</v>
      </c>
      <c r="P55" s="82" t="s">
        <v>311</v>
      </c>
      <c r="Q55" s="81">
        <v>5</v>
      </c>
      <c r="R55" s="82" t="s">
        <v>89</v>
      </c>
    </row>
    <row r="56" spans="1:18" ht="18" x14ac:dyDescent="0.25">
      <c r="A56" s="86"/>
      <c r="B56" s="89"/>
      <c r="C56" s="86"/>
      <c r="D56" s="83" t="s">
        <v>941</v>
      </c>
      <c r="E56" s="81">
        <v>55</v>
      </c>
      <c r="F56" s="82" t="s">
        <v>47</v>
      </c>
      <c r="M56" s="83" t="s">
        <v>796</v>
      </c>
      <c r="N56" s="81">
        <v>55</v>
      </c>
      <c r="O56" s="82" t="s">
        <v>47</v>
      </c>
      <c r="P56" s="82" t="s">
        <v>312</v>
      </c>
      <c r="Q56" s="81">
        <v>5</v>
      </c>
      <c r="R56" s="82"/>
    </row>
    <row r="57" spans="1:18" ht="18" x14ac:dyDescent="0.25">
      <c r="A57" s="86"/>
      <c r="B57" s="79"/>
      <c r="C57" s="86"/>
      <c r="D57" s="83" t="s">
        <v>942</v>
      </c>
      <c r="E57" s="81">
        <v>55</v>
      </c>
      <c r="F57" s="82" t="s">
        <v>47</v>
      </c>
      <c r="M57" s="83" t="s">
        <v>797</v>
      </c>
      <c r="N57" s="81">
        <v>55</v>
      </c>
      <c r="O57" s="82" t="s">
        <v>47</v>
      </c>
      <c r="P57" s="82" t="s">
        <v>313</v>
      </c>
      <c r="Q57" s="81">
        <v>5</v>
      </c>
      <c r="R57" s="82"/>
    </row>
    <row r="58" spans="1:18" ht="18" x14ac:dyDescent="0.25">
      <c r="A58" s="86"/>
      <c r="B58" s="79"/>
      <c r="C58" s="86"/>
      <c r="D58" s="83" t="s">
        <v>943</v>
      </c>
      <c r="E58" s="94">
        <f>((s_EF_res_c*1*s_IRCI_res_c*s_AAF_res_c)+(s_EF_res_a*1*s_IRCI_res_a*s_AAF_res_a))</f>
        <v>3025</v>
      </c>
      <c r="F58" s="82" t="s">
        <v>214</v>
      </c>
      <c r="M58" s="83" t="s">
        <v>798</v>
      </c>
      <c r="N58" s="93">
        <f>((s_EF_far_c*1*s_IRCU_far_c*s_AAF_far_c)+(s_EF_far_a*1*s_IRCU_far_a*s_AAF_far_a))</f>
        <v>3025</v>
      </c>
      <c r="O58" s="82" t="s">
        <v>214</v>
      </c>
      <c r="P58" s="82" t="s">
        <v>314</v>
      </c>
      <c r="Q58" s="81">
        <v>5</v>
      </c>
      <c r="R58" s="82" t="s">
        <v>46</v>
      </c>
    </row>
    <row r="59" spans="1:18" ht="18" x14ac:dyDescent="0.25">
      <c r="A59" s="86"/>
      <c r="B59" s="79"/>
      <c r="C59" s="86"/>
      <c r="D59" s="83" t="s">
        <v>944</v>
      </c>
      <c r="E59" s="81">
        <v>55</v>
      </c>
      <c r="F59" s="82" t="s">
        <v>47</v>
      </c>
      <c r="M59" s="83" t="s">
        <v>799</v>
      </c>
      <c r="N59" s="81">
        <v>55</v>
      </c>
      <c r="O59" s="82" t="s">
        <v>47</v>
      </c>
      <c r="P59" s="82" t="s">
        <v>315</v>
      </c>
      <c r="Q59" s="81">
        <v>5</v>
      </c>
      <c r="R59" s="82" t="s">
        <v>89</v>
      </c>
    </row>
    <row r="60" spans="1:18" ht="18" x14ac:dyDescent="0.25">
      <c r="A60" s="86"/>
      <c r="B60" s="80"/>
      <c r="C60" s="86"/>
      <c r="D60" s="83" t="s">
        <v>945</v>
      </c>
      <c r="E60" s="81">
        <v>55</v>
      </c>
      <c r="F60" s="82" t="s">
        <v>47</v>
      </c>
      <c r="M60" s="83" t="s">
        <v>800</v>
      </c>
      <c r="N60" s="81">
        <v>55</v>
      </c>
      <c r="O60" s="82" t="s">
        <v>47</v>
      </c>
      <c r="P60" s="82" t="s">
        <v>316</v>
      </c>
      <c r="Q60" s="81">
        <v>5</v>
      </c>
      <c r="R60" s="82" t="s">
        <v>89</v>
      </c>
    </row>
    <row r="61" spans="1:18" ht="18" x14ac:dyDescent="0.25">
      <c r="A61" s="86"/>
      <c r="B61" s="80"/>
      <c r="C61" s="86"/>
      <c r="D61" s="83" t="s">
        <v>946</v>
      </c>
      <c r="E61" s="94">
        <f>((s_EF_res_c*1*s_IRCO_res_c*s_AAF_res_c)+(s_EF_res_a*1*s_IRCO_res_a*s_AAF_res_a))</f>
        <v>3025</v>
      </c>
      <c r="F61" s="82" t="s">
        <v>214</v>
      </c>
      <c r="M61" s="83" t="s">
        <v>801</v>
      </c>
      <c r="N61" s="93">
        <f>((s_EF_far_c*1*s_IRLE_far_c*s_AAF_far_c)+(s_EF_far_a*1*s_IRLE_far_a*s_AAF_far_a))</f>
        <v>3025</v>
      </c>
      <c r="O61" s="82" t="s">
        <v>214</v>
      </c>
      <c r="P61" s="82" t="s">
        <v>317</v>
      </c>
      <c r="Q61" s="81">
        <v>5</v>
      </c>
      <c r="R61" s="82"/>
    </row>
    <row r="62" spans="1:18" ht="18" x14ac:dyDescent="0.25">
      <c r="A62" s="86"/>
      <c r="B62" s="80"/>
      <c r="C62" s="86"/>
      <c r="D62" s="83" t="s">
        <v>947</v>
      </c>
      <c r="E62" s="81">
        <v>55</v>
      </c>
      <c r="F62" s="82" t="s">
        <v>47</v>
      </c>
      <c r="M62" s="83" t="s">
        <v>802</v>
      </c>
      <c r="N62" s="81">
        <v>55</v>
      </c>
      <c r="O62" s="82" t="s">
        <v>47</v>
      </c>
      <c r="P62" s="82" t="s">
        <v>318</v>
      </c>
      <c r="Q62" s="81">
        <v>5</v>
      </c>
      <c r="R62" s="82"/>
    </row>
    <row r="63" spans="1:18" ht="18" x14ac:dyDescent="0.25">
      <c r="A63" s="86"/>
      <c r="B63" s="79"/>
      <c r="C63" s="86"/>
      <c r="D63" s="83" t="s">
        <v>948</v>
      </c>
      <c r="E63" s="81">
        <v>55</v>
      </c>
      <c r="F63" s="82" t="s">
        <v>47</v>
      </c>
      <c r="M63" s="83" t="s">
        <v>803</v>
      </c>
      <c r="N63" s="81">
        <v>55</v>
      </c>
      <c r="O63" s="82" t="s">
        <v>47</v>
      </c>
      <c r="P63" s="82" t="s">
        <v>319</v>
      </c>
      <c r="Q63" s="81">
        <v>5</v>
      </c>
      <c r="R63" s="82" t="s">
        <v>46</v>
      </c>
    </row>
    <row r="64" spans="1:18" ht="18" x14ac:dyDescent="0.25">
      <c r="A64" s="86"/>
      <c r="B64" s="79"/>
      <c r="C64" s="86"/>
      <c r="D64" s="83" t="s">
        <v>949</v>
      </c>
      <c r="E64" s="94">
        <f>((s_EF_res_c*1*s_IRCU_res_c*s_AAF_res_c)+(s_EF_res_a*1*s_IRCU_res_a*s_AAF_res_a))</f>
        <v>3025</v>
      </c>
      <c r="F64" s="82" t="s">
        <v>214</v>
      </c>
      <c r="M64" s="83" t="s">
        <v>804</v>
      </c>
      <c r="N64" s="93">
        <f>((s_EF_far_c*1*s_IRLI_far_c*s_AAF_far_c)+(s_EF_far_a*1*s_IRLI_far_a*s_AAF_far_a))</f>
        <v>3025</v>
      </c>
      <c r="O64" s="82" t="s">
        <v>214</v>
      </c>
      <c r="P64" s="82" t="s">
        <v>320</v>
      </c>
      <c r="Q64" s="81">
        <v>5</v>
      </c>
      <c r="R64" s="82" t="s">
        <v>89</v>
      </c>
    </row>
    <row r="65" spans="1:18" ht="18" x14ac:dyDescent="0.25">
      <c r="A65" s="86"/>
      <c r="B65" s="79"/>
      <c r="C65" s="86"/>
      <c r="D65" s="83" t="s">
        <v>950</v>
      </c>
      <c r="E65" s="81">
        <v>55</v>
      </c>
      <c r="F65" s="82" t="s">
        <v>47</v>
      </c>
      <c r="M65" s="83" t="s">
        <v>805</v>
      </c>
      <c r="N65" s="81">
        <v>55</v>
      </c>
      <c r="O65" s="82" t="s">
        <v>47</v>
      </c>
      <c r="P65" s="82" t="s">
        <v>321</v>
      </c>
      <c r="Q65" s="81">
        <v>5</v>
      </c>
      <c r="R65" s="82" t="s">
        <v>89</v>
      </c>
    </row>
    <row r="66" spans="1:18" ht="18" x14ac:dyDescent="0.25">
      <c r="A66" s="86"/>
      <c r="B66" s="79"/>
      <c r="C66" s="86"/>
      <c r="D66" s="83" t="s">
        <v>951</v>
      </c>
      <c r="E66" s="81">
        <v>55</v>
      </c>
      <c r="F66" s="82" t="s">
        <v>47</v>
      </c>
      <c r="M66" s="83" t="s">
        <v>806</v>
      </c>
      <c r="N66" s="81">
        <v>55</v>
      </c>
      <c r="O66" s="82" t="s">
        <v>47</v>
      </c>
      <c r="P66" s="82" t="s">
        <v>322</v>
      </c>
      <c r="Q66" s="81">
        <v>5</v>
      </c>
      <c r="R66" s="82"/>
    </row>
    <row r="67" spans="1:18" ht="18" x14ac:dyDescent="0.25">
      <c r="A67" s="86"/>
      <c r="B67" s="79"/>
      <c r="C67" s="86"/>
      <c r="D67" s="83" t="s">
        <v>952</v>
      </c>
      <c r="E67" s="94">
        <f>((s_EF_res_c*1*s_IRLE_res_c*s_AAF_res_c)+(s_EF_res_a*1*s_IRLE_res_a*s_AAF_res_a))</f>
        <v>3025</v>
      </c>
      <c r="F67" s="82" t="s">
        <v>214</v>
      </c>
      <c r="M67" s="83" t="s">
        <v>807</v>
      </c>
      <c r="N67" s="93">
        <f>((s_EF_far_c*1*s_IROK_far_c*s_AAF_far_c)+(s_EF_far_a*1*s_IROK_far_a*s_AAF_far_a))</f>
        <v>3025</v>
      </c>
      <c r="O67" s="82" t="s">
        <v>214</v>
      </c>
      <c r="P67" s="82" t="s">
        <v>323</v>
      </c>
      <c r="Q67" s="81">
        <v>5</v>
      </c>
      <c r="R67" s="82"/>
    </row>
    <row r="68" spans="1:18" ht="18" x14ac:dyDescent="0.25">
      <c r="A68" s="86"/>
      <c r="B68" s="79"/>
      <c r="C68" s="86"/>
      <c r="D68" s="83" t="s">
        <v>953</v>
      </c>
      <c r="E68" s="81">
        <v>55</v>
      </c>
      <c r="F68" s="82" t="s">
        <v>47</v>
      </c>
      <c r="M68" s="83" t="s">
        <v>808</v>
      </c>
      <c r="N68" s="81">
        <v>55</v>
      </c>
      <c r="O68" s="82" t="s">
        <v>47</v>
      </c>
      <c r="P68" s="82" t="s">
        <v>338</v>
      </c>
      <c r="Q68" s="81">
        <v>0.5</v>
      </c>
    </row>
    <row r="69" spans="1:18" ht="18" x14ac:dyDescent="0.25">
      <c r="A69" s="86"/>
      <c r="B69" s="90"/>
      <c r="C69" s="86"/>
      <c r="D69" s="83" t="s">
        <v>954</v>
      </c>
      <c r="E69" s="81">
        <v>55</v>
      </c>
      <c r="F69" s="82" t="s">
        <v>47</v>
      </c>
      <c r="M69" s="83" t="s">
        <v>809</v>
      </c>
      <c r="N69" s="81">
        <v>55</v>
      </c>
      <c r="O69" s="82" t="s">
        <v>47</v>
      </c>
      <c r="P69" s="82" t="s">
        <v>360</v>
      </c>
      <c r="Q69" s="93">
        <f>s_MLF_pasture</f>
        <v>0.5</v>
      </c>
    </row>
    <row r="70" spans="1:18" ht="18" x14ac:dyDescent="0.25">
      <c r="A70" s="86"/>
      <c r="B70" s="90"/>
      <c r="C70" s="86"/>
      <c r="D70" s="83" t="s">
        <v>955</v>
      </c>
      <c r="E70" s="94">
        <f>((s_EF_res_c*1*s_IRLI_res_c*s_AAF_res_c)+(s_EF_res_a*1*s_IRLI_res_a*s_AAF_res_a))</f>
        <v>3025</v>
      </c>
      <c r="F70" s="82" t="s">
        <v>214</v>
      </c>
      <c r="M70" s="83" t="s">
        <v>810</v>
      </c>
      <c r="N70" s="93">
        <f>((s_EF_far_c*1*s_IRON_far_c*s_AAF_far_c)+(s_EF_far_a*1*s_IRON_far_a*s_AAF_far_a))</f>
        <v>3025</v>
      </c>
      <c r="O70" s="82" t="s">
        <v>214</v>
      </c>
      <c r="P70" s="82" t="s">
        <v>1102</v>
      </c>
      <c r="Q70" s="81">
        <v>5</v>
      </c>
      <c r="R70" s="82" t="s">
        <v>46</v>
      </c>
    </row>
    <row r="71" spans="1:18" ht="18" x14ac:dyDescent="0.25">
      <c r="A71" s="86"/>
      <c r="B71" s="90"/>
      <c r="C71" s="86"/>
      <c r="D71" s="83" t="s">
        <v>956</v>
      </c>
      <c r="E71" s="81">
        <v>55</v>
      </c>
      <c r="F71" s="82" t="s">
        <v>47</v>
      </c>
      <c r="M71" s="83" t="s">
        <v>811</v>
      </c>
      <c r="N71" s="81">
        <v>55</v>
      </c>
      <c r="O71" s="82" t="s">
        <v>47</v>
      </c>
      <c r="P71" s="82" t="s">
        <v>1103</v>
      </c>
      <c r="Q71" s="81">
        <v>5</v>
      </c>
      <c r="R71" s="82" t="s">
        <v>89</v>
      </c>
    </row>
    <row r="72" spans="1:18" ht="18" x14ac:dyDescent="0.25">
      <c r="A72" s="86"/>
      <c r="B72" s="90"/>
      <c r="C72" s="86"/>
      <c r="D72" s="83" t="s">
        <v>957</v>
      </c>
      <c r="E72" s="81">
        <v>55</v>
      </c>
      <c r="F72" s="82" t="s">
        <v>47</v>
      </c>
      <c r="M72" s="83" t="s">
        <v>812</v>
      </c>
      <c r="N72" s="81">
        <v>55</v>
      </c>
      <c r="O72" s="82" t="s">
        <v>47</v>
      </c>
      <c r="P72" s="82" t="s">
        <v>1104</v>
      </c>
      <c r="Q72" s="81">
        <v>5</v>
      </c>
      <c r="R72" s="82" t="s">
        <v>89</v>
      </c>
    </row>
    <row r="73" spans="1:18" ht="18" x14ac:dyDescent="0.25">
      <c r="A73" s="86"/>
      <c r="B73" s="90"/>
      <c r="C73" s="86"/>
      <c r="D73" s="83" t="s">
        <v>958</v>
      </c>
      <c r="E73" s="94">
        <f>((s_EF_res_c*1*s_IROK_res_c*s_AAF_res_c)+(s_EF_res_a*1*s_IROK_res_a*s_AAF_res_a))</f>
        <v>3025</v>
      </c>
      <c r="F73" s="82" t="s">
        <v>214</v>
      </c>
      <c r="M73" s="83" t="s">
        <v>813</v>
      </c>
      <c r="N73" s="93">
        <f>((s_EF_far_c*1*s_IRPC_far_c*s_AAF_far_c)+(s_EF_far_a*1*s_IRPC_far_a*s_AAF_far_a))</f>
        <v>3025</v>
      </c>
      <c r="O73" s="82" t="s">
        <v>214</v>
      </c>
      <c r="P73" s="82" t="s">
        <v>1105</v>
      </c>
      <c r="Q73" s="81">
        <v>5</v>
      </c>
      <c r="R73" s="82"/>
    </row>
    <row r="74" spans="1:18" ht="18" x14ac:dyDescent="0.25">
      <c r="A74" s="86"/>
      <c r="B74" s="90"/>
      <c r="C74" s="86"/>
      <c r="D74" s="83" t="s">
        <v>959</v>
      </c>
      <c r="E74" s="81">
        <v>55</v>
      </c>
      <c r="F74" s="82" t="s">
        <v>47</v>
      </c>
      <c r="M74" s="83" t="s">
        <v>814</v>
      </c>
      <c r="N74" s="81">
        <v>55</v>
      </c>
      <c r="O74" s="82" t="s">
        <v>47</v>
      </c>
      <c r="P74" s="82" t="s">
        <v>1106</v>
      </c>
      <c r="Q74" s="81">
        <v>5</v>
      </c>
      <c r="R74" s="82"/>
    </row>
    <row r="75" spans="1:18" ht="18" x14ac:dyDescent="0.25">
      <c r="A75" s="86"/>
      <c r="B75" s="90"/>
      <c r="C75" s="86"/>
      <c r="D75" s="83" t="s">
        <v>960</v>
      </c>
      <c r="E75" s="81">
        <v>55</v>
      </c>
      <c r="F75" s="82" t="s">
        <v>47</v>
      </c>
      <c r="M75" s="83" t="s">
        <v>815</v>
      </c>
      <c r="N75" s="81">
        <v>55</v>
      </c>
      <c r="O75" s="82" t="s">
        <v>47</v>
      </c>
      <c r="P75" s="82" t="s">
        <v>875</v>
      </c>
      <c r="Q75" s="81">
        <v>5</v>
      </c>
      <c r="R75" s="82" t="s">
        <v>46</v>
      </c>
    </row>
    <row r="76" spans="1:18" ht="18" x14ac:dyDescent="0.25">
      <c r="A76" s="86"/>
      <c r="B76" s="90"/>
      <c r="C76" s="86"/>
      <c r="D76" s="83" t="s">
        <v>961</v>
      </c>
      <c r="E76" s="94">
        <f>((s_EF_res_c*1*s_IRON_res_c*s_AAF_res_c)+(s_EF_res_a*1*s_IRON_res_a*s_AAF_res_a))</f>
        <v>3025</v>
      </c>
      <c r="F76" s="82" t="s">
        <v>214</v>
      </c>
      <c r="M76" s="83" t="s">
        <v>816</v>
      </c>
      <c r="N76" s="93">
        <f>((s_EF_far_c*1*s_IRPR_far_c*s_AAF_far_c)+(s_EF_far_a*1*s_IRPR_far_a*s_AAF_far_a))</f>
        <v>3025</v>
      </c>
      <c r="O76" s="82" t="s">
        <v>214</v>
      </c>
      <c r="P76" s="82" t="s">
        <v>876</v>
      </c>
      <c r="Q76" s="81">
        <v>5</v>
      </c>
      <c r="R76" s="82" t="s">
        <v>89</v>
      </c>
    </row>
    <row r="77" spans="1:18" ht="18" x14ac:dyDescent="0.25">
      <c r="A77" s="86"/>
      <c r="B77" s="90"/>
      <c r="C77" s="86"/>
      <c r="D77" s="83" t="s">
        <v>962</v>
      </c>
      <c r="E77" s="81">
        <v>55</v>
      </c>
      <c r="F77" s="82" t="s">
        <v>47</v>
      </c>
      <c r="M77" s="83" t="s">
        <v>817</v>
      </c>
      <c r="N77" s="81">
        <v>55</v>
      </c>
      <c r="O77" s="82" t="s">
        <v>47</v>
      </c>
      <c r="P77" s="82" t="s">
        <v>877</v>
      </c>
      <c r="Q77" s="81">
        <v>5</v>
      </c>
      <c r="R77" s="82" t="s">
        <v>89</v>
      </c>
    </row>
    <row r="78" spans="1:18" ht="18" x14ac:dyDescent="0.25">
      <c r="A78" s="86"/>
      <c r="B78" s="90"/>
      <c r="C78" s="86"/>
      <c r="D78" s="83" t="s">
        <v>963</v>
      </c>
      <c r="E78" s="81">
        <v>55</v>
      </c>
      <c r="F78" s="82" t="s">
        <v>47</v>
      </c>
      <c r="M78" s="83" t="s">
        <v>818</v>
      </c>
      <c r="N78" s="81">
        <v>55</v>
      </c>
      <c r="O78" s="82" t="s">
        <v>47</v>
      </c>
      <c r="P78" s="82" t="s">
        <v>878</v>
      </c>
      <c r="Q78" s="81">
        <v>5</v>
      </c>
      <c r="R78" s="82"/>
    </row>
    <row r="79" spans="1:18" ht="18" x14ac:dyDescent="0.25">
      <c r="A79" s="86"/>
      <c r="B79" s="90"/>
      <c r="C79" s="86"/>
      <c r="D79" s="83" t="s">
        <v>964</v>
      </c>
      <c r="E79" s="94">
        <f>((s_EF_res_c*1*s_IRPC_res_c*s_AAF_res_c)+(s_EF_res_a*1*s_IRPC_res_a*s_AAF_res_a))</f>
        <v>3025</v>
      </c>
      <c r="F79" s="82" t="s">
        <v>214</v>
      </c>
      <c r="M79" s="83" t="s">
        <v>819</v>
      </c>
      <c r="N79" s="93">
        <f>((s_EF_far_c*1*s_IRPE_far_c*s_AAF_far_c)+(s_EF_far_a*1*s_IRPE_far_a*s_AAF_far_a))</f>
        <v>3025</v>
      </c>
      <c r="O79" s="82" t="s">
        <v>214</v>
      </c>
      <c r="P79" s="82" t="s">
        <v>879</v>
      </c>
      <c r="Q79" s="81">
        <v>5</v>
      </c>
      <c r="R79" s="82"/>
    </row>
    <row r="80" spans="1:18" ht="18" x14ac:dyDescent="0.25">
      <c r="A80" s="85"/>
      <c r="B80" s="79"/>
      <c r="C80" s="86"/>
      <c r="D80" s="83" t="s">
        <v>965</v>
      </c>
      <c r="E80" s="81">
        <v>55</v>
      </c>
      <c r="F80" s="82" t="s">
        <v>47</v>
      </c>
      <c r="M80" s="83" t="s">
        <v>820</v>
      </c>
      <c r="N80" s="81">
        <v>55</v>
      </c>
      <c r="O80" s="82" t="s">
        <v>47</v>
      </c>
      <c r="P80" s="82" t="s">
        <v>880</v>
      </c>
      <c r="Q80" s="81">
        <v>5</v>
      </c>
      <c r="R80" s="82" t="s">
        <v>46</v>
      </c>
    </row>
    <row r="81" spans="1:18" ht="18" x14ac:dyDescent="0.25">
      <c r="A81" s="85"/>
      <c r="B81" s="79"/>
      <c r="C81" s="86"/>
      <c r="D81" s="83" t="s">
        <v>966</v>
      </c>
      <c r="E81" s="81">
        <v>55</v>
      </c>
      <c r="F81" s="82" t="s">
        <v>47</v>
      </c>
      <c r="M81" s="83" t="s">
        <v>821</v>
      </c>
      <c r="N81" s="81">
        <v>55</v>
      </c>
      <c r="O81" s="82" t="s">
        <v>47</v>
      </c>
      <c r="P81" s="82" t="s">
        <v>881</v>
      </c>
      <c r="Q81" s="81">
        <v>5</v>
      </c>
      <c r="R81" s="82" t="s">
        <v>89</v>
      </c>
    </row>
    <row r="82" spans="1:18" ht="18" x14ac:dyDescent="0.25">
      <c r="A82" s="85"/>
      <c r="B82" s="79"/>
      <c r="C82" s="86"/>
      <c r="D82" s="83" t="s">
        <v>967</v>
      </c>
      <c r="E82" s="94">
        <f>((s_EF_res_c*1*s_IRPR_res_c*s_AAF_res_c)+(s_EF_res_a*1*s_IRPR_res_a*s_AAF_res_a))</f>
        <v>3025</v>
      </c>
      <c r="F82" s="82" t="s">
        <v>214</v>
      </c>
      <c r="M82" s="83" t="s">
        <v>822</v>
      </c>
      <c r="N82" s="93">
        <f>((s_EF_far_c*1*s_IRPT_far_c*s_AAF_far_c)+(s_EF_far_a*1*s_IRPT_far_a*s_AAF_far_a))</f>
        <v>3025</v>
      </c>
      <c r="O82" s="82" t="s">
        <v>214</v>
      </c>
      <c r="P82" s="82" t="s">
        <v>882</v>
      </c>
      <c r="Q82" s="81">
        <v>5</v>
      </c>
      <c r="R82" s="82" t="s">
        <v>89</v>
      </c>
    </row>
    <row r="83" spans="1:18" ht="18" x14ac:dyDescent="0.25">
      <c r="A83" s="85"/>
      <c r="B83" s="79"/>
      <c r="C83" s="86"/>
      <c r="D83" s="83" t="s">
        <v>968</v>
      </c>
      <c r="E83" s="81">
        <v>55</v>
      </c>
      <c r="F83" s="82" t="s">
        <v>47</v>
      </c>
      <c r="M83" s="83" t="s">
        <v>823</v>
      </c>
      <c r="N83" s="81">
        <v>55</v>
      </c>
      <c r="O83" s="82" t="s">
        <v>47</v>
      </c>
      <c r="P83" s="82" t="s">
        <v>883</v>
      </c>
      <c r="Q83" s="81">
        <v>5</v>
      </c>
      <c r="R83" s="82"/>
    </row>
    <row r="84" spans="1:18" ht="18" x14ac:dyDescent="0.25">
      <c r="A84" s="85"/>
      <c r="B84" s="79"/>
      <c r="C84" s="86"/>
      <c r="D84" s="83" t="s">
        <v>969</v>
      </c>
      <c r="E84" s="81">
        <v>55</v>
      </c>
      <c r="F84" s="82" t="s">
        <v>47</v>
      </c>
      <c r="M84" s="83" t="s">
        <v>824</v>
      </c>
      <c r="N84" s="81">
        <v>55</v>
      </c>
      <c r="O84" s="82" t="s">
        <v>47</v>
      </c>
      <c r="P84" s="82" t="s">
        <v>884</v>
      </c>
      <c r="Q84" s="81">
        <v>5</v>
      </c>
      <c r="R84" s="82"/>
    </row>
    <row r="85" spans="1:18" ht="18" x14ac:dyDescent="0.25">
      <c r="A85" s="85"/>
      <c r="B85" s="79"/>
      <c r="C85" s="86"/>
      <c r="D85" s="83" t="s">
        <v>970</v>
      </c>
      <c r="E85" s="94">
        <f>((s_EF_res_c*1*s_IRPE_res_c*s_AAF_res_c)+(s_EF_res_a*1*s_IRPE_res_a*s_AAF_res_a))</f>
        <v>3025</v>
      </c>
      <c r="F85" s="82" t="s">
        <v>214</v>
      </c>
      <c r="M85" s="83" t="s">
        <v>825</v>
      </c>
      <c r="N85" s="93">
        <f>((s_EF_far_c*1*s_IRPU_far_c*s_AAF_far_c)+(s_EF_far_a*1*s_IRPU_far_a*s_AAF_far_a))</f>
        <v>3025</v>
      </c>
      <c r="O85" s="82" t="s">
        <v>214</v>
      </c>
      <c r="P85" s="82" t="s">
        <v>885</v>
      </c>
      <c r="Q85" s="81">
        <v>5</v>
      </c>
      <c r="R85" s="82" t="s">
        <v>46</v>
      </c>
    </row>
    <row r="86" spans="1:18" ht="18" x14ac:dyDescent="0.25">
      <c r="A86" s="85"/>
      <c r="B86" s="79"/>
      <c r="C86" s="86"/>
      <c r="D86" s="83" t="s">
        <v>971</v>
      </c>
      <c r="E86" s="81">
        <v>55</v>
      </c>
      <c r="F86" s="82" t="s">
        <v>47</v>
      </c>
      <c r="M86" s="83" t="s">
        <v>826</v>
      </c>
      <c r="N86" s="81">
        <v>55</v>
      </c>
      <c r="O86" s="82" t="s">
        <v>47</v>
      </c>
      <c r="P86" s="82" t="s">
        <v>886</v>
      </c>
      <c r="Q86" s="81">
        <v>5</v>
      </c>
      <c r="R86" s="82" t="s">
        <v>89</v>
      </c>
    </row>
    <row r="87" spans="1:18" ht="18" x14ac:dyDescent="0.25">
      <c r="A87" s="85"/>
      <c r="B87" s="79"/>
      <c r="C87" s="86"/>
      <c r="D87" s="83" t="s">
        <v>972</v>
      </c>
      <c r="E87" s="81">
        <v>55</v>
      </c>
      <c r="F87" s="82" t="s">
        <v>47</v>
      </c>
      <c r="M87" s="83" t="s">
        <v>827</v>
      </c>
      <c r="N87" s="81">
        <v>55</v>
      </c>
      <c r="O87" s="82" t="s">
        <v>47</v>
      </c>
      <c r="P87" s="82" t="s">
        <v>887</v>
      </c>
      <c r="Q87" s="81">
        <v>5</v>
      </c>
      <c r="R87" s="82" t="s">
        <v>89</v>
      </c>
    </row>
    <row r="88" spans="1:18" ht="18" x14ac:dyDescent="0.25">
      <c r="A88" s="85"/>
      <c r="B88" s="79"/>
      <c r="C88" s="86"/>
      <c r="D88" s="83" t="s">
        <v>973</v>
      </c>
      <c r="E88" s="94">
        <f>((s_EF_res_c*1*s_IRPT_res_c*s_AAF_res_c)+(s_EF_res_a*1*s_IRPT_res_a*s_AAF_res_a))</f>
        <v>3025</v>
      </c>
      <c r="F88" s="82" t="s">
        <v>214</v>
      </c>
      <c r="M88" s="83" t="s">
        <v>828</v>
      </c>
      <c r="N88" s="93">
        <f>((s_EF_far_c*1*s_IRRI_far_c*s_AAF_far_c)+(s_EF_far_a*1*s_IRRI_far_a*s_AAF_far_a))</f>
        <v>3025</v>
      </c>
      <c r="O88" s="82" t="s">
        <v>214</v>
      </c>
      <c r="P88" s="82" t="s">
        <v>888</v>
      </c>
      <c r="Q88" s="81">
        <v>5</v>
      </c>
      <c r="R88" s="82"/>
    </row>
    <row r="89" spans="1:18" ht="18" x14ac:dyDescent="0.25">
      <c r="A89" s="85"/>
      <c r="B89" s="79"/>
      <c r="C89" s="86"/>
      <c r="D89" s="83" t="s">
        <v>974</v>
      </c>
      <c r="E89" s="81">
        <v>55</v>
      </c>
      <c r="F89" s="82" t="s">
        <v>47</v>
      </c>
      <c r="M89" s="83" t="s">
        <v>829</v>
      </c>
      <c r="N89" s="81">
        <v>55</v>
      </c>
      <c r="O89" s="82" t="s">
        <v>47</v>
      </c>
      <c r="P89" s="82" t="s">
        <v>889</v>
      </c>
      <c r="Q89" s="81">
        <v>5</v>
      </c>
      <c r="R89" s="82"/>
    </row>
    <row r="90" spans="1:18" ht="18" x14ac:dyDescent="0.25">
      <c r="A90" s="85"/>
      <c r="B90" s="79"/>
      <c r="C90" s="86"/>
      <c r="D90" s="83" t="s">
        <v>975</v>
      </c>
      <c r="E90" s="81">
        <v>55</v>
      </c>
      <c r="F90" s="82" t="s">
        <v>47</v>
      </c>
      <c r="M90" s="83" t="s">
        <v>830</v>
      </c>
      <c r="N90" s="81">
        <v>55</v>
      </c>
      <c r="O90" s="82" t="s">
        <v>47</v>
      </c>
    </row>
    <row r="91" spans="1:18" ht="18" x14ac:dyDescent="0.25">
      <c r="A91" s="85"/>
      <c r="B91" s="79"/>
      <c r="C91" s="86"/>
      <c r="D91" s="83" t="s">
        <v>976</v>
      </c>
      <c r="E91" s="94">
        <f>((s_EF_res_c*1*s_IRPU_res_c*s_AAF_res_c)+(s_EF_res_a*1*s_IRPU_res_a*s_AAF_res_a))</f>
        <v>3025</v>
      </c>
      <c r="F91" s="82" t="s">
        <v>214</v>
      </c>
      <c r="K91" s="91"/>
      <c r="M91" s="83" t="s">
        <v>831</v>
      </c>
      <c r="N91" s="93">
        <f>((s_EF_far_c*1*s_IRSN_far_c*s_AAF_far_c)+(s_EF_far_a*1*s_IRSN_far_a*s_AAF_far_a))</f>
        <v>3025</v>
      </c>
      <c r="O91" s="82" t="s">
        <v>214</v>
      </c>
    </row>
    <row r="92" spans="1:18" ht="18" x14ac:dyDescent="0.25">
      <c r="A92" s="85"/>
      <c r="B92" s="79"/>
      <c r="C92" s="86"/>
      <c r="D92" s="83" t="s">
        <v>977</v>
      </c>
      <c r="E92" s="81">
        <v>55</v>
      </c>
      <c r="F92" s="82" t="s">
        <v>47</v>
      </c>
      <c r="K92" s="91"/>
      <c r="M92" s="83" t="s">
        <v>832</v>
      </c>
      <c r="N92" s="81">
        <v>55</v>
      </c>
      <c r="O92" s="82" t="s">
        <v>47</v>
      </c>
    </row>
    <row r="93" spans="1:18" ht="18" x14ac:dyDescent="0.25">
      <c r="A93" s="85"/>
      <c r="B93" s="79"/>
      <c r="C93" s="86"/>
      <c r="D93" s="83" t="s">
        <v>978</v>
      </c>
      <c r="E93" s="81">
        <v>55</v>
      </c>
      <c r="F93" s="82" t="s">
        <v>47</v>
      </c>
      <c r="K93" s="91"/>
      <c r="M93" s="83" t="s">
        <v>833</v>
      </c>
      <c r="N93" s="81">
        <v>55</v>
      </c>
      <c r="O93" s="82" t="s">
        <v>47</v>
      </c>
    </row>
    <row r="94" spans="1:18" ht="18" x14ac:dyDescent="0.25">
      <c r="A94" s="85"/>
      <c r="B94" s="79"/>
      <c r="C94" s="86"/>
      <c r="D94" s="83" t="s">
        <v>979</v>
      </c>
      <c r="E94" s="94">
        <f>((s_EF_res_c*1*s_IRRI_res_c*s_AAF_res_c)+(s_EF_res_a*1*s_IRRI_res_a*s_AAF_res_a))</f>
        <v>3025</v>
      </c>
      <c r="F94" s="82" t="s">
        <v>214</v>
      </c>
      <c r="K94" s="91"/>
      <c r="M94" s="83" t="s">
        <v>834</v>
      </c>
      <c r="N94" s="93">
        <f>((s_EF_far_c*1*s_IRST_far_c*s_AAF_far_c)+(s_EF_far_a*1*s_IRST_far_a*s_AAF_far_a))</f>
        <v>3025</v>
      </c>
      <c r="O94" s="82" t="s">
        <v>214</v>
      </c>
    </row>
    <row r="95" spans="1:18" ht="18" x14ac:dyDescent="0.25">
      <c r="A95" s="85"/>
      <c r="B95" s="79"/>
      <c r="C95" s="86"/>
      <c r="D95" s="83" t="s">
        <v>980</v>
      </c>
      <c r="E95" s="81">
        <v>55</v>
      </c>
      <c r="F95" s="82" t="s">
        <v>47</v>
      </c>
      <c r="K95" s="91"/>
      <c r="M95" s="83" t="s">
        <v>835</v>
      </c>
      <c r="N95" s="81">
        <v>55</v>
      </c>
      <c r="O95" s="82" t="s">
        <v>47</v>
      </c>
    </row>
    <row r="96" spans="1:18" ht="18" x14ac:dyDescent="0.25">
      <c r="A96" s="85"/>
      <c r="B96" s="79"/>
      <c r="C96" s="86"/>
      <c r="D96" s="83" t="s">
        <v>981</v>
      </c>
      <c r="E96" s="81">
        <v>55</v>
      </c>
      <c r="F96" s="82" t="s">
        <v>47</v>
      </c>
      <c r="M96" s="83" t="s">
        <v>836</v>
      </c>
      <c r="N96" s="81">
        <v>55</v>
      </c>
      <c r="O96" s="82" t="s">
        <v>47</v>
      </c>
    </row>
    <row r="97" spans="1:15" ht="18" x14ac:dyDescent="0.25">
      <c r="A97" s="85"/>
      <c r="B97" s="78"/>
      <c r="C97" s="86"/>
      <c r="D97" s="83" t="s">
        <v>982</v>
      </c>
      <c r="E97" s="94">
        <f>((s_EF_res_c*1*s_IRSN_res_c*s_AAF_res_c)+(s_EF_res_a*1*s_IRSN_res_a*s_AAF_res_a))</f>
        <v>3025</v>
      </c>
      <c r="F97" s="82" t="s">
        <v>214</v>
      </c>
      <c r="K97" s="91"/>
      <c r="M97" s="83" t="s">
        <v>837</v>
      </c>
      <c r="N97" s="93">
        <f>((s_EF_far_c*1*s_IRTO_far_c*s_AAF_far_c)+(s_EF_far_a*1*s_IRTO_far_a*s_AAF_far_a))</f>
        <v>3025</v>
      </c>
      <c r="O97" s="82" t="s">
        <v>214</v>
      </c>
    </row>
    <row r="98" spans="1:15" ht="18" x14ac:dyDescent="0.25">
      <c r="A98" s="86"/>
      <c r="B98" s="80"/>
      <c r="C98" s="86"/>
      <c r="D98" s="83" t="s">
        <v>983</v>
      </c>
      <c r="E98" s="81">
        <v>55</v>
      </c>
      <c r="F98" s="82" t="s">
        <v>47</v>
      </c>
      <c r="K98" s="91"/>
      <c r="M98" s="82" t="s">
        <v>838</v>
      </c>
      <c r="N98" s="99">
        <v>1.35E-2</v>
      </c>
    </row>
    <row r="99" spans="1:15" ht="18" x14ac:dyDescent="0.25">
      <c r="A99" s="86"/>
      <c r="B99" s="80"/>
      <c r="D99" s="83" t="s">
        <v>984</v>
      </c>
      <c r="E99" s="81">
        <v>55</v>
      </c>
      <c r="F99" s="82" t="s">
        <v>47</v>
      </c>
      <c r="M99" s="82" t="s">
        <v>839</v>
      </c>
      <c r="N99" s="99">
        <v>1.35E-2</v>
      </c>
    </row>
    <row r="100" spans="1:15" ht="18" x14ac:dyDescent="0.25">
      <c r="A100" s="86"/>
      <c r="B100" s="80"/>
      <c r="D100" s="83" t="s">
        <v>985</v>
      </c>
      <c r="E100" s="94">
        <f>((s_EF_res_c*1*s_IRST_res_c*s_AAF_res_c)+(s_EF_res_a*1*s_IRST_res_a*s_AAF_res_a))</f>
        <v>3025</v>
      </c>
      <c r="F100" s="82" t="s">
        <v>214</v>
      </c>
      <c r="M100" s="82" t="s">
        <v>840</v>
      </c>
      <c r="N100" s="99">
        <v>1.35E-2</v>
      </c>
    </row>
    <row r="101" spans="1:15" ht="18" x14ac:dyDescent="0.25">
      <c r="D101" s="83" t="s">
        <v>986</v>
      </c>
      <c r="E101" s="81">
        <v>55</v>
      </c>
      <c r="F101" s="82" t="s">
        <v>47</v>
      </c>
      <c r="M101" s="82" t="s">
        <v>841</v>
      </c>
      <c r="N101" s="99">
        <v>1.35E-2</v>
      </c>
    </row>
    <row r="102" spans="1:15" ht="18" x14ac:dyDescent="0.25">
      <c r="D102" s="83" t="s">
        <v>987</v>
      </c>
      <c r="E102" s="81">
        <v>55</v>
      </c>
      <c r="F102" s="82" t="s">
        <v>47</v>
      </c>
      <c r="M102" s="82" t="s">
        <v>842</v>
      </c>
      <c r="N102" s="99">
        <v>1.35E-2</v>
      </c>
    </row>
    <row r="103" spans="1:15" ht="18" x14ac:dyDescent="0.25">
      <c r="D103" s="83" t="s">
        <v>988</v>
      </c>
      <c r="E103" s="94">
        <f>((s_EF_res_c*1*s_IRTO_res_c*s_AAF_res_c)+(s_EF_res_a*1*s_IRTO_res_a*s_AAF_res_a))</f>
        <v>3025</v>
      </c>
      <c r="F103" s="82" t="s">
        <v>214</v>
      </c>
      <c r="M103" s="82" t="s">
        <v>843</v>
      </c>
      <c r="N103" s="99">
        <v>1.35E-2</v>
      </c>
    </row>
    <row r="104" spans="1:15" ht="18" x14ac:dyDescent="0.25">
      <c r="M104" s="82" t="s">
        <v>844</v>
      </c>
      <c r="N104" s="99">
        <v>1.35E-2</v>
      </c>
    </row>
    <row r="105" spans="1:15" ht="18" x14ac:dyDescent="0.25">
      <c r="M105" s="82" t="s">
        <v>845</v>
      </c>
      <c r="N105" s="99">
        <v>1.35E-2</v>
      </c>
    </row>
    <row r="106" spans="1:15" ht="18" x14ac:dyDescent="0.25">
      <c r="M106" s="82" t="s">
        <v>846</v>
      </c>
      <c r="N106" s="99">
        <v>1.35E-2</v>
      </c>
    </row>
    <row r="107" spans="1:15" ht="18" x14ac:dyDescent="0.25">
      <c r="M107" s="82" t="s">
        <v>847</v>
      </c>
      <c r="N107" s="99">
        <v>1.35E-2</v>
      </c>
    </row>
    <row r="108" spans="1:15" ht="18" x14ac:dyDescent="0.25">
      <c r="M108" s="82" t="s">
        <v>848</v>
      </c>
      <c r="N108" s="99">
        <v>1.35E-2</v>
      </c>
    </row>
    <row r="109" spans="1:15" ht="18" x14ac:dyDescent="0.25">
      <c r="M109" s="82" t="s">
        <v>849</v>
      </c>
      <c r="N109" s="99">
        <v>1.35E-2</v>
      </c>
    </row>
    <row r="110" spans="1:15" ht="18" x14ac:dyDescent="0.25">
      <c r="M110" s="82" t="s">
        <v>850</v>
      </c>
      <c r="N110" s="99">
        <v>1.35E-2</v>
      </c>
    </row>
    <row r="111" spans="1:15" ht="18" x14ac:dyDescent="0.25">
      <c r="M111" s="82" t="s">
        <v>851</v>
      </c>
      <c r="N111" s="99">
        <v>1.35E-2</v>
      </c>
    </row>
    <row r="112" spans="1:15" ht="18" x14ac:dyDescent="0.25">
      <c r="M112" s="82" t="s">
        <v>852</v>
      </c>
      <c r="N112" s="99">
        <v>1.35E-2</v>
      </c>
    </row>
    <row r="113" spans="13:14" ht="18" x14ac:dyDescent="0.25">
      <c r="M113" s="82" t="s">
        <v>853</v>
      </c>
      <c r="N113" s="99">
        <v>1.35E-2</v>
      </c>
    </row>
    <row r="114" spans="13:14" ht="18" x14ac:dyDescent="0.25">
      <c r="M114" s="82" t="s">
        <v>854</v>
      </c>
      <c r="N114" s="99">
        <v>1.35E-2</v>
      </c>
    </row>
    <row r="115" spans="13:14" ht="18" x14ac:dyDescent="0.25">
      <c r="M115" s="82" t="s">
        <v>855</v>
      </c>
      <c r="N115" s="99">
        <v>1.35E-2</v>
      </c>
    </row>
    <row r="116" spans="13:14" ht="18" x14ac:dyDescent="0.25">
      <c r="M116" s="82" t="s">
        <v>856</v>
      </c>
      <c r="N116" s="99">
        <v>1.35E-2</v>
      </c>
    </row>
    <row r="117" spans="13:14" ht="18" x14ac:dyDescent="0.25">
      <c r="M117" s="82" t="s">
        <v>857</v>
      </c>
      <c r="N117" s="99">
        <v>1.35E-2</v>
      </c>
    </row>
    <row r="118" spans="13:14" ht="18" x14ac:dyDescent="0.25">
      <c r="M118" s="82" t="s">
        <v>858</v>
      </c>
      <c r="N118" s="99">
        <v>1.35E-2</v>
      </c>
    </row>
    <row r="119" spans="13:14" ht="18" x14ac:dyDescent="0.25">
      <c r="M119" s="82" t="s">
        <v>859</v>
      </c>
      <c r="N119" s="99">
        <v>1.35E-2</v>
      </c>
    </row>
    <row r="120" spans="13:14" ht="18" x14ac:dyDescent="0.25">
      <c r="M120" s="82" t="s">
        <v>860</v>
      </c>
      <c r="N120" s="99">
        <v>1.35E-2</v>
      </c>
    </row>
    <row r="121" spans="13:14" ht="18" x14ac:dyDescent="0.25">
      <c r="M121" s="82" t="s">
        <v>861</v>
      </c>
      <c r="N121" s="99">
        <v>1.35E-2</v>
      </c>
    </row>
  </sheetData>
  <sheetProtection algorithmName="SHA-512" hashValue="j9SjRoHzb9QjSIuwaM93NX3ElJuVTwN+qfyx667EhIH5dsAI6e77kQ0nhEVVa6047OD7g5D/pePig6uy6yUjhg==" saltValue="BRH3iObhY4Gnn8I3xgIo2w==" spinCount="100000" sheet="1" formatColumns="0" formatRows="0" autoFilter="0"/>
  <mergeCells count="6">
    <mergeCell ref="P1:R1"/>
    <mergeCell ref="A1:C1"/>
    <mergeCell ref="D1:F1"/>
    <mergeCell ref="G1:I1"/>
    <mergeCell ref="J1:L1"/>
    <mergeCell ref="M1:O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BV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14" style="1" bestFit="1" customWidth="1"/>
    <col min="4" max="4" width="13.85546875" style="1" bestFit="1" customWidth="1"/>
    <col min="5" max="5" width="13.140625" style="1" bestFit="1" customWidth="1"/>
    <col min="6" max="6" width="13.85546875" style="1" bestFit="1" customWidth="1"/>
    <col min="7" max="7" width="13.140625" style="1" bestFit="1" customWidth="1"/>
    <col min="8" max="8" width="13.28515625" style="1" bestFit="1" customWidth="1"/>
    <col min="9" max="9" width="12.5703125" style="1" bestFit="1" customWidth="1"/>
    <col min="10" max="10" width="14" style="1" bestFit="1" customWidth="1"/>
    <col min="11" max="11" width="13.140625" style="1" bestFit="1" customWidth="1"/>
    <col min="12" max="12" width="14.85546875" style="1" bestFit="1" customWidth="1"/>
    <col min="13" max="13" width="12.28515625" style="1" bestFit="1" customWidth="1"/>
    <col min="14" max="14" width="12.85546875" style="1" bestFit="1" customWidth="1"/>
    <col min="15" max="15" width="13" style="1" bestFit="1" customWidth="1"/>
    <col min="16" max="16" width="14.140625" style="1" bestFit="1" customWidth="1"/>
    <col min="17" max="17" width="14.28515625" style="1" bestFit="1" customWidth="1"/>
    <col min="18" max="18" width="13.140625" style="1" bestFit="1" customWidth="1"/>
    <col min="19" max="19" width="12.42578125" style="1" bestFit="1" customWidth="1"/>
    <col min="20" max="20" width="13.85546875" style="1" bestFit="1" customWidth="1"/>
    <col min="21" max="21" width="14.140625" style="1" bestFit="1" customWidth="1"/>
    <col min="22" max="22" width="13.28515625" style="1" bestFit="1" customWidth="1"/>
    <col min="23" max="23" width="14" style="1" bestFit="1" customWidth="1"/>
    <col min="24" max="24" width="12.85546875" style="1" bestFit="1" customWidth="1"/>
    <col min="25" max="25" width="12.42578125" style="1" bestFit="1" customWidth="1"/>
    <col min="26" max="26" width="14.28515625" style="1" bestFit="1" customWidth="1"/>
    <col min="27" max="27" width="13.5703125" style="1" bestFit="1" customWidth="1"/>
    <col min="28" max="28" width="13.42578125" style="1" bestFit="1" customWidth="1"/>
    <col min="29" max="29" width="12.85546875" style="1" bestFit="1" customWidth="1"/>
    <col min="30" max="30" width="13.42578125" style="1" bestFit="1" customWidth="1"/>
    <col min="31" max="31" width="12.7109375" style="1" bestFit="1" customWidth="1"/>
    <col min="32" max="32" width="13" style="1" bestFit="1" customWidth="1"/>
    <col min="33" max="33" width="12.140625" style="1" bestFit="1" customWidth="1"/>
    <col min="34" max="34" width="13.5703125" style="1" bestFit="1" customWidth="1"/>
    <col min="35" max="35" width="12.7109375" style="1" bestFit="1" customWidth="1"/>
    <col min="36" max="36" width="14.42578125" style="1" bestFit="1" customWidth="1"/>
    <col min="37" max="37" width="12" style="1" bestFit="1" customWidth="1"/>
    <col min="38" max="38" width="12.5703125" style="1" bestFit="1" customWidth="1"/>
    <col min="39" max="39" width="12.7109375" style="1" bestFit="1" customWidth="1"/>
    <col min="40" max="40" width="13.85546875" style="1" bestFit="1" customWidth="1"/>
    <col min="41" max="41" width="14" style="1" bestFit="1" customWidth="1"/>
    <col min="42" max="42" width="12.7109375" style="1" bestFit="1" customWidth="1"/>
    <col min="43" max="43" width="12" style="1" bestFit="1" customWidth="1"/>
    <col min="44" max="44" width="13.42578125" style="1" bestFit="1" customWidth="1"/>
    <col min="45" max="45" width="13.85546875" style="1" bestFit="1" customWidth="1"/>
    <col min="46" max="46" width="12.85546875" style="1" bestFit="1" customWidth="1"/>
    <col min="47" max="47" width="13.5703125" style="1" bestFit="1" customWidth="1"/>
    <col min="48" max="48" width="12.42578125" style="1" bestFit="1" customWidth="1"/>
    <col min="49" max="49" width="12" style="1" bestFit="1" customWidth="1"/>
    <col min="50" max="50" width="14" style="1" bestFit="1" customWidth="1"/>
    <col min="51" max="51" width="14.140625" style="1" bestFit="1" customWidth="1"/>
    <col min="52" max="52" width="14" style="1" bestFit="1" customWidth="1"/>
    <col min="53" max="53" width="13.42578125" style="1" bestFit="1" customWidth="1"/>
    <col min="54" max="54" width="14" style="1" bestFit="1" customWidth="1"/>
    <col min="55" max="55" width="13.42578125" style="1" bestFit="1" customWidth="1"/>
    <col min="56" max="56" width="13.5703125" style="1" bestFit="1" customWidth="1"/>
    <col min="57" max="57" width="12.85546875" style="1" bestFit="1" customWidth="1"/>
    <col min="58" max="58" width="14.140625" style="1" bestFit="1" customWidth="1"/>
    <col min="59" max="59" width="13.42578125" style="1" bestFit="1" customWidth="1"/>
    <col min="60" max="60" width="15.140625" style="1" bestFit="1" customWidth="1"/>
    <col min="61" max="61" width="12.5703125" style="1" bestFit="1" customWidth="1"/>
    <col min="62" max="62" width="13.140625" style="1" bestFit="1" customWidth="1"/>
    <col min="63" max="63" width="13.28515625" style="1" bestFit="1" customWidth="1"/>
    <col min="64" max="64" width="14.42578125" style="1" bestFit="1" customWidth="1"/>
    <col min="65" max="65" width="14.5703125" style="1" bestFit="1" customWidth="1"/>
    <col min="66" max="66" width="13.42578125" style="1" bestFit="1" customWidth="1"/>
    <col min="67" max="67" width="12.7109375" style="1" bestFit="1" customWidth="1"/>
    <col min="68" max="68" width="14.140625" style="1" bestFit="1" customWidth="1"/>
    <col min="69" max="69" width="14.5703125" style="1" bestFit="1" customWidth="1"/>
    <col min="70" max="70" width="13.5703125" style="1" bestFit="1" customWidth="1"/>
    <col min="71" max="71" width="14.140625" style="1" bestFit="1" customWidth="1"/>
    <col min="72" max="72" width="13.140625" style="1" bestFit="1" customWidth="1"/>
    <col min="73" max="73" width="12.7109375" style="1" bestFit="1" customWidth="1"/>
    <col min="74" max="74" width="14.5703125" style="1" bestFit="1" customWidth="1"/>
  </cols>
  <sheetData>
    <row r="1" spans="1:74" x14ac:dyDescent="0.25">
      <c r="A1" s="50" t="s">
        <v>39</v>
      </c>
      <c r="B1" s="51" t="s">
        <v>335</v>
      </c>
      <c r="C1" s="1" t="s">
        <v>651</v>
      </c>
      <c r="D1" s="1" t="s">
        <v>652</v>
      </c>
      <c r="E1" s="1" t="s">
        <v>653</v>
      </c>
      <c r="F1" s="1" t="s">
        <v>654</v>
      </c>
      <c r="G1" s="1" t="s">
        <v>655</v>
      </c>
      <c r="H1" s="1" t="s">
        <v>656</v>
      </c>
      <c r="I1" s="1" t="s">
        <v>657</v>
      </c>
      <c r="J1" s="1" t="s">
        <v>658</v>
      </c>
      <c r="K1" s="1" t="s">
        <v>659</v>
      </c>
      <c r="L1" s="1" t="s">
        <v>660</v>
      </c>
      <c r="M1" s="1" t="s">
        <v>661</v>
      </c>
      <c r="N1" s="1" t="s">
        <v>662</v>
      </c>
      <c r="O1" s="1" t="s">
        <v>663</v>
      </c>
      <c r="P1" s="1" t="s">
        <v>664</v>
      </c>
      <c r="Q1" s="1" t="s">
        <v>665</v>
      </c>
      <c r="R1" s="1" t="s">
        <v>666</v>
      </c>
      <c r="S1" s="1" t="s">
        <v>667</v>
      </c>
      <c r="T1" s="1" t="s">
        <v>668</v>
      </c>
      <c r="U1" s="1" t="s">
        <v>669</v>
      </c>
      <c r="V1" s="1" t="s">
        <v>670</v>
      </c>
      <c r="W1" s="1" t="s">
        <v>671</v>
      </c>
      <c r="X1" s="1" t="s">
        <v>672</v>
      </c>
      <c r="Y1" s="1" t="s">
        <v>673</v>
      </c>
      <c r="Z1" s="1" t="s">
        <v>721</v>
      </c>
      <c r="AA1" s="1" t="s">
        <v>674</v>
      </c>
      <c r="AB1" s="1" t="s">
        <v>675</v>
      </c>
      <c r="AC1" s="1" t="s">
        <v>676</v>
      </c>
      <c r="AD1" s="1" t="s">
        <v>677</v>
      </c>
      <c r="AE1" s="1" t="s">
        <v>678</v>
      </c>
      <c r="AF1" s="1" t="s">
        <v>679</v>
      </c>
      <c r="AG1" s="1" t="s">
        <v>680</v>
      </c>
      <c r="AH1" s="1" t="s">
        <v>681</v>
      </c>
      <c r="AI1" s="1" t="s">
        <v>682</v>
      </c>
      <c r="AJ1" s="1" t="s">
        <v>683</v>
      </c>
      <c r="AK1" s="1" t="s">
        <v>684</v>
      </c>
      <c r="AL1" s="1" t="s">
        <v>685</v>
      </c>
      <c r="AM1" s="1" t="s">
        <v>686</v>
      </c>
      <c r="AN1" s="1" t="s">
        <v>687</v>
      </c>
      <c r="AO1" s="1" t="s">
        <v>688</v>
      </c>
      <c r="AP1" s="1" t="s">
        <v>689</v>
      </c>
      <c r="AQ1" s="1" t="s">
        <v>690</v>
      </c>
      <c r="AR1" s="1" t="s">
        <v>691</v>
      </c>
      <c r="AS1" s="1" t="s">
        <v>692</v>
      </c>
      <c r="AT1" s="1" t="s">
        <v>693</v>
      </c>
      <c r="AU1" s="1" t="s">
        <v>694</v>
      </c>
      <c r="AV1" s="1" t="s">
        <v>695</v>
      </c>
      <c r="AW1" s="1" t="s">
        <v>696</v>
      </c>
      <c r="AX1" s="1" t="s">
        <v>722</v>
      </c>
      <c r="AY1" s="1" t="s">
        <v>697</v>
      </c>
      <c r="AZ1" s="1" t="s">
        <v>698</v>
      </c>
      <c r="BA1" s="1" t="s">
        <v>699</v>
      </c>
      <c r="BB1" s="1" t="s">
        <v>700</v>
      </c>
      <c r="BC1" s="1" t="s">
        <v>701</v>
      </c>
      <c r="BD1" s="1" t="s">
        <v>702</v>
      </c>
      <c r="BE1" s="1" t="s">
        <v>703</v>
      </c>
      <c r="BF1" s="1" t="s">
        <v>704</v>
      </c>
      <c r="BG1" s="1" t="s">
        <v>705</v>
      </c>
      <c r="BH1" s="1" t="s">
        <v>706</v>
      </c>
      <c r="BI1" s="1" t="s">
        <v>707</v>
      </c>
      <c r="BJ1" s="1" t="s">
        <v>708</v>
      </c>
      <c r="BK1" s="1" t="s">
        <v>709</v>
      </c>
      <c r="BL1" s="1" t="s">
        <v>710</v>
      </c>
      <c r="BM1" s="1" t="s">
        <v>711</v>
      </c>
      <c r="BN1" s="1" t="s">
        <v>712</v>
      </c>
      <c r="BO1" s="1" t="s">
        <v>713</v>
      </c>
      <c r="BP1" s="1" t="s">
        <v>714</v>
      </c>
      <c r="BQ1" s="1" t="s">
        <v>715</v>
      </c>
      <c r="BR1" s="1" t="s">
        <v>716</v>
      </c>
      <c r="BS1" s="1" t="s">
        <v>717</v>
      </c>
      <c r="BT1" s="1" t="s">
        <v>718</v>
      </c>
      <c r="BU1" s="1" t="s">
        <v>719</v>
      </c>
      <c r="BV1" s="1" t="s">
        <v>723</v>
      </c>
    </row>
    <row r="2" spans="1:74" x14ac:dyDescent="0.25">
      <c r="A2" s="31" t="s">
        <v>0</v>
      </c>
      <c r="B2" s="3" t="s">
        <v>1059</v>
      </c>
      <c r="C2" s="72">
        <f>IFERROR(IF(d_ss_Bv!C2=0,".",((s_Ir*s_F*d_ss_Bv!C2*(1-EXP(-s_RadSpec!$BC2*s_t_b)))/(s_P*s_RadSpec!$BC2))),".")</f>
        <v>0.19870072460746407</v>
      </c>
      <c r="D2" s="72">
        <f>IFERROR(IF(d_ss_Bv!D2=0,".",((s_Ir*s_F*d_ss_Bv!D2*(1-EXP(-s_RadSpec!BC2*s_t_b)))/(s_P*s_RadSpec!BC2))),".")</f>
        <v>0.19870072460746407</v>
      </c>
      <c r="E2" s="72">
        <f>IFERROR(IF(d_ss_Bv!E2=0,".",((s_Ir*s_F*d_ss_Bv!E2*(1-EXP(-s_RadSpec!BC2*s_t_b)))/(s_P*s_RadSpec!BC2))),".")</f>
        <v>0.19870072460746407</v>
      </c>
      <c r="F2" s="72">
        <f>IFERROR(IF(d_ss_Bv!F2=0,".",((s_Ir*s_F*d_ss_Bv!F2*(1-EXP(-s_RadSpec!BC2*s_t_b)))/(s_P*s_RadSpec!BC2))),".")</f>
        <v>0.19870072460746407</v>
      </c>
      <c r="G2" s="72">
        <f>IFERROR(IF(d_ss_Bv!G2=0,".",((s_Ir*s_F*d_ss_Bv!G2*(1-EXP(-s_RadSpec!BC2*s_t_b)))/(s_P*s_RadSpec!BC2))),".")</f>
        <v>0.19870072460746407</v>
      </c>
      <c r="H2" s="72">
        <f>IFERROR(IF(d_ss_Bv!H2=0,".",((s_Ir*s_F*d_ss_Bv!H2*(1-EXP(-s_RadSpec!BC2*s_t_b)))/(s_P*s_RadSpec!BC2))),".")</f>
        <v>0.19870072460746407</v>
      </c>
      <c r="I2" s="72">
        <f>IFERROR(IF(d_ss_Bv!I2=0,".",((s_Ir*s_F*d_ss_Bv!I2*(1-EXP(-s_RadSpec!BC2*s_t_b)))/(s_P*s_RadSpec!BC2))),".")</f>
        <v>0.19870072460746407</v>
      </c>
      <c r="J2" s="72">
        <f>IFERROR(IF(d_ss_Bv!J2=0,".",((s_Ir*s_F*d_ss_Bv!J2*(1-EXP(-s_RadSpec!BC2*s_t_b)))/(s_P*s_RadSpec!BC2))),".")</f>
        <v>0.19870072460746407</v>
      </c>
      <c r="K2" s="72">
        <f>IFERROR(IF(d_ss_Bv!K2=0,".",((s_Ir*s_F*d_ss_Bv!K2*(1-EXP(-s_RadSpec!BC2*s_t_b)))/(s_P*s_RadSpec!BC2))),".")</f>
        <v>0.19870072460746407</v>
      </c>
      <c r="L2" s="72">
        <f>IFERROR(IF(d_ss_Bv!L2=0,".",((s_Ir*s_F*d_ss_Bv!L2*(1-EXP(-s_RadSpec!BC2*s_t_b)))/(s_P*s_RadSpec!BC2))),".")</f>
        <v>0.19870072460746407</v>
      </c>
      <c r="M2" s="72">
        <f>IFERROR(IF(d_ss_Bv!M2=0,".",((s_Ir*s_F*d_ss_Bv!M2*(1-EXP(-s_RadSpec!BC2*s_t_b)))/(s_P*s_RadSpec!BC2))),".")</f>
        <v>0.19870072460746407</v>
      </c>
      <c r="N2" s="72">
        <f>IFERROR(IF(d_ss_Bv!N2=0,".",((s_Ir*s_F*d_ss_Bv!N2*(1-EXP(-s_RadSpec!BC2*s_t_b)))/(s_P*s_RadSpec!BC2))),".")</f>
        <v>0.19870072460746407</v>
      </c>
      <c r="O2" s="72">
        <f>IFERROR(IF(d_ss_Bv!O2=0,".",((s_Ir*s_F*d_ss_Bv!O2*(1-EXP(-s_RadSpec!BC2*s_t_b)))/(s_P*s_RadSpec!BC2))),".")</f>
        <v>0.19870072460746407</v>
      </c>
      <c r="P2" s="72">
        <f>IFERROR(IF(d_ss_Bv!P2=0,".",((s_Ir*s_F*d_ss_Bv!P2*(1-EXP(-s_RadSpec!BC2*s_t_b)))/(s_P*s_RadSpec!BC2))),".")</f>
        <v>0.19870072460746407</v>
      </c>
      <c r="Q2" s="72">
        <f>IFERROR(IF(d_ss_Bv!Q2=0,".",((s_Ir*s_F*d_ss_Bv!Q2*(1-EXP(-s_RadSpec!BC2*s_t_b)))/(s_P*s_RadSpec!BC2))),".")</f>
        <v>0.19870072460746407</v>
      </c>
      <c r="R2" s="72">
        <f>IFERROR(IF(d_ss_Bv!R2=0,".",((s_Ir*s_F*d_ss_Bv!R2*(1-EXP(-s_RadSpec!BC2*s_t_b)))/(s_P*s_RadSpec!BC2))),".")</f>
        <v>0.19870072460746407</v>
      </c>
      <c r="S2" s="72">
        <f>IFERROR(IF(d_ss_Bv!S2=0,".",((s_Ir*s_F*d_ss_Bv!S2*(1-EXP(-s_RadSpec!BC2*s_t_b)))/(s_P*s_RadSpec!BC2))),".")</f>
        <v>0.19870072460746407</v>
      </c>
      <c r="T2" s="72">
        <f>IFERROR(IF(d_ss_Bv!T2=0,".",((s_Ir*s_F*d_ss_Bv!T2*(1-EXP(-s_RadSpec!BC2*s_t_b)))/(s_P*s_RadSpec!BC2))),".")</f>
        <v>0.19870072460746407</v>
      </c>
      <c r="U2" s="72">
        <f>IFERROR(IF(d_ss_Bv!U2=0,".",((s_Ir*s_F*d_ss_Bv!U2*(1-EXP(-s_RadSpec!BC2*s_t_b)))/(s_P*s_RadSpec!BC2))),".")</f>
        <v>0.19870072460746407</v>
      </c>
      <c r="V2" s="72">
        <f>IFERROR(IF(d_ss_Bv!V2=0,".",((s_Ir*s_F*d_ss_Bv!V2*(1-EXP(-s_RadSpec!BC2*s_t_b)))/(s_P*s_RadSpec!BC2))),".")</f>
        <v>0.19870072460746407</v>
      </c>
      <c r="W2" s="72">
        <f>IFERROR(IF(d_ss_Bv!W2=0,".",((s_Ir*s_F*d_ss_Bv!W2*(1-EXP(-s_RadSpec!BC2*s_t_b)))/(s_P*s_RadSpec!BC2))),".")</f>
        <v>0.19870072460746407</v>
      </c>
      <c r="X2" s="72">
        <f>IFERROR(IF(d_ss_Bv!X2=0,".",((s_Ir*s_F*d_ss_Bv!X2*(1-EXP(-s_RadSpec!BC2*s_t_b)))/(s_P*s_RadSpec!BC2))),".")</f>
        <v>0.19870072460746407</v>
      </c>
      <c r="Y2" s="72">
        <f>IFERROR(IF(d_ss_Bv!Y2=0,".",((s_Ir*s_F*d_ss_Bv!Y2*(1-EXP(-s_RadSpec!BC2*s_t_b)))/(s_P*s_RadSpec!BC2))),".")</f>
        <v>0.19870072460746407</v>
      </c>
      <c r="Z2" s="72">
        <f>IFERROR(IF(d_ss_Bv!Z2=0,".",((s_Ir*s_F*d_ss_Bv!Z2*(1-EXP(-s_RadSpec!BC2*s_t_b)))/(s_P*s_RadSpec!BC2))),".")</f>
        <v>0.19870072460746407</v>
      </c>
      <c r="AA2" s="72">
        <f>IFERROR(IF(d_ss_Bv!C2=0,".",((s_Ir*s_F*s_MLF_apple*(1-EXP(-s_RadSpec!BC2*s_t_b)))/(s_P*s_RadSpec!BC2))),".")</f>
        <v>2.6824597822007652</v>
      </c>
      <c r="AB2" s="72">
        <f>IFERROR(IF(d_ss_Bv!D2=0,".",((s_Ir*s_F*s_MLF_asparagus*(1-EXP(-s_RadSpec!BC2*s_t_b)))/(s_P*s_RadSpec!BC2))),".")</f>
        <v>2.6824597822007652</v>
      </c>
      <c r="AC2" s="72">
        <f>IFERROR(IF(d_ss_Bv!E2=0,".",((s_Ir*s_F*s_MLF_beet*(1-EXP(-s_RadSpec!BC2*s_t_b)))/(s_P*s_RadSpec!BC2))),".")</f>
        <v>2.6824597822007652</v>
      </c>
      <c r="AD2" s="72">
        <f>IFERROR(IF(d_ss_Bv!F2=0,".",((s_Ir*s_F*s_MLF_berries*(1-EXP(-s_RadSpec!BC2*s_t_b)))/(s_P*s_RadSpec!BC2))),".")</f>
        <v>2.6824597822007652</v>
      </c>
      <c r="AE2" s="72">
        <f>IFERROR(IF(d_ss_Bv!G2=0,".",((s_Ir*s_F*s_MLF_broccoli*(1-EXP(-s_RadSpec!BC2*s_t_b)))/(s_P*s_RadSpec!BC2))),".")</f>
        <v>2.6824597822007652</v>
      </c>
      <c r="AF2" s="72">
        <f>IFERROR(IF(d_ss_Bv!H2=0,".",((s_Ir*s_F*s_MLF_cabbage*(1-EXP(-s_RadSpec!BC2*s_t_b)))/(s_P*s_RadSpec!BC2))),".")</f>
        <v>2.6824597822007652</v>
      </c>
      <c r="AG2" s="72">
        <f>IFERROR(IF(d_ss_Bv!I2=0,".",((s_Ir*s_F*s_MLF_carrot*(1-EXP(-s_RadSpec!BC2*s_t_b)))/(s_P*s_RadSpec!BC2))),".")</f>
        <v>2.6824597822007652</v>
      </c>
      <c r="AH2" s="72">
        <f>IFERROR(IF(d_ss_Bv!J2=0,".",((s_Ir*s_F*s_MLF_citrus*(1-EXP(-s_RadSpec!BC2*s_t_b)))/(s_P*s_RadSpec!BC2))),".")</f>
        <v>2.6824597822007652</v>
      </c>
      <c r="AI2" s="72">
        <f>IFERROR(IF(d_ss_Bv!K2=0,".",((s_Ir*s_F*s_MLF_corn*(1-EXP(-s_RadSpec!BC2*s_t_b)))/(s_P*s_RadSpec!BC2))),".")</f>
        <v>2.6824597822007652</v>
      </c>
      <c r="AJ2" s="72">
        <f>IFERROR(IF(d_ss_Bv!L2=0,".",((s_Ir*s_F*s_MLF_cucumber*(1-EXP(-s_RadSpec!BC2*s_t_b)))/(s_P*s_RadSpec!BC2))),".")</f>
        <v>2.6824597822007652</v>
      </c>
      <c r="AK2" s="72">
        <f>IFERROR(IF(d_ss_Bv!M2=0,".",((s_Ir*s_F*s_MLF_lettuce*(1-EXP(-s_RadSpec!BC2*s_t_b)))/(s_P*s_RadSpec!BC2))),".")</f>
        <v>2.6824597822007652</v>
      </c>
      <c r="AL2" s="72">
        <f>IFERROR(IF(d_ss_Bv!N2=0,".",((s_Ir*s_F*s_MLF_lima_bean*(1-EXP(-s_RadSpec!BC2*s_t_b)))/(s_P*s_RadSpec!BC2))),".")</f>
        <v>2.6824597822007652</v>
      </c>
      <c r="AM2" s="72">
        <f>IFERROR(IF(d_ss_Bv!O2=0,".",((s_Ir*s_F*s_MLF_okra*(1-EXP(-s_RadSpec!BC2*s_t_b)))/(s_P*s_RadSpec!BC2))),".")</f>
        <v>2.6824597822007652</v>
      </c>
      <c r="AN2" s="72">
        <f>IFERROR(IF(d_ss_Bv!P2=0,".",((s_Ir*s_F*s_MLF_onion*(1-EXP(-s_RadSpec!BC2*s_t_b)))/(s_P*s_RadSpec!BC2))),".")</f>
        <v>2.6824597822007652</v>
      </c>
      <c r="AO2" s="72">
        <f>IFERROR(IF(d_ss_Bv!Q2=0,".",((s_Ir*s_F*s_MLF_peach*(1-EXP(-s_RadSpec!BC2*s_t_b)))/(s_P*s_RadSpec!BC2))),".")</f>
        <v>2.6824597822007652</v>
      </c>
      <c r="AP2" s="72">
        <f>IFERROR(IF(d_ss_Bv!R2=0,".",((s_Ir*s_F*s_MLF_pear*(1-EXP(-s_RadSpec!BC2*s_t_b)))/(s_P*s_RadSpec!BC2))),".")</f>
        <v>2.6824597822007652</v>
      </c>
      <c r="AQ2" s="72">
        <f>IFERROR(IF(d_ss_Bv!S2=0,".",((s_Ir*s_F*s_MLF_peas*(1-EXP(-s_RadSpec!BC2*s_t_b)))/(s_P*s_RadSpec!BC2))),".")</f>
        <v>2.6824597822007652</v>
      </c>
      <c r="AR2" s="72">
        <f>IFERROR(IF(d_ss_Bv!T2=0,".",((s_Ir*s_F*s_MLF_potato*(1-EXP(-s_RadSpec!BC2*s_t_b)))/(s_P*s_RadSpec!BC2))),".")</f>
        <v>2.6824597822007652</v>
      </c>
      <c r="AS2" s="72">
        <f>IFERROR(IF(d_ss_Bv!U2=0,".",((s_Ir*s_F*s_MLF_pumpkin*(1-EXP(-s_RadSpec!BC2*s_t_b)))/(s_P*s_RadSpec!BC2))),".")</f>
        <v>2.6824597822007652</v>
      </c>
      <c r="AT2" s="72">
        <f>IFERROR(IF(d_ss_Bv!V2=0,".",((s_Ir*s_F*s_MLF_snap_bean*(1-EXP(-s_RadSpec!BC2*s_t_b)))/(s_P*s_RadSpec!BC2))),".")</f>
        <v>2.6824597822007652</v>
      </c>
      <c r="AU2" s="72">
        <f>IFERROR(IF(d_ss_Bv!W2=0,".",((s_Ir*s_F*s_MLF_strawberry*(1-EXP(-s_RadSpec!BC2*s_t_b)))/(s_P*s_RadSpec!BC2))),".")</f>
        <v>2.6824597822007652</v>
      </c>
      <c r="AV2" s="72">
        <f>IFERROR(IF(d_ss_Bv!X2=0,".",((s_Ir*s_F*s_MLF_tomato*(1-EXP(-s_RadSpec!BC2*s_t_b)))/(s_P*s_RadSpec!BC2))),".")</f>
        <v>2.6824597822007652</v>
      </c>
      <c r="AW2" s="72">
        <f>IFERROR(IF(d_ss_Bv!Y2=0,".",((s_Ir*s_F*s_MLF_rice*(1-EXP(-s_RadSpec!BC2*s_t_b)))/(s_P*s_RadSpec!BC2))),".")</f>
        <v>2.6824597822007652</v>
      </c>
      <c r="AX2" s="72">
        <f>IFERROR(IF(d_ss_Bv!Z2=0,".",((s_Ir*s_F*s_MLF_cereal*(1-EXP(-s_RadSpec!BC2*s_t_b)))/(s_P*s_RadSpec!BC2))),".")</f>
        <v>2.6824597822007652</v>
      </c>
      <c r="AY2" s="72">
        <f>IFERROR(IF(d_ss_Bv!C2=0,".",((s_Ir*s_F*s_I_f*s_T*(1-EXP(-s_RadSpec!BD2*s_t_v)))/(s_Y_v*s_RadSpec!BD2))),".")</f>
        <v>9.0143481925428208</v>
      </c>
      <c r="AZ2" s="72">
        <f>IFERROR(IF(d_ss_Bv!D2=0,".",((s_Ir*s_F*s_I_f*s_T*(1-EXP(-s_RadSpec!BD2*s_t_v)))/(s_Y_v*s_RadSpec!BD2))),".")</f>
        <v>9.0143481925428208</v>
      </c>
      <c r="BA2" s="72">
        <f>IFERROR(IF(d_ss_Bv!E2=0,".",((s_Ir*s_F*s_I_f*s_T*(1-EXP(-s_RadSpec!BD2*s_t_v)))/(s_Y_v*s_RadSpec!BD2))),".")</f>
        <v>9.0143481925428208</v>
      </c>
      <c r="BB2" s="72">
        <f>IFERROR(IF(d_ss_Bv!F2=0,".",((s_Ir*s_F*s_I_f*s_T*(1-EXP(-s_RadSpec!BD2*s_t_v)))/(s_Y_v*s_RadSpec!BD2))),".")</f>
        <v>9.0143481925428208</v>
      </c>
      <c r="BC2" s="72">
        <f>IFERROR(IF(d_ss_Bv!G2=0,".",((s_Ir*s_F*s_I_f*s_T*(1-EXP(-s_RadSpec!BD2*s_t_v)))/(s_Y_v*s_RadSpec!BD2))),".")</f>
        <v>9.0143481925428208</v>
      </c>
      <c r="BD2" s="72">
        <f>IFERROR(IF(d_ss_Bv!H2=0,".",((s_Ir*s_F*s_I_f*s_T*(1-EXP(-s_RadSpec!BD2*s_t_v)))/(s_Y_v*s_RadSpec!BD2))),".")</f>
        <v>9.0143481925428208</v>
      </c>
      <c r="BE2" s="72">
        <f>IFERROR(IF(d_ss_Bv!I2=0,".",((s_Ir*s_F*s_I_f*s_T*(1-EXP(-s_RadSpec!BD2*s_t_v)))/(s_Y_v*s_RadSpec!BD2))),".")</f>
        <v>9.0143481925428208</v>
      </c>
      <c r="BF2" s="72">
        <f>IFERROR(IF(d_ss_Bv!J2=0,".",((s_Ir*s_F*s_I_f*s_T*(1-EXP(-s_RadSpec!BD2*s_t_v)))/(s_Y_v*s_RadSpec!BD2))),".")</f>
        <v>9.0143481925428208</v>
      </c>
      <c r="BG2" s="72">
        <f>IFERROR(IF(d_ss_Bv!K2=0,".",((s_Ir*s_F*s_I_f*s_T*(1-EXP(-s_RadSpec!BD2*s_t_v)))/(s_Y_v*s_RadSpec!BD2))),".")</f>
        <v>9.0143481925428208</v>
      </c>
      <c r="BH2" s="72">
        <f>IFERROR(IF(d_ss_Bv!L2=0,".",((s_Ir*s_F*s_I_f*s_T*(1-EXP(-s_RadSpec!BD2*s_t_v)))/(s_Y_v*s_RadSpec!BD2))),".")</f>
        <v>9.0143481925428208</v>
      </c>
      <c r="BI2" s="72">
        <f>IFERROR(IF(d_ss_Bv!M2=0,".",((s_Ir*s_F*s_I_f*s_T*(1-EXP(-s_RadSpec!BD2*s_t_v)))/(s_Y_v*s_RadSpec!BD2))),".")</f>
        <v>9.0143481925428208</v>
      </c>
      <c r="BJ2" s="72">
        <f>IFERROR(IF(d_ss_Bv!N2=0,".",((s_Ir*s_F*s_I_f*s_T*(1-EXP(-s_RadSpec!BD2*s_t_v)))/(s_Y_v*s_RadSpec!BD2))),".")</f>
        <v>9.0143481925428208</v>
      </c>
      <c r="BK2" s="72">
        <f>IFERROR(IF(d_ss_Bv!O2=0,".",((s_Ir*s_F*s_I_f*s_T*(1-EXP(-s_RadSpec!BD2*s_t_v)))/(s_Y_v*s_RadSpec!BD2))),".")</f>
        <v>9.0143481925428208</v>
      </c>
      <c r="BL2" s="72">
        <f>IFERROR(IF(d_ss_Bv!P2=0,".",((s_Ir*s_F*s_I_f*s_T*(1-EXP(-s_RadSpec!BD2*s_t_v)))/(s_Y_v*s_RadSpec!BD2))),".")</f>
        <v>9.0143481925428208</v>
      </c>
      <c r="BM2" s="72">
        <f>IFERROR(IF(d_ss_Bv!Q2=0,".",((s_Ir*s_F*s_I_f*s_T*(1-EXP(-s_RadSpec!BD2*s_t_v)))/(s_Y_v*s_RadSpec!BD2))),".")</f>
        <v>9.0143481925428208</v>
      </c>
      <c r="BN2" s="72">
        <f>IFERROR(IF(d_ss_Bv!R2=0,".",((s_Ir*s_F*s_I_f*s_T*(1-EXP(-s_RadSpec!BD2*s_t_v)))/(s_Y_v*s_RadSpec!BD2))),".")</f>
        <v>9.0143481925428208</v>
      </c>
      <c r="BO2" s="72">
        <f>IFERROR(IF(d_ss_Bv!S2=0,".",((s_Ir*s_F*s_I_f*s_T*(1-EXP(-s_RadSpec!BD2*s_t_v)))/(s_Y_v*s_RadSpec!BD2))),".")</f>
        <v>9.0143481925428208</v>
      </c>
      <c r="BP2" s="72">
        <f>IFERROR(IF(d_ss_Bv!T2=0,".",((s_Ir*s_F*s_I_f*s_T*(1-EXP(-s_RadSpec!BD2*s_t_v)))/(s_Y_v*s_RadSpec!BD2))),".")</f>
        <v>9.0143481925428208</v>
      </c>
      <c r="BQ2" s="72">
        <f>IFERROR(IF(d_ss_Bv!U2=0,".",((s_Ir*s_F*s_I_f*s_T*(1-EXP(-s_RadSpec!BD2*s_t_v)))/(s_Y_v*s_RadSpec!BD2))),".")</f>
        <v>9.0143481925428208</v>
      </c>
      <c r="BR2" s="72">
        <f>IFERROR(IF(d_ss_Bv!V2=0,".",((s_Ir*s_F*s_I_f*s_T*(1-EXP(-s_RadSpec!BD2*s_t_v)))/(s_Y_v*s_RadSpec!BD2))),".")</f>
        <v>9.0143481925428208</v>
      </c>
      <c r="BS2" s="72">
        <f>IFERROR(IF(d_ss_Bv!W2=0,".",((s_Ir*s_F*s_I_f*s_T*(1-EXP(-s_RadSpec!BD2*s_t_v)))/(s_Y_v*s_RadSpec!BD2))),".")</f>
        <v>9.0143481925428208</v>
      </c>
      <c r="BT2" s="72">
        <f>IFERROR(IF(d_ss_Bv!X2=0,".",((s_Ir*s_F*s_I_f*s_T*(1-EXP(-s_RadSpec!BD2*s_t_v)))/(s_Y_v*s_RadSpec!BD2))),".")</f>
        <v>9.0143481925428208</v>
      </c>
      <c r="BU2" s="72">
        <f>IFERROR(IF(d_ss_Bv!Y2=0,".",((s_Ir*s_F*s_I_f*s_T*(1-EXP(-s_RadSpec!BD2*s_t_v)))/(s_Y_v*s_RadSpec!BD2))),".")</f>
        <v>9.0143481925428208</v>
      </c>
      <c r="BV2" s="72">
        <f>IFERROR(IF(d_ss_Bv!Z2=0,".",((s_Ir*s_F*s_I_f*s_T*(1-EXP(-s_RadSpec!BD2*s_t_v)))/(s_Y_v*s_RadSpec!BD2))),".")</f>
        <v>9.0143481925428208</v>
      </c>
    </row>
    <row r="3" spans="1:74" x14ac:dyDescent="0.25">
      <c r="A3" s="32" t="s">
        <v>1</v>
      </c>
      <c r="B3" s="3" t="s">
        <v>336</v>
      </c>
      <c r="C3" s="72">
        <f>IFERROR(IF(d_ss_Bv!C3=0,".",((s_Ir*s_F*d_ss_Bv!C3*(1-EXP(-s_RadSpec!$BC3*s_t_b)))/(s_P*s_RadSpec!$BC3))),".")</f>
        <v>6.1597224628313864E-3</v>
      </c>
      <c r="D3" s="72">
        <f>IFERROR(IF(d_ss_Bv!D3=0,".",((s_Ir*s_F*d_ss_Bv!D3*(1-EXP(-s_RadSpec!BC3*s_t_b)))/(s_P*s_RadSpec!BC3))),".")</f>
        <v>5.364919564401531E-2</v>
      </c>
      <c r="E3" s="72">
        <f>IFERROR(IF(d_ss_Bv!E3=0,".",((s_Ir*s_F*d_ss_Bv!E3*(1-EXP(-s_RadSpec!BC3*s_t_b)))/(s_P*s_RadSpec!BC3))),".")</f>
        <v>0.13312948548700093</v>
      </c>
      <c r="F3" s="72">
        <f>IFERROR(IF(d_ss_Bv!F3=0,".",((s_Ir*s_F*d_ss_Bv!F3*(1-EXP(-s_RadSpec!BC3*s_t_b)))/(s_P*s_RadSpec!BC3))),".")</f>
        <v>0.15896057968597124</v>
      </c>
      <c r="G3" s="72">
        <f>IFERROR(IF(d_ss_Bv!G3=0,".",((s_Ir*s_F*d_ss_Bv!G3*(1-EXP(-s_RadSpec!BC3*s_t_b)))/(s_P*s_RadSpec!BC3))),".")</f>
        <v>7.1532260858687066E-2</v>
      </c>
      <c r="H3" s="72">
        <f>IFERROR(IF(d_ss_Bv!H3=0,".",((s_Ir*s_F*d_ss_Bv!H3*(1-EXP(-s_RadSpec!BC3*s_t_b)))/(s_P*s_RadSpec!BC3))),".")</f>
        <v>5.364919564401531E-2</v>
      </c>
      <c r="I3" s="72">
        <f>IFERROR(IF(d_ss_Bv!I3=0,".",((s_Ir*s_F*d_ss_Bv!I3*(1-EXP(-s_RadSpec!BC3*s_t_b)))/(s_P*s_RadSpec!BC3))),".")</f>
        <v>0.13312948548700093</v>
      </c>
      <c r="J3" s="72">
        <f>IFERROR(IF(d_ss_Bv!J3=0,".",((s_Ir*s_F*d_ss_Bv!J3*(1-EXP(-s_RadSpec!BC3*s_t_b)))/(s_P*s_RadSpec!BC3))),".")</f>
        <v>6.1597224628313864E-3</v>
      </c>
      <c r="K3" s="72">
        <f>IFERROR(IF(d_ss_Bv!K3=0,".",((s_Ir*s_F*d_ss_Bv!K3*(1-EXP(-s_RadSpec!BC3*s_t_b)))/(s_P*s_RadSpec!BC3))),".")</f>
        <v>9.9350362303732027E-3</v>
      </c>
      <c r="L3" s="72">
        <f>IFERROR(IF(d_ss_Bv!L3=0,".",((s_Ir*s_F*d_ss_Bv!L3*(1-EXP(-s_RadSpec!BC3*s_t_b)))/(s_P*s_RadSpec!BC3))),".")</f>
        <v>7.1532260858687066E-2</v>
      </c>
      <c r="M3" s="72">
        <f>IFERROR(IF(d_ss_Bv!M3=0,".",((s_Ir*s_F*d_ss_Bv!M3*(1-EXP(-s_RadSpec!BC3*s_t_b)))/(s_P*s_RadSpec!BC3))),".")</f>
        <v>5.364919564401531E-2</v>
      </c>
      <c r="N3" s="72">
        <f>IFERROR(IF(d_ss_Bv!N3=0,".",((s_Ir*s_F*d_ss_Bv!N3*(1-EXP(-s_RadSpec!BC3*s_t_b)))/(s_P*s_RadSpec!BC3))),".")</f>
        <v>7.5506275350836358E-2</v>
      </c>
      <c r="O3" s="72">
        <f>IFERROR(IF(d_ss_Bv!O3=0,".",((s_Ir*s_F*d_ss_Bv!O3*(1-EXP(-s_RadSpec!BC3*s_t_b)))/(s_P*s_RadSpec!BC3))),".")</f>
        <v>7.1532260858687066E-2</v>
      </c>
      <c r="P3" s="72">
        <f>IFERROR(IF(d_ss_Bv!P3=0,".",((s_Ir*s_F*d_ss_Bv!P3*(1-EXP(-s_RadSpec!BC3*s_t_b)))/(s_P*s_RadSpec!BC3))),".")</f>
        <v>7.1532260858687066E-2</v>
      </c>
      <c r="Q3" s="72">
        <f>IFERROR(IF(d_ss_Bv!Q3=0,".",((s_Ir*s_F*d_ss_Bv!Q3*(1-EXP(-s_RadSpec!BC3*s_t_b)))/(s_P*s_RadSpec!BC3))),".")</f>
        <v>6.1597224628313864E-3</v>
      </c>
      <c r="R3" s="72">
        <f>IFERROR(IF(d_ss_Bv!R3=0,".",((s_Ir*s_F*d_ss_Bv!R3*(1-EXP(-s_RadSpec!BC3*s_t_b)))/(s_P*s_RadSpec!BC3))),".")</f>
        <v>6.1597224628313864E-3</v>
      </c>
      <c r="S3" s="72">
        <f>IFERROR(IF(d_ss_Bv!S3=0,".",((s_Ir*s_F*d_ss_Bv!S3*(1-EXP(-s_RadSpec!BC3*s_t_b)))/(s_P*s_RadSpec!BC3))),".")</f>
        <v>7.5506275350836358E-2</v>
      </c>
      <c r="T3" s="72">
        <f>IFERROR(IF(d_ss_Bv!T3=0,".",((s_Ir*s_F*d_ss_Bv!T3*(1-EXP(-s_RadSpec!BC3*s_t_b)))/(s_P*s_RadSpec!BC3))),".")</f>
        <v>4.1727152167567463E-2</v>
      </c>
      <c r="U3" s="72">
        <f>IFERROR(IF(d_ss_Bv!U3=0,".",((s_Ir*s_F*d_ss_Bv!U3*(1-EXP(-s_RadSpec!BC3*s_t_b)))/(s_P*s_RadSpec!BC3))),".")</f>
        <v>7.1532260858687066E-2</v>
      </c>
      <c r="V3" s="72">
        <f>IFERROR(IF(d_ss_Bv!V3=0,".",((s_Ir*s_F*d_ss_Bv!V3*(1-EXP(-s_RadSpec!BC3*s_t_b)))/(s_P*s_RadSpec!BC3))),".")</f>
        <v>7.5506275350836358E-2</v>
      </c>
      <c r="W3" s="72">
        <f>IFERROR(IF(d_ss_Bv!W3=0,".",((s_Ir*s_F*d_ss_Bv!W3*(1-EXP(-s_RadSpec!BC3*s_t_b)))/(s_P*s_RadSpec!BC3))),".")</f>
        <v>2.1857079706821051E-2</v>
      </c>
      <c r="X3" s="72">
        <f>IFERROR(IF(d_ss_Bv!X3=0,".",((s_Ir*s_F*d_ss_Bv!X3*(1-EXP(-s_RadSpec!BC3*s_t_b)))/(s_P*s_RadSpec!BC3))),".")</f>
        <v>7.1532260858687066E-2</v>
      </c>
      <c r="Y3" s="72">
        <f>IFERROR(IF(d_ss_Bv!Y3=0,".",((s_Ir*s_F*d_ss_Bv!Y3*(1-EXP(-s_RadSpec!BC3*s_t_b)))/(s_P*s_RadSpec!BC3))),".")</f>
        <v>0.19870072460746407</v>
      </c>
      <c r="Z3" s="72">
        <f>IFERROR(IF(d_ss_Bv!Z3=0,".",((s_Ir*s_F*d_ss_Bv!Z3*(1-EXP(-s_RadSpec!BC3*s_t_b)))/(s_P*s_RadSpec!BC3))),".")</f>
        <v>4.3714159413642097E-3</v>
      </c>
      <c r="AA3" s="72">
        <f>IFERROR(IF(d_ss_Bv!C3=0,".",((s_Ir*s_F*s_MLF_apple*(1-EXP(-s_RadSpec!BC3*s_t_b)))/(s_P*s_RadSpec!BC3))),".")</f>
        <v>2.6824597822007652</v>
      </c>
      <c r="AB3" s="72">
        <f>IFERROR(IF(d_ss_Bv!D3=0,".",((s_Ir*s_F*s_MLF_asparagus*(1-EXP(-s_RadSpec!BC3*s_t_b)))/(s_P*s_RadSpec!BC3))),".")</f>
        <v>2.6824597822007652</v>
      </c>
      <c r="AC3" s="72">
        <f>IFERROR(IF(d_ss_Bv!E3=0,".",((s_Ir*s_F*s_MLF_beet*(1-EXP(-s_RadSpec!BC3*s_t_b)))/(s_P*s_RadSpec!BC3))),".")</f>
        <v>2.6824597822007652</v>
      </c>
      <c r="AD3" s="72">
        <f>IFERROR(IF(d_ss_Bv!F3=0,".",((s_Ir*s_F*s_MLF_berries*(1-EXP(-s_RadSpec!BC3*s_t_b)))/(s_P*s_RadSpec!BC3))),".")</f>
        <v>2.6824597822007652</v>
      </c>
      <c r="AE3" s="72">
        <f>IFERROR(IF(d_ss_Bv!G3=0,".",((s_Ir*s_F*s_MLF_broccoli*(1-EXP(-s_RadSpec!BC3*s_t_b)))/(s_P*s_RadSpec!BC3))),".")</f>
        <v>2.6824597822007652</v>
      </c>
      <c r="AF3" s="72">
        <f>IFERROR(IF(d_ss_Bv!H3=0,".",((s_Ir*s_F*s_MLF_cabbage*(1-EXP(-s_RadSpec!BC3*s_t_b)))/(s_P*s_RadSpec!BC3))),".")</f>
        <v>2.6824597822007652</v>
      </c>
      <c r="AG3" s="72">
        <f>IFERROR(IF(d_ss_Bv!I3=0,".",((s_Ir*s_F*s_MLF_carrot*(1-EXP(-s_RadSpec!BC3*s_t_b)))/(s_P*s_RadSpec!BC3))),".")</f>
        <v>2.6824597822007652</v>
      </c>
      <c r="AH3" s="72">
        <f>IFERROR(IF(d_ss_Bv!J3=0,".",((s_Ir*s_F*s_MLF_citrus*(1-EXP(-s_RadSpec!BC3*s_t_b)))/(s_P*s_RadSpec!BC3))),".")</f>
        <v>2.6824597822007652</v>
      </c>
      <c r="AI3" s="72">
        <f>IFERROR(IF(d_ss_Bv!K3=0,".",((s_Ir*s_F*s_MLF_corn*(1-EXP(-s_RadSpec!BC3*s_t_b)))/(s_P*s_RadSpec!BC3))),".")</f>
        <v>2.6824597822007652</v>
      </c>
      <c r="AJ3" s="72">
        <f>IFERROR(IF(d_ss_Bv!L3=0,".",((s_Ir*s_F*s_MLF_cucumber*(1-EXP(-s_RadSpec!BC3*s_t_b)))/(s_P*s_RadSpec!BC3))),".")</f>
        <v>2.6824597822007652</v>
      </c>
      <c r="AK3" s="72">
        <f>IFERROR(IF(d_ss_Bv!M3=0,".",((s_Ir*s_F*s_MLF_lettuce*(1-EXP(-s_RadSpec!BC3*s_t_b)))/(s_P*s_RadSpec!BC3))),".")</f>
        <v>2.6824597822007652</v>
      </c>
      <c r="AL3" s="72">
        <f>IFERROR(IF(d_ss_Bv!N3=0,".",((s_Ir*s_F*s_MLF_lima_bean*(1-EXP(-s_RadSpec!BC3*s_t_b)))/(s_P*s_RadSpec!BC3))),".")</f>
        <v>2.6824597822007652</v>
      </c>
      <c r="AM3" s="72">
        <f>IFERROR(IF(d_ss_Bv!O3=0,".",((s_Ir*s_F*s_MLF_okra*(1-EXP(-s_RadSpec!BC3*s_t_b)))/(s_P*s_RadSpec!BC3))),".")</f>
        <v>2.6824597822007652</v>
      </c>
      <c r="AN3" s="72">
        <f>IFERROR(IF(d_ss_Bv!P3=0,".",((s_Ir*s_F*s_MLF_onion*(1-EXP(-s_RadSpec!BC3*s_t_b)))/(s_P*s_RadSpec!BC3))),".")</f>
        <v>2.6824597822007652</v>
      </c>
      <c r="AO3" s="72">
        <f>IFERROR(IF(d_ss_Bv!Q3=0,".",((s_Ir*s_F*s_MLF_peach*(1-EXP(-s_RadSpec!BC3*s_t_b)))/(s_P*s_RadSpec!BC3))),".")</f>
        <v>2.6824597822007652</v>
      </c>
      <c r="AP3" s="72">
        <f>IFERROR(IF(d_ss_Bv!R3=0,".",((s_Ir*s_F*s_MLF_pear*(1-EXP(-s_RadSpec!BC3*s_t_b)))/(s_P*s_RadSpec!BC3))),".")</f>
        <v>2.6824597822007652</v>
      </c>
      <c r="AQ3" s="72">
        <f>IFERROR(IF(d_ss_Bv!S3=0,".",((s_Ir*s_F*s_MLF_peas*(1-EXP(-s_RadSpec!BC3*s_t_b)))/(s_P*s_RadSpec!BC3))),".")</f>
        <v>2.6824597822007652</v>
      </c>
      <c r="AR3" s="72">
        <f>IFERROR(IF(d_ss_Bv!T3=0,".",((s_Ir*s_F*s_MLF_potato*(1-EXP(-s_RadSpec!BC3*s_t_b)))/(s_P*s_RadSpec!BC3))),".")</f>
        <v>2.6824597822007652</v>
      </c>
      <c r="AS3" s="72">
        <f>IFERROR(IF(d_ss_Bv!U3=0,".",((s_Ir*s_F*s_MLF_pumpkin*(1-EXP(-s_RadSpec!BC3*s_t_b)))/(s_P*s_RadSpec!BC3))),".")</f>
        <v>2.6824597822007652</v>
      </c>
      <c r="AT3" s="72">
        <f>IFERROR(IF(d_ss_Bv!V3=0,".",((s_Ir*s_F*s_MLF_snap_bean*(1-EXP(-s_RadSpec!BC3*s_t_b)))/(s_P*s_RadSpec!BC3))),".")</f>
        <v>2.6824597822007652</v>
      </c>
      <c r="AU3" s="72">
        <f>IFERROR(IF(d_ss_Bv!W3=0,".",((s_Ir*s_F*s_MLF_strawberry*(1-EXP(-s_RadSpec!BC3*s_t_b)))/(s_P*s_RadSpec!BC3))),".")</f>
        <v>2.6824597822007652</v>
      </c>
      <c r="AV3" s="72">
        <f>IFERROR(IF(d_ss_Bv!X3=0,".",((s_Ir*s_F*s_MLF_tomato*(1-EXP(-s_RadSpec!BC3*s_t_b)))/(s_P*s_RadSpec!BC3))),".")</f>
        <v>2.6824597822007652</v>
      </c>
      <c r="AW3" s="72">
        <f>IFERROR(IF(d_ss_Bv!Y3=0,".",((s_Ir*s_F*s_MLF_rice*(1-EXP(-s_RadSpec!BC3*s_t_b)))/(s_P*s_RadSpec!BC3))),".")</f>
        <v>2.6824597822007652</v>
      </c>
      <c r="AX3" s="72">
        <f>IFERROR(IF(d_ss_Bv!Z3=0,".",((s_Ir*s_F*s_MLF_cereal*(1-EXP(-s_RadSpec!BC3*s_t_b)))/(s_P*s_RadSpec!BC3))),".")</f>
        <v>2.6824597822007652</v>
      </c>
      <c r="AY3" s="72">
        <f>IFERROR(IF(d_ss_Bv!C3=0,".",((s_Ir*s_F*s_I_f*s_T*(1-EXP(-s_RadSpec!BD3*s_t_v)))/(s_Y_v*s_RadSpec!BD3))),".")</f>
        <v>9.0143481925428208</v>
      </c>
      <c r="AZ3" s="72">
        <f>IFERROR(IF(d_ss_Bv!D3=0,".",((s_Ir*s_F*s_I_f*s_T*(1-EXP(-s_RadSpec!BD3*s_t_v)))/(s_Y_v*s_RadSpec!BD3))),".")</f>
        <v>9.0143481925428208</v>
      </c>
      <c r="BA3" s="72">
        <f>IFERROR(IF(d_ss_Bv!E3=0,".",((s_Ir*s_F*s_I_f*s_T*(1-EXP(-s_RadSpec!BD3*s_t_v)))/(s_Y_v*s_RadSpec!BD3))),".")</f>
        <v>9.0143481925428208</v>
      </c>
      <c r="BB3" s="72">
        <f>IFERROR(IF(d_ss_Bv!F3=0,".",((s_Ir*s_F*s_I_f*s_T*(1-EXP(-s_RadSpec!BD3*s_t_v)))/(s_Y_v*s_RadSpec!BD3))),".")</f>
        <v>9.0143481925428208</v>
      </c>
      <c r="BC3" s="72">
        <f>IFERROR(IF(d_ss_Bv!G3=0,".",((s_Ir*s_F*s_I_f*s_T*(1-EXP(-s_RadSpec!BD3*s_t_v)))/(s_Y_v*s_RadSpec!BD3))),".")</f>
        <v>9.0143481925428208</v>
      </c>
      <c r="BD3" s="72">
        <f>IFERROR(IF(d_ss_Bv!H3=0,".",((s_Ir*s_F*s_I_f*s_T*(1-EXP(-s_RadSpec!BD3*s_t_v)))/(s_Y_v*s_RadSpec!BD3))),".")</f>
        <v>9.0143481925428208</v>
      </c>
      <c r="BE3" s="72">
        <f>IFERROR(IF(d_ss_Bv!I3=0,".",((s_Ir*s_F*s_I_f*s_T*(1-EXP(-s_RadSpec!BD3*s_t_v)))/(s_Y_v*s_RadSpec!BD3))),".")</f>
        <v>9.0143481925428208</v>
      </c>
      <c r="BF3" s="72">
        <f>IFERROR(IF(d_ss_Bv!J3=0,".",((s_Ir*s_F*s_I_f*s_T*(1-EXP(-s_RadSpec!BD3*s_t_v)))/(s_Y_v*s_RadSpec!BD3))),".")</f>
        <v>9.0143481925428208</v>
      </c>
      <c r="BG3" s="72">
        <f>IFERROR(IF(d_ss_Bv!K3=0,".",((s_Ir*s_F*s_I_f*s_T*(1-EXP(-s_RadSpec!BD3*s_t_v)))/(s_Y_v*s_RadSpec!BD3))),".")</f>
        <v>9.0143481925428208</v>
      </c>
      <c r="BH3" s="72">
        <f>IFERROR(IF(d_ss_Bv!L3=0,".",((s_Ir*s_F*s_I_f*s_T*(1-EXP(-s_RadSpec!BD3*s_t_v)))/(s_Y_v*s_RadSpec!BD3))),".")</f>
        <v>9.0143481925428208</v>
      </c>
      <c r="BI3" s="72">
        <f>IFERROR(IF(d_ss_Bv!M3=0,".",((s_Ir*s_F*s_I_f*s_T*(1-EXP(-s_RadSpec!BD3*s_t_v)))/(s_Y_v*s_RadSpec!BD3))),".")</f>
        <v>9.0143481925428208</v>
      </c>
      <c r="BJ3" s="72">
        <f>IFERROR(IF(d_ss_Bv!N3=0,".",((s_Ir*s_F*s_I_f*s_T*(1-EXP(-s_RadSpec!BD3*s_t_v)))/(s_Y_v*s_RadSpec!BD3))),".")</f>
        <v>9.0143481925428208</v>
      </c>
      <c r="BK3" s="72">
        <f>IFERROR(IF(d_ss_Bv!O3=0,".",((s_Ir*s_F*s_I_f*s_T*(1-EXP(-s_RadSpec!BD3*s_t_v)))/(s_Y_v*s_RadSpec!BD3))),".")</f>
        <v>9.0143481925428208</v>
      </c>
      <c r="BL3" s="72">
        <f>IFERROR(IF(d_ss_Bv!P3=0,".",((s_Ir*s_F*s_I_f*s_T*(1-EXP(-s_RadSpec!BD3*s_t_v)))/(s_Y_v*s_RadSpec!BD3))),".")</f>
        <v>9.0143481925428208</v>
      </c>
      <c r="BM3" s="72">
        <f>IFERROR(IF(d_ss_Bv!Q3=0,".",((s_Ir*s_F*s_I_f*s_T*(1-EXP(-s_RadSpec!BD3*s_t_v)))/(s_Y_v*s_RadSpec!BD3))),".")</f>
        <v>9.0143481925428208</v>
      </c>
      <c r="BN3" s="72">
        <f>IFERROR(IF(d_ss_Bv!R3=0,".",((s_Ir*s_F*s_I_f*s_T*(1-EXP(-s_RadSpec!BD3*s_t_v)))/(s_Y_v*s_RadSpec!BD3))),".")</f>
        <v>9.0143481925428208</v>
      </c>
      <c r="BO3" s="72">
        <f>IFERROR(IF(d_ss_Bv!S3=0,".",((s_Ir*s_F*s_I_f*s_T*(1-EXP(-s_RadSpec!BD3*s_t_v)))/(s_Y_v*s_RadSpec!BD3))),".")</f>
        <v>9.0143481925428208</v>
      </c>
      <c r="BP3" s="72">
        <f>IFERROR(IF(d_ss_Bv!T3=0,".",((s_Ir*s_F*s_I_f*s_T*(1-EXP(-s_RadSpec!BD3*s_t_v)))/(s_Y_v*s_RadSpec!BD3))),".")</f>
        <v>9.0143481925428208</v>
      </c>
      <c r="BQ3" s="72">
        <f>IFERROR(IF(d_ss_Bv!U3=0,".",((s_Ir*s_F*s_I_f*s_T*(1-EXP(-s_RadSpec!BD3*s_t_v)))/(s_Y_v*s_RadSpec!BD3))),".")</f>
        <v>9.0143481925428208</v>
      </c>
      <c r="BR3" s="72">
        <f>IFERROR(IF(d_ss_Bv!V3=0,".",((s_Ir*s_F*s_I_f*s_T*(1-EXP(-s_RadSpec!BD3*s_t_v)))/(s_Y_v*s_RadSpec!BD3))),".")</f>
        <v>9.0143481925428208</v>
      </c>
      <c r="BS3" s="72">
        <f>IFERROR(IF(d_ss_Bv!W3=0,".",((s_Ir*s_F*s_I_f*s_T*(1-EXP(-s_RadSpec!BD3*s_t_v)))/(s_Y_v*s_RadSpec!BD3))),".")</f>
        <v>9.0143481925428208</v>
      </c>
      <c r="BT3" s="72">
        <f>IFERROR(IF(d_ss_Bv!X3=0,".",((s_Ir*s_F*s_I_f*s_T*(1-EXP(-s_RadSpec!BD3*s_t_v)))/(s_Y_v*s_RadSpec!BD3))),".")</f>
        <v>9.0143481925428208</v>
      </c>
      <c r="BU3" s="72">
        <f>IFERROR(IF(d_ss_Bv!Y3=0,".",((s_Ir*s_F*s_I_f*s_T*(1-EXP(-s_RadSpec!BD3*s_t_v)))/(s_Y_v*s_RadSpec!BD3))),".")</f>
        <v>9.0143481925428208</v>
      </c>
      <c r="BV3" s="72">
        <f>IFERROR(IF(d_ss_Bv!Z3=0,".",((s_Ir*s_F*s_I_f*s_T*(1-EXP(-s_RadSpec!BD3*s_t_v)))/(s_Y_v*s_RadSpec!BD3))),".")</f>
        <v>9.0143481925428208</v>
      </c>
    </row>
    <row r="4" spans="1:74" x14ac:dyDescent="0.25">
      <c r="A4" s="31" t="s">
        <v>2</v>
      </c>
      <c r="B4" s="3" t="s">
        <v>1059</v>
      </c>
      <c r="C4" s="72">
        <f>IFERROR(IF(d_ss_Bv!C4=0,".",((s_Ir*s_F*d_ss_Bv!C4*(1-EXP(-s_RadSpec!$BC4*s_t_b)))/(s_P*s_RadSpec!$BC4))),".")</f>
        <v>39.740144921492814</v>
      </c>
      <c r="D4" s="72">
        <f>IFERROR(IF(d_ss_Bv!D4=0,".",((s_Ir*s_F*d_ss_Bv!D4*(1-EXP(-s_RadSpec!BC4*s_t_b)))/(s_P*s_RadSpec!BC4))),".")</f>
        <v>39.740144921492814</v>
      </c>
      <c r="E4" s="72">
        <f>IFERROR(IF(d_ss_Bv!E4=0,".",((s_Ir*s_F*d_ss_Bv!E4*(1-EXP(-s_RadSpec!BC4*s_t_b)))/(s_P*s_RadSpec!BC4))),".")</f>
        <v>39.740144921492814</v>
      </c>
      <c r="F4" s="72">
        <f>IFERROR(IF(d_ss_Bv!F4=0,".",((s_Ir*s_F*d_ss_Bv!F4*(1-EXP(-s_RadSpec!BC4*s_t_b)))/(s_P*s_RadSpec!BC4))),".")</f>
        <v>39.740144921492814</v>
      </c>
      <c r="G4" s="72">
        <f>IFERROR(IF(d_ss_Bv!G4=0,".",((s_Ir*s_F*d_ss_Bv!G4*(1-EXP(-s_RadSpec!BC4*s_t_b)))/(s_P*s_RadSpec!BC4))),".")</f>
        <v>39.740144921492814</v>
      </c>
      <c r="H4" s="72">
        <f>IFERROR(IF(d_ss_Bv!H4=0,".",((s_Ir*s_F*d_ss_Bv!H4*(1-EXP(-s_RadSpec!BC4*s_t_b)))/(s_P*s_RadSpec!BC4))),".")</f>
        <v>39.740144921492814</v>
      </c>
      <c r="I4" s="72">
        <f>IFERROR(IF(d_ss_Bv!I4=0,".",((s_Ir*s_F*d_ss_Bv!I4*(1-EXP(-s_RadSpec!BC4*s_t_b)))/(s_P*s_RadSpec!BC4))),".")</f>
        <v>39.740144921492814</v>
      </c>
      <c r="J4" s="72">
        <f>IFERROR(IF(d_ss_Bv!J4=0,".",((s_Ir*s_F*d_ss_Bv!J4*(1-EXP(-s_RadSpec!BC4*s_t_b)))/(s_P*s_RadSpec!BC4))),".")</f>
        <v>39.740144921492814</v>
      </c>
      <c r="K4" s="72">
        <f>IFERROR(IF(d_ss_Bv!K4=0,".",((s_Ir*s_F*d_ss_Bv!K4*(1-EXP(-s_RadSpec!BC4*s_t_b)))/(s_P*s_RadSpec!BC4))),".")</f>
        <v>39.740144921492814</v>
      </c>
      <c r="L4" s="72">
        <f>IFERROR(IF(d_ss_Bv!L4=0,".",((s_Ir*s_F*d_ss_Bv!L4*(1-EXP(-s_RadSpec!BC4*s_t_b)))/(s_P*s_RadSpec!BC4))),".")</f>
        <v>39.740144921492814</v>
      </c>
      <c r="M4" s="72">
        <f>IFERROR(IF(d_ss_Bv!M4=0,".",((s_Ir*s_F*d_ss_Bv!M4*(1-EXP(-s_RadSpec!BC4*s_t_b)))/(s_P*s_RadSpec!BC4))),".")</f>
        <v>39.740144921492814</v>
      </c>
      <c r="N4" s="72">
        <f>IFERROR(IF(d_ss_Bv!N4=0,".",((s_Ir*s_F*d_ss_Bv!N4*(1-EXP(-s_RadSpec!BC4*s_t_b)))/(s_P*s_RadSpec!BC4))),".")</f>
        <v>39.740144921492814</v>
      </c>
      <c r="O4" s="72">
        <f>IFERROR(IF(d_ss_Bv!O4=0,".",((s_Ir*s_F*d_ss_Bv!O4*(1-EXP(-s_RadSpec!BC4*s_t_b)))/(s_P*s_RadSpec!BC4))),".")</f>
        <v>39.740144921492814</v>
      </c>
      <c r="P4" s="72">
        <f>IFERROR(IF(d_ss_Bv!P4=0,".",((s_Ir*s_F*d_ss_Bv!P4*(1-EXP(-s_RadSpec!BC4*s_t_b)))/(s_P*s_RadSpec!BC4))),".")</f>
        <v>39.740144921492814</v>
      </c>
      <c r="Q4" s="72">
        <f>IFERROR(IF(d_ss_Bv!Q4=0,".",((s_Ir*s_F*d_ss_Bv!Q4*(1-EXP(-s_RadSpec!BC4*s_t_b)))/(s_P*s_RadSpec!BC4))),".")</f>
        <v>39.740144921492814</v>
      </c>
      <c r="R4" s="72">
        <f>IFERROR(IF(d_ss_Bv!R4=0,".",((s_Ir*s_F*d_ss_Bv!R4*(1-EXP(-s_RadSpec!BC4*s_t_b)))/(s_P*s_RadSpec!BC4))),".")</f>
        <v>39.740144921492814</v>
      </c>
      <c r="S4" s="72">
        <f>IFERROR(IF(d_ss_Bv!S4=0,".",((s_Ir*s_F*d_ss_Bv!S4*(1-EXP(-s_RadSpec!BC4*s_t_b)))/(s_P*s_RadSpec!BC4))),".")</f>
        <v>39.740144921492814</v>
      </c>
      <c r="T4" s="72">
        <f>IFERROR(IF(d_ss_Bv!T4=0,".",((s_Ir*s_F*d_ss_Bv!T4*(1-EXP(-s_RadSpec!BC4*s_t_b)))/(s_P*s_RadSpec!BC4))),".")</f>
        <v>39.740144921492814</v>
      </c>
      <c r="U4" s="72">
        <f>IFERROR(IF(d_ss_Bv!U4=0,".",((s_Ir*s_F*d_ss_Bv!U4*(1-EXP(-s_RadSpec!BC4*s_t_b)))/(s_P*s_RadSpec!BC4))),".")</f>
        <v>39.740144921492814</v>
      </c>
      <c r="V4" s="72">
        <f>IFERROR(IF(d_ss_Bv!V4=0,".",((s_Ir*s_F*d_ss_Bv!V4*(1-EXP(-s_RadSpec!BC4*s_t_b)))/(s_P*s_RadSpec!BC4))),".")</f>
        <v>39.740144921492814</v>
      </c>
      <c r="W4" s="72">
        <f>IFERROR(IF(d_ss_Bv!W4=0,".",((s_Ir*s_F*d_ss_Bv!W4*(1-EXP(-s_RadSpec!BC4*s_t_b)))/(s_P*s_RadSpec!BC4))),".")</f>
        <v>39.740144921492814</v>
      </c>
      <c r="X4" s="72">
        <f>IFERROR(IF(d_ss_Bv!X4=0,".",((s_Ir*s_F*d_ss_Bv!X4*(1-EXP(-s_RadSpec!BC4*s_t_b)))/(s_P*s_RadSpec!BC4))),".")</f>
        <v>39.740144921492814</v>
      </c>
      <c r="Y4" s="72">
        <f>IFERROR(IF(d_ss_Bv!Y4=0,".",((s_Ir*s_F*d_ss_Bv!Y4*(1-EXP(-s_RadSpec!BC4*s_t_b)))/(s_P*s_RadSpec!BC4))),".")</f>
        <v>39.740144921492814</v>
      </c>
      <c r="Z4" s="72">
        <f>IFERROR(IF(d_ss_Bv!Z4=0,".",((s_Ir*s_F*d_ss_Bv!Z4*(1-EXP(-s_RadSpec!BC4*s_t_b)))/(s_P*s_RadSpec!BC4))),".")</f>
        <v>39.740144921492814</v>
      </c>
      <c r="AA4" s="72">
        <f>IFERROR(IF(d_ss_Bv!C4=0,".",((s_Ir*s_F*s_MLF_apple*(1-EXP(-s_RadSpec!BC4*s_t_b)))/(s_P*s_RadSpec!BC4))),".")</f>
        <v>2.6824597822007652</v>
      </c>
      <c r="AB4" s="72">
        <f>IFERROR(IF(d_ss_Bv!D4=0,".",((s_Ir*s_F*s_MLF_asparagus*(1-EXP(-s_RadSpec!BC4*s_t_b)))/(s_P*s_RadSpec!BC4))),".")</f>
        <v>2.6824597822007652</v>
      </c>
      <c r="AC4" s="72">
        <f>IFERROR(IF(d_ss_Bv!E4=0,".",((s_Ir*s_F*s_MLF_beet*(1-EXP(-s_RadSpec!BC4*s_t_b)))/(s_P*s_RadSpec!BC4))),".")</f>
        <v>2.6824597822007652</v>
      </c>
      <c r="AD4" s="72">
        <f>IFERROR(IF(d_ss_Bv!F4=0,".",((s_Ir*s_F*s_MLF_berries*(1-EXP(-s_RadSpec!BC4*s_t_b)))/(s_P*s_RadSpec!BC4))),".")</f>
        <v>2.6824597822007652</v>
      </c>
      <c r="AE4" s="72">
        <f>IFERROR(IF(d_ss_Bv!G4=0,".",((s_Ir*s_F*s_MLF_broccoli*(1-EXP(-s_RadSpec!BC4*s_t_b)))/(s_P*s_RadSpec!BC4))),".")</f>
        <v>2.6824597822007652</v>
      </c>
      <c r="AF4" s="72">
        <f>IFERROR(IF(d_ss_Bv!H4=0,".",((s_Ir*s_F*s_MLF_cabbage*(1-EXP(-s_RadSpec!BC4*s_t_b)))/(s_P*s_RadSpec!BC4))),".")</f>
        <v>2.6824597822007652</v>
      </c>
      <c r="AG4" s="72">
        <f>IFERROR(IF(d_ss_Bv!I4=0,".",((s_Ir*s_F*s_MLF_carrot*(1-EXP(-s_RadSpec!BC4*s_t_b)))/(s_P*s_RadSpec!BC4))),".")</f>
        <v>2.6824597822007652</v>
      </c>
      <c r="AH4" s="72">
        <f>IFERROR(IF(d_ss_Bv!J4=0,".",((s_Ir*s_F*s_MLF_citrus*(1-EXP(-s_RadSpec!BC4*s_t_b)))/(s_P*s_RadSpec!BC4))),".")</f>
        <v>2.6824597822007652</v>
      </c>
      <c r="AI4" s="72">
        <f>IFERROR(IF(d_ss_Bv!K4=0,".",((s_Ir*s_F*s_MLF_corn*(1-EXP(-s_RadSpec!BC4*s_t_b)))/(s_P*s_RadSpec!BC4))),".")</f>
        <v>2.6824597822007652</v>
      </c>
      <c r="AJ4" s="72">
        <f>IFERROR(IF(d_ss_Bv!L4=0,".",((s_Ir*s_F*s_MLF_cucumber*(1-EXP(-s_RadSpec!BC4*s_t_b)))/(s_P*s_RadSpec!BC4))),".")</f>
        <v>2.6824597822007652</v>
      </c>
      <c r="AK4" s="72">
        <f>IFERROR(IF(d_ss_Bv!M4=0,".",((s_Ir*s_F*s_MLF_lettuce*(1-EXP(-s_RadSpec!BC4*s_t_b)))/(s_P*s_RadSpec!BC4))),".")</f>
        <v>2.6824597822007652</v>
      </c>
      <c r="AL4" s="72">
        <f>IFERROR(IF(d_ss_Bv!N4=0,".",((s_Ir*s_F*s_MLF_lima_bean*(1-EXP(-s_RadSpec!BC4*s_t_b)))/(s_P*s_RadSpec!BC4))),".")</f>
        <v>2.6824597822007652</v>
      </c>
      <c r="AM4" s="72">
        <f>IFERROR(IF(d_ss_Bv!O4=0,".",((s_Ir*s_F*s_MLF_okra*(1-EXP(-s_RadSpec!BC4*s_t_b)))/(s_P*s_RadSpec!BC4))),".")</f>
        <v>2.6824597822007652</v>
      </c>
      <c r="AN4" s="72">
        <f>IFERROR(IF(d_ss_Bv!P4=0,".",((s_Ir*s_F*s_MLF_onion*(1-EXP(-s_RadSpec!BC4*s_t_b)))/(s_P*s_RadSpec!BC4))),".")</f>
        <v>2.6824597822007652</v>
      </c>
      <c r="AO4" s="72">
        <f>IFERROR(IF(d_ss_Bv!Q4=0,".",((s_Ir*s_F*s_MLF_peach*(1-EXP(-s_RadSpec!BC4*s_t_b)))/(s_P*s_RadSpec!BC4))),".")</f>
        <v>2.6824597822007652</v>
      </c>
      <c r="AP4" s="72">
        <f>IFERROR(IF(d_ss_Bv!R4=0,".",((s_Ir*s_F*s_MLF_pear*(1-EXP(-s_RadSpec!BC4*s_t_b)))/(s_P*s_RadSpec!BC4))),".")</f>
        <v>2.6824597822007652</v>
      </c>
      <c r="AQ4" s="72">
        <f>IFERROR(IF(d_ss_Bv!S4=0,".",((s_Ir*s_F*s_MLF_peas*(1-EXP(-s_RadSpec!BC4*s_t_b)))/(s_P*s_RadSpec!BC4))),".")</f>
        <v>2.6824597822007652</v>
      </c>
      <c r="AR4" s="72">
        <f>IFERROR(IF(d_ss_Bv!T4=0,".",((s_Ir*s_F*s_MLF_potato*(1-EXP(-s_RadSpec!BC4*s_t_b)))/(s_P*s_RadSpec!BC4))),".")</f>
        <v>2.6824597822007652</v>
      </c>
      <c r="AS4" s="72">
        <f>IFERROR(IF(d_ss_Bv!U4=0,".",((s_Ir*s_F*s_MLF_pumpkin*(1-EXP(-s_RadSpec!BC4*s_t_b)))/(s_P*s_RadSpec!BC4))),".")</f>
        <v>2.6824597822007652</v>
      </c>
      <c r="AT4" s="72">
        <f>IFERROR(IF(d_ss_Bv!V4=0,".",((s_Ir*s_F*s_MLF_snap_bean*(1-EXP(-s_RadSpec!BC4*s_t_b)))/(s_P*s_RadSpec!BC4))),".")</f>
        <v>2.6824597822007652</v>
      </c>
      <c r="AU4" s="72">
        <f>IFERROR(IF(d_ss_Bv!W4=0,".",((s_Ir*s_F*s_MLF_strawberry*(1-EXP(-s_RadSpec!BC4*s_t_b)))/(s_P*s_RadSpec!BC4))),".")</f>
        <v>2.6824597822007652</v>
      </c>
      <c r="AV4" s="72">
        <f>IFERROR(IF(d_ss_Bv!X4=0,".",((s_Ir*s_F*s_MLF_tomato*(1-EXP(-s_RadSpec!BC4*s_t_b)))/(s_P*s_RadSpec!BC4))),".")</f>
        <v>2.6824597822007652</v>
      </c>
      <c r="AW4" s="72">
        <f>IFERROR(IF(d_ss_Bv!Y4=0,".",((s_Ir*s_F*s_MLF_rice*(1-EXP(-s_RadSpec!BC4*s_t_b)))/(s_P*s_RadSpec!BC4))),".")</f>
        <v>2.6824597822007652</v>
      </c>
      <c r="AX4" s="72">
        <f>IFERROR(IF(d_ss_Bv!Z4=0,".",((s_Ir*s_F*s_MLF_cereal*(1-EXP(-s_RadSpec!BC4*s_t_b)))/(s_P*s_RadSpec!BC4))),".")</f>
        <v>2.6824597822007652</v>
      </c>
      <c r="AY4" s="72">
        <f>IFERROR(IF(d_ss_Bv!C4=0,".",((s_Ir*s_F*s_I_f*s_T*(1-EXP(-s_RadSpec!BD4*s_t_v)))/(s_Y_v*s_RadSpec!BD4))),".")</f>
        <v>9.0143481925428208</v>
      </c>
      <c r="AZ4" s="72">
        <f>IFERROR(IF(d_ss_Bv!D4=0,".",((s_Ir*s_F*s_I_f*s_T*(1-EXP(-s_RadSpec!BD4*s_t_v)))/(s_Y_v*s_RadSpec!BD4))),".")</f>
        <v>9.0143481925428208</v>
      </c>
      <c r="BA4" s="72">
        <f>IFERROR(IF(d_ss_Bv!E4=0,".",((s_Ir*s_F*s_I_f*s_T*(1-EXP(-s_RadSpec!BD4*s_t_v)))/(s_Y_v*s_RadSpec!BD4))),".")</f>
        <v>9.0143481925428208</v>
      </c>
      <c r="BB4" s="72">
        <f>IFERROR(IF(d_ss_Bv!F4=0,".",((s_Ir*s_F*s_I_f*s_T*(1-EXP(-s_RadSpec!BD4*s_t_v)))/(s_Y_v*s_RadSpec!BD4))),".")</f>
        <v>9.0143481925428208</v>
      </c>
      <c r="BC4" s="72">
        <f>IFERROR(IF(d_ss_Bv!G4=0,".",((s_Ir*s_F*s_I_f*s_T*(1-EXP(-s_RadSpec!BD4*s_t_v)))/(s_Y_v*s_RadSpec!BD4))),".")</f>
        <v>9.0143481925428208</v>
      </c>
      <c r="BD4" s="72">
        <f>IFERROR(IF(d_ss_Bv!H4=0,".",((s_Ir*s_F*s_I_f*s_T*(1-EXP(-s_RadSpec!BD4*s_t_v)))/(s_Y_v*s_RadSpec!BD4))),".")</f>
        <v>9.0143481925428208</v>
      </c>
      <c r="BE4" s="72">
        <f>IFERROR(IF(d_ss_Bv!I4=0,".",((s_Ir*s_F*s_I_f*s_T*(1-EXP(-s_RadSpec!BD4*s_t_v)))/(s_Y_v*s_RadSpec!BD4))),".")</f>
        <v>9.0143481925428208</v>
      </c>
      <c r="BF4" s="72">
        <f>IFERROR(IF(d_ss_Bv!J4=0,".",((s_Ir*s_F*s_I_f*s_T*(1-EXP(-s_RadSpec!BD4*s_t_v)))/(s_Y_v*s_RadSpec!BD4))),".")</f>
        <v>9.0143481925428208</v>
      </c>
      <c r="BG4" s="72">
        <f>IFERROR(IF(d_ss_Bv!K4=0,".",((s_Ir*s_F*s_I_f*s_T*(1-EXP(-s_RadSpec!BD4*s_t_v)))/(s_Y_v*s_RadSpec!BD4))),".")</f>
        <v>9.0143481925428208</v>
      </c>
      <c r="BH4" s="72">
        <f>IFERROR(IF(d_ss_Bv!L4=0,".",((s_Ir*s_F*s_I_f*s_T*(1-EXP(-s_RadSpec!BD4*s_t_v)))/(s_Y_v*s_RadSpec!BD4))),".")</f>
        <v>9.0143481925428208</v>
      </c>
      <c r="BI4" s="72">
        <f>IFERROR(IF(d_ss_Bv!M4=0,".",((s_Ir*s_F*s_I_f*s_T*(1-EXP(-s_RadSpec!BD4*s_t_v)))/(s_Y_v*s_RadSpec!BD4))),".")</f>
        <v>9.0143481925428208</v>
      </c>
      <c r="BJ4" s="72">
        <f>IFERROR(IF(d_ss_Bv!N4=0,".",((s_Ir*s_F*s_I_f*s_T*(1-EXP(-s_RadSpec!BD4*s_t_v)))/(s_Y_v*s_RadSpec!BD4))),".")</f>
        <v>9.0143481925428208</v>
      </c>
      <c r="BK4" s="72">
        <f>IFERROR(IF(d_ss_Bv!O4=0,".",((s_Ir*s_F*s_I_f*s_T*(1-EXP(-s_RadSpec!BD4*s_t_v)))/(s_Y_v*s_RadSpec!BD4))),".")</f>
        <v>9.0143481925428208</v>
      </c>
      <c r="BL4" s="72">
        <f>IFERROR(IF(d_ss_Bv!P4=0,".",((s_Ir*s_F*s_I_f*s_T*(1-EXP(-s_RadSpec!BD4*s_t_v)))/(s_Y_v*s_RadSpec!BD4))),".")</f>
        <v>9.0143481925428208</v>
      </c>
      <c r="BM4" s="72">
        <f>IFERROR(IF(d_ss_Bv!Q4=0,".",((s_Ir*s_F*s_I_f*s_T*(1-EXP(-s_RadSpec!BD4*s_t_v)))/(s_Y_v*s_RadSpec!BD4))),".")</f>
        <v>9.0143481925428208</v>
      </c>
      <c r="BN4" s="72">
        <f>IFERROR(IF(d_ss_Bv!R4=0,".",((s_Ir*s_F*s_I_f*s_T*(1-EXP(-s_RadSpec!BD4*s_t_v)))/(s_Y_v*s_RadSpec!BD4))),".")</f>
        <v>9.0143481925428208</v>
      </c>
      <c r="BO4" s="72">
        <f>IFERROR(IF(d_ss_Bv!S4=0,".",((s_Ir*s_F*s_I_f*s_T*(1-EXP(-s_RadSpec!BD4*s_t_v)))/(s_Y_v*s_RadSpec!BD4))),".")</f>
        <v>9.0143481925428208</v>
      </c>
      <c r="BP4" s="72">
        <f>IFERROR(IF(d_ss_Bv!T4=0,".",((s_Ir*s_F*s_I_f*s_T*(1-EXP(-s_RadSpec!BD4*s_t_v)))/(s_Y_v*s_RadSpec!BD4))),".")</f>
        <v>9.0143481925428208</v>
      </c>
      <c r="BQ4" s="72">
        <f>IFERROR(IF(d_ss_Bv!U4=0,".",((s_Ir*s_F*s_I_f*s_T*(1-EXP(-s_RadSpec!BD4*s_t_v)))/(s_Y_v*s_RadSpec!BD4))),".")</f>
        <v>9.0143481925428208</v>
      </c>
      <c r="BR4" s="72">
        <f>IFERROR(IF(d_ss_Bv!V4=0,".",((s_Ir*s_F*s_I_f*s_T*(1-EXP(-s_RadSpec!BD4*s_t_v)))/(s_Y_v*s_RadSpec!BD4))),".")</f>
        <v>9.0143481925428208</v>
      </c>
      <c r="BS4" s="72">
        <f>IFERROR(IF(d_ss_Bv!W4=0,".",((s_Ir*s_F*s_I_f*s_T*(1-EXP(-s_RadSpec!BD4*s_t_v)))/(s_Y_v*s_RadSpec!BD4))),".")</f>
        <v>9.0143481925428208</v>
      </c>
      <c r="BT4" s="72">
        <f>IFERROR(IF(d_ss_Bv!X4=0,".",((s_Ir*s_F*s_I_f*s_T*(1-EXP(-s_RadSpec!BD4*s_t_v)))/(s_Y_v*s_RadSpec!BD4))),".")</f>
        <v>9.0143481925428208</v>
      </c>
      <c r="BU4" s="72">
        <f>IFERROR(IF(d_ss_Bv!Y4=0,".",((s_Ir*s_F*s_I_f*s_T*(1-EXP(-s_RadSpec!BD4*s_t_v)))/(s_Y_v*s_RadSpec!BD4))),".")</f>
        <v>9.0143481925428208</v>
      </c>
      <c r="BV4" s="72">
        <f>IFERROR(IF(d_ss_Bv!Z4=0,".",((s_Ir*s_F*s_I_f*s_T*(1-EXP(-s_RadSpec!BD4*s_t_v)))/(s_Y_v*s_RadSpec!BD4))),".")</f>
        <v>9.0143481925428208</v>
      </c>
    </row>
    <row r="5" spans="1:74" x14ac:dyDescent="0.25">
      <c r="A5" s="31" t="s">
        <v>3</v>
      </c>
      <c r="B5" s="3" t="s">
        <v>1059</v>
      </c>
      <c r="C5" s="72">
        <f>IFERROR(IF(d_ss_Bv!C5=0,".",((s_Ir*s_F*d_ss_Bv!C5*(1-EXP(-s_RadSpec!$BC5*s_t_b)))/(s_P*s_RadSpec!$BC5))),".")</f>
        <v>39.740144921492814</v>
      </c>
      <c r="D5" s="72">
        <f>IFERROR(IF(d_ss_Bv!D5=0,".",((s_Ir*s_F*d_ss_Bv!D5*(1-EXP(-s_RadSpec!BC5*s_t_b)))/(s_P*s_RadSpec!BC5))),".")</f>
        <v>39.740144921492814</v>
      </c>
      <c r="E5" s="72">
        <f>IFERROR(IF(d_ss_Bv!E5=0,".",((s_Ir*s_F*d_ss_Bv!E5*(1-EXP(-s_RadSpec!BC5*s_t_b)))/(s_P*s_RadSpec!BC5))),".")</f>
        <v>39.740144921492814</v>
      </c>
      <c r="F5" s="72">
        <f>IFERROR(IF(d_ss_Bv!F5=0,".",((s_Ir*s_F*d_ss_Bv!F5*(1-EXP(-s_RadSpec!BC5*s_t_b)))/(s_P*s_RadSpec!BC5))),".")</f>
        <v>39.740144921492814</v>
      </c>
      <c r="G5" s="72">
        <f>IFERROR(IF(d_ss_Bv!G5=0,".",((s_Ir*s_F*d_ss_Bv!G5*(1-EXP(-s_RadSpec!BC5*s_t_b)))/(s_P*s_RadSpec!BC5))),".")</f>
        <v>39.740144921492814</v>
      </c>
      <c r="H5" s="72">
        <f>IFERROR(IF(d_ss_Bv!H5=0,".",((s_Ir*s_F*d_ss_Bv!H5*(1-EXP(-s_RadSpec!BC5*s_t_b)))/(s_P*s_RadSpec!BC5))),".")</f>
        <v>39.740144921492814</v>
      </c>
      <c r="I5" s="72">
        <f>IFERROR(IF(d_ss_Bv!I5=0,".",((s_Ir*s_F*d_ss_Bv!I5*(1-EXP(-s_RadSpec!BC5*s_t_b)))/(s_P*s_RadSpec!BC5))),".")</f>
        <v>39.740144921492814</v>
      </c>
      <c r="J5" s="72">
        <f>IFERROR(IF(d_ss_Bv!J5=0,".",((s_Ir*s_F*d_ss_Bv!J5*(1-EXP(-s_RadSpec!BC5*s_t_b)))/(s_P*s_RadSpec!BC5))),".")</f>
        <v>39.740144921492814</v>
      </c>
      <c r="K5" s="72">
        <f>IFERROR(IF(d_ss_Bv!K5=0,".",((s_Ir*s_F*d_ss_Bv!K5*(1-EXP(-s_RadSpec!BC5*s_t_b)))/(s_P*s_RadSpec!BC5))),".")</f>
        <v>39.740144921492814</v>
      </c>
      <c r="L5" s="72">
        <f>IFERROR(IF(d_ss_Bv!L5=0,".",((s_Ir*s_F*d_ss_Bv!L5*(1-EXP(-s_RadSpec!BC5*s_t_b)))/(s_P*s_RadSpec!BC5))),".")</f>
        <v>39.740144921492814</v>
      </c>
      <c r="M5" s="72">
        <f>IFERROR(IF(d_ss_Bv!M5=0,".",((s_Ir*s_F*d_ss_Bv!M5*(1-EXP(-s_RadSpec!BC5*s_t_b)))/(s_P*s_RadSpec!BC5))),".")</f>
        <v>39.740144921492814</v>
      </c>
      <c r="N5" s="72">
        <f>IFERROR(IF(d_ss_Bv!N5=0,".",((s_Ir*s_F*d_ss_Bv!N5*(1-EXP(-s_RadSpec!BC5*s_t_b)))/(s_P*s_RadSpec!BC5))),".")</f>
        <v>39.740144921492814</v>
      </c>
      <c r="O5" s="72">
        <f>IFERROR(IF(d_ss_Bv!O5=0,".",((s_Ir*s_F*d_ss_Bv!O5*(1-EXP(-s_RadSpec!BC5*s_t_b)))/(s_P*s_RadSpec!BC5))),".")</f>
        <v>39.740144921492814</v>
      </c>
      <c r="P5" s="72">
        <f>IFERROR(IF(d_ss_Bv!P5=0,".",((s_Ir*s_F*d_ss_Bv!P5*(1-EXP(-s_RadSpec!BC5*s_t_b)))/(s_P*s_RadSpec!BC5))),".")</f>
        <v>39.740144921492814</v>
      </c>
      <c r="Q5" s="72">
        <f>IFERROR(IF(d_ss_Bv!Q5=0,".",((s_Ir*s_F*d_ss_Bv!Q5*(1-EXP(-s_RadSpec!BC5*s_t_b)))/(s_P*s_RadSpec!BC5))),".")</f>
        <v>39.740144921492814</v>
      </c>
      <c r="R5" s="72">
        <f>IFERROR(IF(d_ss_Bv!R5=0,".",((s_Ir*s_F*d_ss_Bv!R5*(1-EXP(-s_RadSpec!BC5*s_t_b)))/(s_P*s_RadSpec!BC5))),".")</f>
        <v>39.740144921492814</v>
      </c>
      <c r="S5" s="72">
        <f>IFERROR(IF(d_ss_Bv!S5=0,".",((s_Ir*s_F*d_ss_Bv!S5*(1-EXP(-s_RadSpec!BC5*s_t_b)))/(s_P*s_RadSpec!BC5))),".")</f>
        <v>39.740144921492814</v>
      </c>
      <c r="T5" s="72">
        <f>IFERROR(IF(d_ss_Bv!T5=0,".",((s_Ir*s_F*d_ss_Bv!T5*(1-EXP(-s_RadSpec!BC5*s_t_b)))/(s_P*s_RadSpec!BC5))),".")</f>
        <v>39.740144921492814</v>
      </c>
      <c r="U5" s="72">
        <f>IFERROR(IF(d_ss_Bv!U5=0,".",((s_Ir*s_F*d_ss_Bv!U5*(1-EXP(-s_RadSpec!BC5*s_t_b)))/(s_P*s_RadSpec!BC5))),".")</f>
        <v>39.740144921492814</v>
      </c>
      <c r="V5" s="72">
        <f>IFERROR(IF(d_ss_Bv!V5=0,".",((s_Ir*s_F*d_ss_Bv!V5*(1-EXP(-s_RadSpec!BC5*s_t_b)))/(s_P*s_RadSpec!BC5))),".")</f>
        <v>39.740144921492814</v>
      </c>
      <c r="W5" s="72">
        <f>IFERROR(IF(d_ss_Bv!W5=0,".",((s_Ir*s_F*d_ss_Bv!W5*(1-EXP(-s_RadSpec!BC5*s_t_b)))/(s_P*s_RadSpec!BC5))),".")</f>
        <v>39.740144921492814</v>
      </c>
      <c r="X5" s="72">
        <f>IFERROR(IF(d_ss_Bv!X5=0,".",((s_Ir*s_F*d_ss_Bv!X5*(1-EXP(-s_RadSpec!BC5*s_t_b)))/(s_P*s_RadSpec!BC5))),".")</f>
        <v>39.740144921492814</v>
      </c>
      <c r="Y5" s="72">
        <f>IFERROR(IF(d_ss_Bv!Y5=0,".",((s_Ir*s_F*d_ss_Bv!Y5*(1-EXP(-s_RadSpec!BC5*s_t_b)))/(s_P*s_RadSpec!BC5))),".")</f>
        <v>39.740144921492814</v>
      </c>
      <c r="Z5" s="72">
        <f>IFERROR(IF(d_ss_Bv!Z5=0,".",((s_Ir*s_F*d_ss_Bv!Z5*(1-EXP(-s_RadSpec!BC5*s_t_b)))/(s_P*s_RadSpec!BC5))),".")</f>
        <v>39.740144921492814</v>
      </c>
      <c r="AA5" s="72">
        <f>IFERROR(IF(d_ss_Bv!C5=0,".",((s_Ir*s_F*s_MLF_apple*(1-EXP(-s_RadSpec!BC5*s_t_b)))/(s_P*s_RadSpec!BC5))),".")</f>
        <v>2.6824597822007652</v>
      </c>
      <c r="AB5" s="72">
        <f>IFERROR(IF(d_ss_Bv!D5=0,".",((s_Ir*s_F*s_MLF_asparagus*(1-EXP(-s_RadSpec!BC5*s_t_b)))/(s_P*s_RadSpec!BC5))),".")</f>
        <v>2.6824597822007652</v>
      </c>
      <c r="AC5" s="72">
        <f>IFERROR(IF(d_ss_Bv!E5=0,".",((s_Ir*s_F*s_MLF_beet*(1-EXP(-s_RadSpec!BC5*s_t_b)))/(s_P*s_RadSpec!BC5))),".")</f>
        <v>2.6824597822007652</v>
      </c>
      <c r="AD5" s="72">
        <f>IFERROR(IF(d_ss_Bv!F5=0,".",((s_Ir*s_F*s_MLF_berries*(1-EXP(-s_RadSpec!BC5*s_t_b)))/(s_P*s_RadSpec!BC5))),".")</f>
        <v>2.6824597822007652</v>
      </c>
      <c r="AE5" s="72">
        <f>IFERROR(IF(d_ss_Bv!G5=0,".",((s_Ir*s_F*s_MLF_broccoli*(1-EXP(-s_RadSpec!BC5*s_t_b)))/(s_P*s_RadSpec!BC5))),".")</f>
        <v>2.6824597822007652</v>
      </c>
      <c r="AF5" s="72">
        <f>IFERROR(IF(d_ss_Bv!H5=0,".",((s_Ir*s_F*s_MLF_cabbage*(1-EXP(-s_RadSpec!BC5*s_t_b)))/(s_P*s_RadSpec!BC5))),".")</f>
        <v>2.6824597822007652</v>
      </c>
      <c r="AG5" s="72">
        <f>IFERROR(IF(d_ss_Bv!I5=0,".",((s_Ir*s_F*s_MLF_carrot*(1-EXP(-s_RadSpec!BC5*s_t_b)))/(s_P*s_RadSpec!BC5))),".")</f>
        <v>2.6824597822007652</v>
      </c>
      <c r="AH5" s="72">
        <f>IFERROR(IF(d_ss_Bv!J5=0,".",((s_Ir*s_F*s_MLF_citrus*(1-EXP(-s_RadSpec!BC5*s_t_b)))/(s_P*s_RadSpec!BC5))),".")</f>
        <v>2.6824597822007652</v>
      </c>
      <c r="AI5" s="72">
        <f>IFERROR(IF(d_ss_Bv!K5=0,".",((s_Ir*s_F*s_MLF_corn*(1-EXP(-s_RadSpec!BC5*s_t_b)))/(s_P*s_RadSpec!BC5))),".")</f>
        <v>2.6824597822007652</v>
      </c>
      <c r="AJ5" s="72">
        <f>IFERROR(IF(d_ss_Bv!L5=0,".",((s_Ir*s_F*s_MLF_cucumber*(1-EXP(-s_RadSpec!BC5*s_t_b)))/(s_P*s_RadSpec!BC5))),".")</f>
        <v>2.6824597822007652</v>
      </c>
      <c r="AK5" s="72">
        <f>IFERROR(IF(d_ss_Bv!M5=0,".",((s_Ir*s_F*s_MLF_lettuce*(1-EXP(-s_RadSpec!BC5*s_t_b)))/(s_P*s_RadSpec!BC5))),".")</f>
        <v>2.6824597822007652</v>
      </c>
      <c r="AL5" s="72">
        <f>IFERROR(IF(d_ss_Bv!N5=0,".",((s_Ir*s_F*s_MLF_lima_bean*(1-EXP(-s_RadSpec!BC5*s_t_b)))/(s_P*s_RadSpec!BC5))),".")</f>
        <v>2.6824597822007652</v>
      </c>
      <c r="AM5" s="72">
        <f>IFERROR(IF(d_ss_Bv!O5=0,".",((s_Ir*s_F*s_MLF_okra*(1-EXP(-s_RadSpec!BC5*s_t_b)))/(s_P*s_RadSpec!BC5))),".")</f>
        <v>2.6824597822007652</v>
      </c>
      <c r="AN5" s="72">
        <f>IFERROR(IF(d_ss_Bv!P5=0,".",((s_Ir*s_F*s_MLF_onion*(1-EXP(-s_RadSpec!BC5*s_t_b)))/(s_P*s_RadSpec!BC5))),".")</f>
        <v>2.6824597822007652</v>
      </c>
      <c r="AO5" s="72">
        <f>IFERROR(IF(d_ss_Bv!Q5=0,".",((s_Ir*s_F*s_MLF_peach*(1-EXP(-s_RadSpec!BC5*s_t_b)))/(s_P*s_RadSpec!BC5))),".")</f>
        <v>2.6824597822007652</v>
      </c>
      <c r="AP5" s="72">
        <f>IFERROR(IF(d_ss_Bv!R5=0,".",((s_Ir*s_F*s_MLF_pear*(1-EXP(-s_RadSpec!BC5*s_t_b)))/(s_P*s_RadSpec!BC5))),".")</f>
        <v>2.6824597822007652</v>
      </c>
      <c r="AQ5" s="72">
        <f>IFERROR(IF(d_ss_Bv!S5=0,".",((s_Ir*s_F*s_MLF_peas*(1-EXP(-s_RadSpec!BC5*s_t_b)))/(s_P*s_RadSpec!BC5))),".")</f>
        <v>2.6824597822007652</v>
      </c>
      <c r="AR5" s="72">
        <f>IFERROR(IF(d_ss_Bv!T5=0,".",((s_Ir*s_F*s_MLF_potato*(1-EXP(-s_RadSpec!BC5*s_t_b)))/(s_P*s_RadSpec!BC5))),".")</f>
        <v>2.6824597822007652</v>
      </c>
      <c r="AS5" s="72">
        <f>IFERROR(IF(d_ss_Bv!U5=0,".",((s_Ir*s_F*s_MLF_pumpkin*(1-EXP(-s_RadSpec!BC5*s_t_b)))/(s_P*s_RadSpec!BC5))),".")</f>
        <v>2.6824597822007652</v>
      </c>
      <c r="AT5" s="72">
        <f>IFERROR(IF(d_ss_Bv!V5=0,".",((s_Ir*s_F*s_MLF_snap_bean*(1-EXP(-s_RadSpec!BC5*s_t_b)))/(s_P*s_RadSpec!BC5))),".")</f>
        <v>2.6824597822007652</v>
      </c>
      <c r="AU5" s="72">
        <f>IFERROR(IF(d_ss_Bv!W5=0,".",((s_Ir*s_F*s_MLF_strawberry*(1-EXP(-s_RadSpec!BC5*s_t_b)))/(s_P*s_RadSpec!BC5))),".")</f>
        <v>2.6824597822007652</v>
      </c>
      <c r="AV5" s="72">
        <f>IFERROR(IF(d_ss_Bv!X5=0,".",((s_Ir*s_F*s_MLF_tomato*(1-EXP(-s_RadSpec!BC5*s_t_b)))/(s_P*s_RadSpec!BC5))),".")</f>
        <v>2.6824597822007652</v>
      </c>
      <c r="AW5" s="72">
        <f>IFERROR(IF(d_ss_Bv!Y5=0,".",((s_Ir*s_F*s_MLF_rice*(1-EXP(-s_RadSpec!BC5*s_t_b)))/(s_P*s_RadSpec!BC5))),".")</f>
        <v>2.6824597822007652</v>
      </c>
      <c r="AX5" s="72">
        <f>IFERROR(IF(d_ss_Bv!Z5=0,".",((s_Ir*s_F*s_MLF_cereal*(1-EXP(-s_RadSpec!BC5*s_t_b)))/(s_P*s_RadSpec!BC5))),".")</f>
        <v>2.6824597822007652</v>
      </c>
      <c r="AY5" s="72">
        <f>IFERROR(IF(d_ss_Bv!C5=0,".",((s_Ir*s_F*s_I_f*s_T*(1-EXP(-s_RadSpec!BD5*s_t_v)))/(s_Y_v*s_RadSpec!BD5))),".")</f>
        <v>9.0143481925428208</v>
      </c>
      <c r="AZ5" s="72">
        <f>IFERROR(IF(d_ss_Bv!D5=0,".",((s_Ir*s_F*s_I_f*s_T*(1-EXP(-s_RadSpec!BD5*s_t_v)))/(s_Y_v*s_RadSpec!BD5))),".")</f>
        <v>9.0143481925428208</v>
      </c>
      <c r="BA5" s="72">
        <f>IFERROR(IF(d_ss_Bv!E5=0,".",((s_Ir*s_F*s_I_f*s_T*(1-EXP(-s_RadSpec!BD5*s_t_v)))/(s_Y_v*s_RadSpec!BD5))),".")</f>
        <v>9.0143481925428208</v>
      </c>
      <c r="BB5" s="72">
        <f>IFERROR(IF(d_ss_Bv!F5=0,".",((s_Ir*s_F*s_I_f*s_T*(1-EXP(-s_RadSpec!BD5*s_t_v)))/(s_Y_v*s_RadSpec!BD5))),".")</f>
        <v>9.0143481925428208</v>
      </c>
      <c r="BC5" s="72">
        <f>IFERROR(IF(d_ss_Bv!G5=0,".",((s_Ir*s_F*s_I_f*s_T*(1-EXP(-s_RadSpec!BD5*s_t_v)))/(s_Y_v*s_RadSpec!BD5))),".")</f>
        <v>9.0143481925428208</v>
      </c>
      <c r="BD5" s="72">
        <f>IFERROR(IF(d_ss_Bv!H5=0,".",((s_Ir*s_F*s_I_f*s_T*(1-EXP(-s_RadSpec!BD5*s_t_v)))/(s_Y_v*s_RadSpec!BD5))),".")</f>
        <v>9.0143481925428208</v>
      </c>
      <c r="BE5" s="72">
        <f>IFERROR(IF(d_ss_Bv!I5=0,".",((s_Ir*s_F*s_I_f*s_T*(1-EXP(-s_RadSpec!BD5*s_t_v)))/(s_Y_v*s_RadSpec!BD5))),".")</f>
        <v>9.0143481925428208</v>
      </c>
      <c r="BF5" s="72">
        <f>IFERROR(IF(d_ss_Bv!J5=0,".",((s_Ir*s_F*s_I_f*s_T*(1-EXP(-s_RadSpec!BD5*s_t_v)))/(s_Y_v*s_RadSpec!BD5))),".")</f>
        <v>9.0143481925428208</v>
      </c>
      <c r="BG5" s="72">
        <f>IFERROR(IF(d_ss_Bv!K5=0,".",((s_Ir*s_F*s_I_f*s_T*(1-EXP(-s_RadSpec!BD5*s_t_v)))/(s_Y_v*s_RadSpec!BD5))),".")</f>
        <v>9.0143481925428208</v>
      </c>
      <c r="BH5" s="72">
        <f>IFERROR(IF(d_ss_Bv!L5=0,".",((s_Ir*s_F*s_I_f*s_T*(1-EXP(-s_RadSpec!BD5*s_t_v)))/(s_Y_v*s_RadSpec!BD5))),".")</f>
        <v>9.0143481925428208</v>
      </c>
      <c r="BI5" s="72">
        <f>IFERROR(IF(d_ss_Bv!M5=0,".",((s_Ir*s_F*s_I_f*s_T*(1-EXP(-s_RadSpec!BD5*s_t_v)))/(s_Y_v*s_RadSpec!BD5))),".")</f>
        <v>9.0143481925428208</v>
      </c>
      <c r="BJ5" s="72">
        <f>IFERROR(IF(d_ss_Bv!N5=0,".",((s_Ir*s_F*s_I_f*s_T*(1-EXP(-s_RadSpec!BD5*s_t_v)))/(s_Y_v*s_RadSpec!BD5))),".")</f>
        <v>9.0143481925428208</v>
      </c>
      <c r="BK5" s="72">
        <f>IFERROR(IF(d_ss_Bv!O5=0,".",((s_Ir*s_F*s_I_f*s_T*(1-EXP(-s_RadSpec!BD5*s_t_v)))/(s_Y_v*s_RadSpec!BD5))),".")</f>
        <v>9.0143481925428208</v>
      </c>
      <c r="BL5" s="72">
        <f>IFERROR(IF(d_ss_Bv!P5=0,".",((s_Ir*s_F*s_I_f*s_T*(1-EXP(-s_RadSpec!BD5*s_t_v)))/(s_Y_v*s_RadSpec!BD5))),".")</f>
        <v>9.0143481925428208</v>
      </c>
      <c r="BM5" s="72">
        <f>IFERROR(IF(d_ss_Bv!Q5=0,".",((s_Ir*s_F*s_I_f*s_T*(1-EXP(-s_RadSpec!BD5*s_t_v)))/(s_Y_v*s_RadSpec!BD5))),".")</f>
        <v>9.0143481925428208</v>
      </c>
      <c r="BN5" s="72">
        <f>IFERROR(IF(d_ss_Bv!R5=0,".",((s_Ir*s_F*s_I_f*s_T*(1-EXP(-s_RadSpec!BD5*s_t_v)))/(s_Y_v*s_RadSpec!BD5))),".")</f>
        <v>9.0143481925428208</v>
      </c>
      <c r="BO5" s="72">
        <f>IFERROR(IF(d_ss_Bv!S5=0,".",((s_Ir*s_F*s_I_f*s_T*(1-EXP(-s_RadSpec!BD5*s_t_v)))/(s_Y_v*s_RadSpec!BD5))),".")</f>
        <v>9.0143481925428208</v>
      </c>
      <c r="BP5" s="72">
        <f>IFERROR(IF(d_ss_Bv!T5=0,".",((s_Ir*s_F*s_I_f*s_T*(1-EXP(-s_RadSpec!BD5*s_t_v)))/(s_Y_v*s_RadSpec!BD5))),".")</f>
        <v>9.0143481925428208</v>
      </c>
      <c r="BQ5" s="72">
        <f>IFERROR(IF(d_ss_Bv!U5=0,".",((s_Ir*s_F*s_I_f*s_T*(1-EXP(-s_RadSpec!BD5*s_t_v)))/(s_Y_v*s_RadSpec!BD5))),".")</f>
        <v>9.0143481925428208</v>
      </c>
      <c r="BR5" s="72">
        <f>IFERROR(IF(d_ss_Bv!V5=0,".",((s_Ir*s_F*s_I_f*s_T*(1-EXP(-s_RadSpec!BD5*s_t_v)))/(s_Y_v*s_RadSpec!BD5))),".")</f>
        <v>9.0143481925428208</v>
      </c>
      <c r="BS5" s="72">
        <f>IFERROR(IF(d_ss_Bv!W5=0,".",((s_Ir*s_F*s_I_f*s_T*(1-EXP(-s_RadSpec!BD5*s_t_v)))/(s_Y_v*s_RadSpec!BD5))),".")</f>
        <v>9.0143481925428208</v>
      </c>
      <c r="BT5" s="72">
        <f>IFERROR(IF(d_ss_Bv!X5=0,".",((s_Ir*s_F*s_I_f*s_T*(1-EXP(-s_RadSpec!BD5*s_t_v)))/(s_Y_v*s_RadSpec!BD5))),".")</f>
        <v>9.0143481925428208</v>
      </c>
      <c r="BU5" s="72">
        <f>IFERROR(IF(d_ss_Bv!Y5=0,".",((s_Ir*s_F*s_I_f*s_T*(1-EXP(-s_RadSpec!BD5*s_t_v)))/(s_Y_v*s_RadSpec!BD5))),".")</f>
        <v>9.0143481925428208</v>
      </c>
      <c r="BV5" s="72">
        <f>IFERROR(IF(d_ss_Bv!Z5=0,".",((s_Ir*s_F*s_I_f*s_T*(1-EXP(-s_RadSpec!BD5*s_t_v)))/(s_Y_v*s_RadSpec!BD5))),".")</f>
        <v>9.0143481925428208</v>
      </c>
    </row>
    <row r="6" spans="1:74" x14ac:dyDescent="0.25">
      <c r="A6" s="31" t="s">
        <v>4</v>
      </c>
      <c r="B6" s="3" t="s">
        <v>1059</v>
      </c>
      <c r="C6" s="72">
        <f>IFERROR(IF(d_ss_Bv!C6=0,".",((s_Ir*s_F*d_ss_Bv!C6*(1-EXP(-s_RadSpec!$BC6*s_t_b)))/(s_P*s_RadSpec!$BC6))),".")</f>
        <v>1.9870072460746409</v>
      </c>
      <c r="D6" s="72">
        <f>IFERROR(IF(d_ss_Bv!D6=0,".",((s_Ir*s_F*d_ss_Bv!D6*(1-EXP(-s_RadSpec!BC6*s_t_b)))/(s_P*s_RadSpec!BC6))),".")</f>
        <v>0.99350362303732043</v>
      </c>
      <c r="E6" s="72">
        <f>IFERROR(IF(d_ss_Bv!E6=0,".",((s_Ir*s_F*d_ss_Bv!E6*(1-EXP(-s_RadSpec!BC6*s_t_b)))/(s_P*s_RadSpec!BC6))),".")</f>
        <v>0.99350362303732043</v>
      </c>
      <c r="F6" s="72">
        <f>IFERROR(IF(d_ss_Bv!F6=0,".",((s_Ir*s_F*d_ss_Bv!F6*(1-EXP(-s_RadSpec!BC6*s_t_b)))/(s_P*s_RadSpec!BC6))),".")</f>
        <v>1.9870072460746409</v>
      </c>
      <c r="G6" s="72">
        <f>IFERROR(IF(d_ss_Bv!G6=0,".",((s_Ir*s_F*d_ss_Bv!G6*(1-EXP(-s_RadSpec!BC6*s_t_b)))/(s_P*s_RadSpec!BC6))),".")</f>
        <v>1.9870072460746409</v>
      </c>
      <c r="H6" s="72">
        <f>IFERROR(IF(d_ss_Bv!H6=0,".",((s_Ir*s_F*d_ss_Bv!H6*(1-EXP(-s_RadSpec!BC6*s_t_b)))/(s_P*s_RadSpec!BC6))),".")</f>
        <v>0.99350362303732043</v>
      </c>
      <c r="I6" s="72">
        <f>IFERROR(IF(d_ss_Bv!I6=0,".",((s_Ir*s_F*d_ss_Bv!I6*(1-EXP(-s_RadSpec!BC6*s_t_b)))/(s_P*s_RadSpec!BC6))),".")</f>
        <v>0.99350362303732043</v>
      </c>
      <c r="J6" s="72">
        <f>IFERROR(IF(d_ss_Bv!J6=0,".",((s_Ir*s_F*d_ss_Bv!J6*(1-EXP(-s_RadSpec!BC6*s_t_b)))/(s_P*s_RadSpec!BC6))),".")</f>
        <v>1.9870072460746409</v>
      </c>
      <c r="K6" s="72">
        <f>IFERROR(IF(d_ss_Bv!K6=0,".",((s_Ir*s_F*d_ss_Bv!K6*(1-EXP(-s_RadSpec!BC6*s_t_b)))/(s_P*s_RadSpec!BC6))),".")</f>
        <v>1.9870072460746409</v>
      </c>
      <c r="L6" s="72">
        <f>IFERROR(IF(d_ss_Bv!L6=0,".",((s_Ir*s_F*d_ss_Bv!L6*(1-EXP(-s_RadSpec!BC6*s_t_b)))/(s_P*s_RadSpec!BC6))),".")</f>
        <v>1.9870072460746409</v>
      </c>
      <c r="M6" s="72">
        <f>IFERROR(IF(d_ss_Bv!M6=0,".",((s_Ir*s_F*d_ss_Bv!M6*(1-EXP(-s_RadSpec!BC6*s_t_b)))/(s_P*s_RadSpec!BC6))),".")</f>
        <v>0.99350362303732043</v>
      </c>
      <c r="N6" s="72">
        <f>IFERROR(IF(d_ss_Bv!N6=0,".",((s_Ir*s_F*d_ss_Bv!N6*(1-EXP(-s_RadSpec!BC6*s_t_b)))/(s_P*s_RadSpec!BC6))),".")</f>
        <v>1.9870072460746409</v>
      </c>
      <c r="O6" s="72">
        <f>IFERROR(IF(d_ss_Bv!O6=0,".",((s_Ir*s_F*d_ss_Bv!O6*(1-EXP(-s_RadSpec!BC6*s_t_b)))/(s_P*s_RadSpec!BC6))),".")</f>
        <v>1.9870072460746409</v>
      </c>
      <c r="P6" s="72">
        <f>IFERROR(IF(d_ss_Bv!P6=0,".",((s_Ir*s_F*d_ss_Bv!P6*(1-EXP(-s_RadSpec!BC6*s_t_b)))/(s_P*s_RadSpec!BC6))),".")</f>
        <v>1.9870072460746409</v>
      </c>
      <c r="Q6" s="72">
        <f>IFERROR(IF(d_ss_Bv!Q6=0,".",((s_Ir*s_F*d_ss_Bv!Q6*(1-EXP(-s_RadSpec!BC6*s_t_b)))/(s_P*s_RadSpec!BC6))),".")</f>
        <v>1.9870072460746409</v>
      </c>
      <c r="R6" s="72">
        <f>IFERROR(IF(d_ss_Bv!R6=0,".",((s_Ir*s_F*d_ss_Bv!R6*(1-EXP(-s_RadSpec!BC6*s_t_b)))/(s_P*s_RadSpec!BC6))),".")</f>
        <v>1.9870072460746409</v>
      </c>
      <c r="S6" s="72">
        <f>IFERROR(IF(d_ss_Bv!S6=0,".",((s_Ir*s_F*d_ss_Bv!S6*(1-EXP(-s_RadSpec!BC6*s_t_b)))/(s_P*s_RadSpec!BC6))),".")</f>
        <v>1.9870072460746409</v>
      </c>
      <c r="T6" s="72">
        <f>IFERROR(IF(d_ss_Bv!T6=0,".",((s_Ir*s_F*d_ss_Bv!T6*(1-EXP(-s_RadSpec!BC6*s_t_b)))/(s_P*s_RadSpec!BC6))),".")</f>
        <v>0.99350362303732043</v>
      </c>
      <c r="U6" s="72">
        <f>IFERROR(IF(d_ss_Bv!U6=0,".",((s_Ir*s_F*d_ss_Bv!U6*(1-EXP(-s_RadSpec!BC6*s_t_b)))/(s_P*s_RadSpec!BC6))),".")</f>
        <v>1.9870072460746409</v>
      </c>
      <c r="V6" s="72">
        <f>IFERROR(IF(d_ss_Bv!V6=0,".",((s_Ir*s_F*d_ss_Bv!V6*(1-EXP(-s_RadSpec!BC6*s_t_b)))/(s_P*s_RadSpec!BC6))),".")</f>
        <v>1.9870072460746409</v>
      </c>
      <c r="W6" s="72">
        <f>IFERROR(IF(d_ss_Bv!W6=0,".",((s_Ir*s_F*d_ss_Bv!W6*(1-EXP(-s_RadSpec!BC6*s_t_b)))/(s_P*s_RadSpec!BC6))),".")</f>
        <v>1.9870072460746409</v>
      </c>
      <c r="X6" s="72">
        <f>IFERROR(IF(d_ss_Bv!X6=0,".",((s_Ir*s_F*d_ss_Bv!X6*(1-EXP(-s_RadSpec!BC6*s_t_b)))/(s_P*s_RadSpec!BC6))),".")</f>
        <v>1.9870072460746409</v>
      </c>
      <c r="Y6" s="72">
        <f>IFERROR(IF(d_ss_Bv!Y6=0,".",((s_Ir*s_F*d_ss_Bv!Y6*(1-EXP(-s_RadSpec!BC6*s_t_b)))/(s_P*s_RadSpec!BC6))),".")</f>
        <v>0.18677868113101623</v>
      </c>
      <c r="Z6" s="72">
        <f>IFERROR(IF(d_ss_Bv!Z6=0,".",((s_Ir*s_F*d_ss_Bv!Z6*(1-EXP(-s_RadSpec!BC6*s_t_b)))/(s_P*s_RadSpec!BC6))),".")</f>
        <v>0.19870072460746407</v>
      </c>
      <c r="AA6" s="72">
        <f>IFERROR(IF(d_ss_Bv!C6=0,".",((s_Ir*s_F*s_MLF_apple*(1-EXP(-s_RadSpec!BC6*s_t_b)))/(s_P*s_RadSpec!BC6))),".")</f>
        <v>2.6824597822007652</v>
      </c>
      <c r="AB6" s="72">
        <f>IFERROR(IF(d_ss_Bv!D6=0,".",((s_Ir*s_F*s_MLF_asparagus*(1-EXP(-s_RadSpec!BC6*s_t_b)))/(s_P*s_RadSpec!BC6))),".")</f>
        <v>2.6824597822007652</v>
      </c>
      <c r="AC6" s="72">
        <f>IFERROR(IF(d_ss_Bv!E6=0,".",((s_Ir*s_F*s_MLF_beet*(1-EXP(-s_RadSpec!BC6*s_t_b)))/(s_P*s_RadSpec!BC6))),".")</f>
        <v>2.6824597822007652</v>
      </c>
      <c r="AD6" s="72">
        <f>IFERROR(IF(d_ss_Bv!F6=0,".",((s_Ir*s_F*s_MLF_berries*(1-EXP(-s_RadSpec!BC6*s_t_b)))/(s_P*s_RadSpec!BC6))),".")</f>
        <v>2.6824597822007652</v>
      </c>
      <c r="AE6" s="72">
        <f>IFERROR(IF(d_ss_Bv!G6=0,".",((s_Ir*s_F*s_MLF_broccoli*(1-EXP(-s_RadSpec!BC6*s_t_b)))/(s_P*s_RadSpec!BC6))),".")</f>
        <v>2.6824597822007652</v>
      </c>
      <c r="AF6" s="72">
        <f>IFERROR(IF(d_ss_Bv!H6=0,".",((s_Ir*s_F*s_MLF_cabbage*(1-EXP(-s_RadSpec!BC6*s_t_b)))/(s_P*s_RadSpec!BC6))),".")</f>
        <v>2.6824597822007652</v>
      </c>
      <c r="AG6" s="72">
        <f>IFERROR(IF(d_ss_Bv!I6=0,".",((s_Ir*s_F*s_MLF_carrot*(1-EXP(-s_RadSpec!BC6*s_t_b)))/(s_P*s_RadSpec!BC6))),".")</f>
        <v>2.6824597822007652</v>
      </c>
      <c r="AH6" s="72">
        <f>IFERROR(IF(d_ss_Bv!J6=0,".",((s_Ir*s_F*s_MLF_citrus*(1-EXP(-s_RadSpec!BC6*s_t_b)))/(s_P*s_RadSpec!BC6))),".")</f>
        <v>2.6824597822007652</v>
      </c>
      <c r="AI6" s="72">
        <f>IFERROR(IF(d_ss_Bv!K6=0,".",((s_Ir*s_F*s_MLF_corn*(1-EXP(-s_RadSpec!BC6*s_t_b)))/(s_P*s_RadSpec!BC6))),".")</f>
        <v>2.6824597822007652</v>
      </c>
      <c r="AJ6" s="72">
        <f>IFERROR(IF(d_ss_Bv!L6=0,".",((s_Ir*s_F*s_MLF_cucumber*(1-EXP(-s_RadSpec!BC6*s_t_b)))/(s_P*s_RadSpec!BC6))),".")</f>
        <v>2.6824597822007652</v>
      </c>
      <c r="AK6" s="72">
        <f>IFERROR(IF(d_ss_Bv!M6=0,".",((s_Ir*s_F*s_MLF_lettuce*(1-EXP(-s_RadSpec!BC6*s_t_b)))/(s_P*s_RadSpec!BC6))),".")</f>
        <v>2.6824597822007652</v>
      </c>
      <c r="AL6" s="72">
        <f>IFERROR(IF(d_ss_Bv!N6=0,".",((s_Ir*s_F*s_MLF_lima_bean*(1-EXP(-s_RadSpec!BC6*s_t_b)))/(s_P*s_RadSpec!BC6))),".")</f>
        <v>2.6824597822007652</v>
      </c>
      <c r="AM6" s="72">
        <f>IFERROR(IF(d_ss_Bv!O6=0,".",((s_Ir*s_F*s_MLF_okra*(1-EXP(-s_RadSpec!BC6*s_t_b)))/(s_P*s_RadSpec!BC6))),".")</f>
        <v>2.6824597822007652</v>
      </c>
      <c r="AN6" s="72">
        <f>IFERROR(IF(d_ss_Bv!P6=0,".",((s_Ir*s_F*s_MLF_onion*(1-EXP(-s_RadSpec!BC6*s_t_b)))/(s_P*s_RadSpec!BC6))),".")</f>
        <v>2.6824597822007652</v>
      </c>
      <c r="AO6" s="72">
        <f>IFERROR(IF(d_ss_Bv!Q6=0,".",((s_Ir*s_F*s_MLF_peach*(1-EXP(-s_RadSpec!BC6*s_t_b)))/(s_P*s_RadSpec!BC6))),".")</f>
        <v>2.6824597822007652</v>
      </c>
      <c r="AP6" s="72">
        <f>IFERROR(IF(d_ss_Bv!R6=0,".",((s_Ir*s_F*s_MLF_pear*(1-EXP(-s_RadSpec!BC6*s_t_b)))/(s_P*s_RadSpec!BC6))),".")</f>
        <v>2.6824597822007652</v>
      </c>
      <c r="AQ6" s="72">
        <f>IFERROR(IF(d_ss_Bv!S6=0,".",((s_Ir*s_F*s_MLF_peas*(1-EXP(-s_RadSpec!BC6*s_t_b)))/(s_P*s_RadSpec!BC6))),".")</f>
        <v>2.6824597822007652</v>
      </c>
      <c r="AR6" s="72">
        <f>IFERROR(IF(d_ss_Bv!T6=0,".",((s_Ir*s_F*s_MLF_potato*(1-EXP(-s_RadSpec!BC6*s_t_b)))/(s_P*s_RadSpec!BC6))),".")</f>
        <v>2.6824597822007652</v>
      </c>
      <c r="AS6" s="72">
        <f>IFERROR(IF(d_ss_Bv!U6=0,".",((s_Ir*s_F*s_MLF_pumpkin*(1-EXP(-s_RadSpec!BC6*s_t_b)))/(s_P*s_RadSpec!BC6))),".")</f>
        <v>2.6824597822007652</v>
      </c>
      <c r="AT6" s="72">
        <f>IFERROR(IF(d_ss_Bv!V6=0,".",((s_Ir*s_F*s_MLF_snap_bean*(1-EXP(-s_RadSpec!BC6*s_t_b)))/(s_P*s_RadSpec!BC6))),".")</f>
        <v>2.6824597822007652</v>
      </c>
      <c r="AU6" s="72">
        <f>IFERROR(IF(d_ss_Bv!W6=0,".",((s_Ir*s_F*s_MLF_strawberry*(1-EXP(-s_RadSpec!BC6*s_t_b)))/(s_P*s_RadSpec!BC6))),".")</f>
        <v>2.6824597822007652</v>
      </c>
      <c r="AV6" s="72">
        <f>IFERROR(IF(d_ss_Bv!X6=0,".",((s_Ir*s_F*s_MLF_tomato*(1-EXP(-s_RadSpec!BC6*s_t_b)))/(s_P*s_RadSpec!BC6))),".")</f>
        <v>2.6824597822007652</v>
      </c>
      <c r="AW6" s="72">
        <f>IFERROR(IF(d_ss_Bv!Y6=0,".",((s_Ir*s_F*s_MLF_rice*(1-EXP(-s_RadSpec!BC6*s_t_b)))/(s_P*s_RadSpec!BC6))),".")</f>
        <v>2.6824597822007652</v>
      </c>
      <c r="AX6" s="72">
        <f>IFERROR(IF(d_ss_Bv!Z6=0,".",((s_Ir*s_F*s_MLF_cereal*(1-EXP(-s_RadSpec!BC6*s_t_b)))/(s_P*s_RadSpec!BC6))),".")</f>
        <v>2.6824597822007652</v>
      </c>
      <c r="AY6" s="72">
        <f>IFERROR(IF(d_ss_Bv!C6=0,".",((s_Ir*s_F*s_I_f*s_T*(1-EXP(-s_RadSpec!BD6*s_t_v)))/(s_Y_v*s_RadSpec!BD6))),".")</f>
        <v>9.0143481925428208</v>
      </c>
      <c r="AZ6" s="72">
        <f>IFERROR(IF(d_ss_Bv!D6=0,".",((s_Ir*s_F*s_I_f*s_T*(1-EXP(-s_RadSpec!BD6*s_t_v)))/(s_Y_v*s_RadSpec!BD6))),".")</f>
        <v>9.0143481925428208</v>
      </c>
      <c r="BA6" s="72">
        <f>IFERROR(IF(d_ss_Bv!E6=0,".",((s_Ir*s_F*s_I_f*s_T*(1-EXP(-s_RadSpec!BD6*s_t_v)))/(s_Y_v*s_RadSpec!BD6))),".")</f>
        <v>9.0143481925428208</v>
      </c>
      <c r="BB6" s="72">
        <f>IFERROR(IF(d_ss_Bv!F6=0,".",((s_Ir*s_F*s_I_f*s_T*(1-EXP(-s_RadSpec!BD6*s_t_v)))/(s_Y_v*s_RadSpec!BD6))),".")</f>
        <v>9.0143481925428208</v>
      </c>
      <c r="BC6" s="72">
        <f>IFERROR(IF(d_ss_Bv!G6=0,".",((s_Ir*s_F*s_I_f*s_T*(1-EXP(-s_RadSpec!BD6*s_t_v)))/(s_Y_v*s_RadSpec!BD6))),".")</f>
        <v>9.0143481925428208</v>
      </c>
      <c r="BD6" s="72">
        <f>IFERROR(IF(d_ss_Bv!H6=0,".",((s_Ir*s_F*s_I_f*s_T*(1-EXP(-s_RadSpec!BD6*s_t_v)))/(s_Y_v*s_RadSpec!BD6))),".")</f>
        <v>9.0143481925428208</v>
      </c>
      <c r="BE6" s="72">
        <f>IFERROR(IF(d_ss_Bv!I6=0,".",((s_Ir*s_F*s_I_f*s_T*(1-EXP(-s_RadSpec!BD6*s_t_v)))/(s_Y_v*s_RadSpec!BD6))),".")</f>
        <v>9.0143481925428208</v>
      </c>
      <c r="BF6" s="72">
        <f>IFERROR(IF(d_ss_Bv!J6=0,".",((s_Ir*s_F*s_I_f*s_T*(1-EXP(-s_RadSpec!BD6*s_t_v)))/(s_Y_v*s_RadSpec!BD6))),".")</f>
        <v>9.0143481925428208</v>
      </c>
      <c r="BG6" s="72">
        <f>IFERROR(IF(d_ss_Bv!K6=0,".",((s_Ir*s_F*s_I_f*s_T*(1-EXP(-s_RadSpec!BD6*s_t_v)))/(s_Y_v*s_RadSpec!BD6))),".")</f>
        <v>9.0143481925428208</v>
      </c>
      <c r="BH6" s="72">
        <f>IFERROR(IF(d_ss_Bv!L6=0,".",((s_Ir*s_F*s_I_f*s_T*(1-EXP(-s_RadSpec!BD6*s_t_v)))/(s_Y_v*s_RadSpec!BD6))),".")</f>
        <v>9.0143481925428208</v>
      </c>
      <c r="BI6" s="72">
        <f>IFERROR(IF(d_ss_Bv!M6=0,".",((s_Ir*s_F*s_I_f*s_T*(1-EXP(-s_RadSpec!BD6*s_t_v)))/(s_Y_v*s_RadSpec!BD6))),".")</f>
        <v>9.0143481925428208</v>
      </c>
      <c r="BJ6" s="72">
        <f>IFERROR(IF(d_ss_Bv!N6=0,".",((s_Ir*s_F*s_I_f*s_T*(1-EXP(-s_RadSpec!BD6*s_t_v)))/(s_Y_v*s_RadSpec!BD6))),".")</f>
        <v>9.0143481925428208</v>
      </c>
      <c r="BK6" s="72">
        <f>IFERROR(IF(d_ss_Bv!O6=0,".",((s_Ir*s_F*s_I_f*s_T*(1-EXP(-s_RadSpec!BD6*s_t_v)))/(s_Y_v*s_RadSpec!BD6))),".")</f>
        <v>9.0143481925428208</v>
      </c>
      <c r="BL6" s="72">
        <f>IFERROR(IF(d_ss_Bv!P6=0,".",((s_Ir*s_F*s_I_f*s_T*(1-EXP(-s_RadSpec!BD6*s_t_v)))/(s_Y_v*s_RadSpec!BD6))),".")</f>
        <v>9.0143481925428208</v>
      </c>
      <c r="BM6" s="72">
        <f>IFERROR(IF(d_ss_Bv!Q6=0,".",((s_Ir*s_F*s_I_f*s_T*(1-EXP(-s_RadSpec!BD6*s_t_v)))/(s_Y_v*s_RadSpec!BD6))),".")</f>
        <v>9.0143481925428208</v>
      </c>
      <c r="BN6" s="72">
        <f>IFERROR(IF(d_ss_Bv!R6=0,".",((s_Ir*s_F*s_I_f*s_T*(1-EXP(-s_RadSpec!BD6*s_t_v)))/(s_Y_v*s_RadSpec!BD6))),".")</f>
        <v>9.0143481925428208</v>
      </c>
      <c r="BO6" s="72">
        <f>IFERROR(IF(d_ss_Bv!S6=0,".",((s_Ir*s_F*s_I_f*s_T*(1-EXP(-s_RadSpec!BD6*s_t_v)))/(s_Y_v*s_RadSpec!BD6))),".")</f>
        <v>9.0143481925428208</v>
      </c>
      <c r="BP6" s="72">
        <f>IFERROR(IF(d_ss_Bv!T6=0,".",((s_Ir*s_F*s_I_f*s_T*(1-EXP(-s_RadSpec!BD6*s_t_v)))/(s_Y_v*s_RadSpec!BD6))),".")</f>
        <v>9.0143481925428208</v>
      </c>
      <c r="BQ6" s="72">
        <f>IFERROR(IF(d_ss_Bv!U6=0,".",((s_Ir*s_F*s_I_f*s_T*(1-EXP(-s_RadSpec!BD6*s_t_v)))/(s_Y_v*s_RadSpec!BD6))),".")</f>
        <v>9.0143481925428208</v>
      </c>
      <c r="BR6" s="72">
        <f>IFERROR(IF(d_ss_Bv!V6=0,".",((s_Ir*s_F*s_I_f*s_T*(1-EXP(-s_RadSpec!BD6*s_t_v)))/(s_Y_v*s_RadSpec!BD6))),".")</f>
        <v>9.0143481925428208</v>
      </c>
      <c r="BS6" s="72">
        <f>IFERROR(IF(d_ss_Bv!W6=0,".",((s_Ir*s_F*s_I_f*s_T*(1-EXP(-s_RadSpec!BD6*s_t_v)))/(s_Y_v*s_RadSpec!BD6))),".")</f>
        <v>9.0143481925428208</v>
      </c>
      <c r="BT6" s="72">
        <f>IFERROR(IF(d_ss_Bv!X6=0,".",((s_Ir*s_F*s_I_f*s_T*(1-EXP(-s_RadSpec!BD6*s_t_v)))/(s_Y_v*s_RadSpec!BD6))),".")</f>
        <v>9.0143481925428208</v>
      </c>
      <c r="BU6" s="72">
        <f>IFERROR(IF(d_ss_Bv!Y6=0,".",((s_Ir*s_F*s_I_f*s_T*(1-EXP(-s_RadSpec!BD6*s_t_v)))/(s_Y_v*s_RadSpec!BD6))),".")</f>
        <v>9.0143481925428208</v>
      </c>
      <c r="BV6" s="72">
        <f>IFERROR(IF(d_ss_Bv!Z6=0,".",((s_Ir*s_F*s_I_f*s_T*(1-EXP(-s_RadSpec!BD6*s_t_v)))/(s_Y_v*s_RadSpec!BD6))),".")</f>
        <v>9.0143481925428208</v>
      </c>
    </row>
    <row r="7" spans="1:74" x14ac:dyDescent="0.25">
      <c r="A7" s="31" t="s">
        <v>5</v>
      </c>
      <c r="B7" s="3" t="s">
        <v>1059</v>
      </c>
      <c r="C7" s="72">
        <f>IFERROR(IF(d_ss_Bv!C7=0,".",((s_Ir*s_F*d_ss_Bv!C7*(1-EXP(-s_RadSpec!$BC7*s_t_b)))/(s_P*s_RadSpec!$BC7))),".")</f>
        <v>19.870072460746407</v>
      </c>
      <c r="D7" s="72">
        <f>IFERROR(IF(d_ss_Bv!D7=0,".",((s_Ir*s_F*d_ss_Bv!D7*(1-EXP(-s_RadSpec!BC7*s_t_b)))/(s_P*s_RadSpec!BC7))),".")</f>
        <v>19.870072460746407</v>
      </c>
      <c r="E7" s="72">
        <f>IFERROR(IF(d_ss_Bv!E7=0,".",((s_Ir*s_F*d_ss_Bv!E7*(1-EXP(-s_RadSpec!BC7*s_t_b)))/(s_P*s_RadSpec!BC7))),".")</f>
        <v>19.870072460746407</v>
      </c>
      <c r="F7" s="72">
        <f>IFERROR(IF(d_ss_Bv!F7=0,".",((s_Ir*s_F*d_ss_Bv!F7*(1-EXP(-s_RadSpec!BC7*s_t_b)))/(s_P*s_RadSpec!BC7))),".")</f>
        <v>19.870072460746407</v>
      </c>
      <c r="G7" s="72">
        <f>IFERROR(IF(d_ss_Bv!G7=0,".",((s_Ir*s_F*d_ss_Bv!G7*(1-EXP(-s_RadSpec!BC7*s_t_b)))/(s_P*s_RadSpec!BC7))),".")</f>
        <v>19.870072460746407</v>
      </c>
      <c r="H7" s="72">
        <f>IFERROR(IF(d_ss_Bv!H7=0,".",((s_Ir*s_F*d_ss_Bv!H7*(1-EXP(-s_RadSpec!BC7*s_t_b)))/(s_P*s_RadSpec!BC7))),".")</f>
        <v>19.870072460746407</v>
      </c>
      <c r="I7" s="72">
        <f>IFERROR(IF(d_ss_Bv!I7=0,".",((s_Ir*s_F*d_ss_Bv!I7*(1-EXP(-s_RadSpec!BC7*s_t_b)))/(s_P*s_RadSpec!BC7))),".")</f>
        <v>19.870072460746407</v>
      </c>
      <c r="J7" s="72">
        <f>IFERROR(IF(d_ss_Bv!J7=0,".",((s_Ir*s_F*d_ss_Bv!J7*(1-EXP(-s_RadSpec!BC7*s_t_b)))/(s_P*s_RadSpec!BC7))),".")</f>
        <v>19.870072460746407</v>
      </c>
      <c r="K7" s="72">
        <f>IFERROR(IF(d_ss_Bv!K7=0,".",((s_Ir*s_F*d_ss_Bv!K7*(1-EXP(-s_RadSpec!BC7*s_t_b)))/(s_P*s_RadSpec!BC7))),".")</f>
        <v>19.870072460746407</v>
      </c>
      <c r="L7" s="72">
        <f>IFERROR(IF(d_ss_Bv!L7=0,".",((s_Ir*s_F*d_ss_Bv!L7*(1-EXP(-s_RadSpec!BC7*s_t_b)))/(s_P*s_RadSpec!BC7))),".")</f>
        <v>19.870072460746407</v>
      </c>
      <c r="M7" s="72">
        <f>IFERROR(IF(d_ss_Bv!M7=0,".",((s_Ir*s_F*d_ss_Bv!M7*(1-EXP(-s_RadSpec!BC7*s_t_b)))/(s_P*s_RadSpec!BC7))),".")</f>
        <v>19.870072460746407</v>
      </c>
      <c r="N7" s="72">
        <f>IFERROR(IF(d_ss_Bv!N7=0,".",((s_Ir*s_F*d_ss_Bv!N7*(1-EXP(-s_RadSpec!BC7*s_t_b)))/(s_P*s_RadSpec!BC7))),".")</f>
        <v>19.870072460746407</v>
      </c>
      <c r="O7" s="72">
        <f>IFERROR(IF(d_ss_Bv!O7=0,".",((s_Ir*s_F*d_ss_Bv!O7*(1-EXP(-s_RadSpec!BC7*s_t_b)))/(s_P*s_RadSpec!BC7))),".")</f>
        <v>19.870072460746407</v>
      </c>
      <c r="P7" s="72">
        <f>IFERROR(IF(d_ss_Bv!P7=0,".",((s_Ir*s_F*d_ss_Bv!P7*(1-EXP(-s_RadSpec!BC7*s_t_b)))/(s_P*s_RadSpec!BC7))),".")</f>
        <v>19.870072460746407</v>
      </c>
      <c r="Q7" s="72">
        <f>IFERROR(IF(d_ss_Bv!Q7=0,".",((s_Ir*s_F*d_ss_Bv!Q7*(1-EXP(-s_RadSpec!BC7*s_t_b)))/(s_P*s_RadSpec!BC7))),".")</f>
        <v>19.870072460746407</v>
      </c>
      <c r="R7" s="72">
        <f>IFERROR(IF(d_ss_Bv!R7=0,".",((s_Ir*s_F*d_ss_Bv!R7*(1-EXP(-s_RadSpec!BC7*s_t_b)))/(s_P*s_RadSpec!BC7))),".")</f>
        <v>19.870072460746407</v>
      </c>
      <c r="S7" s="72">
        <f>IFERROR(IF(d_ss_Bv!S7=0,".",((s_Ir*s_F*d_ss_Bv!S7*(1-EXP(-s_RadSpec!BC7*s_t_b)))/(s_P*s_RadSpec!BC7))),".")</f>
        <v>19.870072460746407</v>
      </c>
      <c r="T7" s="72">
        <f>IFERROR(IF(d_ss_Bv!T7=0,".",((s_Ir*s_F*d_ss_Bv!T7*(1-EXP(-s_RadSpec!BC7*s_t_b)))/(s_P*s_RadSpec!BC7))),".")</f>
        <v>19.870072460746407</v>
      </c>
      <c r="U7" s="72">
        <f>IFERROR(IF(d_ss_Bv!U7=0,".",((s_Ir*s_F*d_ss_Bv!U7*(1-EXP(-s_RadSpec!BC7*s_t_b)))/(s_P*s_RadSpec!BC7))),".")</f>
        <v>19.870072460746407</v>
      </c>
      <c r="V7" s="72">
        <f>IFERROR(IF(d_ss_Bv!V7=0,".",((s_Ir*s_F*d_ss_Bv!V7*(1-EXP(-s_RadSpec!BC7*s_t_b)))/(s_P*s_RadSpec!BC7))),".")</f>
        <v>19.870072460746407</v>
      </c>
      <c r="W7" s="72">
        <f>IFERROR(IF(d_ss_Bv!W7=0,".",((s_Ir*s_F*d_ss_Bv!W7*(1-EXP(-s_RadSpec!BC7*s_t_b)))/(s_P*s_RadSpec!BC7))),".")</f>
        <v>19.870072460746407</v>
      </c>
      <c r="X7" s="72">
        <f>IFERROR(IF(d_ss_Bv!X7=0,".",((s_Ir*s_F*d_ss_Bv!X7*(1-EXP(-s_RadSpec!BC7*s_t_b)))/(s_P*s_RadSpec!BC7))),".")</f>
        <v>19.870072460746407</v>
      </c>
      <c r="Y7" s="72">
        <f>IFERROR(IF(d_ss_Bv!Y7=0,".",((s_Ir*s_F*d_ss_Bv!Y7*(1-EXP(-s_RadSpec!BC7*s_t_b)))/(s_P*s_RadSpec!BC7))),".")</f>
        <v>19.870072460746407</v>
      </c>
      <c r="Z7" s="72">
        <f>IFERROR(IF(d_ss_Bv!Z7=0,".",((s_Ir*s_F*d_ss_Bv!Z7*(1-EXP(-s_RadSpec!BC7*s_t_b)))/(s_P*s_RadSpec!BC7))),".")</f>
        <v>19.870072460746407</v>
      </c>
      <c r="AA7" s="72">
        <f>IFERROR(IF(d_ss_Bv!C7=0,".",((s_Ir*s_F*s_MLF_apple*(1-EXP(-s_RadSpec!BC7*s_t_b)))/(s_P*s_RadSpec!BC7))),".")</f>
        <v>2.6824597822007652</v>
      </c>
      <c r="AB7" s="72">
        <f>IFERROR(IF(d_ss_Bv!D7=0,".",((s_Ir*s_F*s_MLF_asparagus*(1-EXP(-s_RadSpec!BC7*s_t_b)))/(s_P*s_RadSpec!BC7))),".")</f>
        <v>2.6824597822007652</v>
      </c>
      <c r="AC7" s="72">
        <f>IFERROR(IF(d_ss_Bv!E7=0,".",((s_Ir*s_F*s_MLF_beet*(1-EXP(-s_RadSpec!BC7*s_t_b)))/(s_P*s_RadSpec!BC7))),".")</f>
        <v>2.6824597822007652</v>
      </c>
      <c r="AD7" s="72">
        <f>IFERROR(IF(d_ss_Bv!F7=0,".",((s_Ir*s_F*s_MLF_berries*(1-EXP(-s_RadSpec!BC7*s_t_b)))/(s_P*s_RadSpec!BC7))),".")</f>
        <v>2.6824597822007652</v>
      </c>
      <c r="AE7" s="72">
        <f>IFERROR(IF(d_ss_Bv!G7=0,".",((s_Ir*s_F*s_MLF_broccoli*(1-EXP(-s_RadSpec!BC7*s_t_b)))/(s_P*s_RadSpec!BC7))),".")</f>
        <v>2.6824597822007652</v>
      </c>
      <c r="AF7" s="72">
        <f>IFERROR(IF(d_ss_Bv!H7=0,".",((s_Ir*s_F*s_MLF_cabbage*(1-EXP(-s_RadSpec!BC7*s_t_b)))/(s_P*s_RadSpec!BC7))),".")</f>
        <v>2.6824597822007652</v>
      </c>
      <c r="AG7" s="72">
        <f>IFERROR(IF(d_ss_Bv!I7=0,".",((s_Ir*s_F*s_MLF_carrot*(1-EXP(-s_RadSpec!BC7*s_t_b)))/(s_P*s_RadSpec!BC7))),".")</f>
        <v>2.6824597822007652</v>
      </c>
      <c r="AH7" s="72">
        <f>IFERROR(IF(d_ss_Bv!J7=0,".",((s_Ir*s_F*s_MLF_citrus*(1-EXP(-s_RadSpec!BC7*s_t_b)))/(s_P*s_RadSpec!BC7))),".")</f>
        <v>2.6824597822007652</v>
      </c>
      <c r="AI7" s="72">
        <f>IFERROR(IF(d_ss_Bv!K7=0,".",((s_Ir*s_F*s_MLF_corn*(1-EXP(-s_RadSpec!BC7*s_t_b)))/(s_P*s_RadSpec!BC7))),".")</f>
        <v>2.6824597822007652</v>
      </c>
      <c r="AJ7" s="72">
        <f>IFERROR(IF(d_ss_Bv!L7=0,".",((s_Ir*s_F*s_MLF_cucumber*(1-EXP(-s_RadSpec!BC7*s_t_b)))/(s_P*s_RadSpec!BC7))),".")</f>
        <v>2.6824597822007652</v>
      </c>
      <c r="AK7" s="72">
        <f>IFERROR(IF(d_ss_Bv!M7=0,".",((s_Ir*s_F*s_MLF_lettuce*(1-EXP(-s_RadSpec!BC7*s_t_b)))/(s_P*s_RadSpec!BC7))),".")</f>
        <v>2.6824597822007652</v>
      </c>
      <c r="AL7" s="72">
        <f>IFERROR(IF(d_ss_Bv!N7=0,".",((s_Ir*s_F*s_MLF_lima_bean*(1-EXP(-s_RadSpec!BC7*s_t_b)))/(s_P*s_RadSpec!BC7))),".")</f>
        <v>2.6824597822007652</v>
      </c>
      <c r="AM7" s="72">
        <f>IFERROR(IF(d_ss_Bv!O7=0,".",((s_Ir*s_F*s_MLF_okra*(1-EXP(-s_RadSpec!BC7*s_t_b)))/(s_P*s_RadSpec!BC7))),".")</f>
        <v>2.6824597822007652</v>
      </c>
      <c r="AN7" s="72">
        <f>IFERROR(IF(d_ss_Bv!P7=0,".",((s_Ir*s_F*s_MLF_onion*(1-EXP(-s_RadSpec!BC7*s_t_b)))/(s_P*s_RadSpec!BC7))),".")</f>
        <v>2.6824597822007652</v>
      </c>
      <c r="AO7" s="72">
        <f>IFERROR(IF(d_ss_Bv!Q7=0,".",((s_Ir*s_F*s_MLF_peach*(1-EXP(-s_RadSpec!BC7*s_t_b)))/(s_P*s_RadSpec!BC7))),".")</f>
        <v>2.6824597822007652</v>
      </c>
      <c r="AP7" s="72">
        <f>IFERROR(IF(d_ss_Bv!R7=0,".",((s_Ir*s_F*s_MLF_pear*(1-EXP(-s_RadSpec!BC7*s_t_b)))/(s_P*s_RadSpec!BC7))),".")</f>
        <v>2.6824597822007652</v>
      </c>
      <c r="AQ7" s="72">
        <f>IFERROR(IF(d_ss_Bv!S7=0,".",((s_Ir*s_F*s_MLF_peas*(1-EXP(-s_RadSpec!BC7*s_t_b)))/(s_P*s_RadSpec!BC7))),".")</f>
        <v>2.6824597822007652</v>
      </c>
      <c r="AR7" s="72">
        <f>IFERROR(IF(d_ss_Bv!T7=0,".",((s_Ir*s_F*s_MLF_potato*(1-EXP(-s_RadSpec!BC7*s_t_b)))/(s_P*s_RadSpec!BC7))),".")</f>
        <v>2.6824597822007652</v>
      </c>
      <c r="AS7" s="72">
        <f>IFERROR(IF(d_ss_Bv!U7=0,".",((s_Ir*s_F*s_MLF_pumpkin*(1-EXP(-s_RadSpec!BC7*s_t_b)))/(s_P*s_RadSpec!BC7))),".")</f>
        <v>2.6824597822007652</v>
      </c>
      <c r="AT7" s="72">
        <f>IFERROR(IF(d_ss_Bv!V7=0,".",((s_Ir*s_F*s_MLF_snap_bean*(1-EXP(-s_RadSpec!BC7*s_t_b)))/(s_P*s_RadSpec!BC7))),".")</f>
        <v>2.6824597822007652</v>
      </c>
      <c r="AU7" s="72">
        <f>IFERROR(IF(d_ss_Bv!W7=0,".",((s_Ir*s_F*s_MLF_strawberry*(1-EXP(-s_RadSpec!BC7*s_t_b)))/(s_P*s_RadSpec!BC7))),".")</f>
        <v>2.6824597822007652</v>
      </c>
      <c r="AV7" s="72">
        <f>IFERROR(IF(d_ss_Bv!X7=0,".",((s_Ir*s_F*s_MLF_tomato*(1-EXP(-s_RadSpec!BC7*s_t_b)))/(s_P*s_RadSpec!BC7))),".")</f>
        <v>2.6824597822007652</v>
      </c>
      <c r="AW7" s="72">
        <f>IFERROR(IF(d_ss_Bv!Y7=0,".",((s_Ir*s_F*s_MLF_rice*(1-EXP(-s_RadSpec!BC7*s_t_b)))/(s_P*s_RadSpec!BC7))),".")</f>
        <v>2.6824597822007652</v>
      </c>
      <c r="AX7" s="72">
        <f>IFERROR(IF(d_ss_Bv!Z7=0,".",((s_Ir*s_F*s_MLF_cereal*(1-EXP(-s_RadSpec!BC7*s_t_b)))/(s_P*s_RadSpec!BC7))),".")</f>
        <v>2.6824597822007652</v>
      </c>
      <c r="AY7" s="72">
        <f>IFERROR(IF(d_ss_Bv!C7=0,".",((s_Ir*s_F*s_I_f*s_T*(1-EXP(-s_RadSpec!BD7*s_t_v)))/(s_Y_v*s_RadSpec!BD7))),".")</f>
        <v>9.0143481925428208</v>
      </c>
      <c r="AZ7" s="72">
        <f>IFERROR(IF(d_ss_Bv!D7=0,".",((s_Ir*s_F*s_I_f*s_T*(1-EXP(-s_RadSpec!BD7*s_t_v)))/(s_Y_v*s_RadSpec!BD7))),".")</f>
        <v>9.0143481925428208</v>
      </c>
      <c r="BA7" s="72">
        <f>IFERROR(IF(d_ss_Bv!E7=0,".",((s_Ir*s_F*s_I_f*s_T*(1-EXP(-s_RadSpec!BD7*s_t_v)))/(s_Y_v*s_RadSpec!BD7))),".")</f>
        <v>9.0143481925428208</v>
      </c>
      <c r="BB7" s="72">
        <f>IFERROR(IF(d_ss_Bv!F7=0,".",((s_Ir*s_F*s_I_f*s_T*(1-EXP(-s_RadSpec!BD7*s_t_v)))/(s_Y_v*s_RadSpec!BD7))),".")</f>
        <v>9.0143481925428208</v>
      </c>
      <c r="BC7" s="72">
        <f>IFERROR(IF(d_ss_Bv!G7=0,".",((s_Ir*s_F*s_I_f*s_T*(1-EXP(-s_RadSpec!BD7*s_t_v)))/(s_Y_v*s_RadSpec!BD7))),".")</f>
        <v>9.0143481925428208</v>
      </c>
      <c r="BD7" s="72">
        <f>IFERROR(IF(d_ss_Bv!H7=0,".",((s_Ir*s_F*s_I_f*s_T*(1-EXP(-s_RadSpec!BD7*s_t_v)))/(s_Y_v*s_RadSpec!BD7))),".")</f>
        <v>9.0143481925428208</v>
      </c>
      <c r="BE7" s="72">
        <f>IFERROR(IF(d_ss_Bv!I7=0,".",((s_Ir*s_F*s_I_f*s_T*(1-EXP(-s_RadSpec!BD7*s_t_v)))/(s_Y_v*s_RadSpec!BD7))),".")</f>
        <v>9.0143481925428208</v>
      </c>
      <c r="BF7" s="72">
        <f>IFERROR(IF(d_ss_Bv!J7=0,".",((s_Ir*s_F*s_I_f*s_T*(1-EXP(-s_RadSpec!BD7*s_t_v)))/(s_Y_v*s_RadSpec!BD7))),".")</f>
        <v>9.0143481925428208</v>
      </c>
      <c r="BG7" s="72">
        <f>IFERROR(IF(d_ss_Bv!K7=0,".",((s_Ir*s_F*s_I_f*s_T*(1-EXP(-s_RadSpec!BD7*s_t_v)))/(s_Y_v*s_RadSpec!BD7))),".")</f>
        <v>9.0143481925428208</v>
      </c>
      <c r="BH7" s="72">
        <f>IFERROR(IF(d_ss_Bv!L7=0,".",((s_Ir*s_F*s_I_f*s_T*(1-EXP(-s_RadSpec!BD7*s_t_v)))/(s_Y_v*s_RadSpec!BD7))),".")</f>
        <v>9.0143481925428208</v>
      </c>
      <c r="BI7" s="72">
        <f>IFERROR(IF(d_ss_Bv!M7=0,".",((s_Ir*s_F*s_I_f*s_T*(1-EXP(-s_RadSpec!BD7*s_t_v)))/(s_Y_v*s_RadSpec!BD7))),".")</f>
        <v>9.0143481925428208</v>
      </c>
      <c r="BJ7" s="72">
        <f>IFERROR(IF(d_ss_Bv!N7=0,".",((s_Ir*s_F*s_I_f*s_T*(1-EXP(-s_RadSpec!BD7*s_t_v)))/(s_Y_v*s_RadSpec!BD7))),".")</f>
        <v>9.0143481925428208</v>
      </c>
      <c r="BK7" s="72">
        <f>IFERROR(IF(d_ss_Bv!O7=0,".",((s_Ir*s_F*s_I_f*s_T*(1-EXP(-s_RadSpec!BD7*s_t_v)))/(s_Y_v*s_RadSpec!BD7))),".")</f>
        <v>9.0143481925428208</v>
      </c>
      <c r="BL7" s="72">
        <f>IFERROR(IF(d_ss_Bv!P7=0,".",((s_Ir*s_F*s_I_f*s_T*(1-EXP(-s_RadSpec!BD7*s_t_v)))/(s_Y_v*s_RadSpec!BD7))),".")</f>
        <v>9.0143481925428208</v>
      </c>
      <c r="BM7" s="72">
        <f>IFERROR(IF(d_ss_Bv!Q7=0,".",((s_Ir*s_F*s_I_f*s_T*(1-EXP(-s_RadSpec!BD7*s_t_v)))/(s_Y_v*s_RadSpec!BD7))),".")</f>
        <v>9.0143481925428208</v>
      </c>
      <c r="BN7" s="72">
        <f>IFERROR(IF(d_ss_Bv!R7=0,".",((s_Ir*s_F*s_I_f*s_T*(1-EXP(-s_RadSpec!BD7*s_t_v)))/(s_Y_v*s_RadSpec!BD7))),".")</f>
        <v>9.0143481925428208</v>
      </c>
      <c r="BO7" s="72">
        <f>IFERROR(IF(d_ss_Bv!S7=0,".",((s_Ir*s_F*s_I_f*s_T*(1-EXP(-s_RadSpec!BD7*s_t_v)))/(s_Y_v*s_RadSpec!BD7))),".")</f>
        <v>9.0143481925428208</v>
      </c>
      <c r="BP7" s="72">
        <f>IFERROR(IF(d_ss_Bv!T7=0,".",((s_Ir*s_F*s_I_f*s_T*(1-EXP(-s_RadSpec!BD7*s_t_v)))/(s_Y_v*s_RadSpec!BD7))),".")</f>
        <v>9.0143481925428208</v>
      </c>
      <c r="BQ7" s="72">
        <f>IFERROR(IF(d_ss_Bv!U7=0,".",((s_Ir*s_F*s_I_f*s_T*(1-EXP(-s_RadSpec!BD7*s_t_v)))/(s_Y_v*s_RadSpec!BD7))),".")</f>
        <v>9.0143481925428208</v>
      </c>
      <c r="BR7" s="72">
        <f>IFERROR(IF(d_ss_Bv!V7=0,".",((s_Ir*s_F*s_I_f*s_T*(1-EXP(-s_RadSpec!BD7*s_t_v)))/(s_Y_v*s_RadSpec!BD7))),".")</f>
        <v>9.0143481925428208</v>
      </c>
      <c r="BS7" s="72">
        <f>IFERROR(IF(d_ss_Bv!W7=0,".",((s_Ir*s_F*s_I_f*s_T*(1-EXP(-s_RadSpec!BD7*s_t_v)))/(s_Y_v*s_RadSpec!BD7))),".")</f>
        <v>9.0143481925428208</v>
      </c>
      <c r="BT7" s="72">
        <f>IFERROR(IF(d_ss_Bv!X7=0,".",((s_Ir*s_F*s_I_f*s_T*(1-EXP(-s_RadSpec!BD7*s_t_v)))/(s_Y_v*s_RadSpec!BD7))),".")</f>
        <v>9.0143481925428208</v>
      </c>
      <c r="BU7" s="72">
        <f>IFERROR(IF(d_ss_Bv!Y7=0,".",((s_Ir*s_F*s_I_f*s_T*(1-EXP(-s_RadSpec!BD7*s_t_v)))/(s_Y_v*s_RadSpec!BD7))),".")</f>
        <v>9.0143481925428208</v>
      </c>
      <c r="BV7" s="72">
        <f>IFERROR(IF(d_ss_Bv!Z7=0,".",((s_Ir*s_F*s_I_f*s_T*(1-EXP(-s_RadSpec!BD7*s_t_v)))/(s_Y_v*s_RadSpec!BD7))),".")</f>
        <v>9.0143481925428208</v>
      </c>
    </row>
    <row r="8" spans="1:74" x14ac:dyDescent="0.25">
      <c r="A8" s="31" t="s">
        <v>6</v>
      </c>
      <c r="B8" s="3" t="s">
        <v>1059</v>
      </c>
      <c r="C8" s="72">
        <f>IFERROR(IF(d_ss_Bv!C8=0,".",((s_Ir*s_F*d_ss_Bv!C8*(1-EXP(-s_RadSpec!$BC8*s_t_b)))/(s_P*s_RadSpec!$BC8))),".")</f>
        <v>19.870072460746407</v>
      </c>
      <c r="D8" s="72">
        <f>IFERROR(IF(d_ss_Bv!D8=0,".",((s_Ir*s_F*d_ss_Bv!D8*(1-EXP(-s_RadSpec!BC8*s_t_b)))/(s_P*s_RadSpec!BC8))),".")</f>
        <v>19.870072460746407</v>
      </c>
      <c r="E8" s="72">
        <f>IFERROR(IF(d_ss_Bv!E8=0,".",((s_Ir*s_F*d_ss_Bv!E8*(1-EXP(-s_RadSpec!BC8*s_t_b)))/(s_P*s_RadSpec!BC8))),".")</f>
        <v>19.870072460746407</v>
      </c>
      <c r="F8" s="72">
        <f>IFERROR(IF(d_ss_Bv!F8=0,".",((s_Ir*s_F*d_ss_Bv!F8*(1-EXP(-s_RadSpec!BC8*s_t_b)))/(s_P*s_RadSpec!BC8))),".")</f>
        <v>19.870072460746407</v>
      </c>
      <c r="G8" s="72">
        <f>IFERROR(IF(d_ss_Bv!G8=0,".",((s_Ir*s_F*d_ss_Bv!G8*(1-EXP(-s_RadSpec!BC8*s_t_b)))/(s_P*s_RadSpec!BC8))),".")</f>
        <v>19.870072460746407</v>
      </c>
      <c r="H8" s="72">
        <f>IFERROR(IF(d_ss_Bv!H8=0,".",((s_Ir*s_F*d_ss_Bv!H8*(1-EXP(-s_RadSpec!BC8*s_t_b)))/(s_P*s_RadSpec!BC8))),".")</f>
        <v>19.870072460746407</v>
      </c>
      <c r="I8" s="72">
        <f>IFERROR(IF(d_ss_Bv!I8=0,".",((s_Ir*s_F*d_ss_Bv!I8*(1-EXP(-s_RadSpec!BC8*s_t_b)))/(s_P*s_RadSpec!BC8))),".")</f>
        <v>19.870072460746407</v>
      </c>
      <c r="J8" s="72">
        <f>IFERROR(IF(d_ss_Bv!J8=0,".",((s_Ir*s_F*d_ss_Bv!J8*(1-EXP(-s_RadSpec!BC8*s_t_b)))/(s_P*s_RadSpec!BC8))),".")</f>
        <v>19.870072460746407</v>
      </c>
      <c r="K8" s="72">
        <f>IFERROR(IF(d_ss_Bv!K8=0,".",((s_Ir*s_F*d_ss_Bv!K8*(1-EXP(-s_RadSpec!BC8*s_t_b)))/(s_P*s_RadSpec!BC8))),".")</f>
        <v>19.870072460746407</v>
      </c>
      <c r="L8" s="72">
        <f>IFERROR(IF(d_ss_Bv!L8=0,".",((s_Ir*s_F*d_ss_Bv!L8*(1-EXP(-s_RadSpec!BC8*s_t_b)))/(s_P*s_RadSpec!BC8))),".")</f>
        <v>19.870072460746407</v>
      </c>
      <c r="M8" s="72">
        <f>IFERROR(IF(d_ss_Bv!M8=0,".",((s_Ir*s_F*d_ss_Bv!M8*(1-EXP(-s_RadSpec!BC8*s_t_b)))/(s_P*s_RadSpec!BC8))),".")</f>
        <v>19.870072460746407</v>
      </c>
      <c r="N8" s="72">
        <f>IFERROR(IF(d_ss_Bv!N8=0,".",((s_Ir*s_F*d_ss_Bv!N8*(1-EXP(-s_RadSpec!BC8*s_t_b)))/(s_P*s_RadSpec!BC8))),".")</f>
        <v>19.870072460746407</v>
      </c>
      <c r="O8" s="72">
        <f>IFERROR(IF(d_ss_Bv!O8=0,".",((s_Ir*s_F*d_ss_Bv!O8*(1-EXP(-s_RadSpec!BC8*s_t_b)))/(s_P*s_RadSpec!BC8))),".")</f>
        <v>19.870072460746407</v>
      </c>
      <c r="P8" s="72">
        <f>IFERROR(IF(d_ss_Bv!P8=0,".",((s_Ir*s_F*d_ss_Bv!P8*(1-EXP(-s_RadSpec!BC8*s_t_b)))/(s_P*s_RadSpec!BC8))),".")</f>
        <v>19.870072460746407</v>
      </c>
      <c r="Q8" s="72">
        <f>IFERROR(IF(d_ss_Bv!Q8=0,".",((s_Ir*s_F*d_ss_Bv!Q8*(1-EXP(-s_RadSpec!BC8*s_t_b)))/(s_P*s_RadSpec!BC8))),".")</f>
        <v>19.870072460746407</v>
      </c>
      <c r="R8" s="72">
        <f>IFERROR(IF(d_ss_Bv!R8=0,".",((s_Ir*s_F*d_ss_Bv!R8*(1-EXP(-s_RadSpec!BC8*s_t_b)))/(s_P*s_RadSpec!BC8))),".")</f>
        <v>19.870072460746407</v>
      </c>
      <c r="S8" s="72">
        <f>IFERROR(IF(d_ss_Bv!S8=0,".",((s_Ir*s_F*d_ss_Bv!S8*(1-EXP(-s_RadSpec!BC8*s_t_b)))/(s_P*s_RadSpec!BC8))),".")</f>
        <v>19.870072460746407</v>
      </c>
      <c r="T8" s="72">
        <f>IFERROR(IF(d_ss_Bv!T8=0,".",((s_Ir*s_F*d_ss_Bv!T8*(1-EXP(-s_RadSpec!BC8*s_t_b)))/(s_P*s_RadSpec!BC8))),".")</f>
        <v>19.870072460746407</v>
      </c>
      <c r="U8" s="72">
        <f>IFERROR(IF(d_ss_Bv!U8=0,".",((s_Ir*s_F*d_ss_Bv!U8*(1-EXP(-s_RadSpec!BC8*s_t_b)))/(s_P*s_RadSpec!BC8))),".")</f>
        <v>19.870072460746407</v>
      </c>
      <c r="V8" s="72">
        <f>IFERROR(IF(d_ss_Bv!V8=0,".",((s_Ir*s_F*d_ss_Bv!V8*(1-EXP(-s_RadSpec!BC8*s_t_b)))/(s_P*s_RadSpec!BC8))),".")</f>
        <v>19.870072460746407</v>
      </c>
      <c r="W8" s="72">
        <f>IFERROR(IF(d_ss_Bv!W8=0,".",((s_Ir*s_F*d_ss_Bv!W8*(1-EXP(-s_RadSpec!BC8*s_t_b)))/(s_P*s_RadSpec!BC8))),".")</f>
        <v>19.870072460746407</v>
      </c>
      <c r="X8" s="72">
        <f>IFERROR(IF(d_ss_Bv!X8=0,".",((s_Ir*s_F*d_ss_Bv!X8*(1-EXP(-s_RadSpec!BC8*s_t_b)))/(s_P*s_RadSpec!BC8))),".")</f>
        <v>19.870072460746407</v>
      </c>
      <c r="Y8" s="72">
        <f>IFERROR(IF(d_ss_Bv!Y8=0,".",((s_Ir*s_F*d_ss_Bv!Y8*(1-EXP(-s_RadSpec!BC8*s_t_b)))/(s_P*s_RadSpec!BC8))),".")</f>
        <v>19.870072460746407</v>
      </c>
      <c r="Z8" s="72">
        <f>IFERROR(IF(d_ss_Bv!Z8=0,".",((s_Ir*s_F*d_ss_Bv!Z8*(1-EXP(-s_RadSpec!BC8*s_t_b)))/(s_P*s_RadSpec!BC8))),".")</f>
        <v>19.870072460746407</v>
      </c>
      <c r="AA8" s="72">
        <f>IFERROR(IF(d_ss_Bv!C8=0,".",((s_Ir*s_F*s_MLF_apple*(1-EXP(-s_RadSpec!BC8*s_t_b)))/(s_P*s_RadSpec!BC8))),".")</f>
        <v>2.6824597822007652</v>
      </c>
      <c r="AB8" s="72">
        <f>IFERROR(IF(d_ss_Bv!D8=0,".",((s_Ir*s_F*s_MLF_asparagus*(1-EXP(-s_RadSpec!BC8*s_t_b)))/(s_P*s_RadSpec!BC8))),".")</f>
        <v>2.6824597822007652</v>
      </c>
      <c r="AC8" s="72">
        <f>IFERROR(IF(d_ss_Bv!E8=0,".",((s_Ir*s_F*s_MLF_beet*(1-EXP(-s_RadSpec!BC8*s_t_b)))/(s_P*s_RadSpec!BC8))),".")</f>
        <v>2.6824597822007652</v>
      </c>
      <c r="AD8" s="72">
        <f>IFERROR(IF(d_ss_Bv!F8=0,".",((s_Ir*s_F*s_MLF_berries*(1-EXP(-s_RadSpec!BC8*s_t_b)))/(s_P*s_RadSpec!BC8))),".")</f>
        <v>2.6824597822007652</v>
      </c>
      <c r="AE8" s="72">
        <f>IFERROR(IF(d_ss_Bv!G8=0,".",((s_Ir*s_F*s_MLF_broccoli*(1-EXP(-s_RadSpec!BC8*s_t_b)))/(s_P*s_RadSpec!BC8))),".")</f>
        <v>2.6824597822007652</v>
      </c>
      <c r="AF8" s="72">
        <f>IFERROR(IF(d_ss_Bv!H8=0,".",((s_Ir*s_F*s_MLF_cabbage*(1-EXP(-s_RadSpec!BC8*s_t_b)))/(s_P*s_RadSpec!BC8))),".")</f>
        <v>2.6824597822007652</v>
      </c>
      <c r="AG8" s="72">
        <f>IFERROR(IF(d_ss_Bv!I8=0,".",((s_Ir*s_F*s_MLF_carrot*(1-EXP(-s_RadSpec!BC8*s_t_b)))/(s_P*s_RadSpec!BC8))),".")</f>
        <v>2.6824597822007652</v>
      </c>
      <c r="AH8" s="72">
        <f>IFERROR(IF(d_ss_Bv!J8=0,".",((s_Ir*s_F*s_MLF_citrus*(1-EXP(-s_RadSpec!BC8*s_t_b)))/(s_P*s_RadSpec!BC8))),".")</f>
        <v>2.6824597822007652</v>
      </c>
      <c r="AI8" s="72">
        <f>IFERROR(IF(d_ss_Bv!K8=0,".",((s_Ir*s_F*s_MLF_corn*(1-EXP(-s_RadSpec!BC8*s_t_b)))/(s_P*s_RadSpec!BC8))),".")</f>
        <v>2.6824597822007652</v>
      </c>
      <c r="AJ8" s="72">
        <f>IFERROR(IF(d_ss_Bv!L8=0,".",((s_Ir*s_F*s_MLF_cucumber*(1-EXP(-s_RadSpec!BC8*s_t_b)))/(s_P*s_RadSpec!BC8))),".")</f>
        <v>2.6824597822007652</v>
      </c>
      <c r="AK8" s="72">
        <f>IFERROR(IF(d_ss_Bv!M8=0,".",((s_Ir*s_F*s_MLF_lettuce*(1-EXP(-s_RadSpec!BC8*s_t_b)))/(s_P*s_RadSpec!BC8))),".")</f>
        <v>2.6824597822007652</v>
      </c>
      <c r="AL8" s="72">
        <f>IFERROR(IF(d_ss_Bv!N8=0,".",((s_Ir*s_F*s_MLF_lima_bean*(1-EXP(-s_RadSpec!BC8*s_t_b)))/(s_P*s_RadSpec!BC8))),".")</f>
        <v>2.6824597822007652</v>
      </c>
      <c r="AM8" s="72">
        <f>IFERROR(IF(d_ss_Bv!O8=0,".",((s_Ir*s_F*s_MLF_okra*(1-EXP(-s_RadSpec!BC8*s_t_b)))/(s_P*s_RadSpec!BC8))),".")</f>
        <v>2.6824597822007652</v>
      </c>
      <c r="AN8" s="72">
        <f>IFERROR(IF(d_ss_Bv!P8=0,".",((s_Ir*s_F*s_MLF_onion*(1-EXP(-s_RadSpec!BC8*s_t_b)))/(s_P*s_RadSpec!BC8))),".")</f>
        <v>2.6824597822007652</v>
      </c>
      <c r="AO8" s="72">
        <f>IFERROR(IF(d_ss_Bv!Q8=0,".",((s_Ir*s_F*s_MLF_peach*(1-EXP(-s_RadSpec!BC8*s_t_b)))/(s_P*s_RadSpec!BC8))),".")</f>
        <v>2.6824597822007652</v>
      </c>
      <c r="AP8" s="72">
        <f>IFERROR(IF(d_ss_Bv!R8=0,".",((s_Ir*s_F*s_MLF_pear*(1-EXP(-s_RadSpec!BC8*s_t_b)))/(s_P*s_RadSpec!BC8))),".")</f>
        <v>2.6824597822007652</v>
      </c>
      <c r="AQ8" s="72">
        <f>IFERROR(IF(d_ss_Bv!S8=0,".",((s_Ir*s_F*s_MLF_peas*(1-EXP(-s_RadSpec!BC8*s_t_b)))/(s_P*s_RadSpec!BC8))),".")</f>
        <v>2.6824597822007652</v>
      </c>
      <c r="AR8" s="72">
        <f>IFERROR(IF(d_ss_Bv!T8=0,".",((s_Ir*s_F*s_MLF_potato*(1-EXP(-s_RadSpec!BC8*s_t_b)))/(s_P*s_RadSpec!BC8))),".")</f>
        <v>2.6824597822007652</v>
      </c>
      <c r="AS8" s="72">
        <f>IFERROR(IF(d_ss_Bv!U8=0,".",((s_Ir*s_F*s_MLF_pumpkin*(1-EXP(-s_RadSpec!BC8*s_t_b)))/(s_P*s_RadSpec!BC8))),".")</f>
        <v>2.6824597822007652</v>
      </c>
      <c r="AT8" s="72">
        <f>IFERROR(IF(d_ss_Bv!V8=0,".",((s_Ir*s_F*s_MLF_snap_bean*(1-EXP(-s_RadSpec!BC8*s_t_b)))/(s_P*s_RadSpec!BC8))),".")</f>
        <v>2.6824597822007652</v>
      </c>
      <c r="AU8" s="72">
        <f>IFERROR(IF(d_ss_Bv!W8=0,".",((s_Ir*s_F*s_MLF_strawberry*(1-EXP(-s_RadSpec!BC8*s_t_b)))/(s_P*s_RadSpec!BC8))),".")</f>
        <v>2.6824597822007652</v>
      </c>
      <c r="AV8" s="72">
        <f>IFERROR(IF(d_ss_Bv!X8=0,".",((s_Ir*s_F*s_MLF_tomato*(1-EXP(-s_RadSpec!BC8*s_t_b)))/(s_P*s_RadSpec!BC8))),".")</f>
        <v>2.6824597822007652</v>
      </c>
      <c r="AW8" s="72">
        <f>IFERROR(IF(d_ss_Bv!Y8=0,".",((s_Ir*s_F*s_MLF_rice*(1-EXP(-s_RadSpec!BC8*s_t_b)))/(s_P*s_RadSpec!BC8))),".")</f>
        <v>2.6824597822007652</v>
      </c>
      <c r="AX8" s="72">
        <f>IFERROR(IF(d_ss_Bv!Z8=0,".",((s_Ir*s_F*s_MLF_cereal*(1-EXP(-s_RadSpec!BC8*s_t_b)))/(s_P*s_RadSpec!BC8))),".")</f>
        <v>2.6824597822007652</v>
      </c>
      <c r="AY8" s="72">
        <f>IFERROR(IF(d_ss_Bv!C8=0,".",((s_Ir*s_F*s_I_f*s_T*(1-EXP(-s_RadSpec!BD8*s_t_v)))/(s_Y_v*s_RadSpec!BD8))),".")</f>
        <v>9.0143481925428208</v>
      </c>
      <c r="AZ8" s="72">
        <f>IFERROR(IF(d_ss_Bv!D8=0,".",((s_Ir*s_F*s_I_f*s_T*(1-EXP(-s_RadSpec!BD8*s_t_v)))/(s_Y_v*s_RadSpec!BD8))),".")</f>
        <v>9.0143481925428208</v>
      </c>
      <c r="BA8" s="72">
        <f>IFERROR(IF(d_ss_Bv!E8=0,".",((s_Ir*s_F*s_I_f*s_T*(1-EXP(-s_RadSpec!BD8*s_t_v)))/(s_Y_v*s_RadSpec!BD8))),".")</f>
        <v>9.0143481925428208</v>
      </c>
      <c r="BB8" s="72">
        <f>IFERROR(IF(d_ss_Bv!F8=0,".",((s_Ir*s_F*s_I_f*s_T*(1-EXP(-s_RadSpec!BD8*s_t_v)))/(s_Y_v*s_RadSpec!BD8))),".")</f>
        <v>9.0143481925428208</v>
      </c>
      <c r="BC8" s="72">
        <f>IFERROR(IF(d_ss_Bv!G8=0,".",((s_Ir*s_F*s_I_f*s_T*(1-EXP(-s_RadSpec!BD8*s_t_v)))/(s_Y_v*s_RadSpec!BD8))),".")</f>
        <v>9.0143481925428208</v>
      </c>
      <c r="BD8" s="72">
        <f>IFERROR(IF(d_ss_Bv!H8=0,".",((s_Ir*s_F*s_I_f*s_T*(1-EXP(-s_RadSpec!BD8*s_t_v)))/(s_Y_v*s_RadSpec!BD8))),".")</f>
        <v>9.0143481925428208</v>
      </c>
      <c r="BE8" s="72">
        <f>IFERROR(IF(d_ss_Bv!I8=0,".",((s_Ir*s_F*s_I_f*s_T*(1-EXP(-s_RadSpec!BD8*s_t_v)))/(s_Y_v*s_RadSpec!BD8))),".")</f>
        <v>9.0143481925428208</v>
      </c>
      <c r="BF8" s="72">
        <f>IFERROR(IF(d_ss_Bv!J8=0,".",((s_Ir*s_F*s_I_f*s_T*(1-EXP(-s_RadSpec!BD8*s_t_v)))/(s_Y_v*s_RadSpec!BD8))),".")</f>
        <v>9.0143481925428208</v>
      </c>
      <c r="BG8" s="72">
        <f>IFERROR(IF(d_ss_Bv!K8=0,".",((s_Ir*s_F*s_I_f*s_T*(1-EXP(-s_RadSpec!BD8*s_t_v)))/(s_Y_v*s_RadSpec!BD8))),".")</f>
        <v>9.0143481925428208</v>
      </c>
      <c r="BH8" s="72">
        <f>IFERROR(IF(d_ss_Bv!L8=0,".",((s_Ir*s_F*s_I_f*s_T*(1-EXP(-s_RadSpec!BD8*s_t_v)))/(s_Y_v*s_RadSpec!BD8))),".")</f>
        <v>9.0143481925428208</v>
      </c>
      <c r="BI8" s="72">
        <f>IFERROR(IF(d_ss_Bv!M8=0,".",((s_Ir*s_F*s_I_f*s_T*(1-EXP(-s_RadSpec!BD8*s_t_v)))/(s_Y_v*s_RadSpec!BD8))),".")</f>
        <v>9.0143481925428208</v>
      </c>
      <c r="BJ8" s="72">
        <f>IFERROR(IF(d_ss_Bv!N8=0,".",((s_Ir*s_F*s_I_f*s_T*(1-EXP(-s_RadSpec!BD8*s_t_v)))/(s_Y_v*s_RadSpec!BD8))),".")</f>
        <v>9.0143481925428208</v>
      </c>
      <c r="BK8" s="72">
        <f>IFERROR(IF(d_ss_Bv!O8=0,".",((s_Ir*s_F*s_I_f*s_T*(1-EXP(-s_RadSpec!BD8*s_t_v)))/(s_Y_v*s_RadSpec!BD8))),".")</f>
        <v>9.0143481925428208</v>
      </c>
      <c r="BL8" s="72">
        <f>IFERROR(IF(d_ss_Bv!P8=0,".",((s_Ir*s_F*s_I_f*s_T*(1-EXP(-s_RadSpec!BD8*s_t_v)))/(s_Y_v*s_RadSpec!BD8))),".")</f>
        <v>9.0143481925428208</v>
      </c>
      <c r="BM8" s="72">
        <f>IFERROR(IF(d_ss_Bv!Q8=0,".",((s_Ir*s_F*s_I_f*s_T*(1-EXP(-s_RadSpec!BD8*s_t_v)))/(s_Y_v*s_RadSpec!BD8))),".")</f>
        <v>9.0143481925428208</v>
      </c>
      <c r="BN8" s="72">
        <f>IFERROR(IF(d_ss_Bv!R8=0,".",((s_Ir*s_F*s_I_f*s_T*(1-EXP(-s_RadSpec!BD8*s_t_v)))/(s_Y_v*s_RadSpec!BD8))),".")</f>
        <v>9.0143481925428208</v>
      </c>
      <c r="BO8" s="72">
        <f>IFERROR(IF(d_ss_Bv!S8=0,".",((s_Ir*s_F*s_I_f*s_T*(1-EXP(-s_RadSpec!BD8*s_t_v)))/(s_Y_v*s_RadSpec!BD8))),".")</f>
        <v>9.0143481925428208</v>
      </c>
      <c r="BP8" s="72">
        <f>IFERROR(IF(d_ss_Bv!T8=0,".",((s_Ir*s_F*s_I_f*s_T*(1-EXP(-s_RadSpec!BD8*s_t_v)))/(s_Y_v*s_RadSpec!BD8))),".")</f>
        <v>9.0143481925428208</v>
      </c>
      <c r="BQ8" s="72">
        <f>IFERROR(IF(d_ss_Bv!U8=0,".",((s_Ir*s_F*s_I_f*s_T*(1-EXP(-s_RadSpec!BD8*s_t_v)))/(s_Y_v*s_RadSpec!BD8))),".")</f>
        <v>9.0143481925428208</v>
      </c>
      <c r="BR8" s="72">
        <f>IFERROR(IF(d_ss_Bv!V8=0,".",((s_Ir*s_F*s_I_f*s_T*(1-EXP(-s_RadSpec!BD8*s_t_v)))/(s_Y_v*s_RadSpec!BD8))),".")</f>
        <v>9.0143481925428208</v>
      </c>
      <c r="BS8" s="72">
        <f>IFERROR(IF(d_ss_Bv!W8=0,".",((s_Ir*s_F*s_I_f*s_T*(1-EXP(-s_RadSpec!BD8*s_t_v)))/(s_Y_v*s_RadSpec!BD8))),".")</f>
        <v>9.0143481925428208</v>
      </c>
      <c r="BT8" s="72">
        <f>IFERROR(IF(d_ss_Bv!X8=0,".",((s_Ir*s_F*s_I_f*s_T*(1-EXP(-s_RadSpec!BD8*s_t_v)))/(s_Y_v*s_RadSpec!BD8))),".")</f>
        <v>9.0143481925428208</v>
      </c>
      <c r="BU8" s="72">
        <f>IFERROR(IF(d_ss_Bv!Y8=0,".",((s_Ir*s_F*s_I_f*s_T*(1-EXP(-s_RadSpec!BD8*s_t_v)))/(s_Y_v*s_RadSpec!BD8))),".")</f>
        <v>9.0143481925428208</v>
      </c>
      <c r="BV8" s="72">
        <f>IFERROR(IF(d_ss_Bv!Z8=0,".",((s_Ir*s_F*s_I_f*s_T*(1-EXP(-s_RadSpec!BD8*s_t_v)))/(s_Y_v*s_RadSpec!BD8))),".")</f>
        <v>9.0143481925428208</v>
      </c>
    </row>
    <row r="9" spans="1:74" x14ac:dyDescent="0.25">
      <c r="A9" s="31" t="s">
        <v>7</v>
      </c>
      <c r="B9" s="3" t="s">
        <v>1059</v>
      </c>
      <c r="C9" s="72">
        <f>IFERROR(IF(d_ss_Bv!C9=0,".",((s_Ir*s_F*d_ss_Bv!C9*(1-EXP(-s_RadSpec!$BC9*s_t_b)))/(s_P*s_RadSpec!$BC9))),".")</f>
        <v>19.870072460746407</v>
      </c>
      <c r="D9" s="72">
        <f>IFERROR(IF(d_ss_Bv!D9=0,".",((s_Ir*s_F*d_ss_Bv!D9*(1-EXP(-s_RadSpec!BC9*s_t_b)))/(s_P*s_RadSpec!BC9))),".")</f>
        <v>19.870072460746407</v>
      </c>
      <c r="E9" s="72">
        <f>IFERROR(IF(d_ss_Bv!E9=0,".",((s_Ir*s_F*d_ss_Bv!E9*(1-EXP(-s_RadSpec!BC9*s_t_b)))/(s_P*s_RadSpec!BC9))),".")</f>
        <v>19.870072460746407</v>
      </c>
      <c r="F9" s="72">
        <f>IFERROR(IF(d_ss_Bv!F9=0,".",((s_Ir*s_F*d_ss_Bv!F9*(1-EXP(-s_RadSpec!BC9*s_t_b)))/(s_P*s_RadSpec!BC9))),".")</f>
        <v>19.870072460746407</v>
      </c>
      <c r="G9" s="72">
        <f>IFERROR(IF(d_ss_Bv!G9=0,".",((s_Ir*s_F*d_ss_Bv!G9*(1-EXP(-s_RadSpec!BC9*s_t_b)))/(s_P*s_RadSpec!BC9))),".")</f>
        <v>19.870072460746407</v>
      </c>
      <c r="H9" s="72">
        <f>IFERROR(IF(d_ss_Bv!H9=0,".",((s_Ir*s_F*d_ss_Bv!H9*(1-EXP(-s_RadSpec!BC9*s_t_b)))/(s_P*s_RadSpec!BC9))),".")</f>
        <v>19.870072460746407</v>
      </c>
      <c r="I9" s="72">
        <f>IFERROR(IF(d_ss_Bv!I9=0,".",((s_Ir*s_F*d_ss_Bv!I9*(1-EXP(-s_RadSpec!BC9*s_t_b)))/(s_P*s_RadSpec!BC9))),".")</f>
        <v>19.870072460746407</v>
      </c>
      <c r="J9" s="72">
        <f>IFERROR(IF(d_ss_Bv!J9=0,".",((s_Ir*s_F*d_ss_Bv!J9*(1-EXP(-s_RadSpec!BC9*s_t_b)))/(s_P*s_RadSpec!BC9))),".")</f>
        <v>19.870072460746407</v>
      </c>
      <c r="K9" s="72">
        <f>IFERROR(IF(d_ss_Bv!K9=0,".",((s_Ir*s_F*d_ss_Bv!K9*(1-EXP(-s_RadSpec!BC9*s_t_b)))/(s_P*s_RadSpec!BC9))),".")</f>
        <v>19.870072460746407</v>
      </c>
      <c r="L9" s="72">
        <f>IFERROR(IF(d_ss_Bv!L9=0,".",((s_Ir*s_F*d_ss_Bv!L9*(1-EXP(-s_RadSpec!BC9*s_t_b)))/(s_P*s_RadSpec!BC9))),".")</f>
        <v>19.870072460746407</v>
      </c>
      <c r="M9" s="72">
        <f>IFERROR(IF(d_ss_Bv!M9=0,".",((s_Ir*s_F*d_ss_Bv!M9*(1-EXP(-s_RadSpec!BC9*s_t_b)))/(s_P*s_RadSpec!BC9))),".")</f>
        <v>19.870072460746407</v>
      </c>
      <c r="N9" s="72">
        <f>IFERROR(IF(d_ss_Bv!N9=0,".",((s_Ir*s_F*d_ss_Bv!N9*(1-EXP(-s_RadSpec!BC9*s_t_b)))/(s_P*s_RadSpec!BC9))),".")</f>
        <v>19.870072460746407</v>
      </c>
      <c r="O9" s="72">
        <f>IFERROR(IF(d_ss_Bv!O9=0,".",((s_Ir*s_F*d_ss_Bv!O9*(1-EXP(-s_RadSpec!BC9*s_t_b)))/(s_P*s_RadSpec!BC9))),".")</f>
        <v>19.870072460746407</v>
      </c>
      <c r="P9" s="72">
        <f>IFERROR(IF(d_ss_Bv!P9=0,".",((s_Ir*s_F*d_ss_Bv!P9*(1-EXP(-s_RadSpec!BC9*s_t_b)))/(s_P*s_RadSpec!BC9))),".")</f>
        <v>19.870072460746407</v>
      </c>
      <c r="Q9" s="72">
        <f>IFERROR(IF(d_ss_Bv!Q9=0,".",((s_Ir*s_F*d_ss_Bv!Q9*(1-EXP(-s_RadSpec!BC9*s_t_b)))/(s_P*s_RadSpec!BC9))),".")</f>
        <v>19.870072460746407</v>
      </c>
      <c r="R9" s="72">
        <f>IFERROR(IF(d_ss_Bv!R9=0,".",((s_Ir*s_F*d_ss_Bv!R9*(1-EXP(-s_RadSpec!BC9*s_t_b)))/(s_P*s_RadSpec!BC9))),".")</f>
        <v>19.870072460746407</v>
      </c>
      <c r="S9" s="72">
        <f>IFERROR(IF(d_ss_Bv!S9=0,".",((s_Ir*s_F*d_ss_Bv!S9*(1-EXP(-s_RadSpec!BC9*s_t_b)))/(s_P*s_RadSpec!BC9))),".")</f>
        <v>19.870072460746407</v>
      </c>
      <c r="T9" s="72">
        <f>IFERROR(IF(d_ss_Bv!T9=0,".",((s_Ir*s_F*d_ss_Bv!T9*(1-EXP(-s_RadSpec!BC9*s_t_b)))/(s_P*s_RadSpec!BC9))),".")</f>
        <v>19.870072460746407</v>
      </c>
      <c r="U9" s="72">
        <f>IFERROR(IF(d_ss_Bv!U9=0,".",((s_Ir*s_F*d_ss_Bv!U9*(1-EXP(-s_RadSpec!BC9*s_t_b)))/(s_P*s_RadSpec!BC9))),".")</f>
        <v>19.870072460746407</v>
      </c>
      <c r="V9" s="72">
        <f>IFERROR(IF(d_ss_Bv!V9=0,".",((s_Ir*s_F*d_ss_Bv!V9*(1-EXP(-s_RadSpec!BC9*s_t_b)))/(s_P*s_RadSpec!BC9))),".")</f>
        <v>19.870072460746407</v>
      </c>
      <c r="W9" s="72">
        <f>IFERROR(IF(d_ss_Bv!W9=0,".",((s_Ir*s_F*d_ss_Bv!W9*(1-EXP(-s_RadSpec!BC9*s_t_b)))/(s_P*s_RadSpec!BC9))),".")</f>
        <v>19.870072460746407</v>
      </c>
      <c r="X9" s="72">
        <f>IFERROR(IF(d_ss_Bv!X9=0,".",((s_Ir*s_F*d_ss_Bv!X9*(1-EXP(-s_RadSpec!BC9*s_t_b)))/(s_P*s_RadSpec!BC9))),".")</f>
        <v>19.870072460746407</v>
      </c>
      <c r="Y9" s="72">
        <f>IFERROR(IF(d_ss_Bv!Y9=0,".",((s_Ir*s_F*d_ss_Bv!Y9*(1-EXP(-s_RadSpec!BC9*s_t_b)))/(s_P*s_RadSpec!BC9))),".")</f>
        <v>19.870072460746407</v>
      </c>
      <c r="Z9" s="72">
        <f>IFERROR(IF(d_ss_Bv!Z9=0,".",((s_Ir*s_F*d_ss_Bv!Z9*(1-EXP(-s_RadSpec!BC9*s_t_b)))/(s_P*s_RadSpec!BC9))),".")</f>
        <v>19.870072460746407</v>
      </c>
      <c r="AA9" s="72">
        <f>IFERROR(IF(d_ss_Bv!C9=0,".",((s_Ir*s_F*s_MLF_apple*(1-EXP(-s_RadSpec!BC9*s_t_b)))/(s_P*s_RadSpec!BC9))),".")</f>
        <v>2.6824597822007652</v>
      </c>
      <c r="AB9" s="72">
        <f>IFERROR(IF(d_ss_Bv!D9=0,".",((s_Ir*s_F*s_MLF_asparagus*(1-EXP(-s_RadSpec!BC9*s_t_b)))/(s_P*s_RadSpec!BC9))),".")</f>
        <v>2.6824597822007652</v>
      </c>
      <c r="AC9" s="72">
        <f>IFERROR(IF(d_ss_Bv!E9=0,".",((s_Ir*s_F*s_MLF_beet*(1-EXP(-s_RadSpec!BC9*s_t_b)))/(s_P*s_RadSpec!BC9))),".")</f>
        <v>2.6824597822007652</v>
      </c>
      <c r="AD9" s="72">
        <f>IFERROR(IF(d_ss_Bv!F9=0,".",((s_Ir*s_F*s_MLF_berries*(1-EXP(-s_RadSpec!BC9*s_t_b)))/(s_P*s_RadSpec!BC9))),".")</f>
        <v>2.6824597822007652</v>
      </c>
      <c r="AE9" s="72">
        <f>IFERROR(IF(d_ss_Bv!G9=0,".",((s_Ir*s_F*s_MLF_broccoli*(1-EXP(-s_RadSpec!BC9*s_t_b)))/(s_P*s_RadSpec!BC9))),".")</f>
        <v>2.6824597822007652</v>
      </c>
      <c r="AF9" s="72">
        <f>IFERROR(IF(d_ss_Bv!H9=0,".",((s_Ir*s_F*s_MLF_cabbage*(1-EXP(-s_RadSpec!BC9*s_t_b)))/(s_P*s_RadSpec!BC9))),".")</f>
        <v>2.6824597822007652</v>
      </c>
      <c r="AG9" s="72">
        <f>IFERROR(IF(d_ss_Bv!I9=0,".",((s_Ir*s_F*s_MLF_carrot*(1-EXP(-s_RadSpec!BC9*s_t_b)))/(s_P*s_RadSpec!BC9))),".")</f>
        <v>2.6824597822007652</v>
      </c>
      <c r="AH9" s="72">
        <f>IFERROR(IF(d_ss_Bv!J9=0,".",((s_Ir*s_F*s_MLF_citrus*(1-EXP(-s_RadSpec!BC9*s_t_b)))/(s_P*s_RadSpec!BC9))),".")</f>
        <v>2.6824597822007652</v>
      </c>
      <c r="AI9" s="72">
        <f>IFERROR(IF(d_ss_Bv!K9=0,".",((s_Ir*s_F*s_MLF_corn*(1-EXP(-s_RadSpec!BC9*s_t_b)))/(s_P*s_RadSpec!BC9))),".")</f>
        <v>2.6824597822007652</v>
      </c>
      <c r="AJ9" s="72">
        <f>IFERROR(IF(d_ss_Bv!L9=0,".",((s_Ir*s_F*s_MLF_cucumber*(1-EXP(-s_RadSpec!BC9*s_t_b)))/(s_P*s_RadSpec!BC9))),".")</f>
        <v>2.6824597822007652</v>
      </c>
      <c r="AK9" s="72">
        <f>IFERROR(IF(d_ss_Bv!M9=0,".",((s_Ir*s_F*s_MLF_lettuce*(1-EXP(-s_RadSpec!BC9*s_t_b)))/(s_P*s_RadSpec!BC9))),".")</f>
        <v>2.6824597822007652</v>
      </c>
      <c r="AL9" s="72">
        <f>IFERROR(IF(d_ss_Bv!N9=0,".",((s_Ir*s_F*s_MLF_lima_bean*(1-EXP(-s_RadSpec!BC9*s_t_b)))/(s_P*s_RadSpec!BC9))),".")</f>
        <v>2.6824597822007652</v>
      </c>
      <c r="AM9" s="72">
        <f>IFERROR(IF(d_ss_Bv!O9=0,".",((s_Ir*s_F*s_MLF_okra*(1-EXP(-s_RadSpec!BC9*s_t_b)))/(s_P*s_RadSpec!BC9))),".")</f>
        <v>2.6824597822007652</v>
      </c>
      <c r="AN9" s="72">
        <f>IFERROR(IF(d_ss_Bv!P9=0,".",((s_Ir*s_F*s_MLF_onion*(1-EXP(-s_RadSpec!BC9*s_t_b)))/(s_P*s_RadSpec!BC9))),".")</f>
        <v>2.6824597822007652</v>
      </c>
      <c r="AO9" s="72">
        <f>IFERROR(IF(d_ss_Bv!Q9=0,".",((s_Ir*s_F*s_MLF_peach*(1-EXP(-s_RadSpec!BC9*s_t_b)))/(s_P*s_RadSpec!BC9))),".")</f>
        <v>2.6824597822007652</v>
      </c>
      <c r="AP9" s="72">
        <f>IFERROR(IF(d_ss_Bv!R9=0,".",((s_Ir*s_F*s_MLF_pear*(1-EXP(-s_RadSpec!BC9*s_t_b)))/(s_P*s_RadSpec!BC9))),".")</f>
        <v>2.6824597822007652</v>
      </c>
      <c r="AQ9" s="72">
        <f>IFERROR(IF(d_ss_Bv!S9=0,".",((s_Ir*s_F*s_MLF_peas*(1-EXP(-s_RadSpec!BC9*s_t_b)))/(s_P*s_RadSpec!BC9))),".")</f>
        <v>2.6824597822007652</v>
      </c>
      <c r="AR9" s="72">
        <f>IFERROR(IF(d_ss_Bv!T9=0,".",((s_Ir*s_F*s_MLF_potato*(1-EXP(-s_RadSpec!BC9*s_t_b)))/(s_P*s_RadSpec!BC9))),".")</f>
        <v>2.6824597822007652</v>
      </c>
      <c r="AS9" s="72">
        <f>IFERROR(IF(d_ss_Bv!U9=0,".",((s_Ir*s_F*s_MLF_pumpkin*(1-EXP(-s_RadSpec!BC9*s_t_b)))/(s_P*s_RadSpec!BC9))),".")</f>
        <v>2.6824597822007652</v>
      </c>
      <c r="AT9" s="72">
        <f>IFERROR(IF(d_ss_Bv!V9=0,".",((s_Ir*s_F*s_MLF_snap_bean*(1-EXP(-s_RadSpec!BC9*s_t_b)))/(s_P*s_RadSpec!BC9))),".")</f>
        <v>2.6824597822007652</v>
      </c>
      <c r="AU9" s="72">
        <f>IFERROR(IF(d_ss_Bv!W9=0,".",((s_Ir*s_F*s_MLF_strawberry*(1-EXP(-s_RadSpec!BC9*s_t_b)))/(s_P*s_RadSpec!BC9))),".")</f>
        <v>2.6824597822007652</v>
      </c>
      <c r="AV9" s="72">
        <f>IFERROR(IF(d_ss_Bv!X9=0,".",((s_Ir*s_F*s_MLF_tomato*(1-EXP(-s_RadSpec!BC9*s_t_b)))/(s_P*s_RadSpec!BC9))),".")</f>
        <v>2.6824597822007652</v>
      </c>
      <c r="AW9" s="72">
        <f>IFERROR(IF(d_ss_Bv!Y9=0,".",((s_Ir*s_F*s_MLF_rice*(1-EXP(-s_RadSpec!BC9*s_t_b)))/(s_P*s_RadSpec!BC9))),".")</f>
        <v>2.6824597822007652</v>
      </c>
      <c r="AX9" s="72">
        <f>IFERROR(IF(d_ss_Bv!Z9=0,".",((s_Ir*s_F*s_MLF_cereal*(1-EXP(-s_RadSpec!BC9*s_t_b)))/(s_P*s_RadSpec!BC9))),".")</f>
        <v>2.6824597822007652</v>
      </c>
      <c r="AY9" s="72">
        <f>IFERROR(IF(d_ss_Bv!C9=0,".",((s_Ir*s_F*s_I_f*s_T*(1-EXP(-s_RadSpec!BD9*s_t_v)))/(s_Y_v*s_RadSpec!BD9))),".")</f>
        <v>9.0143481925428208</v>
      </c>
      <c r="AZ9" s="72">
        <f>IFERROR(IF(d_ss_Bv!D9=0,".",((s_Ir*s_F*s_I_f*s_T*(1-EXP(-s_RadSpec!BD9*s_t_v)))/(s_Y_v*s_RadSpec!BD9))),".")</f>
        <v>9.0143481925428208</v>
      </c>
      <c r="BA9" s="72">
        <f>IFERROR(IF(d_ss_Bv!E9=0,".",((s_Ir*s_F*s_I_f*s_T*(1-EXP(-s_RadSpec!BD9*s_t_v)))/(s_Y_v*s_RadSpec!BD9))),".")</f>
        <v>9.0143481925428208</v>
      </c>
      <c r="BB9" s="72">
        <f>IFERROR(IF(d_ss_Bv!F9=0,".",((s_Ir*s_F*s_I_f*s_T*(1-EXP(-s_RadSpec!BD9*s_t_v)))/(s_Y_v*s_RadSpec!BD9))),".")</f>
        <v>9.0143481925428208</v>
      </c>
      <c r="BC9" s="72">
        <f>IFERROR(IF(d_ss_Bv!G9=0,".",((s_Ir*s_F*s_I_f*s_T*(1-EXP(-s_RadSpec!BD9*s_t_v)))/(s_Y_v*s_RadSpec!BD9))),".")</f>
        <v>9.0143481925428208</v>
      </c>
      <c r="BD9" s="72">
        <f>IFERROR(IF(d_ss_Bv!H9=0,".",((s_Ir*s_F*s_I_f*s_T*(1-EXP(-s_RadSpec!BD9*s_t_v)))/(s_Y_v*s_RadSpec!BD9))),".")</f>
        <v>9.0143481925428208</v>
      </c>
      <c r="BE9" s="72">
        <f>IFERROR(IF(d_ss_Bv!I9=0,".",((s_Ir*s_F*s_I_f*s_T*(1-EXP(-s_RadSpec!BD9*s_t_v)))/(s_Y_v*s_RadSpec!BD9))),".")</f>
        <v>9.0143481925428208</v>
      </c>
      <c r="BF9" s="72">
        <f>IFERROR(IF(d_ss_Bv!J9=0,".",((s_Ir*s_F*s_I_f*s_T*(1-EXP(-s_RadSpec!BD9*s_t_v)))/(s_Y_v*s_RadSpec!BD9))),".")</f>
        <v>9.0143481925428208</v>
      </c>
      <c r="BG9" s="72">
        <f>IFERROR(IF(d_ss_Bv!K9=0,".",((s_Ir*s_F*s_I_f*s_T*(1-EXP(-s_RadSpec!BD9*s_t_v)))/(s_Y_v*s_RadSpec!BD9))),".")</f>
        <v>9.0143481925428208</v>
      </c>
      <c r="BH9" s="72">
        <f>IFERROR(IF(d_ss_Bv!L9=0,".",((s_Ir*s_F*s_I_f*s_T*(1-EXP(-s_RadSpec!BD9*s_t_v)))/(s_Y_v*s_RadSpec!BD9))),".")</f>
        <v>9.0143481925428208</v>
      </c>
      <c r="BI9" s="72">
        <f>IFERROR(IF(d_ss_Bv!M9=0,".",((s_Ir*s_F*s_I_f*s_T*(1-EXP(-s_RadSpec!BD9*s_t_v)))/(s_Y_v*s_RadSpec!BD9))),".")</f>
        <v>9.0143481925428208</v>
      </c>
      <c r="BJ9" s="72">
        <f>IFERROR(IF(d_ss_Bv!N9=0,".",((s_Ir*s_F*s_I_f*s_T*(1-EXP(-s_RadSpec!BD9*s_t_v)))/(s_Y_v*s_RadSpec!BD9))),".")</f>
        <v>9.0143481925428208</v>
      </c>
      <c r="BK9" s="72">
        <f>IFERROR(IF(d_ss_Bv!O9=0,".",((s_Ir*s_F*s_I_f*s_T*(1-EXP(-s_RadSpec!BD9*s_t_v)))/(s_Y_v*s_RadSpec!BD9))),".")</f>
        <v>9.0143481925428208</v>
      </c>
      <c r="BL9" s="72">
        <f>IFERROR(IF(d_ss_Bv!P9=0,".",((s_Ir*s_F*s_I_f*s_T*(1-EXP(-s_RadSpec!BD9*s_t_v)))/(s_Y_v*s_RadSpec!BD9))),".")</f>
        <v>9.0143481925428208</v>
      </c>
      <c r="BM9" s="72">
        <f>IFERROR(IF(d_ss_Bv!Q9=0,".",((s_Ir*s_F*s_I_f*s_T*(1-EXP(-s_RadSpec!BD9*s_t_v)))/(s_Y_v*s_RadSpec!BD9))),".")</f>
        <v>9.0143481925428208</v>
      </c>
      <c r="BN9" s="72">
        <f>IFERROR(IF(d_ss_Bv!R9=0,".",((s_Ir*s_F*s_I_f*s_T*(1-EXP(-s_RadSpec!BD9*s_t_v)))/(s_Y_v*s_RadSpec!BD9))),".")</f>
        <v>9.0143481925428208</v>
      </c>
      <c r="BO9" s="72">
        <f>IFERROR(IF(d_ss_Bv!S9=0,".",((s_Ir*s_F*s_I_f*s_T*(1-EXP(-s_RadSpec!BD9*s_t_v)))/(s_Y_v*s_RadSpec!BD9))),".")</f>
        <v>9.0143481925428208</v>
      </c>
      <c r="BP9" s="72">
        <f>IFERROR(IF(d_ss_Bv!T9=0,".",((s_Ir*s_F*s_I_f*s_T*(1-EXP(-s_RadSpec!BD9*s_t_v)))/(s_Y_v*s_RadSpec!BD9))),".")</f>
        <v>9.0143481925428208</v>
      </c>
      <c r="BQ9" s="72">
        <f>IFERROR(IF(d_ss_Bv!U9=0,".",((s_Ir*s_F*s_I_f*s_T*(1-EXP(-s_RadSpec!BD9*s_t_v)))/(s_Y_v*s_RadSpec!BD9))),".")</f>
        <v>9.0143481925428208</v>
      </c>
      <c r="BR9" s="72">
        <f>IFERROR(IF(d_ss_Bv!V9=0,".",((s_Ir*s_F*s_I_f*s_T*(1-EXP(-s_RadSpec!BD9*s_t_v)))/(s_Y_v*s_RadSpec!BD9))),".")</f>
        <v>9.0143481925428208</v>
      </c>
      <c r="BS9" s="72">
        <f>IFERROR(IF(d_ss_Bv!W9=0,".",((s_Ir*s_F*s_I_f*s_T*(1-EXP(-s_RadSpec!BD9*s_t_v)))/(s_Y_v*s_RadSpec!BD9))),".")</f>
        <v>9.0143481925428208</v>
      </c>
      <c r="BT9" s="72">
        <f>IFERROR(IF(d_ss_Bv!X9=0,".",((s_Ir*s_F*s_I_f*s_T*(1-EXP(-s_RadSpec!BD9*s_t_v)))/(s_Y_v*s_RadSpec!BD9))),".")</f>
        <v>9.0143481925428208</v>
      </c>
      <c r="BU9" s="72">
        <f>IFERROR(IF(d_ss_Bv!Y9=0,".",((s_Ir*s_F*s_I_f*s_T*(1-EXP(-s_RadSpec!BD9*s_t_v)))/(s_Y_v*s_RadSpec!BD9))),".")</f>
        <v>9.0143481925428208</v>
      </c>
      <c r="BV9" s="72">
        <f>IFERROR(IF(d_ss_Bv!Z9=0,".",((s_Ir*s_F*s_I_f*s_T*(1-EXP(-s_RadSpec!BD9*s_t_v)))/(s_Y_v*s_RadSpec!BD9))),".")</f>
        <v>9.0143481925428208</v>
      </c>
    </row>
    <row r="10" spans="1:74" x14ac:dyDescent="0.25">
      <c r="A10" s="32" t="s">
        <v>8</v>
      </c>
      <c r="B10" s="3" t="s">
        <v>336</v>
      </c>
      <c r="C10" s="72">
        <f>IFERROR(IF(d_ss_Bv!C10=0,".",((s_Ir*s_F*d_ss_Bv!C10*(1-EXP(-s_RadSpec!$BC10*s_t_b)))/(s_P*s_RadSpec!$BC10))),".")</f>
        <v>1.1524642027232916</v>
      </c>
      <c r="D10" s="72">
        <f>IFERROR(IF(d_ss_Bv!D10=0,".",((s_Ir*s_F*d_ss_Bv!D10*(1-EXP(-s_RadSpec!BC10*s_t_b)))/(s_P*s_RadSpec!BC10))),".")</f>
        <v>11.922043476447843</v>
      </c>
      <c r="E10" s="72">
        <f>IFERROR(IF(d_ss_Bv!E10=0,".",((s_Ir*s_F*d_ss_Bv!E10*(1-EXP(-s_RadSpec!BC10*s_t_b)))/(s_P*s_RadSpec!BC10))),".")</f>
        <v>8.3454304335134921</v>
      </c>
      <c r="F10" s="72">
        <f>IFERROR(IF(d_ss_Bv!F10=0,".",((s_Ir*s_F*d_ss_Bv!F10*(1-EXP(-s_RadSpec!BC10*s_t_b)))/(s_P*s_RadSpec!BC10))),".")</f>
        <v>0.41727152167567449</v>
      </c>
      <c r="G10" s="72">
        <f>IFERROR(IF(d_ss_Bv!G10=0,".",((s_Ir*s_F*d_ss_Bv!G10*(1-EXP(-s_RadSpec!BC10*s_t_b)))/(s_P*s_RadSpec!BC10))),".")</f>
        <v>4.1727152167567461</v>
      </c>
      <c r="H10" s="72">
        <f>IFERROR(IF(d_ss_Bv!H10=0,".",((s_Ir*s_F*d_ss_Bv!H10*(1-EXP(-s_RadSpec!BC10*s_t_b)))/(s_P*s_RadSpec!BC10))),".")</f>
        <v>11.922043476447843</v>
      </c>
      <c r="I10" s="72">
        <f>IFERROR(IF(d_ss_Bv!I10=0,".",((s_Ir*s_F*d_ss_Bv!I10*(1-EXP(-s_RadSpec!BC10*s_t_b)))/(s_P*s_RadSpec!BC10))),".")</f>
        <v>8.3454304335134921</v>
      </c>
      <c r="J10" s="72">
        <f>IFERROR(IF(d_ss_Bv!J10=0,".",((s_Ir*s_F*d_ss_Bv!J10*(1-EXP(-s_RadSpec!BC10*s_t_b)))/(s_P*s_RadSpec!BC10))),".")</f>
        <v>1.1524642027232916</v>
      </c>
      <c r="K10" s="72">
        <f>IFERROR(IF(d_ss_Bv!K10=0,".",((s_Ir*s_F*d_ss_Bv!K10*(1-EXP(-s_RadSpec!BC10*s_t_b)))/(s_P*s_RadSpec!BC10))),".")</f>
        <v>6.5571239120463147</v>
      </c>
      <c r="L10" s="72">
        <f>IFERROR(IF(d_ss_Bv!L10=0,".",((s_Ir*s_F*d_ss_Bv!L10*(1-EXP(-s_RadSpec!BC10*s_t_b)))/(s_P*s_RadSpec!BC10))),".")</f>
        <v>4.1727152167567461</v>
      </c>
      <c r="M10" s="72">
        <f>IFERROR(IF(d_ss_Bv!M10=0,".",((s_Ir*s_F*d_ss_Bv!M10*(1-EXP(-s_RadSpec!BC10*s_t_b)))/(s_P*s_RadSpec!BC10))),".")</f>
        <v>11.922043476447843</v>
      </c>
      <c r="N10" s="72">
        <f>IFERROR(IF(d_ss_Bv!N10=0,".",((s_Ir*s_F*d_ss_Bv!N10*(1-EXP(-s_RadSpec!BC10*s_t_b)))/(s_P*s_RadSpec!BC10))),".")</f>
        <v>7.9480289842985634</v>
      </c>
      <c r="O10" s="72">
        <f>IFERROR(IF(d_ss_Bv!O10=0,".",((s_Ir*s_F*d_ss_Bv!O10*(1-EXP(-s_RadSpec!BC10*s_t_b)))/(s_P*s_RadSpec!BC10))),".")</f>
        <v>4.1727152167567461</v>
      </c>
      <c r="P10" s="72">
        <f>IFERROR(IF(d_ss_Bv!P10=0,".",((s_Ir*s_F*d_ss_Bv!P10*(1-EXP(-s_RadSpec!BC10*s_t_b)))/(s_P*s_RadSpec!BC10))),".")</f>
        <v>4.1727152167567461</v>
      </c>
      <c r="Q10" s="72">
        <f>IFERROR(IF(d_ss_Bv!Q10=0,".",((s_Ir*s_F*d_ss_Bv!Q10*(1-EXP(-s_RadSpec!BC10*s_t_b)))/(s_P*s_RadSpec!BC10))),".")</f>
        <v>1.1524642027232916</v>
      </c>
      <c r="R10" s="72">
        <f>IFERROR(IF(d_ss_Bv!R10=0,".",((s_Ir*s_F*d_ss_Bv!R10*(1-EXP(-s_RadSpec!BC10*s_t_b)))/(s_P*s_RadSpec!BC10))),".")</f>
        <v>1.1524642027232916</v>
      </c>
      <c r="S10" s="72">
        <f>IFERROR(IF(d_ss_Bv!S10=0,".",((s_Ir*s_F*d_ss_Bv!S10*(1-EXP(-s_RadSpec!BC10*s_t_b)))/(s_P*s_RadSpec!BC10))),".")</f>
        <v>7.9480289842985634</v>
      </c>
      <c r="T10" s="72">
        <f>IFERROR(IF(d_ss_Bv!T10=0,".",((s_Ir*s_F*d_ss_Bv!T10*(1-EXP(-s_RadSpec!BC10*s_t_b)))/(s_P*s_RadSpec!BC10))),".")</f>
        <v>11.127240578017989</v>
      </c>
      <c r="U10" s="72">
        <f>IFERROR(IF(d_ss_Bv!U10=0,".",((s_Ir*s_F*d_ss_Bv!U10*(1-EXP(-s_RadSpec!BC10*s_t_b)))/(s_P*s_RadSpec!BC10))),".")</f>
        <v>4.1727152167567461</v>
      </c>
      <c r="V10" s="72">
        <f>IFERROR(IF(d_ss_Bv!V10=0,".",((s_Ir*s_F*d_ss_Bv!V10*(1-EXP(-s_RadSpec!BC10*s_t_b)))/(s_P*s_RadSpec!BC10))),".")</f>
        <v>7.9480289842985634</v>
      </c>
      <c r="W10" s="72">
        <f>IFERROR(IF(d_ss_Bv!W10=0,".",((s_Ir*s_F*d_ss_Bv!W10*(1-EXP(-s_RadSpec!BC10*s_t_b)))/(s_P*s_RadSpec!BC10))),".")</f>
        <v>0.57623210136164582</v>
      </c>
      <c r="X10" s="72">
        <f>IFERROR(IF(d_ss_Bv!X10=0,".",((s_Ir*s_F*d_ss_Bv!X10*(1-EXP(-s_RadSpec!BC10*s_t_b)))/(s_P*s_RadSpec!BC10))),".")</f>
        <v>4.1727152167567461</v>
      </c>
      <c r="Y10" s="72">
        <f>IFERROR(IF(d_ss_Bv!Y10=0,".",((s_Ir*s_F*d_ss_Bv!Y10*(1-EXP(-s_RadSpec!BC10*s_t_b)))/(s_P*s_RadSpec!BC10))),".")</f>
        <v>0.14505152896344875</v>
      </c>
      <c r="Z10" s="72">
        <f>IFERROR(IF(d_ss_Bv!Z10=0,".",((s_Ir*s_F*d_ss_Bv!Z10*(1-EXP(-s_RadSpec!BC10*s_t_b)))/(s_P*s_RadSpec!BC10))),".")</f>
        <v>5.7623210136164591</v>
      </c>
      <c r="AA10" s="72">
        <f>IFERROR(IF(d_ss_Bv!C10=0,".",((s_Ir*s_F*s_MLF_apple*(1-EXP(-s_RadSpec!BC10*s_t_b)))/(s_P*s_RadSpec!BC10))),".")</f>
        <v>2.6824597822007652</v>
      </c>
      <c r="AB10" s="72">
        <f>IFERROR(IF(d_ss_Bv!D10=0,".",((s_Ir*s_F*s_MLF_asparagus*(1-EXP(-s_RadSpec!BC10*s_t_b)))/(s_P*s_RadSpec!BC10))),".")</f>
        <v>2.6824597822007652</v>
      </c>
      <c r="AC10" s="72">
        <f>IFERROR(IF(d_ss_Bv!E10=0,".",((s_Ir*s_F*s_MLF_beet*(1-EXP(-s_RadSpec!BC10*s_t_b)))/(s_P*s_RadSpec!BC10))),".")</f>
        <v>2.6824597822007652</v>
      </c>
      <c r="AD10" s="72">
        <f>IFERROR(IF(d_ss_Bv!F10=0,".",((s_Ir*s_F*s_MLF_berries*(1-EXP(-s_RadSpec!BC10*s_t_b)))/(s_P*s_RadSpec!BC10))),".")</f>
        <v>2.6824597822007652</v>
      </c>
      <c r="AE10" s="72">
        <f>IFERROR(IF(d_ss_Bv!G10=0,".",((s_Ir*s_F*s_MLF_broccoli*(1-EXP(-s_RadSpec!BC10*s_t_b)))/(s_P*s_RadSpec!BC10))),".")</f>
        <v>2.6824597822007652</v>
      </c>
      <c r="AF10" s="72">
        <f>IFERROR(IF(d_ss_Bv!H10=0,".",((s_Ir*s_F*s_MLF_cabbage*(1-EXP(-s_RadSpec!BC10*s_t_b)))/(s_P*s_RadSpec!BC10))),".")</f>
        <v>2.6824597822007652</v>
      </c>
      <c r="AG10" s="72">
        <f>IFERROR(IF(d_ss_Bv!I10=0,".",((s_Ir*s_F*s_MLF_carrot*(1-EXP(-s_RadSpec!BC10*s_t_b)))/(s_P*s_RadSpec!BC10))),".")</f>
        <v>2.6824597822007652</v>
      </c>
      <c r="AH10" s="72">
        <f>IFERROR(IF(d_ss_Bv!J10=0,".",((s_Ir*s_F*s_MLF_citrus*(1-EXP(-s_RadSpec!BC10*s_t_b)))/(s_P*s_RadSpec!BC10))),".")</f>
        <v>2.6824597822007652</v>
      </c>
      <c r="AI10" s="72">
        <f>IFERROR(IF(d_ss_Bv!K10=0,".",((s_Ir*s_F*s_MLF_corn*(1-EXP(-s_RadSpec!BC10*s_t_b)))/(s_P*s_RadSpec!BC10))),".")</f>
        <v>2.6824597822007652</v>
      </c>
      <c r="AJ10" s="72">
        <f>IFERROR(IF(d_ss_Bv!L10=0,".",((s_Ir*s_F*s_MLF_cucumber*(1-EXP(-s_RadSpec!BC10*s_t_b)))/(s_P*s_RadSpec!BC10))),".")</f>
        <v>2.6824597822007652</v>
      </c>
      <c r="AK10" s="72">
        <f>IFERROR(IF(d_ss_Bv!M10=0,".",((s_Ir*s_F*s_MLF_lettuce*(1-EXP(-s_RadSpec!BC10*s_t_b)))/(s_P*s_RadSpec!BC10))),".")</f>
        <v>2.6824597822007652</v>
      </c>
      <c r="AL10" s="72">
        <f>IFERROR(IF(d_ss_Bv!N10=0,".",((s_Ir*s_F*s_MLF_lima_bean*(1-EXP(-s_RadSpec!BC10*s_t_b)))/(s_P*s_RadSpec!BC10))),".")</f>
        <v>2.6824597822007652</v>
      </c>
      <c r="AM10" s="72">
        <f>IFERROR(IF(d_ss_Bv!O10=0,".",((s_Ir*s_F*s_MLF_okra*(1-EXP(-s_RadSpec!BC10*s_t_b)))/(s_P*s_RadSpec!BC10))),".")</f>
        <v>2.6824597822007652</v>
      </c>
      <c r="AN10" s="72">
        <f>IFERROR(IF(d_ss_Bv!P10=0,".",((s_Ir*s_F*s_MLF_onion*(1-EXP(-s_RadSpec!BC10*s_t_b)))/(s_P*s_RadSpec!BC10))),".")</f>
        <v>2.6824597822007652</v>
      </c>
      <c r="AO10" s="72">
        <f>IFERROR(IF(d_ss_Bv!Q10=0,".",((s_Ir*s_F*s_MLF_peach*(1-EXP(-s_RadSpec!BC10*s_t_b)))/(s_P*s_RadSpec!BC10))),".")</f>
        <v>2.6824597822007652</v>
      </c>
      <c r="AP10" s="72">
        <f>IFERROR(IF(d_ss_Bv!R10=0,".",((s_Ir*s_F*s_MLF_pear*(1-EXP(-s_RadSpec!BC10*s_t_b)))/(s_P*s_RadSpec!BC10))),".")</f>
        <v>2.6824597822007652</v>
      </c>
      <c r="AQ10" s="72">
        <f>IFERROR(IF(d_ss_Bv!S10=0,".",((s_Ir*s_F*s_MLF_peas*(1-EXP(-s_RadSpec!BC10*s_t_b)))/(s_P*s_RadSpec!BC10))),".")</f>
        <v>2.6824597822007652</v>
      </c>
      <c r="AR10" s="72">
        <f>IFERROR(IF(d_ss_Bv!T10=0,".",((s_Ir*s_F*s_MLF_potato*(1-EXP(-s_RadSpec!BC10*s_t_b)))/(s_P*s_RadSpec!BC10))),".")</f>
        <v>2.6824597822007652</v>
      </c>
      <c r="AS10" s="72">
        <f>IFERROR(IF(d_ss_Bv!U10=0,".",((s_Ir*s_F*s_MLF_pumpkin*(1-EXP(-s_RadSpec!BC10*s_t_b)))/(s_P*s_RadSpec!BC10))),".")</f>
        <v>2.6824597822007652</v>
      </c>
      <c r="AT10" s="72">
        <f>IFERROR(IF(d_ss_Bv!V10=0,".",((s_Ir*s_F*s_MLF_snap_bean*(1-EXP(-s_RadSpec!BC10*s_t_b)))/(s_P*s_RadSpec!BC10))),".")</f>
        <v>2.6824597822007652</v>
      </c>
      <c r="AU10" s="72">
        <f>IFERROR(IF(d_ss_Bv!W10=0,".",((s_Ir*s_F*s_MLF_strawberry*(1-EXP(-s_RadSpec!BC10*s_t_b)))/(s_P*s_RadSpec!BC10))),".")</f>
        <v>2.6824597822007652</v>
      </c>
      <c r="AV10" s="72">
        <f>IFERROR(IF(d_ss_Bv!X10=0,".",((s_Ir*s_F*s_MLF_tomato*(1-EXP(-s_RadSpec!BC10*s_t_b)))/(s_P*s_RadSpec!BC10))),".")</f>
        <v>2.6824597822007652</v>
      </c>
      <c r="AW10" s="72">
        <f>IFERROR(IF(d_ss_Bv!Y10=0,".",((s_Ir*s_F*s_MLF_rice*(1-EXP(-s_RadSpec!BC10*s_t_b)))/(s_P*s_RadSpec!BC10))),".")</f>
        <v>2.6824597822007652</v>
      </c>
      <c r="AX10" s="72">
        <f>IFERROR(IF(d_ss_Bv!Z10=0,".",((s_Ir*s_F*s_MLF_cereal*(1-EXP(-s_RadSpec!BC10*s_t_b)))/(s_P*s_RadSpec!BC10))),".")</f>
        <v>2.6824597822007652</v>
      </c>
      <c r="AY10" s="72">
        <f>IFERROR(IF(d_ss_Bv!C10=0,".",((s_Ir*s_F*s_I_f*s_T*(1-EXP(-s_RadSpec!BD10*s_t_v)))/(s_Y_v*s_RadSpec!BD10))),".")</f>
        <v>9.0143481925428208</v>
      </c>
      <c r="AZ10" s="72">
        <f>IFERROR(IF(d_ss_Bv!D10=0,".",((s_Ir*s_F*s_I_f*s_T*(1-EXP(-s_RadSpec!BD10*s_t_v)))/(s_Y_v*s_RadSpec!BD10))),".")</f>
        <v>9.0143481925428208</v>
      </c>
      <c r="BA10" s="72">
        <f>IFERROR(IF(d_ss_Bv!E10=0,".",((s_Ir*s_F*s_I_f*s_T*(1-EXP(-s_RadSpec!BD10*s_t_v)))/(s_Y_v*s_RadSpec!BD10))),".")</f>
        <v>9.0143481925428208</v>
      </c>
      <c r="BB10" s="72">
        <f>IFERROR(IF(d_ss_Bv!F10=0,".",((s_Ir*s_F*s_I_f*s_T*(1-EXP(-s_RadSpec!BD10*s_t_v)))/(s_Y_v*s_RadSpec!BD10))),".")</f>
        <v>9.0143481925428208</v>
      </c>
      <c r="BC10" s="72">
        <f>IFERROR(IF(d_ss_Bv!G10=0,".",((s_Ir*s_F*s_I_f*s_T*(1-EXP(-s_RadSpec!BD10*s_t_v)))/(s_Y_v*s_RadSpec!BD10))),".")</f>
        <v>9.0143481925428208</v>
      </c>
      <c r="BD10" s="72">
        <f>IFERROR(IF(d_ss_Bv!H10=0,".",((s_Ir*s_F*s_I_f*s_T*(1-EXP(-s_RadSpec!BD10*s_t_v)))/(s_Y_v*s_RadSpec!BD10))),".")</f>
        <v>9.0143481925428208</v>
      </c>
      <c r="BE10" s="72">
        <f>IFERROR(IF(d_ss_Bv!I10=0,".",((s_Ir*s_F*s_I_f*s_T*(1-EXP(-s_RadSpec!BD10*s_t_v)))/(s_Y_v*s_RadSpec!BD10))),".")</f>
        <v>9.0143481925428208</v>
      </c>
      <c r="BF10" s="72">
        <f>IFERROR(IF(d_ss_Bv!J10=0,".",((s_Ir*s_F*s_I_f*s_T*(1-EXP(-s_RadSpec!BD10*s_t_v)))/(s_Y_v*s_RadSpec!BD10))),".")</f>
        <v>9.0143481925428208</v>
      </c>
      <c r="BG10" s="72">
        <f>IFERROR(IF(d_ss_Bv!K10=0,".",((s_Ir*s_F*s_I_f*s_T*(1-EXP(-s_RadSpec!BD10*s_t_v)))/(s_Y_v*s_RadSpec!BD10))),".")</f>
        <v>9.0143481925428208</v>
      </c>
      <c r="BH10" s="72">
        <f>IFERROR(IF(d_ss_Bv!L10=0,".",((s_Ir*s_F*s_I_f*s_T*(1-EXP(-s_RadSpec!BD10*s_t_v)))/(s_Y_v*s_RadSpec!BD10))),".")</f>
        <v>9.0143481925428208</v>
      </c>
      <c r="BI10" s="72">
        <f>IFERROR(IF(d_ss_Bv!M10=0,".",((s_Ir*s_F*s_I_f*s_T*(1-EXP(-s_RadSpec!BD10*s_t_v)))/(s_Y_v*s_RadSpec!BD10))),".")</f>
        <v>9.0143481925428208</v>
      </c>
      <c r="BJ10" s="72">
        <f>IFERROR(IF(d_ss_Bv!N10=0,".",((s_Ir*s_F*s_I_f*s_T*(1-EXP(-s_RadSpec!BD10*s_t_v)))/(s_Y_v*s_RadSpec!BD10))),".")</f>
        <v>9.0143481925428208</v>
      </c>
      <c r="BK10" s="72">
        <f>IFERROR(IF(d_ss_Bv!O10=0,".",((s_Ir*s_F*s_I_f*s_T*(1-EXP(-s_RadSpec!BD10*s_t_v)))/(s_Y_v*s_RadSpec!BD10))),".")</f>
        <v>9.0143481925428208</v>
      </c>
      <c r="BL10" s="72">
        <f>IFERROR(IF(d_ss_Bv!P10=0,".",((s_Ir*s_F*s_I_f*s_T*(1-EXP(-s_RadSpec!BD10*s_t_v)))/(s_Y_v*s_RadSpec!BD10))),".")</f>
        <v>9.0143481925428208</v>
      </c>
      <c r="BM10" s="72">
        <f>IFERROR(IF(d_ss_Bv!Q10=0,".",((s_Ir*s_F*s_I_f*s_T*(1-EXP(-s_RadSpec!BD10*s_t_v)))/(s_Y_v*s_RadSpec!BD10))),".")</f>
        <v>9.0143481925428208</v>
      </c>
      <c r="BN10" s="72">
        <f>IFERROR(IF(d_ss_Bv!R10=0,".",((s_Ir*s_F*s_I_f*s_T*(1-EXP(-s_RadSpec!BD10*s_t_v)))/(s_Y_v*s_RadSpec!BD10))),".")</f>
        <v>9.0143481925428208</v>
      </c>
      <c r="BO10" s="72">
        <f>IFERROR(IF(d_ss_Bv!S10=0,".",((s_Ir*s_F*s_I_f*s_T*(1-EXP(-s_RadSpec!BD10*s_t_v)))/(s_Y_v*s_RadSpec!BD10))),".")</f>
        <v>9.0143481925428208</v>
      </c>
      <c r="BP10" s="72">
        <f>IFERROR(IF(d_ss_Bv!T10=0,".",((s_Ir*s_F*s_I_f*s_T*(1-EXP(-s_RadSpec!BD10*s_t_v)))/(s_Y_v*s_RadSpec!BD10))),".")</f>
        <v>9.0143481925428208</v>
      </c>
      <c r="BQ10" s="72">
        <f>IFERROR(IF(d_ss_Bv!U10=0,".",((s_Ir*s_F*s_I_f*s_T*(1-EXP(-s_RadSpec!BD10*s_t_v)))/(s_Y_v*s_RadSpec!BD10))),".")</f>
        <v>9.0143481925428208</v>
      </c>
      <c r="BR10" s="72">
        <f>IFERROR(IF(d_ss_Bv!V10=0,".",((s_Ir*s_F*s_I_f*s_T*(1-EXP(-s_RadSpec!BD10*s_t_v)))/(s_Y_v*s_RadSpec!BD10))),".")</f>
        <v>9.0143481925428208</v>
      </c>
      <c r="BS10" s="72">
        <f>IFERROR(IF(d_ss_Bv!W10=0,".",((s_Ir*s_F*s_I_f*s_T*(1-EXP(-s_RadSpec!BD10*s_t_v)))/(s_Y_v*s_RadSpec!BD10))),".")</f>
        <v>9.0143481925428208</v>
      </c>
      <c r="BT10" s="72">
        <f>IFERROR(IF(d_ss_Bv!X10=0,".",((s_Ir*s_F*s_I_f*s_T*(1-EXP(-s_RadSpec!BD10*s_t_v)))/(s_Y_v*s_RadSpec!BD10))),".")</f>
        <v>9.0143481925428208</v>
      </c>
      <c r="BU10" s="72">
        <f>IFERROR(IF(d_ss_Bv!Y10=0,".",((s_Ir*s_F*s_I_f*s_T*(1-EXP(-s_RadSpec!BD10*s_t_v)))/(s_Y_v*s_RadSpec!BD10))),".")</f>
        <v>9.0143481925428208</v>
      </c>
      <c r="BV10" s="72">
        <f>IFERROR(IF(d_ss_Bv!Z10=0,".",((s_Ir*s_F*s_I_f*s_T*(1-EXP(-s_RadSpec!BD10*s_t_v)))/(s_Y_v*s_RadSpec!BD10))),".")</f>
        <v>9.0143481925428208</v>
      </c>
    </row>
    <row r="11" spans="1:74" x14ac:dyDescent="0.25">
      <c r="A11" s="31" t="s">
        <v>9</v>
      </c>
      <c r="B11" s="3" t="s">
        <v>1059</v>
      </c>
      <c r="C11" s="72">
        <f>IFERROR(IF(d_ss_Bv!C11=0,".",((s_Ir*s_F*d_ss_Bv!C11*(1-EXP(-s_RadSpec!$BC11*s_t_b)))/(s_P*s_RadSpec!$BC11))),".")</f>
        <v>5.9610217382239217</v>
      </c>
      <c r="D11" s="72">
        <f>IFERROR(IF(d_ss_Bv!D11=0,".",((s_Ir*s_F*d_ss_Bv!D11*(1-EXP(-s_RadSpec!BC11*s_t_b)))/(s_P*s_RadSpec!BC11))),".")</f>
        <v>5.9610217382239217</v>
      </c>
      <c r="E11" s="72">
        <f>IFERROR(IF(d_ss_Bv!E11=0,".",((s_Ir*s_F*d_ss_Bv!E11*(1-EXP(-s_RadSpec!BC11*s_t_b)))/(s_P*s_RadSpec!BC11))),".")</f>
        <v>5.9610217382239217</v>
      </c>
      <c r="F11" s="72">
        <f>IFERROR(IF(d_ss_Bv!F11=0,".",((s_Ir*s_F*d_ss_Bv!F11*(1-EXP(-s_RadSpec!BC11*s_t_b)))/(s_P*s_RadSpec!BC11))),".")</f>
        <v>5.9610217382239217</v>
      </c>
      <c r="G11" s="72">
        <f>IFERROR(IF(d_ss_Bv!G11=0,".",((s_Ir*s_F*d_ss_Bv!G11*(1-EXP(-s_RadSpec!BC11*s_t_b)))/(s_P*s_RadSpec!BC11))),".")</f>
        <v>5.9610217382239217</v>
      </c>
      <c r="H11" s="72">
        <f>IFERROR(IF(d_ss_Bv!H11=0,".",((s_Ir*s_F*d_ss_Bv!H11*(1-EXP(-s_RadSpec!BC11*s_t_b)))/(s_P*s_RadSpec!BC11))),".")</f>
        <v>5.9610217382239217</v>
      </c>
      <c r="I11" s="72">
        <f>IFERROR(IF(d_ss_Bv!I11=0,".",((s_Ir*s_F*d_ss_Bv!I11*(1-EXP(-s_RadSpec!BC11*s_t_b)))/(s_P*s_RadSpec!BC11))),".")</f>
        <v>5.9610217382239217</v>
      </c>
      <c r="J11" s="72">
        <f>IFERROR(IF(d_ss_Bv!J11=0,".",((s_Ir*s_F*d_ss_Bv!J11*(1-EXP(-s_RadSpec!BC11*s_t_b)))/(s_P*s_RadSpec!BC11))),".")</f>
        <v>5.9610217382239217</v>
      </c>
      <c r="K11" s="72">
        <f>IFERROR(IF(d_ss_Bv!K11=0,".",((s_Ir*s_F*d_ss_Bv!K11*(1-EXP(-s_RadSpec!BC11*s_t_b)))/(s_P*s_RadSpec!BC11))),".")</f>
        <v>5.9610217382239217</v>
      </c>
      <c r="L11" s="72">
        <f>IFERROR(IF(d_ss_Bv!L11=0,".",((s_Ir*s_F*d_ss_Bv!L11*(1-EXP(-s_RadSpec!BC11*s_t_b)))/(s_P*s_RadSpec!BC11))),".")</f>
        <v>5.9610217382239217</v>
      </c>
      <c r="M11" s="72">
        <f>IFERROR(IF(d_ss_Bv!M11=0,".",((s_Ir*s_F*d_ss_Bv!M11*(1-EXP(-s_RadSpec!BC11*s_t_b)))/(s_P*s_RadSpec!BC11))),".")</f>
        <v>5.9610217382239217</v>
      </c>
      <c r="N11" s="72">
        <f>IFERROR(IF(d_ss_Bv!N11=0,".",((s_Ir*s_F*d_ss_Bv!N11*(1-EXP(-s_RadSpec!BC11*s_t_b)))/(s_P*s_RadSpec!BC11))),".")</f>
        <v>5.9610217382239217</v>
      </c>
      <c r="O11" s="72">
        <f>IFERROR(IF(d_ss_Bv!O11=0,".",((s_Ir*s_F*d_ss_Bv!O11*(1-EXP(-s_RadSpec!BC11*s_t_b)))/(s_P*s_RadSpec!BC11))),".")</f>
        <v>5.9610217382239217</v>
      </c>
      <c r="P11" s="72">
        <f>IFERROR(IF(d_ss_Bv!P11=0,".",((s_Ir*s_F*d_ss_Bv!P11*(1-EXP(-s_RadSpec!BC11*s_t_b)))/(s_P*s_RadSpec!BC11))),".")</f>
        <v>5.9610217382239217</v>
      </c>
      <c r="Q11" s="72">
        <f>IFERROR(IF(d_ss_Bv!Q11=0,".",((s_Ir*s_F*d_ss_Bv!Q11*(1-EXP(-s_RadSpec!BC11*s_t_b)))/(s_P*s_RadSpec!BC11))),".")</f>
        <v>5.9610217382239217</v>
      </c>
      <c r="R11" s="72">
        <f>IFERROR(IF(d_ss_Bv!R11=0,".",((s_Ir*s_F*d_ss_Bv!R11*(1-EXP(-s_RadSpec!BC11*s_t_b)))/(s_P*s_RadSpec!BC11))),".")</f>
        <v>5.9610217382239217</v>
      </c>
      <c r="S11" s="72">
        <f>IFERROR(IF(d_ss_Bv!S11=0,".",((s_Ir*s_F*d_ss_Bv!S11*(1-EXP(-s_RadSpec!BC11*s_t_b)))/(s_P*s_RadSpec!BC11))),".")</f>
        <v>5.9610217382239217</v>
      </c>
      <c r="T11" s="72">
        <f>IFERROR(IF(d_ss_Bv!T11=0,".",((s_Ir*s_F*d_ss_Bv!T11*(1-EXP(-s_RadSpec!BC11*s_t_b)))/(s_P*s_RadSpec!BC11))),".")</f>
        <v>5.9610217382239217</v>
      </c>
      <c r="U11" s="72">
        <f>IFERROR(IF(d_ss_Bv!U11=0,".",((s_Ir*s_F*d_ss_Bv!U11*(1-EXP(-s_RadSpec!BC11*s_t_b)))/(s_P*s_RadSpec!BC11))),".")</f>
        <v>5.9610217382239217</v>
      </c>
      <c r="V11" s="72">
        <f>IFERROR(IF(d_ss_Bv!V11=0,".",((s_Ir*s_F*d_ss_Bv!V11*(1-EXP(-s_RadSpec!BC11*s_t_b)))/(s_P*s_RadSpec!BC11))),".")</f>
        <v>5.9610217382239217</v>
      </c>
      <c r="W11" s="72">
        <f>IFERROR(IF(d_ss_Bv!W11=0,".",((s_Ir*s_F*d_ss_Bv!W11*(1-EXP(-s_RadSpec!BC11*s_t_b)))/(s_P*s_RadSpec!BC11))),".")</f>
        <v>5.9610217382239217</v>
      </c>
      <c r="X11" s="72">
        <f>IFERROR(IF(d_ss_Bv!X11=0,".",((s_Ir*s_F*d_ss_Bv!X11*(1-EXP(-s_RadSpec!BC11*s_t_b)))/(s_P*s_RadSpec!BC11))),".")</f>
        <v>5.9610217382239217</v>
      </c>
      <c r="Y11" s="72">
        <f>IFERROR(IF(d_ss_Bv!Y11=0,".",((s_Ir*s_F*d_ss_Bv!Y11*(1-EXP(-s_RadSpec!BC11*s_t_b)))/(s_P*s_RadSpec!BC11))),".")</f>
        <v>5.9610217382239217</v>
      </c>
      <c r="Z11" s="72">
        <f>IFERROR(IF(d_ss_Bv!Z11=0,".",((s_Ir*s_F*d_ss_Bv!Z11*(1-EXP(-s_RadSpec!BC11*s_t_b)))/(s_P*s_RadSpec!BC11))),".")</f>
        <v>5.9610217382239217</v>
      </c>
      <c r="AA11" s="72">
        <f>IFERROR(IF(d_ss_Bv!C11=0,".",((s_Ir*s_F*s_MLF_apple*(1-EXP(-s_RadSpec!BC11*s_t_b)))/(s_P*s_RadSpec!BC11))),".")</f>
        <v>2.6824597822007652</v>
      </c>
      <c r="AB11" s="72">
        <f>IFERROR(IF(d_ss_Bv!D11=0,".",((s_Ir*s_F*s_MLF_asparagus*(1-EXP(-s_RadSpec!BC11*s_t_b)))/(s_P*s_RadSpec!BC11))),".")</f>
        <v>2.6824597822007652</v>
      </c>
      <c r="AC11" s="72">
        <f>IFERROR(IF(d_ss_Bv!E11=0,".",((s_Ir*s_F*s_MLF_beet*(1-EXP(-s_RadSpec!BC11*s_t_b)))/(s_P*s_RadSpec!BC11))),".")</f>
        <v>2.6824597822007652</v>
      </c>
      <c r="AD11" s="72">
        <f>IFERROR(IF(d_ss_Bv!F11=0,".",((s_Ir*s_F*s_MLF_berries*(1-EXP(-s_RadSpec!BC11*s_t_b)))/(s_P*s_RadSpec!BC11))),".")</f>
        <v>2.6824597822007652</v>
      </c>
      <c r="AE11" s="72">
        <f>IFERROR(IF(d_ss_Bv!G11=0,".",((s_Ir*s_F*s_MLF_broccoli*(1-EXP(-s_RadSpec!BC11*s_t_b)))/(s_P*s_RadSpec!BC11))),".")</f>
        <v>2.6824597822007652</v>
      </c>
      <c r="AF11" s="72">
        <f>IFERROR(IF(d_ss_Bv!H11=0,".",((s_Ir*s_F*s_MLF_cabbage*(1-EXP(-s_RadSpec!BC11*s_t_b)))/(s_P*s_RadSpec!BC11))),".")</f>
        <v>2.6824597822007652</v>
      </c>
      <c r="AG11" s="72">
        <f>IFERROR(IF(d_ss_Bv!I11=0,".",((s_Ir*s_F*s_MLF_carrot*(1-EXP(-s_RadSpec!BC11*s_t_b)))/(s_P*s_RadSpec!BC11))),".")</f>
        <v>2.6824597822007652</v>
      </c>
      <c r="AH11" s="72">
        <f>IFERROR(IF(d_ss_Bv!J11=0,".",((s_Ir*s_F*s_MLF_citrus*(1-EXP(-s_RadSpec!BC11*s_t_b)))/(s_P*s_RadSpec!BC11))),".")</f>
        <v>2.6824597822007652</v>
      </c>
      <c r="AI11" s="72">
        <f>IFERROR(IF(d_ss_Bv!K11=0,".",((s_Ir*s_F*s_MLF_corn*(1-EXP(-s_RadSpec!BC11*s_t_b)))/(s_P*s_RadSpec!BC11))),".")</f>
        <v>2.6824597822007652</v>
      </c>
      <c r="AJ11" s="72">
        <f>IFERROR(IF(d_ss_Bv!L11=0,".",((s_Ir*s_F*s_MLF_cucumber*(1-EXP(-s_RadSpec!BC11*s_t_b)))/(s_P*s_RadSpec!BC11))),".")</f>
        <v>2.6824597822007652</v>
      </c>
      <c r="AK11" s="72">
        <f>IFERROR(IF(d_ss_Bv!M11=0,".",((s_Ir*s_F*s_MLF_lettuce*(1-EXP(-s_RadSpec!BC11*s_t_b)))/(s_P*s_RadSpec!BC11))),".")</f>
        <v>2.6824597822007652</v>
      </c>
      <c r="AL11" s="72">
        <f>IFERROR(IF(d_ss_Bv!N11=0,".",((s_Ir*s_F*s_MLF_lima_bean*(1-EXP(-s_RadSpec!BC11*s_t_b)))/(s_P*s_RadSpec!BC11))),".")</f>
        <v>2.6824597822007652</v>
      </c>
      <c r="AM11" s="72">
        <f>IFERROR(IF(d_ss_Bv!O11=0,".",((s_Ir*s_F*s_MLF_okra*(1-EXP(-s_RadSpec!BC11*s_t_b)))/(s_P*s_RadSpec!BC11))),".")</f>
        <v>2.6824597822007652</v>
      </c>
      <c r="AN11" s="72">
        <f>IFERROR(IF(d_ss_Bv!P11=0,".",((s_Ir*s_F*s_MLF_onion*(1-EXP(-s_RadSpec!BC11*s_t_b)))/(s_P*s_RadSpec!BC11))),".")</f>
        <v>2.6824597822007652</v>
      </c>
      <c r="AO11" s="72">
        <f>IFERROR(IF(d_ss_Bv!Q11=0,".",((s_Ir*s_F*s_MLF_peach*(1-EXP(-s_RadSpec!BC11*s_t_b)))/(s_P*s_RadSpec!BC11))),".")</f>
        <v>2.6824597822007652</v>
      </c>
      <c r="AP11" s="72">
        <f>IFERROR(IF(d_ss_Bv!R11=0,".",((s_Ir*s_F*s_MLF_pear*(1-EXP(-s_RadSpec!BC11*s_t_b)))/(s_P*s_RadSpec!BC11))),".")</f>
        <v>2.6824597822007652</v>
      </c>
      <c r="AQ11" s="72">
        <f>IFERROR(IF(d_ss_Bv!S11=0,".",((s_Ir*s_F*s_MLF_peas*(1-EXP(-s_RadSpec!BC11*s_t_b)))/(s_P*s_RadSpec!BC11))),".")</f>
        <v>2.6824597822007652</v>
      </c>
      <c r="AR11" s="72">
        <f>IFERROR(IF(d_ss_Bv!T11=0,".",((s_Ir*s_F*s_MLF_potato*(1-EXP(-s_RadSpec!BC11*s_t_b)))/(s_P*s_RadSpec!BC11))),".")</f>
        <v>2.6824597822007652</v>
      </c>
      <c r="AS11" s="72">
        <f>IFERROR(IF(d_ss_Bv!U11=0,".",((s_Ir*s_F*s_MLF_pumpkin*(1-EXP(-s_RadSpec!BC11*s_t_b)))/(s_P*s_RadSpec!BC11))),".")</f>
        <v>2.6824597822007652</v>
      </c>
      <c r="AT11" s="72">
        <f>IFERROR(IF(d_ss_Bv!V11=0,".",((s_Ir*s_F*s_MLF_snap_bean*(1-EXP(-s_RadSpec!BC11*s_t_b)))/(s_P*s_RadSpec!BC11))),".")</f>
        <v>2.6824597822007652</v>
      </c>
      <c r="AU11" s="72">
        <f>IFERROR(IF(d_ss_Bv!W11=0,".",((s_Ir*s_F*s_MLF_strawberry*(1-EXP(-s_RadSpec!BC11*s_t_b)))/(s_P*s_RadSpec!BC11))),".")</f>
        <v>2.6824597822007652</v>
      </c>
      <c r="AV11" s="72">
        <f>IFERROR(IF(d_ss_Bv!X11=0,".",((s_Ir*s_F*s_MLF_tomato*(1-EXP(-s_RadSpec!BC11*s_t_b)))/(s_P*s_RadSpec!BC11))),".")</f>
        <v>2.6824597822007652</v>
      </c>
      <c r="AW11" s="72">
        <f>IFERROR(IF(d_ss_Bv!Y11=0,".",((s_Ir*s_F*s_MLF_rice*(1-EXP(-s_RadSpec!BC11*s_t_b)))/(s_P*s_RadSpec!BC11))),".")</f>
        <v>2.6824597822007652</v>
      </c>
      <c r="AX11" s="72">
        <f>IFERROR(IF(d_ss_Bv!Z11=0,".",((s_Ir*s_F*s_MLF_cereal*(1-EXP(-s_RadSpec!BC11*s_t_b)))/(s_P*s_RadSpec!BC11))),".")</f>
        <v>2.6824597822007652</v>
      </c>
      <c r="AY11" s="72">
        <f>IFERROR(IF(d_ss_Bv!C11=0,".",((s_Ir*s_F*s_I_f*s_T*(1-EXP(-s_RadSpec!BD11*s_t_v)))/(s_Y_v*s_RadSpec!BD11))),".")</f>
        <v>9.0143481925428208</v>
      </c>
      <c r="AZ11" s="72">
        <f>IFERROR(IF(d_ss_Bv!D11=0,".",((s_Ir*s_F*s_I_f*s_T*(1-EXP(-s_RadSpec!BD11*s_t_v)))/(s_Y_v*s_RadSpec!BD11))),".")</f>
        <v>9.0143481925428208</v>
      </c>
      <c r="BA11" s="72">
        <f>IFERROR(IF(d_ss_Bv!E11=0,".",((s_Ir*s_F*s_I_f*s_T*(1-EXP(-s_RadSpec!BD11*s_t_v)))/(s_Y_v*s_RadSpec!BD11))),".")</f>
        <v>9.0143481925428208</v>
      </c>
      <c r="BB11" s="72">
        <f>IFERROR(IF(d_ss_Bv!F11=0,".",((s_Ir*s_F*s_I_f*s_T*(1-EXP(-s_RadSpec!BD11*s_t_v)))/(s_Y_v*s_RadSpec!BD11))),".")</f>
        <v>9.0143481925428208</v>
      </c>
      <c r="BC11" s="72">
        <f>IFERROR(IF(d_ss_Bv!G11=0,".",((s_Ir*s_F*s_I_f*s_T*(1-EXP(-s_RadSpec!BD11*s_t_v)))/(s_Y_v*s_RadSpec!BD11))),".")</f>
        <v>9.0143481925428208</v>
      </c>
      <c r="BD11" s="72">
        <f>IFERROR(IF(d_ss_Bv!H11=0,".",((s_Ir*s_F*s_I_f*s_T*(1-EXP(-s_RadSpec!BD11*s_t_v)))/(s_Y_v*s_RadSpec!BD11))),".")</f>
        <v>9.0143481925428208</v>
      </c>
      <c r="BE11" s="72">
        <f>IFERROR(IF(d_ss_Bv!I11=0,".",((s_Ir*s_F*s_I_f*s_T*(1-EXP(-s_RadSpec!BD11*s_t_v)))/(s_Y_v*s_RadSpec!BD11))),".")</f>
        <v>9.0143481925428208</v>
      </c>
      <c r="BF11" s="72">
        <f>IFERROR(IF(d_ss_Bv!J11=0,".",((s_Ir*s_F*s_I_f*s_T*(1-EXP(-s_RadSpec!BD11*s_t_v)))/(s_Y_v*s_RadSpec!BD11))),".")</f>
        <v>9.0143481925428208</v>
      </c>
      <c r="BG11" s="72">
        <f>IFERROR(IF(d_ss_Bv!K11=0,".",((s_Ir*s_F*s_I_f*s_T*(1-EXP(-s_RadSpec!BD11*s_t_v)))/(s_Y_v*s_RadSpec!BD11))),".")</f>
        <v>9.0143481925428208</v>
      </c>
      <c r="BH11" s="72">
        <f>IFERROR(IF(d_ss_Bv!L11=0,".",((s_Ir*s_F*s_I_f*s_T*(1-EXP(-s_RadSpec!BD11*s_t_v)))/(s_Y_v*s_RadSpec!BD11))),".")</f>
        <v>9.0143481925428208</v>
      </c>
      <c r="BI11" s="72">
        <f>IFERROR(IF(d_ss_Bv!M11=0,".",((s_Ir*s_F*s_I_f*s_T*(1-EXP(-s_RadSpec!BD11*s_t_v)))/(s_Y_v*s_RadSpec!BD11))),".")</f>
        <v>9.0143481925428208</v>
      </c>
      <c r="BJ11" s="72">
        <f>IFERROR(IF(d_ss_Bv!N11=0,".",((s_Ir*s_F*s_I_f*s_T*(1-EXP(-s_RadSpec!BD11*s_t_v)))/(s_Y_v*s_RadSpec!BD11))),".")</f>
        <v>9.0143481925428208</v>
      </c>
      <c r="BK11" s="72">
        <f>IFERROR(IF(d_ss_Bv!O11=0,".",((s_Ir*s_F*s_I_f*s_T*(1-EXP(-s_RadSpec!BD11*s_t_v)))/(s_Y_v*s_RadSpec!BD11))),".")</f>
        <v>9.0143481925428208</v>
      </c>
      <c r="BL11" s="72">
        <f>IFERROR(IF(d_ss_Bv!P11=0,".",((s_Ir*s_F*s_I_f*s_T*(1-EXP(-s_RadSpec!BD11*s_t_v)))/(s_Y_v*s_RadSpec!BD11))),".")</f>
        <v>9.0143481925428208</v>
      </c>
      <c r="BM11" s="72">
        <f>IFERROR(IF(d_ss_Bv!Q11=0,".",((s_Ir*s_F*s_I_f*s_T*(1-EXP(-s_RadSpec!BD11*s_t_v)))/(s_Y_v*s_RadSpec!BD11))),".")</f>
        <v>9.0143481925428208</v>
      </c>
      <c r="BN11" s="72">
        <f>IFERROR(IF(d_ss_Bv!R11=0,".",((s_Ir*s_F*s_I_f*s_T*(1-EXP(-s_RadSpec!BD11*s_t_v)))/(s_Y_v*s_RadSpec!BD11))),".")</f>
        <v>9.0143481925428208</v>
      </c>
      <c r="BO11" s="72">
        <f>IFERROR(IF(d_ss_Bv!S11=0,".",((s_Ir*s_F*s_I_f*s_T*(1-EXP(-s_RadSpec!BD11*s_t_v)))/(s_Y_v*s_RadSpec!BD11))),".")</f>
        <v>9.0143481925428208</v>
      </c>
      <c r="BP11" s="72">
        <f>IFERROR(IF(d_ss_Bv!T11=0,".",((s_Ir*s_F*s_I_f*s_T*(1-EXP(-s_RadSpec!BD11*s_t_v)))/(s_Y_v*s_RadSpec!BD11))),".")</f>
        <v>9.0143481925428208</v>
      </c>
      <c r="BQ11" s="72">
        <f>IFERROR(IF(d_ss_Bv!U11=0,".",((s_Ir*s_F*s_I_f*s_T*(1-EXP(-s_RadSpec!BD11*s_t_v)))/(s_Y_v*s_RadSpec!BD11))),".")</f>
        <v>9.0143481925428208</v>
      </c>
      <c r="BR11" s="72">
        <f>IFERROR(IF(d_ss_Bv!V11=0,".",((s_Ir*s_F*s_I_f*s_T*(1-EXP(-s_RadSpec!BD11*s_t_v)))/(s_Y_v*s_RadSpec!BD11))),".")</f>
        <v>9.0143481925428208</v>
      </c>
      <c r="BS11" s="72">
        <f>IFERROR(IF(d_ss_Bv!W11=0,".",((s_Ir*s_F*s_I_f*s_T*(1-EXP(-s_RadSpec!BD11*s_t_v)))/(s_Y_v*s_RadSpec!BD11))),".")</f>
        <v>9.0143481925428208</v>
      </c>
      <c r="BT11" s="72">
        <f>IFERROR(IF(d_ss_Bv!X11=0,".",((s_Ir*s_F*s_I_f*s_T*(1-EXP(-s_RadSpec!BD11*s_t_v)))/(s_Y_v*s_RadSpec!BD11))),".")</f>
        <v>9.0143481925428208</v>
      </c>
      <c r="BU11" s="72">
        <f>IFERROR(IF(d_ss_Bv!Y11=0,".",((s_Ir*s_F*s_I_f*s_T*(1-EXP(-s_RadSpec!BD11*s_t_v)))/(s_Y_v*s_RadSpec!BD11))),".")</f>
        <v>9.0143481925428208</v>
      </c>
      <c r="BV11" s="72">
        <f>IFERROR(IF(d_ss_Bv!Z11=0,".",((s_Ir*s_F*s_I_f*s_T*(1-EXP(-s_RadSpec!BD11*s_t_v)))/(s_Y_v*s_RadSpec!BD11))),".")</f>
        <v>9.0143481925428208</v>
      </c>
    </row>
    <row r="12" spans="1:74" x14ac:dyDescent="0.25">
      <c r="A12" s="31" t="s">
        <v>10</v>
      </c>
      <c r="B12" s="3" t="s">
        <v>1059</v>
      </c>
      <c r="C12" s="72">
        <f>IFERROR(IF(d_ss_Bv!C12=0,".",((s_Ir*s_F*d_ss_Bv!C12*(1-EXP(-s_RadSpec!$BC12*s_t_b)))/(s_P*s_RadSpec!$BC12))),".")</f>
        <v>59.61021738223922</v>
      </c>
      <c r="D12" s="72">
        <f>IFERROR(IF(d_ss_Bv!D12=0,".",((s_Ir*s_F*d_ss_Bv!D12*(1-EXP(-s_RadSpec!BC12*s_t_b)))/(s_P*s_RadSpec!BC12))),".")</f>
        <v>59.61021738223922</v>
      </c>
      <c r="E12" s="72">
        <f>IFERROR(IF(d_ss_Bv!E12=0,".",((s_Ir*s_F*d_ss_Bv!E12*(1-EXP(-s_RadSpec!BC12*s_t_b)))/(s_P*s_RadSpec!BC12))),".")</f>
        <v>59.61021738223922</v>
      </c>
      <c r="F12" s="72">
        <f>IFERROR(IF(d_ss_Bv!F12=0,".",((s_Ir*s_F*d_ss_Bv!F12*(1-EXP(-s_RadSpec!BC12*s_t_b)))/(s_P*s_RadSpec!BC12))),".")</f>
        <v>59.61021738223922</v>
      </c>
      <c r="G12" s="72">
        <f>IFERROR(IF(d_ss_Bv!G12=0,".",((s_Ir*s_F*d_ss_Bv!G12*(1-EXP(-s_RadSpec!BC12*s_t_b)))/(s_P*s_RadSpec!BC12))),".")</f>
        <v>59.61021738223922</v>
      </c>
      <c r="H12" s="72">
        <f>IFERROR(IF(d_ss_Bv!H12=0,".",((s_Ir*s_F*d_ss_Bv!H12*(1-EXP(-s_RadSpec!BC12*s_t_b)))/(s_P*s_RadSpec!BC12))),".")</f>
        <v>59.61021738223922</v>
      </c>
      <c r="I12" s="72">
        <f>IFERROR(IF(d_ss_Bv!I12=0,".",((s_Ir*s_F*d_ss_Bv!I12*(1-EXP(-s_RadSpec!BC12*s_t_b)))/(s_P*s_RadSpec!BC12))),".")</f>
        <v>59.61021738223922</v>
      </c>
      <c r="J12" s="72">
        <f>IFERROR(IF(d_ss_Bv!J12=0,".",((s_Ir*s_F*d_ss_Bv!J12*(1-EXP(-s_RadSpec!BC12*s_t_b)))/(s_P*s_RadSpec!BC12))),".")</f>
        <v>59.61021738223922</v>
      </c>
      <c r="K12" s="72">
        <f>IFERROR(IF(d_ss_Bv!K12=0,".",((s_Ir*s_F*d_ss_Bv!K12*(1-EXP(-s_RadSpec!BC12*s_t_b)))/(s_P*s_RadSpec!BC12))),".")</f>
        <v>59.61021738223922</v>
      </c>
      <c r="L12" s="72">
        <f>IFERROR(IF(d_ss_Bv!L12=0,".",((s_Ir*s_F*d_ss_Bv!L12*(1-EXP(-s_RadSpec!BC12*s_t_b)))/(s_P*s_RadSpec!BC12))),".")</f>
        <v>59.61021738223922</v>
      </c>
      <c r="M12" s="72">
        <f>IFERROR(IF(d_ss_Bv!M12=0,".",((s_Ir*s_F*d_ss_Bv!M12*(1-EXP(-s_RadSpec!BC12*s_t_b)))/(s_P*s_RadSpec!BC12))),".")</f>
        <v>59.61021738223922</v>
      </c>
      <c r="N12" s="72">
        <f>IFERROR(IF(d_ss_Bv!N12=0,".",((s_Ir*s_F*d_ss_Bv!N12*(1-EXP(-s_RadSpec!BC12*s_t_b)))/(s_P*s_RadSpec!BC12))),".")</f>
        <v>59.61021738223922</v>
      </c>
      <c r="O12" s="72">
        <f>IFERROR(IF(d_ss_Bv!O12=0,".",((s_Ir*s_F*d_ss_Bv!O12*(1-EXP(-s_RadSpec!BC12*s_t_b)))/(s_P*s_RadSpec!BC12))),".")</f>
        <v>59.61021738223922</v>
      </c>
      <c r="P12" s="72">
        <f>IFERROR(IF(d_ss_Bv!P12=0,".",((s_Ir*s_F*d_ss_Bv!P12*(1-EXP(-s_RadSpec!BC12*s_t_b)))/(s_P*s_RadSpec!BC12))),".")</f>
        <v>59.61021738223922</v>
      </c>
      <c r="Q12" s="72">
        <f>IFERROR(IF(d_ss_Bv!Q12=0,".",((s_Ir*s_F*d_ss_Bv!Q12*(1-EXP(-s_RadSpec!BC12*s_t_b)))/(s_P*s_RadSpec!BC12))),".")</f>
        <v>59.61021738223922</v>
      </c>
      <c r="R12" s="72">
        <f>IFERROR(IF(d_ss_Bv!R12=0,".",((s_Ir*s_F*d_ss_Bv!R12*(1-EXP(-s_RadSpec!BC12*s_t_b)))/(s_P*s_RadSpec!BC12))),".")</f>
        <v>59.61021738223922</v>
      </c>
      <c r="S12" s="72">
        <f>IFERROR(IF(d_ss_Bv!S12=0,".",((s_Ir*s_F*d_ss_Bv!S12*(1-EXP(-s_RadSpec!BC12*s_t_b)))/(s_P*s_RadSpec!BC12))),".")</f>
        <v>59.61021738223922</v>
      </c>
      <c r="T12" s="72">
        <f>IFERROR(IF(d_ss_Bv!T12=0,".",((s_Ir*s_F*d_ss_Bv!T12*(1-EXP(-s_RadSpec!BC12*s_t_b)))/(s_P*s_RadSpec!BC12))),".")</f>
        <v>59.61021738223922</v>
      </c>
      <c r="U12" s="72">
        <f>IFERROR(IF(d_ss_Bv!U12=0,".",((s_Ir*s_F*d_ss_Bv!U12*(1-EXP(-s_RadSpec!BC12*s_t_b)))/(s_P*s_RadSpec!BC12))),".")</f>
        <v>59.61021738223922</v>
      </c>
      <c r="V12" s="72">
        <f>IFERROR(IF(d_ss_Bv!V12=0,".",((s_Ir*s_F*d_ss_Bv!V12*(1-EXP(-s_RadSpec!BC12*s_t_b)))/(s_P*s_RadSpec!BC12))),".")</f>
        <v>59.61021738223922</v>
      </c>
      <c r="W12" s="72">
        <f>IFERROR(IF(d_ss_Bv!W12=0,".",((s_Ir*s_F*d_ss_Bv!W12*(1-EXP(-s_RadSpec!BC12*s_t_b)))/(s_P*s_RadSpec!BC12))),".")</f>
        <v>59.61021738223922</v>
      </c>
      <c r="X12" s="72">
        <f>IFERROR(IF(d_ss_Bv!X12=0,".",((s_Ir*s_F*d_ss_Bv!X12*(1-EXP(-s_RadSpec!BC12*s_t_b)))/(s_P*s_RadSpec!BC12))),".")</f>
        <v>59.61021738223922</v>
      </c>
      <c r="Y12" s="72">
        <f>IFERROR(IF(d_ss_Bv!Y12=0,".",((s_Ir*s_F*d_ss_Bv!Y12*(1-EXP(-s_RadSpec!BC12*s_t_b)))/(s_P*s_RadSpec!BC12))),".")</f>
        <v>59.61021738223922</v>
      </c>
      <c r="Z12" s="72">
        <f>IFERROR(IF(d_ss_Bv!Z12=0,".",((s_Ir*s_F*d_ss_Bv!Z12*(1-EXP(-s_RadSpec!BC12*s_t_b)))/(s_P*s_RadSpec!BC12))),".")</f>
        <v>59.61021738223922</v>
      </c>
      <c r="AA12" s="72">
        <f>IFERROR(IF(d_ss_Bv!C12=0,".",((s_Ir*s_F*s_MLF_apple*(1-EXP(-s_RadSpec!BC12*s_t_b)))/(s_P*s_RadSpec!BC12))),".")</f>
        <v>2.6824597822007652</v>
      </c>
      <c r="AB12" s="72">
        <f>IFERROR(IF(d_ss_Bv!D12=0,".",((s_Ir*s_F*s_MLF_asparagus*(1-EXP(-s_RadSpec!BC12*s_t_b)))/(s_P*s_RadSpec!BC12))),".")</f>
        <v>2.6824597822007652</v>
      </c>
      <c r="AC12" s="72">
        <f>IFERROR(IF(d_ss_Bv!E12=0,".",((s_Ir*s_F*s_MLF_beet*(1-EXP(-s_RadSpec!BC12*s_t_b)))/(s_P*s_RadSpec!BC12))),".")</f>
        <v>2.6824597822007652</v>
      </c>
      <c r="AD12" s="72">
        <f>IFERROR(IF(d_ss_Bv!F12=0,".",((s_Ir*s_F*s_MLF_berries*(1-EXP(-s_RadSpec!BC12*s_t_b)))/(s_P*s_RadSpec!BC12))),".")</f>
        <v>2.6824597822007652</v>
      </c>
      <c r="AE12" s="72">
        <f>IFERROR(IF(d_ss_Bv!G12=0,".",((s_Ir*s_F*s_MLF_broccoli*(1-EXP(-s_RadSpec!BC12*s_t_b)))/(s_P*s_RadSpec!BC12))),".")</f>
        <v>2.6824597822007652</v>
      </c>
      <c r="AF12" s="72">
        <f>IFERROR(IF(d_ss_Bv!H12=0,".",((s_Ir*s_F*s_MLF_cabbage*(1-EXP(-s_RadSpec!BC12*s_t_b)))/(s_P*s_RadSpec!BC12))),".")</f>
        <v>2.6824597822007652</v>
      </c>
      <c r="AG12" s="72">
        <f>IFERROR(IF(d_ss_Bv!I12=0,".",((s_Ir*s_F*s_MLF_carrot*(1-EXP(-s_RadSpec!BC12*s_t_b)))/(s_P*s_RadSpec!BC12))),".")</f>
        <v>2.6824597822007652</v>
      </c>
      <c r="AH12" s="72">
        <f>IFERROR(IF(d_ss_Bv!J12=0,".",((s_Ir*s_F*s_MLF_citrus*(1-EXP(-s_RadSpec!BC12*s_t_b)))/(s_P*s_RadSpec!BC12))),".")</f>
        <v>2.6824597822007652</v>
      </c>
      <c r="AI12" s="72">
        <f>IFERROR(IF(d_ss_Bv!K12=0,".",((s_Ir*s_F*s_MLF_corn*(1-EXP(-s_RadSpec!BC12*s_t_b)))/(s_P*s_RadSpec!BC12))),".")</f>
        <v>2.6824597822007652</v>
      </c>
      <c r="AJ12" s="72">
        <f>IFERROR(IF(d_ss_Bv!L12=0,".",((s_Ir*s_F*s_MLF_cucumber*(1-EXP(-s_RadSpec!BC12*s_t_b)))/(s_P*s_RadSpec!BC12))),".")</f>
        <v>2.6824597822007652</v>
      </c>
      <c r="AK12" s="72">
        <f>IFERROR(IF(d_ss_Bv!M12=0,".",((s_Ir*s_F*s_MLF_lettuce*(1-EXP(-s_RadSpec!BC12*s_t_b)))/(s_P*s_RadSpec!BC12))),".")</f>
        <v>2.6824597822007652</v>
      </c>
      <c r="AL12" s="72">
        <f>IFERROR(IF(d_ss_Bv!N12=0,".",((s_Ir*s_F*s_MLF_lima_bean*(1-EXP(-s_RadSpec!BC12*s_t_b)))/(s_P*s_RadSpec!BC12))),".")</f>
        <v>2.6824597822007652</v>
      </c>
      <c r="AM12" s="72">
        <f>IFERROR(IF(d_ss_Bv!O12=0,".",((s_Ir*s_F*s_MLF_okra*(1-EXP(-s_RadSpec!BC12*s_t_b)))/(s_P*s_RadSpec!BC12))),".")</f>
        <v>2.6824597822007652</v>
      </c>
      <c r="AN12" s="72">
        <f>IFERROR(IF(d_ss_Bv!P12=0,".",((s_Ir*s_F*s_MLF_onion*(1-EXP(-s_RadSpec!BC12*s_t_b)))/(s_P*s_RadSpec!BC12))),".")</f>
        <v>2.6824597822007652</v>
      </c>
      <c r="AO12" s="72">
        <f>IFERROR(IF(d_ss_Bv!Q12=0,".",((s_Ir*s_F*s_MLF_peach*(1-EXP(-s_RadSpec!BC12*s_t_b)))/(s_P*s_RadSpec!BC12))),".")</f>
        <v>2.6824597822007652</v>
      </c>
      <c r="AP12" s="72">
        <f>IFERROR(IF(d_ss_Bv!R12=0,".",((s_Ir*s_F*s_MLF_pear*(1-EXP(-s_RadSpec!BC12*s_t_b)))/(s_P*s_RadSpec!BC12))),".")</f>
        <v>2.6824597822007652</v>
      </c>
      <c r="AQ12" s="72">
        <f>IFERROR(IF(d_ss_Bv!S12=0,".",((s_Ir*s_F*s_MLF_peas*(1-EXP(-s_RadSpec!BC12*s_t_b)))/(s_P*s_RadSpec!BC12))),".")</f>
        <v>2.6824597822007652</v>
      </c>
      <c r="AR12" s="72">
        <f>IFERROR(IF(d_ss_Bv!T12=0,".",((s_Ir*s_F*s_MLF_potato*(1-EXP(-s_RadSpec!BC12*s_t_b)))/(s_P*s_RadSpec!BC12))),".")</f>
        <v>2.6824597822007652</v>
      </c>
      <c r="AS12" s="72">
        <f>IFERROR(IF(d_ss_Bv!U12=0,".",((s_Ir*s_F*s_MLF_pumpkin*(1-EXP(-s_RadSpec!BC12*s_t_b)))/(s_P*s_RadSpec!BC12))),".")</f>
        <v>2.6824597822007652</v>
      </c>
      <c r="AT12" s="72">
        <f>IFERROR(IF(d_ss_Bv!V12=0,".",((s_Ir*s_F*s_MLF_snap_bean*(1-EXP(-s_RadSpec!BC12*s_t_b)))/(s_P*s_RadSpec!BC12))),".")</f>
        <v>2.6824597822007652</v>
      </c>
      <c r="AU12" s="72">
        <f>IFERROR(IF(d_ss_Bv!W12=0,".",((s_Ir*s_F*s_MLF_strawberry*(1-EXP(-s_RadSpec!BC12*s_t_b)))/(s_P*s_RadSpec!BC12))),".")</f>
        <v>2.6824597822007652</v>
      </c>
      <c r="AV12" s="72">
        <f>IFERROR(IF(d_ss_Bv!X12=0,".",((s_Ir*s_F*s_MLF_tomato*(1-EXP(-s_RadSpec!BC12*s_t_b)))/(s_P*s_RadSpec!BC12))),".")</f>
        <v>2.6824597822007652</v>
      </c>
      <c r="AW12" s="72">
        <f>IFERROR(IF(d_ss_Bv!Y12=0,".",((s_Ir*s_F*s_MLF_rice*(1-EXP(-s_RadSpec!BC12*s_t_b)))/(s_P*s_RadSpec!BC12))),".")</f>
        <v>2.6824597822007652</v>
      </c>
      <c r="AX12" s="72">
        <f>IFERROR(IF(d_ss_Bv!Z12=0,".",((s_Ir*s_F*s_MLF_cereal*(1-EXP(-s_RadSpec!BC12*s_t_b)))/(s_P*s_RadSpec!BC12))),".")</f>
        <v>2.6824597822007652</v>
      </c>
      <c r="AY12" s="72">
        <f>IFERROR(IF(d_ss_Bv!C12=0,".",((s_Ir*s_F*s_I_f*s_T*(1-EXP(-s_RadSpec!BD12*s_t_v)))/(s_Y_v*s_RadSpec!BD12))),".")</f>
        <v>9.0143481925428208</v>
      </c>
      <c r="AZ12" s="72">
        <f>IFERROR(IF(d_ss_Bv!D12=0,".",((s_Ir*s_F*s_I_f*s_T*(1-EXP(-s_RadSpec!BD12*s_t_v)))/(s_Y_v*s_RadSpec!BD12))),".")</f>
        <v>9.0143481925428208</v>
      </c>
      <c r="BA12" s="72">
        <f>IFERROR(IF(d_ss_Bv!E12=0,".",((s_Ir*s_F*s_I_f*s_T*(1-EXP(-s_RadSpec!BD12*s_t_v)))/(s_Y_v*s_RadSpec!BD12))),".")</f>
        <v>9.0143481925428208</v>
      </c>
      <c r="BB12" s="72">
        <f>IFERROR(IF(d_ss_Bv!F12=0,".",((s_Ir*s_F*s_I_f*s_T*(1-EXP(-s_RadSpec!BD12*s_t_v)))/(s_Y_v*s_RadSpec!BD12))),".")</f>
        <v>9.0143481925428208</v>
      </c>
      <c r="BC12" s="72">
        <f>IFERROR(IF(d_ss_Bv!G12=0,".",((s_Ir*s_F*s_I_f*s_T*(1-EXP(-s_RadSpec!BD12*s_t_v)))/(s_Y_v*s_RadSpec!BD12))),".")</f>
        <v>9.0143481925428208</v>
      </c>
      <c r="BD12" s="72">
        <f>IFERROR(IF(d_ss_Bv!H12=0,".",((s_Ir*s_F*s_I_f*s_T*(1-EXP(-s_RadSpec!BD12*s_t_v)))/(s_Y_v*s_RadSpec!BD12))),".")</f>
        <v>9.0143481925428208</v>
      </c>
      <c r="BE12" s="72">
        <f>IFERROR(IF(d_ss_Bv!I12=0,".",((s_Ir*s_F*s_I_f*s_T*(1-EXP(-s_RadSpec!BD12*s_t_v)))/(s_Y_v*s_RadSpec!BD12))),".")</f>
        <v>9.0143481925428208</v>
      </c>
      <c r="BF12" s="72">
        <f>IFERROR(IF(d_ss_Bv!J12=0,".",((s_Ir*s_F*s_I_f*s_T*(1-EXP(-s_RadSpec!BD12*s_t_v)))/(s_Y_v*s_RadSpec!BD12))),".")</f>
        <v>9.0143481925428208</v>
      </c>
      <c r="BG12" s="72">
        <f>IFERROR(IF(d_ss_Bv!K12=0,".",((s_Ir*s_F*s_I_f*s_T*(1-EXP(-s_RadSpec!BD12*s_t_v)))/(s_Y_v*s_RadSpec!BD12))),".")</f>
        <v>9.0143481925428208</v>
      </c>
      <c r="BH12" s="72">
        <f>IFERROR(IF(d_ss_Bv!L12=0,".",((s_Ir*s_F*s_I_f*s_T*(1-EXP(-s_RadSpec!BD12*s_t_v)))/(s_Y_v*s_RadSpec!BD12))),".")</f>
        <v>9.0143481925428208</v>
      </c>
      <c r="BI12" s="72">
        <f>IFERROR(IF(d_ss_Bv!M12=0,".",((s_Ir*s_F*s_I_f*s_T*(1-EXP(-s_RadSpec!BD12*s_t_v)))/(s_Y_v*s_RadSpec!BD12))),".")</f>
        <v>9.0143481925428208</v>
      </c>
      <c r="BJ12" s="72">
        <f>IFERROR(IF(d_ss_Bv!N12=0,".",((s_Ir*s_F*s_I_f*s_T*(1-EXP(-s_RadSpec!BD12*s_t_v)))/(s_Y_v*s_RadSpec!BD12))),".")</f>
        <v>9.0143481925428208</v>
      </c>
      <c r="BK12" s="72">
        <f>IFERROR(IF(d_ss_Bv!O12=0,".",((s_Ir*s_F*s_I_f*s_T*(1-EXP(-s_RadSpec!BD12*s_t_v)))/(s_Y_v*s_RadSpec!BD12))),".")</f>
        <v>9.0143481925428208</v>
      </c>
      <c r="BL12" s="72">
        <f>IFERROR(IF(d_ss_Bv!P12=0,".",((s_Ir*s_F*s_I_f*s_T*(1-EXP(-s_RadSpec!BD12*s_t_v)))/(s_Y_v*s_RadSpec!BD12))),".")</f>
        <v>9.0143481925428208</v>
      </c>
      <c r="BM12" s="72">
        <f>IFERROR(IF(d_ss_Bv!Q12=0,".",((s_Ir*s_F*s_I_f*s_T*(1-EXP(-s_RadSpec!BD12*s_t_v)))/(s_Y_v*s_RadSpec!BD12))),".")</f>
        <v>9.0143481925428208</v>
      </c>
      <c r="BN12" s="72">
        <f>IFERROR(IF(d_ss_Bv!R12=0,".",((s_Ir*s_F*s_I_f*s_T*(1-EXP(-s_RadSpec!BD12*s_t_v)))/(s_Y_v*s_RadSpec!BD12))),".")</f>
        <v>9.0143481925428208</v>
      </c>
      <c r="BO12" s="72">
        <f>IFERROR(IF(d_ss_Bv!S12=0,".",((s_Ir*s_F*s_I_f*s_T*(1-EXP(-s_RadSpec!BD12*s_t_v)))/(s_Y_v*s_RadSpec!BD12))),".")</f>
        <v>9.0143481925428208</v>
      </c>
      <c r="BP12" s="72">
        <f>IFERROR(IF(d_ss_Bv!T12=0,".",((s_Ir*s_F*s_I_f*s_T*(1-EXP(-s_RadSpec!BD12*s_t_v)))/(s_Y_v*s_RadSpec!BD12))),".")</f>
        <v>9.0143481925428208</v>
      </c>
      <c r="BQ12" s="72">
        <f>IFERROR(IF(d_ss_Bv!U12=0,".",((s_Ir*s_F*s_I_f*s_T*(1-EXP(-s_RadSpec!BD12*s_t_v)))/(s_Y_v*s_RadSpec!BD12))),".")</f>
        <v>9.0143481925428208</v>
      </c>
      <c r="BR12" s="72">
        <f>IFERROR(IF(d_ss_Bv!V12=0,".",((s_Ir*s_F*s_I_f*s_T*(1-EXP(-s_RadSpec!BD12*s_t_v)))/(s_Y_v*s_RadSpec!BD12))),".")</f>
        <v>9.0143481925428208</v>
      </c>
      <c r="BS12" s="72">
        <f>IFERROR(IF(d_ss_Bv!W12=0,".",((s_Ir*s_F*s_I_f*s_T*(1-EXP(-s_RadSpec!BD12*s_t_v)))/(s_Y_v*s_RadSpec!BD12))),".")</f>
        <v>9.0143481925428208</v>
      </c>
      <c r="BT12" s="72">
        <f>IFERROR(IF(d_ss_Bv!X12=0,".",((s_Ir*s_F*s_I_f*s_T*(1-EXP(-s_RadSpec!BD12*s_t_v)))/(s_Y_v*s_RadSpec!BD12))),".")</f>
        <v>9.0143481925428208</v>
      </c>
      <c r="BU12" s="72">
        <f>IFERROR(IF(d_ss_Bv!Y12=0,".",((s_Ir*s_F*s_I_f*s_T*(1-EXP(-s_RadSpec!BD12*s_t_v)))/(s_Y_v*s_RadSpec!BD12))),".")</f>
        <v>9.0143481925428208</v>
      </c>
      <c r="BV12" s="72">
        <f>IFERROR(IF(d_ss_Bv!Z12=0,".",((s_Ir*s_F*s_I_f*s_T*(1-EXP(-s_RadSpec!BD12*s_t_v)))/(s_Y_v*s_RadSpec!BD12))),".")</f>
        <v>9.0143481925428208</v>
      </c>
    </row>
    <row r="13" spans="1:74" x14ac:dyDescent="0.25">
      <c r="A13" s="31" t="s">
        <v>11</v>
      </c>
      <c r="B13" s="3" t="s">
        <v>1059</v>
      </c>
      <c r="C13" s="72">
        <f>IFERROR(IF(d_ss_Bv!C13=0,".",((s_Ir*s_F*d_ss_Bv!C13*(1-EXP(-s_RadSpec!$BC13*s_t_b)))/(s_P*s_RadSpec!$BC13))),".")</f>
        <v>5.961021738223922E-2</v>
      </c>
      <c r="D13" s="72">
        <f>IFERROR(IF(d_ss_Bv!D13=0,".",((s_Ir*s_F*d_ss_Bv!D13*(1-EXP(-s_RadSpec!BC13*s_t_b)))/(s_P*s_RadSpec!BC13))),".")</f>
        <v>5.3649195644015304</v>
      </c>
      <c r="E13" s="72">
        <f>IFERROR(IF(d_ss_Bv!E13=0,".",((s_Ir*s_F*d_ss_Bv!E13*(1-EXP(-s_RadSpec!BC13*s_t_b)))/(s_P*s_RadSpec!BC13))),".")</f>
        <v>4.3714159413642095</v>
      </c>
      <c r="F13" s="72">
        <f>IFERROR(IF(d_ss_Bv!F13=0,".",((s_Ir*s_F*d_ss_Bv!F13*(1-EXP(-s_RadSpec!BC13*s_t_b)))/(s_P*s_RadSpec!BC13))),".")</f>
        <v>5.961021738223922E-2</v>
      </c>
      <c r="G13" s="72">
        <f>IFERROR(IF(d_ss_Bv!G13=0,".",((s_Ir*s_F*d_ss_Bv!G13*(1-EXP(-s_RadSpec!BC13*s_t_b)))/(s_P*s_RadSpec!BC13))),".")</f>
        <v>3.576613042934353</v>
      </c>
      <c r="H13" s="72">
        <f>IFERROR(IF(d_ss_Bv!H13=0,".",((s_Ir*s_F*d_ss_Bv!H13*(1-EXP(-s_RadSpec!BC13*s_t_b)))/(s_P*s_RadSpec!BC13))),".")</f>
        <v>5.3649195644015304</v>
      </c>
      <c r="I13" s="72">
        <f>IFERROR(IF(d_ss_Bv!I13=0,".",((s_Ir*s_F*d_ss_Bv!I13*(1-EXP(-s_RadSpec!BC13*s_t_b)))/(s_P*s_RadSpec!BC13))),".")</f>
        <v>4.3714159413642095</v>
      </c>
      <c r="J13" s="72">
        <f>IFERROR(IF(d_ss_Bv!J13=0,".",((s_Ir*s_F*d_ss_Bv!J13*(1-EXP(-s_RadSpec!BC13*s_t_b)))/(s_P*s_RadSpec!BC13))),".")</f>
        <v>5.961021738223922E-2</v>
      </c>
      <c r="K13" s="72">
        <f>IFERROR(IF(d_ss_Bv!K13=0,".",((s_Ir*s_F*d_ss_Bv!K13*(1-EXP(-s_RadSpec!BC13*s_t_b)))/(s_P*s_RadSpec!BC13))),".")</f>
        <v>0.95376347811582751</v>
      </c>
      <c r="L13" s="72">
        <f>IFERROR(IF(d_ss_Bv!L13=0,".",((s_Ir*s_F*d_ss_Bv!L13*(1-EXP(-s_RadSpec!BC13*s_t_b)))/(s_P*s_RadSpec!BC13))),".")</f>
        <v>3.576613042934353</v>
      </c>
      <c r="M13" s="72">
        <f>IFERROR(IF(d_ss_Bv!M13=0,".",((s_Ir*s_F*d_ss_Bv!M13*(1-EXP(-s_RadSpec!BC13*s_t_b)))/(s_P*s_RadSpec!BC13))),".")</f>
        <v>5.3649195644015304</v>
      </c>
      <c r="N13" s="72">
        <f>IFERROR(IF(d_ss_Bv!N13=0,".",((s_Ir*s_F*d_ss_Bv!N13*(1-EXP(-s_RadSpec!BC13*s_t_b)))/(s_P*s_RadSpec!BC13))),".")</f>
        <v>3.3779123183268895</v>
      </c>
      <c r="O13" s="72">
        <f>IFERROR(IF(d_ss_Bv!O13=0,".",((s_Ir*s_F*d_ss_Bv!O13*(1-EXP(-s_RadSpec!BC13*s_t_b)))/(s_P*s_RadSpec!BC13))),".")</f>
        <v>3.576613042934353</v>
      </c>
      <c r="P13" s="72">
        <f>IFERROR(IF(d_ss_Bv!P13=0,".",((s_Ir*s_F*d_ss_Bv!P13*(1-EXP(-s_RadSpec!BC13*s_t_b)))/(s_P*s_RadSpec!BC13))),".")</f>
        <v>3.576613042934353</v>
      </c>
      <c r="Q13" s="72">
        <f>IFERROR(IF(d_ss_Bv!Q13=0,".",((s_Ir*s_F*d_ss_Bv!Q13*(1-EXP(-s_RadSpec!BC13*s_t_b)))/(s_P*s_RadSpec!BC13))),".")</f>
        <v>5.961021738223922E-2</v>
      </c>
      <c r="R13" s="72">
        <f>IFERROR(IF(d_ss_Bv!R13=0,".",((s_Ir*s_F*d_ss_Bv!R13*(1-EXP(-s_RadSpec!BC13*s_t_b)))/(s_P*s_RadSpec!BC13))),".")</f>
        <v>5.961021738223922E-2</v>
      </c>
      <c r="S13" s="72">
        <f>IFERROR(IF(d_ss_Bv!S13=0,".",((s_Ir*s_F*d_ss_Bv!S13*(1-EXP(-s_RadSpec!BC13*s_t_b)))/(s_P*s_RadSpec!BC13))),".")</f>
        <v>3.3779123183268895</v>
      </c>
      <c r="T13" s="72">
        <f>IFERROR(IF(d_ss_Bv!T13=0,".",((s_Ir*s_F*d_ss_Bv!T13*(1-EXP(-s_RadSpec!BC13*s_t_b)))/(s_P*s_RadSpec!BC13))),".")</f>
        <v>1.1325941302625453</v>
      </c>
      <c r="U13" s="72">
        <f>IFERROR(IF(d_ss_Bv!U13=0,".",((s_Ir*s_F*d_ss_Bv!U13*(1-EXP(-s_RadSpec!BC13*s_t_b)))/(s_P*s_RadSpec!BC13))),".")</f>
        <v>3.576613042934353</v>
      </c>
      <c r="V13" s="72">
        <f>IFERROR(IF(d_ss_Bv!V13=0,".",((s_Ir*s_F*d_ss_Bv!V13*(1-EXP(-s_RadSpec!BC13*s_t_b)))/(s_P*s_RadSpec!BC13))),".")</f>
        <v>3.3779123183268895</v>
      </c>
      <c r="W13" s="72">
        <f>IFERROR(IF(d_ss_Bv!W13=0,".",((s_Ir*s_F*d_ss_Bv!W13*(1-EXP(-s_RadSpec!BC13*s_t_b)))/(s_P*s_RadSpec!BC13))),".")</f>
        <v>5.961021738223922E-2</v>
      </c>
      <c r="X13" s="72">
        <f>IFERROR(IF(d_ss_Bv!X13=0,".",((s_Ir*s_F*d_ss_Bv!X13*(1-EXP(-s_RadSpec!BC13*s_t_b)))/(s_P*s_RadSpec!BC13))),".")</f>
        <v>3.576613042934353</v>
      </c>
      <c r="Y13" s="72">
        <f>IFERROR(IF(d_ss_Bv!Y13=0,".",((s_Ir*s_F*d_ss_Bv!Y13*(1-EXP(-s_RadSpec!BC13*s_t_b)))/(s_P*s_RadSpec!BC13))),".")</f>
        <v>3.9740144921492817</v>
      </c>
      <c r="Z13" s="72">
        <f>IFERROR(IF(d_ss_Bv!Z13=0,".",((s_Ir*s_F*d_ss_Bv!Z13*(1-EXP(-s_RadSpec!BC13*s_t_b)))/(s_P*s_RadSpec!BC13))),".")</f>
        <v>0.57623210136164582</v>
      </c>
      <c r="AA13" s="72">
        <f>IFERROR(IF(d_ss_Bv!C13=0,".",((s_Ir*s_F*s_MLF_apple*(1-EXP(-s_RadSpec!BC13*s_t_b)))/(s_P*s_RadSpec!BC13))),".")</f>
        <v>2.6824597822007652</v>
      </c>
      <c r="AB13" s="72">
        <f>IFERROR(IF(d_ss_Bv!D13=0,".",((s_Ir*s_F*s_MLF_asparagus*(1-EXP(-s_RadSpec!BC13*s_t_b)))/(s_P*s_RadSpec!BC13))),".")</f>
        <v>2.6824597822007652</v>
      </c>
      <c r="AC13" s="72">
        <f>IFERROR(IF(d_ss_Bv!E13=0,".",((s_Ir*s_F*s_MLF_beet*(1-EXP(-s_RadSpec!BC13*s_t_b)))/(s_P*s_RadSpec!BC13))),".")</f>
        <v>2.6824597822007652</v>
      </c>
      <c r="AD13" s="72">
        <f>IFERROR(IF(d_ss_Bv!F13=0,".",((s_Ir*s_F*s_MLF_berries*(1-EXP(-s_RadSpec!BC13*s_t_b)))/(s_P*s_RadSpec!BC13))),".")</f>
        <v>2.6824597822007652</v>
      </c>
      <c r="AE13" s="72">
        <f>IFERROR(IF(d_ss_Bv!G13=0,".",((s_Ir*s_F*s_MLF_broccoli*(1-EXP(-s_RadSpec!BC13*s_t_b)))/(s_P*s_RadSpec!BC13))),".")</f>
        <v>2.6824597822007652</v>
      </c>
      <c r="AF13" s="72">
        <f>IFERROR(IF(d_ss_Bv!H13=0,".",((s_Ir*s_F*s_MLF_cabbage*(1-EXP(-s_RadSpec!BC13*s_t_b)))/(s_P*s_RadSpec!BC13))),".")</f>
        <v>2.6824597822007652</v>
      </c>
      <c r="AG13" s="72">
        <f>IFERROR(IF(d_ss_Bv!I13=0,".",((s_Ir*s_F*s_MLF_carrot*(1-EXP(-s_RadSpec!BC13*s_t_b)))/(s_P*s_RadSpec!BC13))),".")</f>
        <v>2.6824597822007652</v>
      </c>
      <c r="AH13" s="72">
        <f>IFERROR(IF(d_ss_Bv!J13=0,".",((s_Ir*s_F*s_MLF_citrus*(1-EXP(-s_RadSpec!BC13*s_t_b)))/(s_P*s_RadSpec!BC13))),".")</f>
        <v>2.6824597822007652</v>
      </c>
      <c r="AI13" s="72">
        <f>IFERROR(IF(d_ss_Bv!K13=0,".",((s_Ir*s_F*s_MLF_corn*(1-EXP(-s_RadSpec!BC13*s_t_b)))/(s_P*s_RadSpec!BC13))),".")</f>
        <v>2.6824597822007652</v>
      </c>
      <c r="AJ13" s="72">
        <f>IFERROR(IF(d_ss_Bv!L13=0,".",((s_Ir*s_F*s_MLF_cucumber*(1-EXP(-s_RadSpec!BC13*s_t_b)))/(s_P*s_RadSpec!BC13))),".")</f>
        <v>2.6824597822007652</v>
      </c>
      <c r="AK13" s="72">
        <f>IFERROR(IF(d_ss_Bv!M13=0,".",((s_Ir*s_F*s_MLF_lettuce*(1-EXP(-s_RadSpec!BC13*s_t_b)))/(s_P*s_RadSpec!BC13))),".")</f>
        <v>2.6824597822007652</v>
      </c>
      <c r="AL13" s="72">
        <f>IFERROR(IF(d_ss_Bv!N13=0,".",((s_Ir*s_F*s_MLF_lima_bean*(1-EXP(-s_RadSpec!BC13*s_t_b)))/(s_P*s_RadSpec!BC13))),".")</f>
        <v>2.6824597822007652</v>
      </c>
      <c r="AM13" s="72">
        <f>IFERROR(IF(d_ss_Bv!O13=0,".",((s_Ir*s_F*s_MLF_okra*(1-EXP(-s_RadSpec!BC13*s_t_b)))/(s_P*s_RadSpec!BC13))),".")</f>
        <v>2.6824597822007652</v>
      </c>
      <c r="AN13" s="72">
        <f>IFERROR(IF(d_ss_Bv!P13=0,".",((s_Ir*s_F*s_MLF_onion*(1-EXP(-s_RadSpec!BC13*s_t_b)))/(s_P*s_RadSpec!BC13))),".")</f>
        <v>2.6824597822007652</v>
      </c>
      <c r="AO13" s="72">
        <f>IFERROR(IF(d_ss_Bv!Q13=0,".",((s_Ir*s_F*s_MLF_peach*(1-EXP(-s_RadSpec!BC13*s_t_b)))/(s_P*s_RadSpec!BC13))),".")</f>
        <v>2.6824597822007652</v>
      </c>
      <c r="AP13" s="72">
        <f>IFERROR(IF(d_ss_Bv!R13=0,".",((s_Ir*s_F*s_MLF_pear*(1-EXP(-s_RadSpec!BC13*s_t_b)))/(s_P*s_RadSpec!BC13))),".")</f>
        <v>2.6824597822007652</v>
      </c>
      <c r="AQ13" s="72">
        <f>IFERROR(IF(d_ss_Bv!S13=0,".",((s_Ir*s_F*s_MLF_peas*(1-EXP(-s_RadSpec!BC13*s_t_b)))/(s_P*s_RadSpec!BC13))),".")</f>
        <v>2.6824597822007652</v>
      </c>
      <c r="AR13" s="72">
        <f>IFERROR(IF(d_ss_Bv!T13=0,".",((s_Ir*s_F*s_MLF_potato*(1-EXP(-s_RadSpec!BC13*s_t_b)))/(s_P*s_RadSpec!BC13))),".")</f>
        <v>2.6824597822007652</v>
      </c>
      <c r="AS13" s="72">
        <f>IFERROR(IF(d_ss_Bv!U13=0,".",((s_Ir*s_F*s_MLF_pumpkin*(1-EXP(-s_RadSpec!BC13*s_t_b)))/(s_P*s_RadSpec!BC13))),".")</f>
        <v>2.6824597822007652</v>
      </c>
      <c r="AT13" s="72">
        <f>IFERROR(IF(d_ss_Bv!V13=0,".",((s_Ir*s_F*s_MLF_snap_bean*(1-EXP(-s_RadSpec!BC13*s_t_b)))/(s_P*s_RadSpec!BC13))),".")</f>
        <v>2.6824597822007652</v>
      </c>
      <c r="AU13" s="72">
        <f>IFERROR(IF(d_ss_Bv!W13=0,".",((s_Ir*s_F*s_MLF_strawberry*(1-EXP(-s_RadSpec!BC13*s_t_b)))/(s_P*s_RadSpec!BC13))),".")</f>
        <v>2.6824597822007652</v>
      </c>
      <c r="AV13" s="72">
        <f>IFERROR(IF(d_ss_Bv!X13=0,".",((s_Ir*s_F*s_MLF_tomato*(1-EXP(-s_RadSpec!BC13*s_t_b)))/(s_P*s_RadSpec!BC13))),".")</f>
        <v>2.6824597822007652</v>
      </c>
      <c r="AW13" s="72">
        <f>IFERROR(IF(d_ss_Bv!Y13=0,".",((s_Ir*s_F*s_MLF_rice*(1-EXP(-s_RadSpec!BC13*s_t_b)))/(s_P*s_RadSpec!BC13))),".")</f>
        <v>2.6824597822007652</v>
      </c>
      <c r="AX13" s="72">
        <f>IFERROR(IF(d_ss_Bv!Z13=0,".",((s_Ir*s_F*s_MLF_cereal*(1-EXP(-s_RadSpec!BC13*s_t_b)))/(s_P*s_RadSpec!BC13))),".")</f>
        <v>2.6824597822007652</v>
      </c>
      <c r="AY13" s="72">
        <f>IFERROR(IF(d_ss_Bv!C13=0,".",((s_Ir*s_F*s_I_f*s_T*(1-EXP(-s_RadSpec!BD13*s_t_v)))/(s_Y_v*s_RadSpec!BD13))),".")</f>
        <v>9.0143481925428208</v>
      </c>
      <c r="AZ13" s="72">
        <f>IFERROR(IF(d_ss_Bv!D13=0,".",((s_Ir*s_F*s_I_f*s_T*(1-EXP(-s_RadSpec!BD13*s_t_v)))/(s_Y_v*s_RadSpec!BD13))),".")</f>
        <v>9.0143481925428208</v>
      </c>
      <c r="BA13" s="72">
        <f>IFERROR(IF(d_ss_Bv!E13=0,".",((s_Ir*s_F*s_I_f*s_T*(1-EXP(-s_RadSpec!BD13*s_t_v)))/(s_Y_v*s_RadSpec!BD13))),".")</f>
        <v>9.0143481925428208</v>
      </c>
      <c r="BB13" s="72">
        <f>IFERROR(IF(d_ss_Bv!F13=0,".",((s_Ir*s_F*s_I_f*s_T*(1-EXP(-s_RadSpec!BD13*s_t_v)))/(s_Y_v*s_RadSpec!BD13))),".")</f>
        <v>9.0143481925428208</v>
      </c>
      <c r="BC13" s="72">
        <f>IFERROR(IF(d_ss_Bv!G13=0,".",((s_Ir*s_F*s_I_f*s_T*(1-EXP(-s_RadSpec!BD13*s_t_v)))/(s_Y_v*s_RadSpec!BD13))),".")</f>
        <v>9.0143481925428208</v>
      </c>
      <c r="BD13" s="72">
        <f>IFERROR(IF(d_ss_Bv!H13=0,".",((s_Ir*s_F*s_I_f*s_T*(1-EXP(-s_RadSpec!BD13*s_t_v)))/(s_Y_v*s_RadSpec!BD13))),".")</f>
        <v>9.0143481925428208</v>
      </c>
      <c r="BE13" s="72">
        <f>IFERROR(IF(d_ss_Bv!I13=0,".",((s_Ir*s_F*s_I_f*s_T*(1-EXP(-s_RadSpec!BD13*s_t_v)))/(s_Y_v*s_RadSpec!BD13))),".")</f>
        <v>9.0143481925428208</v>
      </c>
      <c r="BF13" s="72">
        <f>IFERROR(IF(d_ss_Bv!J13=0,".",((s_Ir*s_F*s_I_f*s_T*(1-EXP(-s_RadSpec!BD13*s_t_v)))/(s_Y_v*s_RadSpec!BD13))),".")</f>
        <v>9.0143481925428208</v>
      </c>
      <c r="BG13" s="72">
        <f>IFERROR(IF(d_ss_Bv!K13=0,".",((s_Ir*s_F*s_I_f*s_T*(1-EXP(-s_RadSpec!BD13*s_t_v)))/(s_Y_v*s_RadSpec!BD13))),".")</f>
        <v>9.0143481925428208</v>
      </c>
      <c r="BH13" s="72">
        <f>IFERROR(IF(d_ss_Bv!L13=0,".",((s_Ir*s_F*s_I_f*s_T*(1-EXP(-s_RadSpec!BD13*s_t_v)))/(s_Y_v*s_RadSpec!BD13))),".")</f>
        <v>9.0143481925428208</v>
      </c>
      <c r="BI13" s="72">
        <f>IFERROR(IF(d_ss_Bv!M13=0,".",((s_Ir*s_F*s_I_f*s_T*(1-EXP(-s_RadSpec!BD13*s_t_v)))/(s_Y_v*s_RadSpec!BD13))),".")</f>
        <v>9.0143481925428208</v>
      </c>
      <c r="BJ13" s="72">
        <f>IFERROR(IF(d_ss_Bv!N13=0,".",((s_Ir*s_F*s_I_f*s_T*(1-EXP(-s_RadSpec!BD13*s_t_v)))/(s_Y_v*s_RadSpec!BD13))),".")</f>
        <v>9.0143481925428208</v>
      </c>
      <c r="BK13" s="72">
        <f>IFERROR(IF(d_ss_Bv!O13=0,".",((s_Ir*s_F*s_I_f*s_T*(1-EXP(-s_RadSpec!BD13*s_t_v)))/(s_Y_v*s_RadSpec!BD13))),".")</f>
        <v>9.0143481925428208</v>
      </c>
      <c r="BL13" s="72">
        <f>IFERROR(IF(d_ss_Bv!P13=0,".",((s_Ir*s_F*s_I_f*s_T*(1-EXP(-s_RadSpec!BD13*s_t_v)))/(s_Y_v*s_RadSpec!BD13))),".")</f>
        <v>9.0143481925428208</v>
      </c>
      <c r="BM13" s="72">
        <f>IFERROR(IF(d_ss_Bv!Q13=0,".",((s_Ir*s_F*s_I_f*s_T*(1-EXP(-s_RadSpec!BD13*s_t_v)))/(s_Y_v*s_RadSpec!BD13))),".")</f>
        <v>9.0143481925428208</v>
      </c>
      <c r="BN13" s="72">
        <f>IFERROR(IF(d_ss_Bv!R13=0,".",((s_Ir*s_F*s_I_f*s_T*(1-EXP(-s_RadSpec!BD13*s_t_v)))/(s_Y_v*s_RadSpec!BD13))),".")</f>
        <v>9.0143481925428208</v>
      </c>
      <c r="BO13" s="72">
        <f>IFERROR(IF(d_ss_Bv!S13=0,".",((s_Ir*s_F*s_I_f*s_T*(1-EXP(-s_RadSpec!BD13*s_t_v)))/(s_Y_v*s_RadSpec!BD13))),".")</f>
        <v>9.0143481925428208</v>
      </c>
      <c r="BP13" s="72">
        <f>IFERROR(IF(d_ss_Bv!T13=0,".",((s_Ir*s_F*s_I_f*s_T*(1-EXP(-s_RadSpec!BD13*s_t_v)))/(s_Y_v*s_RadSpec!BD13))),".")</f>
        <v>9.0143481925428208</v>
      </c>
      <c r="BQ13" s="72">
        <f>IFERROR(IF(d_ss_Bv!U13=0,".",((s_Ir*s_F*s_I_f*s_T*(1-EXP(-s_RadSpec!BD13*s_t_v)))/(s_Y_v*s_RadSpec!BD13))),".")</f>
        <v>9.0143481925428208</v>
      </c>
      <c r="BR13" s="72">
        <f>IFERROR(IF(d_ss_Bv!V13=0,".",((s_Ir*s_F*s_I_f*s_T*(1-EXP(-s_RadSpec!BD13*s_t_v)))/(s_Y_v*s_RadSpec!BD13))),".")</f>
        <v>9.0143481925428208</v>
      </c>
      <c r="BS13" s="72">
        <f>IFERROR(IF(d_ss_Bv!W13=0,".",((s_Ir*s_F*s_I_f*s_T*(1-EXP(-s_RadSpec!BD13*s_t_v)))/(s_Y_v*s_RadSpec!BD13))),".")</f>
        <v>9.0143481925428208</v>
      </c>
      <c r="BT13" s="72">
        <f>IFERROR(IF(d_ss_Bv!X13=0,".",((s_Ir*s_F*s_I_f*s_T*(1-EXP(-s_RadSpec!BD13*s_t_v)))/(s_Y_v*s_RadSpec!BD13))),".")</f>
        <v>9.0143481925428208</v>
      </c>
      <c r="BU13" s="72">
        <f>IFERROR(IF(d_ss_Bv!Y13=0,".",((s_Ir*s_F*s_I_f*s_T*(1-EXP(-s_RadSpec!BD13*s_t_v)))/(s_Y_v*s_RadSpec!BD13))),".")</f>
        <v>9.0143481925428208</v>
      </c>
      <c r="BV13" s="72">
        <f>IFERROR(IF(d_ss_Bv!Z13=0,".",((s_Ir*s_F*s_I_f*s_T*(1-EXP(-s_RadSpec!BD13*s_t_v)))/(s_Y_v*s_RadSpec!BD13))),".")</f>
        <v>9.0143481925428208</v>
      </c>
    </row>
    <row r="14" spans="1:74" x14ac:dyDescent="0.25">
      <c r="A14" s="31" t="s">
        <v>12</v>
      </c>
      <c r="B14" s="3" t="s">
        <v>1059</v>
      </c>
      <c r="C14" s="72">
        <f>IFERROR(IF(d_ss_Bv!C14=0,".",((s_Ir*s_F*d_ss_Bv!C14*(1-EXP(-s_RadSpec!$BC14*s_t_b)))/(s_P*s_RadSpec!$BC14))),".")</f>
        <v>1.9870072460746409</v>
      </c>
      <c r="D14" s="72">
        <f>IFERROR(IF(d_ss_Bv!D14=0,".",((s_Ir*s_F*d_ss_Bv!D14*(1-EXP(-s_RadSpec!BC14*s_t_b)))/(s_P*s_RadSpec!BC14))),".")</f>
        <v>1.9870072460746409</v>
      </c>
      <c r="E14" s="72">
        <f>IFERROR(IF(d_ss_Bv!E14=0,".",((s_Ir*s_F*d_ss_Bv!E14*(1-EXP(-s_RadSpec!BC14*s_t_b)))/(s_P*s_RadSpec!BC14))),".")</f>
        <v>1.9870072460746409</v>
      </c>
      <c r="F14" s="72">
        <f>IFERROR(IF(d_ss_Bv!F14=0,".",((s_Ir*s_F*d_ss_Bv!F14*(1-EXP(-s_RadSpec!BC14*s_t_b)))/(s_P*s_RadSpec!BC14))),".")</f>
        <v>1.9870072460746409</v>
      </c>
      <c r="G14" s="72">
        <f>IFERROR(IF(d_ss_Bv!G14=0,".",((s_Ir*s_F*d_ss_Bv!G14*(1-EXP(-s_RadSpec!BC14*s_t_b)))/(s_P*s_RadSpec!BC14))),".")</f>
        <v>1.9870072460746409</v>
      </c>
      <c r="H14" s="72">
        <f>IFERROR(IF(d_ss_Bv!H14=0,".",((s_Ir*s_F*d_ss_Bv!H14*(1-EXP(-s_RadSpec!BC14*s_t_b)))/(s_P*s_RadSpec!BC14))),".")</f>
        <v>1.9870072460746409</v>
      </c>
      <c r="I14" s="72">
        <f>IFERROR(IF(d_ss_Bv!I14=0,".",((s_Ir*s_F*d_ss_Bv!I14*(1-EXP(-s_RadSpec!BC14*s_t_b)))/(s_P*s_RadSpec!BC14))),".")</f>
        <v>1.9870072460746409</v>
      </c>
      <c r="J14" s="72">
        <f>IFERROR(IF(d_ss_Bv!J14=0,".",((s_Ir*s_F*d_ss_Bv!J14*(1-EXP(-s_RadSpec!BC14*s_t_b)))/(s_P*s_RadSpec!BC14))),".")</f>
        <v>1.9870072460746409</v>
      </c>
      <c r="K14" s="72">
        <f>IFERROR(IF(d_ss_Bv!K14=0,".",((s_Ir*s_F*d_ss_Bv!K14*(1-EXP(-s_RadSpec!BC14*s_t_b)))/(s_P*s_RadSpec!BC14))),".")</f>
        <v>1.9870072460746409</v>
      </c>
      <c r="L14" s="72">
        <f>IFERROR(IF(d_ss_Bv!L14=0,".",((s_Ir*s_F*d_ss_Bv!L14*(1-EXP(-s_RadSpec!BC14*s_t_b)))/(s_P*s_RadSpec!BC14))),".")</f>
        <v>1.9870072460746409</v>
      </c>
      <c r="M14" s="72">
        <f>IFERROR(IF(d_ss_Bv!M14=0,".",((s_Ir*s_F*d_ss_Bv!M14*(1-EXP(-s_RadSpec!BC14*s_t_b)))/(s_P*s_RadSpec!BC14))),".")</f>
        <v>1.9870072460746409</v>
      </c>
      <c r="N14" s="72">
        <f>IFERROR(IF(d_ss_Bv!N14=0,".",((s_Ir*s_F*d_ss_Bv!N14*(1-EXP(-s_RadSpec!BC14*s_t_b)))/(s_P*s_RadSpec!BC14))),".")</f>
        <v>1.9870072460746409</v>
      </c>
      <c r="O14" s="72">
        <f>IFERROR(IF(d_ss_Bv!O14=0,".",((s_Ir*s_F*d_ss_Bv!O14*(1-EXP(-s_RadSpec!BC14*s_t_b)))/(s_P*s_RadSpec!BC14))),".")</f>
        <v>1.9870072460746409</v>
      </c>
      <c r="P14" s="72">
        <f>IFERROR(IF(d_ss_Bv!P14=0,".",((s_Ir*s_F*d_ss_Bv!P14*(1-EXP(-s_RadSpec!BC14*s_t_b)))/(s_P*s_RadSpec!BC14))),".")</f>
        <v>1.9870072460746409</v>
      </c>
      <c r="Q14" s="72">
        <f>IFERROR(IF(d_ss_Bv!Q14=0,".",((s_Ir*s_F*d_ss_Bv!Q14*(1-EXP(-s_RadSpec!BC14*s_t_b)))/(s_P*s_RadSpec!BC14))),".")</f>
        <v>1.9870072460746409</v>
      </c>
      <c r="R14" s="72">
        <f>IFERROR(IF(d_ss_Bv!R14=0,".",((s_Ir*s_F*d_ss_Bv!R14*(1-EXP(-s_RadSpec!BC14*s_t_b)))/(s_P*s_RadSpec!BC14))),".")</f>
        <v>1.9870072460746409</v>
      </c>
      <c r="S14" s="72">
        <f>IFERROR(IF(d_ss_Bv!S14=0,".",((s_Ir*s_F*d_ss_Bv!S14*(1-EXP(-s_RadSpec!BC14*s_t_b)))/(s_P*s_RadSpec!BC14))),".")</f>
        <v>1.9870072460746409</v>
      </c>
      <c r="T14" s="72">
        <f>IFERROR(IF(d_ss_Bv!T14=0,".",((s_Ir*s_F*d_ss_Bv!T14*(1-EXP(-s_RadSpec!BC14*s_t_b)))/(s_P*s_RadSpec!BC14))),".")</f>
        <v>1.9870072460746409</v>
      </c>
      <c r="U14" s="72">
        <f>IFERROR(IF(d_ss_Bv!U14=0,".",((s_Ir*s_F*d_ss_Bv!U14*(1-EXP(-s_RadSpec!BC14*s_t_b)))/(s_P*s_RadSpec!BC14))),".")</f>
        <v>1.9870072460746409</v>
      </c>
      <c r="V14" s="72">
        <f>IFERROR(IF(d_ss_Bv!V14=0,".",((s_Ir*s_F*d_ss_Bv!V14*(1-EXP(-s_RadSpec!BC14*s_t_b)))/(s_P*s_RadSpec!BC14))),".")</f>
        <v>1.9870072460746409</v>
      </c>
      <c r="W14" s="72">
        <f>IFERROR(IF(d_ss_Bv!W14=0,".",((s_Ir*s_F*d_ss_Bv!W14*(1-EXP(-s_RadSpec!BC14*s_t_b)))/(s_P*s_RadSpec!BC14))),".")</f>
        <v>1.9870072460746409</v>
      </c>
      <c r="X14" s="72">
        <f>IFERROR(IF(d_ss_Bv!X14=0,".",((s_Ir*s_F*d_ss_Bv!X14*(1-EXP(-s_RadSpec!BC14*s_t_b)))/(s_P*s_RadSpec!BC14))),".")</f>
        <v>1.9870072460746409</v>
      </c>
      <c r="Y14" s="72">
        <f>IFERROR(IF(d_ss_Bv!Y14=0,".",((s_Ir*s_F*d_ss_Bv!Y14*(1-EXP(-s_RadSpec!BC14*s_t_b)))/(s_P*s_RadSpec!BC14))),".")</f>
        <v>1.9870072460746409</v>
      </c>
      <c r="Z14" s="72">
        <f>IFERROR(IF(d_ss_Bv!Z14=0,".",((s_Ir*s_F*d_ss_Bv!Z14*(1-EXP(-s_RadSpec!BC14*s_t_b)))/(s_P*s_RadSpec!BC14))),".")</f>
        <v>1.9870072460746409</v>
      </c>
      <c r="AA14" s="72">
        <f>IFERROR(IF(d_ss_Bv!C14=0,".",((s_Ir*s_F*s_MLF_apple*(1-EXP(-s_RadSpec!BC14*s_t_b)))/(s_P*s_RadSpec!BC14))),".")</f>
        <v>2.6824597822007652</v>
      </c>
      <c r="AB14" s="72">
        <f>IFERROR(IF(d_ss_Bv!D14=0,".",((s_Ir*s_F*s_MLF_asparagus*(1-EXP(-s_RadSpec!BC14*s_t_b)))/(s_P*s_RadSpec!BC14))),".")</f>
        <v>2.6824597822007652</v>
      </c>
      <c r="AC14" s="72">
        <f>IFERROR(IF(d_ss_Bv!E14=0,".",((s_Ir*s_F*s_MLF_beet*(1-EXP(-s_RadSpec!BC14*s_t_b)))/(s_P*s_RadSpec!BC14))),".")</f>
        <v>2.6824597822007652</v>
      </c>
      <c r="AD14" s="72">
        <f>IFERROR(IF(d_ss_Bv!F14=0,".",((s_Ir*s_F*s_MLF_berries*(1-EXP(-s_RadSpec!BC14*s_t_b)))/(s_P*s_RadSpec!BC14))),".")</f>
        <v>2.6824597822007652</v>
      </c>
      <c r="AE14" s="72">
        <f>IFERROR(IF(d_ss_Bv!G14=0,".",((s_Ir*s_F*s_MLF_broccoli*(1-EXP(-s_RadSpec!BC14*s_t_b)))/(s_P*s_RadSpec!BC14))),".")</f>
        <v>2.6824597822007652</v>
      </c>
      <c r="AF14" s="72">
        <f>IFERROR(IF(d_ss_Bv!H14=0,".",((s_Ir*s_F*s_MLF_cabbage*(1-EXP(-s_RadSpec!BC14*s_t_b)))/(s_P*s_RadSpec!BC14))),".")</f>
        <v>2.6824597822007652</v>
      </c>
      <c r="AG14" s="72">
        <f>IFERROR(IF(d_ss_Bv!I14=0,".",((s_Ir*s_F*s_MLF_carrot*(1-EXP(-s_RadSpec!BC14*s_t_b)))/(s_P*s_RadSpec!BC14))),".")</f>
        <v>2.6824597822007652</v>
      </c>
      <c r="AH14" s="72">
        <f>IFERROR(IF(d_ss_Bv!J14=0,".",((s_Ir*s_F*s_MLF_citrus*(1-EXP(-s_RadSpec!BC14*s_t_b)))/(s_P*s_RadSpec!BC14))),".")</f>
        <v>2.6824597822007652</v>
      </c>
      <c r="AI14" s="72">
        <f>IFERROR(IF(d_ss_Bv!K14=0,".",((s_Ir*s_F*s_MLF_corn*(1-EXP(-s_RadSpec!BC14*s_t_b)))/(s_P*s_RadSpec!BC14))),".")</f>
        <v>2.6824597822007652</v>
      </c>
      <c r="AJ14" s="72">
        <f>IFERROR(IF(d_ss_Bv!L14=0,".",((s_Ir*s_F*s_MLF_cucumber*(1-EXP(-s_RadSpec!BC14*s_t_b)))/(s_P*s_RadSpec!BC14))),".")</f>
        <v>2.6824597822007652</v>
      </c>
      <c r="AK14" s="72">
        <f>IFERROR(IF(d_ss_Bv!M14=0,".",((s_Ir*s_F*s_MLF_lettuce*(1-EXP(-s_RadSpec!BC14*s_t_b)))/(s_P*s_RadSpec!BC14))),".")</f>
        <v>2.6824597822007652</v>
      </c>
      <c r="AL14" s="72">
        <f>IFERROR(IF(d_ss_Bv!N14=0,".",((s_Ir*s_F*s_MLF_lima_bean*(1-EXP(-s_RadSpec!BC14*s_t_b)))/(s_P*s_RadSpec!BC14))),".")</f>
        <v>2.6824597822007652</v>
      </c>
      <c r="AM14" s="72">
        <f>IFERROR(IF(d_ss_Bv!O14=0,".",((s_Ir*s_F*s_MLF_okra*(1-EXP(-s_RadSpec!BC14*s_t_b)))/(s_P*s_RadSpec!BC14))),".")</f>
        <v>2.6824597822007652</v>
      </c>
      <c r="AN14" s="72">
        <f>IFERROR(IF(d_ss_Bv!P14=0,".",((s_Ir*s_F*s_MLF_onion*(1-EXP(-s_RadSpec!BC14*s_t_b)))/(s_P*s_RadSpec!BC14))),".")</f>
        <v>2.6824597822007652</v>
      </c>
      <c r="AO14" s="72">
        <f>IFERROR(IF(d_ss_Bv!Q14=0,".",((s_Ir*s_F*s_MLF_peach*(1-EXP(-s_RadSpec!BC14*s_t_b)))/(s_P*s_RadSpec!BC14))),".")</f>
        <v>2.6824597822007652</v>
      </c>
      <c r="AP14" s="72">
        <f>IFERROR(IF(d_ss_Bv!R14=0,".",((s_Ir*s_F*s_MLF_pear*(1-EXP(-s_RadSpec!BC14*s_t_b)))/(s_P*s_RadSpec!BC14))),".")</f>
        <v>2.6824597822007652</v>
      </c>
      <c r="AQ14" s="72">
        <f>IFERROR(IF(d_ss_Bv!S14=0,".",((s_Ir*s_F*s_MLF_peas*(1-EXP(-s_RadSpec!BC14*s_t_b)))/(s_P*s_RadSpec!BC14))),".")</f>
        <v>2.6824597822007652</v>
      </c>
      <c r="AR14" s="72">
        <f>IFERROR(IF(d_ss_Bv!T14=0,".",((s_Ir*s_F*s_MLF_potato*(1-EXP(-s_RadSpec!BC14*s_t_b)))/(s_P*s_RadSpec!BC14))),".")</f>
        <v>2.6824597822007652</v>
      </c>
      <c r="AS14" s="72">
        <f>IFERROR(IF(d_ss_Bv!U14=0,".",((s_Ir*s_F*s_MLF_pumpkin*(1-EXP(-s_RadSpec!BC14*s_t_b)))/(s_P*s_RadSpec!BC14))),".")</f>
        <v>2.6824597822007652</v>
      </c>
      <c r="AT14" s="72">
        <f>IFERROR(IF(d_ss_Bv!V14=0,".",((s_Ir*s_F*s_MLF_snap_bean*(1-EXP(-s_RadSpec!BC14*s_t_b)))/(s_P*s_RadSpec!BC14))),".")</f>
        <v>2.6824597822007652</v>
      </c>
      <c r="AU14" s="72">
        <f>IFERROR(IF(d_ss_Bv!W14=0,".",((s_Ir*s_F*s_MLF_strawberry*(1-EXP(-s_RadSpec!BC14*s_t_b)))/(s_P*s_RadSpec!BC14))),".")</f>
        <v>2.6824597822007652</v>
      </c>
      <c r="AV14" s="72">
        <f>IFERROR(IF(d_ss_Bv!X14=0,".",((s_Ir*s_F*s_MLF_tomato*(1-EXP(-s_RadSpec!BC14*s_t_b)))/(s_P*s_RadSpec!BC14))),".")</f>
        <v>2.6824597822007652</v>
      </c>
      <c r="AW14" s="72">
        <f>IFERROR(IF(d_ss_Bv!Y14=0,".",((s_Ir*s_F*s_MLF_rice*(1-EXP(-s_RadSpec!BC14*s_t_b)))/(s_P*s_RadSpec!BC14))),".")</f>
        <v>2.6824597822007652</v>
      </c>
      <c r="AX14" s="72">
        <f>IFERROR(IF(d_ss_Bv!Z14=0,".",((s_Ir*s_F*s_MLF_cereal*(1-EXP(-s_RadSpec!BC14*s_t_b)))/(s_P*s_RadSpec!BC14))),".")</f>
        <v>2.6824597822007652</v>
      </c>
      <c r="AY14" s="72">
        <f>IFERROR(IF(d_ss_Bv!C14=0,".",((s_Ir*s_F*s_I_f*s_T*(1-EXP(-s_RadSpec!BD14*s_t_v)))/(s_Y_v*s_RadSpec!BD14))),".")</f>
        <v>9.0143481925428208</v>
      </c>
      <c r="AZ14" s="72">
        <f>IFERROR(IF(d_ss_Bv!D14=0,".",((s_Ir*s_F*s_I_f*s_T*(1-EXP(-s_RadSpec!BD14*s_t_v)))/(s_Y_v*s_RadSpec!BD14))),".")</f>
        <v>9.0143481925428208</v>
      </c>
      <c r="BA14" s="72">
        <f>IFERROR(IF(d_ss_Bv!E14=0,".",((s_Ir*s_F*s_I_f*s_T*(1-EXP(-s_RadSpec!BD14*s_t_v)))/(s_Y_v*s_RadSpec!BD14))),".")</f>
        <v>9.0143481925428208</v>
      </c>
      <c r="BB14" s="72">
        <f>IFERROR(IF(d_ss_Bv!F14=0,".",((s_Ir*s_F*s_I_f*s_T*(1-EXP(-s_RadSpec!BD14*s_t_v)))/(s_Y_v*s_RadSpec!BD14))),".")</f>
        <v>9.0143481925428208</v>
      </c>
      <c r="BC14" s="72">
        <f>IFERROR(IF(d_ss_Bv!G14=0,".",((s_Ir*s_F*s_I_f*s_T*(1-EXP(-s_RadSpec!BD14*s_t_v)))/(s_Y_v*s_RadSpec!BD14))),".")</f>
        <v>9.0143481925428208</v>
      </c>
      <c r="BD14" s="72">
        <f>IFERROR(IF(d_ss_Bv!H14=0,".",((s_Ir*s_F*s_I_f*s_T*(1-EXP(-s_RadSpec!BD14*s_t_v)))/(s_Y_v*s_RadSpec!BD14))),".")</f>
        <v>9.0143481925428208</v>
      </c>
      <c r="BE14" s="72">
        <f>IFERROR(IF(d_ss_Bv!I14=0,".",((s_Ir*s_F*s_I_f*s_T*(1-EXP(-s_RadSpec!BD14*s_t_v)))/(s_Y_v*s_RadSpec!BD14))),".")</f>
        <v>9.0143481925428208</v>
      </c>
      <c r="BF14" s="72">
        <f>IFERROR(IF(d_ss_Bv!J14=0,".",((s_Ir*s_F*s_I_f*s_T*(1-EXP(-s_RadSpec!BD14*s_t_v)))/(s_Y_v*s_RadSpec!BD14))),".")</f>
        <v>9.0143481925428208</v>
      </c>
      <c r="BG14" s="72">
        <f>IFERROR(IF(d_ss_Bv!K14=0,".",((s_Ir*s_F*s_I_f*s_T*(1-EXP(-s_RadSpec!BD14*s_t_v)))/(s_Y_v*s_RadSpec!BD14))),".")</f>
        <v>9.0143481925428208</v>
      </c>
      <c r="BH14" s="72">
        <f>IFERROR(IF(d_ss_Bv!L14=0,".",((s_Ir*s_F*s_I_f*s_T*(1-EXP(-s_RadSpec!BD14*s_t_v)))/(s_Y_v*s_RadSpec!BD14))),".")</f>
        <v>9.0143481925428208</v>
      </c>
      <c r="BI14" s="72">
        <f>IFERROR(IF(d_ss_Bv!M14=0,".",((s_Ir*s_F*s_I_f*s_T*(1-EXP(-s_RadSpec!BD14*s_t_v)))/(s_Y_v*s_RadSpec!BD14))),".")</f>
        <v>9.0143481925428208</v>
      </c>
      <c r="BJ14" s="72">
        <f>IFERROR(IF(d_ss_Bv!N14=0,".",((s_Ir*s_F*s_I_f*s_T*(1-EXP(-s_RadSpec!BD14*s_t_v)))/(s_Y_v*s_RadSpec!BD14))),".")</f>
        <v>9.0143481925428208</v>
      </c>
      <c r="BK14" s="72">
        <f>IFERROR(IF(d_ss_Bv!O14=0,".",((s_Ir*s_F*s_I_f*s_T*(1-EXP(-s_RadSpec!BD14*s_t_v)))/(s_Y_v*s_RadSpec!BD14))),".")</f>
        <v>9.0143481925428208</v>
      </c>
      <c r="BL14" s="72">
        <f>IFERROR(IF(d_ss_Bv!P14=0,".",((s_Ir*s_F*s_I_f*s_T*(1-EXP(-s_RadSpec!BD14*s_t_v)))/(s_Y_v*s_RadSpec!BD14))),".")</f>
        <v>9.0143481925428208</v>
      </c>
      <c r="BM14" s="72">
        <f>IFERROR(IF(d_ss_Bv!Q14=0,".",((s_Ir*s_F*s_I_f*s_T*(1-EXP(-s_RadSpec!BD14*s_t_v)))/(s_Y_v*s_RadSpec!BD14))),".")</f>
        <v>9.0143481925428208</v>
      </c>
      <c r="BN14" s="72">
        <f>IFERROR(IF(d_ss_Bv!R14=0,".",((s_Ir*s_F*s_I_f*s_T*(1-EXP(-s_RadSpec!BD14*s_t_v)))/(s_Y_v*s_RadSpec!BD14))),".")</f>
        <v>9.0143481925428208</v>
      </c>
      <c r="BO14" s="72">
        <f>IFERROR(IF(d_ss_Bv!S14=0,".",((s_Ir*s_F*s_I_f*s_T*(1-EXP(-s_RadSpec!BD14*s_t_v)))/(s_Y_v*s_RadSpec!BD14))),".")</f>
        <v>9.0143481925428208</v>
      </c>
      <c r="BP14" s="72">
        <f>IFERROR(IF(d_ss_Bv!T14=0,".",((s_Ir*s_F*s_I_f*s_T*(1-EXP(-s_RadSpec!BD14*s_t_v)))/(s_Y_v*s_RadSpec!BD14))),".")</f>
        <v>9.0143481925428208</v>
      </c>
      <c r="BQ14" s="72">
        <f>IFERROR(IF(d_ss_Bv!U14=0,".",((s_Ir*s_F*s_I_f*s_T*(1-EXP(-s_RadSpec!BD14*s_t_v)))/(s_Y_v*s_RadSpec!BD14))),".")</f>
        <v>9.0143481925428208</v>
      </c>
      <c r="BR14" s="72">
        <f>IFERROR(IF(d_ss_Bv!V14=0,".",((s_Ir*s_F*s_I_f*s_T*(1-EXP(-s_RadSpec!BD14*s_t_v)))/(s_Y_v*s_RadSpec!BD14))),".")</f>
        <v>9.0143481925428208</v>
      </c>
      <c r="BS14" s="72">
        <f>IFERROR(IF(d_ss_Bv!W14=0,".",((s_Ir*s_F*s_I_f*s_T*(1-EXP(-s_RadSpec!BD14*s_t_v)))/(s_Y_v*s_RadSpec!BD14))),".")</f>
        <v>9.0143481925428208</v>
      </c>
      <c r="BT14" s="72">
        <f>IFERROR(IF(d_ss_Bv!X14=0,".",((s_Ir*s_F*s_I_f*s_T*(1-EXP(-s_RadSpec!BD14*s_t_v)))/(s_Y_v*s_RadSpec!BD14))),".")</f>
        <v>9.0143481925428208</v>
      </c>
      <c r="BU14" s="72">
        <f>IFERROR(IF(d_ss_Bv!Y14=0,".",((s_Ir*s_F*s_I_f*s_T*(1-EXP(-s_RadSpec!BD14*s_t_v)))/(s_Y_v*s_RadSpec!BD14))),".")</f>
        <v>9.0143481925428208</v>
      </c>
      <c r="BV14" s="72">
        <f>IFERROR(IF(d_ss_Bv!Z14=0,".",((s_Ir*s_F*s_I_f*s_T*(1-EXP(-s_RadSpec!BD14*s_t_v)))/(s_Y_v*s_RadSpec!BD14))),".")</f>
        <v>9.0143481925428208</v>
      </c>
    </row>
    <row r="15" spans="1:74" x14ac:dyDescent="0.25">
      <c r="A15" s="31" t="s">
        <v>13</v>
      </c>
      <c r="B15" s="3" t="s">
        <v>1059</v>
      </c>
      <c r="C15" s="72">
        <f>IFERROR(IF(d_ss_Bv!C15=0,".",((s_Ir*s_F*d_ss_Bv!C15*(1-EXP(-s_RadSpec!$BC15*s_t_b)))/(s_P*s_RadSpec!$BC15))),".")</f>
        <v>1.9870072460746409</v>
      </c>
      <c r="D15" s="72">
        <f>IFERROR(IF(d_ss_Bv!D15=0,".",((s_Ir*s_F*d_ss_Bv!D15*(1-EXP(-s_RadSpec!BC15*s_t_b)))/(s_P*s_RadSpec!BC15))),".")</f>
        <v>15.896057968597127</v>
      </c>
      <c r="E15" s="72">
        <f>IFERROR(IF(d_ss_Bv!E15=0,".",((s_Ir*s_F*d_ss_Bv!E15*(1-EXP(-s_RadSpec!BC15*s_t_b)))/(s_P*s_RadSpec!BC15))),".")</f>
        <v>2.9805108691119608</v>
      </c>
      <c r="F15" s="72">
        <f>IFERROR(IF(d_ss_Bv!F15=0,".",((s_Ir*s_F*d_ss_Bv!F15*(1-EXP(-s_RadSpec!BC15*s_t_b)))/(s_P*s_RadSpec!BC15))),".")</f>
        <v>1.9870072460746409</v>
      </c>
      <c r="G15" s="72">
        <f>IFERROR(IF(d_ss_Bv!G15=0,".",((s_Ir*s_F*d_ss_Bv!G15*(1-EXP(-s_RadSpec!BC15*s_t_b)))/(s_P*s_RadSpec!BC15))),".")</f>
        <v>2.9805108691119608</v>
      </c>
      <c r="H15" s="72">
        <f>IFERROR(IF(d_ss_Bv!H15=0,".",((s_Ir*s_F*d_ss_Bv!H15*(1-EXP(-s_RadSpec!BC15*s_t_b)))/(s_P*s_RadSpec!BC15))),".")</f>
        <v>15.896057968597127</v>
      </c>
      <c r="I15" s="72">
        <f>IFERROR(IF(d_ss_Bv!I15=0,".",((s_Ir*s_F*d_ss_Bv!I15*(1-EXP(-s_RadSpec!BC15*s_t_b)))/(s_P*s_RadSpec!BC15))),".")</f>
        <v>2.9805108691119608</v>
      </c>
      <c r="J15" s="72">
        <f>IFERROR(IF(d_ss_Bv!J15=0,".",((s_Ir*s_F*d_ss_Bv!J15*(1-EXP(-s_RadSpec!BC15*s_t_b)))/(s_P*s_RadSpec!BC15))),".")</f>
        <v>1.9870072460746409</v>
      </c>
      <c r="K15" s="72">
        <f>IFERROR(IF(d_ss_Bv!K15=0,".",((s_Ir*s_F*d_ss_Bv!K15*(1-EXP(-s_RadSpec!BC15*s_t_b)))/(s_P*s_RadSpec!BC15))),".")</f>
        <v>0.23844086952895688</v>
      </c>
      <c r="L15" s="72">
        <f>IFERROR(IF(d_ss_Bv!L15=0,".",((s_Ir*s_F*d_ss_Bv!L15*(1-EXP(-s_RadSpec!BC15*s_t_b)))/(s_P*s_RadSpec!BC15))),".")</f>
        <v>2.9805108691119608</v>
      </c>
      <c r="M15" s="72">
        <f>IFERROR(IF(d_ss_Bv!M15=0,".",((s_Ir*s_F*d_ss_Bv!M15*(1-EXP(-s_RadSpec!BC15*s_t_b)))/(s_P*s_RadSpec!BC15))),".")</f>
        <v>15.896057968597127</v>
      </c>
      <c r="N15" s="72">
        <f>IFERROR(IF(d_ss_Bv!N15=0,".",((s_Ir*s_F*d_ss_Bv!N15*(1-EXP(-s_RadSpec!BC15*s_t_b)))/(s_P*s_RadSpec!BC15))),".")</f>
        <v>1.0531138404195597</v>
      </c>
      <c r="O15" s="72">
        <f>IFERROR(IF(d_ss_Bv!O15=0,".",((s_Ir*s_F*d_ss_Bv!O15*(1-EXP(-s_RadSpec!BC15*s_t_b)))/(s_P*s_RadSpec!BC15))),".")</f>
        <v>2.9805108691119608</v>
      </c>
      <c r="P15" s="72">
        <f>IFERROR(IF(d_ss_Bv!P15=0,".",((s_Ir*s_F*d_ss_Bv!P15*(1-EXP(-s_RadSpec!BC15*s_t_b)))/(s_P*s_RadSpec!BC15))),".")</f>
        <v>2.9805108691119608</v>
      </c>
      <c r="Q15" s="72">
        <f>IFERROR(IF(d_ss_Bv!Q15=0,".",((s_Ir*s_F*d_ss_Bv!Q15*(1-EXP(-s_RadSpec!BC15*s_t_b)))/(s_P*s_RadSpec!BC15))),".")</f>
        <v>1.9870072460746409</v>
      </c>
      <c r="R15" s="72">
        <f>IFERROR(IF(d_ss_Bv!R15=0,".",((s_Ir*s_F*d_ss_Bv!R15*(1-EXP(-s_RadSpec!BC15*s_t_b)))/(s_P*s_RadSpec!BC15))),".")</f>
        <v>1.9870072460746409</v>
      </c>
      <c r="S15" s="72">
        <f>IFERROR(IF(d_ss_Bv!S15=0,".",((s_Ir*s_F*d_ss_Bv!S15*(1-EXP(-s_RadSpec!BC15*s_t_b)))/(s_P*s_RadSpec!BC15))),".")</f>
        <v>1.0531138404195597</v>
      </c>
      <c r="T15" s="72">
        <f>IFERROR(IF(d_ss_Bv!T15=0,".",((s_Ir*s_F*d_ss_Bv!T15*(1-EXP(-s_RadSpec!BC15*s_t_b)))/(s_P*s_RadSpec!BC15))),".")</f>
        <v>0.29805108691119608</v>
      </c>
      <c r="U15" s="72">
        <f>IFERROR(IF(d_ss_Bv!U15=0,".",((s_Ir*s_F*d_ss_Bv!U15*(1-EXP(-s_RadSpec!BC15*s_t_b)))/(s_P*s_RadSpec!BC15))),".")</f>
        <v>2.9805108691119608</v>
      </c>
      <c r="V15" s="72">
        <f>IFERROR(IF(d_ss_Bv!V15=0,".",((s_Ir*s_F*d_ss_Bv!V15*(1-EXP(-s_RadSpec!BC15*s_t_b)))/(s_P*s_RadSpec!BC15))),".")</f>
        <v>1.0531138404195597</v>
      </c>
      <c r="W15" s="72">
        <f>IFERROR(IF(d_ss_Bv!W15=0,".",((s_Ir*s_F*d_ss_Bv!W15*(1-EXP(-s_RadSpec!BC15*s_t_b)))/(s_P*s_RadSpec!BC15))),".")</f>
        <v>1.9870072460746409</v>
      </c>
      <c r="X15" s="72">
        <f>IFERROR(IF(d_ss_Bv!X15=0,".",((s_Ir*s_F*d_ss_Bv!X15*(1-EXP(-s_RadSpec!BC15*s_t_b)))/(s_P*s_RadSpec!BC15))),".")</f>
        <v>2.9805108691119608</v>
      </c>
      <c r="Y15" s="72">
        <f>IFERROR(IF(d_ss_Bv!Y15=0,".",((s_Ir*s_F*d_ss_Bv!Y15*(1-EXP(-s_RadSpec!BC15*s_t_b)))/(s_P*s_RadSpec!BC15))),".")</f>
        <v>5.7623210136164581E-2</v>
      </c>
      <c r="Z15" s="72">
        <f>IFERROR(IF(d_ss_Bv!Z15=0,".",((s_Ir*s_F*d_ss_Bv!Z15*(1-EXP(-s_RadSpec!BC15*s_t_b)))/(s_P*s_RadSpec!BC15))),".")</f>
        <v>2.1857079706821048</v>
      </c>
      <c r="AA15" s="72">
        <f>IFERROR(IF(d_ss_Bv!C15=0,".",((s_Ir*s_F*s_MLF_apple*(1-EXP(-s_RadSpec!BC15*s_t_b)))/(s_P*s_RadSpec!BC15))),".")</f>
        <v>2.6824597822007652</v>
      </c>
      <c r="AB15" s="72">
        <f>IFERROR(IF(d_ss_Bv!D15=0,".",((s_Ir*s_F*s_MLF_asparagus*(1-EXP(-s_RadSpec!BC15*s_t_b)))/(s_P*s_RadSpec!BC15))),".")</f>
        <v>2.6824597822007652</v>
      </c>
      <c r="AC15" s="72">
        <f>IFERROR(IF(d_ss_Bv!E15=0,".",((s_Ir*s_F*s_MLF_beet*(1-EXP(-s_RadSpec!BC15*s_t_b)))/(s_P*s_RadSpec!BC15))),".")</f>
        <v>2.6824597822007652</v>
      </c>
      <c r="AD15" s="72">
        <f>IFERROR(IF(d_ss_Bv!F15=0,".",((s_Ir*s_F*s_MLF_berries*(1-EXP(-s_RadSpec!BC15*s_t_b)))/(s_P*s_RadSpec!BC15))),".")</f>
        <v>2.6824597822007652</v>
      </c>
      <c r="AE15" s="72">
        <f>IFERROR(IF(d_ss_Bv!G15=0,".",((s_Ir*s_F*s_MLF_broccoli*(1-EXP(-s_RadSpec!BC15*s_t_b)))/(s_P*s_RadSpec!BC15))),".")</f>
        <v>2.6824597822007652</v>
      </c>
      <c r="AF15" s="72">
        <f>IFERROR(IF(d_ss_Bv!H15=0,".",((s_Ir*s_F*s_MLF_cabbage*(1-EXP(-s_RadSpec!BC15*s_t_b)))/(s_P*s_RadSpec!BC15))),".")</f>
        <v>2.6824597822007652</v>
      </c>
      <c r="AG15" s="72">
        <f>IFERROR(IF(d_ss_Bv!I15=0,".",((s_Ir*s_F*s_MLF_carrot*(1-EXP(-s_RadSpec!BC15*s_t_b)))/(s_P*s_RadSpec!BC15))),".")</f>
        <v>2.6824597822007652</v>
      </c>
      <c r="AH15" s="72">
        <f>IFERROR(IF(d_ss_Bv!J15=0,".",((s_Ir*s_F*s_MLF_citrus*(1-EXP(-s_RadSpec!BC15*s_t_b)))/(s_P*s_RadSpec!BC15))),".")</f>
        <v>2.6824597822007652</v>
      </c>
      <c r="AI15" s="72">
        <f>IFERROR(IF(d_ss_Bv!K15=0,".",((s_Ir*s_F*s_MLF_corn*(1-EXP(-s_RadSpec!BC15*s_t_b)))/(s_P*s_RadSpec!BC15))),".")</f>
        <v>2.6824597822007652</v>
      </c>
      <c r="AJ15" s="72">
        <f>IFERROR(IF(d_ss_Bv!L15=0,".",((s_Ir*s_F*s_MLF_cucumber*(1-EXP(-s_RadSpec!BC15*s_t_b)))/(s_P*s_RadSpec!BC15))),".")</f>
        <v>2.6824597822007652</v>
      </c>
      <c r="AK15" s="72">
        <f>IFERROR(IF(d_ss_Bv!M15=0,".",((s_Ir*s_F*s_MLF_lettuce*(1-EXP(-s_RadSpec!BC15*s_t_b)))/(s_P*s_RadSpec!BC15))),".")</f>
        <v>2.6824597822007652</v>
      </c>
      <c r="AL15" s="72">
        <f>IFERROR(IF(d_ss_Bv!N15=0,".",((s_Ir*s_F*s_MLF_lima_bean*(1-EXP(-s_RadSpec!BC15*s_t_b)))/(s_P*s_RadSpec!BC15))),".")</f>
        <v>2.6824597822007652</v>
      </c>
      <c r="AM15" s="72">
        <f>IFERROR(IF(d_ss_Bv!O15=0,".",((s_Ir*s_F*s_MLF_okra*(1-EXP(-s_RadSpec!BC15*s_t_b)))/(s_P*s_RadSpec!BC15))),".")</f>
        <v>2.6824597822007652</v>
      </c>
      <c r="AN15" s="72">
        <f>IFERROR(IF(d_ss_Bv!P15=0,".",((s_Ir*s_F*s_MLF_onion*(1-EXP(-s_RadSpec!BC15*s_t_b)))/(s_P*s_RadSpec!BC15))),".")</f>
        <v>2.6824597822007652</v>
      </c>
      <c r="AO15" s="72">
        <f>IFERROR(IF(d_ss_Bv!Q15=0,".",((s_Ir*s_F*s_MLF_peach*(1-EXP(-s_RadSpec!BC15*s_t_b)))/(s_P*s_RadSpec!BC15))),".")</f>
        <v>2.6824597822007652</v>
      </c>
      <c r="AP15" s="72">
        <f>IFERROR(IF(d_ss_Bv!R15=0,".",((s_Ir*s_F*s_MLF_pear*(1-EXP(-s_RadSpec!BC15*s_t_b)))/(s_P*s_RadSpec!BC15))),".")</f>
        <v>2.6824597822007652</v>
      </c>
      <c r="AQ15" s="72">
        <f>IFERROR(IF(d_ss_Bv!S15=0,".",((s_Ir*s_F*s_MLF_peas*(1-EXP(-s_RadSpec!BC15*s_t_b)))/(s_P*s_RadSpec!BC15))),".")</f>
        <v>2.6824597822007652</v>
      </c>
      <c r="AR15" s="72">
        <f>IFERROR(IF(d_ss_Bv!T15=0,".",((s_Ir*s_F*s_MLF_potato*(1-EXP(-s_RadSpec!BC15*s_t_b)))/(s_P*s_RadSpec!BC15))),".")</f>
        <v>2.6824597822007652</v>
      </c>
      <c r="AS15" s="72">
        <f>IFERROR(IF(d_ss_Bv!U15=0,".",((s_Ir*s_F*s_MLF_pumpkin*(1-EXP(-s_RadSpec!BC15*s_t_b)))/(s_P*s_RadSpec!BC15))),".")</f>
        <v>2.6824597822007652</v>
      </c>
      <c r="AT15" s="72">
        <f>IFERROR(IF(d_ss_Bv!V15=0,".",((s_Ir*s_F*s_MLF_snap_bean*(1-EXP(-s_RadSpec!BC15*s_t_b)))/(s_P*s_RadSpec!BC15))),".")</f>
        <v>2.6824597822007652</v>
      </c>
      <c r="AU15" s="72">
        <f>IFERROR(IF(d_ss_Bv!W15=0,".",((s_Ir*s_F*s_MLF_strawberry*(1-EXP(-s_RadSpec!BC15*s_t_b)))/(s_P*s_RadSpec!BC15))),".")</f>
        <v>2.6824597822007652</v>
      </c>
      <c r="AV15" s="72">
        <f>IFERROR(IF(d_ss_Bv!X15=0,".",((s_Ir*s_F*s_MLF_tomato*(1-EXP(-s_RadSpec!BC15*s_t_b)))/(s_P*s_RadSpec!BC15))),".")</f>
        <v>2.6824597822007652</v>
      </c>
      <c r="AW15" s="72">
        <f>IFERROR(IF(d_ss_Bv!Y15=0,".",((s_Ir*s_F*s_MLF_rice*(1-EXP(-s_RadSpec!BC15*s_t_b)))/(s_P*s_RadSpec!BC15))),".")</f>
        <v>2.6824597822007652</v>
      </c>
      <c r="AX15" s="72">
        <f>IFERROR(IF(d_ss_Bv!Z15=0,".",((s_Ir*s_F*s_MLF_cereal*(1-EXP(-s_RadSpec!BC15*s_t_b)))/(s_P*s_RadSpec!BC15))),".")</f>
        <v>2.6824597822007652</v>
      </c>
      <c r="AY15" s="72">
        <f>IFERROR(IF(d_ss_Bv!C15=0,".",((s_Ir*s_F*s_I_f*s_T*(1-EXP(-s_RadSpec!BD15*s_t_v)))/(s_Y_v*s_RadSpec!BD15))),".")</f>
        <v>9.0143481925428208</v>
      </c>
      <c r="AZ15" s="72">
        <f>IFERROR(IF(d_ss_Bv!D15=0,".",((s_Ir*s_F*s_I_f*s_T*(1-EXP(-s_RadSpec!BD15*s_t_v)))/(s_Y_v*s_RadSpec!BD15))),".")</f>
        <v>9.0143481925428208</v>
      </c>
      <c r="BA15" s="72">
        <f>IFERROR(IF(d_ss_Bv!E15=0,".",((s_Ir*s_F*s_I_f*s_T*(1-EXP(-s_RadSpec!BD15*s_t_v)))/(s_Y_v*s_RadSpec!BD15))),".")</f>
        <v>9.0143481925428208</v>
      </c>
      <c r="BB15" s="72">
        <f>IFERROR(IF(d_ss_Bv!F15=0,".",((s_Ir*s_F*s_I_f*s_T*(1-EXP(-s_RadSpec!BD15*s_t_v)))/(s_Y_v*s_RadSpec!BD15))),".")</f>
        <v>9.0143481925428208</v>
      </c>
      <c r="BC15" s="72">
        <f>IFERROR(IF(d_ss_Bv!G15=0,".",((s_Ir*s_F*s_I_f*s_T*(1-EXP(-s_RadSpec!BD15*s_t_v)))/(s_Y_v*s_RadSpec!BD15))),".")</f>
        <v>9.0143481925428208</v>
      </c>
      <c r="BD15" s="72">
        <f>IFERROR(IF(d_ss_Bv!H15=0,".",((s_Ir*s_F*s_I_f*s_T*(1-EXP(-s_RadSpec!BD15*s_t_v)))/(s_Y_v*s_RadSpec!BD15))),".")</f>
        <v>9.0143481925428208</v>
      </c>
      <c r="BE15" s="72">
        <f>IFERROR(IF(d_ss_Bv!I15=0,".",((s_Ir*s_F*s_I_f*s_T*(1-EXP(-s_RadSpec!BD15*s_t_v)))/(s_Y_v*s_RadSpec!BD15))),".")</f>
        <v>9.0143481925428208</v>
      </c>
      <c r="BF15" s="72">
        <f>IFERROR(IF(d_ss_Bv!J15=0,".",((s_Ir*s_F*s_I_f*s_T*(1-EXP(-s_RadSpec!BD15*s_t_v)))/(s_Y_v*s_RadSpec!BD15))),".")</f>
        <v>9.0143481925428208</v>
      </c>
      <c r="BG15" s="72">
        <f>IFERROR(IF(d_ss_Bv!K15=0,".",((s_Ir*s_F*s_I_f*s_T*(1-EXP(-s_RadSpec!BD15*s_t_v)))/(s_Y_v*s_RadSpec!BD15))),".")</f>
        <v>9.0143481925428208</v>
      </c>
      <c r="BH15" s="72">
        <f>IFERROR(IF(d_ss_Bv!L15=0,".",((s_Ir*s_F*s_I_f*s_T*(1-EXP(-s_RadSpec!BD15*s_t_v)))/(s_Y_v*s_RadSpec!BD15))),".")</f>
        <v>9.0143481925428208</v>
      </c>
      <c r="BI15" s="72">
        <f>IFERROR(IF(d_ss_Bv!M15=0,".",((s_Ir*s_F*s_I_f*s_T*(1-EXP(-s_RadSpec!BD15*s_t_v)))/(s_Y_v*s_RadSpec!BD15))),".")</f>
        <v>9.0143481925428208</v>
      </c>
      <c r="BJ15" s="72">
        <f>IFERROR(IF(d_ss_Bv!N15=0,".",((s_Ir*s_F*s_I_f*s_T*(1-EXP(-s_RadSpec!BD15*s_t_v)))/(s_Y_v*s_RadSpec!BD15))),".")</f>
        <v>9.0143481925428208</v>
      </c>
      <c r="BK15" s="72">
        <f>IFERROR(IF(d_ss_Bv!O15=0,".",((s_Ir*s_F*s_I_f*s_T*(1-EXP(-s_RadSpec!BD15*s_t_v)))/(s_Y_v*s_RadSpec!BD15))),".")</f>
        <v>9.0143481925428208</v>
      </c>
      <c r="BL15" s="72">
        <f>IFERROR(IF(d_ss_Bv!P15=0,".",((s_Ir*s_F*s_I_f*s_T*(1-EXP(-s_RadSpec!BD15*s_t_v)))/(s_Y_v*s_RadSpec!BD15))),".")</f>
        <v>9.0143481925428208</v>
      </c>
      <c r="BM15" s="72">
        <f>IFERROR(IF(d_ss_Bv!Q15=0,".",((s_Ir*s_F*s_I_f*s_T*(1-EXP(-s_RadSpec!BD15*s_t_v)))/(s_Y_v*s_RadSpec!BD15))),".")</f>
        <v>9.0143481925428208</v>
      </c>
      <c r="BN15" s="72">
        <f>IFERROR(IF(d_ss_Bv!R15=0,".",((s_Ir*s_F*s_I_f*s_T*(1-EXP(-s_RadSpec!BD15*s_t_v)))/(s_Y_v*s_RadSpec!BD15))),".")</f>
        <v>9.0143481925428208</v>
      </c>
      <c r="BO15" s="72">
        <f>IFERROR(IF(d_ss_Bv!S15=0,".",((s_Ir*s_F*s_I_f*s_T*(1-EXP(-s_RadSpec!BD15*s_t_v)))/(s_Y_v*s_RadSpec!BD15))),".")</f>
        <v>9.0143481925428208</v>
      </c>
      <c r="BP15" s="72">
        <f>IFERROR(IF(d_ss_Bv!T15=0,".",((s_Ir*s_F*s_I_f*s_T*(1-EXP(-s_RadSpec!BD15*s_t_v)))/(s_Y_v*s_RadSpec!BD15))),".")</f>
        <v>9.0143481925428208</v>
      </c>
      <c r="BQ15" s="72">
        <f>IFERROR(IF(d_ss_Bv!U15=0,".",((s_Ir*s_F*s_I_f*s_T*(1-EXP(-s_RadSpec!BD15*s_t_v)))/(s_Y_v*s_RadSpec!BD15))),".")</f>
        <v>9.0143481925428208</v>
      </c>
      <c r="BR15" s="72">
        <f>IFERROR(IF(d_ss_Bv!V15=0,".",((s_Ir*s_F*s_I_f*s_T*(1-EXP(-s_RadSpec!BD15*s_t_v)))/(s_Y_v*s_RadSpec!BD15))),".")</f>
        <v>9.0143481925428208</v>
      </c>
      <c r="BS15" s="72">
        <f>IFERROR(IF(d_ss_Bv!W15=0,".",((s_Ir*s_F*s_I_f*s_T*(1-EXP(-s_RadSpec!BD15*s_t_v)))/(s_Y_v*s_RadSpec!BD15))),".")</f>
        <v>9.0143481925428208</v>
      </c>
      <c r="BT15" s="72">
        <f>IFERROR(IF(d_ss_Bv!X15=0,".",((s_Ir*s_F*s_I_f*s_T*(1-EXP(-s_RadSpec!BD15*s_t_v)))/(s_Y_v*s_RadSpec!BD15))),".")</f>
        <v>9.0143481925428208</v>
      </c>
      <c r="BU15" s="72">
        <f>IFERROR(IF(d_ss_Bv!Y15=0,".",((s_Ir*s_F*s_I_f*s_T*(1-EXP(-s_RadSpec!BD15*s_t_v)))/(s_Y_v*s_RadSpec!BD15))),".")</f>
        <v>9.0143481925428208</v>
      </c>
      <c r="BV15" s="72">
        <f>IFERROR(IF(d_ss_Bv!Z15=0,".",((s_Ir*s_F*s_I_f*s_T*(1-EXP(-s_RadSpec!BD15*s_t_v)))/(s_Y_v*s_RadSpec!BD15))),".")</f>
        <v>9.0143481925428208</v>
      </c>
    </row>
    <row r="16" spans="1:74" x14ac:dyDescent="0.25">
      <c r="A16" s="31" t="s">
        <v>14</v>
      </c>
      <c r="B16" s="3" t="s">
        <v>1059</v>
      </c>
      <c r="C16" s="72">
        <f>IFERROR(IF(d_ss_Bv!C16=0,".",((s_Ir*s_F*d_ss_Bv!C16*(1-EXP(-s_RadSpec!$BC16*s_t_b)))/(s_P*s_RadSpec!$BC16))),".")</f>
        <v>1.9870072460746409</v>
      </c>
      <c r="D16" s="72">
        <f>IFERROR(IF(d_ss_Bv!D16=0,".",((s_Ir*s_F*d_ss_Bv!D16*(1-EXP(-s_RadSpec!BC16*s_t_b)))/(s_P*s_RadSpec!BC16))),".")</f>
        <v>15.896057968597127</v>
      </c>
      <c r="E16" s="72">
        <f>IFERROR(IF(d_ss_Bv!E16=0,".",((s_Ir*s_F*d_ss_Bv!E16*(1-EXP(-s_RadSpec!BC16*s_t_b)))/(s_P*s_RadSpec!BC16))),".")</f>
        <v>2.9805108691119608</v>
      </c>
      <c r="F16" s="72">
        <f>IFERROR(IF(d_ss_Bv!F16=0,".",((s_Ir*s_F*d_ss_Bv!F16*(1-EXP(-s_RadSpec!BC16*s_t_b)))/(s_P*s_RadSpec!BC16))),".")</f>
        <v>1.9870072460746409</v>
      </c>
      <c r="G16" s="72">
        <f>IFERROR(IF(d_ss_Bv!G16=0,".",((s_Ir*s_F*d_ss_Bv!G16*(1-EXP(-s_RadSpec!BC16*s_t_b)))/(s_P*s_RadSpec!BC16))),".")</f>
        <v>2.9805108691119608</v>
      </c>
      <c r="H16" s="72">
        <f>IFERROR(IF(d_ss_Bv!H16=0,".",((s_Ir*s_F*d_ss_Bv!H16*(1-EXP(-s_RadSpec!BC16*s_t_b)))/(s_P*s_RadSpec!BC16))),".")</f>
        <v>15.896057968597127</v>
      </c>
      <c r="I16" s="72">
        <f>IFERROR(IF(d_ss_Bv!I16=0,".",((s_Ir*s_F*d_ss_Bv!I16*(1-EXP(-s_RadSpec!BC16*s_t_b)))/(s_P*s_RadSpec!BC16))),".")</f>
        <v>2.9805108691119608</v>
      </c>
      <c r="J16" s="72">
        <f>IFERROR(IF(d_ss_Bv!J16=0,".",((s_Ir*s_F*d_ss_Bv!J16*(1-EXP(-s_RadSpec!BC16*s_t_b)))/(s_P*s_RadSpec!BC16))),".")</f>
        <v>1.9870072460746409</v>
      </c>
      <c r="K16" s="72">
        <f>IFERROR(IF(d_ss_Bv!K16=0,".",((s_Ir*s_F*d_ss_Bv!K16*(1-EXP(-s_RadSpec!BC16*s_t_b)))/(s_P*s_RadSpec!BC16))),".")</f>
        <v>0.23844086952895688</v>
      </c>
      <c r="L16" s="72">
        <f>IFERROR(IF(d_ss_Bv!L16=0,".",((s_Ir*s_F*d_ss_Bv!L16*(1-EXP(-s_RadSpec!BC16*s_t_b)))/(s_P*s_RadSpec!BC16))),".")</f>
        <v>2.9805108691119608</v>
      </c>
      <c r="M16" s="72">
        <f>IFERROR(IF(d_ss_Bv!M16=0,".",((s_Ir*s_F*d_ss_Bv!M16*(1-EXP(-s_RadSpec!BC16*s_t_b)))/(s_P*s_RadSpec!BC16))),".")</f>
        <v>15.896057968597127</v>
      </c>
      <c r="N16" s="72">
        <f>IFERROR(IF(d_ss_Bv!N16=0,".",((s_Ir*s_F*d_ss_Bv!N16*(1-EXP(-s_RadSpec!BC16*s_t_b)))/(s_P*s_RadSpec!BC16))),".")</f>
        <v>1.0531138404195597</v>
      </c>
      <c r="O16" s="72">
        <f>IFERROR(IF(d_ss_Bv!O16=0,".",((s_Ir*s_F*d_ss_Bv!O16*(1-EXP(-s_RadSpec!BC16*s_t_b)))/(s_P*s_RadSpec!BC16))),".")</f>
        <v>2.9805108691119608</v>
      </c>
      <c r="P16" s="72">
        <f>IFERROR(IF(d_ss_Bv!P16=0,".",((s_Ir*s_F*d_ss_Bv!P16*(1-EXP(-s_RadSpec!BC16*s_t_b)))/(s_P*s_RadSpec!BC16))),".")</f>
        <v>2.9805108691119608</v>
      </c>
      <c r="Q16" s="72">
        <f>IFERROR(IF(d_ss_Bv!Q16=0,".",((s_Ir*s_F*d_ss_Bv!Q16*(1-EXP(-s_RadSpec!BC16*s_t_b)))/(s_P*s_RadSpec!BC16))),".")</f>
        <v>1.9870072460746409</v>
      </c>
      <c r="R16" s="72">
        <f>IFERROR(IF(d_ss_Bv!R16=0,".",((s_Ir*s_F*d_ss_Bv!R16*(1-EXP(-s_RadSpec!BC16*s_t_b)))/(s_P*s_RadSpec!BC16))),".")</f>
        <v>1.9870072460746409</v>
      </c>
      <c r="S16" s="72">
        <f>IFERROR(IF(d_ss_Bv!S16=0,".",((s_Ir*s_F*d_ss_Bv!S16*(1-EXP(-s_RadSpec!BC16*s_t_b)))/(s_P*s_RadSpec!BC16))),".")</f>
        <v>1.0531138404195597</v>
      </c>
      <c r="T16" s="72">
        <f>IFERROR(IF(d_ss_Bv!T16=0,".",((s_Ir*s_F*d_ss_Bv!T16*(1-EXP(-s_RadSpec!BC16*s_t_b)))/(s_P*s_RadSpec!BC16))),".")</f>
        <v>0.29805108691119608</v>
      </c>
      <c r="U16" s="72">
        <f>IFERROR(IF(d_ss_Bv!U16=0,".",((s_Ir*s_F*d_ss_Bv!U16*(1-EXP(-s_RadSpec!BC16*s_t_b)))/(s_P*s_RadSpec!BC16))),".")</f>
        <v>2.9805108691119608</v>
      </c>
      <c r="V16" s="72">
        <f>IFERROR(IF(d_ss_Bv!V16=0,".",((s_Ir*s_F*d_ss_Bv!V16*(1-EXP(-s_RadSpec!BC16*s_t_b)))/(s_P*s_RadSpec!BC16))),".")</f>
        <v>1.0531138404195597</v>
      </c>
      <c r="W16" s="72">
        <f>IFERROR(IF(d_ss_Bv!W16=0,".",((s_Ir*s_F*d_ss_Bv!W16*(1-EXP(-s_RadSpec!BC16*s_t_b)))/(s_P*s_RadSpec!BC16))),".")</f>
        <v>1.9870072460746409</v>
      </c>
      <c r="X16" s="72">
        <f>IFERROR(IF(d_ss_Bv!X16=0,".",((s_Ir*s_F*d_ss_Bv!X16*(1-EXP(-s_RadSpec!BC16*s_t_b)))/(s_P*s_RadSpec!BC16))),".")</f>
        <v>2.9805108691119608</v>
      </c>
      <c r="Y16" s="72">
        <f>IFERROR(IF(d_ss_Bv!Y16=0,".",((s_Ir*s_F*d_ss_Bv!Y16*(1-EXP(-s_RadSpec!BC16*s_t_b)))/(s_P*s_RadSpec!BC16))),".")</f>
        <v>5.7623210136164581E-2</v>
      </c>
      <c r="Z16" s="72">
        <f>IFERROR(IF(d_ss_Bv!Z16=0,".",((s_Ir*s_F*d_ss_Bv!Z16*(1-EXP(-s_RadSpec!BC16*s_t_b)))/(s_P*s_RadSpec!BC16))),".")</f>
        <v>2.1857079706821048</v>
      </c>
      <c r="AA16" s="72">
        <f>IFERROR(IF(d_ss_Bv!C16=0,".",((s_Ir*s_F*s_MLF_apple*(1-EXP(-s_RadSpec!BC16*s_t_b)))/(s_P*s_RadSpec!BC16))),".")</f>
        <v>2.6824597822007652</v>
      </c>
      <c r="AB16" s="72">
        <f>IFERROR(IF(d_ss_Bv!D16=0,".",((s_Ir*s_F*s_MLF_asparagus*(1-EXP(-s_RadSpec!BC16*s_t_b)))/(s_P*s_RadSpec!BC16))),".")</f>
        <v>2.6824597822007652</v>
      </c>
      <c r="AC16" s="72">
        <f>IFERROR(IF(d_ss_Bv!E16=0,".",((s_Ir*s_F*s_MLF_beet*(1-EXP(-s_RadSpec!BC16*s_t_b)))/(s_P*s_RadSpec!BC16))),".")</f>
        <v>2.6824597822007652</v>
      </c>
      <c r="AD16" s="72">
        <f>IFERROR(IF(d_ss_Bv!F16=0,".",((s_Ir*s_F*s_MLF_berries*(1-EXP(-s_RadSpec!BC16*s_t_b)))/(s_P*s_RadSpec!BC16))),".")</f>
        <v>2.6824597822007652</v>
      </c>
      <c r="AE16" s="72">
        <f>IFERROR(IF(d_ss_Bv!G16=0,".",((s_Ir*s_F*s_MLF_broccoli*(1-EXP(-s_RadSpec!BC16*s_t_b)))/(s_P*s_RadSpec!BC16))),".")</f>
        <v>2.6824597822007652</v>
      </c>
      <c r="AF16" s="72">
        <f>IFERROR(IF(d_ss_Bv!H16=0,".",((s_Ir*s_F*s_MLF_cabbage*(1-EXP(-s_RadSpec!BC16*s_t_b)))/(s_P*s_RadSpec!BC16))),".")</f>
        <v>2.6824597822007652</v>
      </c>
      <c r="AG16" s="72">
        <f>IFERROR(IF(d_ss_Bv!I16=0,".",((s_Ir*s_F*s_MLF_carrot*(1-EXP(-s_RadSpec!BC16*s_t_b)))/(s_P*s_RadSpec!BC16))),".")</f>
        <v>2.6824597822007652</v>
      </c>
      <c r="AH16" s="72">
        <f>IFERROR(IF(d_ss_Bv!J16=0,".",((s_Ir*s_F*s_MLF_citrus*(1-EXP(-s_RadSpec!BC16*s_t_b)))/(s_P*s_RadSpec!BC16))),".")</f>
        <v>2.6824597822007652</v>
      </c>
      <c r="AI16" s="72">
        <f>IFERROR(IF(d_ss_Bv!K16=0,".",((s_Ir*s_F*s_MLF_corn*(1-EXP(-s_RadSpec!BC16*s_t_b)))/(s_P*s_RadSpec!BC16))),".")</f>
        <v>2.6824597822007652</v>
      </c>
      <c r="AJ16" s="72">
        <f>IFERROR(IF(d_ss_Bv!L16=0,".",((s_Ir*s_F*s_MLF_cucumber*(1-EXP(-s_RadSpec!BC16*s_t_b)))/(s_P*s_RadSpec!BC16))),".")</f>
        <v>2.6824597822007652</v>
      </c>
      <c r="AK16" s="72">
        <f>IFERROR(IF(d_ss_Bv!M16=0,".",((s_Ir*s_F*s_MLF_lettuce*(1-EXP(-s_RadSpec!BC16*s_t_b)))/(s_P*s_RadSpec!BC16))),".")</f>
        <v>2.6824597822007652</v>
      </c>
      <c r="AL16" s="72">
        <f>IFERROR(IF(d_ss_Bv!N16=0,".",((s_Ir*s_F*s_MLF_lima_bean*(1-EXP(-s_RadSpec!BC16*s_t_b)))/(s_P*s_RadSpec!BC16))),".")</f>
        <v>2.6824597822007652</v>
      </c>
      <c r="AM16" s="72">
        <f>IFERROR(IF(d_ss_Bv!O16=0,".",((s_Ir*s_F*s_MLF_okra*(1-EXP(-s_RadSpec!BC16*s_t_b)))/(s_P*s_RadSpec!BC16))),".")</f>
        <v>2.6824597822007652</v>
      </c>
      <c r="AN16" s="72">
        <f>IFERROR(IF(d_ss_Bv!P16=0,".",((s_Ir*s_F*s_MLF_onion*(1-EXP(-s_RadSpec!BC16*s_t_b)))/(s_P*s_RadSpec!BC16))),".")</f>
        <v>2.6824597822007652</v>
      </c>
      <c r="AO16" s="72">
        <f>IFERROR(IF(d_ss_Bv!Q16=0,".",((s_Ir*s_F*s_MLF_peach*(1-EXP(-s_RadSpec!BC16*s_t_b)))/(s_P*s_RadSpec!BC16))),".")</f>
        <v>2.6824597822007652</v>
      </c>
      <c r="AP16" s="72">
        <f>IFERROR(IF(d_ss_Bv!R16=0,".",((s_Ir*s_F*s_MLF_pear*(1-EXP(-s_RadSpec!BC16*s_t_b)))/(s_P*s_RadSpec!BC16))),".")</f>
        <v>2.6824597822007652</v>
      </c>
      <c r="AQ16" s="72">
        <f>IFERROR(IF(d_ss_Bv!S16=0,".",((s_Ir*s_F*s_MLF_peas*(1-EXP(-s_RadSpec!BC16*s_t_b)))/(s_P*s_RadSpec!BC16))),".")</f>
        <v>2.6824597822007652</v>
      </c>
      <c r="AR16" s="72">
        <f>IFERROR(IF(d_ss_Bv!T16=0,".",((s_Ir*s_F*s_MLF_potato*(1-EXP(-s_RadSpec!BC16*s_t_b)))/(s_P*s_RadSpec!BC16))),".")</f>
        <v>2.6824597822007652</v>
      </c>
      <c r="AS16" s="72">
        <f>IFERROR(IF(d_ss_Bv!U16=0,".",((s_Ir*s_F*s_MLF_pumpkin*(1-EXP(-s_RadSpec!BC16*s_t_b)))/(s_P*s_RadSpec!BC16))),".")</f>
        <v>2.6824597822007652</v>
      </c>
      <c r="AT16" s="72">
        <f>IFERROR(IF(d_ss_Bv!V16=0,".",((s_Ir*s_F*s_MLF_snap_bean*(1-EXP(-s_RadSpec!BC16*s_t_b)))/(s_P*s_RadSpec!BC16))),".")</f>
        <v>2.6824597822007652</v>
      </c>
      <c r="AU16" s="72">
        <f>IFERROR(IF(d_ss_Bv!W16=0,".",((s_Ir*s_F*s_MLF_strawberry*(1-EXP(-s_RadSpec!BC16*s_t_b)))/(s_P*s_RadSpec!BC16))),".")</f>
        <v>2.6824597822007652</v>
      </c>
      <c r="AV16" s="72">
        <f>IFERROR(IF(d_ss_Bv!X16=0,".",((s_Ir*s_F*s_MLF_tomato*(1-EXP(-s_RadSpec!BC16*s_t_b)))/(s_P*s_RadSpec!BC16))),".")</f>
        <v>2.6824597822007652</v>
      </c>
      <c r="AW16" s="72">
        <f>IFERROR(IF(d_ss_Bv!Y16=0,".",((s_Ir*s_F*s_MLF_rice*(1-EXP(-s_RadSpec!BC16*s_t_b)))/(s_P*s_RadSpec!BC16))),".")</f>
        <v>2.6824597822007652</v>
      </c>
      <c r="AX16" s="72">
        <f>IFERROR(IF(d_ss_Bv!Z16=0,".",((s_Ir*s_F*s_MLF_cereal*(1-EXP(-s_RadSpec!BC16*s_t_b)))/(s_P*s_RadSpec!BC16))),".")</f>
        <v>2.6824597822007652</v>
      </c>
      <c r="AY16" s="72">
        <f>IFERROR(IF(d_ss_Bv!C16=0,".",((s_Ir*s_F*s_I_f*s_T*(1-EXP(-s_RadSpec!BD16*s_t_v)))/(s_Y_v*s_RadSpec!BD16))),".")</f>
        <v>9.0143481925428208</v>
      </c>
      <c r="AZ16" s="72">
        <f>IFERROR(IF(d_ss_Bv!D16=0,".",((s_Ir*s_F*s_I_f*s_T*(1-EXP(-s_RadSpec!BD16*s_t_v)))/(s_Y_v*s_RadSpec!BD16))),".")</f>
        <v>9.0143481925428208</v>
      </c>
      <c r="BA16" s="72">
        <f>IFERROR(IF(d_ss_Bv!E16=0,".",((s_Ir*s_F*s_I_f*s_T*(1-EXP(-s_RadSpec!BD16*s_t_v)))/(s_Y_v*s_RadSpec!BD16))),".")</f>
        <v>9.0143481925428208</v>
      </c>
      <c r="BB16" s="72">
        <f>IFERROR(IF(d_ss_Bv!F16=0,".",((s_Ir*s_F*s_I_f*s_T*(1-EXP(-s_RadSpec!BD16*s_t_v)))/(s_Y_v*s_RadSpec!BD16))),".")</f>
        <v>9.0143481925428208</v>
      </c>
      <c r="BC16" s="72">
        <f>IFERROR(IF(d_ss_Bv!G16=0,".",((s_Ir*s_F*s_I_f*s_T*(1-EXP(-s_RadSpec!BD16*s_t_v)))/(s_Y_v*s_RadSpec!BD16))),".")</f>
        <v>9.0143481925428208</v>
      </c>
      <c r="BD16" s="72">
        <f>IFERROR(IF(d_ss_Bv!H16=0,".",((s_Ir*s_F*s_I_f*s_T*(1-EXP(-s_RadSpec!BD16*s_t_v)))/(s_Y_v*s_RadSpec!BD16))),".")</f>
        <v>9.0143481925428208</v>
      </c>
      <c r="BE16" s="72">
        <f>IFERROR(IF(d_ss_Bv!I16=0,".",((s_Ir*s_F*s_I_f*s_T*(1-EXP(-s_RadSpec!BD16*s_t_v)))/(s_Y_v*s_RadSpec!BD16))),".")</f>
        <v>9.0143481925428208</v>
      </c>
      <c r="BF16" s="72">
        <f>IFERROR(IF(d_ss_Bv!J16=0,".",((s_Ir*s_F*s_I_f*s_T*(1-EXP(-s_RadSpec!BD16*s_t_v)))/(s_Y_v*s_RadSpec!BD16))),".")</f>
        <v>9.0143481925428208</v>
      </c>
      <c r="BG16" s="72">
        <f>IFERROR(IF(d_ss_Bv!K16=0,".",((s_Ir*s_F*s_I_f*s_T*(1-EXP(-s_RadSpec!BD16*s_t_v)))/(s_Y_v*s_RadSpec!BD16))),".")</f>
        <v>9.0143481925428208</v>
      </c>
      <c r="BH16" s="72">
        <f>IFERROR(IF(d_ss_Bv!L16=0,".",((s_Ir*s_F*s_I_f*s_T*(1-EXP(-s_RadSpec!BD16*s_t_v)))/(s_Y_v*s_RadSpec!BD16))),".")</f>
        <v>9.0143481925428208</v>
      </c>
      <c r="BI16" s="72">
        <f>IFERROR(IF(d_ss_Bv!M16=0,".",((s_Ir*s_F*s_I_f*s_T*(1-EXP(-s_RadSpec!BD16*s_t_v)))/(s_Y_v*s_RadSpec!BD16))),".")</f>
        <v>9.0143481925428208</v>
      </c>
      <c r="BJ16" s="72">
        <f>IFERROR(IF(d_ss_Bv!N16=0,".",((s_Ir*s_F*s_I_f*s_T*(1-EXP(-s_RadSpec!BD16*s_t_v)))/(s_Y_v*s_RadSpec!BD16))),".")</f>
        <v>9.0143481925428208</v>
      </c>
      <c r="BK16" s="72">
        <f>IFERROR(IF(d_ss_Bv!O16=0,".",((s_Ir*s_F*s_I_f*s_T*(1-EXP(-s_RadSpec!BD16*s_t_v)))/(s_Y_v*s_RadSpec!BD16))),".")</f>
        <v>9.0143481925428208</v>
      </c>
      <c r="BL16" s="72">
        <f>IFERROR(IF(d_ss_Bv!P16=0,".",((s_Ir*s_F*s_I_f*s_T*(1-EXP(-s_RadSpec!BD16*s_t_v)))/(s_Y_v*s_RadSpec!BD16))),".")</f>
        <v>9.0143481925428208</v>
      </c>
      <c r="BM16" s="72">
        <f>IFERROR(IF(d_ss_Bv!Q16=0,".",((s_Ir*s_F*s_I_f*s_T*(1-EXP(-s_RadSpec!BD16*s_t_v)))/(s_Y_v*s_RadSpec!BD16))),".")</f>
        <v>9.0143481925428208</v>
      </c>
      <c r="BN16" s="72">
        <f>IFERROR(IF(d_ss_Bv!R16=0,".",((s_Ir*s_F*s_I_f*s_T*(1-EXP(-s_RadSpec!BD16*s_t_v)))/(s_Y_v*s_RadSpec!BD16))),".")</f>
        <v>9.0143481925428208</v>
      </c>
      <c r="BO16" s="72">
        <f>IFERROR(IF(d_ss_Bv!S16=0,".",((s_Ir*s_F*s_I_f*s_T*(1-EXP(-s_RadSpec!BD16*s_t_v)))/(s_Y_v*s_RadSpec!BD16))),".")</f>
        <v>9.0143481925428208</v>
      </c>
      <c r="BP16" s="72">
        <f>IFERROR(IF(d_ss_Bv!T16=0,".",((s_Ir*s_F*s_I_f*s_T*(1-EXP(-s_RadSpec!BD16*s_t_v)))/(s_Y_v*s_RadSpec!BD16))),".")</f>
        <v>9.0143481925428208</v>
      </c>
      <c r="BQ16" s="72">
        <f>IFERROR(IF(d_ss_Bv!U16=0,".",((s_Ir*s_F*s_I_f*s_T*(1-EXP(-s_RadSpec!BD16*s_t_v)))/(s_Y_v*s_RadSpec!BD16))),".")</f>
        <v>9.0143481925428208</v>
      </c>
      <c r="BR16" s="72">
        <f>IFERROR(IF(d_ss_Bv!V16=0,".",((s_Ir*s_F*s_I_f*s_T*(1-EXP(-s_RadSpec!BD16*s_t_v)))/(s_Y_v*s_RadSpec!BD16))),".")</f>
        <v>9.0143481925428208</v>
      </c>
      <c r="BS16" s="72">
        <f>IFERROR(IF(d_ss_Bv!W16=0,".",((s_Ir*s_F*s_I_f*s_T*(1-EXP(-s_RadSpec!BD16*s_t_v)))/(s_Y_v*s_RadSpec!BD16))),".")</f>
        <v>9.0143481925428208</v>
      </c>
      <c r="BT16" s="72">
        <f>IFERROR(IF(d_ss_Bv!X16=0,".",((s_Ir*s_F*s_I_f*s_T*(1-EXP(-s_RadSpec!BD16*s_t_v)))/(s_Y_v*s_RadSpec!BD16))),".")</f>
        <v>9.0143481925428208</v>
      </c>
      <c r="BU16" s="72">
        <f>IFERROR(IF(d_ss_Bv!Y16=0,".",((s_Ir*s_F*s_I_f*s_T*(1-EXP(-s_RadSpec!BD16*s_t_v)))/(s_Y_v*s_RadSpec!BD16))),".")</f>
        <v>9.0143481925428208</v>
      </c>
      <c r="BV16" s="72">
        <f>IFERROR(IF(d_ss_Bv!Z16=0,".",((s_Ir*s_F*s_I_f*s_T*(1-EXP(-s_RadSpec!BD16*s_t_v)))/(s_Y_v*s_RadSpec!BD16))),".")</f>
        <v>9.0143481925428208</v>
      </c>
    </row>
    <row r="17" spans="1:74" x14ac:dyDescent="0.25">
      <c r="A17" s="31" t="s">
        <v>15</v>
      </c>
      <c r="B17" s="3" t="s">
        <v>1059</v>
      </c>
      <c r="C17" s="72">
        <f>IFERROR(IF(d_ss_Bv!C17=0,".",((s_Ir*s_F*d_ss_Bv!C17*(1-EXP(-s_RadSpec!$BC17*s_t_b)))/(s_P*s_RadSpec!$BC17))),".")</f>
        <v>1.9870072460746409</v>
      </c>
      <c r="D17" s="72">
        <f>IFERROR(IF(d_ss_Bv!D17=0,".",((s_Ir*s_F*d_ss_Bv!D17*(1-EXP(-s_RadSpec!BC17*s_t_b)))/(s_P*s_RadSpec!BC17))),".")</f>
        <v>15.896057968597127</v>
      </c>
      <c r="E17" s="72">
        <f>IFERROR(IF(d_ss_Bv!E17=0,".",((s_Ir*s_F*d_ss_Bv!E17*(1-EXP(-s_RadSpec!BC17*s_t_b)))/(s_P*s_RadSpec!BC17))),".")</f>
        <v>2.9805108691119608</v>
      </c>
      <c r="F17" s="72">
        <f>IFERROR(IF(d_ss_Bv!F17=0,".",((s_Ir*s_F*d_ss_Bv!F17*(1-EXP(-s_RadSpec!BC17*s_t_b)))/(s_P*s_RadSpec!BC17))),".")</f>
        <v>1.9870072460746409</v>
      </c>
      <c r="G17" s="72">
        <f>IFERROR(IF(d_ss_Bv!G17=0,".",((s_Ir*s_F*d_ss_Bv!G17*(1-EXP(-s_RadSpec!BC17*s_t_b)))/(s_P*s_RadSpec!BC17))),".")</f>
        <v>2.9805108691119608</v>
      </c>
      <c r="H17" s="72">
        <f>IFERROR(IF(d_ss_Bv!H17=0,".",((s_Ir*s_F*d_ss_Bv!H17*(1-EXP(-s_RadSpec!BC17*s_t_b)))/(s_P*s_RadSpec!BC17))),".")</f>
        <v>15.896057968597127</v>
      </c>
      <c r="I17" s="72">
        <f>IFERROR(IF(d_ss_Bv!I17=0,".",((s_Ir*s_F*d_ss_Bv!I17*(1-EXP(-s_RadSpec!BC17*s_t_b)))/(s_P*s_RadSpec!BC17))),".")</f>
        <v>2.9805108691119608</v>
      </c>
      <c r="J17" s="72">
        <f>IFERROR(IF(d_ss_Bv!J17=0,".",((s_Ir*s_F*d_ss_Bv!J17*(1-EXP(-s_RadSpec!BC17*s_t_b)))/(s_P*s_RadSpec!BC17))),".")</f>
        <v>1.9870072460746409</v>
      </c>
      <c r="K17" s="72">
        <f>IFERROR(IF(d_ss_Bv!K17=0,".",((s_Ir*s_F*d_ss_Bv!K17*(1-EXP(-s_RadSpec!BC17*s_t_b)))/(s_P*s_RadSpec!BC17))),".")</f>
        <v>0.23844086952895688</v>
      </c>
      <c r="L17" s="72">
        <f>IFERROR(IF(d_ss_Bv!L17=0,".",((s_Ir*s_F*d_ss_Bv!L17*(1-EXP(-s_RadSpec!BC17*s_t_b)))/(s_P*s_RadSpec!BC17))),".")</f>
        <v>2.9805108691119608</v>
      </c>
      <c r="M17" s="72">
        <f>IFERROR(IF(d_ss_Bv!M17=0,".",((s_Ir*s_F*d_ss_Bv!M17*(1-EXP(-s_RadSpec!BC17*s_t_b)))/(s_P*s_RadSpec!BC17))),".")</f>
        <v>15.896057968597127</v>
      </c>
      <c r="N17" s="72">
        <f>IFERROR(IF(d_ss_Bv!N17=0,".",((s_Ir*s_F*d_ss_Bv!N17*(1-EXP(-s_RadSpec!BC17*s_t_b)))/(s_P*s_RadSpec!BC17))),".")</f>
        <v>1.0531138404195597</v>
      </c>
      <c r="O17" s="72">
        <f>IFERROR(IF(d_ss_Bv!O17=0,".",((s_Ir*s_F*d_ss_Bv!O17*(1-EXP(-s_RadSpec!BC17*s_t_b)))/(s_P*s_RadSpec!BC17))),".")</f>
        <v>2.9805108691119608</v>
      </c>
      <c r="P17" s="72">
        <f>IFERROR(IF(d_ss_Bv!P17=0,".",((s_Ir*s_F*d_ss_Bv!P17*(1-EXP(-s_RadSpec!BC17*s_t_b)))/(s_P*s_RadSpec!BC17))),".")</f>
        <v>2.9805108691119608</v>
      </c>
      <c r="Q17" s="72">
        <f>IFERROR(IF(d_ss_Bv!Q17=0,".",((s_Ir*s_F*d_ss_Bv!Q17*(1-EXP(-s_RadSpec!BC17*s_t_b)))/(s_P*s_RadSpec!BC17))),".")</f>
        <v>1.9870072460746409</v>
      </c>
      <c r="R17" s="72">
        <f>IFERROR(IF(d_ss_Bv!R17=0,".",((s_Ir*s_F*d_ss_Bv!R17*(1-EXP(-s_RadSpec!BC17*s_t_b)))/(s_P*s_RadSpec!BC17))),".")</f>
        <v>1.9870072460746409</v>
      </c>
      <c r="S17" s="72">
        <f>IFERROR(IF(d_ss_Bv!S17=0,".",((s_Ir*s_F*d_ss_Bv!S17*(1-EXP(-s_RadSpec!BC17*s_t_b)))/(s_P*s_RadSpec!BC17))),".")</f>
        <v>1.0531138404195597</v>
      </c>
      <c r="T17" s="72">
        <f>IFERROR(IF(d_ss_Bv!T17=0,".",((s_Ir*s_F*d_ss_Bv!T17*(1-EXP(-s_RadSpec!BC17*s_t_b)))/(s_P*s_RadSpec!BC17))),".")</f>
        <v>0.29805108691119608</v>
      </c>
      <c r="U17" s="72">
        <f>IFERROR(IF(d_ss_Bv!U17=0,".",((s_Ir*s_F*d_ss_Bv!U17*(1-EXP(-s_RadSpec!BC17*s_t_b)))/(s_P*s_RadSpec!BC17))),".")</f>
        <v>2.9805108691119608</v>
      </c>
      <c r="V17" s="72">
        <f>IFERROR(IF(d_ss_Bv!V17=0,".",((s_Ir*s_F*d_ss_Bv!V17*(1-EXP(-s_RadSpec!BC17*s_t_b)))/(s_P*s_RadSpec!BC17))),".")</f>
        <v>1.0531138404195597</v>
      </c>
      <c r="W17" s="72">
        <f>IFERROR(IF(d_ss_Bv!W17=0,".",((s_Ir*s_F*d_ss_Bv!W17*(1-EXP(-s_RadSpec!BC17*s_t_b)))/(s_P*s_RadSpec!BC17))),".")</f>
        <v>1.9870072460746409</v>
      </c>
      <c r="X17" s="72">
        <f>IFERROR(IF(d_ss_Bv!X17=0,".",((s_Ir*s_F*d_ss_Bv!X17*(1-EXP(-s_RadSpec!BC17*s_t_b)))/(s_P*s_RadSpec!BC17))),".")</f>
        <v>2.9805108691119608</v>
      </c>
      <c r="Y17" s="72">
        <f>IFERROR(IF(d_ss_Bv!Y17=0,".",((s_Ir*s_F*d_ss_Bv!Y17*(1-EXP(-s_RadSpec!BC17*s_t_b)))/(s_P*s_RadSpec!BC17))),".")</f>
        <v>5.7623210136164581E-2</v>
      </c>
      <c r="Z17" s="72">
        <f>IFERROR(IF(d_ss_Bv!Z17=0,".",((s_Ir*s_F*d_ss_Bv!Z17*(1-EXP(-s_RadSpec!BC17*s_t_b)))/(s_P*s_RadSpec!BC17))),".")</f>
        <v>2.1857079706821048</v>
      </c>
      <c r="AA17" s="72">
        <f>IFERROR(IF(d_ss_Bv!C17=0,".",((s_Ir*s_F*s_MLF_apple*(1-EXP(-s_RadSpec!BC17*s_t_b)))/(s_P*s_RadSpec!BC17))),".")</f>
        <v>2.6824597822007652</v>
      </c>
      <c r="AB17" s="72">
        <f>IFERROR(IF(d_ss_Bv!D17=0,".",((s_Ir*s_F*s_MLF_asparagus*(1-EXP(-s_RadSpec!BC17*s_t_b)))/(s_P*s_RadSpec!BC17))),".")</f>
        <v>2.6824597822007652</v>
      </c>
      <c r="AC17" s="72">
        <f>IFERROR(IF(d_ss_Bv!E17=0,".",((s_Ir*s_F*s_MLF_beet*(1-EXP(-s_RadSpec!BC17*s_t_b)))/(s_P*s_RadSpec!BC17))),".")</f>
        <v>2.6824597822007652</v>
      </c>
      <c r="AD17" s="72">
        <f>IFERROR(IF(d_ss_Bv!F17=0,".",((s_Ir*s_F*s_MLF_berries*(1-EXP(-s_RadSpec!BC17*s_t_b)))/(s_P*s_RadSpec!BC17))),".")</f>
        <v>2.6824597822007652</v>
      </c>
      <c r="AE17" s="72">
        <f>IFERROR(IF(d_ss_Bv!G17=0,".",((s_Ir*s_F*s_MLF_broccoli*(1-EXP(-s_RadSpec!BC17*s_t_b)))/(s_P*s_RadSpec!BC17))),".")</f>
        <v>2.6824597822007652</v>
      </c>
      <c r="AF17" s="72">
        <f>IFERROR(IF(d_ss_Bv!H17=0,".",((s_Ir*s_F*s_MLF_cabbage*(1-EXP(-s_RadSpec!BC17*s_t_b)))/(s_P*s_RadSpec!BC17))),".")</f>
        <v>2.6824597822007652</v>
      </c>
      <c r="AG17" s="72">
        <f>IFERROR(IF(d_ss_Bv!I17=0,".",((s_Ir*s_F*s_MLF_carrot*(1-EXP(-s_RadSpec!BC17*s_t_b)))/(s_P*s_RadSpec!BC17))),".")</f>
        <v>2.6824597822007652</v>
      </c>
      <c r="AH17" s="72">
        <f>IFERROR(IF(d_ss_Bv!J17=0,".",((s_Ir*s_F*s_MLF_citrus*(1-EXP(-s_RadSpec!BC17*s_t_b)))/(s_P*s_RadSpec!BC17))),".")</f>
        <v>2.6824597822007652</v>
      </c>
      <c r="AI17" s="72">
        <f>IFERROR(IF(d_ss_Bv!K17=0,".",((s_Ir*s_F*s_MLF_corn*(1-EXP(-s_RadSpec!BC17*s_t_b)))/(s_P*s_RadSpec!BC17))),".")</f>
        <v>2.6824597822007652</v>
      </c>
      <c r="AJ17" s="72">
        <f>IFERROR(IF(d_ss_Bv!L17=0,".",((s_Ir*s_F*s_MLF_cucumber*(1-EXP(-s_RadSpec!BC17*s_t_b)))/(s_P*s_RadSpec!BC17))),".")</f>
        <v>2.6824597822007652</v>
      </c>
      <c r="AK17" s="72">
        <f>IFERROR(IF(d_ss_Bv!M17=0,".",((s_Ir*s_F*s_MLF_lettuce*(1-EXP(-s_RadSpec!BC17*s_t_b)))/(s_P*s_RadSpec!BC17))),".")</f>
        <v>2.6824597822007652</v>
      </c>
      <c r="AL17" s="72">
        <f>IFERROR(IF(d_ss_Bv!N17=0,".",((s_Ir*s_F*s_MLF_lima_bean*(1-EXP(-s_RadSpec!BC17*s_t_b)))/(s_P*s_RadSpec!BC17))),".")</f>
        <v>2.6824597822007652</v>
      </c>
      <c r="AM17" s="72">
        <f>IFERROR(IF(d_ss_Bv!O17=0,".",((s_Ir*s_F*s_MLF_okra*(1-EXP(-s_RadSpec!BC17*s_t_b)))/(s_P*s_RadSpec!BC17))),".")</f>
        <v>2.6824597822007652</v>
      </c>
      <c r="AN17" s="72">
        <f>IFERROR(IF(d_ss_Bv!P17=0,".",((s_Ir*s_F*s_MLF_onion*(1-EXP(-s_RadSpec!BC17*s_t_b)))/(s_P*s_RadSpec!BC17))),".")</f>
        <v>2.6824597822007652</v>
      </c>
      <c r="AO17" s="72">
        <f>IFERROR(IF(d_ss_Bv!Q17=0,".",((s_Ir*s_F*s_MLF_peach*(1-EXP(-s_RadSpec!BC17*s_t_b)))/(s_P*s_RadSpec!BC17))),".")</f>
        <v>2.6824597822007652</v>
      </c>
      <c r="AP17" s="72">
        <f>IFERROR(IF(d_ss_Bv!R17=0,".",((s_Ir*s_F*s_MLF_pear*(1-EXP(-s_RadSpec!BC17*s_t_b)))/(s_P*s_RadSpec!BC17))),".")</f>
        <v>2.6824597822007652</v>
      </c>
      <c r="AQ17" s="72">
        <f>IFERROR(IF(d_ss_Bv!S17=0,".",((s_Ir*s_F*s_MLF_peas*(1-EXP(-s_RadSpec!BC17*s_t_b)))/(s_P*s_RadSpec!BC17))),".")</f>
        <v>2.6824597822007652</v>
      </c>
      <c r="AR17" s="72">
        <f>IFERROR(IF(d_ss_Bv!T17=0,".",((s_Ir*s_F*s_MLF_potato*(1-EXP(-s_RadSpec!BC17*s_t_b)))/(s_P*s_RadSpec!BC17))),".")</f>
        <v>2.6824597822007652</v>
      </c>
      <c r="AS17" s="72">
        <f>IFERROR(IF(d_ss_Bv!U17=0,".",((s_Ir*s_F*s_MLF_pumpkin*(1-EXP(-s_RadSpec!BC17*s_t_b)))/(s_P*s_RadSpec!BC17))),".")</f>
        <v>2.6824597822007652</v>
      </c>
      <c r="AT17" s="72">
        <f>IFERROR(IF(d_ss_Bv!V17=0,".",((s_Ir*s_F*s_MLF_snap_bean*(1-EXP(-s_RadSpec!BC17*s_t_b)))/(s_P*s_RadSpec!BC17))),".")</f>
        <v>2.6824597822007652</v>
      </c>
      <c r="AU17" s="72">
        <f>IFERROR(IF(d_ss_Bv!W17=0,".",((s_Ir*s_F*s_MLF_strawberry*(1-EXP(-s_RadSpec!BC17*s_t_b)))/(s_P*s_RadSpec!BC17))),".")</f>
        <v>2.6824597822007652</v>
      </c>
      <c r="AV17" s="72">
        <f>IFERROR(IF(d_ss_Bv!X17=0,".",((s_Ir*s_F*s_MLF_tomato*(1-EXP(-s_RadSpec!BC17*s_t_b)))/(s_P*s_RadSpec!BC17))),".")</f>
        <v>2.6824597822007652</v>
      </c>
      <c r="AW17" s="72">
        <f>IFERROR(IF(d_ss_Bv!Y17=0,".",((s_Ir*s_F*s_MLF_rice*(1-EXP(-s_RadSpec!BC17*s_t_b)))/(s_P*s_RadSpec!BC17))),".")</f>
        <v>2.6824597822007652</v>
      </c>
      <c r="AX17" s="72">
        <f>IFERROR(IF(d_ss_Bv!Z17=0,".",((s_Ir*s_F*s_MLF_cereal*(1-EXP(-s_RadSpec!BC17*s_t_b)))/(s_P*s_RadSpec!BC17))),".")</f>
        <v>2.6824597822007652</v>
      </c>
      <c r="AY17" s="72">
        <f>IFERROR(IF(d_ss_Bv!C17=0,".",((s_Ir*s_F*s_I_f*s_T*(1-EXP(-s_RadSpec!BD17*s_t_v)))/(s_Y_v*s_RadSpec!BD17))),".")</f>
        <v>9.0143481925428208</v>
      </c>
      <c r="AZ17" s="72">
        <f>IFERROR(IF(d_ss_Bv!D17=0,".",((s_Ir*s_F*s_I_f*s_T*(1-EXP(-s_RadSpec!BD17*s_t_v)))/(s_Y_v*s_RadSpec!BD17))),".")</f>
        <v>9.0143481925428208</v>
      </c>
      <c r="BA17" s="72">
        <f>IFERROR(IF(d_ss_Bv!E17=0,".",((s_Ir*s_F*s_I_f*s_T*(1-EXP(-s_RadSpec!BD17*s_t_v)))/(s_Y_v*s_RadSpec!BD17))),".")</f>
        <v>9.0143481925428208</v>
      </c>
      <c r="BB17" s="72">
        <f>IFERROR(IF(d_ss_Bv!F17=0,".",((s_Ir*s_F*s_I_f*s_T*(1-EXP(-s_RadSpec!BD17*s_t_v)))/(s_Y_v*s_RadSpec!BD17))),".")</f>
        <v>9.0143481925428208</v>
      </c>
      <c r="BC17" s="72">
        <f>IFERROR(IF(d_ss_Bv!G17=0,".",((s_Ir*s_F*s_I_f*s_T*(1-EXP(-s_RadSpec!BD17*s_t_v)))/(s_Y_v*s_RadSpec!BD17))),".")</f>
        <v>9.0143481925428208</v>
      </c>
      <c r="BD17" s="72">
        <f>IFERROR(IF(d_ss_Bv!H17=0,".",((s_Ir*s_F*s_I_f*s_T*(1-EXP(-s_RadSpec!BD17*s_t_v)))/(s_Y_v*s_RadSpec!BD17))),".")</f>
        <v>9.0143481925428208</v>
      </c>
      <c r="BE17" s="72">
        <f>IFERROR(IF(d_ss_Bv!I17=0,".",((s_Ir*s_F*s_I_f*s_T*(1-EXP(-s_RadSpec!BD17*s_t_v)))/(s_Y_v*s_RadSpec!BD17))),".")</f>
        <v>9.0143481925428208</v>
      </c>
      <c r="BF17" s="72">
        <f>IFERROR(IF(d_ss_Bv!J17=0,".",((s_Ir*s_F*s_I_f*s_T*(1-EXP(-s_RadSpec!BD17*s_t_v)))/(s_Y_v*s_RadSpec!BD17))),".")</f>
        <v>9.0143481925428208</v>
      </c>
      <c r="BG17" s="72">
        <f>IFERROR(IF(d_ss_Bv!K17=0,".",((s_Ir*s_F*s_I_f*s_T*(1-EXP(-s_RadSpec!BD17*s_t_v)))/(s_Y_v*s_RadSpec!BD17))),".")</f>
        <v>9.0143481925428208</v>
      </c>
      <c r="BH17" s="72">
        <f>IFERROR(IF(d_ss_Bv!L17=0,".",((s_Ir*s_F*s_I_f*s_T*(1-EXP(-s_RadSpec!BD17*s_t_v)))/(s_Y_v*s_RadSpec!BD17))),".")</f>
        <v>9.0143481925428208</v>
      </c>
      <c r="BI17" s="72">
        <f>IFERROR(IF(d_ss_Bv!M17=0,".",((s_Ir*s_F*s_I_f*s_T*(1-EXP(-s_RadSpec!BD17*s_t_v)))/(s_Y_v*s_RadSpec!BD17))),".")</f>
        <v>9.0143481925428208</v>
      </c>
      <c r="BJ17" s="72">
        <f>IFERROR(IF(d_ss_Bv!N17=0,".",((s_Ir*s_F*s_I_f*s_T*(1-EXP(-s_RadSpec!BD17*s_t_v)))/(s_Y_v*s_RadSpec!BD17))),".")</f>
        <v>9.0143481925428208</v>
      </c>
      <c r="BK17" s="72">
        <f>IFERROR(IF(d_ss_Bv!O17=0,".",((s_Ir*s_F*s_I_f*s_T*(1-EXP(-s_RadSpec!BD17*s_t_v)))/(s_Y_v*s_RadSpec!BD17))),".")</f>
        <v>9.0143481925428208</v>
      </c>
      <c r="BL17" s="72">
        <f>IFERROR(IF(d_ss_Bv!P17=0,".",((s_Ir*s_F*s_I_f*s_T*(1-EXP(-s_RadSpec!BD17*s_t_v)))/(s_Y_v*s_RadSpec!BD17))),".")</f>
        <v>9.0143481925428208</v>
      </c>
      <c r="BM17" s="72">
        <f>IFERROR(IF(d_ss_Bv!Q17=0,".",((s_Ir*s_F*s_I_f*s_T*(1-EXP(-s_RadSpec!BD17*s_t_v)))/(s_Y_v*s_RadSpec!BD17))),".")</f>
        <v>9.0143481925428208</v>
      </c>
      <c r="BN17" s="72">
        <f>IFERROR(IF(d_ss_Bv!R17=0,".",((s_Ir*s_F*s_I_f*s_T*(1-EXP(-s_RadSpec!BD17*s_t_v)))/(s_Y_v*s_RadSpec!BD17))),".")</f>
        <v>9.0143481925428208</v>
      </c>
      <c r="BO17" s="72">
        <f>IFERROR(IF(d_ss_Bv!S17=0,".",((s_Ir*s_F*s_I_f*s_T*(1-EXP(-s_RadSpec!BD17*s_t_v)))/(s_Y_v*s_RadSpec!BD17))),".")</f>
        <v>9.0143481925428208</v>
      </c>
      <c r="BP17" s="72">
        <f>IFERROR(IF(d_ss_Bv!T17=0,".",((s_Ir*s_F*s_I_f*s_T*(1-EXP(-s_RadSpec!BD17*s_t_v)))/(s_Y_v*s_RadSpec!BD17))),".")</f>
        <v>9.0143481925428208</v>
      </c>
      <c r="BQ17" s="72">
        <f>IFERROR(IF(d_ss_Bv!U17=0,".",((s_Ir*s_F*s_I_f*s_T*(1-EXP(-s_RadSpec!BD17*s_t_v)))/(s_Y_v*s_RadSpec!BD17))),".")</f>
        <v>9.0143481925428208</v>
      </c>
      <c r="BR17" s="72">
        <f>IFERROR(IF(d_ss_Bv!V17=0,".",((s_Ir*s_F*s_I_f*s_T*(1-EXP(-s_RadSpec!BD17*s_t_v)))/(s_Y_v*s_RadSpec!BD17))),".")</f>
        <v>9.0143481925428208</v>
      </c>
      <c r="BS17" s="72">
        <f>IFERROR(IF(d_ss_Bv!W17=0,".",((s_Ir*s_F*s_I_f*s_T*(1-EXP(-s_RadSpec!BD17*s_t_v)))/(s_Y_v*s_RadSpec!BD17))),".")</f>
        <v>9.0143481925428208</v>
      </c>
      <c r="BT17" s="72">
        <f>IFERROR(IF(d_ss_Bv!X17=0,".",((s_Ir*s_F*s_I_f*s_T*(1-EXP(-s_RadSpec!BD17*s_t_v)))/(s_Y_v*s_RadSpec!BD17))),".")</f>
        <v>9.0143481925428208</v>
      </c>
      <c r="BU17" s="72">
        <f>IFERROR(IF(d_ss_Bv!Y17=0,".",((s_Ir*s_F*s_I_f*s_T*(1-EXP(-s_RadSpec!BD17*s_t_v)))/(s_Y_v*s_RadSpec!BD17))),".")</f>
        <v>9.0143481925428208</v>
      </c>
      <c r="BV17" s="72">
        <f>IFERROR(IF(d_ss_Bv!Z17=0,".",((s_Ir*s_F*s_I_f*s_T*(1-EXP(-s_RadSpec!BD17*s_t_v)))/(s_Y_v*s_RadSpec!BD17))),".")</f>
        <v>9.0143481925428208</v>
      </c>
    </row>
    <row r="18" spans="1:74" x14ac:dyDescent="0.25">
      <c r="A18" s="31" t="s">
        <v>16</v>
      </c>
      <c r="B18" s="3" t="s">
        <v>1059</v>
      </c>
      <c r="C18" s="72">
        <f>IFERROR(IF(d_ss_Bv!C18=0,".",((s_Ir*s_F*d_ss_Bv!C18*(1-EXP(-s_RadSpec!$BC18*s_t_b)))/(s_P*s_RadSpec!$BC18))),".")</f>
        <v>3.9740144921492811E-2</v>
      </c>
      <c r="D18" s="72">
        <f>IFERROR(IF(d_ss_Bv!D18=0,".",((s_Ir*s_F*d_ss_Bv!D18*(1-EXP(-s_RadSpec!BC18*s_t_b)))/(s_P*s_RadSpec!BC18))),".")</f>
        <v>1.4703853620952343</v>
      </c>
      <c r="E18" s="72">
        <f>IFERROR(IF(d_ss_Bv!E18=0,".",((s_Ir*s_F*d_ss_Bv!E18*(1-EXP(-s_RadSpec!BC18*s_t_b)))/(s_P*s_RadSpec!BC18))),".")</f>
        <v>1.1524642027232916</v>
      </c>
      <c r="F18" s="72">
        <f>IFERROR(IF(d_ss_Bv!F18=0,".",((s_Ir*s_F*d_ss_Bv!F18*(1-EXP(-s_RadSpec!BC18*s_t_b)))/(s_P*s_RadSpec!BC18))),".")</f>
        <v>3.9740144921492811E-2</v>
      </c>
      <c r="G18" s="72">
        <f>IFERROR(IF(d_ss_Bv!G18=0,".",((s_Ir*s_F*d_ss_Bv!G18*(1-EXP(-s_RadSpec!BC18*s_t_b)))/(s_P*s_RadSpec!BC18))),".")</f>
        <v>3.9740144921492811E-2</v>
      </c>
      <c r="H18" s="72">
        <f>IFERROR(IF(d_ss_Bv!H18=0,".",((s_Ir*s_F*d_ss_Bv!H18*(1-EXP(-s_RadSpec!BC18*s_t_b)))/(s_P*s_RadSpec!BC18))),".")</f>
        <v>1.4703853620952343</v>
      </c>
      <c r="I18" s="72">
        <f>IFERROR(IF(d_ss_Bv!I18=0,".",((s_Ir*s_F*d_ss_Bv!I18*(1-EXP(-s_RadSpec!BC18*s_t_b)))/(s_P*s_RadSpec!BC18))),".")</f>
        <v>1.1524642027232916</v>
      </c>
      <c r="J18" s="72">
        <f>IFERROR(IF(d_ss_Bv!J18=0,".",((s_Ir*s_F*d_ss_Bv!J18*(1-EXP(-s_RadSpec!BC18*s_t_b)))/(s_P*s_RadSpec!BC18))),".")</f>
        <v>3.9740144921492811E-2</v>
      </c>
      <c r="K18" s="72">
        <f>IFERROR(IF(d_ss_Bv!K18=0,".",((s_Ir*s_F*d_ss_Bv!K18*(1-EXP(-s_RadSpec!BC18*s_t_b)))/(s_P*s_RadSpec!BC18))),".")</f>
        <v>4.768817390579138E-2</v>
      </c>
      <c r="L18" s="72">
        <f>IFERROR(IF(d_ss_Bv!L18=0,".",((s_Ir*s_F*d_ss_Bv!L18*(1-EXP(-s_RadSpec!BC18*s_t_b)))/(s_P*s_RadSpec!BC18))),".")</f>
        <v>3.9740144921492811E-2</v>
      </c>
      <c r="M18" s="72">
        <f>IFERROR(IF(d_ss_Bv!M18=0,".",((s_Ir*s_F*d_ss_Bv!M18*(1-EXP(-s_RadSpec!BC18*s_t_b)))/(s_P*s_RadSpec!BC18))),".")</f>
        <v>1.4703853620952343</v>
      </c>
      <c r="N18" s="72">
        <f>IFERROR(IF(d_ss_Bv!N18=0,".",((s_Ir*s_F*d_ss_Bv!N18*(1-EXP(-s_RadSpec!BC18*s_t_b)))/(s_P*s_RadSpec!BC18))),".")</f>
        <v>5.364919564401531E-2</v>
      </c>
      <c r="O18" s="72">
        <f>IFERROR(IF(d_ss_Bv!O18=0,".",((s_Ir*s_F*d_ss_Bv!O18*(1-EXP(-s_RadSpec!BC18*s_t_b)))/(s_P*s_RadSpec!BC18))),".")</f>
        <v>3.9740144921492811E-2</v>
      </c>
      <c r="P18" s="72">
        <f>IFERROR(IF(d_ss_Bv!P18=0,".",((s_Ir*s_F*d_ss_Bv!P18*(1-EXP(-s_RadSpec!BC18*s_t_b)))/(s_P*s_RadSpec!BC18))),".")</f>
        <v>3.9740144921492811E-2</v>
      </c>
      <c r="Q18" s="72">
        <f>IFERROR(IF(d_ss_Bv!Q18=0,".",((s_Ir*s_F*d_ss_Bv!Q18*(1-EXP(-s_RadSpec!BC18*s_t_b)))/(s_P*s_RadSpec!BC18))),".")</f>
        <v>3.9740144921492811E-2</v>
      </c>
      <c r="R18" s="72">
        <f>IFERROR(IF(d_ss_Bv!R18=0,".",((s_Ir*s_F*d_ss_Bv!R18*(1-EXP(-s_RadSpec!BC18*s_t_b)))/(s_P*s_RadSpec!BC18))),".")</f>
        <v>3.9740144921492811E-2</v>
      </c>
      <c r="S18" s="72">
        <f>IFERROR(IF(d_ss_Bv!S18=0,".",((s_Ir*s_F*d_ss_Bv!S18*(1-EXP(-s_RadSpec!BC18*s_t_b)))/(s_P*s_RadSpec!BC18))),".")</f>
        <v>5.364919564401531E-2</v>
      </c>
      <c r="T18" s="72">
        <f>IFERROR(IF(d_ss_Bv!T18=0,".",((s_Ir*s_F*d_ss_Bv!T18*(1-EXP(-s_RadSpec!BC18*s_t_b)))/(s_P*s_RadSpec!BC18))),".")</f>
        <v>0.53649195644015302</v>
      </c>
      <c r="U18" s="72">
        <f>IFERROR(IF(d_ss_Bv!U18=0,".",((s_Ir*s_F*d_ss_Bv!U18*(1-EXP(-s_RadSpec!BC18*s_t_b)))/(s_P*s_RadSpec!BC18))),".")</f>
        <v>3.9740144921492811E-2</v>
      </c>
      <c r="V18" s="72">
        <f>IFERROR(IF(d_ss_Bv!V18=0,".",((s_Ir*s_F*d_ss_Bv!V18*(1-EXP(-s_RadSpec!BC18*s_t_b)))/(s_P*s_RadSpec!BC18))),".")</f>
        <v>5.364919564401531E-2</v>
      </c>
      <c r="W18" s="72">
        <f>IFERROR(IF(d_ss_Bv!W18=0,".",((s_Ir*s_F*d_ss_Bv!W18*(1-EXP(-s_RadSpec!BC18*s_t_b)))/(s_P*s_RadSpec!BC18))),".")</f>
        <v>3.9740144921492811E-2</v>
      </c>
      <c r="X18" s="72">
        <f>IFERROR(IF(d_ss_Bv!X18=0,".",((s_Ir*s_F*d_ss_Bv!X18*(1-EXP(-s_RadSpec!BC18*s_t_b)))/(s_P*s_RadSpec!BC18))),".")</f>
        <v>3.9740144921492811E-2</v>
      </c>
      <c r="Y18" s="72">
        <f>IFERROR(IF(d_ss_Bv!Y18=0,".",((s_Ir*s_F*d_ss_Bv!Y18*(1-EXP(-s_RadSpec!BC18*s_t_b)))/(s_P*s_RadSpec!BC18))),".")</f>
        <v>2.583109419897033</v>
      </c>
      <c r="Z18" s="72">
        <f>IFERROR(IF(d_ss_Bv!Z18=0,".",((s_Ir*s_F*d_ss_Bv!Z18*(1-EXP(-s_RadSpec!BC18*s_t_b)))/(s_P*s_RadSpec!BC18))),".")</f>
        <v>4.768817390579138E-2</v>
      </c>
      <c r="AA18" s="72">
        <f>IFERROR(IF(d_ss_Bv!C18=0,".",((s_Ir*s_F*s_MLF_apple*(1-EXP(-s_RadSpec!BC18*s_t_b)))/(s_P*s_RadSpec!BC18))),".")</f>
        <v>2.6824597822007652</v>
      </c>
      <c r="AB18" s="72">
        <f>IFERROR(IF(d_ss_Bv!D18=0,".",((s_Ir*s_F*s_MLF_asparagus*(1-EXP(-s_RadSpec!BC18*s_t_b)))/(s_P*s_RadSpec!BC18))),".")</f>
        <v>2.6824597822007652</v>
      </c>
      <c r="AC18" s="72">
        <f>IFERROR(IF(d_ss_Bv!E18=0,".",((s_Ir*s_F*s_MLF_beet*(1-EXP(-s_RadSpec!BC18*s_t_b)))/(s_P*s_RadSpec!BC18))),".")</f>
        <v>2.6824597822007652</v>
      </c>
      <c r="AD18" s="72">
        <f>IFERROR(IF(d_ss_Bv!F18=0,".",((s_Ir*s_F*s_MLF_berries*(1-EXP(-s_RadSpec!BC18*s_t_b)))/(s_P*s_RadSpec!BC18))),".")</f>
        <v>2.6824597822007652</v>
      </c>
      <c r="AE18" s="72">
        <f>IFERROR(IF(d_ss_Bv!G18=0,".",((s_Ir*s_F*s_MLF_broccoli*(1-EXP(-s_RadSpec!BC18*s_t_b)))/(s_P*s_RadSpec!BC18))),".")</f>
        <v>2.6824597822007652</v>
      </c>
      <c r="AF18" s="72">
        <f>IFERROR(IF(d_ss_Bv!H18=0,".",((s_Ir*s_F*s_MLF_cabbage*(1-EXP(-s_RadSpec!BC18*s_t_b)))/(s_P*s_RadSpec!BC18))),".")</f>
        <v>2.6824597822007652</v>
      </c>
      <c r="AG18" s="72">
        <f>IFERROR(IF(d_ss_Bv!I18=0,".",((s_Ir*s_F*s_MLF_carrot*(1-EXP(-s_RadSpec!BC18*s_t_b)))/(s_P*s_RadSpec!BC18))),".")</f>
        <v>2.6824597822007652</v>
      </c>
      <c r="AH18" s="72">
        <f>IFERROR(IF(d_ss_Bv!J18=0,".",((s_Ir*s_F*s_MLF_citrus*(1-EXP(-s_RadSpec!BC18*s_t_b)))/(s_P*s_RadSpec!BC18))),".")</f>
        <v>2.6824597822007652</v>
      </c>
      <c r="AI18" s="72">
        <f>IFERROR(IF(d_ss_Bv!K18=0,".",((s_Ir*s_F*s_MLF_corn*(1-EXP(-s_RadSpec!BC18*s_t_b)))/(s_P*s_RadSpec!BC18))),".")</f>
        <v>2.6824597822007652</v>
      </c>
      <c r="AJ18" s="72">
        <f>IFERROR(IF(d_ss_Bv!L18=0,".",((s_Ir*s_F*s_MLF_cucumber*(1-EXP(-s_RadSpec!BC18*s_t_b)))/(s_P*s_RadSpec!BC18))),".")</f>
        <v>2.6824597822007652</v>
      </c>
      <c r="AK18" s="72">
        <f>IFERROR(IF(d_ss_Bv!M18=0,".",((s_Ir*s_F*s_MLF_lettuce*(1-EXP(-s_RadSpec!BC18*s_t_b)))/(s_P*s_RadSpec!BC18))),".")</f>
        <v>2.6824597822007652</v>
      </c>
      <c r="AL18" s="72">
        <f>IFERROR(IF(d_ss_Bv!N18=0,".",((s_Ir*s_F*s_MLF_lima_bean*(1-EXP(-s_RadSpec!BC18*s_t_b)))/(s_P*s_RadSpec!BC18))),".")</f>
        <v>2.6824597822007652</v>
      </c>
      <c r="AM18" s="72">
        <f>IFERROR(IF(d_ss_Bv!O18=0,".",((s_Ir*s_F*s_MLF_okra*(1-EXP(-s_RadSpec!BC18*s_t_b)))/(s_P*s_RadSpec!BC18))),".")</f>
        <v>2.6824597822007652</v>
      </c>
      <c r="AN18" s="72">
        <f>IFERROR(IF(d_ss_Bv!P18=0,".",((s_Ir*s_F*s_MLF_onion*(1-EXP(-s_RadSpec!BC18*s_t_b)))/(s_P*s_RadSpec!BC18))),".")</f>
        <v>2.6824597822007652</v>
      </c>
      <c r="AO18" s="72">
        <f>IFERROR(IF(d_ss_Bv!Q18=0,".",((s_Ir*s_F*s_MLF_peach*(1-EXP(-s_RadSpec!BC18*s_t_b)))/(s_P*s_RadSpec!BC18))),".")</f>
        <v>2.6824597822007652</v>
      </c>
      <c r="AP18" s="72">
        <f>IFERROR(IF(d_ss_Bv!R18=0,".",((s_Ir*s_F*s_MLF_pear*(1-EXP(-s_RadSpec!BC18*s_t_b)))/(s_P*s_RadSpec!BC18))),".")</f>
        <v>2.6824597822007652</v>
      </c>
      <c r="AQ18" s="72">
        <f>IFERROR(IF(d_ss_Bv!S18=0,".",((s_Ir*s_F*s_MLF_peas*(1-EXP(-s_RadSpec!BC18*s_t_b)))/(s_P*s_RadSpec!BC18))),".")</f>
        <v>2.6824597822007652</v>
      </c>
      <c r="AR18" s="72">
        <f>IFERROR(IF(d_ss_Bv!T18=0,".",((s_Ir*s_F*s_MLF_potato*(1-EXP(-s_RadSpec!BC18*s_t_b)))/(s_P*s_RadSpec!BC18))),".")</f>
        <v>2.6824597822007652</v>
      </c>
      <c r="AS18" s="72">
        <f>IFERROR(IF(d_ss_Bv!U18=0,".",((s_Ir*s_F*s_MLF_pumpkin*(1-EXP(-s_RadSpec!BC18*s_t_b)))/(s_P*s_RadSpec!BC18))),".")</f>
        <v>2.6824597822007652</v>
      </c>
      <c r="AT18" s="72">
        <f>IFERROR(IF(d_ss_Bv!V18=0,".",((s_Ir*s_F*s_MLF_snap_bean*(1-EXP(-s_RadSpec!BC18*s_t_b)))/(s_P*s_RadSpec!BC18))),".")</f>
        <v>2.6824597822007652</v>
      </c>
      <c r="AU18" s="72">
        <f>IFERROR(IF(d_ss_Bv!W18=0,".",((s_Ir*s_F*s_MLF_strawberry*(1-EXP(-s_RadSpec!BC18*s_t_b)))/(s_P*s_RadSpec!BC18))),".")</f>
        <v>2.6824597822007652</v>
      </c>
      <c r="AV18" s="72">
        <f>IFERROR(IF(d_ss_Bv!X18=0,".",((s_Ir*s_F*s_MLF_tomato*(1-EXP(-s_RadSpec!BC18*s_t_b)))/(s_P*s_RadSpec!BC18))),".")</f>
        <v>2.6824597822007652</v>
      </c>
      <c r="AW18" s="72">
        <f>IFERROR(IF(d_ss_Bv!Y18=0,".",((s_Ir*s_F*s_MLF_rice*(1-EXP(-s_RadSpec!BC18*s_t_b)))/(s_P*s_RadSpec!BC18))),".")</f>
        <v>2.6824597822007652</v>
      </c>
      <c r="AX18" s="72">
        <f>IFERROR(IF(d_ss_Bv!Z18=0,".",((s_Ir*s_F*s_MLF_cereal*(1-EXP(-s_RadSpec!BC18*s_t_b)))/(s_P*s_RadSpec!BC18))),".")</f>
        <v>2.6824597822007652</v>
      </c>
      <c r="AY18" s="72">
        <f>IFERROR(IF(d_ss_Bv!C18=0,".",((s_Ir*s_F*s_I_f*s_T*(1-EXP(-s_RadSpec!BD18*s_t_v)))/(s_Y_v*s_RadSpec!BD18))),".")</f>
        <v>9.0143481925428208</v>
      </c>
      <c r="AZ18" s="72">
        <f>IFERROR(IF(d_ss_Bv!D18=0,".",((s_Ir*s_F*s_I_f*s_T*(1-EXP(-s_RadSpec!BD18*s_t_v)))/(s_Y_v*s_RadSpec!BD18))),".")</f>
        <v>9.0143481925428208</v>
      </c>
      <c r="BA18" s="72">
        <f>IFERROR(IF(d_ss_Bv!E18=0,".",((s_Ir*s_F*s_I_f*s_T*(1-EXP(-s_RadSpec!BD18*s_t_v)))/(s_Y_v*s_RadSpec!BD18))),".")</f>
        <v>9.0143481925428208</v>
      </c>
      <c r="BB18" s="72">
        <f>IFERROR(IF(d_ss_Bv!F18=0,".",((s_Ir*s_F*s_I_f*s_T*(1-EXP(-s_RadSpec!BD18*s_t_v)))/(s_Y_v*s_RadSpec!BD18))),".")</f>
        <v>9.0143481925428208</v>
      </c>
      <c r="BC18" s="72">
        <f>IFERROR(IF(d_ss_Bv!G18=0,".",((s_Ir*s_F*s_I_f*s_T*(1-EXP(-s_RadSpec!BD18*s_t_v)))/(s_Y_v*s_RadSpec!BD18))),".")</f>
        <v>9.0143481925428208</v>
      </c>
      <c r="BD18" s="72">
        <f>IFERROR(IF(d_ss_Bv!H18=0,".",((s_Ir*s_F*s_I_f*s_T*(1-EXP(-s_RadSpec!BD18*s_t_v)))/(s_Y_v*s_RadSpec!BD18))),".")</f>
        <v>9.0143481925428208</v>
      </c>
      <c r="BE18" s="72">
        <f>IFERROR(IF(d_ss_Bv!I18=0,".",((s_Ir*s_F*s_I_f*s_T*(1-EXP(-s_RadSpec!BD18*s_t_v)))/(s_Y_v*s_RadSpec!BD18))),".")</f>
        <v>9.0143481925428208</v>
      </c>
      <c r="BF18" s="72">
        <f>IFERROR(IF(d_ss_Bv!J18=0,".",((s_Ir*s_F*s_I_f*s_T*(1-EXP(-s_RadSpec!BD18*s_t_v)))/(s_Y_v*s_RadSpec!BD18))),".")</f>
        <v>9.0143481925428208</v>
      </c>
      <c r="BG18" s="72">
        <f>IFERROR(IF(d_ss_Bv!K18=0,".",((s_Ir*s_F*s_I_f*s_T*(1-EXP(-s_RadSpec!BD18*s_t_v)))/(s_Y_v*s_RadSpec!BD18))),".")</f>
        <v>9.0143481925428208</v>
      </c>
      <c r="BH18" s="72">
        <f>IFERROR(IF(d_ss_Bv!L18=0,".",((s_Ir*s_F*s_I_f*s_T*(1-EXP(-s_RadSpec!BD18*s_t_v)))/(s_Y_v*s_RadSpec!BD18))),".")</f>
        <v>9.0143481925428208</v>
      </c>
      <c r="BI18" s="72">
        <f>IFERROR(IF(d_ss_Bv!M18=0,".",((s_Ir*s_F*s_I_f*s_T*(1-EXP(-s_RadSpec!BD18*s_t_v)))/(s_Y_v*s_RadSpec!BD18))),".")</f>
        <v>9.0143481925428208</v>
      </c>
      <c r="BJ18" s="72">
        <f>IFERROR(IF(d_ss_Bv!N18=0,".",((s_Ir*s_F*s_I_f*s_T*(1-EXP(-s_RadSpec!BD18*s_t_v)))/(s_Y_v*s_RadSpec!BD18))),".")</f>
        <v>9.0143481925428208</v>
      </c>
      <c r="BK18" s="72">
        <f>IFERROR(IF(d_ss_Bv!O18=0,".",((s_Ir*s_F*s_I_f*s_T*(1-EXP(-s_RadSpec!BD18*s_t_v)))/(s_Y_v*s_RadSpec!BD18))),".")</f>
        <v>9.0143481925428208</v>
      </c>
      <c r="BL18" s="72">
        <f>IFERROR(IF(d_ss_Bv!P18=0,".",((s_Ir*s_F*s_I_f*s_T*(1-EXP(-s_RadSpec!BD18*s_t_v)))/(s_Y_v*s_RadSpec!BD18))),".")</f>
        <v>9.0143481925428208</v>
      </c>
      <c r="BM18" s="72">
        <f>IFERROR(IF(d_ss_Bv!Q18=0,".",((s_Ir*s_F*s_I_f*s_T*(1-EXP(-s_RadSpec!BD18*s_t_v)))/(s_Y_v*s_RadSpec!BD18))),".")</f>
        <v>9.0143481925428208</v>
      </c>
      <c r="BN18" s="72">
        <f>IFERROR(IF(d_ss_Bv!R18=0,".",((s_Ir*s_F*s_I_f*s_T*(1-EXP(-s_RadSpec!BD18*s_t_v)))/(s_Y_v*s_RadSpec!BD18))),".")</f>
        <v>9.0143481925428208</v>
      </c>
      <c r="BO18" s="72">
        <f>IFERROR(IF(d_ss_Bv!S18=0,".",((s_Ir*s_F*s_I_f*s_T*(1-EXP(-s_RadSpec!BD18*s_t_v)))/(s_Y_v*s_RadSpec!BD18))),".")</f>
        <v>9.0143481925428208</v>
      </c>
      <c r="BP18" s="72">
        <f>IFERROR(IF(d_ss_Bv!T18=0,".",((s_Ir*s_F*s_I_f*s_T*(1-EXP(-s_RadSpec!BD18*s_t_v)))/(s_Y_v*s_RadSpec!BD18))),".")</f>
        <v>9.0143481925428208</v>
      </c>
      <c r="BQ18" s="72">
        <f>IFERROR(IF(d_ss_Bv!U18=0,".",((s_Ir*s_F*s_I_f*s_T*(1-EXP(-s_RadSpec!BD18*s_t_v)))/(s_Y_v*s_RadSpec!BD18))),".")</f>
        <v>9.0143481925428208</v>
      </c>
      <c r="BR18" s="72">
        <f>IFERROR(IF(d_ss_Bv!V18=0,".",((s_Ir*s_F*s_I_f*s_T*(1-EXP(-s_RadSpec!BD18*s_t_v)))/(s_Y_v*s_RadSpec!BD18))),".")</f>
        <v>9.0143481925428208</v>
      </c>
      <c r="BS18" s="72">
        <f>IFERROR(IF(d_ss_Bv!W18=0,".",((s_Ir*s_F*s_I_f*s_T*(1-EXP(-s_RadSpec!BD18*s_t_v)))/(s_Y_v*s_RadSpec!BD18))),".")</f>
        <v>9.0143481925428208</v>
      </c>
      <c r="BT18" s="72">
        <f>IFERROR(IF(d_ss_Bv!X18=0,".",((s_Ir*s_F*s_I_f*s_T*(1-EXP(-s_RadSpec!BD18*s_t_v)))/(s_Y_v*s_RadSpec!BD18))),".")</f>
        <v>9.0143481925428208</v>
      </c>
      <c r="BU18" s="72">
        <f>IFERROR(IF(d_ss_Bv!Y18=0,".",((s_Ir*s_F*s_I_f*s_T*(1-EXP(-s_RadSpec!BD18*s_t_v)))/(s_Y_v*s_RadSpec!BD18))),".")</f>
        <v>9.0143481925428208</v>
      </c>
      <c r="BV18" s="72">
        <f>IFERROR(IF(d_ss_Bv!Z18=0,".",((s_Ir*s_F*s_I_f*s_T*(1-EXP(-s_RadSpec!BD18*s_t_v)))/(s_Y_v*s_RadSpec!BD18))),".")</f>
        <v>9.0143481925428208</v>
      </c>
    </row>
    <row r="19" spans="1:74" x14ac:dyDescent="0.25">
      <c r="A19" s="31" t="s">
        <v>17</v>
      </c>
      <c r="B19" s="3" t="s">
        <v>1059</v>
      </c>
      <c r="C19" s="72">
        <f>IFERROR(IF(d_ss_Bv!C19=0,".",((s_Ir*s_F*d_ss_Bv!C19*(1-EXP(-s_RadSpec!$BC19*s_t_b)))/(s_P*s_RadSpec!$BC19))),".")</f>
        <v>3.9740144921492811E-2</v>
      </c>
      <c r="D19" s="72">
        <f>IFERROR(IF(d_ss_Bv!D19=0,".",((s_Ir*s_F*d_ss_Bv!D19*(1-EXP(-s_RadSpec!BC19*s_t_b)))/(s_P*s_RadSpec!BC19))),".")</f>
        <v>1.4703853620952343</v>
      </c>
      <c r="E19" s="72">
        <f>IFERROR(IF(d_ss_Bv!E19=0,".",((s_Ir*s_F*d_ss_Bv!E19*(1-EXP(-s_RadSpec!BC19*s_t_b)))/(s_P*s_RadSpec!BC19))),".")</f>
        <v>1.1524642027232916</v>
      </c>
      <c r="F19" s="72">
        <f>IFERROR(IF(d_ss_Bv!F19=0,".",((s_Ir*s_F*d_ss_Bv!F19*(1-EXP(-s_RadSpec!BC19*s_t_b)))/(s_P*s_RadSpec!BC19))),".")</f>
        <v>3.9740144921492811E-2</v>
      </c>
      <c r="G19" s="72">
        <f>IFERROR(IF(d_ss_Bv!G19=0,".",((s_Ir*s_F*d_ss_Bv!G19*(1-EXP(-s_RadSpec!BC19*s_t_b)))/(s_P*s_RadSpec!BC19))),".")</f>
        <v>3.9740144921492811E-2</v>
      </c>
      <c r="H19" s="72">
        <f>IFERROR(IF(d_ss_Bv!H19=0,".",((s_Ir*s_F*d_ss_Bv!H19*(1-EXP(-s_RadSpec!BC19*s_t_b)))/(s_P*s_RadSpec!BC19))),".")</f>
        <v>1.4703853620952343</v>
      </c>
      <c r="I19" s="72">
        <f>IFERROR(IF(d_ss_Bv!I19=0,".",((s_Ir*s_F*d_ss_Bv!I19*(1-EXP(-s_RadSpec!BC19*s_t_b)))/(s_P*s_RadSpec!BC19))),".")</f>
        <v>1.1524642027232916</v>
      </c>
      <c r="J19" s="72">
        <f>IFERROR(IF(d_ss_Bv!J19=0,".",((s_Ir*s_F*d_ss_Bv!J19*(1-EXP(-s_RadSpec!BC19*s_t_b)))/(s_P*s_RadSpec!BC19))),".")</f>
        <v>3.9740144921492811E-2</v>
      </c>
      <c r="K19" s="72">
        <f>IFERROR(IF(d_ss_Bv!K19=0,".",((s_Ir*s_F*d_ss_Bv!K19*(1-EXP(-s_RadSpec!BC19*s_t_b)))/(s_P*s_RadSpec!BC19))),".")</f>
        <v>4.768817390579138E-2</v>
      </c>
      <c r="L19" s="72">
        <f>IFERROR(IF(d_ss_Bv!L19=0,".",((s_Ir*s_F*d_ss_Bv!L19*(1-EXP(-s_RadSpec!BC19*s_t_b)))/(s_P*s_RadSpec!BC19))),".")</f>
        <v>3.9740144921492811E-2</v>
      </c>
      <c r="M19" s="72">
        <f>IFERROR(IF(d_ss_Bv!M19=0,".",((s_Ir*s_F*d_ss_Bv!M19*(1-EXP(-s_RadSpec!BC19*s_t_b)))/(s_P*s_RadSpec!BC19))),".")</f>
        <v>1.4703853620952343</v>
      </c>
      <c r="N19" s="72">
        <f>IFERROR(IF(d_ss_Bv!N19=0,".",((s_Ir*s_F*d_ss_Bv!N19*(1-EXP(-s_RadSpec!BC19*s_t_b)))/(s_P*s_RadSpec!BC19))),".")</f>
        <v>5.364919564401531E-2</v>
      </c>
      <c r="O19" s="72">
        <f>IFERROR(IF(d_ss_Bv!O19=0,".",((s_Ir*s_F*d_ss_Bv!O19*(1-EXP(-s_RadSpec!BC19*s_t_b)))/(s_P*s_RadSpec!BC19))),".")</f>
        <v>3.9740144921492811E-2</v>
      </c>
      <c r="P19" s="72">
        <f>IFERROR(IF(d_ss_Bv!P19=0,".",((s_Ir*s_F*d_ss_Bv!P19*(1-EXP(-s_RadSpec!BC19*s_t_b)))/(s_P*s_RadSpec!BC19))),".")</f>
        <v>3.9740144921492811E-2</v>
      </c>
      <c r="Q19" s="72">
        <f>IFERROR(IF(d_ss_Bv!Q19=0,".",((s_Ir*s_F*d_ss_Bv!Q19*(1-EXP(-s_RadSpec!BC19*s_t_b)))/(s_P*s_RadSpec!BC19))),".")</f>
        <v>3.9740144921492811E-2</v>
      </c>
      <c r="R19" s="72">
        <f>IFERROR(IF(d_ss_Bv!R19=0,".",((s_Ir*s_F*d_ss_Bv!R19*(1-EXP(-s_RadSpec!BC19*s_t_b)))/(s_P*s_RadSpec!BC19))),".")</f>
        <v>3.9740144921492811E-2</v>
      </c>
      <c r="S19" s="72">
        <f>IFERROR(IF(d_ss_Bv!S19=0,".",((s_Ir*s_F*d_ss_Bv!S19*(1-EXP(-s_RadSpec!BC19*s_t_b)))/(s_P*s_RadSpec!BC19))),".")</f>
        <v>5.364919564401531E-2</v>
      </c>
      <c r="T19" s="72">
        <f>IFERROR(IF(d_ss_Bv!T19=0,".",((s_Ir*s_F*d_ss_Bv!T19*(1-EXP(-s_RadSpec!BC19*s_t_b)))/(s_P*s_RadSpec!BC19))),".")</f>
        <v>0.53649195644015302</v>
      </c>
      <c r="U19" s="72">
        <f>IFERROR(IF(d_ss_Bv!U19=0,".",((s_Ir*s_F*d_ss_Bv!U19*(1-EXP(-s_RadSpec!BC19*s_t_b)))/(s_P*s_RadSpec!BC19))),".")</f>
        <v>3.9740144921492811E-2</v>
      </c>
      <c r="V19" s="72">
        <f>IFERROR(IF(d_ss_Bv!V19=0,".",((s_Ir*s_F*d_ss_Bv!V19*(1-EXP(-s_RadSpec!BC19*s_t_b)))/(s_P*s_RadSpec!BC19))),".")</f>
        <v>5.364919564401531E-2</v>
      </c>
      <c r="W19" s="72">
        <f>IFERROR(IF(d_ss_Bv!W19=0,".",((s_Ir*s_F*d_ss_Bv!W19*(1-EXP(-s_RadSpec!BC19*s_t_b)))/(s_P*s_RadSpec!BC19))),".")</f>
        <v>3.9740144921492811E-2</v>
      </c>
      <c r="X19" s="72">
        <f>IFERROR(IF(d_ss_Bv!X19=0,".",((s_Ir*s_F*d_ss_Bv!X19*(1-EXP(-s_RadSpec!BC19*s_t_b)))/(s_P*s_RadSpec!BC19))),".")</f>
        <v>3.9740144921492811E-2</v>
      </c>
      <c r="Y19" s="72">
        <f>IFERROR(IF(d_ss_Bv!Y19=0,".",((s_Ir*s_F*d_ss_Bv!Y19*(1-EXP(-s_RadSpec!BC19*s_t_b)))/(s_P*s_RadSpec!BC19))),".")</f>
        <v>2.583109419897033</v>
      </c>
      <c r="Z19" s="72">
        <f>IFERROR(IF(d_ss_Bv!Z19=0,".",((s_Ir*s_F*d_ss_Bv!Z19*(1-EXP(-s_RadSpec!BC19*s_t_b)))/(s_P*s_RadSpec!BC19))),".")</f>
        <v>4.768817390579138E-2</v>
      </c>
      <c r="AA19" s="72">
        <f>IFERROR(IF(d_ss_Bv!C19=0,".",((s_Ir*s_F*s_MLF_apple*(1-EXP(-s_RadSpec!BC19*s_t_b)))/(s_P*s_RadSpec!BC19))),".")</f>
        <v>2.6824597822007652</v>
      </c>
      <c r="AB19" s="72">
        <f>IFERROR(IF(d_ss_Bv!D19=0,".",((s_Ir*s_F*s_MLF_asparagus*(1-EXP(-s_RadSpec!BC19*s_t_b)))/(s_P*s_RadSpec!BC19))),".")</f>
        <v>2.6824597822007652</v>
      </c>
      <c r="AC19" s="72">
        <f>IFERROR(IF(d_ss_Bv!E19=0,".",((s_Ir*s_F*s_MLF_beet*(1-EXP(-s_RadSpec!BC19*s_t_b)))/(s_P*s_RadSpec!BC19))),".")</f>
        <v>2.6824597822007652</v>
      </c>
      <c r="AD19" s="72">
        <f>IFERROR(IF(d_ss_Bv!F19=0,".",((s_Ir*s_F*s_MLF_berries*(1-EXP(-s_RadSpec!BC19*s_t_b)))/(s_P*s_RadSpec!BC19))),".")</f>
        <v>2.6824597822007652</v>
      </c>
      <c r="AE19" s="72">
        <f>IFERROR(IF(d_ss_Bv!G19=0,".",((s_Ir*s_F*s_MLF_broccoli*(1-EXP(-s_RadSpec!BC19*s_t_b)))/(s_P*s_RadSpec!BC19))),".")</f>
        <v>2.6824597822007652</v>
      </c>
      <c r="AF19" s="72">
        <f>IFERROR(IF(d_ss_Bv!H19=0,".",((s_Ir*s_F*s_MLF_cabbage*(1-EXP(-s_RadSpec!BC19*s_t_b)))/(s_P*s_RadSpec!BC19))),".")</f>
        <v>2.6824597822007652</v>
      </c>
      <c r="AG19" s="72">
        <f>IFERROR(IF(d_ss_Bv!I19=0,".",((s_Ir*s_F*s_MLF_carrot*(1-EXP(-s_RadSpec!BC19*s_t_b)))/(s_P*s_RadSpec!BC19))),".")</f>
        <v>2.6824597822007652</v>
      </c>
      <c r="AH19" s="72">
        <f>IFERROR(IF(d_ss_Bv!J19=0,".",((s_Ir*s_F*s_MLF_citrus*(1-EXP(-s_RadSpec!BC19*s_t_b)))/(s_P*s_RadSpec!BC19))),".")</f>
        <v>2.6824597822007652</v>
      </c>
      <c r="AI19" s="72">
        <f>IFERROR(IF(d_ss_Bv!K19=0,".",((s_Ir*s_F*s_MLF_corn*(1-EXP(-s_RadSpec!BC19*s_t_b)))/(s_P*s_RadSpec!BC19))),".")</f>
        <v>2.6824597822007652</v>
      </c>
      <c r="AJ19" s="72">
        <f>IFERROR(IF(d_ss_Bv!L19=0,".",((s_Ir*s_F*s_MLF_cucumber*(1-EXP(-s_RadSpec!BC19*s_t_b)))/(s_P*s_RadSpec!BC19))),".")</f>
        <v>2.6824597822007652</v>
      </c>
      <c r="AK19" s="72">
        <f>IFERROR(IF(d_ss_Bv!M19=0,".",((s_Ir*s_F*s_MLF_lettuce*(1-EXP(-s_RadSpec!BC19*s_t_b)))/(s_P*s_RadSpec!BC19))),".")</f>
        <v>2.6824597822007652</v>
      </c>
      <c r="AL19" s="72">
        <f>IFERROR(IF(d_ss_Bv!N19=0,".",((s_Ir*s_F*s_MLF_lima_bean*(1-EXP(-s_RadSpec!BC19*s_t_b)))/(s_P*s_RadSpec!BC19))),".")</f>
        <v>2.6824597822007652</v>
      </c>
      <c r="AM19" s="72">
        <f>IFERROR(IF(d_ss_Bv!O19=0,".",((s_Ir*s_F*s_MLF_okra*(1-EXP(-s_RadSpec!BC19*s_t_b)))/(s_P*s_RadSpec!BC19))),".")</f>
        <v>2.6824597822007652</v>
      </c>
      <c r="AN19" s="72">
        <f>IFERROR(IF(d_ss_Bv!P19=0,".",((s_Ir*s_F*s_MLF_onion*(1-EXP(-s_RadSpec!BC19*s_t_b)))/(s_P*s_RadSpec!BC19))),".")</f>
        <v>2.6824597822007652</v>
      </c>
      <c r="AO19" s="72">
        <f>IFERROR(IF(d_ss_Bv!Q19=0,".",((s_Ir*s_F*s_MLF_peach*(1-EXP(-s_RadSpec!BC19*s_t_b)))/(s_P*s_RadSpec!BC19))),".")</f>
        <v>2.6824597822007652</v>
      </c>
      <c r="AP19" s="72">
        <f>IFERROR(IF(d_ss_Bv!R19=0,".",((s_Ir*s_F*s_MLF_pear*(1-EXP(-s_RadSpec!BC19*s_t_b)))/(s_P*s_RadSpec!BC19))),".")</f>
        <v>2.6824597822007652</v>
      </c>
      <c r="AQ19" s="72">
        <f>IFERROR(IF(d_ss_Bv!S19=0,".",((s_Ir*s_F*s_MLF_peas*(1-EXP(-s_RadSpec!BC19*s_t_b)))/(s_P*s_RadSpec!BC19))),".")</f>
        <v>2.6824597822007652</v>
      </c>
      <c r="AR19" s="72">
        <f>IFERROR(IF(d_ss_Bv!T19=0,".",((s_Ir*s_F*s_MLF_potato*(1-EXP(-s_RadSpec!BC19*s_t_b)))/(s_P*s_RadSpec!BC19))),".")</f>
        <v>2.6824597822007652</v>
      </c>
      <c r="AS19" s="72">
        <f>IFERROR(IF(d_ss_Bv!U19=0,".",((s_Ir*s_F*s_MLF_pumpkin*(1-EXP(-s_RadSpec!BC19*s_t_b)))/(s_P*s_RadSpec!BC19))),".")</f>
        <v>2.6824597822007652</v>
      </c>
      <c r="AT19" s="72">
        <f>IFERROR(IF(d_ss_Bv!V19=0,".",((s_Ir*s_F*s_MLF_snap_bean*(1-EXP(-s_RadSpec!BC19*s_t_b)))/(s_P*s_RadSpec!BC19))),".")</f>
        <v>2.6824597822007652</v>
      </c>
      <c r="AU19" s="72">
        <f>IFERROR(IF(d_ss_Bv!W19=0,".",((s_Ir*s_F*s_MLF_strawberry*(1-EXP(-s_RadSpec!BC19*s_t_b)))/(s_P*s_RadSpec!BC19))),".")</f>
        <v>2.6824597822007652</v>
      </c>
      <c r="AV19" s="72">
        <f>IFERROR(IF(d_ss_Bv!X19=0,".",((s_Ir*s_F*s_MLF_tomato*(1-EXP(-s_RadSpec!BC19*s_t_b)))/(s_P*s_RadSpec!BC19))),".")</f>
        <v>2.6824597822007652</v>
      </c>
      <c r="AW19" s="72">
        <f>IFERROR(IF(d_ss_Bv!Y19=0,".",((s_Ir*s_F*s_MLF_rice*(1-EXP(-s_RadSpec!BC19*s_t_b)))/(s_P*s_RadSpec!BC19))),".")</f>
        <v>2.6824597822007652</v>
      </c>
      <c r="AX19" s="72">
        <f>IFERROR(IF(d_ss_Bv!Z19=0,".",((s_Ir*s_F*s_MLF_cereal*(1-EXP(-s_RadSpec!BC19*s_t_b)))/(s_P*s_RadSpec!BC19))),".")</f>
        <v>2.6824597822007652</v>
      </c>
      <c r="AY19" s="72">
        <f>IFERROR(IF(d_ss_Bv!C19=0,".",((s_Ir*s_F*s_I_f*s_T*(1-EXP(-s_RadSpec!BD19*s_t_v)))/(s_Y_v*s_RadSpec!BD19))),".")</f>
        <v>9.0143481925428208</v>
      </c>
      <c r="AZ19" s="72">
        <f>IFERROR(IF(d_ss_Bv!D19=0,".",((s_Ir*s_F*s_I_f*s_T*(1-EXP(-s_RadSpec!BD19*s_t_v)))/(s_Y_v*s_RadSpec!BD19))),".")</f>
        <v>9.0143481925428208</v>
      </c>
      <c r="BA19" s="72">
        <f>IFERROR(IF(d_ss_Bv!E19=0,".",((s_Ir*s_F*s_I_f*s_T*(1-EXP(-s_RadSpec!BD19*s_t_v)))/(s_Y_v*s_RadSpec!BD19))),".")</f>
        <v>9.0143481925428208</v>
      </c>
      <c r="BB19" s="72">
        <f>IFERROR(IF(d_ss_Bv!F19=0,".",((s_Ir*s_F*s_I_f*s_T*(1-EXP(-s_RadSpec!BD19*s_t_v)))/(s_Y_v*s_RadSpec!BD19))),".")</f>
        <v>9.0143481925428208</v>
      </c>
      <c r="BC19" s="72">
        <f>IFERROR(IF(d_ss_Bv!G19=0,".",((s_Ir*s_F*s_I_f*s_T*(1-EXP(-s_RadSpec!BD19*s_t_v)))/(s_Y_v*s_RadSpec!BD19))),".")</f>
        <v>9.0143481925428208</v>
      </c>
      <c r="BD19" s="72">
        <f>IFERROR(IF(d_ss_Bv!H19=0,".",((s_Ir*s_F*s_I_f*s_T*(1-EXP(-s_RadSpec!BD19*s_t_v)))/(s_Y_v*s_RadSpec!BD19))),".")</f>
        <v>9.0143481925428208</v>
      </c>
      <c r="BE19" s="72">
        <f>IFERROR(IF(d_ss_Bv!I19=0,".",((s_Ir*s_F*s_I_f*s_T*(1-EXP(-s_RadSpec!BD19*s_t_v)))/(s_Y_v*s_RadSpec!BD19))),".")</f>
        <v>9.0143481925428208</v>
      </c>
      <c r="BF19" s="72">
        <f>IFERROR(IF(d_ss_Bv!J19=0,".",((s_Ir*s_F*s_I_f*s_T*(1-EXP(-s_RadSpec!BD19*s_t_v)))/(s_Y_v*s_RadSpec!BD19))),".")</f>
        <v>9.0143481925428208</v>
      </c>
      <c r="BG19" s="72">
        <f>IFERROR(IF(d_ss_Bv!K19=0,".",((s_Ir*s_F*s_I_f*s_T*(1-EXP(-s_RadSpec!BD19*s_t_v)))/(s_Y_v*s_RadSpec!BD19))),".")</f>
        <v>9.0143481925428208</v>
      </c>
      <c r="BH19" s="72">
        <f>IFERROR(IF(d_ss_Bv!L19=0,".",((s_Ir*s_F*s_I_f*s_T*(1-EXP(-s_RadSpec!BD19*s_t_v)))/(s_Y_v*s_RadSpec!BD19))),".")</f>
        <v>9.0143481925428208</v>
      </c>
      <c r="BI19" s="72">
        <f>IFERROR(IF(d_ss_Bv!M19=0,".",((s_Ir*s_F*s_I_f*s_T*(1-EXP(-s_RadSpec!BD19*s_t_v)))/(s_Y_v*s_RadSpec!BD19))),".")</f>
        <v>9.0143481925428208</v>
      </c>
      <c r="BJ19" s="72">
        <f>IFERROR(IF(d_ss_Bv!N19=0,".",((s_Ir*s_F*s_I_f*s_T*(1-EXP(-s_RadSpec!BD19*s_t_v)))/(s_Y_v*s_RadSpec!BD19))),".")</f>
        <v>9.0143481925428208</v>
      </c>
      <c r="BK19" s="72">
        <f>IFERROR(IF(d_ss_Bv!O19=0,".",((s_Ir*s_F*s_I_f*s_T*(1-EXP(-s_RadSpec!BD19*s_t_v)))/(s_Y_v*s_RadSpec!BD19))),".")</f>
        <v>9.0143481925428208</v>
      </c>
      <c r="BL19" s="72">
        <f>IFERROR(IF(d_ss_Bv!P19=0,".",((s_Ir*s_F*s_I_f*s_T*(1-EXP(-s_RadSpec!BD19*s_t_v)))/(s_Y_v*s_RadSpec!BD19))),".")</f>
        <v>9.0143481925428208</v>
      </c>
      <c r="BM19" s="72">
        <f>IFERROR(IF(d_ss_Bv!Q19=0,".",((s_Ir*s_F*s_I_f*s_T*(1-EXP(-s_RadSpec!BD19*s_t_v)))/(s_Y_v*s_RadSpec!BD19))),".")</f>
        <v>9.0143481925428208</v>
      </c>
      <c r="BN19" s="72">
        <f>IFERROR(IF(d_ss_Bv!R19=0,".",((s_Ir*s_F*s_I_f*s_T*(1-EXP(-s_RadSpec!BD19*s_t_v)))/(s_Y_v*s_RadSpec!BD19))),".")</f>
        <v>9.0143481925428208</v>
      </c>
      <c r="BO19" s="72">
        <f>IFERROR(IF(d_ss_Bv!S19=0,".",((s_Ir*s_F*s_I_f*s_T*(1-EXP(-s_RadSpec!BD19*s_t_v)))/(s_Y_v*s_RadSpec!BD19))),".")</f>
        <v>9.0143481925428208</v>
      </c>
      <c r="BP19" s="72">
        <f>IFERROR(IF(d_ss_Bv!T19=0,".",((s_Ir*s_F*s_I_f*s_T*(1-EXP(-s_RadSpec!BD19*s_t_v)))/(s_Y_v*s_RadSpec!BD19))),".")</f>
        <v>9.0143481925428208</v>
      </c>
      <c r="BQ19" s="72">
        <f>IFERROR(IF(d_ss_Bv!U19=0,".",((s_Ir*s_F*s_I_f*s_T*(1-EXP(-s_RadSpec!BD19*s_t_v)))/(s_Y_v*s_RadSpec!BD19))),".")</f>
        <v>9.0143481925428208</v>
      </c>
      <c r="BR19" s="72">
        <f>IFERROR(IF(d_ss_Bv!V19=0,".",((s_Ir*s_F*s_I_f*s_T*(1-EXP(-s_RadSpec!BD19*s_t_v)))/(s_Y_v*s_RadSpec!BD19))),".")</f>
        <v>9.0143481925428208</v>
      </c>
      <c r="BS19" s="72">
        <f>IFERROR(IF(d_ss_Bv!W19=0,".",((s_Ir*s_F*s_I_f*s_T*(1-EXP(-s_RadSpec!BD19*s_t_v)))/(s_Y_v*s_RadSpec!BD19))),".")</f>
        <v>9.0143481925428208</v>
      </c>
      <c r="BT19" s="72">
        <f>IFERROR(IF(d_ss_Bv!X19=0,".",((s_Ir*s_F*s_I_f*s_T*(1-EXP(-s_RadSpec!BD19*s_t_v)))/(s_Y_v*s_RadSpec!BD19))),".")</f>
        <v>9.0143481925428208</v>
      </c>
      <c r="BU19" s="72">
        <f>IFERROR(IF(d_ss_Bv!Y19=0,".",((s_Ir*s_F*s_I_f*s_T*(1-EXP(-s_RadSpec!BD19*s_t_v)))/(s_Y_v*s_RadSpec!BD19))),".")</f>
        <v>9.0143481925428208</v>
      </c>
      <c r="BV19" s="72">
        <f>IFERROR(IF(d_ss_Bv!Z19=0,".",((s_Ir*s_F*s_I_f*s_T*(1-EXP(-s_RadSpec!BD19*s_t_v)))/(s_Y_v*s_RadSpec!BD19))),".")</f>
        <v>9.0143481925428208</v>
      </c>
    </row>
    <row r="20" spans="1:74" x14ac:dyDescent="0.25">
      <c r="A20" s="31" t="s">
        <v>18</v>
      </c>
      <c r="B20" s="3" t="s">
        <v>1059</v>
      </c>
      <c r="C20" s="72">
        <f>IFERROR(IF(d_ss_Bv!C20=0,".",((s_Ir*s_F*d_ss_Bv!C20*(1-EXP(-s_RadSpec!$BC20*s_t_b)))/(s_P*s_RadSpec!$BC20))),".")</f>
        <v>3.9740144921492811E-2</v>
      </c>
      <c r="D20" s="72">
        <f>IFERROR(IF(d_ss_Bv!D20=0,".",((s_Ir*s_F*d_ss_Bv!D20*(1-EXP(-s_RadSpec!BC20*s_t_b)))/(s_P*s_RadSpec!BC20))),".")</f>
        <v>1.4703853620952343</v>
      </c>
      <c r="E20" s="72">
        <f>IFERROR(IF(d_ss_Bv!E20=0,".",((s_Ir*s_F*d_ss_Bv!E20*(1-EXP(-s_RadSpec!BC20*s_t_b)))/(s_P*s_RadSpec!BC20))),".")</f>
        <v>1.1524642027232916</v>
      </c>
      <c r="F20" s="72">
        <f>IFERROR(IF(d_ss_Bv!F20=0,".",((s_Ir*s_F*d_ss_Bv!F20*(1-EXP(-s_RadSpec!BC20*s_t_b)))/(s_P*s_RadSpec!BC20))),".")</f>
        <v>3.9740144921492811E-2</v>
      </c>
      <c r="G20" s="72">
        <f>IFERROR(IF(d_ss_Bv!G20=0,".",((s_Ir*s_F*d_ss_Bv!G20*(1-EXP(-s_RadSpec!BC20*s_t_b)))/(s_P*s_RadSpec!BC20))),".")</f>
        <v>3.9740144921492811E-2</v>
      </c>
      <c r="H20" s="72">
        <f>IFERROR(IF(d_ss_Bv!H20=0,".",((s_Ir*s_F*d_ss_Bv!H20*(1-EXP(-s_RadSpec!BC20*s_t_b)))/(s_P*s_RadSpec!BC20))),".")</f>
        <v>1.4703853620952343</v>
      </c>
      <c r="I20" s="72">
        <f>IFERROR(IF(d_ss_Bv!I20=0,".",((s_Ir*s_F*d_ss_Bv!I20*(1-EXP(-s_RadSpec!BC20*s_t_b)))/(s_P*s_RadSpec!BC20))),".")</f>
        <v>1.1524642027232916</v>
      </c>
      <c r="J20" s="72">
        <f>IFERROR(IF(d_ss_Bv!J20=0,".",((s_Ir*s_F*d_ss_Bv!J20*(1-EXP(-s_RadSpec!BC20*s_t_b)))/(s_P*s_RadSpec!BC20))),".")</f>
        <v>3.9740144921492811E-2</v>
      </c>
      <c r="K20" s="72">
        <f>IFERROR(IF(d_ss_Bv!K20=0,".",((s_Ir*s_F*d_ss_Bv!K20*(1-EXP(-s_RadSpec!BC20*s_t_b)))/(s_P*s_RadSpec!BC20))),".")</f>
        <v>4.768817390579138E-2</v>
      </c>
      <c r="L20" s="72">
        <f>IFERROR(IF(d_ss_Bv!L20=0,".",((s_Ir*s_F*d_ss_Bv!L20*(1-EXP(-s_RadSpec!BC20*s_t_b)))/(s_P*s_RadSpec!BC20))),".")</f>
        <v>3.9740144921492811E-2</v>
      </c>
      <c r="M20" s="72">
        <f>IFERROR(IF(d_ss_Bv!M20=0,".",((s_Ir*s_F*d_ss_Bv!M20*(1-EXP(-s_RadSpec!BC20*s_t_b)))/(s_P*s_RadSpec!BC20))),".")</f>
        <v>1.4703853620952343</v>
      </c>
      <c r="N20" s="72">
        <f>IFERROR(IF(d_ss_Bv!N20=0,".",((s_Ir*s_F*d_ss_Bv!N20*(1-EXP(-s_RadSpec!BC20*s_t_b)))/(s_P*s_RadSpec!BC20))),".")</f>
        <v>5.364919564401531E-2</v>
      </c>
      <c r="O20" s="72">
        <f>IFERROR(IF(d_ss_Bv!O20=0,".",((s_Ir*s_F*d_ss_Bv!O20*(1-EXP(-s_RadSpec!BC20*s_t_b)))/(s_P*s_RadSpec!BC20))),".")</f>
        <v>3.9740144921492811E-2</v>
      </c>
      <c r="P20" s="72">
        <f>IFERROR(IF(d_ss_Bv!P20=0,".",((s_Ir*s_F*d_ss_Bv!P20*(1-EXP(-s_RadSpec!BC20*s_t_b)))/(s_P*s_RadSpec!BC20))),".")</f>
        <v>3.9740144921492811E-2</v>
      </c>
      <c r="Q20" s="72">
        <f>IFERROR(IF(d_ss_Bv!Q20=0,".",((s_Ir*s_F*d_ss_Bv!Q20*(1-EXP(-s_RadSpec!BC20*s_t_b)))/(s_P*s_RadSpec!BC20))),".")</f>
        <v>3.9740144921492811E-2</v>
      </c>
      <c r="R20" s="72">
        <f>IFERROR(IF(d_ss_Bv!R20=0,".",((s_Ir*s_F*d_ss_Bv!R20*(1-EXP(-s_RadSpec!BC20*s_t_b)))/(s_P*s_RadSpec!BC20))),".")</f>
        <v>3.9740144921492811E-2</v>
      </c>
      <c r="S20" s="72">
        <f>IFERROR(IF(d_ss_Bv!S20=0,".",((s_Ir*s_F*d_ss_Bv!S20*(1-EXP(-s_RadSpec!BC20*s_t_b)))/(s_P*s_RadSpec!BC20))),".")</f>
        <v>5.364919564401531E-2</v>
      </c>
      <c r="T20" s="72">
        <f>IFERROR(IF(d_ss_Bv!T20=0,".",((s_Ir*s_F*d_ss_Bv!T20*(1-EXP(-s_RadSpec!BC20*s_t_b)))/(s_P*s_RadSpec!BC20))),".")</f>
        <v>0.53649195644015302</v>
      </c>
      <c r="U20" s="72">
        <f>IFERROR(IF(d_ss_Bv!U20=0,".",((s_Ir*s_F*d_ss_Bv!U20*(1-EXP(-s_RadSpec!BC20*s_t_b)))/(s_P*s_RadSpec!BC20))),".")</f>
        <v>3.9740144921492811E-2</v>
      </c>
      <c r="V20" s="72">
        <f>IFERROR(IF(d_ss_Bv!V20=0,".",((s_Ir*s_F*d_ss_Bv!V20*(1-EXP(-s_RadSpec!BC20*s_t_b)))/(s_P*s_RadSpec!BC20))),".")</f>
        <v>5.364919564401531E-2</v>
      </c>
      <c r="W20" s="72">
        <f>IFERROR(IF(d_ss_Bv!W20=0,".",((s_Ir*s_F*d_ss_Bv!W20*(1-EXP(-s_RadSpec!BC20*s_t_b)))/(s_P*s_RadSpec!BC20))),".")</f>
        <v>3.9740144921492811E-2</v>
      </c>
      <c r="X20" s="72">
        <f>IFERROR(IF(d_ss_Bv!X20=0,".",((s_Ir*s_F*d_ss_Bv!X20*(1-EXP(-s_RadSpec!BC20*s_t_b)))/(s_P*s_RadSpec!BC20))),".")</f>
        <v>3.9740144921492811E-2</v>
      </c>
      <c r="Y20" s="72">
        <f>IFERROR(IF(d_ss_Bv!Y20=0,".",((s_Ir*s_F*d_ss_Bv!Y20*(1-EXP(-s_RadSpec!BC20*s_t_b)))/(s_P*s_RadSpec!BC20))),".")</f>
        <v>2.583109419897033</v>
      </c>
      <c r="Z20" s="72">
        <f>IFERROR(IF(d_ss_Bv!Z20=0,".",((s_Ir*s_F*d_ss_Bv!Z20*(1-EXP(-s_RadSpec!BC20*s_t_b)))/(s_P*s_RadSpec!BC20))),".")</f>
        <v>4.768817390579138E-2</v>
      </c>
      <c r="AA20" s="72">
        <f>IFERROR(IF(d_ss_Bv!C20=0,".",((s_Ir*s_F*s_MLF_apple*(1-EXP(-s_RadSpec!BC20*s_t_b)))/(s_P*s_RadSpec!BC20))),".")</f>
        <v>2.6824597822007652</v>
      </c>
      <c r="AB20" s="72">
        <f>IFERROR(IF(d_ss_Bv!D20=0,".",((s_Ir*s_F*s_MLF_asparagus*(1-EXP(-s_RadSpec!BC20*s_t_b)))/(s_P*s_RadSpec!BC20))),".")</f>
        <v>2.6824597822007652</v>
      </c>
      <c r="AC20" s="72">
        <f>IFERROR(IF(d_ss_Bv!E20=0,".",((s_Ir*s_F*s_MLF_beet*(1-EXP(-s_RadSpec!BC20*s_t_b)))/(s_P*s_RadSpec!BC20))),".")</f>
        <v>2.6824597822007652</v>
      </c>
      <c r="AD20" s="72">
        <f>IFERROR(IF(d_ss_Bv!F20=0,".",((s_Ir*s_F*s_MLF_berries*(1-EXP(-s_RadSpec!BC20*s_t_b)))/(s_P*s_RadSpec!BC20))),".")</f>
        <v>2.6824597822007652</v>
      </c>
      <c r="AE20" s="72">
        <f>IFERROR(IF(d_ss_Bv!G20=0,".",((s_Ir*s_F*s_MLF_broccoli*(1-EXP(-s_RadSpec!BC20*s_t_b)))/(s_P*s_RadSpec!BC20))),".")</f>
        <v>2.6824597822007652</v>
      </c>
      <c r="AF20" s="72">
        <f>IFERROR(IF(d_ss_Bv!H20=0,".",((s_Ir*s_F*s_MLF_cabbage*(1-EXP(-s_RadSpec!BC20*s_t_b)))/(s_P*s_RadSpec!BC20))),".")</f>
        <v>2.6824597822007652</v>
      </c>
      <c r="AG20" s="72">
        <f>IFERROR(IF(d_ss_Bv!I20=0,".",((s_Ir*s_F*s_MLF_carrot*(1-EXP(-s_RadSpec!BC20*s_t_b)))/(s_P*s_RadSpec!BC20))),".")</f>
        <v>2.6824597822007652</v>
      </c>
      <c r="AH20" s="72">
        <f>IFERROR(IF(d_ss_Bv!J20=0,".",((s_Ir*s_F*s_MLF_citrus*(1-EXP(-s_RadSpec!BC20*s_t_b)))/(s_P*s_RadSpec!BC20))),".")</f>
        <v>2.6824597822007652</v>
      </c>
      <c r="AI20" s="72">
        <f>IFERROR(IF(d_ss_Bv!K20=0,".",((s_Ir*s_F*s_MLF_corn*(1-EXP(-s_RadSpec!BC20*s_t_b)))/(s_P*s_RadSpec!BC20))),".")</f>
        <v>2.6824597822007652</v>
      </c>
      <c r="AJ20" s="72">
        <f>IFERROR(IF(d_ss_Bv!L20=0,".",((s_Ir*s_F*s_MLF_cucumber*(1-EXP(-s_RadSpec!BC20*s_t_b)))/(s_P*s_RadSpec!BC20))),".")</f>
        <v>2.6824597822007652</v>
      </c>
      <c r="AK20" s="72">
        <f>IFERROR(IF(d_ss_Bv!M20=0,".",((s_Ir*s_F*s_MLF_lettuce*(1-EXP(-s_RadSpec!BC20*s_t_b)))/(s_P*s_RadSpec!BC20))),".")</f>
        <v>2.6824597822007652</v>
      </c>
      <c r="AL20" s="72">
        <f>IFERROR(IF(d_ss_Bv!N20=0,".",((s_Ir*s_F*s_MLF_lima_bean*(1-EXP(-s_RadSpec!BC20*s_t_b)))/(s_P*s_RadSpec!BC20))),".")</f>
        <v>2.6824597822007652</v>
      </c>
      <c r="AM20" s="72">
        <f>IFERROR(IF(d_ss_Bv!O20=0,".",((s_Ir*s_F*s_MLF_okra*(1-EXP(-s_RadSpec!BC20*s_t_b)))/(s_P*s_RadSpec!BC20))),".")</f>
        <v>2.6824597822007652</v>
      </c>
      <c r="AN20" s="72">
        <f>IFERROR(IF(d_ss_Bv!P20=0,".",((s_Ir*s_F*s_MLF_onion*(1-EXP(-s_RadSpec!BC20*s_t_b)))/(s_P*s_RadSpec!BC20))),".")</f>
        <v>2.6824597822007652</v>
      </c>
      <c r="AO20" s="72">
        <f>IFERROR(IF(d_ss_Bv!Q20=0,".",((s_Ir*s_F*s_MLF_peach*(1-EXP(-s_RadSpec!BC20*s_t_b)))/(s_P*s_RadSpec!BC20))),".")</f>
        <v>2.6824597822007652</v>
      </c>
      <c r="AP20" s="72">
        <f>IFERROR(IF(d_ss_Bv!R20=0,".",((s_Ir*s_F*s_MLF_pear*(1-EXP(-s_RadSpec!BC20*s_t_b)))/(s_P*s_RadSpec!BC20))),".")</f>
        <v>2.6824597822007652</v>
      </c>
      <c r="AQ20" s="72">
        <f>IFERROR(IF(d_ss_Bv!S20=0,".",((s_Ir*s_F*s_MLF_peas*(1-EXP(-s_RadSpec!BC20*s_t_b)))/(s_P*s_RadSpec!BC20))),".")</f>
        <v>2.6824597822007652</v>
      </c>
      <c r="AR20" s="72">
        <f>IFERROR(IF(d_ss_Bv!T20=0,".",((s_Ir*s_F*s_MLF_potato*(1-EXP(-s_RadSpec!BC20*s_t_b)))/(s_P*s_RadSpec!BC20))),".")</f>
        <v>2.6824597822007652</v>
      </c>
      <c r="AS20" s="72">
        <f>IFERROR(IF(d_ss_Bv!U20=0,".",((s_Ir*s_F*s_MLF_pumpkin*(1-EXP(-s_RadSpec!BC20*s_t_b)))/(s_P*s_RadSpec!BC20))),".")</f>
        <v>2.6824597822007652</v>
      </c>
      <c r="AT20" s="72">
        <f>IFERROR(IF(d_ss_Bv!V20=0,".",((s_Ir*s_F*s_MLF_snap_bean*(1-EXP(-s_RadSpec!BC20*s_t_b)))/(s_P*s_RadSpec!BC20))),".")</f>
        <v>2.6824597822007652</v>
      </c>
      <c r="AU20" s="72">
        <f>IFERROR(IF(d_ss_Bv!W20=0,".",((s_Ir*s_F*s_MLF_strawberry*(1-EXP(-s_RadSpec!BC20*s_t_b)))/(s_P*s_RadSpec!BC20))),".")</f>
        <v>2.6824597822007652</v>
      </c>
      <c r="AV20" s="72">
        <f>IFERROR(IF(d_ss_Bv!X20=0,".",((s_Ir*s_F*s_MLF_tomato*(1-EXP(-s_RadSpec!BC20*s_t_b)))/(s_P*s_RadSpec!BC20))),".")</f>
        <v>2.6824597822007652</v>
      </c>
      <c r="AW20" s="72">
        <f>IFERROR(IF(d_ss_Bv!Y20=0,".",((s_Ir*s_F*s_MLF_rice*(1-EXP(-s_RadSpec!BC20*s_t_b)))/(s_P*s_RadSpec!BC20))),".")</f>
        <v>2.6824597822007652</v>
      </c>
      <c r="AX20" s="72">
        <f>IFERROR(IF(d_ss_Bv!Z20=0,".",((s_Ir*s_F*s_MLF_cereal*(1-EXP(-s_RadSpec!BC20*s_t_b)))/(s_P*s_RadSpec!BC20))),".")</f>
        <v>2.6824597822007652</v>
      </c>
      <c r="AY20" s="72">
        <f>IFERROR(IF(d_ss_Bv!C20=0,".",((s_Ir*s_F*s_I_f*s_T*(1-EXP(-s_RadSpec!BD20*s_t_v)))/(s_Y_v*s_RadSpec!BD20))),".")</f>
        <v>9.0143481925428208</v>
      </c>
      <c r="AZ20" s="72">
        <f>IFERROR(IF(d_ss_Bv!D20=0,".",((s_Ir*s_F*s_I_f*s_T*(1-EXP(-s_RadSpec!BD20*s_t_v)))/(s_Y_v*s_RadSpec!BD20))),".")</f>
        <v>9.0143481925428208</v>
      </c>
      <c r="BA20" s="72">
        <f>IFERROR(IF(d_ss_Bv!E20=0,".",((s_Ir*s_F*s_I_f*s_T*(1-EXP(-s_RadSpec!BD20*s_t_v)))/(s_Y_v*s_RadSpec!BD20))),".")</f>
        <v>9.0143481925428208</v>
      </c>
      <c r="BB20" s="72">
        <f>IFERROR(IF(d_ss_Bv!F20=0,".",((s_Ir*s_F*s_I_f*s_T*(1-EXP(-s_RadSpec!BD20*s_t_v)))/(s_Y_v*s_RadSpec!BD20))),".")</f>
        <v>9.0143481925428208</v>
      </c>
      <c r="BC20" s="72">
        <f>IFERROR(IF(d_ss_Bv!G20=0,".",((s_Ir*s_F*s_I_f*s_T*(1-EXP(-s_RadSpec!BD20*s_t_v)))/(s_Y_v*s_RadSpec!BD20))),".")</f>
        <v>9.0143481925428208</v>
      </c>
      <c r="BD20" s="72">
        <f>IFERROR(IF(d_ss_Bv!H20=0,".",((s_Ir*s_F*s_I_f*s_T*(1-EXP(-s_RadSpec!BD20*s_t_v)))/(s_Y_v*s_RadSpec!BD20))),".")</f>
        <v>9.0143481925428208</v>
      </c>
      <c r="BE20" s="72">
        <f>IFERROR(IF(d_ss_Bv!I20=0,".",((s_Ir*s_F*s_I_f*s_T*(1-EXP(-s_RadSpec!BD20*s_t_v)))/(s_Y_v*s_RadSpec!BD20))),".")</f>
        <v>9.0143481925428208</v>
      </c>
      <c r="BF20" s="72">
        <f>IFERROR(IF(d_ss_Bv!J20=0,".",((s_Ir*s_F*s_I_f*s_T*(1-EXP(-s_RadSpec!BD20*s_t_v)))/(s_Y_v*s_RadSpec!BD20))),".")</f>
        <v>9.0143481925428208</v>
      </c>
      <c r="BG20" s="72">
        <f>IFERROR(IF(d_ss_Bv!K20=0,".",((s_Ir*s_F*s_I_f*s_T*(1-EXP(-s_RadSpec!BD20*s_t_v)))/(s_Y_v*s_RadSpec!BD20))),".")</f>
        <v>9.0143481925428208</v>
      </c>
      <c r="BH20" s="72">
        <f>IFERROR(IF(d_ss_Bv!L20=0,".",((s_Ir*s_F*s_I_f*s_T*(1-EXP(-s_RadSpec!BD20*s_t_v)))/(s_Y_v*s_RadSpec!BD20))),".")</f>
        <v>9.0143481925428208</v>
      </c>
      <c r="BI20" s="72">
        <f>IFERROR(IF(d_ss_Bv!M20=0,".",((s_Ir*s_F*s_I_f*s_T*(1-EXP(-s_RadSpec!BD20*s_t_v)))/(s_Y_v*s_RadSpec!BD20))),".")</f>
        <v>9.0143481925428208</v>
      </c>
      <c r="BJ20" s="72">
        <f>IFERROR(IF(d_ss_Bv!N20=0,".",((s_Ir*s_F*s_I_f*s_T*(1-EXP(-s_RadSpec!BD20*s_t_v)))/(s_Y_v*s_RadSpec!BD20))),".")</f>
        <v>9.0143481925428208</v>
      </c>
      <c r="BK20" s="72">
        <f>IFERROR(IF(d_ss_Bv!O20=0,".",((s_Ir*s_F*s_I_f*s_T*(1-EXP(-s_RadSpec!BD20*s_t_v)))/(s_Y_v*s_RadSpec!BD20))),".")</f>
        <v>9.0143481925428208</v>
      </c>
      <c r="BL20" s="72">
        <f>IFERROR(IF(d_ss_Bv!P20=0,".",((s_Ir*s_F*s_I_f*s_T*(1-EXP(-s_RadSpec!BD20*s_t_v)))/(s_Y_v*s_RadSpec!BD20))),".")</f>
        <v>9.0143481925428208</v>
      </c>
      <c r="BM20" s="72">
        <f>IFERROR(IF(d_ss_Bv!Q20=0,".",((s_Ir*s_F*s_I_f*s_T*(1-EXP(-s_RadSpec!BD20*s_t_v)))/(s_Y_v*s_RadSpec!BD20))),".")</f>
        <v>9.0143481925428208</v>
      </c>
      <c r="BN20" s="72">
        <f>IFERROR(IF(d_ss_Bv!R20=0,".",((s_Ir*s_F*s_I_f*s_T*(1-EXP(-s_RadSpec!BD20*s_t_v)))/(s_Y_v*s_RadSpec!BD20))),".")</f>
        <v>9.0143481925428208</v>
      </c>
      <c r="BO20" s="72">
        <f>IFERROR(IF(d_ss_Bv!S20=0,".",((s_Ir*s_F*s_I_f*s_T*(1-EXP(-s_RadSpec!BD20*s_t_v)))/(s_Y_v*s_RadSpec!BD20))),".")</f>
        <v>9.0143481925428208</v>
      </c>
      <c r="BP20" s="72">
        <f>IFERROR(IF(d_ss_Bv!T20=0,".",((s_Ir*s_F*s_I_f*s_T*(1-EXP(-s_RadSpec!BD20*s_t_v)))/(s_Y_v*s_RadSpec!BD20))),".")</f>
        <v>9.0143481925428208</v>
      </c>
      <c r="BQ20" s="72">
        <f>IFERROR(IF(d_ss_Bv!U20=0,".",((s_Ir*s_F*s_I_f*s_T*(1-EXP(-s_RadSpec!BD20*s_t_v)))/(s_Y_v*s_RadSpec!BD20))),".")</f>
        <v>9.0143481925428208</v>
      </c>
      <c r="BR20" s="72">
        <f>IFERROR(IF(d_ss_Bv!V20=0,".",((s_Ir*s_F*s_I_f*s_T*(1-EXP(-s_RadSpec!BD20*s_t_v)))/(s_Y_v*s_RadSpec!BD20))),".")</f>
        <v>9.0143481925428208</v>
      </c>
      <c r="BS20" s="72">
        <f>IFERROR(IF(d_ss_Bv!W20=0,".",((s_Ir*s_F*s_I_f*s_T*(1-EXP(-s_RadSpec!BD20*s_t_v)))/(s_Y_v*s_RadSpec!BD20))),".")</f>
        <v>9.0143481925428208</v>
      </c>
      <c r="BT20" s="72">
        <f>IFERROR(IF(d_ss_Bv!X20=0,".",((s_Ir*s_F*s_I_f*s_T*(1-EXP(-s_RadSpec!BD20*s_t_v)))/(s_Y_v*s_RadSpec!BD20))),".")</f>
        <v>9.0143481925428208</v>
      </c>
      <c r="BU20" s="72">
        <f>IFERROR(IF(d_ss_Bv!Y20=0,".",((s_Ir*s_F*s_I_f*s_T*(1-EXP(-s_RadSpec!BD20*s_t_v)))/(s_Y_v*s_RadSpec!BD20))),".")</f>
        <v>9.0143481925428208</v>
      </c>
      <c r="BV20" s="72">
        <f>IFERROR(IF(d_ss_Bv!Z20=0,".",((s_Ir*s_F*s_I_f*s_T*(1-EXP(-s_RadSpec!BD20*s_t_v)))/(s_Y_v*s_RadSpec!BD20))),".")</f>
        <v>9.0143481925428208</v>
      </c>
    </row>
    <row r="21" spans="1:74" x14ac:dyDescent="0.25">
      <c r="A21" s="31" t="s">
        <v>19</v>
      </c>
      <c r="B21" s="3" t="s">
        <v>1059</v>
      </c>
      <c r="C21" s="72">
        <f>IFERROR(IF(d_ss_Bv!C21=0,".",((s_Ir*s_F*d_ss_Bv!C21*(1-EXP(-s_RadSpec!$BC21*s_t_b)))/(s_P*s_RadSpec!$BC21))),".")</f>
        <v>3.9740144921492811E-2</v>
      </c>
      <c r="D21" s="72">
        <f>IFERROR(IF(d_ss_Bv!D21=0,".",((s_Ir*s_F*d_ss_Bv!D21*(1-EXP(-s_RadSpec!BC21*s_t_b)))/(s_P*s_RadSpec!BC21))),".")</f>
        <v>1.4703853620952343</v>
      </c>
      <c r="E21" s="72">
        <f>IFERROR(IF(d_ss_Bv!E21=0,".",((s_Ir*s_F*d_ss_Bv!E21*(1-EXP(-s_RadSpec!BC21*s_t_b)))/(s_P*s_RadSpec!BC21))),".")</f>
        <v>1.1524642027232916</v>
      </c>
      <c r="F21" s="72">
        <f>IFERROR(IF(d_ss_Bv!F21=0,".",((s_Ir*s_F*d_ss_Bv!F21*(1-EXP(-s_RadSpec!BC21*s_t_b)))/(s_P*s_RadSpec!BC21))),".")</f>
        <v>3.9740144921492811E-2</v>
      </c>
      <c r="G21" s="72">
        <f>IFERROR(IF(d_ss_Bv!G21=0,".",((s_Ir*s_F*d_ss_Bv!G21*(1-EXP(-s_RadSpec!BC21*s_t_b)))/(s_P*s_RadSpec!BC21))),".")</f>
        <v>3.9740144921492811E-2</v>
      </c>
      <c r="H21" s="72">
        <f>IFERROR(IF(d_ss_Bv!H21=0,".",((s_Ir*s_F*d_ss_Bv!H21*(1-EXP(-s_RadSpec!BC21*s_t_b)))/(s_P*s_RadSpec!BC21))),".")</f>
        <v>1.4703853620952343</v>
      </c>
      <c r="I21" s="72">
        <f>IFERROR(IF(d_ss_Bv!I21=0,".",((s_Ir*s_F*d_ss_Bv!I21*(1-EXP(-s_RadSpec!BC21*s_t_b)))/(s_P*s_RadSpec!BC21))),".")</f>
        <v>1.1524642027232916</v>
      </c>
      <c r="J21" s="72">
        <f>IFERROR(IF(d_ss_Bv!J21=0,".",((s_Ir*s_F*d_ss_Bv!J21*(1-EXP(-s_RadSpec!BC21*s_t_b)))/(s_P*s_RadSpec!BC21))),".")</f>
        <v>3.9740144921492811E-2</v>
      </c>
      <c r="K21" s="72">
        <f>IFERROR(IF(d_ss_Bv!K21=0,".",((s_Ir*s_F*d_ss_Bv!K21*(1-EXP(-s_RadSpec!BC21*s_t_b)))/(s_P*s_RadSpec!BC21))),".")</f>
        <v>4.768817390579138E-2</v>
      </c>
      <c r="L21" s="72">
        <f>IFERROR(IF(d_ss_Bv!L21=0,".",((s_Ir*s_F*d_ss_Bv!L21*(1-EXP(-s_RadSpec!BC21*s_t_b)))/(s_P*s_RadSpec!BC21))),".")</f>
        <v>3.9740144921492811E-2</v>
      </c>
      <c r="M21" s="72">
        <f>IFERROR(IF(d_ss_Bv!M21=0,".",((s_Ir*s_F*d_ss_Bv!M21*(1-EXP(-s_RadSpec!BC21*s_t_b)))/(s_P*s_RadSpec!BC21))),".")</f>
        <v>1.4703853620952343</v>
      </c>
      <c r="N21" s="72">
        <f>IFERROR(IF(d_ss_Bv!N21=0,".",((s_Ir*s_F*d_ss_Bv!N21*(1-EXP(-s_RadSpec!BC21*s_t_b)))/(s_P*s_RadSpec!BC21))),".")</f>
        <v>5.364919564401531E-2</v>
      </c>
      <c r="O21" s="72">
        <f>IFERROR(IF(d_ss_Bv!O21=0,".",((s_Ir*s_F*d_ss_Bv!O21*(1-EXP(-s_RadSpec!BC21*s_t_b)))/(s_P*s_RadSpec!BC21))),".")</f>
        <v>3.9740144921492811E-2</v>
      </c>
      <c r="P21" s="72">
        <f>IFERROR(IF(d_ss_Bv!P21=0,".",((s_Ir*s_F*d_ss_Bv!P21*(1-EXP(-s_RadSpec!BC21*s_t_b)))/(s_P*s_RadSpec!BC21))),".")</f>
        <v>3.9740144921492811E-2</v>
      </c>
      <c r="Q21" s="72">
        <f>IFERROR(IF(d_ss_Bv!Q21=0,".",((s_Ir*s_F*d_ss_Bv!Q21*(1-EXP(-s_RadSpec!BC21*s_t_b)))/(s_P*s_RadSpec!BC21))),".")</f>
        <v>3.9740144921492811E-2</v>
      </c>
      <c r="R21" s="72">
        <f>IFERROR(IF(d_ss_Bv!R21=0,".",((s_Ir*s_F*d_ss_Bv!R21*(1-EXP(-s_RadSpec!BC21*s_t_b)))/(s_P*s_RadSpec!BC21))),".")</f>
        <v>3.9740144921492811E-2</v>
      </c>
      <c r="S21" s="72">
        <f>IFERROR(IF(d_ss_Bv!S21=0,".",((s_Ir*s_F*d_ss_Bv!S21*(1-EXP(-s_RadSpec!BC21*s_t_b)))/(s_P*s_RadSpec!BC21))),".")</f>
        <v>5.364919564401531E-2</v>
      </c>
      <c r="T21" s="72">
        <f>IFERROR(IF(d_ss_Bv!T21=0,".",((s_Ir*s_F*d_ss_Bv!T21*(1-EXP(-s_RadSpec!BC21*s_t_b)))/(s_P*s_RadSpec!BC21))),".")</f>
        <v>0.53649195644015302</v>
      </c>
      <c r="U21" s="72">
        <f>IFERROR(IF(d_ss_Bv!U21=0,".",((s_Ir*s_F*d_ss_Bv!U21*(1-EXP(-s_RadSpec!BC21*s_t_b)))/(s_P*s_RadSpec!BC21))),".")</f>
        <v>3.9740144921492811E-2</v>
      </c>
      <c r="V21" s="72">
        <f>IFERROR(IF(d_ss_Bv!V21=0,".",((s_Ir*s_F*d_ss_Bv!V21*(1-EXP(-s_RadSpec!BC21*s_t_b)))/(s_P*s_RadSpec!BC21))),".")</f>
        <v>5.364919564401531E-2</v>
      </c>
      <c r="W21" s="72">
        <f>IFERROR(IF(d_ss_Bv!W21=0,".",((s_Ir*s_F*d_ss_Bv!W21*(1-EXP(-s_RadSpec!BC21*s_t_b)))/(s_P*s_RadSpec!BC21))),".")</f>
        <v>3.9740144921492811E-2</v>
      </c>
      <c r="X21" s="72">
        <f>IFERROR(IF(d_ss_Bv!X21=0,".",((s_Ir*s_F*d_ss_Bv!X21*(1-EXP(-s_RadSpec!BC21*s_t_b)))/(s_P*s_RadSpec!BC21))),".")</f>
        <v>3.9740144921492811E-2</v>
      </c>
      <c r="Y21" s="72">
        <f>IFERROR(IF(d_ss_Bv!Y21=0,".",((s_Ir*s_F*d_ss_Bv!Y21*(1-EXP(-s_RadSpec!BC21*s_t_b)))/(s_P*s_RadSpec!BC21))),".")</f>
        <v>2.583109419897033</v>
      </c>
      <c r="Z21" s="72">
        <f>IFERROR(IF(d_ss_Bv!Z21=0,".",((s_Ir*s_F*d_ss_Bv!Z21*(1-EXP(-s_RadSpec!BC21*s_t_b)))/(s_P*s_RadSpec!BC21))),".")</f>
        <v>4.768817390579138E-2</v>
      </c>
      <c r="AA21" s="72">
        <f>IFERROR(IF(d_ss_Bv!C21=0,".",((s_Ir*s_F*s_MLF_apple*(1-EXP(-s_RadSpec!BC21*s_t_b)))/(s_P*s_RadSpec!BC21))),".")</f>
        <v>2.6824597822007652</v>
      </c>
      <c r="AB21" s="72">
        <f>IFERROR(IF(d_ss_Bv!D21=0,".",((s_Ir*s_F*s_MLF_asparagus*(1-EXP(-s_RadSpec!BC21*s_t_b)))/(s_P*s_RadSpec!BC21))),".")</f>
        <v>2.6824597822007652</v>
      </c>
      <c r="AC21" s="72">
        <f>IFERROR(IF(d_ss_Bv!E21=0,".",((s_Ir*s_F*s_MLF_beet*(1-EXP(-s_RadSpec!BC21*s_t_b)))/(s_P*s_RadSpec!BC21))),".")</f>
        <v>2.6824597822007652</v>
      </c>
      <c r="AD21" s="72">
        <f>IFERROR(IF(d_ss_Bv!F21=0,".",((s_Ir*s_F*s_MLF_berries*(1-EXP(-s_RadSpec!BC21*s_t_b)))/(s_P*s_RadSpec!BC21))),".")</f>
        <v>2.6824597822007652</v>
      </c>
      <c r="AE21" s="72">
        <f>IFERROR(IF(d_ss_Bv!G21=0,".",((s_Ir*s_F*s_MLF_broccoli*(1-EXP(-s_RadSpec!BC21*s_t_b)))/(s_P*s_RadSpec!BC21))),".")</f>
        <v>2.6824597822007652</v>
      </c>
      <c r="AF21" s="72">
        <f>IFERROR(IF(d_ss_Bv!H21=0,".",((s_Ir*s_F*s_MLF_cabbage*(1-EXP(-s_RadSpec!BC21*s_t_b)))/(s_P*s_RadSpec!BC21))),".")</f>
        <v>2.6824597822007652</v>
      </c>
      <c r="AG21" s="72">
        <f>IFERROR(IF(d_ss_Bv!I21=0,".",((s_Ir*s_F*s_MLF_carrot*(1-EXP(-s_RadSpec!BC21*s_t_b)))/(s_P*s_RadSpec!BC21))),".")</f>
        <v>2.6824597822007652</v>
      </c>
      <c r="AH21" s="72">
        <f>IFERROR(IF(d_ss_Bv!J21=0,".",((s_Ir*s_F*s_MLF_citrus*(1-EXP(-s_RadSpec!BC21*s_t_b)))/(s_P*s_RadSpec!BC21))),".")</f>
        <v>2.6824597822007652</v>
      </c>
      <c r="AI21" s="72">
        <f>IFERROR(IF(d_ss_Bv!K21=0,".",((s_Ir*s_F*s_MLF_corn*(1-EXP(-s_RadSpec!BC21*s_t_b)))/(s_P*s_RadSpec!BC21))),".")</f>
        <v>2.6824597822007652</v>
      </c>
      <c r="AJ21" s="72">
        <f>IFERROR(IF(d_ss_Bv!L21=0,".",((s_Ir*s_F*s_MLF_cucumber*(1-EXP(-s_RadSpec!BC21*s_t_b)))/(s_P*s_RadSpec!BC21))),".")</f>
        <v>2.6824597822007652</v>
      </c>
      <c r="AK21" s="72">
        <f>IFERROR(IF(d_ss_Bv!M21=0,".",((s_Ir*s_F*s_MLF_lettuce*(1-EXP(-s_RadSpec!BC21*s_t_b)))/(s_P*s_RadSpec!BC21))),".")</f>
        <v>2.6824597822007652</v>
      </c>
      <c r="AL21" s="72">
        <f>IFERROR(IF(d_ss_Bv!N21=0,".",((s_Ir*s_F*s_MLF_lima_bean*(1-EXP(-s_RadSpec!BC21*s_t_b)))/(s_P*s_RadSpec!BC21))),".")</f>
        <v>2.6824597822007652</v>
      </c>
      <c r="AM21" s="72">
        <f>IFERROR(IF(d_ss_Bv!O21=0,".",((s_Ir*s_F*s_MLF_okra*(1-EXP(-s_RadSpec!BC21*s_t_b)))/(s_P*s_RadSpec!BC21))),".")</f>
        <v>2.6824597822007652</v>
      </c>
      <c r="AN21" s="72">
        <f>IFERROR(IF(d_ss_Bv!P21=0,".",((s_Ir*s_F*s_MLF_onion*(1-EXP(-s_RadSpec!BC21*s_t_b)))/(s_P*s_RadSpec!BC21))),".")</f>
        <v>2.6824597822007652</v>
      </c>
      <c r="AO21" s="72">
        <f>IFERROR(IF(d_ss_Bv!Q21=0,".",((s_Ir*s_F*s_MLF_peach*(1-EXP(-s_RadSpec!BC21*s_t_b)))/(s_P*s_RadSpec!BC21))),".")</f>
        <v>2.6824597822007652</v>
      </c>
      <c r="AP21" s="72">
        <f>IFERROR(IF(d_ss_Bv!R21=0,".",((s_Ir*s_F*s_MLF_pear*(1-EXP(-s_RadSpec!BC21*s_t_b)))/(s_P*s_RadSpec!BC21))),".")</f>
        <v>2.6824597822007652</v>
      </c>
      <c r="AQ21" s="72">
        <f>IFERROR(IF(d_ss_Bv!S21=0,".",((s_Ir*s_F*s_MLF_peas*(1-EXP(-s_RadSpec!BC21*s_t_b)))/(s_P*s_RadSpec!BC21))),".")</f>
        <v>2.6824597822007652</v>
      </c>
      <c r="AR21" s="72">
        <f>IFERROR(IF(d_ss_Bv!T21=0,".",((s_Ir*s_F*s_MLF_potato*(1-EXP(-s_RadSpec!BC21*s_t_b)))/(s_P*s_RadSpec!BC21))),".")</f>
        <v>2.6824597822007652</v>
      </c>
      <c r="AS21" s="72">
        <f>IFERROR(IF(d_ss_Bv!U21=0,".",((s_Ir*s_F*s_MLF_pumpkin*(1-EXP(-s_RadSpec!BC21*s_t_b)))/(s_P*s_RadSpec!BC21))),".")</f>
        <v>2.6824597822007652</v>
      </c>
      <c r="AT21" s="72">
        <f>IFERROR(IF(d_ss_Bv!V21=0,".",((s_Ir*s_F*s_MLF_snap_bean*(1-EXP(-s_RadSpec!BC21*s_t_b)))/(s_P*s_RadSpec!BC21))),".")</f>
        <v>2.6824597822007652</v>
      </c>
      <c r="AU21" s="72">
        <f>IFERROR(IF(d_ss_Bv!W21=0,".",((s_Ir*s_F*s_MLF_strawberry*(1-EXP(-s_RadSpec!BC21*s_t_b)))/(s_P*s_RadSpec!BC21))),".")</f>
        <v>2.6824597822007652</v>
      </c>
      <c r="AV21" s="72">
        <f>IFERROR(IF(d_ss_Bv!X21=0,".",((s_Ir*s_F*s_MLF_tomato*(1-EXP(-s_RadSpec!BC21*s_t_b)))/(s_P*s_RadSpec!BC21))),".")</f>
        <v>2.6824597822007652</v>
      </c>
      <c r="AW21" s="72">
        <f>IFERROR(IF(d_ss_Bv!Y21=0,".",((s_Ir*s_F*s_MLF_rice*(1-EXP(-s_RadSpec!BC21*s_t_b)))/(s_P*s_RadSpec!BC21))),".")</f>
        <v>2.6824597822007652</v>
      </c>
      <c r="AX21" s="72">
        <f>IFERROR(IF(d_ss_Bv!Z21=0,".",((s_Ir*s_F*s_MLF_cereal*(1-EXP(-s_RadSpec!BC21*s_t_b)))/(s_P*s_RadSpec!BC21))),".")</f>
        <v>2.6824597822007652</v>
      </c>
      <c r="AY21" s="72">
        <f>IFERROR(IF(d_ss_Bv!C21=0,".",((s_Ir*s_F*s_I_f*s_T*(1-EXP(-s_RadSpec!BD21*s_t_v)))/(s_Y_v*s_RadSpec!BD21))),".")</f>
        <v>9.0143481925428208</v>
      </c>
      <c r="AZ21" s="72">
        <f>IFERROR(IF(d_ss_Bv!D21=0,".",((s_Ir*s_F*s_I_f*s_T*(1-EXP(-s_RadSpec!BD21*s_t_v)))/(s_Y_v*s_RadSpec!BD21))),".")</f>
        <v>9.0143481925428208</v>
      </c>
      <c r="BA21" s="72">
        <f>IFERROR(IF(d_ss_Bv!E21=0,".",((s_Ir*s_F*s_I_f*s_T*(1-EXP(-s_RadSpec!BD21*s_t_v)))/(s_Y_v*s_RadSpec!BD21))),".")</f>
        <v>9.0143481925428208</v>
      </c>
      <c r="BB21" s="72">
        <f>IFERROR(IF(d_ss_Bv!F21=0,".",((s_Ir*s_F*s_I_f*s_T*(1-EXP(-s_RadSpec!BD21*s_t_v)))/(s_Y_v*s_RadSpec!BD21))),".")</f>
        <v>9.0143481925428208</v>
      </c>
      <c r="BC21" s="72">
        <f>IFERROR(IF(d_ss_Bv!G21=0,".",((s_Ir*s_F*s_I_f*s_T*(1-EXP(-s_RadSpec!BD21*s_t_v)))/(s_Y_v*s_RadSpec!BD21))),".")</f>
        <v>9.0143481925428208</v>
      </c>
      <c r="BD21" s="72">
        <f>IFERROR(IF(d_ss_Bv!H21=0,".",((s_Ir*s_F*s_I_f*s_T*(1-EXP(-s_RadSpec!BD21*s_t_v)))/(s_Y_v*s_RadSpec!BD21))),".")</f>
        <v>9.0143481925428208</v>
      </c>
      <c r="BE21" s="72">
        <f>IFERROR(IF(d_ss_Bv!I21=0,".",((s_Ir*s_F*s_I_f*s_T*(1-EXP(-s_RadSpec!BD21*s_t_v)))/(s_Y_v*s_RadSpec!BD21))),".")</f>
        <v>9.0143481925428208</v>
      </c>
      <c r="BF21" s="72">
        <f>IFERROR(IF(d_ss_Bv!J21=0,".",((s_Ir*s_F*s_I_f*s_T*(1-EXP(-s_RadSpec!BD21*s_t_v)))/(s_Y_v*s_RadSpec!BD21))),".")</f>
        <v>9.0143481925428208</v>
      </c>
      <c r="BG21" s="72">
        <f>IFERROR(IF(d_ss_Bv!K21=0,".",((s_Ir*s_F*s_I_f*s_T*(1-EXP(-s_RadSpec!BD21*s_t_v)))/(s_Y_v*s_RadSpec!BD21))),".")</f>
        <v>9.0143481925428208</v>
      </c>
      <c r="BH21" s="72">
        <f>IFERROR(IF(d_ss_Bv!L21=0,".",((s_Ir*s_F*s_I_f*s_T*(1-EXP(-s_RadSpec!BD21*s_t_v)))/(s_Y_v*s_RadSpec!BD21))),".")</f>
        <v>9.0143481925428208</v>
      </c>
      <c r="BI21" s="72">
        <f>IFERROR(IF(d_ss_Bv!M21=0,".",((s_Ir*s_F*s_I_f*s_T*(1-EXP(-s_RadSpec!BD21*s_t_v)))/(s_Y_v*s_RadSpec!BD21))),".")</f>
        <v>9.0143481925428208</v>
      </c>
      <c r="BJ21" s="72">
        <f>IFERROR(IF(d_ss_Bv!N21=0,".",((s_Ir*s_F*s_I_f*s_T*(1-EXP(-s_RadSpec!BD21*s_t_v)))/(s_Y_v*s_RadSpec!BD21))),".")</f>
        <v>9.0143481925428208</v>
      </c>
      <c r="BK21" s="72">
        <f>IFERROR(IF(d_ss_Bv!O21=0,".",((s_Ir*s_F*s_I_f*s_T*(1-EXP(-s_RadSpec!BD21*s_t_v)))/(s_Y_v*s_RadSpec!BD21))),".")</f>
        <v>9.0143481925428208</v>
      </c>
      <c r="BL21" s="72">
        <f>IFERROR(IF(d_ss_Bv!P21=0,".",((s_Ir*s_F*s_I_f*s_T*(1-EXP(-s_RadSpec!BD21*s_t_v)))/(s_Y_v*s_RadSpec!BD21))),".")</f>
        <v>9.0143481925428208</v>
      </c>
      <c r="BM21" s="72">
        <f>IFERROR(IF(d_ss_Bv!Q21=0,".",((s_Ir*s_F*s_I_f*s_T*(1-EXP(-s_RadSpec!BD21*s_t_v)))/(s_Y_v*s_RadSpec!BD21))),".")</f>
        <v>9.0143481925428208</v>
      </c>
      <c r="BN21" s="72">
        <f>IFERROR(IF(d_ss_Bv!R21=0,".",((s_Ir*s_F*s_I_f*s_T*(1-EXP(-s_RadSpec!BD21*s_t_v)))/(s_Y_v*s_RadSpec!BD21))),".")</f>
        <v>9.0143481925428208</v>
      </c>
      <c r="BO21" s="72">
        <f>IFERROR(IF(d_ss_Bv!S21=0,".",((s_Ir*s_F*s_I_f*s_T*(1-EXP(-s_RadSpec!BD21*s_t_v)))/(s_Y_v*s_RadSpec!BD21))),".")</f>
        <v>9.0143481925428208</v>
      </c>
      <c r="BP21" s="72">
        <f>IFERROR(IF(d_ss_Bv!T21=0,".",((s_Ir*s_F*s_I_f*s_T*(1-EXP(-s_RadSpec!BD21*s_t_v)))/(s_Y_v*s_RadSpec!BD21))),".")</f>
        <v>9.0143481925428208</v>
      </c>
      <c r="BQ21" s="72">
        <f>IFERROR(IF(d_ss_Bv!U21=0,".",((s_Ir*s_F*s_I_f*s_T*(1-EXP(-s_RadSpec!BD21*s_t_v)))/(s_Y_v*s_RadSpec!BD21))),".")</f>
        <v>9.0143481925428208</v>
      </c>
      <c r="BR21" s="72">
        <f>IFERROR(IF(d_ss_Bv!V21=0,".",((s_Ir*s_F*s_I_f*s_T*(1-EXP(-s_RadSpec!BD21*s_t_v)))/(s_Y_v*s_RadSpec!BD21))),".")</f>
        <v>9.0143481925428208</v>
      </c>
      <c r="BS21" s="72">
        <f>IFERROR(IF(d_ss_Bv!W21=0,".",((s_Ir*s_F*s_I_f*s_T*(1-EXP(-s_RadSpec!BD21*s_t_v)))/(s_Y_v*s_RadSpec!BD21))),".")</f>
        <v>9.0143481925428208</v>
      </c>
      <c r="BT21" s="72">
        <f>IFERROR(IF(d_ss_Bv!X21=0,".",((s_Ir*s_F*s_I_f*s_T*(1-EXP(-s_RadSpec!BD21*s_t_v)))/(s_Y_v*s_RadSpec!BD21))),".")</f>
        <v>9.0143481925428208</v>
      </c>
      <c r="BU21" s="72">
        <f>IFERROR(IF(d_ss_Bv!Y21=0,".",((s_Ir*s_F*s_I_f*s_T*(1-EXP(-s_RadSpec!BD21*s_t_v)))/(s_Y_v*s_RadSpec!BD21))),".")</f>
        <v>9.0143481925428208</v>
      </c>
      <c r="BV21" s="72">
        <f>IFERROR(IF(d_ss_Bv!Z21=0,".",((s_Ir*s_F*s_I_f*s_T*(1-EXP(-s_RadSpec!BD21*s_t_v)))/(s_Y_v*s_RadSpec!BD21))),".")</f>
        <v>9.0143481925428208</v>
      </c>
    </row>
    <row r="22" spans="1:74" x14ac:dyDescent="0.25">
      <c r="A22" s="31" t="s">
        <v>20</v>
      </c>
      <c r="B22" s="3" t="s">
        <v>1059</v>
      </c>
      <c r="C22" s="72">
        <f>IFERROR(IF(d_ss_Bv!C22=0,".",((s_Ir*s_F*d_ss_Bv!C22*(1-EXP(-s_RadSpec!$BC22*s_t_b)))/(s_P*s_RadSpec!$BC22))),".")</f>
        <v>1.9870072460746409</v>
      </c>
      <c r="D22" s="72">
        <f>IFERROR(IF(d_ss_Bv!D22=0,".",((s_Ir*s_F*d_ss_Bv!D22*(1-EXP(-s_RadSpec!BC22*s_t_b)))/(s_P*s_RadSpec!BC22))),".")</f>
        <v>18.081765939279229</v>
      </c>
      <c r="E22" s="72">
        <f>IFERROR(IF(d_ss_Bv!E22=0,".",((s_Ir*s_F*d_ss_Bv!E22*(1-EXP(-s_RadSpec!BC22*s_t_b)))/(s_P*s_RadSpec!BC22))),".")</f>
        <v>13.909050722522487</v>
      </c>
      <c r="F22" s="72">
        <f>IFERROR(IF(d_ss_Bv!F22=0,".",((s_Ir*s_F*d_ss_Bv!F22*(1-EXP(-s_RadSpec!BC22*s_t_b)))/(s_P*s_RadSpec!BC22))),".")</f>
        <v>1.9870072460746409</v>
      </c>
      <c r="G22" s="72">
        <f>IFERROR(IF(d_ss_Bv!G22=0,".",((s_Ir*s_F*d_ss_Bv!G22*(1-EXP(-s_RadSpec!BC22*s_t_b)))/(s_P*s_RadSpec!BC22))),".")</f>
        <v>3.3779123183268895</v>
      </c>
      <c r="H22" s="72">
        <f>IFERROR(IF(d_ss_Bv!H22=0,".",((s_Ir*s_F*d_ss_Bv!H22*(1-EXP(-s_RadSpec!BC22*s_t_b)))/(s_P*s_RadSpec!BC22))),".")</f>
        <v>18.081765939279229</v>
      </c>
      <c r="I22" s="72">
        <f>IFERROR(IF(d_ss_Bv!I22=0,".",((s_Ir*s_F*d_ss_Bv!I22*(1-EXP(-s_RadSpec!BC22*s_t_b)))/(s_P*s_RadSpec!BC22))),".")</f>
        <v>13.909050722522487</v>
      </c>
      <c r="J22" s="72">
        <f>IFERROR(IF(d_ss_Bv!J22=0,".",((s_Ir*s_F*d_ss_Bv!J22*(1-EXP(-s_RadSpec!BC22*s_t_b)))/(s_P*s_RadSpec!BC22))),".")</f>
        <v>1.9870072460746409</v>
      </c>
      <c r="K22" s="72">
        <f>IFERROR(IF(d_ss_Bv!K22=0,".",((s_Ir*s_F*d_ss_Bv!K22*(1-EXP(-s_RadSpec!BC22*s_t_b)))/(s_P*s_RadSpec!BC22))),".")</f>
        <v>0.47688173905791376</v>
      </c>
      <c r="L22" s="72">
        <f>IFERROR(IF(d_ss_Bv!L22=0,".",((s_Ir*s_F*d_ss_Bv!L22*(1-EXP(-s_RadSpec!BC22*s_t_b)))/(s_P*s_RadSpec!BC22))),".")</f>
        <v>3.3779123183268895</v>
      </c>
      <c r="M22" s="72">
        <f>IFERROR(IF(d_ss_Bv!M22=0,".",((s_Ir*s_F*d_ss_Bv!M22*(1-EXP(-s_RadSpec!BC22*s_t_b)))/(s_P*s_RadSpec!BC22))),".")</f>
        <v>18.081765939279229</v>
      </c>
      <c r="N22" s="72">
        <f>IFERROR(IF(d_ss_Bv!N22=0,".",((s_Ir*s_F*d_ss_Bv!N22*(1-EXP(-s_RadSpec!BC22*s_t_b)))/(s_P*s_RadSpec!BC22))),".")</f>
        <v>2.7818101445044974</v>
      </c>
      <c r="O22" s="72">
        <f>IFERROR(IF(d_ss_Bv!O22=0,".",((s_Ir*s_F*d_ss_Bv!O22*(1-EXP(-s_RadSpec!BC22*s_t_b)))/(s_P*s_RadSpec!BC22))),".")</f>
        <v>3.3779123183268895</v>
      </c>
      <c r="P22" s="72">
        <f>IFERROR(IF(d_ss_Bv!P22=0,".",((s_Ir*s_F*d_ss_Bv!P22*(1-EXP(-s_RadSpec!BC22*s_t_b)))/(s_P*s_RadSpec!BC22))),".")</f>
        <v>3.3779123183268895</v>
      </c>
      <c r="Q22" s="72">
        <f>IFERROR(IF(d_ss_Bv!Q22=0,".",((s_Ir*s_F*d_ss_Bv!Q22*(1-EXP(-s_RadSpec!BC22*s_t_b)))/(s_P*s_RadSpec!BC22))),".")</f>
        <v>1.9870072460746409</v>
      </c>
      <c r="R22" s="72">
        <f>IFERROR(IF(d_ss_Bv!R22=0,".",((s_Ir*s_F*d_ss_Bv!R22*(1-EXP(-s_RadSpec!BC22*s_t_b)))/(s_P*s_RadSpec!BC22))),".")</f>
        <v>1.9870072460746409</v>
      </c>
      <c r="S22" s="72">
        <f>IFERROR(IF(d_ss_Bv!S22=0,".",((s_Ir*s_F*d_ss_Bv!S22*(1-EXP(-s_RadSpec!BC22*s_t_b)))/(s_P*s_RadSpec!BC22))),".")</f>
        <v>2.7818101445044974</v>
      </c>
      <c r="T22" s="72">
        <f>IFERROR(IF(d_ss_Bv!T22=0,".",((s_Ir*s_F*d_ss_Bv!T22*(1-EXP(-s_RadSpec!BC22*s_t_b)))/(s_P*s_RadSpec!BC22))),".")</f>
        <v>2.1857079706821048</v>
      </c>
      <c r="U22" s="72">
        <f>IFERROR(IF(d_ss_Bv!U22=0,".",((s_Ir*s_F*d_ss_Bv!U22*(1-EXP(-s_RadSpec!BC22*s_t_b)))/(s_P*s_RadSpec!BC22))),".")</f>
        <v>3.3779123183268895</v>
      </c>
      <c r="V22" s="72">
        <f>IFERROR(IF(d_ss_Bv!V22=0,".",((s_Ir*s_F*d_ss_Bv!V22*(1-EXP(-s_RadSpec!BC22*s_t_b)))/(s_P*s_RadSpec!BC22))),".")</f>
        <v>2.7818101445044974</v>
      </c>
      <c r="W22" s="72">
        <f>IFERROR(IF(d_ss_Bv!W22=0,".",((s_Ir*s_F*d_ss_Bv!W22*(1-EXP(-s_RadSpec!BC22*s_t_b)))/(s_P*s_RadSpec!BC22))),".")</f>
        <v>1.9870072460746409</v>
      </c>
      <c r="X22" s="72">
        <f>IFERROR(IF(d_ss_Bv!X22=0,".",((s_Ir*s_F*d_ss_Bv!X22*(1-EXP(-s_RadSpec!BC22*s_t_b)))/(s_P*s_RadSpec!BC22))),".")</f>
        <v>3.3779123183268895</v>
      </c>
      <c r="Y22" s="72">
        <f>IFERROR(IF(d_ss_Bv!Y22=0,".",((s_Ir*s_F*d_ss_Bv!Y22*(1-EXP(-s_RadSpec!BC22*s_t_b)))/(s_P*s_RadSpec!BC22))),".")</f>
        <v>0.17286963040849374</v>
      </c>
      <c r="Z22" s="72">
        <f>IFERROR(IF(d_ss_Bv!Z22=0,".",((s_Ir*s_F*d_ss_Bv!Z22*(1-EXP(-s_RadSpec!BC22*s_t_b)))/(s_P*s_RadSpec!BC22))),".")</f>
        <v>3.3779123183268895</v>
      </c>
      <c r="AA22" s="72">
        <f>IFERROR(IF(d_ss_Bv!C22=0,".",((s_Ir*s_F*s_MLF_apple*(1-EXP(-s_RadSpec!BC22*s_t_b)))/(s_P*s_RadSpec!BC22))),".")</f>
        <v>2.6824597822007652</v>
      </c>
      <c r="AB22" s="72">
        <f>IFERROR(IF(d_ss_Bv!D22=0,".",((s_Ir*s_F*s_MLF_asparagus*(1-EXP(-s_RadSpec!BC22*s_t_b)))/(s_P*s_RadSpec!BC22))),".")</f>
        <v>2.6824597822007652</v>
      </c>
      <c r="AC22" s="72">
        <f>IFERROR(IF(d_ss_Bv!E22=0,".",((s_Ir*s_F*s_MLF_beet*(1-EXP(-s_RadSpec!BC22*s_t_b)))/(s_P*s_RadSpec!BC22))),".")</f>
        <v>2.6824597822007652</v>
      </c>
      <c r="AD22" s="72">
        <f>IFERROR(IF(d_ss_Bv!F22=0,".",((s_Ir*s_F*s_MLF_berries*(1-EXP(-s_RadSpec!BC22*s_t_b)))/(s_P*s_RadSpec!BC22))),".")</f>
        <v>2.6824597822007652</v>
      </c>
      <c r="AE22" s="72">
        <f>IFERROR(IF(d_ss_Bv!G22=0,".",((s_Ir*s_F*s_MLF_broccoli*(1-EXP(-s_RadSpec!BC22*s_t_b)))/(s_P*s_RadSpec!BC22))),".")</f>
        <v>2.6824597822007652</v>
      </c>
      <c r="AF22" s="72">
        <f>IFERROR(IF(d_ss_Bv!H22=0,".",((s_Ir*s_F*s_MLF_cabbage*(1-EXP(-s_RadSpec!BC22*s_t_b)))/(s_P*s_RadSpec!BC22))),".")</f>
        <v>2.6824597822007652</v>
      </c>
      <c r="AG22" s="72">
        <f>IFERROR(IF(d_ss_Bv!I22=0,".",((s_Ir*s_F*s_MLF_carrot*(1-EXP(-s_RadSpec!BC22*s_t_b)))/(s_P*s_RadSpec!BC22))),".")</f>
        <v>2.6824597822007652</v>
      </c>
      <c r="AH22" s="72">
        <f>IFERROR(IF(d_ss_Bv!J22=0,".",((s_Ir*s_F*s_MLF_citrus*(1-EXP(-s_RadSpec!BC22*s_t_b)))/(s_P*s_RadSpec!BC22))),".")</f>
        <v>2.6824597822007652</v>
      </c>
      <c r="AI22" s="72">
        <f>IFERROR(IF(d_ss_Bv!K22=0,".",((s_Ir*s_F*s_MLF_corn*(1-EXP(-s_RadSpec!BC22*s_t_b)))/(s_P*s_RadSpec!BC22))),".")</f>
        <v>2.6824597822007652</v>
      </c>
      <c r="AJ22" s="72">
        <f>IFERROR(IF(d_ss_Bv!L22=0,".",((s_Ir*s_F*s_MLF_cucumber*(1-EXP(-s_RadSpec!BC22*s_t_b)))/(s_P*s_RadSpec!BC22))),".")</f>
        <v>2.6824597822007652</v>
      </c>
      <c r="AK22" s="72">
        <f>IFERROR(IF(d_ss_Bv!M22=0,".",((s_Ir*s_F*s_MLF_lettuce*(1-EXP(-s_RadSpec!BC22*s_t_b)))/(s_P*s_RadSpec!BC22))),".")</f>
        <v>2.6824597822007652</v>
      </c>
      <c r="AL22" s="72">
        <f>IFERROR(IF(d_ss_Bv!N22=0,".",((s_Ir*s_F*s_MLF_lima_bean*(1-EXP(-s_RadSpec!BC22*s_t_b)))/(s_P*s_RadSpec!BC22))),".")</f>
        <v>2.6824597822007652</v>
      </c>
      <c r="AM22" s="72">
        <f>IFERROR(IF(d_ss_Bv!O22=0,".",((s_Ir*s_F*s_MLF_okra*(1-EXP(-s_RadSpec!BC22*s_t_b)))/(s_P*s_RadSpec!BC22))),".")</f>
        <v>2.6824597822007652</v>
      </c>
      <c r="AN22" s="72">
        <f>IFERROR(IF(d_ss_Bv!P22=0,".",((s_Ir*s_F*s_MLF_onion*(1-EXP(-s_RadSpec!BC22*s_t_b)))/(s_P*s_RadSpec!BC22))),".")</f>
        <v>2.6824597822007652</v>
      </c>
      <c r="AO22" s="72">
        <f>IFERROR(IF(d_ss_Bv!Q22=0,".",((s_Ir*s_F*s_MLF_peach*(1-EXP(-s_RadSpec!BC22*s_t_b)))/(s_P*s_RadSpec!BC22))),".")</f>
        <v>2.6824597822007652</v>
      </c>
      <c r="AP22" s="72">
        <f>IFERROR(IF(d_ss_Bv!R22=0,".",((s_Ir*s_F*s_MLF_pear*(1-EXP(-s_RadSpec!BC22*s_t_b)))/(s_P*s_RadSpec!BC22))),".")</f>
        <v>2.6824597822007652</v>
      </c>
      <c r="AQ22" s="72">
        <f>IFERROR(IF(d_ss_Bv!S22=0,".",((s_Ir*s_F*s_MLF_peas*(1-EXP(-s_RadSpec!BC22*s_t_b)))/(s_P*s_RadSpec!BC22))),".")</f>
        <v>2.6824597822007652</v>
      </c>
      <c r="AR22" s="72">
        <f>IFERROR(IF(d_ss_Bv!T22=0,".",((s_Ir*s_F*s_MLF_potato*(1-EXP(-s_RadSpec!BC22*s_t_b)))/(s_P*s_RadSpec!BC22))),".")</f>
        <v>2.6824597822007652</v>
      </c>
      <c r="AS22" s="72">
        <f>IFERROR(IF(d_ss_Bv!U22=0,".",((s_Ir*s_F*s_MLF_pumpkin*(1-EXP(-s_RadSpec!BC22*s_t_b)))/(s_P*s_RadSpec!BC22))),".")</f>
        <v>2.6824597822007652</v>
      </c>
      <c r="AT22" s="72">
        <f>IFERROR(IF(d_ss_Bv!V22=0,".",((s_Ir*s_F*s_MLF_snap_bean*(1-EXP(-s_RadSpec!BC22*s_t_b)))/(s_P*s_RadSpec!BC22))),".")</f>
        <v>2.6824597822007652</v>
      </c>
      <c r="AU22" s="72">
        <f>IFERROR(IF(d_ss_Bv!W22=0,".",((s_Ir*s_F*s_MLF_strawberry*(1-EXP(-s_RadSpec!BC22*s_t_b)))/(s_P*s_RadSpec!BC22))),".")</f>
        <v>2.6824597822007652</v>
      </c>
      <c r="AV22" s="72">
        <f>IFERROR(IF(d_ss_Bv!X22=0,".",((s_Ir*s_F*s_MLF_tomato*(1-EXP(-s_RadSpec!BC22*s_t_b)))/(s_P*s_RadSpec!BC22))),".")</f>
        <v>2.6824597822007652</v>
      </c>
      <c r="AW22" s="72">
        <f>IFERROR(IF(d_ss_Bv!Y22=0,".",((s_Ir*s_F*s_MLF_rice*(1-EXP(-s_RadSpec!BC22*s_t_b)))/(s_P*s_RadSpec!BC22))),".")</f>
        <v>2.6824597822007652</v>
      </c>
      <c r="AX22" s="72">
        <f>IFERROR(IF(d_ss_Bv!Z22=0,".",((s_Ir*s_F*s_MLF_cereal*(1-EXP(-s_RadSpec!BC22*s_t_b)))/(s_P*s_RadSpec!BC22))),".")</f>
        <v>2.6824597822007652</v>
      </c>
      <c r="AY22" s="72">
        <f>IFERROR(IF(d_ss_Bv!C22=0,".",((s_Ir*s_F*s_I_f*s_T*(1-EXP(-s_RadSpec!BD22*s_t_v)))/(s_Y_v*s_RadSpec!BD22))),".")</f>
        <v>9.0143481925428208</v>
      </c>
      <c r="AZ22" s="72">
        <f>IFERROR(IF(d_ss_Bv!D22=0,".",((s_Ir*s_F*s_I_f*s_T*(1-EXP(-s_RadSpec!BD22*s_t_v)))/(s_Y_v*s_RadSpec!BD22))),".")</f>
        <v>9.0143481925428208</v>
      </c>
      <c r="BA22" s="72">
        <f>IFERROR(IF(d_ss_Bv!E22=0,".",((s_Ir*s_F*s_I_f*s_T*(1-EXP(-s_RadSpec!BD22*s_t_v)))/(s_Y_v*s_RadSpec!BD22))),".")</f>
        <v>9.0143481925428208</v>
      </c>
      <c r="BB22" s="72">
        <f>IFERROR(IF(d_ss_Bv!F22=0,".",((s_Ir*s_F*s_I_f*s_T*(1-EXP(-s_RadSpec!BD22*s_t_v)))/(s_Y_v*s_RadSpec!BD22))),".")</f>
        <v>9.0143481925428208</v>
      </c>
      <c r="BC22" s="72">
        <f>IFERROR(IF(d_ss_Bv!G22=0,".",((s_Ir*s_F*s_I_f*s_T*(1-EXP(-s_RadSpec!BD22*s_t_v)))/(s_Y_v*s_RadSpec!BD22))),".")</f>
        <v>9.0143481925428208</v>
      </c>
      <c r="BD22" s="72">
        <f>IFERROR(IF(d_ss_Bv!H22=0,".",((s_Ir*s_F*s_I_f*s_T*(1-EXP(-s_RadSpec!BD22*s_t_v)))/(s_Y_v*s_RadSpec!BD22))),".")</f>
        <v>9.0143481925428208</v>
      </c>
      <c r="BE22" s="72">
        <f>IFERROR(IF(d_ss_Bv!I22=0,".",((s_Ir*s_F*s_I_f*s_T*(1-EXP(-s_RadSpec!BD22*s_t_v)))/(s_Y_v*s_RadSpec!BD22))),".")</f>
        <v>9.0143481925428208</v>
      </c>
      <c r="BF22" s="72">
        <f>IFERROR(IF(d_ss_Bv!J22=0,".",((s_Ir*s_F*s_I_f*s_T*(1-EXP(-s_RadSpec!BD22*s_t_v)))/(s_Y_v*s_RadSpec!BD22))),".")</f>
        <v>9.0143481925428208</v>
      </c>
      <c r="BG22" s="72">
        <f>IFERROR(IF(d_ss_Bv!K22=0,".",((s_Ir*s_F*s_I_f*s_T*(1-EXP(-s_RadSpec!BD22*s_t_v)))/(s_Y_v*s_RadSpec!BD22))),".")</f>
        <v>9.0143481925428208</v>
      </c>
      <c r="BH22" s="72">
        <f>IFERROR(IF(d_ss_Bv!L22=0,".",((s_Ir*s_F*s_I_f*s_T*(1-EXP(-s_RadSpec!BD22*s_t_v)))/(s_Y_v*s_RadSpec!BD22))),".")</f>
        <v>9.0143481925428208</v>
      </c>
      <c r="BI22" s="72">
        <f>IFERROR(IF(d_ss_Bv!M22=0,".",((s_Ir*s_F*s_I_f*s_T*(1-EXP(-s_RadSpec!BD22*s_t_v)))/(s_Y_v*s_RadSpec!BD22))),".")</f>
        <v>9.0143481925428208</v>
      </c>
      <c r="BJ22" s="72">
        <f>IFERROR(IF(d_ss_Bv!N22=0,".",((s_Ir*s_F*s_I_f*s_T*(1-EXP(-s_RadSpec!BD22*s_t_v)))/(s_Y_v*s_RadSpec!BD22))),".")</f>
        <v>9.0143481925428208</v>
      </c>
      <c r="BK22" s="72">
        <f>IFERROR(IF(d_ss_Bv!O22=0,".",((s_Ir*s_F*s_I_f*s_T*(1-EXP(-s_RadSpec!BD22*s_t_v)))/(s_Y_v*s_RadSpec!BD22))),".")</f>
        <v>9.0143481925428208</v>
      </c>
      <c r="BL22" s="72">
        <f>IFERROR(IF(d_ss_Bv!P22=0,".",((s_Ir*s_F*s_I_f*s_T*(1-EXP(-s_RadSpec!BD22*s_t_v)))/(s_Y_v*s_RadSpec!BD22))),".")</f>
        <v>9.0143481925428208</v>
      </c>
      <c r="BM22" s="72">
        <f>IFERROR(IF(d_ss_Bv!Q22=0,".",((s_Ir*s_F*s_I_f*s_T*(1-EXP(-s_RadSpec!BD22*s_t_v)))/(s_Y_v*s_RadSpec!BD22))),".")</f>
        <v>9.0143481925428208</v>
      </c>
      <c r="BN22" s="72">
        <f>IFERROR(IF(d_ss_Bv!R22=0,".",((s_Ir*s_F*s_I_f*s_T*(1-EXP(-s_RadSpec!BD22*s_t_v)))/(s_Y_v*s_RadSpec!BD22))),".")</f>
        <v>9.0143481925428208</v>
      </c>
      <c r="BO22" s="72">
        <f>IFERROR(IF(d_ss_Bv!S22=0,".",((s_Ir*s_F*s_I_f*s_T*(1-EXP(-s_RadSpec!BD22*s_t_v)))/(s_Y_v*s_RadSpec!BD22))),".")</f>
        <v>9.0143481925428208</v>
      </c>
      <c r="BP22" s="72">
        <f>IFERROR(IF(d_ss_Bv!T22=0,".",((s_Ir*s_F*s_I_f*s_T*(1-EXP(-s_RadSpec!BD22*s_t_v)))/(s_Y_v*s_RadSpec!BD22))),".")</f>
        <v>9.0143481925428208</v>
      </c>
      <c r="BQ22" s="72">
        <f>IFERROR(IF(d_ss_Bv!U22=0,".",((s_Ir*s_F*s_I_f*s_T*(1-EXP(-s_RadSpec!BD22*s_t_v)))/(s_Y_v*s_RadSpec!BD22))),".")</f>
        <v>9.0143481925428208</v>
      </c>
      <c r="BR22" s="72">
        <f>IFERROR(IF(d_ss_Bv!V22=0,".",((s_Ir*s_F*s_I_f*s_T*(1-EXP(-s_RadSpec!BD22*s_t_v)))/(s_Y_v*s_RadSpec!BD22))),".")</f>
        <v>9.0143481925428208</v>
      </c>
      <c r="BS22" s="72">
        <f>IFERROR(IF(d_ss_Bv!W22=0,".",((s_Ir*s_F*s_I_f*s_T*(1-EXP(-s_RadSpec!BD22*s_t_v)))/(s_Y_v*s_RadSpec!BD22))),".")</f>
        <v>9.0143481925428208</v>
      </c>
      <c r="BT22" s="72">
        <f>IFERROR(IF(d_ss_Bv!X22=0,".",((s_Ir*s_F*s_I_f*s_T*(1-EXP(-s_RadSpec!BD22*s_t_v)))/(s_Y_v*s_RadSpec!BD22))),".")</f>
        <v>9.0143481925428208</v>
      </c>
      <c r="BU22" s="72">
        <f>IFERROR(IF(d_ss_Bv!Y22=0,".",((s_Ir*s_F*s_I_f*s_T*(1-EXP(-s_RadSpec!BD22*s_t_v)))/(s_Y_v*s_RadSpec!BD22))),".")</f>
        <v>9.0143481925428208</v>
      </c>
      <c r="BV22" s="72">
        <f>IFERROR(IF(d_ss_Bv!Z22=0,".",((s_Ir*s_F*s_I_f*s_T*(1-EXP(-s_RadSpec!BD22*s_t_v)))/(s_Y_v*s_RadSpec!BD22))),".")</f>
        <v>9.0143481925428208</v>
      </c>
    </row>
    <row r="23" spans="1:74" x14ac:dyDescent="0.25">
      <c r="A23" s="32" t="s">
        <v>21</v>
      </c>
      <c r="B23" s="3" t="s">
        <v>336</v>
      </c>
      <c r="C23" s="72">
        <f>IFERROR(IF(d_ss_Bv!C23=0,".",((s_Ir*s_F*d_ss_Bv!C23*(1-EXP(-s_RadSpec!$BC23*s_t_b)))/(s_P*s_RadSpec!$BC23))),".")</f>
        <v>1.9870072460746409</v>
      </c>
      <c r="D23" s="72">
        <f>IFERROR(IF(d_ss_Bv!D23=0,".",((s_Ir*s_F*d_ss_Bv!D23*(1-EXP(-s_RadSpec!BC23*s_t_b)))/(s_P*s_RadSpec!BC23))),".")</f>
        <v>18.081765939279229</v>
      </c>
      <c r="E23" s="72">
        <f>IFERROR(IF(d_ss_Bv!E23=0,".",((s_Ir*s_F*d_ss_Bv!E23*(1-EXP(-s_RadSpec!BC23*s_t_b)))/(s_P*s_RadSpec!BC23))),".")</f>
        <v>13.909050722522487</v>
      </c>
      <c r="F23" s="72">
        <f>IFERROR(IF(d_ss_Bv!F23=0,".",((s_Ir*s_F*d_ss_Bv!F23*(1-EXP(-s_RadSpec!BC23*s_t_b)))/(s_P*s_RadSpec!BC23))),".")</f>
        <v>1.9870072460746409</v>
      </c>
      <c r="G23" s="72">
        <f>IFERROR(IF(d_ss_Bv!G23=0,".",((s_Ir*s_F*d_ss_Bv!G23*(1-EXP(-s_RadSpec!BC23*s_t_b)))/(s_P*s_RadSpec!BC23))),".")</f>
        <v>3.3779123183268895</v>
      </c>
      <c r="H23" s="72">
        <f>IFERROR(IF(d_ss_Bv!H23=0,".",((s_Ir*s_F*d_ss_Bv!H23*(1-EXP(-s_RadSpec!BC23*s_t_b)))/(s_P*s_RadSpec!BC23))),".")</f>
        <v>18.081765939279229</v>
      </c>
      <c r="I23" s="72">
        <f>IFERROR(IF(d_ss_Bv!I23=0,".",((s_Ir*s_F*d_ss_Bv!I23*(1-EXP(-s_RadSpec!BC23*s_t_b)))/(s_P*s_RadSpec!BC23))),".")</f>
        <v>13.909050722522487</v>
      </c>
      <c r="J23" s="72">
        <f>IFERROR(IF(d_ss_Bv!J23=0,".",((s_Ir*s_F*d_ss_Bv!J23*(1-EXP(-s_RadSpec!BC23*s_t_b)))/(s_P*s_RadSpec!BC23))),".")</f>
        <v>1.9870072460746409</v>
      </c>
      <c r="K23" s="72">
        <f>IFERROR(IF(d_ss_Bv!K23=0,".",((s_Ir*s_F*d_ss_Bv!K23*(1-EXP(-s_RadSpec!BC23*s_t_b)))/(s_P*s_RadSpec!BC23))),".")</f>
        <v>0.47688173905791376</v>
      </c>
      <c r="L23" s="72">
        <f>IFERROR(IF(d_ss_Bv!L23=0,".",((s_Ir*s_F*d_ss_Bv!L23*(1-EXP(-s_RadSpec!BC23*s_t_b)))/(s_P*s_RadSpec!BC23))),".")</f>
        <v>3.3779123183268895</v>
      </c>
      <c r="M23" s="72">
        <f>IFERROR(IF(d_ss_Bv!M23=0,".",((s_Ir*s_F*d_ss_Bv!M23*(1-EXP(-s_RadSpec!BC23*s_t_b)))/(s_P*s_RadSpec!BC23))),".")</f>
        <v>18.081765939279229</v>
      </c>
      <c r="N23" s="72">
        <f>IFERROR(IF(d_ss_Bv!N23=0,".",((s_Ir*s_F*d_ss_Bv!N23*(1-EXP(-s_RadSpec!BC23*s_t_b)))/(s_P*s_RadSpec!BC23))),".")</f>
        <v>2.7818101445044974</v>
      </c>
      <c r="O23" s="72">
        <f>IFERROR(IF(d_ss_Bv!O23=0,".",((s_Ir*s_F*d_ss_Bv!O23*(1-EXP(-s_RadSpec!BC23*s_t_b)))/(s_P*s_RadSpec!BC23))),".")</f>
        <v>3.3779123183268895</v>
      </c>
      <c r="P23" s="72">
        <f>IFERROR(IF(d_ss_Bv!P23=0,".",((s_Ir*s_F*d_ss_Bv!P23*(1-EXP(-s_RadSpec!BC23*s_t_b)))/(s_P*s_RadSpec!BC23))),".")</f>
        <v>3.3779123183268895</v>
      </c>
      <c r="Q23" s="72">
        <f>IFERROR(IF(d_ss_Bv!Q23=0,".",((s_Ir*s_F*d_ss_Bv!Q23*(1-EXP(-s_RadSpec!BC23*s_t_b)))/(s_P*s_RadSpec!BC23))),".")</f>
        <v>1.9870072460746409</v>
      </c>
      <c r="R23" s="72">
        <f>IFERROR(IF(d_ss_Bv!R23=0,".",((s_Ir*s_F*d_ss_Bv!R23*(1-EXP(-s_RadSpec!BC23*s_t_b)))/(s_P*s_RadSpec!BC23))),".")</f>
        <v>1.9870072460746409</v>
      </c>
      <c r="S23" s="72">
        <f>IFERROR(IF(d_ss_Bv!S23=0,".",((s_Ir*s_F*d_ss_Bv!S23*(1-EXP(-s_RadSpec!BC23*s_t_b)))/(s_P*s_RadSpec!BC23))),".")</f>
        <v>2.7818101445044974</v>
      </c>
      <c r="T23" s="72">
        <f>IFERROR(IF(d_ss_Bv!T23=0,".",((s_Ir*s_F*d_ss_Bv!T23*(1-EXP(-s_RadSpec!BC23*s_t_b)))/(s_P*s_RadSpec!BC23))),".")</f>
        <v>2.1857079706821048</v>
      </c>
      <c r="U23" s="72">
        <f>IFERROR(IF(d_ss_Bv!U23=0,".",((s_Ir*s_F*d_ss_Bv!U23*(1-EXP(-s_RadSpec!BC23*s_t_b)))/(s_P*s_RadSpec!BC23))),".")</f>
        <v>3.3779123183268895</v>
      </c>
      <c r="V23" s="72">
        <f>IFERROR(IF(d_ss_Bv!V23=0,".",((s_Ir*s_F*d_ss_Bv!V23*(1-EXP(-s_RadSpec!BC23*s_t_b)))/(s_P*s_RadSpec!BC23))),".")</f>
        <v>2.7818101445044974</v>
      </c>
      <c r="W23" s="72">
        <f>IFERROR(IF(d_ss_Bv!W23=0,".",((s_Ir*s_F*d_ss_Bv!W23*(1-EXP(-s_RadSpec!BC23*s_t_b)))/(s_P*s_RadSpec!BC23))),".")</f>
        <v>1.9870072460746409</v>
      </c>
      <c r="X23" s="72">
        <f>IFERROR(IF(d_ss_Bv!X23=0,".",((s_Ir*s_F*d_ss_Bv!X23*(1-EXP(-s_RadSpec!BC23*s_t_b)))/(s_P*s_RadSpec!BC23))),".")</f>
        <v>3.3779123183268895</v>
      </c>
      <c r="Y23" s="72">
        <f>IFERROR(IF(d_ss_Bv!Y23=0,".",((s_Ir*s_F*d_ss_Bv!Y23*(1-EXP(-s_RadSpec!BC23*s_t_b)))/(s_P*s_RadSpec!BC23))),".")</f>
        <v>0.17286963040849374</v>
      </c>
      <c r="Z23" s="72">
        <f>IFERROR(IF(d_ss_Bv!Z23=0,".",((s_Ir*s_F*d_ss_Bv!Z23*(1-EXP(-s_RadSpec!BC23*s_t_b)))/(s_P*s_RadSpec!BC23))),".")</f>
        <v>3.3779123183268895</v>
      </c>
      <c r="AA23" s="72">
        <f>IFERROR(IF(d_ss_Bv!C23=0,".",((s_Ir*s_F*s_MLF_apple*(1-EXP(-s_RadSpec!BC23*s_t_b)))/(s_P*s_RadSpec!BC23))),".")</f>
        <v>2.6824597822007652</v>
      </c>
      <c r="AB23" s="72">
        <f>IFERROR(IF(d_ss_Bv!D23=0,".",((s_Ir*s_F*s_MLF_asparagus*(1-EXP(-s_RadSpec!BC23*s_t_b)))/(s_P*s_RadSpec!BC23))),".")</f>
        <v>2.6824597822007652</v>
      </c>
      <c r="AC23" s="72">
        <f>IFERROR(IF(d_ss_Bv!E23=0,".",((s_Ir*s_F*s_MLF_beet*(1-EXP(-s_RadSpec!BC23*s_t_b)))/(s_P*s_RadSpec!BC23))),".")</f>
        <v>2.6824597822007652</v>
      </c>
      <c r="AD23" s="72">
        <f>IFERROR(IF(d_ss_Bv!F23=0,".",((s_Ir*s_F*s_MLF_berries*(1-EXP(-s_RadSpec!BC23*s_t_b)))/(s_P*s_RadSpec!BC23))),".")</f>
        <v>2.6824597822007652</v>
      </c>
      <c r="AE23" s="72">
        <f>IFERROR(IF(d_ss_Bv!G23=0,".",((s_Ir*s_F*s_MLF_broccoli*(1-EXP(-s_RadSpec!BC23*s_t_b)))/(s_P*s_RadSpec!BC23))),".")</f>
        <v>2.6824597822007652</v>
      </c>
      <c r="AF23" s="72">
        <f>IFERROR(IF(d_ss_Bv!H23=0,".",((s_Ir*s_F*s_MLF_cabbage*(1-EXP(-s_RadSpec!BC23*s_t_b)))/(s_P*s_RadSpec!BC23))),".")</f>
        <v>2.6824597822007652</v>
      </c>
      <c r="AG23" s="72">
        <f>IFERROR(IF(d_ss_Bv!I23=0,".",((s_Ir*s_F*s_MLF_carrot*(1-EXP(-s_RadSpec!BC23*s_t_b)))/(s_P*s_RadSpec!BC23))),".")</f>
        <v>2.6824597822007652</v>
      </c>
      <c r="AH23" s="72">
        <f>IFERROR(IF(d_ss_Bv!J23=0,".",((s_Ir*s_F*s_MLF_citrus*(1-EXP(-s_RadSpec!BC23*s_t_b)))/(s_P*s_RadSpec!BC23))),".")</f>
        <v>2.6824597822007652</v>
      </c>
      <c r="AI23" s="72">
        <f>IFERROR(IF(d_ss_Bv!K23=0,".",((s_Ir*s_F*s_MLF_corn*(1-EXP(-s_RadSpec!BC23*s_t_b)))/(s_P*s_RadSpec!BC23))),".")</f>
        <v>2.6824597822007652</v>
      </c>
      <c r="AJ23" s="72">
        <f>IFERROR(IF(d_ss_Bv!L23=0,".",((s_Ir*s_F*s_MLF_cucumber*(1-EXP(-s_RadSpec!BC23*s_t_b)))/(s_P*s_RadSpec!BC23))),".")</f>
        <v>2.6824597822007652</v>
      </c>
      <c r="AK23" s="72">
        <f>IFERROR(IF(d_ss_Bv!M23=0,".",((s_Ir*s_F*s_MLF_lettuce*(1-EXP(-s_RadSpec!BC23*s_t_b)))/(s_P*s_RadSpec!BC23))),".")</f>
        <v>2.6824597822007652</v>
      </c>
      <c r="AL23" s="72">
        <f>IFERROR(IF(d_ss_Bv!N23=0,".",((s_Ir*s_F*s_MLF_lima_bean*(1-EXP(-s_RadSpec!BC23*s_t_b)))/(s_P*s_RadSpec!BC23))),".")</f>
        <v>2.6824597822007652</v>
      </c>
      <c r="AM23" s="72">
        <f>IFERROR(IF(d_ss_Bv!O23=0,".",((s_Ir*s_F*s_MLF_okra*(1-EXP(-s_RadSpec!BC23*s_t_b)))/(s_P*s_RadSpec!BC23))),".")</f>
        <v>2.6824597822007652</v>
      </c>
      <c r="AN23" s="72">
        <f>IFERROR(IF(d_ss_Bv!P23=0,".",((s_Ir*s_F*s_MLF_onion*(1-EXP(-s_RadSpec!BC23*s_t_b)))/(s_P*s_RadSpec!BC23))),".")</f>
        <v>2.6824597822007652</v>
      </c>
      <c r="AO23" s="72">
        <f>IFERROR(IF(d_ss_Bv!Q23=0,".",((s_Ir*s_F*s_MLF_peach*(1-EXP(-s_RadSpec!BC23*s_t_b)))/(s_P*s_RadSpec!BC23))),".")</f>
        <v>2.6824597822007652</v>
      </c>
      <c r="AP23" s="72">
        <f>IFERROR(IF(d_ss_Bv!R23=0,".",((s_Ir*s_F*s_MLF_pear*(1-EXP(-s_RadSpec!BC23*s_t_b)))/(s_P*s_RadSpec!BC23))),".")</f>
        <v>2.6824597822007652</v>
      </c>
      <c r="AQ23" s="72">
        <f>IFERROR(IF(d_ss_Bv!S23=0,".",((s_Ir*s_F*s_MLF_peas*(1-EXP(-s_RadSpec!BC23*s_t_b)))/(s_P*s_RadSpec!BC23))),".")</f>
        <v>2.6824597822007652</v>
      </c>
      <c r="AR23" s="72">
        <f>IFERROR(IF(d_ss_Bv!T23=0,".",((s_Ir*s_F*s_MLF_potato*(1-EXP(-s_RadSpec!BC23*s_t_b)))/(s_P*s_RadSpec!BC23))),".")</f>
        <v>2.6824597822007652</v>
      </c>
      <c r="AS23" s="72">
        <f>IFERROR(IF(d_ss_Bv!U23=0,".",((s_Ir*s_F*s_MLF_pumpkin*(1-EXP(-s_RadSpec!BC23*s_t_b)))/(s_P*s_RadSpec!BC23))),".")</f>
        <v>2.6824597822007652</v>
      </c>
      <c r="AT23" s="72">
        <f>IFERROR(IF(d_ss_Bv!V23=0,".",((s_Ir*s_F*s_MLF_snap_bean*(1-EXP(-s_RadSpec!BC23*s_t_b)))/(s_P*s_RadSpec!BC23))),".")</f>
        <v>2.6824597822007652</v>
      </c>
      <c r="AU23" s="72">
        <f>IFERROR(IF(d_ss_Bv!W23=0,".",((s_Ir*s_F*s_MLF_strawberry*(1-EXP(-s_RadSpec!BC23*s_t_b)))/(s_P*s_RadSpec!BC23))),".")</f>
        <v>2.6824597822007652</v>
      </c>
      <c r="AV23" s="72">
        <f>IFERROR(IF(d_ss_Bv!X23=0,".",((s_Ir*s_F*s_MLF_tomato*(1-EXP(-s_RadSpec!BC23*s_t_b)))/(s_P*s_RadSpec!BC23))),".")</f>
        <v>2.6824597822007652</v>
      </c>
      <c r="AW23" s="72">
        <f>IFERROR(IF(d_ss_Bv!Y23=0,".",((s_Ir*s_F*s_MLF_rice*(1-EXP(-s_RadSpec!BC23*s_t_b)))/(s_P*s_RadSpec!BC23))),".")</f>
        <v>2.6824597822007652</v>
      </c>
      <c r="AX23" s="72">
        <f>IFERROR(IF(d_ss_Bv!Z23=0,".",((s_Ir*s_F*s_MLF_cereal*(1-EXP(-s_RadSpec!BC23*s_t_b)))/(s_P*s_RadSpec!BC23))),".")</f>
        <v>2.6824597822007652</v>
      </c>
      <c r="AY23" s="72">
        <f>IFERROR(IF(d_ss_Bv!C23=0,".",((s_Ir*s_F*s_I_f*s_T*(1-EXP(-s_RadSpec!BD23*s_t_v)))/(s_Y_v*s_RadSpec!BD23))),".")</f>
        <v>9.0143481925428208</v>
      </c>
      <c r="AZ23" s="72">
        <f>IFERROR(IF(d_ss_Bv!D23=0,".",((s_Ir*s_F*s_I_f*s_T*(1-EXP(-s_RadSpec!BD23*s_t_v)))/(s_Y_v*s_RadSpec!BD23))),".")</f>
        <v>9.0143481925428208</v>
      </c>
      <c r="BA23" s="72">
        <f>IFERROR(IF(d_ss_Bv!E23=0,".",((s_Ir*s_F*s_I_f*s_T*(1-EXP(-s_RadSpec!BD23*s_t_v)))/(s_Y_v*s_RadSpec!BD23))),".")</f>
        <v>9.0143481925428208</v>
      </c>
      <c r="BB23" s="72">
        <f>IFERROR(IF(d_ss_Bv!F23=0,".",((s_Ir*s_F*s_I_f*s_T*(1-EXP(-s_RadSpec!BD23*s_t_v)))/(s_Y_v*s_RadSpec!BD23))),".")</f>
        <v>9.0143481925428208</v>
      </c>
      <c r="BC23" s="72">
        <f>IFERROR(IF(d_ss_Bv!G23=0,".",((s_Ir*s_F*s_I_f*s_T*(1-EXP(-s_RadSpec!BD23*s_t_v)))/(s_Y_v*s_RadSpec!BD23))),".")</f>
        <v>9.0143481925428208</v>
      </c>
      <c r="BD23" s="72">
        <f>IFERROR(IF(d_ss_Bv!H23=0,".",((s_Ir*s_F*s_I_f*s_T*(1-EXP(-s_RadSpec!BD23*s_t_v)))/(s_Y_v*s_RadSpec!BD23))),".")</f>
        <v>9.0143481925428208</v>
      </c>
      <c r="BE23" s="72">
        <f>IFERROR(IF(d_ss_Bv!I23=0,".",((s_Ir*s_F*s_I_f*s_T*(1-EXP(-s_RadSpec!BD23*s_t_v)))/(s_Y_v*s_RadSpec!BD23))),".")</f>
        <v>9.0143481925428208</v>
      </c>
      <c r="BF23" s="72">
        <f>IFERROR(IF(d_ss_Bv!J23=0,".",((s_Ir*s_F*s_I_f*s_T*(1-EXP(-s_RadSpec!BD23*s_t_v)))/(s_Y_v*s_RadSpec!BD23))),".")</f>
        <v>9.0143481925428208</v>
      </c>
      <c r="BG23" s="72">
        <f>IFERROR(IF(d_ss_Bv!K23=0,".",((s_Ir*s_F*s_I_f*s_T*(1-EXP(-s_RadSpec!BD23*s_t_v)))/(s_Y_v*s_RadSpec!BD23))),".")</f>
        <v>9.0143481925428208</v>
      </c>
      <c r="BH23" s="72">
        <f>IFERROR(IF(d_ss_Bv!L23=0,".",((s_Ir*s_F*s_I_f*s_T*(1-EXP(-s_RadSpec!BD23*s_t_v)))/(s_Y_v*s_RadSpec!BD23))),".")</f>
        <v>9.0143481925428208</v>
      </c>
      <c r="BI23" s="72">
        <f>IFERROR(IF(d_ss_Bv!M23=0,".",((s_Ir*s_F*s_I_f*s_T*(1-EXP(-s_RadSpec!BD23*s_t_v)))/(s_Y_v*s_RadSpec!BD23))),".")</f>
        <v>9.0143481925428208</v>
      </c>
      <c r="BJ23" s="72">
        <f>IFERROR(IF(d_ss_Bv!N23=0,".",((s_Ir*s_F*s_I_f*s_T*(1-EXP(-s_RadSpec!BD23*s_t_v)))/(s_Y_v*s_RadSpec!BD23))),".")</f>
        <v>9.0143481925428208</v>
      </c>
      <c r="BK23" s="72">
        <f>IFERROR(IF(d_ss_Bv!O23=0,".",((s_Ir*s_F*s_I_f*s_T*(1-EXP(-s_RadSpec!BD23*s_t_v)))/(s_Y_v*s_RadSpec!BD23))),".")</f>
        <v>9.0143481925428208</v>
      </c>
      <c r="BL23" s="72">
        <f>IFERROR(IF(d_ss_Bv!P23=0,".",((s_Ir*s_F*s_I_f*s_T*(1-EXP(-s_RadSpec!BD23*s_t_v)))/(s_Y_v*s_RadSpec!BD23))),".")</f>
        <v>9.0143481925428208</v>
      </c>
      <c r="BM23" s="72">
        <f>IFERROR(IF(d_ss_Bv!Q23=0,".",((s_Ir*s_F*s_I_f*s_T*(1-EXP(-s_RadSpec!BD23*s_t_v)))/(s_Y_v*s_RadSpec!BD23))),".")</f>
        <v>9.0143481925428208</v>
      </c>
      <c r="BN23" s="72">
        <f>IFERROR(IF(d_ss_Bv!R23=0,".",((s_Ir*s_F*s_I_f*s_T*(1-EXP(-s_RadSpec!BD23*s_t_v)))/(s_Y_v*s_RadSpec!BD23))),".")</f>
        <v>9.0143481925428208</v>
      </c>
      <c r="BO23" s="72">
        <f>IFERROR(IF(d_ss_Bv!S23=0,".",((s_Ir*s_F*s_I_f*s_T*(1-EXP(-s_RadSpec!BD23*s_t_v)))/(s_Y_v*s_RadSpec!BD23))),".")</f>
        <v>9.0143481925428208</v>
      </c>
      <c r="BP23" s="72">
        <f>IFERROR(IF(d_ss_Bv!T23=0,".",((s_Ir*s_F*s_I_f*s_T*(1-EXP(-s_RadSpec!BD23*s_t_v)))/(s_Y_v*s_RadSpec!BD23))),".")</f>
        <v>9.0143481925428208</v>
      </c>
      <c r="BQ23" s="72">
        <f>IFERROR(IF(d_ss_Bv!U23=0,".",((s_Ir*s_F*s_I_f*s_T*(1-EXP(-s_RadSpec!BD23*s_t_v)))/(s_Y_v*s_RadSpec!BD23))),".")</f>
        <v>9.0143481925428208</v>
      </c>
      <c r="BR23" s="72">
        <f>IFERROR(IF(d_ss_Bv!V23=0,".",((s_Ir*s_F*s_I_f*s_T*(1-EXP(-s_RadSpec!BD23*s_t_v)))/(s_Y_v*s_RadSpec!BD23))),".")</f>
        <v>9.0143481925428208</v>
      </c>
      <c r="BS23" s="72">
        <f>IFERROR(IF(d_ss_Bv!W23=0,".",((s_Ir*s_F*s_I_f*s_T*(1-EXP(-s_RadSpec!BD23*s_t_v)))/(s_Y_v*s_RadSpec!BD23))),".")</f>
        <v>9.0143481925428208</v>
      </c>
      <c r="BT23" s="72">
        <f>IFERROR(IF(d_ss_Bv!X23=0,".",((s_Ir*s_F*s_I_f*s_T*(1-EXP(-s_RadSpec!BD23*s_t_v)))/(s_Y_v*s_RadSpec!BD23))),".")</f>
        <v>9.0143481925428208</v>
      </c>
      <c r="BU23" s="72">
        <f>IFERROR(IF(d_ss_Bv!Y23=0,".",((s_Ir*s_F*s_I_f*s_T*(1-EXP(-s_RadSpec!BD23*s_t_v)))/(s_Y_v*s_RadSpec!BD23))),".")</f>
        <v>9.0143481925428208</v>
      </c>
      <c r="BV23" s="72">
        <f>IFERROR(IF(d_ss_Bv!Z23=0,".",((s_Ir*s_F*s_I_f*s_T*(1-EXP(-s_RadSpec!BD23*s_t_v)))/(s_Y_v*s_RadSpec!BD23))),".")</f>
        <v>9.0143481925428208</v>
      </c>
    </row>
    <row r="24" spans="1:74" x14ac:dyDescent="0.25">
      <c r="A24" s="31" t="s">
        <v>22</v>
      </c>
      <c r="B24" s="3" t="s">
        <v>1059</v>
      </c>
      <c r="C24" s="72" t="str">
        <f>IFERROR(IF(d_ss_Bv!C24=0,".",((s_Ir*s_F*d_ss_Bv!C24*(1-EXP(-s_RadSpec!$BC24*s_t_b)))/(s_P*s_RadSpec!$BC24))),".")</f>
        <v>.</v>
      </c>
      <c r="D24" s="72" t="str">
        <f>IFERROR(IF(d_ss_Bv!D24=0,".",((s_Ir*s_F*d_ss_Bv!D24*(1-EXP(-s_RadSpec!BC24*s_t_b)))/(s_P*s_RadSpec!BC24))),".")</f>
        <v>.</v>
      </c>
      <c r="E24" s="72" t="str">
        <f>IFERROR(IF(d_ss_Bv!E24=0,".",((s_Ir*s_F*d_ss_Bv!E24*(1-EXP(-s_RadSpec!BC24*s_t_b)))/(s_P*s_RadSpec!BC24))),".")</f>
        <v>.</v>
      </c>
      <c r="F24" s="72" t="str">
        <f>IFERROR(IF(d_ss_Bv!F24=0,".",((s_Ir*s_F*d_ss_Bv!F24*(1-EXP(-s_RadSpec!BC24*s_t_b)))/(s_P*s_RadSpec!BC24))),".")</f>
        <v>.</v>
      </c>
      <c r="G24" s="72" t="str">
        <f>IFERROR(IF(d_ss_Bv!G24=0,".",((s_Ir*s_F*d_ss_Bv!G24*(1-EXP(-s_RadSpec!BC24*s_t_b)))/(s_P*s_RadSpec!BC24))),".")</f>
        <v>.</v>
      </c>
      <c r="H24" s="72" t="str">
        <f>IFERROR(IF(d_ss_Bv!H24=0,".",((s_Ir*s_F*d_ss_Bv!H24*(1-EXP(-s_RadSpec!BC24*s_t_b)))/(s_P*s_RadSpec!BC24))),".")</f>
        <v>.</v>
      </c>
      <c r="I24" s="72" t="str">
        <f>IFERROR(IF(d_ss_Bv!I24=0,".",((s_Ir*s_F*d_ss_Bv!I24*(1-EXP(-s_RadSpec!BC24*s_t_b)))/(s_P*s_RadSpec!BC24))),".")</f>
        <v>.</v>
      </c>
      <c r="J24" s="72" t="str">
        <f>IFERROR(IF(d_ss_Bv!J24=0,".",((s_Ir*s_F*d_ss_Bv!J24*(1-EXP(-s_RadSpec!BC24*s_t_b)))/(s_P*s_RadSpec!BC24))),".")</f>
        <v>.</v>
      </c>
      <c r="K24" s="72" t="str">
        <f>IFERROR(IF(d_ss_Bv!K24=0,".",((s_Ir*s_F*d_ss_Bv!K24*(1-EXP(-s_RadSpec!BC24*s_t_b)))/(s_P*s_RadSpec!BC24))),".")</f>
        <v>.</v>
      </c>
      <c r="L24" s="72" t="str">
        <f>IFERROR(IF(d_ss_Bv!L24=0,".",((s_Ir*s_F*d_ss_Bv!L24*(1-EXP(-s_RadSpec!BC24*s_t_b)))/(s_P*s_RadSpec!BC24))),".")</f>
        <v>.</v>
      </c>
      <c r="M24" s="72" t="str">
        <f>IFERROR(IF(d_ss_Bv!M24=0,".",((s_Ir*s_F*d_ss_Bv!M24*(1-EXP(-s_RadSpec!BC24*s_t_b)))/(s_P*s_RadSpec!BC24))),".")</f>
        <v>.</v>
      </c>
      <c r="N24" s="72" t="str">
        <f>IFERROR(IF(d_ss_Bv!N24=0,".",((s_Ir*s_F*d_ss_Bv!N24*(1-EXP(-s_RadSpec!BC24*s_t_b)))/(s_P*s_RadSpec!BC24))),".")</f>
        <v>.</v>
      </c>
      <c r="O24" s="72" t="str">
        <f>IFERROR(IF(d_ss_Bv!O24=0,".",((s_Ir*s_F*d_ss_Bv!O24*(1-EXP(-s_RadSpec!BC24*s_t_b)))/(s_P*s_RadSpec!BC24))),".")</f>
        <v>.</v>
      </c>
      <c r="P24" s="72" t="str">
        <f>IFERROR(IF(d_ss_Bv!P24=0,".",((s_Ir*s_F*d_ss_Bv!P24*(1-EXP(-s_RadSpec!BC24*s_t_b)))/(s_P*s_RadSpec!BC24))),".")</f>
        <v>.</v>
      </c>
      <c r="Q24" s="72" t="str">
        <f>IFERROR(IF(d_ss_Bv!Q24=0,".",((s_Ir*s_F*d_ss_Bv!Q24*(1-EXP(-s_RadSpec!BC24*s_t_b)))/(s_P*s_RadSpec!BC24))),".")</f>
        <v>.</v>
      </c>
      <c r="R24" s="72" t="str">
        <f>IFERROR(IF(d_ss_Bv!R24=0,".",((s_Ir*s_F*d_ss_Bv!R24*(1-EXP(-s_RadSpec!BC24*s_t_b)))/(s_P*s_RadSpec!BC24))),".")</f>
        <v>.</v>
      </c>
      <c r="S24" s="72" t="str">
        <f>IFERROR(IF(d_ss_Bv!S24=0,".",((s_Ir*s_F*d_ss_Bv!S24*(1-EXP(-s_RadSpec!BC24*s_t_b)))/(s_P*s_RadSpec!BC24))),".")</f>
        <v>.</v>
      </c>
      <c r="T24" s="72" t="str">
        <f>IFERROR(IF(d_ss_Bv!T24=0,".",((s_Ir*s_F*d_ss_Bv!T24*(1-EXP(-s_RadSpec!BC24*s_t_b)))/(s_P*s_RadSpec!BC24))),".")</f>
        <v>.</v>
      </c>
      <c r="U24" s="72" t="str">
        <f>IFERROR(IF(d_ss_Bv!U24=0,".",((s_Ir*s_F*d_ss_Bv!U24*(1-EXP(-s_RadSpec!BC24*s_t_b)))/(s_P*s_RadSpec!BC24))),".")</f>
        <v>.</v>
      </c>
      <c r="V24" s="72" t="str">
        <f>IFERROR(IF(d_ss_Bv!V24=0,".",((s_Ir*s_F*d_ss_Bv!V24*(1-EXP(-s_RadSpec!BC24*s_t_b)))/(s_P*s_RadSpec!BC24))),".")</f>
        <v>.</v>
      </c>
      <c r="W24" s="72" t="str">
        <f>IFERROR(IF(d_ss_Bv!W24=0,".",((s_Ir*s_F*d_ss_Bv!W24*(1-EXP(-s_RadSpec!BC24*s_t_b)))/(s_P*s_RadSpec!BC24))),".")</f>
        <v>.</v>
      </c>
      <c r="X24" s="72" t="str">
        <f>IFERROR(IF(d_ss_Bv!X24=0,".",((s_Ir*s_F*d_ss_Bv!X24*(1-EXP(-s_RadSpec!BC24*s_t_b)))/(s_P*s_RadSpec!BC24))),".")</f>
        <v>.</v>
      </c>
      <c r="Y24" s="72" t="str">
        <f>IFERROR(IF(d_ss_Bv!Y24=0,".",((s_Ir*s_F*d_ss_Bv!Y24*(1-EXP(-s_RadSpec!BC24*s_t_b)))/(s_P*s_RadSpec!BC24))),".")</f>
        <v>.</v>
      </c>
      <c r="Z24" s="72" t="str">
        <f>IFERROR(IF(d_ss_Bv!Z24=0,".",((s_Ir*s_F*d_ss_Bv!Z24*(1-EXP(-s_RadSpec!BC24*s_t_b)))/(s_P*s_RadSpec!BC24))),".")</f>
        <v>.</v>
      </c>
      <c r="AA24" s="72" t="str">
        <f>IFERROR(IF(d_ss_Bv!C24=0,".",((s_Ir*s_F*s_MLF_apple*(1-EXP(-s_RadSpec!BC24*s_t_b)))/(s_P*s_RadSpec!BC24))),".")</f>
        <v>.</v>
      </c>
      <c r="AB24" s="72" t="str">
        <f>IFERROR(IF(d_ss_Bv!D24=0,".",((s_Ir*s_F*s_MLF_asparagus*(1-EXP(-s_RadSpec!BC24*s_t_b)))/(s_P*s_RadSpec!BC24))),".")</f>
        <v>.</v>
      </c>
      <c r="AC24" s="72" t="str">
        <f>IFERROR(IF(d_ss_Bv!E24=0,".",((s_Ir*s_F*s_MLF_beet*(1-EXP(-s_RadSpec!BC24*s_t_b)))/(s_P*s_RadSpec!BC24))),".")</f>
        <v>.</v>
      </c>
      <c r="AD24" s="72" t="str">
        <f>IFERROR(IF(d_ss_Bv!F24=0,".",((s_Ir*s_F*s_MLF_berries*(1-EXP(-s_RadSpec!BC24*s_t_b)))/(s_P*s_RadSpec!BC24))),".")</f>
        <v>.</v>
      </c>
      <c r="AE24" s="72" t="str">
        <f>IFERROR(IF(d_ss_Bv!G24=0,".",((s_Ir*s_F*s_MLF_broccoli*(1-EXP(-s_RadSpec!BC24*s_t_b)))/(s_P*s_RadSpec!BC24))),".")</f>
        <v>.</v>
      </c>
      <c r="AF24" s="72" t="str">
        <f>IFERROR(IF(d_ss_Bv!H24=0,".",((s_Ir*s_F*s_MLF_cabbage*(1-EXP(-s_RadSpec!BC24*s_t_b)))/(s_P*s_RadSpec!BC24))),".")</f>
        <v>.</v>
      </c>
      <c r="AG24" s="72" t="str">
        <f>IFERROR(IF(d_ss_Bv!I24=0,".",((s_Ir*s_F*s_MLF_carrot*(1-EXP(-s_RadSpec!BC24*s_t_b)))/(s_P*s_RadSpec!BC24))),".")</f>
        <v>.</v>
      </c>
      <c r="AH24" s="72" t="str">
        <f>IFERROR(IF(d_ss_Bv!J24=0,".",((s_Ir*s_F*s_MLF_citrus*(1-EXP(-s_RadSpec!BC24*s_t_b)))/(s_P*s_RadSpec!BC24))),".")</f>
        <v>.</v>
      </c>
      <c r="AI24" s="72" t="str">
        <f>IFERROR(IF(d_ss_Bv!K24=0,".",((s_Ir*s_F*s_MLF_corn*(1-EXP(-s_RadSpec!BC24*s_t_b)))/(s_P*s_RadSpec!BC24))),".")</f>
        <v>.</v>
      </c>
      <c r="AJ24" s="72" t="str">
        <f>IFERROR(IF(d_ss_Bv!L24=0,".",((s_Ir*s_F*s_MLF_cucumber*(1-EXP(-s_RadSpec!BC24*s_t_b)))/(s_P*s_RadSpec!BC24))),".")</f>
        <v>.</v>
      </c>
      <c r="AK24" s="72" t="str">
        <f>IFERROR(IF(d_ss_Bv!M24=0,".",((s_Ir*s_F*s_MLF_lettuce*(1-EXP(-s_RadSpec!BC24*s_t_b)))/(s_P*s_RadSpec!BC24))),".")</f>
        <v>.</v>
      </c>
      <c r="AL24" s="72" t="str">
        <f>IFERROR(IF(d_ss_Bv!N24=0,".",((s_Ir*s_F*s_MLF_lima_bean*(1-EXP(-s_RadSpec!BC24*s_t_b)))/(s_P*s_RadSpec!BC24))),".")</f>
        <v>.</v>
      </c>
      <c r="AM24" s="72" t="str">
        <f>IFERROR(IF(d_ss_Bv!O24=0,".",((s_Ir*s_F*s_MLF_okra*(1-EXP(-s_RadSpec!BC24*s_t_b)))/(s_P*s_RadSpec!BC24))),".")</f>
        <v>.</v>
      </c>
      <c r="AN24" s="72" t="str">
        <f>IFERROR(IF(d_ss_Bv!P24=0,".",((s_Ir*s_F*s_MLF_onion*(1-EXP(-s_RadSpec!BC24*s_t_b)))/(s_P*s_RadSpec!BC24))),".")</f>
        <v>.</v>
      </c>
      <c r="AO24" s="72" t="str">
        <f>IFERROR(IF(d_ss_Bv!Q24=0,".",((s_Ir*s_F*s_MLF_peach*(1-EXP(-s_RadSpec!BC24*s_t_b)))/(s_P*s_RadSpec!BC24))),".")</f>
        <v>.</v>
      </c>
      <c r="AP24" s="72" t="str">
        <f>IFERROR(IF(d_ss_Bv!R24=0,".",((s_Ir*s_F*s_MLF_pear*(1-EXP(-s_RadSpec!BC24*s_t_b)))/(s_P*s_RadSpec!BC24))),".")</f>
        <v>.</v>
      </c>
      <c r="AQ24" s="72" t="str">
        <f>IFERROR(IF(d_ss_Bv!S24=0,".",((s_Ir*s_F*s_MLF_peas*(1-EXP(-s_RadSpec!BC24*s_t_b)))/(s_P*s_RadSpec!BC24))),".")</f>
        <v>.</v>
      </c>
      <c r="AR24" s="72" t="str">
        <f>IFERROR(IF(d_ss_Bv!T24=0,".",((s_Ir*s_F*s_MLF_potato*(1-EXP(-s_RadSpec!BC24*s_t_b)))/(s_P*s_RadSpec!BC24))),".")</f>
        <v>.</v>
      </c>
      <c r="AS24" s="72" t="str">
        <f>IFERROR(IF(d_ss_Bv!U24=0,".",((s_Ir*s_F*s_MLF_pumpkin*(1-EXP(-s_RadSpec!BC24*s_t_b)))/(s_P*s_RadSpec!BC24))),".")</f>
        <v>.</v>
      </c>
      <c r="AT24" s="72" t="str">
        <f>IFERROR(IF(d_ss_Bv!V24=0,".",((s_Ir*s_F*s_MLF_snap_bean*(1-EXP(-s_RadSpec!BC24*s_t_b)))/(s_P*s_RadSpec!BC24))),".")</f>
        <v>.</v>
      </c>
      <c r="AU24" s="72" t="str">
        <f>IFERROR(IF(d_ss_Bv!W24=0,".",((s_Ir*s_F*s_MLF_strawberry*(1-EXP(-s_RadSpec!BC24*s_t_b)))/(s_P*s_RadSpec!BC24))),".")</f>
        <v>.</v>
      </c>
      <c r="AV24" s="72" t="str">
        <f>IFERROR(IF(d_ss_Bv!X24=0,".",((s_Ir*s_F*s_MLF_tomato*(1-EXP(-s_RadSpec!BC24*s_t_b)))/(s_P*s_RadSpec!BC24))),".")</f>
        <v>.</v>
      </c>
      <c r="AW24" s="72" t="str">
        <f>IFERROR(IF(d_ss_Bv!Y24=0,".",((s_Ir*s_F*s_MLF_rice*(1-EXP(-s_RadSpec!BC24*s_t_b)))/(s_P*s_RadSpec!BC24))),".")</f>
        <v>.</v>
      </c>
      <c r="AX24" s="72" t="str">
        <f>IFERROR(IF(d_ss_Bv!Z24=0,".",((s_Ir*s_F*s_MLF_cereal*(1-EXP(-s_RadSpec!BC24*s_t_b)))/(s_P*s_RadSpec!BC24))),".")</f>
        <v>.</v>
      </c>
      <c r="AY24" s="72" t="str">
        <f>IFERROR(IF(d_ss_Bv!C24=0,".",((s_Ir*s_F*s_I_f*s_T*(1-EXP(-s_RadSpec!BD24*s_t_v)))/(s_Y_v*s_RadSpec!BD24))),".")</f>
        <v>.</v>
      </c>
      <c r="AZ24" s="72" t="str">
        <f>IFERROR(IF(d_ss_Bv!D24=0,".",((s_Ir*s_F*s_I_f*s_T*(1-EXP(-s_RadSpec!BD24*s_t_v)))/(s_Y_v*s_RadSpec!BD24))),".")</f>
        <v>.</v>
      </c>
      <c r="BA24" s="72" t="str">
        <f>IFERROR(IF(d_ss_Bv!E24=0,".",((s_Ir*s_F*s_I_f*s_T*(1-EXP(-s_RadSpec!BD24*s_t_v)))/(s_Y_v*s_RadSpec!BD24))),".")</f>
        <v>.</v>
      </c>
      <c r="BB24" s="72" t="str">
        <f>IFERROR(IF(d_ss_Bv!F24=0,".",((s_Ir*s_F*s_I_f*s_T*(1-EXP(-s_RadSpec!BD24*s_t_v)))/(s_Y_v*s_RadSpec!BD24))),".")</f>
        <v>.</v>
      </c>
      <c r="BC24" s="72" t="str">
        <f>IFERROR(IF(d_ss_Bv!G24=0,".",((s_Ir*s_F*s_I_f*s_T*(1-EXP(-s_RadSpec!BD24*s_t_v)))/(s_Y_v*s_RadSpec!BD24))),".")</f>
        <v>.</v>
      </c>
      <c r="BD24" s="72" t="str">
        <f>IFERROR(IF(d_ss_Bv!H24=0,".",((s_Ir*s_F*s_I_f*s_T*(1-EXP(-s_RadSpec!BD24*s_t_v)))/(s_Y_v*s_RadSpec!BD24))),".")</f>
        <v>.</v>
      </c>
      <c r="BE24" s="72" t="str">
        <f>IFERROR(IF(d_ss_Bv!I24=0,".",((s_Ir*s_F*s_I_f*s_T*(1-EXP(-s_RadSpec!BD24*s_t_v)))/(s_Y_v*s_RadSpec!BD24))),".")</f>
        <v>.</v>
      </c>
      <c r="BF24" s="72" t="str">
        <f>IFERROR(IF(d_ss_Bv!J24=0,".",((s_Ir*s_F*s_I_f*s_T*(1-EXP(-s_RadSpec!BD24*s_t_v)))/(s_Y_v*s_RadSpec!BD24))),".")</f>
        <v>.</v>
      </c>
      <c r="BG24" s="72" t="str">
        <f>IFERROR(IF(d_ss_Bv!K24=0,".",((s_Ir*s_F*s_I_f*s_T*(1-EXP(-s_RadSpec!BD24*s_t_v)))/(s_Y_v*s_RadSpec!BD24))),".")</f>
        <v>.</v>
      </c>
      <c r="BH24" s="72" t="str">
        <f>IFERROR(IF(d_ss_Bv!L24=0,".",((s_Ir*s_F*s_I_f*s_T*(1-EXP(-s_RadSpec!BD24*s_t_v)))/(s_Y_v*s_RadSpec!BD24))),".")</f>
        <v>.</v>
      </c>
      <c r="BI24" s="72" t="str">
        <f>IFERROR(IF(d_ss_Bv!M24=0,".",((s_Ir*s_F*s_I_f*s_T*(1-EXP(-s_RadSpec!BD24*s_t_v)))/(s_Y_v*s_RadSpec!BD24))),".")</f>
        <v>.</v>
      </c>
      <c r="BJ24" s="72" t="str">
        <f>IFERROR(IF(d_ss_Bv!N24=0,".",((s_Ir*s_F*s_I_f*s_T*(1-EXP(-s_RadSpec!BD24*s_t_v)))/(s_Y_v*s_RadSpec!BD24))),".")</f>
        <v>.</v>
      </c>
      <c r="BK24" s="72" t="str">
        <f>IFERROR(IF(d_ss_Bv!O24=0,".",((s_Ir*s_F*s_I_f*s_T*(1-EXP(-s_RadSpec!BD24*s_t_v)))/(s_Y_v*s_RadSpec!BD24))),".")</f>
        <v>.</v>
      </c>
      <c r="BL24" s="72" t="str">
        <f>IFERROR(IF(d_ss_Bv!P24=0,".",((s_Ir*s_F*s_I_f*s_T*(1-EXP(-s_RadSpec!BD24*s_t_v)))/(s_Y_v*s_RadSpec!BD24))),".")</f>
        <v>.</v>
      </c>
      <c r="BM24" s="72" t="str">
        <f>IFERROR(IF(d_ss_Bv!Q24=0,".",((s_Ir*s_F*s_I_f*s_T*(1-EXP(-s_RadSpec!BD24*s_t_v)))/(s_Y_v*s_RadSpec!BD24))),".")</f>
        <v>.</v>
      </c>
      <c r="BN24" s="72" t="str">
        <f>IFERROR(IF(d_ss_Bv!R24=0,".",((s_Ir*s_F*s_I_f*s_T*(1-EXP(-s_RadSpec!BD24*s_t_v)))/(s_Y_v*s_RadSpec!BD24))),".")</f>
        <v>.</v>
      </c>
      <c r="BO24" s="72" t="str">
        <f>IFERROR(IF(d_ss_Bv!S24=0,".",((s_Ir*s_F*s_I_f*s_T*(1-EXP(-s_RadSpec!BD24*s_t_v)))/(s_Y_v*s_RadSpec!BD24))),".")</f>
        <v>.</v>
      </c>
      <c r="BP24" s="72" t="str">
        <f>IFERROR(IF(d_ss_Bv!T24=0,".",((s_Ir*s_F*s_I_f*s_T*(1-EXP(-s_RadSpec!BD24*s_t_v)))/(s_Y_v*s_RadSpec!BD24))),".")</f>
        <v>.</v>
      </c>
      <c r="BQ24" s="72" t="str">
        <f>IFERROR(IF(d_ss_Bv!U24=0,".",((s_Ir*s_F*s_I_f*s_T*(1-EXP(-s_RadSpec!BD24*s_t_v)))/(s_Y_v*s_RadSpec!BD24))),".")</f>
        <v>.</v>
      </c>
      <c r="BR24" s="72" t="str">
        <f>IFERROR(IF(d_ss_Bv!V24=0,".",((s_Ir*s_F*s_I_f*s_T*(1-EXP(-s_RadSpec!BD24*s_t_v)))/(s_Y_v*s_RadSpec!BD24))),".")</f>
        <v>.</v>
      </c>
      <c r="BS24" s="72" t="str">
        <f>IFERROR(IF(d_ss_Bv!W24=0,".",((s_Ir*s_F*s_I_f*s_T*(1-EXP(-s_RadSpec!BD24*s_t_v)))/(s_Y_v*s_RadSpec!BD24))),".")</f>
        <v>.</v>
      </c>
      <c r="BT24" s="72" t="str">
        <f>IFERROR(IF(d_ss_Bv!X24=0,".",((s_Ir*s_F*s_I_f*s_T*(1-EXP(-s_RadSpec!BD24*s_t_v)))/(s_Y_v*s_RadSpec!BD24))),".")</f>
        <v>.</v>
      </c>
      <c r="BU24" s="72" t="str">
        <f>IFERROR(IF(d_ss_Bv!Y24=0,".",((s_Ir*s_F*s_I_f*s_T*(1-EXP(-s_RadSpec!BD24*s_t_v)))/(s_Y_v*s_RadSpec!BD24))),".")</f>
        <v>.</v>
      </c>
      <c r="BV24" s="72" t="str">
        <f>IFERROR(IF(d_ss_Bv!Z24=0,".",((s_Ir*s_F*s_I_f*s_T*(1-EXP(-s_RadSpec!BD24*s_t_v)))/(s_Y_v*s_RadSpec!BD24))),".")</f>
        <v>.</v>
      </c>
    </row>
    <row r="25" spans="1:74" x14ac:dyDescent="0.25">
      <c r="A25" s="32" t="s">
        <v>23</v>
      </c>
      <c r="B25" s="3" t="s">
        <v>336</v>
      </c>
      <c r="C25" s="72" t="str">
        <f>IFERROR(IF(d_ss_Bv!C25=0,".",((s_Ir*s_F*d_ss_Bv!C25*(1-EXP(-s_RadSpec!$BC25*s_t_b)))/(s_P*s_RadSpec!$BC25))),".")</f>
        <v>.</v>
      </c>
      <c r="D25" s="72" t="str">
        <f>IFERROR(IF(d_ss_Bv!D25=0,".",((s_Ir*s_F*d_ss_Bv!D25*(1-EXP(-s_RadSpec!BC25*s_t_b)))/(s_P*s_RadSpec!BC25))),".")</f>
        <v>.</v>
      </c>
      <c r="E25" s="72" t="str">
        <f>IFERROR(IF(d_ss_Bv!E25=0,".",((s_Ir*s_F*d_ss_Bv!E25*(1-EXP(-s_RadSpec!BC25*s_t_b)))/(s_P*s_RadSpec!BC25))),".")</f>
        <v>.</v>
      </c>
      <c r="F25" s="72" t="str">
        <f>IFERROR(IF(d_ss_Bv!F25=0,".",((s_Ir*s_F*d_ss_Bv!F25*(1-EXP(-s_RadSpec!BC25*s_t_b)))/(s_P*s_RadSpec!BC25))),".")</f>
        <v>.</v>
      </c>
      <c r="G25" s="72" t="str">
        <f>IFERROR(IF(d_ss_Bv!G25=0,".",((s_Ir*s_F*d_ss_Bv!G25*(1-EXP(-s_RadSpec!BC25*s_t_b)))/(s_P*s_RadSpec!BC25))),".")</f>
        <v>.</v>
      </c>
      <c r="H25" s="72" t="str">
        <f>IFERROR(IF(d_ss_Bv!H25=0,".",((s_Ir*s_F*d_ss_Bv!H25*(1-EXP(-s_RadSpec!BC25*s_t_b)))/(s_P*s_RadSpec!BC25))),".")</f>
        <v>.</v>
      </c>
      <c r="I25" s="72" t="str">
        <f>IFERROR(IF(d_ss_Bv!I25=0,".",((s_Ir*s_F*d_ss_Bv!I25*(1-EXP(-s_RadSpec!BC25*s_t_b)))/(s_P*s_RadSpec!BC25))),".")</f>
        <v>.</v>
      </c>
      <c r="J25" s="72" t="str">
        <f>IFERROR(IF(d_ss_Bv!J25=0,".",((s_Ir*s_F*d_ss_Bv!J25*(1-EXP(-s_RadSpec!BC25*s_t_b)))/(s_P*s_RadSpec!BC25))),".")</f>
        <v>.</v>
      </c>
      <c r="K25" s="72" t="str">
        <f>IFERROR(IF(d_ss_Bv!K25=0,".",((s_Ir*s_F*d_ss_Bv!K25*(1-EXP(-s_RadSpec!BC25*s_t_b)))/(s_P*s_RadSpec!BC25))),".")</f>
        <v>.</v>
      </c>
      <c r="L25" s="72" t="str">
        <f>IFERROR(IF(d_ss_Bv!L25=0,".",((s_Ir*s_F*d_ss_Bv!L25*(1-EXP(-s_RadSpec!BC25*s_t_b)))/(s_P*s_RadSpec!BC25))),".")</f>
        <v>.</v>
      </c>
      <c r="M25" s="72" t="str">
        <f>IFERROR(IF(d_ss_Bv!M25=0,".",((s_Ir*s_F*d_ss_Bv!M25*(1-EXP(-s_RadSpec!BC25*s_t_b)))/(s_P*s_RadSpec!BC25))),".")</f>
        <v>.</v>
      </c>
      <c r="N25" s="72" t="str">
        <f>IFERROR(IF(d_ss_Bv!N25=0,".",((s_Ir*s_F*d_ss_Bv!N25*(1-EXP(-s_RadSpec!BC25*s_t_b)))/(s_P*s_RadSpec!BC25))),".")</f>
        <v>.</v>
      </c>
      <c r="O25" s="72" t="str">
        <f>IFERROR(IF(d_ss_Bv!O25=0,".",((s_Ir*s_F*d_ss_Bv!O25*(1-EXP(-s_RadSpec!BC25*s_t_b)))/(s_P*s_RadSpec!BC25))),".")</f>
        <v>.</v>
      </c>
      <c r="P25" s="72" t="str">
        <f>IFERROR(IF(d_ss_Bv!P25=0,".",((s_Ir*s_F*d_ss_Bv!P25*(1-EXP(-s_RadSpec!BC25*s_t_b)))/(s_P*s_RadSpec!BC25))),".")</f>
        <v>.</v>
      </c>
      <c r="Q25" s="72" t="str">
        <f>IFERROR(IF(d_ss_Bv!Q25=0,".",((s_Ir*s_F*d_ss_Bv!Q25*(1-EXP(-s_RadSpec!BC25*s_t_b)))/(s_P*s_RadSpec!BC25))),".")</f>
        <v>.</v>
      </c>
      <c r="R25" s="72" t="str">
        <f>IFERROR(IF(d_ss_Bv!R25=0,".",((s_Ir*s_F*d_ss_Bv!R25*(1-EXP(-s_RadSpec!BC25*s_t_b)))/(s_P*s_RadSpec!BC25))),".")</f>
        <v>.</v>
      </c>
      <c r="S25" s="72" t="str">
        <f>IFERROR(IF(d_ss_Bv!S25=0,".",((s_Ir*s_F*d_ss_Bv!S25*(1-EXP(-s_RadSpec!BC25*s_t_b)))/(s_P*s_RadSpec!BC25))),".")</f>
        <v>.</v>
      </c>
      <c r="T25" s="72" t="str">
        <f>IFERROR(IF(d_ss_Bv!T25=0,".",((s_Ir*s_F*d_ss_Bv!T25*(1-EXP(-s_RadSpec!BC25*s_t_b)))/(s_P*s_RadSpec!BC25))),".")</f>
        <v>.</v>
      </c>
      <c r="U25" s="72" t="str">
        <f>IFERROR(IF(d_ss_Bv!U25=0,".",((s_Ir*s_F*d_ss_Bv!U25*(1-EXP(-s_RadSpec!BC25*s_t_b)))/(s_P*s_RadSpec!BC25))),".")</f>
        <v>.</v>
      </c>
      <c r="V25" s="72" t="str">
        <f>IFERROR(IF(d_ss_Bv!V25=0,".",((s_Ir*s_F*d_ss_Bv!V25*(1-EXP(-s_RadSpec!BC25*s_t_b)))/(s_P*s_RadSpec!BC25))),".")</f>
        <v>.</v>
      </c>
      <c r="W25" s="72" t="str">
        <f>IFERROR(IF(d_ss_Bv!W25=0,".",((s_Ir*s_F*d_ss_Bv!W25*(1-EXP(-s_RadSpec!BC25*s_t_b)))/(s_P*s_RadSpec!BC25))),".")</f>
        <v>.</v>
      </c>
      <c r="X25" s="72" t="str">
        <f>IFERROR(IF(d_ss_Bv!X25=0,".",((s_Ir*s_F*d_ss_Bv!X25*(1-EXP(-s_RadSpec!BC25*s_t_b)))/(s_P*s_RadSpec!BC25))),".")</f>
        <v>.</v>
      </c>
      <c r="Y25" s="72" t="str">
        <f>IFERROR(IF(d_ss_Bv!Y25=0,".",((s_Ir*s_F*d_ss_Bv!Y25*(1-EXP(-s_RadSpec!BC25*s_t_b)))/(s_P*s_RadSpec!BC25))),".")</f>
        <v>.</v>
      </c>
      <c r="Z25" s="72" t="str">
        <f>IFERROR(IF(d_ss_Bv!Z25=0,".",((s_Ir*s_F*d_ss_Bv!Z25*(1-EXP(-s_RadSpec!BC25*s_t_b)))/(s_P*s_RadSpec!BC25))),".")</f>
        <v>.</v>
      </c>
      <c r="AA25" s="72" t="str">
        <f>IFERROR(IF(d_ss_Bv!C25=0,".",((s_Ir*s_F*s_MLF_apple*(1-EXP(-s_RadSpec!BC25*s_t_b)))/(s_P*s_RadSpec!BC25))),".")</f>
        <v>.</v>
      </c>
      <c r="AB25" s="72" t="str">
        <f>IFERROR(IF(d_ss_Bv!D25=0,".",((s_Ir*s_F*s_MLF_asparagus*(1-EXP(-s_RadSpec!BC25*s_t_b)))/(s_P*s_RadSpec!BC25))),".")</f>
        <v>.</v>
      </c>
      <c r="AC25" s="72" t="str">
        <f>IFERROR(IF(d_ss_Bv!E25=0,".",((s_Ir*s_F*s_MLF_beet*(1-EXP(-s_RadSpec!BC25*s_t_b)))/(s_P*s_RadSpec!BC25))),".")</f>
        <v>.</v>
      </c>
      <c r="AD25" s="72" t="str">
        <f>IFERROR(IF(d_ss_Bv!F25=0,".",((s_Ir*s_F*s_MLF_berries*(1-EXP(-s_RadSpec!BC25*s_t_b)))/(s_P*s_RadSpec!BC25))),".")</f>
        <v>.</v>
      </c>
      <c r="AE25" s="72" t="str">
        <f>IFERROR(IF(d_ss_Bv!G25=0,".",((s_Ir*s_F*s_MLF_broccoli*(1-EXP(-s_RadSpec!BC25*s_t_b)))/(s_P*s_RadSpec!BC25))),".")</f>
        <v>.</v>
      </c>
      <c r="AF25" s="72" t="str">
        <f>IFERROR(IF(d_ss_Bv!H25=0,".",((s_Ir*s_F*s_MLF_cabbage*(1-EXP(-s_RadSpec!BC25*s_t_b)))/(s_P*s_RadSpec!BC25))),".")</f>
        <v>.</v>
      </c>
      <c r="AG25" s="72" t="str">
        <f>IFERROR(IF(d_ss_Bv!I25=0,".",((s_Ir*s_F*s_MLF_carrot*(1-EXP(-s_RadSpec!BC25*s_t_b)))/(s_P*s_RadSpec!BC25))),".")</f>
        <v>.</v>
      </c>
      <c r="AH25" s="72" t="str">
        <f>IFERROR(IF(d_ss_Bv!J25=0,".",((s_Ir*s_F*s_MLF_citrus*(1-EXP(-s_RadSpec!BC25*s_t_b)))/(s_P*s_RadSpec!BC25))),".")</f>
        <v>.</v>
      </c>
      <c r="AI25" s="72" t="str">
        <f>IFERROR(IF(d_ss_Bv!K25=0,".",((s_Ir*s_F*s_MLF_corn*(1-EXP(-s_RadSpec!BC25*s_t_b)))/(s_P*s_RadSpec!BC25))),".")</f>
        <v>.</v>
      </c>
      <c r="AJ25" s="72" t="str">
        <f>IFERROR(IF(d_ss_Bv!L25=0,".",((s_Ir*s_F*s_MLF_cucumber*(1-EXP(-s_RadSpec!BC25*s_t_b)))/(s_P*s_RadSpec!BC25))),".")</f>
        <v>.</v>
      </c>
      <c r="AK25" s="72" t="str">
        <f>IFERROR(IF(d_ss_Bv!M25=0,".",((s_Ir*s_F*s_MLF_lettuce*(1-EXP(-s_RadSpec!BC25*s_t_b)))/(s_P*s_RadSpec!BC25))),".")</f>
        <v>.</v>
      </c>
      <c r="AL25" s="72" t="str">
        <f>IFERROR(IF(d_ss_Bv!N25=0,".",((s_Ir*s_F*s_MLF_lima_bean*(1-EXP(-s_RadSpec!BC25*s_t_b)))/(s_P*s_RadSpec!BC25))),".")</f>
        <v>.</v>
      </c>
      <c r="AM25" s="72" t="str">
        <f>IFERROR(IF(d_ss_Bv!O25=0,".",((s_Ir*s_F*s_MLF_okra*(1-EXP(-s_RadSpec!BC25*s_t_b)))/(s_P*s_RadSpec!BC25))),".")</f>
        <v>.</v>
      </c>
      <c r="AN25" s="72" t="str">
        <f>IFERROR(IF(d_ss_Bv!P25=0,".",((s_Ir*s_F*s_MLF_onion*(1-EXP(-s_RadSpec!BC25*s_t_b)))/(s_P*s_RadSpec!BC25))),".")</f>
        <v>.</v>
      </c>
      <c r="AO25" s="72" t="str">
        <f>IFERROR(IF(d_ss_Bv!Q25=0,".",((s_Ir*s_F*s_MLF_peach*(1-EXP(-s_RadSpec!BC25*s_t_b)))/(s_P*s_RadSpec!BC25))),".")</f>
        <v>.</v>
      </c>
      <c r="AP25" s="72" t="str">
        <f>IFERROR(IF(d_ss_Bv!R25=0,".",((s_Ir*s_F*s_MLF_pear*(1-EXP(-s_RadSpec!BC25*s_t_b)))/(s_P*s_RadSpec!BC25))),".")</f>
        <v>.</v>
      </c>
      <c r="AQ25" s="72" t="str">
        <f>IFERROR(IF(d_ss_Bv!S25=0,".",((s_Ir*s_F*s_MLF_peas*(1-EXP(-s_RadSpec!BC25*s_t_b)))/(s_P*s_RadSpec!BC25))),".")</f>
        <v>.</v>
      </c>
      <c r="AR25" s="72" t="str">
        <f>IFERROR(IF(d_ss_Bv!T25=0,".",((s_Ir*s_F*s_MLF_potato*(1-EXP(-s_RadSpec!BC25*s_t_b)))/(s_P*s_RadSpec!BC25))),".")</f>
        <v>.</v>
      </c>
      <c r="AS25" s="72" t="str">
        <f>IFERROR(IF(d_ss_Bv!U25=0,".",((s_Ir*s_F*s_MLF_pumpkin*(1-EXP(-s_RadSpec!BC25*s_t_b)))/(s_P*s_RadSpec!BC25))),".")</f>
        <v>.</v>
      </c>
      <c r="AT25" s="72" t="str">
        <f>IFERROR(IF(d_ss_Bv!V25=0,".",((s_Ir*s_F*s_MLF_snap_bean*(1-EXP(-s_RadSpec!BC25*s_t_b)))/(s_P*s_RadSpec!BC25))),".")</f>
        <v>.</v>
      </c>
      <c r="AU25" s="72" t="str">
        <f>IFERROR(IF(d_ss_Bv!W25=0,".",((s_Ir*s_F*s_MLF_strawberry*(1-EXP(-s_RadSpec!BC25*s_t_b)))/(s_P*s_RadSpec!BC25))),".")</f>
        <v>.</v>
      </c>
      <c r="AV25" s="72" t="str">
        <f>IFERROR(IF(d_ss_Bv!X25=0,".",((s_Ir*s_F*s_MLF_tomato*(1-EXP(-s_RadSpec!BC25*s_t_b)))/(s_P*s_RadSpec!BC25))),".")</f>
        <v>.</v>
      </c>
      <c r="AW25" s="72" t="str">
        <f>IFERROR(IF(d_ss_Bv!Y25=0,".",((s_Ir*s_F*s_MLF_rice*(1-EXP(-s_RadSpec!BC25*s_t_b)))/(s_P*s_RadSpec!BC25))),".")</f>
        <v>.</v>
      </c>
      <c r="AX25" s="72" t="str">
        <f>IFERROR(IF(d_ss_Bv!Z25=0,".",((s_Ir*s_F*s_MLF_cereal*(1-EXP(-s_RadSpec!BC25*s_t_b)))/(s_P*s_RadSpec!BC25))),".")</f>
        <v>.</v>
      </c>
      <c r="AY25" s="72" t="str">
        <f>IFERROR(IF(d_ss_Bv!C25=0,".",((s_Ir*s_F*s_I_f*s_T*(1-EXP(-s_RadSpec!BD25*s_t_v)))/(s_Y_v*s_RadSpec!BD25))),".")</f>
        <v>.</v>
      </c>
      <c r="AZ25" s="72" t="str">
        <f>IFERROR(IF(d_ss_Bv!D25=0,".",((s_Ir*s_F*s_I_f*s_T*(1-EXP(-s_RadSpec!BD25*s_t_v)))/(s_Y_v*s_RadSpec!BD25))),".")</f>
        <v>.</v>
      </c>
      <c r="BA25" s="72" t="str">
        <f>IFERROR(IF(d_ss_Bv!E25=0,".",((s_Ir*s_F*s_I_f*s_T*(1-EXP(-s_RadSpec!BD25*s_t_v)))/(s_Y_v*s_RadSpec!BD25))),".")</f>
        <v>.</v>
      </c>
      <c r="BB25" s="72" t="str">
        <f>IFERROR(IF(d_ss_Bv!F25=0,".",((s_Ir*s_F*s_I_f*s_T*(1-EXP(-s_RadSpec!BD25*s_t_v)))/(s_Y_v*s_RadSpec!BD25))),".")</f>
        <v>.</v>
      </c>
      <c r="BC25" s="72" t="str">
        <f>IFERROR(IF(d_ss_Bv!G25=0,".",((s_Ir*s_F*s_I_f*s_T*(1-EXP(-s_RadSpec!BD25*s_t_v)))/(s_Y_v*s_RadSpec!BD25))),".")</f>
        <v>.</v>
      </c>
      <c r="BD25" s="72" t="str">
        <f>IFERROR(IF(d_ss_Bv!H25=0,".",((s_Ir*s_F*s_I_f*s_T*(1-EXP(-s_RadSpec!BD25*s_t_v)))/(s_Y_v*s_RadSpec!BD25))),".")</f>
        <v>.</v>
      </c>
      <c r="BE25" s="72" t="str">
        <f>IFERROR(IF(d_ss_Bv!I25=0,".",((s_Ir*s_F*s_I_f*s_T*(1-EXP(-s_RadSpec!BD25*s_t_v)))/(s_Y_v*s_RadSpec!BD25))),".")</f>
        <v>.</v>
      </c>
      <c r="BF25" s="72" t="str">
        <f>IFERROR(IF(d_ss_Bv!J25=0,".",((s_Ir*s_F*s_I_f*s_T*(1-EXP(-s_RadSpec!BD25*s_t_v)))/(s_Y_v*s_RadSpec!BD25))),".")</f>
        <v>.</v>
      </c>
      <c r="BG25" s="72" t="str">
        <f>IFERROR(IF(d_ss_Bv!K25=0,".",((s_Ir*s_F*s_I_f*s_T*(1-EXP(-s_RadSpec!BD25*s_t_v)))/(s_Y_v*s_RadSpec!BD25))),".")</f>
        <v>.</v>
      </c>
      <c r="BH25" s="72" t="str">
        <f>IFERROR(IF(d_ss_Bv!L25=0,".",((s_Ir*s_F*s_I_f*s_T*(1-EXP(-s_RadSpec!BD25*s_t_v)))/(s_Y_v*s_RadSpec!BD25))),".")</f>
        <v>.</v>
      </c>
      <c r="BI25" s="72" t="str">
        <f>IFERROR(IF(d_ss_Bv!M25=0,".",((s_Ir*s_F*s_I_f*s_T*(1-EXP(-s_RadSpec!BD25*s_t_v)))/(s_Y_v*s_RadSpec!BD25))),".")</f>
        <v>.</v>
      </c>
      <c r="BJ25" s="72" t="str">
        <f>IFERROR(IF(d_ss_Bv!N25=0,".",((s_Ir*s_F*s_I_f*s_T*(1-EXP(-s_RadSpec!BD25*s_t_v)))/(s_Y_v*s_RadSpec!BD25))),".")</f>
        <v>.</v>
      </c>
      <c r="BK25" s="72" t="str">
        <f>IFERROR(IF(d_ss_Bv!O25=0,".",((s_Ir*s_F*s_I_f*s_T*(1-EXP(-s_RadSpec!BD25*s_t_v)))/(s_Y_v*s_RadSpec!BD25))),".")</f>
        <v>.</v>
      </c>
      <c r="BL25" s="72" t="str">
        <f>IFERROR(IF(d_ss_Bv!P25=0,".",((s_Ir*s_F*s_I_f*s_T*(1-EXP(-s_RadSpec!BD25*s_t_v)))/(s_Y_v*s_RadSpec!BD25))),".")</f>
        <v>.</v>
      </c>
      <c r="BM25" s="72" t="str">
        <f>IFERROR(IF(d_ss_Bv!Q25=0,".",((s_Ir*s_F*s_I_f*s_T*(1-EXP(-s_RadSpec!BD25*s_t_v)))/(s_Y_v*s_RadSpec!BD25))),".")</f>
        <v>.</v>
      </c>
      <c r="BN25" s="72" t="str">
        <f>IFERROR(IF(d_ss_Bv!R25=0,".",((s_Ir*s_F*s_I_f*s_T*(1-EXP(-s_RadSpec!BD25*s_t_v)))/(s_Y_v*s_RadSpec!BD25))),".")</f>
        <v>.</v>
      </c>
      <c r="BO25" s="72" t="str">
        <f>IFERROR(IF(d_ss_Bv!S25=0,".",((s_Ir*s_F*s_I_f*s_T*(1-EXP(-s_RadSpec!BD25*s_t_v)))/(s_Y_v*s_RadSpec!BD25))),".")</f>
        <v>.</v>
      </c>
      <c r="BP25" s="72" t="str">
        <f>IFERROR(IF(d_ss_Bv!T25=0,".",((s_Ir*s_F*s_I_f*s_T*(1-EXP(-s_RadSpec!BD25*s_t_v)))/(s_Y_v*s_RadSpec!BD25))),".")</f>
        <v>.</v>
      </c>
      <c r="BQ25" s="72" t="str">
        <f>IFERROR(IF(d_ss_Bv!U25=0,".",((s_Ir*s_F*s_I_f*s_T*(1-EXP(-s_RadSpec!BD25*s_t_v)))/(s_Y_v*s_RadSpec!BD25))),".")</f>
        <v>.</v>
      </c>
      <c r="BR25" s="72" t="str">
        <f>IFERROR(IF(d_ss_Bv!V25=0,".",((s_Ir*s_F*s_I_f*s_T*(1-EXP(-s_RadSpec!BD25*s_t_v)))/(s_Y_v*s_RadSpec!BD25))),".")</f>
        <v>.</v>
      </c>
      <c r="BS25" s="72" t="str">
        <f>IFERROR(IF(d_ss_Bv!W25=0,".",((s_Ir*s_F*s_I_f*s_T*(1-EXP(-s_RadSpec!BD25*s_t_v)))/(s_Y_v*s_RadSpec!BD25))),".")</f>
        <v>.</v>
      </c>
      <c r="BT25" s="72" t="str">
        <f>IFERROR(IF(d_ss_Bv!X25=0,".",((s_Ir*s_F*s_I_f*s_T*(1-EXP(-s_RadSpec!BD25*s_t_v)))/(s_Y_v*s_RadSpec!BD25))),".")</f>
        <v>.</v>
      </c>
      <c r="BU25" s="72" t="str">
        <f>IFERROR(IF(d_ss_Bv!Y25=0,".",((s_Ir*s_F*s_I_f*s_T*(1-EXP(-s_RadSpec!BD25*s_t_v)))/(s_Y_v*s_RadSpec!BD25))),".")</f>
        <v>.</v>
      </c>
      <c r="BV25" s="72" t="str">
        <f>IFERROR(IF(d_ss_Bv!Z25=0,".",((s_Ir*s_F*s_I_f*s_T*(1-EXP(-s_RadSpec!BD25*s_t_v)))/(s_Y_v*s_RadSpec!BD25))),".")</f>
        <v>.</v>
      </c>
    </row>
    <row r="26" spans="1:74" x14ac:dyDescent="0.25">
      <c r="A26" s="31" t="s">
        <v>24</v>
      </c>
      <c r="B26" s="3" t="s">
        <v>1059</v>
      </c>
      <c r="C26" s="72">
        <f>IFERROR(IF(d_ss_Bv!C26=0,".",((s_Ir*s_F*d_ss_Bv!C26*(1-EXP(-s_RadSpec!$BC26*s_t_b)))/(s_P*s_RadSpec!$BC26))),".")</f>
        <v>9.9350362303732037E-2</v>
      </c>
      <c r="D26" s="72">
        <f>IFERROR(IF(d_ss_Bv!D26=0,".",((s_Ir*s_F*d_ss_Bv!D26*(1-EXP(-s_RadSpec!BC26*s_t_b)))/(s_P*s_RadSpec!BC26))),".")</f>
        <v>0.23844086952895688</v>
      </c>
      <c r="E26" s="72">
        <f>IFERROR(IF(d_ss_Bv!E26=0,".",((s_Ir*s_F*d_ss_Bv!E26*(1-EXP(-s_RadSpec!BC26*s_t_b)))/(s_P*s_RadSpec!BC26))),".")</f>
        <v>0.15896057968597124</v>
      </c>
      <c r="F26" s="72">
        <f>IFERROR(IF(d_ss_Bv!F26=0,".",((s_Ir*s_F*d_ss_Bv!F26*(1-EXP(-s_RadSpec!BC26*s_t_b)))/(s_P*s_RadSpec!BC26))),".")</f>
        <v>9.9350362303732037E-2</v>
      </c>
      <c r="G26" s="72">
        <f>IFERROR(IF(d_ss_Bv!G26=0,".",((s_Ir*s_F*d_ss_Bv!G26*(1-EXP(-s_RadSpec!BC26*s_t_b)))/(s_P*s_RadSpec!BC26))),".")</f>
        <v>0.15498656519382198</v>
      </c>
      <c r="H26" s="72">
        <f>IFERROR(IF(d_ss_Bv!H26=0,".",((s_Ir*s_F*d_ss_Bv!H26*(1-EXP(-s_RadSpec!BC26*s_t_b)))/(s_P*s_RadSpec!BC26))),".")</f>
        <v>0.23844086952895688</v>
      </c>
      <c r="I26" s="72">
        <f>IFERROR(IF(d_ss_Bv!I26=0,".",((s_Ir*s_F*d_ss_Bv!I26*(1-EXP(-s_RadSpec!BC26*s_t_b)))/(s_P*s_RadSpec!BC26))),".")</f>
        <v>0.15896057968597124</v>
      </c>
      <c r="J26" s="72">
        <f>IFERROR(IF(d_ss_Bv!J26=0,".",((s_Ir*s_F*d_ss_Bv!J26*(1-EXP(-s_RadSpec!BC26*s_t_b)))/(s_P*s_RadSpec!BC26))),".")</f>
        <v>9.9350362303732037E-2</v>
      </c>
      <c r="K26" s="72">
        <f>IFERROR(IF(d_ss_Bv!K26=0,".",((s_Ir*s_F*d_ss_Bv!K26*(1-EXP(-s_RadSpec!BC26*s_t_b)))/(s_P*s_RadSpec!BC26))),".")</f>
        <v>0.12716846374877702</v>
      </c>
      <c r="L26" s="72">
        <f>IFERROR(IF(d_ss_Bv!L26=0,".",((s_Ir*s_F*d_ss_Bv!L26*(1-EXP(-s_RadSpec!BC26*s_t_b)))/(s_P*s_RadSpec!BC26))),".")</f>
        <v>0.15498656519382198</v>
      </c>
      <c r="M26" s="72">
        <f>IFERROR(IF(d_ss_Bv!M26=0,".",((s_Ir*s_F*d_ss_Bv!M26*(1-EXP(-s_RadSpec!BC26*s_t_b)))/(s_P*s_RadSpec!BC26))),".")</f>
        <v>0.23844086952895688</v>
      </c>
      <c r="N26" s="72">
        <f>IFERROR(IF(d_ss_Bv!N26=0,".",((s_Ir*s_F*d_ss_Bv!N26*(1-EXP(-s_RadSpec!BC26*s_t_b)))/(s_P*s_RadSpec!BC26))),".")</f>
        <v>0.10531138404195596</v>
      </c>
      <c r="O26" s="72">
        <f>IFERROR(IF(d_ss_Bv!O26=0,".",((s_Ir*s_F*d_ss_Bv!O26*(1-EXP(-s_RadSpec!BC26*s_t_b)))/(s_P*s_RadSpec!BC26))),".")</f>
        <v>0.15498656519382198</v>
      </c>
      <c r="P26" s="72">
        <f>IFERROR(IF(d_ss_Bv!P26=0,".",((s_Ir*s_F*d_ss_Bv!P26*(1-EXP(-s_RadSpec!BC26*s_t_b)))/(s_P*s_RadSpec!BC26))),".")</f>
        <v>0.15498656519382198</v>
      </c>
      <c r="Q26" s="72">
        <f>IFERROR(IF(d_ss_Bv!Q26=0,".",((s_Ir*s_F*d_ss_Bv!Q26*(1-EXP(-s_RadSpec!BC26*s_t_b)))/(s_P*s_RadSpec!BC26))),".")</f>
        <v>9.9350362303732037E-2</v>
      </c>
      <c r="R26" s="72">
        <f>IFERROR(IF(d_ss_Bv!R26=0,".",((s_Ir*s_F*d_ss_Bv!R26*(1-EXP(-s_RadSpec!BC26*s_t_b)))/(s_P*s_RadSpec!BC26))),".")</f>
        <v>9.9350362303732037E-2</v>
      </c>
      <c r="S26" s="72">
        <f>IFERROR(IF(d_ss_Bv!S26=0,".",((s_Ir*s_F*d_ss_Bv!S26*(1-EXP(-s_RadSpec!BC26*s_t_b)))/(s_P*s_RadSpec!BC26))),".")</f>
        <v>0.10531138404195596</v>
      </c>
      <c r="T26" s="72">
        <f>IFERROR(IF(d_ss_Bv!T26=0,".",((s_Ir*s_F*d_ss_Bv!T26*(1-EXP(-s_RadSpec!BC26*s_t_b)))/(s_P*s_RadSpec!BC26))),".")</f>
        <v>3.9740144921492811E-2</v>
      </c>
      <c r="U26" s="72">
        <f>IFERROR(IF(d_ss_Bv!U26=0,".",((s_Ir*s_F*d_ss_Bv!U26*(1-EXP(-s_RadSpec!BC26*s_t_b)))/(s_P*s_RadSpec!BC26))),".")</f>
        <v>0.15498656519382198</v>
      </c>
      <c r="V26" s="72">
        <f>IFERROR(IF(d_ss_Bv!V26=0,".",((s_Ir*s_F*d_ss_Bv!V26*(1-EXP(-s_RadSpec!BC26*s_t_b)))/(s_P*s_RadSpec!BC26))),".")</f>
        <v>0.10531138404195596</v>
      </c>
      <c r="W26" s="72">
        <f>IFERROR(IF(d_ss_Bv!W26=0,".",((s_Ir*s_F*d_ss_Bv!W26*(1-EXP(-s_RadSpec!BC26*s_t_b)))/(s_P*s_RadSpec!BC26))),".")</f>
        <v>9.9350362303732037E-2</v>
      </c>
      <c r="X26" s="72">
        <f>IFERROR(IF(d_ss_Bv!X26=0,".",((s_Ir*s_F*d_ss_Bv!X26*(1-EXP(-s_RadSpec!BC26*s_t_b)))/(s_P*s_RadSpec!BC26))),".")</f>
        <v>0.15498656519382198</v>
      </c>
      <c r="Y26" s="72">
        <f>IFERROR(IF(d_ss_Bv!Y26=0,".",((s_Ir*s_F*d_ss_Bv!Y26*(1-EXP(-s_RadSpec!BC26*s_t_b)))/(s_P*s_RadSpec!BC26))),".")</f>
        <v>3.1792115937194255E-2</v>
      </c>
      <c r="Z26" s="72">
        <f>IFERROR(IF(d_ss_Bv!Z26=0,".",((s_Ir*s_F*d_ss_Bv!Z26*(1-EXP(-s_RadSpec!BC26*s_t_b)))/(s_P*s_RadSpec!BC26))),".")</f>
        <v>0.41727152167567449</v>
      </c>
      <c r="AA26" s="72">
        <f>IFERROR(IF(d_ss_Bv!C26=0,".",((s_Ir*s_F*s_MLF_apple*(1-EXP(-s_RadSpec!BC26*s_t_b)))/(s_P*s_RadSpec!BC26))),".")</f>
        <v>2.6824597822007652</v>
      </c>
      <c r="AB26" s="72">
        <f>IFERROR(IF(d_ss_Bv!D26=0,".",((s_Ir*s_F*s_MLF_asparagus*(1-EXP(-s_RadSpec!BC26*s_t_b)))/(s_P*s_RadSpec!BC26))),".")</f>
        <v>2.6824597822007652</v>
      </c>
      <c r="AC26" s="72">
        <f>IFERROR(IF(d_ss_Bv!E26=0,".",((s_Ir*s_F*s_MLF_beet*(1-EXP(-s_RadSpec!BC26*s_t_b)))/(s_P*s_RadSpec!BC26))),".")</f>
        <v>2.6824597822007652</v>
      </c>
      <c r="AD26" s="72">
        <f>IFERROR(IF(d_ss_Bv!F26=0,".",((s_Ir*s_F*s_MLF_berries*(1-EXP(-s_RadSpec!BC26*s_t_b)))/(s_P*s_RadSpec!BC26))),".")</f>
        <v>2.6824597822007652</v>
      </c>
      <c r="AE26" s="72">
        <f>IFERROR(IF(d_ss_Bv!G26=0,".",((s_Ir*s_F*s_MLF_broccoli*(1-EXP(-s_RadSpec!BC26*s_t_b)))/(s_P*s_RadSpec!BC26))),".")</f>
        <v>2.6824597822007652</v>
      </c>
      <c r="AF26" s="72">
        <f>IFERROR(IF(d_ss_Bv!H26=0,".",((s_Ir*s_F*s_MLF_cabbage*(1-EXP(-s_RadSpec!BC26*s_t_b)))/(s_P*s_RadSpec!BC26))),".")</f>
        <v>2.6824597822007652</v>
      </c>
      <c r="AG26" s="72">
        <f>IFERROR(IF(d_ss_Bv!I26=0,".",((s_Ir*s_F*s_MLF_carrot*(1-EXP(-s_RadSpec!BC26*s_t_b)))/(s_P*s_RadSpec!BC26))),".")</f>
        <v>2.6824597822007652</v>
      </c>
      <c r="AH26" s="72">
        <f>IFERROR(IF(d_ss_Bv!J26=0,".",((s_Ir*s_F*s_MLF_citrus*(1-EXP(-s_RadSpec!BC26*s_t_b)))/(s_P*s_RadSpec!BC26))),".")</f>
        <v>2.6824597822007652</v>
      </c>
      <c r="AI26" s="72">
        <f>IFERROR(IF(d_ss_Bv!K26=0,".",((s_Ir*s_F*s_MLF_corn*(1-EXP(-s_RadSpec!BC26*s_t_b)))/(s_P*s_RadSpec!BC26))),".")</f>
        <v>2.6824597822007652</v>
      </c>
      <c r="AJ26" s="72">
        <f>IFERROR(IF(d_ss_Bv!L26=0,".",((s_Ir*s_F*s_MLF_cucumber*(1-EXP(-s_RadSpec!BC26*s_t_b)))/(s_P*s_RadSpec!BC26))),".")</f>
        <v>2.6824597822007652</v>
      </c>
      <c r="AK26" s="72">
        <f>IFERROR(IF(d_ss_Bv!M26=0,".",((s_Ir*s_F*s_MLF_lettuce*(1-EXP(-s_RadSpec!BC26*s_t_b)))/(s_P*s_RadSpec!BC26))),".")</f>
        <v>2.6824597822007652</v>
      </c>
      <c r="AL26" s="72">
        <f>IFERROR(IF(d_ss_Bv!N26=0,".",((s_Ir*s_F*s_MLF_lima_bean*(1-EXP(-s_RadSpec!BC26*s_t_b)))/(s_P*s_RadSpec!BC26))),".")</f>
        <v>2.6824597822007652</v>
      </c>
      <c r="AM26" s="72">
        <f>IFERROR(IF(d_ss_Bv!O26=0,".",((s_Ir*s_F*s_MLF_okra*(1-EXP(-s_RadSpec!BC26*s_t_b)))/(s_P*s_RadSpec!BC26))),".")</f>
        <v>2.6824597822007652</v>
      </c>
      <c r="AN26" s="72">
        <f>IFERROR(IF(d_ss_Bv!P26=0,".",((s_Ir*s_F*s_MLF_onion*(1-EXP(-s_RadSpec!BC26*s_t_b)))/(s_P*s_RadSpec!BC26))),".")</f>
        <v>2.6824597822007652</v>
      </c>
      <c r="AO26" s="72">
        <f>IFERROR(IF(d_ss_Bv!Q26=0,".",((s_Ir*s_F*s_MLF_peach*(1-EXP(-s_RadSpec!BC26*s_t_b)))/(s_P*s_RadSpec!BC26))),".")</f>
        <v>2.6824597822007652</v>
      </c>
      <c r="AP26" s="72">
        <f>IFERROR(IF(d_ss_Bv!R26=0,".",((s_Ir*s_F*s_MLF_pear*(1-EXP(-s_RadSpec!BC26*s_t_b)))/(s_P*s_RadSpec!BC26))),".")</f>
        <v>2.6824597822007652</v>
      </c>
      <c r="AQ26" s="72">
        <f>IFERROR(IF(d_ss_Bv!S26=0,".",((s_Ir*s_F*s_MLF_peas*(1-EXP(-s_RadSpec!BC26*s_t_b)))/(s_P*s_RadSpec!BC26))),".")</f>
        <v>2.6824597822007652</v>
      </c>
      <c r="AR26" s="72">
        <f>IFERROR(IF(d_ss_Bv!T26=0,".",((s_Ir*s_F*s_MLF_potato*(1-EXP(-s_RadSpec!BC26*s_t_b)))/(s_P*s_RadSpec!BC26))),".")</f>
        <v>2.6824597822007652</v>
      </c>
      <c r="AS26" s="72">
        <f>IFERROR(IF(d_ss_Bv!U26=0,".",((s_Ir*s_F*s_MLF_pumpkin*(1-EXP(-s_RadSpec!BC26*s_t_b)))/(s_P*s_RadSpec!BC26))),".")</f>
        <v>2.6824597822007652</v>
      </c>
      <c r="AT26" s="72">
        <f>IFERROR(IF(d_ss_Bv!V26=0,".",((s_Ir*s_F*s_MLF_snap_bean*(1-EXP(-s_RadSpec!BC26*s_t_b)))/(s_P*s_RadSpec!BC26))),".")</f>
        <v>2.6824597822007652</v>
      </c>
      <c r="AU26" s="72">
        <f>IFERROR(IF(d_ss_Bv!W26=0,".",((s_Ir*s_F*s_MLF_strawberry*(1-EXP(-s_RadSpec!BC26*s_t_b)))/(s_P*s_RadSpec!BC26))),".")</f>
        <v>2.6824597822007652</v>
      </c>
      <c r="AV26" s="72">
        <f>IFERROR(IF(d_ss_Bv!X26=0,".",((s_Ir*s_F*s_MLF_tomato*(1-EXP(-s_RadSpec!BC26*s_t_b)))/(s_P*s_RadSpec!BC26))),".")</f>
        <v>2.6824597822007652</v>
      </c>
      <c r="AW26" s="72">
        <f>IFERROR(IF(d_ss_Bv!Y26=0,".",((s_Ir*s_F*s_MLF_rice*(1-EXP(-s_RadSpec!BC26*s_t_b)))/(s_P*s_RadSpec!BC26))),".")</f>
        <v>2.6824597822007652</v>
      </c>
      <c r="AX26" s="72">
        <f>IFERROR(IF(d_ss_Bv!Z26=0,".",((s_Ir*s_F*s_MLF_cereal*(1-EXP(-s_RadSpec!BC26*s_t_b)))/(s_P*s_RadSpec!BC26))),".")</f>
        <v>2.6824597822007652</v>
      </c>
      <c r="AY26" s="72">
        <f>IFERROR(IF(d_ss_Bv!C26=0,".",((s_Ir*s_F*s_I_f*s_T*(1-EXP(-s_RadSpec!BD26*s_t_v)))/(s_Y_v*s_RadSpec!BD26))),".")</f>
        <v>9.0143481925428208</v>
      </c>
      <c r="AZ26" s="72">
        <f>IFERROR(IF(d_ss_Bv!D26=0,".",((s_Ir*s_F*s_I_f*s_T*(1-EXP(-s_RadSpec!BD26*s_t_v)))/(s_Y_v*s_RadSpec!BD26))),".")</f>
        <v>9.0143481925428208</v>
      </c>
      <c r="BA26" s="72">
        <f>IFERROR(IF(d_ss_Bv!E26=0,".",((s_Ir*s_F*s_I_f*s_T*(1-EXP(-s_RadSpec!BD26*s_t_v)))/(s_Y_v*s_RadSpec!BD26))),".")</f>
        <v>9.0143481925428208</v>
      </c>
      <c r="BB26" s="72">
        <f>IFERROR(IF(d_ss_Bv!F26=0,".",((s_Ir*s_F*s_I_f*s_T*(1-EXP(-s_RadSpec!BD26*s_t_v)))/(s_Y_v*s_RadSpec!BD26))),".")</f>
        <v>9.0143481925428208</v>
      </c>
      <c r="BC26" s="72">
        <f>IFERROR(IF(d_ss_Bv!G26=0,".",((s_Ir*s_F*s_I_f*s_T*(1-EXP(-s_RadSpec!BD26*s_t_v)))/(s_Y_v*s_RadSpec!BD26))),".")</f>
        <v>9.0143481925428208</v>
      </c>
      <c r="BD26" s="72">
        <f>IFERROR(IF(d_ss_Bv!H26=0,".",((s_Ir*s_F*s_I_f*s_T*(1-EXP(-s_RadSpec!BD26*s_t_v)))/(s_Y_v*s_RadSpec!BD26))),".")</f>
        <v>9.0143481925428208</v>
      </c>
      <c r="BE26" s="72">
        <f>IFERROR(IF(d_ss_Bv!I26=0,".",((s_Ir*s_F*s_I_f*s_T*(1-EXP(-s_RadSpec!BD26*s_t_v)))/(s_Y_v*s_RadSpec!BD26))),".")</f>
        <v>9.0143481925428208</v>
      </c>
      <c r="BF26" s="72">
        <f>IFERROR(IF(d_ss_Bv!J26=0,".",((s_Ir*s_F*s_I_f*s_T*(1-EXP(-s_RadSpec!BD26*s_t_v)))/(s_Y_v*s_RadSpec!BD26))),".")</f>
        <v>9.0143481925428208</v>
      </c>
      <c r="BG26" s="72">
        <f>IFERROR(IF(d_ss_Bv!K26=0,".",((s_Ir*s_F*s_I_f*s_T*(1-EXP(-s_RadSpec!BD26*s_t_v)))/(s_Y_v*s_RadSpec!BD26))),".")</f>
        <v>9.0143481925428208</v>
      </c>
      <c r="BH26" s="72">
        <f>IFERROR(IF(d_ss_Bv!L26=0,".",((s_Ir*s_F*s_I_f*s_T*(1-EXP(-s_RadSpec!BD26*s_t_v)))/(s_Y_v*s_RadSpec!BD26))),".")</f>
        <v>9.0143481925428208</v>
      </c>
      <c r="BI26" s="72">
        <f>IFERROR(IF(d_ss_Bv!M26=0,".",((s_Ir*s_F*s_I_f*s_T*(1-EXP(-s_RadSpec!BD26*s_t_v)))/(s_Y_v*s_RadSpec!BD26))),".")</f>
        <v>9.0143481925428208</v>
      </c>
      <c r="BJ26" s="72">
        <f>IFERROR(IF(d_ss_Bv!N26=0,".",((s_Ir*s_F*s_I_f*s_T*(1-EXP(-s_RadSpec!BD26*s_t_v)))/(s_Y_v*s_RadSpec!BD26))),".")</f>
        <v>9.0143481925428208</v>
      </c>
      <c r="BK26" s="72">
        <f>IFERROR(IF(d_ss_Bv!O26=0,".",((s_Ir*s_F*s_I_f*s_T*(1-EXP(-s_RadSpec!BD26*s_t_v)))/(s_Y_v*s_RadSpec!BD26))),".")</f>
        <v>9.0143481925428208</v>
      </c>
      <c r="BL26" s="72">
        <f>IFERROR(IF(d_ss_Bv!P26=0,".",((s_Ir*s_F*s_I_f*s_T*(1-EXP(-s_RadSpec!BD26*s_t_v)))/(s_Y_v*s_RadSpec!BD26))),".")</f>
        <v>9.0143481925428208</v>
      </c>
      <c r="BM26" s="72">
        <f>IFERROR(IF(d_ss_Bv!Q26=0,".",((s_Ir*s_F*s_I_f*s_T*(1-EXP(-s_RadSpec!BD26*s_t_v)))/(s_Y_v*s_RadSpec!BD26))),".")</f>
        <v>9.0143481925428208</v>
      </c>
      <c r="BN26" s="72">
        <f>IFERROR(IF(d_ss_Bv!R26=0,".",((s_Ir*s_F*s_I_f*s_T*(1-EXP(-s_RadSpec!BD26*s_t_v)))/(s_Y_v*s_RadSpec!BD26))),".")</f>
        <v>9.0143481925428208</v>
      </c>
      <c r="BO26" s="72">
        <f>IFERROR(IF(d_ss_Bv!S26=0,".",((s_Ir*s_F*s_I_f*s_T*(1-EXP(-s_RadSpec!BD26*s_t_v)))/(s_Y_v*s_RadSpec!BD26))),".")</f>
        <v>9.0143481925428208</v>
      </c>
      <c r="BP26" s="72">
        <f>IFERROR(IF(d_ss_Bv!T26=0,".",((s_Ir*s_F*s_I_f*s_T*(1-EXP(-s_RadSpec!BD26*s_t_v)))/(s_Y_v*s_RadSpec!BD26))),".")</f>
        <v>9.0143481925428208</v>
      </c>
      <c r="BQ26" s="72">
        <f>IFERROR(IF(d_ss_Bv!U26=0,".",((s_Ir*s_F*s_I_f*s_T*(1-EXP(-s_RadSpec!BD26*s_t_v)))/(s_Y_v*s_RadSpec!BD26))),".")</f>
        <v>9.0143481925428208</v>
      </c>
      <c r="BR26" s="72">
        <f>IFERROR(IF(d_ss_Bv!V26=0,".",((s_Ir*s_F*s_I_f*s_T*(1-EXP(-s_RadSpec!BD26*s_t_v)))/(s_Y_v*s_RadSpec!BD26))),".")</f>
        <v>9.0143481925428208</v>
      </c>
      <c r="BS26" s="72">
        <f>IFERROR(IF(d_ss_Bv!W26=0,".",((s_Ir*s_F*s_I_f*s_T*(1-EXP(-s_RadSpec!BD26*s_t_v)))/(s_Y_v*s_RadSpec!BD26))),".")</f>
        <v>9.0143481925428208</v>
      </c>
      <c r="BT26" s="72">
        <f>IFERROR(IF(d_ss_Bv!X26=0,".",((s_Ir*s_F*s_I_f*s_T*(1-EXP(-s_RadSpec!BD26*s_t_v)))/(s_Y_v*s_RadSpec!BD26))),".")</f>
        <v>9.0143481925428208</v>
      </c>
      <c r="BU26" s="72">
        <f>IFERROR(IF(d_ss_Bv!Y26=0,".",((s_Ir*s_F*s_I_f*s_T*(1-EXP(-s_RadSpec!BD26*s_t_v)))/(s_Y_v*s_RadSpec!BD26))),".")</f>
        <v>9.0143481925428208</v>
      </c>
      <c r="BV26" s="72">
        <f>IFERROR(IF(d_ss_Bv!Z26=0,".",((s_Ir*s_F*s_I_f*s_T*(1-EXP(-s_RadSpec!BD26*s_t_v)))/(s_Y_v*s_RadSpec!BD26))),".")</f>
        <v>9.0143481925428208</v>
      </c>
    </row>
    <row r="27" spans="1:74" x14ac:dyDescent="0.25">
      <c r="A27" s="31" t="s">
        <v>25</v>
      </c>
      <c r="B27" s="3" t="s">
        <v>1059</v>
      </c>
      <c r="C27" s="72">
        <f>IFERROR(IF(d_ss_Bv!C27=0,".",((s_Ir*s_F*d_ss_Bv!C27*(1-EXP(-s_RadSpec!$BC27*s_t_b)))/(s_P*s_RadSpec!$BC27))),".")</f>
        <v>1.5896057968597128E-2</v>
      </c>
      <c r="D27" s="72">
        <f>IFERROR(IF(d_ss_Bv!D27=0,".",((s_Ir*s_F*d_ss_Bv!D27*(1-EXP(-s_RadSpec!BC27*s_t_b)))/(s_P*s_RadSpec!BC27))),".")</f>
        <v>0.15896057968597124</v>
      </c>
      <c r="E27" s="72">
        <f>IFERROR(IF(d_ss_Bv!E27=0,".",((s_Ir*s_F*d_ss_Bv!E27*(1-EXP(-s_RadSpec!BC27*s_t_b)))/(s_P*s_RadSpec!BC27))),".")</f>
        <v>1.5896057968597128E-2</v>
      </c>
      <c r="F27" s="72">
        <f>IFERROR(IF(d_ss_Bv!F27=0,".",((s_Ir*s_F*d_ss_Bv!F27*(1-EXP(-s_RadSpec!BC27*s_t_b)))/(s_P*s_RadSpec!BC27))),".")</f>
        <v>1.5896057968597128E-2</v>
      </c>
      <c r="G27" s="72">
        <f>IFERROR(IF(d_ss_Bv!G27=0,".",((s_Ir*s_F*d_ss_Bv!G27*(1-EXP(-s_RadSpec!BC27*s_t_b)))/(s_P*s_RadSpec!BC27))),".")</f>
        <v>1.5896057968597128E-2</v>
      </c>
      <c r="H27" s="72">
        <f>IFERROR(IF(d_ss_Bv!H27=0,".",((s_Ir*s_F*d_ss_Bv!H27*(1-EXP(-s_RadSpec!BC27*s_t_b)))/(s_P*s_RadSpec!BC27))),".")</f>
        <v>0.15896057968597124</v>
      </c>
      <c r="I27" s="72">
        <f>IFERROR(IF(d_ss_Bv!I27=0,".",((s_Ir*s_F*d_ss_Bv!I27*(1-EXP(-s_RadSpec!BC27*s_t_b)))/(s_P*s_RadSpec!BC27))),".")</f>
        <v>1.5896057968597128E-2</v>
      </c>
      <c r="J27" s="72">
        <f>IFERROR(IF(d_ss_Bv!J27=0,".",((s_Ir*s_F*d_ss_Bv!J27*(1-EXP(-s_RadSpec!BC27*s_t_b)))/(s_P*s_RadSpec!BC27))),".")</f>
        <v>1.5896057968597128E-2</v>
      </c>
      <c r="K27" s="72">
        <f>IFERROR(IF(d_ss_Bv!K27=0,".",((s_Ir*s_F*d_ss_Bv!K27*(1-EXP(-s_RadSpec!BC27*s_t_b)))/(s_P*s_RadSpec!BC27))),".")</f>
        <v>1.5896057968597128E-2</v>
      </c>
      <c r="L27" s="72">
        <f>IFERROR(IF(d_ss_Bv!L27=0,".",((s_Ir*s_F*d_ss_Bv!L27*(1-EXP(-s_RadSpec!BC27*s_t_b)))/(s_P*s_RadSpec!BC27))),".")</f>
        <v>1.5896057968597128E-2</v>
      </c>
      <c r="M27" s="72">
        <f>IFERROR(IF(d_ss_Bv!M27=0,".",((s_Ir*s_F*d_ss_Bv!M27*(1-EXP(-s_RadSpec!BC27*s_t_b)))/(s_P*s_RadSpec!BC27))),".")</f>
        <v>0.15896057968597124</v>
      </c>
      <c r="N27" s="72">
        <f>IFERROR(IF(d_ss_Bv!N27=0,".",((s_Ir*s_F*d_ss_Bv!N27*(1-EXP(-s_RadSpec!BC27*s_t_b)))/(s_P*s_RadSpec!BC27))),".")</f>
        <v>1.5896057968597128E-2</v>
      </c>
      <c r="O27" s="72">
        <f>IFERROR(IF(d_ss_Bv!O27=0,".",((s_Ir*s_F*d_ss_Bv!O27*(1-EXP(-s_RadSpec!BC27*s_t_b)))/(s_P*s_RadSpec!BC27))),".")</f>
        <v>1.5896057968597128E-2</v>
      </c>
      <c r="P27" s="72">
        <f>IFERROR(IF(d_ss_Bv!P27=0,".",((s_Ir*s_F*d_ss_Bv!P27*(1-EXP(-s_RadSpec!BC27*s_t_b)))/(s_P*s_RadSpec!BC27))),".")</f>
        <v>1.5896057968597128E-2</v>
      </c>
      <c r="Q27" s="72">
        <f>IFERROR(IF(d_ss_Bv!Q27=0,".",((s_Ir*s_F*d_ss_Bv!Q27*(1-EXP(-s_RadSpec!BC27*s_t_b)))/(s_P*s_RadSpec!BC27))),".")</f>
        <v>1.5896057968597128E-2</v>
      </c>
      <c r="R27" s="72">
        <f>IFERROR(IF(d_ss_Bv!R27=0,".",((s_Ir*s_F*d_ss_Bv!R27*(1-EXP(-s_RadSpec!BC27*s_t_b)))/(s_P*s_RadSpec!BC27))),".")</f>
        <v>1.5896057968597128E-2</v>
      </c>
      <c r="S27" s="72">
        <f>IFERROR(IF(d_ss_Bv!S27=0,".",((s_Ir*s_F*d_ss_Bv!S27*(1-EXP(-s_RadSpec!BC27*s_t_b)))/(s_P*s_RadSpec!BC27))),".")</f>
        <v>1.5896057968597128E-2</v>
      </c>
      <c r="T27" s="72">
        <f>IFERROR(IF(d_ss_Bv!T27=0,".",((s_Ir*s_F*d_ss_Bv!T27*(1-EXP(-s_RadSpec!BC27*s_t_b)))/(s_P*s_RadSpec!BC27))),".")</f>
        <v>1.5896057968597128E-2</v>
      </c>
      <c r="U27" s="72">
        <f>IFERROR(IF(d_ss_Bv!U27=0,".",((s_Ir*s_F*d_ss_Bv!U27*(1-EXP(-s_RadSpec!BC27*s_t_b)))/(s_P*s_RadSpec!BC27))),".")</f>
        <v>1.5896057968597128E-2</v>
      </c>
      <c r="V27" s="72">
        <f>IFERROR(IF(d_ss_Bv!V27=0,".",((s_Ir*s_F*d_ss_Bv!V27*(1-EXP(-s_RadSpec!BC27*s_t_b)))/(s_P*s_RadSpec!BC27))),".")</f>
        <v>1.5896057968597128E-2</v>
      </c>
      <c r="W27" s="72">
        <f>IFERROR(IF(d_ss_Bv!W27=0,".",((s_Ir*s_F*d_ss_Bv!W27*(1-EXP(-s_RadSpec!BC27*s_t_b)))/(s_P*s_RadSpec!BC27))),".")</f>
        <v>1.5896057968597128E-2</v>
      </c>
      <c r="X27" s="72">
        <f>IFERROR(IF(d_ss_Bv!X27=0,".",((s_Ir*s_F*d_ss_Bv!X27*(1-EXP(-s_RadSpec!BC27*s_t_b)))/(s_P*s_RadSpec!BC27))),".")</f>
        <v>1.5896057968597128E-2</v>
      </c>
      <c r="Y27" s="72">
        <f>IFERROR(IF(d_ss_Bv!Y27=0,".",((s_Ir*s_F*d_ss_Bv!Y27*(1-EXP(-s_RadSpec!BC27*s_t_b)))/(s_P*s_RadSpec!BC27))),".")</f>
        <v>39.740144921492814</v>
      </c>
      <c r="Z27" s="72">
        <f>IFERROR(IF(d_ss_Bv!Z27=0,".",((s_Ir*s_F*d_ss_Bv!Z27*(1-EXP(-s_RadSpec!BC27*s_t_b)))/(s_P*s_RadSpec!BC27))),".")</f>
        <v>39.740144921492814</v>
      </c>
      <c r="AA27" s="72">
        <f>IFERROR(IF(d_ss_Bv!C27=0,".",((s_Ir*s_F*s_MLF_apple*(1-EXP(-s_RadSpec!BC27*s_t_b)))/(s_P*s_RadSpec!BC27))),".")</f>
        <v>2.6824597822007652</v>
      </c>
      <c r="AB27" s="72">
        <f>IFERROR(IF(d_ss_Bv!D27=0,".",((s_Ir*s_F*s_MLF_asparagus*(1-EXP(-s_RadSpec!BC27*s_t_b)))/(s_P*s_RadSpec!BC27))),".")</f>
        <v>2.6824597822007652</v>
      </c>
      <c r="AC27" s="72">
        <f>IFERROR(IF(d_ss_Bv!E27=0,".",((s_Ir*s_F*s_MLF_beet*(1-EXP(-s_RadSpec!BC27*s_t_b)))/(s_P*s_RadSpec!BC27))),".")</f>
        <v>2.6824597822007652</v>
      </c>
      <c r="AD27" s="72">
        <f>IFERROR(IF(d_ss_Bv!F27=0,".",((s_Ir*s_F*s_MLF_berries*(1-EXP(-s_RadSpec!BC27*s_t_b)))/(s_P*s_RadSpec!BC27))),".")</f>
        <v>2.6824597822007652</v>
      </c>
      <c r="AE27" s="72">
        <f>IFERROR(IF(d_ss_Bv!G27=0,".",((s_Ir*s_F*s_MLF_broccoli*(1-EXP(-s_RadSpec!BC27*s_t_b)))/(s_P*s_RadSpec!BC27))),".")</f>
        <v>2.6824597822007652</v>
      </c>
      <c r="AF27" s="72">
        <f>IFERROR(IF(d_ss_Bv!H27=0,".",((s_Ir*s_F*s_MLF_cabbage*(1-EXP(-s_RadSpec!BC27*s_t_b)))/(s_P*s_RadSpec!BC27))),".")</f>
        <v>2.6824597822007652</v>
      </c>
      <c r="AG27" s="72">
        <f>IFERROR(IF(d_ss_Bv!I27=0,".",((s_Ir*s_F*s_MLF_carrot*(1-EXP(-s_RadSpec!BC27*s_t_b)))/(s_P*s_RadSpec!BC27))),".")</f>
        <v>2.6824597822007652</v>
      </c>
      <c r="AH27" s="72">
        <f>IFERROR(IF(d_ss_Bv!J27=0,".",((s_Ir*s_F*s_MLF_citrus*(1-EXP(-s_RadSpec!BC27*s_t_b)))/(s_P*s_RadSpec!BC27))),".")</f>
        <v>2.6824597822007652</v>
      </c>
      <c r="AI27" s="72">
        <f>IFERROR(IF(d_ss_Bv!K27=0,".",((s_Ir*s_F*s_MLF_corn*(1-EXP(-s_RadSpec!BC27*s_t_b)))/(s_P*s_RadSpec!BC27))),".")</f>
        <v>2.6824597822007652</v>
      </c>
      <c r="AJ27" s="72">
        <f>IFERROR(IF(d_ss_Bv!L27=0,".",((s_Ir*s_F*s_MLF_cucumber*(1-EXP(-s_RadSpec!BC27*s_t_b)))/(s_P*s_RadSpec!BC27))),".")</f>
        <v>2.6824597822007652</v>
      </c>
      <c r="AK27" s="72">
        <f>IFERROR(IF(d_ss_Bv!M27=0,".",((s_Ir*s_F*s_MLF_lettuce*(1-EXP(-s_RadSpec!BC27*s_t_b)))/(s_P*s_RadSpec!BC27))),".")</f>
        <v>2.6824597822007652</v>
      </c>
      <c r="AL27" s="72">
        <f>IFERROR(IF(d_ss_Bv!N27=0,".",((s_Ir*s_F*s_MLF_lima_bean*(1-EXP(-s_RadSpec!BC27*s_t_b)))/(s_P*s_RadSpec!BC27))),".")</f>
        <v>2.6824597822007652</v>
      </c>
      <c r="AM27" s="72">
        <f>IFERROR(IF(d_ss_Bv!O27=0,".",((s_Ir*s_F*s_MLF_okra*(1-EXP(-s_RadSpec!BC27*s_t_b)))/(s_P*s_RadSpec!BC27))),".")</f>
        <v>2.6824597822007652</v>
      </c>
      <c r="AN27" s="72">
        <f>IFERROR(IF(d_ss_Bv!P27=0,".",((s_Ir*s_F*s_MLF_onion*(1-EXP(-s_RadSpec!BC27*s_t_b)))/(s_P*s_RadSpec!BC27))),".")</f>
        <v>2.6824597822007652</v>
      </c>
      <c r="AO27" s="72">
        <f>IFERROR(IF(d_ss_Bv!Q27=0,".",((s_Ir*s_F*s_MLF_peach*(1-EXP(-s_RadSpec!BC27*s_t_b)))/(s_P*s_RadSpec!BC27))),".")</f>
        <v>2.6824597822007652</v>
      </c>
      <c r="AP27" s="72">
        <f>IFERROR(IF(d_ss_Bv!R27=0,".",((s_Ir*s_F*s_MLF_pear*(1-EXP(-s_RadSpec!BC27*s_t_b)))/(s_P*s_RadSpec!BC27))),".")</f>
        <v>2.6824597822007652</v>
      </c>
      <c r="AQ27" s="72">
        <f>IFERROR(IF(d_ss_Bv!S27=0,".",((s_Ir*s_F*s_MLF_peas*(1-EXP(-s_RadSpec!BC27*s_t_b)))/(s_P*s_RadSpec!BC27))),".")</f>
        <v>2.6824597822007652</v>
      </c>
      <c r="AR27" s="72">
        <f>IFERROR(IF(d_ss_Bv!T27=0,".",((s_Ir*s_F*s_MLF_potato*(1-EXP(-s_RadSpec!BC27*s_t_b)))/(s_P*s_RadSpec!BC27))),".")</f>
        <v>2.6824597822007652</v>
      </c>
      <c r="AS27" s="72">
        <f>IFERROR(IF(d_ss_Bv!U27=0,".",((s_Ir*s_F*s_MLF_pumpkin*(1-EXP(-s_RadSpec!BC27*s_t_b)))/(s_P*s_RadSpec!BC27))),".")</f>
        <v>2.6824597822007652</v>
      </c>
      <c r="AT27" s="72">
        <f>IFERROR(IF(d_ss_Bv!V27=0,".",((s_Ir*s_F*s_MLF_snap_bean*(1-EXP(-s_RadSpec!BC27*s_t_b)))/(s_P*s_RadSpec!BC27))),".")</f>
        <v>2.6824597822007652</v>
      </c>
      <c r="AU27" s="72">
        <f>IFERROR(IF(d_ss_Bv!W27=0,".",((s_Ir*s_F*s_MLF_strawberry*(1-EXP(-s_RadSpec!BC27*s_t_b)))/(s_P*s_RadSpec!BC27))),".")</f>
        <v>2.6824597822007652</v>
      </c>
      <c r="AV27" s="72">
        <f>IFERROR(IF(d_ss_Bv!X27=0,".",((s_Ir*s_F*s_MLF_tomato*(1-EXP(-s_RadSpec!BC27*s_t_b)))/(s_P*s_RadSpec!BC27))),".")</f>
        <v>2.6824597822007652</v>
      </c>
      <c r="AW27" s="72">
        <f>IFERROR(IF(d_ss_Bv!Y27=0,".",((s_Ir*s_F*s_MLF_rice*(1-EXP(-s_RadSpec!BC27*s_t_b)))/(s_P*s_RadSpec!BC27))),".")</f>
        <v>2.6824597822007652</v>
      </c>
      <c r="AX27" s="72">
        <f>IFERROR(IF(d_ss_Bv!Z27=0,".",((s_Ir*s_F*s_MLF_cereal*(1-EXP(-s_RadSpec!BC27*s_t_b)))/(s_P*s_RadSpec!BC27))),".")</f>
        <v>2.6824597822007652</v>
      </c>
      <c r="AY27" s="72">
        <f>IFERROR(IF(d_ss_Bv!C27=0,".",((s_Ir*s_F*s_I_f*s_T*(1-EXP(-s_RadSpec!BD27*s_t_v)))/(s_Y_v*s_RadSpec!BD27))),".")</f>
        <v>9.0143481925428208</v>
      </c>
      <c r="AZ27" s="72">
        <f>IFERROR(IF(d_ss_Bv!D27=0,".",((s_Ir*s_F*s_I_f*s_T*(1-EXP(-s_RadSpec!BD27*s_t_v)))/(s_Y_v*s_RadSpec!BD27))),".")</f>
        <v>9.0143481925428208</v>
      </c>
      <c r="BA27" s="72">
        <f>IFERROR(IF(d_ss_Bv!E27=0,".",((s_Ir*s_F*s_I_f*s_T*(1-EXP(-s_RadSpec!BD27*s_t_v)))/(s_Y_v*s_RadSpec!BD27))),".")</f>
        <v>9.0143481925428208</v>
      </c>
      <c r="BB27" s="72">
        <f>IFERROR(IF(d_ss_Bv!F27=0,".",((s_Ir*s_F*s_I_f*s_T*(1-EXP(-s_RadSpec!BD27*s_t_v)))/(s_Y_v*s_RadSpec!BD27))),".")</f>
        <v>9.0143481925428208</v>
      </c>
      <c r="BC27" s="72">
        <f>IFERROR(IF(d_ss_Bv!G27=0,".",((s_Ir*s_F*s_I_f*s_T*(1-EXP(-s_RadSpec!BD27*s_t_v)))/(s_Y_v*s_RadSpec!BD27))),".")</f>
        <v>9.0143481925428208</v>
      </c>
      <c r="BD27" s="72">
        <f>IFERROR(IF(d_ss_Bv!H27=0,".",((s_Ir*s_F*s_I_f*s_T*(1-EXP(-s_RadSpec!BD27*s_t_v)))/(s_Y_v*s_RadSpec!BD27))),".")</f>
        <v>9.0143481925428208</v>
      </c>
      <c r="BE27" s="72">
        <f>IFERROR(IF(d_ss_Bv!I27=0,".",((s_Ir*s_F*s_I_f*s_T*(1-EXP(-s_RadSpec!BD27*s_t_v)))/(s_Y_v*s_RadSpec!BD27))),".")</f>
        <v>9.0143481925428208</v>
      </c>
      <c r="BF27" s="72">
        <f>IFERROR(IF(d_ss_Bv!J27=0,".",((s_Ir*s_F*s_I_f*s_T*(1-EXP(-s_RadSpec!BD27*s_t_v)))/(s_Y_v*s_RadSpec!BD27))),".")</f>
        <v>9.0143481925428208</v>
      </c>
      <c r="BG27" s="72">
        <f>IFERROR(IF(d_ss_Bv!K27=0,".",((s_Ir*s_F*s_I_f*s_T*(1-EXP(-s_RadSpec!BD27*s_t_v)))/(s_Y_v*s_RadSpec!BD27))),".")</f>
        <v>9.0143481925428208</v>
      </c>
      <c r="BH27" s="72">
        <f>IFERROR(IF(d_ss_Bv!L27=0,".",((s_Ir*s_F*s_I_f*s_T*(1-EXP(-s_RadSpec!BD27*s_t_v)))/(s_Y_v*s_RadSpec!BD27))),".")</f>
        <v>9.0143481925428208</v>
      </c>
      <c r="BI27" s="72">
        <f>IFERROR(IF(d_ss_Bv!M27=0,".",((s_Ir*s_F*s_I_f*s_T*(1-EXP(-s_RadSpec!BD27*s_t_v)))/(s_Y_v*s_RadSpec!BD27))),".")</f>
        <v>9.0143481925428208</v>
      </c>
      <c r="BJ27" s="72">
        <f>IFERROR(IF(d_ss_Bv!N27=0,".",((s_Ir*s_F*s_I_f*s_T*(1-EXP(-s_RadSpec!BD27*s_t_v)))/(s_Y_v*s_RadSpec!BD27))),".")</f>
        <v>9.0143481925428208</v>
      </c>
      <c r="BK27" s="72">
        <f>IFERROR(IF(d_ss_Bv!O27=0,".",((s_Ir*s_F*s_I_f*s_T*(1-EXP(-s_RadSpec!BD27*s_t_v)))/(s_Y_v*s_RadSpec!BD27))),".")</f>
        <v>9.0143481925428208</v>
      </c>
      <c r="BL27" s="72">
        <f>IFERROR(IF(d_ss_Bv!P27=0,".",((s_Ir*s_F*s_I_f*s_T*(1-EXP(-s_RadSpec!BD27*s_t_v)))/(s_Y_v*s_RadSpec!BD27))),".")</f>
        <v>9.0143481925428208</v>
      </c>
      <c r="BM27" s="72">
        <f>IFERROR(IF(d_ss_Bv!Q27=0,".",((s_Ir*s_F*s_I_f*s_T*(1-EXP(-s_RadSpec!BD27*s_t_v)))/(s_Y_v*s_RadSpec!BD27))),".")</f>
        <v>9.0143481925428208</v>
      </c>
      <c r="BN27" s="72">
        <f>IFERROR(IF(d_ss_Bv!R27=0,".",((s_Ir*s_F*s_I_f*s_T*(1-EXP(-s_RadSpec!BD27*s_t_v)))/(s_Y_v*s_RadSpec!BD27))),".")</f>
        <v>9.0143481925428208</v>
      </c>
      <c r="BO27" s="72">
        <f>IFERROR(IF(d_ss_Bv!S27=0,".",((s_Ir*s_F*s_I_f*s_T*(1-EXP(-s_RadSpec!BD27*s_t_v)))/(s_Y_v*s_RadSpec!BD27))),".")</f>
        <v>9.0143481925428208</v>
      </c>
      <c r="BP27" s="72">
        <f>IFERROR(IF(d_ss_Bv!T27=0,".",((s_Ir*s_F*s_I_f*s_T*(1-EXP(-s_RadSpec!BD27*s_t_v)))/(s_Y_v*s_RadSpec!BD27))),".")</f>
        <v>9.0143481925428208</v>
      </c>
      <c r="BQ27" s="72">
        <f>IFERROR(IF(d_ss_Bv!U27=0,".",((s_Ir*s_F*s_I_f*s_T*(1-EXP(-s_RadSpec!BD27*s_t_v)))/(s_Y_v*s_RadSpec!BD27))),".")</f>
        <v>9.0143481925428208</v>
      </c>
      <c r="BR27" s="72">
        <f>IFERROR(IF(d_ss_Bv!V27=0,".",((s_Ir*s_F*s_I_f*s_T*(1-EXP(-s_RadSpec!BD27*s_t_v)))/(s_Y_v*s_RadSpec!BD27))),".")</f>
        <v>9.0143481925428208</v>
      </c>
      <c r="BS27" s="72">
        <f>IFERROR(IF(d_ss_Bv!W27=0,".",((s_Ir*s_F*s_I_f*s_T*(1-EXP(-s_RadSpec!BD27*s_t_v)))/(s_Y_v*s_RadSpec!BD27))),".")</f>
        <v>9.0143481925428208</v>
      </c>
      <c r="BT27" s="72">
        <f>IFERROR(IF(d_ss_Bv!X27=0,".",((s_Ir*s_F*s_I_f*s_T*(1-EXP(-s_RadSpec!BD27*s_t_v)))/(s_Y_v*s_RadSpec!BD27))),".")</f>
        <v>9.0143481925428208</v>
      </c>
      <c r="BU27" s="72">
        <f>IFERROR(IF(d_ss_Bv!Y27=0,".",((s_Ir*s_F*s_I_f*s_T*(1-EXP(-s_RadSpec!BD27*s_t_v)))/(s_Y_v*s_RadSpec!BD27))),".")</f>
        <v>9.0143481925428208</v>
      </c>
      <c r="BV27" s="72">
        <f>IFERROR(IF(d_ss_Bv!Z27=0,".",((s_Ir*s_F*s_I_f*s_T*(1-EXP(-s_RadSpec!BD27*s_t_v)))/(s_Y_v*s_RadSpec!BD27))),".")</f>
        <v>9.0143481925428208</v>
      </c>
    </row>
    <row r="28" spans="1:74" x14ac:dyDescent="0.25">
      <c r="A28" s="31" t="s">
        <v>26</v>
      </c>
      <c r="B28" s="3" t="s">
        <v>1059</v>
      </c>
      <c r="C28" s="72">
        <f>IFERROR(IF(d_ss_Bv!C28=0,".",((s_Ir*s_F*d_ss_Bv!C28*(1-EXP(-s_RadSpec!$BC28*s_t_b)))/(s_P*s_RadSpec!$BC28))),".")</f>
        <v>1.5896057968597128E-2</v>
      </c>
      <c r="D28" s="72">
        <f>IFERROR(IF(d_ss_Bv!D28=0,".",((s_Ir*s_F*d_ss_Bv!D28*(1-EXP(-s_RadSpec!BC28*s_t_b)))/(s_P*s_RadSpec!BC28))),".")</f>
        <v>0.15896057968597124</v>
      </c>
      <c r="E28" s="72">
        <f>IFERROR(IF(d_ss_Bv!E28=0,".",((s_Ir*s_F*d_ss_Bv!E28*(1-EXP(-s_RadSpec!BC28*s_t_b)))/(s_P*s_RadSpec!BC28))),".")</f>
        <v>1.5896057968597128E-2</v>
      </c>
      <c r="F28" s="72">
        <f>IFERROR(IF(d_ss_Bv!F28=0,".",((s_Ir*s_F*d_ss_Bv!F28*(1-EXP(-s_RadSpec!BC28*s_t_b)))/(s_P*s_RadSpec!BC28))),".")</f>
        <v>1.5896057968597128E-2</v>
      </c>
      <c r="G28" s="72">
        <f>IFERROR(IF(d_ss_Bv!G28=0,".",((s_Ir*s_F*d_ss_Bv!G28*(1-EXP(-s_RadSpec!BC28*s_t_b)))/(s_P*s_RadSpec!BC28))),".")</f>
        <v>1.5896057968597128E-2</v>
      </c>
      <c r="H28" s="72">
        <f>IFERROR(IF(d_ss_Bv!H28=0,".",((s_Ir*s_F*d_ss_Bv!H28*(1-EXP(-s_RadSpec!BC28*s_t_b)))/(s_P*s_RadSpec!BC28))),".")</f>
        <v>0.15896057968597124</v>
      </c>
      <c r="I28" s="72">
        <f>IFERROR(IF(d_ss_Bv!I28=0,".",((s_Ir*s_F*d_ss_Bv!I28*(1-EXP(-s_RadSpec!BC28*s_t_b)))/(s_P*s_RadSpec!BC28))),".")</f>
        <v>1.5896057968597128E-2</v>
      </c>
      <c r="J28" s="72">
        <f>IFERROR(IF(d_ss_Bv!J28=0,".",((s_Ir*s_F*d_ss_Bv!J28*(1-EXP(-s_RadSpec!BC28*s_t_b)))/(s_P*s_RadSpec!BC28))),".")</f>
        <v>1.5896057968597128E-2</v>
      </c>
      <c r="K28" s="72">
        <f>IFERROR(IF(d_ss_Bv!K28=0,".",((s_Ir*s_F*d_ss_Bv!K28*(1-EXP(-s_RadSpec!BC28*s_t_b)))/(s_P*s_RadSpec!BC28))),".")</f>
        <v>1.5896057968597128E-2</v>
      </c>
      <c r="L28" s="72">
        <f>IFERROR(IF(d_ss_Bv!L28=0,".",((s_Ir*s_F*d_ss_Bv!L28*(1-EXP(-s_RadSpec!BC28*s_t_b)))/(s_P*s_RadSpec!BC28))),".")</f>
        <v>1.5896057968597128E-2</v>
      </c>
      <c r="M28" s="72">
        <f>IFERROR(IF(d_ss_Bv!M28=0,".",((s_Ir*s_F*d_ss_Bv!M28*(1-EXP(-s_RadSpec!BC28*s_t_b)))/(s_P*s_RadSpec!BC28))),".")</f>
        <v>0.15896057968597124</v>
      </c>
      <c r="N28" s="72">
        <f>IFERROR(IF(d_ss_Bv!N28=0,".",((s_Ir*s_F*d_ss_Bv!N28*(1-EXP(-s_RadSpec!BC28*s_t_b)))/(s_P*s_RadSpec!BC28))),".")</f>
        <v>1.5896057968597128E-2</v>
      </c>
      <c r="O28" s="72">
        <f>IFERROR(IF(d_ss_Bv!O28=0,".",((s_Ir*s_F*d_ss_Bv!O28*(1-EXP(-s_RadSpec!BC28*s_t_b)))/(s_P*s_RadSpec!BC28))),".")</f>
        <v>1.5896057968597128E-2</v>
      </c>
      <c r="P28" s="72">
        <f>IFERROR(IF(d_ss_Bv!P28=0,".",((s_Ir*s_F*d_ss_Bv!P28*(1-EXP(-s_RadSpec!BC28*s_t_b)))/(s_P*s_RadSpec!BC28))),".")</f>
        <v>1.5896057968597128E-2</v>
      </c>
      <c r="Q28" s="72">
        <f>IFERROR(IF(d_ss_Bv!Q28=0,".",((s_Ir*s_F*d_ss_Bv!Q28*(1-EXP(-s_RadSpec!BC28*s_t_b)))/(s_P*s_RadSpec!BC28))),".")</f>
        <v>1.5896057968597128E-2</v>
      </c>
      <c r="R28" s="72">
        <f>IFERROR(IF(d_ss_Bv!R28=0,".",((s_Ir*s_F*d_ss_Bv!R28*(1-EXP(-s_RadSpec!BC28*s_t_b)))/(s_P*s_RadSpec!BC28))),".")</f>
        <v>1.5896057968597128E-2</v>
      </c>
      <c r="S28" s="72">
        <f>IFERROR(IF(d_ss_Bv!S28=0,".",((s_Ir*s_F*d_ss_Bv!S28*(1-EXP(-s_RadSpec!BC28*s_t_b)))/(s_P*s_RadSpec!BC28))),".")</f>
        <v>1.5896057968597128E-2</v>
      </c>
      <c r="T28" s="72">
        <f>IFERROR(IF(d_ss_Bv!T28=0,".",((s_Ir*s_F*d_ss_Bv!T28*(1-EXP(-s_RadSpec!BC28*s_t_b)))/(s_P*s_RadSpec!BC28))),".")</f>
        <v>1.5896057968597128E-2</v>
      </c>
      <c r="U28" s="72">
        <f>IFERROR(IF(d_ss_Bv!U28=0,".",((s_Ir*s_F*d_ss_Bv!U28*(1-EXP(-s_RadSpec!BC28*s_t_b)))/(s_P*s_RadSpec!BC28))),".")</f>
        <v>1.5896057968597128E-2</v>
      </c>
      <c r="V28" s="72">
        <f>IFERROR(IF(d_ss_Bv!V28=0,".",((s_Ir*s_F*d_ss_Bv!V28*(1-EXP(-s_RadSpec!BC28*s_t_b)))/(s_P*s_RadSpec!BC28))),".")</f>
        <v>1.5896057968597128E-2</v>
      </c>
      <c r="W28" s="72">
        <f>IFERROR(IF(d_ss_Bv!W28=0,".",((s_Ir*s_F*d_ss_Bv!W28*(1-EXP(-s_RadSpec!BC28*s_t_b)))/(s_P*s_RadSpec!BC28))),".")</f>
        <v>1.5896057968597128E-2</v>
      </c>
      <c r="X28" s="72">
        <f>IFERROR(IF(d_ss_Bv!X28=0,".",((s_Ir*s_F*d_ss_Bv!X28*(1-EXP(-s_RadSpec!BC28*s_t_b)))/(s_P*s_RadSpec!BC28))),".")</f>
        <v>1.5896057968597128E-2</v>
      </c>
      <c r="Y28" s="72">
        <f>IFERROR(IF(d_ss_Bv!Y28=0,".",((s_Ir*s_F*d_ss_Bv!Y28*(1-EXP(-s_RadSpec!BC28*s_t_b)))/(s_P*s_RadSpec!BC28))),".")</f>
        <v>39.740144921492814</v>
      </c>
      <c r="Z28" s="72">
        <f>IFERROR(IF(d_ss_Bv!Z28=0,".",((s_Ir*s_F*d_ss_Bv!Z28*(1-EXP(-s_RadSpec!BC28*s_t_b)))/(s_P*s_RadSpec!BC28))),".")</f>
        <v>39.740144921492814</v>
      </c>
      <c r="AA28" s="72">
        <f>IFERROR(IF(d_ss_Bv!C28=0,".",((s_Ir*s_F*s_MLF_apple*(1-EXP(-s_RadSpec!BC28*s_t_b)))/(s_P*s_RadSpec!BC28))),".")</f>
        <v>2.6824597822007652</v>
      </c>
      <c r="AB28" s="72">
        <f>IFERROR(IF(d_ss_Bv!D28=0,".",((s_Ir*s_F*s_MLF_asparagus*(1-EXP(-s_RadSpec!BC28*s_t_b)))/(s_P*s_RadSpec!BC28))),".")</f>
        <v>2.6824597822007652</v>
      </c>
      <c r="AC28" s="72">
        <f>IFERROR(IF(d_ss_Bv!E28=0,".",((s_Ir*s_F*s_MLF_beet*(1-EXP(-s_RadSpec!BC28*s_t_b)))/(s_P*s_RadSpec!BC28))),".")</f>
        <v>2.6824597822007652</v>
      </c>
      <c r="AD28" s="72">
        <f>IFERROR(IF(d_ss_Bv!F28=0,".",((s_Ir*s_F*s_MLF_berries*(1-EXP(-s_RadSpec!BC28*s_t_b)))/(s_P*s_RadSpec!BC28))),".")</f>
        <v>2.6824597822007652</v>
      </c>
      <c r="AE28" s="72">
        <f>IFERROR(IF(d_ss_Bv!G28=0,".",((s_Ir*s_F*s_MLF_broccoli*(1-EXP(-s_RadSpec!BC28*s_t_b)))/(s_P*s_RadSpec!BC28))),".")</f>
        <v>2.6824597822007652</v>
      </c>
      <c r="AF28" s="72">
        <f>IFERROR(IF(d_ss_Bv!H28=0,".",((s_Ir*s_F*s_MLF_cabbage*(1-EXP(-s_RadSpec!BC28*s_t_b)))/(s_P*s_RadSpec!BC28))),".")</f>
        <v>2.6824597822007652</v>
      </c>
      <c r="AG28" s="72">
        <f>IFERROR(IF(d_ss_Bv!I28=0,".",((s_Ir*s_F*s_MLF_carrot*(1-EXP(-s_RadSpec!BC28*s_t_b)))/(s_P*s_RadSpec!BC28))),".")</f>
        <v>2.6824597822007652</v>
      </c>
      <c r="AH28" s="72">
        <f>IFERROR(IF(d_ss_Bv!J28=0,".",((s_Ir*s_F*s_MLF_citrus*(1-EXP(-s_RadSpec!BC28*s_t_b)))/(s_P*s_RadSpec!BC28))),".")</f>
        <v>2.6824597822007652</v>
      </c>
      <c r="AI28" s="72">
        <f>IFERROR(IF(d_ss_Bv!K28=0,".",((s_Ir*s_F*s_MLF_corn*(1-EXP(-s_RadSpec!BC28*s_t_b)))/(s_P*s_RadSpec!BC28))),".")</f>
        <v>2.6824597822007652</v>
      </c>
      <c r="AJ28" s="72">
        <f>IFERROR(IF(d_ss_Bv!L28=0,".",((s_Ir*s_F*s_MLF_cucumber*(1-EXP(-s_RadSpec!BC28*s_t_b)))/(s_P*s_RadSpec!BC28))),".")</f>
        <v>2.6824597822007652</v>
      </c>
      <c r="AK28" s="72">
        <f>IFERROR(IF(d_ss_Bv!M28=0,".",((s_Ir*s_F*s_MLF_lettuce*(1-EXP(-s_RadSpec!BC28*s_t_b)))/(s_P*s_RadSpec!BC28))),".")</f>
        <v>2.6824597822007652</v>
      </c>
      <c r="AL28" s="72">
        <f>IFERROR(IF(d_ss_Bv!N28=0,".",((s_Ir*s_F*s_MLF_lima_bean*(1-EXP(-s_RadSpec!BC28*s_t_b)))/(s_P*s_RadSpec!BC28))),".")</f>
        <v>2.6824597822007652</v>
      </c>
      <c r="AM28" s="72">
        <f>IFERROR(IF(d_ss_Bv!O28=0,".",((s_Ir*s_F*s_MLF_okra*(1-EXP(-s_RadSpec!BC28*s_t_b)))/(s_P*s_RadSpec!BC28))),".")</f>
        <v>2.6824597822007652</v>
      </c>
      <c r="AN28" s="72">
        <f>IFERROR(IF(d_ss_Bv!P28=0,".",((s_Ir*s_F*s_MLF_onion*(1-EXP(-s_RadSpec!BC28*s_t_b)))/(s_P*s_RadSpec!BC28))),".")</f>
        <v>2.6824597822007652</v>
      </c>
      <c r="AO28" s="72">
        <f>IFERROR(IF(d_ss_Bv!Q28=0,".",((s_Ir*s_F*s_MLF_peach*(1-EXP(-s_RadSpec!BC28*s_t_b)))/(s_P*s_RadSpec!BC28))),".")</f>
        <v>2.6824597822007652</v>
      </c>
      <c r="AP28" s="72">
        <f>IFERROR(IF(d_ss_Bv!R28=0,".",((s_Ir*s_F*s_MLF_pear*(1-EXP(-s_RadSpec!BC28*s_t_b)))/(s_P*s_RadSpec!BC28))),".")</f>
        <v>2.6824597822007652</v>
      </c>
      <c r="AQ28" s="72">
        <f>IFERROR(IF(d_ss_Bv!S28=0,".",((s_Ir*s_F*s_MLF_peas*(1-EXP(-s_RadSpec!BC28*s_t_b)))/(s_P*s_RadSpec!BC28))),".")</f>
        <v>2.6824597822007652</v>
      </c>
      <c r="AR28" s="72">
        <f>IFERROR(IF(d_ss_Bv!T28=0,".",((s_Ir*s_F*s_MLF_potato*(1-EXP(-s_RadSpec!BC28*s_t_b)))/(s_P*s_RadSpec!BC28))),".")</f>
        <v>2.6824597822007652</v>
      </c>
      <c r="AS28" s="72">
        <f>IFERROR(IF(d_ss_Bv!U28=0,".",((s_Ir*s_F*s_MLF_pumpkin*(1-EXP(-s_RadSpec!BC28*s_t_b)))/(s_P*s_RadSpec!BC28))),".")</f>
        <v>2.6824597822007652</v>
      </c>
      <c r="AT28" s="72">
        <f>IFERROR(IF(d_ss_Bv!V28=0,".",((s_Ir*s_F*s_MLF_snap_bean*(1-EXP(-s_RadSpec!BC28*s_t_b)))/(s_P*s_RadSpec!BC28))),".")</f>
        <v>2.6824597822007652</v>
      </c>
      <c r="AU28" s="72">
        <f>IFERROR(IF(d_ss_Bv!W28=0,".",((s_Ir*s_F*s_MLF_strawberry*(1-EXP(-s_RadSpec!BC28*s_t_b)))/(s_P*s_RadSpec!BC28))),".")</f>
        <v>2.6824597822007652</v>
      </c>
      <c r="AV28" s="72">
        <f>IFERROR(IF(d_ss_Bv!X28=0,".",((s_Ir*s_F*s_MLF_tomato*(1-EXP(-s_RadSpec!BC28*s_t_b)))/(s_P*s_RadSpec!BC28))),".")</f>
        <v>2.6824597822007652</v>
      </c>
      <c r="AW28" s="72">
        <f>IFERROR(IF(d_ss_Bv!Y28=0,".",((s_Ir*s_F*s_MLF_rice*(1-EXP(-s_RadSpec!BC28*s_t_b)))/(s_P*s_RadSpec!BC28))),".")</f>
        <v>2.6824597822007652</v>
      </c>
      <c r="AX28" s="72">
        <f>IFERROR(IF(d_ss_Bv!Z28=0,".",((s_Ir*s_F*s_MLF_cereal*(1-EXP(-s_RadSpec!BC28*s_t_b)))/(s_P*s_RadSpec!BC28))),".")</f>
        <v>2.6824597822007652</v>
      </c>
      <c r="AY28" s="72">
        <f>IFERROR(IF(d_ss_Bv!C28=0,".",((s_Ir*s_F*s_I_f*s_T*(1-EXP(-s_RadSpec!BD28*s_t_v)))/(s_Y_v*s_RadSpec!BD28))),".")</f>
        <v>9.0143481925428208</v>
      </c>
      <c r="AZ28" s="72">
        <f>IFERROR(IF(d_ss_Bv!D28=0,".",((s_Ir*s_F*s_I_f*s_T*(1-EXP(-s_RadSpec!BD28*s_t_v)))/(s_Y_v*s_RadSpec!BD28))),".")</f>
        <v>9.0143481925428208</v>
      </c>
      <c r="BA28" s="72">
        <f>IFERROR(IF(d_ss_Bv!E28=0,".",((s_Ir*s_F*s_I_f*s_T*(1-EXP(-s_RadSpec!BD28*s_t_v)))/(s_Y_v*s_RadSpec!BD28))),".")</f>
        <v>9.0143481925428208</v>
      </c>
      <c r="BB28" s="72">
        <f>IFERROR(IF(d_ss_Bv!F28=0,".",((s_Ir*s_F*s_I_f*s_T*(1-EXP(-s_RadSpec!BD28*s_t_v)))/(s_Y_v*s_RadSpec!BD28))),".")</f>
        <v>9.0143481925428208</v>
      </c>
      <c r="BC28" s="72">
        <f>IFERROR(IF(d_ss_Bv!G28=0,".",((s_Ir*s_F*s_I_f*s_T*(1-EXP(-s_RadSpec!BD28*s_t_v)))/(s_Y_v*s_RadSpec!BD28))),".")</f>
        <v>9.0143481925428208</v>
      </c>
      <c r="BD28" s="72">
        <f>IFERROR(IF(d_ss_Bv!H28=0,".",((s_Ir*s_F*s_I_f*s_T*(1-EXP(-s_RadSpec!BD28*s_t_v)))/(s_Y_v*s_RadSpec!BD28))),".")</f>
        <v>9.0143481925428208</v>
      </c>
      <c r="BE28" s="72">
        <f>IFERROR(IF(d_ss_Bv!I28=0,".",((s_Ir*s_F*s_I_f*s_T*(1-EXP(-s_RadSpec!BD28*s_t_v)))/(s_Y_v*s_RadSpec!BD28))),".")</f>
        <v>9.0143481925428208</v>
      </c>
      <c r="BF28" s="72">
        <f>IFERROR(IF(d_ss_Bv!J28=0,".",((s_Ir*s_F*s_I_f*s_T*(1-EXP(-s_RadSpec!BD28*s_t_v)))/(s_Y_v*s_RadSpec!BD28))),".")</f>
        <v>9.0143481925428208</v>
      </c>
      <c r="BG28" s="72">
        <f>IFERROR(IF(d_ss_Bv!K28=0,".",((s_Ir*s_F*s_I_f*s_T*(1-EXP(-s_RadSpec!BD28*s_t_v)))/(s_Y_v*s_RadSpec!BD28))),".")</f>
        <v>9.0143481925428208</v>
      </c>
      <c r="BH28" s="72">
        <f>IFERROR(IF(d_ss_Bv!L28=0,".",((s_Ir*s_F*s_I_f*s_T*(1-EXP(-s_RadSpec!BD28*s_t_v)))/(s_Y_v*s_RadSpec!BD28))),".")</f>
        <v>9.0143481925428208</v>
      </c>
      <c r="BI28" s="72">
        <f>IFERROR(IF(d_ss_Bv!M28=0,".",((s_Ir*s_F*s_I_f*s_T*(1-EXP(-s_RadSpec!BD28*s_t_v)))/(s_Y_v*s_RadSpec!BD28))),".")</f>
        <v>9.0143481925428208</v>
      </c>
      <c r="BJ28" s="72">
        <f>IFERROR(IF(d_ss_Bv!N28=0,".",((s_Ir*s_F*s_I_f*s_T*(1-EXP(-s_RadSpec!BD28*s_t_v)))/(s_Y_v*s_RadSpec!BD28))),".")</f>
        <v>9.0143481925428208</v>
      </c>
      <c r="BK28" s="72">
        <f>IFERROR(IF(d_ss_Bv!O28=0,".",((s_Ir*s_F*s_I_f*s_T*(1-EXP(-s_RadSpec!BD28*s_t_v)))/(s_Y_v*s_RadSpec!BD28))),".")</f>
        <v>9.0143481925428208</v>
      </c>
      <c r="BL28" s="72">
        <f>IFERROR(IF(d_ss_Bv!P28=0,".",((s_Ir*s_F*s_I_f*s_T*(1-EXP(-s_RadSpec!BD28*s_t_v)))/(s_Y_v*s_RadSpec!BD28))),".")</f>
        <v>9.0143481925428208</v>
      </c>
      <c r="BM28" s="72">
        <f>IFERROR(IF(d_ss_Bv!Q28=0,".",((s_Ir*s_F*s_I_f*s_T*(1-EXP(-s_RadSpec!BD28*s_t_v)))/(s_Y_v*s_RadSpec!BD28))),".")</f>
        <v>9.0143481925428208</v>
      </c>
      <c r="BN28" s="72">
        <f>IFERROR(IF(d_ss_Bv!R28=0,".",((s_Ir*s_F*s_I_f*s_T*(1-EXP(-s_RadSpec!BD28*s_t_v)))/(s_Y_v*s_RadSpec!BD28))),".")</f>
        <v>9.0143481925428208</v>
      </c>
      <c r="BO28" s="72">
        <f>IFERROR(IF(d_ss_Bv!S28=0,".",((s_Ir*s_F*s_I_f*s_T*(1-EXP(-s_RadSpec!BD28*s_t_v)))/(s_Y_v*s_RadSpec!BD28))),".")</f>
        <v>9.0143481925428208</v>
      </c>
      <c r="BP28" s="72">
        <f>IFERROR(IF(d_ss_Bv!T28=0,".",((s_Ir*s_F*s_I_f*s_T*(1-EXP(-s_RadSpec!BD28*s_t_v)))/(s_Y_v*s_RadSpec!BD28))),".")</f>
        <v>9.0143481925428208</v>
      </c>
      <c r="BQ28" s="72">
        <f>IFERROR(IF(d_ss_Bv!U28=0,".",((s_Ir*s_F*s_I_f*s_T*(1-EXP(-s_RadSpec!BD28*s_t_v)))/(s_Y_v*s_RadSpec!BD28))),".")</f>
        <v>9.0143481925428208</v>
      </c>
      <c r="BR28" s="72">
        <f>IFERROR(IF(d_ss_Bv!V28=0,".",((s_Ir*s_F*s_I_f*s_T*(1-EXP(-s_RadSpec!BD28*s_t_v)))/(s_Y_v*s_RadSpec!BD28))),".")</f>
        <v>9.0143481925428208</v>
      </c>
      <c r="BS28" s="72">
        <f>IFERROR(IF(d_ss_Bv!W28=0,".",((s_Ir*s_F*s_I_f*s_T*(1-EXP(-s_RadSpec!BD28*s_t_v)))/(s_Y_v*s_RadSpec!BD28))),".")</f>
        <v>9.0143481925428208</v>
      </c>
      <c r="BT28" s="72">
        <f>IFERROR(IF(d_ss_Bv!X28=0,".",((s_Ir*s_F*s_I_f*s_T*(1-EXP(-s_RadSpec!BD28*s_t_v)))/(s_Y_v*s_RadSpec!BD28))),".")</f>
        <v>9.0143481925428208</v>
      </c>
      <c r="BU28" s="72">
        <f>IFERROR(IF(d_ss_Bv!Y28=0,".",((s_Ir*s_F*s_I_f*s_T*(1-EXP(-s_RadSpec!BD28*s_t_v)))/(s_Y_v*s_RadSpec!BD28))),".")</f>
        <v>9.0143481925428208</v>
      </c>
      <c r="BV28" s="72">
        <f>IFERROR(IF(d_ss_Bv!Z28=0,".",((s_Ir*s_F*s_I_f*s_T*(1-EXP(-s_RadSpec!BD28*s_t_v)))/(s_Y_v*s_RadSpec!BD28))),".")</f>
        <v>9.0143481925428208</v>
      </c>
    </row>
    <row r="29" spans="1:74" x14ac:dyDescent="0.25">
      <c r="A29" s="31" t="s">
        <v>27</v>
      </c>
      <c r="B29" s="3" t="s">
        <v>1059</v>
      </c>
      <c r="C29" s="72">
        <f>IFERROR(IF(d_ss_Bv!C29=0,".",((s_Ir*s_F*d_ss_Bv!C29*(1-EXP(-s_RadSpec!$BC29*s_t_b)))/(s_P*s_RadSpec!$BC29))),".")</f>
        <v>1.5896057968597128E-2</v>
      </c>
      <c r="D29" s="72">
        <f>IFERROR(IF(d_ss_Bv!D29=0,".",((s_Ir*s_F*d_ss_Bv!D29*(1-EXP(-s_RadSpec!BC29*s_t_b)))/(s_P*s_RadSpec!BC29))),".")</f>
        <v>0.15896057968597124</v>
      </c>
      <c r="E29" s="72">
        <f>IFERROR(IF(d_ss_Bv!E29=0,".",((s_Ir*s_F*d_ss_Bv!E29*(1-EXP(-s_RadSpec!BC29*s_t_b)))/(s_P*s_RadSpec!BC29))),".")</f>
        <v>1.5896057968597128E-2</v>
      </c>
      <c r="F29" s="72">
        <f>IFERROR(IF(d_ss_Bv!F29=0,".",((s_Ir*s_F*d_ss_Bv!F29*(1-EXP(-s_RadSpec!BC29*s_t_b)))/(s_P*s_RadSpec!BC29))),".")</f>
        <v>1.5896057968597128E-2</v>
      </c>
      <c r="G29" s="72">
        <f>IFERROR(IF(d_ss_Bv!G29=0,".",((s_Ir*s_F*d_ss_Bv!G29*(1-EXP(-s_RadSpec!BC29*s_t_b)))/(s_P*s_RadSpec!BC29))),".")</f>
        <v>1.5896057968597128E-2</v>
      </c>
      <c r="H29" s="72">
        <f>IFERROR(IF(d_ss_Bv!H29=0,".",((s_Ir*s_F*d_ss_Bv!H29*(1-EXP(-s_RadSpec!BC29*s_t_b)))/(s_P*s_RadSpec!BC29))),".")</f>
        <v>0.15896057968597124</v>
      </c>
      <c r="I29" s="72">
        <f>IFERROR(IF(d_ss_Bv!I29=0,".",((s_Ir*s_F*d_ss_Bv!I29*(1-EXP(-s_RadSpec!BC29*s_t_b)))/(s_P*s_RadSpec!BC29))),".")</f>
        <v>1.5896057968597128E-2</v>
      </c>
      <c r="J29" s="72">
        <f>IFERROR(IF(d_ss_Bv!J29=0,".",((s_Ir*s_F*d_ss_Bv!J29*(1-EXP(-s_RadSpec!BC29*s_t_b)))/(s_P*s_RadSpec!BC29))),".")</f>
        <v>1.5896057968597128E-2</v>
      </c>
      <c r="K29" s="72">
        <f>IFERROR(IF(d_ss_Bv!K29=0,".",((s_Ir*s_F*d_ss_Bv!K29*(1-EXP(-s_RadSpec!BC29*s_t_b)))/(s_P*s_RadSpec!BC29))),".")</f>
        <v>1.5896057968597128E-2</v>
      </c>
      <c r="L29" s="72">
        <f>IFERROR(IF(d_ss_Bv!L29=0,".",((s_Ir*s_F*d_ss_Bv!L29*(1-EXP(-s_RadSpec!BC29*s_t_b)))/(s_P*s_RadSpec!BC29))),".")</f>
        <v>1.5896057968597128E-2</v>
      </c>
      <c r="M29" s="72">
        <f>IFERROR(IF(d_ss_Bv!M29=0,".",((s_Ir*s_F*d_ss_Bv!M29*(1-EXP(-s_RadSpec!BC29*s_t_b)))/(s_P*s_RadSpec!BC29))),".")</f>
        <v>0.15896057968597124</v>
      </c>
      <c r="N29" s="72">
        <f>IFERROR(IF(d_ss_Bv!N29=0,".",((s_Ir*s_F*d_ss_Bv!N29*(1-EXP(-s_RadSpec!BC29*s_t_b)))/(s_P*s_RadSpec!BC29))),".")</f>
        <v>1.5896057968597128E-2</v>
      </c>
      <c r="O29" s="72">
        <f>IFERROR(IF(d_ss_Bv!O29=0,".",((s_Ir*s_F*d_ss_Bv!O29*(1-EXP(-s_RadSpec!BC29*s_t_b)))/(s_P*s_RadSpec!BC29))),".")</f>
        <v>1.5896057968597128E-2</v>
      </c>
      <c r="P29" s="72">
        <f>IFERROR(IF(d_ss_Bv!P29=0,".",((s_Ir*s_F*d_ss_Bv!P29*(1-EXP(-s_RadSpec!BC29*s_t_b)))/(s_P*s_RadSpec!BC29))),".")</f>
        <v>1.5896057968597128E-2</v>
      </c>
      <c r="Q29" s="72">
        <f>IFERROR(IF(d_ss_Bv!Q29=0,".",((s_Ir*s_F*d_ss_Bv!Q29*(1-EXP(-s_RadSpec!BC29*s_t_b)))/(s_P*s_RadSpec!BC29))),".")</f>
        <v>1.5896057968597128E-2</v>
      </c>
      <c r="R29" s="72">
        <f>IFERROR(IF(d_ss_Bv!R29=0,".",((s_Ir*s_F*d_ss_Bv!R29*(1-EXP(-s_RadSpec!BC29*s_t_b)))/(s_P*s_RadSpec!BC29))),".")</f>
        <v>1.5896057968597128E-2</v>
      </c>
      <c r="S29" s="72">
        <f>IFERROR(IF(d_ss_Bv!S29=0,".",((s_Ir*s_F*d_ss_Bv!S29*(1-EXP(-s_RadSpec!BC29*s_t_b)))/(s_P*s_RadSpec!BC29))),".")</f>
        <v>1.5896057968597128E-2</v>
      </c>
      <c r="T29" s="72">
        <f>IFERROR(IF(d_ss_Bv!T29=0,".",((s_Ir*s_F*d_ss_Bv!T29*(1-EXP(-s_RadSpec!BC29*s_t_b)))/(s_P*s_RadSpec!BC29))),".")</f>
        <v>1.5896057968597128E-2</v>
      </c>
      <c r="U29" s="72">
        <f>IFERROR(IF(d_ss_Bv!U29=0,".",((s_Ir*s_F*d_ss_Bv!U29*(1-EXP(-s_RadSpec!BC29*s_t_b)))/(s_P*s_RadSpec!BC29))),".")</f>
        <v>1.5896057968597128E-2</v>
      </c>
      <c r="V29" s="72">
        <f>IFERROR(IF(d_ss_Bv!V29=0,".",((s_Ir*s_F*d_ss_Bv!V29*(1-EXP(-s_RadSpec!BC29*s_t_b)))/(s_P*s_RadSpec!BC29))),".")</f>
        <v>1.5896057968597128E-2</v>
      </c>
      <c r="W29" s="72">
        <f>IFERROR(IF(d_ss_Bv!W29=0,".",((s_Ir*s_F*d_ss_Bv!W29*(1-EXP(-s_RadSpec!BC29*s_t_b)))/(s_P*s_RadSpec!BC29))),".")</f>
        <v>1.5896057968597128E-2</v>
      </c>
      <c r="X29" s="72">
        <f>IFERROR(IF(d_ss_Bv!X29=0,".",((s_Ir*s_F*d_ss_Bv!X29*(1-EXP(-s_RadSpec!BC29*s_t_b)))/(s_P*s_RadSpec!BC29))),".")</f>
        <v>1.5896057968597128E-2</v>
      </c>
      <c r="Y29" s="72">
        <f>IFERROR(IF(d_ss_Bv!Y29=0,".",((s_Ir*s_F*d_ss_Bv!Y29*(1-EXP(-s_RadSpec!BC29*s_t_b)))/(s_P*s_RadSpec!BC29))),".")</f>
        <v>39.740144921492814</v>
      </c>
      <c r="Z29" s="72">
        <f>IFERROR(IF(d_ss_Bv!Z29=0,".",((s_Ir*s_F*d_ss_Bv!Z29*(1-EXP(-s_RadSpec!BC29*s_t_b)))/(s_P*s_RadSpec!BC29))),".")</f>
        <v>39.740144921492814</v>
      </c>
      <c r="AA29" s="72">
        <f>IFERROR(IF(d_ss_Bv!C29=0,".",((s_Ir*s_F*s_MLF_apple*(1-EXP(-s_RadSpec!BC29*s_t_b)))/(s_P*s_RadSpec!BC29))),".")</f>
        <v>2.6824597822007652</v>
      </c>
      <c r="AB29" s="72">
        <f>IFERROR(IF(d_ss_Bv!D29=0,".",((s_Ir*s_F*s_MLF_asparagus*(1-EXP(-s_RadSpec!BC29*s_t_b)))/(s_P*s_RadSpec!BC29))),".")</f>
        <v>2.6824597822007652</v>
      </c>
      <c r="AC29" s="72">
        <f>IFERROR(IF(d_ss_Bv!E29=0,".",((s_Ir*s_F*s_MLF_beet*(1-EXP(-s_RadSpec!BC29*s_t_b)))/(s_P*s_RadSpec!BC29))),".")</f>
        <v>2.6824597822007652</v>
      </c>
      <c r="AD29" s="72">
        <f>IFERROR(IF(d_ss_Bv!F29=0,".",((s_Ir*s_F*s_MLF_berries*(1-EXP(-s_RadSpec!BC29*s_t_b)))/(s_P*s_RadSpec!BC29))),".")</f>
        <v>2.6824597822007652</v>
      </c>
      <c r="AE29" s="72">
        <f>IFERROR(IF(d_ss_Bv!G29=0,".",((s_Ir*s_F*s_MLF_broccoli*(1-EXP(-s_RadSpec!BC29*s_t_b)))/(s_P*s_RadSpec!BC29))),".")</f>
        <v>2.6824597822007652</v>
      </c>
      <c r="AF29" s="72">
        <f>IFERROR(IF(d_ss_Bv!H29=0,".",((s_Ir*s_F*s_MLF_cabbage*(1-EXP(-s_RadSpec!BC29*s_t_b)))/(s_P*s_RadSpec!BC29))),".")</f>
        <v>2.6824597822007652</v>
      </c>
      <c r="AG29" s="72">
        <f>IFERROR(IF(d_ss_Bv!I29=0,".",((s_Ir*s_F*s_MLF_carrot*(1-EXP(-s_RadSpec!BC29*s_t_b)))/(s_P*s_RadSpec!BC29))),".")</f>
        <v>2.6824597822007652</v>
      </c>
      <c r="AH29" s="72">
        <f>IFERROR(IF(d_ss_Bv!J29=0,".",((s_Ir*s_F*s_MLF_citrus*(1-EXP(-s_RadSpec!BC29*s_t_b)))/(s_P*s_RadSpec!BC29))),".")</f>
        <v>2.6824597822007652</v>
      </c>
      <c r="AI29" s="72">
        <f>IFERROR(IF(d_ss_Bv!K29=0,".",((s_Ir*s_F*s_MLF_corn*(1-EXP(-s_RadSpec!BC29*s_t_b)))/(s_P*s_RadSpec!BC29))),".")</f>
        <v>2.6824597822007652</v>
      </c>
      <c r="AJ29" s="72">
        <f>IFERROR(IF(d_ss_Bv!L29=0,".",((s_Ir*s_F*s_MLF_cucumber*(1-EXP(-s_RadSpec!BC29*s_t_b)))/(s_P*s_RadSpec!BC29))),".")</f>
        <v>2.6824597822007652</v>
      </c>
      <c r="AK29" s="72">
        <f>IFERROR(IF(d_ss_Bv!M29=0,".",((s_Ir*s_F*s_MLF_lettuce*(1-EXP(-s_RadSpec!BC29*s_t_b)))/(s_P*s_RadSpec!BC29))),".")</f>
        <v>2.6824597822007652</v>
      </c>
      <c r="AL29" s="72">
        <f>IFERROR(IF(d_ss_Bv!N29=0,".",((s_Ir*s_F*s_MLF_lima_bean*(1-EXP(-s_RadSpec!BC29*s_t_b)))/(s_P*s_RadSpec!BC29))),".")</f>
        <v>2.6824597822007652</v>
      </c>
      <c r="AM29" s="72">
        <f>IFERROR(IF(d_ss_Bv!O29=0,".",((s_Ir*s_F*s_MLF_okra*(1-EXP(-s_RadSpec!BC29*s_t_b)))/(s_P*s_RadSpec!BC29))),".")</f>
        <v>2.6824597822007652</v>
      </c>
      <c r="AN29" s="72">
        <f>IFERROR(IF(d_ss_Bv!P29=0,".",((s_Ir*s_F*s_MLF_onion*(1-EXP(-s_RadSpec!BC29*s_t_b)))/(s_P*s_RadSpec!BC29))),".")</f>
        <v>2.6824597822007652</v>
      </c>
      <c r="AO29" s="72">
        <f>IFERROR(IF(d_ss_Bv!Q29=0,".",((s_Ir*s_F*s_MLF_peach*(1-EXP(-s_RadSpec!BC29*s_t_b)))/(s_P*s_RadSpec!BC29))),".")</f>
        <v>2.6824597822007652</v>
      </c>
      <c r="AP29" s="72">
        <f>IFERROR(IF(d_ss_Bv!R29=0,".",((s_Ir*s_F*s_MLF_pear*(1-EXP(-s_RadSpec!BC29*s_t_b)))/(s_P*s_RadSpec!BC29))),".")</f>
        <v>2.6824597822007652</v>
      </c>
      <c r="AQ29" s="72">
        <f>IFERROR(IF(d_ss_Bv!S29=0,".",((s_Ir*s_F*s_MLF_peas*(1-EXP(-s_RadSpec!BC29*s_t_b)))/(s_P*s_RadSpec!BC29))),".")</f>
        <v>2.6824597822007652</v>
      </c>
      <c r="AR29" s="72">
        <f>IFERROR(IF(d_ss_Bv!T29=0,".",((s_Ir*s_F*s_MLF_potato*(1-EXP(-s_RadSpec!BC29*s_t_b)))/(s_P*s_RadSpec!BC29))),".")</f>
        <v>2.6824597822007652</v>
      </c>
      <c r="AS29" s="72">
        <f>IFERROR(IF(d_ss_Bv!U29=0,".",((s_Ir*s_F*s_MLF_pumpkin*(1-EXP(-s_RadSpec!BC29*s_t_b)))/(s_P*s_RadSpec!BC29))),".")</f>
        <v>2.6824597822007652</v>
      </c>
      <c r="AT29" s="72">
        <f>IFERROR(IF(d_ss_Bv!V29=0,".",((s_Ir*s_F*s_MLF_snap_bean*(1-EXP(-s_RadSpec!BC29*s_t_b)))/(s_P*s_RadSpec!BC29))),".")</f>
        <v>2.6824597822007652</v>
      </c>
      <c r="AU29" s="72">
        <f>IFERROR(IF(d_ss_Bv!W29=0,".",((s_Ir*s_F*s_MLF_strawberry*(1-EXP(-s_RadSpec!BC29*s_t_b)))/(s_P*s_RadSpec!BC29))),".")</f>
        <v>2.6824597822007652</v>
      </c>
      <c r="AV29" s="72">
        <f>IFERROR(IF(d_ss_Bv!X29=0,".",((s_Ir*s_F*s_MLF_tomato*(1-EXP(-s_RadSpec!BC29*s_t_b)))/(s_P*s_RadSpec!BC29))),".")</f>
        <v>2.6824597822007652</v>
      </c>
      <c r="AW29" s="72">
        <f>IFERROR(IF(d_ss_Bv!Y29=0,".",((s_Ir*s_F*s_MLF_rice*(1-EXP(-s_RadSpec!BC29*s_t_b)))/(s_P*s_RadSpec!BC29))),".")</f>
        <v>2.6824597822007652</v>
      </c>
      <c r="AX29" s="72">
        <f>IFERROR(IF(d_ss_Bv!Z29=0,".",((s_Ir*s_F*s_MLF_cereal*(1-EXP(-s_RadSpec!BC29*s_t_b)))/(s_P*s_RadSpec!BC29))),".")</f>
        <v>2.6824597822007652</v>
      </c>
      <c r="AY29" s="72">
        <f>IFERROR(IF(d_ss_Bv!C29=0,".",((s_Ir*s_F*s_I_f*s_T*(1-EXP(-s_RadSpec!BD29*s_t_v)))/(s_Y_v*s_RadSpec!BD29))),".")</f>
        <v>9.0143481925428208</v>
      </c>
      <c r="AZ29" s="72">
        <f>IFERROR(IF(d_ss_Bv!D29=0,".",((s_Ir*s_F*s_I_f*s_T*(1-EXP(-s_RadSpec!BD29*s_t_v)))/(s_Y_v*s_RadSpec!BD29))),".")</f>
        <v>9.0143481925428208</v>
      </c>
      <c r="BA29" s="72">
        <f>IFERROR(IF(d_ss_Bv!E29=0,".",((s_Ir*s_F*s_I_f*s_T*(1-EXP(-s_RadSpec!BD29*s_t_v)))/(s_Y_v*s_RadSpec!BD29))),".")</f>
        <v>9.0143481925428208</v>
      </c>
      <c r="BB29" s="72">
        <f>IFERROR(IF(d_ss_Bv!F29=0,".",((s_Ir*s_F*s_I_f*s_T*(1-EXP(-s_RadSpec!BD29*s_t_v)))/(s_Y_v*s_RadSpec!BD29))),".")</f>
        <v>9.0143481925428208</v>
      </c>
      <c r="BC29" s="72">
        <f>IFERROR(IF(d_ss_Bv!G29=0,".",((s_Ir*s_F*s_I_f*s_T*(1-EXP(-s_RadSpec!BD29*s_t_v)))/(s_Y_v*s_RadSpec!BD29))),".")</f>
        <v>9.0143481925428208</v>
      </c>
      <c r="BD29" s="72">
        <f>IFERROR(IF(d_ss_Bv!H29=0,".",((s_Ir*s_F*s_I_f*s_T*(1-EXP(-s_RadSpec!BD29*s_t_v)))/(s_Y_v*s_RadSpec!BD29))),".")</f>
        <v>9.0143481925428208</v>
      </c>
      <c r="BE29" s="72">
        <f>IFERROR(IF(d_ss_Bv!I29=0,".",((s_Ir*s_F*s_I_f*s_T*(1-EXP(-s_RadSpec!BD29*s_t_v)))/(s_Y_v*s_RadSpec!BD29))),".")</f>
        <v>9.0143481925428208</v>
      </c>
      <c r="BF29" s="72">
        <f>IFERROR(IF(d_ss_Bv!J29=0,".",((s_Ir*s_F*s_I_f*s_T*(1-EXP(-s_RadSpec!BD29*s_t_v)))/(s_Y_v*s_RadSpec!BD29))),".")</f>
        <v>9.0143481925428208</v>
      </c>
      <c r="BG29" s="72">
        <f>IFERROR(IF(d_ss_Bv!K29=0,".",((s_Ir*s_F*s_I_f*s_T*(1-EXP(-s_RadSpec!BD29*s_t_v)))/(s_Y_v*s_RadSpec!BD29))),".")</f>
        <v>9.0143481925428208</v>
      </c>
      <c r="BH29" s="72">
        <f>IFERROR(IF(d_ss_Bv!L29=0,".",((s_Ir*s_F*s_I_f*s_T*(1-EXP(-s_RadSpec!BD29*s_t_v)))/(s_Y_v*s_RadSpec!BD29))),".")</f>
        <v>9.0143481925428208</v>
      </c>
      <c r="BI29" s="72">
        <f>IFERROR(IF(d_ss_Bv!M29=0,".",((s_Ir*s_F*s_I_f*s_T*(1-EXP(-s_RadSpec!BD29*s_t_v)))/(s_Y_v*s_RadSpec!BD29))),".")</f>
        <v>9.0143481925428208</v>
      </c>
      <c r="BJ29" s="72">
        <f>IFERROR(IF(d_ss_Bv!N29=0,".",((s_Ir*s_F*s_I_f*s_T*(1-EXP(-s_RadSpec!BD29*s_t_v)))/(s_Y_v*s_RadSpec!BD29))),".")</f>
        <v>9.0143481925428208</v>
      </c>
      <c r="BK29" s="72">
        <f>IFERROR(IF(d_ss_Bv!O29=0,".",((s_Ir*s_F*s_I_f*s_T*(1-EXP(-s_RadSpec!BD29*s_t_v)))/(s_Y_v*s_RadSpec!BD29))),".")</f>
        <v>9.0143481925428208</v>
      </c>
      <c r="BL29" s="72">
        <f>IFERROR(IF(d_ss_Bv!P29=0,".",((s_Ir*s_F*s_I_f*s_T*(1-EXP(-s_RadSpec!BD29*s_t_v)))/(s_Y_v*s_RadSpec!BD29))),".")</f>
        <v>9.0143481925428208</v>
      </c>
      <c r="BM29" s="72">
        <f>IFERROR(IF(d_ss_Bv!Q29=0,".",((s_Ir*s_F*s_I_f*s_T*(1-EXP(-s_RadSpec!BD29*s_t_v)))/(s_Y_v*s_RadSpec!BD29))),".")</f>
        <v>9.0143481925428208</v>
      </c>
      <c r="BN29" s="72">
        <f>IFERROR(IF(d_ss_Bv!R29=0,".",((s_Ir*s_F*s_I_f*s_T*(1-EXP(-s_RadSpec!BD29*s_t_v)))/(s_Y_v*s_RadSpec!BD29))),".")</f>
        <v>9.0143481925428208</v>
      </c>
      <c r="BO29" s="72">
        <f>IFERROR(IF(d_ss_Bv!S29=0,".",((s_Ir*s_F*s_I_f*s_T*(1-EXP(-s_RadSpec!BD29*s_t_v)))/(s_Y_v*s_RadSpec!BD29))),".")</f>
        <v>9.0143481925428208</v>
      </c>
      <c r="BP29" s="72">
        <f>IFERROR(IF(d_ss_Bv!T29=0,".",((s_Ir*s_F*s_I_f*s_T*(1-EXP(-s_RadSpec!BD29*s_t_v)))/(s_Y_v*s_RadSpec!BD29))),".")</f>
        <v>9.0143481925428208</v>
      </c>
      <c r="BQ29" s="72">
        <f>IFERROR(IF(d_ss_Bv!U29=0,".",((s_Ir*s_F*s_I_f*s_T*(1-EXP(-s_RadSpec!BD29*s_t_v)))/(s_Y_v*s_RadSpec!BD29))),".")</f>
        <v>9.0143481925428208</v>
      </c>
      <c r="BR29" s="72">
        <f>IFERROR(IF(d_ss_Bv!V29=0,".",((s_Ir*s_F*s_I_f*s_T*(1-EXP(-s_RadSpec!BD29*s_t_v)))/(s_Y_v*s_RadSpec!BD29))),".")</f>
        <v>9.0143481925428208</v>
      </c>
      <c r="BS29" s="72">
        <f>IFERROR(IF(d_ss_Bv!W29=0,".",((s_Ir*s_F*s_I_f*s_T*(1-EXP(-s_RadSpec!BD29*s_t_v)))/(s_Y_v*s_RadSpec!BD29))),".")</f>
        <v>9.0143481925428208</v>
      </c>
      <c r="BT29" s="72">
        <f>IFERROR(IF(d_ss_Bv!X29=0,".",((s_Ir*s_F*s_I_f*s_T*(1-EXP(-s_RadSpec!BD29*s_t_v)))/(s_Y_v*s_RadSpec!BD29))),".")</f>
        <v>9.0143481925428208</v>
      </c>
      <c r="BU29" s="72">
        <f>IFERROR(IF(d_ss_Bv!Y29=0,".",((s_Ir*s_F*s_I_f*s_T*(1-EXP(-s_RadSpec!BD29*s_t_v)))/(s_Y_v*s_RadSpec!BD29))),".")</f>
        <v>9.0143481925428208</v>
      </c>
      <c r="BV29" s="72">
        <f>IFERROR(IF(d_ss_Bv!Z29=0,".",((s_Ir*s_F*s_I_f*s_T*(1-EXP(-s_RadSpec!BD29*s_t_v)))/(s_Y_v*s_RadSpec!BD29))),".")</f>
        <v>9.0143481925428208</v>
      </c>
    </row>
    <row r="30" spans="1:74" x14ac:dyDescent="0.25">
      <c r="A30" s="31" t="s">
        <v>28</v>
      </c>
      <c r="B30" s="3" t="s">
        <v>1059</v>
      </c>
      <c r="C30" s="72">
        <f>IFERROR(IF(d_ss_Bv!C30=0,".",((s_Ir*s_F*d_ss_Bv!C30*(1-EXP(-s_RadSpec!$BC30*s_t_b)))/(s_P*s_RadSpec!$BC30))),".")</f>
        <v>0.19870072460746407</v>
      </c>
      <c r="D30" s="72">
        <f>IFERROR(IF(d_ss_Bv!D30=0,".",((s_Ir*s_F*d_ss_Bv!D30*(1-EXP(-s_RadSpec!BC30*s_t_b)))/(s_P*s_RadSpec!BC30))),".")</f>
        <v>3.9740144921492817</v>
      </c>
      <c r="E30" s="72">
        <f>IFERROR(IF(d_ss_Bv!E30=0,".",((s_Ir*s_F*d_ss_Bv!E30*(1-EXP(-s_RadSpec!BC30*s_t_b)))/(s_P*s_RadSpec!BC30))),".")</f>
        <v>1.669086086702698</v>
      </c>
      <c r="F30" s="72">
        <f>IFERROR(IF(d_ss_Bv!F30=0,".",((s_Ir*s_F*d_ss_Bv!F30*(1-EXP(-s_RadSpec!BC30*s_t_b)))/(s_P*s_RadSpec!BC30))),".")</f>
        <v>0.19870072460746407</v>
      </c>
      <c r="G30" s="72">
        <f>IFERROR(IF(d_ss_Bv!G30=0,".",((s_Ir*s_F*d_ss_Bv!G30*(1-EXP(-s_RadSpec!BC30*s_t_b)))/(s_P*s_RadSpec!BC30))),".")</f>
        <v>2.9805108691119608</v>
      </c>
      <c r="H30" s="72">
        <f>IFERROR(IF(d_ss_Bv!H30=0,".",((s_Ir*s_F*d_ss_Bv!H30*(1-EXP(-s_RadSpec!BC30*s_t_b)))/(s_P*s_RadSpec!BC30))),".")</f>
        <v>3.9740144921492817</v>
      </c>
      <c r="I30" s="72">
        <f>IFERROR(IF(d_ss_Bv!I30=0,".",((s_Ir*s_F*d_ss_Bv!I30*(1-EXP(-s_RadSpec!BC30*s_t_b)))/(s_P*s_RadSpec!BC30))),".")</f>
        <v>1.669086086702698</v>
      </c>
      <c r="J30" s="72">
        <f>IFERROR(IF(d_ss_Bv!J30=0,".",((s_Ir*s_F*d_ss_Bv!J30*(1-EXP(-s_RadSpec!BC30*s_t_b)))/(s_P*s_RadSpec!BC30))),".")</f>
        <v>0.19870072460746407</v>
      </c>
      <c r="K30" s="72">
        <f>IFERROR(IF(d_ss_Bv!K30=0,".",((s_Ir*s_F*d_ss_Bv!K30*(1-EXP(-s_RadSpec!BC30*s_t_b)))/(s_P*s_RadSpec!BC30))),".")</f>
        <v>2.9805108691119608</v>
      </c>
      <c r="L30" s="72">
        <f>IFERROR(IF(d_ss_Bv!L30=0,".",((s_Ir*s_F*d_ss_Bv!L30*(1-EXP(-s_RadSpec!BC30*s_t_b)))/(s_P*s_RadSpec!BC30))),".")</f>
        <v>2.9805108691119608</v>
      </c>
      <c r="M30" s="72">
        <f>IFERROR(IF(d_ss_Bv!M30=0,".",((s_Ir*s_F*d_ss_Bv!M30*(1-EXP(-s_RadSpec!BC30*s_t_b)))/(s_P*s_RadSpec!BC30))),".")</f>
        <v>3.9740144921492817</v>
      </c>
      <c r="N30" s="72">
        <f>IFERROR(IF(d_ss_Bv!N30=0,".",((s_Ir*s_F*d_ss_Bv!N30*(1-EXP(-s_RadSpec!BC30*s_t_b)))/(s_P*s_RadSpec!BC30))),".")</f>
        <v>0.43714159413642101</v>
      </c>
      <c r="O30" s="72">
        <f>IFERROR(IF(d_ss_Bv!O30=0,".",((s_Ir*s_F*d_ss_Bv!O30*(1-EXP(-s_RadSpec!BC30*s_t_b)))/(s_P*s_RadSpec!BC30))),".")</f>
        <v>2.9805108691119608</v>
      </c>
      <c r="P30" s="72">
        <f>IFERROR(IF(d_ss_Bv!P30=0,".",((s_Ir*s_F*d_ss_Bv!P30*(1-EXP(-s_RadSpec!BC30*s_t_b)))/(s_P*s_RadSpec!BC30))),".")</f>
        <v>2.9805108691119608</v>
      </c>
      <c r="Q30" s="72">
        <f>IFERROR(IF(d_ss_Bv!Q30=0,".",((s_Ir*s_F*d_ss_Bv!Q30*(1-EXP(-s_RadSpec!BC30*s_t_b)))/(s_P*s_RadSpec!BC30))),".")</f>
        <v>0.19870072460746407</v>
      </c>
      <c r="R30" s="72">
        <f>IFERROR(IF(d_ss_Bv!R30=0,".",((s_Ir*s_F*d_ss_Bv!R30*(1-EXP(-s_RadSpec!BC30*s_t_b)))/(s_P*s_RadSpec!BC30))),".")</f>
        <v>0.19870072460746407</v>
      </c>
      <c r="S30" s="72">
        <f>IFERROR(IF(d_ss_Bv!S30=0,".",((s_Ir*s_F*d_ss_Bv!S30*(1-EXP(-s_RadSpec!BC30*s_t_b)))/(s_P*s_RadSpec!BC30))),".")</f>
        <v>0.43714159413642101</v>
      </c>
      <c r="T30" s="72">
        <f>IFERROR(IF(d_ss_Bv!T30=0,".",((s_Ir*s_F*d_ss_Bv!T30*(1-EXP(-s_RadSpec!BC30*s_t_b)))/(s_P*s_RadSpec!BC30))),".")</f>
        <v>0.99350362303732043</v>
      </c>
      <c r="U30" s="72">
        <f>IFERROR(IF(d_ss_Bv!U30=0,".",((s_Ir*s_F*d_ss_Bv!U30*(1-EXP(-s_RadSpec!BC30*s_t_b)))/(s_P*s_RadSpec!BC30))),".")</f>
        <v>2.9805108691119608</v>
      </c>
      <c r="V30" s="72">
        <f>IFERROR(IF(d_ss_Bv!V30=0,".",((s_Ir*s_F*d_ss_Bv!V30*(1-EXP(-s_RadSpec!BC30*s_t_b)))/(s_P*s_RadSpec!BC30))),".")</f>
        <v>0.43714159413642101</v>
      </c>
      <c r="W30" s="72">
        <f>IFERROR(IF(d_ss_Bv!W30=0,".",((s_Ir*s_F*d_ss_Bv!W30*(1-EXP(-s_RadSpec!BC30*s_t_b)))/(s_P*s_RadSpec!BC30))),".")</f>
        <v>0.19870072460746407</v>
      </c>
      <c r="X30" s="72">
        <f>IFERROR(IF(d_ss_Bv!X30=0,".",((s_Ir*s_F*d_ss_Bv!X30*(1-EXP(-s_RadSpec!BC30*s_t_b)))/(s_P*s_RadSpec!BC30))),".")</f>
        <v>2.9805108691119608</v>
      </c>
      <c r="Y30" s="72">
        <f>IFERROR(IF(d_ss_Bv!Y30=0,".",((s_Ir*s_F*d_ss_Bv!Y30*(1-EXP(-s_RadSpec!BC30*s_t_b)))/(s_P*s_RadSpec!BC30))),".")</f>
        <v>4.8284276079613768E-2</v>
      </c>
      <c r="Z30" s="72">
        <f>IFERROR(IF(d_ss_Bv!Z30=0,".",((s_Ir*s_F*d_ss_Bv!Z30*(1-EXP(-s_RadSpec!BC30*s_t_b)))/(s_P*s_RadSpec!BC30))),".")</f>
        <v>1.2319444925662772</v>
      </c>
      <c r="AA30" s="72">
        <f>IFERROR(IF(d_ss_Bv!C30=0,".",((s_Ir*s_F*s_MLF_apple*(1-EXP(-s_RadSpec!BC30*s_t_b)))/(s_P*s_RadSpec!BC30))),".")</f>
        <v>2.6824597822007652</v>
      </c>
      <c r="AB30" s="72">
        <f>IFERROR(IF(d_ss_Bv!D30=0,".",((s_Ir*s_F*s_MLF_asparagus*(1-EXP(-s_RadSpec!BC30*s_t_b)))/(s_P*s_RadSpec!BC30))),".")</f>
        <v>2.6824597822007652</v>
      </c>
      <c r="AC30" s="72">
        <f>IFERROR(IF(d_ss_Bv!E30=0,".",((s_Ir*s_F*s_MLF_beet*(1-EXP(-s_RadSpec!BC30*s_t_b)))/(s_P*s_RadSpec!BC30))),".")</f>
        <v>2.6824597822007652</v>
      </c>
      <c r="AD30" s="72">
        <f>IFERROR(IF(d_ss_Bv!F30=0,".",((s_Ir*s_F*s_MLF_berries*(1-EXP(-s_RadSpec!BC30*s_t_b)))/(s_P*s_RadSpec!BC30))),".")</f>
        <v>2.6824597822007652</v>
      </c>
      <c r="AE30" s="72">
        <f>IFERROR(IF(d_ss_Bv!G30=0,".",((s_Ir*s_F*s_MLF_broccoli*(1-EXP(-s_RadSpec!BC30*s_t_b)))/(s_P*s_RadSpec!BC30))),".")</f>
        <v>2.6824597822007652</v>
      </c>
      <c r="AF30" s="72">
        <f>IFERROR(IF(d_ss_Bv!H30=0,".",((s_Ir*s_F*s_MLF_cabbage*(1-EXP(-s_RadSpec!BC30*s_t_b)))/(s_P*s_RadSpec!BC30))),".")</f>
        <v>2.6824597822007652</v>
      </c>
      <c r="AG30" s="72">
        <f>IFERROR(IF(d_ss_Bv!I30=0,".",((s_Ir*s_F*s_MLF_carrot*(1-EXP(-s_RadSpec!BC30*s_t_b)))/(s_P*s_RadSpec!BC30))),".")</f>
        <v>2.6824597822007652</v>
      </c>
      <c r="AH30" s="72">
        <f>IFERROR(IF(d_ss_Bv!J30=0,".",((s_Ir*s_F*s_MLF_citrus*(1-EXP(-s_RadSpec!BC30*s_t_b)))/(s_P*s_RadSpec!BC30))),".")</f>
        <v>2.6824597822007652</v>
      </c>
      <c r="AI30" s="72">
        <f>IFERROR(IF(d_ss_Bv!K30=0,".",((s_Ir*s_F*s_MLF_corn*(1-EXP(-s_RadSpec!BC30*s_t_b)))/(s_P*s_RadSpec!BC30))),".")</f>
        <v>2.6824597822007652</v>
      </c>
      <c r="AJ30" s="72">
        <f>IFERROR(IF(d_ss_Bv!L30=0,".",((s_Ir*s_F*s_MLF_cucumber*(1-EXP(-s_RadSpec!BC30*s_t_b)))/(s_P*s_RadSpec!BC30))),".")</f>
        <v>2.6824597822007652</v>
      </c>
      <c r="AK30" s="72">
        <f>IFERROR(IF(d_ss_Bv!M30=0,".",((s_Ir*s_F*s_MLF_lettuce*(1-EXP(-s_RadSpec!BC30*s_t_b)))/(s_P*s_RadSpec!BC30))),".")</f>
        <v>2.6824597822007652</v>
      </c>
      <c r="AL30" s="72">
        <f>IFERROR(IF(d_ss_Bv!N30=0,".",((s_Ir*s_F*s_MLF_lima_bean*(1-EXP(-s_RadSpec!BC30*s_t_b)))/(s_P*s_RadSpec!BC30))),".")</f>
        <v>2.6824597822007652</v>
      </c>
      <c r="AM30" s="72">
        <f>IFERROR(IF(d_ss_Bv!O30=0,".",((s_Ir*s_F*s_MLF_okra*(1-EXP(-s_RadSpec!BC30*s_t_b)))/(s_P*s_RadSpec!BC30))),".")</f>
        <v>2.6824597822007652</v>
      </c>
      <c r="AN30" s="72">
        <f>IFERROR(IF(d_ss_Bv!P30=0,".",((s_Ir*s_F*s_MLF_onion*(1-EXP(-s_RadSpec!BC30*s_t_b)))/(s_P*s_RadSpec!BC30))),".")</f>
        <v>2.6824597822007652</v>
      </c>
      <c r="AO30" s="72">
        <f>IFERROR(IF(d_ss_Bv!Q30=0,".",((s_Ir*s_F*s_MLF_peach*(1-EXP(-s_RadSpec!BC30*s_t_b)))/(s_P*s_RadSpec!BC30))),".")</f>
        <v>2.6824597822007652</v>
      </c>
      <c r="AP30" s="72">
        <f>IFERROR(IF(d_ss_Bv!R30=0,".",((s_Ir*s_F*s_MLF_pear*(1-EXP(-s_RadSpec!BC30*s_t_b)))/(s_P*s_RadSpec!BC30))),".")</f>
        <v>2.6824597822007652</v>
      </c>
      <c r="AQ30" s="72">
        <f>IFERROR(IF(d_ss_Bv!S30=0,".",((s_Ir*s_F*s_MLF_peas*(1-EXP(-s_RadSpec!BC30*s_t_b)))/(s_P*s_RadSpec!BC30))),".")</f>
        <v>2.6824597822007652</v>
      </c>
      <c r="AR30" s="72">
        <f>IFERROR(IF(d_ss_Bv!T30=0,".",((s_Ir*s_F*s_MLF_potato*(1-EXP(-s_RadSpec!BC30*s_t_b)))/(s_P*s_RadSpec!BC30))),".")</f>
        <v>2.6824597822007652</v>
      </c>
      <c r="AS30" s="72">
        <f>IFERROR(IF(d_ss_Bv!U30=0,".",((s_Ir*s_F*s_MLF_pumpkin*(1-EXP(-s_RadSpec!BC30*s_t_b)))/(s_P*s_RadSpec!BC30))),".")</f>
        <v>2.6824597822007652</v>
      </c>
      <c r="AT30" s="72">
        <f>IFERROR(IF(d_ss_Bv!V30=0,".",((s_Ir*s_F*s_MLF_snap_bean*(1-EXP(-s_RadSpec!BC30*s_t_b)))/(s_P*s_RadSpec!BC30))),".")</f>
        <v>2.6824597822007652</v>
      </c>
      <c r="AU30" s="72">
        <f>IFERROR(IF(d_ss_Bv!W30=0,".",((s_Ir*s_F*s_MLF_strawberry*(1-EXP(-s_RadSpec!BC30*s_t_b)))/(s_P*s_RadSpec!BC30))),".")</f>
        <v>2.6824597822007652</v>
      </c>
      <c r="AV30" s="72">
        <f>IFERROR(IF(d_ss_Bv!X30=0,".",((s_Ir*s_F*s_MLF_tomato*(1-EXP(-s_RadSpec!BC30*s_t_b)))/(s_P*s_RadSpec!BC30))),".")</f>
        <v>2.6824597822007652</v>
      </c>
      <c r="AW30" s="72">
        <f>IFERROR(IF(d_ss_Bv!Y30=0,".",((s_Ir*s_F*s_MLF_rice*(1-EXP(-s_RadSpec!BC30*s_t_b)))/(s_P*s_RadSpec!BC30))),".")</f>
        <v>2.6824597822007652</v>
      </c>
      <c r="AX30" s="72">
        <f>IFERROR(IF(d_ss_Bv!Z30=0,".",((s_Ir*s_F*s_MLF_cereal*(1-EXP(-s_RadSpec!BC30*s_t_b)))/(s_P*s_RadSpec!BC30))),".")</f>
        <v>2.6824597822007652</v>
      </c>
      <c r="AY30" s="72">
        <f>IFERROR(IF(d_ss_Bv!C30=0,".",((s_Ir*s_F*s_I_f*s_T*(1-EXP(-s_RadSpec!BD30*s_t_v)))/(s_Y_v*s_RadSpec!BD30))),".")</f>
        <v>9.0143481925428208</v>
      </c>
      <c r="AZ30" s="72">
        <f>IFERROR(IF(d_ss_Bv!D30=0,".",((s_Ir*s_F*s_I_f*s_T*(1-EXP(-s_RadSpec!BD30*s_t_v)))/(s_Y_v*s_RadSpec!BD30))),".")</f>
        <v>9.0143481925428208</v>
      </c>
      <c r="BA30" s="72">
        <f>IFERROR(IF(d_ss_Bv!E30=0,".",((s_Ir*s_F*s_I_f*s_T*(1-EXP(-s_RadSpec!BD30*s_t_v)))/(s_Y_v*s_RadSpec!BD30))),".")</f>
        <v>9.0143481925428208</v>
      </c>
      <c r="BB30" s="72">
        <f>IFERROR(IF(d_ss_Bv!F30=0,".",((s_Ir*s_F*s_I_f*s_T*(1-EXP(-s_RadSpec!BD30*s_t_v)))/(s_Y_v*s_RadSpec!BD30))),".")</f>
        <v>9.0143481925428208</v>
      </c>
      <c r="BC30" s="72">
        <f>IFERROR(IF(d_ss_Bv!G30=0,".",((s_Ir*s_F*s_I_f*s_T*(1-EXP(-s_RadSpec!BD30*s_t_v)))/(s_Y_v*s_RadSpec!BD30))),".")</f>
        <v>9.0143481925428208</v>
      </c>
      <c r="BD30" s="72">
        <f>IFERROR(IF(d_ss_Bv!H30=0,".",((s_Ir*s_F*s_I_f*s_T*(1-EXP(-s_RadSpec!BD30*s_t_v)))/(s_Y_v*s_RadSpec!BD30))),".")</f>
        <v>9.0143481925428208</v>
      </c>
      <c r="BE30" s="72">
        <f>IFERROR(IF(d_ss_Bv!I30=0,".",((s_Ir*s_F*s_I_f*s_T*(1-EXP(-s_RadSpec!BD30*s_t_v)))/(s_Y_v*s_RadSpec!BD30))),".")</f>
        <v>9.0143481925428208</v>
      </c>
      <c r="BF30" s="72">
        <f>IFERROR(IF(d_ss_Bv!J30=0,".",((s_Ir*s_F*s_I_f*s_T*(1-EXP(-s_RadSpec!BD30*s_t_v)))/(s_Y_v*s_RadSpec!BD30))),".")</f>
        <v>9.0143481925428208</v>
      </c>
      <c r="BG30" s="72">
        <f>IFERROR(IF(d_ss_Bv!K30=0,".",((s_Ir*s_F*s_I_f*s_T*(1-EXP(-s_RadSpec!BD30*s_t_v)))/(s_Y_v*s_RadSpec!BD30))),".")</f>
        <v>9.0143481925428208</v>
      </c>
      <c r="BH30" s="72">
        <f>IFERROR(IF(d_ss_Bv!L30=0,".",((s_Ir*s_F*s_I_f*s_T*(1-EXP(-s_RadSpec!BD30*s_t_v)))/(s_Y_v*s_RadSpec!BD30))),".")</f>
        <v>9.0143481925428208</v>
      </c>
      <c r="BI30" s="72">
        <f>IFERROR(IF(d_ss_Bv!M30=0,".",((s_Ir*s_F*s_I_f*s_T*(1-EXP(-s_RadSpec!BD30*s_t_v)))/(s_Y_v*s_RadSpec!BD30))),".")</f>
        <v>9.0143481925428208</v>
      </c>
      <c r="BJ30" s="72">
        <f>IFERROR(IF(d_ss_Bv!N30=0,".",((s_Ir*s_F*s_I_f*s_T*(1-EXP(-s_RadSpec!BD30*s_t_v)))/(s_Y_v*s_RadSpec!BD30))),".")</f>
        <v>9.0143481925428208</v>
      </c>
      <c r="BK30" s="72">
        <f>IFERROR(IF(d_ss_Bv!O30=0,".",((s_Ir*s_F*s_I_f*s_T*(1-EXP(-s_RadSpec!BD30*s_t_v)))/(s_Y_v*s_RadSpec!BD30))),".")</f>
        <v>9.0143481925428208</v>
      </c>
      <c r="BL30" s="72">
        <f>IFERROR(IF(d_ss_Bv!P30=0,".",((s_Ir*s_F*s_I_f*s_T*(1-EXP(-s_RadSpec!BD30*s_t_v)))/(s_Y_v*s_RadSpec!BD30))),".")</f>
        <v>9.0143481925428208</v>
      </c>
      <c r="BM30" s="72">
        <f>IFERROR(IF(d_ss_Bv!Q30=0,".",((s_Ir*s_F*s_I_f*s_T*(1-EXP(-s_RadSpec!BD30*s_t_v)))/(s_Y_v*s_RadSpec!BD30))),".")</f>
        <v>9.0143481925428208</v>
      </c>
      <c r="BN30" s="72">
        <f>IFERROR(IF(d_ss_Bv!R30=0,".",((s_Ir*s_F*s_I_f*s_T*(1-EXP(-s_RadSpec!BD30*s_t_v)))/(s_Y_v*s_RadSpec!BD30))),".")</f>
        <v>9.0143481925428208</v>
      </c>
      <c r="BO30" s="72">
        <f>IFERROR(IF(d_ss_Bv!S30=0,".",((s_Ir*s_F*s_I_f*s_T*(1-EXP(-s_RadSpec!BD30*s_t_v)))/(s_Y_v*s_RadSpec!BD30))),".")</f>
        <v>9.0143481925428208</v>
      </c>
      <c r="BP30" s="72">
        <f>IFERROR(IF(d_ss_Bv!T30=0,".",((s_Ir*s_F*s_I_f*s_T*(1-EXP(-s_RadSpec!BD30*s_t_v)))/(s_Y_v*s_RadSpec!BD30))),".")</f>
        <v>9.0143481925428208</v>
      </c>
      <c r="BQ30" s="72">
        <f>IFERROR(IF(d_ss_Bv!U30=0,".",((s_Ir*s_F*s_I_f*s_T*(1-EXP(-s_RadSpec!BD30*s_t_v)))/(s_Y_v*s_RadSpec!BD30))),".")</f>
        <v>9.0143481925428208</v>
      </c>
      <c r="BR30" s="72">
        <f>IFERROR(IF(d_ss_Bv!V30=0,".",((s_Ir*s_F*s_I_f*s_T*(1-EXP(-s_RadSpec!BD30*s_t_v)))/(s_Y_v*s_RadSpec!BD30))),".")</f>
        <v>9.0143481925428208</v>
      </c>
      <c r="BS30" s="72">
        <f>IFERROR(IF(d_ss_Bv!W30=0,".",((s_Ir*s_F*s_I_f*s_T*(1-EXP(-s_RadSpec!BD30*s_t_v)))/(s_Y_v*s_RadSpec!BD30))),".")</f>
        <v>9.0143481925428208</v>
      </c>
      <c r="BT30" s="72">
        <f>IFERROR(IF(d_ss_Bv!X30=0,".",((s_Ir*s_F*s_I_f*s_T*(1-EXP(-s_RadSpec!BD30*s_t_v)))/(s_Y_v*s_RadSpec!BD30))),".")</f>
        <v>9.0143481925428208</v>
      </c>
      <c r="BU30" s="72">
        <f>IFERROR(IF(d_ss_Bv!Y30=0,".",((s_Ir*s_F*s_I_f*s_T*(1-EXP(-s_RadSpec!BD30*s_t_v)))/(s_Y_v*s_RadSpec!BD30))),".")</f>
        <v>9.0143481925428208</v>
      </c>
      <c r="BV30" s="72">
        <f>IFERROR(IF(d_ss_Bv!Z30=0,".",((s_Ir*s_F*s_I_f*s_T*(1-EXP(-s_RadSpec!BD30*s_t_v)))/(s_Y_v*s_RadSpec!BD30))),".")</f>
        <v>9.0143481925428208</v>
      </c>
    </row>
  </sheetData>
  <sheetProtection algorithmName="SHA-512" hashValue="7SVIQvWWDFyMeH00pFQ+PMJXyqe3qfRcFzWHavsVZQ4CNVlyUYGRPkrC9IYL9UJH0HXBLtCTdEoXBXouP9X7tQ==" saltValue="KaY/QOm39Dx/pkuzHxSR7w==" spinCount="100000" sheet="1" objects="1" scenarios="1" formatColumns="0" formatRows="0" autoFilter="0"/>
  <autoFilter ref="A1:BV30" xr:uid="{C3AB649A-492F-4EA0-A2A7-E9BEDA75EC0D}"/>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BY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47" bestFit="1" customWidth="1"/>
    <col min="2" max="2" width="11.7109375" style="47" bestFit="1" customWidth="1"/>
    <col min="3" max="3" width="20.7109375" style="47" bestFit="1" customWidth="1"/>
    <col min="4" max="4" width="14.5703125" style="49" bestFit="1" customWidth="1"/>
    <col min="5" max="5" width="14.28515625" style="49" bestFit="1" customWidth="1"/>
    <col min="6" max="6" width="13.85546875" style="49" bestFit="1" customWidth="1"/>
    <col min="7" max="7" width="14.28515625" style="49" bestFit="1" customWidth="1"/>
    <col min="8" max="8" width="13.7109375" style="49" bestFit="1" customWidth="1"/>
    <col min="9" max="9" width="14" style="49" bestFit="1" customWidth="1"/>
    <col min="10" max="10" width="13.140625" style="49" bestFit="1" customWidth="1"/>
    <col min="11" max="11" width="14.5703125" style="49" bestFit="1" customWidth="1"/>
    <col min="12" max="12" width="13.7109375" style="49" bestFit="1" customWidth="1"/>
    <col min="13" max="13" width="15.42578125" style="49" bestFit="1" customWidth="1"/>
    <col min="14" max="14" width="12.85546875" style="49" bestFit="1" customWidth="1"/>
    <col min="15" max="15" width="13.42578125" style="49" bestFit="1" customWidth="1"/>
    <col min="16" max="16" width="13.5703125" style="49" bestFit="1" customWidth="1"/>
    <col min="17" max="17" width="14.7109375" style="49" bestFit="1" customWidth="1"/>
    <col min="18" max="18" width="15" style="49" bestFit="1" customWidth="1"/>
    <col min="19" max="19" width="13.7109375" style="49" bestFit="1" customWidth="1"/>
    <col min="20" max="20" width="13" style="49" bestFit="1" customWidth="1"/>
    <col min="21" max="21" width="14.42578125" style="49" bestFit="1" customWidth="1"/>
    <col min="22" max="22" width="14.85546875" style="49" bestFit="1" customWidth="1"/>
    <col min="23" max="23" width="13.85546875" style="49" bestFit="1" customWidth="1"/>
    <col min="24" max="24" width="14.5703125" style="49" bestFit="1" customWidth="1"/>
    <col min="25" max="25" width="13.42578125" style="49" bestFit="1" customWidth="1"/>
    <col min="26" max="26" width="13" style="49" bestFit="1" customWidth="1"/>
    <col min="27" max="27" width="15" style="49" bestFit="1" customWidth="1"/>
    <col min="28" max="28" width="20.5703125" style="49" bestFit="1" customWidth="1"/>
    <col min="29" max="29" width="14.28515625" style="49" bestFit="1" customWidth="1"/>
    <col min="30" max="30" width="14.140625" style="49" bestFit="1" customWidth="1"/>
    <col min="31" max="31" width="13.5703125" style="49" bestFit="1" customWidth="1"/>
    <col min="32" max="32" width="14.140625" style="49" bestFit="1" customWidth="1"/>
    <col min="33" max="33" width="13.42578125" style="49" bestFit="1" customWidth="1"/>
    <col min="34" max="34" width="13.7109375" style="49" bestFit="1" customWidth="1"/>
    <col min="35" max="35" width="13" style="49" bestFit="1" customWidth="1"/>
    <col min="36" max="36" width="14.28515625" style="49" bestFit="1" customWidth="1"/>
    <col min="37" max="37" width="13.42578125" style="49" bestFit="1" customWidth="1"/>
    <col min="38" max="38" width="15.28515625" style="49" bestFit="1" customWidth="1"/>
    <col min="39" max="39" width="12.7109375" style="49" bestFit="1" customWidth="1"/>
    <col min="40" max="40" width="13.28515625" style="49" bestFit="1" customWidth="1"/>
    <col min="41" max="41" width="13.42578125" style="49" bestFit="1" customWidth="1"/>
    <col min="42" max="42" width="14.5703125" style="49" bestFit="1" customWidth="1"/>
    <col min="43" max="43" width="14.7109375" style="49" bestFit="1" customWidth="1"/>
    <col min="44" max="44" width="13.42578125" style="49" bestFit="1" customWidth="1"/>
    <col min="45" max="45" width="12.85546875" style="49" bestFit="1" customWidth="1"/>
    <col min="46" max="46" width="14.140625" style="49" bestFit="1" customWidth="1"/>
    <col min="47" max="47" width="14.5703125" style="49" bestFit="1" customWidth="1"/>
    <col min="48" max="48" width="13.5703125" style="49" bestFit="1" customWidth="1"/>
    <col min="49" max="49" width="14.28515625" style="49" bestFit="1" customWidth="1"/>
    <col min="50" max="50" width="13.140625" style="49" bestFit="1" customWidth="1"/>
    <col min="51" max="51" width="12.85546875" style="49" bestFit="1" customWidth="1"/>
    <col min="52" max="52" width="13.85546875" style="49" bestFit="1" customWidth="1"/>
    <col min="53" max="53" width="20.7109375" style="49" bestFit="1" customWidth="1"/>
    <col min="54" max="54" width="14.5703125" style="49" bestFit="1" customWidth="1"/>
    <col min="55" max="55" width="14.7109375" style="49" bestFit="1" customWidth="1"/>
    <col min="56" max="56" width="13.85546875" style="49" bestFit="1" customWidth="1"/>
    <col min="57" max="57" width="14.42578125" style="49" bestFit="1" customWidth="1"/>
    <col min="58" max="58" width="13.85546875" style="49" bestFit="1" customWidth="1"/>
    <col min="59" max="59" width="14" style="49" bestFit="1" customWidth="1"/>
    <col min="60" max="60" width="13.42578125" style="49" bestFit="1" customWidth="1"/>
    <col min="61" max="61" width="14.7109375" style="49" bestFit="1" customWidth="1"/>
    <col min="62" max="62" width="13.85546875" style="49" bestFit="1" customWidth="1"/>
    <col min="63" max="63" width="15.5703125" style="49" bestFit="1" customWidth="1"/>
    <col min="64" max="64" width="13" style="49" bestFit="1" customWidth="1"/>
    <col min="65" max="66" width="13.85546875" style="49" bestFit="1" customWidth="1"/>
    <col min="67" max="67" width="14.7109375" style="49" bestFit="1" customWidth="1"/>
    <col min="68" max="68" width="15" style="49" bestFit="1" customWidth="1"/>
    <col min="69" max="69" width="13.85546875" style="49" bestFit="1" customWidth="1"/>
    <col min="70" max="70" width="13.140625" style="49" bestFit="1" customWidth="1"/>
    <col min="71" max="71" width="14.5703125" style="49" bestFit="1" customWidth="1"/>
    <col min="72" max="72" width="14.85546875" style="49" bestFit="1" customWidth="1"/>
    <col min="73" max="73" width="14" style="49" bestFit="1" customWidth="1"/>
    <col min="74" max="74" width="14.85546875" style="49" bestFit="1" customWidth="1"/>
    <col min="75" max="75" width="13.5703125" style="49" bestFit="1" customWidth="1"/>
    <col min="76" max="76" width="13.140625" style="49" bestFit="1" customWidth="1"/>
    <col min="77" max="77" width="14.28515625" style="49" bestFit="1" customWidth="1"/>
    <col min="78" max="16384" width="9.140625" style="49"/>
  </cols>
  <sheetData>
    <row r="1" spans="1:77" x14ac:dyDescent="0.25">
      <c r="A1" s="57" t="s">
        <v>39</v>
      </c>
      <c r="B1" s="58" t="s">
        <v>335</v>
      </c>
      <c r="C1" s="49" t="s">
        <v>1361</v>
      </c>
      <c r="D1" s="49" t="s">
        <v>1362</v>
      </c>
      <c r="E1" s="49" t="s">
        <v>1363</v>
      </c>
      <c r="F1" s="49" t="s">
        <v>1364</v>
      </c>
      <c r="G1" s="49" t="s">
        <v>1365</v>
      </c>
      <c r="H1" s="49" t="s">
        <v>1366</v>
      </c>
      <c r="I1" s="49" t="s">
        <v>1367</v>
      </c>
      <c r="J1" s="49" t="s">
        <v>1368</v>
      </c>
      <c r="K1" s="49" t="s">
        <v>1369</v>
      </c>
      <c r="L1" s="49" t="s">
        <v>1370</v>
      </c>
      <c r="M1" s="49" t="s">
        <v>1371</v>
      </c>
      <c r="N1" s="49" t="s">
        <v>1372</v>
      </c>
      <c r="O1" s="49" t="s">
        <v>1373</v>
      </c>
      <c r="P1" s="49" t="s">
        <v>1374</v>
      </c>
      <c r="Q1" s="49" t="s">
        <v>1375</v>
      </c>
      <c r="R1" s="49" t="s">
        <v>1376</v>
      </c>
      <c r="S1" s="49" t="s">
        <v>1377</v>
      </c>
      <c r="T1" s="49" t="s">
        <v>1378</v>
      </c>
      <c r="U1" s="49" t="s">
        <v>1379</v>
      </c>
      <c r="V1" s="49" t="s">
        <v>1380</v>
      </c>
      <c r="W1" s="49" t="s">
        <v>1381</v>
      </c>
      <c r="X1" s="49" t="s">
        <v>1382</v>
      </c>
      <c r="Y1" s="49" t="s">
        <v>1383</v>
      </c>
      <c r="Z1" s="49" t="s">
        <v>1384</v>
      </c>
      <c r="AA1" s="49" t="s">
        <v>1385</v>
      </c>
      <c r="AB1" s="49" t="s">
        <v>1336</v>
      </c>
      <c r="AC1" s="49" t="s">
        <v>1337</v>
      </c>
      <c r="AD1" s="49" t="s">
        <v>1338</v>
      </c>
      <c r="AE1" s="49" t="s">
        <v>1339</v>
      </c>
      <c r="AF1" s="49" t="s">
        <v>1340</v>
      </c>
      <c r="AG1" s="49" t="s">
        <v>1341</v>
      </c>
      <c r="AH1" s="49" t="s">
        <v>1342</v>
      </c>
      <c r="AI1" s="49" t="s">
        <v>1343</v>
      </c>
      <c r="AJ1" s="49" t="s">
        <v>1344</v>
      </c>
      <c r="AK1" s="49" t="s">
        <v>1345</v>
      </c>
      <c r="AL1" s="49" t="s">
        <v>1346</v>
      </c>
      <c r="AM1" s="49" t="s">
        <v>1347</v>
      </c>
      <c r="AN1" s="49" t="s">
        <v>1348</v>
      </c>
      <c r="AO1" s="49" t="s">
        <v>1349</v>
      </c>
      <c r="AP1" s="49" t="s">
        <v>1350</v>
      </c>
      <c r="AQ1" s="49" t="s">
        <v>1351</v>
      </c>
      <c r="AR1" s="49" t="s">
        <v>1352</v>
      </c>
      <c r="AS1" s="49" t="s">
        <v>1353</v>
      </c>
      <c r="AT1" s="49" t="s">
        <v>1354</v>
      </c>
      <c r="AU1" s="49" t="s">
        <v>1355</v>
      </c>
      <c r="AV1" s="49" t="s">
        <v>1356</v>
      </c>
      <c r="AW1" s="49" t="s">
        <v>1357</v>
      </c>
      <c r="AX1" s="49" t="s">
        <v>1358</v>
      </c>
      <c r="AY1" s="49" t="s">
        <v>1359</v>
      </c>
      <c r="AZ1" s="49" t="s">
        <v>1360</v>
      </c>
      <c r="BA1" s="60" t="s">
        <v>1134</v>
      </c>
      <c r="BB1" s="60" t="s">
        <v>1312</v>
      </c>
      <c r="BC1" s="60" t="s">
        <v>1313</v>
      </c>
      <c r="BD1" s="60" t="s">
        <v>1314</v>
      </c>
      <c r="BE1" s="60" t="s">
        <v>1315</v>
      </c>
      <c r="BF1" s="60" t="s">
        <v>1316</v>
      </c>
      <c r="BG1" s="60" t="s">
        <v>1317</v>
      </c>
      <c r="BH1" s="60" t="s">
        <v>1318</v>
      </c>
      <c r="BI1" s="60" t="s">
        <v>1319</v>
      </c>
      <c r="BJ1" s="60" t="s">
        <v>1320</v>
      </c>
      <c r="BK1" s="60" t="s">
        <v>1321</v>
      </c>
      <c r="BL1" s="60" t="s">
        <v>1322</v>
      </c>
      <c r="BM1" s="60" t="s">
        <v>1323</v>
      </c>
      <c r="BN1" s="60" t="s">
        <v>1324</v>
      </c>
      <c r="BO1" s="60" t="s">
        <v>1325</v>
      </c>
      <c r="BP1" s="60" t="s">
        <v>1326</v>
      </c>
      <c r="BQ1" s="60" t="s">
        <v>1327</v>
      </c>
      <c r="BR1" s="60" t="s">
        <v>1328</v>
      </c>
      <c r="BS1" s="60" t="s">
        <v>1329</v>
      </c>
      <c r="BT1" s="60" t="s">
        <v>1330</v>
      </c>
      <c r="BU1" s="60" t="s">
        <v>1331</v>
      </c>
      <c r="BV1" s="60" t="s">
        <v>1332</v>
      </c>
      <c r="BW1" s="60" t="s">
        <v>1333</v>
      </c>
      <c r="BX1" s="60" t="s">
        <v>1334</v>
      </c>
      <c r="BY1" s="60" t="s">
        <v>1335</v>
      </c>
    </row>
    <row r="2" spans="1:77" x14ac:dyDescent="0.25">
      <c r="A2" s="61" t="s">
        <v>0</v>
      </c>
      <c r="B2" s="49" t="s">
        <v>1059</v>
      </c>
      <c r="C2" s="48">
        <f>IFERROR(1/SUM(1/D2,1/Z2,1/AA2),".")</f>
        <v>5.6944259968768911</v>
      </c>
      <c r="D2" s="48">
        <f>IFERROR(s_DL/(s_RadSpec!$J2*s_IFAP_res_adj*s_CF_apple),".")</f>
        <v>17.083277990630673</v>
      </c>
      <c r="E2" s="48">
        <f>IFERROR(s_DL/(s_RadSpec!$J2*s_IFAS_res_adj*s_CF_asparagus),".")</f>
        <v>17.083277990630673</v>
      </c>
      <c r="F2" s="48">
        <f>IFERROR(s_DL/(s_RadSpec!$J2*s_IFBT_res_adj*s_CF_beet),".")</f>
        <v>17.083277990630673</v>
      </c>
      <c r="G2" s="48">
        <f>IFERROR(s_DL/(s_RadSpec!$J2*s_IFBE_res_adj*s_CF_berries),".")</f>
        <v>17.083277990630673</v>
      </c>
      <c r="H2" s="48">
        <f>IFERROR(s_DL/(s_RadSpec!$J2*s_IFBR_res_adj*s_CF_broccoli),".")</f>
        <v>17.083277990630673</v>
      </c>
      <c r="I2" s="48">
        <f>IFERROR(s_DL/(s_RadSpec!$J2*s_IFCB_res_adj*s_CF_cabbage),".")</f>
        <v>17.083277990630673</v>
      </c>
      <c r="J2" s="48">
        <f>IFERROR(s_DL/(s_RadSpec!$J2*s_IFCR_res_adj*s_CF_carrot),".")</f>
        <v>17.083277990630673</v>
      </c>
      <c r="K2" s="48">
        <f>IFERROR(s_DL/(s_RadSpec!$J2*s_IFCI_res_adj*s_CF_citrus),".")</f>
        <v>17.083277990630673</v>
      </c>
      <c r="L2" s="48">
        <f>IFERROR(s_DL/(s_RadSpec!$J2*s_IFCO_res_adj*s_CF_corn),".")</f>
        <v>17.083277990630673</v>
      </c>
      <c r="M2" s="48">
        <f>IFERROR(s_DL/(s_RadSpec!$J2*s_IFCU_res_adj*s_CF_cucumber),".")</f>
        <v>17.083277990630673</v>
      </c>
      <c r="N2" s="48">
        <f>IFERROR(s_DL/(s_RadSpec!$J2*s_IFLE_res_adj*s_CF_lettuce),".")</f>
        <v>17.083277990630673</v>
      </c>
      <c r="O2" s="48">
        <f>IFERROR(s_DL/(s_RadSpec!$J2*s_IFLI_res_adj*s_CF_lima_bean),".")</f>
        <v>17.083277990630673</v>
      </c>
      <c r="P2" s="48">
        <f>IFERROR(s_DL/(s_RadSpec!$J2*s_IFOK_res_adj*s_CF_okra),".")</f>
        <v>17.083277990630673</v>
      </c>
      <c r="Q2" s="48">
        <f>IFERROR(s_DL/(s_RadSpec!$J2*s_IFON_res_adj*s_CF_onion),".")</f>
        <v>17.083277990630673</v>
      </c>
      <c r="R2" s="48">
        <f>IFERROR(s_DL/(s_RadSpec!$J2*s_IFPC_res_adj*s_CF_peach),".")</f>
        <v>17.083277990630673</v>
      </c>
      <c r="S2" s="48">
        <f>IFERROR(s_DL/(s_RadSpec!$J2*s_IFPR_res_adj*s_CF_pear),".")</f>
        <v>17.083277990630673</v>
      </c>
      <c r="T2" s="48">
        <f>IFERROR(s_DL/(s_RadSpec!$J2*s_IFPE_res_adj*s_CF_peas),".")</f>
        <v>17.083277990630673</v>
      </c>
      <c r="U2" s="48">
        <f>IFERROR(s_DL/(s_RadSpec!$J2*s_IFPT_res_adj*s_CF_potato),".")</f>
        <v>17.083277990630673</v>
      </c>
      <c r="V2" s="48">
        <f>IFERROR(s_DL/(s_RadSpec!$J2*s_IFPU_res_adj*s_CF_pumpkin),".")</f>
        <v>17.083277990630673</v>
      </c>
      <c r="W2" s="48">
        <f>IFERROR(s_DL/(s_RadSpec!$J2*s_IFSN_res_adj*s_CF_snap_bean),".")</f>
        <v>17.083277990630673</v>
      </c>
      <c r="X2" s="48">
        <f>IFERROR(s_DL/(s_RadSpec!$J2*s_IFST_res_adj*s_CF_strawberry),".")</f>
        <v>17.083277990630673</v>
      </c>
      <c r="Y2" s="48">
        <f>IFERROR(s_DL/(s_RadSpec!$J2*s_IFTO_res_adj*s_CF_tomato),".")</f>
        <v>17.083277990630673</v>
      </c>
      <c r="Z2" s="48">
        <f>IFERROR(s_DL/(s_RadSpec!$J2*s_IFRI_res_adj*s_CF_rice),".")</f>
        <v>17.083277990630673</v>
      </c>
      <c r="AA2" s="48">
        <f>IFERROR(s_DL/(s_RadSpec!$J2*s_IFCG_res_adj*s_CF_cereal),".")</f>
        <v>17.083277990630673</v>
      </c>
      <c r="AB2" s="48">
        <f>IFERROR(1/SUM(1/AC2,1/AY2,1/AZ2),".")</f>
        <v>5.6944259968768911</v>
      </c>
      <c r="AC2" s="48">
        <f>IFERROR(s_DL/(s_RadSpec!$J2*s_IFAP_far_adj*s_CF_apple),".")</f>
        <v>17.083277990630673</v>
      </c>
      <c r="AD2" s="48">
        <f>IFERROR(s_DL/(s_RadSpec!$J2*s_IFAS_far_adj*s_CF_asparagus),".")</f>
        <v>17.083277990630673</v>
      </c>
      <c r="AE2" s="48">
        <f>IFERROR(s_DL/(s_RadSpec!$J2*s_IFBT_far_adj*s_CF_beet),".")</f>
        <v>17.083277990630673</v>
      </c>
      <c r="AF2" s="48">
        <f>IFERROR(s_DL/(s_RadSpec!$J2*s_IFBE_far_adj*s_CF_berries),".")</f>
        <v>17.083277990630673</v>
      </c>
      <c r="AG2" s="48">
        <f>IFERROR(s_DL/(s_RadSpec!$J2*s_IFBR_far_adj*s_CF_broccoli),".")</f>
        <v>17.083277990630673</v>
      </c>
      <c r="AH2" s="48">
        <f>IFERROR(s_DL/(s_RadSpec!$J2*s_IFCB_far_adj*s_CF_cabbage),".")</f>
        <v>17.083277990630673</v>
      </c>
      <c r="AI2" s="48">
        <f>IFERROR(s_DL/(s_RadSpec!$J2*s_IFCR_far_adj*s_CF_carrot),".")</f>
        <v>17.083277990630673</v>
      </c>
      <c r="AJ2" s="48">
        <f>IFERROR(s_DL/(s_RadSpec!$J2*s_IFCI_far_adj*s_CF_citrus),".")</f>
        <v>17.083277990630673</v>
      </c>
      <c r="AK2" s="48">
        <f>IFERROR(s_DL/(s_RadSpec!$J2*s_IFCO_far_adj*s_CF_corn),".")</f>
        <v>17.083277990630673</v>
      </c>
      <c r="AL2" s="48">
        <f>IFERROR(s_DL/(s_RadSpec!$J2*s_IFCU_far_adj*s_CF_cucumber),".")</f>
        <v>17.083277990630673</v>
      </c>
      <c r="AM2" s="48">
        <f>IFERROR(s_DL/(s_RadSpec!$J2*s_IFLE_far_adj*s_CF_lettuce),".")</f>
        <v>17.083277990630673</v>
      </c>
      <c r="AN2" s="48">
        <f>IFERROR(s_DL/(s_RadSpec!$J2*s_IFLI_far_adj*s_CF_lima_bean),".")</f>
        <v>17.083277990630673</v>
      </c>
      <c r="AO2" s="48">
        <f>IFERROR(s_DL/(s_RadSpec!$J2*s_IFOK_far_adj*s_CF_okra),".")</f>
        <v>17.083277990630673</v>
      </c>
      <c r="AP2" s="48">
        <f>IFERROR(s_DL/(s_RadSpec!$J2*s_IFON_far_adj*s_CF_onion),".")</f>
        <v>17.083277990630673</v>
      </c>
      <c r="AQ2" s="48">
        <f>IFERROR(s_DL/(s_RadSpec!$J2*s_IFPC_far_adj*s_CF_peach),".")</f>
        <v>17.083277990630673</v>
      </c>
      <c r="AR2" s="48">
        <f>IFERROR(s_DL/(s_RadSpec!$J2*s_IFPR_far_adj*s_CF_pear),".")</f>
        <v>17.083277990630673</v>
      </c>
      <c r="AS2" s="48">
        <f>IFERROR(s_DL/(s_RadSpec!$J2*s_IFPE_far_adj*s_CF_peas),".")</f>
        <v>17.083277990630673</v>
      </c>
      <c r="AT2" s="48">
        <f>IFERROR(s_DL/(s_RadSpec!$J2*s_IFPT_far_adj*s_CF_potato),".")</f>
        <v>17.083277990630673</v>
      </c>
      <c r="AU2" s="48">
        <f>IFERROR(s_DL/(s_RadSpec!$J2*s_IFPU_far_adj*s_CF_pumpkin),".")</f>
        <v>17.083277990630673</v>
      </c>
      <c r="AV2" s="48">
        <f>IFERROR(s_DL/(s_RadSpec!$J2*s_IFSN_far_adj*s_CF_snap_bean),".")</f>
        <v>17.083277990630673</v>
      </c>
      <c r="AW2" s="48">
        <f>IFERROR(s_DL/(s_RadSpec!$J2*s_IFST_far_adj*s_CF_strawberry),".")</f>
        <v>17.083277990630673</v>
      </c>
      <c r="AX2" s="48">
        <f>IFERROR(s_DL/(s_RadSpec!$J2*s_IFTO_far_adj*s_CF_tomato),".")</f>
        <v>17.083277990630673</v>
      </c>
      <c r="AY2" s="48">
        <f>IFERROR(s_DL/(s_RadSpec!$J2*s_IFRI_far_adj*s_CF_rice),".")</f>
        <v>17.083277990630673</v>
      </c>
      <c r="AZ2" s="48">
        <f>IFERROR(s_DL/(s_RadSpec!$J2*s_IFCG_far_adj*s_CF_cereal),".")</f>
        <v>17.083277990630673</v>
      </c>
      <c r="BA2" s="62">
        <f>SUM(BB2,BX2:BY2)</f>
        <v>22687.5</v>
      </c>
      <c r="BB2" s="62">
        <f t="shared" ref="BB2:BB30" si="0">IFERROR(s_C*s_IFAP_far_adj*s_CF_apple,".")</f>
        <v>7562.5</v>
      </c>
      <c r="BC2" s="62">
        <f t="shared" ref="BC2:BC30" si="1">IFERROR(s_C*s_IFAS_far_adj*s_CF_asparagus,".")</f>
        <v>7562.5</v>
      </c>
      <c r="BD2" s="62">
        <f t="shared" ref="BD2:BD30" si="2">IFERROR(s_C*s_IFBT_far_adj*s_CF_beet,".")</f>
        <v>7562.5</v>
      </c>
      <c r="BE2" s="62">
        <f t="shared" ref="BE2:BE30" si="3">IFERROR(s_C*s_IFBR_far_adj*s_CF_berries,".")</f>
        <v>7562.5</v>
      </c>
      <c r="BF2" s="62">
        <f t="shared" ref="BF2:BF30" si="4">IFERROR(s_C*s_IFBR_far_adj*s_CF_broccoli,".")</f>
        <v>7562.5</v>
      </c>
      <c r="BG2" s="62">
        <f t="shared" ref="BG2:BG30" si="5">IFERROR(s_C*s_IFCB_far_adj*s_CF_cabbage,".")</f>
        <v>7562.5</v>
      </c>
      <c r="BH2" s="62">
        <f t="shared" ref="BH2:BH30" si="6">IFERROR(s_C*s_IFCR_far_adj*s_CF_carrot,".")</f>
        <v>7562.5</v>
      </c>
      <c r="BI2" s="62">
        <f t="shared" ref="BI2:BI30" si="7">IFERROR(s_C*s_IFCI_far_adj*s_CF_citrus,".")</f>
        <v>7562.5</v>
      </c>
      <c r="BJ2" s="62">
        <f t="shared" ref="BJ2:BJ30" si="8">IFERROR(s_C*s_IFCO_far_adj*s_CF_corn,".")</f>
        <v>7562.5</v>
      </c>
      <c r="BK2" s="62">
        <f t="shared" ref="BK2:BK30" si="9">IFERROR(s_C*s_IFCU_far_adj*s_CF_cucumber,".")</f>
        <v>7562.5</v>
      </c>
      <c r="BL2" s="62">
        <f t="shared" ref="BL2:BL30" si="10">IFERROR(s_C*s_IFLE_far_adj*s_CF_lettuce,".")</f>
        <v>7562.5</v>
      </c>
      <c r="BM2" s="62">
        <f t="shared" ref="BM2:BM30" si="11">IFERROR(s_C*s_IFLI_far_adj*s_CF_lima_bean,".")</f>
        <v>7562.5</v>
      </c>
      <c r="BN2" s="62">
        <f t="shared" ref="BN2:BN30" si="12">IFERROR(s_C*s_IFOK_far_adj*s_CF_okra,".")</f>
        <v>7562.5</v>
      </c>
      <c r="BO2" s="62">
        <f t="shared" ref="BO2:BO30" si="13">IFERROR(s_C*s_IFON_far_adj*s_CF_onion,".")</f>
        <v>7562.5</v>
      </c>
      <c r="BP2" s="62">
        <f t="shared" ref="BP2:BP30" si="14">IFERROR(s_C*s_IFPC_far_adj*s_CF_peach,".")</f>
        <v>7562.5</v>
      </c>
      <c r="BQ2" s="62">
        <f t="shared" ref="BQ2:BQ30" si="15">IFERROR(s_C*s_IFPR_far_adj*s_CF_pear,".")</f>
        <v>7562.5</v>
      </c>
      <c r="BR2" s="62">
        <f t="shared" ref="BR2:BR30" si="16">IFERROR(s_C*s_IFPE_far_adj*s_CF_peas,".")</f>
        <v>7562.5</v>
      </c>
      <c r="BS2" s="62">
        <f t="shared" ref="BS2:BS30" si="17">IFERROR(s_C*s_IFPT_far_adj*s_CF_potato,".")</f>
        <v>7562.5</v>
      </c>
      <c r="BT2" s="62">
        <f t="shared" ref="BT2:BT30" si="18">IFERROR(s_C*s_IFPU_far_adj*s_CF_pumpkin,".")</f>
        <v>7562.5</v>
      </c>
      <c r="BU2" s="62">
        <f t="shared" ref="BU2:BU30" si="19">IFERROR(s_C*s_IFSN_far_adj*s_CF_snap_bean,".")</f>
        <v>7562.5</v>
      </c>
      <c r="BV2" s="62">
        <f t="shared" ref="BV2:BV30" si="20">IFERROR(s_C*s_IFST_far_adj*s_CF_strawberry,".")</f>
        <v>7562.5</v>
      </c>
      <c r="BW2" s="62">
        <f t="shared" ref="BW2:BW30" si="21">IFERROR(s_C*s_IFTO_far_adj*s_CF_tomato,".")</f>
        <v>7562.5</v>
      </c>
      <c r="BX2" s="62">
        <f t="shared" ref="BX2:BX30" si="22">IFERROR(s_C*s_IFRI_far_adj*s_CF_rice,".")</f>
        <v>7562.5</v>
      </c>
      <c r="BY2" s="62">
        <f t="shared" ref="BY2:BY30" si="23">IFERROR(s_C*s_IFCG_far_adj*s_CF_cereal,".")</f>
        <v>7562.5</v>
      </c>
    </row>
    <row r="3" spans="1:77" x14ac:dyDescent="0.25">
      <c r="A3" s="63" t="s">
        <v>1</v>
      </c>
      <c r="B3" s="49" t="s">
        <v>336</v>
      </c>
      <c r="C3" s="48">
        <f t="shared" ref="C3:C30" si="24">IFERROR(1/SUM(1/D3,1/Z3,1/AA3),".")</f>
        <v>1.2513381497338718</v>
      </c>
      <c r="D3" s="48">
        <f>IFERROR(s_DL/(s_RadSpec!$J3*s_IFAP_res_adj*s_CF_apple),".")</f>
        <v>3.7540144492016148</v>
      </c>
      <c r="E3" s="48">
        <f>IFERROR(s_DL/(s_RadSpec!$J3*s_IFAS_res_adj*s_CF_asparagus),".")</f>
        <v>3.7540144492016148</v>
      </c>
      <c r="F3" s="48">
        <f>IFERROR(s_DL/(s_RadSpec!$J3*s_IFBT_res_adj*s_CF_beet),".")</f>
        <v>3.7540144492016148</v>
      </c>
      <c r="G3" s="48">
        <f>IFERROR(s_DL/(s_RadSpec!$J3*s_IFBE_res_adj*s_CF_berries),".")</f>
        <v>3.7540144492016148</v>
      </c>
      <c r="H3" s="48">
        <f>IFERROR(s_DL/(s_RadSpec!$J3*s_IFBR_res_adj*s_CF_broccoli),".")</f>
        <v>3.7540144492016148</v>
      </c>
      <c r="I3" s="48">
        <f>IFERROR(s_DL/(s_RadSpec!$J3*s_IFCB_res_adj*s_CF_cabbage),".")</f>
        <v>3.7540144492016148</v>
      </c>
      <c r="J3" s="48">
        <f>IFERROR(s_DL/(s_RadSpec!$J3*s_IFCR_res_adj*s_CF_carrot),".")</f>
        <v>3.7540144492016148</v>
      </c>
      <c r="K3" s="48">
        <f>IFERROR(s_DL/(s_RadSpec!$J3*s_IFCI_res_adj*s_CF_citrus),".")</f>
        <v>3.7540144492016148</v>
      </c>
      <c r="L3" s="48">
        <f>IFERROR(s_DL/(s_RadSpec!$J3*s_IFCO_res_adj*s_CF_corn),".")</f>
        <v>3.7540144492016148</v>
      </c>
      <c r="M3" s="48">
        <f>IFERROR(s_DL/(s_RadSpec!$J3*s_IFCU_res_adj*s_CF_cucumber),".")</f>
        <v>3.7540144492016148</v>
      </c>
      <c r="N3" s="48">
        <f>IFERROR(s_DL/(s_RadSpec!$J3*s_IFLE_res_adj*s_CF_lettuce),".")</f>
        <v>3.7540144492016148</v>
      </c>
      <c r="O3" s="48">
        <f>IFERROR(s_DL/(s_RadSpec!$J3*s_IFLI_res_adj*s_CF_lima_bean),".")</f>
        <v>3.7540144492016148</v>
      </c>
      <c r="P3" s="48">
        <f>IFERROR(s_DL/(s_RadSpec!$J3*s_IFOK_res_adj*s_CF_okra),".")</f>
        <v>3.7540144492016148</v>
      </c>
      <c r="Q3" s="48">
        <f>IFERROR(s_DL/(s_RadSpec!$J3*s_IFON_res_adj*s_CF_onion),".")</f>
        <v>3.7540144492016148</v>
      </c>
      <c r="R3" s="48">
        <f>IFERROR(s_DL/(s_RadSpec!$J3*s_IFPC_res_adj*s_CF_peach),".")</f>
        <v>3.7540144492016148</v>
      </c>
      <c r="S3" s="48">
        <f>IFERROR(s_DL/(s_RadSpec!$J3*s_IFPR_res_adj*s_CF_pear),".")</f>
        <v>3.7540144492016148</v>
      </c>
      <c r="T3" s="48">
        <f>IFERROR(s_DL/(s_RadSpec!$J3*s_IFPE_res_adj*s_CF_peas),".")</f>
        <v>3.7540144492016148</v>
      </c>
      <c r="U3" s="48">
        <f>IFERROR(s_DL/(s_RadSpec!$J3*s_IFPT_res_adj*s_CF_potato),".")</f>
        <v>3.7540144492016148</v>
      </c>
      <c r="V3" s="48">
        <f>IFERROR(s_DL/(s_RadSpec!$J3*s_IFPU_res_adj*s_CF_pumpkin),".")</f>
        <v>3.7540144492016148</v>
      </c>
      <c r="W3" s="48">
        <f>IFERROR(s_DL/(s_RadSpec!$J3*s_IFSN_res_adj*s_CF_snap_bean),".")</f>
        <v>3.7540144492016148</v>
      </c>
      <c r="X3" s="48">
        <f>IFERROR(s_DL/(s_RadSpec!$J3*s_IFST_res_adj*s_CF_strawberry),".")</f>
        <v>3.7540144492016148</v>
      </c>
      <c r="Y3" s="48">
        <f>IFERROR(s_DL/(s_RadSpec!$J3*s_IFTO_res_adj*s_CF_tomato),".")</f>
        <v>3.7540144492016148</v>
      </c>
      <c r="Z3" s="48">
        <f>IFERROR(s_DL/(s_RadSpec!$J3*s_IFRI_res_adj*s_CF_rice),".")</f>
        <v>3.7540144492016148</v>
      </c>
      <c r="AA3" s="48">
        <f>IFERROR(s_DL/(s_RadSpec!$J3*s_IFCG_res_adj*s_CF_cereal),".")</f>
        <v>3.7540144492016148</v>
      </c>
      <c r="AB3" s="48">
        <f t="shared" ref="AB3:AB30" si="25">IFERROR(1/SUM(1/AC3,1/AY3,1/AZ3),".")</f>
        <v>1.2513381497338718</v>
      </c>
      <c r="AC3" s="48">
        <f>IFERROR(s_DL/(s_RadSpec!$J3*s_IFAP_far_adj*s_CF_apple),".")</f>
        <v>3.7540144492016148</v>
      </c>
      <c r="AD3" s="48">
        <f>IFERROR(s_DL/(s_RadSpec!$J3*s_IFAS_far_adj*s_CF_asparagus),".")</f>
        <v>3.7540144492016148</v>
      </c>
      <c r="AE3" s="48">
        <f>IFERROR(s_DL/(s_RadSpec!$J3*s_IFBT_far_adj*s_CF_beet),".")</f>
        <v>3.7540144492016148</v>
      </c>
      <c r="AF3" s="48">
        <f>IFERROR(s_DL/(s_RadSpec!$J3*s_IFBE_far_adj*s_CF_berries),".")</f>
        <v>3.7540144492016148</v>
      </c>
      <c r="AG3" s="48">
        <f>IFERROR(s_DL/(s_RadSpec!$J3*s_IFBR_far_adj*s_CF_broccoli),".")</f>
        <v>3.7540144492016148</v>
      </c>
      <c r="AH3" s="48">
        <f>IFERROR(s_DL/(s_RadSpec!$J3*s_IFCB_far_adj*s_CF_cabbage),".")</f>
        <v>3.7540144492016148</v>
      </c>
      <c r="AI3" s="48">
        <f>IFERROR(s_DL/(s_RadSpec!$J3*s_IFCR_far_adj*s_CF_carrot),".")</f>
        <v>3.7540144492016148</v>
      </c>
      <c r="AJ3" s="48">
        <f>IFERROR(s_DL/(s_RadSpec!$J3*s_IFCI_far_adj*s_CF_citrus),".")</f>
        <v>3.7540144492016148</v>
      </c>
      <c r="AK3" s="48">
        <f>IFERROR(s_DL/(s_RadSpec!$J3*s_IFCO_far_adj*s_CF_corn),".")</f>
        <v>3.7540144492016148</v>
      </c>
      <c r="AL3" s="48">
        <f>IFERROR(s_DL/(s_RadSpec!$J3*s_IFCU_far_adj*s_CF_cucumber),".")</f>
        <v>3.7540144492016148</v>
      </c>
      <c r="AM3" s="48">
        <f>IFERROR(s_DL/(s_RadSpec!$J3*s_IFLE_far_adj*s_CF_lettuce),".")</f>
        <v>3.7540144492016148</v>
      </c>
      <c r="AN3" s="48">
        <f>IFERROR(s_DL/(s_RadSpec!$J3*s_IFLI_far_adj*s_CF_lima_bean),".")</f>
        <v>3.7540144492016148</v>
      </c>
      <c r="AO3" s="48">
        <f>IFERROR(s_DL/(s_RadSpec!$J3*s_IFOK_far_adj*s_CF_okra),".")</f>
        <v>3.7540144492016148</v>
      </c>
      <c r="AP3" s="48">
        <f>IFERROR(s_DL/(s_RadSpec!$J3*s_IFON_far_adj*s_CF_onion),".")</f>
        <v>3.7540144492016148</v>
      </c>
      <c r="AQ3" s="48">
        <f>IFERROR(s_DL/(s_RadSpec!$J3*s_IFPC_far_adj*s_CF_peach),".")</f>
        <v>3.7540144492016148</v>
      </c>
      <c r="AR3" s="48">
        <f>IFERROR(s_DL/(s_RadSpec!$J3*s_IFPR_far_adj*s_CF_pear),".")</f>
        <v>3.7540144492016148</v>
      </c>
      <c r="AS3" s="48">
        <f>IFERROR(s_DL/(s_RadSpec!$J3*s_IFPE_far_adj*s_CF_peas),".")</f>
        <v>3.7540144492016148</v>
      </c>
      <c r="AT3" s="48">
        <f>IFERROR(s_DL/(s_RadSpec!$J3*s_IFPT_far_adj*s_CF_potato),".")</f>
        <v>3.7540144492016148</v>
      </c>
      <c r="AU3" s="48">
        <f>IFERROR(s_DL/(s_RadSpec!$J3*s_IFPU_far_adj*s_CF_pumpkin),".")</f>
        <v>3.7540144492016148</v>
      </c>
      <c r="AV3" s="48">
        <f>IFERROR(s_DL/(s_RadSpec!$J3*s_IFSN_far_adj*s_CF_snap_bean),".")</f>
        <v>3.7540144492016148</v>
      </c>
      <c r="AW3" s="48">
        <f>IFERROR(s_DL/(s_RadSpec!$J3*s_IFST_far_adj*s_CF_strawberry),".")</f>
        <v>3.7540144492016148</v>
      </c>
      <c r="AX3" s="48">
        <f>IFERROR(s_DL/(s_RadSpec!$J3*s_IFTO_far_adj*s_CF_tomato),".")</f>
        <v>3.7540144492016148</v>
      </c>
      <c r="AY3" s="48">
        <f>IFERROR(s_DL/(s_RadSpec!$J3*s_IFRI_far_adj*s_CF_rice),".")</f>
        <v>3.7540144492016148</v>
      </c>
      <c r="AZ3" s="48">
        <f>IFERROR(s_DL/(s_RadSpec!$J3*s_IFCG_far_adj*s_CF_cereal),".")</f>
        <v>3.7540144492016148</v>
      </c>
      <c r="BA3" s="62">
        <f t="shared" ref="BA3:BA30" si="26">SUM(BB3,BX3:BY3)</f>
        <v>22687.5</v>
      </c>
      <c r="BB3" s="62">
        <f t="shared" si="0"/>
        <v>7562.5</v>
      </c>
      <c r="BC3" s="62">
        <f t="shared" si="1"/>
        <v>7562.5</v>
      </c>
      <c r="BD3" s="62">
        <f t="shared" si="2"/>
        <v>7562.5</v>
      </c>
      <c r="BE3" s="62">
        <f t="shared" si="3"/>
        <v>7562.5</v>
      </c>
      <c r="BF3" s="62">
        <f t="shared" si="4"/>
        <v>7562.5</v>
      </c>
      <c r="BG3" s="62">
        <f t="shared" si="5"/>
        <v>7562.5</v>
      </c>
      <c r="BH3" s="62">
        <f t="shared" si="6"/>
        <v>7562.5</v>
      </c>
      <c r="BI3" s="62">
        <f t="shared" si="7"/>
        <v>7562.5</v>
      </c>
      <c r="BJ3" s="62">
        <f t="shared" si="8"/>
        <v>7562.5</v>
      </c>
      <c r="BK3" s="62">
        <f t="shared" si="9"/>
        <v>7562.5</v>
      </c>
      <c r="BL3" s="62">
        <f t="shared" si="10"/>
        <v>7562.5</v>
      </c>
      <c r="BM3" s="62">
        <f t="shared" si="11"/>
        <v>7562.5</v>
      </c>
      <c r="BN3" s="62">
        <f t="shared" si="12"/>
        <v>7562.5</v>
      </c>
      <c r="BO3" s="62">
        <f t="shared" si="13"/>
        <v>7562.5</v>
      </c>
      <c r="BP3" s="62">
        <f t="shared" si="14"/>
        <v>7562.5</v>
      </c>
      <c r="BQ3" s="62">
        <f t="shared" si="15"/>
        <v>7562.5</v>
      </c>
      <c r="BR3" s="62">
        <f t="shared" si="16"/>
        <v>7562.5</v>
      </c>
      <c r="BS3" s="62">
        <f t="shared" si="17"/>
        <v>7562.5</v>
      </c>
      <c r="BT3" s="62">
        <f t="shared" si="18"/>
        <v>7562.5</v>
      </c>
      <c r="BU3" s="62">
        <f t="shared" si="19"/>
        <v>7562.5</v>
      </c>
      <c r="BV3" s="62">
        <f t="shared" si="20"/>
        <v>7562.5</v>
      </c>
      <c r="BW3" s="62">
        <f t="shared" si="21"/>
        <v>7562.5</v>
      </c>
      <c r="BX3" s="62">
        <f t="shared" si="22"/>
        <v>7562.5</v>
      </c>
      <c r="BY3" s="62">
        <f t="shared" si="23"/>
        <v>7562.5</v>
      </c>
    </row>
    <row r="4" spans="1:77" x14ac:dyDescent="0.25">
      <c r="A4" s="61" t="s">
        <v>2</v>
      </c>
      <c r="B4" s="49" t="s">
        <v>1059</v>
      </c>
      <c r="C4" s="48" t="str">
        <f t="shared" si="24"/>
        <v>.</v>
      </c>
      <c r="D4" s="48" t="str">
        <f>IFERROR(s_DL/(s_RadSpec!$J4*s_IFAP_res_adj*s_CF_apple),".")</f>
        <v>.</v>
      </c>
      <c r="E4" s="48" t="str">
        <f>IFERROR(s_DL/(s_RadSpec!$J4*s_IFAS_res_adj*s_CF_asparagus),".")</f>
        <v>.</v>
      </c>
      <c r="F4" s="48" t="str">
        <f>IFERROR(s_DL/(s_RadSpec!$J4*s_IFBT_res_adj*s_CF_beet),".")</f>
        <v>.</v>
      </c>
      <c r="G4" s="48" t="str">
        <f>IFERROR(s_DL/(s_RadSpec!$J4*s_IFBE_res_adj*s_CF_berries),".")</f>
        <v>.</v>
      </c>
      <c r="H4" s="48" t="str">
        <f>IFERROR(s_DL/(s_RadSpec!$J4*s_IFBR_res_adj*s_CF_broccoli),".")</f>
        <v>.</v>
      </c>
      <c r="I4" s="48" t="str">
        <f>IFERROR(s_DL/(s_RadSpec!$J4*s_IFCB_res_adj*s_CF_cabbage),".")</f>
        <v>.</v>
      </c>
      <c r="J4" s="48" t="str">
        <f>IFERROR(s_DL/(s_RadSpec!$J4*s_IFCR_res_adj*s_CF_carrot),".")</f>
        <v>.</v>
      </c>
      <c r="K4" s="48" t="str">
        <f>IFERROR(s_DL/(s_RadSpec!$J4*s_IFCI_res_adj*s_CF_citrus),".")</f>
        <v>.</v>
      </c>
      <c r="L4" s="48" t="str">
        <f>IFERROR(s_DL/(s_RadSpec!$J4*s_IFCO_res_adj*s_CF_corn),".")</f>
        <v>.</v>
      </c>
      <c r="M4" s="48" t="str">
        <f>IFERROR(s_DL/(s_RadSpec!$J4*s_IFCU_res_adj*s_CF_cucumber),".")</f>
        <v>.</v>
      </c>
      <c r="N4" s="48" t="str">
        <f>IFERROR(s_DL/(s_RadSpec!$J4*s_IFLE_res_adj*s_CF_lettuce),".")</f>
        <v>.</v>
      </c>
      <c r="O4" s="48" t="str">
        <f>IFERROR(s_DL/(s_RadSpec!$J4*s_IFLI_res_adj*s_CF_lima_bean),".")</f>
        <v>.</v>
      </c>
      <c r="P4" s="48" t="str">
        <f>IFERROR(s_DL/(s_RadSpec!$J4*s_IFOK_res_adj*s_CF_okra),".")</f>
        <v>.</v>
      </c>
      <c r="Q4" s="48" t="str">
        <f>IFERROR(s_DL/(s_RadSpec!$J4*s_IFON_res_adj*s_CF_onion),".")</f>
        <v>.</v>
      </c>
      <c r="R4" s="48" t="str">
        <f>IFERROR(s_DL/(s_RadSpec!$J4*s_IFPC_res_adj*s_CF_peach),".")</f>
        <v>.</v>
      </c>
      <c r="S4" s="48" t="str">
        <f>IFERROR(s_DL/(s_RadSpec!$J4*s_IFPR_res_adj*s_CF_pear),".")</f>
        <v>.</v>
      </c>
      <c r="T4" s="48" t="str">
        <f>IFERROR(s_DL/(s_RadSpec!$J4*s_IFPE_res_adj*s_CF_peas),".")</f>
        <v>.</v>
      </c>
      <c r="U4" s="48" t="str">
        <f>IFERROR(s_DL/(s_RadSpec!$J4*s_IFPT_res_adj*s_CF_potato),".")</f>
        <v>.</v>
      </c>
      <c r="V4" s="48" t="str">
        <f>IFERROR(s_DL/(s_RadSpec!$J4*s_IFPU_res_adj*s_CF_pumpkin),".")</f>
        <v>.</v>
      </c>
      <c r="W4" s="48" t="str">
        <f>IFERROR(s_DL/(s_RadSpec!$J4*s_IFSN_res_adj*s_CF_snap_bean),".")</f>
        <v>.</v>
      </c>
      <c r="X4" s="48" t="str">
        <f>IFERROR(s_DL/(s_RadSpec!$J4*s_IFST_res_adj*s_CF_strawberry),".")</f>
        <v>.</v>
      </c>
      <c r="Y4" s="48" t="str">
        <f>IFERROR(s_DL/(s_RadSpec!$J4*s_IFTO_res_adj*s_CF_tomato),".")</f>
        <v>.</v>
      </c>
      <c r="Z4" s="48" t="str">
        <f>IFERROR(s_DL/(s_RadSpec!$J4*s_IFRI_res_adj*s_CF_rice),".")</f>
        <v>.</v>
      </c>
      <c r="AA4" s="48" t="str">
        <f>IFERROR(s_DL/(s_RadSpec!$J4*s_IFCG_res_adj*s_CF_cereal),".")</f>
        <v>.</v>
      </c>
      <c r="AB4" s="48" t="str">
        <f t="shared" si="25"/>
        <v>.</v>
      </c>
      <c r="AC4" s="48" t="str">
        <f>IFERROR(s_DL/(s_RadSpec!$J4*s_IFAP_far_adj*s_CF_apple),".")</f>
        <v>.</v>
      </c>
      <c r="AD4" s="48" t="str">
        <f>IFERROR(s_DL/(s_RadSpec!$J4*s_IFAS_far_adj*s_CF_asparagus),".")</f>
        <v>.</v>
      </c>
      <c r="AE4" s="48" t="str">
        <f>IFERROR(s_DL/(s_RadSpec!$J4*s_IFBT_far_adj*s_CF_beet),".")</f>
        <v>.</v>
      </c>
      <c r="AF4" s="48" t="str">
        <f>IFERROR(s_DL/(s_RadSpec!$J4*s_IFBE_far_adj*s_CF_berries),".")</f>
        <v>.</v>
      </c>
      <c r="AG4" s="48" t="str">
        <f>IFERROR(s_DL/(s_RadSpec!$J4*s_IFBR_far_adj*s_CF_broccoli),".")</f>
        <v>.</v>
      </c>
      <c r="AH4" s="48" t="str">
        <f>IFERROR(s_DL/(s_RadSpec!$J4*s_IFCB_far_adj*s_CF_cabbage),".")</f>
        <v>.</v>
      </c>
      <c r="AI4" s="48" t="str">
        <f>IFERROR(s_DL/(s_RadSpec!$J4*s_IFCR_far_adj*s_CF_carrot),".")</f>
        <v>.</v>
      </c>
      <c r="AJ4" s="48" t="str">
        <f>IFERROR(s_DL/(s_RadSpec!$J4*s_IFCI_far_adj*s_CF_citrus),".")</f>
        <v>.</v>
      </c>
      <c r="AK4" s="48" t="str">
        <f>IFERROR(s_DL/(s_RadSpec!$J4*s_IFCO_far_adj*s_CF_corn),".")</f>
        <v>.</v>
      </c>
      <c r="AL4" s="48" t="str">
        <f>IFERROR(s_DL/(s_RadSpec!$J4*s_IFCU_far_adj*s_CF_cucumber),".")</f>
        <v>.</v>
      </c>
      <c r="AM4" s="48" t="str">
        <f>IFERROR(s_DL/(s_RadSpec!$J4*s_IFLE_far_adj*s_CF_lettuce),".")</f>
        <v>.</v>
      </c>
      <c r="AN4" s="48" t="str">
        <f>IFERROR(s_DL/(s_RadSpec!$J4*s_IFLI_far_adj*s_CF_lima_bean),".")</f>
        <v>.</v>
      </c>
      <c r="AO4" s="48" t="str">
        <f>IFERROR(s_DL/(s_RadSpec!$J4*s_IFOK_far_adj*s_CF_okra),".")</f>
        <v>.</v>
      </c>
      <c r="AP4" s="48" t="str">
        <f>IFERROR(s_DL/(s_RadSpec!$J4*s_IFON_far_adj*s_CF_onion),".")</f>
        <v>.</v>
      </c>
      <c r="AQ4" s="48" t="str">
        <f>IFERROR(s_DL/(s_RadSpec!$J4*s_IFPC_far_adj*s_CF_peach),".")</f>
        <v>.</v>
      </c>
      <c r="AR4" s="48" t="str">
        <f>IFERROR(s_DL/(s_RadSpec!$J4*s_IFPR_far_adj*s_CF_pear),".")</f>
        <v>.</v>
      </c>
      <c r="AS4" s="48" t="str">
        <f>IFERROR(s_DL/(s_RadSpec!$J4*s_IFPE_far_adj*s_CF_peas),".")</f>
        <v>.</v>
      </c>
      <c r="AT4" s="48" t="str">
        <f>IFERROR(s_DL/(s_RadSpec!$J4*s_IFPT_far_adj*s_CF_potato),".")</f>
        <v>.</v>
      </c>
      <c r="AU4" s="48" t="str">
        <f>IFERROR(s_DL/(s_RadSpec!$J4*s_IFPU_far_adj*s_CF_pumpkin),".")</f>
        <v>.</v>
      </c>
      <c r="AV4" s="48" t="str">
        <f>IFERROR(s_DL/(s_RadSpec!$J4*s_IFSN_far_adj*s_CF_snap_bean),".")</f>
        <v>.</v>
      </c>
      <c r="AW4" s="48" t="str">
        <f>IFERROR(s_DL/(s_RadSpec!$J4*s_IFST_far_adj*s_CF_strawberry),".")</f>
        <v>.</v>
      </c>
      <c r="AX4" s="48" t="str">
        <f>IFERROR(s_DL/(s_RadSpec!$J4*s_IFTO_far_adj*s_CF_tomato),".")</f>
        <v>.</v>
      </c>
      <c r="AY4" s="48" t="str">
        <f>IFERROR(s_DL/(s_RadSpec!$J4*s_IFRI_far_adj*s_CF_rice),".")</f>
        <v>.</v>
      </c>
      <c r="AZ4" s="48" t="str">
        <f>IFERROR(s_DL/(s_RadSpec!$J4*s_IFCG_far_adj*s_CF_cereal),".")</f>
        <v>.</v>
      </c>
      <c r="BA4" s="62">
        <f t="shared" si="26"/>
        <v>22687.5</v>
      </c>
      <c r="BB4" s="62">
        <f t="shared" si="0"/>
        <v>7562.5</v>
      </c>
      <c r="BC4" s="62">
        <f t="shared" si="1"/>
        <v>7562.5</v>
      </c>
      <c r="BD4" s="62">
        <f t="shared" si="2"/>
        <v>7562.5</v>
      </c>
      <c r="BE4" s="62">
        <f t="shared" si="3"/>
        <v>7562.5</v>
      </c>
      <c r="BF4" s="62">
        <f t="shared" si="4"/>
        <v>7562.5</v>
      </c>
      <c r="BG4" s="62">
        <f t="shared" si="5"/>
        <v>7562.5</v>
      </c>
      <c r="BH4" s="62">
        <f t="shared" si="6"/>
        <v>7562.5</v>
      </c>
      <c r="BI4" s="62">
        <f t="shared" si="7"/>
        <v>7562.5</v>
      </c>
      <c r="BJ4" s="62">
        <f t="shared" si="8"/>
        <v>7562.5</v>
      </c>
      <c r="BK4" s="62">
        <f t="shared" si="9"/>
        <v>7562.5</v>
      </c>
      <c r="BL4" s="62">
        <f t="shared" si="10"/>
        <v>7562.5</v>
      </c>
      <c r="BM4" s="62">
        <f t="shared" si="11"/>
        <v>7562.5</v>
      </c>
      <c r="BN4" s="62">
        <f t="shared" si="12"/>
        <v>7562.5</v>
      </c>
      <c r="BO4" s="62">
        <f t="shared" si="13"/>
        <v>7562.5</v>
      </c>
      <c r="BP4" s="62">
        <f t="shared" si="14"/>
        <v>7562.5</v>
      </c>
      <c r="BQ4" s="62">
        <f t="shared" si="15"/>
        <v>7562.5</v>
      </c>
      <c r="BR4" s="62">
        <f t="shared" si="16"/>
        <v>7562.5</v>
      </c>
      <c r="BS4" s="62">
        <f t="shared" si="17"/>
        <v>7562.5</v>
      </c>
      <c r="BT4" s="62">
        <f t="shared" si="18"/>
        <v>7562.5</v>
      </c>
      <c r="BU4" s="62">
        <f t="shared" si="19"/>
        <v>7562.5</v>
      </c>
      <c r="BV4" s="62">
        <f t="shared" si="20"/>
        <v>7562.5</v>
      </c>
      <c r="BW4" s="62">
        <f t="shared" si="21"/>
        <v>7562.5</v>
      </c>
      <c r="BX4" s="62">
        <f t="shared" si="22"/>
        <v>7562.5</v>
      </c>
      <c r="BY4" s="62">
        <f t="shared" si="23"/>
        <v>7562.5</v>
      </c>
    </row>
    <row r="5" spans="1:77" x14ac:dyDescent="0.25">
      <c r="A5" s="61" t="s">
        <v>3</v>
      </c>
      <c r="B5" s="49" t="s">
        <v>1059</v>
      </c>
      <c r="C5" s="48" t="str">
        <f t="shared" si="24"/>
        <v>.</v>
      </c>
      <c r="D5" s="48" t="str">
        <f>IFERROR(s_DL/(s_RadSpec!$J5*s_IFAP_res_adj*s_CF_apple),".")</f>
        <v>.</v>
      </c>
      <c r="E5" s="48" t="str">
        <f>IFERROR(s_DL/(s_RadSpec!$J5*s_IFAS_res_adj*s_CF_asparagus),".")</f>
        <v>.</v>
      </c>
      <c r="F5" s="48" t="str">
        <f>IFERROR(s_DL/(s_RadSpec!$J5*s_IFBT_res_adj*s_CF_beet),".")</f>
        <v>.</v>
      </c>
      <c r="G5" s="48" t="str">
        <f>IFERROR(s_DL/(s_RadSpec!$J5*s_IFBE_res_adj*s_CF_berries),".")</f>
        <v>.</v>
      </c>
      <c r="H5" s="48" t="str">
        <f>IFERROR(s_DL/(s_RadSpec!$J5*s_IFBR_res_adj*s_CF_broccoli),".")</f>
        <v>.</v>
      </c>
      <c r="I5" s="48" t="str">
        <f>IFERROR(s_DL/(s_RadSpec!$J5*s_IFCB_res_adj*s_CF_cabbage),".")</f>
        <v>.</v>
      </c>
      <c r="J5" s="48" t="str">
        <f>IFERROR(s_DL/(s_RadSpec!$J5*s_IFCR_res_adj*s_CF_carrot),".")</f>
        <v>.</v>
      </c>
      <c r="K5" s="48" t="str">
        <f>IFERROR(s_DL/(s_RadSpec!$J5*s_IFCI_res_adj*s_CF_citrus),".")</f>
        <v>.</v>
      </c>
      <c r="L5" s="48" t="str">
        <f>IFERROR(s_DL/(s_RadSpec!$J5*s_IFCO_res_adj*s_CF_corn),".")</f>
        <v>.</v>
      </c>
      <c r="M5" s="48" t="str">
        <f>IFERROR(s_DL/(s_RadSpec!$J5*s_IFCU_res_adj*s_CF_cucumber),".")</f>
        <v>.</v>
      </c>
      <c r="N5" s="48" t="str">
        <f>IFERROR(s_DL/(s_RadSpec!$J5*s_IFLE_res_adj*s_CF_lettuce),".")</f>
        <v>.</v>
      </c>
      <c r="O5" s="48" t="str">
        <f>IFERROR(s_DL/(s_RadSpec!$J5*s_IFLI_res_adj*s_CF_lima_bean),".")</f>
        <v>.</v>
      </c>
      <c r="P5" s="48" t="str">
        <f>IFERROR(s_DL/(s_RadSpec!$J5*s_IFOK_res_adj*s_CF_okra),".")</f>
        <v>.</v>
      </c>
      <c r="Q5" s="48" t="str">
        <f>IFERROR(s_DL/(s_RadSpec!$J5*s_IFON_res_adj*s_CF_onion),".")</f>
        <v>.</v>
      </c>
      <c r="R5" s="48" t="str">
        <f>IFERROR(s_DL/(s_RadSpec!$J5*s_IFPC_res_adj*s_CF_peach),".")</f>
        <v>.</v>
      </c>
      <c r="S5" s="48" t="str">
        <f>IFERROR(s_DL/(s_RadSpec!$J5*s_IFPR_res_adj*s_CF_pear),".")</f>
        <v>.</v>
      </c>
      <c r="T5" s="48" t="str">
        <f>IFERROR(s_DL/(s_RadSpec!$J5*s_IFPE_res_adj*s_CF_peas),".")</f>
        <v>.</v>
      </c>
      <c r="U5" s="48" t="str">
        <f>IFERROR(s_DL/(s_RadSpec!$J5*s_IFPT_res_adj*s_CF_potato),".")</f>
        <v>.</v>
      </c>
      <c r="V5" s="48" t="str">
        <f>IFERROR(s_DL/(s_RadSpec!$J5*s_IFPU_res_adj*s_CF_pumpkin),".")</f>
        <v>.</v>
      </c>
      <c r="W5" s="48" t="str">
        <f>IFERROR(s_DL/(s_RadSpec!$J5*s_IFSN_res_adj*s_CF_snap_bean),".")</f>
        <v>.</v>
      </c>
      <c r="X5" s="48" t="str">
        <f>IFERROR(s_DL/(s_RadSpec!$J5*s_IFST_res_adj*s_CF_strawberry),".")</f>
        <v>.</v>
      </c>
      <c r="Y5" s="48" t="str">
        <f>IFERROR(s_DL/(s_RadSpec!$J5*s_IFTO_res_adj*s_CF_tomato),".")</f>
        <v>.</v>
      </c>
      <c r="Z5" s="48" t="str">
        <f>IFERROR(s_DL/(s_RadSpec!$J5*s_IFRI_res_adj*s_CF_rice),".")</f>
        <v>.</v>
      </c>
      <c r="AA5" s="48" t="str">
        <f>IFERROR(s_DL/(s_RadSpec!$J5*s_IFCG_res_adj*s_CF_cereal),".")</f>
        <v>.</v>
      </c>
      <c r="AB5" s="48" t="str">
        <f t="shared" si="25"/>
        <v>.</v>
      </c>
      <c r="AC5" s="48" t="str">
        <f>IFERROR(s_DL/(s_RadSpec!$J5*s_IFAP_far_adj*s_CF_apple),".")</f>
        <v>.</v>
      </c>
      <c r="AD5" s="48" t="str">
        <f>IFERROR(s_DL/(s_RadSpec!$J5*s_IFAS_far_adj*s_CF_asparagus),".")</f>
        <v>.</v>
      </c>
      <c r="AE5" s="48" t="str">
        <f>IFERROR(s_DL/(s_RadSpec!$J5*s_IFBT_far_adj*s_CF_beet),".")</f>
        <v>.</v>
      </c>
      <c r="AF5" s="48" t="str">
        <f>IFERROR(s_DL/(s_RadSpec!$J5*s_IFBE_far_adj*s_CF_berries),".")</f>
        <v>.</v>
      </c>
      <c r="AG5" s="48" t="str">
        <f>IFERROR(s_DL/(s_RadSpec!$J5*s_IFBR_far_adj*s_CF_broccoli),".")</f>
        <v>.</v>
      </c>
      <c r="AH5" s="48" t="str">
        <f>IFERROR(s_DL/(s_RadSpec!$J5*s_IFCB_far_adj*s_CF_cabbage),".")</f>
        <v>.</v>
      </c>
      <c r="AI5" s="48" t="str">
        <f>IFERROR(s_DL/(s_RadSpec!$J5*s_IFCR_far_adj*s_CF_carrot),".")</f>
        <v>.</v>
      </c>
      <c r="AJ5" s="48" t="str">
        <f>IFERROR(s_DL/(s_RadSpec!$J5*s_IFCI_far_adj*s_CF_citrus),".")</f>
        <v>.</v>
      </c>
      <c r="AK5" s="48" t="str">
        <f>IFERROR(s_DL/(s_RadSpec!$J5*s_IFCO_far_adj*s_CF_corn),".")</f>
        <v>.</v>
      </c>
      <c r="AL5" s="48" t="str">
        <f>IFERROR(s_DL/(s_RadSpec!$J5*s_IFCU_far_adj*s_CF_cucumber),".")</f>
        <v>.</v>
      </c>
      <c r="AM5" s="48" t="str">
        <f>IFERROR(s_DL/(s_RadSpec!$J5*s_IFLE_far_adj*s_CF_lettuce),".")</f>
        <v>.</v>
      </c>
      <c r="AN5" s="48" t="str">
        <f>IFERROR(s_DL/(s_RadSpec!$J5*s_IFLI_far_adj*s_CF_lima_bean),".")</f>
        <v>.</v>
      </c>
      <c r="AO5" s="48" t="str">
        <f>IFERROR(s_DL/(s_RadSpec!$J5*s_IFOK_far_adj*s_CF_okra),".")</f>
        <v>.</v>
      </c>
      <c r="AP5" s="48" t="str">
        <f>IFERROR(s_DL/(s_RadSpec!$J5*s_IFON_far_adj*s_CF_onion),".")</f>
        <v>.</v>
      </c>
      <c r="AQ5" s="48" t="str">
        <f>IFERROR(s_DL/(s_RadSpec!$J5*s_IFPC_far_adj*s_CF_peach),".")</f>
        <v>.</v>
      </c>
      <c r="AR5" s="48" t="str">
        <f>IFERROR(s_DL/(s_RadSpec!$J5*s_IFPR_far_adj*s_CF_pear),".")</f>
        <v>.</v>
      </c>
      <c r="AS5" s="48" t="str">
        <f>IFERROR(s_DL/(s_RadSpec!$J5*s_IFPE_far_adj*s_CF_peas),".")</f>
        <v>.</v>
      </c>
      <c r="AT5" s="48" t="str">
        <f>IFERROR(s_DL/(s_RadSpec!$J5*s_IFPT_far_adj*s_CF_potato),".")</f>
        <v>.</v>
      </c>
      <c r="AU5" s="48" t="str">
        <f>IFERROR(s_DL/(s_RadSpec!$J5*s_IFPU_far_adj*s_CF_pumpkin),".")</f>
        <v>.</v>
      </c>
      <c r="AV5" s="48" t="str">
        <f>IFERROR(s_DL/(s_RadSpec!$J5*s_IFSN_far_adj*s_CF_snap_bean),".")</f>
        <v>.</v>
      </c>
      <c r="AW5" s="48" t="str">
        <f>IFERROR(s_DL/(s_RadSpec!$J5*s_IFST_far_adj*s_CF_strawberry),".")</f>
        <v>.</v>
      </c>
      <c r="AX5" s="48" t="str">
        <f>IFERROR(s_DL/(s_RadSpec!$J5*s_IFTO_far_adj*s_CF_tomato),".")</f>
        <v>.</v>
      </c>
      <c r="AY5" s="48" t="str">
        <f>IFERROR(s_DL/(s_RadSpec!$J5*s_IFRI_far_adj*s_CF_rice),".")</f>
        <v>.</v>
      </c>
      <c r="AZ5" s="48" t="str">
        <f>IFERROR(s_DL/(s_RadSpec!$J5*s_IFCG_far_adj*s_CF_cereal),".")</f>
        <v>.</v>
      </c>
      <c r="BA5" s="62">
        <f t="shared" si="26"/>
        <v>22687.5</v>
      </c>
      <c r="BB5" s="62">
        <f t="shared" si="0"/>
        <v>7562.5</v>
      </c>
      <c r="BC5" s="62">
        <f t="shared" si="1"/>
        <v>7562.5</v>
      </c>
      <c r="BD5" s="62">
        <f t="shared" si="2"/>
        <v>7562.5</v>
      </c>
      <c r="BE5" s="62">
        <f t="shared" si="3"/>
        <v>7562.5</v>
      </c>
      <c r="BF5" s="62">
        <f t="shared" si="4"/>
        <v>7562.5</v>
      </c>
      <c r="BG5" s="62">
        <f t="shared" si="5"/>
        <v>7562.5</v>
      </c>
      <c r="BH5" s="62">
        <f t="shared" si="6"/>
        <v>7562.5</v>
      </c>
      <c r="BI5" s="62">
        <f t="shared" si="7"/>
        <v>7562.5</v>
      </c>
      <c r="BJ5" s="62">
        <f t="shared" si="8"/>
        <v>7562.5</v>
      </c>
      <c r="BK5" s="62">
        <f t="shared" si="9"/>
        <v>7562.5</v>
      </c>
      <c r="BL5" s="62">
        <f t="shared" si="10"/>
        <v>7562.5</v>
      </c>
      <c r="BM5" s="62">
        <f t="shared" si="11"/>
        <v>7562.5</v>
      </c>
      <c r="BN5" s="62">
        <f t="shared" si="12"/>
        <v>7562.5</v>
      </c>
      <c r="BO5" s="62">
        <f t="shared" si="13"/>
        <v>7562.5</v>
      </c>
      <c r="BP5" s="62">
        <f t="shared" si="14"/>
        <v>7562.5</v>
      </c>
      <c r="BQ5" s="62">
        <f t="shared" si="15"/>
        <v>7562.5</v>
      </c>
      <c r="BR5" s="62">
        <f t="shared" si="16"/>
        <v>7562.5</v>
      </c>
      <c r="BS5" s="62">
        <f t="shared" si="17"/>
        <v>7562.5</v>
      </c>
      <c r="BT5" s="62">
        <f t="shared" si="18"/>
        <v>7562.5</v>
      </c>
      <c r="BU5" s="62">
        <f t="shared" si="19"/>
        <v>7562.5</v>
      </c>
      <c r="BV5" s="62">
        <f t="shared" si="20"/>
        <v>7562.5</v>
      </c>
      <c r="BW5" s="62">
        <f t="shared" si="21"/>
        <v>7562.5</v>
      </c>
      <c r="BX5" s="62">
        <f t="shared" si="22"/>
        <v>7562.5</v>
      </c>
      <c r="BY5" s="62">
        <f t="shared" si="23"/>
        <v>7562.5</v>
      </c>
    </row>
    <row r="6" spans="1:77" x14ac:dyDescent="0.25">
      <c r="A6" s="61" t="s">
        <v>4</v>
      </c>
      <c r="B6" s="49" t="s">
        <v>1059</v>
      </c>
      <c r="C6" s="48" t="str">
        <f t="shared" si="24"/>
        <v>.</v>
      </c>
      <c r="D6" s="48" t="str">
        <f>IFERROR(s_DL/(s_RadSpec!$J6*s_IFAP_res_adj*s_CF_apple),".")</f>
        <v>.</v>
      </c>
      <c r="E6" s="48" t="str">
        <f>IFERROR(s_DL/(s_RadSpec!$J6*s_IFAS_res_adj*s_CF_asparagus),".")</f>
        <v>.</v>
      </c>
      <c r="F6" s="48" t="str">
        <f>IFERROR(s_DL/(s_RadSpec!$J6*s_IFBT_res_adj*s_CF_beet),".")</f>
        <v>.</v>
      </c>
      <c r="G6" s="48" t="str">
        <f>IFERROR(s_DL/(s_RadSpec!$J6*s_IFBE_res_adj*s_CF_berries),".")</f>
        <v>.</v>
      </c>
      <c r="H6" s="48" t="str">
        <f>IFERROR(s_DL/(s_RadSpec!$J6*s_IFBR_res_adj*s_CF_broccoli),".")</f>
        <v>.</v>
      </c>
      <c r="I6" s="48" t="str">
        <f>IFERROR(s_DL/(s_RadSpec!$J6*s_IFCB_res_adj*s_CF_cabbage),".")</f>
        <v>.</v>
      </c>
      <c r="J6" s="48" t="str">
        <f>IFERROR(s_DL/(s_RadSpec!$J6*s_IFCR_res_adj*s_CF_carrot),".")</f>
        <v>.</v>
      </c>
      <c r="K6" s="48" t="str">
        <f>IFERROR(s_DL/(s_RadSpec!$J6*s_IFCI_res_adj*s_CF_citrus),".")</f>
        <v>.</v>
      </c>
      <c r="L6" s="48" t="str">
        <f>IFERROR(s_DL/(s_RadSpec!$J6*s_IFCO_res_adj*s_CF_corn),".")</f>
        <v>.</v>
      </c>
      <c r="M6" s="48" t="str">
        <f>IFERROR(s_DL/(s_RadSpec!$J6*s_IFCU_res_adj*s_CF_cucumber),".")</f>
        <v>.</v>
      </c>
      <c r="N6" s="48" t="str">
        <f>IFERROR(s_DL/(s_RadSpec!$J6*s_IFLE_res_adj*s_CF_lettuce),".")</f>
        <v>.</v>
      </c>
      <c r="O6" s="48" t="str">
        <f>IFERROR(s_DL/(s_RadSpec!$J6*s_IFLI_res_adj*s_CF_lima_bean),".")</f>
        <v>.</v>
      </c>
      <c r="P6" s="48" t="str">
        <f>IFERROR(s_DL/(s_RadSpec!$J6*s_IFOK_res_adj*s_CF_okra),".")</f>
        <v>.</v>
      </c>
      <c r="Q6" s="48" t="str">
        <f>IFERROR(s_DL/(s_RadSpec!$J6*s_IFON_res_adj*s_CF_onion),".")</f>
        <v>.</v>
      </c>
      <c r="R6" s="48" t="str">
        <f>IFERROR(s_DL/(s_RadSpec!$J6*s_IFPC_res_adj*s_CF_peach),".")</f>
        <v>.</v>
      </c>
      <c r="S6" s="48" t="str">
        <f>IFERROR(s_DL/(s_RadSpec!$J6*s_IFPR_res_adj*s_CF_pear),".")</f>
        <v>.</v>
      </c>
      <c r="T6" s="48" t="str">
        <f>IFERROR(s_DL/(s_RadSpec!$J6*s_IFPE_res_adj*s_CF_peas),".")</f>
        <v>.</v>
      </c>
      <c r="U6" s="48" t="str">
        <f>IFERROR(s_DL/(s_RadSpec!$J6*s_IFPT_res_adj*s_CF_potato),".")</f>
        <v>.</v>
      </c>
      <c r="V6" s="48" t="str">
        <f>IFERROR(s_DL/(s_RadSpec!$J6*s_IFPU_res_adj*s_CF_pumpkin),".")</f>
        <v>.</v>
      </c>
      <c r="W6" s="48" t="str">
        <f>IFERROR(s_DL/(s_RadSpec!$J6*s_IFSN_res_adj*s_CF_snap_bean),".")</f>
        <v>.</v>
      </c>
      <c r="X6" s="48" t="str">
        <f>IFERROR(s_DL/(s_RadSpec!$J6*s_IFST_res_adj*s_CF_strawberry),".")</f>
        <v>.</v>
      </c>
      <c r="Y6" s="48" t="str">
        <f>IFERROR(s_DL/(s_RadSpec!$J6*s_IFTO_res_adj*s_CF_tomato),".")</f>
        <v>.</v>
      </c>
      <c r="Z6" s="48" t="str">
        <f>IFERROR(s_DL/(s_RadSpec!$J6*s_IFRI_res_adj*s_CF_rice),".")</f>
        <v>.</v>
      </c>
      <c r="AA6" s="48" t="str">
        <f>IFERROR(s_DL/(s_RadSpec!$J6*s_IFCG_res_adj*s_CF_cereal),".")</f>
        <v>.</v>
      </c>
      <c r="AB6" s="48" t="str">
        <f t="shared" si="25"/>
        <v>.</v>
      </c>
      <c r="AC6" s="48" t="str">
        <f>IFERROR(s_DL/(s_RadSpec!$J6*s_IFAP_far_adj*s_CF_apple),".")</f>
        <v>.</v>
      </c>
      <c r="AD6" s="48" t="str">
        <f>IFERROR(s_DL/(s_RadSpec!$J6*s_IFAS_far_adj*s_CF_asparagus),".")</f>
        <v>.</v>
      </c>
      <c r="AE6" s="48" t="str">
        <f>IFERROR(s_DL/(s_RadSpec!$J6*s_IFBT_far_adj*s_CF_beet),".")</f>
        <v>.</v>
      </c>
      <c r="AF6" s="48" t="str">
        <f>IFERROR(s_DL/(s_RadSpec!$J6*s_IFBE_far_adj*s_CF_berries),".")</f>
        <v>.</v>
      </c>
      <c r="AG6" s="48" t="str">
        <f>IFERROR(s_DL/(s_RadSpec!$J6*s_IFBR_far_adj*s_CF_broccoli),".")</f>
        <v>.</v>
      </c>
      <c r="AH6" s="48" t="str">
        <f>IFERROR(s_DL/(s_RadSpec!$J6*s_IFCB_far_adj*s_CF_cabbage),".")</f>
        <v>.</v>
      </c>
      <c r="AI6" s="48" t="str">
        <f>IFERROR(s_DL/(s_RadSpec!$J6*s_IFCR_far_adj*s_CF_carrot),".")</f>
        <v>.</v>
      </c>
      <c r="AJ6" s="48" t="str">
        <f>IFERROR(s_DL/(s_RadSpec!$J6*s_IFCI_far_adj*s_CF_citrus),".")</f>
        <v>.</v>
      </c>
      <c r="AK6" s="48" t="str">
        <f>IFERROR(s_DL/(s_RadSpec!$J6*s_IFCO_far_adj*s_CF_corn),".")</f>
        <v>.</v>
      </c>
      <c r="AL6" s="48" t="str">
        <f>IFERROR(s_DL/(s_RadSpec!$J6*s_IFCU_far_adj*s_CF_cucumber),".")</f>
        <v>.</v>
      </c>
      <c r="AM6" s="48" t="str">
        <f>IFERROR(s_DL/(s_RadSpec!$J6*s_IFLE_far_adj*s_CF_lettuce),".")</f>
        <v>.</v>
      </c>
      <c r="AN6" s="48" t="str">
        <f>IFERROR(s_DL/(s_RadSpec!$J6*s_IFLI_far_adj*s_CF_lima_bean),".")</f>
        <v>.</v>
      </c>
      <c r="AO6" s="48" t="str">
        <f>IFERROR(s_DL/(s_RadSpec!$J6*s_IFOK_far_adj*s_CF_okra),".")</f>
        <v>.</v>
      </c>
      <c r="AP6" s="48" t="str">
        <f>IFERROR(s_DL/(s_RadSpec!$J6*s_IFON_far_adj*s_CF_onion),".")</f>
        <v>.</v>
      </c>
      <c r="AQ6" s="48" t="str">
        <f>IFERROR(s_DL/(s_RadSpec!$J6*s_IFPC_far_adj*s_CF_peach),".")</f>
        <v>.</v>
      </c>
      <c r="AR6" s="48" t="str">
        <f>IFERROR(s_DL/(s_RadSpec!$J6*s_IFPR_far_adj*s_CF_pear),".")</f>
        <v>.</v>
      </c>
      <c r="AS6" s="48" t="str">
        <f>IFERROR(s_DL/(s_RadSpec!$J6*s_IFPE_far_adj*s_CF_peas),".")</f>
        <v>.</v>
      </c>
      <c r="AT6" s="48" t="str">
        <f>IFERROR(s_DL/(s_RadSpec!$J6*s_IFPT_far_adj*s_CF_potato),".")</f>
        <v>.</v>
      </c>
      <c r="AU6" s="48" t="str">
        <f>IFERROR(s_DL/(s_RadSpec!$J6*s_IFPU_far_adj*s_CF_pumpkin),".")</f>
        <v>.</v>
      </c>
      <c r="AV6" s="48" t="str">
        <f>IFERROR(s_DL/(s_RadSpec!$J6*s_IFSN_far_adj*s_CF_snap_bean),".")</f>
        <v>.</v>
      </c>
      <c r="AW6" s="48" t="str">
        <f>IFERROR(s_DL/(s_RadSpec!$J6*s_IFST_far_adj*s_CF_strawberry),".")</f>
        <v>.</v>
      </c>
      <c r="AX6" s="48" t="str">
        <f>IFERROR(s_DL/(s_RadSpec!$J6*s_IFTO_far_adj*s_CF_tomato),".")</f>
        <v>.</v>
      </c>
      <c r="AY6" s="48" t="str">
        <f>IFERROR(s_DL/(s_RadSpec!$J6*s_IFRI_far_adj*s_CF_rice),".")</f>
        <v>.</v>
      </c>
      <c r="AZ6" s="48" t="str">
        <f>IFERROR(s_DL/(s_RadSpec!$J6*s_IFCG_far_adj*s_CF_cereal),".")</f>
        <v>.</v>
      </c>
      <c r="BA6" s="62">
        <f t="shared" si="26"/>
        <v>22687.5</v>
      </c>
      <c r="BB6" s="62">
        <f t="shared" si="0"/>
        <v>7562.5</v>
      </c>
      <c r="BC6" s="62">
        <f t="shared" si="1"/>
        <v>7562.5</v>
      </c>
      <c r="BD6" s="62">
        <f t="shared" si="2"/>
        <v>7562.5</v>
      </c>
      <c r="BE6" s="62">
        <f t="shared" si="3"/>
        <v>7562.5</v>
      </c>
      <c r="BF6" s="62">
        <f t="shared" si="4"/>
        <v>7562.5</v>
      </c>
      <c r="BG6" s="62">
        <f t="shared" si="5"/>
        <v>7562.5</v>
      </c>
      <c r="BH6" s="62">
        <f t="shared" si="6"/>
        <v>7562.5</v>
      </c>
      <c r="BI6" s="62">
        <f t="shared" si="7"/>
        <v>7562.5</v>
      </c>
      <c r="BJ6" s="62">
        <f t="shared" si="8"/>
        <v>7562.5</v>
      </c>
      <c r="BK6" s="62">
        <f t="shared" si="9"/>
        <v>7562.5</v>
      </c>
      <c r="BL6" s="62">
        <f t="shared" si="10"/>
        <v>7562.5</v>
      </c>
      <c r="BM6" s="62">
        <f t="shared" si="11"/>
        <v>7562.5</v>
      </c>
      <c r="BN6" s="62">
        <f t="shared" si="12"/>
        <v>7562.5</v>
      </c>
      <c r="BO6" s="62">
        <f t="shared" si="13"/>
        <v>7562.5</v>
      </c>
      <c r="BP6" s="62">
        <f t="shared" si="14"/>
        <v>7562.5</v>
      </c>
      <c r="BQ6" s="62">
        <f t="shared" si="15"/>
        <v>7562.5</v>
      </c>
      <c r="BR6" s="62">
        <f t="shared" si="16"/>
        <v>7562.5</v>
      </c>
      <c r="BS6" s="62">
        <f t="shared" si="17"/>
        <v>7562.5</v>
      </c>
      <c r="BT6" s="62">
        <f t="shared" si="18"/>
        <v>7562.5</v>
      </c>
      <c r="BU6" s="62">
        <f t="shared" si="19"/>
        <v>7562.5</v>
      </c>
      <c r="BV6" s="62">
        <f t="shared" si="20"/>
        <v>7562.5</v>
      </c>
      <c r="BW6" s="62">
        <f t="shared" si="21"/>
        <v>7562.5</v>
      </c>
      <c r="BX6" s="62">
        <f t="shared" si="22"/>
        <v>7562.5</v>
      </c>
      <c r="BY6" s="62">
        <f t="shared" si="23"/>
        <v>7562.5</v>
      </c>
    </row>
    <row r="7" spans="1:77" x14ac:dyDescent="0.25">
      <c r="A7" s="61" t="s">
        <v>5</v>
      </c>
      <c r="B7" s="49" t="s">
        <v>1059</v>
      </c>
      <c r="C7" s="48">
        <f t="shared" si="24"/>
        <v>165.45471090925639</v>
      </c>
      <c r="D7" s="48">
        <f>IFERROR(s_DL/(s_RadSpec!$J7*s_IFAP_res_adj*s_CF_apple),".")</f>
        <v>496.36413272776917</v>
      </c>
      <c r="E7" s="48">
        <f>IFERROR(s_DL/(s_RadSpec!$J7*s_IFAS_res_adj*s_CF_asparagus),".")</f>
        <v>496.36413272776917</v>
      </c>
      <c r="F7" s="48">
        <f>IFERROR(s_DL/(s_RadSpec!$J7*s_IFBT_res_adj*s_CF_beet),".")</f>
        <v>496.36413272776917</v>
      </c>
      <c r="G7" s="48">
        <f>IFERROR(s_DL/(s_RadSpec!$J7*s_IFBE_res_adj*s_CF_berries),".")</f>
        <v>496.36413272776917</v>
      </c>
      <c r="H7" s="48">
        <f>IFERROR(s_DL/(s_RadSpec!$J7*s_IFBR_res_adj*s_CF_broccoli),".")</f>
        <v>496.36413272776917</v>
      </c>
      <c r="I7" s="48">
        <f>IFERROR(s_DL/(s_RadSpec!$J7*s_IFCB_res_adj*s_CF_cabbage),".")</f>
        <v>496.36413272776917</v>
      </c>
      <c r="J7" s="48">
        <f>IFERROR(s_DL/(s_RadSpec!$J7*s_IFCR_res_adj*s_CF_carrot),".")</f>
        <v>496.36413272776917</v>
      </c>
      <c r="K7" s="48">
        <f>IFERROR(s_DL/(s_RadSpec!$J7*s_IFCI_res_adj*s_CF_citrus),".")</f>
        <v>496.36413272776917</v>
      </c>
      <c r="L7" s="48">
        <f>IFERROR(s_DL/(s_RadSpec!$J7*s_IFCO_res_adj*s_CF_corn),".")</f>
        <v>496.36413272776917</v>
      </c>
      <c r="M7" s="48">
        <f>IFERROR(s_DL/(s_RadSpec!$J7*s_IFCU_res_adj*s_CF_cucumber),".")</f>
        <v>496.36413272776917</v>
      </c>
      <c r="N7" s="48">
        <f>IFERROR(s_DL/(s_RadSpec!$J7*s_IFLE_res_adj*s_CF_lettuce),".")</f>
        <v>496.36413272776917</v>
      </c>
      <c r="O7" s="48">
        <f>IFERROR(s_DL/(s_RadSpec!$J7*s_IFLI_res_adj*s_CF_lima_bean),".")</f>
        <v>496.36413272776917</v>
      </c>
      <c r="P7" s="48">
        <f>IFERROR(s_DL/(s_RadSpec!$J7*s_IFOK_res_adj*s_CF_okra),".")</f>
        <v>496.36413272776917</v>
      </c>
      <c r="Q7" s="48">
        <f>IFERROR(s_DL/(s_RadSpec!$J7*s_IFON_res_adj*s_CF_onion),".")</f>
        <v>496.36413272776917</v>
      </c>
      <c r="R7" s="48">
        <f>IFERROR(s_DL/(s_RadSpec!$J7*s_IFPC_res_adj*s_CF_peach),".")</f>
        <v>496.36413272776917</v>
      </c>
      <c r="S7" s="48">
        <f>IFERROR(s_DL/(s_RadSpec!$J7*s_IFPR_res_adj*s_CF_pear),".")</f>
        <v>496.36413272776917</v>
      </c>
      <c r="T7" s="48">
        <f>IFERROR(s_DL/(s_RadSpec!$J7*s_IFPE_res_adj*s_CF_peas),".")</f>
        <v>496.36413272776917</v>
      </c>
      <c r="U7" s="48">
        <f>IFERROR(s_DL/(s_RadSpec!$J7*s_IFPT_res_adj*s_CF_potato),".")</f>
        <v>496.36413272776917</v>
      </c>
      <c r="V7" s="48">
        <f>IFERROR(s_DL/(s_RadSpec!$J7*s_IFPU_res_adj*s_CF_pumpkin),".")</f>
        <v>496.36413272776917</v>
      </c>
      <c r="W7" s="48">
        <f>IFERROR(s_DL/(s_RadSpec!$J7*s_IFSN_res_adj*s_CF_snap_bean),".")</f>
        <v>496.36413272776917</v>
      </c>
      <c r="X7" s="48">
        <f>IFERROR(s_DL/(s_RadSpec!$J7*s_IFST_res_adj*s_CF_strawberry),".")</f>
        <v>496.36413272776917</v>
      </c>
      <c r="Y7" s="48">
        <f>IFERROR(s_DL/(s_RadSpec!$J7*s_IFTO_res_adj*s_CF_tomato),".")</f>
        <v>496.36413272776917</v>
      </c>
      <c r="Z7" s="48">
        <f>IFERROR(s_DL/(s_RadSpec!$J7*s_IFRI_res_adj*s_CF_rice),".")</f>
        <v>496.36413272776917</v>
      </c>
      <c r="AA7" s="48">
        <f>IFERROR(s_DL/(s_RadSpec!$J7*s_IFCG_res_adj*s_CF_cereal),".")</f>
        <v>496.36413272776917</v>
      </c>
      <c r="AB7" s="48">
        <f t="shared" si="25"/>
        <v>165.45471090925639</v>
      </c>
      <c r="AC7" s="48">
        <f>IFERROR(s_DL/(s_RadSpec!$J7*s_IFAP_far_adj*s_CF_apple),".")</f>
        <v>496.36413272776917</v>
      </c>
      <c r="AD7" s="48">
        <f>IFERROR(s_DL/(s_RadSpec!$J7*s_IFAS_far_adj*s_CF_asparagus),".")</f>
        <v>496.36413272776917</v>
      </c>
      <c r="AE7" s="48">
        <f>IFERROR(s_DL/(s_RadSpec!$J7*s_IFBT_far_adj*s_CF_beet),".")</f>
        <v>496.36413272776917</v>
      </c>
      <c r="AF7" s="48">
        <f>IFERROR(s_DL/(s_RadSpec!$J7*s_IFBE_far_adj*s_CF_berries),".")</f>
        <v>496.36413272776917</v>
      </c>
      <c r="AG7" s="48">
        <f>IFERROR(s_DL/(s_RadSpec!$J7*s_IFBR_far_adj*s_CF_broccoli),".")</f>
        <v>496.36413272776917</v>
      </c>
      <c r="AH7" s="48">
        <f>IFERROR(s_DL/(s_RadSpec!$J7*s_IFCB_far_adj*s_CF_cabbage),".")</f>
        <v>496.36413272776917</v>
      </c>
      <c r="AI7" s="48">
        <f>IFERROR(s_DL/(s_RadSpec!$J7*s_IFCR_far_adj*s_CF_carrot),".")</f>
        <v>496.36413272776917</v>
      </c>
      <c r="AJ7" s="48">
        <f>IFERROR(s_DL/(s_RadSpec!$J7*s_IFCI_far_adj*s_CF_citrus),".")</f>
        <v>496.36413272776917</v>
      </c>
      <c r="AK7" s="48">
        <f>IFERROR(s_DL/(s_RadSpec!$J7*s_IFCO_far_adj*s_CF_corn),".")</f>
        <v>496.36413272776917</v>
      </c>
      <c r="AL7" s="48">
        <f>IFERROR(s_DL/(s_RadSpec!$J7*s_IFCU_far_adj*s_CF_cucumber),".")</f>
        <v>496.36413272776917</v>
      </c>
      <c r="AM7" s="48">
        <f>IFERROR(s_DL/(s_RadSpec!$J7*s_IFLE_far_adj*s_CF_lettuce),".")</f>
        <v>496.36413272776917</v>
      </c>
      <c r="AN7" s="48">
        <f>IFERROR(s_DL/(s_RadSpec!$J7*s_IFLI_far_adj*s_CF_lima_bean),".")</f>
        <v>496.36413272776917</v>
      </c>
      <c r="AO7" s="48">
        <f>IFERROR(s_DL/(s_RadSpec!$J7*s_IFOK_far_adj*s_CF_okra),".")</f>
        <v>496.36413272776917</v>
      </c>
      <c r="AP7" s="48">
        <f>IFERROR(s_DL/(s_RadSpec!$J7*s_IFON_far_adj*s_CF_onion),".")</f>
        <v>496.36413272776917</v>
      </c>
      <c r="AQ7" s="48">
        <f>IFERROR(s_DL/(s_RadSpec!$J7*s_IFPC_far_adj*s_CF_peach),".")</f>
        <v>496.36413272776917</v>
      </c>
      <c r="AR7" s="48">
        <f>IFERROR(s_DL/(s_RadSpec!$J7*s_IFPR_far_adj*s_CF_pear),".")</f>
        <v>496.36413272776917</v>
      </c>
      <c r="AS7" s="48">
        <f>IFERROR(s_DL/(s_RadSpec!$J7*s_IFPE_far_adj*s_CF_peas),".")</f>
        <v>496.36413272776917</v>
      </c>
      <c r="AT7" s="48">
        <f>IFERROR(s_DL/(s_RadSpec!$J7*s_IFPT_far_adj*s_CF_potato),".")</f>
        <v>496.36413272776917</v>
      </c>
      <c r="AU7" s="48">
        <f>IFERROR(s_DL/(s_RadSpec!$J7*s_IFPU_far_adj*s_CF_pumpkin),".")</f>
        <v>496.36413272776917</v>
      </c>
      <c r="AV7" s="48">
        <f>IFERROR(s_DL/(s_RadSpec!$J7*s_IFSN_far_adj*s_CF_snap_bean),".")</f>
        <v>496.36413272776917</v>
      </c>
      <c r="AW7" s="48">
        <f>IFERROR(s_DL/(s_RadSpec!$J7*s_IFST_far_adj*s_CF_strawberry),".")</f>
        <v>496.36413272776917</v>
      </c>
      <c r="AX7" s="48">
        <f>IFERROR(s_DL/(s_RadSpec!$J7*s_IFTO_far_adj*s_CF_tomato),".")</f>
        <v>496.36413272776917</v>
      </c>
      <c r="AY7" s="48">
        <f>IFERROR(s_DL/(s_RadSpec!$J7*s_IFRI_far_adj*s_CF_rice),".")</f>
        <v>496.36413272776917</v>
      </c>
      <c r="AZ7" s="48">
        <f>IFERROR(s_DL/(s_RadSpec!$J7*s_IFCG_far_adj*s_CF_cereal),".")</f>
        <v>496.36413272776917</v>
      </c>
      <c r="BA7" s="62">
        <f t="shared" si="26"/>
        <v>22687.5</v>
      </c>
      <c r="BB7" s="62">
        <f t="shared" si="0"/>
        <v>7562.5</v>
      </c>
      <c r="BC7" s="62">
        <f t="shared" si="1"/>
        <v>7562.5</v>
      </c>
      <c r="BD7" s="62">
        <f t="shared" si="2"/>
        <v>7562.5</v>
      </c>
      <c r="BE7" s="62">
        <f t="shared" si="3"/>
        <v>7562.5</v>
      </c>
      <c r="BF7" s="62">
        <f t="shared" si="4"/>
        <v>7562.5</v>
      </c>
      <c r="BG7" s="62">
        <f t="shared" si="5"/>
        <v>7562.5</v>
      </c>
      <c r="BH7" s="62">
        <f t="shared" si="6"/>
        <v>7562.5</v>
      </c>
      <c r="BI7" s="62">
        <f t="shared" si="7"/>
        <v>7562.5</v>
      </c>
      <c r="BJ7" s="62">
        <f t="shared" si="8"/>
        <v>7562.5</v>
      </c>
      <c r="BK7" s="62">
        <f t="shared" si="9"/>
        <v>7562.5</v>
      </c>
      <c r="BL7" s="62">
        <f t="shared" si="10"/>
        <v>7562.5</v>
      </c>
      <c r="BM7" s="62">
        <f t="shared" si="11"/>
        <v>7562.5</v>
      </c>
      <c r="BN7" s="62">
        <f t="shared" si="12"/>
        <v>7562.5</v>
      </c>
      <c r="BO7" s="62">
        <f t="shared" si="13"/>
        <v>7562.5</v>
      </c>
      <c r="BP7" s="62">
        <f t="shared" si="14"/>
        <v>7562.5</v>
      </c>
      <c r="BQ7" s="62">
        <f t="shared" si="15"/>
        <v>7562.5</v>
      </c>
      <c r="BR7" s="62">
        <f t="shared" si="16"/>
        <v>7562.5</v>
      </c>
      <c r="BS7" s="62">
        <f t="shared" si="17"/>
        <v>7562.5</v>
      </c>
      <c r="BT7" s="62">
        <f t="shared" si="18"/>
        <v>7562.5</v>
      </c>
      <c r="BU7" s="62">
        <f t="shared" si="19"/>
        <v>7562.5</v>
      </c>
      <c r="BV7" s="62">
        <f t="shared" si="20"/>
        <v>7562.5</v>
      </c>
      <c r="BW7" s="62">
        <f t="shared" si="21"/>
        <v>7562.5</v>
      </c>
      <c r="BX7" s="62">
        <f t="shared" si="22"/>
        <v>7562.5</v>
      </c>
      <c r="BY7" s="62">
        <f t="shared" si="23"/>
        <v>7562.5</v>
      </c>
    </row>
    <row r="8" spans="1:77" x14ac:dyDescent="0.25">
      <c r="A8" s="61" t="s">
        <v>6</v>
      </c>
      <c r="B8" s="49" t="s">
        <v>1059</v>
      </c>
      <c r="C8" s="48">
        <f t="shared" si="24"/>
        <v>1111.2629837188861</v>
      </c>
      <c r="D8" s="48">
        <f>IFERROR(s_DL/(s_RadSpec!$J8*s_IFAP_res_adj*s_CF_apple),".")</f>
        <v>3333.7889511566582</v>
      </c>
      <c r="E8" s="48">
        <f>IFERROR(s_DL/(s_RadSpec!$J8*s_IFAS_res_adj*s_CF_asparagus),".")</f>
        <v>3333.7889511566582</v>
      </c>
      <c r="F8" s="48">
        <f>IFERROR(s_DL/(s_RadSpec!$J8*s_IFBT_res_adj*s_CF_beet),".")</f>
        <v>3333.7889511566582</v>
      </c>
      <c r="G8" s="48">
        <f>IFERROR(s_DL/(s_RadSpec!$J8*s_IFBE_res_adj*s_CF_berries),".")</f>
        <v>3333.7889511566582</v>
      </c>
      <c r="H8" s="48">
        <f>IFERROR(s_DL/(s_RadSpec!$J8*s_IFBR_res_adj*s_CF_broccoli),".")</f>
        <v>3333.7889511566582</v>
      </c>
      <c r="I8" s="48">
        <f>IFERROR(s_DL/(s_RadSpec!$J8*s_IFCB_res_adj*s_CF_cabbage),".")</f>
        <v>3333.7889511566582</v>
      </c>
      <c r="J8" s="48">
        <f>IFERROR(s_DL/(s_RadSpec!$J8*s_IFCR_res_adj*s_CF_carrot),".")</f>
        <v>3333.7889511566582</v>
      </c>
      <c r="K8" s="48">
        <f>IFERROR(s_DL/(s_RadSpec!$J8*s_IFCI_res_adj*s_CF_citrus),".")</f>
        <v>3333.7889511566582</v>
      </c>
      <c r="L8" s="48">
        <f>IFERROR(s_DL/(s_RadSpec!$J8*s_IFCO_res_adj*s_CF_corn),".")</f>
        <v>3333.7889511566582</v>
      </c>
      <c r="M8" s="48">
        <f>IFERROR(s_DL/(s_RadSpec!$J8*s_IFCU_res_adj*s_CF_cucumber),".")</f>
        <v>3333.7889511566582</v>
      </c>
      <c r="N8" s="48">
        <f>IFERROR(s_DL/(s_RadSpec!$J8*s_IFLE_res_adj*s_CF_lettuce),".")</f>
        <v>3333.7889511566582</v>
      </c>
      <c r="O8" s="48">
        <f>IFERROR(s_DL/(s_RadSpec!$J8*s_IFLI_res_adj*s_CF_lima_bean),".")</f>
        <v>3333.7889511566582</v>
      </c>
      <c r="P8" s="48">
        <f>IFERROR(s_DL/(s_RadSpec!$J8*s_IFOK_res_adj*s_CF_okra),".")</f>
        <v>3333.7889511566582</v>
      </c>
      <c r="Q8" s="48">
        <f>IFERROR(s_DL/(s_RadSpec!$J8*s_IFON_res_adj*s_CF_onion),".")</f>
        <v>3333.7889511566582</v>
      </c>
      <c r="R8" s="48">
        <f>IFERROR(s_DL/(s_RadSpec!$J8*s_IFPC_res_adj*s_CF_peach),".")</f>
        <v>3333.7889511566582</v>
      </c>
      <c r="S8" s="48">
        <f>IFERROR(s_DL/(s_RadSpec!$J8*s_IFPR_res_adj*s_CF_pear),".")</f>
        <v>3333.7889511566582</v>
      </c>
      <c r="T8" s="48">
        <f>IFERROR(s_DL/(s_RadSpec!$J8*s_IFPE_res_adj*s_CF_peas),".")</f>
        <v>3333.7889511566582</v>
      </c>
      <c r="U8" s="48">
        <f>IFERROR(s_DL/(s_RadSpec!$J8*s_IFPT_res_adj*s_CF_potato),".")</f>
        <v>3333.7889511566582</v>
      </c>
      <c r="V8" s="48">
        <f>IFERROR(s_DL/(s_RadSpec!$J8*s_IFPU_res_adj*s_CF_pumpkin),".")</f>
        <v>3333.7889511566582</v>
      </c>
      <c r="W8" s="48">
        <f>IFERROR(s_DL/(s_RadSpec!$J8*s_IFSN_res_adj*s_CF_snap_bean),".")</f>
        <v>3333.7889511566582</v>
      </c>
      <c r="X8" s="48">
        <f>IFERROR(s_DL/(s_RadSpec!$J8*s_IFST_res_adj*s_CF_strawberry),".")</f>
        <v>3333.7889511566582</v>
      </c>
      <c r="Y8" s="48">
        <f>IFERROR(s_DL/(s_RadSpec!$J8*s_IFTO_res_adj*s_CF_tomato),".")</f>
        <v>3333.7889511566582</v>
      </c>
      <c r="Z8" s="48">
        <f>IFERROR(s_DL/(s_RadSpec!$J8*s_IFRI_res_adj*s_CF_rice),".")</f>
        <v>3333.7889511566582</v>
      </c>
      <c r="AA8" s="48">
        <f>IFERROR(s_DL/(s_RadSpec!$J8*s_IFCG_res_adj*s_CF_cereal),".")</f>
        <v>3333.7889511566582</v>
      </c>
      <c r="AB8" s="48">
        <f t="shared" si="25"/>
        <v>1111.2629837188861</v>
      </c>
      <c r="AC8" s="48">
        <f>IFERROR(s_DL/(s_RadSpec!$J8*s_IFAP_far_adj*s_CF_apple),".")</f>
        <v>3333.7889511566582</v>
      </c>
      <c r="AD8" s="48">
        <f>IFERROR(s_DL/(s_RadSpec!$J8*s_IFAS_far_adj*s_CF_asparagus),".")</f>
        <v>3333.7889511566582</v>
      </c>
      <c r="AE8" s="48">
        <f>IFERROR(s_DL/(s_RadSpec!$J8*s_IFBT_far_adj*s_CF_beet),".")</f>
        <v>3333.7889511566582</v>
      </c>
      <c r="AF8" s="48">
        <f>IFERROR(s_DL/(s_RadSpec!$J8*s_IFBE_far_adj*s_CF_berries),".")</f>
        <v>3333.7889511566582</v>
      </c>
      <c r="AG8" s="48">
        <f>IFERROR(s_DL/(s_RadSpec!$J8*s_IFBR_far_adj*s_CF_broccoli),".")</f>
        <v>3333.7889511566582</v>
      </c>
      <c r="AH8" s="48">
        <f>IFERROR(s_DL/(s_RadSpec!$J8*s_IFCB_far_adj*s_CF_cabbage),".")</f>
        <v>3333.7889511566582</v>
      </c>
      <c r="AI8" s="48">
        <f>IFERROR(s_DL/(s_RadSpec!$J8*s_IFCR_far_adj*s_CF_carrot),".")</f>
        <v>3333.7889511566582</v>
      </c>
      <c r="AJ8" s="48">
        <f>IFERROR(s_DL/(s_RadSpec!$J8*s_IFCI_far_adj*s_CF_citrus),".")</f>
        <v>3333.7889511566582</v>
      </c>
      <c r="AK8" s="48">
        <f>IFERROR(s_DL/(s_RadSpec!$J8*s_IFCO_far_adj*s_CF_corn),".")</f>
        <v>3333.7889511566582</v>
      </c>
      <c r="AL8" s="48">
        <f>IFERROR(s_DL/(s_RadSpec!$J8*s_IFCU_far_adj*s_CF_cucumber),".")</f>
        <v>3333.7889511566582</v>
      </c>
      <c r="AM8" s="48">
        <f>IFERROR(s_DL/(s_RadSpec!$J8*s_IFLE_far_adj*s_CF_lettuce),".")</f>
        <v>3333.7889511566582</v>
      </c>
      <c r="AN8" s="48">
        <f>IFERROR(s_DL/(s_RadSpec!$J8*s_IFLI_far_adj*s_CF_lima_bean),".")</f>
        <v>3333.7889511566582</v>
      </c>
      <c r="AO8" s="48">
        <f>IFERROR(s_DL/(s_RadSpec!$J8*s_IFOK_far_adj*s_CF_okra),".")</f>
        <v>3333.7889511566582</v>
      </c>
      <c r="AP8" s="48">
        <f>IFERROR(s_DL/(s_RadSpec!$J8*s_IFON_far_adj*s_CF_onion),".")</f>
        <v>3333.7889511566582</v>
      </c>
      <c r="AQ8" s="48">
        <f>IFERROR(s_DL/(s_RadSpec!$J8*s_IFPC_far_adj*s_CF_peach),".")</f>
        <v>3333.7889511566582</v>
      </c>
      <c r="AR8" s="48">
        <f>IFERROR(s_DL/(s_RadSpec!$J8*s_IFPR_far_adj*s_CF_pear),".")</f>
        <v>3333.7889511566582</v>
      </c>
      <c r="AS8" s="48">
        <f>IFERROR(s_DL/(s_RadSpec!$J8*s_IFPE_far_adj*s_CF_peas),".")</f>
        <v>3333.7889511566582</v>
      </c>
      <c r="AT8" s="48">
        <f>IFERROR(s_DL/(s_RadSpec!$J8*s_IFPT_far_adj*s_CF_potato),".")</f>
        <v>3333.7889511566582</v>
      </c>
      <c r="AU8" s="48">
        <f>IFERROR(s_DL/(s_RadSpec!$J8*s_IFPU_far_adj*s_CF_pumpkin),".")</f>
        <v>3333.7889511566582</v>
      </c>
      <c r="AV8" s="48">
        <f>IFERROR(s_DL/(s_RadSpec!$J8*s_IFSN_far_adj*s_CF_snap_bean),".")</f>
        <v>3333.7889511566582</v>
      </c>
      <c r="AW8" s="48">
        <f>IFERROR(s_DL/(s_RadSpec!$J8*s_IFST_far_adj*s_CF_strawberry),".")</f>
        <v>3333.7889511566582</v>
      </c>
      <c r="AX8" s="48">
        <f>IFERROR(s_DL/(s_RadSpec!$J8*s_IFTO_far_adj*s_CF_tomato),".")</f>
        <v>3333.7889511566582</v>
      </c>
      <c r="AY8" s="48">
        <f>IFERROR(s_DL/(s_RadSpec!$J8*s_IFRI_far_adj*s_CF_rice),".")</f>
        <v>3333.7889511566582</v>
      </c>
      <c r="AZ8" s="48">
        <f>IFERROR(s_DL/(s_RadSpec!$J8*s_IFCG_far_adj*s_CF_cereal),".")</f>
        <v>3333.7889511566582</v>
      </c>
      <c r="BA8" s="62">
        <f t="shared" si="26"/>
        <v>22687.5</v>
      </c>
      <c r="BB8" s="62">
        <f t="shared" si="0"/>
        <v>7562.5</v>
      </c>
      <c r="BC8" s="62">
        <f t="shared" si="1"/>
        <v>7562.5</v>
      </c>
      <c r="BD8" s="62">
        <f t="shared" si="2"/>
        <v>7562.5</v>
      </c>
      <c r="BE8" s="62">
        <f t="shared" si="3"/>
        <v>7562.5</v>
      </c>
      <c r="BF8" s="62">
        <f t="shared" si="4"/>
        <v>7562.5</v>
      </c>
      <c r="BG8" s="62">
        <f t="shared" si="5"/>
        <v>7562.5</v>
      </c>
      <c r="BH8" s="62">
        <f t="shared" si="6"/>
        <v>7562.5</v>
      </c>
      <c r="BI8" s="62">
        <f t="shared" si="7"/>
        <v>7562.5</v>
      </c>
      <c r="BJ8" s="62">
        <f t="shared" si="8"/>
        <v>7562.5</v>
      </c>
      <c r="BK8" s="62">
        <f t="shared" si="9"/>
        <v>7562.5</v>
      </c>
      <c r="BL8" s="62">
        <f t="shared" si="10"/>
        <v>7562.5</v>
      </c>
      <c r="BM8" s="62">
        <f t="shared" si="11"/>
        <v>7562.5</v>
      </c>
      <c r="BN8" s="62">
        <f t="shared" si="12"/>
        <v>7562.5</v>
      </c>
      <c r="BO8" s="62">
        <f t="shared" si="13"/>
        <v>7562.5</v>
      </c>
      <c r="BP8" s="62">
        <f t="shared" si="14"/>
        <v>7562.5</v>
      </c>
      <c r="BQ8" s="62">
        <f t="shared" si="15"/>
        <v>7562.5</v>
      </c>
      <c r="BR8" s="62">
        <f t="shared" si="16"/>
        <v>7562.5</v>
      </c>
      <c r="BS8" s="62">
        <f t="shared" si="17"/>
        <v>7562.5</v>
      </c>
      <c r="BT8" s="62">
        <f t="shared" si="18"/>
        <v>7562.5</v>
      </c>
      <c r="BU8" s="62">
        <f t="shared" si="19"/>
        <v>7562.5</v>
      </c>
      <c r="BV8" s="62">
        <f t="shared" si="20"/>
        <v>7562.5</v>
      </c>
      <c r="BW8" s="62">
        <f t="shared" si="21"/>
        <v>7562.5</v>
      </c>
      <c r="BX8" s="62">
        <f t="shared" si="22"/>
        <v>7562.5</v>
      </c>
      <c r="BY8" s="62">
        <f t="shared" si="23"/>
        <v>7562.5</v>
      </c>
    </row>
    <row r="9" spans="1:77" x14ac:dyDescent="0.25">
      <c r="A9" s="61" t="s">
        <v>7</v>
      </c>
      <c r="B9" s="49" t="s">
        <v>1059</v>
      </c>
      <c r="C9" s="48">
        <f t="shared" si="24"/>
        <v>1998.7817425279291</v>
      </c>
      <c r="D9" s="48">
        <f>IFERROR(s_DL/(s_RadSpec!$J9*s_IFAP_res_adj*s_CF_apple),".")</f>
        <v>5996.3452275837872</v>
      </c>
      <c r="E9" s="48">
        <f>IFERROR(s_DL/(s_RadSpec!$J9*s_IFAS_res_adj*s_CF_asparagus),".")</f>
        <v>5996.3452275837872</v>
      </c>
      <c r="F9" s="48">
        <f>IFERROR(s_DL/(s_RadSpec!$J9*s_IFBT_res_adj*s_CF_beet),".")</f>
        <v>5996.3452275837872</v>
      </c>
      <c r="G9" s="48">
        <f>IFERROR(s_DL/(s_RadSpec!$J9*s_IFBE_res_adj*s_CF_berries),".")</f>
        <v>5996.3452275837872</v>
      </c>
      <c r="H9" s="48">
        <f>IFERROR(s_DL/(s_RadSpec!$J9*s_IFBR_res_adj*s_CF_broccoli),".")</f>
        <v>5996.3452275837872</v>
      </c>
      <c r="I9" s="48">
        <f>IFERROR(s_DL/(s_RadSpec!$J9*s_IFCB_res_adj*s_CF_cabbage),".")</f>
        <v>5996.3452275837872</v>
      </c>
      <c r="J9" s="48">
        <f>IFERROR(s_DL/(s_RadSpec!$J9*s_IFCR_res_adj*s_CF_carrot),".")</f>
        <v>5996.3452275837872</v>
      </c>
      <c r="K9" s="48">
        <f>IFERROR(s_DL/(s_RadSpec!$J9*s_IFCI_res_adj*s_CF_citrus),".")</f>
        <v>5996.3452275837872</v>
      </c>
      <c r="L9" s="48">
        <f>IFERROR(s_DL/(s_RadSpec!$J9*s_IFCO_res_adj*s_CF_corn),".")</f>
        <v>5996.3452275837872</v>
      </c>
      <c r="M9" s="48">
        <f>IFERROR(s_DL/(s_RadSpec!$J9*s_IFCU_res_adj*s_CF_cucumber),".")</f>
        <v>5996.3452275837872</v>
      </c>
      <c r="N9" s="48">
        <f>IFERROR(s_DL/(s_RadSpec!$J9*s_IFLE_res_adj*s_CF_lettuce),".")</f>
        <v>5996.3452275837872</v>
      </c>
      <c r="O9" s="48">
        <f>IFERROR(s_DL/(s_RadSpec!$J9*s_IFLI_res_adj*s_CF_lima_bean),".")</f>
        <v>5996.3452275837872</v>
      </c>
      <c r="P9" s="48">
        <f>IFERROR(s_DL/(s_RadSpec!$J9*s_IFOK_res_adj*s_CF_okra),".")</f>
        <v>5996.3452275837872</v>
      </c>
      <c r="Q9" s="48">
        <f>IFERROR(s_DL/(s_RadSpec!$J9*s_IFON_res_adj*s_CF_onion),".")</f>
        <v>5996.3452275837872</v>
      </c>
      <c r="R9" s="48">
        <f>IFERROR(s_DL/(s_RadSpec!$J9*s_IFPC_res_adj*s_CF_peach),".")</f>
        <v>5996.3452275837872</v>
      </c>
      <c r="S9" s="48">
        <f>IFERROR(s_DL/(s_RadSpec!$J9*s_IFPR_res_adj*s_CF_pear),".")</f>
        <v>5996.3452275837872</v>
      </c>
      <c r="T9" s="48">
        <f>IFERROR(s_DL/(s_RadSpec!$J9*s_IFPE_res_adj*s_CF_peas),".")</f>
        <v>5996.3452275837872</v>
      </c>
      <c r="U9" s="48">
        <f>IFERROR(s_DL/(s_RadSpec!$J9*s_IFPT_res_adj*s_CF_potato),".")</f>
        <v>5996.3452275837872</v>
      </c>
      <c r="V9" s="48">
        <f>IFERROR(s_DL/(s_RadSpec!$J9*s_IFPU_res_adj*s_CF_pumpkin),".")</f>
        <v>5996.3452275837872</v>
      </c>
      <c r="W9" s="48">
        <f>IFERROR(s_DL/(s_RadSpec!$J9*s_IFSN_res_adj*s_CF_snap_bean),".")</f>
        <v>5996.3452275837872</v>
      </c>
      <c r="X9" s="48">
        <f>IFERROR(s_DL/(s_RadSpec!$J9*s_IFST_res_adj*s_CF_strawberry),".")</f>
        <v>5996.3452275837872</v>
      </c>
      <c r="Y9" s="48">
        <f>IFERROR(s_DL/(s_RadSpec!$J9*s_IFTO_res_adj*s_CF_tomato),".")</f>
        <v>5996.3452275837872</v>
      </c>
      <c r="Z9" s="48">
        <f>IFERROR(s_DL/(s_RadSpec!$J9*s_IFRI_res_adj*s_CF_rice),".")</f>
        <v>5996.3452275837872</v>
      </c>
      <c r="AA9" s="48">
        <f>IFERROR(s_DL/(s_RadSpec!$J9*s_IFCG_res_adj*s_CF_cereal),".")</f>
        <v>5996.3452275837872</v>
      </c>
      <c r="AB9" s="48">
        <f t="shared" si="25"/>
        <v>1998.7817425279291</v>
      </c>
      <c r="AC9" s="48">
        <f>IFERROR(s_DL/(s_RadSpec!$J9*s_IFAP_far_adj*s_CF_apple),".")</f>
        <v>5996.3452275837872</v>
      </c>
      <c r="AD9" s="48">
        <f>IFERROR(s_DL/(s_RadSpec!$J9*s_IFAS_far_adj*s_CF_asparagus),".")</f>
        <v>5996.3452275837872</v>
      </c>
      <c r="AE9" s="48">
        <f>IFERROR(s_DL/(s_RadSpec!$J9*s_IFBT_far_adj*s_CF_beet),".")</f>
        <v>5996.3452275837872</v>
      </c>
      <c r="AF9" s="48">
        <f>IFERROR(s_DL/(s_RadSpec!$J9*s_IFBE_far_adj*s_CF_berries),".")</f>
        <v>5996.3452275837872</v>
      </c>
      <c r="AG9" s="48">
        <f>IFERROR(s_DL/(s_RadSpec!$J9*s_IFBR_far_adj*s_CF_broccoli),".")</f>
        <v>5996.3452275837872</v>
      </c>
      <c r="AH9" s="48">
        <f>IFERROR(s_DL/(s_RadSpec!$J9*s_IFCB_far_adj*s_CF_cabbage),".")</f>
        <v>5996.3452275837872</v>
      </c>
      <c r="AI9" s="48">
        <f>IFERROR(s_DL/(s_RadSpec!$J9*s_IFCR_far_adj*s_CF_carrot),".")</f>
        <v>5996.3452275837872</v>
      </c>
      <c r="AJ9" s="48">
        <f>IFERROR(s_DL/(s_RadSpec!$J9*s_IFCI_far_adj*s_CF_citrus),".")</f>
        <v>5996.3452275837872</v>
      </c>
      <c r="AK9" s="48">
        <f>IFERROR(s_DL/(s_RadSpec!$J9*s_IFCO_far_adj*s_CF_corn),".")</f>
        <v>5996.3452275837872</v>
      </c>
      <c r="AL9" s="48">
        <f>IFERROR(s_DL/(s_RadSpec!$J9*s_IFCU_far_adj*s_CF_cucumber),".")</f>
        <v>5996.3452275837872</v>
      </c>
      <c r="AM9" s="48">
        <f>IFERROR(s_DL/(s_RadSpec!$J9*s_IFLE_far_adj*s_CF_lettuce),".")</f>
        <v>5996.3452275837872</v>
      </c>
      <c r="AN9" s="48">
        <f>IFERROR(s_DL/(s_RadSpec!$J9*s_IFLI_far_adj*s_CF_lima_bean),".")</f>
        <v>5996.3452275837872</v>
      </c>
      <c r="AO9" s="48">
        <f>IFERROR(s_DL/(s_RadSpec!$J9*s_IFOK_far_adj*s_CF_okra),".")</f>
        <v>5996.3452275837872</v>
      </c>
      <c r="AP9" s="48">
        <f>IFERROR(s_DL/(s_RadSpec!$J9*s_IFON_far_adj*s_CF_onion),".")</f>
        <v>5996.3452275837872</v>
      </c>
      <c r="AQ9" s="48">
        <f>IFERROR(s_DL/(s_RadSpec!$J9*s_IFPC_far_adj*s_CF_peach),".")</f>
        <v>5996.3452275837872</v>
      </c>
      <c r="AR9" s="48">
        <f>IFERROR(s_DL/(s_RadSpec!$J9*s_IFPR_far_adj*s_CF_pear),".")</f>
        <v>5996.3452275837872</v>
      </c>
      <c r="AS9" s="48">
        <f>IFERROR(s_DL/(s_RadSpec!$J9*s_IFPE_far_adj*s_CF_peas),".")</f>
        <v>5996.3452275837872</v>
      </c>
      <c r="AT9" s="48">
        <f>IFERROR(s_DL/(s_RadSpec!$J9*s_IFPT_far_adj*s_CF_potato),".")</f>
        <v>5996.3452275837872</v>
      </c>
      <c r="AU9" s="48">
        <f>IFERROR(s_DL/(s_RadSpec!$J9*s_IFPU_far_adj*s_CF_pumpkin),".")</f>
        <v>5996.3452275837872</v>
      </c>
      <c r="AV9" s="48">
        <f>IFERROR(s_DL/(s_RadSpec!$J9*s_IFSN_far_adj*s_CF_snap_bean),".")</f>
        <v>5996.3452275837872</v>
      </c>
      <c r="AW9" s="48">
        <f>IFERROR(s_DL/(s_RadSpec!$J9*s_IFST_far_adj*s_CF_strawberry),".")</f>
        <v>5996.3452275837872</v>
      </c>
      <c r="AX9" s="48">
        <f>IFERROR(s_DL/(s_RadSpec!$J9*s_IFTO_far_adj*s_CF_tomato),".")</f>
        <v>5996.3452275837872</v>
      </c>
      <c r="AY9" s="48">
        <f>IFERROR(s_DL/(s_RadSpec!$J9*s_IFRI_far_adj*s_CF_rice),".")</f>
        <v>5996.3452275837872</v>
      </c>
      <c r="AZ9" s="48">
        <f>IFERROR(s_DL/(s_RadSpec!$J9*s_IFCG_far_adj*s_CF_cereal),".")</f>
        <v>5996.3452275837872</v>
      </c>
      <c r="BA9" s="62">
        <f t="shared" si="26"/>
        <v>22687.5</v>
      </c>
      <c r="BB9" s="62">
        <f t="shared" si="0"/>
        <v>7562.5</v>
      </c>
      <c r="BC9" s="62">
        <f t="shared" si="1"/>
        <v>7562.5</v>
      </c>
      <c r="BD9" s="62">
        <f t="shared" si="2"/>
        <v>7562.5</v>
      </c>
      <c r="BE9" s="62">
        <f t="shared" si="3"/>
        <v>7562.5</v>
      </c>
      <c r="BF9" s="62">
        <f t="shared" si="4"/>
        <v>7562.5</v>
      </c>
      <c r="BG9" s="62">
        <f t="shared" si="5"/>
        <v>7562.5</v>
      </c>
      <c r="BH9" s="62">
        <f t="shared" si="6"/>
        <v>7562.5</v>
      </c>
      <c r="BI9" s="62">
        <f t="shared" si="7"/>
        <v>7562.5</v>
      </c>
      <c r="BJ9" s="62">
        <f t="shared" si="8"/>
        <v>7562.5</v>
      </c>
      <c r="BK9" s="62">
        <f t="shared" si="9"/>
        <v>7562.5</v>
      </c>
      <c r="BL9" s="62">
        <f t="shared" si="10"/>
        <v>7562.5</v>
      </c>
      <c r="BM9" s="62">
        <f t="shared" si="11"/>
        <v>7562.5</v>
      </c>
      <c r="BN9" s="62">
        <f t="shared" si="12"/>
        <v>7562.5</v>
      </c>
      <c r="BO9" s="62">
        <f t="shared" si="13"/>
        <v>7562.5</v>
      </c>
      <c r="BP9" s="62">
        <f t="shared" si="14"/>
        <v>7562.5</v>
      </c>
      <c r="BQ9" s="62">
        <f t="shared" si="15"/>
        <v>7562.5</v>
      </c>
      <c r="BR9" s="62">
        <f t="shared" si="16"/>
        <v>7562.5</v>
      </c>
      <c r="BS9" s="62">
        <f t="shared" si="17"/>
        <v>7562.5</v>
      </c>
      <c r="BT9" s="62">
        <f t="shared" si="18"/>
        <v>7562.5</v>
      </c>
      <c r="BU9" s="62">
        <f t="shared" si="19"/>
        <v>7562.5</v>
      </c>
      <c r="BV9" s="62">
        <f t="shared" si="20"/>
        <v>7562.5</v>
      </c>
      <c r="BW9" s="62">
        <f t="shared" si="21"/>
        <v>7562.5</v>
      </c>
      <c r="BX9" s="62">
        <f t="shared" si="22"/>
        <v>7562.5</v>
      </c>
      <c r="BY9" s="62">
        <f t="shared" si="23"/>
        <v>7562.5</v>
      </c>
    </row>
    <row r="10" spans="1:77" x14ac:dyDescent="0.25">
      <c r="A10" s="63" t="s">
        <v>8</v>
      </c>
      <c r="B10" s="49" t="s">
        <v>336</v>
      </c>
      <c r="C10" s="48">
        <f t="shared" si="24"/>
        <v>22.392366889974543</v>
      </c>
      <c r="D10" s="48">
        <f>IFERROR(s_DL/(s_RadSpec!$J10*s_IFAP_res_adj*s_CF_apple),".")</f>
        <v>67.177100669923632</v>
      </c>
      <c r="E10" s="48">
        <f>IFERROR(s_DL/(s_RadSpec!$J10*s_IFAS_res_adj*s_CF_asparagus),".")</f>
        <v>67.177100669923632</v>
      </c>
      <c r="F10" s="48">
        <f>IFERROR(s_DL/(s_RadSpec!$J10*s_IFBT_res_adj*s_CF_beet),".")</f>
        <v>67.177100669923632</v>
      </c>
      <c r="G10" s="48">
        <f>IFERROR(s_DL/(s_RadSpec!$J10*s_IFBE_res_adj*s_CF_berries),".")</f>
        <v>67.177100669923632</v>
      </c>
      <c r="H10" s="48">
        <f>IFERROR(s_DL/(s_RadSpec!$J10*s_IFBR_res_adj*s_CF_broccoli),".")</f>
        <v>67.177100669923632</v>
      </c>
      <c r="I10" s="48">
        <f>IFERROR(s_DL/(s_RadSpec!$J10*s_IFCB_res_adj*s_CF_cabbage),".")</f>
        <v>67.177100669923632</v>
      </c>
      <c r="J10" s="48">
        <f>IFERROR(s_DL/(s_RadSpec!$J10*s_IFCR_res_adj*s_CF_carrot),".")</f>
        <v>67.177100669923632</v>
      </c>
      <c r="K10" s="48">
        <f>IFERROR(s_DL/(s_RadSpec!$J10*s_IFCI_res_adj*s_CF_citrus),".")</f>
        <v>67.177100669923632</v>
      </c>
      <c r="L10" s="48">
        <f>IFERROR(s_DL/(s_RadSpec!$J10*s_IFCO_res_adj*s_CF_corn),".")</f>
        <v>67.177100669923632</v>
      </c>
      <c r="M10" s="48">
        <f>IFERROR(s_DL/(s_RadSpec!$J10*s_IFCU_res_adj*s_CF_cucumber),".")</f>
        <v>67.177100669923632</v>
      </c>
      <c r="N10" s="48">
        <f>IFERROR(s_DL/(s_RadSpec!$J10*s_IFLE_res_adj*s_CF_lettuce),".")</f>
        <v>67.177100669923632</v>
      </c>
      <c r="O10" s="48">
        <f>IFERROR(s_DL/(s_RadSpec!$J10*s_IFLI_res_adj*s_CF_lima_bean),".")</f>
        <v>67.177100669923632</v>
      </c>
      <c r="P10" s="48">
        <f>IFERROR(s_DL/(s_RadSpec!$J10*s_IFOK_res_adj*s_CF_okra),".")</f>
        <v>67.177100669923632</v>
      </c>
      <c r="Q10" s="48">
        <f>IFERROR(s_DL/(s_RadSpec!$J10*s_IFON_res_adj*s_CF_onion),".")</f>
        <v>67.177100669923632</v>
      </c>
      <c r="R10" s="48">
        <f>IFERROR(s_DL/(s_RadSpec!$J10*s_IFPC_res_adj*s_CF_peach),".")</f>
        <v>67.177100669923632</v>
      </c>
      <c r="S10" s="48">
        <f>IFERROR(s_DL/(s_RadSpec!$J10*s_IFPR_res_adj*s_CF_pear),".")</f>
        <v>67.177100669923632</v>
      </c>
      <c r="T10" s="48">
        <f>IFERROR(s_DL/(s_RadSpec!$J10*s_IFPE_res_adj*s_CF_peas),".")</f>
        <v>67.177100669923632</v>
      </c>
      <c r="U10" s="48">
        <f>IFERROR(s_DL/(s_RadSpec!$J10*s_IFPT_res_adj*s_CF_potato),".")</f>
        <v>67.177100669923632</v>
      </c>
      <c r="V10" s="48">
        <f>IFERROR(s_DL/(s_RadSpec!$J10*s_IFPU_res_adj*s_CF_pumpkin),".")</f>
        <v>67.177100669923632</v>
      </c>
      <c r="W10" s="48">
        <f>IFERROR(s_DL/(s_RadSpec!$J10*s_IFSN_res_adj*s_CF_snap_bean),".")</f>
        <v>67.177100669923632</v>
      </c>
      <c r="X10" s="48">
        <f>IFERROR(s_DL/(s_RadSpec!$J10*s_IFST_res_adj*s_CF_strawberry),".")</f>
        <v>67.177100669923632</v>
      </c>
      <c r="Y10" s="48">
        <f>IFERROR(s_DL/(s_RadSpec!$J10*s_IFTO_res_adj*s_CF_tomato),".")</f>
        <v>67.177100669923632</v>
      </c>
      <c r="Z10" s="48">
        <f>IFERROR(s_DL/(s_RadSpec!$J10*s_IFRI_res_adj*s_CF_rice),".")</f>
        <v>67.177100669923632</v>
      </c>
      <c r="AA10" s="48">
        <f>IFERROR(s_DL/(s_RadSpec!$J10*s_IFCG_res_adj*s_CF_cereal),".")</f>
        <v>67.177100669923632</v>
      </c>
      <c r="AB10" s="48">
        <f t="shared" si="25"/>
        <v>22.392366889974543</v>
      </c>
      <c r="AC10" s="48">
        <f>IFERROR(s_DL/(s_RadSpec!$J10*s_IFAP_far_adj*s_CF_apple),".")</f>
        <v>67.177100669923632</v>
      </c>
      <c r="AD10" s="48">
        <f>IFERROR(s_DL/(s_RadSpec!$J10*s_IFAS_far_adj*s_CF_asparagus),".")</f>
        <v>67.177100669923632</v>
      </c>
      <c r="AE10" s="48">
        <f>IFERROR(s_DL/(s_RadSpec!$J10*s_IFBT_far_adj*s_CF_beet),".")</f>
        <v>67.177100669923632</v>
      </c>
      <c r="AF10" s="48">
        <f>IFERROR(s_DL/(s_RadSpec!$J10*s_IFBE_far_adj*s_CF_berries),".")</f>
        <v>67.177100669923632</v>
      </c>
      <c r="AG10" s="48">
        <f>IFERROR(s_DL/(s_RadSpec!$J10*s_IFBR_far_adj*s_CF_broccoli),".")</f>
        <v>67.177100669923632</v>
      </c>
      <c r="AH10" s="48">
        <f>IFERROR(s_DL/(s_RadSpec!$J10*s_IFCB_far_adj*s_CF_cabbage),".")</f>
        <v>67.177100669923632</v>
      </c>
      <c r="AI10" s="48">
        <f>IFERROR(s_DL/(s_RadSpec!$J10*s_IFCR_far_adj*s_CF_carrot),".")</f>
        <v>67.177100669923632</v>
      </c>
      <c r="AJ10" s="48">
        <f>IFERROR(s_DL/(s_RadSpec!$J10*s_IFCI_far_adj*s_CF_citrus),".")</f>
        <v>67.177100669923632</v>
      </c>
      <c r="AK10" s="48">
        <f>IFERROR(s_DL/(s_RadSpec!$J10*s_IFCO_far_adj*s_CF_corn),".")</f>
        <v>67.177100669923632</v>
      </c>
      <c r="AL10" s="48">
        <f>IFERROR(s_DL/(s_RadSpec!$J10*s_IFCU_far_adj*s_CF_cucumber),".")</f>
        <v>67.177100669923632</v>
      </c>
      <c r="AM10" s="48">
        <f>IFERROR(s_DL/(s_RadSpec!$J10*s_IFLE_far_adj*s_CF_lettuce),".")</f>
        <v>67.177100669923632</v>
      </c>
      <c r="AN10" s="48">
        <f>IFERROR(s_DL/(s_RadSpec!$J10*s_IFLI_far_adj*s_CF_lima_bean),".")</f>
        <v>67.177100669923632</v>
      </c>
      <c r="AO10" s="48">
        <f>IFERROR(s_DL/(s_RadSpec!$J10*s_IFOK_far_adj*s_CF_okra),".")</f>
        <v>67.177100669923632</v>
      </c>
      <c r="AP10" s="48">
        <f>IFERROR(s_DL/(s_RadSpec!$J10*s_IFON_far_adj*s_CF_onion),".")</f>
        <v>67.177100669923632</v>
      </c>
      <c r="AQ10" s="48">
        <f>IFERROR(s_DL/(s_RadSpec!$J10*s_IFPC_far_adj*s_CF_peach),".")</f>
        <v>67.177100669923632</v>
      </c>
      <c r="AR10" s="48">
        <f>IFERROR(s_DL/(s_RadSpec!$J10*s_IFPR_far_adj*s_CF_pear),".")</f>
        <v>67.177100669923632</v>
      </c>
      <c r="AS10" s="48">
        <f>IFERROR(s_DL/(s_RadSpec!$J10*s_IFPE_far_adj*s_CF_peas),".")</f>
        <v>67.177100669923632</v>
      </c>
      <c r="AT10" s="48">
        <f>IFERROR(s_DL/(s_RadSpec!$J10*s_IFPT_far_adj*s_CF_potato),".")</f>
        <v>67.177100669923632</v>
      </c>
      <c r="AU10" s="48">
        <f>IFERROR(s_DL/(s_RadSpec!$J10*s_IFPU_far_adj*s_CF_pumpkin),".")</f>
        <v>67.177100669923632</v>
      </c>
      <c r="AV10" s="48">
        <f>IFERROR(s_DL/(s_RadSpec!$J10*s_IFSN_far_adj*s_CF_snap_bean),".")</f>
        <v>67.177100669923632</v>
      </c>
      <c r="AW10" s="48">
        <f>IFERROR(s_DL/(s_RadSpec!$J10*s_IFST_far_adj*s_CF_strawberry),".")</f>
        <v>67.177100669923632</v>
      </c>
      <c r="AX10" s="48">
        <f>IFERROR(s_DL/(s_RadSpec!$J10*s_IFTO_far_adj*s_CF_tomato),".")</f>
        <v>67.177100669923632</v>
      </c>
      <c r="AY10" s="48">
        <f>IFERROR(s_DL/(s_RadSpec!$J10*s_IFRI_far_adj*s_CF_rice),".")</f>
        <v>67.177100669923632</v>
      </c>
      <c r="AZ10" s="48">
        <f>IFERROR(s_DL/(s_RadSpec!$J10*s_IFCG_far_adj*s_CF_cereal),".")</f>
        <v>67.177100669923632</v>
      </c>
      <c r="BA10" s="62">
        <f t="shared" si="26"/>
        <v>22687.5</v>
      </c>
      <c r="BB10" s="62">
        <f t="shared" si="0"/>
        <v>7562.5</v>
      </c>
      <c r="BC10" s="62">
        <f t="shared" si="1"/>
        <v>7562.5</v>
      </c>
      <c r="BD10" s="62">
        <f t="shared" si="2"/>
        <v>7562.5</v>
      </c>
      <c r="BE10" s="62">
        <f t="shared" si="3"/>
        <v>7562.5</v>
      </c>
      <c r="BF10" s="62">
        <f t="shared" si="4"/>
        <v>7562.5</v>
      </c>
      <c r="BG10" s="62">
        <f t="shared" si="5"/>
        <v>7562.5</v>
      </c>
      <c r="BH10" s="62">
        <f t="shared" si="6"/>
        <v>7562.5</v>
      </c>
      <c r="BI10" s="62">
        <f t="shared" si="7"/>
        <v>7562.5</v>
      </c>
      <c r="BJ10" s="62">
        <f t="shared" si="8"/>
        <v>7562.5</v>
      </c>
      <c r="BK10" s="62">
        <f t="shared" si="9"/>
        <v>7562.5</v>
      </c>
      <c r="BL10" s="62">
        <f t="shared" si="10"/>
        <v>7562.5</v>
      </c>
      <c r="BM10" s="62">
        <f t="shared" si="11"/>
        <v>7562.5</v>
      </c>
      <c r="BN10" s="62">
        <f t="shared" si="12"/>
        <v>7562.5</v>
      </c>
      <c r="BO10" s="62">
        <f t="shared" si="13"/>
        <v>7562.5</v>
      </c>
      <c r="BP10" s="62">
        <f t="shared" si="14"/>
        <v>7562.5</v>
      </c>
      <c r="BQ10" s="62">
        <f t="shared" si="15"/>
        <v>7562.5</v>
      </c>
      <c r="BR10" s="62">
        <f t="shared" si="16"/>
        <v>7562.5</v>
      </c>
      <c r="BS10" s="62">
        <f t="shared" si="17"/>
        <v>7562.5</v>
      </c>
      <c r="BT10" s="62">
        <f t="shared" si="18"/>
        <v>7562.5</v>
      </c>
      <c r="BU10" s="62">
        <f t="shared" si="19"/>
        <v>7562.5</v>
      </c>
      <c r="BV10" s="62">
        <f t="shared" si="20"/>
        <v>7562.5</v>
      </c>
      <c r="BW10" s="62">
        <f t="shared" si="21"/>
        <v>7562.5</v>
      </c>
      <c r="BX10" s="62">
        <f t="shared" si="22"/>
        <v>7562.5</v>
      </c>
      <c r="BY10" s="62">
        <f t="shared" si="23"/>
        <v>7562.5</v>
      </c>
    </row>
    <row r="11" spans="1:77" x14ac:dyDescent="0.25">
      <c r="A11" s="61" t="s">
        <v>9</v>
      </c>
      <c r="B11" s="49" t="s">
        <v>1059</v>
      </c>
      <c r="C11" s="48" t="str">
        <f t="shared" si="24"/>
        <v>.</v>
      </c>
      <c r="D11" s="48" t="str">
        <f>IFERROR(s_DL/(s_RadSpec!$J11*s_IFAP_res_adj*s_CF_apple),".")</f>
        <v>.</v>
      </c>
      <c r="E11" s="48" t="str">
        <f>IFERROR(s_DL/(s_RadSpec!$J11*s_IFAS_res_adj*s_CF_asparagus),".")</f>
        <v>.</v>
      </c>
      <c r="F11" s="48" t="str">
        <f>IFERROR(s_DL/(s_RadSpec!$J11*s_IFBT_res_adj*s_CF_beet),".")</f>
        <v>.</v>
      </c>
      <c r="G11" s="48" t="str">
        <f>IFERROR(s_DL/(s_RadSpec!$J11*s_IFBE_res_adj*s_CF_berries),".")</f>
        <v>.</v>
      </c>
      <c r="H11" s="48" t="str">
        <f>IFERROR(s_DL/(s_RadSpec!$J11*s_IFBR_res_adj*s_CF_broccoli),".")</f>
        <v>.</v>
      </c>
      <c r="I11" s="48" t="str">
        <f>IFERROR(s_DL/(s_RadSpec!$J11*s_IFCB_res_adj*s_CF_cabbage),".")</f>
        <v>.</v>
      </c>
      <c r="J11" s="48" t="str">
        <f>IFERROR(s_DL/(s_RadSpec!$J11*s_IFCR_res_adj*s_CF_carrot),".")</f>
        <v>.</v>
      </c>
      <c r="K11" s="48" t="str">
        <f>IFERROR(s_DL/(s_RadSpec!$J11*s_IFCI_res_adj*s_CF_citrus),".")</f>
        <v>.</v>
      </c>
      <c r="L11" s="48" t="str">
        <f>IFERROR(s_DL/(s_RadSpec!$J11*s_IFCO_res_adj*s_CF_corn),".")</f>
        <v>.</v>
      </c>
      <c r="M11" s="48" t="str">
        <f>IFERROR(s_DL/(s_RadSpec!$J11*s_IFCU_res_adj*s_CF_cucumber),".")</f>
        <v>.</v>
      </c>
      <c r="N11" s="48" t="str">
        <f>IFERROR(s_DL/(s_RadSpec!$J11*s_IFLE_res_adj*s_CF_lettuce),".")</f>
        <v>.</v>
      </c>
      <c r="O11" s="48" t="str">
        <f>IFERROR(s_DL/(s_RadSpec!$J11*s_IFLI_res_adj*s_CF_lima_bean),".")</f>
        <v>.</v>
      </c>
      <c r="P11" s="48" t="str">
        <f>IFERROR(s_DL/(s_RadSpec!$J11*s_IFOK_res_adj*s_CF_okra),".")</f>
        <v>.</v>
      </c>
      <c r="Q11" s="48" t="str">
        <f>IFERROR(s_DL/(s_RadSpec!$J11*s_IFON_res_adj*s_CF_onion),".")</f>
        <v>.</v>
      </c>
      <c r="R11" s="48" t="str">
        <f>IFERROR(s_DL/(s_RadSpec!$J11*s_IFPC_res_adj*s_CF_peach),".")</f>
        <v>.</v>
      </c>
      <c r="S11" s="48" t="str">
        <f>IFERROR(s_DL/(s_RadSpec!$J11*s_IFPR_res_adj*s_CF_pear),".")</f>
        <v>.</v>
      </c>
      <c r="T11" s="48" t="str">
        <f>IFERROR(s_DL/(s_RadSpec!$J11*s_IFPE_res_adj*s_CF_peas),".")</f>
        <v>.</v>
      </c>
      <c r="U11" s="48" t="str">
        <f>IFERROR(s_DL/(s_RadSpec!$J11*s_IFPT_res_adj*s_CF_potato),".")</f>
        <v>.</v>
      </c>
      <c r="V11" s="48" t="str">
        <f>IFERROR(s_DL/(s_RadSpec!$J11*s_IFPU_res_adj*s_CF_pumpkin),".")</f>
        <v>.</v>
      </c>
      <c r="W11" s="48" t="str">
        <f>IFERROR(s_DL/(s_RadSpec!$J11*s_IFSN_res_adj*s_CF_snap_bean),".")</f>
        <v>.</v>
      </c>
      <c r="X11" s="48" t="str">
        <f>IFERROR(s_DL/(s_RadSpec!$J11*s_IFST_res_adj*s_CF_strawberry),".")</f>
        <v>.</v>
      </c>
      <c r="Y11" s="48" t="str">
        <f>IFERROR(s_DL/(s_RadSpec!$J11*s_IFTO_res_adj*s_CF_tomato),".")</f>
        <v>.</v>
      </c>
      <c r="Z11" s="48" t="str">
        <f>IFERROR(s_DL/(s_RadSpec!$J11*s_IFRI_res_adj*s_CF_rice),".")</f>
        <v>.</v>
      </c>
      <c r="AA11" s="48" t="str">
        <f>IFERROR(s_DL/(s_RadSpec!$J11*s_IFCG_res_adj*s_CF_cereal),".")</f>
        <v>.</v>
      </c>
      <c r="AB11" s="48" t="str">
        <f t="shared" si="25"/>
        <v>.</v>
      </c>
      <c r="AC11" s="48" t="str">
        <f>IFERROR(s_DL/(s_RadSpec!$J11*s_IFAP_far_adj*s_CF_apple),".")</f>
        <v>.</v>
      </c>
      <c r="AD11" s="48" t="str">
        <f>IFERROR(s_DL/(s_RadSpec!$J11*s_IFAS_far_adj*s_CF_asparagus),".")</f>
        <v>.</v>
      </c>
      <c r="AE11" s="48" t="str">
        <f>IFERROR(s_DL/(s_RadSpec!$J11*s_IFBT_far_adj*s_CF_beet),".")</f>
        <v>.</v>
      </c>
      <c r="AF11" s="48" t="str">
        <f>IFERROR(s_DL/(s_RadSpec!$J11*s_IFBE_far_adj*s_CF_berries),".")</f>
        <v>.</v>
      </c>
      <c r="AG11" s="48" t="str">
        <f>IFERROR(s_DL/(s_RadSpec!$J11*s_IFBR_far_adj*s_CF_broccoli),".")</f>
        <v>.</v>
      </c>
      <c r="AH11" s="48" t="str">
        <f>IFERROR(s_DL/(s_RadSpec!$J11*s_IFCB_far_adj*s_CF_cabbage),".")</f>
        <v>.</v>
      </c>
      <c r="AI11" s="48" t="str">
        <f>IFERROR(s_DL/(s_RadSpec!$J11*s_IFCR_far_adj*s_CF_carrot),".")</f>
        <v>.</v>
      </c>
      <c r="AJ11" s="48" t="str">
        <f>IFERROR(s_DL/(s_RadSpec!$J11*s_IFCI_far_adj*s_CF_citrus),".")</f>
        <v>.</v>
      </c>
      <c r="AK11" s="48" t="str">
        <f>IFERROR(s_DL/(s_RadSpec!$J11*s_IFCO_far_adj*s_CF_corn),".")</f>
        <v>.</v>
      </c>
      <c r="AL11" s="48" t="str">
        <f>IFERROR(s_DL/(s_RadSpec!$J11*s_IFCU_far_adj*s_CF_cucumber),".")</f>
        <v>.</v>
      </c>
      <c r="AM11" s="48" t="str">
        <f>IFERROR(s_DL/(s_RadSpec!$J11*s_IFLE_far_adj*s_CF_lettuce),".")</f>
        <v>.</v>
      </c>
      <c r="AN11" s="48" t="str">
        <f>IFERROR(s_DL/(s_RadSpec!$J11*s_IFLI_far_adj*s_CF_lima_bean),".")</f>
        <v>.</v>
      </c>
      <c r="AO11" s="48" t="str">
        <f>IFERROR(s_DL/(s_RadSpec!$J11*s_IFOK_far_adj*s_CF_okra),".")</f>
        <v>.</v>
      </c>
      <c r="AP11" s="48" t="str">
        <f>IFERROR(s_DL/(s_RadSpec!$J11*s_IFON_far_adj*s_CF_onion),".")</f>
        <v>.</v>
      </c>
      <c r="AQ11" s="48" t="str">
        <f>IFERROR(s_DL/(s_RadSpec!$J11*s_IFPC_far_adj*s_CF_peach),".")</f>
        <v>.</v>
      </c>
      <c r="AR11" s="48" t="str">
        <f>IFERROR(s_DL/(s_RadSpec!$J11*s_IFPR_far_adj*s_CF_pear),".")</f>
        <v>.</v>
      </c>
      <c r="AS11" s="48" t="str">
        <f>IFERROR(s_DL/(s_RadSpec!$J11*s_IFPE_far_adj*s_CF_peas),".")</f>
        <v>.</v>
      </c>
      <c r="AT11" s="48" t="str">
        <f>IFERROR(s_DL/(s_RadSpec!$J11*s_IFPT_far_adj*s_CF_potato),".")</f>
        <v>.</v>
      </c>
      <c r="AU11" s="48" t="str">
        <f>IFERROR(s_DL/(s_RadSpec!$J11*s_IFPU_far_adj*s_CF_pumpkin),".")</f>
        <v>.</v>
      </c>
      <c r="AV11" s="48" t="str">
        <f>IFERROR(s_DL/(s_RadSpec!$J11*s_IFSN_far_adj*s_CF_snap_bean),".")</f>
        <v>.</v>
      </c>
      <c r="AW11" s="48" t="str">
        <f>IFERROR(s_DL/(s_RadSpec!$J11*s_IFST_far_adj*s_CF_strawberry),".")</f>
        <v>.</v>
      </c>
      <c r="AX11" s="48" t="str">
        <f>IFERROR(s_DL/(s_RadSpec!$J11*s_IFTO_far_adj*s_CF_tomato),".")</f>
        <v>.</v>
      </c>
      <c r="AY11" s="48" t="str">
        <f>IFERROR(s_DL/(s_RadSpec!$J11*s_IFRI_far_adj*s_CF_rice),".")</f>
        <v>.</v>
      </c>
      <c r="AZ11" s="48" t="str">
        <f>IFERROR(s_DL/(s_RadSpec!$J11*s_IFCG_far_adj*s_CF_cereal),".")</f>
        <v>.</v>
      </c>
      <c r="BA11" s="62">
        <f t="shared" si="26"/>
        <v>22687.5</v>
      </c>
      <c r="BB11" s="62">
        <f t="shared" si="0"/>
        <v>7562.5</v>
      </c>
      <c r="BC11" s="62">
        <f t="shared" si="1"/>
        <v>7562.5</v>
      </c>
      <c r="BD11" s="62">
        <f t="shared" si="2"/>
        <v>7562.5</v>
      </c>
      <c r="BE11" s="62">
        <f t="shared" si="3"/>
        <v>7562.5</v>
      </c>
      <c r="BF11" s="62">
        <f t="shared" si="4"/>
        <v>7562.5</v>
      </c>
      <c r="BG11" s="62">
        <f t="shared" si="5"/>
        <v>7562.5</v>
      </c>
      <c r="BH11" s="62">
        <f t="shared" si="6"/>
        <v>7562.5</v>
      </c>
      <c r="BI11" s="62">
        <f t="shared" si="7"/>
        <v>7562.5</v>
      </c>
      <c r="BJ11" s="62">
        <f t="shared" si="8"/>
        <v>7562.5</v>
      </c>
      <c r="BK11" s="62">
        <f t="shared" si="9"/>
        <v>7562.5</v>
      </c>
      <c r="BL11" s="62">
        <f t="shared" si="10"/>
        <v>7562.5</v>
      </c>
      <c r="BM11" s="62">
        <f t="shared" si="11"/>
        <v>7562.5</v>
      </c>
      <c r="BN11" s="62">
        <f t="shared" si="12"/>
        <v>7562.5</v>
      </c>
      <c r="BO11" s="62">
        <f t="shared" si="13"/>
        <v>7562.5</v>
      </c>
      <c r="BP11" s="62">
        <f t="shared" si="14"/>
        <v>7562.5</v>
      </c>
      <c r="BQ11" s="62">
        <f t="shared" si="15"/>
        <v>7562.5</v>
      </c>
      <c r="BR11" s="62">
        <f t="shared" si="16"/>
        <v>7562.5</v>
      </c>
      <c r="BS11" s="62">
        <f t="shared" si="17"/>
        <v>7562.5</v>
      </c>
      <c r="BT11" s="62">
        <f t="shared" si="18"/>
        <v>7562.5</v>
      </c>
      <c r="BU11" s="62">
        <f t="shared" si="19"/>
        <v>7562.5</v>
      </c>
      <c r="BV11" s="62">
        <f t="shared" si="20"/>
        <v>7562.5</v>
      </c>
      <c r="BW11" s="62">
        <f t="shared" si="21"/>
        <v>7562.5</v>
      </c>
      <c r="BX11" s="62">
        <f t="shared" si="22"/>
        <v>7562.5</v>
      </c>
      <c r="BY11" s="62">
        <f t="shared" si="23"/>
        <v>7562.5</v>
      </c>
    </row>
    <row r="12" spans="1:77" x14ac:dyDescent="0.25">
      <c r="A12" s="61" t="s">
        <v>10</v>
      </c>
      <c r="B12" s="49" t="s">
        <v>1059</v>
      </c>
      <c r="C12" s="48" t="str">
        <f t="shared" si="24"/>
        <v>.</v>
      </c>
      <c r="D12" s="48" t="str">
        <f>IFERROR(s_DL/(s_RadSpec!$J12*s_IFAP_res_adj*s_CF_apple),".")</f>
        <v>.</v>
      </c>
      <c r="E12" s="48" t="str">
        <f>IFERROR(s_DL/(s_RadSpec!$J12*s_IFAS_res_adj*s_CF_asparagus),".")</f>
        <v>.</v>
      </c>
      <c r="F12" s="48" t="str">
        <f>IFERROR(s_DL/(s_RadSpec!$J12*s_IFBT_res_adj*s_CF_beet),".")</f>
        <v>.</v>
      </c>
      <c r="G12" s="48" t="str">
        <f>IFERROR(s_DL/(s_RadSpec!$J12*s_IFBE_res_adj*s_CF_berries),".")</f>
        <v>.</v>
      </c>
      <c r="H12" s="48" t="str">
        <f>IFERROR(s_DL/(s_RadSpec!$J12*s_IFBR_res_adj*s_CF_broccoli),".")</f>
        <v>.</v>
      </c>
      <c r="I12" s="48" t="str">
        <f>IFERROR(s_DL/(s_RadSpec!$J12*s_IFCB_res_adj*s_CF_cabbage),".")</f>
        <v>.</v>
      </c>
      <c r="J12" s="48" t="str">
        <f>IFERROR(s_DL/(s_RadSpec!$J12*s_IFCR_res_adj*s_CF_carrot),".")</f>
        <v>.</v>
      </c>
      <c r="K12" s="48" t="str">
        <f>IFERROR(s_DL/(s_RadSpec!$J12*s_IFCI_res_adj*s_CF_citrus),".")</f>
        <v>.</v>
      </c>
      <c r="L12" s="48" t="str">
        <f>IFERROR(s_DL/(s_RadSpec!$J12*s_IFCO_res_adj*s_CF_corn),".")</f>
        <v>.</v>
      </c>
      <c r="M12" s="48" t="str">
        <f>IFERROR(s_DL/(s_RadSpec!$J12*s_IFCU_res_adj*s_CF_cucumber),".")</f>
        <v>.</v>
      </c>
      <c r="N12" s="48" t="str">
        <f>IFERROR(s_DL/(s_RadSpec!$J12*s_IFLE_res_adj*s_CF_lettuce),".")</f>
        <v>.</v>
      </c>
      <c r="O12" s="48" t="str">
        <f>IFERROR(s_DL/(s_RadSpec!$J12*s_IFLI_res_adj*s_CF_lima_bean),".")</f>
        <v>.</v>
      </c>
      <c r="P12" s="48" t="str">
        <f>IFERROR(s_DL/(s_RadSpec!$J12*s_IFOK_res_adj*s_CF_okra),".")</f>
        <v>.</v>
      </c>
      <c r="Q12" s="48" t="str">
        <f>IFERROR(s_DL/(s_RadSpec!$J12*s_IFON_res_adj*s_CF_onion),".")</f>
        <v>.</v>
      </c>
      <c r="R12" s="48" t="str">
        <f>IFERROR(s_DL/(s_RadSpec!$J12*s_IFPC_res_adj*s_CF_peach),".")</f>
        <v>.</v>
      </c>
      <c r="S12" s="48" t="str">
        <f>IFERROR(s_DL/(s_RadSpec!$J12*s_IFPR_res_adj*s_CF_pear),".")</f>
        <v>.</v>
      </c>
      <c r="T12" s="48" t="str">
        <f>IFERROR(s_DL/(s_RadSpec!$J12*s_IFPE_res_adj*s_CF_peas),".")</f>
        <v>.</v>
      </c>
      <c r="U12" s="48" t="str">
        <f>IFERROR(s_DL/(s_RadSpec!$J12*s_IFPT_res_adj*s_CF_potato),".")</f>
        <v>.</v>
      </c>
      <c r="V12" s="48" t="str">
        <f>IFERROR(s_DL/(s_RadSpec!$J12*s_IFPU_res_adj*s_CF_pumpkin),".")</f>
        <v>.</v>
      </c>
      <c r="W12" s="48" t="str">
        <f>IFERROR(s_DL/(s_RadSpec!$J12*s_IFSN_res_adj*s_CF_snap_bean),".")</f>
        <v>.</v>
      </c>
      <c r="X12" s="48" t="str">
        <f>IFERROR(s_DL/(s_RadSpec!$J12*s_IFST_res_adj*s_CF_strawberry),".")</f>
        <v>.</v>
      </c>
      <c r="Y12" s="48" t="str">
        <f>IFERROR(s_DL/(s_RadSpec!$J12*s_IFTO_res_adj*s_CF_tomato),".")</f>
        <v>.</v>
      </c>
      <c r="Z12" s="48" t="str">
        <f>IFERROR(s_DL/(s_RadSpec!$J12*s_IFRI_res_adj*s_CF_rice),".")</f>
        <v>.</v>
      </c>
      <c r="AA12" s="48" t="str">
        <f>IFERROR(s_DL/(s_RadSpec!$J12*s_IFCG_res_adj*s_CF_cereal),".")</f>
        <v>.</v>
      </c>
      <c r="AB12" s="48" t="str">
        <f t="shared" si="25"/>
        <v>.</v>
      </c>
      <c r="AC12" s="48" t="str">
        <f>IFERROR(s_DL/(s_RadSpec!$J12*s_IFAP_far_adj*s_CF_apple),".")</f>
        <v>.</v>
      </c>
      <c r="AD12" s="48" t="str">
        <f>IFERROR(s_DL/(s_RadSpec!$J12*s_IFAS_far_adj*s_CF_asparagus),".")</f>
        <v>.</v>
      </c>
      <c r="AE12" s="48" t="str">
        <f>IFERROR(s_DL/(s_RadSpec!$J12*s_IFBT_far_adj*s_CF_beet),".")</f>
        <v>.</v>
      </c>
      <c r="AF12" s="48" t="str">
        <f>IFERROR(s_DL/(s_RadSpec!$J12*s_IFBE_far_adj*s_CF_berries),".")</f>
        <v>.</v>
      </c>
      <c r="AG12" s="48" t="str">
        <f>IFERROR(s_DL/(s_RadSpec!$J12*s_IFBR_far_adj*s_CF_broccoli),".")</f>
        <v>.</v>
      </c>
      <c r="AH12" s="48" t="str">
        <f>IFERROR(s_DL/(s_RadSpec!$J12*s_IFCB_far_adj*s_CF_cabbage),".")</f>
        <v>.</v>
      </c>
      <c r="AI12" s="48" t="str">
        <f>IFERROR(s_DL/(s_RadSpec!$J12*s_IFCR_far_adj*s_CF_carrot),".")</f>
        <v>.</v>
      </c>
      <c r="AJ12" s="48" t="str">
        <f>IFERROR(s_DL/(s_RadSpec!$J12*s_IFCI_far_adj*s_CF_citrus),".")</f>
        <v>.</v>
      </c>
      <c r="AK12" s="48" t="str">
        <f>IFERROR(s_DL/(s_RadSpec!$J12*s_IFCO_far_adj*s_CF_corn),".")</f>
        <v>.</v>
      </c>
      <c r="AL12" s="48" t="str">
        <f>IFERROR(s_DL/(s_RadSpec!$J12*s_IFCU_far_adj*s_CF_cucumber),".")</f>
        <v>.</v>
      </c>
      <c r="AM12" s="48" t="str">
        <f>IFERROR(s_DL/(s_RadSpec!$J12*s_IFLE_far_adj*s_CF_lettuce),".")</f>
        <v>.</v>
      </c>
      <c r="AN12" s="48" t="str">
        <f>IFERROR(s_DL/(s_RadSpec!$J12*s_IFLI_far_adj*s_CF_lima_bean),".")</f>
        <v>.</v>
      </c>
      <c r="AO12" s="48" t="str">
        <f>IFERROR(s_DL/(s_RadSpec!$J12*s_IFOK_far_adj*s_CF_okra),".")</f>
        <v>.</v>
      </c>
      <c r="AP12" s="48" t="str">
        <f>IFERROR(s_DL/(s_RadSpec!$J12*s_IFON_far_adj*s_CF_onion),".")</f>
        <v>.</v>
      </c>
      <c r="AQ12" s="48" t="str">
        <f>IFERROR(s_DL/(s_RadSpec!$J12*s_IFPC_far_adj*s_CF_peach),".")</f>
        <v>.</v>
      </c>
      <c r="AR12" s="48" t="str">
        <f>IFERROR(s_DL/(s_RadSpec!$J12*s_IFPR_far_adj*s_CF_pear),".")</f>
        <v>.</v>
      </c>
      <c r="AS12" s="48" t="str">
        <f>IFERROR(s_DL/(s_RadSpec!$J12*s_IFPE_far_adj*s_CF_peas),".")</f>
        <v>.</v>
      </c>
      <c r="AT12" s="48" t="str">
        <f>IFERROR(s_DL/(s_RadSpec!$J12*s_IFPT_far_adj*s_CF_potato),".")</f>
        <v>.</v>
      </c>
      <c r="AU12" s="48" t="str">
        <f>IFERROR(s_DL/(s_RadSpec!$J12*s_IFPU_far_adj*s_CF_pumpkin),".")</f>
        <v>.</v>
      </c>
      <c r="AV12" s="48" t="str">
        <f>IFERROR(s_DL/(s_RadSpec!$J12*s_IFSN_far_adj*s_CF_snap_bean),".")</f>
        <v>.</v>
      </c>
      <c r="AW12" s="48" t="str">
        <f>IFERROR(s_DL/(s_RadSpec!$J12*s_IFST_far_adj*s_CF_strawberry),".")</f>
        <v>.</v>
      </c>
      <c r="AX12" s="48" t="str">
        <f>IFERROR(s_DL/(s_RadSpec!$J12*s_IFTO_far_adj*s_CF_tomato),".")</f>
        <v>.</v>
      </c>
      <c r="AY12" s="48" t="str">
        <f>IFERROR(s_DL/(s_RadSpec!$J12*s_IFRI_far_adj*s_CF_rice),".")</f>
        <v>.</v>
      </c>
      <c r="AZ12" s="48" t="str">
        <f>IFERROR(s_DL/(s_RadSpec!$J12*s_IFCG_far_adj*s_CF_cereal),".")</f>
        <v>.</v>
      </c>
      <c r="BA12" s="62">
        <f t="shared" si="26"/>
        <v>22687.5</v>
      </c>
      <c r="BB12" s="62">
        <f t="shared" si="0"/>
        <v>7562.5</v>
      </c>
      <c r="BC12" s="62">
        <f t="shared" si="1"/>
        <v>7562.5</v>
      </c>
      <c r="BD12" s="62">
        <f t="shared" si="2"/>
        <v>7562.5</v>
      </c>
      <c r="BE12" s="62">
        <f t="shared" si="3"/>
        <v>7562.5</v>
      </c>
      <c r="BF12" s="62">
        <f t="shared" si="4"/>
        <v>7562.5</v>
      </c>
      <c r="BG12" s="62">
        <f t="shared" si="5"/>
        <v>7562.5</v>
      </c>
      <c r="BH12" s="62">
        <f t="shared" si="6"/>
        <v>7562.5</v>
      </c>
      <c r="BI12" s="62">
        <f t="shared" si="7"/>
        <v>7562.5</v>
      </c>
      <c r="BJ12" s="62">
        <f t="shared" si="8"/>
        <v>7562.5</v>
      </c>
      <c r="BK12" s="62">
        <f t="shared" si="9"/>
        <v>7562.5</v>
      </c>
      <c r="BL12" s="62">
        <f t="shared" si="10"/>
        <v>7562.5</v>
      </c>
      <c r="BM12" s="62">
        <f t="shared" si="11"/>
        <v>7562.5</v>
      </c>
      <c r="BN12" s="62">
        <f t="shared" si="12"/>
        <v>7562.5</v>
      </c>
      <c r="BO12" s="62">
        <f t="shared" si="13"/>
        <v>7562.5</v>
      </c>
      <c r="BP12" s="62">
        <f t="shared" si="14"/>
        <v>7562.5</v>
      </c>
      <c r="BQ12" s="62">
        <f t="shared" si="15"/>
        <v>7562.5</v>
      </c>
      <c r="BR12" s="62">
        <f t="shared" si="16"/>
        <v>7562.5</v>
      </c>
      <c r="BS12" s="62">
        <f t="shared" si="17"/>
        <v>7562.5</v>
      </c>
      <c r="BT12" s="62">
        <f t="shared" si="18"/>
        <v>7562.5</v>
      </c>
      <c r="BU12" s="62">
        <f t="shared" si="19"/>
        <v>7562.5</v>
      </c>
      <c r="BV12" s="62">
        <f t="shared" si="20"/>
        <v>7562.5</v>
      </c>
      <c r="BW12" s="62">
        <f t="shared" si="21"/>
        <v>7562.5</v>
      </c>
      <c r="BX12" s="62">
        <f t="shared" si="22"/>
        <v>7562.5</v>
      </c>
      <c r="BY12" s="62">
        <f t="shared" si="23"/>
        <v>7562.5</v>
      </c>
    </row>
    <row r="13" spans="1:77" x14ac:dyDescent="0.25">
      <c r="A13" s="61" t="s">
        <v>11</v>
      </c>
      <c r="B13" s="49" t="s">
        <v>1059</v>
      </c>
      <c r="C13" s="48">
        <f t="shared" si="24"/>
        <v>2.3825478370932913</v>
      </c>
      <c r="D13" s="48">
        <f>IFERROR(s_DL/(s_RadSpec!$J13*s_IFAP_res_adj*s_CF_apple),".")</f>
        <v>7.1476435112798749</v>
      </c>
      <c r="E13" s="48">
        <f>IFERROR(s_DL/(s_RadSpec!$J13*s_IFAS_res_adj*s_CF_asparagus),".")</f>
        <v>7.1476435112798749</v>
      </c>
      <c r="F13" s="48">
        <f>IFERROR(s_DL/(s_RadSpec!$J13*s_IFBT_res_adj*s_CF_beet),".")</f>
        <v>7.1476435112798749</v>
      </c>
      <c r="G13" s="48">
        <f>IFERROR(s_DL/(s_RadSpec!$J13*s_IFBE_res_adj*s_CF_berries),".")</f>
        <v>7.1476435112798749</v>
      </c>
      <c r="H13" s="48">
        <f>IFERROR(s_DL/(s_RadSpec!$J13*s_IFBR_res_adj*s_CF_broccoli),".")</f>
        <v>7.1476435112798749</v>
      </c>
      <c r="I13" s="48">
        <f>IFERROR(s_DL/(s_RadSpec!$J13*s_IFCB_res_adj*s_CF_cabbage),".")</f>
        <v>7.1476435112798749</v>
      </c>
      <c r="J13" s="48">
        <f>IFERROR(s_DL/(s_RadSpec!$J13*s_IFCR_res_adj*s_CF_carrot),".")</f>
        <v>7.1476435112798749</v>
      </c>
      <c r="K13" s="48">
        <f>IFERROR(s_DL/(s_RadSpec!$J13*s_IFCI_res_adj*s_CF_citrus),".")</f>
        <v>7.1476435112798749</v>
      </c>
      <c r="L13" s="48">
        <f>IFERROR(s_DL/(s_RadSpec!$J13*s_IFCO_res_adj*s_CF_corn),".")</f>
        <v>7.1476435112798749</v>
      </c>
      <c r="M13" s="48">
        <f>IFERROR(s_DL/(s_RadSpec!$J13*s_IFCU_res_adj*s_CF_cucumber),".")</f>
        <v>7.1476435112798749</v>
      </c>
      <c r="N13" s="48">
        <f>IFERROR(s_DL/(s_RadSpec!$J13*s_IFLE_res_adj*s_CF_lettuce),".")</f>
        <v>7.1476435112798749</v>
      </c>
      <c r="O13" s="48">
        <f>IFERROR(s_DL/(s_RadSpec!$J13*s_IFLI_res_adj*s_CF_lima_bean),".")</f>
        <v>7.1476435112798749</v>
      </c>
      <c r="P13" s="48">
        <f>IFERROR(s_DL/(s_RadSpec!$J13*s_IFOK_res_adj*s_CF_okra),".")</f>
        <v>7.1476435112798749</v>
      </c>
      <c r="Q13" s="48">
        <f>IFERROR(s_DL/(s_RadSpec!$J13*s_IFON_res_adj*s_CF_onion),".")</f>
        <v>7.1476435112798749</v>
      </c>
      <c r="R13" s="48">
        <f>IFERROR(s_DL/(s_RadSpec!$J13*s_IFPC_res_adj*s_CF_peach),".")</f>
        <v>7.1476435112798749</v>
      </c>
      <c r="S13" s="48">
        <f>IFERROR(s_DL/(s_RadSpec!$J13*s_IFPR_res_adj*s_CF_pear),".")</f>
        <v>7.1476435112798749</v>
      </c>
      <c r="T13" s="48">
        <f>IFERROR(s_DL/(s_RadSpec!$J13*s_IFPE_res_adj*s_CF_peas),".")</f>
        <v>7.1476435112798749</v>
      </c>
      <c r="U13" s="48">
        <f>IFERROR(s_DL/(s_RadSpec!$J13*s_IFPT_res_adj*s_CF_potato),".")</f>
        <v>7.1476435112798749</v>
      </c>
      <c r="V13" s="48">
        <f>IFERROR(s_DL/(s_RadSpec!$J13*s_IFPU_res_adj*s_CF_pumpkin),".")</f>
        <v>7.1476435112798749</v>
      </c>
      <c r="W13" s="48">
        <f>IFERROR(s_DL/(s_RadSpec!$J13*s_IFSN_res_adj*s_CF_snap_bean),".")</f>
        <v>7.1476435112798749</v>
      </c>
      <c r="X13" s="48">
        <f>IFERROR(s_DL/(s_RadSpec!$J13*s_IFST_res_adj*s_CF_strawberry),".")</f>
        <v>7.1476435112798749</v>
      </c>
      <c r="Y13" s="48">
        <f>IFERROR(s_DL/(s_RadSpec!$J13*s_IFTO_res_adj*s_CF_tomato),".")</f>
        <v>7.1476435112798749</v>
      </c>
      <c r="Z13" s="48">
        <f>IFERROR(s_DL/(s_RadSpec!$J13*s_IFRI_res_adj*s_CF_rice),".")</f>
        <v>7.1476435112798749</v>
      </c>
      <c r="AA13" s="48">
        <f>IFERROR(s_DL/(s_RadSpec!$J13*s_IFCG_res_adj*s_CF_cereal),".")</f>
        <v>7.1476435112798749</v>
      </c>
      <c r="AB13" s="48">
        <f t="shared" si="25"/>
        <v>2.3825478370932913</v>
      </c>
      <c r="AC13" s="48">
        <f>IFERROR(s_DL/(s_RadSpec!$J13*s_IFAP_far_adj*s_CF_apple),".")</f>
        <v>7.1476435112798749</v>
      </c>
      <c r="AD13" s="48">
        <f>IFERROR(s_DL/(s_RadSpec!$J13*s_IFAS_far_adj*s_CF_asparagus),".")</f>
        <v>7.1476435112798749</v>
      </c>
      <c r="AE13" s="48">
        <f>IFERROR(s_DL/(s_RadSpec!$J13*s_IFBT_far_adj*s_CF_beet),".")</f>
        <v>7.1476435112798749</v>
      </c>
      <c r="AF13" s="48">
        <f>IFERROR(s_DL/(s_RadSpec!$J13*s_IFBE_far_adj*s_CF_berries),".")</f>
        <v>7.1476435112798749</v>
      </c>
      <c r="AG13" s="48">
        <f>IFERROR(s_DL/(s_RadSpec!$J13*s_IFBR_far_adj*s_CF_broccoli),".")</f>
        <v>7.1476435112798749</v>
      </c>
      <c r="AH13" s="48">
        <f>IFERROR(s_DL/(s_RadSpec!$J13*s_IFCB_far_adj*s_CF_cabbage),".")</f>
        <v>7.1476435112798749</v>
      </c>
      <c r="AI13" s="48">
        <f>IFERROR(s_DL/(s_RadSpec!$J13*s_IFCR_far_adj*s_CF_carrot),".")</f>
        <v>7.1476435112798749</v>
      </c>
      <c r="AJ13" s="48">
        <f>IFERROR(s_DL/(s_RadSpec!$J13*s_IFCI_far_adj*s_CF_citrus),".")</f>
        <v>7.1476435112798749</v>
      </c>
      <c r="AK13" s="48">
        <f>IFERROR(s_DL/(s_RadSpec!$J13*s_IFCO_far_adj*s_CF_corn),".")</f>
        <v>7.1476435112798749</v>
      </c>
      <c r="AL13" s="48">
        <f>IFERROR(s_DL/(s_RadSpec!$J13*s_IFCU_far_adj*s_CF_cucumber),".")</f>
        <v>7.1476435112798749</v>
      </c>
      <c r="AM13" s="48">
        <f>IFERROR(s_DL/(s_RadSpec!$J13*s_IFLE_far_adj*s_CF_lettuce),".")</f>
        <v>7.1476435112798749</v>
      </c>
      <c r="AN13" s="48">
        <f>IFERROR(s_DL/(s_RadSpec!$J13*s_IFLI_far_adj*s_CF_lima_bean),".")</f>
        <v>7.1476435112798749</v>
      </c>
      <c r="AO13" s="48">
        <f>IFERROR(s_DL/(s_RadSpec!$J13*s_IFOK_far_adj*s_CF_okra),".")</f>
        <v>7.1476435112798749</v>
      </c>
      <c r="AP13" s="48">
        <f>IFERROR(s_DL/(s_RadSpec!$J13*s_IFON_far_adj*s_CF_onion),".")</f>
        <v>7.1476435112798749</v>
      </c>
      <c r="AQ13" s="48">
        <f>IFERROR(s_DL/(s_RadSpec!$J13*s_IFPC_far_adj*s_CF_peach),".")</f>
        <v>7.1476435112798749</v>
      </c>
      <c r="AR13" s="48">
        <f>IFERROR(s_DL/(s_RadSpec!$J13*s_IFPR_far_adj*s_CF_pear),".")</f>
        <v>7.1476435112798749</v>
      </c>
      <c r="AS13" s="48">
        <f>IFERROR(s_DL/(s_RadSpec!$J13*s_IFPE_far_adj*s_CF_peas),".")</f>
        <v>7.1476435112798749</v>
      </c>
      <c r="AT13" s="48">
        <f>IFERROR(s_DL/(s_RadSpec!$J13*s_IFPT_far_adj*s_CF_potato),".")</f>
        <v>7.1476435112798749</v>
      </c>
      <c r="AU13" s="48">
        <f>IFERROR(s_DL/(s_RadSpec!$J13*s_IFPU_far_adj*s_CF_pumpkin),".")</f>
        <v>7.1476435112798749</v>
      </c>
      <c r="AV13" s="48">
        <f>IFERROR(s_DL/(s_RadSpec!$J13*s_IFSN_far_adj*s_CF_snap_bean),".")</f>
        <v>7.1476435112798749</v>
      </c>
      <c r="AW13" s="48">
        <f>IFERROR(s_DL/(s_RadSpec!$J13*s_IFST_far_adj*s_CF_strawberry),".")</f>
        <v>7.1476435112798749</v>
      </c>
      <c r="AX13" s="48">
        <f>IFERROR(s_DL/(s_RadSpec!$J13*s_IFTO_far_adj*s_CF_tomato),".")</f>
        <v>7.1476435112798749</v>
      </c>
      <c r="AY13" s="48">
        <f>IFERROR(s_DL/(s_RadSpec!$J13*s_IFRI_far_adj*s_CF_rice),".")</f>
        <v>7.1476435112798749</v>
      </c>
      <c r="AZ13" s="48">
        <f>IFERROR(s_DL/(s_RadSpec!$J13*s_IFCG_far_adj*s_CF_cereal),".")</f>
        <v>7.1476435112798749</v>
      </c>
      <c r="BA13" s="62">
        <f t="shared" si="26"/>
        <v>22687.5</v>
      </c>
      <c r="BB13" s="62">
        <f t="shared" si="0"/>
        <v>7562.5</v>
      </c>
      <c r="BC13" s="62">
        <f t="shared" si="1"/>
        <v>7562.5</v>
      </c>
      <c r="BD13" s="62">
        <f t="shared" si="2"/>
        <v>7562.5</v>
      </c>
      <c r="BE13" s="62">
        <f t="shared" si="3"/>
        <v>7562.5</v>
      </c>
      <c r="BF13" s="62">
        <f t="shared" si="4"/>
        <v>7562.5</v>
      </c>
      <c r="BG13" s="62">
        <f t="shared" si="5"/>
        <v>7562.5</v>
      </c>
      <c r="BH13" s="62">
        <f t="shared" si="6"/>
        <v>7562.5</v>
      </c>
      <c r="BI13" s="62">
        <f t="shared" si="7"/>
        <v>7562.5</v>
      </c>
      <c r="BJ13" s="62">
        <f t="shared" si="8"/>
        <v>7562.5</v>
      </c>
      <c r="BK13" s="62">
        <f t="shared" si="9"/>
        <v>7562.5</v>
      </c>
      <c r="BL13" s="62">
        <f t="shared" si="10"/>
        <v>7562.5</v>
      </c>
      <c r="BM13" s="62">
        <f t="shared" si="11"/>
        <v>7562.5</v>
      </c>
      <c r="BN13" s="62">
        <f t="shared" si="12"/>
        <v>7562.5</v>
      </c>
      <c r="BO13" s="62">
        <f t="shared" si="13"/>
        <v>7562.5</v>
      </c>
      <c r="BP13" s="62">
        <f t="shared" si="14"/>
        <v>7562.5</v>
      </c>
      <c r="BQ13" s="62">
        <f t="shared" si="15"/>
        <v>7562.5</v>
      </c>
      <c r="BR13" s="62">
        <f t="shared" si="16"/>
        <v>7562.5</v>
      </c>
      <c r="BS13" s="62">
        <f t="shared" si="17"/>
        <v>7562.5</v>
      </c>
      <c r="BT13" s="62">
        <f t="shared" si="18"/>
        <v>7562.5</v>
      </c>
      <c r="BU13" s="62">
        <f t="shared" si="19"/>
        <v>7562.5</v>
      </c>
      <c r="BV13" s="62">
        <f t="shared" si="20"/>
        <v>7562.5</v>
      </c>
      <c r="BW13" s="62">
        <f t="shared" si="21"/>
        <v>7562.5</v>
      </c>
      <c r="BX13" s="62">
        <f t="shared" si="22"/>
        <v>7562.5</v>
      </c>
      <c r="BY13" s="62">
        <f t="shared" si="23"/>
        <v>7562.5</v>
      </c>
    </row>
    <row r="14" spans="1:77" x14ac:dyDescent="0.25">
      <c r="A14" s="61" t="s">
        <v>12</v>
      </c>
      <c r="B14" s="49" t="s">
        <v>1059</v>
      </c>
      <c r="C14" s="48">
        <f t="shared" si="24"/>
        <v>225.62006033080414</v>
      </c>
      <c r="D14" s="48">
        <f>IFERROR(s_DL/(s_RadSpec!$J14*s_IFAP_res_adj*s_CF_apple),".")</f>
        <v>676.86018099241244</v>
      </c>
      <c r="E14" s="48">
        <f>IFERROR(s_DL/(s_RadSpec!$J14*s_IFAS_res_adj*s_CF_asparagus),".")</f>
        <v>676.86018099241244</v>
      </c>
      <c r="F14" s="48">
        <f>IFERROR(s_DL/(s_RadSpec!$J14*s_IFBT_res_adj*s_CF_beet),".")</f>
        <v>676.86018099241244</v>
      </c>
      <c r="G14" s="48">
        <f>IFERROR(s_DL/(s_RadSpec!$J14*s_IFBE_res_adj*s_CF_berries),".")</f>
        <v>676.86018099241244</v>
      </c>
      <c r="H14" s="48">
        <f>IFERROR(s_DL/(s_RadSpec!$J14*s_IFBR_res_adj*s_CF_broccoli),".")</f>
        <v>676.86018099241244</v>
      </c>
      <c r="I14" s="48">
        <f>IFERROR(s_DL/(s_RadSpec!$J14*s_IFCB_res_adj*s_CF_cabbage),".")</f>
        <v>676.86018099241244</v>
      </c>
      <c r="J14" s="48">
        <f>IFERROR(s_DL/(s_RadSpec!$J14*s_IFCR_res_adj*s_CF_carrot),".")</f>
        <v>676.86018099241244</v>
      </c>
      <c r="K14" s="48">
        <f>IFERROR(s_DL/(s_RadSpec!$J14*s_IFCI_res_adj*s_CF_citrus),".")</f>
        <v>676.86018099241244</v>
      </c>
      <c r="L14" s="48">
        <f>IFERROR(s_DL/(s_RadSpec!$J14*s_IFCO_res_adj*s_CF_corn),".")</f>
        <v>676.86018099241244</v>
      </c>
      <c r="M14" s="48">
        <f>IFERROR(s_DL/(s_RadSpec!$J14*s_IFCU_res_adj*s_CF_cucumber),".")</f>
        <v>676.86018099241244</v>
      </c>
      <c r="N14" s="48">
        <f>IFERROR(s_DL/(s_RadSpec!$J14*s_IFLE_res_adj*s_CF_lettuce),".")</f>
        <v>676.86018099241244</v>
      </c>
      <c r="O14" s="48">
        <f>IFERROR(s_DL/(s_RadSpec!$J14*s_IFLI_res_adj*s_CF_lima_bean),".")</f>
        <v>676.86018099241244</v>
      </c>
      <c r="P14" s="48">
        <f>IFERROR(s_DL/(s_RadSpec!$J14*s_IFOK_res_adj*s_CF_okra),".")</f>
        <v>676.86018099241244</v>
      </c>
      <c r="Q14" s="48">
        <f>IFERROR(s_DL/(s_RadSpec!$J14*s_IFON_res_adj*s_CF_onion),".")</f>
        <v>676.86018099241244</v>
      </c>
      <c r="R14" s="48">
        <f>IFERROR(s_DL/(s_RadSpec!$J14*s_IFPC_res_adj*s_CF_peach),".")</f>
        <v>676.86018099241244</v>
      </c>
      <c r="S14" s="48">
        <f>IFERROR(s_DL/(s_RadSpec!$J14*s_IFPR_res_adj*s_CF_pear),".")</f>
        <v>676.86018099241244</v>
      </c>
      <c r="T14" s="48">
        <f>IFERROR(s_DL/(s_RadSpec!$J14*s_IFPE_res_adj*s_CF_peas),".")</f>
        <v>676.86018099241244</v>
      </c>
      <c r="U14" s="48">
        <f>IFERROR(s_DL/(s_RadSpec!$J14*s_IFPT_res_adj*s_CF_potato),".")</f>
        <v>676.86018099241244</v>
      </c>
      <c r="V14" s="48">
        <f>IFERROR(s_DL/(s_RadSpec!$J14*s_IFPU_res_adj*s_CF_pumpkin),".")</f>
        <v>676.86018099241244</v>
      </c>
      <c r="W14" s="48">
        <f>IFERROR(s_DL/(s_RadSpec!$J14*s_IFSN_res_adj*s_CF_snap_bean),".")</f>
        <v>676.86018099241244</v>
      </c>
      <c r="X14" s="48">
        <f>IFERROR(s_DL/(s_RadSpec!$J14*s_IFST_res_adj*s_CF_strawberry),".")</f>
        <v>676.86018099241244</v>
      </c>
      <c r="Y14" s="48">
        <f>IFERROR(s_DL/(s_RadSpec!$J14*s_IFTO_res_adj*s_CF_tomato),".")</f>
        <v>676.86018099241244</v>
      </c>
      <c r="Z14" s="48">
        <f>IFERROR(s_DL/(s_RadSpec!$J14*s_IFRI_res_adj*s_CF_rice),".")</f>
        <v>676.86018099241244</v>
      </c>
      <c r="AA14" s="48">
        <f>IFERROR(s_DL/(s_RadSpec!$J14*s_IFCG_res_adj*s_CF_cereal),".")</f>
        <v>676.86018099241244</v>
      </c>
      <c r="AB14" s="48">
        <f t="shared" si="25"/>
        <v>225.62006033080414</v>
      </c>
      <c r="AC14" s="48">
        <f>IFERROR(s_DL/(s_RadSpec!$J14*s_IFAP_far_adj*s_CF_apple),".")</f>
        <v>676.86018099241244</v>
      </c>
      <c r="AD14" s="48">
        <f>IFERROR(s_DL/(s_RadSpec!$J14*s_IFAS_far_adj*s_CF_asparagus),".")</f>
        <v>676.86018099241244</v>
      </c>
      <c r="AE14" s="48">
        <f>IFERROR(s_DL/(s_RadSpec!$J14*s_IFBT_far_adj*s_CF_beet),".")</f>
        <v>676.86018099241244</v>
      </c>
      <c r="AF14" s="48">
        <f>IFERROR(s_DL/(s_RadSpec!$J14*s_IFBE_far_adj*s_CF_berries),".")</f>
        <v>676.86018099241244</v>
      </c>
      <c r="AG14" s="48">
        <f>IFERROR(s_DL/(s_RadSpec!$J14*s_IFBR_far_adj*s_CF_broccoli),".")</f>
        <v>676.86018099241244</v>
      </c>
      <c r="AH14" s="48">
        <f>IFERROR(s_DL/(s_RadSpec!$J14*s_IFCB_far_adj*s_CF_cabbage),".")</f>
        <v>676.86018099241244</v>
      </c>
      <c r="AI14" s="48">
        <f>IFERROR(s_DL/(s_RadSpec!$J14*s_IFCR_far_adj*s_CF_carrot),".")</f>
        <v>676.86018099241244</v>
      </c>
      <c r="AJ14" s="48">
        <f>IFERROR(s_DL/(s_RadSpec!$J14*s_IFCI_far_adj*s_CF_citrus),".")</f>
        <v>676.86018099241244</v>
      </c>
      <c r="AK14" s="48">
        <f>IFERROR(s_DL/(s_RadSpec!$J14*s_IFCO_far_adj*s_CF_corn),".")</f>
        <v>676.86018099241244</v>
      </c>
      <c r="AL14" s="48">
        <f>IFERROR(s_DL/(s_RadSpec!$J14*s_IFCU_far_adj*s_CF_cucumber),".")</f>
        <v>676.86018099241244</v>
      </c>
      <c r="AM14" s="48">
        <f>IFERROR(s_DL/(s_RadSpec!$J14*s_IFLE_far_adj*s_CF_lettuce),".")</f>
        <v>676.86018099241244</v>
      </c>
      <c r="AN14" s="48">
        <f>IFERROR(s_DL/(s_RadSpec!$J14*s_IFLI_far_adj*s_CF_lima_bean),".")</f>
        <v>676.86018099241244</v>
      </c>
      <c r="AO14" s="48">
        <f>IFERROR(s_DL/(s_RadSpec!$J14*s_IFOK_far_adj*s_CF_okra),".")</f>
        <v>676.86018099241244</v>
      </c>
      <c r="AP14" s="48">
        <f>IFERROR(s_DL/(s_RadSpec!$J14*s_IFON_far_adj*s_CF_onion),".")</f>
        <v>676.86018099241244</v>
      </c>
      <c r="AQ14" s="48">
        <f>IFERROR(s_DL/(s_RadSpec!$J14*s_IFPC_far_adj*s_CF_peach),".")</f>
        <v>676.86018099241244</v>
      </c>
      <c r="AR14" s="48">
        <f>IFERROR(s_DL/(s_RadSpec!$J14*s_IFPR_far_adj*s_CF_pear),".")</f>
        <v>676.86018099241244</v>
      </c>
      <c r="AS14" s="48">
        <f>IFERROR(s_DL/(s_RadSpec!$J14*s_IFPE_far_adj*s_CF_peas),".")</f>
        <v>676.86018099241244</v>
      </c>
      <c r="AT14" s="48">
        <f>IFERROR(s_DL/(s_RadSpec!$J14*s_IFPT_far_adj*s_CF_potato),".")</f>
        <v>676.86018099241244</v>
      </c>
      <c r="AU14" s="48">
        <f>IFERROR(s_DL/(s_RadSpec!$J14*s_IFPU_far_adj*s_CF_pumpkin),".")</f>
        <v>676.86018099241244</v>
      </c>
      <c r="AV14" s="48">
        <f>IFERROR(s_DL/(s_RadSpec!$J14*s_IFSN_far_adj*s_CF_snap_bean),".")</f>
        <v>676.86018099241244</v>
      </c>
      <c r="AW14" s="48">
        <f>IFERROR(s_DL/(s_RadSpec!$J14*s_IFST_far_adj*s_CF_strawberry),".")</f>
        <v>676.86018099241244</v>
      </c>
      <c r="AX14" s="48">
        <f>IFERROR(s_DL/(s_RadSpec!$J14*s_IFTO_far_adj*s_CF_tomato),".")</f>
        <v>676.86018099241244</v>
      </c>
      <c r="AY14" s="48">
        <f>IFERROR(s_DL/(s_RadSpec!$J14*s_IFRI_far_adj*s_CF_rice),".")</f>
        <v>676.86018099241244</v>
      </c>
      <c r="AZ14" s="48">
        <f>IFERROR(s_DL/(s_RadSpec!$J14*s_IFCG_far_adj*s_CF_cereal),".")</f>
        <v>676.86018099241244</v>
      </c>
      <c r="BA14" s="62">
        <f t="shared" si="26"/>
        <v>22687.5</v>
      </c>
      <c r="BB14" s="62">
        <f t="shared" si="0"/>
        <v>7562.5</v>
      </c>
      <c r="BC14" s="62">
        <f t="shared" si="1"/>
        <v>7562.5</v>
      </c>
      <c r="BD14" s="62">
        <f t="shared" si="2"/>
        <v>7562.5</v>
      </c>
      <c r="BE14" s="62">
        <f t="shared" si="3"/>
        <v>7562.5</v>
      </c>
      <c r="BF14" s="62">
        <f t="shared" si="4"/>
        <v>7562.5</v>
      </c>
      <c r="BG14" s="62">
        <f t="shared" si="5"/>
        <v>7562.5</v>
      </c>
      <c r="BH14" s="62">
        <f t="shared" si="6"/>
        <v>7562.5</v>
      </c>
      <c r="BI14" s="62">
        <f t="shared" si="7"/>
        <v>7562.5</v>
      </c>
      <c r="BJ14" s="62">
        <f t="shared" si="8"/>
        <v>7562.5</v>
      </c>
      <c r="BK14" s="62">
        <f t="shared" si="9"/>
        <v>7562.5</v>
      </c>
      <c r="BL14" s="62">
        <f t="shared" si="10"/>
        <v>7562.5</v>
      </c>
      <c r="BM14" s="62">
        <f t="shared" si="11"/>
        <v>7562.5</v>
      </c>
      <c r="BN14" s="62">
        <f t="shared" si="12"/>
        <v>7562.5</v>
      </c>
      <c r="BO14" s="62">
        <f t="shared" si="13"/>
        <v>7562.5</v>
      </c>
      <c r="BP14" s="62">
        <f t="shared" si="14"/>
        <v>7562.5</v>
      </c>
      <c r="BQ14" s="62">
        <f t="shared" si="15"/>
        <v>7562.5</v>
      </c>
      <c r="BR14" s="62">
        <f t="shared" si="16"/>
        <v>7562.5</v>
      </c>
      <c r="BS14" s="62">
        <f t="shared" si="17"/>
        <v>7562.5</v>
      </c>
      <c r="BT14" s="62">
        <f t="shared" si="18"/>
        <v>7562.5</v>
      </c>
      <c r="BU14" s="62">
        <f t="shared" si="19"/>
        <v>7562.5</v>
      </c>
      <c r="BV14" s="62">
        <f t="shared" si="20"/>
        <v>7562.5</v>
      </c>
      <c r="BW14" s="62">
        <f t="shared" si="21"/>
        <v>7562.5</v>
      </c>
      <c r="BX14" s="62">
        <f t="shared" si="22"/>
        <v>7562.5</v>
      </c>
      <c r="BY14" s="62">
        <f t="shared" si="23"/>
        <v>7562.5</v>
      </c>
    </row>
    <row r="15" spans="1:77" x14ac:dyDescent="0.25">
      <c r="A15" s="61" t="s">
        <v>13</v>
      </c>
      <c r="B15" s="49" t="s">
        <v>1059</v>
      </c>
      <c r="C15" s="48">
        <f t="shared" si="24"/>
        <v>3986.8605038375017</v>
      </c>
      <c r="D15" s="48">
        <f>IFERROR(s_DL/(s_RadSpec!$J15*s_IFAP_res_adj*s_CF_apple),".")</f>
        <v>11960.581511512508</v>
      </c>
      <c r="E15" s="48">
        <f>IFERROR(s_DL/(s_RadSpec!$J15*s_IFAS_res_adj*s_CF_asparagus),".")</f>
        <v>11960.581511512508</v>
      </c>
      <c r="F15" s="48">
        <f>IFERROR(s_DL/(s_RadSpec!$J15*s_IFBT_res_adj*s_CF_beet),".")</f>
        <v>11960.581511512508</v>
      </c>
      <c r="G15" s="48">
        <f>IFERROR(s_DL/(s_RadSpec!$J15*s_IFBE_res_adj*s_CF_berries),".")</f>
        <v>11960.581511512508</v>
      </c>
      <c r="H15" s="48">
        <f>IFERROR(s_DL/(s_RadSpec!$J15*s_IFBR_res_adj*s_CF_broccoli),".")</f>
        <v>11960.581511512508</v>
      </c>
      <c r="I15" s="48">
        <f>IFERROR(s_DL/(s_RadSpec!$J15*s_IFCB_res_adj*s_CF_cabbage),".")</f>
        <v>11960.581511512508</v>
      </c>
      <c r="J15" s="48">
        <f>IFERROR(s_DL/(s_RadSpec!$J15*s_IFCR_res_adj*s_CF_carrot),".")</f>
        <v>11960.581511512508</v>
      </c>
      <c r="K15" s="48">
        <f>IFERROR(s_DL/(s_RadSpec!$J15*s_IFCI_res_adj*s_CF_citrus),".")</f>
        <v>11960.581511512508</v>
      </c>
      <c r="L15" s="48">
        <f>IFERROR(s_DL/(s_RadSpec!$J15*s_IFCO_res_adj*s_CF_corn),".")</f>
        <v>11960.581511512508</v>
      </c>
      <c r="M15" s="48">
        <f>IFERROR(s_DL/(s_RadSpec!$J15*s_IFCU_res_adj*s_CF_cucumber),".")</f>
        <v>11960.581511512508</v>
      </c>
      <c r="N15" s="48">
        <f>IFERROR(s_DL/(s_RadSpec!$J15*s_IFLE_res_adj*s_CF_lettuce),".")</f>
        <v>11960.581511512508</v>
      </c>
      <c r="O15" s="48">
        <f>IFERROR(s_DL/(s_RadSpec!$J15*s_IFLI_res_adj*s_CF_lima_bean),".")</f>
        <v>11960.581511512508</v>
      </c>
      <c r="P15" s="48">
        <f>IFERROR(s_DL/(s_RadSpec!$J15*s_IFOK_res_adj*s_CF_okra),".")</f>
        <v>11960.581511512508</v>
      </c>
      <c r="Q15" s="48">
        <f>IFERROR(s_DL/(s_RadSpec!$J15*s_IFON_res_adj*s_CF_onion),".")</f>
        <v>11960.581511512508</v>
      </c>
      <c r="R15" s="48">
        <f>IFERROR(s_DL/(s_RadSpec!$J15*s_IFPC_res_adj*s_CF_peach),".")</f>
        <v>11960.581511512508</v>
      </c>
      <c r="S15" s="48">
        <f>IFERROR(s_DL/(s_RadSpec!$J15*s_IFPR_res_adj*s_CF_pear),".")</f>
        <v>11960.581511512508</v>
      </c>
      <c r="T15" s="48">
        <f>IFERROR(s_DL/(s_RadSpec!$J15*s_IFPE_res_adj*s_CF_peas),".")</f>
        <v>11960.581511512508</v>
      </c>
      <c r="U15" s="48">
        <f>IFERROR(s_DL/(s_RadSpec!$J15*s_IFPT_res_adj*s_CF_potato),".")</f>
        <v>11960.581511512508</v>
      </c>
      <c r="V15" s="48">
        <f>IFERROR(s_DL/(s_RadSpec!$J15*s_IFPU_res_adj*s_CF_pumpkin),".")</f>
        <v>11960.581511512508</v>
      </c>
      <c r="W15" s="48">
        <f>IFERROR(s_DL/(s_RadSpec!$J15*s_IFSN_res_adj*s_CF_snap_bean),".")</f>
        <v>11960.581511512508</v>
      </c>
      <c r="X15" s="48">
        <f>IFERROR(s_DL/(s_RadSpec!$J15*s_IFST_res_adj*s_CF_strawberry),".")</f>
        <v>11960.581511512508</v>
      </c>
      <c r="Y15" s="48">
        <f>IFERROR(s_DL/(s_RadSpec!$J15*s_IFTO_res_adj*s_CF_tomato),".")</f>
        <v>11960.581511512508</v>
      </c>
      <c r="Z15" s="48">
        <f>IFERROR(s_DL/(s_RadSpec!$J15*s_IFRI_res_adj*s_CF_rice),".")</f>
        <v>11960.581511512508</v>
      </c>
      <c r="AA15" s="48">
        <f>IFERROR(s_DL/(s_RadSpec!$J15*s_IFCG_res_adj*s_CF_cereal),".")</f>
        <v>11960.581511512508</v>
      </c>
      <c r="AB15" s="48">
        <f t="shared" si="25"/>
        <v>3986.8605038375017</v>
      </c>
      <c r="AC15" s="48">
        <f>IFERROR(s_DL/(s_RadSpec!$J15*s_IFAP_far_adj*s_CF_apple),".")</f>
        <v>11960.581511512508</v>
      </c>
      <c r="AD15" s="48">
        <f>IFERROR(s_DL/(s_RadSpec!$J15*s_IFAS_far_adj*s_CF_asparagus),".")</f>
        <v>11960.581511512508</v>
      </c>
      <c r="AE15" s="48">
        <f>IFERROR(s_DL/(s_RadSpec!$J15*s_IFBT_far_adj*s_CF_beet),".")</f>
        <v>11960.581511512508</v>
      </c>
      <c r="AF15" s="48">
        <f>IFERROR(s_DL/(s_RadSpec!$J15*s_IFBE_far_adj*s_CF_berries),".")</f>
        <v>11960.581511512508</v>
      </c>
      <c r="AG15" s="48">
        <f>IFERROR(s_DL/(s_RadSpec!$J15*s_IFBR_far_adj*s_CF_broccoli),".")</f>
        <v>11960.581511512508</v>
      </c>
      <c r="AH15" s="48">
        <f>IFERROR(s_DL/(s_RadSpec!$J15*s_IFCB_far_adj*s_CF_cabbage),".")</f>
        <v>11960.581511512508</v>
      </c>
      <c r="AI15" s="48">
        <f>IFERROR(s_DL/(s_RadSpec!$J15*s_IFCR_far_adj*s_CF_carrot),".")</f>
        <v>11960.581511512508</v>
      </c>
      <c r="AJ15" s="48">
        <f>IFERROR(s_DL/(s_RadSpec!$J15*s_IFCI_far_adj*s_CF_citrus),".")</f>
        <v>11960.581511512508</v>
      </c>
      <c r="AK15" s="48">
        <f>IFERROR(s_DL/(s_RadSpec!$J15*s_IFCO_far_adj*s_CF_corn),".")</f>
        <v>11960.581511512508</v>
      </c>
      <c r="AL15" s="48">
        <f>IFERROR(s_DL/(s_RadSpec!$J15*s_IFCU_far_adj*s_CF_cucumber),".")</f>
        <v>11960.581511512508</v>
      </c>
      <c r="AM15" s="48">
        <f>IFERROR(s_DL/(s_RadSpec!$J15*s_IFLE_far_adj*s_CF_lettuce),".")</f>
        <v>11960.581511512508</v>
      </c>
      <c r="AN15" s="48">
        <f>IFERROR(s_DL/(s_RadSpec!$J15*s_IFLI_far_adj*s_CF_lima_bean),".")</f>
        <v>11960.581511512508</v>
      </c>
      <c r="AO15" s="48">
        <f>IFERROR(s_DL/(s_RadSpec!$J15*s_IFOK_far_adj*s_CF_okra),".")</f>
        <v>11960.581511512508</v>
      </c>
      <c r="AP15" s="48">
        <f>IFERROR(s_DL/(s_RadSpec!$J15*s_IFON_far_adj*s_CF_onion),".")</f>
        <v>11960.581511512508</v>
      </c>
      <c r="AQ15" s="48">
        <f>IFERROR(s_DL/(s_RadSpec!$J15*s_IFPC_far_adj*s_CF_peach),".")</f>
        <v>11960.581511512508</v>
      </c>
      <c r="AR15" s="48">
        <f>IFERROR(s_DL/(s_RadSpec!$J15*s_IFPR_far_adj*s_CF_pear),".")</f>
        <v>11960.581511512508</v>
      </c>
      <c r="AS15" s="48">
        <f>IFERROR(s_DL/(s_RadSpec!$J15*s_IFPE_far_adj*s_CF_peas),".")</f>
        <v>11960.581511512508</v>
      </c>
      <c r="AT15" s="48">
        <f>IFERROR(s_DL/(s_RadSpec!$J15*s_IFPT_far_adj*s_CF_potato),".")</f>
        <v>11960.581511512508</v>
      </c>
      <c r="AU15" s="48">
        <f>IFERROR(s_DL/(s_RadSpec!$J15*s_IFPU_far_adj*s_CF_pumpkin),".")</f>
        <v>11960.581511512508</v>
      </c>
      <c r="AV15" s="48">
        <f>IFERROR(s_DL/(s_RadSpec!$J15*s_IFSN_far_adj*s_CF_snap_bean),".")</f>
        <v>11960.581511512508</v>
      </c>
      <c r="AW15" s="48">
        <f>IFERROR(s_DL/(s_RadSpec!$J15*s_IFST_far_adj*s_CF_strawberry),".")</f>
        <v>11960.581511512508</v>
      </c>
      <c r="AX15" s="48">
        <f>IFERROR(s_DL/(s_RadSpec!$J15*s_IFTO_far_adj*s_CF_tomato),".")</f>
        <v>11960.581511512508</v>
      </c>
      <c r="AY15" s="48">
        <f>IFERROR(s_DL/(s_RadSpec!$J15*s_IFRI_far_adj*s_CF_rice),".")</f>
        <v>11960.581511512508</v>
      </c>
      <c r="AZ15" s="48">
        <f>IFERROR(s_DL/(s_RadSpec!$J15*s_IFCG_far_adj*s_CF_cereal),".")</f>
        <v>11960.581511512508</v>
      </c>
      <c r="BA15" s="62">
        <f t="shared" si="26"/>
        <v>22687.5</v>
      </c>
      <c r="BB15" s="62">
        <f t="shared" si="0"/>
        <v>7562.5</v>
      </c>
      <c r="BC15" s="62">
        <f t="shared" si="1"/>
        <v>7562.5</v>
      </c>
      <c r="BD15" s="62">
        <f t="shared" si="2"/>
        <v>7562.5</v>
      </c>
      <c r="BE15" s="62">
        <f t="shared" si="3"/>
        <v>7562.5</v>
      </c>
      <c r="BF15" s="62">
        <f t="shared" si="4"/>
        <v>7562.5</v>
      </c>
      <c r="BG15" s="62">
        <f t="shared" si="5"/>
        <v>7562.5</v>
      </c>
      <c r="BH15" s="62">
        <f t="shared" si="6"/>
        <v>7562.5</v>
      </c>
      <c r="BI15" s="62">
        <f t="shared" si="7"/>
        <v>7562.5</v>
      </c>
      <c r="BJ15" s="62">
        <f t="shared" si="8"/>
        <v>7562.5</v>
      </c>
      <c r="BK15" s="62">
        <f t="shared" si="9"/>
        <v>7562.5</v>
      </c>
      <c r="BL15" s="62">
        <f t="shared" si="10"/>
        <v>7562.5</v>
      </c>
      <c r="BM15" s="62">
        <f t="shared" si="11"/>
        <v>7562.5</v>
      </c>
      <c r="BN15" s="62">
        <f t="shared" si="12"/>
        <v>7562.5</v>
      </c>
      <c r="BO15" s="62">
        <f t="shared" si="13"/>
        <v>7562.5</v>
      </c>
      <c r="BP15" s="62">
        <f t="shared" si="14"/>
        <v>7562.5</v>
      </c>
      <c r="BQ15" s="62">
        <f t="shared" si="15"/>
        <v>7562.5</v>
      </c>
      <c r="BR15" s="62">
        <f t="shared" si="16"/>
        <v>7562.5</v>
      </c>
      <c r="BS15" s="62">
        <f t="shared" si="17"/>
        <v>7562.5</v>
      </c>
      <c r="BT15" s="62">
        <f t="shared" si="18"/>
        <v>7562.5</v>
      </c>
      <c r="BU15" s="62">
        <f t="shared" si="19"/>
        <v>7562.5</v>
      </c>
      <c r="BV15" s="62">
        <f t="shared" si="20"/>
        <v>7562.5</v>
      </c>
      <c r="BW15" s="62">
        <f t="shared" si="21"/>
        <v>7562.5</v>
      </c>
      <c r="BX15" s="62">
        <f t="shared" si="22"/>
        <v>7562.5</v>
      </c>
      <c r="BY15" s="62">
        <f t="shared" si="23"/>
        <v>7562.5</v>
      </c>
    </row>
    <row r="16" spans="1:77" x14ac:dyDescent="0.25">
      <c r="A16" s="61" t="s">
        <v>14</v>
      </c>
      <c r="B16" s="49" t="s">
        <v>1059</v>
      </c>
      <c r="C16" s="48">
        <f t="shared" si="24"/>
        <v>0.29197890160457007</v>
      </c>
      <c r="D16" s="48">
        <f>IFERROR(s_DL/(s_RadSpec!$J16*s_IFAP_res_adj*s_CF_apple),".")</f>
        <v>0.87593670481371022</v>
      </c>
      <c r="E16" s="48">
        <f>IFERROR(s_DL/(s_RadSpec!$J16*s_IFAS_res_adj*s_CF_asparagus),".")</f>
        <v>0.87593670481371022</v>
      </c>
      <c r="F16" s="48">
        <f>IFERROR(s_DL/(s_RadSpec!$J16*s_IFBT_res_adj*s_CF_beet),".")</f>
        <v>0.87593670481371022</v>
      </c>
      <c r="G16" s="48">
        <f>IFERROR(s_DL/(s_RadSpec!$J16*s_IFBE_res_adj*s_CF_berries),".")</f>
        <v>0.87593670481371022</v>
      </c>
      <c r="H16" s="48">
        <f>IFERROR(s_DL/(s_RadSpec!$J16*s_IFBR_res_adj*s_CF_broccoli),".")</f>
        <v>0.87593670481371022</v>
      </c>
      <c r="I16" s="48">
        <f>IFERROR(s_DL/(s_RadSpec!$J16*s_IFCB_res_adj*s_CF_cabbage),".")</f>
        <v>0.87593670481371022</v>
      </c>
      <c r="J16" s="48">
        <f>IFERROR(s_DL/(s_RadSpec!$J16*s_IFCR_res_adj*s_CF_carrot),".")</f>
        <v>0.87593670481371022</v>
      </c>
      <c r="K16" s="48">
        <f>IFERROR(s_DL/(s_RadSpec!$J16*s_IFCI_res_adj*s_CF_citrus),".")</f>
        <v>0.87593670481371022</v>
      </c>
      <c r="L16" s="48">
        <f>IFERROR(s_DL/(s_RadSpec!$J16*s_IFCO_res_adj*s_CF_corn),".")</f>
        <v>0.87593670481371022</v>
      </c>
      <c r="M16" s="48">
        <f>IFERROR(s_DL/(s_RadSpec!$J16*s_IFCU_res_adj*s_CF_cucumber),".")</f>
        <v>0.87593670481371022</v>
      </c>
      <c r="N16" s="48">
        <f>IFERROR(s_DL/(s_RadSpec!$J16*s_IFLE_res_adj*s_CF_lettuce),".")</f>
        <v>0.87593670481371022</v>
      </c>
      <c r="O16" s="48">
        <f>IFERROR(s_DL/(s_RadSpec!$J16*s_IFLI_res_adj*s_CF_lima_bean),".")</f>
        <v>0.87593670481371022</v>
      </c>
      <c r="P16" s="48">
        <f>IFERROR(s_DL/(s_RadSpec!$J16*s_IFOK_res_adj*s_CF_okra),".")</f>
        <v>0.87593670481371022</v>
      </c>
      <c r="Q16" s="48">
        <f>IFERROR(s_DL/(s_RadSpec!$J16*s_IFON_res_adj*s_CF_onion),".")</f>
        <v>0.87593670481371022</v>
      </c>
      <c r="R16" s="48">
        <f>IFERROR(s_DL/(s_RadSpec!$J16*s_IFPC_res_adj*s_CF_peach),".")</f>
        <v>0.87593670481371022</v>
      </c>
      <c r="S16" s="48">
        <f>IFERROR(s_DL/(s_RadSpec!$J16*s_IFPR_res_adj*s_CF_pear),".")</f>
        <v>0.87593670481371022</v>
      </c>
      <c r="T16" s="48">
        <f>IFERROR(s_DL/(s_RadSpec!$J16*s_IFPE_res_adj*s_CF_peas),".")</f>
        <v>0.87593670481371022</v>
      </c>
      <c r="U16" s="48">
        <f>IFERROR(s_DL/(s_RadSpec!$J16*s_IFPT_res_adj*s_CF_potato),".")</f>
        <v>0.87593670481371022</v>
      </c>
      <c r="V16" s="48">
        <f>IFERROR(s_DL/(s_RadSpec!$J16*s_IFPU_res_adj*s_CF_pumpkin),".")</f>
        <v>0.87593670481371022</v>
      </c>
      <c r="W16" s="48">
        <f>IFERROR(s_DL/(s_RadSpec!$J16*s_IFSN_res_adj*s_CF_snap_bean),".")</f>
        <v>0.87593670481371022</v>
      </c>
      <c r="X16" s="48">
        <f>IFERROR(s_DL/(s_RadSpec!$J16*s_IFST_res_adj*s_CF_strawberry),".")</f>
        <v>0.87593670481371022</v>
      </c>
      <c r="Y16" s="48">
        <f>IFERROR(s_DL/(s_RadSpec!$J16*s_IFTO_res_adj*s_CF_tomato),".")</f>
        <v>0.87593670481371022</v>
      </c>
      <c r="Z16" s="48">
        <f>IFERROR(s_DL/(s_RadSpec!$J16*s_IFRI_res_adj*s_CF_rice),".")</f>
        <v>0.87593670481371022</v>
      </c>
      <c r="AA16" s="48">
        <f>IFERROR(s_DL/(s_RadSpec!$J16*s_IFCG_res_adj*s_CF_cereal),".")</f>
        <v>0.87593670481371022</v>
      </c>
      <c r="AB16" s="48">
        <f t="shared" si="25"/>
        <v>0.29197890160457007</v>
      </c>
      <c r="AC16" s="48">
        <f>IFERROR(s_DL/(s_RadSpec!$J16*s_IFAP_far_adj*s_CF_apple),".")</f>
        <v>0.87593670481371022</v>
      </c>
      <c r="AD16" s="48">
        <f>IFERROR(s_DL/(s_RadSpec!$J16*s_IFAS_far_adj*s_CF_asparagus),".")</f>
        <v>0.87593670481371022</v>
      </c>
      <c r="AE16" s="48">
        <f>IFERROR(s_DL/(s_RadSpec!$J16*s_IFBT_far_adj*s_CF_beet),".")</f>
        <v>0.87593670481371022</v>
      </c>
      <c r="AF16" s="48">
        <f>IFERROR(s_DL/(s_RadSpec!$J16*s_IFBE_far_adj*s_CF_berries),".")</f>
        <v>0.87593670481371022</v>
      </c>
      <c r="AG16" s="48">
        <f>IFERROR(s_DL/(s_RadSpec!$J16*s_IFBR_far_adj*s_CF_broccoli),".")</f>
        <v>0.87593670481371022</v>
      </c>
      <c r="AH16" s="48">
        <f>IFERROR(s_DL/(s_RadSpec!$J16*s_IFCB_far_adj*s_CF_cabbage),".")</f>
        <v>0.87593670481371022</v>
      </c>
      <c r="AI16" s="48">
        <f>IFERROR(s_DL/(s_RadSpec!$J16*s_IFCR_far_adj*s_CF_carrot),".")</f>
        <v>0.87593670481371022</v>
      </c>
      <c r="AJ16" s="48">
        <f>IFERROR(s_DL/(s_RadSpec!$J16*s_IFCI_far_adj*s_CF_citrus),".")</f>
        <v>0.87593670481371022</v>
      </c>
      <c r="AK16" s="48">
        <f>IFERROR(s_DL/(s_RadSpec!$J16*s_IFCO_far_adj*s_CF_corn),".")</f>
        <v>0.87593670481371022</v>
      </c>
      <c r="AL16" s="48">
        <f>IFERROR(s_DL/(s_RadSpec!$J16*s_IFCU_far_adj*s_CF_cucumber),".")</f>
        <v>0.87593670481371022</v>
      </c>
      <c r="AM16" s="48">
        <f>IFERROR(s_DL/(s_RadSpec!$J16*s_IFLE_far_adj*s_CF_lettuce),".")</f>
        <v>0.87593670481371022</v>
      </c>
      <c r="AN16" s="48">
        <f>IFERROR(s_DL/(s_RadSpec!$J16*s_IFLI_far_adj*s_CF_lima_bean),".")</f>
        <v>0.87593670481371022</v>
      </c>
      <c r="AO16" s="48">
        <f>IFERROR(s_DL/(s_RadSpec!$J16*s_IFOK_far_adj*s_CF_okra),".")</f>
        <v>0.87593670481371022</v>
      </c>
      <c r="AP16" s="48">
        <f>IFERROR(s_DL/(s_RadSpec!$J16*s_IFON_far_adj*s_CF_onion),".")</f>
        <v>0.87593670481371022</v>
      </c>
      <c r="AQ16" s="48">
        <f>IFERROR(s_DL/(s_RadSpec!$J16*s_IFPC_far_adj*s_CF_peach),".")</f>
        <v>0.87593670481371022</v>
      </c>
      <c r="AR16" s="48">
        <f>IFERROR(s_DL/(s_RadSpec!$J16*s_IFPR_far_adj*s_CF_pear),".")</f>
        <v>0.87593670481371022</v>
      </c>
      <c r="AS16" s="48">
        <f>IFERROR(s_DL/(s_RadSpec!$J16*s_IFPE_far_adj*s_CF_peas),".")</f>
        <v>0.87593670481371022</v>
      </c>
      <c r="AT16" s="48">
        <f>IFERROR(s_DL/(s_RadSpec!$J16*s_IFPT_far_adj*s_CF_potato),".")</f>
        <v>0.87593670481371022</v>
      </c>
      <c r="AU16" s="48">
        <f>IFERROR(s_DL/(s_RadSpec!$J16*s_IFPU_far_adj*s_CF_pumpkin),".")</f>
        <v>0.87593670481371022</v>
      </c>
      <c r="AV16" s="48">
        <f>IFERROR(s_DL/(s_RadSpec!$J16*s_IFSN_far_adj*s_CF_snap_bean),".")</f>
        <v>0.87593670481371022</v>
      </c>
      <c r="AW16" s="48">
        <f>IFERROR(s_DL/(s_RadSpec!$J16*s_IFST_far_adj*s_CF_strawberry),".")</f>
        <v>0.87593670481371022</v>
      </c>
      <c r="AX16" s="48">
        <f>IFERROR(s_DL/(s_RadSpec!$J16*s_IFTO_far_adj*s_CF_tomato),".")</f>
        <v>0.87593670481371022</v>
      </c>
      <c r="AY16" s="48">
        <f>IFERROR(s_DL/(s_RadSpec!$J16*s_IFRI_far_adj*s_CF_rice),".")</f>
        <v>0.87593670481371022</v>
      </c>
      <c r="AZ16" s="48">
        <f>IFERROR(s_DL/(s_RadSpec!$J16*s_IFCG_far_adj*s_CF_cereal),".")</f>
        <v>0.87593670481371022</v>
      </c>
      <c r="BA16" s="62">
        <f t="shared" si="26"/>
        <v>22687.5</v>
      </c>
      <c r="BB16" s="62">
        <f t="shared" si="0"/>
        <v>7562.5</v>
      </c>
      <c r="BC16" s="62">
        <f t="shared" si="1"/>
        <v>7562.5</v>
      </c>
      <c r="BD16" s="62">
        <f t="shared" si="2"/>
        <v>7562.5</v>
      </c>
      <c r="BE16" s="62">
        <f t="shared" si="3"/>
        <v>7562.5</v>
      </c>
      <c r="BF16" s="62">
        <f t="shared" si="4"/>
        <v>7562.5</v>
      </c>
      <c r="BG16" s="62">
        <f t="shared" si="5"/>
        <v>7562.5</v>
      </c>
      <c r="BH16" s="62">
        <f t="shared" si="6"/>
        <v>7562.5</v>
      </c>
      <c r="BI16" s="62">
        <f t="shared" si="7"/>
        <v>7562.5</v>
      </c>
      <c r="BJ16" s="62">
        <f t="shared" si="8"/>
        <v>7562.5</v>
      </c>
      <c r="BK16" s="62">
        <f t="shared" si="9"/>
        <v>7562.5</v>
      </c>
      <c r="BL16" s="62">
        <f t="shared" si="10"/>
        <v>7562.5</v>
      </c>
      <c r="BM16" s="62">
        <f t="shared" si="11"/>
        <v>7562.5</v>
      </c>
      <c r="BN16" s="62">
        <f t="shared" si="12"/>
        <v>7562.5</v>
      </c>
      <c r="BO16" s="62">
        <f t="shared" si="13"/>
        <v>7562.5</v>
      </c>
      <c r="BP16" s="62">
        <f t="shared" si="14"/>
        <v>7562.5</v>
      </c>
      <c r="BQ16" s="62">
        <f t="shared" si="15"/>
        <v>7562.5</v>
      </c>
      <c r="BR16" s="62">
        <f t="shared" si="16"/>
        <v>7562.5</v>
      </c>
      <c r="BS16" s="62">
        <f t="shared" si="17"/>
        <v>7562.5</v>
      </c>
      <c r="BT16" s="62">
        <f t="shared" si="18"/>
        <v>7562.5</v>
      </c>
      <c r="BU16" s="62">
        <f t="shared" si="19"/>
        <v>7562.5</v>
      </c>
      <c r="BV16" s="62">
        <f t="shared" si="20"/>
        <v>7562.5</v>
      </c>
      <c r="BW16" s="62">
        <f t="shared" si="21"/>
        <v>7562.5</v>
      </c>
      <c r="BX16" s="62">
        <f t="shared" si="22"/>
        <v>7562.5</v>
      </c>
      <c r="BY16" s="62">
        <f t="shared" si="23"/>
        <v>7562.5</v>
      </c>
    </row>
    <row r="17" spans="1:77" x14ac:dyDescent="0.25">
      <c r="A17" s="61" t="s">
        <v>15</v>
      </c>
      <c r="B17" s="49" t="s">
        <v>1059</v>
      </c>
      <c r="C17" s="48">
        <f t="shared" si="24"/>
        <v>1496.5752745560876</v>
      </c>
      <c r="D17" s="48">
        <f>IFERROR(s_DL/(s_RadSpec!$J17*s_IFAP_res_adj*s_CF_apple),".")</f>
        <v>4489.7258236682628</v>
      </c>
      <c r="E17" s="48">
        <f>IFERROR(s_DL/(s_RadSpec!$J17*s_IFAS_res_adj*s_CF_asparagus),".")</f>
        <v>4489.7258236682628</v>
      </c>
      <c r="F17" s="48">
        <f>IFERROR(s_DL/(s_RadSpec!$J17*s_IFBT_res_adj*s_CF_beet),".")</f>
        <v>4489.7258236682628</v>
      </c>
      <c r="G17" s="48">
        <f>IFERROR(s_DL/(s_RadSpec!$J17*s_IFBE_res_adj*s_CF_berries),".")</f>
        <v>4489.7258236682628</v>
      </c>
      <c r="H17" s="48">
        <f>IFERROR(s_DL/(s_RadSpec!$J17*s_IFBR_res_adj*s_CF_broccoli),".")</f>
        <v>4489.7258236682628</v>
      </c>
      <c r="I17" s="48">
        <f>IFERROR(s_DL/(s_RadSpec!$J17*s_IFCB_res_adj*s_CF_cabbage),".")</f>
        <v>4489.7258236682628</v>
      </c>
      <c r="J17" s="48">
        <f>IFERROR(s_DL/(s_RadSpec!$J17*s_IFCR_res_adj*s_CF_carrot),".")</f>
        <v>4489.7258236682628</v>
      </c>
      <c r="K17" s="48">
        <f>IFERROR(s_DL/(s_RadSpec!$J17*s_IFCI_res_adj*s_CF_citrus),".")</f>
        <v>4489.7258236682628</v>
      </c>
      <c r="L17" s="48">
        <f>IFERROR(s_DL/(s_RadSpec!$J17*s_IFCO_res_adj*s_CF_corn),".")</f>
        <v>4489.7258236682628</v>
      </c>
      <c r="M17" s="48">
        <f>IFERROR(s_DL/(s_RadSpec!$J17*s_IFCU_res_adj*s_CF_cucumber),".")</f>
        <v>4489.7258236682628</v>
      </c>
      <c r="N17" s="48">
        <f>IFERROR(s_DL/(s_RadSpec!$J17*s_IFLE_res_adj*s_CF_lettuce),".")</f>
        <v>4489.7258236682628</v>
      </c>
      <c r="O17" s="48">
        <f>IFERROR(s_DL/(s_RadSpec!$J17*s_IFLI_res_adj*s_CF_lima_bean),".")</f>
        <v>4489.7258236682628</v>
      </c>
      <c r="P17" s="48">
        <f>IFERROR(s_DL/(s_RadSpec!$J17*s_IFOK_res_adj*s_CF_okra),".")</f>
        <v>4489.7258236682628</v>
      </c>
      <c r="Q17" s="48">
        <f>IFERROR(s_DL/(s_RadSpec!$J17*s_IFON_res_adj*s_CF_onion),".")</f>
        <v>4489.7258236682628</v>
      </c>
      <c r="R17" s="48">
        <f>IFERROR(s_DL/(s_RadSpec!$J17*s_IFPC_res_adj*s_CF_peach),".")</f>
        <v>4489.7258236682628</v>
      </c>
      <c r="S17" s="48">
        <f>IFERROR(s_DL/(s_RadSpec!$J17*s_IFPR_res_adj*s_CF_pear),".")</f>
        <v>4489.7258236682628</v>
      </c>
      <c r="T17" s="48">
        <f>IFERROR(s_DL/(s_RadSpec!$J17*s_IFPE_res_adj*s_CF_peas),".")</f>
        <v>4489.7258236682628</v>
      </c>
      <c r="U17" s="48">
        <f>IFERROR(s_DL/(s_RadSpec!$J17*s_IFPT_res_adj*s_CF_potato),".")</f>
        <v>4489.7258236682628</v>
      </c>
      <c r="V17" s="48">
        <f>IFERROR(s_DL/(s_RadSpec!$J17*s_IFPU_res_adj*s_CF_pumpkin),".")</f>
        <v>4489.7258236682628</v>
      </c>
      <c r="W17" s="48">
        <f>IFERROR(s_DL/(s_RadSpec!$J17*s_IFSN_res_adj*s_CF_snap_bean),".")</f>
        <v>4489.7258236682628</v>
      </c>
      <c r="X17" s="48">
        <f>IFERROR(s_DL/(s_RadSpec!$J17*s_IFST_res_adj*s_CF_strawberry),".")</f>
        <v>4489.7258236682628</v>
      </c>
      <c r="Y17" s="48">
        <f>IFERROR(s_DL/(s_RadSpec!$J17*s_IFTO_res_adj*s_CF_tomato),".")</f>
        <v>4489.7258236682628</v>
      </c>
      <c r="Z17" s="48">
        <f>IFERROR(s_DL/(s_RadSpec!$J17*s_IFRI_res_adj*s_CF_rice),".")</f>
        <v>4489.7258236682628</v>
      </c>
      <c r="AA17" s="48">
        <f>IFERROR(s_DL/(s_RadSpec!$J17*s_IFCG_res_adj*s_CF_cereal),".")</f>
        <v>4489.7258236682628</v>
      </c>
      <c r="AB17" s="48">
        <f t="shared" si="25"/>
        <v>1496.5752745560876</v>
      </c>
      <c r="AC17" s="48">
        <f>IFERROR(s_DL/(s_RadSpec!$J17*s_IFAP_far_adj*s_CF_apple),".")</f>
        <v>4489.7258236682628</v>
      </c>
      <c r="AD17" s="48">
        <f>IFERROR(s_DL/(s_RadSpec!$J17*s_IFAS_far_adj*s_CF_asparagus),".")</f>
        <v>4489.7258236682628</v>
      </c>
      <c r="AE17" s="48">
        <f>IFERROR(s_DL/(s_RadSpec!$J17*s_IFBT_far_adj*s_CF_beet),".")</f>
        <v>4489.7258236682628</v>
      </c>
      <c r="AF17" s="48">
        <f>IFERROR(s_DL/(s_RadSpec!$J17*s_IFBE_far_adj*s_CF_berries),".")</f>
        <v>4489.7258236682628</v>
      </c>
      <c r="AG17" s="48">
        <f>IFERROR(s_DL/(s_RadSpec!$J17*s_IFBR_far_adj*s_CF_broccoli),".")</f>
        <v>4489.7258236682628</v>
      </c>
      <c r="AH17" s="48">
        <f>IFERROR(s_DL/(s_RadSpec!$J17*s_IFCB_far_adj*s_CF_cabbage),".")</f>
        <v>4489.7258236682628</v>
      </c>
      <c r="AI17" s="48">
        <f>IFERROR(s_DL/(s_RadSpec!$J17*s_IFCR_far_adj*s_CF_carrot),".")</f>
        <v>4489.7258236682628</v>
      </c>
      <c r="AJ17" s="48">
        <f>IFERROR(s_DL/(s_RadSpec!$J17*s_IFCI_far_adj*s_CF_citrus),".")</f>
        <v>4489.7258236682628</v>
      </c>
      <c r="AK17" s="48">
        <f>IFERROR(s_DL/(s_RadSpec!$J17*s_IFCO_far_adj*s_CF_corn),".")</f>
        <v>4489.7258236682628</v>
      </c>
      <c r="AL17" s="48">
        <f>IFERROR(s_DL/(s_RadSpec!$J17*s_IFCU_far_adj*s_CF_cucumber),".")</f>
        <v>4489.7258236682628</v>
      </c>
      <c r="AM17" s="48">
        <f>IFERROR(s_DL/(s_RadSpec!$J17*s_IFLE_far_adj*s_CF_lettuce),".")</f>
        <v>4489.7258236682628</v>
      </c>
      <c r="AN17" s="48">
        <f>IFERROR(s_DL/(s_RadSpec!$J17*s_IFLI_far_adj*s_CF_lima_bean),".")</f>
        <v>4489.7258236682628</v>
      </c>
      <c r="AO17" s="48">
        <f>IFERROR(s_DL/(s_RadSpec!$J17*s_IFOK_far_adj*s_CF_okra),".")</f>
        <v>4489.7258236682628</v>
      </c>
      <c r="AP17" s="48">
        <f>IFERROR(s_DL/(s_RadSpec!$J17*s_IFON_far_adj*s_CF_onion),".")</f>
        <v>4489.7258236682628</v>
      </c>
      <c r="AQ17" s="48">
        <f>IFERROR(s_DL/(s_RadSpec!$J17*s_IFPC_far_adj*s_CF_peach),".")</f>
        <v>4489.7258236682628</v>
      </c>
      <c r="AR17" s="48">
        <f>IFERROR(s_DL/(s_RadSpec!$J17*s_IFPR_far_adj*s_CF_pear),".")</f>
        <v>4489.7258236682628</v>
      </c>
      <c r="AS17" s="48">
        <f>IFERROR(s_DL/(s_RadSpec!$J17*s_IFPE_far_adj*s_CF_peas),".")</f>
        <v>4489.7258236682628</v>
      </c>
      <c r="AT17" s="48">
        <f>IFERROR(s_DL/(s_RadSpec!$J17*s_IFPT_far_adj*s_CF_potato),".")</f>
        <v>4489.7258236682628</v>
      </c>
      <c r="AU17" s="48">
        <f>IFERROR(s_DL/(s_RadSpec!$J17*s_IFPU_far_adj*s_CF_pumpkin),".")</f>
        <v>4489.7258236682628</v>
      </c>
      <c r="AV17" s="48">
        <f>IFERROR(s_DL/(s_RadSpec!$J17*s_IFSN_far_adj*s_CF_snap_bean),".")</f>
        <v>4489.7258236682628</v>
      </c>
      <c r="AW17" s="48">
        <f>IFERROR(s_DL/(s_RadSpec!$J17*s_IFST_far_adj*s_CF_strawberry),".")</f>
        <v>4489.7258236682628</v>
      </c>
      <c r="AX17" s="48">
        <f>IFERROR(s_DL/(s_RadSpec!$J17*s_IFTO_far_adj*s_CF_tomato),".")</f>
        <v>4489.7258236682628</v>
      </c>
      <c r="AY17" s="48">
        <f>IFERROR(s_DL/(s_RadSpec!$J17*s_IFRI_far_adj*s_CF_rice),".")</f>
        <v>4489.7258236682628</v>
      </c>
      <c r="AZ17" s="48">
        <f>IFERROR(s_DL/(s_RadSpec!$J17*s_IFCG_far_adj*s_CF_cereal),".")</f>
        <v>4489.7258236682628</v>
      </c>
      <c r="BA17" s="62">
        <f t="shared" si="26"/>
        <v>22687.5</v>
      </c>
      <c r="BB17" s="62">
        <f t="shared" si="0"/>
        <v>7562.5</v>
      </c>
      <c r="BC17" s="62">
        <f t="shared" si="1"/>
        <v>7562.5</v>
      </c>
      <c r="BD17" s="62">
        <f t="shared" si="2"/>
        <v>7562.5</v>
      </c>
      <c r="BE17" s="62">
        <f t="shared" si="3"/>
        <v>7562.5</v>
      </c>
      <c r="BF17" s="62">
        <f t="shared" si="4"/>
        <v>7562.5</v>
      </c>
      <c r="BG17" s="62">
        <f t="shared" si="5"/>
        <v>7562.5</v>
      </c>
      <c r="BH17" s="62">
        <f t="shared" si="6"/>
        <v>7562.5</v>
      </c>
      <c r="BI17" s="62">
        <f t="shared" si="7"/>
        <v>7562.5</v>
      </c>
      <c r="BJ17" s="62">
        <f t="shared" si="8"/>
        <v>7562.5</v>
      </c>
      <c r="BK17" s="62">
        <f t="shared" si="9"/>
        <v>7562.5</v>
      </c>
      <c r="BL17" s="62">
        <f t="shared" si="10"/>
        <v>7562.5</v>
      </c>
      <c r="BM17" s="62">
        <f t="shared" si="11"/>
        <v>7562.5</v>
      </c>
      <c r="BN17" s="62">
        <f t="shared" si="12"/>
        <v>7562.5</v>
      </c>
      <c r="BO17" s="62">
        <f t="shared" si="13"/>
        <v>7562.5</v>
      </c>
      <c r="BP17" s="62">
        <f t="shared" si="14"/>
        <v>7562.5</v>
      </c>
      <c r="BQ17" s="62">
        <f t="shared" si="15"/>
        <v>7562.5</v>
      </c>
      <c r="BR17" s="62">
        <f t="shared" si="16"/>
        <v>7562.5</v>
      </c>
      <c r="BS17" s="62">
        <f t="shared" si="17"/>
        <v>7562.5</v>
      </c>
      <c r="BT17" s="62">
        <f t="shared" si="18"/>
        <v>7562.5</v>
      </c>
      <c r="BU17" s="62">
        <f t="shared" si="19"/>
        <v>7562.5</v>
      </c>
      <c r="BV17" s="62">
        <f t="shared" si="20"/>
        <v>7562.5</v>
      </c>
      <c r="BW17" s="62">
        <f t="shared" si="21"/>
        <v>7562.5</v>
      </c>
      <c r="BX17" s="62">
        <f t="shared" si="22"/>
        <v>7562.5</v>
      </c>
      <c r="BY17" s="62">
        <f t="shared" si="23"/>
        <v>7562.5</v>
      </c>
    </row>
    <row r="18" spans="1:77" x14ac:dyDescent="0.25">
      <c r="A18" s="61" t="s">
        <v>16</v>
      </c>
      <c r="B18" s="49" t="s">
        <v>1059</v>
      </c>
      <c r="C18" s="48">
        <f t="shared" si="24"/>
        <v>0.17018198836380657</v>
      </c>
      <c r="D18" s="48">
        <f>IFERROR(s_DL/(s_RadSpec!$J18*s_IFAP_res_adj*s_CF_apple),".")</f>
        <v>0.5105459650914197</v>
      </c>
      <c r="E18" s="48">
        <f>IFERROR(s_DL/(s_RadSpec!$J18*s_IFAS_res_adj*s_CF_asparagus),".")</f>
        <v>0.5105459650914197</v>
      </c>
      <c r="F18" s="48">
        <f>IFERROR(s_DL/(s_RadSpec!$J18*s_IFBT_res_adj*s_CF_beet),".")</f>
        <v>0.5105459650914197</v>
      </c>
      <c r="G18" s="48">
        <f>IFERROR(s_DL/(s_RadSpec!$J18*s_IFBE_res_adj*s_CF_berries),".")</f>
        <v>0.5105459650914197</v>
      </c>
      <c r="H18" s="48">
        <f>IFERROR(s_DL/(s_RadSpec!$J18*s_IFBR_res_adj*s_CF_broccoli),".")</f>
        <v>0.5105459650914197</v>
      </c>
      <c r="I18" s="48">
        <f>IFERROR(s_DL/(s_RadSpec!$J18*s_IFCB_res_adj*s_CF_cabbage),".")</f>
        <v>0.5105459650914197</v>
      </c>
      <c r="J18" s="48">
        <f>IFERROR(s_DL/(s_RadSpec!$J18*s_IFCR_res_adj*s_CF_carrot),".")</f>
        <v>0.5105459650914197</v>
      </c>
      <c r="K18" s="48">
        <f>IFERROR(s_DL/(s_RadSpec!$J18*s_IFCI_res_adj*s_CF_citrus),".")</f>
        <v>0.5105459650914197</v>
      </c>
      <c r="L18" s="48">
        <f>IFERROR(s_DL/(s_RadSpec!$J18*s_IFCO_res_adj*s_CF_corn),".")</f>
        <v>0.5105459650914197</v>
      </c>
      <c r="M18" s="48">
        <f>IFERROR(s_DL/(s_RadSpec!$J18*s_IFCU_res_adj*s_CF_cucumber),".")</f>
        <v>0.5105459650914197</v>
      </c>
      <c r="N18" s="48">
        <f>IFERROR(s_DL/(s_RadSpec!$J18*s_IFLE_res_adj*s_CF_lettuce),".")</f>
        <v>0.5105459650914197</v>
      </c>
      <c r="O18" s="48">
        <f>IFERROR(s_DL/(s_RadSpec!$J18*s_IFLI_res_adj*s_CF_lima_bean),".")</f>
        <v>0.5105459650914197</v>
      </c>
      <c r="P18" s="48">
        <f>IFERROR(s_DL/(s_RadSpec!$J18*s_IFOK_res_adj*s_CF_okra),".")</f>
        <v>0.5105459650914197</v>
      </c>
      <c r="Q18" s="48">
        <f>IFERROR(s_DL/(s_RadSpec!$J18*s_IFON_res_adj*s_CF_onion),".")</f>
        <v>0.5105459650914197</v>
      </c>
      <c r="R18" s="48">
        <f>IFERROR(s_DL/(s_RadSpec!$J18*s_IFPC_res_adj*s_CF_peach),".")</f>
        <v>0.5105459650914197</v>
      </c>
      <c r="S18" s="48">
        <f>IFERROR(s_DL/(s_RadSpec!$J18*s_IFPR_res_adj*s_CF_pear),".")</f>
        <v>0.5105459650914197</v>
      </c>
      <c r="T18" s="48">
        <f>IFERROR(s_DL/(s_RadSpec!$J18*s_IFPE_res_adj*s_CF_peas),".")</f>
        <v>0.5105459650914197</v>
      </c>
      <c r="U18" s="48">
        <f>IFERROR(s_DL/(s_RadSpec!$J18*s_IFPT_res_adj*s_CF_potato),".")</f>
        <v>0.5105459650914197</v>
      </c>
      <c r="V18" s="48">
        <f>IFERROR(s_DL/(s_RadSpec!$J18*s_IFPU_res_adj*s_CF_pumpkin),".")</f>
        <v>0.5105459650914197</v>
      </c>
      <c r="W18" s="48">
        <f>IFERROR(s_DL/(s_RadSpec!$J18*s_IFSN_res_adj*s_CF_snap_bean),".")</f>
        <v>0.5105459650914197</v>
      </c>
      <c r="X18" s="48">
        <f>IFERROR(s_DL/(s_RadSpec!$J18*s_IFST_res_adj*s_CF_strawberry),".")</f>
        <v>0.5105459650914197</v>
      </c>
      <c r="Y18" s="48">
        <f>IFERROR(s_DL/(s_RadSpec!$J18*s_IFTO_res_adj*s_CF_tomato),".")</f>
        <v>0.5105459650914197</v>
      </c>
      <c r="Z18" s="48">
        <f>IFERROR(s_DL/(s_RadSpec!$J18*s_IFRI_res_adj*s_CF_rice),".")</f>
        <v>0.5105459650914197</v>
      </c>
      <c r="AA18" s="48">
        <f>IFERROR(s_DL/(s_RadSpec!$J18*s_IFCG_res_adj*s_CF_cereal),".")</f>
        <v>0.5105459650914197</v>
      </c>
      <c r="AB18" s="48">
        <f t="shared" si="25"/>
        <v>0.17018198836380657</v>
      </c>
      <c r="AC18" s="48">
        <f>IFERROR(s_DL/(s_RadSpec!$J18*s_IFAP_far_adj*s_CF_apple),".")</f>
        <v>0.5105459650914197</v>
      </c>
      <c r="AD18" s="48">
        <f>IFERROR(s_DL/(s_RadSpec!$J18*s_IFAS_far_adj*s_CF_asparagus),".")</f>
        <v>0.5105459650914197</v>
      </c>
      <c r="AE18" s="48">
        <f>IFERROR(s_DL/(s_RadSpec!$J18*s_IFBT_far_adj*s_CF_beet),".")</f>
        <v>0.5105459650914197</v>
      </c>
      <c r="AF18" s="48">
        <f>IFERROR(s_DL/(s_RadSpec!$J18*s_IFBE_far_adj*s_CF_berries),".")</f>
        <v>0.5105459650914197</v>
      </c>
      <c r="AG18" s="48">
        <f>IFERROR(s_DL/(s_RadSpec!$J18*s_IFBR_far_adj*s_CF_broccoli),".")</f>
        <v>0.5105459650914197</v>
      </c>
      <c r="AH18" s="48">
        <f>IFERROR(s_DL/(s_RadSpec!$J18*s_IFCB_far_adj*s_CF_cabbage),".")</f>
        <v>0.5105459650914197</v>
      </c>
      <c r="AI18" s="48">
        <f>IFERROR(s_DL/(s_RadSpec!$J18*s_IFCR_far_adj*s_CF_carrot),".")</f>
        <v>0.5105459650914197</v>
      </c>
      <c r="AJ18" s="48">
        <f>IFERROR(s_DL/(s_RadSpec!$J18*s_IFCI_far_adj*s_CF_citrus),".")</f>
        <v>0.5105459650914197</v>
      </c>
      <c r="AK18" s="48">
        <f>IFERROR(s_DL/(s_RadSpec!$J18*s_IFCO_far_adj*s_CF_corn),".")</f>
        <v>0.5105459650914197</v>
      </c>
      <c r="AL18" s="48">
        <f>IFERROR(s_DL/(s_RadSpec!$J18*s_IFCU_far_adj*s_CF_cucumber),".")</f>
        <v>0.5105459650914197</v>
      </c>
      <c r="AM18" s="48">
        <f>IFERROR(s_DL/(s_RadSpec!$J18*s_IFLE_far_adj*s_CF_lettuce),".")</f>
        <v>0.5105459650914197</v>
      </c>
      <c r="AN18" s="48">
        <f>IFERROR(s_DL/(s_RadSpec!$J18*s_IFLI_far_adj*s_CF_lima_bean),".")</f>
        <v>0.5105459650914197</v>
      </c>
      <c r="AO18" s="48">
        <f>IFERROR(s_DL/(s_RadSpec!$J18*s_IFOK_far_adj*s_CF_okra),".")</f>
        <v>0.5105459650914197</v>
      </c>
      <c r="AP18" s="48">
        <f>IFERROR(s_DL/(s_RadSpec!$J18*s_IFON_far_adj*s_CF_onion),".")</f>
        <v>0.5105459650914197</v>
      </c>
      <c r="AQ18" s="48">
        <f>IFERROR(s_DL/(s_RadSpec!$J18*s_IFPC_far_adj*s_CF_peach),".")</f>
        <v>0.5105459650914197</v>
      </c>
      <c r="AR18" s="48">
        <f>IFERROR(s_DL/(s_RadSpec!$J18*s_IFPR_far_adj*s_CF_pear),".")</f>
        <v>0.5105459650914197</v>
      </c>
      <c r="AS18" s="48">
        <f>IFERROR(s_DL/(s_RadSpec!$J18*s_IFPE_far_adj*s_CF_peas),".")</f>
        <v>0.5105459650914197</v>
      </c>
      <c r="AT18" s="48">
        <f>IFERROR(s_DL/(s_RadSpec!$J18*s_IFPT_far_adj*s_CF_potato),".")</f>
        <v>0.5105459650914197</v>
      </c>
      <c r="AU18" s="48">
        <f>IFERROR(s_DL/(s_RadSpec!$J18*s_IFPU_far_adj*s_CF_pumpkin),".")</f>
        <v>0.5105459650914197</v>
      </c>
      <c r="AV18" s="48">
        <f>IFERROR(s_DL/(s_RadSpec!$J18*s_IFSN_far_adj*s_CF_snap_bean),".")</f>
        <v>0.5105459650914197</v>
      </c>
      <c r="AW18" s="48">
        <f>IFERROR(s_DL/(s_RadSpec!$J18*s_IFST_far_adj*s_CF_strawberry),".")</f>
        <v>0.5105459650914197</v>
      </c>
      <c r="AX18" s="48">
        <f>IFERROR(s_DL/(s_RadSpec!$J18*s_IFTO_far_adj*s_CF_tomato),".")</f>
        <v>0.5105459650914197</v>
      </c>
      <c r="AY18" s="48">
        <f>IFERROR(s_DL/(s_RadSpec!$J18*s_IFRI_far_adj*s_CF_rice),".")</f>
        <v>0.5105459650914197</v>
      </c>
      <c r="AZ18" s="48">
        <f>IFERROR(s_DL/(s_RadSpec!$J18*s_IFCG_far_adj*s_CF_cereal),".")</f>
        <v>0.5105459650914197</v>
      </c>
      <c r="BA18" s="62">
        <f t="shared" si="26"/>
        <v>22687.5</v>
      </c>
      <c r="BB18" s="62">
        <f t="shared" si="0"/>
        <v>7562.5</v>
      </c>
      <c r="BC18" s="62">
        <f t="shared" si="1"/>
        <v>7562.5</v>
      </c>
      <c r="BD18" s="62">
        <f t="shared" si="2"/>
        <v>7562.5</v>
      </c>
      <c r="BE18" s="62">
        <f t="shared" si="3"/>
        <v>7562.5</v>
      </c>
      <c r="BF18" s="62">
        <f t="shared" si="4"/>
        <v>7562.5</v>
      </c>
      <c r="BG18" s="62">
        <f t="shared" si="5"/>
        <v>7562.5</v>
      </c>
      <c r="BH18" s="62">
        <f t="shared" si="6"/>
        <v>7562.5</v>
      </c>
      <c r="BI18" s="62">
        <f t="shared" si="7"/>
        <v>7562.5</v>
      </c>
      <c r="BJ18" s="62">
        <f t="shared" si="8"/>
        <v>7562.5</v>
      </c>
      <c r="BK18" s="62">
        <f t="shared" si="9"/>
        <v>7562.5</v>
      </c>
      <c r="BL18" s="62">
        <f t="shared" si="10"/>
        <v>7562.5</v>
      </c>
      <c r="BM18" s="62">
        <f t="shared" si="11"/>
        <v>7562.5</v>
      </c>
      <c r="BN18" s="62">
        <f t="shared" si="12"/>
        <v>7562.5</v>
      </c>
      <c r="BO18" s="62">
        <f t="shared" si="13"/>
        <v>7562.5</v>
      </c>
      <c r="BP18" s="62">
        <f t="shared" si="14"/>
        <v>7562.5</v>
      </c>
      <c r="BQ18" s="62">
        <f t="shared" si="15"/>
        <v>7562.5</v>
      </c>
      <c r="BR18" s="62">
        <f t="shared" si="16"/>
        <v>7562.5</v>
      </c>
      <c r="BS18" s="62">
        <f t="shared" si="17"/>
        <v>7562.5</v>
      </c>
      <c r="BT18" s="62">
        <f t="shared" si="18"/>
        <v>7562.5</v>
      </c>
      <c r="BU18" s="62">
        <f t="shared" si="19"/>
        <v>7562.5</v>
      </c>
      <c r="BV18" s="62">
        <f t="shared" si="20"/>
        <v>7562.5</v>
      </c>
      <c r="BW18" s="62">
        <f t="shared" si="21"/>
        <v>7562.5</v>
      </c>
      <c r="BX18" s="62">
        <f t="shared" si="22"/>
        <v>7562.5</v>
      </c>
      <c r="BY18" s="62">
        <f t="shared" si="23"/>
        <v>7562.5</v>
      </c>
    </row>
    <row r="19" spans="1:77" x14ac:dyDescent="0.25">
      <c r="A19" s="61" t="s">
        <v>17</v>
      </c>
      <c r="B19" s="49" t="s">
        <v>1059</v>
      </c>
      <c r="C19" s="48" t="str">
        <f t="shared" si="24"/>
        <v>.</v>
      </c>
      <c r="D19" s="48" t="str">
        <f>IFERROR(s_DL/(s_RadSpec!$J19*s_IFAP_res_adj*s_CF_apple),".")</f>
        <v>.</v>
      </c>
      <c r="E19" s="48" t="str">
        <f>IFERROR(s_DL/(s_RadSpec!$J19*s_IFAS_res_adj*s_CF_asparagus),".")</f>
        <v>.</v>
      </c>
      <c r="F19" s="48" t="str">
        <f>IFERROR(s_DL/(s_RadSpec!$J19*s_IFBT_res_adj*s_CF_beet),".")</f>
        <v>.</v>
      </c>
      <c r="G19" s="48" t="str">
        <f>IFERROR(s_DL/(s_RadSpec!$J19*s_IFBE_res_adj*s_CF_berries),".")</f>
        <v>.</v>
      </c>
      <c r="H19" s="48" t="str">
        <f>IFERROR(s_DL/(s_RadSpec!$J19*s_IFBR_res_adj*s_CF_broccoli),".")</f>
        <v>.</v>
      </c>
      <c r="I19" s="48" t="str">
        <f>IFERROR(s_DL/(s_RadSpec!$J19*s_IFCB_res_adj*s_CF_cabbage),".")</f>
        <v>.</v>
      </c>
      <c r="J19" s="48" t="str">
        <f>IFERROR(s_DL/(s_RadSpec!$J19*s_IFCR_res_adj*s_CF_carrot),".")</f>
        <v>.</v>
      </c>
      <c r="K19" s="48" t="str">
        <f>IFERROR(s_DL/(s_RadSpec!$J19*s_IFCI_res_adj*s_CF_citrus),".")</f>
        <v>.</v>
      </c>
      <c r="L19" s="48" t="str">
        <f>IFERROR(s_DL/(s_RadSpec!$J19*s_IFCO_res_adj*s_CF_corn),".")</f>
        <v>.</v>
      </c>
      <c r="M19" s="48" t="str">
        <f>IFERROR(s_DL/(s_RadSpec!$J19*s_IFCU_res_adj*s_CF_cucumber),".")</f>
        <v>.</v>
      </c>
      <c r="N19" s="48" t="str">
        <f>IFERROR(s_DL/(s_RadSpec!$J19*s_IFLE_res_adj*s_CF_lettuce),".")</f>
        <v>.</v>
      </c>
      <c r="O19" s="48" t="str">
        <f>IFERROR(s_DL/(s_RadSpec!$J19*s_IFLI_res_adj*s_CF_lima_bean),".")</f>
        <v>.</v>
      </c>
      <c r="P19" s="48" t="str">
        <f>IFERROR(s_DL/(s_RadSpec!$J19*s_IFOK_res_adj*s_CF_okra),".")</f>
        <v>.</v>
      </c>
      <c r="Q19" s="48" t="str">
        <f>IFERROR(s_DL/(s_RadSpec!$J19*s_IFON_res_adj*s_CF_onion),".")</f>
        <v>.</v>
      </c>
      <c r="R19" s="48" t="str">
        <f>IFERROR(s_DL/(s_RadSpec!$J19*s_IFPC_res_adj*s_CF_peach),".")</f>
        <v>.</v>
      </c>
      <c r="S19" s="48" t="str">
        <f>IFERROR(s_DL/(s_RadSpec!$J19*s_IFPR_res_adj*s_CF_pear),".")</f>
        <v>.</v>
      </c>
      <c r="T19" s="48" t="str">
        <f>IFERROR(s_DL/(s_RadSpec!$J19*s_IFPE_res_adj*s_CF_peas),".")</f>
        <v>.</v>
      </c>
      <c r="U19" s="48" t="str">
        <f>IFERROR(s_DL/(s_RadSpec!$J19*s_IFPT_res_adj*s_CF_potato),".")</f>
        <v>.</v>
      </c>
      <c r="V19" s="48" t="str">
        <f>IFERROR(s_DL/(s_RadSpec!$J19*s_IFPU_res_adj*s_CF_pumpkin),".")</f>
        <v>.</v>
      </c>
      <c r="W19" s="48" t="str">
        <f>IFERROR(s_DL/(s_RadSpec!$J19*s_IFSN_res_adj*s_CF_snap_bean),".")</f>
        <v>.</v>
      </c>
      <c r="X19" s="48" t="str">
        <f>IFERROR(s_DL/(s_RadSpec!$J19*s_IFST_res_adj*s_CF_strawberry),".")</f>
        <v>.</v>
      </c>
      <c r="Y19" s="48" t="str">
        <f>IFERROR(s_DL/(s_RadSpec!$J19*s_IFTO_res_adj*s_CF_tomato),".")</f>
        <v>.</v>
      </c>
      <c r="Z19" s="48" t="str">
        <f>IFERROR(s_DL/(s_RadSpec!$J19*s_IFRI_res_adj*s_CF_rice),".")</f>
        <v>.</v>
      </c>
      <c r="AA19" s="48" t="str">
        <f>IFERROR(s_DL/(s_RadSpec!$J19*s_IFCG_res_adj*s_CF_cereal),".")</f>
        <v>.</v>
      </c>
      <c r="AB19" s="48" t="str">
        <f t="shared" si="25"/>
        <v>.</v>
      </c>
      <c r="AC19" s="48" t="str">
        <f>IFERROR(s_DL/(s_RadSpec!$J19*s_IFAP_far_adj*s_CF_apple),".")</f>
        <v>.</v>
      </c>
      <c r="AD19" s="48" t="str">
        <f>IFERROR(s_DL/(s_RadSpec!$J19*s_IFAS_far_adj*s_CF_asparagus),".")</f>
        <v>.</v>
      </c>
      <c r="AE19" s="48" t="str">
        <f>IFERROR(s_DL/(s_RadSpec!$J19*s_IFBT_far_adj*s_CF_beet),".")</f>
        <v>.</v>
      </c>
      <c r="AF19" s="48" t="str">
        <f>IFERROR(s_DL/(s_RadSpec!$J19*s_IFBE_far_adj*s_CF_berries),".")</f>
        <v>.</v>
      </c>
      <c r="AG19" s="48" t="str">
        <f>IFERROR(s_DL/(s_RadSpec!$J19*s_IFBR_far_adj*s_CF_broccoli),".")</f>
        <v>.</v>
      </c>
      <c r="AH19" s="48" t="str">
        <f>IFERROR(s_DL/(s_RadSpec!$J19*s_IFCB_far_adj*s_CF_cabbage),".")</f>
        <v>.</v>
      </c>
      <c r="AI19" s="48" t="str">
        <f>IFERROR(s_DL/(s_RadSpec!$J19*s_IFCR_far_adj*s_CF_carrot),".")</f>
        <v>.</v>
      </c>
      <c r="AJ19" s="48" t="str">
        <f>IFERROR(s_DL/(s_RadSpec!$J19*s_IFCI_far_adj*s_CF_citrus),".")</f>
        <v>.</v>
      </c>
      <c r="AK19" s="48" t="str">
        <f>IFERROR(s_DL/(s_RadSpec!$J19*s_IFCO_far_adj*s_CF_corn),".")</f>
        <v>.</v>
      </c>
      <c r="AL19" s="48" t="str">
        <f>IFERROR(s_DL/(s_RadSpec!$J19*s_IFCU_far_adj*s_CF_cucumber),".")</f>
        <v>.</v>
      </c>
      <c r="AM19" s="48" t="str">
        <f>IFERROR(s_DL/(s_RadSpec!$J19*s_IFLE_far_adj*s_CF_lettuce),".")</f>
        <v>.</v>
      </c>
      <c r="AN19" s="48" t="str">
        <f>IFERROR(s_DL/(s_RadSpec!$J19*s_IFLI_far_adj*s_CF_lima_bean),".")</f>
        <v>.</v>
      </c>
      <c r="AO19" s="48" t="str">
        <f>IFERROR(s_DL/(s_RadSpec!$J19*s_IFOK_far_adj*s_CF_okra),".")</f>
        <v>.</v>
      </c>
      <c r="AP19" s="48" t="str">
        <f>IFERROR(s_DL/(s_RadSpec!$J19*s_IFON_far_adj*s_CF_onion),".")</f>
        <v>.</v>
      </c>
      <c r="AQ19" s="48" t="str">
        <f>IFERROR(s_DL/(s_RadSpec!$J19*s_IFPC_far_adj*s_CF_peach),".")</f>
        <v>.</v>
      </c>
      <c r="AR19" s="48" t="str">
        <f>IFERROR(s_DL/(s_RadSpec!$J19*s_IFPR_far_adj*s_CF_pear),".")</f>
        <v>.</v>
      </c>
      <c r="AS19" s="48" t="str">
        <f>IFERROR(s_DL/(s_RadSpec!$J19*s_IFPE_far_adj*s_CF_peas),".")</f>
        <v>.</v>
      </c>
      <c r="AT19" s="48" t="str">
        <f>IFERROR(s_DL/(s_RadSpec!$J19*s_IFPT_far_adj*s_CF_potato),".")</f>
        <v>.</v>
      </c>
      <c r="AU19" s="48" t="str">
        <f>IFERROR(s_DL/(s_RadSpec!$J19*s_IFPU_far_adj*s_CF_pumpkin),".")</f>
        <v>.</v>
      </c>
      <c r="AV19" s="48" t="str">
        <f>IFERROR(s_DL/(s_RadSpec!$J19*s_IFSN_far_adj*s_CF_snap_bean),".")</f>
        <v>.</v>
      </c>
      <c r="AW19" s="48" t="str">
        <f>IFERROR(s_DL/(s_RadSpec!$J19*s_IFST_far_adj*s_CF_strawberry),".")</f>
        <v>.</v>
      </c>
      <c r="AX19" s="48" t="str">
        <f>IFERROR(s_DL/(s_RadSpec!$J19*s_IFTO_far_adj*s_CF_tomato),".")</f>
        <v>.</v>
      </c>
      <c r="AY19" s="48" t="str">
        <f>IFERROR(s_DL/(s_RadSpec!$J19*s_IFRI_far_adj*s_CF_rice),".")</f>
        <v>.</v>
      </c>
      <c r="AZ19" s="48" t="str">
        <f>IFERROR(s_DL/(s_RadSpec!$J19*s_IFCG_far_adj*s_CF_cereal),".")</f>
        <v>.</v>
      </c>
      <c r="BA19" s="62">
        <f t="shared" si="26"/>
        <v>22687.5</v>
      </c>
      <c r="BB19" s="62">
        <f t="shared" si="0"/>
        <v>7562.5</v>
      </c>
      <c r="BC19" s="62">
        <f t="shared" si="1"/>
        <v>7562.5</v>
      </c>
      <c r="BD19" s="62">
        <f t="shared" si="2"/>
        <v>7562.5</v>
      </c>
      <c r="BE19" s="62">
        <f t="shared" si="3"/>
        <v>7562.5</v>
      </c>
      <c r="BF19" s="62">
        <f t="shared" si="4"/>
        <v>7562.5</v>
      </c>
      <c r="BG19" s="62">
        <f t="shared" si="5"/>
        <v>7562.5</v>
      </c>
      <c r="BH19" s="62">
        <f t="shared" si="6"/>
        <v>7562.5</v>
      </c>
      <c r="BI19" s="62">
        <f t="shared" si="7"/>
        <v>7562.5</v>
      </c>
      <c r="BJ19" s="62">
        <f t="shared" si="8"/>
        <v>7562.5</v>
      </c>
      <c r="BK19" s="62">
        <f t="shared" si="9"/>
        <v>7562.5</v>
      </c>
      <c r="BL19" s="62">
        <f t="shared" si="10"/>
        <v>7562.5</v>
      </c>
      <c r="BM19" s="62">
        <f t="shared" si="11"/>
        <v>7562.5</v>
      </c>
      <c r="BN19" s="62">
        <f t="shared" si="12"/>
        <v>7562.5</v>
      </c>
      <c r="BO19" s="62">
        <f t="shared" si="13"/>
        <v>7562.5</v>
      </c>
      <c r="BP19" s="62">
        <f t="shared" si="14"/>
        <v>7562.5</v>
      </c>
      <c r="BQ19" s="62">
        <f t="shared" si="15"/>
        <v>7562.5</v>
      </c>
      <c r="BR19" s="62">
        <f t="shared" si="16"/>
        <v>7562.5</v>
      </c>
      <c r="BS19" s="62">
        <f t="shared" si="17"/>
        <v>7562.5</v>
      </c>
      <c r="BT19" s="62">
        <f t="shared" si="18"/>
        <v>7562.5</v>
      </c>
      <c r="BU19" s="62">
        <f t="shared" si="19"/>
        <v>7562.5</v>
      </c>
      <c r="BV19" s="62">
        <f t="shared" si="20"/>
        <v>7562.5</v>
      </c>
      <c r="BW19" s="62">
        <f t="shared" si="21"/>
        <v>7562.5</v>
      </c>
      <c r="BX19" s="62">
        <f t="shared" si="22"/>
        <v>7562.5</v>
      </c>
      <c r="BY19" s="62">
        <f t="shared" si="23"/>
        <v>7562.5</v>
      </c>
    </row>
    <row r="20" spans="1:77" x14ac:dyDescent="0.25">
      <c r="A20" s="61" t="s">
        <v>18</v>
      </c>
      <c r="B20" s="49" t="s">
        <v>1059</v>
      </c>
      <c r="C20" s="48" t="str">
        <f t="shared" si="24"/>
        <v>.</v>
      </c>
      <c r="D20" s="48" t="str">
        <f>IFERROR(s_DL/(s_RadSpec!$J20*s_IFAP_res_adj*s_CF_apple),".")</f>
        <v>.</v>
      </c>
      <c r="E20" s="48" t="str">
        <f>IFERROR(s_DL/(s_RadSpec!$J20*s_IFAS_res_adj*s_CF_asparagus),".")</f>
        <v>.</v>
      </c>
      <c r="F20" s="48" t="str">
        <f>IFERROR(s_DL/(s_RadSpec!$J20*s_IFBT_res_adj*s_CF_beet),".")</f>
        <v>.</v>
      </c>
      <c r="G20" s="48" t="str">
        <f>IFERROR(s_DL/(s_RadSpec!$J20*s_IFBE_res_adj*s_CF_berries),".")</f>
        <v>.</v>
      </c>
      <c r="H20" s="48" t="str">
        <f>IFERROR(s_DL/(s_RadSpec!$J20*s_IFBR_res_adj*s_CF_broccoli),".")</f>
        <v>.</v>
      </c>
      <c r="I20" s="48" t="str">
        <f>IFERROR(s_DL/(s_RadSpec!$J20*s_IFCB_res_adj*s_CF_cabbage),".")</f>
        <v>.</v>
      </c>
      <c r="J20" s="48" t="str">
        <f>IFERROR(s_DL/(s_RadSpec!$J20*s_IFCR_res_adj*s_CF_carrot),".")</f>
        <v>.</v>
      </c>
      <c r="K20" s="48" t="str">
        <f>IFERROR(s_DL/(s_RadSpec!$J20*s_IFCI_res_adj*s_CF_citrus),".")</f>
        <v>.</v>
      </c>
      <c r="L20" s="48" t="str">
        <f>IFERROR(s_DL/(s_RadSpec!$J20*s_IFCO_res_adj*s_CF_corn),".")</f>
        <v>.</v>
      </c>
      <c r="M20" s="48" t="str">
        <f>IFERROR(s_DL/(s_RadSpec!$J20*s_IFCU_res_adj*s_CF_cucumber),".")</f>
        <v>.</v>
      </c>
      <c r="N20" s="48" t="str">
        <f>IFERROR(s_DL/(s_RadSpec!$J20*s_IFLE_res_adj*s_CF_lettuce),".")</f>
        <v>.</v>
      </c>
      <c r="O20" s="48" t="str">
        <f>IFERROR(s_DL/(s_RadSpec!$J20*s_IFLI_res_adj*s_CF_lima_bean),".")</f>
        <v>.</v>
      </c>
      <c r="P20" s="48" t="str">
        <f>IFERROR(s_DL/(s_RadSpec!$J20*s_IFOK_res_adj*s_CF_okra),".")</f>
        <v>.</v>
      </c>
      <c r="Q20" s="48" t="str">
        <f>IFERROR(s_DL/(s_RadSpec!$J20*s_IFON_res_adj*s_CF_onion),".")</f>
        <v>.</v>
      </c>
      <c r="R20" s="48" t="str">
        <f>IFERROR(s_DL/(s_RadSpec!$J20*s_IFPC_res_adj*s_CF_peach),".")</f>
        <v>.</v>
      </c>
      <c r="S20" s="48" t="str">
        <f>IFERROR(s_DL/(s_RadSpec!$J20*s_IFPR_res_adj*s_CF_pear),".")</f>
        <v>.</v>
      </c>
      <c r="T20" s="48" t="str">
        <f>IFERROR(s_DL/(s_RadSpec!$J20*s_IFPE_res_adj*s_CF_peas),".")</f>
        <v>.</v>
      </c>
      <c r="U20" s="48" t="str">
        <f>IFERROR(s_DL/(s_RadSpec!$J20*s_IFPT_res_adj*s_CF_potato),".")</f>
        <v>.</v>
      </c>
      <c r="V20" s="48" t="str">
        <f>IFERROR(s_DL/(s_RadSpec!$J20*s_IFPU_res_adj*s_CF_pumpkin),".")</f>
        <v>.</v>
      </c>
      <c r="W20" s="48" t="str">
        <f>IFERROR(s_DL/(s_RadSpec!$J20*s_IFSN_res_adj*s_CF_snap_bean),".")</f>
        <v>.</v>
      </c>
      <c r="X20" s="48" t="str">
        <f>IFERROR(s_DL/(s_RadSpec!$J20*s_IFST_res_adj*s_CF_strawberry),".")</f>
        <v>.</v>
      </c>
      <c r="Y20" s="48" t="str">
        <f>IFERROR(s_DL/(s_RadSpec!$J20*s_IFTO_res_adj*s_CF_tomato),".")</f>
        <v>.</v>
      </c>
      <c r="Z20" s="48" t="str">
        <f>IFERROR(s_DL/(s_RadSpec!$J20*s_IFRI_res_adj*s_CF_rice),".")</f>
        <v>.</v>
      </c>
      <c r="AA20" s="48" t="str">
        <f>IFERROR(s_DL/(s_RadSpec!$J20*s_IFCG_res_adj*s_CF_cereal),".")</f>
        <v>.</v>
      </c>
      <c r="AB20" s="48" t="str">
        <f t="shared" si="25"/>
        <v>.</v>
      </c>
      <c r="AC20" s="48" t="str">
        <f>IFERROR(s_DL/(s_RadSpec!$J20*s_IFAP_far_adj*s_CF_apple),".")</f>
        <v>.</v>
      </c>
      <c r="AD20" s="48" t="str">
        <f>IFERROR(s_DL/(s_RadSpec!$J20*s_IFAS_far_adj*s_CF_asparagus),".")</f>
        <v>.</v>
      </c>
      <c r="AE20" s="48" t="str">
        <f>IFERROR(s_DL/(s_RadSpec!$J20*s_IFBT_far_adj*s_CF_beet),".")</f>
        <v>.</v>
      </c>
      <c r="AF20" s="48" t="str">
        <f>IFERROR(s_DL/(s_RadSpec!$J20*s_IFBE_far_adj*s_CF_berries),".")</f>
        <v>.</v>
      </c>
      <c r="AG20" s="48" t="str">
        <f>IFERROR(s_DL/(s_RadSpec!$J20*s_IFBR_far_adj*s_CF_broccoli),".")</f>
        <v>.</v>
      </c>
      <c r="AH20" s="48" t="str">
        <f>IFERROR(s_DL/(s_RadSpec!$J20*s_IFCB_far_adj*s_CF_cabbage),".")</f>
        <v>.</v>
      </c>
      <c r="AI20" s="48" t="str">
        <f>IFERROR(s_DL/(s_RadSpec!$J20*s_IFCR_far_adj*s_CF_carrot),".")</f>
        <v>.</v>
      </c>
      <c r="AJ20" s="48" t="str">
        <f>IFERROR(s_DL/(s_RadSpec!$J20*s_IFCI_far_adj*s_CF_citrus),".")</f>
        <v>.</v>
      </c>
      <c r="AK20" s="48" t="str">
        <f>IFERROR(s_DL/(s_RadSpec!$J20*s_IFCO_far_adj*s_CF_corn),".")</f>
        <v>.</v>
      </c>
      <c r="AL20" s="48" t="str">
        <f>IFERROR(s_DL/(s_RadSpec!$J20*s_IFCU_far_adj*s_CF_cucumber),".")</f>
        <v>.</v>
      </c>
      <c r="AM20" s="48" t="str">
        <f>IFERROR(s_DL/(s_RadSpec!$J20*s_IFLE_far_adj*s_CF_lettuce),".")</f>
        <v>.</v>
      </c>
      <c r="AN20" s="48" t="str">
        <f>IFERROR(s_DL/(s_RadSpec!$J20*s_IFLI_far_adj*s_CF_lima_bean),".")</f>
        <v>.</v>
      </c>
      <c r="AO20" s="48" t="str">
        <f>IFERROR(s_DL/(s_RadSpec!$J20*s_IFOK_far_adj*s_CF_okra),".")</f>
        <v>.</v>
      </c>
      <c r="AP20" s="48" t="str">
        <f>IFERROR(s_DL/(s_RadSpec!$J20*s_IFON_far_adj*s_CF_onion),".")</f>
        <v>.</v>
      </c>
      <c r="AQ20" s="48" t="str">
        <f>IFERROR(s_DL/(s_RadSpec!$J20*s_IFPC_far_adj*s_CF_peach),".")</f>
        <v>.</v>
      </c>
      <c r="AR20" s="48" t="str">
        <f>IFERROR(s_DL/(s_RadSpec!$J20*s_IFPR_far_adj*s_CF_pear),".")</f>
        <v>.</v>
      </c>
      <c r="AS20" s="48" t="str">
        <f>IFERROR(s_DL/(s_RadSpec!$J20*s_IFPE_far_adj*s_CF_peas),".")</f>
        <v>.</v>
      </c>
      <c r="AT20" s="48" t="str">
        <f>IFERROR(s_DL/(s_RadSpec!$J20*s_IFPT_far_adj*s_CF_potato),".")</f>
        <v>.</v>
      </c>
      <c r="AU20" s="48" t="str">
        <f>IFERROR(s_DL/(s_RadSpec!$J20*s_IFPU_far_adj*s_CF_pumpkin),".")</f>
        <v>.</v>
      </c>
      <c r="AV20" s="48" t="str">
        <f>IFERROR(s_DL/(s_RadSpec!$J20*s_IFSN_far_adj*s_CF_snap_bean),".")</f>
        <v>.</v>
      </c>
      <c r="AW20" s="48" t="str">
        <f>IFERROR(s_DL/(s_RadSpec!$J20*s_IFST_far_adj*s_CF_strawberry),".")</f>
        <v>.</v>
      </c>
      <c r="AX20" s="48" t="str">
        <f>IFERROR(s_DL/(s_RadSpec!$J20*s_IFTO_far_adj*s_CF_tomato),".")</f>
        <v>.</v>
      </c>
      <c r="AY20" s="48" t="str">
        <f>IFERROR(s_DL/(s_RadSpec!$J20*s_IFRI_far_adj*s_CF_rice),".")</f>
        <v>.</v>
      </c>
      <c r="AZ20" s="48" t="str">
        <f>IFERROR(s_DL/(s_RadSpec!$J20*s_IFCG_far_adj*s_CF_cereal),".")</f>
        <v>.</v>
      </c>
      <c r="BA20" s="62">
        <f t="shared" si="26"/>
        <v>22687.5</v>
      </c>
      <c r="BB20" s="62">
        <f t="shared" si="0"/>
        <v>7562.5</v>
      </c>
      <c r="BC20" s="62">
        <f t="shared" si="1"/>
        <v>7562.5</v>
      </c>
      <c r="BD20" s="62">
        <f t="shared" si="2"/>
        <v>7562.5</v>
      </c>
      <c r="BE20" s="62">
        <f t="shared" si="3"/>
        <v>7562.5</v>
      </c>
      <c r="BF20" s="62">
        <f t="shared" si="4"/>
        <v>7562.5</v>
      </c>
      <c r="BG20" s="62">
        <f t="shared" si="5"/>
        <v>7562.5</v>
      </c>
      <c r="BH20" s="62">
        <f t="shared" si="6"/>
        <v>7562.5</v>
      </c>
      <c r="BI20" s="62">
        <f t="shared" si="7"/>
        <v>7562.5</v>
      </c>
      <c r="BJ20" s="62">
        <f t="shared" si="8"/>
        <v>7562.5</v>
      </c>
      <c r="BK20" s="62">
        <f t="shared" si="9"/>
        <v>7562.5</v>
      </c>
      <c r="BL20" s="62">
        <f t="shared" si="10"/>
        <v>7562.5</v>
      </c>
      <c r="BM20" s="62">
        <f t="shared" si="11"/>
        <v>7562.5</v>
      </c>
      <c r="BN20" s="62">
        <f t="shared" si="12"/>
        <v>7562.5</v>
      </c>
      <c r="BO20" s="62">
        <f t="shared" si="13"/>
        <v>7562.5</v>
      </c>
      <c r="BP20" s="62">
        <f t="shared" si="14"/>
        <v>7562.5</v>
      </c>
      <c r="BQ20" s="62">
        <f t="shared" si="15"/>
        <v>7562.5</v>
      </c>
      <c r="BR20" s="62">
        <f t="shared" si="16"/>
        <v>7562.5</v>
      </c>
      <c r="BS20" s="62">
        <f t="shared" si="17"/>
        <v>7562.5</v>
      </c>
      <c r="BT20" s="62">
        <f t="shared" si="18"/>
        <v>7562.5</v>
      </c>
      <c r="BU20" s="62">
        <f t="shared" si="19"/>
        <v>7562.5</v>
      </c>
      <c r="BV20" s="62">
        <f t="shared" si="20"/>
        <v>7562.5</v>
      </c>
      <c r="BW20" s="62">
        <f t="shared" si="21"/>
        <v>7562.5</v>
      </c>
      <c r="BX20" s="62">
        <f t="shared" si="22"/>
        <v>7562.5</v>
      </c>
      <c r="BY20" s="62">
        <f t="shared" si="23"/>
        <v>7562.5</v>
      </c>
    </row>
    <row r="21" spans="1:77" x14ac:dyDescent="0.25">
      <c r="A21" s="61" t="s">
        <v>19</v>
      </c>
      <c r="B21" s="49" t="s">
        <v>1059</v>
      </c>
      <c r="C21" s="48" t="str">
        <f t="shared" si="24"/>
        <v>.</v>
      </c>
      <c r="D21" s="48" t="str">
        <f>IFERROR(s_DL/(s_RadSpec!$J21*s_IFAP_res_adj*s_CF_apple),".")</f>
        <v>.</v>
      </c>
      <c r="E21" s="48" t="str">
        <f>IFERROR(s_DL/(s_RadSpec!$J21*s_IFAS_res_adj*s_CF_asparagus),".")</f>
        <v>.</v>
      </c>
      <c r="F21" s="48" t="str">
        <f>IFERROR(s_DL/(s_RadSpec!$J21*s_IFBT_res_adj*s_CF_beet),".")</f>
        <v>.</v>
      </c>
      <c r="G21" s="48" t="str">
        <f>IFERROR(s_DL/(s_RadSpec!$J21*s_IFBE_res_adj*s_CF_berries),".")</f>
        <v>.</v>
      </c>
      <c r="H21" s="48" t="str">
        <f>IFERROR(s_DL/(s_RadSpec!$J21*s_IFBR_res_adj*s_CF_broccoli),".")</f>
        <v>.</v>
      </c>
      <c r="I21" s="48" t="str">
        <f>IFERROR(s_DL/(s_RadSpec!$J21*s_IFCB_res_adj*s_CF_cabbage),".")</f>
        <v>.</v>
      </c>
      <c r="J21" s="48" t="str">
        <f>IFERROR(s_DL/(s_RadSpec!$J21*s_IFCR_res_adj*s_CF_carrot),".")</f>
        <v>.</v>
      </c>
      <c r="K21" s="48" t="str">
        <f>IFERROR(s_DL/(s_RadSpec!$J21*s_IFCI_res_adj*s_CF_citrus),".")</f>
        <v>.</v>
      </c>
      <c r="L21" s="48" t="str">
        <f>IFERROR(s_DL/(s_RadSpec!$J21*s_IFCO_res_adj*s_CF_corn),".")</f>
        <v>.</v>
      </c>
      <c r="M21" s="48" t="str">
        <f>IFERROR(s_DL/(s_RadSpec!$J21*s_IFCU_res_adj*s_CF_cucumber),".")</f>
        <v>.</v>
      </c>
      <c r="N21" s="48" t="str">
        <f>IFERROR(s_DL/(s_RadSpec!$J21*s_IFLE_res_adj*s_CF_lettuce),".")</f>
        <v>.</v>
      </c>
      <c r="O21" s="48" t="str">
        <f>IFERROR(s_DL/(s_RadSpec!$J21*s_IFLI_res_adj*s_CF_lima_bean),".")</f>
        <v>.</v>
      </c>
      <c r="P21" s="48" t="str">
        <f>IFERROR(s_DL/(s_RadSpec!$J21*s_IFOK_res_adj*s_CF_okra),".")</f>
        <v>.</v>
      </c>
      <c r="Q21" s="48" t="str">
        <f>IFERROR(s_DL/(s_RadSpec!$J21*s_IFON_res_adj*s_CF_onion),".")</f>
        <v>.</v>
      </c>
      <c r="R21" s="48" t="str">
        <f>IFERROR(s_DL/(s_RadSpec!$J21*s_IFPC_res_adj*s_CF_peach),".")</f>
        <v>.</v>
      </c>
      <c r="S21" s="48" t="str">
        <f>IFERROR(s_DL/(s_RadSpec!$J21*s_IFPR_res_adj*s_CF_pear),".")</f>
        <v>.</v>
      </c>
      <c r="T21" s="48" t="str">
        <f>IFERROR(s_DL/(s_RadSpec!$J21*s_IFPE_res_adj*s_CF_peas),".")</f>
        <v>.</v>
      </c>
      <c r="U21" s="48" t="str">
        <f>IFERROR(s_DL/(s_RadSpec!$J21*s_IFPT_res_adj*s_CF_potato),".")</f>
        <v>.</v>
      </c>
      <c r="V21" s="48" t="str">
        <f>IFERROR(s_DL/(s_RadSpec!$J21*s_IFPU_res_adj*s_CF_pumpkin),".")</f>
        <v>.</v>
      </c>
      <c r="W21" s="48" t="str">
        <f>IFERROR(s_DL/(s_RadSpec!$J21*s_IFSN_res_adj*s_CF_snap_bean),".")</f>
        <v>.</v>
      </c>
      <c r="X21" s="48" t="str">
        <f>IFERROR(s_DL/(s_RadSpec!$J21*s_IFST_res_adj*s_CF_strawberry),".")</f>
        <v>.</v>
      </c>
      <c r="Y21" s="48" t="str">
        <f>IFERROR(s_DL/(s_RadSpec!$J21*s_IFTO_res_adj*s_CF_tomato),".")</f>
        <v>.</v>
      </c>
      <c r="Z21" s="48" t="str">
        <f>IFERROR(s_DL/(s_RadSpec!$J21*s_IFRI_res_adj*s_CF_rice),".")</f>
        <v>.</v>
      </c>
      <c r="AA21" s="48" t="str">
        <f>IFERROR(s_DL/(s_RadSpec!$J21*s_IFCG_res_adj*s_CF_cereal),".")</f>
        <v>.</v>
      </c>
      <c r="AB21" s="48" t="str">
        <f t="shared" si="25"/>
        <v>.</v>
      </c>
      <c r="AC21" s="48" t="str">
        <f>IFERROR(s_DL/(s_RadSpec!$J21*s_IFAP_far_adj*s_CF_apple),".")</f>
        <v>.</v>
      </c>
      <c r="AD21" s="48" t="str">
        <f>IFERROR(s_DL/(s_RadSpec!$J21*s_IFAS_far_adj*s_CF_asparagus),".")</f>
        <v>.</v>
      </c>
      <c r="AE21" s="48" t="str">
        <f>IFERROR(s_DL/(s_RadSpec!$J21*s_IFBT_far_adj*s_CF_beet),".")</f>
        <v>.</v>
      </c>
      <c r="AF21" s="48" t="str">
        <f>IFERROR(s_DL/(s_RadSpec!$J21*s_IFBE_far_adj*s_CF_berries),".")</f>
        <v>.</v>
      </c>
      <c r="AG21" s="48" t="str">
        <f>IFERROR(s_DL/(s_RadSpec!$J21*s_IFBR_far_adj*s_CF_broccoli),".")</f>
        <v>.</v>
      </c>
      <c r="AH21" s="48" t="str">
        <f>IFERROR(s_DL/(s_RadSpec!$J21*s_IFCB_far_adj*s_CF_cabbage),".")</f>
        <v>.</v>
      </c>
      <c r="AI21" s="48" t="str">
        <f>IFERROR(s_DL/(s_RadSpec!$J21*s_IFCR_far_adj*s_CF_carrot),".")</f>
        <v>.</v>
      </c>
      <c r="AJ21" s="48" t="str">
        <f>IFERROR(s_DL/(s_RadSpec!$J21*s_IFCI_far_adj*s_CF_citrus),".")</f>
        <v>.</v>
      </c>
      <c r="AK21" s="48" t="str">
        <f>IFERROR(s_DL/(s_RadSpec!$J21*s_IFCO_far_adj*s_CF_corn),".")</f>
        <v>.</v>
      </c>
      <c r="AL21" s="48" t="str">
        <f>IFERROR(s_DL/(s_RadSpec!$J21*s_IFCU_far_adj*s_CF_cucumber),".")</f>
        <v>.</v>
      </c>
      <c r="AM21" s="48" t="str">
        <f>IFERROR(s_DL/(s_RadSpec!$J21*s_IFLE_far_adj*s_CF_lettuce),".")</f>
        <v>.</v>
      </c>
      <c r="AN21" s="48" t="str">
        <f>IFERROR(s_DL/(s_RadSpec!$J21*s_IFLI_far_adj*s_CF_lima_bean),".")</f>
        <v>.</v>
      </c>
      <c r="AO21" s="48" t="str">
        <f>IFERROR(s_DL/(s_RadSpec!$J21*s_IFOK_far_adj*s_CF_okra),".")</f>
        <v>.</v>
      </c>
      <c r="AP21" s="48" t="str">
        <f>IFERROR(s_DL/(s_RadSpec!$J21*s_IFON_far_adj*s_CF_onion),".")</f>
        <v>.</v>
      </c>
      <c r="AQ21" s="48" t="str">
        <f>IFERROR(s_DL/(s_RadSpec!$J21*s_IFPC_far_adj*s_CF_peach),".")</f>
        <v>.</v>
      </c>
      <c r="AR21" s="48" t="str">
        <f>IFERROR(s_DL/(s_RadSpec!$J21*s_IFPR_far_adj*s_CF_pear),".")</f>
        <v>.</v>
      </c>
      <c r="AS21" s="48" t="str">
        <f>IFERROR(s_DL/(s_RadSpec!$J21*s_IFPE_far_adj*s_CF_peas),".")</f>
        <v>.</v>
      </c>
      <c r="AT21" s="48" t="str">
        <f>IFERROR(s_DL/(s_RadSpec!$J21*s_IFPT_far_adj*s_CF_potato),".")</f>
        <v>.</v>
      </c>
      <c r="AU21" s="48" t="str">
        <f>IFERROR(s_DL/(s_RadSpec!$J21*s_IFPU_far_adj*s_CF_pumpkin),".")</f>
        <v>.</v>
      </c>
      <c r="AV21" s="48" t="str">
        <f>IFERROR(s_DL/(s_RadSpec!$J21*s_IFSN_far_adj*s_CF_snap_bean),".")</f>
        <v>.</v>
      </c>
      <c r="AW21" s="48" t="str">
        <f>IFERROR(s_DL/(s_RadSpec!$J21*s_IFST_far_adj*s_CF_strawberry),".")</f>
        <v>.</v>
      </c>
      <c r="AX21" s="48" t="str">
        <f>IFERROR(s_DL/(s_RadSpec!$J21*s_IFTO_far_adj*s_CF_tomato),".")</f>
        <v>.</v>
      </c>
      <c r="AY21" s="48" t="str">
        <f>IFERROR(s_DL/(s_RadSpec!$J21*s_IFRI_far_adj*s_CF_rice),".")</f>
        <v>.</v>
      </c>
      <c r="AZ21" s="48" t="str">
        <f>IFERROR(s_DL/(s_RadSpec!$J21*s_IFCG_far_adj*s_CF_cereal),".")</f>
        <v>.</v>
      </c>
      <c r="BA21" s="62">
        <f t="shared" si="26"/>
        <v>22687.5</v>
      </c>
      <c r="BB21" s="62">
        <f t="shared" si="0"/>
        <v>7562.5</v>
      </c>
      <c r="BC21" s="62">
        <f t="shared" si="1"/>
        <v>7562.5</v>
      </c>
      <c r="BD21" s="62">
        <f t="shared" si="2"/>
        <v>7562.5</v>
      </c>
      <c r="BE21" s="62">
        <f t="shared" si="3"/>
        <v>7562.5</v>
      </c>
      <c r="BF21" s="62">
        <f t="shared" si="4"/>
        <v>7562.5</v>
      </c>
      <c r="BG21" s="62">
        <f t="shared" si="5"/>
        <v>7562.5</v>
      </c>
      <c r="BH21" s="62">
        <f t="shared" si="6"/>
        <v>7562.5</v>
      </c>
      <c r="BI21" s="62">
        <f t="shared" si="7"/>
        <v>7562.5</v>
      </c>
      <c r="BJ21" s="62">
        <f t="shared" si="8"/>
        <v>7562.5</v>
      </c>
      <c r="BK21" s="62">
        <f t="shared" si="9"/>
        <v>7562.5</v>
      </c>
      <c r="BL21" s="62">
        <f t="shared" si="10"/>
        <v>7562.5</v>
      </c>
      <c r="BM21" s="62">
        <f t="shared" si="11"/>
        <v>7562.5</v>
      </c>
      <c r="BN21" s="62">
        <f t="shared" si="12"/>
        <v>7562.5</v>
      </c>
      <c r="BO21" s="62">
        <f t="shared" si="13"/>
        <v>7562.5</v>
      </c>
      <c r="BP21" s="62">
        <f t="shared" si="14"/>
        <v>7562.5</v>
      </c>
      <c r="BQ21" s="62">
        <f t="shared" si="15"/>
        <v>7562.5</v>
      </c>
      <c r="BR21" s="62">
        <f t="shared" si="16"/>
        <v>7562.5</v>
      </c>
      <c r="BS21" s="62">
        <f t="shared" si="17"/>
        <v>7562.5</v>
      </c>
      <c r="BT21" s="62">
        <f t="shared" si="18"/>
        <v>7562.5</v>
      </c>
      <c r="BU21" s="62">
        <f t="shared" si="19"/>
        <v>7562.5</v>
      </c>
      <c r="BV21" s="62">
        <f t="shared" si="20"/>
        <v>7562.5</v>
      </c>
      <c r="BW21" s="62">
        <f t="shared" si="21"/>
        <v>7562.5</v>
      </c>
      <c r="BX21" s="62">
        <f t="shared" si="22"/>
        <v>7562.5</v>
      </c>
      <c r="BY21" s="62">
        <f t="shared" si="23"/>
        <v>7562.5</v>
      </c>
    </row>
    <row r="22" spans="1:77" x14ac:dyDescent="0.25">
      <c r="A22" s="61" t="s">
        <v>20</v>
      </c>
      <c r="B22" s="49" t="s">
        <v>1059</v>
      </c>
      <c r="C22" s="48">
        <f t="shared" si="24"/>
        <v>1.2513381497338718</v>
      </c>
      <c r="D22" s="48">
        <f>IFERROR(s_DL/(s_RadSpec!$J22*s_IFAP_res_adj*s_CF_apple),".")</f>
        <v>3.7540144492016148</v>
      </c>
      <c r="E22" s="48">
        <f>IFERROR(s_DL/(s_RadSpec!$J22*s_IFAS_res_adj*s_CF_asparagus),".")</f>
        <v>3.7540144492016148</v>
      </c>
      <c r="F22" s="48">
        <f>IFERROR(s_DL/(s_RadSpec!$J22*s_IFBT_res_adj*s_CF_beet),".")</f>
        <v>3.7540144492016148</v>
      </c>
      <c r="G22" s="48">
        <f>IFERROR(s_DL/(s_RadSpec!$J22*s_IFBE_res_adj*s_CF_berries),".")</f>
        <v>3.7540144492016148</v>
      </c>
      <c r="H22" s="48">
        <f>IFERROR(s_DL/(s_RadSpec!$J22*s_IFBR_res_adj*s_CF_broccoli),".")</f>
        <v>3.7540144492016148</v>
      </c>
      <c r="I22" s="48">
        <f>IFERROR(s_DL/(s_RadSpec!$J22*s_IFCB_res_adj*s_CF_cabbage),".")</f>
        <v>3.7540144492016148</v>
      </c>
      <c r="J22" s="48">
        <f>IFERROR(s_DL/(s_RadSpec!$J22*s_IFCR_res_adj*s_CF_carrot),".")</f>
        <v>3.7540144492016148</v>
      </c>
      <c r="K22" s="48">
        <f>IFERROR(s_DL/(s_RadSpec!$J22*s_IFCI_res_adj*s_CF_citrus),".")</f>
        <v>3.7540144492016148</v>
      </c>
      <c r="L22" s="48">
        <f>IFERROR(s_DL/(s_RadSpec!$J22*s_IFCO_res_adj*s_CF_corn),".")</f>
        <v>3.7540144492016148</v>
      </c>
      <c r="M22" s="48">
        <f>IFERROR(s_DL/(s_RadSpec!$J22*s_IFCU_res_adj*s_CF_cucumber),".")</f>
        <v>3.7540144492016148</v>
      </c>
      <c r="N22" s="48">
        <f>IFERROR(s_DL/(s_RadSpec!$J22*s_IFLE_res_adj*s_CF_lettuce),".")</f>
        <v>3.7540144492016148</v>
      </c>
      <c r="O22" s="48">
        <f>IFERROR(s_DL/(s_RadSpec!$J22*s_IFLI_res_adj*s_CF_lima_bean),".")</f>
        <v>3.7540144492016148</v>
      </c>
      <c r="P22" s="48">
        <f>IFERROR(s_DL/(s_RadSpec!$J22*s_IFOK_res_adj*s_CF_okra),".")</f>
        <v>3.7540144492016148</v>
      </c>
      <c r="Q22" s="48">
        <f>IFERROR(s_DL/(s_RadSpec!$J22*s_IFON_res_adj*s_CF_onion),".")</f>
        <v>3.7540144492016148</v>
      </c>
      <c r="R22" s="48">
        <f>IFERROR(s_DL/(s_RadSpec!$J22*s_IFPC_res_adj*s_CF_peach),".")</f>
        <v>3.7540144492016148</v>
      </c>
      <c r="S22" s="48">
        <f>IFERROR(s_DL/(s_RadSpec!$J22*s_IFPR_res_adj*s_CF_pear),".")</f>
        <v>3.7540144492016148</v>
      </c>
      <c r="T22" s="48">
        <f>IFERROR(s_DL/(s_RadSpec!$J22*s_IFPE_res_adj*s_CF_peas),".")</f>
        <v>3.7540144492016148</v>
      </c>
      <c r="U22" s="48">
        <f>IFERROR(s_DL/(s_RadSpec!$J22*s_IFPT_res_adj*s_CF_potato),".")</f>
        <v>3.7540144492016148</v>
      </c>
      <c r="V22" s="48">
        <f>IFERROR(s_DL/(s_RadSpec!$J22*s_IFPU_res_adj*s_CF_pumpkin),".")</f>
        <v>3.7540144492016148</v>
      </c>
      <c r="W22" s="48">
        <f>IFERROR(s_DL/(s_RadSpec!$J22*s_IFSN_res_adj*s_CF_snap_bean),".")</f>
        <v>3.7540144492016148</v>
      </c>
      <c r="X22" s="48">
        <f>IFERROR(s_DL/(s_RadSpec!$J22*s_IFST_res_adj*s_CF_strawberry),".")</f>
        <v>3.7540144492016148</v>
      </c>
      <c r="Y22" s="48">
        <f>IFERROR(s_DL/(s_RadSpec!$J22*s_IFTO_res_adj*s_CF_tomato),".")</f>
        <v>3.7540144492016148</v>
      </c>
      <c r="Z22" s="48">
        <f>IFERROR(s_DL/(s_RadSpec!$J22*s_IFRI_res_adj*s_CF_rice),".")</f>
        <v>3.7540144492016148</v>
      </c>
      <c r="AA22" s="48">
        <f>IFERROR(s_DL/(s_RadSpec!$J22*s_IFCG_res_adj*s_CF_cereal),".")</f>
        <v>3.7540144492016148</v>
      </c>
      <c r="AB22" s="48">
        <f t="shared" si="25"/>
        <v>1.2513381497338718</v>
      </c>
      <c r="AC22" s="48">
        <f>IFERROR(s_DL/(s_RadSpec!$J22*s_IFAP_far_adj*s_CF_apple),".")</f>
        <v>3.7540144492016148</v>
      </c>
      <c r="AD22" s="48">
        <f>IFERROR(s_DL/(s_RadSpec!$J22*s_IFAS_far_adj*s_CF_asparagus),".")</f>
        <v>3.7540144492016148</v>
      </c>
      <c r="AE22" s="48">
        <f>IFERROR(s_DL/(s_RadSpec!$J22*s_IFBT_far_adj*s_CF_beet),".")</f>
        <v>3.7540144492016148</v>
      </c>
      <c r="AF22" s="48">
        <f>IFERROR(s_DL/(s_RadSpec!$J22*s_IFBE_far_adj*s_CF_berries),".")</f>
        <v>3.7540144492016148</v>
      </c>
      <c r="AG22" s="48">
        <f>IFERROR(s_DL/(s_RadSpec!$J22*s_IFBR_far_adj*s_CF_broccoli),".")</f>
        <v>3.7540144492016148</v>
      </c>
      <c r="AH22" s="48">
        <f>IFERROR(s_DL/(s_RadSpec!$J22*s_IFCB_far_adj*s_CF_cabbage),".")</f>
        <v>3.7540144492016148</v>
      </c>
      <c r="AI22" s="48">
        <f>IFERROR(s_DL/(s_RadSpec!$J22*s_IFCR_far_adj*s_CF_carrot),".")</f>
        <v>3.7540144492016148</v>
      </c>
      <c r="AJ22" s="48">
        <f>IFERROR(s_DL/(s_RadSpec!$J22*s_IFCI_far_adj*s_CF_citrus),".")</f>
        <v>3.7540144492016148</v>
      </c>
      <c r="AK22" s="48">
        <f>IFERROR(s_DL/(s_RadSpec!$J22*s_IFCO_far_adj*s_CF_corn),".")</f>
        <v>3.7540144492016148</v>
      </c>
      <c r="AL22" s="48">
        <f>IFERROR(s_DL/(s_RadSpec!$J22*s_IFCU_far_adj*s_CF_cucumber),".")</f>
        <v>3.7540144492016148</v>
      </c>
      <c r="AM22" s="48">
        <f>IFERROR(s_DL/(s_RadSpec!$J22*s_IFLE_far_adj*s_CF_lettuce),".")</f>
        <v>3.7540144492016148</v>
      </c>
      <c r="AN22" s="48">
        <f>IFERROR(s_DL/(s_RadSpec!$J22*s_IFLI_far_adj*s_CF_lima_bean),".")</f>
        <v>3.7540144492016148</v>
      </c>
      <c r="AO22" s="48">
        <f>IFERROR(s_DL/(s_RadSpec!$J22*s_IFOK_far_adj*s_CF_okra),".")</f>
        <v>3.7540144492016148</v>
      </c>
      <c r="AP22" s="48">
        <f>IFERROR(s_DL/(s_RadSpec!$J22*s_IFON_far_adj*s_CF_onion),".")</f>
        <v>3.7540144492016148</v>
      </c>
      <c r="AQ22" s="48">
        <f>IFERROR(s_DL/(s_RadSpec!$J22*s_IFPC_far_adj*s_CF_peach),".")</f>
        <v>3.7540144492016148</v>
      </c>
      <c r="AR22" s="48">
        <f>IFERROR(s_DL/(s_RadSpec!$J22*s_IFPR_far_adj*s_CF_pear),".")</f>
        <v>3.7540144492016148</v>
      </c>
      <c r="AS22" s="48">
        <f>IFERROR(s_DL/(s_RadSpec!$J22*s_IFPE_far_adj*s_CF_peas),".")</f>
        <v>3.7540144492016148</v>
      </c>
      <c r="AT22" s="48">
        <f>IFERROR(s_DL/(s_RadSpec!$J22*s_IFPT_far_adj*s_CF_potato),".")</f>
        <v>3.7540144492016148</v>
      </c>
      <c r="AU22" s="48">
        <f>IFERROR(s_DL/(s_RadSpec!$J22*s_IFPU_far_adj*s_CF_pumpkin),".")</f>
        <v>3.7540144492016148</v>
      </c>
      <c r="AV22" s="48">
        <f>IFERROR(s_DL/(s_RadSpec!$J22*s_IFSN_far_adj*s_CF_snap_bean),".")</f>
        <v>3.7540144492016148</v>
      </c>
      <c r="AW22" s="48">
        <f>IFERROR(s_DL/(s_RadSpec!$J22*s_IFST_far_adj*s_CF_strawberry),".")</f>
        <v>3.7540144492016148</v>
      </c>
      <c r="AX22" s="48">
        <f>IFERROR(s_DL/(s_RadSpec!$J22*s_IFTO_far_adj*s_CF_tomato),".")</f>
        <v>3.7540144492016148</v>
      </c>
      <c r="AY22" s="48">
        <f>IFERROR(s_DL/(s_RadSpec!$J22*s_IFRI_far_adj*s_CF_rice),".")</f>
        <v>3.7540144492016148</v>
      </c>
      <c r="AZ22" s="48">
        <f>IFERROR(s_DL/(s_RadSpec!$J22*s_IFCG_far_adj*s_CF_cereal),".")</f>
        <v>3.7540144492016148</v>
      </c>
      <c r="BA22" s="62">
        <f t="shared" si="26"/>
        <v>22687.5</v>
      </c>
      <c r="BB22" s="62">
        <f t="shared" si="0"/>
        <v>7562.5</v>
      </c>
      <c r="BC22" s="62">
        <f t="shared" si="1"/>
        <v>7562.5</v>
      </c>
      <c r="BD22" s="62">
        <f t="shared" si="2"/>
        <v>7562.5</v>
      </c>
      <c r="BE22" s="62">
        <f t="shared" si="3"/>
        <v>7562.5</v>
      </c>
      <c r="BF22" s="62">
        <f t="shared" si="4"/>
        <v>7562.5</v>
      </c>
      <c r="BG22" s="62">
        <f t="shared" si="5"/>
        <v>7562.5</v>
      </c>
      <c r="BH22" s="62">
        <f t="shared" si="6"/>
        <v>7562.5</v>
      </c>
      <c r="BI22" s="62">
        <f t="shared" si="7"/>
        <v>7562.5</v>
      </c>
      <c r="BJ22" s="62">
        <f t="shared" si="8"/>
        <v>7562.5</v>
      </c>
      <c r="BK22" s="62">
        <f t="shared" si="9"/>
        <v>7562.5</v>
      </c>
      <c r="BL22" s="62">
        <f t="shared" si="10"/>
        <v>7562.5</v>
      </c>
      <c r="BM22" s="62">
        <f t="shared" si="11"/>
        <v>7562.5</v>
      </c>
      <c r="BN22" s="62">
        <f t="shared" si="12"/>
        <v>7562.5</v>
      </c>
      <c r="BO22" s="62">
        <f t="shared" si="13"/>
        <v>7562.5</v>
      </c>
      <c r="BP22" s="62">
        <f t="shared" si="14"/>
        <v>7562.5</v>
      </c>
      <c r="BQ22" s="62">
        <f t="shared" si="15"/>
        <v>7562.5</v>
      </c>
      <c r="BR22" s="62">
        <f t="shared" si="16"/>
        <v>7562.5</v>
      </c>
      <c r="BS22" s="62">
        <f t="shared" si="17"/>
        <v>7562.5</v>
      </c>
      <c r="BT22" s="62">
        <f t="shared" si="18"/>
        <v>7562.5</v>
      </c>
      <c r="BU22" s="62">
        <f t="shared" si="19"/>
        <v>7562.5</v>
      </c>
      <c r="BV22" s="62">
        <f t="shared" si="20"/>
        <v>7562.5</v>
      </c>
      <c r="BW22" s="62">
        <f t="shared" si="21"/>
        <v>7562.5</v>
      </c>
      <c r="BX22" s="62">
        <f t="shared" si="22"/>
        <v>7562.5</v>
      </c>
      <c r="BY22" s="62">
        <f t="shared" si="23"/>
        <v>7562.5</v>
      </c>
    </row>
    <row r="23" spans="1:77" x14ac:dyDescent="0.25">
      <c r="A23" s="63" t="s">
        <v>21</v>
      </c>
      <c r="B23" s="49" t="s">
        <v>336</v>
      </c>
      <c r="C23" s="48">
        <f t="shared" si="24"/>
        <v>0.65743593738777373</v>
      </c>
      <c r="D23" s="48">
        <f>IFERROR(s_DL/(s_RadSpec!$J23*s_IFAP_res_adj*s_CF_apple),".")</f>
        <v>1.9723078121633211</v>
      </c>
      <c r="E23" s="48">
        <f>IFERROR(s_DL/(s_RadSpec!$J23*s_IFAS_res_adj*s_CF_asparagus),".")</f>
        <v>1.9723078121633211</v>
      </c>
      <c r="F23" s="48">
        <f>IFERROR(s_DL/(s_RadSpec!$J23*s_IFBT_res_adj*s_CF_beet),".")</f>
        <v>1.9723078121633211</v>
      </c>
      <c r="G23" s="48">
        <f>IFERROR(s_DL/(s_RadSpec!$J23*s_IFBE_res_adj*s_CF_berries),".")</f>
        <v>1.9723078121633211</v>
      </c>
      <c r="H23" s="48">
        <f>IFERROR(s_DL/(s_RadSpec!$J23*s_IFBR_res_adj*s_CF_broccoli),".")</f>
        <v>1.9723078121633211</v>
      </c>
      <c r="I23" s="48">
        <f>IFERROR(s_DL/(s_RadSpec!$J23*s_IFCB_res_adj*s_CF_cabbage),".")</f>
        <v>1.9723078121633211</v>
      </c>
      <c r="J23" s="48">
        <f>IFERROR(s_DL/(s_RadSpec!$J23*s_IFCR_res_adj*s_CF_carrot),".")</f>
        <v>1.9723078121633211</v>
      </c>
      <c r="K23" s="48">
        <f>IFERROR(s_DL/(s_RadSpec!$J23*s_IFCI_res_adj*s_CF_citrus),".")</f>
        <v>1.9723078121633211</v>
      </c>
      <c r="L23" s="48">
        <f>IFERROR(s_DL/(s_RadSpec!$J23*s_IFCO_res_adj*s_CF_corn),".")</f>
        <v>1.9723078121633211</v>
      </c>
      <c r="M23" s="48">
        <f>IFERROR(s_DL/(s_RadSpec!$J23*s_IFCU_res_adj*s_CF_cucumber),".")</f>
        <v>1.9723078121633211</v>
      </c>
      <c r="N23" s="48">
        <f>IFERROR(s_DL/(s_RadSpec!$J23*s_IFLE_res_adj*s_CF_lettuce),".")</f>
        <v>1.9723078121633211</v>
      </c>
      <c r="O23" s="48">
        <f>IFERROR(s_DL/(s_RadSpec!$J23*s_IFLI_res_adj*s_CF_lima_bean),".")</f>
        <v>1.9723078121633211</v>
      </c>
      <c r="P23" s="48">
        <f>IFERROR(s_DL/(s_RadSpec!$J23*s_IFOK_res_adj*s_CF_okra),".")</f>
        <v>1.9723078121633211</v>
      </c>
      <c r="Q23" s="48">
        <f>IFERROR(s_DL/(s_RadSpec!$J23*s_IFON_res_adj*s_CF_onion),".")</f>
        <v>1.9723078121633211</v>
      </c>
      <c r="R23" s="48">
        <f>IFERROR(s_DL/(s_RadSpec!$J23*s_IFPC_res_adj*s_CF_peach),".")</f>
        <v>1.9723078121633211</v>
      </c>
      <c r="S23" s="48">
        <f>IFERROR(s_DL/(s_RadSpec!$J23*s_IFPR_res_adj*s_CF_pear),".")</f>
        <v>1.9723078121633211</v>
      </c>
      <c r="T23" s="48">
        <f>IFERROR(s_DL/(s_RadSpec!$J23*s_IFPE_res_adj*s_CF_peas),".")</f>
        <v>1.9723078121633211</v>
      </c>
      <c r="U23" s="48">
        <f>IFERROR(s_DL/(s_RadSpec!$J23*s_IFPT_res_adj*s_CF_potato),".")</f>
        <v>1.9723078121633211</v>
      </c>
      <c r="V23" s="48">
        <f>IFERROR(s_DL/(s_RadSpec!$J23*s_IFPU_res_adj*s_CF_pumpkin),".")</f>
        <v>1.9723078121633211</v>
      </c>
      <c r="W23" s="48">
        <f>IFERROR(s_DL/(s_RadSpec!$J23*s_IFSN_res_adj*s_CF_snap_bean),".")</f>
        <v>1.9723078121633211</v>
      </c>
      <c r="X23" s="48">
        <f>IFERROR(s_DL/(s_RadSpec!$J23*s_IFST_res_adj*s_CF_strawberry),".")</f>
        <v>1.9723078121633211</v>
      </c>
      <c r="Y23" s="48">
        <f>IFERROR(s_DL/(s_RadSpec!$J23*s_IFTO_res_adj*s_CF_tomato),".")</f>
        <v>1.9723078121633211</v>
      </c>
      <c r="Z23" s="48">
        <f>IFERROR(s_DL/(s_RadSpec!$J23*s_IFRI_res_adj*s_CF_rice),".")</f>
        <v>1.9723078121633211</v>
      </c>
      <c r="AA23" s="48">
        <f>IFERROR(s_DL/(s_RadSpec!$J23*s_IFCG_res_adj*s_CF_cereal),".")</f>
        <v>1.9723078121633211</v>
      </c>
      <c r="AB23" s="48">
        <f t="shared" si="25"/>
        <v>0.65743593738777373</v>
      </c>
      <c r="AC23" s="48">
        <f>IFERROR(s_DL/(s_RadSpec!$J23*s_IFAP_far_adj*s_CF_apple),".")</f>
        <v>1.9723078121633211</v>
      </c>
      <c r="AD23" s="48">
        <f>IFERROR(s_DL/(s_RadSpec!$J23*s_IFAS_far_adj*s_CF_asparagus),".")</f>
        <v>1.9723078121633211</v>
      </c>
      <c r="AE23" s="48">
        <f>IFERROR(s_DL/(s_RadSpec!$J23*s_IFBT_far_adj*s_CF_beet),".")</f>
        <v>1.9723078121633211</v>
      </c>
      <c r="AF23" s="48">
        <f>IFERROR(s_DL/(s_RadSpec!$J23*s_IFBE_far_adj*s_CF_berries),".")</f>
        <v>1.9723078121633211</v>
      </c>
      <c r="AG23" s="48">
        <f>IFERROR(s_DL/(s_RadSpec!$J23*s_IFBR_far_adj*s_CF_broccoli),".")</f>
        <v>1.9723078121633211</v>
      </c>
      <c r="AH23" s="48">
        <f>IFERROR(s_DL/(s_RadSpec!$J23*s_IFCB_far_adj*s_CF_cabbage),".")</f>
        <v>1.9723078121633211</v>
      </c>
      <c r="AI23" s="48">
        <f>IFERROR(s_DL/(s_RadSpec!$J23*s_IFCR_far_adj*s_CF_carrot),".")</f>
        <v>1.9723078121633211</v>
      </c>
      <c r="AJ23" s="48">
        <f>IFERROR(s_DL/(s_RadSpec!$J23*s_IFCI_far_adj*s_CF_citrus),".")</f>
        <v>1.9723078121633211</v>
      </c>
      <c r="AK23" s="48">
        <f>IFERROR(s_DL/(s_RadSpec!$J23*s_IFCO_far_adj*s_CF_corn),".")</f>
        <v>1.9723078121633211</v>
      </c>
      <c r="AL23" s="48">
        <f>IFERROR(s_DL/(s_RadSpec!$J23*s_IFCU_far_adj*s_CF_cucumber),".")</f>
        <v>1.9723078121633211</v>
      </c>
      <c r="AM23" s="48">
        <f>IFERROR(s_DL/(s_RadSpec!$J23*s_IFLE_far_adj*s_CF_lettuce),".")</f>
        <v>1.9723078121633211</v>
      </c>
      <c r="AN23" s="48">
        <f>IFERROR(s_DL/(s_RadSpec!$J23*s_IFLI_far_adj*s_CF_lima_bean),".")</f>
        <v>1.9723078121633211</v>
      </c>
      <c r="AO23" s="48">
        <f>IFERROR(s_DL/(s_RadSpec!$J23*s_IFOK_far_adj*s_CF_okra),".")</f>
        <v>1.9723078121633211</v>
      </c>
      <c r="AP23" s="48">
        <f>IFERROR(s_DL/(s_RadSpec!$J23*s_IFON_far_adj*s_CF_onion),".")</f>
        <v>1.9723078121633211</v>
      </c>
      <c r="AQ23" s="48">
        <f>IFERROR(s_DL/(s_RadSpec!$J23*s_IFPC_far_adj*s_CF_peach),".")</f>
        <v>1.9723078121633211</v>
      </c>
      <c r="AR23" s="48">
        <f>IFERROR(s_DL/(s_RadSpec!$J23*s_IFPR_far_adj*s_CF_pear),".")</f>
        <v>1.9723078121633211</v>
      </c>
      <c r="AS23" s="48">
        <f>IFERROR(s_DL/(s_RadSpec!$J23*s_IFPE_far_adj*s_CF_peas),".")</f>
        <v>1.9723078121633211</v>
      </c>
      <c r="AT23" s="48">
        <f>IFERROR(s_DL/(s_RadSpec!$J23*s_IFPT_far_adj*s_CF_potato),".")</f>
        <v>1.9723078121633211</v>
      </c>
      <c r="AU23" s="48">
        <f>IFERROR(s_DL/(s_RadSpec!$J23*s_IFPU_far_adj*s_CF_pumpkin),".")</f>
        <v>1.9723078121633211</v>
      </c>
      <c r="AV23" s="48">
        <f>IFERROR(s_DL/(s_RadSpec!$J23*s_IFSN_far_adj*s_CF_snap_bean),".")</f>
        <v>1.9723078121633211</v>
      </c>
      <c r="AW23" s="48">
        <f>IFERROR(s_DL/(s_RadSpec!$J23*s_IFST_far_adj*s_CF_strawberry),".")</f>
        <v>1.9723078121633211</v>
      </c>
      <c r="AX23" s="48">
        <f>IFERROR(s_DL/(s_RadSpec!$J23*s_IFTO_far_adj*s_CF_tomato),".")</f>
        <v>1.9723078121633211</v>
      </c>
      <c r="AY23" s="48">
        <f>IFERROR(s_DL/(s_RadSpec!$J23*s_IFRI_far_adj*s_CF_rice),".")</f>
        <v>1.9723078121633211</v>
      </c>
      <c r="AZ23" s="48">
        <f>IFERROR(s_DL/(s_RadSpec!$J23*s_IFCG_far_adj*s_CF_cereal),".")</f>
        <v>1.9723078121633211</v>
      </c>
      <c r="BA23" s="62">
        <f t="shared" si="26"/>
        <v>22687.5</v>
      </c>
      <c r="BB23" s="62">
        <f t="shared" si="0"/>
        <v>7562.5</v>
      </c>
      <c r="BC23" s="62">
        <f t="shared" si="1"/>
        <v>7562.5</v>
      </c>
      <c r="BD23" s="62">
        <f t="shared" si="2"/>
        <v>7562.5</v>
      </c>
      <c r="BE23" s="62">
        <f t="shared" si="3"/>
        <v>7562.5</v>
      </c>
      <c r="BF23" s="62">
        <f t="shared" si="4"/>
        <v>7562.5</v>
      </c>
      <c r="BG23" s="62">
        <f t="shared" si="5"/>
        <v>7562.5</v>
      </c>
      <c r="BH23" s="62">
        <f t="shared" si="6"/>
        <v>7562.5</v>
      </c>
      <c r="BI23" s="62">
        <f t="shared" si="7"/>
        <v>7562.5</v>
      </c>
      <c r="BJ23" s="62">
        <f t="shared" si="8"/>
        <v>7562.5</v>
      </c>
      <c r="BK23" s="62">
        <f t="shared" si="9"/>
        <v>7562.5</v>
      </c>
      <c r="BL23" s="62">
        <f t="shared" si="10"/>
        <v>7562.5</v>
      </c>
      <c r="BM23" s="62">
        <f t="shared" si="11"/>
        <v>7562.5</v>
      </c>
      <c r="BN23" s="62">
        <f t="shared" si="12"/>
        <v>7562.5</v>
      </c>
      <c r="BO23" s="62">
        <f t="shared" si="13"/>
        <v>7562.5</v>
      </c>
      <c r="BP23" s="62">
        <f t="shared" si="14"/>
        <v>7562.5</v>
      </c>
      <c r="BQ23" s="62">
        <f t="shared" si="15"/>
        <v>7562.5</v>
      </c>
      <c r="BR23" s="62">
        <f t="shared" si="16"/>
        <v>7562.5</v>
      </c>
      <c r="BS23" s="62">
        <f t="shared" si="17"/>
        <v>7562.5</v>
      </c>
      <c r="BT23" s="62">
        <f t="shared" si="18"/>
        <v>7562.5</v>
      </c>
      <c r="BU23" s="62">
        <f t="shared" si="19"/>
        <v>7562.5</v>
      </c>
      <c r="BV23" s="62">
        <f t="shared" si="20"/>
        <v>7562.5</v>
      </c>
      <c r="BW23" s="62">
        <f t="shared" si="21"/>
        <v>7562.5</v>
      </c>
      <c r="BX23" s="62">
        <f t="shared" si="22"/>
        <v>7562.5</v>
      </c>
      <c r="BY23" s="62">
        <f t="shared" si="23"/>
        <v>7562.5</v>
      </c>
    </row>
    <row r="24" spans="1:77" x14ac:dyDescent="0.25">
      <c r="A24" s="61" t="s">
        <v>22</v>
      </c>
      <c r="B24" s="49" t="s">
        <v>1059</v>
      </c>
      <c r="C24" s="48" t="str">
        <f t="shared" si="24"/>
        <v>.</v>
      </c>
      <c r="D24" s="48" t="str">
        <f>IFERROR(s_DL/(s_RadSpec!$J24*s_IFAP_res_adj*s_CF_apple),".")</f>
        <v>.</v>
      </c>
      <c r="E24" s="48" t="str">
        <f>IFERROR(s_DL/(s_RadSpec!$J24*s_IFAS_res_adj*s_CF_asparagus),".")</f>
        <v>.</v>
      </c>
      <c r="F24" s="48" t="str">
        <f>IFERROR(s_DL/(s_RadSpec!$J24*s_IFBT_res_adj*s_CF_beet),".")</f>
        <v>.</v>
      </c>
      <c r="G24" s="48" t="str">
        <f>IFERROR(s_DL/(s_RadSpec!$J24*s_IFBE_res_adj*s_CF_berries),".")</f>
        <v>.</v>
      </c>
      <c r="H24" s="48" t="str">
        <f>IFERROR(s_DL/(s_RadSpec!$J24*s_IFBR_res_adj*s_CF_broccoli),".")</f>
        <v>.</v>
      </c>
      <c r="I24" s="48" t="str">
        <f>IFERROR(s_DL/(s_RadSpec!$J24*s_IFCB_res_adj*s_CF_cabbage),".")</f>
        <v>.</v>
      </c>
      <c r="J24" s="48" t="str">
        <f>IFERROR(s_DL/(s_RadSpec!$J24*s_IFCR_res_adj*s_CF_carrot),".")</f>
        <v>.</v>
      </c>
      <c r="K24" s="48" t="str">
        <f>IFERROR(s_DL/(s_RadSpec!$J24*s_IFCI_res_adj*s_CF_citrus),".")</f>
        <v>.</v>
      </c>
      <c r="L24" s="48" t="str">
        <f>IFERROR(s_DL/(s_RadSpec!$J24*s_IFCO_res_adj*s_CF_corn),".")</f>
        <v>.</v>
      </c>
      <c r="M24" s="48" t="str">
        <f>IFERROR(s_DL/(s_RadSpec!$J24*s_IFCU_res_adj*s_CF_cucumber),".")</f>
        <v>.</v>
      </c>
      <c r="N24" s="48" t="str">
        <f>IFERROR(s_DL/(s_RadSpec!$J24*s_IFLE_res_adj*s_CF_lettuce),".")</f>
        <v>.</v>
      </c>
      <c r="O24" s="48" t="str">
        <f>IFERROR(s_DL/(s_RadSpec!$J24*s_IFLI_res_adj*s_CF_lima_bean),".")</f>
        <v>.</v>
      </c>
      <c r="P24" s="48" t="str">
        <f>IFERROR(s_DL/(s_RadSpec!$J24*s_IFOK_res_adj*s_CF_okra),".")</f>
        <v>.</v>
      </c>
      <c r="Q24" s="48" t="str">
        <f>IFERROR(s_DL/(s_RadSpec!$J24*s_IFON_res_adj*s_CF_onion),".")</f>
        <v>.</v>
      </c>
      <c r="R24" s="48" t="str">
        <f>IFERROR(s_DL/(s_RadSpec!$J24*s_IFPC_res_adj*s_CF_peach),".")</f>
        <v>.</v>
      </c>
      <c r="S24" s="48" t="str">
        <f>IFERROR(s_DL/(s_RadSpec!$J24*s_IFPR_res_adj*s_CF_pear),".")</f>
        <v>.</v>
      </c>
      <c r="T24" s="48" t="str">
        <f>IFERROR(s_DL/(s_RadSpec!$J24*s_IFPE_res_adj*s_CF_peas),".")</f>
        <v>.</v>
      </c>
      <c r="U24" s="48" t="str">
        <f>IFERROR(s_DL/(s_RadSpec!$J24*s_IFPT_res_adj*s_CF_potato),".")</f>
        <v>.</v>
      </c>
      <c r="V24" s="48" t="str">
        <f>IFERROR(s_DL/(s_RadSpec!$J24*s_IFPU_res_adj*s_CF_pumpkin),".")</f>
        <v>.</v>
      </c>
      <c r="W24" s="48" t="str">
        <f>IFERROR(s_DL/(s_RadSpec!$J24*s_IFSN_res_adj*s_CF_snap_bean),".")</f>
        <v>.</v>
      </c>
      <c r="X24" s="48" t="str">
        <f>IFERROR(s_DL/(s_RadSpec!$J24*s_IFST_res_adj*s_CF_strawberry),".")</f>
        <v>.</v>
      </c>
      <c r="Y24" s="48" t="str">
        <f>IFERROR(s_DL/(s_RadSpec!$J24*s_IFTO_res_adj*s_CF_tomato),".")</f>
        <v>.</v>
      </c>
      <c r="Z24" s="48" t="str">
        <f>IFERROR(s_DL/(s_RadSpec!$J24*s_IFRI_res_adj*s_CF_rice),".")</f>
        <v>.</v>
      </c>
      <c r="AA24" s="48" t="str">
        <f>IFERROR(s_DL/(s_RadSpec!$J24*s_IFCG_res_adj*s_CF_cereal),".")</f>
        <v>.</v>
      </c>
      <c r="AB24" s="48" t="str">
        <f t="shared" si="25"/>
        <v>.</v>
      </c>
      <c r="AC24" s="48" t="str">
        <f>IFERROR(s_DL/(s_RadSpec!$J24*s_IFAP_far_adj*s_CF_apple),".")</f>
        <v>.</v>
      </c>
      <c r="AD24" s="48" t="str">
        <f>IFERROR(s_DL/(s_RadSpec!$J24*s_IFAS_far_adj*s_CF_asparagus),".")</f>
        <v>.</v>
      </c>
      <c r="AE24" s="48" t="str">
        <f>IFERROR(s_DL/(s_RadSpec!$J24*s_IFBT_far_adj*s_CF_beet),".")</f>
        <v>.</v>
      </c>
      <c r="AF24" s="48" t="str">
        <f>IFERROR(s_DL/(s_RadSpec!$J24*s_IFBE_far_adj*s_CF_berries),".")</f>
        <v>.</v>
      </c>
      <c r="AG24" s="48" t="str">
        <f>IFERROR(s_DL/(s_RadSpec!$J24*s_IFBR_far_adj*s_CF_broccoli),".")</f>
        <v>.</v>
      </c>
      <c r="AH24" s="48" t="str">
        <f>IFERROR(s_DL/(s_RadSpec!$J24*s_IFCB_far_adj*s_CF_cabbage),".")</f>
        <v>.</v>
      </c>
      <c r="AI24" s="48" t="str">
        <f>IFERROR(s_DL/(s_RadSpec!$J24*s_IFCR_far_adj*s_CF_carrot),".")</f>
        <v>.</v>
      </c>
      <c r="AJ24" s="48" t="str">
        <f>IFERROR(s_DL/(s_RadSpec!$J24*s_IFCI_far_adj*s_CF_citrus),".")</f>
        <v>.</v>
      </c>
      <c r="AK24" s="48" t="str">
        <f>IFERROR(s_DL/(s_RadSpec!$J24*s_IFCO_far_adj*s_CF_corn),".")</f>
        <v>.</v>
      </c>
      <c r="AL24" s="48" t="str">
        <f>IFERROR(s_DL/(s_RadSpec!$J24*s_IFCU_far_adj*s_CF_cucumber),".")</f>
        <v>.</v>
      </c>
      <c r="AM24" s="48" t="str">
        <f>IFERROR(s_DL/(s_RadSpec!$J24*s_IFLE_far_adj*s_CF_lettuce),".")</f>
        <v>.</v>
      </c>
      <c r="AN24" s="48" t="str">
        <f>IFERROR(s_DL/(s_RadSpec!$J24*s_IFLI_far_adj*s_CF_lima_bean),".")</f>
        <v>.</v>
      </c>
      <c r="AO24" s="48" t="str">
        <f>IFERROR(s_DL/(s_RadSpec!$J24*s_IFOK_far_adj*s_CF_okra),".")</f>
        <v>.</v>
      </c>
      <c r="AP24" s="48" t="str">
        <f>IFERROR(s_DL/(s_RadSpec!$J24*s_IFON_far_adj*s_CF_onion),".")</f>
        <v>.</v>
      </c>
      <c r="AQ24" s="48" t="str">
        <f>IFERROR(s_DL/(s_RadSpec!$J24*s_IFPC_far_adj*s_CF_peach),".")</f>
        <v>.</v>
      </c>
      <c r="AR24" s="48" t="str">
        <f>IFERROR(s_DL/(s_RadSpec!$J24*s_IFPR_far_adj*s_CF_pear),".")</f>
        <v>.</v>
      </c>
      <c r="AS24" s="48" t="str">
        <f>IFERROR(s_DL/(s_RadSpec!$J24*s_IFPE_far_adj*s_CF_peas),".")</f>
        <v>.</v>
      </c>
      <c r="AT24" s="48" t="str">
        <f>IFERROR(s_DL/(s_RadSpec!$J24*s_IFPT_far_adj*s_CF_potato),".")</f>
        <v>.</v>
      </c>
      <c r="AU24" s="48" t="str">
        <f>IFERROR(s_DL/(s_RadSpec!$J24*s_IFPU_far_adj*s_CF_pumpkin),".")</f>
        <v>.</v>
      </c>
      <c r="AV24" s="48" t="str">
        <f>IFERROR(s_DL/(s_RadSpec!$J24*s_IFSN_far_adj*s_CF_snap_bean),".")</f>
        <v>.</v>
      </c>
      <c r="AW24" s="48" t="str">
        <f>IFERROR(s_DL/(s_RadSpec!$J24*s_IFST_far_adj*s_CF_strawberry),".")</f>
        <v>.</v>
      </c>
      <c r="AX24" s="48" t="str">
        <f>IFERROR(s_DL/(s_RadSpec!$J24*s_IFTO_far_adj*s_CF_tomato),".")</f>
        <v>.</v>
      </c>
      <c r="AY24" s="48" t="str">
        <f>IFERROR(s_DL/(s_RadSpec!$J24*s_IFRI_far_adj*s_CF_rice),".")</f>
        <v>.</v>
      </c>
      <c r="AZ24" s="48" t="str">
        <f>IFERROR(s_DL/(s_RadSpec!$J24*s_IFCG_far_adj*s_CF_cereal),".")</f>
        <v>.</v>
      </c>
      <c r="BA24" s="62">
        <f t="shared" si="26"/>
        <v>22687.5</v>
      </c>
      <c r="BB24" s="62">
        <f t="shared" si="0"/>
        <v>7562.5</v>
      </c>
      <c r="BC24" s="62">
        <f t="shared" si="1"/>
        <v>7562.5</v>
      </c>
      <c r="BD24" s="62">
        <f t="shared" si="2"/>
        <v>7562.5</v>
      </c>
      <c r="BE24" s="62">
        <f t="shared" si="3"/>
        <v>7562.5</v>
      </c>
      <c r="BF24" s="62">
        <f t="shared" si="4"/>
        <v>7562.5</v>
      </c>
      <c r="BG24" s="62">
        <f t="shared" si="5"/>
        <v>7562.5</v>
      </c>
      <c r="BH24" s="62">
        <f t="shared" si="6"/>
        <v>7562.5</v>
      </c>
      <c r="BI24" s="62">
        <f t="shared" si="7"/>
        <v>7562.5</v>
      </c>
      <c r="BJ24" s="62">
        <f t="shared" si="8"/>
        <v>7562.5</v>
      </c>
      <c r="BK24" s="62">
        <f t="shared" si="9"/>
        <v>7562.5</v>
      </c>
      <c r="BL24" s="62">
        <f t="shared" si="10"/>
        <v>7562.5</v>
      </c>
      <c r="BM24" s="62">
        <f t="shared" si="11"/>
        <v>7562.5</v>
      </c>
      <c r="BN24" s="62">
        <f t="shared" si="12"/>
        <v>7562.5</v>
      </c>
      <c r="BO24" s="62">
        <f t="shared" si="13"/>
        <v>7562.5</v>
      </c>
      <c r="BP24" s="62">
        <f t="shared" si="14"/>
        <v>7562.5</v>
      </c>
      <c r="BQ24" s="62">
        <f t="shared" si="15"/>
        <v>7562.5</v>
      </c>
      <c r="BR24" s="62">
        <f t="shared" si="16"/>
        <v>7562.5</v>
      </c>
      <c r="BS24" s="62">
        <f t="shared" si="17"/>
        <v>7562.5</v>
      </c>
      <c r="BT24" s="62">
        <f t="shared" si="18"/>
        <v>7562.5</v>
      </c>
      <c r="BU24" s="62">
        <f t="shared" si="19"/>
        <v>7562.5</v>
      </c>
      <c r="BV24" s="62">
        <f t="shared" si="20"/>
        <v>7562.5</v>
      </c>
      <c r="BW24" s="62">
        <f t="shared" si="21"/>
        <v>7562.5</v>
      </c>
      <c r="BX24" s="62">
        <f t="shared" si="22"/>
        <v>7562.5</v>
      </c>
      <c r="BY24" s="62">
        <f t="shared" si="23"/>
        <v>7562.5</v>
      </c>
    </row>
    <row r="25" spans="1:77" x14ac:dyDescent="0.25">
      <c r="A25" s="63" t="s">
        <v>23</v>
      </c>
      <c r="B25" s="49" t="s">
        <v>336</v>
      </c>
      <c r="C25" s="48" t="str">
        <f t="shared" si="24"/>
        <v>.</v>
      </c>
      <c r="D25" s="48" t="str">
        <f>IFERROR(s_DL/(s_RadSpec!$J25*s_IFAP_res_adj*s_CF_apple),".")</f>
        <v>.</v>
      </c>
      <c r="E25" s="48" t="str">
        <f>IFERROR(s_DL/(s_RadSpec!$J25*s_IFAS_res_adj*s_CF_asparagus),".")</f>
        <v>.</v>
      </c>
      <c r="F25" s="48" t="str">
        <f>IFERROR(s_DL/(s_RadSpec!$J25*s_IFBT_res_adj*s_CF_beet),".")</f>
        <v>.</v>
      </c>
      <c r="G25" s="48" t="str">
        <f>IFERROR(s_DL/(s_RadSpec!$J25*s_IFBE_res_adj*s_CF_berries),".")</f>
        <v>.</v>
      </c>
      <c r="H25" s="48" t="str">
        <f>IFERROR(s_DL/(s_RadSpec!$J25*s_IFBR_res_adj*s_CF_broccoli),".")</f>
        <v>.</v>
      </c>
      <c r="I25" s="48" t="str">
        <f>IFERROR(s_DL/(s_RadSpec!$J25*s_IFCB_res_adj*s_CF_cabbage),".")</f>
        <v>.</v>
      </c>
      <c r="J25" s="48" t="str">
        <f>IFERROR(s_DL/(s_RadSpec!$J25*s_IFCR_res_adj*s_CF_carrot),".")</f>
        <v>.</v>
      </c>
      <c r="K25" s="48" t="str">
        <f>IFERROR(s_DL/(s_RadSpec!$J25*s_IFCI_res_adj*s_CF_citrus),".")</f>
        <v>.</v>
      </c>
      <c r="L25" s="48" t="str">
        <f>IFERROR(s_DL/(s_RadSpec!$J25*s_IFCO_res_adj*s_CF_corn),".")</f>
        <v>.</v>
      </c>
      <c r="M25" s="48" t="str">
        <f>IFERROR(s_DL/(s_RadSpec!$J25*s_IFCU_res_adj*s_CF_cucumber),".")</f>
        <v>.</v>
      </c>
      <c r="N25" s="48" t="str">
        <f>IFERROR(s_DL/(s_RadSpec!$J25*s_IFLE_res_adj*s_CF_lettuce),".")</f>
        <v>.</v>
      </c>
      <c r="O25" s="48" t="str">
        <f>IFERROR(s_DL/(s_RadSpec!$J25*s_IFLI_res_adj*s_CF_lima_bean),".")</f>
        <v>.</v>
      </c>
      <c r="P25" s="48" t="str">
        <f>IFERROR(s_DL/(s_RadSpec!$J25*s_IFOK_res_adj*s_CF_okra),".")</f>
        <v>.</v>
      </c>
      <c r="Q25" s="48" t="str">
        <f>IFERROR(s_DL/(s_RadSpec!$J25*s_IFON_res_adj*s_CF_onion),".")</f>
        <v>.</v>
      </c>
      <c r="R25" s="48" t="str">
        <f>IFERROR(s_DL/(s_RadSpec!$J25*s_IFPC_res_adj*s_CF_peach),".")</f>
        <v>.</v>
      </c>
      <c r="S25" s="48" t="str">
        <f>IFERROR(s_DL/(s_RadSpec!$J25*s_IFPR_res_adj*s_CF_pear),".")</f>
        <v>.</v>
      </c>
      <c r="T25" s="48" t="str">
        <f>IFERROR(s_DL/(s_RadSpec!$J25*s_IFPE_res_adj*s_CF_peas),".")</f>
        <v>.</v>
      </c>
      <c r="U25" s="48" t="str">
        <f>IFERROR(s_DL/(s_RadSpec!$J25*s_IFPT_res_adj*s_CF_potato),".")</f>
        <v>.</v>
      </c>
      <c r="V25" s="48" t="str">
        <f>IFERROR(s_DL/(s_RadSpec!$J25*s_IFPU_res_adj*s_CF_pumpkin),".")</f>
        <v>.</v>
      </c>
      <c r="W25" s="48" t="str">
        <f>IFERROR(s_DL/(s_RadSpec!$J25*s_IFSN_res_adj*s_CF_snap_bean),".")</f>
        <v>.</v>
      </c>
      <c r="X25" s="48" t="str">
        <f>IFERROR(s_DL/(s_RadSpec!$J25*s_IFST_res_adj*s_CF_strawberry),".")</f>
        <v>.</v>
      </c>
      <c r="Y25" s="48" t="str">
        <f>IFERROR(s_DL/(s_RadSpec!$J25*s_IFTO_res_adj*s_CF_tomato),".")</f>
        <v>.</v>
      </c>
      <c r="Z25" s="48" t="str">
        <f>IFERROR(s_DL/(s_RadSpec!$J25*s_IFRI_res_adj*s_CF_rice),".")</f>
        <v>.</v>
      </c>
      <c r="AA25" s="48" t="str">
        <f>IFERROR(s_DL/(s_RadSpec!$J25*s_IFCG_res_adj*s_CF_cereal),".")</f>
        <v>.</v>
      </c>
      <c r="AB25" s="48" t="str">
        <f t="shared" si="25"/>
        <v>.</v>
      </c>
      <c r="AC25" s="48" t="str">
        <f>IFERROR(s_DL/(s_RadSpec!$J25*s_IFAP_far_adj*s_CF_apple),".")</f>
        <v>.</v>
      </c>
      <c r="AD25" s="48" t="str">
        <f>IFERROR(s_DL/(s_RadSpec!$J25*s_IFAS_far_adj*s_CF_asparagus),".")</f>
        <v>.</v>
      </c>
      <c r="AE25" s="48" t="str">
        <f>IFERROR(s_DL/(s_RadSpec!$J25*s_IFBT_far_adj*s_CF_beet),".")</f>
        <v>.</v>
      </c>
      <c r="AF25" s="48" t="str">
        <f>IFERROR(s_DL/(s_RadSpec!$J25*s_IFBE_far_adj*s_CF_berries),".")</f>
        <v>.</v>
      </c>
      <c r="AG25" s="48" t="str">
        <f>IFERROR(s_DL/(s_RadSpec!$J25*s_IFBR_far_adj*s_CF_broccoli),".")</f>
        <v>.</v>
      </c>
      <c r="AH25" s="48" t="str">
        <f>IFERROR(s_DL/(s_RadSpec!$J25*s_IFCB_far_adj*s_CF_cabbage),".")</f>
        <v>.</v>
      </c>
      <c r="AI25" s="48" t="str">
        <f>IFERROR(s_DL/(s_RadSpec!$J25*s_IFCR_far_adj*s_CF_carrot),".")</f>
        <v>.</v>
      </c>
      <c r="AJ25" s="48" t="str">
        <f>IFERROR(s_DL/(s_RadSpec!$J25*s_IFCI_far_adj*s_CF_citrus),".")</f>
        <v>.</v>
      </c>
      <c r="AK25" s="48" t="str">
        <f>IFERROR(s_DL/(s_RadSpec!$J25*s_IFCO_far_adj*s_CF_corn),".")</f>
        <v>.</v>
      </c>
      <c r="AL25" s="48" t="str">
        <f>IFERROR(s_DL/(s_RadSpec!$J25*s_IFCU_far_adj*s_CF_cucumber),".")</f>
        <v>.</v>
      </c>
      <c r="AM25" s="48" t="str">
        <f>IFERROR(s_DL/(s_RadSpec!$J25*s_IFLE_far_adj*s_CF_lettuce),".")</f>
        <v>.</v>
      </c>
      <c r="AN25" s="48" t="str">
        <f>IFERROR(s_DL/(s_RadSpec!$J25*s_IFLI_far_adj*s_CF_lima_bean),".")</f>
        <v>.</v>
      </c>
      <c r="AO25" s="48" t="str">
        <f>IFERROR(s_DL/(s_RadSpec!$J25*s_IFOK_far_adj*s_CF_okra),".")</f>
        <v>.</v>
      </c>
      <c r="AP25" s="48" t="str">
        <f>IFERROR(s_DL/(s_RadSpec!$J25*s_IFON_far_adj*s_CF_onion),".")</f>
        <v>.</v>
      </c>
      <c r="AQ25" s="48" t="str">
        <f>IFERROR(s_DL/(s_RadSpec!$J25*s_IFPC_far_adj*s_CF_peach),".")</f>
        <v>.</v>
      </c>
      <c r="AR25" s="48" t="str">
        <f>IFERROR(s_DL/(s_RadSpec!$J25*s_IFPR_far_adj*s_CF_pear),".")</f>
        <v>.</v>
      </c>
      <c r="AS25" s="48" t="str">
        <f>IFERROR(s_DL/(s_RadSpec!$J25*s_IFPE_far_adj*s_CF_peas),".")</f>
        <v>.</v>
      </c>
      <c r="AT25" s="48" t="str">
        <f>IFERROR(s_DL/(s_RadSpec!$J25*s_IFPT_far_adj*s_CF_potato),".")</f>
        <v>.</v>
      </c>
      <c r="AU25" s="48" t="str">
        <f>IFERROR(s_DL/(s_RadSpec!$J25*s_IFPU_far_adj*s_CF_pumpkin),".")</f>
        <v>.</v>
      </c>
      <c r="AV25" s="48" t="str">
        <f>IFERROR(s_DL/(s_RadSpec!$J25*s_IFSN_far_adj*s_CF_snap_bean),".")</f>
        <v>.</v>
      </c>
      <c r="AW25" s="48" t="str">
        <f>IFERROR(s_DL/(s_RadSpec!$J25*s_IFST_far_adj*s_CF_strawberry),".")</f>
        <v>.</v>
      </c>
      <c r="AX25" s="48" t="str">
        <f>IFERROR(s_DL/(s_RadSpec!$J25*s_IFTO_far_adj*s_CF_tomato),".")</f>
        <v>.</v>
      </c>
      <c r="AY25" s="48" t="str">
        <f>IFERROR(s_DL/(s_RadSpec!$J25*s_IFRI_far_adj*s_CF_rice),".")</f>
        <v>.</v>
      </c>
      <c r="AZ25" s="48" t="str">
        <f>IFERROR(s_DL/(s_RadSpec!$J25*s_IFCG_far_adj*s_CF_cereal),".")</f>
        <v>.</v>
      </c>
      <c r="BA25" s="62">
        <f t="shared" si="26"/>
        <v>22687.5</v>
      </c>
      <c r="BB25" s="62">
        <f t="shared" si="0"/>
        <v>7562.5</v>
      </c>
      <c r="BC25" s="62">
        <f t="shared" si="1"/>
        <v>7562.5</v>
      </c>
      <c r="BD25" s="62">
        <f t="shared" si="2"/>
        <v>7562.5</v>
      </c>
      <c r="BE25" s="62">
        <f t="shared" si="3"/>
        <v>7562.5</v>
      </c>
      <c r="BF25" s="62">
        <f t="shared" si="4"/>
        <v>7562.5</v>
      </c>
      <c r="BG25" s="62">
        <f t="shared" si="5"/>
        <v>7562.5</v>
      </c>
      <c r="BH25" s="62">
        <f t="shared" si="6"/>
        <v>7562.5</v>
      </c>
      <c r="BI25" s="62">
        <f t="shared" si="7"/>
        <v>7562.5</v>
      </c>
      <c r="BJ25" s="62">
        <f t="shared" si="8"/>
        <v>7562.5</v>
      </c>
      <c r="BK25" s="62">
        <f t="shared" si="9"/>
        <v>7562.5</v>
      </c>
      <c r="BL25" s="62">
        <f t="shared" si="10"/>
        <v>7562.5</v>
      </c>
      <c r="BM25" s="62">
        <f t="shared" si="11"/>
        <v>7562.5</v>
      </c>
      <c r="BN25" s="62">
        <f t="shared" si="12"/>
        <v>7562.5</v>
      </c>
      <c r="BO25" s="62">
        <f t="shared" si="13"/>
        <v>7562.5</v>
      </c>
      <c r="BP25" s="62">
        <f t="shared" si="14"/>
        <v>7562.5</v>
      </c>
      <c r="BQ25" s="62">
        <f t="shared" si="15"/>
        <v>7562.5</v>
      </c>
      <c r="BR25" s="62">
        <f t="shared" si="16"/>
        <v>7562.5</v>
      </c>
      <c r="BS25" s="62">
        <f t="shared" si="17"/>
        <v>7562.5</v>
      </c>
      <c r="BT25" s="62">
        <f t="shared" si="18"/>
        <v>7562.5</v>
      </c>
      <c r="BU25" s="62">
        <f t="shared" si="19"/>
        <v>7562.5</v>
      </c>
      <c r="BV25" s="62">
        <f t="shared" si="20"/>
        <v>7562.5</v>
      </c>
      <c r="BW25" s="62">
        <f t="shared" si="21"/>
        <v>7562.5</v>
      </c>
      <c r="BX25" s="62">
        <f t="shared" si="22"/>
        <v>7562.5</v>
      </c>
      <c r="BY25" s="62">
        <f t="shared" si="23"/>
        <v>7562.5</v>
      </c>
    </row>
    <row r="26" spans="1:77" x14ac:dyDescent="0.25">
      <c r="A26" s="61" t="s">
        <v>24</v>
      </c>
      <c r="B26" s="49" t="s">
        <v>1059</v>
      </c>
      <c r="C26" s="48">
        <f t="shared" si="24"/>
        <v>0.48902870219484634</v>
      </c>
      <c r="D26" s="48">
        <f>IFERROR(s_DL/(s_RadSpec!$J26*s_IFAP_res_adj*s_CF_apple),".")</f>
        <v>1.4670861065845391</v>
      </c>
      <c r="E26" s="48">
        <f>IFERROR(s_DL/(s_RadSpec!$J26*s_IFAS_res_adj*s_CF_asparagus),".")</f>
        <v>1.4670861065845391</v>
      </c>
      <c r="F26" s="48">
        <f>IFERROR(s_DL/(s_RadSpec!$J26*s_IFBT_res_adj*s_CF_beet),".")</f>
        <v>1.4670861065845391</v>
      </c>
      <c r="G26" s="48">
        <f>IFERROR(s_DL/(s_RadSpec!$J26*s_IFBE_res_adj*s_CF_berries),".")</f>
        <v>1.4670861065845391</v>
      </c>
      <c r="H26" s="48">
        <f>IFERROR(s_DL/(s_RadSpec!$J26*s_IFBR_res_adj*s_CF_broccoli),".")</f>
        <v>1.4670861065845391</v>
      </c>
      <c r="I26" s="48">
        <f>IFERROR(s_DL/(s_RadSpec!$J26*s_IFCB_res_adj*s_CF_cabbage),".")</f>
        <v>1.4670861065845391</v>
      </c>
      <c r="J26" s="48">
        <f>IFERROR(s_DL/(s_RadSpec!$J26*s_IFCR_res_adj*s_CF_carrot),".")</f>
        <v>1.4670861065845391</v>
      </c>
      <c r="K26" s="48">
        <f>IFERROR(s_DL/(s_RadSpec!$J26*s_IFCI_res_adj*s_CF_citrus),".")</f>
        <v>1.4670861065845391</v>
      </c>
      <c r="L26" s="48">
        <f>IFERROR(s_DL/(s_RadSpec!$J26*s_IFCO_res_adj*s_CF_corn),".")</f>
        <v>1.4670861065845391</v>
      </c>
      <c r="M26" s="48">
        <f>IFERROR(s_DL/(s_RadSpec!$J26*s_IFCU_res_adj*s_CF_cucumber),".")</f>
        <v>1.4670861065845391</v>
      </c>
      <c r="N26" s="48">
        <f>IFERROR(s_DL/(s_RadSpec!$J26*s_IFLE_res_adj*s_CF_lettuce),".")</f>
        <v>1.4670861065845391</v>
      </c>
      <c r="O26" s="48">
        <f>IFERROR(s_DL/(s_RadSpec!$J26*s_IFLI_res_adj*s_CF_lima_bean),".")</f>
        <v>1.4670861065845391</v>
      </c>
      <c r="P26" s="48">
        <f>IFERROR(s_DL/(s_RadSpec!$J26*s_IFOK_res_adj*s_CF_okra),".")</f>
        <v>1.4670861065845391</v>
      </c>
      <c r="Q26" s="48">
        <f>IFERROR(s_DL/(s_RadSpec!$J26*s_IFON_res_adj*s_CF_onion),".")</f>
        <v>1.4670861065845391</v>
      </c>
      <c r="R26" s="48">
        <f>IFERROR(s_DL/(s_RadSpec!$J26*s_IFPC_res_adj*s_CF_peach),".")</f>
        <v>1.4670861065845391</v>
      </c>
      <c r="S26" s="48">
        <f>IFERROR(s_DL/(s_RadSpec!$J26*s_IFPR_res_adj*s_CF_pear),".")</f>
        <v>1.4670861065845391</v>
      </c>
      <c r="T26" s="48">
        <f>IFERROR(s_DL/(s_RadSpec!$J26*s_IFPE_res_adj*s_CF_peas),".")</f>
        <v>1.4670861065845391</v>
      </c>
      <c r="U26" s="48">
        <f>IFERROR(s_DL/(s_RadSpec!$J26*s_IFPT_res_adj*s_CF_potato),".")</f>
        <v>1.4670861065845391</v>
      </c>
      <c r="V26" s="48">
        <f>IFERROR(s_DL/(s_RadSpec!$J26*s_IFPU_res_adj*s_CF_pumpkin),".")</f>
        <v>1.4670861065845391</v>
      </c>
      <c r="W26" s="48">
        <f>IFERROR(s_DL/(s_RadSpec!$J26*s_IFSN_res_adj*s_CF_snap_bean),".")</f>
        <v>1.4670861065845391</v>
      </c>
      <c r="X26" s="48">
        <f>IFERROR(s_DL/(s_RadSpec!$J26*s_IFST_res_adj*s_CF_strawberry),".")</f>
        <v>1.4670861065845391</v>
      </c>
      <c r="Y26" s="48">
        <f>IFERROR(s_DL/(s_RadSpec!$J26*s_IFTO_res_adj*s_CF_tomato),".")</f>
        <v>1.4670861065845391</v>
      </c>
      <c r="Z26" s="48">
        <f>IFERROR(s_DL/(s_RadSpec!$J26*s_IFRI_res_adj*s_CF_rice),".")</f>
        <v>1.4670861065845391</v>
      </c>
      <c r="AA26" s="48">
        <f>IFERROR(s_DL/(s_RadSpec!$J26*s_IFCG_res_adj*s_CF_cereal),".")</f>
        <v>1.4670861065845391</v>
      </c>
      <c r="AB26" s="48">
        <f t="shared" si="25"/>
        <v>0.48902870219484634</v>
      </c>
      <c r="AC26" s="48">
        <f>IFERROR(s_DL/(s_RadSpec!$J26*s_IFAP_far_adj*s_CF_apple),".")</f>
        <v>1.4670861065845391</v>
      </c>
      <c r="AD26" s="48">
        <f>IFERROR(s_DL/(s_RadSpec!$J26*s_IFAS_far_adj*s_CF_asparagus),".")</f>
        <v>1.4670861065845391</v>
      </c>
      <c r="AE26" s="48">
        <f>IFERROR(s_DL/(s_RadSpec!$J26*s_IFBT_far_adj*s_CF_beet),".")</f>
        <v>1.4670861065845391</v>
      </c>
      <c r="AF26" s="48">
        <f>IFERROR(s_DL/(s_RadSpec!$J26*s_IFBE_far_adj*s_CF_berries),".")</f>
        <v>1.4670861065845391</v>
      </c>
      <c r="AG26" s="48">
        <f>IFERROR(s_DL/(s_RadSpec!$J26*s_IFBR_far_adj*s_CF_broccoli),".")</f>
        <v>1.4670861065845391</v>
      </c>
      <c r="AH26" s="48">
        <f>IFERROR(s_DL/(s_RadSpec!$J26*s_IFCB_far_adj*s_CF_cabbage),".")</f>
        <v>1.4670861065845391</v>
      </c>
      <c r="AI26" s="48">
        <f>IFERROR(s_DL/(s_RadSpec!$J26*s_IFCR_far_adj*s_CF_carrot),".")</f>
        <v>1.4670861065845391</v>
      </c>
      <c r="AJ26" s="48">
        <f>IFERROR(s_DL/(s_RadSpec!$J26*s_IFCI_far_adj*s_CF_citrus),".")</f>
        <v>1.4670861065845391</v>
      </c>
      <c r="AK26" s="48">
        <f>IFERROR(s_DL/(s_RadSpec!$J26*s_IFCO_far_adj*s_CF_corn),".")</f>
        <v>1.4670861065845391</v>
      </c>
      <c r="AL26" s="48">
        <f>IFERROR(s_DL/(s_RadSpec!$J26*s_IFCU_far_adj*s_CF_cucumber),".")</f>
        <v>1.4670861065845391</v>
      </c>
      <c r="AM26" s="48">
        <f>IFERROR(s_DL/(s_RadSpec!$J26*s_IFLE_far_adj*s_CF_lettuce),".")</f>
        <v>1.4670861065845391</v>
      </c>
      <c r="AN26" s="48">
        <f>IFERROR(s_DL/(s_RadSpec!$J26*s_IFLI_far_adj*s_CF_lima_bean),".")</f>
        <v>1.4670861065845391</v>
      </c>
      <c r="AO26" s="48">
        <f>IFERROR(s_DL/(s_RadSpec!$J26*s_IFOK_far_adj*s_CF_okra),".")</f>
        <v>1.4670861065845391</v>
      </c>
      <c r="AP26" s="48">
        <f>IFERROR(s_DL/(s_RadSpec!$J26*s_IFON_far_adj*s_CF_onion),".")</f>
        <v>1.4670861065845391</v>
      </c>
      <c r="AQ26" s="48">
        <f>IFERROR(s_DL/(s_RadSpec!$J26*s_IFPC_far_adj*s_CF_peach),".")</f>
        <v>1.4670861065845391</v>
      </c>
      <c r="AR26" s="48">
        <f>IFERROR(s_DL/(s_RadSpec!$J26*s_IFPR_far_adj*s_CF_pear),".")</f>
        <v>1.4670861065845391</v>
      </c>
      <c r="AS26" s="48">
        <f>IFERROR(s_DL/(s_RadSpec!$J26*s_IFPE_far_adj*s_CF_peas),".")</f>
        <v>1.4670861065845391</v>
      </c>
      <c r="AT26" s="48">
        <f>IFERROR(s_DL/(s_RadSpec!$J26*s_IFPT_far_adj*s_CF_potato),".")</f>
        <v>1.4670861065845391</v>
      </c>
      <c r="AU26" s="48">
        <f>IFERROR(s_DL/(s_RadSpec!$J26*s_IFPU_far_adj*s_CF_pumpkin),".")</f>
        <v>1.4670861065845391</v>
      </c>
      <c r="AV26" s="48">
        <f>IFERROR(s_DL/(s_RadSpec!$J26*s_IFSN_far_adj*s_CF_snap_bean),".")</f>
        <v>1.4670861065845391</v>
      </c>
      <c r="AW26" s="48">
        <f>IFERROR(s_DL/(s_RadSpec!$J26*s_IFST_far_adj*s_CF_strawberry),".")</f>
        <v>1.4670861065845391</v>
      </c>
      <c r="AX26" s="48">
        <f>IFERROR(s_DL/(s_RadSpec!$J26*s_IFTO_far_adj*s_CF_tomato),".")</f>
        <v>1.4670861065845391</v>
      </c>
      <c r="AY26" s="48">
        <f>IFERROR(s_DL/(s_RadSpec!$J26*s_IFRI_far_adj*s_CF_rice),".")</f>
        <v>1.4670861065845391</v>
      </c>
      <c r="AZ26" s="48">
        <f>IFERROR(s_DL/(s_RadSpec!$J26*s_IFCG_far_adj*s_CF_cereal),".")</f>
        <v>1.4670861065845391</v>
      </c>
      <c r="BA26" s="62">
        <f t="shared" si="26"/>
        <v>22687.5</v>
      </c>
      <c r="BB26" s="62">
        <f t="shared" si="0"/>
        <v>7562.5</v>
      </c>
      <c r="BC26" s="62">
        <f t="shared" si="1"/>
        <v>7562.5</v>
      </c>
      <c r="BD26" s="62">
        <f t="shared" si="2"/>
        <v>7562.5</v>
      </c>
      <c r="BE26" s="62">
        <f t="shared" si="3"/>
        <v>7562.5</v>
      </c>
      <c r="BF26" s="62">
        <f t="shared" si="4"/>
        <v>7562.5</v>
      </c>
      <c r="BG26" s="62">
        <f t="shared" si="5"/>
        <v>7562.5</v>
      </c>
      <c r="BH26" s="62">
        <f t="shared" si="6"/>
        <v>7562.5</v>
      </c>
      <c r="BI26" s="62">
        <f t="shared" si="7"/>
        <v>7562.5</v>
      </c>
      <c r="BJ26" s="62">
        <f t="shared" si="8"/>
        <v>7562.5</v>
      </c>
      <c r="BK26" s="62">
        <f t="shared" si="9"/>
        <v>7562.5</v>
      </c>
      <c r="BL26" s="62">
        <f t="shared" si="10"/>
        <v>7562.5</v>
      </c>
      <c r="BM26" s="62">
        <f t="shared" si="11"/>
        <v>7562.5</v>
      </c>
      <c r="BN26" s="62">
        <f t="shared" si="12"/>
        <v>7562.5</v>
      </c>
      <c r="BO26" s="62">
        <f t="shared" si="13"/>
        <v>7562.5</v>
      </c>
      <c r="BP26" s="62">
        <f t="shared" si="14"/>
        <v>7562.5</v>
      </c>
      <c r="BQ26" s="62">
        <f t="shared" si="15"/>
        <v>7562.5</v>
      </c>
      <c r="BR26" s="62">
        <f t="shared" si="16"/>
        <v>7562.5</v>
      </c>
      <c r="BS26" s="62">
        <f t="shared" si="17"/>
        <v>7562.5</v>
      </c>
      <c r="BT26" s="62">
        <f t="shared" si="18"/>
        <v>7562.5</v>
      </c>
      <c r="BU26" s="62">
        <f t="shared" si="19"/>
        <v>7562.5</v>
      </c>
      <c r="BV26" s="62">
        <f t="shared" si="20"/>
        <v>7562.5</v>
      </c>
      <c r="BW26" s="62">
        <f t="shared" si="21"/>
        <v>7562.5</v>
      </c>
      <c r="BX26" s="62">
        <f t="shared" si="22"/>
        <v>7562.5</v>
      </c>
      <c r="BY26" s="62">
        <f t="shared" si="23"/>
        <v>7562.5</v>
      </c>
    </row>
    <row r="27" spans="1:77" x14ac:dyDescent="0.25">
      <c r="A27" s="61" t="s">
        <v>25</v>
      </c>
      <c r="B27" s="49" t="s">
        <v>1059</v>
      </c>
      <c r="C27" s="48" t="str">
        <f t="shared" si="24"/>
        <v>.</v>
      </c>
      <c r="D27" s="48" t="str">
        <f>IFERROR(s_DL/(s_RadSpec!$J27*s_IFAP_res_adj*s_CF_apple),".")</f>
        <v>.</v>
      </c>
      <c r="E27" s="48" t="str">
        <f>IFERROR(s_DL/(s_RadSpec!$J27*s_IFAS_res_adj*s_CF_asparagus),".")</f>
        <v>.</v>
      </c>
      <c r="F27" s="48" t="str">
        <f>IFERROR(s_DL/(s_RadSpec!$J27*s_IFBT_res_adj*s_CF_beet),".")</f>
        <v>.</v>
      </c>
      <c r="G27" s="48" t="str">
        <f>IFERROR(s_DL/(s_RadSpec!$J27*s_IFBE_res_adj*s_CF_berries),".")</f>
        <v>.</v>
      </c>
      <c r="H27" s="48" t="str">
        <f>IFERROR(s_DL/(s_RadSpec!$J27*s_IFBR_res_adj*s_CF_broccoli),".")</f>
        <v>.</v>
      </c>
      <c r="I27" s="48" t="str">
        <f>IFERROR(s_DL/(s_RadSpec!$J27*s_IFCB_res_adj*s_CF_cabbage),".")</f>
        <v>.</v>
      </c>
      <c r="J27" s="48" t="str">
        <f>IFERROR(s_DL/(s_RadSpec!$J27*s_IFCR_res_adj*s_CF_carrot),".")</f>
        <v>.</v>
      </c>
      <c r="K27" s="48" t="str">
        <f>IFERROR(s_DL/(s_RadSpec!$J27*s_IFCI_res_adj*s_CF_citrus),".")</f>
        <v>.</v>
      </c>
      <c r="L27" s="48" t="str">
        <f>IFERROR(s_DL/(s_RadSpec!$J27*s_IFCO_res_adj*s_CF_corn),".")</f>
        <v>.</v>
      </c>
      <c r="M27" s="48" t="str">
        <f>IFERROR(s_DL/(s_RadSpec!$J27*s_IFCU_res_adj*s_CF_cucumber),".")</f>
        <v>.</v>
      </c>
      <c r="N27" s="48" t="str">
        <f>IFERROR(s_DL/(s_RadSpec!$J27*s_IFLE_res_adj*s_CF_lettuce),".")</f>
        <v>.</v>
      </c>
      <c r="O27" s="48" t="str">
        <f>IFERROR(s_DL/(s_RadSpec!$J27*s_IFLI_res_adj*s_CF_lima_bean),".")</f>
        <v>.</v>
      </c>
      <c r="P27" s="48" t="str">
        <f>IFERROR(s_DL/(s_RadSpec!$J27*s_IFOK_res_adj*s_CF_okra),".")</f>
        <v>.</v>
      </c>
      <c r="Q27" s="48" t="str">
        <f>IFERROR(s_DL/(s_RadSpec!$J27*s_IFON_res_adj*s_CF_onion),".")</f>
        <v>.</v>
      </c>
      <c r="R27" s="48" t="str">
        <f>IFERROR(s_DL/(s_RadSpec!$J27*s_IFPC_res_adj*s_CF_peach),".")</f>
        <v>.</v>
      </c>
      <c r="S27" s="48" t="str">
        <f>IFERROR(s_DL/(s_RadSpec!$J27*s_IFPR_res_adj*s_CF_pear),".")</f>
        <v>.</v>
      </c>
      <c r="T27" s="48" t="str">
        <f>IFERROR(s_DL/(s_RadSpec!$J27*s_IFPE_res_adj*s_CF_peas),".")</f>
        <v>.</v>
      </c>
      <c r="U27" s="48" t="str">
        <f>IFERROR(s_DL/(s_RadSpec!$J27*s_IFPT_res_adj*s_CF_potato),".")</f>
        <v>.</v>
      </c>
      <c r="V27" s="48" t="str">
        <f>IFERROR(s_DL/(s_RadSpec!$J27*s_IFPU_res_adj*s_CF_pumpkin),".")</f>
        <v>.</v>
      </c>
      <c r="W27" s="48" t="str">
        <f>IFERROR(s_DL/(s_RadSpec!$J27*s_IFSN_res_adj*s_CF_snap_bean),".")</f>
        <v>.</v>
      </c>
      <c r="X27" s="48" t="str">
        <f>IFERROR(s_DL/(s_RadSpec!$J27*s_IFST_res_adj*s_CF_strawberry),".")</f>
        <v>.</v>
      </c>
      <c r="Y27" s="48" t="str">
        <f>IFERROR(s_DL/(s_RadSpec!$J27*s_IFTO_res_adj*s_CF_tomato),".")</f>
        <v>.</v>
      </c>
      <c r="Z27" s="48" t="str">
        <f>IFERROR(s_DL/(s_RadSpec!$J27*s_IFRI_res_adj*s_CF_rice),".")</f>
        <v>.</v>
      </c>
      <c r="AA27" s="48" t="str">
        <f>IFERROR(s_DL/(s_RadSpec!$J27*s_IFCG_res_adj*s_CF_cereal),".")</f>
        <v>.</v>
      </c>
      <c r="AB27" s="48" t="str">
        <f t="shared" si="25"/>
        <v>.</v>
      </c>
      <c r="AC27" s="48" t="str">
        <f>IFERROR(s_DL/(s_RadSpec!$J27*s_IFAP_far_adj*s_CF_apple),".")</f>
        <v>.</v>
      </c>
      <c r="AD27" s="48" t="str">
        <f>IFERROR(s_DL/(s_RadSpec!$J27*s_IFAS_far_adj*s_CF_asparagus),".")</f>
        <v>.</v>
      </c>
      <c r="AE27" s="48" t="str">
        <f>IFERROR(s_DL/(s_RadSpec!$J27*s_IFBT_far_adj*s_CF_beet),".")</f>
        <v>.</v>
      </c>
      <c r="AF27" s="48" t="str">
        <f>IFERROR(s_DL/(s_RadSpec!$J27*s_IFBE_far_adj*s_CF_berries),".")</f>
        <v>.</v>
      </c>
      <c r="AG27" s="48" t="str">
        <f>IFERROR(s_DL/(s_RadSpec!$J27*s_IFBR_far_adj*s_CF_broccoli),".")</f>
        <v>.</v>
      </c>
      <c r="AH27" s="48" t="str">
        <f>IFERROR(s_DL/(s_RadSpec!$J27*s_IFCB_far_adj*s_CF_cabbage),".")</f>
        <v>.</v>
      </c>
      <c r="AI27" s="48" t="str">
        <f>IFERROR(s_DL/(s_RadSpec!$J27*s_IFCR_far_adj*s_CF_carrot),".")</f>
        <v>.</v>
      </c>
      <c r="AJ27" s="48" t="str">
        <f>IFERROR(s_DL/(s_RadSpec!$J27*s_IFCI_far_adj*s_CF_citrus),".")</f>
        <v>.</v>
      </c>
      <c r="AK27" s="48" t="str">
        <f>IFERROR(s_DL/(s_RadSpec!$J27*s_IFCO_far_adj*s_CF_corn),".")</f>
        <v>.</v>
      </c>
      <c r="AL27" s="48" t="str">
        <f>IFERROR(s_DL/(s_RadSpec!$J27*s_IFCU_far_adj*s_CF_cucumber),".")</f>
        <v>.</v>
      </c>
      <c r="AM27" s="48" t="str">
        <f>IFERROR(s_DL/(s_RadSpec!$J27*s_IFLE_far_adj*s_CF_lettuce),".")</f>
        <v>.</v>
      </c>
      <c r="AN27" s="48" t="str">
        <f>IFERROR(s_DL/(s_RadSpec!$J27*s_IFLI_far_adj*s_CF_lima_bean),".")</f>
        <v>.</v>
      </c>
      <c r="AO27" s="48" t="str">
        <f>IFERROR(s_DL/(s_RadSpec!$J27*s_IFOK_far_adj*s_CF_okra),".")</f>
        <v>.</v>
      </c>
      <c r="AP27" s="48" t="str">
        <f>IFERROR(s_DL/(s_RadSpec!$J27*s_IFON_far_adj*s_CF_onion),".")</f>
        <v>.</v>
      </c>
      <c r="AQ27" s="48" t="str">
        <f>IFERROR(s_DL/(s_RadSpec!$J27*s_IFPC_far_adj*s_CF_peach),".")</f>
        <v>.</v>
      </c>
      <c r="AR27" s="48" t="str">
        <f>IFERROR(s_DL/(s_RadSpec!$J27*s_IFPR_far_adj*s_CF_pear),".")</f>
        <v>.</v>
      </c>
      <c r="AS27" s="48" t="str">
        <f>IFERROR(s_DL/(s_RadSpec!$J27*s_IFPE_far_adj*s_CF_peas),".")</f>
        <v>.</v>
      </c>
      <c r="AT27" s="48" t="str">
        <f>IFERROR(s_DL/(s_RadSpec!$J27*s_IFPT_far_adj*s_CF_potato),".")</f>
        <v>.</v>
      </c>
      <c r="AU27" s="48" t="str">
        <f>IFERROR(s_DL/(s_RadSpec!$J27*s_IFPU_far_adj*s_CF_pumpkin),".")</f>
        <v>.</v>
      </c>
      <c r="AV27" s="48" t="str">
        <f>IFERROR(s_DL/(s_RadSpec!$J27*s_IFSN_far_adj*s_CF_snap_bean),".")</f>
        <v>.</v>
      </c>
      <c r="AW27" s="48" t="str">
        <f>IFERROR(s_DL/(s_RadSpec!$J27*s_IFST_far_adj*s_CF_strawberry),".")</f>
        <v>.</v>
      </c>
      <c r="AX27" s="48" t="str">
        <f>IFERROR(s_DL/(s_RadSpec!$J27*s_IFTO_far_adj*s_CF_tomato),".")</f>
        <v>.</v>
      </c>
      <c r="AY27" s="48" t="str">
        <f>IFERROR(s_DL/(s_RadSpec!$J27*s_IFRI_far_adj*s_CF_rice),".")</f>
        <v>.</v>
      </c>
      <c r="AZ27" s="48" t="str">
        <f>IFERROR(s_DL/(s_RadSpec!$J27*s_IFCG_far_adj*s_CF_cereal),".")</f>
        <v>.</v>
      </c>
      <c r="BA27" s="62">
        <f t="shared" si="26"/>
        <v>22687.5</v>
      </c>
      <c r="BB27" s="62">
        <f t="shared" si="0"/>
        <v>7562.5</v>
      </c>
      <c r="BC27" s="62">
        <f t="shared" si="1"/>
        <v>7562.5</v>
      </c>
      <c r="BD27" s="62">
        <f t="shared" si="2"/>
        <v>7562.5</v>
      </c>
      <c r="BE27" s="62">
        <f t="shared" si="3"/>
        <v>7562.5</v>
      </c>
      <c r="BF27" s="62">
        <f t="shared" si="4"/>
        <v>7562.5</v>
      </c>
      <c r="BG27" s="62">
        <f t="shared" si="5"/>
        <v>7562.5</v>
      </c>
      <c r="BH27" s="62">
        <f t="shared" si="6"/>
        <v>7562.5</v>
      </c>
      <c r="BI27" s="62">
        <f t="shared" si="7"/>
        <v>7562.5</v>
      </c>
      <c r="BJ27" s="62">
        <f t="shared" si="8"/>
        <v>7562.5</v>
      </c>
      <c r="BK27" s="62">
        <f t="shared" si="9"/>
        <v>7562.5</v>
      </c>
      <c r="BL27" s="62">
        <f t="shared" si="10"/>
        <v>7562.5</v>
      </c>
      <c r="BM27" s="62">
        <f t="shared" si="11"/>
        <v>7562.5</v>
      </c>
      <c r="BN27" s="62">
        <f t="shared" si="12"/>
        <v>7562.5</v>
      </c>
      <c r="BO27" s="62">
        <f t="shared" si="13"/>
        <v>7562.5</v>
      </c>
      <c r="BP27" s="62">
        <f t="shared" si="14"/>
        <v>7562.5</v>
      </c>
      <c r="BQ27" s="62">
        <f t="shared" si="15"/>
        <v>7562.5</v>
      </c>
      <c r="BR27" s="62">
        <f t="shared" si="16"/>
        <v>7562.5</v>
      </c>
      <c r="BS27" s="62">
        <f t="shared" si="17"/>
        <v>7562.5</v>
      </c>
      <c r="BT27" s="62">
        <f t="shared" si="18"/>
        <v>7562.5</v>
      </c>
      <c r="BU27" s="62">
        <f t="shared" si="19"/>
        <v>7562.5</v>
      </c>
      <c r="BV27" s="62">
        <f t="shared" si="20"/>
        <v>7562.5</v>
      </c>
      <c r="BW27" s="62">
        <f t="shared" si="21"/>
        <v>7562.5</v>
      </c>
      <c r="BX27" s="62">
        <f t="shared" si="22"/>
        <v>7562.5</v>
      </c>
      <c r="BY27" s="62">
        <f t="shared" si="23"/>
        <v>7562.5</v>
      </c>
    </row>
    <row r="28" spans="1:77" x14ac:dyDescent="0.25">
      <c r="A28" s="61" t="s">
        <v>26</v>
      </c>
      <c r="B28" s="49" t="s">
        <v>1059</v>
      </c>
      <c r="C28" s="48" t="str">
        <f t="shared" si="24"/>
        <v>.</v>
      </c>
      <c r="D28" s="48" t="str">
        <f>IFERROR(s_DL/(s_RadSpec!$J28*s_IFAP_res_adj*s_CF_apple),".")</f>
        <v>.</v>
      </c>
      <c r="E28" s="48" t="str">
        <f>IFERROR(s_DL/(s_RadSpec!$J28*s_IFAS_res_adj*s_CF_asparagus),".")</f>
        <v>.</v>
      </c>
      <c r="F28" s="48" t="str">
        <f>IFERROR(s_DL/(s_RadSpec!$J28*s_IFBT_res_adj*s_CF_beet),".")</f>
        <v>.</v>
      </c>
      <c r="G28" s="48" t="str">
        <f>IFERROR(s_DL/(s_RadSpec!$J28*s_IFBE_res_adj*s_CF_berries),".")</f>
        <v>.</v>
      </c>
      <c r="H28" s="48" t="str">
        <f>IFERROR(s_DL/(s_RadSpec!$J28*s_IFBR_res_adj*s_CF_broccoli),".")</f>
        <v>.</v>
      </c>
      <c r="I28" s="48" t="str">
        <f>IFERROR(s_DL/(s_RadSpec!$J28*s_IFCB_res_adj*s_CF_cabbage),".")</f>
        <v>.</v>
      </c>
      <c r="J28" s="48" t="str">
        <f>IFERROR(s_DL/(s_RadSpec!$J28*s_IFCR_res_adj*s_CF_carrot),".")</f>
        <v>.</v>
      </c>
      <c r="K28" s="48" t="str">
        <f>IFERROR(s_DL/(s_RadSpec!$J28*s_IFCI_res_adj*s_CF_citrus),".")</f>
        <v>.</v>
      </c>
      <c r="L28" s="48" t="str">
        <f>IFERROR(s_DL/(s_RadSpec!$J28*s_IFCO_res_adj*s_CF_corn),".")</f>
        <v>.</v>
      </c>
      <c r="M28" s="48" t="str">
        <f>IFERROR(s_DL/(s_RadSpec!$J28*s_IFCU_res_adj*s_CF_cucumber),".")</f>
        <v>.</v>
      </c>
      <c r="N28" s="48" t="str">
        <f>IFERROR(s_DL/(s_RadSpec!$J28*s_IFLE_res_adj*s_CF_lettuce),".")</f>
        <v>.</v>
      </c>
      <c r="O28" s="48" t="str">
        <f>IFERROR(s_DL/(s_RadSpec!$J28*s_IFLI_res_adj*s_CF_lima_bean),".")</f>
        <v>.</v>
      </c>
      <c r="P28" s="48" t="str">
        <f>IFERROR(s_DL/(s_RadSpec!$J28*s_IFOK_res_adj*s_CF_okra),".")</f>
        <v>.</v>
      </c>
      <c r="Q28" s="48" t="str">
        <f>IFERROR(s_DL/(s_RadSpec!$J28*s_IFON_res_adj*s_CF_onion),".")</f>
        <v>.</v>
      </c>
      <c r="R28" s="48" t="str">
        <f>IFERROR(s_DL/(s_RadSpec!$J28*s_IFPC_res_adj*s_CF_peach),".")</f>
        <v>.</v>
      </c>
      <c r="S28" s="48" t="str">
        <f>IFERROR(s_DL/(s_RadSpec!$J28*s_IFPR_res_adj*s_CF_pear),".")</f>
        <v>.</v>
      </c>
      <c r="T28" s="48" t="str">
        <f>IFERROR(s_DL/(s_RadSpec!$J28*s_IFPE_res_adj*s_CF_peas),".")</f>
        <v>.</v>
      </c>
      <c r="U28" s="48" t="str">
        <f>IFERROR(s_DL/(s_RadSpec!$J28*s_IFPT_res_adj*s_CF_potato),".")</f>
        <v>.</v>
      </c>
      <c r="V28" s="48" t="str">
        <f>IFERROR(s_DL/(s_RadSpec!$J28*s_IFPU_res_adj*s_CF_pumpkin),".")</f>
        <v>.</v>
      </c>
      <c r="W28" s="48" t="str">
        <f>IFERROR(s_DL/(s_RadSpec!$J28*s_IFSN_res_adj*s_CF_snap_bean),".")</f>
        <v>.</v>
      </c>
      <c r="X28" s="48" t="str">
        <f>IFERROR(s_DL/(s_RadSpec!$J28*s_IFST_res_adj*s_CF_strawberry),".")</f>
        <v>.</v>
      </c>
      <c r="Y28" s="48" t="str">
        <f>IFERROR(s_DL/(s_RadSpec!$J28*s_IFTO_res_adj*s_CF_tomato),".")</f>
        <v>.</v>
      </c>
      <c r="Z28" s="48" t="str">
        <f>IFERROR(s_DL/(s_RadSpec!$J28*s_IFRI_res_adj*s_CF_rice),".")</f>
        <v>.</v>
      </c>
      <c r="AA28" s="48" t="str">
        <f>IFERROR(s_DL/(s_RadSpec!$J28*s_IFCG_res_adj*s_CF_cereal),".")</f>
        <v>.</v>
      </c>
      <c r="AB28" s="48" t="str">
        <f t="shared" si="25"/>
        <v>.</v>
      </c>
      <c r="AC28" s="48" t="str">
        <f>IFERROR(s_DL/(s_RadSpec!$J28*s_IFAP_far_adj*s_CF_apple),".")</f>
        <v>.</v>
      </c>
      <c r="AD28" s="48" t="str">
        <f>IFERROR(s_DL/(s_RadSpec!$J28*s_IFAS_far_adj*s_CF_asparagus),".")</f>
        <v>.</v>
      </c>
      <c r="AE28" s="48" t="str">
        <f>IFERROR(s_DL/(s_RadSpec!$J28*s_IFBT_far_adj*s_CF_beet),".")</f>
        <v>.</v>
      </c>
      <c r="AF28" s="48" t="str">
        <f>IFERROR(s_DL/(s_RadSpec!$J28*s_IFBE_far_adj*s_CF_berries),".")</f>
        <v>.</v>
      </c>
      <c r="AG28" s="48" t="str">
        <f>IFERROR(s_DL/(s_RadSpec!$J28*s_IFBR_far_adj*s_CF_broccoli),".")</f>
        <v>.</v>
      </c>
      <c r="AH28" s="48" t="str">
        <f>IFERROR(s_DL/(s_RadSpec!$J28*s_IFCB_far_adj*s_CF_cabbage),".")</f>
        <v>.</v>
      </c>
      <c r="AI28" s="48" t="str">
        <f>IFERROR(s_DL/(s_RadSpec!$J28*s_IFCR_far_adj*s_CF_carrot),".")</f>
        <v>.</v>
      </c>
      <c r="AJ28" s="48" t="str">
        <f>IFERROR(s_DL/(s_RadSpec!$J28*s_IFCI_far_adj*s_CF_citrus),".")</f>
        <v>.</v>
      </c>
      <c r="AK28" s="48" t="str">
        <f>IFERROR(s_DL/(s_RadSpec!$J28*s_IFCO_far_adj*s_CF_corn),".")</f>
        <v>.</v>
      </c>
      <c r="AL28" s="48" t="str">
        <f>IFERROR(s_DL/(s_RadSpec!$J28*s_IFCU_far_adj*s_CF_cucumber),".")</f>
        <v>.</v>
      </c>
      <c r="AM28" s="48" t="str">
        <f>IFERROR(s_DL/(s_RadSpec!$J28*s_IFLE_far_adj*s_CF_lettuce),".")</f>
        <v>.</v>
      </c>
      <c r="AN28" s="48" t="str">
        <f>IFERROR(s_DL/(s_RadSpec!$J28*s_IFLI_far_adj*s_CF_lima_bean),".")</f>
        <v>.</v>
      </c>
      <c r="AO28" s="48" t="str">
        <f>IFERROR(s_DL/(s_RadSpec!$J28*s_IFOK_far_adj*s_CF_okra),".")</f>
        <v>.</v>
      </c>
      <c r="AP28" s="48" t="str">
        <f>IFERROR(s_DL/(s_RadSpec!$J28*s_IFON_far_adj*s_CF_onion),".")</f>
        <v>.</v>
      </c>
      <c r="AQ28" s="48" t="str">
        <f>IFERROR(s_DL/(s_RadSpec!$J28*s_IFPC_far_adj*s_CF_peach),".")</f>
        <v>.</v>
      </c>
      <c r="AR28" s="48" t="str">
        <f>IFERROR(s_DL/(s_RadSpec!$J28*s_IFPR_far_adj*s_CF_pear),".")</f>
        <v>.</v>
      </c>
      <c r="AS28" s="48" t="str">
        <f>IFERROR(s_DL/(s_RadSpec!$J28*s_IFPE_far_adj*s_CF_peas),".")</f>
        <v>.</v>
      </c>
      <c r="AT28" s="48" t="str">
        <f>IFERROR(s_DL/(s_RadSpec!$J28*s_IFPT_far_adj*s_CF_potato),".")</f>
        <v>.</v>
      </c>
      <c r="AU28" s="48" t="str">
        <f>IFERROR(s_DL/(s_RadSpec!$J28*s_IFPU_far_adj*s_CF_pumpkin),".")</f>
        <v>.</v>
      </c>
      <c r="AV28" s="48" t="str">
        <f>IFERROR(s_DL/(s_RadSpec!$J28*s_IFSN_far_adj*s_CF_snap_bean),".")</f>
        <v>.</v>
      </c>
      <c r="AW28" s="48" t="str">
        <f>IFERROR(s_DL/(s_RadSpec!$J28*s_IFST_far_adj*s_CF_strawberry),".")</f>
        <v>.</v>
      </c>
      <c r="AX28" s="48" t="str">
        <f>IFERROR(s_DL/(s_RadSpec!$J28*s_IFTO_far_adj*s_CF_tomato),".")</f>
        <v>.</v>
      </c>
      <c r="AY28" s="48" t="str">
        <f>IFERROR(s_DL/(s_RadSpec!$J28*s_IFRI_far_adj*s_CF_rice),".")</f>
        <v>.</v>
      </c>
      <c r="AZ28" s="48" t="str">
        <f>IFERROR(s_DL/(s_RadSpec!$J28*s_IFCG_far_adj*s_CF_cereal),".")</f>
        <v>.</v>
      </c>
      <c r="BA28" s="62">
        <f t="shared" si="26"/>
        <v>22687.5</v>
      </c>
      <c r="BB28" s="62">
        <f t="shared" si="0"/>
        <v>7562.5</v>
      </c>
      <c r="BC28" s="62">
        <f t="shared" si="1"/>
        <v>7562.5</v>
      </c>
      <c r="BD28" s="62">
        <f t="shared" si="2"/>
        <v>7562.5</v>
      </c>
      <c r="BE28" s="62">
        <f t="shared" si="3"/>
        <v>7562.5</v>
      </c>
      <c r="BF28" s="62">
        <f t="shared" si="4"/>
        <v>7562.5</v>
      </c>
      <c r="BG28" s="62">
        <f t="shared" si="5"/>
        <v>7562.5</v>
      </c>
      <c r="BH28" s="62">
        <f t="shared" si="6"/>
        <v>7562.5</v>
      </c>
      <c r="BI28" s="62">
        <f t="shared" si="7"/>
        <v>7562.5</v>
      </c>
      <c r="BJ28" s="62">
        <f t="shared" si="8"/>
        <v>7562.5</v>
      </c>
      <c r="BK28" s="62">
        <f t="shared" si="9"/>
        <v>7562.5</v>
      </c>
      <c r="BL28" s="62">
        <f t="shared" si="10"/>
        <v>7562.5</v>
      </c>
      <c r="BM28" s="62">
        <f t="shared" si="11"/>
        <v>7562.5</v>
      </c>
      <c r="BN28" s="62">
        <f t="shared" si="12"/>
        <v>7562.5</v>
      </c>
      <c r="BO28" s="62">
        <f t="shared" si="13"/>
        <v>7562.5</v>
      </c>
      <c r="BP28" s="62">
        <f t="shared" si="14"/>
        <v>7562.5</v>
      </c>
      <c r="BQ28" s="62">
        <f t="shared" si="15"/>
        <v>7562.5</v>
      </c>
      <c r="BR28" s="62">
        <f t="shared" si="16"/>
        <v>7562.5</v>
      </c>
      <c r="BS28" s="62">
        <f t="shared" si="17"/>
        <v>7562.5</v>
      </c>
      <c r="BT28" s="62">
        <f t="shared" si="18"/>
        <v>7562.5</v>
      </c>
      <c r="BU28" s="62">
        <f t="shared" si="19"/>
        <v>7562.5</v>
      </c>
      <c r="BV28" s="62">
        <f t="shared" si="20"/>
        <v>7562.5</v>
      </c>
      <c r="BW28" s="62">
        <f t="shared" si="21"/>
        <v>7562.5</v>
      </c>
      <c r="BX28" s="62">
        <f t="shared" si="22"/>
        <v>7562.5</v>
      </c>
      <c r="BY28" s="62">
        <f t="shared" si="23"/>
        <v>7562.5</v>
      </c>
    </row>
    <row r="29" spans="1:77" x14ac:dyDescent="0.25">
      <c r="A29" s="61" t="s">
        <v>27</v>
      </c>
      <c r="B29" s="49" t="s">
        <v>1059</v>
      </c>
      <c r="C29" s="48" t="str">
        <f t="shared" si="24"/>
        <v>.</v>
      </c>
      <c r="D29" s="48" t="str">
        <f>IFERROR(s_DL/(s_RadSpec!$J29*s_IFAP_res_adj*s_CF_apple),".")</f>
        <v>.</v>
      </c>
      <c r="E29" s="48" t="str">
        <f>IFERROR(s_DL/(s_RadSpec!$J29*s_IFAS_res_adj*s_CF_asparagus),".")</f>
        <v>.</v>
      </c>
      <c r="F29" s="48" t="str">
        <f>IFERROR(s_DL/(s_RadSpec!$J29*s_IFBT_res_adj*s_CF_beet),".")</f>
        <v>.</v>
      </c>
      <c r="G29" s="48" t="str">
        <f>IFERROR(s_DL/(s_RadSpec!$J29*s_IFBE_res_adj*s_CF_berries),".")</f>
        <v>.</v>
      </c>
      <c r="H29" s="48" t="str">
        <f>IFERROR(s_DL/(s_RadSpec!$J29*s_IFBR_res_adj*s_CF_broccoli),".")</f>
        <v>.</v>
      </c>
      <c r="I29" s="48" t="str">
        <f>IFERROR(s_DL/(s_RadSpec!$J29*s_IFCB_res_adj*s_CF_cabbage),".")</f>
        <v>.</v>
      </c>
      <c r="J29" s="48" t="str">
        <f>IFERROR(s_DL/(s_RadSpec!$J29*s_IFCR_res_adj*s_CF_carrot),".")</f>
        <v>.</v>
      </c>
      <c r="K29" s="48" t="str">
        <f>IFERROR(s_DL/(s_RadSpec!$J29*s_IFCI_res_adj*s_CF_citrus),".")</f>
        <v>.</v>
      </c>
      <c r="L29" s="48" t="str">
        <f>IFERROR(s_DL/(s_RadSpec!$J29*s_IFCO_res_adj*s_CF_corn),".")</f>
        <v>.</v>
      </c>
      <c r="M29" s="48" t="str">
        <f>IFERROR(s_DL/(s_RadSpec!$J29*s_IFCU_res_adj*s_CF_cucumber),".")</f>
        <v>.</v>
      </c>
      <c r="N29" s="48" t="str">
        <f>IFERROR(s_DL/(s_RadSpec!$J29*s_IFLE_res_adj*s_CF_lettuce),".")</f>
        <v>.</v>
      </c>
      <c r="O29" s="48" t="str">
        <f>IFERROR(s_DL/(s_RadSpec!$J29*s_IFLI_res_adj*s_CF_lima_bean),".")</f>
        <v>.</v>
      </c>
      <c r="P29" s="48" t="str">
        <f>IFERROR(s_DL/(s_RadSpec!$J29*s_IFOK_res_adj*s_CF_okra),".")</f>
        <v>.</v>
      </c>
      <c r="Q29" s="48" t="str">
        <f>IFERROR(s_DL/(s_RadSpec!$J29*s_IFON_res_adj*s_CF_onion),".")</f>
        <v>.</v>
      </c>
      <c r="R29" s="48" t="str">
        <f>IFERROR(s_DL/(s_RadSpec!$J29*s_IFPC_res_adj*s_CF_peach),".")</f>
        <v>.</v>
      </c>
      <c r="S29" s="48" t="str">
        <f>IFERROR(s_DL/(s_RadSpec!$J29*s_IFPR_res_adj*s_CF_pear),".")</f>
        <v>.</v>
      </c>
      <c r="T29" s="48" t="str">
        <f>IFERROR(s_DL/(s_RadSpec!$J29*s_IFPE_res_adj*s_CF_peas),".")</f>
        <v>.</v>
      </c>
      <c r="U29" s="48" t="str">
        <f>IFERROR(s_DL/(s_RadSpec!$J29*s_IFPT_res_adj*s_CF_potato),".")</f>
        <v>.</v>
      </c>
      <c r="V29" s="48" t="str">
        <f>IFERROR(s_DL/(s_RadSpec!$J29*s_IFPU_res_adj*s_CF_pumpkin),".")</f>
        <v>.</v>
      </c>
      <c r="W29" s="48" t="str">
        <f>IFERROR(s_DL/(s_RadSpec!$J29*s_IFSN_res_adj*s_CF_snap_bean),".")</f>
        <v>.</v>
      </c>
      <c r="X29" s="48" t="str">
        <f>IFERROR(s_DL/(s_RadSpec!$J29*s_IFST_res_adj*s_CF_strawberry),".")</f>
        <v>.</v>
      </c>
      <c r="Y29" s="48" t="str">
        <f>IFERROR(s_DL/(s_RadSpec!$J29*s_IFTO_res_adj*s_CF_tomato),".")</f>
        <v>.</v>
      </c>
      <c r="Z29" s="48" t="str">
        <f>IFERROR(s_DL/(s_RadSpec!$J29*s_IFRI_res_adj*s_CF_rice),".")</f>
        <v>.</v>
      </c>
      <c r="AA29" s="48" t="str">
        <f>IFERROR(s_DL/(s_RadSpec!$J29*s_IFCG_res_adj*s_CF_cereal),".")</f>
        <v>.</v>
      </c>
      <c r="AB29" s="48" t="str">
        <f t="shared" si="25"/>
        <v>.</v>
      </c>
      <c r="AC29" s="48" t="str">
        <f>IFERROR(s_DL/(s_RadSpec!$J29*s_IFAP_far_adj*s_CF_apple),".")</f>
        <v>.</v>
      </c>
      <c r="AD29" s="48" t="str">
        <f>IFERROR(s_DL/(s_RadSpec!$J29*s_IFAS_far_adj*s_CF_asparagus),".")</f>
        <v>.</v>
      </c>
      <c r="AE29" s="48" t="str">
        <f>IFERROR(s_DL/(s_RadSpec!$J29*s_IFBT_far_adj*s_CF_beet),".")</f>
        <v>.</v>
      </c>
      <c r="AF29" s="48" t="str">
        <f>IFERROR(s_DL/(s_RadSpec!$J29*s_IFBE_far_adj*s_CF_berries),".")</f>
        <v>.</v>
      </c>
      <c r="AG29" s="48" t="str">
        <f>IFERROR(s_DL/(s_RadSpec!$J29*s_IFBR_far_adj*s_CF_broccoli),".")</f>
        <v>.</v>
      </c>
      <c r="AH29" s="48" t="str">
        <f>IFERROR(s_DL/(s_RadSpec!$J29*s_IFCB_far_adj*s_CF_cabbage),".")</f>
        <v>.</v>
      </c>
      <c r="AI29" s="48" t="str">
        <f>IFERROR(s_DL/(s_RadSpec!$J29*s_IFCR_far_adj*s_CF_carrot),".")</f>
        <v>.</v>
      </c>
      <c r="AJ29" s="48" t="str">
        <f>IFERROR(s_DL/(s_RadSpec!$J29*s_IFCI_far_adj*s_CF_citrus),".")</f>
        <v>.</v>
      </c>
      <c r="AK29" s="48" t="str">
        <f>IFERROR(s_DL/(s_RadSpec!$J29*s_IFCO_far_adj*s_CF_corn),".")</f>
        <v>.</v>
      </c>
      <c r="AL29" s="48" t="str">
        <f>IFERROR(s_DL/(s_RadSpec!$J29*s_IFCU_far_adj*s_CF_cucumber),".")</f>
        <v>.</v>
      </c>
      <c r="AM29" s="48" t="str">
        <f>IFERROR(s_DL/(s_RadSpec!$J29*s_IFLE_far_adj*s_CF_lettuce),".")</f>
        <v>.</v>
      </c>
      <c r="AN29" s="48" t="str">
        <f>IFERROR(s_DL/(s_RadSpec!$J29*s_IFLI_far_adj*s_CF_lima_bean),".")</f>
        <v>.</v>
      </c>
      <c r="AO29" s="48" t="str">
        <f>IFERROR(s_DL/(s_RadSpec!$J29*s_IFOK_far_adj*s_CF_okra),".")</f>
        <v>.</v>
      </c>
      <c r="AP29" s="48" t="str">
        <f>IFERROR(s_DL/(s_RadSpec!$J29*s_IFON_far_adj*s_CF_onion),".")</f>
        <v>.</v>
      </c>
      <c r="AQ29" s="48" t="str">
        <f>IFERROR(s_DL/(s_RadSpec!$J29*s_IFPC_far_adj*s_CF_peach),".")</f>
        <v>.</v>
      </c>
      <c r="AR29" s="48" t="str">
        <f>IFERROR(s_DL/(s_RadSpec!$J29*s_IFPR_far_adj*s_CF_pear),".")</f>
        <v>.</v>
      </c>
      <c r="AS29" s="48" t="str">
        <f>IFERROR(s_DL/(s_RadSpec!$J29*s_IFPE_far_adj*s_CF_peas),".")</f>
        <v>.</v>
      </c>
      <c r="AT29" s="48" t="str">
        <f>IFERROR(s_DL/(s_RadSpec!$J29*s_IFPT_far_adj*s_CF_potato),".")</f>
        <v>.</v>
      </c>
      <c r="AU29" s="48" t="str">
        <f>IFERROR(s_DL/(s_RadSpec!$J29*s_IFPU_far_adj*s_CF_pumpkin),".")</f>
        <v>.</v>
      </c>
      <c r="AV29" s="48" t="str">
        <f>IFERROR(s_DL/(s_RadSpec!$J29*s_IFSN_far_adj*s_CF_snap_bean),".")</f>
        <v>.</v>
      </c>
      <c r="AW29" s="48" t="str">
        <f>IFERROR(s_DL/(s_RadSpec!$J29*s_IFST_far_adj*s_CF_strawberry),".")</f>
        <v>.</v>
      </c>
      <c r="AX29" s="48" t="str">
        <f>IFERROR(s_DL/(s_RadSpec!$J29*s_IFTO_far_adj*s_CF_tomato),".")</f>
        <v>.</v>
      </c>
      <c r="AY29" s="48" t="str">
        <f>IFERROR(s_DL/(s_RadSpec!$J29*s_IFRI_far_adj*s_CF_rice),".")</f>
        <v>.</v>
      </c>
      <c r="AZ29" s="48" t="str">
        <f>IFERROR(s_DL/(s_RadSpec!$J29*s_IFCG_far_adj*s_CF_cereal),".")</f>
        <v>.</v>
      </c>
      <c r="BA29" s="62">
        <f t="shared" si="26"/>
        <v>22687.5</v>
      </c>
      <c r="BB29" s="62">
        <f t="shared" si="0"/>
        <v>7562.5</v>
      </c>
      <c r="BC29" s="62">
        <f t="shared" si="1"/>
        <v>7562.5</v>
      </c>
      <c r="BD29" s="62">
        <f t="shared" si="2"/>
        <v>7562.5</v>
      </c>
      <c r="BE29" s="62">
        <f t="shared" si="3"/>
        <v>7562.5</v>
      </c>
      <c r="BF29" s="62">
        <f t="shared" si="4"/>
        <v>7562.5</v>
      </c>
      <c r="BG29" s="62">
        <f t="shared" si="5"/>
        <v>7562.5</v>
      </c>
      <c r="BH29" s="62">
        <f t="shared" si="6"/>
        <v>7562.5</v>
      </c>
      <c r="BI29" s="62">
        <f t="shared" si="7"/>
        <v>7562.5</v>
      </c>
      <c r="BJ29" s="62">
        <f t="shared" si="8"/>
        <v>7562.5</v>
      </c>
      <c r="BK29" s="62">
        <f t="shared" si="9"/>
        <v>7562.5</v>
      </c>
      <c r="BL29" s="62">
        <f t="shared" si="10"/>
        <v>7562.5</v>
      </c>
      <c r="BM29" s="62">
        <f t="shared" si="11"/>
        <v>7562.5</v>
      </c>
      <c r="BN29" s="62">
        <f t="shared" si="12"/>
        <v>7562.5</v>
      </c>
      <c r="BO29" s="62">
        <f t="shared" si="13"/>
        <v>7562.5</v>
      </c>
      <c r="BP29" s="62">
        <f t="shared" si="14"/>
        <v>7562.5</v>
      </c>
      <c r="BQ29" s="62">
        <f t="shared" si="15"/>
        <v>7562.5</v>
      </c>
      <c r="BR29" s="62">
        <f t="shared" si="16"/>
        <v>7562.5</v>
      </c>
      <c r="BS29" s="62">
        <f t="shared" si="17"/>
        <v>7562.5</v>
      </c>
      <c r="BT29" s="62">
        <f t="shared" si="18"/>
        <v>7562.5</v>
      </c>
      <c r="BU29" s="62">
        <f t="shared" si="19"/>
        <v>7562.5</v>
      </c>
      <c r="BV29" s="62">
        <f t="shared" si="20"/>
        <v>7562.5</v>
      </c>
      <c r="BW29" s="62">
        <f t="shared" si="21"/>
        <v>7562.5</v>
      </c>
      <c r="BX29" s="62">
        <f t="shared" si="22"/>
        <v>7562.5</v>
      </c>
      <c r="BY29" s="62">
        <f t="shared" si="23"/>
        <v>7562.5</v>
      </c>
    </row>
    <row r="30" spans="1:77" x14ac:dyDescent="0.25">
      <c r="A30" s="61" t="s">
        <v>28</v>
      </c>
      <c r="B30" s="49" t="s">
        <v>1059</v>
      </c>
      <c r="C30" s="48">
        <f t="shared" si="24"/>
        <v>4.9471508245292597</v>
      </c>
      <c r="D30" s="48">
        <f>IFERROR(s_DL/(s_RadSpec!$J30*s_IFAP_res_adj*s_CF_apple),".")</f>
        <v>14.841452473587779</v>
      </c>
      <c r="E30" s="48">
        <f>IFERROR(s_DL/(s_RadSpec!$J30*s_IFAS_res_adj*s_CF_asparagus),".")</f>
        <v>14.841452473587779</v>
      </c>
      <c r="F30" s="48">
        <f>IFERROR(s_DL/(s_RadSpec!$J30*s_IFBT_res_adj*s_CF_beet),".")</f>
        <v>14.841452473587779</v>
      </c>
      <c r="G30" s="48">
        <f>IFERROR(s_DL/(s_RadSpec!$J30*s_IFBE_res_adj*s_CF_berries),".")</f>
        <v>14.841452473587779</v>
      </c>
      <c r="H30" s="48">
        <f>IFERROR(s_DL/(s_RadSpec!$J30*s_IFBR_res_adj*s_CF_broccoli),".")</f>
        <v>14.841452473587779</v>
      </c>
      <c r="I30" s="48">
        <f>IFERROR(s_DL/(s_RadSpec!$J30*s_IFCB_res_adj*s_CF_cabbage),".")</f>
        <v>14.841452473587779</v>
      </c>
      <c r="J30" s="48">
        <f>IFERROR(s_DL/(s_RadSpec!$J30*s_IFCR_res_adj*s_CF_carrot),".")</f>
        <v>14.841452473587779</v>
      </c>
      <c r="K30" s="48">
        <f>IFERROR(s_DL/(s_RadSpec!$J30*s_IFCI_res_adj*s_CF_citrus),".")</f>
        <v>14.841452473587779</v>
      </c>
      <c r="L30" s="48">
        <f>IFERROR(s_DL/(s_RadSpec!$J30*s_IFCO_res_adj*s_CF_corn),".")</f>
        <v>14.841452473587779</v>
      </c>
      <c r="M30" s="48">
        <f>IFERROR(s_DL/(s_RadSpec!$J30*s_IFCU_res_adj*s_CF_cucumber),".")</f>
        <v>14.841452473587779</v>
      </c>
      <c r="N30" s="48">
        <f>IFERROR(s_DL/(s_RadSpec!$J30*s_IFLE_res_adj*s_CF_lettuce),".")</f>
        <v>14.841452473587779</v>
      </c>
      <c r="O30" s="48">
        <f>IFERROR(s_DL/(s_RadSpec!$J30*s_IFLI_res_adj*s_CF_lima_bean),".")</f>
        <v>14.841452473587779</v>
      </c>
      <c r="P30" s="48">
        <f>IFERROR(s_DL/(s_RadSpec!$J30*s_IFOK_res_adj*s_CF_okra),".")</f>
        <v>14.841452473587779</v>
      </c>
      <c r="Q30" s="48">
        <f>IFERROR(s_DL/(s_RadSpec!$J30*s_IFON_res_adj*s_CF_onion),".")</f>
        <v>14.841452473587779</v>
      </c>
      <c r="R30" s="48">
        <f>IFERROR(s_DL/(s_RadSpec!$J30*s_IFPC_res_adj*s_CF_peach),".")</f>
        <v>14.841452473587779</v>
      </c>
      <c r="S30" s="48">
        <f>IFERROR(s_DL/(s_RadSpec!$J30*s_IFPR_res_adj*s_CF_pear),".")</f>
        <v>14.841452473587779</v>
      </c>
      <c r="T30" s="48">
        <f>IFERROR(s_DL/(s_RadSpec!$J30*s_IFPE_res_adj*s_CF_peas),".")</f>
        <v>14.841452473587779</v>
      </c>
      <c r="U30" s="48">
        <f>IFERROR(s_DL/(s_RadSpec!$J30*s_IFPT_res_adj*s_CF_potato),".")</f>
        <v>14.841452473587779</v>
      </c>
      <c r="V30" s="48">
        <f>IFERROR(s_DL/(s_RadSpec!$J30*s_IFPU_res_adj*s_CF_pumpkin),".")</f>
        <v>14.841452473587779</v>
      </c>
      <c r="W30" s="48">
        <f>IFERROR(s_DL/(s_RadSpec!$J30*s_IFSN_res_adj*s_CF_snap_bean),".")</f>
        <v>14.841452473587779</v>
      </c>
      <c r="X30" s="48">
        <f>IFERROR(s_DL/(s_RadSpec!$J30*s_IFST_res_adj*s_CF_strawberry),".")</f>
        <v>14.841452473587779</v>
      </c>
      <c r="Y30" s="48">
        <f>IFERROR(s_DL/(s_RadSpec!$J30*s_IFTO_res_adj*s_CF_tomato),".")</f>
        <v>14.841452473587779</v>
      </c>
      <c r="Z30" s="48">
        <f>IFERROR(s_DL/(s_RadSpec!$J30*s_IFRI_res_adj*s_CF_rice),".")</f>
        <v>14.841452473587779</v>
      </c>
      <c r="AA30" s="48">
        <f>IFERROR(s_DL/(s_RadSpec!$J30*s_IFCG_res_adj*s_CF_cereal),".")</f>
        <v>14.841452473587779</v>
      </c>
      <c r="AB30" s="48">
        <f t="shared" si="25"/>
        <v>4.9471508245292597</v>
      </c>
      <c r="AC30" s="48">
        <f>IFERROR(s_DL/(s_RadSpec!$J30*s_IFAP_far_adj*s_CF_apple),".")</f>
        <v>14.841452473587779</v>
      </c>
      <c r="AD30" s="48">
        <f>IFERROR(s_DL/(s_RadSpec!$J30*s_IFAS_far_adj*s_CF_asparagus),".")</f>
        <v>14.841452473587779</v>
      </c>
      <c r="AE30" s="48">
        <f>IFERROR(s_DL/(s_RadSpec!$J30*s_IFBT_far_adj*s_CF_beet),".")</f>
        <v>14.841452473587779</v>
      </c>
      <c r="AF30" s="48">
        <f>IFERROR(s_DL/(s_RadSpec!$J30*s_IFBE_far_adj*s_CF_berries),".")</f>
        <v>14.841452473587779</v>
      </c>
      <c r="AG30" s="48">
        <f>IFERROR(s_DL/(s_RadSpec!$J30*s_IFBR_far_adj*s_CF_broccoli),".")</f>
        <v>14.841452473587779</v>
      </c>
      <c r="AH30" s="48">
        <f>IFERROR(s_DL/(s_RadSpec!$J30*s_IFCB_far_adj*s_CF_cabbage),".")</f>
        <v>14.841452473587779</v>
      </c>
      <c r="AI30" s="48">
        <f>IFERROR(s_DL/(s_RadSpec!$J30*s_IFCR_far_adj*s_CF_carrot),".")</f>
        <v>14.841452473587779</v>
      </c>
      <c r="AJ30" s="48">
        <f>IFERROR(s_DL/(s_RadSpec!$J30*s_IFCI_far_adj*s_CF_citrus),".")</f>
        <v>14.841452473587779</v>
      </c>
      <c r="AK30" s="48">
        <f>IFERROR(s_DL/(s_RadSpec!$J30*s_IFCO_far_adj*s_CF_corn),".")</f>
        <v>14.841452473587779</v>
      </c>
      <c r="AL30" s="48">
        <f>IFERROR(s_DL/(s_RadSpec!$J30*s_IFCU_far_adj*s_CF_cucumber),".")</f>
        <v>14.841452473587779</v>
      </c>
      <c r="AM30" s="48">
        <f>IFERROR(s_DL/(s_RadSpec!$J30*s_IFLE_far_adj*s_CF_lettuce),".")</f>
        <v>14.841452473587779</v>
      </c>
      <c r="AN30" s="48">
        <f>IFERROR(s_DL/(s_RadSpec!$J30*s_IFLI_far_adj*s_CF_lima_bean),".")</f>
        <v>14.841452473587779</v>
      </c>
      <c r="AO30" s="48">
        <f>IFERROR(s_DL/(s_RadSpec!$J30*s_IFOK_far_adj*s_CF_okra),".")</f>
        <v>14.841452473587779</v>
      </c>
      <c r="AP30" s="48">
        <f>IFERROR(s_DL/(s_RadSpec!$J30*s_IFON_far_adj*s_CF_onion),".")</f>
        <v>14.841452473587779</v>
      </c>
      <c r="AQ30" s="48">
        <f>IFERROR(s_DL/(s_RadSpec!$J30*s_IFPC_far_adj*s_CF_peach),".")</f>
        <v>14.841452473587779</v>
      </c>
      <c r="AR30" s="48">
        <f>IFERROR(s_DL/(s_RadSpec!$J30*s_IFPR_far_adj*s_CF_pear),".")</f>
        <v>14.841452473587779</v>
      </c>
      <c r="AS30" s="48">
        <f>IFERROR(s_DL/(s_RadSpec!$J30*s_IFPE_far_adj*s_CF_peas),".")</f>
        <v>14.841452473587779</v>
      </c>
      <c r="AT30" s="48">
        <f>IFERROR(s_DL/(s_RadSpec!$J30*s_IFPT_far_adj*s_CF_potato),".")</f>
        <v>14.841452473587779</v>
      </c>
      <c r="AU30" s="48">
        <f>IFERROR(s_DL/(s_RadSpec!$J30*s_IFPU_far_adj*s_CF_pumpkin),".")</f>
        <v>14.841452473587779</v>
      </c>
      <c r="AV30" s="48">
        <f>IFERROR(s_DL/(s_RadSpec!$J30*s_IFSN_far_adj*s_CF_snap_bean),".")</f>
        <v>14.841452473587779</v>
      </c>
      <c r="AW30" s="48">
        <f>IFERROR(s_DL/(s_RadSpec!$J30*s_IFST_far_adj*s_CF_strawberry),".")</f>
        <v>14.841452473587779</v>
      </c>
      <c r="AX30" s="48">
        <f>IFERROR(s_DL/(s_RadSpec!$J30*s_IFTO_far_adj*s_CF_tomato),".")</f>
        <v>14.841452473587779</v>
      </c>
      <c r="AY30" s="48">
        <f>IFERROR(s_DL/(s_RadSpec!$J30*s_IFRI_far_adj*s_CF_rice),".")</f>
        <v>14.841452473587779</v>
      </c>
      <c r="AZ30" s="48">
        <f>IFERROR(s_DL/(s_RadSpec!$J30*s_IFCG_far_adj*s_CF_cereal),".")</f>
        <v>14.841452473587779</v>
      </c>
      <c r="BA30" s="62">
        <f t="shared" si="26"/>
        <v>22687.5</v>
      </c>
      <c r="BB30" s="62">
        <f t="shared" si="0"/>
        <v>7562.5</v>
      </c>
      <c r="BC30" s="62">
        <f t="shared" si="1"/>
        <v>7562.5</v>
      </c>
      <c r="BD30" s="62">
        <f t="shared" si="2"/>
        <v>7562.5</v>
      </c>
      <c r="BE30" s="62">
        <f t="shared" si="3"/>
        <v>7562.5</v>
      </c>
      <c r="BF30" s="62">
        <f t="shared" si="4"/>
        <v>7562.5</v>
      </c>
      <c r="BG30" s="62">
        <f t="shared" si="5"/>
        <v>7562.5</v>
      </c>
      <c r="BH30" s="62">
        <f t="shared" si="6"/>
        <v>7562.5</v>
      </c>
      <c r="BI30" s="62">
        <f t="shared" si="7"/>
        <v>7562.5</v>
      </c>
      <c r="BJ30" s="62">
        <f t="shared" si="8"/>
        <v>7562.5</v>
      </c>
      <c r="BK30" s="62">
        <f t="shared" si="9"/>
        <v>7562.5</v>
      </c>
      <c r="BL30" s="62">
        <f t="shared" si="10"/>
        <v>7562.5</v>
      </c>
      <c r="BM30" s="62">
        <f t="shared" si="11"/>
        <v>7562.5</v>
      </c>
      <c r="BN30" s="62">
        <f t="shared" si="12"/>
        <v>7562.5</v>
      </c>
      <c r="BO30" s="62">
        <f t="shared" si="13"/>
        <v>7562.5</v>
      </c>
      <c r="BP30" s="62">
        <f t="shared" si="14"/>
        <v>7562.5</v>
      </c>
      <c r="BQ30" s="62">
        <f t="shared" si="15"/>
        <v>7562.5</v>
      </c>
      <c r="BR30" s="62">
        <f t="shared" si="16"/>
        <v>7562.5</v>
      </c>
      <c r="BS30" s="62">
        <f t="shared" si="17"/>
        <v>7562.5</v>
      </c>
      <c r="BT30" s="62">
        <f t="shared" si="18"/>
        <v>7562.5</v>
      </c>
      <c r="BU30" s="62">
        <f t="shared" si="19"/>
        <v>7562.5</v>
      </c>
      <c r="BV30" s="62">
        <f t="shared" si="20"/>
        <v>7562.5</v>
      </c>
      <c r="BW30" s="62">
        <f t="shared" si="21"/>
        <v>7562.5</v>
      </c>
      <c r="BX30" s="62">
        <f t="shared" si="22"/>
        <v>7562.5</v>
      </c>
      <c r="BY30" s="62">
        <f t="shared" si="23"/>
        <v>7562.5</v>
      </c>
    </row>
    <row r="31" spans="1:77" x14ac:dyDescent="0.25">
      <c r="A31" s="64" t="s">
        <v>1</v>
      </c>
      <c r="B31" s="64" t="s">
        <v>1059</v>
      </c>
      <c r="C31" s="40">
        <f t="shared" ref="C31:AH31" si="27">1/SUM(1/C32,1/C33,1/C34,1/C35,1/C36,1/C37,1/C38,1/C41,1/C44)</f>
        <v>0.22491079750690235</v>
      </c>
      <c r="D31" s="40">
        <f t="shared" si="27"/>
        <v>0.67473239252070694</v>
      </c>
      <c r="E31" s="40">
        <f t="shared" si="27"/>
        <v>0.67473239252070694</v>
      </c>
      <c r="F31" s="40">
        <f t="shared" si="27"/>
        <v>0.67473239252070694</v>
      </c>
      <c r="G31" s="40">
        <f t="shared" si="27"/>
        <v>0.67473239252070694</v>
      </c>
      <c r="H31" s="40">
        <f t="shared" si="27"/>
        <v>0.67473239252070694</v>
      </c>
      <c r="I31" s="40">
        <f t="shared" si="27"/>
        <v>0.67473239252070694</v>
      </c>
      <c r="J31" s="40">
        <f t="shared" si="27"/>
        <v>0.67473239252070694</v>
      </c>
      <c r="K31" s="40">
        <f t="shared" si="27"/>
        <v>0.67473239252070694</v>
      </c>
      <c r="L31" s="40">
        <f t="shared" si="27"/>
        <v>0.67473239252070694</v>
      </c>
      <c r="M31" s="40">
        <f t="shared" si="27"/>
        <v>0.67473239252070694</v>
      </c>
      <c r="N31" s="40">
        <f t="shared" si="27"/>
        <v>0.67473239252070694</v>
      </c>
      <c r="O31" s="40">
        <f t="shared" si="27"/>
        <v>0.67473239252070694</v>
      </c>
      <c r="P31" s="40">
        <f t="shared" si="27"/>
        <v>0.67473239252070694</v>
      </c>
      <c r="Q31" s="40">
        <f t="shared" si="27"/>
        <v>0.67473239252070694</v>
      </c>
      <c r="R31" s="40">
        <f t="shared" si="27"/>
        <v>0.67473239252070694</v>
      </c>
      <c r="S31" s="40">
        <f t="shared" si="27"/>
        <v>0.67473239252070694</v>
      </c>
      <c r="T31" s="40">
        <f t="shared" si="27"/>
        <v>0.67473239252070694</v>
      </c>
      <c r="U31" s="40">
        <f t="shared" si="27"/>
        <v>0.67473239252070694</v>
      </c>
      <c r="V31" s="40">
        <f t="shared" si="27"/>
        <v>0.67473239252070694</v>
      </c>
      <c r="W31" s="40">
        <f t="shared" si="27"/>
        <v>0.67473239252070694</v>
      </c>
      <c r="X31" s="40">
        <f t="shared" si="27"/>
        <v>0.67473239252070694</v>
      </c>
      <c r="Y31" s="40">
        <f t="shared" si="27"/>
        <v>0.67473239252070694</v>
      </c>
      <c r="Z31" s="40">
        <f t="shared" si="27"/>
        <v>0.67473239252070694</v>
      </c>
      <c r="AA31" s="40">
        <f t="shared" si="27"/>
        <v>0.67473239252070694</v>
      </c>
      <c r="AB31" s="40">
        <f t="shared" si="27"/>
        <v>0.22491079750690235</v>
      </c>
      <c r="AC31" s="40">
        <f t="shared" si="27"/>
        <v>0.67473239252070694</v>
      </c>
      <c r="AD31" s="40">
        <f t="shared" si="27"/>
        <v>0.67473239252070694</v>
      </c>
      <c r="AE31" s="40">
        <f t="shared" si="27"/>
        <v>0.67473239252070694</v>
      </c>
      <c r="AF31" s="40">
        <f t="shared" si="27"/>
        <v>0.67473239252070694</v>
      </c>
      <c r="AG31" s="40">
        <f t="shared" si="27"/>
        <v>0.67473239252070694</v>
      </c>
      <c r="AH31" s="40">
        <f t="shared" si="27"/>
        <v>0.67473239252070694</v>
      </c>
      <c r="AI31" s="40">
        <f t="shared" ref="AI31:AZ31" si="28">1/SUM(1/AI32,1/AI33,1/AI34,1/AI35,1/AI36,1/AI37,1/AI38,1/AI41,1/AI44)</f>
        <v>0.67473239252070694</v>
      </c>
      <c r="AJ31" s="40">
        <f t="shared" si="28"/>
        <v>0.67473239252070694</v>
      </c>
      <c r="AK31" s="40">
        <f t="shared" si="28"/>
        <v>0.67473239252070694</v>
      </c>
      <c r="AL31" s="40">
        <f t="shared" si="28"/>
        <v>0.67473239252070694</v>
      </c>
      <c r="AM31" s="40">
        <f t="shared" si="28"/>
        <v>0.67473239252070694</v>
      </c>
      <c r="AN31" s="40">
        <f t="shared" si="28"/>
        <v>0.67473239252070694</v>
      </c>
      <c r="AO31" s="40">
        <f t="shared" si="28"/>
        <v>0.67473239252070694</v>
      </c>
      <c r="AP31" s="40">
        <f t="shared" si="28"/>
        <v>0.67473239252070694</v>
      </c>
      <c r="AQ31" s="40">
        <f t="shared" si="28"/>
        <v>0.67473239252070694</v>
      </c>
      <c r="AR31" s="40">
        <f t="shared" si="28"/>
        <v>0.67473239252070694</v>
      </c>
      <c r="AS31" s="40">
        <f t="shared" si="28"/>
        <v>0.67473239252070694</v>
      </c>
      <c r="AT31" s="40">
        <f t="shared" si="28"/>
        <v>0.67473239252070694</v>
      </c>
      <c r="AU31" s="40">
        <f t="shared" si="28"/>
        <v>0.67473239252070694</v>
      </c>
      <c r="AV31" s="40">
        <f t="shared" si="28"/>
        <v>0.67473239252070694</v>
      </c>
      <c r="AW31" s="40">
        <f t="shared" si="28"/>
        <v>0.67473239252070694</v>
      </c>
      <c r="AX31" s="40">
        <f t="shared" si="28"/>
        <v>0.67473239252070694</v>
      </c>
      <c r="AY31" s="40">
        <f t="shared" si="28"/>
        <v>0.67473239252070694</v>
      </c>
      <c r="AZ31" s="40">
        <f t="shared" si="28"/>
        <v>0.67473239252070694</v>
      </c>
      <c r="BA31" s="33">
        <f t="shared" ref="BA31:BA76" si="29">SUM(BB31,BX31:BY31)</f>
        <v>1361209.1625000001</v>
      </c>
      <c r="BB31" s="33">
        <f t="shared" ref="BB31:BY31" si="30">IFERROR(SUM(BB32:BB44),".")</f>
        <v>453736.38750000007</v>
      </c>
      <c r="BC31" s="33">
        <f t="shared" si="30"/>
        <v>453736.38750000007</v>
      </c>
      <c r="BD31" s="33">
        <f t="shared" si="30"/>
        <v>453736.38750000007</v>
      </c>
      <c r="BE31" s="33">
        <f t="shared" si="30"/>
        <v>453736.38750000007</v>
      </c>
      <c r="BF31" s="33">
        <f t="shared" si="30"/>
        <v>453736.38750000007</v>
      </c>
      <c r="BG31" s="33">
        <f t="shared" si="30"/>
        <v>453736.38750000007</v>
      </c>
      <c r="BH31" s="33">
        <f t="shared" si="30"/>
        <v>453736.38750000007</v>
      </c>
      <c r="BI31" s="33">
        <f t="shared" si="30"/>
        <v>453736.38750000007</v>
      </c>
      <c r="BJ31" s="33">
        <f t="shared" si="30"/>
        <v>453736.38750000007</v>
      </c>
      <c r="BK31" s="33">
        <f t="shared" si="30"/>
        <v>453736.38750000007</v>
      </c>
      <c r="BL31" s="33">
        <f t="shared" si="30"/>
        <v>453736.38750000007</v>
      </c>
      <c r="BM31" s="33">
        <f t="shared" si="30"/>
        <v>453736.38750000007</v>
      </c>
      <c r="BN31" s="33">
        <f t="shared" si="30"/>
        <v>453736.38750000007</v>
      </c>
      <c r="BO31" s="33">
        <f t="shared" si="30"/>
        <v>453736.38750000007</v>
      </c>
      <c r="BP31" s="33">
        <f t="shared" si="30"/>
        <v>453736.38750000007</v>
      </c>
      <c r="BQ31" s="33">
        <f t="shared" si="30"/>
        <v>453736.38750000007</v>
      </c>
      <c r="BR31" s="33">
        <f t="shared" si="30"/>
        <v>453736.38750000007</v>
      </c>
      <c r="BS31" s="33">
        <f t="shared" si="30"/>
        <v>453736.38750000007</v>
      </c>
      <c r="BT31" s="33">
        <f t="shared" si="30"/>
        <v>453736.38750000007</v>
      </c>
      <c r="BU31" s="33">
        <f t="shared" si="30"/>
        <v>453736.38750000007</v>
      </c>
      <c r="BV31" s="33">
        <f t="shared" si="30"/>
        <v>453736.38750000007</v>
      </c>
      <c r="BW31" s="33">
        <f t="shared" si="30"/>
        <v>453736.38750000007</v>
      </c>
      <c r="BX31" s="33">
        <f t="shared" si="30"/>
        <v>453736.38750000007</v>
      </c>
      <c r="BY31" s="33">
        <f t="shared" si="30"/>
        <v>453736.38750000007</v>
      </c>
    </row>
    <row r="32" spans="1:77" x14ac:dyDescent="0.25">
      <c r="A32" s="66" t="s">
        <v>1087</v>
      </c>
      <c r="B32" s="49">
        <v>1</v>
      </c>
      <c r="C32" s="42">
        <f t="shared" ref="C32:AH32" si="31">IFERROR(C3/$B32,0)</f>
        <v>1.2513381497338718</v>
      </c>
      <c r="D32" s="42">
        <f t="shared" si="31"/>
        <v>3.7540144492016148</v>
      </c>
      <c r="E32" s="42">
        <f t="shared" si="31"/>
        <v>3.7540144492016148</v>
      </c>
      <c r="F32" s="42">
        <f t="shared" si="31"/>
        <v>3.7540144492016148</v>
      </c>
      <c r="G32" s="42">
        <f t="shared" si="31"/>
        <v>3.7540144492016148</v>
      </c>
      <c r="H32" s="42">
        <f t="shared" si="31"/>
        <v>3.7540144492016148</v>
      </c>
      <c r="I32" s="42">
        <f t="shared" si="31"/>
        <v>3.7540144492016148</v>
      </c>
      <c r="J32" s="42">
        <f t="shared" si="31"/>
        <v>3.7540144492016148</v>
      </c>
      <c r="K32" s="42">
        <f t="shared" si="31"/>
        <v>3.7540144492016148</v>
      </c>
      <c r="L32" s="42">
        <f t="shared" si="31"/>
        <v>3.7540144492016148</v>
      </c>
      <c r="M32" s="42">
        <f t="shared" si="31"/>
        <v>3.7540144492016148</v>
      </c>
      <c r="N32" s="42">
        <f t="shared" si="31"/>
        <v>3.7540144492016148</v>
      </c>
      <c r="O32" s="42">
        <f t="shared" si="31"/>
        <v>3.7540144492016148</v>
      </c>
      <c r="P32" s="42">
        <f t="shared" si="31"/>
        <v>3.7540144492016148</v>
      </c>
      <c r="Q32" s="42">
        <f t="shared" si="31"/>
        <v>3.7540144492016148</v>
      </c>
      <c r="R32" s="42">
        <f t="shared" si="31"/>
        <v>3.7540144492016148</v>
      </c>
      <c r="S32" s="42">
        <f t="shared" si="31"/>
        <v>3.7540144492016148</v>
      </c>
      <c r="T32" s="42">
        <f t="shared" si="31"/>
        <v>3.7540144492016148</v>
      </c>
      <c r="U32" s="42">
        <f t="shared" si="31"/>
        <v>3.7540144492016148</v>
      </c>
      <c r="V32" s="42">
        <f t="shared" si="31"/>
        <v>3.7540144492016148</v>
      </c>
      <c r="W32" s="42">
        <f t="shared" si="31"/>
        <v>3.7540144492016148</v>
      </c>
      <c r="X32" s="42">
        <f t="shared" si="31"/>
        <v>3.7540144492016148</v>
      </c>
      <c r="Y32" s="42">
        <f t="shared" si="31"/>
        <v>3.7540144492016148</v>
      </c>
      <c r="Z32" s="42">
        <f t="shared" si="31"/>
        <v>3.7540144492016148</v>
      </c>
      <c r="AA32" s="42">
        <f t="shared" si="31"/>
        <v>3.7540144492016148</v>
      </c>
      <c r="AB32" s="42">
        <f t="shared" si="31"/>
        <v>1.2513381497338718</v>
      </c>
      <c r="AC32" s="42">
        <f t="shared" si="31"/>
        <v>3.7540144492016148</v>
      </c>
      <c r="AD32" s="42">
        <f t="shared" si="31"/>
        <v>3.7540144492016148</v>
      </c>
      <c r="AE32" s="42">
        <f t="shared" si="31"/>
        <v>3.7540144492016148</v>
      </c>
      <c r="AF32" s="42">
        <f t="shared" si="31"/>
        <v>3.7540144492016148</v>
      </c>
      <c r="AG32" s="42">
        <f t="shared" si="31"/>
        <v>3.7540144492016148</v>
      </c>
      <c r="AH32" s="42">
        <f t="shared" si="31"/>
        <v>3.7540144492016148</v>
      </c>
      <c r="AI32" s="42">
        <f t="shared" ref="AI32:AZ32" si="32">IFERROR(AI3/$B32,0)</f>
        <v>3.7540144492016148</v>
      </c>
      <c r="AJ32" s="42">
        <f t="shared" si="32"/>
        <v>3.7540144492016148</v>
      </c>
      <c r="AK32" s="42">
        <f t="shared" si="32"/>
        <v>3.7540144492016148</v>
      </c>
      <c r="AL32" s="42">
        <f t="shared" si="32"/>
        <v>3.7540144492016148</v>
      </c>
      <c r="AM32" s="42">
        <f t="shared" si="32"/>
        <v>3.7540144492016148</v>
      </c>
      <c r="AN32" s="42">
        <f t="shared" si="32"/>
        <v>3.7540144492016148</v>
      </c>
      <c r="AO32" s="42">
        <f t="shared" si="32"/>
        <v>3.7540144492016148</v>
      </c>
      <c r="AP32" s="42">
        <f t="shared" si="32"/>
        <v>3.7540144492016148</v>
      </c>
      <c r="AQ32" s="42">
        <f t="shared" si="32"/>
        <v>3.7540144492016148</v>
      </c>
      <c r="AR32" s="42">
        <f t="shared" si="32"/>
        <v>3.7540144492016148</v>
      </c>
      <c r="AS32" s="42">
        <f t="shared" si="32"/>
        <v>3.7540144492016148</v>
      </c>
      <c r="AT32" s="42">
        <f t="shared" si="32"/>
        <v>3.7540144492016148</v>
      </c>
      <c r="AU32" s="42">
        <f t="shared" si="32"/>
        <v>3.7540144492016148</v>
      </c>
      <c r="AV32" s="42">
        <f t="shared" si="32"/>
        <v>3.7540144492016148</v>
      </c>
      <c r="AW32" s="42">
        <f t="shared" si="32"/>
        <v>3.7540144492016148</v>
      </c>
      <c r="AX32" s="42">
        <f t="shared" si="32"/>
        <v>3.7540144492016148</v>
      </c>
      <c r="AY32" s="42">
        <f t="shared" si="32"/>
        <v>3.7540144492016148</v>
      </c>
      <c r="AZ32" s="42">
        <f t="shared" si="32"/>
        <v>3.7540144492016148</v>
      </c>
      <c r="BA32" s="34">
        <f t="shared" si="29"/>
        <v>113437.5</v>
      </c>
      <c r="BB32" s="34">
        <f>IFERROR(up_RadSpec!$J$3*(BB3*$B32),".")</f>
        <v>37812.5</v>
      </c>
      <c r="BC32" s="34">
        <f>IFERROR(up_RadSpec!$J$3*(BC3*$B32),".")</f>
        <v>37812.5</v>
      </c>
      <c r="BD32" s="34">
        <f>IFERROR(up_RadSpec!$J$3*(BD3*$B32),".")</f>
        <v>37812.5</v>
      </c>
      <c r="BE32" s="34">
        <f>IFERROR(up_RadSpec!$J$3*(BE3*$B32),".")</f>
        <v>37812.5</v>
      </c>
      <c r="BF32" s="34">
        <f>IFERROR(up_RadSpec!$J$3*(BF3*$B32),".")</f>
        <v>37812.5</v>
      </c>
      <c r="BG32" s="34">
        <f>IFERROR(up_RadSpec!$J$3*(BG3*$B32),".")</f>
        <v>37812.5</v>
      </c>
      <c r="BH32" s="34">
        <f>IFERROR(up_RadSpec!$J$3*(BH3*$B32),".")</f>
        <v>37812.5</v>
      </c>
      <c r="BI32" s="34">
        <f>IFERROR(up_RadSpec!$J$3*(BI3*$B32),".")</f>
        <v>37812.5</v>
      </c>
      <c r="BJ32" s="34">
        <f>IFERROR(up_RadSpec!$J$3*(BJ3*$B32),".")</f>
        <v>37812.5</v>
      </c>
      <c r="BK32" s="34">
        <f>IFERROR(up_RadSpec!$J$3*(BK3*$B32),".")</f>
        <v>37812.5</v>
      </c>
      <c r="BL32" s="34">
        <f>IFERROR(up_RadSpec!$J$3*(BL3*$B32),".")</f>
        <v>37812.5</v>
      </c>
      <c r="BM32" s="34">
        <f>IFERROR(up_RadSpec!$J$3*(BM3*$B32),".")</f>
        <v>37812.5</v>
      </c>
      <c r="BN32" s="34">
        <f>IFERROR(up_RadSpec!$J$3*(BN3*$B32),".")</f>
        <v>37812.5</v>
      </c>
      <c r="BO32" s="34">
        <f>IFERROR(up_RadSpec!$J$3*(BO3*$B32),".")</f>
        <v>37812.5</v>
      </c>
      <c r="BP32" s="34">
        <f>IFERROR(up_RadSpec!$J$3*(BP3*$B32),".")</f>
        <v>37812.5</v>
      </c>
      <c r="BQ32" s="34">
        <f>IFERROR(up_RadSpec!$J$3*(BQ3*$B32),".")</f>
        <v>37812.5</v>
      </c>
      <c r="BR32" s="34">
        <f>IFERROR(up_RadSpec!$J$3*(BR3*$B32),".")</f>
        <v>37812.5</v>
      </c>
      <c r="BS32" s="34">
        <f>IFERROR(up_RadSpec!$J$3*(BS3*$B32),".")</f>
        <v>37812.5</v>
      </c>
      <c r="BT32" s="34">
        <f>IFERROR(up_RadSpec!$J$3*(BT3*$B32),".")</f>
        <v>37812.5</v>
      </c>
      <c r="BU32" s="34">
        <f>IFERROR(up_RadSpec!$J$3*(BU3*$B32),".")</f>
        <v>37812.5</v>
      </c>
      <c r="BV32" s="34">
        <f>IFERROR(up_RadSpec!$J$3*(BV3*$B32),".")</f>
        <v>37812.5</v>
      </c>
      <c r="BW32" s="34">
        <f>IFERROR(up_RadSpec!$J$3*(BW3*$B32),".")</f>
        <v>37812.5</v>
      </c>
      <c r="BX32" s="34">
        <f>IFERROR(up_RadSpec!$J$3*(BX3*$B32),".")</f>
        <v>37812.5</v>
      </c>
      <c r="BY32" s="34">
        <f>IFERROR(up_RadSpec!$J$3*(BY3*$B32),".")</f>
        <v>37812.5</v>
      </c>
    </row>
    <row r="33" spans="1:77" x14ac:dyDescent="0.25">
      <c r="A33" s="66" t="s">
        <v>1063</v>
      </c>
      <c r="B33" s="49">
        <v>1</v>
      </c>
      <c r="C33" s="42">
        <f t="shared" ref="C33:AZ34" si="33">IFERROR(C13/$B33,0)</f>
        <v>2.3825478370932913</v>
      </c>
      <c r="D33" s="42">
        <f t="shared" si="33"/>
        <v>7.1476435112798749</v>
      </c>
      <c r="E33" s="42">
        <f t="shared" si="33"/>
        <v>7.1476435112798749</v>
      </c>
      <c r="F33" s="42">
        <f t="shared" si="33"/>
        <v>7.1476435112798749</v>
      </c>
      <c r="G33" s="42">
        <f t="shared" si="33"/>
        <v>7.1476435112798749</v>
      </c>
      <c r="H33" s="42">
        <f t="shared" si="33"/>
        <v>7.1476435112798749</v>
      </c>
      <c r="I33" s="42">
        <f t="shared" si="33"/>
        <v>7.1476435112798749</v>
      </c>
      <c r="J33" s="42">
        <f t="shared" si="33"/>
        <v>7.1476435112798749</v>
      </c>
      <c r="K33" s="42">
        <f t="shared" si="33"/>
        <v>7.1476435112798749</v>
      </c>
      <c r="L33" s="42">
        <f t="shared" si="33"/>
        <v>7.1476435112798749</v>
      </c>
      <c r="M33" s="42">
        <f t="shared" si="33"/>
        <v>7.1476435112798749</v>
      </c>
      <c r="N33" s="42">
        <f t="shared" si="33"/>
        <v>7.1476435112798749</v>
      </c>
      <c r="O33" s="42">
        <f t="shared" si="33"/>
        <v>7.1476435112798749</v>
      </c>
      <c r="P33" s="42">
        <f t="shared" si="33"/>
        <v>7.1476435112798749</v>
      </c>
      <c r="Q33" s="42">
        <f t="shared" si="33"/>
        <v>7.1476435112798749</v>
      </c>
      <c r="R33" s="42">
        <f t="shared" si="33"/>
        <v>7.1476435112798749</v>
      </c>
      <c r="S33" s="42">
        <f t="shared" si="33"/>
        <v>7.1476435112798749</v>
      </c>
      <c r="T33" s="42">
        <f t="shared" si="33"/>
        <v>7.1476435112798749</v>
      </c>
      <c r="U33" s="42">
        <f t="shared" si="33"/>
        <v>7.1476435112798749</v>
      </c>
      <c r="V33" s="42">
        <f t="shared" si="33"/>
        <v>7.1476435112798749</v>
      </c>
      <c r="W33" s="42">
        <f t="shared" si="33"/>
        <v>7.1476435112798749</v>
      </c>
      <c r="X33" s="42">
        <f t="shared" si="33"/>
        <v>7.1476435112798749</v>
      </c>
      <c r="Y33" s="42">
        <f t="shared" si="33"/>
        <v>7.1476435112798749</v>
      </c>
      <c r="Z33" s="42">
        <f t="shared" si="33"/>
        <v>7.1476435112798749</v>
      </c>
      <c r="AA33" s="42">
        <f t="shared" si="33"/>
        <v>7.1476435112798749</v>
      </c>
      <c r="AB33" s="42">
        <f t="shared" si="33"/>
        <v>2.3825478370932913</v>
      </c>
      <c r="AC33" s="42">
        <f t="shared" si="33"/>
        <v>7.1476435112798749</v>
      </c>
      <c r="AD33" s="42">
        <f t="shared" si="33"/>
        <v>7.1476435112798749</v>
      </c>
      <c r="AE33" s="42">
        <f t="shared" si="33"/>
        <v>7.1476435112798749</v>
      </c>
      <c r="AF33" s="42">
        <f t="shared" si="33"/>
        <v>7.1476435112798749</v>
      </c>
      <c r="AG33" s="42">
        <f t="shared" si="33"/>
        <v>7.1476435112798749</v>
      </c>
      <c r="AH33" s="42">
        <f t="shared" si="33"/>
        <v>7.1476435112798749</v>
      </c>
      <c r="AI33" s="42">
        <f t="shared" si="33"/>
        <v>7.1476435112798749</v>
      </c>
      <c r="AJ33" s="42">
        <f t="shared" si="33"/>
        <v>7.1476435112798749</v>
      </c>
      <c r="AK33" s="42">
        <f t="shared" si="33"/>
        <v>7.1476435112798749</v>
      </c>
      <c r="AL33" s="42">
        <f t="shared" si="33"/>
        <v>7.1476435112798749</v>
      </c>
      <c r="AM33" s="42">
        <f t="shared" si="33"/>
        <v>7.1476435112798749</v>
      </c>
      <c r="AN33" s="42">
        <f t="shared" si="33"/>
        <v>7.1476435112798749</v>
      </c>
      <c r="AO33" s="42">
        <f t="shared" si="33"/>
        <v>7.1476435112798749</v>
      </c>
      <c r="AP33" s="42">
        <f t="shared" si="33"/>
        <v>7.1476435112798749</v>
      </c>
      <c r="AQ33" s="42">
        <f t="shared" si="33"/>
        <v>7.1476435112798749</v>
      </c>
      <c r="AR33" s="42">
        <f t="shared" si="33"/>
        <v>7.1476435112798749</v>
      </c>
      <c r="AS33" s="42">
        <f t="shared" si="33"/>
        <v>7.1476435112798749</v>
      </c>
      <c r="AT33" s="42">
        <f t="shared" si="33"/>
        <v>7.1476435112798749</v>
      </c>
      <c r="AU33" s="42">
        <f t="shared" si="33"/>
        <v>7.1476435112798749</v>
      </c>
      <c r="AV33" s="42">
        <f t="shared" si="33"/>
        <v>7.1476435112798749</v>
      </c>
      <c r="AW33" s="42">
        <f t="shared" si="33"/>
        <v>7.1476435112798749</v>
      </c>
      <c r="AX33" s="42">
        <f t="shared" si="33"/>
        <v>7.1476435112798749</v>
      </c>
      <c r="AY33" s="42">
        <f t="shared" si="33"/>
        <v>7.1476435112798749</v>
      </c>
      <c r="AZ33" s="42">
        <f t="shared" si="33"/>
        <v>7.1476435112798749</v>
      </c>
      <c r="BA33" s="34">
        <f t="shared" si="29"/>
        <v>113437.5</v>
      </c>
      <c r="BB33" s="34">
        <f>IFERROR(up_RadSpec!$J$13*(BB13*$B33),".")</f>
        <v>37812.5</v>
      </c>
      <c r="BC33" s="34">
        <f>IFERROR(up_RadSpec!$J$13*(BC13*$B33),".")</f>
        <v>37812.5</v>
      </c>
      <c r="BD33" s="34">
        <f>IFERROR(up_RadSpec!$J$13*(BD13*$B33),".")</f>
        <v>37812.5</v>
      </c>
      <c r="BE33" s="34">
        <f>IFERROR(up_RadSpec!$J$13*(BE13*$B33),".")</f>
        <v>37812.5</v>
      </c>
      <c r="BF33" s="34">
        <f>IFERROR(up_RadSpec!$J$13*(BF13*$B33),".")</f>
        <v>37812.5</v>
      </c>
      <c r="BG33" s="34">
        <f>IFERROR(up_RadSpec!$J$13*(BG13*$B33),".")</f>
        <v>37812.5</v>
      </c>
      <c r="BH33" s="34">
        <f>IFERROR(up_RadSpec!$J$13*(BH13*$B33),".")</f>
        <v>37812.5</v>
      </c>
      <c r="BI33" s="34">
        <f>IFERROR(up_RadSpec!$J$13*(BI13*$B33),".")</f>
        <v>37812.5</v>
      </c>
      <c r="BJ33" s="34">
        <f>IFERROR(up_RadSpec!$J$13*(BJ13*$B33),".")</f>
        <v>37812.5</v>
      </c>
      <c r="BK33" s="34">
        <f>IFERROR(up_RadSpec!$J$13*(BK13*$B33),".")</f>
        <v>37812.5</v>
      </c>
      <c r="BL33" s="34">
        <f>IFERROR(up_RadSpec!$J$13*(BL13*$B33),".")</f>
        <v>37812.5</v>
      </c>
      <c r="BM33" s="34">
        <f>IFERROR(up_RadSpec!$J$13*(BM13*$B33),".")</f>
        <v>37812.5</v>
      </c>
      <c r="BN33" s="34">
        <f>IFERROR(up_RadSpec!$J$13*(BN13*$B33),".")</f>
        <v>37812.5</v>
      </c>
      <c r="BO33" s="34">
        <f>IFERROR(up_RadSpec!$J$13*(BO13*$B33),".")</f>
        <v>37812.5</v>
      </c>
      <c r="BP33" s="34">
        <f>IFERROR(up_RadSpec!$J$13*(BP13*$B33),".")</f>
        <v>37812.5</v>
      </c>
      <c r="BQ33" s="34">
        <f>IFERROR(up_RadSpec!$J$13*(BQ13*$B33),".")</f>
        <v>37812.5</v>
      </c>
      <c r="BR33" s="34">
        <f>IFERROR(up_RadSpec!$J$13*(BR13*$B33),".")</f>
        <v>37812.5</v>
      </c>
      <c r="BS33" s="34">
        <f>IFERROR(up_RadSpec!$J$13*(BS13*$B33),".")</f>
        <v>37812.5</v>
      </c>
      <c r="BT33" s="34">
        <f>IFERROR(up_RadSpec!$J$13*(BT13*$B33),".")</f>
        <v>37812.5</v>
      </c>
      <c r="BU33" s="34">
        <f>IFERROR(up_RadSpec!$J$13*(BU13*$B33),".")</f>
        <v>37812.5</v>
      </c>
      <c r="BV33" s="34">
        <f>IFERROR(up_RadSpec!$J$13*(BV13*$B33),".")</f>
        <v>37812.5</v>
      </c>
      <c r="BW33" s="34">
        <f>IFERROR(up_RadSpec!$J$13*(BW13*$B33),".")</f>
        <v>37812.5</v>
      </c>
      <c r="BX33" s="34">
        <f>IFERROR(up_RadSpec!$J$13*(BX13*$B33),".")</f>
        <v>37812.5</v>
      </c>
      <c r="BY33" s="34">
        <f>IFERROR(up_RadSpec!$J$13*(BY13*$B33),".")</f>
        <v>37812.5</v>
      </c>
    </row>
    <row r="34" spans="1:77" x14ac:dyDescent="0.25">
      <c r="A34" s="66" t="s">
        <v>1064</v>
      </c>
      <c r="B34" s="49">
        <v>1</v>
      </c>
      <c r="C34" s="42">
        <f t="shared" si="33"/>
        <v>225.62006033080414</v>
      </c>
      <c r="D34" s="42">
        <f t="shared" si="33"/>
        <v>676.86018099241244</v>
      </c>
      <c r="E34" s="42">
        <f t="shared" si="33"/>
        <v>676.86018099241244</v>
      </c>
      <c r="F34" s="42">
        <f t="shared" si="33"/>
        <v>676.86018099241244</v>
      </c>
      <c r="G34" s="42">
        <f t="shared" si="33"/>
        <v>676.86018099241244</v>
      </c>
      <c r="H34" s="42">
        <f t="shared" si="33"/>
        <v>676.86018099241244</v>
      </c>
      <c r="I34" s="42">
        <f t="shared" si="33"/>
        <v>676.86018099241244</v>
      </c>
      <c r="J34" s="42">
        <f t="shared" si="33"/>
        <v>676.86018099241244</v>
      </c>
      <c r="K34" s="42">
        <f t="shared" si="33"/>
        <v>676.86018099241244</v>
      </c>
      <c r="L34" s="42">
        <f t="shared" si="33"/>
        <v>676.86018099241244</v>
      </c>
      <c r="M34" s="42">
        <f t="shared" si="33"/>
        <v>676.86018099241244</v>
      </c>
      <c r="N34" s="42">
        <f t="shared" si="33"/>
        <v>676.86018099241244</v>
      </c>
      <c r="O34" s="42">
        <f t="shared" si="33"/>
        <v>676.86018099241244</v>
      </c>
      <c r="P34" s="42">
        <f t="shared" si="33"/>
        <v>676.86018099241244</v>
      </c>
      <c r="Q34" s="42">
        <f t="shared" si="33"/>
        <v>676.86018099241244</v>
      </c>
      <c r="R34" s="42">
        <f t="shared" si="33"/>
        <v>676.86018099241244</v>
      </c>
      <c r="S34" s="42">
        <f t="shared" si="33"/>
        <v>676.86018099241244</v>
      </c>
      <c r="T34" s="42">
        <f t="shared" si="33"/>
        <v>676.86018099241244</v>
      </c>
      <c r="U34" s="42">
        <f t="shared" si="33"/>
        <v>676.86018099241244</v>
      </c>
      <c r="V34" s="42">
        <f t="shared" si="33"/>
        <v>676.86018099241244</v>
      </c>
      <c r="W34" s="42">
        <f t="shared" si="33"/>
        <v>676.86018099241244</v>
      </c>
      <c r="X34" s="42">
        <f t="shared" si="33"/>
        <v>676.86018099241244</v>
      </c>
      <c r="Y34" s="42">
        <f t="shared" si="33"/>
        <v>676.86018099241244</v>
      </c>
      <c r="Z34" s="42">
        <f t="shared" si="33"/>
        <v>676.86018099241244</v>
      </c>
      <c r="AA34" s="42">
        <f t="shared" si="33"/>
        <v>676.86018099241244</v>
      </c>
      <c r="AB34" s="42">
        <f t="shared" si="33"/>
        <v>225.62006033080414</v>
      </c>
      <c r="AC34" s="42">
        <f t="shared" si="33"/>
        <v>676.86018099241244</v>
      </c>
      <c r="AD34" s="42">
        <f t="shared" si="33"/>
        <v>676.86018099241244</v>
      </c>
      <c r="AE34" s="42">
        <f t="shared" si="33"/>
        <v>676.86018099241244</v>
      </c>
      <c r="AF34" s="42">
        <f t="shared" si="33"/>
        <v>676.86018099241244</v>
      </c>
      <c r="AG34" s="42">
        <f t="shared" si="33"/>
        <v>676.86018099241244</v>
      </c>
      <c r="AH34" s="42">
        <f t="shared" si="33"/>
        <v>676.86018099241244</v>
      </c>
      <c r="AI34" s="42">
        <f t="shared" si="33"/>
        <v>676.86018099241244</v>
      </c>
      <c r="AJ34" s="42">
        <f t="shared" si="33"/>
        <v>676.86018099241244</v>
      </c>
      <c r="AK34" s="42">
        <f t="shared" si="33"/>
        <v>676.86018099241244</v>
      </c>
      <c r="AL34" s="42">
        <f t="shared" si="33"/>
        <v>676.86018099241244</v>
      </c>
      <c r="AM34" s="42">
        <f t="shared" si="33"/>
        <v>676.86018099241244</v>
      </c>
      <c r="AN34" s="42">
        <f t="shared" si="33"/>
        <v>676.86018099241244</v>
      </c>
      <c r="AO34" s="42">
        <f t="shared" si="33"/>
        <v>676.86018099241244</v>
      </c>
      <c r="AP34" s="42">
        <f t="shared" si="33"/>
        <v>676.86018099241244</v>
      </c>
      <c r="AQ34" s="42">
        <f t="shared" si="33"/>
        <v>676.86018099241244</v>
      </c>
      <c r="AR34" s="42">
        <f t="shared" si="33"/>
        <v>676.86018099241244</v>
      </c>
      <c r="AS34" s="42">
        <f t="shared" si="33"/>
        <v>676.86018099241244</v>
      </c>
      <c r="AT34" s="42">
        <f t="shared" si="33"/>
        <v>676.86018099241244</v>
      </c>
      <c r="AU34" s="42">
        <f t="shared" si="33"/>
        <v>676.86018099241244</v>
      </c>
      <c r="AV34" s="42">
        <f t="shared" si="33"/>
        <v>676.86018099241244</v>
      </c>
      <c r="AW34" s="42">
        <f t="shared" si="33"/>
        <v>676.86018099241244</v>
      </c>
      <c r="AX34" s="42">
        <f t="shared" si="33"/>
        <v>676.86018099241244</v>
      </c>
      <c r="AY34" s="42">
        <f t="shared" si="33"/>
        <v>676.86018099241244</v>
      </c>
      <c r="AZ34" s="42">
        <f t="shared" si="33"/>
        <v>676.86018099241244</v>
      </c>
      <c r="BA34" s="34">
        <f t="shared" si="29"/>
        <v>113437.5</v>
      </c>
      <c r="BB34" s="34">
        <f>IFERROR(up_RadSpec!$J$14*(BB14*$B34),".")</f>
        <v>37812.5</v>
      </c>
      <c r="BC34" s="34">
        <f>IFERROR(up_RadSpec!$J$14*(BC14*$B34),".")</f>
        <v>37812.5</v>
      </c>
      <c r="BD34" s="34">
        <f>IFERROR(up_RadSpec!$J$14*(BD14*$B34),".")</f>
        <v>37812.5</v>
      </c>
      <c r="BE34" s="34">
        <f>IFERROR(up_RadSpec!$J$14*(BE14*$B34),".")</f>
        <v>37812.5</v>
      </c>
      <c r="BF34" s="34">
        <f>IFERROR(up_RadSpec!$J$14*(BF14*$B34),".")</f>
        <v>37812.5</v>
      </c>
      <c r="BG34" s="34">
        <f>IFERROR(up_RadSpec!$J$14*(BG14*$B34),".")</f>
        <v>37812.5</v>
      </c>
      <c r="BH34" s="34">
        <f>IFERROR(up_RadSpec!$J$14*(BH14*$B34),".")</f>
        <v>37812.5</v>
      </c>
      <c r="BI34" s="34">
        <f>IFERROR(up_RadSpec!$J$14*(BI14*$B34),".")</f>
        <v>37812.5</v>
      </c>
      <c r="BJ34" s="34">
        <f>IFERROR(up_RadSpec!$J$14*(BJ14*$B34),".")</f>
        <v>37812.5</v>
      </c>
      <c r="BK34" s="34">
        <f>IFERROR(up_RadSpec!$J$14*(BK14*$B34),".")</f>
        <v>37812.5</v>
      </c>
      <c r="BL34" s="34">
        <f>IFERROR(up_RadSpec!$J$14*(BL14*$B34),".")</f>
        <v>37812.5</v>
      </c>
      <c r="BM34" s="34">
        <f>IFERROR(up_RadSpec!$J$14*(BM14*$B34),".")</f>
        <v>37812.5</v>
      </c>
      <c r="BN34" s="34">
        <f>IFERROR(up_RadSpec!$J$14*(BN14*$B34),".")</f>
        <v>37812.5</v>
      </c>
      <c r="BO34" s="34">
        <f>IFERROR(up_RadSpec!$J$14*(BO14*$B34),".")</f>
        <v>37812.5</v>
      </c>
      <c r="BP34" s="34">
        <f>IFERROR(up_RadSpec!$J$14*(BP14*$B34),".")</f>
        <v>37812.5</v>
      </c>
      <c r="BQ34" s="34">
        <f>IFERROR(up_RadSpec!$J$14*(BQ14*$B34),".")</f>
        <v>37812.5</v>
      </c>
      <c r="BR34" s="34">
        <f>IFERROR(up_RadSpec!$J$14*(BR14*$B34),".")</f>
        <v>37812.5</v>
      </c>
      <c r="BS34" s="34">
        <f>IFERROR(up_RadSpec!$J$14*(BS14*$B34),".")</f>
        <v>37812.5</v>
      </c>
      <c r="BT34" s="34">
        <f>IFERROR(up_RadSpec!$J$14*(BT14*$B34),".")</f>
        <v>37812.5</v>
      </c>
      <c r="BU34" s="34">
        <f>IFERROR(up_RadSpec!$J$14*(BU14*$B34),".")</f>
        <v>37812.5</v>
      </c>
      <c r="BV34" s="34">
        <f>IFERROR(up_RadSpec!$J$14*(BV14*$B34),".")</f>
        <v>37812.5</v>
      </c>
      <c r="BW34" s="34">
        <f>IFERROR(up_RadSpec!$J$14*(BW14*$B34),".")</f>
        <v>37812.5</v>
      </c>
      <c r="BX34" s="34">
        <f>IFERROR(up_RadSpec!$J$14*(BX14*$B34),".")</f>
        <v>37812.5</v>
      </c>
      <c r="BY34" s="34">
        <f>IFERROR(up_RadSpec!$J$14*(BY14*$B34),".")</f>
        <v>37812.5</v>
      </c>
    </row>
    <row r="35" spans="1:77" x14ac:dyDescent="0.25">
      <c r="A35" s="66" t="s">
        <v>1065</v>
      </c>
      <c r="B35" s="49">
        <v>1</v>
      </c>
      <c r="C35" s="42">
        <f t="shared" ref="C35:AH35" si="34">IFERROR(C30/$B35,0)</f>
        <v>4.9471508245292597</v>
      </c>
      <c r="D35" s="42">
        <f t="shared" si="34"/>
        <v>14.841452473587779</v>
      </c>
      <c r="E35" s="42">
        <f t="shared" si="34"/>
        <v>14.841452473587779</v>
      </c>
      <c r="F35" s="42">
        <f t="shared" si="34"/>
        <v>14.841452473587779</v>
      </c>
      <c r="G35" s="42">
        <f t="shared" si="34"/>
        <v>14.841452473587779</v>
      </c>
      <c r="H35" s="42">
        <f t="shared" si="34"/>
        <v>14.841452473587779</v>
      </c>
      <c r="I35" s="42">
        <f t="shared" si="34"/>
        <v>14.841452473587779</v>
      </c>
      <c r="J35" s="42">
        <f t="shared" si="34"/>
        <v>14.841452473587779</v>
      </c>
      <c r="K35" s="42">
        <f t="shared" si="34"/>
        <v>14.841452473587779</v>
      </c>
      <c r="L35" s="42">
        <f t="shared" si="34"/>
        <v>14.841452473587779</v>
      </c>
      <c r="M35" s="42">
        <f t="shared" si="34"/>
        <v>14.841452473587779</v>
      </c>
      <c r="N35" s="42">
        <f t="shared" si="34"/>
        <v>14.841452473587779</v>
      </c>
      <c r="O35" s="42">
        <f t="shared" si="34"/>
        <v>14.841452473587779</v>
      </c>
      <c r="P35" s="42">
        <f t="shared" si="34"/>
        <v>14.841452473587779</v>
      </c>
      <c r="Q35" s="42">
        <f t="shared" si="34"/>
        <v>14.841452473587779</v>
      </c>
      <c r="R35" s="42">
        <f t="shared" si="34"/>
        <v>14.841452473587779</v>
      </c>
      <c r="S35" s="42">
        <f t="shared" si="34"/>
        <v>14.841452473587779</v>
      </c>
      <c r="T35" s="42">
        <f t="shared" si="34"/>
        <v>14.841452473587779</v>
      </c>
      <c r="U35" s="42">
        <f t="shared" si="34"/>
        <v>14.841452473587779</v>
      </c>
      <c r="V35" s="42">
        <f t="shared" si="34"/>
        <v>14.841452473587779</v>
      </c>
      <c r="W35" s="42">
        <f t="shared" si="34"/>
        <v>14.841452473587779</v>
      </c>
      <c r="X35" s="42">
        <f t="shared" si="34"/>
        <v>14.841452473587779</v>
      </c>
      <c r="Y35" s="42">
        <f t="shared" si="34"/>
        <v>14.841452473587779</v>
      </c>
      <c r="Z35" s="42">
        <f t="shared" si="34"/>
        <v>14.841452473587779</v>
      </c>
      <c r="AA35" s="42">
        <f t="shared" si="34"/>
        <v>14.841452473587779</v>
      </c>
      <c r="AB35" s="42">
        <f t="shared" si="34"/>
        <v>4.9471508245292597</v>
      </c>
      <c r="AC35" s="42">
        <f t="shared" si="34"/>
        <v>14.841452473587779</v>
      </c>
      <c r="AD35" s="42">
        <f t="shared" si="34"/>
        <v>14.841452473587779</v>
      </c>
      <c r="AE35" s="42">
        <f t="shared" si="34"/>
        <v>14.841452473587779</v>
      </c>
      <c r="AF35" s="42">
        <f t="shared" si="34"/>
        <v>14.841452473587779</v>
      </c>
      <c r="AG35" s="42">
        <f t="shared" si="34"/>
        <v>14.841452473587779</v>
      </c>
      <c r="AH35" s="42">
        <f t="shared" si="34"/>
        <v>14.841452473587779</v>
      </c>
      <c r="AI35" s="42">
        <f t="shared" ref="AI35:AZ35" si="35">IFERROR(AI30/$B35,0)</f>
        <v>14.841452473587779</v>
      </c>
      <c r="AJ35" s="42">
        <f t="shared" si="35"/>
        <v>14.841452473587779</v>
      </c>
      <c r="AK35" s="42">
        <f t="shared" si="35"/>
        <v>14.841452473587779</v>
      </c>
      <c r="AL35" s="42">
        <f t="shared" si="35"/>
        <v>14.841452473587779</v>
      </c>
      <c r="AM35" s="42">
        <f t="shared" si="35"/>
        <v>14.841452473587779</v>
      </c>
      <c r="AN35" s="42">
        <f t="shared" si="35"/>
        <v>14.841452473587779</v>
      </c>
      <c r="AO35" s="42">
        <f t="shared" si="35"/>
        <v>14.841452473587779</v>
      </c>
      <c r="AP35" s="42">
        <f t="shared" si="35"/>
        <v>14.841452473587779</v>
      </c>
      <c r="AQ35" s="42">
        <f t="shared" si="35"/>
        <v>14.841452473587779</v>
      </c>
      <c r="AR35" s="42">
        <f t="shared" si="35"/>
        <v>14.841452473587779</v>
      </c>
      <c r="AS35" s="42">
        <f t="shared" si="35"/>
        <v>14.841452473587779</v>
      </c>
      <c r="AT35" s="42">
        <f t="shared" si="35"/>
        <v>14.841452473587779</v>
      </c>
      <c r="AU35" s="42">
        <f t="shared" si="35"/>
        <v>14.841452473587779</v>
      </c>
      <c r="AV35" s="42">
        <f t="shared" si="35"/>
        <v>14.841452473587779</v>
      </c>
      <c r="AW35" s="42">
        <f t="shared" si="35"/>
        <v>14.841452473587779</v>
      </c>
      <c r="AX35" s="42">
        <f t="shared" si="35"/>
        <v>14.841452473587779</v>
      </c>
      <c r="AY35" s="42">
        <f t="shared" si="35"/>
        <v>14.841452473587779</v>
      </c>
      <c r="AZ35" s="42">
        <f t="shared" si="35"/>
        <v>14.841452473587779</v>
      </c>
      <c r="BA35" s="34">
        <f t="shared" si="29"/>
        <v>113437.5</v>
      </c>
      <c r="BB35" s="34">
        <f>IFERROR(up_RadSpec!$J$30*(BB30*$B35),".")</f>
        <v>37812.5</v>
      </c>
      <c r="BC35" s="34">
        <f>IFERROR(up_RadSpec!$J$30*(BC30*$B35),".")</f>
        <v>37812.5</v>
      </c>
      <c r="BD35" s="34">
        <f>IFERROR(up_RadSpec!$J$30*(BD30*$B35),".")</f>
        <v>37812.5</v>
      </c>
      <c r="BE35" s="34">
        <f>IFERROR(up_RadSpec!$J$30*(BE30*$B35),".")</f>
        <v>37812.5</v>
      </c>
      <c r="BF35" s="34">
        <f>IFERROR(up_RadSpec!$J$30*(BF30*$B35),".")</f>
        <v>37812.5</v>
      </c>
      <c r="BG35" s="34">
        <f>IFERROR(up_RadSpec!$J$30*(BG30*$B35),".")</f>
        <v>37812.5</v>
      </c>
      <c r="BH35" s="34">
        <f>IFERROR(up_RadSpec!$J$30*(BH30*$B35),".")</f>
        <v>37812.5</v>
      </c>
      <c r="BI35" s="34">
        <f>IFERROR(up_RadSpec!$J$30*(BI30*$B35),".")</f>
        <v>37812.5</v>
      </c>
      <c r="BJ35" s="34">
        <f>IFERROR(up_RadSpec!$J$30*(BJ30*$B35),".")</f>
        <v>37812.5</v>
      </c>
      <c r="BK35" s="34">
        <f>IFERROR(up_RadSpec!$J$30*(BK30*$B35),".")</f>
        <v>37812.5</v>
      </c>
      <c r="BL35" s="34">
        <f>IFERROR(up_RadSpec!$J$30*(BL30*$B35),".")</f>
        <v>37812.5</v>
      </c>
      <c r="BM35" s="34">
        <f>IFERROR(up_RadSpec!$J$30*(BM30*$B35),".")</f>
        <v>37812.5</v>
      </c>
      <c r="BN35" s="34">
        <f>IFERROR(up_RadSpec!$J$30*(BN30*$B35),".")</f>
        <v>37812.5</v>
      </c>
      <c r="BO35" s="34">
        <f>IFERROR(up_RadSpec!$J$30*(BO30*$B35),".")</f>
        <v>37812.5</v>
      </c>
      <c r="BP35" s="34">
        <f>IFERROR(up_RadSpec!$J$30*(BP30*$B35),".")</f>
        <v>37812.5</v>
      </c>
      <c r="BQ35" s="34">
        <f>IFERROR(up_RadSpec!$J$30*(BQ30*$B35),".")</f>
        <v>37812.5</v>
      </c>
      <c r="BR35" s="34">
        <f>IFERROR(up_RadSpec!$J$30*(BR30*$B35),".")</f>
        <v>37812.5</v>
      </c>
      <c r="BS35" s="34">
        <f>IFERROR(up_RadSpec!$J$30*(BS30*$B35),".")</f>
        <v>37812.5</v>
      </c>
      <c r="BT35" s="34">
        <f>IFERROR(up_RadSpec!$J$30*(BT30*$B35),".")</f>
        <v>37812.5</v>
      </c>
      <c r="BU35" s="34">
        <f>IFERROR(up_RadSpec!$J$30*(BU30*$B35),".")</f>
        <v>37812.5</v>
      </c>
      <c r="BV35" s="34">
        <f>IFERROR(up_RadSpec!$J$30*(BV30*$B35),".")</f>
        <v>37812.5</v>
      </c>
      <c r="BW35" s="34">
        <f>IFERROR(up_RadSpec!$J$30*(BW30*$B35),".")</f>
        <v>37812.5</v>
      </c>
      <c r="BX35" s="34">
        <f>IFERROR(up_RadSpec!$J$30*(BX30*$B35),".")</f>
        <v>37812.5</v>
      </c>
      <c r="BY35" s="34">
        <f>IFERROR(up_RadSpec!$J$30*(BY30*$B35),".")</f>
        <v>37812.5</v>
      </c>
    </row>
    <row r="36" spans="1:77" x14ac:dyDescent="0.25">
      <c r="A36" s="66" t="s">
        <v>1066</v>
      </c>
      <c r="B36" s="49">
        <v>1</v>
      </c>
      <c r="C36" s="42">
        <f t="shared" ref="C36:AH36" si="36">IFERROR(C26/$B36,0)</f>
        <v>0.48902870219484634</v>
      </c>
      <c r="D36" s="42">
        <f t="shared" si="36"/>
        <v>1.4670861065845391</v>
      </c>
      <c r="E36" s="42">
        <f t="shared" si="36"/>
        <v>1.4670861065845391</v>
      </c>
      <c r="F36" s="42">
        <f t="shared" si="36"/>
        <v>1.4670861065845391</v>
      </c>
      <c r="G36" s="42">
        <f t="shared" si="36"/>
        <v>1.4670861065845391</v>
      </c>
      <c r="H36" s="42">
        <f t="shared" si="36"/>
        <v>1.4670861065845391</v>
      </c>
      <c r="I36" s="42">
        <f t="shared" si="36"/>
        <v>1.4670861065845391</v>
      </c>
      <c r="J36" s="42">
        <f t="shared" si="36"/>
        <v>1.4670861065845391</v>
      </c>
      <c r="K36" s="42">
        <f t="shared" si="36"/>
        <v>1.4670861065845391</v>
      </c>
      <c r="L36" s="42">
        <f t="shared" si="36"/>
        <v>1.4670861065845391</v>
      </c>
      <c r="M36" s="42">
        <f t="shared" si="36"/>
        <v>1.4670861065845391</v>
      </c>
      <c r="N36" s="42">
        <f t="shared" si="36"/>
        <v>1.4670861065845391</v>
      </c>
      <c r="O36" s="42">
        <f t="shared" si="36"/>
        <v>1.4670861065845391</v>
      </c>
      <c r="P36" s="42">
        <f t="shared" si="36"/>
        <v>1.4670861065845391</v>
      </c>
      <c r="Q36" s="42">
        <f t="shared" si="36"/>
        <v>1.4670861065845391</v>
      </c>
      <c r="R36" s="42">
        <f t="shared" si="36"/>
        <v>1.4670861065845391</v>
      </c>
      <c r="S36" s="42">
        <f t="shared" si="36"/>
        <v>1.4670861065845391</v>
      </c>
      <c r="T36" s="42">
        <f t="shared" si="36"/>
        <v>1.4670861065845391</v>
      </c>
      <c r="U36" s="42">
        <f t="shared" si="36"/>
        <v>1.4670861065845391</v>
      </c>
      <c r="V36" s="42">
        <f t="shared" si="36"/>
        <v>1.4670861065845391</v>
      </c>
      <c r="W36" s="42">
        <f t="shared" si="36"/>
        <v>1.4670861065845391</v>
      </c>
      <c r="X36" s="42">
        <f t="shared" si="36"/>
        <v>1.4670861065845391</v>
      </c>
      <c r="Y36" s="42">
        <f t="shared" si="36"/>
        <v>1.4670861065845391</v>
      </c>
      <c r="Z36" s="42">
        <f t="shared" si="36"/>
        <v>1.4670861065845391</v>
      </c>
      <c r="AA36" s="42">
        <f t="shared" si="36"/>
        <v>1.4670861065845391</v>
      </c>
      <c r="AB36" s="42">
        <f t="shared" si="36"/>
        <v>0.48902870219484634</v>
      </c>
      <c r="AC36" s="42">
        <f t="shared" si="36"/>
        <v>1.4670861065845391</v>
      </c>
      <c r="AD36" s="42">
        <f t="shared" si="36"/>
        <v>1.4670861065845391</v>
      </c>
      <c r="AE36" s="42">
        <f t="shared" si="36"/>
        <v>1.4670861065845391</v>
      </c>
      <c r="AF36" s="42">
        <f t="shared" si="36"/>
        <v>1.4670861065845391</v>
      </c>
      <c r="AG36" s="42">
        <f t="shared" si="36"/>
        <v>1.4670861065845391</v>
      </c>
      <c r="AH36" s="42">
        <f t="shared" si="36"/>
        <v>1.4670861065845391</v>
      </c>
      <c r="AI36" s="42">
        <f t="shared" ref="AI36:AZ36" si="37">IFERROR(AI26/$B36,0)</f>
        <v>1.4670861065845391</v>
      </c>
      <c r="AJ36" s="42">
        <f t="shared" si="37"/>
        <v>1.4670861065845391</v>
      </c>
      <c r="AK36" s="42">
        <f t="shared" si="37"/>
        <v>1.4670861065845391</v>
      </c>
      <c r="AL36" s="42">
        <f t="shared" si="37"/>
        <v>1.4670861065845391</v>
      </c>
      <c r="AM36" s="42">
        <f t="shared" si="37"/>
        <v>1.4670861065845391</v>
      </c>
      <c r="AN36" s="42">
        <f t="shared" si="37"/>
        <v>1.4670861065845391</v>
      </c>
      <c r="AO36" s="42">
        <f t="shared" si="37"/>
        <v>1.4670861065845391</v>
      </c>
      <c r="AP36" s="42">
        <f t="shared" si="37"/>
        <v>1.4670861065845391</v>
      </c>
      <c r="AQ36" s="42">
        <f t="shared" si="37"/>
        <v>1.4670861065845391</v>
      </c>
      <c r="AR36" s="42">
        <f t="shared" si="37"/>
        <v>1.4670861065845391</v>
      </c>
      <c r="AS36" s="42">
        <f t="shared" si="37"/>
        <v>1.4670861065845391</v>
      </c>
      <c r="AT36" s="42">
        <f t="shared" si="37"/>
        <v>1.4670861065845391</v>
      </c>
      <c r="AU36" s="42">
        <f t="shared" si="37"/>
        <v>1.4670861065845391</v>
      </c>
      <c r="AV36" s="42">
        <f t="shared" si="37"/>
        <v>1.4670861065845391</v>
      </c>
      <c r="AW36" s="42">
        <f t="shared" si="37"/>
        <v>1.4670861065845391</v>
      </c>
      <c r="AX36" s="42">
        <f t="shared" si="37"/>
        <v>1.4670861065845391</v>
      </c>
      <c r="AY36" s="42">
        <f t="shared" si="37"/>
        <v>1.4670861065845391</v>
      </c>
      <c r="AZ36" s="42">
        <f t="shared" si="37"/>
        <v>1.4670861065845391</v>
      </c>
      <c r="BA36" s="34">
        <f t="shared" si="29"/>
        <v>113437.5</v>
      </c>
      <c r="BB36" s="34">
        <f>IFERROR(up_RadSpec!$J$26*(BB26*$B36),".")</f>
        <v>37812.5</v>
      </c>
      <c r="BC36" s="34">
        <f>IFERROR(up_RadSpec!$J$26*(BC26*$B36),".")</f>
        <v>37812.5</v>
      </c>
      <c r="BD36" s="34">
        <f>IFERROR(up_RadSpec!$J$26*(BD26*$B36),".")</f>
        <v>37812.5</v>
      </c>
      <c r="BE36" s="34">
        <f>IFERROR(up_RadSpec!$J$26*(BE26*$B36),".")</f>
        <v>37812.5</v>
      </c>
      <c r="BF36" s="34">
        <f>IFERROR(up_RadSpec!$J$26*(BF26*$B36),".")</f>
        <v>37812.5</v>
      </c>
      <c r="BG36" s="34">
        <f>IFERROR(up_RadSpec!$J$26*(BG26*$B36),".")</f>
        <v>37812.5</v>
      </c>
      <c r="BH36" s="34">
        <f>IFERROR(up_RadSpec!$J$26*(BH26*$B36),".")</f>
        <v>37812.5</v>
      </c>
      <c r="BI36" s="34">
        <f>IFERROR(up_RadSpec!$J$26*(BI26*$B36),".")</f>
        <v>37812.5</v>
      </c>
      <c r="BJ36" s="34">
        <f>IFERROR(up_RadSpec!$J$26*(BJ26*$B36),".")</f>
        <v>37812.5</v>
      </c>
      <c r="BK36" s="34">
        <f>IFERROR(up_RadSpec!$J$26*(BK26*$B36),".")</f>
        <v>37812.5</v>
      </c>
      <c r="BL36" s="34">
        <f>IFERROR(up_RadSpec!$J$26*(BL26*$B36),".")</f>
        <v>37812.5</v>
      </c>
      <c r="BM36" s="34">
        <f>IFERROR(up_RadSpec!$J$26*(BM26*$B36),".")</f>
        <v>37812.5</v>
      </c>
      <c r="BN36" s="34">
        <f>IFERROR(up_RadSpec!$J$26*(BN26*$B36),".")</f>
        <v>37812.5</v>
      </c>
      <c r="BO36" s="34">
        <f>IFERROR(up_RadSpec!$J$26*(BO26*$B36),".")</f>
        <v>37812.5</v>
      </c>
      <c r="BP36" s="34">
        <f>IFERROR(up_RadSpec!$J$26*(BP26*$B36),".")</f>
        <v>37812.5</v>
      </c>
      <c r="BQ36" s="34">
        <f>IFERROR(up_RadSpec!$J$26*(BQ26*$B36),".")</f>
        <v>37812.5</v>
      </c>
      <c r="BR36" s="34">
        <f>IFERROR(up_RadSpec!$J$26*(BR26*$B36),".")</f>
        <v>37812.5</v>
      </c>
      <c r="BS36" s="34">
        <f>IFERROR(up_RadSpec!$J$26*(BS26*$B36),".")</f>
        <v>37812.5</v>
      </c>
      <c r="BT36" s="34">
        <f>IFERROR(up_RadSpec!$J$26*(BT26*$B36),".")</f>
        <v>37812.5</v>
      </c>
      <c r="BU36" s="34">
        <f>IFERROR(up_RadSpec!$J$26*(BU26*$B36),".")</f>
        <v>37812.5</v>
      </c>
      <c r="BV36" s="34">
        <f>IFERROR(up_RadSpec!$J$26*(BV26*$B36),".")</f>
        <v>37812.5</v>
      </c>
      <c r="BW36" s="34">
        <f>IFERROR(up_RadSpec!$J$26*(BW26*$B36),".")</f>
        <v>37812.5</v>
      </c>
      <c r="BX36" s="34">
        <f>IFERROR(up_RadSpec!$J$26*(BX26*$B36),".")</f>
        <v>37812.5</v>
      </c>
      <c r="BY36" s="34">
        <f>IFERROR(up_RadSpec!$J$26*(BY26*$B36),".")</f>
        <v>37812.5</v>
      </c>
    </row>
    <row r="37" spans="1:77" x14ac:dyDescent="0.25">
      <c r="A37" s="66" t="s">
        <v>1067</v>
      </c>
      <c r="B37" s="49">
        <v>1</v>
      </c>
      <c r="C37" s="42">
        <f t="shared" ref="C37:AH37" si="38">IFERROR(C22/$B37,0)</f>
        <v>1.2513381497338718</v>
      </c>
      <c r="D37" s="42">
        <f t="shared" si="38"/>
        <v>3.7540144492016148</v>
      </c>
      <c r="E37" s="42">
        <f t="shared" si="38"/>
        <v>3.7540144492016148</v>
      </c>
      <c r="F37" s="42">
        <f t="shared" si="38"/>
        <v>3.7540144492016148</v>
      </c>
      <c r="G37" s="42">
        <f t="shared" si="38"/>
        <v>3.7540144492016148</v>
      </c>
      <c r="H37" s="42">
        <f t="shared" si="38"/>
        <v>3.7540144492016148</v>
      </c>
      <c r="I37" s="42">
        <f t="shared" si="38"/>
        <v>3.7540144492016148</v>
      </c>
      <c r="J37" s="42">
        <f t="shared" si="38"/>
        <v>3.7540144492016148</v>
      </c>
      <c r="K37" s="42">
        <f t="shared" si="38"/>
        <v>3.7540144492016148</v>
      </c>
      <c r="L37" s="42">
        <f t="shared" si="38"/>
        <v>3.7540144492016148</v>
      </c>
      <c r="M37" s="42">
        <f t="shared" si="38"/>
        <v>3.7540144492016148</v>
      </c>
      <c r="N37" s="42">
        <f t="shared" si="38"/>
        <v>3.7540144492016148</v>
      </c>
      <c r="O37" s="42">
        <f t="shared" si="38"/>
        <v>3.7540144492016148</v>
      </c>
      <c r="P37" s="42">
        <f t="shared" si="38"/>
        <v>3.7540144492016148</v>
      </c>
      <c r="Q37" s="42">
        <f t="shared" si="38"/>
        <v>3.7540144492016148</v>
      </c>
      <c r="R37" s="42">
        <f t="shared" si="38"/>
        <v>3.7540144492016148</v>
      </c>
      <c r="S37" s="42">
        <f t="shared" si="38"/>
        <v>3.7540144492016148</v>
      </c>
      <c r="T37" s="42">
        <f t="shared" si="38"/>
        <v>3.7540144492016148</v>
      </c>
      <c r="U37" s="42">
        <f t="shared" si="38"/>
        <v>3.7540144492016148</v>
      </c>
      <c r="V37" s="42">
        <f t="shared" si="38"/>
        <v>3.7540144492016148</v>
      </c>
      <c r="W37" s="42">
        <f t="shared" si="38"/>
        <v>3.7540144492016148</v>
      </c>
      <c r="X37" s="42">
        <f t="shared" si="38"/>
        <v>3.7540144492016148</v>
      </c>
      <c r="Y37" s="42">
        <f t="shared" si="38"/>
        <v>3.7540144492016148</v>
      </c>
      <c r="Z37" s="42">
        <f t="shared" si="38"/>
        <v>3.7540144492016148</v>
      </c>
      <c r="AA37" s="42">
        <f t="shared" si="38"/>
        <v>3.7540144492016148</v>
      </c>
      <c r="AB37" s="42">
        <f t="shared" si="38"/>
        <v>1.2513381497338718</v>
      </c>
      <c r="AC37" s="42">
        <f t="shared" si="38"/>
        <v>3.7540144492016148</v>
      </c>
      <c r="AD37" s="42">
        <f t="shared" si="38"/>
        <v>3.7540144492016148</v>
      </c>
      <c r="AE37" s="42">
        <f t="shared" si="38"/>
        <v>3.7540144492016148</v>
      </c>
      <c r="AF37" s="42">
        <f t="shared" si="38"/>
        <v>3.7540144492016148</v>
      </c>
      <c r="AG37" s="42">
        <f t="shared" si="38"/>
        <v>3.7540144492016148</v>
      </c>
      <c r="AH37" s="42">
        <f t="shared" si="38"/>
        <v>3.7540144492016148</v>
      </c>
      <c r="AI37" s="42">
        <f t="shared" ref="AI37:AZ37" si="39">IFERROR(AI22/$B37,0)</f>
        <v>3.7540144492016148</v>
      </c>
      <c r="AJ37" s="42">
        <f t="shared" si="39"/>
        <v>3.7540144492016148</v>
      </c>
      <c r="AK37" s="42">
        <f t="shared" si="39"/>
        <v>3.7540144492016148</v>
      </c>
      <c r="AL37" s="42">
        <f t="shared" si="39"/>
        <v>3.7540144492016148</v>
      </c>
      <c r="AM37" s="42">
        <f t="shared" si="39"/>
        <v>3.7540144492016148</v>
      </c>
      <c r="AN37" s="42">
        <f t="shared" si="39"/>
        <v>3.7540144492016148</v>
      </c>
      <c r="AO37" s="42">
        <f t="shared" si="39"/>
        <v>3.7540144492016148</v>
      </c>
      <c r="AP37" s="42">
        <f t="shared" si="39"/>
        <v>3.7540144492016148</v>
      </c>
      <c r="AQ37" s="42">
        <f t="shared" si="39"/>
        <v>3.7540144492016148</v>
      </c>
      <c r="AR37" s="42">
        <f t="shared" si="39"/>
        <v>3.7540144492016148</v>
      </c>
      <c r="AS37" s="42">
        <f t="shared" si="39"/>
        <v>3.7540144492016148</v>
      </c>
      <c r="AT37" s="42">
        <f t="shared" si="39"/>
        <v>3.7540144492016148</v>
      </c>
      <c r="AU37" s="42">
        <f t="shared" si="39"/>
        <v>3.7540144492016148</v>
      </c>
      <c r="AV37" s="42">
        <f t="shared" si="39"/>
        <v>3.7540144492016148</v>
      </c>
      <c r="AW37" s="42">
        <f t="shared" si="39"/>
        <v>3.7540144492016148</v>
      </c>
      <c r="AX37" s="42">
        <f t="shared" si="39"/>
        <v>3.7540144492016148</v>
      </c>
      <c r="AY37" s="42">
        <f t="shared" si="39"/>
        <v>3.7540144492016148</v>
      </c>
      <c r="AZ37" s="42">
        <f t="shared" si="39"/>
        <v>3.7540144492016148</v>
      </c>
      <c r="BA37" s="34">
        <f t="shared" si="29"/>
        <v>113437.5</v>
      </c>
      <c r="BB37" s="34">
        <f>IFERROR(up_RadSpec!$J$22*(BB22*$B37),".")</f>
        <v>37812.5</v>
      </c>
      <c r="BC37" s="34">
        <f>IFERROR(up_RadSpec!$J$22*(BC22*$B37),".")</f>
        <v>37812.5</v>
      </c>
      <c r="BD37" s="34">
        <f>IFERROR(up_RadSpec!$J$22*(BD22*$B37),".")</f>
        <v>37812.5</v>
      </c>
      <c r="BE37" s="34">
        <f>IFERROR(up_RadSpec!$J$22*(BE22*$B37),".")</f>
        <v>37812.5</v>
      </c>
      <c r="BF37" s="34">
        <f>IFERROR(up_RadSpec!$J$22*(BF22*$B37),".")</f>
        <v>37812.5</v>
      </c>
      <c r="BG37" s="34">
        <f>IFERROR(up_RadSpec!$J$22*(BG22*$B37),".")</f>
        <v>37812.5</v>
      </c>
      <c r="BH37" s="34">
        <f>IFERROR(up_RadSpec!$J$22*(BH22*$B37),".")</f>
        <v>37812.5</v>
      </c>
      <c r="BI37" s="34">
        <f>IFERROR(up_RadSpec!$J$22*(BI22*$B37),".")</f>
        <v>37812.5</v>
      </c>
      <c r="BJ37" s="34">
        <f>IFERROR(up_RadSpec!$J$22*(BJ22*$B37),".")</f>
        <v>37812.5</v>
      </c>
      <c r="BK37" s="34">
        <f>IFERROR(up_RadSpec!$J$22*(BK22*$B37),".")</f>
        <v>37812.5</v>
      </c>
      <c r="BL37" s="34">
        <f>IFERROR(up_RadSpec!$J$22*(BL22*$B37),".")</f>
        <v>37812.5</v>
      </c>
      <c r="BM37" s="34">
        <f>IFERROR(up_RadSpec!$J$22*(BM22*$B37),".")</f>
        <v>37812.5</v>
      </c>
      <c r="BN37" s="34">
        <f>IFERROR(up_RadSpec!$J$22*(BN22*$B37),".")</f>
        <v>37812.5</v>
      </c>
      <c r="BO37" s="34">
        <f>IFERROR(up_RadSpec!$J$22*(BO22*$B37),".")</f>
        <v>37812.5</v>
      </c>
      <c r="BP37" s="34">
        <f>IFERROR(up_RadSpec!$J$22*(BP22*$B37),".")</f>
        <v>37812.5</v>
      </c>
      <c r="BQ37" s="34">
        <f>IFERROR(up_RadSpec!$J$22*(BQ22*$B37),".")</f>
        <v>37812.5</v>
      </c>
      <c r="BR37" s="34">
        <f>IFERROR(up_RadSpec!$J$22*(BR22*$B37),".")</f>
        <v>37812.5</v>
      </c>
      <c r="BS37" s="34">
        <f>IFERROR(up_RadSpec!$J$22*(BS22*$B37),".")</f>
        <v>37812.5</v>
      </c>
      <c r="BT37" s="34">
        <f>IFERROR(up_RadSpec!$J$22*(BT22*$B37),".")</f>
        <v>37812.5</v>
      </c>
      <c r="BU37" s="34">
        <f>IFERROR(up_RadSpec!$J$22*(BU22*$B37),".")</f>
        <v>37812.5</v>
      </c>
      <c r="BV37" s="34">
        <f>IFERROR(up_RadSpec!$J$22*(BV22*$B37),".")</f>
        <v>37812.5</v>
      </c>
      <c r="BW37" s="34">
        <f>IFERROR(up_RadSpec!$J$22*(BW22*$B37),".")</f>
        <v>37812.5</v>
      </c>
      <c r="BX37" s="34">
        <f>IFERROR(up_RadSpec!$J$22*(BX22*$B37),".")</f>
        <v>37812.5</v>
      </c>
      <c r="BY37" s="34">
        <f>IFERROR(up_RadSpec!$J$22*(BY22*$B37),".")</f>
        <v>37812.5</v>
      </c>
    </row>
    <row r="38" spans="1:77" x14ac:dyDescent="0.25">
      <c r="A38" s="66" t="s">
        <v>1068</v>
      </c>
      <c r="B38" s="49">
        <v>1</v>
      </c>
      <c r="C38" s="42">
        <f t="shared" ref="C38:AH38" si="40">IFERROR(C2/$B38,0)</f>
        <v>5.6944259968768911</v>
      </c>
      <c r="D38" s="42">
        <f t="shared" si="40"/>
        <v>17.083277990630673</v>
      </c>
      <c r="E38" s="42">
        <f t="shared" si="40"/>
        <v>17.083277990630673</v>
      </c>
      <c r="F38" s="42">
        <f t="shared" si="40"/>
        <v>17.083277990630673</v>
      </c>
      <c r="G38" s="42">
        <f t="shared" si="40"/>
        <v>17.083277990630673</v>
      </c>
      <c r="H38" s="42">
        <f t="shared" si="40"/>
        <v>17.083277990630673</v>
      </c>
      <c r="I38" s="42">
        <f t="shared" si="40"/>
        <v>17.083277990630673</v>
      </c>
      <c r="J38" s="42">
        <f t="shared" si="40"/>
        <v>17.083277990630673</v>
      </c>
      <c r="K38" s="42">
        <f t="shared" si="40"/>
        <v>17.083277990630673</v>
      </c>
      <c r="L38" s="42">
        <f t="shared" si="40"/>
        <v>17.083277990630673</v>
      </c>
      <c r="M38" s="42">
        <f t="shared" si="40"/>
        <v>17.083277990630673</v>
      </c>
      <c r="N38" s="42">
        <f t="shared" si="40"/>
        <v>17.083277990630673</v>
      </c>
      <c r="O38" s="42">
        <f t="shared" si="40"/>
        <v>17.083277990630673</v>
      </c>
      <c r="P38" s="42">
        <f t="shared" si="40"/>
        <v>17.083277990630673</v>
      </c>
      <c r="Q38" s="42">
        <f t="shared" si="40"/>
        <v>17.083277990630673</v>
      </c>
      <c r="R38" s="42">
        <f t="shared" si="40"/>
        <v>17.083277990630673</v>
      </c>
      <c r="S38" s="42">
        <f t="shared" si="40"/>
        <v>17.083277990630673</v>
      </c>
      <c r="T38" s="42">
        <f t="shared" si="40"/>
        <v>17.083277990630673</v>
      </c>
      <c r="U38" s="42">
        <f t="shared" si="40"/>
        <v>17.083277990630673</v>
      </c>
      <c r="V38" s="42">
        <f t="shared" si="40"/>
        <v>17.083277990630673</v>
      </c>
      <c r="W38" s="42">
        <f t="shared" si="40"/>
        <v>17.083277990630673</v>
      </c>
      <c r="X38" s="42">
        <f t="shared" si="40"/>
        <v>17.083277990630673</v>
      </c>
      <c r="Y38" s="42">
        <f t="shared" si="40"/>
        <v>17.083277990630673</v>
      </c>
      <c r="Z38" s="42">
        <f t="shared" si="40"/>
        <v>17.083277990630673</v>
      </c>
      <c r="AA38" s="42">
        <f t="shared" si="40"/>
        <v>17.083277990630673</v>
      </c>
      <c r="AB38" s="42">
        <f t="shared" si="40"/>
        <v>5.6944259968768911</v>
      </c>
      <c r="AC38" s="42">
        <f t="shared" si="40"/>
        <v>17.083277990630673</v>
      </c>
      <c r="AD38" s="42">
        <f t="shared" si="40"/>
        <v>17.083277990630673</v>
      </c>
      <c r="AE38" s="42">
        <f t="shared" si="40"/>
        <v>17.083277990630673</v>
      </c>
      <c r="AF38" s="42">
        <f t="shared" si="40"/>
        <v>17.083277990630673</v>
      </c>
      <c r="AG38" s="42">
        <f t="shared" si="40"/>
        <v>17.083277990630673</v>
      </c>
      <c r="AH38" s="42">
        <f t="shared" si="40"/>
        <v>17.083277990630673</v>
      </c>
      <c r="AI38" s="42">
        <f t="shared" ref="AI38:AZ38" si="41">IFERROR(AI2/$B38,0)</f>
        <v>17.083277990630673</v>
      </c>
      <c r="AJ38" s="42">
        <f t="shared" si="41"/>
        <v>17.083277990630673</v>
      </c>
      <c r="AK38" s="42">
        <f t="shared" si="41"/>
        <v>17.083277990630673</v>
      </c>
      <c r="AL38" s="42">
        <f t="shared" si="41"/>
        <v>17.083277990630673</v>
      </c>
      <c r="AM38" s="42">
        <f t="shared" si="41"/>
        <v>17.083277990630673</v>
      </c>
      <c r="AN38" s="42">
        <f t="shared" si="41"/>
        <v>17.083277990630673</v>
      </c>
      <c r="AO38" s="42">
        <f t="shared" si="41"/>
        <v>17.083277990630673</v>
      </c>
      <c r="AP38" s="42">
        <f t="shared" si="41"/>
        <v>17.083277990630673</v>
      </c>
      <c r="AQ38" s="42">
        <f t="shared" si="41"/>
        <v>17.083277990630673</v>
      </c>
      <c r="AR38" s="42">
        <f t="shared" si="41"/>
        <v>17.083277990630673</v>
      </c>
      <c r="AS38" s="42">
        <f t="shared" si="41"/>
        <v>17.083277990630673</v>
      </c>
      <c r="AT38" s="42">
        <f t="shared" si="41"/>
        <v>17.083277990630673</v>
      </c>
      <c r="AU38" s="42">
        <f t="shared" si="41"/>
        <v>17.083277990630673</v>
      </c>
      <c r="AV38" s="42">
        <f t="shared" si="41"/>
        <v>17.083277990630673</v>
      </c>
      <c r="AW38" s="42">
        <f t="shared" si="41"/>
        <v>17.083277990630673</v>
      </c>
      <c r="AX38" s="42">
        <f t="shared" si="41"/>
        <v>17.083277990630673</v>
      </c>
      <c r="AY38" s="42">
        <f t="shared" si="41"/>
        <v>17.083277990630673</v>
      </c>
      <c r="AZ38" s="42">
        <f t="shared" si="41"/>
        <v>17.083277990630673</v>
      </c>
      <c r="BA38" s="34">
        <f t="shared" si="29"/>
        <v>113437.5</v>
      </c>
      <c r="BB38" s="34">
        <f>IFERROR(up_RadSpec!$J$2*(BB2*$B38),".")</f>
        <v>37812.5</v>
      </c>
      <c r="BC38" s="34">
        <f>IFERROR(up_RadSpec!$J$2*(BC2*$B38),".")</f>
        <v>37812.5</v>
      </c>
      <c r="BD38" s="34">
        <f>IFERROR(up_RadSpec!$J$2*(BD2*$B38),".")</f>
        <v>37812.5</v>
      </c>
      <c r="BE38" s="34">
        <f>IFERROR(up_RadSpec!$J$2*(BE2*$B38),".")</f>
        <v>37812.5</v>
      </c>
      <c r="BF38" s="34">
        <f>IFERROR(up_RadSpec!$J$2*(BF2*$B38),".")</f>
        <v>37812.5</v>
      </c>
      <c r="BG38" s="34">
        <f>IFERROR(up_RadSpec!$J$2*(BG2*$B38),".")</f>
        <v>37812.5</v>
      </c>
      <c r="BH38" s="34">
        <f>IFERROR(up_RadSpec!$J$2*(BH2*$B38),".")</f>
        <v>37812.5</v>
      </c>
      <c r="BI38" s="34">
        <f>IFERROR(up_RadSpec!$J$2*(BI2*$B38),".")</f>
        <v>37812.5</v>
      </c>
      <c r="BJ38" s="34">
        <f>IFERROR(up_RadSpec!$J$2*(BJ2*$B38),".")</f>
        <v>37812.5</v>
      </c>
      <c r="BK38" s="34">
        <f>IFERROR(up_RadSpec!$J$2*(BK2*$B38),".")</f>
        <v>37812.5</v>
      </c>
      <c r="BL38" s="34">
        <f>IFERROR(up_RadSpec!$J$2*(BL2*$B38),".")</f>
        <v>37812.5</v>
      </c>
      <c r="BM38" s="34">
        <f>IFERROR(up_RadSpec!$J$2*(BM2*$B38),".")</f>
        <v>37812.5</v>
      </c>
      <c r="BN38" s="34">
        <f>IFERROR(up_RadSpec!$J$2*(BN2*$B38),".")</f>
        <v>37812.5</v>
      </c>
      <c r="BO38" s="34">
        <f>IFERROR(up_RadSpec!$J$2*(BO2*$B38),".")</f>
        <v>37812.5</v>
      </c>
      <c r="BP38" s="34">
        <f>IFERROR(up_RadSpec!$J$2*(BP2*$B38),".")</f>
        <v>37812.5</v>
      </c>
      <c r="BQ38" s="34">
        <f>IFERROR(up_RadSpec!$J$2*(BQ2*$B38),".")</f>
        <v>37812.5</v>
      </c>
      <c r="BR38" s="34">
        <f>IFERROR(up_RadSpec!$J$2*(BR2*$B38),".")</f>
        <v>37812.5</v>
      </c>
      <c r="BS38" s="34">
        <f>IFERROR(up_RadSpec!$J$2*(BS2*$B38),".")</f>
        <v>37812.5</v>
      </c>
      <c r="BT38" s="34">
        <f>IFERROR(up_RadSpec!$J$2*(BT2*$B38),".")</f>
        <v>37812.5</v>
      </c>
      <c r="BU38" s="34">
        <f>IFERROR(up_RadSpec!$J$2*(BU2*$B38),".")</f>
        <v>37812.5</v>
      </c>
      <c r="BV38" s="34">
        <f>IFERROR(up_RadSpec!$J$2*(BV2*$B38),".")</f>
        <v>37812.5</v>
      </c>
      <c r="BW38" s="34">
        <f>IFERROR(up_RadSpec!$J$2*(BW2*$B38),".")</f>
        <v>37812.5</v>
      </c>
      <c r="BX38" s="34">
        <f>IFERROR(up_RadSpec!$J$2*(BX2*$B38),".")</f>
        <v>37812.5</v>
      </c>
      <c r="BY38" s="34">
        <f>IFERROR(up_RadSpec!$J$2*(BY2*$B38),".")</f>
        <v>37812.5</v>
      </c>
    </row>
    <row r="39" spans="1:77" x14ac:dyDescent="0.25">
      <c r="A39" s="66" t="s">
        <v>1069</v>
      </c>
      <c r="B39" s="49">
        <v>1</v>
      </c>
      <c r="C39" s="42">
        <f t="shared" ref="C39:AH39" si="42">IFERROR(C11/$B39,0)</f>
        <v>0</v>
      </c>
      <c r="D39" s="42">
        <f t="shared" si="42"/>
        <v>0</v>
      </c>
      <c r="E39" s="42">
        <f t="shared" si="42"/>
        <v>0</v>
      </c>
      <c r="F39" s="42">
        <f t="shared" si="42"/>
        <v>0</v>
      </c>
      <c r="G39" s="42">
        <f t="shared" si="42"/>
        <v>0</v>
      </c>
      <c r="H39" s="42">
        <f t="shared" si="42"/>
        <v>0</v>
      </c>
      <c r="I39" s="42">
        <f t="shared" si="42"/>
        <v>0</v>
      </c>
      <c r="J39" s="42">
        <f t="shared" si="42"/>
        <v>0</v>
      </c>
      <c r="K39" s="42">
        <f t="shared" si="42"/>
        <v>0</v>
      </c>
      <c r="L39" s="42">
        <f t="shared" si="42"/>
        <v>0</v>
      </c>
      <c r="M39" s="42">
        <f t="shared" si="42"/>
        <v>0</v>
      </c>
      <c r="N39" s="42">
        <f t="shared" si="42"/>
        <v>0</v>
      </c>
      <c r="O39" s="42">
        <f t="shared" si="42"/>
        <v>0</v>
      </c>
      <c r="P39" s="42">
        <f t="shared" si="42"/>
        <v>0</v>
      </c>
      <c r="Q39" s="42">
        <f t="shared" si="42"/>
        <v>0</v>
      </c>
      <c r="R39" s="42">
        <f t="shared" si="42"/>
        <v>0</v>
      </c>
      <c r="S39" s="42">
        <f t="shared" si="42"/>
        <v>0</v>
      </c>
      <c r="T39" s="42">
        <f t="shared" si="42"/>
        <v>0</v>
      </c>
      <c r="U39" s="42">
        <f t="shared" si="42"/>
        <v>0</v>
      </c>
      <c r="V39" s="42">
        <f t="shared" si="42"/>
        <v>0</v>
      </c>
      <c r="W39" s="42">
        <f t="shared" si="42"/>
        <v>0</v>
      </c>
      <c r="X39" s="42">
        <f t="shared" si="42"/>
        <v>0</v>
      </c>
      <c r="Y39" s="42">
        <f t="shared" si="42"/>
        <v>0</v>
      </c>
      <c r="Z39" s="42">
        <f t="shared" si="42"/>
        <v>0</v>
      </c>
      <c r="AA39" s="42">
        <f t="shared" si="42"/>
        <v>0</v>
      </c>
      <c r="AB39" s="42">
        <f t="shared" si="42"/>
        <v>0</v>
      </c>
      <c r="AC39" s="42">
        <f t="shared" si="42"/>
        <v>0</v>
      </c>
      <c r="AD39" s="42">
        <f t="shared" si="42"/>
        <v>0</v>
      </c>
      <c r="AE39" s="42">
        <f t="shared" si="42"/>
        <v>0</v>
      </c>
      <c r="AF39" s="42">
        <f t="shared" si="42"/>
        <v>0</v>
      </c>
      <c r="AG39" s="42">
        <f t="shared" si="42"/>
        <v>0</v>
      </c>
      <c r="AH39" s="42">
        <f t="shared" si="42"/>
        <v>0</v>
      </c>
      <c r="AI39" s="42">
        <f t="shared" ref="AI39:AZ39" si="43">IFERROR(AI11/$B39,0)</f>
        <v>0</v>
      </c>
      <c r="AJ39" s="42">
        <f t="shared" si="43"/>
        <v>0</v>
      </c>
      <c r="AK39" s="42">
        <f t="shared" si="43"/>
        <v>0</v>
      </c>
      <c r="AL39" s="42">
        <f t="shared" si="43"/>
        <v>0</v>
      </c>
      <c r="AM39" s="42">
        <f t="shared" si="43"/>
        <v>0</v>
      </c>
      <c r="AN39" s="42">
        <f t="shared" si="43"/>
        <v>0</v>
      </c>
      <c r="AO39" s="42">
        <f t="shared" si="43"/>
        <v>0</v>
      </c>
      <c r="AP39" s="42">
        <f t="shared" si="43"/>
        <v>0</v>
      </c>
      <c r="AQ39" s="42">
        <f t="shared" si="43"/>
        <v>0</v>
      </c>
      <c r="AR39" s="42">
        <f t="shared" si="43"/>
        <v>0</v>
      </c>
      <c r="AS39" s="42">
        <f t="shared" si="43"/>
        <v>0</v>
      </c>
      <c r="AT39" s="42">
        <f t="shared" si="43"/>
        <v>0</v>
      </c>
      <c r="AU39" s="42">
        <f t="shared" si="43"/>
        <v>0</v>
      </c>
      <c r="AV39" s="42">
        <f t="shared" si="43"/>
        <v>0</v>
      </c>
      <c r="AW39" s="42">
        <f t="shared" si="43"/>
        <v>0</v>
      </c>
      <c r="AX39" s="42">
        <f t="shared" si="43"/>
        <v>0</v>
      </c>
      <c r="AY39" s="42">
        <f t="shared" si="43"/>
        <v>0</v>
      </c>
      <c r="AZ39" s="42">
        <f t="shared" si="43"/>
        <v>0</v>
      </c>
      <c r="BA39" s="34">
        <f t="shared" si="29"/>
        <v>113437.5</v>
      </c>
      <c r="BB39" s="34">
        <f>IFERROR(up_RadSpec!$J$11*(BB11*$B39),".")</f>
        <v>37812.5</v>
      </c>
      <c r="BC39" s="34">
        <f>IFERROR(up_RadSpec!$J$11*(BC11*$B39),".")</f>
        <v>37812.5</v>
      </c>
      <c r="BD39" s="34">
        <f>IFERROR(up_RadSpec!$J$11*(BD11*$B39),".")</f>
        <v>37812.5</v>
      </c>
      <c r="BE39" s="34">
        <f>IFERROR(up_RadSpec!$J$11*(BE11*$B39),".")</f>
        <v>37812.5</v>
      </c>
      <c r="BF39" s="34">
        <f>IFERROR(up_RadSpec!$J$11*(BF11*$B39),".")</f>
        <v>37812.5</v>
      </c>
      <c r="BG39" s="34">
        <f>IFERROR(up_RadSpec!$J$11*(BG11*$B39),".")</f>
        <v>37812.5</v>
      </c>
      <c r="BH39" s="34">
        <f>IFERROR(up_RadSpec!$J$11*(BH11*$B39),".")</f>
        <v>37812.5</v>
      </c>
      <c r="BI39" s="34">
        <f>IFERROR(up_RadSpec!$J$11*(BI11*$B39),".")</f>
        <v>37812.5</v>
      </c>
      <c r="BJ39" s="34">
        <f>IFERROR(up_RadSpec!$J$11*(BJ11*$B39),".")</f>
        <v>37812.5</v>
      </c>
      <c r="BK39" s="34">
        <f>IFERROR(up_RadSpec!$J$11*(BK11*$B39),".")</f>
        <v>37812.5</v>
      </c>
      <c r="BL39" s="34">
        <f>IFERROR(up_RadSpec!$J$11*(BL11*$B39),".")</f>
        <v>37812.5</v>
      </c>
      <c r="BM39" s="34">
        <f>IFERROR(up_RadSpec!$J$11*(BM11*$B39),".")</f>
        <v>37812.5</v>
      </c>
      <c r="BN39" s="34">
        <f>IFERROR(up_RadSpec!$J$11*(BN11*$B39),".")</f>
        <v>37812.5</v>
      </c>
      <c r="BO39" s="34">
        <f>IFERROR(up_RadSpec!$J$11*(BO11*$B39),".")</f>
        <v>37812.5</v>
      </c>
      <c r="BP39" s="34">
        <f>IFERROR(up_RadSpec!$J$11*(BP11*$B39),".")</f>
        <v>37812.5</v>
      </c>
      <c r="BQ39" s="34">
        <f>IFERROR(up_RadSpec!$J$11*(BQ11*$B39),".")</f>
        <v>37812.5</v>
      </c>
      <c r="BR39" s="34">
        <f>IFERROR(up_RadSpec!$J$11*(BR11*$B39),".")</f>
        <v>37812.5</v>
      </c>
      <c r="BS39" s="34">
        <f>IFERROR(up_RadSpec!$J$11*(BS11*$B39),".")</f>
        <v>37812.5</v>
      </c>
      <c r="BT39" s="34">
        <f>IFERROR(up_RadSpec!$J$11*(BT11*$B39),".")</f>
        <v>37812.5</v>
      </c>
      <c r="BU39" s="34">
        <f>IFERROR(up_RadSpec!$J$11*(BU11*$B39),".")</f>
        <v>37812.5</v>
      </c>
      <c r="BV39" s="34">
        <f>IFERROR(up_RadSpec!$J$11*(BV11*$B39),".")</f>
        <v>37812.5</v>
      </c>
      <c r="BW39" s="34">
        <f>IFERROR(up_RadSpec!$J$11*(BW11*$B39),".")</f>
        <v>37812.5</v>
      </c>
      <c r="BX39" s="34">
        <f>IFERROR(up_RadSpec!$J$11*(BX11*$B39),".")</f>
        <v>37812.5</v>
      </c>
      <c r="BY39" s="34">
        <f>IFERROR(up_RadSpec!$J$11*(BY11*$B39),".")</f>
        <v>37812.5</v>
      </c>
    </row>
    <row r="40" spans="1:77" x14ac:dyDescent="0.25">
      <c r="A40" s="66" t="s">
        <v>1070</v>
      </c>
      <c r="B40" s="49">
        <v>1</v>
      </c>
      <c r="C40" s="42">
        <f t="shared" ref="C40:AH40" si="44">IFERROR(C4/$B40,0)</f>
        <v>0</v>
      </c>
      <c r="D40" s="42">
        <f t="shared" si="44"/>
        <v>0</v>
      </c>
      <c r="E40" s="42">
        <f t="shared" si="44"/>
        <v>0</v>
      </c>
      <c r="F40" s="42">
        <f t="shared" si="44"/>
        <v>0</v>
      </c>
      <c r="G40" s="42">
        <f t="shared" si="44"/>
        <v>0</v>
      </c>
      <c r="H40" s="42">
        <f t="shared" si="44"/>
        <v>0</v>
      </c>
      <c r="I40" s="42">
        <f t="shared" si="44"/>
        <v>0</v>
      </c>
      <c r="J40" s="42">
        <f t="shared" si="44"/>
        <v>0</v>
      </c>
      <c r="K40" s="42">
        <f t="shared" si="44"/>
        <v>0</v>
      </c>
      <c r="L40" s="42">
        <f t="shared" si="44"/>
        <v>0</v>
      </c>
      <c r="M40" s="42">
        <f t="shared" si="44"/>
        <v>0</v>
      </c>
      <c r="N40" s="42">
        <f t="shared" si="44"/>
        <v>0</v>
      </c>
      <c r="O40" s="42">
        <f t="shared" si="44"/>
        <v>0</v>
      </c>
      <c r="P40" s="42">
        <f t="shared" si="44"/>
        <v>0</v>
      </c>
      <c r="Q40" s="42">
        <f t="shared" si="44"/>
        <v>0</v>
      </c>
      <c r="R40" s="42">
        <f t="shared" si="44"/>
        <v>0</v>
      </c>
      <c r="S40" s="42">
        <f t="shared" si="44"/>
        <v>0</v>
      </c>
      <c r="T40" s="42">
        <f t="shared" si="44"/>
        <v>0</v>
      </c>
      <c r="U40" s="42">
        <f t="shared" si="44"/>
        <v>0</v>
      </c>
      <c r="V40" s="42">
        <f t="shared" si="44"/>
        <v>0</v>
      </c>
      <c r="W40" s="42">
        <f t="shared" si="44"/>
        <v>0</v>
      </c>
      <c r="X40" s="42">
        <f t="shared" si="44"/>
        <v>0</v>
      </c>
      <c r="Y40" s="42">
        <f t="shared" si="44"/>
        <v>0</v>
      </c>
      <c r="Z40" s="42">
        <f t="shared" si="44"/>
        <v>0</v>
      </c>
      <c r="AA40" s="42">
        <f t="shared" si="44"/>
        <v>0</v>
      </c>
      <c r="AB40" s="42">
        <f t="shared" si="44"/>
        <v>0</v>
      </c>
      <c r="AC40" s="42">
        <f t="shared" si="44"/>
        <v>0</v>
      </c>
      <c r="AD40" s="42">
        <f t="shared" si="44"/>
        <v>0</v>
      </c>
      <c r="AE40" s="42">
        <f t="shared" si="44"/>
        <v>0</v>
      </c>
      <c r="AF40" s="42">
        <f t="shared" si="44"/>
        <v>0</v>
      </c>
      <c r="AG40" s="42">
        <f t="shared" si="44"/>
        <v>0</v>
      </c>
      <c r="AH40" s="42">
        <f t="shared" si="44"/>
        <v>0</v>
      </c>
      <c r="AI40" s="42">
        <f t="shared" ref="AI40:AZ40" si="45">IFERROR(AI4/$B40,0)</f>
        <v>0</v>
      </c>
      <c r="AJ40" s="42">
        <f t="shared" si="45"/>
        <v>0</v>
      </c>
      <c r="AK40" s="42">
        <f t="shared" si="45"/>
        <v>0</v>
      </c>
      <c r="AL40" s="42">
        <f t="shared" si="45"/>
        <v>0</v>
      </c>
      <c r="AM40" s="42">
        <f t="shared" si="45"/>
        <v>0</v>
      </c>
      <c r="AN40" s="42">
        <f t="shared" si="45"/>
        <v>0</v>
      </c>
      <c r="AO40" s="42">
        <f t="shared" si="45"/>
        <v>0</v>
      </c>
      <c r="AP40" s="42">
        <f t="shared" si="45"/>
        <v>0</v>
      </c>
      <c r="AQ40" s="42">
        <f t="shared" si="45"/>
        <v>0</v>
      </c>
      <c r="AR40" s="42">
        <f t="shared" si="45"/>
        <v>0</v>
      </c>
      <c r="AS40" s="42">
        <f t="shared" si="45"/>
        <v>0</v>
      </c>
      <c r="AT40" s="42">
        <f t="shared" si="45"/>
        <v>0</v>
      </c>
      <c r="AU40" s="42">
        <f t="shared" si="45"/>
        <v>0</v>
      </c>
      <c r="AV40" s="42">
        <f t="shared" si="45"/>
        <v>0</v>
      </c>
      <c r="AW40" s="42">
        <f t="shared" si="45"/>
        <v>0</v>
      </c>
      <c r="AX40" s="42">
        <f t="shared" si="45"/>
        <v>0</v>
      </c>
      <c r="AY40" s="42">
        <f t="shared" si="45"/>
        <v>0</v>
      </c>
      <c r="AZ40" s="42">
        <f t="shared" si="45"/>
        <v>0</v>
      </c>
      <c r="BA40" s="34">
        <f t="shared" si="29"/>
        <v>113437.5</v>
      </c>
      <c r="BB40" s="34">
        <f>IFERROR(up_RadSpec!$J$4*(BB4*$B40),".")</f>
        <v>37812.5</v>
      </c>
      <c r="BC40" s="34">
        <f>IFERROR(up_RadSpec!$J$4*(BC4*$B40),".")</f>
        <v>37812.5</v>
      </c>
      <c r="BD40" s="34">
        <f>IFERROR(up_RadSpec!$J$4*(BD4*$B40),".")</f>
        <v>37812.5</v>
      </c>
      <c r="BE40" s="34">
        <f>IFERROR(up_RadSpec!$J$4*(BE4*$B40),".")</f>
        <v>37812.5</v>
      </c>
      <c r="BF40" s="34">
        <f>IFERROR(up_RadSpec!$J$4*(BF4*$B40),".")</f>
        <v>37812.5</v>
      </c>
      <c r="BG40" s="34">
        <f>IFERROR(up_RadSpec!$J$4*(BG4*$B40),".")</f>
        <v>37812.5</v>
      </c>
      <c r="BH40" s="34">
        <f>IFERROR(up_RadSpec!$J$4*(BH4*$B40),".")</f>
        <v>37812.5</v>
      </c>
      <c r="BI40" s="34">
        <f>IFERROR(up_RadSpec!$J$4*(BI4*$B40),".")</f>
        <v>37812.5</v>
      </c>
      <c r="BJ40" s="34">
        <f>IFERROR(up_RadSpec!$J$4*(BJ4*$B40),".")</f>
        <v>37812.5</v>
      </c>
      <c r="BK40" s="34">
        <f>IFERROR(up_RadSpec!$J$4*(BK4*$B40),".")</f>
        <v>37812.5</v>
      </c>
      <c r="BL40" s="34">
        <f>IFERROR(up_RadSpec!$J$4*(BL4*$B40),".")</f>
        <v>37812.5</v>
      </c>
      <c r="BM40" s="34">
        <f>IFERROR(up_RadSpec!$J$4*(BM4*$B40),".")</f>
        <v>37812.5</v>
      </c>
      <c r="BN40" s="34">
        <f>IFERROR(up_RadSpec!$J$4*(BN4*$B40),".")</f>
        <v>37812.5</v>
      </c>
      <c r="BO40" s="34">
        <f>IFERROR(up_RadSpec!$J$4*(BO4*$B40),".")</f>
        <v>37812.5</v>
      </c>
      <c r="BP40" s="34">
        <f>IFERROR(up_RadSpec!$J$4*(BP4*$B40),".")</f>
        <v>37812.5</v>
      </c>
      <c r="BQ40" s="34">
        <f>IFERROR(up_RadSpec!$J$4*(BQ4*$B40),".")</f>
        <v>37812.5</v>
      </c>
      <c r="BR40" s="34">
        <f>IFERROR(up_RadSpec!$J$4*(BR4*$B40),".")</f>
        <v>37812.5</v>
      </c>
      <c r="BS40" s="34">
        <f>IFERROR(up_RadSpec!$J$4*(BS4*$B40),".")</f>
        <v>37812.5</v>
      </c>
      <c r="BT40" s="34">
        <f>IFERROR(up_RadSpec!$J$4*(BT4*$B40),".")</f>
        <v>37812.5</v>
      </c>
      <c r="BU40" s="34">
        <f>IFERROR(up_RadSpec!$J$4*(BU4*$B40),".")</f>
        <v>37812.5</v>
      </c>
      <c r="BV40" s="34">
        <f>IFERROR(up_RadSpec!$J$4*(BV4*$B40),".")</f>
        <v>37812.5</v>
      </c>
      <c r="BW40" s="34">
        <f>IFERROR(up_RadSpec!$J$4*(BW4*$B40),".")</f>
        <v>37812.5</v>
      </c>
      <c r="BX40" s="34">
        <f>IFERROR(up_RadSpec!$J$4*(BX4*$B40),".")</f>
        <v>37812.5</v>
      </c>
      <c r="BY40" s="34">
        <f>IFERROR(up_RadSpec!$J$4*(BY4*$B40),".")</f>
        <v>37812.5</v>
      </c>
    </row>
    <row r="41" spans="1:77" x14ac:dyDescent="0.25">
      <c r="A41" s="66" t="s">
        <v>1071</v>
      </c>
      <c r="B41" s="68">
        <v>0.99987999999999999</v>
      </c>
      <c r="C41" s="42">
        <f t="shared" ref="C41:AH41" si="46">IFERROR(C8/$B41,0)</f>
        <v>1111.3963512810399</v>
      </c>
      <c r="D41" s="42">
        <f t="shared" si="46"/>
        <v>3334.1890538431194</v>
      </c>
      <c r="E41" s="42">
        <f t="shared" si="46"/>
        <v>3334.1890538431194</v>
      </c>
      <c r="F41" s="42">
        <f t="shared" si="46"/>
        <v>3334.1890538431194</v>
      </c>
      <c r="G41" s="42">
        <f t="shared" si="46"/>
        <v>3334.1890538431194</v>
      </c>
      <c r="H41" s="42">
        <f t="shared" si="46"/>
        <v>3334.1890538431194</v>
      </c>
      <c r="I41" s="42">
        <f t="shared" si="46"/>
        <v>3334.1890538431194</v>
      </c>
      <c r="J41" s="42">
        <f t="shared" si="46"/>
        <v>3334.1890538431194</v>
      </c>
      <c r="K41" s="42">
        <f t="shared" si="46"/>
        <v>3334.1890538431194</v>
      </c>
      <c r="L41" s="42">
        <f t="shared" si="46"/>
        <v>3334.1890538431194</v>
      </c>
      <c r="M41" s="42">
        <f t="shared" si="46"/>
        <v>3334.1890538431194</v>
      </c>
      <c r="N41" s="42">
        <f t="shared" si="46"/>
        <v>3334.1890538431194</v>
      </c>
      <c r="O41" s="42">
        <f t="shared" si="46"/>
        <v>3334.1890538431194</v>
      </c>
      <c r="P41" s="42">
        <f t="shared" si="46"/>
        <v>3334.1890538431194</v>
      </c>
      <c r="Q41" s="42">
        <f t="shared" si="46"/>
        <v>3334.1890538431194</v>
      </c>
      <c r="R41" s="42">
        <f t="shared" si="46"/>
        <v>3334.1890538431194</v>
      </c>
      <c r="S41" s="42">
        <f t="shared" si="46"/>
        <v>3334.1890538431194</v>
      </c>
      <c r="T41" s="42">
        <f t="shared" si="46"/>
        <v>3334.1890538431194</v>
      </c>
      <c r="U41" s="42">
        <f t="shared" si="46"/>
        <v>3334.1890538431194</v>
      </c>
      <c r="V41" s="42">
        <f t="shared" si="46"/>
        <v>3334.1890538431194</v>
      </c>
      <c r="W41" s="42">
        <f t="shared" si="46"/>
        <v>3334.1890538431194</v>
      </c>
      <c r="X41" s="42">
        <f t="shared" si="46"/>
        <v>3334.1890538431194</v>
      </c>
      <c r="Y41" s="42">
        <f t="shared" si="46"/>
        <v>3334.1890538431194</v>
      </c>
      <c r="Z41" s="42">
        <f t="shared" si="46"/>
        <v>3334.1890538431194</v>
      </c>
      <c r="AA41" s="42">
        <f t="shared" si="46"/>
        <v>3334.1890538431194</v>
      </c>
      <c r="AB41" s="42">
        <f t="shared" si="46"/>
        <v>1111.3963512810399</v>
      </c>
      <c r="AC41" s="42">
        <f t="shared" si="46"/>
        <v>3334.1890538431194</v>
      </c>
      <c r="AD41" s="42">
        <f t="shared" si="46"/>
        <v>3334.1890538431194</v>
      </c>
      <c r="AE41" s="42">
        <f t="shared" si="46"/>
        <v>3334.1890538431194</v>
      </c>
      <c r="AF41" s="42">
        <f t="shared" si="46"/>
        <v>3334.1890538431194</v>
      </c>
      <c r="AG41" s="42">
        <f t="shared" si="46"/>
        <v>3334.1890538431194</v>
      </c>
      <c r="AH41" s="42">
        <f t="shared" si="46"/>
        <v>3334.1890538431194</v>
      </c>
      <c r="AI41" s="42">
        <f t="shared" ref="AI41:AZ41" si="47">IFERROR(AI8/$B41,0)</f>
        <v>3334.1890538431194</v>
      </c>
      <c r="AJ41" s="42">
        <f t="shared" si="47"/>
        <v>3334.1890538431194</v>
      </c>
      <c r="AK41" s="42">
        <f t="shared" si="47"/>
        <v>3334.1890538431194</v>
      </c>
      <c r="AL41" s="42">
        <f t="shared" si="47"/>
        <v>3334.1890538431194</v>
      </c>
      <c r="AM41" s="42">
        <f t="shared" si="47"/>
        <v>3334.1890538431194</v>
      </c>
      <c r="AN41" s="42">
        <f t="shared" si="47"/>
        <v>3334.1890538431194</v>
      </c>
      <c r="AO41" s="42">
        <f t="shared" si="47"/>
        <v>3334.1890538431194</v>
      </c>
      <c r="AP41" s="42">
        <f t="shared" si="47"/>
        <v>3334.1890538431194</v>
      </c>
      <c r="AQ41" s="42">
        <f t="shared" si="47"/>
        <v>3334.1890538431194</v>
      </c>
      <c r="AR41" s="42">
        <f t="shared" si="47"/>
        <v>3334.1890538431194</v>
      </c>
      <c r="AS41" s="42">
        <f t="shared" si="47"/>
        <v>3334.1890538431194</v>
      </c>
      <c r="AT41" s="42">
        <f t="shared" si="47"/>
        <v>3334.1890538431194</v>
      </c>
      <c r="AU41" s="42">
        <f t="shared" si="47"/>
        <v>3334.1890538431194</v>
      </c>
      <c r="AV41" s="42">
        <f t="shared" si="47"/>
        <v>3334.1890538431194</v>
      </c>
      <c r="AW41" s="42">
        <f t="shared" si="47"/>
        <v>3334.1890538431194</v>
      </c>
      <c r="AX41" s="42">
        <f t="shared" si="47"/>
        <v>3334.1890538431194</v>
      </c>
      <c r="AY41" s="42">
        <f t="shared" si="47"/>
        <v>3334.1890538431194</v>
      </c>
      <c r="AZ41" s="42">
        <f t="shared" si="47"/>
        <v>3334.1890538431194</v>
      </c>
      <c r="BA41" s="34">
        <f t="shared" si="29"/>
        <v>113423.88750000001</v>
      </c>
      <c r="BB41" s="34">
        <f>IFERROR(up_RadSpec!$J$8*(BB8*$B41),".")</f>
        <v>37807.962500000001</v>
      </c>
      <c r="BC41" s="34">
        <f>IFERROR(up_RadSpec!$J$8*(BC8*$B41),".")</f>
        <v>37807.962500000001</v>
      </c>
      <c r="BD41" s="34">
        <f>IFERROR(up_RadSpec!$J$8*(BD8*$B41),".")</f>
        <v>37807.962500000001</v>
      </c>
      <c r="BE41" s="34">
        <f>IFERROR(up_RadSpec!$J$8*(BE8*$B41),".")</f>
        <v>37807.962500000001</v>
      </c>
      <c r="BF41" s="34">
        <f>IFERROR(up_RadSpec!$J$8*(BF8*$B41),".")</f>
        <v>37807.962500000001</v>
      </c>
      <c r="BG41" s="34">
        <f>IFERROR(up_RadSpec!$J$8*(BG8*$B41),".")</f>
        <v>37807.962500000001</v>
      </c>
      <c r="BH41" s="34">
        <f>IFERROR(up_RadSpec!$J$8*(BH8*$B41),".")</f>
        <v>37807.962500000001</v>
      </c>
      <c r="BI41" s="34">
        <f>IFERROR(up_RadSpec!$J$8*(BI8*$B41),".")</f>
        <v>37807.962500000001</v>
      </c>
      <c r="BJ41" s="34">
        <f>IFERROR(up_RadSpec!$J$8*(BJ8*$B41),".")</f>
        <v>37807.962500000001</v>
      </c>
      <c r="BK41" s="34">
        <f>IFERROR(up_RadSpec!$J$8*(BK8*$B41),".")</f>
        <v>37807.962500000001</v>
      </c>
      <c r="BL41" s="34">
        <f>IFERROR(up_RadSpec!$J$8*(BL8*$B41),".")</f>
        <v>37807.962500000001</v>
      </c>
      <c r="BM41" s="34">
        <f>IFERROR(up_RadSpec!$J$8*(BM8*$B41),".")</f>
        <v>37807.962500000001</v>
      </c>
      <c r="BN41" s="34">
        <f>IFERROR(up_RadSpec!$J$8*(BN8*$B41),".")</f>
        <v>37807.962500000001</v>
      </c>
      <c r="BO41" s="34">
        <f>IFERROR(up_RadSpec!$J$8*(BO8*$B41),".")</f>
        <v>37807.962500000001</v>
      </c>
      <c r="BP41" s="34">
        <f>IFERROR(up_RadSpec!$J$8*(BP8*$B41),".")</f>
        <v>37807.962500000001</v>
      </c>
      <c r="BQ41" s="34">
        <f>IFERROR(up_RadSpec!$J$8*(BQ8*$B41),".")</f>
        <v>37807.962500000001</v>
      </c>
      <c r="BR41" s="34">
        <f>IFERROR(up_RadSpec!$J$8*(BR8*$B41),".")</f>
        <v>37807.962500000001</v>
      </c>
      <c r="BS41" s="34">
        <f>IFERROR(up_RadSpec!$J$8*(BS8*$B41),".")</f>
        <v>37807.962500000001</v>
      </c>
      <c r="BT41" s="34">
        <f>IFERROR(up_RadSpec!$J$8*(BT8*$B41),".")</f>
        <v>37807.962500000001</v>
      </c>
      <c r="BU41" s="34">
        <f>IFERROR(up_RadSpec!$J$8*(BU8*$B41),".")</f>
        <v>37807.962500000001</v>
      </c>
      <c r="BV41" s="34">
        <f>IFERROR(up_RadSpec!$J$8*(BV8*$B41),".")</f>
        <v>37807.962500000001</v>
      </c>
      <c r="BW41" s="34">
        <f>IFERROR(up_RadSpec!$J$8*(BW8*$B41),".")</f>
        <v>37807.962500000001</v>
      </c>
      <c r="BX41" s="34">
        <f>IFERROR(up_RadSpec!$J$8*(BX8*$B41),".")</f>
        <v>37807.962500000001</v>
      </c>
      <c r="BY41" s="34">
        <f>IFERROR(up_RadSpec!$J$8*(BY8*$B41),".")</f>
        <v>37807.962500000001</v>
      </c>
    </row>
    <row r="42" spans="1:77" x14ac:dyDescent="0.25">
      <c r="A42" s="66" t="s">
        <v>1072</v>
      </c>
      <c r="B42" s="49">
        <v>0.97898250799999997</v>
      </c>
      <c r="C42" s="42">
        <f t="shared" ref="C42:AH42" si="48">IFERROR(C19/$B42,0)</f>
        <v>0</v>
      </c>
      <c r="D42" s="42">
        <f t="shared" si="48"/>
        <v>0</v>
      </c>
      <c r="E42" s="42">
        <f t="shared" si="48"/>
        <v>0</v>
      </c>
      <c r="F42" s="42">
        <f t="shared" si="48"/>
        <v>0</v>
      </c>
      <c r="G42" s="42">
        <f t="shared" si="48"/>
        <v>0</v>
      </c>
      <c r="H42" s="42">
        <f t="shared" si="48"/>
        <v>0</v>
      </c>
      <c r="I42" s="42">
        <f t="shared" si="48"/>
        <v>0</v>
      </c>
      <c r="J42" s="42">
        <f t="shared" si="48"/>
        <v>0</v>
      </c>
      <c r="K42" s="42">
        <f t="shared" si="48"/>
        <v>0</v>
      </c>
      <c r="L42" s="42">
        <f t="shared" si="48"/>
        <v>0</v>
      </c>
      <c r="M42" s="42">
        <f t="shared" si="48"/>
        <v>0</v>
      </c>
      <c r="N42" s="42">
        <f t="shared" si="48"/>
        <v>0</v>
      </c>
      <c r="O42" s="42">
        <f t="shared" si="48"/>
        <v>0</v>
      </c>
      <c r="P42" s="42">
        <f t="shared" si="48"/>
        <v>0</v>
      </c>
      <c r="Q42" s="42">
        <f t="shared" si="48"/>
        <v>0</v>
      </c>
      <c r="R42" s="42">
        <f t="shared" si="48"/>
        <v>0</v>
      </c>
      <c r="S42" s="42">
        <f t="shared" si="48"/>
        <v>0</v>
      </c>
      <c r="T42" s="42">
        <f t="shared" si="48"/>
        <v>0</v>
      </c>
      <c r="U42" s="42">
        <f t="shared" si="48"/>
        <v>0</v>
      </c>
      <c r="V42" s="42">
        <f t="shared" si="48"/>
        <v>0</v>
      </c>
      <c r="W42" s="42">
        <f t="shared" si="48"/>
        <v>0</v>
      </c>
      <c r="X42" s="42">
        <f t="shared" si="48"/>
        <v>0</v>
      </c>
      <c r="Y42" s="42">
        <f t="shared" si="48"/>
        <v>0</v>
      </c>
      <c r="Z42" s="42">
        <f t="shared" si="48"/>
        <v>0</v>
      </c>
      <c r="AA42" s="42">
        <f t="shared" si="48"/>
        <v>0</v>
      </c>
      <c r="AB42" s="42">
        <f t="shared" si="48"/>
        <v>0</v>
      </c>
      <c r="AC42" s="42">
        <f t="shared" si="48"/>
        <v>0</v>
      </c>
      <c r="AD42" s="42">
        <f t="shared" si="48"/>
        <v>0</v>
      </c>
      <c r="AE42" s="42">
        <f t="shared" si="48"/>
        <v>0</v>
      </c>
      <c r="AF42" s="42">
        <f t="shared" si="48"/>
        <v>0</v>
      </c>
      <c r="AG42" s="42">
        <f t="shared" si="48"/>
        <v>0</v>
      </c>
      <c r="AH42" s="42">
        <f t="shared" si="48"/>
        <v>0</v>
      </c>
      <c r="AI42" s="42">
        <f t="shared" ref="AI42:AZ42" si="49">IFERROR(AI19/$B42,0)</f>
        <v>0</v>
      </c>
      <c r="AJ42" s="42">
        <f t="shared" si="49"/>
        <v>0</v>
      </c>
      <c r="AK42" s="42">
        <f t="shared" si="49"/>
        <v>0</v>
      </c>
      <c r="AL42" s="42">
        <f t="shared" si="49"/>
        <v>0</v>
      </c>
      <c r="AM42" s="42">
        <f t="shared" si="49"/>
        <v>0</v>
      </c>
      <c r="AN42" s="42">
        <f t="shared" si="49"/>
        <v>0</v>
      </c>
      <c r="AO42" s="42">
        <f t="shared" si="49"/>
        <v>0</v>
      </c>
      <c r="AP42" s="42">
        <f t="shared" si="49"/>
        <v>0</v>
      </c>
      <c r="AQ42" s="42">
        <f t="shared" si="49"/>
        <v>0</v>
      </c>
      <c r="AR42" s="42">
        <f t="shared" si="49"/>
        <v>0</v>
      </c>
      <c r="AS42" s="42">
        <f t="shared" si="49"/>
        <v>0</v>
      </c>
      <c r="AT42" s="42">
        <f t="shared" si="49"/>
        <v>0</v>
      </c>
      <c r="AU42" s="42">
        <f t="shared" si="49"/>
        <v>0</v>
      </c>
      <c r="AV42" s="42">
        <f t="shared" si="49"/>
        <v>0</v>
      </c>
      <c r="AW42" s="42">
        <f t="shared" si="49"/>
        <v>0</v>
      </c>
      <c r="AX42" s="42">
        <f t="shared" si="49"/>
        <v>0</v>
      </c>
      <c r="AY42" s="42">
        <f t="shared" si="49"/>
        <v>0</v>
      </c>
      <c r="AZ42" s="42">
        <f t="shared" si="49"/>
        <v>0</v>
      </c>
      <c r="BA42" s="34">
        <f t="shared" si="29"/>
        <v>111053.32825125</v>
      </c>
      <c r="BB42" s="34">
        <f>IFERROR(up_RadSpec!$J$19*(BB19*$B42),".")</f>
        <v>37017.776083750003</v>
      </c>
      <c r="BC42" s="34">
        <f>IFERROR(up_RadSpec!$J$19*(BC19*$B42),".")</f>
        <v>37017.776083750003</v>
      </c>
      <c r="BD42" s="34">
        <f>IFERROR(up_RadSpec!$J$19*(BD19*$B42),".")</f>
        <v>37017.776083750003</v>
      </c>
      <c r="BE42" s="34">
        <f>IFERROR(up_RadSpec!$J$19*(BE19*$B42),".")</f>
        <v>37017.776083750003</v>
      </c>
      <c r="BF42" s="34">
        <f>IFERROR(up_RadSpec!$J$19*(BF19*$B42),".")</f>
        <v>37017.776083750003</v>
      </c>
      <c r="BG42" s="34">
        <f>IFERROR(up_RadSpec!$J$19*(BG19*$B42),".")</f>
        <v>37017.776083750003</v>
      </c>
      <c r="BH42" s="34">
        <f>IFERROR(up_RadSpec!$J$19*(BH19*$B42),".")</f>
        <v>37017.776083750003</v>
      </c>
      <c r="BI42" s="34">
        <f>IFERROR(up_RadSpec!$J$19*(BI19*$B42),".")</f>
        <v>37017.776083750003</v>
      </c>
      <c r="BJ42" s="34">
        <f>IFERROR(up_RadSpec!$J$19*(BJ19*$B42),".")</f>
        <v>37017.776083750003</v>
      </c>
      <c r="BK42" s="34">
        <f>IFERROR(up_RadSpec!$J$19*(BK19*$B42),".")</f>
        <v>37017.776083750003</v>
      </c>
      <c r="BL42" s="34">
        <f>IFERROR(up_RadSpec!$J$19*(BL19*$B42),".")</f>
        <v>37017.776083750003</v>
      </c>
      <c r="BM42" s="34">
        <f>IFERROR(up_RadSpec!$J$19*(BM19*$B42),".")</f>
        <v>37017.776083750003</v>
      </c>
      <c r="BN42" s="34">
        <f>IFERROR(up_RadSpec!$J$19*(BN19*$B42),".")</f>
        <v>37017.776083750003</v>
      </c>
      <c r="BO42" s="34">
        <f>IFERROR(up_RadSpec!$J$19*(BO19*$B42),".")</f>
        <v>37017.776083750003</v>
      </c>
      <c r="BP42" s="34">
        <f>IFERROR(up_RadSpec!$J$19*(BP19*$B42),".")</f>
        <v>37017.776083750003</v>
      </c>
      <c r="BQ42" s="34">
        <f>IFERROR(up_RadSpec!$J$19*(BQ19*$B42),".")</f>
        <v>37017.776083750003</v>
      </c>
      <c r="BR42" s="34">
        <f>IFERROR(up_RadSpec!$J$19*(BR19*$B42),".")</f>
        <v>37017.776083750003</v>
      </c>
      <c r="BS42" s="34">
        <f>IFERROR(up_RadSpec!$J$19*(BS19*$B42),".")</f>
        <v>37017.776083750003</v>
      </c>
      <c r="BT42" s="34">
        <f>IFERROR(up_RadSpec!$J$19*(BT19*$B42),".")</f>
        <v>37017.776083750003</v>
      </c>
      <c r="BU42" s="34">
        <f>IFERROR(up_RadSpec!$J$19*(BU19*$B42),".")</f>
        <v>37017.776083750003</v>
      </c>
      <c r="BV42" s="34">
        <f>IFERROR(up_RadSpec!$J$19*(BV19*$B42),".")</f>
        <v>37017.776083750003</v>
      </c>
      <c r="BW42" s="34">
        <f>IFERROR(up_RadSpec!$J$19*(BW19*$B42),".")</f>
        <v>37017.776083750003</v>
      </c>
      <c r="BX42" s="34">
        <f>IFERROR(up_RadSpec!$J$19*(BX19*$B42),".")</f>
        <v>37017.776083750003</v>
      </c>
      <c r="BY42" s="34">
        <f>IFERROR(up_RadSpec!$J$19*(BY19*$B42),".")</f>
        <v>37017.776083750003</v>
      </c>
    </row>
    <row r="43" spans="1:77" x14ac:dyDescent="0.25">
      <c r="A43" s="66" t="s">
        <v>1073</v>
      </c>
      <c r="B43" s="49">
        <v>2.0897492E-2</v>
      </c>
      <c r="C43" s="42">
        <f t="shared" ref="C43:AH43" si="50">IFERROR(C28/$B43,0)</f>
        <v>0</v>
      </c>
      <c r="D43" s="42">
        <f t="shared" si="50"/>
        <v>0</v>
      </c>
      <c r="E43" s="42">
        <f t="shared" si="50"/>
        <v>0</v>
      </c>
      <c r="F43" s="42">
        <f t="shared" si="50"/>
        <v>0</v>
      </c>
      <c r="G43" s="42">
        <f t="shared" si="50"/>
        <v>0</v>
      </c>
      <c r="H43" s="42">
        <f t="shared" si="50"/>
        <v>0</v>
      </c>
      <c r="I43" s="42">
        <f t="shared" si="50"/>
        <v>0</v>
      </c>
      <c r="J43" s="42">
        <f t="shared" si="50"/>
        <v>0</v>
      </c>
      <c r="K43" s="42">
        <f t="shared" si="50"/>
        <v>0</v>
      </c>
      <c r="L43" s="42">
        <f t="shared" si="50"/>
        <v>0</v>
      </c>
      <c r="M43" s="42">
        <f t="shared" si="50"/>
        <v>0</v>
      </c>
      <c r="N43" s="42">
        <f t="shared" si="50"/>
        <v>0</v>
      </c>
      <c r="O43" s="42">
        <f t="shared" si="50"/>
        <v>0</v>
      </c>
      <c r="P43" s="42">
        <f t="shared" si="50"/>
        <v>0</v>
      </c>
      <c r="Q43" s="42">
        <f t="shared" si="50"/>
        <v>0</v>
      </c>
      <c r="R43" s="42">
        <f t="shared" si="50"/>
        <v>0</v>
      </c>
      <c r="S43" s="42">
        <f t="shared" si="50"/>
        <v>0</v>
      </c>
      <c r="T43" s="42">
        <f t="shared" si="50"/>
        <v>0</v>
      </c>
      <c r="U43" s="42">
        <f t="shared" si="50"/>
        <v>0</v>
      </c>
      <c r="V43" s="42">
        <f t="shared" si="50"/>
        <v>0</v>
      </c>
      <c r="W43" s="42">
        <f t="shared" si="50"/>
        <v>0</v>
      </c>
      <c r="X43" s="42">
        <f t="shared" si="50"/>
        <v>0</v>
      </c>
      <c r="Y43" s="42">
        <f t="shared" si="50"/>
        <v>0</v>
      </c>
      <c r="Z43" s="42">
        <f t="shared" si="50"/>
        <v>0</v>
      </c>
      <c r="AA43" s="42">
        <f t="shared" si="50"/>
        <v>0</v>
      </c>
      <c r="AB43" s="42">
        <f t="shared" si="50"/>
        <v>0</v>
      </c>
      <c r="AC43" s="42">
        <f t="shared" si="50"/>
        <v>0</v>
      </c>
      <c r="AD43" s="42">
        <f t="shared" si="50"/>
        <v>0</v>
      </c>
      <c r="AE43" s="42">
        <f t="shared" si="50"/>
        <v>0</v>
      </c>
      <c r="AF43" s="42">
        <f t="shared" si="50"/>
        <v>0</v>
      </c>
      <c r="AG43" s="42">
        <f t="shared" si="50"/>
        <v>0</v>
      </c>
      <c r="AH43" s="42">
        <f t="shared" si="50"/>
        <v>0</v>
      </c>
      <c r="AI43" s="42">
        <f t="shared" ref="AI43:AZ43" si="51">IFERROR(AI28/$B43,0)</f>
        <v>0</v>
      </c>
      <c r="AJ43" s="42">
        <f t="shared" si="51"/>
        <v>0</v>
      </c>
      <c r="AK43" s="42">
        <f t="shared" si="51"/>
        <v>0</v>
      </c>
      <c r="AL43" s="42">
        <f t="shared" si="51"/>
        <v>0</v>
      </c>
      <c r="AM43" s="42">
        <f t="shared" si="51"/>
        <v>0</v>
      </c>
      <c r="AN43" s="42">
        <f t="shared" si="51"/>
        <v>0</v>
      </c>
      <c r="AO43" s="42">
        <f t="shared" si="51"/>
        <v>0</v>
      </c>
      <c r="AP43" s="42">
        <f t="shared" si="51"/>
        <v>0</v>
      </c>
      <c r="AQ43" s="42">
        <f t="shared" si="51"/>
        <v>0</v>
      </c>
      <c r="AR43" s="42">
        <f t="shared" si="51"/>
        <v>0</v>
      </c>
      <c r="AS43" s="42">
        <f t="shared" si="51"/>
        <v>0</v>
      </c>
      <c r="AT43" s="42">
        <f t="shared" si="51"/>
        <v>0</v>
      </c>
      <c r="AU43" s="42">
        <f t="shared" si="51"/>
        <v>0</v>
      </c>
      <c r="AV43" s="42">
        <f t="shared" si="51"/>
        <v>0</v>
      </c>
      <c r="AW43" s="42">
        <f t="shared" si="51"/>
        <v>0</v>
      </c>
      <c r="AX43" s="42">
        <f t="shared" si="51"/>
        <v>0</v>
      </c>
      <c r="AY43" s="42">
        <f t="shared" si="51"/>
        <v>0</v>
      </c>
      <c r="AZ43" s="42">
        <f t="shared" si="51"/>
        <v>0</v>
      </c>
      <c r="BA43" s="34">
        <f t="shared" si="29"/>
        <v>2370.5592487499998</v>
      </c>
      <c r="BB43" s="34">
        <f>IFERROR(up_RadSpec!$J$28*(BB28*$B43),".")</f>
        <v>790.18641624999998</v>
      </c>
      <c r="BC43" s="34">
        <f>IFERROR(up_RadSpec!$J$28*(BC28*$B43),".")</f>
        <v>790.18641624999998</v>
      </c>
      <c r="BD43" s="34">
        <f>IFERROR(up_RadSpec!$J$28*(BD28*$B43),".")</f>
        <v>790.18641624999998</v>
      </c>
      <c r="BE43" s="34">
        <f>IFERROR(up_RadSpec!$J$28*(BE28*$B43),".")</f>
        <v>790.18641624999998</v>
      </c>
      <c r="BF43" s="34">
        <f>IFERROR(up_RadSpec!$J$28*(BF28*$B43),".")</f>
        <v>790.18641624999998</v>
      </c>
      <c r="BG43" s="34">
        <f>IFERROR(up_RadSpec!$J$28*(BG28*$B43),".")</f>
        <v>790.18641624999998</v>
      </c>
      <c r="BH43" s="34">
        <f>IFERROR(up_RadSpec!$J$28*(BH28*$B43),".")</f>
        <v>790.18641624999998</v>
      </c>
      <c r="BI43" s="34">
        <f>IFERROR(up_RadSpec!$J$28*(BI28*$B43),".")</f>
        <v>790.18641624999998</v>
      </c>
      <c r="BJ43" s="34">
        <f>IFERROR(up_RadSpec!$J$28*(BJ28*$B43),".")</f>
        <v>790.18641624999998</v>
      </c>
      <c r="BK43" s="34">
        <f>IFERROR(up_RadSpec!$J$28*(BK28*$B43),".")</f>
        <v>790.18641624999998</v>
      </c>
      <c r="BL43" s="34">
        <f>IFERROR(up_RadSpec!$J$28*(BL28*$B43),".")</f>
        <v>790.18641624999998</v>
      </c>
      <c r="BM43" s="34">
        <f>IFERROR(up_RadSpec!$J$28*(BM28*$B43),".")</f>
        <v>790.18641624999998</v>
      </c>
      <c r="BN43" s="34">
        <f>IFERROR(up_RadSpec!$J$28*(BN28*$B43),".")</f>
        <v>790.18641624999998</v>
      </c>
      <c r="BO43" s="34">
        <f>IFERROR(up_RadSpec!$J$28*(BO28*$B43),".")</f>
        <v>790.18641624999998</v>
      </c>
      <c r="BP43" s="34">
        <f>IFERROR(up_RadSpec!$J$28*(BP28*$B43),".")</f>
        <v>790.18641624999998</v>
      </c>
      <c r="BQ43" s="34">
        <f>IFERROR(up_RadSpec!$J$28*(BQ28*$B43),".")</f>
        <v>790.18641624999998</v>
      </c>
      <c r="BR43" s="34">
        <f>IFERROR(up_RadSpec!$J$28*(BR28*$B43),".")</f>
        <v>790.18641624999998</v>
      </c>
      <c r="BS43" s="34">
        <f>IFERROR(up_RadSpec!$J$28*(BS28*$B43),".")</f>
        <v>790.18641624999998</v>
      </c>
      <c r="BT43" s="34">
        <f>IFERROR(up_RadSpec!$J$28*(BT28*$B43),".")</f>
        <v>790.18641624999998</v>
      </c>
      <c r="BU43" s="34">
        <f>IFERROR(up_RadSpec!$J$28*(BU28*$B43),".")</f>
        <v>790.18641624999998</v>
      </c>
      <c r="BV43" s="34">
        <f>IFERROR(up_RadSpec!$J$28*(BV28*$B43),".")</f>
        <v>790.18641624999998</v>
      </c>
      <c r="BW43" s="34">
        <f>IFERROR(up_RadSpec!$J$28*(BW28*$B43),".")</f>
        <v>790.18641624999998</v>
      </c>
      <c r="BX43" s="34">
        <f>IFERROR(up_RadSpec!$J$28*(BX28*$B43),".")</f>
        <v>790.18641624999998</v>
      </c>
      <c r="BY43" s="34">
        <f>IFERROR(up_RadSpec!$J$28*(BY28*$B43),".")</f>
        <v>790.18641624999998</v>
      </c>
    </row>
    <row r="44" spans="1:77" x14ac:dyDescent="0.25">
      <c r="A44" s="66" t="s">
        <v>1074</v>
      </c>
      <c r="B44" s="49">
        <v>0.99987999999999999</v>
      </c>
      <c r="C44" s="42">
        <f t="shared" ref="C44:AH44" si="52">IFERROR(C15/$B44,0)</f>
        <v>3987.3389845156435</v>
      </c>
      <c r="D44" s="42">
        <f t="shared" si="52"/>
        <v>11962.016953546934</v>
      </c>
      <c r="E44" s="42">
        <f t="shared" si="52"/>
        <v>11962.016953546934</v>
      </c>
      <c r="F44" s="42">
        <f t="shared" si="52"/>
        <v>11962.016953546934</v>
      </c>
      <c r="G44" s="42">
        <f t="shared" si="52"/>
        <v>11962.016953546934</v>
      </c>
      <c r="H44" s="42">
        <f t="shared" si="52"/>
        <v>11962.016953546934</v>
      </c>
      <c r="I44" s="42">
        <f t="shared" si="52"/>
        <v>11962.016953546934</v>
      </c>
      <c r="J44" s="42">
        <f t="shared" si="52"/>
        <v>11962.016953546934</v>
      </c>
      <c r="K44" s="42">
        <f t="shared" si="52"/>
        <v>11962.016953546934</v>
      </c>
      <c r="L44" s="42">
        <f t="shared" si="52"/>
        <v>11962.016953546934</v>
      </c>
      <c r="M44" s="42">
        <f t="shared" si="52"/>
        <v>11962.016953546934</v>
      </c>
      <c r="N44" s="42">
        <f t="shared" si="52"/>
        <v>11962.016953546934</v>
      </c>
      <c r="O44" s="42">
        <f t="shared" si="52"/>
        <v>11962.016953546934</v>
      </c>
      <c r="P44" s="42">
        <f t="shared" si="52"/>
        <v>11962.016953546934</v>
      </c>
      <c r="Q44" s="42">
        <f t="shared" si="52"/>
        <v>11962.016953546934</v>
      </c>
      <c r="R44" s="42">
        <f t="shared" si="52"/>
        <v>11962.016953546934</v>
      </c>
      <c r="S44" s="42">
        <f t="shared" si="52"/>
        <v>11962.016953546934</v>
      </c>
      <c r="T44" s="42">
        <f t="shared" si="52"/>
        <v>11962.016953546934</v>
      </c>
      <c r="U44" s="42">
        <f t="shared" si="52"/>
        <v>11962.016953546934</v>
      </c>
      <c r="V44" s="42">
        <f t="shared" si="52"/>
        <v>11962.016953546934</v>
      </c>
      <c r="W44" s="42">
        <f t="shared" si="52"/>
        <v>11962.016953546934</v>
      </c>
      <c r="X44" s="42">
        <f t="shared" si="52"/>
        <v>11962.016953546934</v>
      </c>
      <c r="Y44" s="42">
        <f t="shared" si="52"/>
        <v>11962.016953546934</v>
      </c>
      <c r="Z44" s="42">
        <f t="shared" si="52"/>
        <v>11962.016953546934</v>
      </c>
      <c r="AA44" s="42">
        <f t="shared" si="52"/>
        <v>11962.016953546934</v>
      </c>
      <c r="AB44" s="42">
        <f t="shared" si="52"/>
        <v>3987.3389845156435</v>
      </c>
      <c r="AC44" s="42">
        <f t="shared" si="52"/>
        <v>11962.016953546934</v>
      </c>
      <c r="AD44" s="42">
        <f t="shared" si="52"/>
        <v>11962.016953546934</v>
      </c>
      <c r="AE44" s="42">
        <f t="shared" si="52"/>
        <v>11962.016953546934</v>
      </c>
      <c r="AF44" s="42">
        <f t="shared" si="52"/>
        <v>11962.016953546934</v>
      </c>
      <c r="AG44" s="42">
        <f t="shared" si="52"/>
        <v>11962.016953546934</v>
      </c>
      <c r="AH44" s="42">
        <f t="shared" si="52"/>
        <v>11962.016953546934</v>
      </c>
      <c r="AI44" s="42">
        <f t="shared" ref="AI44:AZ44" si="53">IFERROR(AI15/$B44,0)</f>
        <v>11962.016953546934</v>
      </c>
      <c r="AJ44" s="42">
        <f t="shared" si="53"/>
        <v>11962.016953546934</v>
      </c>
      <c r="AK44" s="42">
        <f t="shared" si="53"/>
        <v>11962.016953546934</v>
      </c>
      <c r="AL44" s="42">
        <f t="shared" si="53"/>
        <v>11962.016953546934</v>
      </c>
      <c r="AM44" s="42">
        <f t="shared" si="53"/>
        <v>11962.016953546934</v>
      </c>
      <c r="AN44" s="42">
        <f t="shared" si="53"/>
        <v>11962.016953546934</v>
      </c>
      <c r="AO44" s="42">
        <f t="shared" si="53"/>
        <v>11962.016953546934</v>
      </c>
      <c r="AP44" s="42">
        <f t="shared" si="53"/>
        <v>11962.016953546934</v>
      </c>
      <c r="AQ44" s="42">
        <f t="shared" si="53"/>
        <v>11962.016953546934</v>
      </c>
      <c r="AR44" s="42">
        <f t="shared" si="53"/>
        <v>11962.016953546934</v>
      </c>
      <c r="AS44" s="42">
        <f t="shared" si="53"/>
        <v>11962.016953546934</v>
      </c>
      <c r="AT44" s="42">
        <f t="shared" si="53"/>
        <v>11962.016953546934</v>
      </c>
      <c r="AU44" s="42">
        <f t="shared" si="53"/>
        <v>11962.016953546934</v>
      </c>
      <c r="AV44" s="42">
        <f t="shared" si="53"/>
        <v>11962.016953546934</v>
      </c>
      <c r="AW44" s="42">
        <f t="shared" si="53"/>
        <v>11962.016953546934</v>
      </c>
      <c r="AX44" s="42">
        <f t="shared" si="53"/>
        <v>11962.016953546934</v>
      </c>
      <c r="AY44" s="42">
        <f t="shared" si="53"/>
        <v>11962.016953546934</v>
      </c>
      <c r="AZ44" s="42">
        <f t="shared" si="53"/>
        <v>11962.016953546934</v>
      </c>
      <c r="BA44" s="34">
        <f t="shared" si="29"/>
        <v>113423.88750000001</v>
      </c>
      <c r="BB44" s="34">
        <f>IFERROR(up_RadSpec!$J$15*(BB15*$B44),".")</f>
        <v>37807.962500000001</v>
      </c>
      <c r="BC44" s="34">
        <f>IFERROR(up_RadSpec!$J$15*(BC15*$B44),".")</f>
        <v>37807.962500000001</v>
      </c>
      <c r="BD44" s="34">
        <f>IFERROR(up_RadSpec!$J$15*(BD15*$B44),".")</f>
        <v>37807.962500000001</v>
      </c>
      <c r="BE44" s="34">
        <f>IFERROR(up_RadSpec!$J$15*(BE15*$B44),".")</f>
        <v>37807.962500000001</v>
      </c>
      <c r="BF44" s="34">
        <f>IFERROR(up_RadSpec!$J$15*(BF15*$B44),".")</f>
        <v>37807.962500000001</v>
      </c>
      <c r="BG44" s="34">
        <f>IFERROR(up_RadSpec!$J$15*(BG15*$B44),".")</f>
        <v>37807.962500000001</v>
      </c>
      <c r="BH44" s="34">
        <f>IFERROR(up_RadSpec!$J$15*(BH15*$B44),".")</f>
        <v>37807.962500000001</v>
      </c>
      <c r="BI44" s="34">
        <f>IFERROR(up_RadSpec!$J$15*(BI15*$B44),".")</f>
        <v>37807.962500000001</v>
      </c>
      <c r="BJ44" s="34">
        <f>IFERROR(up_RadSpec!$J$15*(BJ15*$B44),".")</f>
        <v>37807.962500000001</v>
      </c>
      <c r="BK44" s="34">
        <f>IFERROR(up_RadSpec!$J$15*(BK15*$B44),".")</f>
        <v>37807.962500000001</v>
      </c>
      <c r="BL44" s="34">
        <f>IFERROR(up_RadSpec!$J$15*(BL15*$B44),".")</f>
        <v>37807.962500000001</v>
      </c>
      <c r="BM44" s="34">
        <f>IFERROR(up_RadSpec!$J$15*(BM15*$B44),".")</f>
        <v>37807.962500000001</v>
      </c>
      <c r="BN44" s="34">
        <f>IFERROR(up_RadSpec!$J$15*(BN15*$B44),".")</f>
        <v>37807.962500000001</v>
      </c>
      <c r="BO44" s="34">
        <f>IFERROR(up_RadSpec!$J$15*(BO15*$B44),".")</f>
        <v>37807.962500000001</v>
      </c>
      <c r="BP44" s="34">
        <f>IFERROR(up_RadSpec!$J$15*(BP15*$B44),".")</f>
        <v>37807.962500000001</v>
      </c>
      <c r="BQ44" s="34">
        <f>IFERROR(up_RadSpec!$J$15*(BQ15*$B44),".")</f>
        <v>37807.962500000001</v>
      </c>
      <c r="BR44" s="34">
        <f>IFERROR(up_RadSpec!$J$15*(BR15*$B44),".")</f>
        <v>37807.962500000001</v>
      </c>
      <c r="BS44" s="34">
        <f>IFERROR(up_RadSpec!$J$15*(BS15*$B44),".")</f>
        <v>37807.962500000001</v>
      </c>
      <c r="BT44" s="34">
        <f>IFERROR(up_RadSpec!$J$15*(BT15*$B44),".")</f>
        <v>37807.962500000001</v>
      </c>
      <c r="BU44" s="34">
        <f>IFERROR(up_RadSpec!$J$15*(BU15*$B44),".")</f>
        <v>37807.962500000001</v>
      </c>
      <c r="BV44" s="34">
        <f>IFERROR(up_RadSpec!$J$15*(BV15*$B44),".")</f>
        <v>37807.962500000001</v>
      </c>
      <c r="BW44" s="34">
        <f>IFERROR(up_RadSpec!$J$15*(BW15*$B44),".")</f>
        <v>37807.962500000001</v>
      </c>
      <c r="BX44" s="34">
        <f>IFERROR(up_RadSpec!$J$15*(BX15*$B44),".")</f>
        <v>37807.962500000001</v>
      </c>
      <c r="BY44" s="34">
        <f>IFERROR(up_RadSpec!$J$15*(BY15*$B44),".")</f>
        <v>37807.962500000001</v>
      </c>
    </row>
    <row r="45" spans="1:77" x14ac:dyDescent="0.25">
      <c r="A45" s="64" t="s">
        <v>8</v>
      </c>
      <c r="B45" s="64" t="s">
        <v>1059</v>
      </c>
      <c r="C45" s="40">
        <f t="shared" ref="C45:AH45" si="54">IFERROR(IF(AND(C46&lt;&gt;0,C47&lt;&gt;0),1/SUM(1/C46,1/C47),IF(AND(C46&lt;&gt;0,C47=0),1/(1/C46),IF(AND(C46=0,C47&lt;&gt;0),1/(1/C47),IF(AND(C46=0,C47=0),".")))),".")</f>
        <v>22.392366889974543</v>
      </c>
      <c r="D45" s="40">
        <f t="shared" si="54"/>
        <v>67.177100669923632</v>
      </c>
      <c r="E45" s="40">
        <f t="shared" si="54"/>
        <v>67.177100669923632</v>
      </c>
      <c r="F45" s="40">
        <f t="shared" si="54"/>
        <v>67.177100669923632</v>
      </c>
      <c r="G45" s="40">
        <f t="shared" si="54"/>
        <v>67.177100669923632</v>
      </c>
      <c r="H45" s="40">
        <f t="shared" si="54"/>
        <v>67.177100669923632</v>
      </c>
      <c r="I45" s="40">
        <f t="shared" si="54"/>
        <v>67.177100669923632</v>
      </c>
      <c r="J45" s="40">
        <f t="shared" si="54"/>
        <v>67.177100669923632</v>
      </c>
      <c r="K45" s="40">
        <f t="shared" si="54"/>
        <v>67.177100669923632</v>
      </c>
      <c r="L45" s="40">
        <f t="shared" si="54"/>
        <v>67.177100669923632</v>
      </c>
      <c r="M45" s="40">
        <f t="shared" si="54"/>
        <v>67.177100669923632</v>
      </c>
      <c r="N45" s="40">
        <f t="shared" si="54"/>
        <v>67.177100669923632</v>
      </c>
      <c r="O45" s="40">
        <f t="shared" si="54"/>
        <v>67.177100669923632</v>
      </c>
      <c r="P45" s="40">
        <f t="shared" si="54"/>
        <v>67.177100669923632</v>
      </c>
      <c r="Q45" s="40">
        <f t="shared" si="54"/>
        <v>67.177100669923632</v>
      </c>
      <c r="R45" s="40">
        <f t="shared" si="54"/>
        <v>67.177100669923632</v>
      </c>
      <c r="S45" s="40">
        <f t="shared" si="54"/>
        <v>67.177100669923632</v>
      </c>
      <c r="T45" s="40">
        <f t="shared" si="54"/>
        <v>67.177100669923632</v>
      </c>
      <c r="U45" s="40">
        <f t="shared" si="54"/>
        <v>67.177100669923632</v>
      </c>
      <c r="V45" s="40">
        <f t="shared" si="54"/>
        <v>67.177100669923632</v>
      </c>
      <c r="W45" s="40">
        <f t="shared" si="54"/>
        <v>67.177100669923632</v>
      </c>
      <c r="X45" s="40">
        <f t="shared" si="54"/>
        <v>67.177100669923632</v>
      </c>
      <c r="Y45" s="40">
        <f t="shared" si="54"/>
        <v>67.177100669923632</v>
      </c>
      <c r="Z45" s="40">
        <f t="shared" si="54"/>
        <v>67.177100669923632</v>
      </c>
      <c r="AA45" s="40">
        <f t="shared" si="54"/>
        <v>67.177100669923632</v>
      </c>
      <c r="AB45" s="40">
        <f t="shared" si="54"/>
        <v>22.392366889974543</v>
      </c>
      <c r="AC45" s="40">
        <f t="shared" si="54"/>
        <v>67.177100669923632</v>
      </c>
      <c r="AD45" s="40">
        <f t="shared" si="54"/>
        <v>67.177100669923632</v>
      </c>
      <c r="AE45" s="40">
        <f t="shared" si="54"/>
        <v>67.177100669923632</v>
      </c>
      <c r="AF45" s="40">
        <f t="shared" si="54"/>
        <v>67.177100669923632</v>
      </c>
      <c r="AG45" s="40">
        <f t="shared" si="54"/>
        <v>67.177100669923632</v>
      </c>
      <c r="AH45" s="40">
        <f t="shared" si="54"/>
        <v>67.177100669923632</v>
      </c>
      <c r="AI45" s="40">
        <f t="shared" ref="AI45:AZ45" si="55">IFERROR(IF(AND(AI46&lt;&gt;0,AI47&lt;&gt;0),1/SUM(1/AI46,1/AI47),IF(AND(AI46&lt;&gt;0,AI47=0),1/(1/AI46),IF(AND(AI46=0,AI47&lt;&gt;0),1/(1/AI47),IF(AND(AI46=0,AI47=0),".")))),".")</f>
        <v>67.177100669923632</v>
      </c>
      <c r="AJ45" s="40">
        <f t="shared" si="55"/>
        <v>67.177100669923632</v>
      </c>
      <c r="AK45" s="40">
        <f t="shared" si="55"/>
        <v>67.177100669923632</v>
      </c>
      <c r="AL45" s="40">
        <f t="shared" si="55"/>
        <v>67.177100669923632</v>
      </c>
      <c r="AM45" s="40">
        <f t="shared" si="55"/>
        <v>67.177100669923632</v>
      </c>
      <c r="AN45" s="40">
        <f t="shared" si="55"/>
        <v>67.177100669923632</v>
      </c>
      <c r="AO45" s="40">
        <f t="shared" si="55"/>
        <v>67.177100669923632</v>
      </c>
      <c r="AP45" s="40">
        <f t="shared" si="55"/>
        <v>67.177100669923632</v>
      </c>
      <c r="AQ45" s="40">
        <f t="shared" si="55"/>
        <v>67.177100669923632</v>
      </c>
      <c r="AR45" s="40">
        <f t="shared" si="55"/>
        <v>67.177100669923632</v>
      </c>
      <c r="AS45" s="40">
        <f t="shared" si="55"/>
        <v>67.177100669923632</v>
      </c>
      <c r="AT45" s="40">
        <f t="shared" si="55"/>
        <v>67.177100669923632</v>
      </c>
      <c r="AU45" s="40">
        <f t="shared" si="55"/>
        <v>67.177100669923632</v>
      </c>
      <c r="AV45" s="40">
        <f t="shared" si="55"/>
        <v>67.177100669923632</v>
      </c>
      <c r="AW45" s="40">
        <f t="shared" si="55"/>
        <v>67.177100669923632</v>
      </c>
      <c r="AX45" s="40">
        <f t="shared" si="55"/>
        <v>67.177100669923632</v>
      </c>
      <c r="AY45" s="40">
        <f t="shared" si="55"/>
        <v>67.177100669923632</v>
      </c>
      <c r="AZ45" s="40">
        <f t="shared" si="55"/>
        <v>67.177100669923632</v>
      </c>
      <c r="BA45" s="33">
        <f t="shared" si="29"/>
        <v>220521.36562499998</v>
      </c>
      <c r="BB45" s="33">
        <f t="shared" ref="BB45:BY45" si="56">IFERROR(SUM(BB46:BB47),".")</f>
        <v>73507.121874999997</v>
      </c>
      <c r="BC45" s="33">
        <f t="shared" si="56"/>
        <v>73507.121874999997</v>
      </c>
      <c r="BD45" s="33">
        <f t="shared" si="56"/>
        <v>73507.121874999997</v>
      </c>
      <c r="BE45" s="33">
        <f t="shared" si="56"/>
        <v>73507.121874999997</v>
      </c>
      <c r="BF45" s="33">
        <f t="shared" si="56"/>
        <v>73507.121874999997</v>
      </c>
      <c r="BG45" s="33">
        <f t="shared" si="56"/>
        <v>73507.121874999997</v>
      </c>
      <c r="BH45" s="33">
        <f t="shared" si="56"/>
        <v>73507.121874999997</v>
      </c>
      <c r="BI45" s="33">
        <f t="shared" si="56"/>
        <v>73507.121874999997</v>
      </c>
      <c r="BJ45" s="33">
        <f t="shared" si="56"/>
        <v>73507.121874999997</v>
      </c>
      <c r="BK45" s="33">
        <f t="shared" si="56"/>
        <v>73507.121874999997</v>
      </c>
      <c r="BL45" s="33">
        <f t="shared" si="56"/>
        <v>73507.121874999997</v>
      </c>
      <c r="BM45" s="33">
        <f t="shared" si="56"/>
        <v>73507.121874999997</v>
      </c>
      <c r="BN45" s="33">
        <f t="shared" si="56"/>
        <v>73507.121874999997</v>
      </c>
      <c r="BO45" s="33">
        <f t="shared" si="56"/>
        <v>73507.121874999997</v>
      </c>
      <c r="BP45" s="33">
        <f t="shared" si="56"/>
        <v>73507.121874999997</v>
      </c>
      <c r="BQ45" s="33">
        <f t="shared" si="56"/>
        <v>73507.121874999997</v>
      </c>
      <c r="BR45" s="33">
        <f t="shared" si="56"/>
        <v>73507.121874999997</v>
      </c>
      <c r="BS45" s="33">
        <f t="shared" si="56"/>
        <v>73507.121874999997</v>
      </c>
      <c r="BT45" s="33">
        <f t="shared" si="56"/>
        <v>73507.121874999997</v>
      </c>
      <c r="BU45" s="33">
        <f t="shared" si="56"/>
        <v>73507.121874999997</v>
      </c>
      <c r="BV45" s="33">
        <f t="shared" si="56"/>
        <v>73507.121874999997</v>
      </c>
      <c r="BW45" s="33">
        <f t="shared" si="56"/>
        <v>73507.121874999997</v>
      </c>
      <c r="BX45" s="33">
        <f t="shared" si="56"/>
        <v>73507.121874999997</v>
      </c>
      <c r="BY45" s="33">
        <f t="shared" si="56"/>
        <v>73507.121874999997</v>
      </c>
    </row>
    <row r="46" spans="1:77" x14ac:dyDescent="0.25">
      <c r="A46" s="66" t="s">
        <v>1086</v>
      </c>
      <c r="B46" s="49">
        <v>1</v>
      </c>
      <c r="C46" s="42">
        <f t="shared" ref="C46:AH46" si="57">IFERROR(C10/$B46,0)</f>
        <v>22.392366889974543</v>
      </c>
      <c r="D46" s="42">
        <f t="shared" si="57"/>
        <v>67.177100669923632</v>
      </c>
      <c r="E46" s="42">
        <f t="shared" si="57"/>
        <v>67.177100669923632</v>
      </c>
      <c r="F46" s="42">
        <f t="shared" si="57"/>
        <v>67.177100669923632</v>
      </c>
      <c r="G46" s="42">
        <f t="shared" si="57"/>
        <v>67.177100669923632</v>
      </c>
      <c r="H46" s="42">
        <f t="shared" si="57"/>
        <v>67.177100669923632</v>
      </c>
      <c r="I46" s="42">
        <f t="shared" si="57"/>
        <v>67.177100669923632</v>
      </c>
      <c r="J46" s="42">
        <f t="shared" si="57"/>
        <v>67.177100669923632</v>
      </c>
      <c r="K46" s="42">
        <f t="shared" si="57"/>
        <v>67.177100669923632</v>
      </c>
      <c r="L46" s="42">
        <f t="shared" si="57"/>
        <v>67.177100669923632</v>
      </c>
      <c r="M46" s="42">
        <f t="shared" si="57"/>
        <v>67.177100669923632</v>
      </c>
      <c r="N46" s="42">
        <f t="shared" si="57"/>
        <v>67.177100669923632</v>
      </c>
      <c r="O46" s="42">
        <f t="shared" si="57"/>
        <v>67.177100669923632</v>
      </c>
      <c r="P46" s="42">
        <f t="shared" si="57"/>
        <v>67.177100669923632</v>
      </c>
      <c r="Q46" s="42">
        <f t="shared" si="57"/>
        <v>67.177100669923632</v>
      </c>
      <c r="R46" s="42">
        <f t="shared" si="57"/>
        <v>67.177100669923632</v>
      </c>
      <c r="S46" s="42">
        <f t="shared" si="57"/>
        <v>67.177100669923632</v>
      </c>
      <c r="T46" s="42">
        <f t="shared" si="57"/>
        <v>67.177100669923632</v>
      </c>
      <c r="U46" s="42">
        <f t="shared" si="57"/>
        <v>67.177100669923632</v>
      </c>
      <c r="V46" s="42">
        <f t="shared" si="57"/>
        <v>67.177100669923632</v>
      </c>
      <c r="W46" s="42">
        <f t="shared" si="57"/>
        <v>67.177100669923632</v>
      </c>
      <c r="X46" s="42">
        <f t="shared" si="57"/>
        <v>67.177100669923632</v>
      </c>
      <c r="Y46" s="42">
        <f t="shared" si="57"/>
        <v>67.177100669923632</v>
      </c>
      <c r="Z46" s="42">
        <f t="shared" si="57"/>
        <v>67.177100669923632</v>
      </c>
      <c r="AA46" s="42">
        <f t="shared" si="57"/>
        <v>67.177100669923632</v>
      </c>
      <c r="AB46" s="42">
        <f t="shared" si="57"/>
        <v>22.392366889974543</v>
      </c>
      <c r="AC46" s="42">
        <f t="shared" si="57"/>
        <v>67.177100669923632</v>
      </c>
      <c r="AD46" s="42">
        <f t="shared" si="57"/>
        <v>67.177100669923632</v>
      </c>
      <c r="AE46" s="42">
        <f t="shared" si="57"/>
        <v>67.177100669923632</v>
      </c>
      <c r="AF46" s="42">
        <f t="shared" si="57"/>
        <v>67.177100669923632</v>
      </c>
      <c r="AG46" s="42">
        <f t="shared" si="57"/>
        <v>67.177100669923632</v>
      </c>
      <c r="AH46" s="42">
        <f t="shared" si="57"/>
        <v>67.177100669923632</v>
      </c>
      <c r="AI46" s="42">
        <f t="shared" ref="AI46:AZ46" si="58">IFERROR(AI10/$B46,0)</f>
        <v>67.177100669923632</v>
      </c>
      <c r="AJ46" s="42">
        <f t="shared" si="58"/>
        <v>67.177100669923632</v>
      </c>
      <c r="AK46" s="42">
        <f t="shared" si="58"/>
        <v>67.177100669923632</v>
      </c>
      <c r="AL46" s="42">
        <f t="shared" si="58"/>
        <v>67.177100669923632</v>
      </c>
      <c r="AM46" s="42">
        <f t="shared" si="58"/>
        <v>67.177100669923632</v>
      </c>
      <c r="AN46" s="42">
        <f t="shared" si="58"/>
        <v>67.177100669923632</v>
      </c>
      <c r="AO46" s="42">
        <f t="shared" si="58"/>
        <v>67.177100669923632</v>
      </c>
      <c r="AP46" s="42">
        <f t="shared" si="58"/>
        <v>67.177100669923632</v>
      </c>
      <c r="AQ46" s="42">
        <f t="shared" si="58"/>
        <v>67.177100669923632</v>
      </c>
      <c r="AR46" s="42">
        <f t="shared" si="58"/>
        <v>67.177100669923632</v>
      </c>
      <c r="AS46" s="42">
        <f t="shared" si="58"/>
        <v>67.177100669923632</v>
      </c>
      <c r="AT46" s="42">
        <f t="shared" si="58"/>
        <v>67.177100669923632</v>
      </c>
      <c r="AU46" s="42">
        <f t="shared" si="58"/>
        <v>67.177100669923632</v>
      </c>
      <c r="AV46" s="42">
        <f t="shared" si="58"/>
        <v>67.177100669923632</v>
      </c>
      <c r="AW46" s="42">
        <f t="shared" si="58"/>
        <v>67.177100669923632</v>
      </c>
      <c r="AX46" s="42">
        <f t="shared" si="58"/>
        <v>67.177100669923632</v>
      </c>
      <c r="AY46" s="42">
        <f t="shared" si="58"/>
        <v>67.177100669923632</v>
      </c>
      <c r="AZ46" s="42">
        <f t="shared" si="58"/>
        <v>67.177100669923632</v>
      </c>
      <c r="BA46" s="34">
        <f t="shared" si="29"/>
        <v>113437.5</v>
      </c>
      <c r="BB46" s="34">
        <f>IFERROR(up_RadSpec!$J$10*(BB10*$B46),".")</f>
        <v>37812.5</v>
      </c>
      <c r="BC46" s="34">
        <f>IFERROR(up_RadSpec!$J$10*(BC10*$B46),".")</f>
        <v>37812.5</v>
      </c>
      <c r="BD46" s="34">
        <f>IFERROR(up_RadSpec!$J$10*(BD10*$B46),".")</f>
        <v>37812.5</v>
      </c>
      <c r="BE46" s="34">
        <f>IFERROR(up_RadSpec!$J$10*(BE10*$B46),".")</f>
        <v>37812.5</v>
      </c>
      <c r="BF46" s="34">
        <f>IFERROR(up_RadSpec!$J$10*(BF10*$B46),".")</f>
        <v>37812.5</v>
      </c>
      <c r="BG46" s="34">
        <f>IFERROR(up_RadSpec!$J$10*(BG10*$B46),".")</f>
        <v>37812.5</v>
      </c>
      <c r="BH46" s="34">
        <f>IFERROR(up_RadSpec!$J$10*(BH10*$B46),".")</f>
        <v>37812.5</v>
      </c>
      <c r="BI46" s="34">
        <f>IFERROR(up_RadSpec!$J$10*(BI10*$B46),".")</f>
        <v>37812.5</v>
      </c>
      <c r="BJ46" s="34">
        <f>IFERROR(up_RadSpec!$J$10*(BJ10*$B46),".")</f>
        <v>37812.5</v>
      </c>
      <c r="BK46" s="34">
        <f>IFERROR(up_RadSpec!$J$10*(BK10*$B46),".")</f>
        <v>37812.5</v>
      </c>
      <c r="BL46" s="34">
        <f>IFERROR(up_RadSpec!$J$10*(BL10*$B46),".")</f>
        <v>37812.5</v>
      </c>
      <c r="BM46" s="34">
        <f>IFERROR(up_RadSpec!$J$10*(BM10*$B46),".")</f>
        <v>37812.5</v>
      </c>
      <c r="BN46" s="34">
        <f>IFERROR(up_RadSpec!$J$10*(BN10*$B46),".")</f>
        <v>37812.5</v>
      </c>
      <c r="BO46" s="34">
        <f>IFERROR(up_RadSpec!$J$10*(BO10*$B46),".")</f>
        <v>37812.5</v>
      </c>
      <c r="BP46" s="34">
        <f>IFERROR(up_RadSpec!$J$10*(BP10*$B46),".")</f>
        <v>37812.5</v>
      </c>
      <c r="BQ46" s="34">
        <f>IFERROR(up_RadSpec!$J$10*(BQ10*$B46),".")</f>
        <v>37812.5</v>
      </c>
      <c r="BR46" s="34">
        <f>IFERROR(up_RadSpec!$J$10*(BR10*$B46),".")</f>
        <v>37812.5</v>
      </c>
      <c r="BS46" s="34">
        <f>IFERROR(up_RadSpec!$J$10*(BS10*$B46),".")</f>
        <v>37812.5</v>
      </c>
      <c r="BT46" s="34">
        <f>IFERROR(up_RadSpec!$J$10*(BT10*$B46),".")</f>
        <v>37812.5</v>
      </c>
      <c r="BU46" s="34">
        <f>IFERROR(up_RadSpec!$J$10*(BU10*$B46),".")</f>
        <v>37812.5</v>
      </c>
      <c r="BV46" s="34">
        <f>IFERROR(up_RadSpec!$J$10*(BV10*$B46),".")</f>
        <v>37812.5</v>
      </c>
      <c r="BW46" s="34">
        <f>IFERROR(up_RadSpec!$J$10*(BW10*$B46),".")</f>
        <v>37812.5</v>
      </c>
      <c r="BX46" s="34">
        <f>IFERROR(up_RadSpec!$J$10*(BX10*$B46),".")</f>
        <v>37812.5</v>
      </c>
      <c r="BY46" s="34">
        <f>IFERROR(up_RadSpec!$J$10*(BY10*$B46),".")</f>
        <v>37812.5</v>
      </c>
    </row>
    <row r="47" spans="1:77" x14ac:dyDescent="0.25">
      <c r="A47" s="66" t="s">
        <v>1060</v>
      </c>
      <c r="B47" s="49">
        <v>0.94399</v>
      </c>
      <c r="C47" s="42">
        <f t="shared" ref="C47:AH47" si="59">IFERROR(C6/$B$47,0)</f>
        <v>0</v>
      </c>
      <c r="D47" s="42">
        <f t="shared" si="59"/>
        <v>0</v>
      </c>
      <c r="E47" s="42">
        <f t="shared" si="59"/>
        <v>0</v>
      </c>
      <c r="F47" s="42">
        <f t="shared" si="59"/>
        <v>0</v>
      </c>
      <c r="G47" s="42">
        <f t="shared" si="59"/>
        <v>0</v>
      </c>
      <c r="H47" s="42">
        <f t="shared" si="59"/>
        <v>0</v>
      </c>
      <c r="I47" s="42">
        <f t="shared" si="59"/>
        <v>0</v>
      </c>
      <c r="J47" s="42">
        <f t="shared" si="59"/>
        <v>0</v>
      </c>
      <c r="K47" s="42">
        <f t="shared" si="59"/>
        <v>0</v>
      </c>
      <c r="L47" s="42">
        <f t="shared" si="59"/>
        <v>0</v>
      </c>
      <c r="M47" s="42">
        <f t="shared" si="59"/>
        <v>0</v>
      </c>
      <c r="N47" s="42">
        <f t="shared" si="59"/>
        <v>0</v>
      </c>
      <c r="O47" s="42">
        <f t="shared" si="59"/>
        <v>0</v>
      </c>
      <c r="P47" s="42">
        <f t="shared" si="59"/>
        <v>0</v>
      </c>
      <c r="Q47" s="42">
        <f t="shared" si="59"/>
        <v>0</v>
      </c>
      <c r="R47" s="42">
        <f t="shared" si="59"/>
        <v>0</v>
      </c>
      <c r="S47" s="42">
        <f t="shared" si="59"/>
        <v>0</v>
      </c>
      <c r="T47" s="42">
        <f t="shared" si="59"/>
        <v>0</v>
      </c>
      <c r="U47" s="42">
        <f t="shared" si="59"/>
        <v>0</v>
      </c>
      <c r="V47" s="42">
        <f t="shared" si="59"/>
        <v>0</v>
      </c>
      <c r="W47" s="42">
        <f t="shared" si="59"/>
        <v>0</v>
      </c>
      <c r="X47" s="42">
        <f t="shared" si="59"/>
        <v>0</v>
      </c>
      <c r="Y47" s="42">
        <f t="shared" si="59"/>
        <v>0</v>
      </c>
      <c r="Z47" s="42">
        <f t="shared" si="59"/>
        <v>0</v>
      </c>
      <c r="AA47" s="42">
        <f t="shared" si="59"/>
        <v>0</v>
      </c>
      <c r="AB47" s="42">
        <f t="shared" si="59"/>
        <v>0</v>
      </c>
      <c r="AC47" s="42">
        <f t="shared" si="59"/>
        <v>0</v>
      </c>
      <c r="AD47" s="42">
        <f t="shared" si="59"/>
        <v>0</v>
      </c>
      <c r="AE47" s="42">
        <f t="shared" si="59"/>
        <v>0</v>
      </c>
      <c r="AF47" s="42">
        <f t="shared" si="59"/>
        <v>0</v>
      </c>
      <c r="AG47" s="42">
        <f t="shared" si="59"/>
        <v>0</v>
      </c>
      <c r="AH47" s="42">
        <f t="shared" si="59"/>
        <v>0</v>
      </c>
      <c r="AI47" s="42">
        <f t="shared" ref="AI47:AZ47" si="60">IFERROR(AI6/$B$47,0)</f>
        <v>0</v>
      </c>
      <c r="AJ47" s="42">
        <f t="shared" si="60"/>
        <v>0</v>
      </c>
      <c r="AK47" s="42">
        <f t="shared" si="60"/>
        <v>0</v>
      </c>
      <c r="AL47" s="42">
        <f t="shared" si="60"/>
        <v>0</v>
      </c>
      <c r="AM47" s="42">
        <f t="shared" si="60"/>
        <v>0</v>
      </c>
      <c r="AN47" s="42">
        <f t="shared" si="60"/>
        <v>0</v>
      </c>
      <c r="AO47" s="42">
        <f t="shared" si="60"/>
        <v>0</v>
      </c>
      <c r="AP47" s="42">
        <f t="shared" si="60"/>
        <v>0</v>
      </c>
      <c r="AQ47" s="42">
        <f t="shared" si="60"/>
        <v>0</v>
      </c>
      <c r="AR47" s="42">
        <f t="shared" si="60"/>
        <v>0</v>
      </c>
      <c r="AS47" s="42">
        <f t="shared" si="60"/>
        <v>0</v>
      </c>
      <c r="AT47" s="42">
        <f t="shared" si="60"/>
        <v>0</v>
      </c>
      <c r="AU47" s="42">
        <f t="shared" si="60"/>
        <v>0</v>
      </c>
      <c r="AV47" s="42">
        <f t="shared" si="60"/>
        <v>0</v>
      </c>
      <c r="AW47" s="42">
        <f t="shared" si="60"/>
        <v>0</v>
      </c>
      <c r="AX47" s="42">
        <f t="shared" si="60"/>
        <v>0</v>
      </c>
      <c r="AY47" s="42">
        <f t="shared" si="60"/>
        <v>0</v>
      </c>
      <c r="AZ47" s="42">
        <f t="shared" si="60"/>
        <v>0</v>
      </c>
      <c r="BA47" s="34">
        <f t="shared" si="29"/>
        <v>107083.86562499999</v>
      </c>
      <c r="BB47" s="34">
        <f>IFERROR(up_RadSpec!$J$6*(BB6*$B47),".")</f>
        <v>35694.621874999997</v>
      </c>
      <c r="BC47" s="34">
        <f>IFERROR(up_RadSpec!$J$6*(BC6*$B47),".")</f>
        <v>35694.621874999997</v>
      </c>
      <c r="BD47" s="34">
        <f>IFERROR(up_RadSpec!$J$6*(BD6*$B47),".")</f>
        <v>35694.621874999997</v>
      </c>
      <c r="BE47" s="34">
        <f>IFERROR(up_RadSpec!$J$6*(BE6*$B47),".")</f>
        <v>35694.621874999997</v>
      </c>
      <c r="BF47" s="34">
        <f>IFERROR(up_RadSpec!$J$6*(BF6*$B47),".")</f>
        <v>35694.621874999997</v>
      </c>
      <c r="BG47" s="34">
        <f>IFERROR(up_RadSpec!$J$6*(BG6*$B47),".")</f>
        <v>35694.621874999997</v>
      </c>
      <c r="BH47" s="34">
        <f>IFERROR(up_RadSpec!$J$6*(BH6*$B47),".")</f>
        <v>35694.621874999997</v>
      </c>
      <c r="BI47" s="34">
        <f>IFERROR(up_RadSpec!$J$6*(BI6*$B47),".")</f>
        <v>35694.621874999997</v>
      </c>
      <c r="BJ47" s="34">
        <f>IFERROR(up_RadSpec!$J$6*(BJ6*$B47),".")</f>
        <v>35694.621874999997</v>
      </c>
      <c r="BK47" s="34">
        <f>IFERROR(up_RadSpec!$J$6*(BK6*$B47),".")</f>
        <v>35694.621874999997</v>
      </c>
      <c r="BL47" s="34">
        <f>IFERROR(up_RadSpec!$J$6*(BL6*$B47),".")</f>
        <v>35694.621874999997</v>
      </c>
      <c r="BM47" s="34">
        <f>IFERROR(up_RadSpec!$J$6*(BM6*$B47),".")</f>
        <v>35694.621874999997</v>
      </c>
      <c r="BN47" s="34">
        <f>IFERROR(up_RadSpec!$J$6*(BN6*$B47),".")</f>
        <v>35694.621874999997</v>
      </c>
      <c r="BO47" s="34">
        <f>IFERROR(up_RadSpec!$J$6*(BO6*$B47),".")</f>
        <v>35694.621874999997</v>
      </c>
      <c r="BP47" s="34">
        <f>IFERROR(up_RadSpec!$J$6*(BP6*$B47),".")</f>
        <v>35694.621874999997</v>
      </c>
      <c r="BQ47" s="34">
        <f>IFERROR(up_RadSpec!$J$6*(BQ6*$B47),".")</f>
        <v>35694.621874999997</v>
      </c>
      <c r="BR47" s="34">
        <f>IFERROR(up_RadSpec!$J$6*(BR6*$B47),".")</f>
        <v>35694.621874999997</v>
      </c>
      <c r="BS47" s="34">
        <f>IFERROR(up_RadSpec!$J$6*(BS6*$B47),".")</f>
        <v>35694.621874999997</v>
      </c>
      <c r="BT47" s="34">
        <f>IFERROR(up_RadSpec!$J$6*(BT6*$B47),".")</f>
        <v>35694.621874999997</v>
      </c>
      <c r="BU47" s="34">
        <f>IFERROR(up_RadSpec!$J$6*(BU6*$B47),".")</f>
        <v>35694.621874999997</v>
      </c>
      <c r="BV47" s="34">
        <f>IFERROR(up_RadSpec!$J$6*(BV6*$B47),".")</f>
        <v>35694.621874999997</v>
      </c>
      <c r="BW47" s="34">
        <f>IFERROR(up_RadSpec!$J$6*(BW6*$B47),".")</f>
        <v>35694.621874999997</v>
      </c>
      <c r="BX47" s="34">
        <f>IFERROR(up_RadSpec!$J$6*(BX6*$B47),".")</f>
        <v>35694.621874999997</v>
      </c>
      <c r="BY47" s="34">
        <f>IFERROR(up_RadSpec!$J$6*(BY6*$B47),".")</f>
        <v>35694.621874999997</v>
      </c>
    </row>
    <row r="48" spans="1:77" x14ac:dyDescent="0.25">
      <c r="A48" s="64" t="s">
        <v>21</v>
      </c>
      <c r="B48" s="64" t="s">
        <v>1059</v>
      </c>
      <c r="C48" s="40">
        <f t="shared" ref="C48:AH48" si="61">1/SUM(1/C49,1/C52,1/C54,1/C58,1/C59,1/C61)</f>
        <v>9.2342578794724461E-2</v>
      </c>
      <c r="D48" s="40">
        <f t="shared" si="61"/>
        <v>0.27702773638417333</v>
      </c>
      <c r="E48" s="40">
        <f t="shared" si="61"/>
        <v>0.27702773638417333</v>
      </c>
      <c r="F48" s="40">
        <f t="shared" si="61"/>
        <v>0.27702773638417333</v>
      </c>
      <c r="G48" s="40">
        <f t="shared" si="61"/>
        <v>0.27702773638417333</v>
      </c>
      <c r="H48" s="40">
        <f t="shared" si="61"/>
        <v>0.27702773638417333</v>
      </c>
      <c r="I48" s="40">
        <f t="shared" si="61"/>
        <v>0.27702773638417333</v>
      </c>
      <c r="J48" s="40">
        <f t="shared" si="61"/>
        <v>0.27702773638417333</v>
      </c>
      <c r="K48" s="40">
        <f t="shared" si="61"/>
        <v>0.27702773638417333</v>
      </c>
      <c r="L48" s="40">
        <f t="shared" si="61"/>
        <v>0.27702773638417333</v>
      </c>
      <c r="M48" s="40">
        <f t="shared" si="61"/>
        <v>0.27702773638417333</v>
      </c>
      <c r="N48" s="40">
        <f t="shared" si="61"/>
        <v>0.27702773638417333</v>
      </c>
      <c r="O48" s="40">
        <f t="shared" si="61"/>
        <v>0.27702773638417333</v>
      </c>
      <c r="P48" s="40">
        <f t="shared" si="61"/>
        <v>0.27702773638417333</v>
      </c>
      <c r="Q48" s="40">
        <f t="shared" si="61"/>
        <v>0.27702773638417333</v>
      </c>
      <c r="R48" s="40">
        <f t="shared" si="61"/>
        <v>0.27702773638417333</v>
      </c>
      <c r="S48" s="40">
        <f t="shared" si="61"/>
        <v>0.27702773638417333</v>
      </c>
      <c r="T48" s="40">
        <f t="shared" si="61"/>
        <v>0.27702773638417333</v>
      </c>
      <c r="U48" s="40">
        <f t="shared" si="61"/>
        <v>0.27702773638417333</v>
      </c>
      <c r="V48" s="40">
        <f t="shared" si="61"/>
        <v>0.27702773638417333</v>
      </c>
      <c r="W48" s="40">
        <f t="shared" si="61"/>
        <v>0.27702773638417333</v>
      </c>
      <c r="X48" s="40">
        <f t="shared" si="61"/>
        <v>0.27702773638417333</v>
      </c>
      <c r="Y48" s="40">
        <f t="shared" si="61"/>
        <v>0.27702773638417333</v>
      </c>
      <c r="Z48" s="40">
        <f t="shared" si="61"/>
        <v>0.27702773638417333</v>
      </c>
      <c r="AA48" s="40">
        <f t="shared" si="61"/>
        <v>0.27702773638417333</v>
      </c>
      <c r="AB48" s="40">
        <f t="shared" si="61"/>
        <v>9.2342578794724461E-2</v>
      </c>
      <c r="AC48" s="40">
        <f t="shared" si="61"/>
        <v>0.27702773638417333</v>
      </c>
      <c r="AD48" s="40">
        <f t="shared" si="61"/>
        <v>0.27702773638417333</v>
      </c>
      <c r="AE48" s="40">
        <f t="shared" si="61"/>
        <v>0.27702773638417333</v>
      </c>
      <c r="AF48" s="40">
        <f t="shared" si="61"/>
        <v>0.27702773638417333</v>
      </c>
      <c r="AG48" s="40">
        <f t="shared" si="61"/>
        <v>0.27702773638417333</v>
      </c>
      <c r="AH48" s="40">
        <f t="shared" si="61"/>
        <v>0.27702773638417333</v>
      </c>
      <c r="AI48" s="40">
        <f t="shared" ref="AI48:AZ48" si="62">1/SUM(1/AI49,1/AI52,1/AI54,1/AI58,1/AI59,1/AI61)</f>
        <v>0.27702773638417333</v>
      </c>
      <c r="AJ48" s="40">
        <f t="shared" si="62"/>
        <v>0.27702773638417333</v>
      </c>
      <c r="AK48" s="40">
        <f t="shared" si="62"/>
        <v>0.27702773638417333</v>
      </c>
      <c r="AL48" s="40">
        <f t="shared" si="62"/>
        <v>0.27702773638417333</v>
      </c>
      <c r="AM48" s="40">
        <f t="shared" si="62"/>
        <v>0.27702773638417333</v>
      </c>
      <c r="AN48" s="40">
        <f t="shared" si="62"/>
        <v>0.27702773638417333</v>
      </c>
      <c r="AO48" s="40">
        <f t="shared" si="62"/>
        <v>0.27702773638417333</v>
      </c>
      <c r="AP48" s="40">
        <f t="shared" si="62"/>
        <v>0.27702773638417333</v>
      </c>
      <c r="AQ48" s="40">
        <f t="shared" si="62"/>
        <v>0.27702773638417333</v>
      </c>
      <c r="AR48" s="40">
        <f t="shared" si="62"/>
        <v>0.27702773638417333</v>
      </c>
      <c r="AS48" s="40">
        <f t="shared" si="62"/>
        <v>0.27702773638417333</v>
      </c>
      <c r="AT48" s="40">
        <f t="shared" si="62"/>
        <v>0.27702773638417333</v>
      </c>
      <c r="AU48" s="40">
        <f t="shared" si="62"/>
        <v>0.27702773638417333</v>
      </c>
      <c r="AV48" s="40">
        <f t="shared" si="62"/>
        <v>0.27702773638417333</v>
      </c>
      <c r="AW48" s="40">
        <f t="shared" si="62"/>
        <v>0.27702773638417333</v>
      </c>
      <c r="AX48" s="40">
        <f t="shared" si="62"/>
        <v>0.27702773638417333</v>
      </c>
      <c r="AY48" s="40">
        <f t="shared" si="62"/>
        <v>0.27702773638417333</v>
      </c>
      <c r="AZ48" s="40">
        <f t="shared" si="62"/>
        <v>0.27702773638417333</v>
      </c>
      <c r="BA48" s="33">
        <f t="shared" si="29"/>
        <v>1020937.654048125</v>
      </c>
      <c r="BB48" s="33">
        <f t="shared" ref="BB48:BY48" si="63">IFERROR(SUM(BB49:BB62),".")</f>
        <v>340312.55134937499</v>
      </c>
      <c r="BC48" s="33">
        <f t="shared" si="63"/>
        <v>340312.55134937499</v>
      </c>
      <c r="BD48" s="33">
        <f t="shared" si="63"/>
        <v>340312.55134937499</v>
      </c>
      <c r="BE48" s="33">
        <f t="shared" si="63"/>
        <v>340312.55134937499</v>
      </c>
      <c r="BF48" s="33">
        <f t="shared" si="63"/>
        <v>340312.55134937499</v>
      </c>
      <c r="BG48" s="33">
        <f t="shared" si="63"/>
        <v>340312.55134937499</v>
      </c>
      <c r="BH48" s="33">
        <f t="shared" si="63"/>
        <v>340312.55134937499</v>
      </c>
      <c r="BI48" s="33">
        <f t="shared" si="63"/>
        <v>340312.55134937499</v>
      </c>
      <c r="BJ48" s="33">
        <f t="shared" si="63"/>
        <v>340312.55134937499</v>
      </c>
      <c r="BK48" s="33">
        <f t="shared" si="63"/>
        <v>340312.55134937499</v>
      </c>
      <c r="BL48" s="33">
        <f t="shared" si="63"/>
        <v>340312.55134937499</v>
      </c>
      <c r="BM48" s="33">
        <f t="shared" si="63"/>
        <v>340312.55134937499</v>
      </c>
      <c r="BN48" s="33">
        <f t="shared" si="63"/>
        <v>340312.55134937499</v>
      </c>
      <c r="BO48" s="33">
        <f t="shared" si="63"/>
        <v>340312.55134937499</v>
      </c>
      <c r="BP48" s="33">
        <f t="shared" si="63"/>
        <v>340312.55134937499</v>
      </c>
      <c r="BQ48" s="33">
        <f t="shared" si="63"/>
        <v>340312.55134937499</v>
      </c>
      <c r="BR48" s="33">
        <f t="shared" si="63"/>
        <v>340312.55134937499</v>
      </c>
      <c r="BS48" s="33">
        <f t="shared" si="63"/>
        <v>340312.55134937499</v>
      </c>
      <c r="BT48" s="33">
        <f t="shared" si="63"/>
        <v>340312.55134937499</v>
      </c>
      <c r="BU48" s="33">
        <f t="shared" si="63"/>
        <v>340312.55134937499</v>
      </c>
      <c r="BV48" s="33">
        <f t="shared" si="63"/>
        <v>340312.55134937499</v>
      </c>
      <c r="BW48" s="33">
        <f t="shared" si="63"/>
        <v>340312.55134937499</v>
      </c>
      <c r="BX48" s="33">
        <f t="shared" si="63"/>
        <v>340312.55134937499</v>
      </c>
      <c r="BY48" s="33">
        <f t="shared" si="63"/>
        <v>340312.55134937499</v>
      </c>
    </row>
    <row r="49" spans="1:77" x14ac:dyDescent="0.25">
      <c r="A49" s="66" t="s">
        <v>1088</v>
      </c>
      <c r="B49" s="49">
        <v>1</v>
      </c>
      <c r="C49" s="42">
        <f t="shared" ref="C49:AH49" si="64">IFERROR(C23/$B49,0)</f>
        <v>0.65743593738777373</v>
      </c>
      <c r="D49" s="42">
        <f t="shared" si="64"/>
        <v>1.9723078121633211</v>
      </c>
      <c r="E49" s="42">
        <f t="shared" si="64"/>
        <v>1.9723078121633211</v>
      </c>
      <c r="F49" s="42">
        <f t="shared" si="64"/>
        <v>1.9723078121633211</v>
      </c>
      <c r="G49" s="42">
        <f t="shared" si="64"/>
        <v>1.9723078121633211</v>
      </c>
      <c r="H49" s="42">
        <f t="shared" si="64"/>
        <v>1.9723078121633211</v>
      </c>
      <c r="I49" s="42">
        <f t="shared" si="64"/>
        <v>1.9723078121633211</v>
      </c>
      <c r="J49" s="42">
        <f t="shared" si="64"/>
        <v>1.9723078121633211</v>
      </c>
      <c r="K49" s="42">
        <f t="shared" si="64"/>
        <v>1.9723078121633211</v>
      </c>
      <c r="L49" s="42">
        <f t="shared" si="64"/>
        <v>1.9723078121633211</v>
      </c>
      <c r="M49" s="42">
        <f t="shared" si="64"/>
        <v>1.9723078121633211</v>
      </c>
      <c r="N49" s="42">
        <f t="shared" si="64"/>
        <v>1.9723078121633211</v>
      </c>
      <c r="O49" s="42">
        <f t="shared" si="64"/>
        <v>1.9723078121633211</v>
      </c>
      <c r="P49" s="42">
        <f t="shared" si="64"/>
        <v>1.9723078121633211</v>
      </c>
      <c r="Q49" s="42">
        <f t="shared" si="64"/>
        <v>1.9723078121633211</v>
      </c>
      <c r="R49" s="42">
        <f t="shared" si="64"/>
        <v>1.9723078121633211</v>
      </c>
      <c r="S49" s="42">
        <f t="shared" si="64"/>
        <v>1.9723078121633211</v>
      </c>
      <c r="T49" s="42">
        <f t="shared" si="64"/>
        <v>1.9723078121633211</v>
      </c>
      <c r="U49" s="42">
        <f t="shared" si="64"/>
        <v>1.9723078121633211</v>
      </c>
      <c r="V49" s="42">
        <f t="shared" si="64"/>
        <v>1.9723078121633211</v>
      </c>
      <c r="W49" s="42">
        <f t="shared" si="64"/>
        <v>1.9723078121633211</v>
      </c>
      <c r="X49" s="42">
        <f t="shared" si="64"/>
        <v>1.9723078121633211</v>
      </c>
      <c r="Y49" s="42">
        <f t="shared" si="64"/>
        <v>1.9723078121633211</v>
      </c>
      <c r="Z49" s="42">
        <f t="shared" si="64"/>
        <v>1.9723078121633211</v>
      </c>
      <c r="AA49" s="42">
        <f t="shared" si="64"/>
        <v>1.9723078121633211</v>
      </c>
      <c r="AB49" s="42">
        <f t="shared" si="64"/>
        <v>0.65743593738777373</v>
      </c>
      <c r="AC49" s="42">
        <f t="shared" si="64"/>
        <v>1.9723078121633211</v>
      </c>
      <c r="AD49" s="42">
        <f t="shared" si="64"/>
        <v>1.9723078121633211</v>
      </c>
      <c r="AE49" s="42">
        <f t="shared" si="64"/>
        <v>1.9723078121633211</v>
      </c>
      <c r="AF49" s="42">
        <f t="shared" si="64"/>
        <v>1.9723078121633211</v>
      </c>
      <c r="AG49" s="42">
        <f t="shared" si="64"/>
        <v>1.9723078121633211</v>
      </c>
      <c r="AH49" s="42">
        <f t="shared" si="64"/>
        <v>1.9723078121633211</v>
      </c>
      <c r="AI49" s="42">
        <f t="shared" ref="AI49:AZ49" si="65">IFERROR(AI23/$B49,0)</f>
        <v>1.9723078121633211</v>
      </c>
      <c r="AJ49" s="42">
        <f t="shared" si="65"/>
        <v>1.9723078121633211</v>
      </c>
      <c r="AK49" s="42">
        <f t="shared" si="65"/>
        <v>1.9723078121633211</v>
      </c>
      <c r="AL49" s="42">
        <f t="shared" si="65"/>
        <v>1.9723078121633211</v>
      </c>
      <c r="AM49" s="42">
        <f t="shared" si="65"/>
        <v>1.9723078121633211</v>
      </c>
      <c r="AN49" s="42">
        <f t="shared" si="65"/>
        <v>1.9723078121633211</v>
      </c>
      <c r="AO49" s="42">
        <f t="shared" si="65"/>
        <v>1.9723078121633211</v>
      </c>
      <c r="AP49" s="42">
        <f t="shared" si="65"/>
        <v>1.9723078121633211</v>
      </c>
      <c r="AQ49" s="42">
        <f t="shared" si="65"/>
        <v>1.9723078121633211</v>
      </c>
      <c r="AR49" s="42">
        <f t="shared" si="65"/>
        <v>1.9723078121633211</v>
      </c>
      <c r="AS49" s="42">
        <f t="shared" si="65"/>
        <v>1.9723078121633211</v>
      </c>
      <c r="AT49" s="42">
        <f t="shared" si="65"/>
        <v>1.9723078121633211</v>
      </c>
      <c r="AU49" s="42">
        <f t="shared" si="65"/>
        <v>1.9723078121633211</v>
      </c>
      <c r="AV49" s="42">
        <f t="shared" si="65"/>
        <v>1.9723078121633211</v>
      </c>
      <c r="AW49" s="42">
        <f t="shared" si="65"/>
        <v>1.9723078121633211</v>
      </c>
      <c r="AX49" s="42">
        <f t="shared" si="65"/>
        <v>1.9723078121633211</v>
      </c>
      <c r="AY49" s="42">
        <f t="shared" si="65"/>
        <v>1.9723078121633211</v>
      </c>
      <c r="AZ49" s="42">
        <f t="shared" si="65"/>
        <v>1.9723078121633211</v>
      </c>
      <c r="BA49" s="34">
        <f t="shared" si="29"/>
        <v>113437.5</v>
      </c>
      <c r="BB49" s="34">
        <f>IFERROR(up_RadSpec!$J$23*(BB23*$B49),".")</f>
        <v>37812.5</v>
      </c>
      <c r="BC49" s="34">
        <f>IFERROR(up_RadSpec!$J$23*(BC23*$B49),".")</f>
        <v>37812.5</v>
      </c>
      <c r="BD49" s="34">
        <f>IFERROR(up_RadSpec!$J$23*(BD23*$B49),".")</f>
        <v>37812.5</v>
      </c>
      <c r="BE49" s="34">
        <f>IFERROR(up_RadSpec!$J$23*(BE23*$B49),".")</f>
        <v>37812.5</v>
      </c>
      <c r="BF49" s="34">
        <f>IFERROR(up_RadSpec!$J$23*(BF23*$B49),".")</f>
        <v>37812.5</v>
      </c>
      <c r="BG49" s="34">
        <f>IFERROR(up_RadSpec!$J$23*(BG23*$B49),".")</f>
        <v>37812.5</v>
      </c>
      <c r="BH49" s="34">
        <f>IFERROR(up_RadSpec!$J$23*(BH23*$B49),".")</f>
        <v>37812.5</v>
      </c>
      <c r="BI49" s="34">
        <f>IFERROR(up_RadSpec!$J$23*(BI23*$B49),".")</f>
        <v>37812.5</v>
      </c>
      <c r="BJ49" s="34">
        <f>IFERROR(up_RadSpec!$J$23*(BJ23*$B49),".")</f>
        <v>37812.5</v>
      </c>
      <c r="BK49" s="34">
        <f>IFERROR(up_RadSpec!$J$23*(BK23*$B49),".")</f>
        <v>37812.5</v>
      </c>
      <c r="BL49" s="34">
        <f>IFERROR(up_RadSpec!$J$23*(BL23*$B49),".")</f>
        <v>37812.5</v>
      </c>
      <c r="BM49" s="34">
        <f>IFERROR(up_RadSpec!$J$23*(BM23*$B49),".")</f>
        <v>37812.5</v>
      </c>
      <c r="BN49" s="34">
        <f>IFERROR(up_RadSpec!$J$23*(BN23*$B49),".")</f>
        <v>37812.5</v>
      </c>
      <c r="BO49" s="34">
        <f>IFERROR(up_RadSpec!$J$23*(BO23*$B49),".")</f>
        <v>37812.5</v>
      </c>
      <c r="BP49" s="34">
        <f>IFERROR(up_RadSpec!$J$23*(BP23*$B49),".")</f>
        <v>37812.5</v>
      </c>
      <c r="BQ49" s="34">
        <f>IFERROR(up_RadSpec!$J$23*(BQ23*$B49),".")</f>
        <v>37812.5</v>
      </c>
      <c r="BR49" s="34">
        <f>IFERROR(up_RadSpec!$J$23*(BR23*$B49),".")</f>
        <v>37812.5</v>
      </c>
      <c r="BS49" s="34">
        <f>IFERROR(up_RadSpec!$J$23*(BS23*$B49),".")</f>
        <v>37812.5</v>
      </c>
      <c r="BT49" s="34">
        <f>IFERROR(up_RadSpec!$J$23*(BT23*$B49),".")</f>
        <v>37812.5</v>
      </c>
      <c r="BU49" s="34">
        <f>IFERROR(up_RadSpec!$J$23*(BU23*$B49),".")</f>
        <v>37812.5</v>
      </c>
      <c r="BV49" s="34">
        <f>IFERROR(up_RadSpec!$J$23*(BV23*$B49),".")</f>
        <v>37812.5</v>
      </c>
      <c r="BW49" s="34">
        <f>IFERROR(up_RadSpec!$J$23*(BW23*$B49),".")</f>
        <v>37812.5</v>
      </c>
      <c r="BX49" s="34">
        <f>IFERROR(up_RadSpec!$J$23*(BX23*$B49),".")</f>
        <v>37812.5</v>
      </c>
      <c r="BY49" s="34">
        <f>IFERROR(up_RadSpec!$J$23*(BY23*$B49),".")</f>
        <v>37812.5</v>
      </c>
    </row>
    <row r="50" spans="1:77" x14ac:dyDescent="0.25">
      <c r="A50" s="66" t="s">
        <v>1075</v>
      </c>
      <c r="B50" s="49">
        <v>1</v>
      </c>
      <c r="C50" s="42">
        <f t="shared" ref="C50:AH50" si="66">IFERROR(C25/$B50,0)</f>
        <v>0</v>
      </c>
      <c r="D50" s="42">
        <f t="shared" si="66"/>
        <v>0</v>
      </c>
      <c r="E50" s="42">
        <f t="shared" si="66"/>
        <v>0</v>
      </c>
      <c r="F50" s="42">
        <f t="shared" si="66"/>
        <v>0</v>
      </c>
      <c r="G50" s="42">
        <f t="shared" si="66"/>
        <v>0</v>
      </c>
      <c r="H50" s="42">
        <f t="shared" si="66"/>
        <v>0</v>
      </c>
      <c r="I50" s="42">
        <f t="shared" si="66"/>
        <v>0</v>
      </c>
      <c r="J50" s="42">
        <f t="shared" si="66"/>
        <v>0</v>
      </c>
      <c r="K50" s="42">
        <f t="shared" si="66"/>
        <v>0</v>
      </c>
      <c r="L50" s="42">
        <f t="shared" si="66"/>
        <v>0</v>
      </c>
      <c r="M50" s="42">
        <f t="shared" si="66"/>
        <v>0</v>
      </c>
      <c r="N50" s="42">
        <f t="shared" si="66"/>
        <v>0</v>
      </c>
      <c r="O50" s="42">
        <f t="shared" si="66"/>
        <v>0</v>
      </c>
      <c r="P50" s="42">
        <f t="shared" si="66"/>
        <v>0</v>
      </c>
      <c r="Q50" s="42">
        <f t="shared" si="66"/>
        <v>0</v>
      </c>
      <c r="R50" s="42">
        <f t="shared" si="66"/>
        <v>0</v>
      </c>
      <c r="S50" s="42">
        <f t="shared" si="66"/>
        <v>0</v>
      </c>
      <c r="T50" s="42">
        <f t="shared" si="66"/>
        <v>0</v>
      </c>
      <c r="U50" s="42">
        <f t="shared" si="66"/>
        <v>0</v>
      </c>
      <c r="V50" s="42">
        <f t="shared" si="66"/>
        <v>0</v>
      </c>
      <c r="W50" s="42">
        <f t="shared" si="66"/>
        <v>0</v>
      </c>
      <c r="X50" s="42">
        <f t="shared" si="66"/>
        <v>0</v>
      </c>
      <c r="Y50" s="42">
        <f t="shared" si="66"/>
        <v>0</v>
      </c>
      <c r="Z50" s="42">
        <f t="shared" si="66"/>
        <v>0</v>
      </c>
      <c r="AA50" s="42">
        <f t="shared" si="66"/>
        <v>0</v>
      </c>
      <c r="AB50" s="42">
        <f t="shared" si="66"/>
        <v>0</v>
      </c>
      <c r="AC50" s="42">
        <f t="shared" si="66"/>
        <v>0</v>
      </c>
      <c r="AD50" s="42">
        <f t="shared" si="66"/>
        <v>0</v>
      </c>
      <c r="AE50" s="42">
        <f t="shared" si="66"/>
        <v>0</v>
      </c>
      <c r="AF50" s="42">
        <f t="shared" si="66"/>
        <v>0</v>
      </c>
      <c r="AG50" s="42">
        <f t="shared" si="66"/>
        <v>0</v>
      </c>
      <c r="AH50" s="42">
        <f t="shared" si="66"/>
        <v>0</v>
      </c>
      <c r="AI50" s="42">
        <f t="shared" ref="AI50:AZ50" si="67">IFERROR(AI25/$B50,0)</f>
        <v>0</v>
      </c>
      <c r="AJ50" s="42">
        <f t="shared" si="67"/>
        <v>0</v>
      </c>
      <c r="AK50" s="42">
        <f t="shared" si="67"/>
        <v>0</v>
      </c>
      <c r="AL50" s="42">
        <f t="shared" si="67"/>
        <v>0</v>
      </c>
      <c r="AM50" s="42">
        <f t="shared" si="67"/>
        <v>0</v>
      </c>
      <c r="AN50" s="42">
        <f t="shared" si="67"/>
        <v>0</v>
      </c>
      <c r="AO50" s="42">
        <f t="shared" si="67"/>
        <v>0</v>
      </c>
      <c r="AP50" s="42">
        <f t="shared" si="67"/>
        <v>0</v>
      </c>
      <c r="AQ50" s="42">
        <f t="shared" si="67"/>
        <v>0</v>
      </c>
      <c r="AR50" s="42">
        <f t="shared" si="67"/>
        <v>0</v>
      </c>
      <c r="AS50" s="42">
        <f t="shared" si="67"/>
        <v>0</v>
      </c>
      <c r="AT50" s="42">
        <f t="shared" si="67"/>
        <v>0</v>
      </c>
      <c r="AU50" s="42">
        <f t="shared" si="67"/>
        <v>0</v>
      </c>
      <c r="AV50" s="42">
        <f t="shared" si="67"/>
        <v>0</v>
      </c>
      <c r="AW50" s="42">
        <f t="shared" si="67"/>
        <v>0</v>
      </c>
      <c r="AX50" s="42">
        <f t="shared" si="67"/>
        <v>0</v>
      </c>
      <c r="AY50" s="42">
        <f t="shared" si="67"/>
        <v>0</v>
      </c>
      <c r="AZ50" s="42">
        <f t="shared" si="67"/>
        <v>0</v>
      </c>
      <c r="BA50" s="34">
        <f t="shared" si="29"/>
        <v>113437.5</v>
      </c>
      <c r="BB50" s="34">
        <f>IFERROR(up_RadSpec!$J$25*(BB25*$B50),".")</f>
        <v>37812.5</v>
      </c>
      <c r="BC50" s="34">
        <f>IFERROR(up_RadSpec!$J$25*(BC25*$B50),".")</f>
        <v>37812.5</v>
      </c>
      <c r="BD50" s="34">
        <f>IFERROR(up_RadSpec!$J$25*(BD25*$B50),".")</f>
        <v>37812.5</v>
      </c>
      <c r="BE50" s="34">
        <f>IFERROR(up_RadSpec!$J$25*(BE25*$B50),".")</f>
        <v>37812.5</v>
      </c>
      <c r="BF50" s="34">
        <f>IFERROR(up_RadSpec!$J$25*(BF25*$B50),".")</f>
        <v>37812.5</v>
      </c>
      <c r="BG50" s="34">
        <f>IFERROR(up_RadSpec!$J$25*(BG25*$B50),".")</f>
        <v>37812.5</v>
      </c>
      <c r="BH50" s="34">
        <f>IFERROR(up_RadSpec!$J$25*(BH25*$B50),".")</f>
        <v>37812.5</v>
      </c>
      <c r="BI50" s="34">
        <f>IFERROR(up_RadSpec!$J$25*(BI25*$B50),".")</f>
        <v>37812.5</v>
      </c>
      <c r="BJ50" s="34">
        <f>IFERROR(up_RadSpec!$J$25*(BJ25*$B50),".")</f>
        <v>37812.5</v>
      </c>
      <c r="BK50" s="34">
        <f>IFERROR(up_RadSpec!$J$25*(BK25*$B50),".")</f>
        <v>37812.5</v>
      </c>
      <c r="BL50" s="34">
        <f>IFERROR(up_RadSpec!$J$25*(BL25*$B50),".")</f>
        <v>37812.5</v>
      </c>
      <c r="BM50" s="34">
        <f>IFERROR(up_RadSpec!$J$25*(BM25*$B50),".")</f>
        <v>37812.5</v>
      </c>
      <c r="BN50" s="34">
        <f>IFERROR(up_RadSpec!$J$25*(BN25*$B50),".")</f>
        <v>37812.5</v>
      </c>
      <c r="BO50" s="34">
        <f>IFERROR(up_RadSpec!$J$25*(BO25*$B50),".")</f>
        <v>37812.5</v>
      </c>
      <c r="BP50" s="34">
        <f>IFERROR(up_RadSpec!$J$25*(BP25*$B50),".")</f>
        <v>37812.5</v>
      </c>
      <c r="BQ50" s="34">
        <f>IFERROR(up_RadSpec!$J$25*(BQ25*$B50),".")</f>
        <v>37812.5</v>
      </c>
      <c r="BR50" s="34">
        <f>IFERROR(up_RadSpec!$J$25*(BR25*$B50),".")</f>
        <v>37812.5</v>
      </c>
      <c r="BS50" s="34">
        <f>IFERROR(up_RadSpec!$J$25*(BS25*$B50),".")</f>
        <v>37812.5</v>
      </c>
      <c r="BT50" s="34">
        <f>IFERROR(up_RadSpec!$J$25*(BT25*$B50),".")</f>
        <v>37812.5</v>
      </c>
      <c r="BU50" s="34">
        <f>IFERROR(up_RadSpec!$J$25*(BU25*$B50),".")</f>
        <v>37812.5</v>
      </c>
      <c r="BV50" s="34">
        <f>IFERROR(up_RadSpec!$J$25*(BV25*$B50),".")</f>
        <v>37812.5</v>
      </c>
      <c r="BW50" s="34">
        <f>IFERROR(up_RadSpec!$J$25*(BW25*$B50),".")</f>
        <v>37812.5</v>
      </c>
      <c r="BX50" s="34">
        <f>IFERROR(up_RadSpec!$J$25*(BX25*$B50),".")</f>
        <v>37812.5</v>
      </c>
      <c r="BY50" s="34">
        <f>IFERROR(up_RadSpec!$J$25*(BY25*$B50),".")</f>
        <v>37812.5</v>
      </c>
    </row>
    <row r="51" spans="1:77" x14ac:dyDescent="0.25">
      <c r="A51" s="66" t="s">
        <v>1061</v>
      </c>
      <c r="B51" s="49">
        <v>1</v>
      </c>
      <c r="C51" s="42">
        <f t="shared" ref="C51:AH51" si="68">IFERROR(C21/$B51,0)</f>
        <v>0</v>
      </c>
      <c r="D51" s="42">
        <f t="shared" si="68"/>
        <v>0</v>
      </c>
      <c r="E51" s="42">
        <f t="shared" si="68"/>
        <v>0</v>
      </c>
      <c r="F51" s="42">
        <f t="shared" si="68"/>
        <v>0</v>
      </c>
      <c r="G51" s="42">
        <f t="shared" si="68"/>
        <v>0</v>
      </c>
      <c r="H51" s="42">
        <f t="shared" si="68"/>
        <v>0</v>
      </c>
      <c r="I51" s="42">
        <f t="shared" si="68"/>
        <v>0</v>
      </c>
      <c r="J51" s="42">
        <f t="shared" si="68"/>
        <v>0</v>
      </c>
      <c r="K51" s="42">
        <f t="shared" si="68"/>
        <v>0</v>
      </c>
      <c r="L51" s="42">
        <f t="shared" si="68"/>
        <v>0</v>
      </c>
      <c r="M51" s="42">
        <f t="shared" si="68"/>
        <v>0</v>
      </c>
      <c r="N51" s="42">
        <f t="shared" si="68"/>
        <v>0</v>
      </c>
      <c r="O51" s="42">
        <f t="shared" si="68"/>
        <v>0</v>
      </c>
      <c r="P51" s="42">
        <f t="shared" si="68"/>
        <v>0</v>
      </c>
      <c r="Q51" s="42">
        <f t="shared" si="68"/>
        <v>0</v>
      </c>
      <c r="R51" s="42">
        <f t="shared" si="68"/>
        <v>0</v>
      </c>
      <c r="S51" s="42">
        <f t="shared" si="68"/>
        <v>0</v>
      </c>
      <c r="T51" s="42">
        <f t="shared" si="68"/>
        <v>0</v>
      </c>
      <c r="U51" s="42">
        <f t="shared" si="68"/>
        <v>0</v>
      </c>
      <c r="V51" s="42">
        <f t="shared" si="68"/>
        <v>0</v>
      </c>
      <c r="W51" s="42">
        <f t="shared" si="68"/>
        <v>0</v>
      </c>
      <c r="X51" s="42">
        <f t="shared" si="68"/>
        <v>0</v>
      </c>
      <c r="Y51" s="42">
        <f t="shared" si="68"/>
        <v>0</v>
      </c>
      <c r="Z51" s="42">
        <f t="shared" si="68"/>
        <v>0</v>
      </c>
      <c r="AA51" s="42">
        <f t="shared" si="68"/>
        <v>0</v>
      </c>
      <c r="AB51" s="42">
        <f t="shared" si="68"/>
        <v>0</v>
      </c>
      <c r="AC51" s="42">
        <f t="shared" si="68"/>
        <v>0</v>
      </c>
      <c r="AD51" s="42">
        <f t="shared" si="68"/>
        <v>0</v>
      </c>
      <c r="AE51" s="42">
        <f t="shared" si="68"/>
        <v>0</v>
      </c>
      <c r="AF51" s="42">
        <f t="shared" si="68"/>
        <v>0</v>
      </c>
      <c r="AG51" s="42">
        <f t="shared" si="68"/>
        <v>0</v>
      </c>
      <c r="AH51" s="42">
        <f t="shared" si="68"/>
        <v>0</v>
      </c>
      <c r="AI51" s="42">
        <f t="shared" ref="AI51:AZ51" si="69">IFERROR(AI21/$B51,0)</f>
        <v>0</v>
      </c>
      <c r="AJ51" s="42">
        <f t="shared" si="69"/>
        <v>0</v>
      </c>
      <c r="AK51" s="42">
        <f t="shared" si="69"/>
        <v>0</v>
      </c>
      <c r="AL51" s="42">
        <f t="shared" si="69"/>
        <v>0</v>
      </c>
      <c r="AM51" s="42">
        <f t="shared" si="69"/>
        <v>0</v>
      </c>
      <c r="AN51" s="42">
        <f t="shared" si="69"/>
        <v>0</v>
      </c>
      <c r="AO51" s="42">
        <f t="shared" si="69"/>
        <v>0</v>
      </c>
      <c r="AP51" s="42">
        <f t="shared" si="69"/>
        <v>0</v>
      </c>
      <c r="AQ51" s="42">
        <f t="shared" si="69"/>
        <v>0</v>
      </c>
      <c r="AR51" s="42">
        <f t="shared" si="69"/>
        <v>0</v>
      </c>
      <c r="AS51" s="42">
        <f t="shared" si="69"/>
        <v>0</v>
      </c>
      <c r="AT51" s="42">
        <f t="shared" si="69"/>
        <v>0</v>
      </c>
      <c r="AU51" s="42">
        <f t="shared" si="69"/>
        <v>0</v>
      </c>
      <c r="AV51" s="42">
        <f t="shared" si="69"/>
        <v>0</v>
      </c>
      <c r="AW51" s="42">
        <f t="shared" si="69"/>
        <v>0</v>
      </c>
      <c r="AX51" s="42">
        <f t="shared" si="69"/>
        <v>0</v>
      </c>
      <c r="AY51" s="42">
        <f t="shared" si="69"/>
        <v>0</v>
      </c>
      <c r="AZ51" s="42">
        <f t="shared" si="69"/>
        <v>0</v>
      </c>
      <c r="BA51" s="34">
        <f t="shared" si="29"/>
        <v>113437.5</v>
      </c>
      <c r="BB51" s="34">
        <f>IFERROR(up_RadSpec!$J$21*(BB21*$B51),".")</f>
        <v>37812.5</v>
      </c>
      <c r="BC51" s="34">
        <f>IFERROR(up_RadSpec!$J$21*(BC21*$B51),".")</f>
        <v>37812.5</v>
      </c>
      <c r="BD51" s="34">
        <f>IFERROR(up_RadSpec!$J$21*(BD21*$B51),".")</f>
        <v>37812.5</v>
      </c>
      <c r="BE51" s="34">
        <f>IFERROR(up_RadSpec!$J$21*(BE21*$B51),".")</f>
        <v>37812.5</v>
      </c>
      <c r="BF51" s="34">
        <f>IFERROR(up_RadSpec!$J$21*(BF21*$B51),".")</f>
        <v>37812.5</v>
      </c>
      <c r="BG51" s="34">
        <f>IFERROR(up_RadSpec!$J$21*(BG21*$B51),".")</f>
        <v>37812.5</v>
      </c>
      <c r="BH51" s="34">
        <f>IFERROR(up_RadSpec!$J$21*(BH21*$B51),".")</f>
        <v>37812.5</v>
      </c>
      <c r="BI51" s="34">
        <f>IFERROR(up_RadSpec!$J$21*(BI21*$B51),".")</f>
        <v>37812.5</v>
      </c>
      <c r="BJ51" s="34">
        <f>IFERROR(up_RadSpec!$J$21*(BJ21*$B51),".")</f>
        <v>37812.5</v>
      </c>
      <c r="BK51" s="34">
        <f>IFERROR(up_RadSpec!$J$21*(BK21*$B51),".")</f>
        <v>37812.5</v>
      </c>
      <c r="BL51" s="34">
        <f>IFERROR(up_RadSpec!$J$21*(BL21*$B51),".")</f>
        <v>37812.5</v>
      </c>
      <c r="BM51" s="34">
        <f>IFERROR(up_RadSpec!$J$21*(BM21*$B51),".")</f>
        <v>37812.5</v>
      </c>
      <c r="BN51" s="34">
        <f>IFERROR(up_RadSpec!$J$21*(BN21*$B51),".")</f>
        <v>37812.5</v>
      </c>
      <c r="BO51" s="34">
        <f>IFERROR(up_RadSpec!$J$21*(BO21*$B51),".")</f>
        <v>37812.5</v>
      </c>
      <c r="BP51" s="34">
        <f>IFERROR(up_RadSpec!$J$21*(BP21*$B51),".")</f>
        <v>37812.5</v>
      </c>
      <c r="BQ51" s="34">
        <f>IFERROR(up_RadSpec!$J$21*(BQ21*$B51),".")</f>
        <v>37812.5</v>
      </c>
      <c r="BR51" s="34">
        <f>IFERROR(up_RadSpec!$J$21*(BR21*$B51),".")</f>
        <v>37812.5</v>
      </c>
      <c r="BS51" s="34">
        <f>IFERROR(up_RadSpec!$J$21*(BS21*$B51),".")</f>
        <v>37812.5</v>
      </c>
      <c r="BT51" s="34">
        <f>IFERROR(up_RadSpec!$J$21*(BT21*$B51),".")</f>
        <v>37812.5</v>
      </c>
      <c r="BU51" s="34">
        <f>IFERROR(up_RadSpec!$J$21*(BU21*$B51),".")</f>
        <v>37812.5</v>
      </c>
      <c r="BV51" s="34">
        <f>IFERROR(up_RadSpec!$J$21*(BV21*$B51),".")</f>
        <v>37812.5</v>
      </c>
      <c r="BW51" s="34">
        <f>IFERROR(up_RadSpec!$J$21*(BW21*$B51),".")</f>
        <v>37812.5</v>
      </c>
      <c r="BX51" s="34">
        <f>IFERROR(up_RadSpec!$J$21*(BX21*$B51),".")</f>
        <v>37812.5</v>
      </c>
      <c r="BY51" s="34">
        <f>IFERROR(up_RadSpec!$J$21*(BY21*$B51),".")</f>
        <v>37812.5</v>
      </c>
    </row>
    <row r="52" spans="1:77" x14ac:dyDescent="0.25">
      <c r="A52" s="66" t="s">
        <v>1062</v>
      </c>
      <c r="B52" s="49">
        <v>0.99980000000000002</v>
      </c>
      <c r="C52" s="42">
        <f t="shared" ref="C52:AH52" si="70">IFERROR(C17/$B52,0)</f>
        <v>1496.8746494859847</v>
      </c>
      <c r="D52" s="42">
        <f t="shared" si="70"/>
        <v>4490.6239484579546</v>
      </c>
      <c r="E52" s="42">
        <f t="shared" si="70"/>
        <v>4490.6239484579546</v>
      </c>
      <c r="F52" s="42">
        <f t="shared" si="70"/>
        <v>4490.6239484579546</v>
      </c>
      <c r="G52" s="42">
        <f t="shared" si="70"/>
        <v>4490.6239484579546</v>
      </c>
      <c r="H52" s="42">
        <f t="shared" si="70"/>
        <v>4490.6239484579546</v>
      </c>
      <c r="I52" s="42">
        <f t="shared" si="70"/>
        <v>4490.6239484579546</v>
      </c>
      <c r="J52" s="42">
        <f t="shared" si="70"/>
        <v>4490.6239484579546</v>
      </c>
      <c r="K52" s="42">
        <f t="shared" si="70"/>
        <v>4490.6239484579546</v>
      </c>
      <c r="L52" s="42">
        <f t="shared" si="70"/>
        <v>4490.6239484579546</v>
      </c>
      <c r="M52" s="42">
        <f t="shared" si="70"/>
        <v>4490.6239484579546</v>
      </c>
      <c r="N52" s="42">
        <f t="shared" si="70"/>
        <v>4490.6239484579546</v>
      </c>
      <c r="O52" s="42">
        <f t="shared" si="70"/>
        <v>4490.6239484579546</v>
      </c>
      <c r="P52" s="42">
        <f t="shared" si="70"/>
        <v>4490.6239484579546</v>
      </c>
      <c r="Q52" s="42">
        <f t="shared" si="70"/>
        <v>4490.6239484579546</v>
      </c>
      <c r="R52" s="42">
        <f t="shared" si="70"/>
        <v>4490.6239484579546</v>
      </c>
      <c r="S52" s="42">
        <f t="shared" si="70"/>
        <v>4490.6239484579546</v>
      </c>
      <c r="T52" s="42">
        <f t="shared" si="70"/>
        <v>4490.6239484579546</v>
      </c>
      <c r="U52" s="42">
        <f t="shared" si="70"/>
        <v>4490.6239484579546</v>
      </c>
      <c r="V52" s="42">
        <f t="shared" si="70"/>
        <v>4490.6239484579546</v>
      </c>
      <c r="W52" s="42">
        <f t="shared" si="70"/>
        <v>4490.6239484579546</v>
      </c>
      <c r="X52" s="42">
        <f t="shared" si="70"/>
        <v>4490.6239484579546</v>
      </c>
      <c r="Y52" s="42">
        <f t="shared" si="70"/>
        <v>4490.6239484579546</v>
      </c>
      <c r="Z52" s="42">
        <f t="shared" si="70"/>
        <v>4490.6239484579546</v>
      </c>
      <c r="AA52" s="42">
        <f t="shared" si="70"/>
        <v>4490.6239484579546</v>
      </c>
      <c r="AB52" s="42">
        <f t="shared" si="70"/>
        <v>1496.8746494859847</v>
      </c>
      <c r="AC52" s="42">
        <f t="shared" si="70"/>
        <v>4490.6239484579546</v>
      </c>
      <c r="AD52" s="42">
        <f t="shared" si="70"/>
        <v>4490.6239484579546</v>
      </c>
      <c r="AE52" s="42">
        <f t="shared" si="70"/>
        <v>4490.6239484579546</v>
      </c>
      <c r="AF52" s="42">
        <f t="shared" si="70"/>
        <v>4490.6239484579546</v>
      </c>
      <c r="AG52" s="42">
        <f t="shared" si="70"/>
        <v>4490.6239484579546</v>
      </c>
      <c r="AH52" s="42">
        <f t="shared" si="70"/>
        <v>4490.6239484579546</v>
      </c>
      <c r="AI52" s="42">
        <f t="shared" ref="AI52:AZ52" si="71">IFERROR(AI17/$B52,0)</f>
        <v>4490.6239484579546</v>
      </c>
      <c r="AJ52" s="42">
        <f t="shared" si="71"/>
        <v>4490.6239484579546</v>
      </c>
      <c r="AK52" s="42">
        <f t="shared" si="71"/>
        <v>4490.6239484579546</v>
      </c>
      <c r="AL52" s="42">
        <f t="shared" si="71"/>
        <v>4490.6239484579546</v>
      </c>
      <c r="AM52" s="42">
        <f t="shared" si="71"/>
        <v>4490.6239484579546</v>
      </c>
      <c r="AN52" s="42">
        <f t="shared" si="71"/>
        <v>4490.6239484579546</v>
      </c>
      <c r="AO52" s="42">
        <f t="shared" si="71"/>
        <v>4490.6239484579546</v>
      </c>
      <c r="AP52" s="42">
        <f t="shared" si="71"/>
        <v>4490.6239484579546</v>
      </c>
      <c r="AQ52" s="42">
        <f t="shared" si="71"/>
        <v>4490.6239484579546</v>
      </c>
      <c r="AR52" s="42">
        <f t="shared" si="71"/>
        <v>4490.6239484579546</v>
      </c>
      <c r="AS52" s="42">
        <f t="shared" si="71"/>
        <v>4490.6239484579546</v>
      </c>
      <c r="AT52" s="42">
        <f t="shared" si="71"/>
        <v>4490.6239484579546</v>
      </c>
      <c r="AU52" s="42">
        <f t="shared" si="71"/>
        <v>4490.6239484579546</v>
      </c>
      <c r="AV52" s="42">
        <f t="shared" si="71"/>
        <v>4490.6239484579546</v>
      </c>
      <c r="AW52" s="42">
        <f t="shared" si="71"/>
        <v>4490.6239484579546</v>
      </c>
      <c r="AX52" s="42">
        <f t="shared" si="71"/>
        <v>4490.6239484579546</v>
      </c>
      <c r="AY52" s="42">
        <f t="shared" si="71"/>
        <v>4490.6239484579546</v>
      </c>
      <c r="AZ52" s="42">
        <f t="shared" si="71"/>
        <v>4490.6239484579546</v>
      </c>
      <c r="BA52" s="34">
        <f t="shared" si="29"/>
        <v>113414.8125</v>
      </c>
      <c r="BB52" s="34">
        <f>IFERROR(up_RadSpec!$J$17*(BB17*$B52),".")</f>
        <v>37804.9375</v>
      </c>
      <c r="BC52" s="34">
        <f>IFERROR(up_RadSpec!$J$17*(BC17*$B52),".")</f>
        <v>37804.9375</v>
      </c>
      <c r="BD52" s="34">
        <f>IFERROR(up_RadSpec!$J$17*(BD17*$B52),".")</f>
        <v>37804.9375</v>
      </c>
      <c r="BE52" s="34">
        <f>IFERROR(up_RadSpec!$J$17*(BE17*$B52),".")</f>
        <v>37804.9375</v>
      </c>
      <c r="BF52" s="34">
        <f>IFERROR(up_RadSpec!$J$17*(BF17*$B52),".")</f>
        <v>37804.9375</v>
      </c>
      <c r="BG52" s="34">
        <f>IFERROR(up_RadSpec!$J$17*(BG17*$B52),".")</f>
        <v>37804.9375</v>
      </c>
      <c r="BH52" s="34">
        <f>IFERROR(up_RadSpec!$J$17*(BH17*$B52),".")</f>
        <v>37804.9375</v>
      </c>
      <c r="BI52" s="34">
        <f>IFERROR(up_RadSpec!$J$17*(BI17*$B52),".")</f>
        <v>37804.9375</v>
      </c>
      <c r="BJ52" s="34">
        <f>IFERROR(up_RadSpec!$J$17*(BJ17*$B52),".")</f>
        <v>37804.9375</v>
      </c>
      <c r="BK52" s="34">
        <f>IFERROR(up_RadSpec!$J$17*(BK17*$B52),".")</f>
        <v>37804.9375</v>
      </c>
      <c r="BL52" s="34">
        <f>IFERROR(up_RadSpec!$J$17*(BL17*$B52),".")</f>
        <v>37804.9375</v>
      </c>
      <c r="BM52" s="34">
        <f>IFERROR(up_RadSpec!$J$17*(BM17*$B52),".")</f>
        <v>37804.9375</v>
      </c>
      <c r="BN52" s="34">
        <f>IFERROR(up_RadSpec!$J$17*(BN17*$B52),".")</f>
        <v>37804.9375</v>
      </c>
      <c r="BO52" s="34">
        <f>IFERROR(up_RadSpec!$J$17*(BO17*$B52),".")</f>
        <v>37804.9375</v>
      </c>
      <c r="BP52" s="34">
        <f>IFERROR(up_RadSpec!$J$17*(BP17*$B52),".")</f>
        <v>37804.9375</v>
      </c>
      <c r="BQ52" s="34">
        <f>IFERROR(up_RadSpec!$J$17*(BQ17*$B52),".")</f>
        <v>37804.9375</v>
      </c>
      <c r="BR52" s="34">
        <f>IFERROR(up_RadSpec!$J$17*(BR17*$B52),".")</f>
        <v>37804.9375</v>
      </c>
      <c r="BS52" s="34">
        <f>IFERROR(up_RadSpec!$J$17*(BS17*$B52),".")</f>
        <v>37804.9375</v>
      </c>
      <c r="BT52" s="34">
        <f>IFERROR(up_RadSpec!$J$17*(BT17*$B52),".")</f>
        <v>37804.9375</v>
      </c>
      <c r="BU52" s="34">
        <f>IFERROR(up_RadSpec!$J$17*(BU17*$B52),".")</f>
        <v>37804.9375</v>
      </c>
      <c r="BV52" s="34">
        <f>IFERROR(up_RadSpec!$J$17*(BV17*$B52),".")</f>
        <v>37804.9375</v>
      </c>
      <c r="BW52" s="34">
        <f>IFERROR(up_RadSpec!$J$17*(BW17*$B52),".")</f>
        <v>37804.9375</v>
      </c>
      <c r="BX52" s="34">
        <f>IFERROR(up_RadSpec!$J$17*(BX17*$B52),".")</f>
        <v>37804.9375</v>
      </c>
      <c r="BY52" s="34">
        <f>IFERROR(up_RadSpec!$J$17*(BY17*$B52),".")</f>
        <v>37804.9375</v>
      </c>
    </row>
    <row r="53" spans="1:77" x14ac:dyDescent="0.25">
      <c r="A53" s="66" t="s">
        <v>1076</v>
      </c>
      <c r="B53" s="49">
        <v>2.0000000000000001E-4</v>
      </c>
      <c r="C53" s="42">
        <f t="shared" ref="C53:AH53" si="72">IFERROR(C5/$B53,0)</f>
        <v>0</v>
      </c>
      <c r="D53" s="42">
        <f t="shared" si="72"/>
        <v>0</v>
      </c>
      <c r="E53" s="42">
        <f t="shared" si="72"/>
        <v>0</v>
      </c>
      <c r="F53" s="42">
        <f t="shared" si="72"/>
        <v>0</v>
      </c>
      <c r="G53" s="42">
        <f t="shared" si="72"/>
        <v>0</v>
      </c>
      <c r="H53" s="42">
        <f t="shared" si="72"/>
        <v>0</v>
      </c>
      <c r="I53" s="42">
        <f t="shared" si="72"/>
        <v>0</v>
      </c>
      <c r="J53" s="42">
        <f t="shared" si="72"/>
        <v>0</v>
      </c>
      <c r="K53" s="42">
        <f t="shared" si="72"/>
        <v>0</v>
      </c>
      <c r="L53" s="42">
        <f t="shared" si="72"/>
        <v>0</v>
      </c>
      <c r="M53" s="42">
        <f t="shared" si="72"/>
        <v>0</v>
      </c>
      <c r="N53" s="42">
        <f t="shared" si="72"/>
        <v>0</v>
      </c>
      <c r="O53" s="42">
        <f t="shared" si="72"/>
        <v>0</v>
      </c>
      <c r="P53" s="42">
        <f t="shared" si="72"/>
        <v>0</v>
      </c>
      <c r="Q53" s="42">
        <f t="shared" si="72"/>
        <v>0</v>
      </c>
      <c r="R53" s="42">
        <f t="shared" si="72"/>
        <v>0</v>
      </c>
      <c r="S53" s="42">
        <f t="shared" si="72"/>
        <v>0</v>
      </c>
      <c r="T53" s="42">
        <f t="shared" si="72"/>
        <v>0</v>
      </c>
      <c r="U53" s="42">
        <f t="shared" si="72"/>
        <v>0</v>
      </c>
      <c r="V53" s="42">
        <f t="shared" si="72"/>
        <v>0</v>
      </c>
      <c r="W53" s="42">
        <f t="shared" si="72"/>
        <v>0</v>
      </c>
      <c r="X53" s="42">
        <f t="shared" si="72"/>
        <v>0</v>
      </c>
      <c r="Y53" s="42">
        <f t="shared" si="72"/>
        <v>0</v>
      </c>
      <c r="Z53" s="42">
        <f t="shared" si="72"/>
        <v>0</v>
      </c>
      <c r="AA53" s="42">
        <f t="shared" si="72"/>
        <v>0</v>
      </c>
      <c r="AB53" s="42">
        <f t="shared" si="72"/>
        <v>0</v>
      </c>
      <c r="AC53" s="42">
        <f t="shared" si="72"/>
        <v>0</v>
      </c>
      <c r="AD53" s="42">
        <f t="shared" si="72"/>
        <v>0</v>
      </c>
      <c r="AE53" s="42">
        <f t="shared" si="72"/>
        <v>0</v>
      </c>
      <c r="AF53" s="42">
        <f t="shared" si="72"/>
        <v>0</v>
      </c>
      <c r="AG53" s="42">
        <f t="shared" si="72"/>
        <v>0</v>
      </c>
      <c r="AH53" s="42">
        <f t="shared" si="72"/>
        <v>0</v>
      </c>
      <c r="AI53" s="42">
        <f t="shared" ref="AI53:AZ53" si="73">IFERROR(AI5/$B53,0)</f>
        <v>0</v>
      </c>
      <c r="AJ53" s="42">
        <f t="shared" si="73"/>
        <v>0</v>
      </c>
      <c r="AK53" s="42">
        <f t="shared" si="73"/>
        <v>0</v>
      </c>
      <c r="AL53" s="42">
        <f t="shared" si="73"/>
        <v>0</v>
      </c>
      <c r="AM53" s="42">
        <f t="shared" si="73"/>
        <v>0</v>
      </c>
      <c r="AN53" s="42">
        <f t="shared" si="73"/>
        <v>0</v>
      </c>
      <c r="AO53" s="42">
        <f t="shared" si="73"/>
        <v>0</v>
      </c>
      <c r="AP53" s="42">
        <f t="shared" si="73"/>
        <v>0</v>
      </c>
      <c r="AQ53" s="42">
        <f t="shared" si="73"/>
        <v>0</v>
      </c>
      <c r="AR53" s="42">
        <f t="shared" si="73"/>
        <v>0</v>
      </c>
      <c r="AS53" s="42">
        <f t="shared" si="73"/>
        <v>0</v>
      </c>
      <c r="AT53" s="42">
        <f t="shared" si="73"/>
        <v>0</v>
      </c>
      <c r="AU53" s="42">
        <f t="shared" si="73"/>
        <v>0</v>
      </c>
      <c r="AV53" s="42">
        <f t="shared" si="73"/>
        <v>0</v>
      </c>
      <c r="AW53" s="42">
        <f t="shared" si="73"/>
        <v>0</v>
      </c>
      <c r="AX53" s="42">
        <f t="shared" si="73"/>
        <v>0</v>
      </c>
      <c r="AY53" s="42">
        <f t="shared" si="73"/>
        <v>0</v>
      </c>
      <c r="AZ53" s="42">
        <f t="shared" si="73"/>
        <v>0</v>
      </c>
      <c r="BA53" s="34">
        <f t="shared" si="29"/>
        <v>22.687500000000004</v>
      </c>
      <c r="BB53" s="34">
        <f>IFERROR(up_RadSpec!$J$5*(BB5*$B53),".")</f>
        <v>7.5625000000000009</v>
      </c>
      <c r="BC53" s="34">
        <f>IFERROR(up_RadSpec!$J$5*(BC5*$B53),".")</f>
        <v>7.5625000000000009</v>
      </c>
      <c r="BD53" s="34">
        <f>IFERROR(up_RadSpec!$J$5*(BD5*$B53),".")</f>
        <v>7.5625000000000009</v>
      </c>
      <c r="BE53" s="34">
        <f>IFERROR(up_RadSpec!$J$5*(BE5*$B53),".")</f>
        <v>7.5625000000000009</v>
      </c>
      <c r="BF53" s="34">
        <f>IFERROR(up_RadSpec!$J$5*(BF5*$B53),".")</f>
        <v>7.5625000000000009</v>
      </c>
      <c r="BG53" s="34">
        <f>IFERROR(up_RadSpec!$J$5*(BG5*$B53),".")</f>
        <v>7.5625000000000009</v>
      </c>
      <c r="BH53" s="34">
        <f>IFERROR(up_RadSpec!$J$5*(BH5*$B53),".")</f>
        <v>7.5625000000000009</v>
      </c>
      <c r="BI53" s="34">
        <f>IFERROR(up_RadSpec!$J$5*(BI5*$B53),".")</f>
        <v>7.5625000000000009</v>
      </c>
      <c r="BJ53" s="34">
        <f>IFERROR(up_RadSpec!$J$5*(BJ5*$B53),".")</f>
        <v>7.5625000000000009</v>
      </c>
      <c r="BK53" s="34">
        <f>IFERROR(up_RadSpec!$J$5*(BK5*$B53),".")</f>
        <v>7.5625000000000009</v>
      </c>
      <c r="BL53" s="34">
        <f>IFERROR(up_RadSpec!$J$5*(BL5*$B53),".")</f>
        <v>7.5625000000000009</v>
      </c>
      <c r="BM53" s="34">
        <f>IFERROR(up_RadSpec!$J$5*(BM5*$B53),".")</f>
        <v>7.5625000000000009</v>
      </c>
      <c r="BN53" s="34">
        <f>IFERROR(up_RadSpec!$J$5*(BN5*$B53),".")</f>
        <v>7.5625000000000009</v>
      </c>
      <c r="BO53" s="34">
        <f>IFERROR(up_RadSpec!$J$5*(BO5*$B53),".")</f>
        <v>7.5625000000000009</v>
      </c>
      <c r="BP53" s="34">
        <f>IFERROR(up_RadSpec!$J$5*(BP5*$B53),".")</f>
        <v>7.5625000000000009</v>
      </c>
      <c r="BQ53" s="34">
        <f>IFERROR(up_RadSpec!$J$5*(BQ5*$B53),".")</f>
        <v>7.5625000000000009</v>
      </c>
      <c r="BR53" s="34">
        <f>IFERROR(up_RadSpec!$J$5*(BR5*$B53),".")</f>
        <v>7.5625000000000009</v>
      </c>
      <c r="BS53" s="34">
        <f>IFERROR(up_RadSpec!$J$5*(BS5*$B53),".")</f>
        <v>7.5625000000000009</v>
      </c>
      <c r="BT53" s="34">
        <f>IFERROR(up_RadSpec!$J$5*(BT5*$B53),".")</f>
        <v>7.5625000000000009</v>
      </c>
      <c r="BU53" s="34">
        <f>IFERROR(up_RadSpec!$J$5*(BU5*$B53),".")</f>
        <v>7.5625000000000009</v>
      </c>
      <c r="BV53" s="34">
        <f>IFERROR(up_RadSpec!$J$5*(BV5*$B53),".")</f>
        <v>7.5625000000000009</v>
      </c>
      <c r="BW53" s="34">
        <f>IFERROR(up_RadSpec!$J$5*(BW5*$B53),".")</f>
        <v>7.5625000000000009</v>
      </c>
      <c r="BX53" s="34">
        <f>IFERROR(up_RadSpec!$J$5*(BX5*$B53),".")</f>
        <v>7.5625000000000009</v>
      </c>
      <c r="BY53" s="34">
        <f>IFERROR(up_RadSpec!$J$5*(BY5*$B53),".")</f>
        <v>7.5625000000000009</v>
      </c>
    </row>
    <row r="54" spans="1:77" x14ac:dyDescent="0.25">
      <c r="A54" s="66" t="s">
        <v>1077</v>
      </c>
      <c r="B54" s="49">
        <v>0.99999979999999999</v>
      </c>
      <c r="C54" s="42">
        <f t="shared" ref="C54:AH54" si="74">IFERROR(C9/$B54,0)</f>
        <v>1998.7821422843576</v>
      </c>
      <c r="D54" s="42">
        <f t="shared" si="74"/>
        <v>5996.3464268530724</v>
      </c>
      <c r="E54" s="42">
        <f t="shared" si="74"/>
        <v>5996.3464268530724</v>
      </c>
      <c r="F54" s="42">
        <f t="shared" si="74"/>
        <v>5996.3464268530724</v>
      </c>
      <c r="G54" s="42">
        <f t="shared" si="74"/>
        <v>5996.3464268530724</v>
      </c>
      <c r="H54" s="42">
        <f t="shared" si="74"/>
        <v>5996.3464268530724</v>
      </c>
      <c r="I54" s="42">
        <f t="shared" si="74"/>
        <v>5996.3464268530724</v>
      </c>
      <c r="J54" s="42">
        <f t="shared" si="74"/>
        <v>5996.3464268530724</v>
      </c>
      <c r="K54" s="42">
        <f t="shared" si="74"/>
        <v>5996.3464268530724</v>
      </c>
      <c r="L54" s="42">
        <f t="shared" si="74"/>
        <v>5996.3464268530724</v>
      </c>
      <c r="M54" s="42">
        <f t="shared" si="74"/>
        <v>5996.3464268530724</v>
      </c>
      <c r="N54" s="42">
        <f t="shared" si="74"/>
        <v>5996.3464268530724</v>
      </c>
      <c r="O54" s="42">
        <f t="shared" si="74"/>
        <v>5996.3464268530724</v>
      </c>
      <c r="P54" s="42">
        <f t="shared" si="74"/>
        <v>5996.3464268530724</v>
      </c>
      <c r="Q54" s="42">
        <f t="shared" si="74"/>
        <v>5996.3464268530724</v>
      </c>
      <c r="R54" s="42">
        <f t="shared" si="74"/>
        <v>5996.3464268530724</v>
      </c>
      <c r="S54" s="42">
        <f t="shared" si="74"/>
        <v>5996.3464268530724</v>
      </c>
      <c r="T54" s="42">
        <f t="shared" si="74"/>
        <v>5996.3464268530724</v>
      </c>
      <c r="U54" s="42">
        <f t="shared" si="74"/>
        <v>5996.3464268530724</v>
      </c>
      <c r="V54" s="42">
        <f t="shared" si="74"/>
        <v>5996.3464268530724</v>
      </c>
      <c r="W54" s="42">
        <f t="shared" si="74"/>
        <v>5996.3464268530724</v>
      </c>
      <c r="X54" s="42">
        <f t="shared" si="74"/>
        <v>5996.3464268530724</v>
      </c>
      <c r="Y54" s="42">
        <f t="shared" si="74"/>
        <v>5996.3464268530724</v>
      </c>
      <c r="Z54" s="42">
        <f t="shared" si="74"/>
        <v>5996.3464268530724</v>
      </c>
      <c r="AA54" s="42">
        <f t="shared" si="74"/>
        <v>5996.3464268530724</v>
      </c>
      <c r="AB54" s="42">
        <f t="shared" si="74"/>
        <v>1998.7821422843576</v>
      </c>
      <c r="AC54" s="42">
        <f t="shared" si="74"/>
        <v>5996.3464268530724</v>
      </c>
      <c r="AD54" s="42">
        <f t="shared" si="74"/>
        <v>5996.3464268530724</v>
      </c>
      <c r="AE54" s="42">
        <f t="shared" si="74"/>
        <v>5996.3464268530724</v>
      </c>
      <c r="AF54" s="42">
        <f t="shared" si="74"/>
        <v>5996.3464268530724</v>
      </c>
      <c r="AG54" s="42">
        <f t="shared" si="74"/>
        <v>5996.3464268530724</v>
      </c>
      <c r="AH54" s="42">
        <f t="shared" si="74"/>
        <v>5996.3464268530724</v>
      </c>
      <c r="AI54" s="42">
        <f t="shared" ref="AI54:AZ54" si="75">IFERROR(AI9/$B54,0)</f>
        <v>5996.3464268530724</v>
      </c>
      <c r="AJ54" s="42">
        <f t="shared" si="75"/>
        <v>5996.3464268530724</v>
      </c>
      <c r="AK54" s="42">
        <f t="shared" si="75"/>
        <v>5996.3464268530724</v>
      </c>
      <c r="AL54" s="42">
        <f t="shared" si="75"/>
        <v>5996.3464268530724</v>
      </c>
      <c r="AM54" s="42">
        <f t="shared" si="75"/>
        <v>5996.3464268530724</v>
      </c>
      <c r="AN54" s="42">
        <f t="shared" si="75"/>
        <v>5996.3464268530724</v>
      </c>
      <c r="AO54" s="42">
        <f t="shared" si="75"/>
        <v>5996.3464268530724</v>
      </c>
      <c r="AP54" s="42">
        <f t="shared" si="75"/>
        <v>5996.3464268530724</v>
      </c>
      <c r="AQ54" s="42">
        <f t="shared" si="75"/>
        <v>5996.3464268530724</v>
      </c>
      <c r="AR54" s="42">
        <f t="shared" si="75"/>
        <v>5996.3464268530724</v>
      </c>
      <c r="AS54" s="42">
        <f t="shared" si="75"/>
        <v>5996.3464268530724</v>
      </c>
      <c r="AT54" s="42">
        <f t="shared" si="75"/>
        <v>5996.3464268530724</v>
      </c>
      <c r="AU54" s="42">
        <f t="shared" si="75"/>
        <v>5996.3464268530724</v>
      </c>
      <c r="AV54" s="42">
        <f t="shared" si="75"/>
        <v>5996.3464268530724</v>
      </c>
      <c r="AW54" s="42">
        <f t="shared" si="75"/>
        <v>5996.3464268530724</v>
      </c>
      <c r="AX54" s="42">
        <f t="shared" si="75"/>
        <v>5996.3464268530724</v>
      </c>
      <c r="AY54" s="42">
        <f t="shared" si="75"/>
        <v>5996.3464268530724</v>
      </c>
      <c r="AZ54" s="42">
        <f t="shared" si="75"/>
        <v>5996.3464268530724</v>
      </c>
      <c r="BA54" s="34">
        <f t="shared" si="29"/>
        <v>113437.47731249999</v>
      </c>
      <c r="BB54" s="34">
        <f>IFERROR(up_RadSpec!$J$9*(BB9*$B54),".")</f>
        <v>37812.492437499997</v>
      </c>
      <c r="BC54" s="34">
        <f>IFERROR(up_RadSpec!$J$9*(BC9*$B54),".")</f>
        <v>37812.492437499997</v>
      </c>
      <c r="BD54" s="34">
        <f>IFERROR(up_RadSpec!$J$9*(BD9*$B54),".")</f>
        <v>37812.492437499997</v>
      </c>
      <c r="BE54" s="34">
        <f>IFERROR(up_RadSpec!$J$9*(BE9*$B54),".")</f>
        <v>37812.492437499997</v>
      </c>
      <c r="BF54" s="34">
        <f>IFERROR(up_RadSpec!$J$9*(BF9*$B54),".")</f>
        <v>37812.492437499997</v>
      </c>
      <c r="BG54" s="34">
        <f>IFERROR(up_RadSpec!$J$9*(BG9*$B54),".")</f>
        <v>37812.492437499997</v>
      </c>
      <c r="BH54" s="34">
        <f>IFERROR(up_RadSpec!$J$9*(BH9*$B54),".")</f>
        <v>37812.492437499997</v>
      </c>
      <c r="BI54" s="34">
        <f>IFERROR(up_RadSpec!$J$9*(BI9*$B54),".")</f>
        <v>37812.492437499997</v>
      </c>
      <c r="BJ54" s="34">
        <f>IFERROR(up_RadSpec!$J$9*(BJ9*$B54),".")</f>
        <v>37812.492437499997</v>
      </c>
      <c r="BK54" s="34">
        <f>IFERROR(up_RadSpec!$J$9*(BK9*$B54),".")</f>
        <v>37812.492437499997</v>
      </c>
      <c r="BL54" s="34">
        <f>IFERROR(up_RadSpec!$J$9*(BL9*$B54),".")</f>
        <v>37812.492437499997</v>
      </c>
      <c r="BM54" s="34">
        <f>IFERROR(up_RadSpec!$J$9*(BM9*$B54),".")</f>
        <v>37812.492437499997</v>
      </c>
      <c r="BN54" s="34">
        <f>IFERROR(up_RadSpec!$J$9*(BN9*$B54),".")</f>
        <v>37812.492437499997</v>
      </c>
      <c r="BO54" s="34">
        <f>IFERROR(up_RadSpec!$J$9*(BO9*$B54),".")</f>
        <v>37812.492437499997</v>
      </c>
      <c r="BP54" s="34">
        <f>IFERROR(up_RadSpec!$J$9*(BP9*$B54),".")</f>
        <v>37812.492437499997</v>
      </c>
      <c r="BQ54" s="34">
        <f>IFERROR(up_RadSpec!$J$9*(BQ9*$B54),".")</f>
        <v>37812.492437499997</v>
      </c>
      <c r="BR54" s="34">
        <f>IFERROR(up_RadSpec!$J$9*(BR9*$B54),".")</f>
        <v>37812.492437499997</v>
      </c>
      <c r="BS54" s="34">
        <f>IFERROR(up_RadSpec!$J$9*(BS9*$B54),".")</f>
        <v>37812.492437499997</v>
      </c>
      <c r="BT54" s="34">
        <f>IFERROR(up_RadSpec!$J$9*(BT9*$B54),".")</f>
        <v>37812.492437499997</v>
      </c>
      <c r="BU54" s="34">
        <f>IFERROR(up_RadSpec!$J$9*(BU9*$B54),".")</f>
        <v>37812.492437499997</v>
      </c>
      <c r="BV54" s="34">
        <f>IFERROR(up_RadSpec!$J$9*(BV9*$B54),".")</f>
        <v>37812.492437499997</v>
      </c>
      <c r="BW54" s="34">
        <f>IFERROR(up_RadSpec!$J$9*(BW9*$B54),".")</f>
        <v>37812.492437499997</v>
      </c>
      <c r="BX54" s="34">
        <f>IFERROR(up_RadSpec!$J$9*(BX9*$B54),".")</f>
        <v>37812.492437499997</v>
      </c>
      <c r="BY54" s="34">
        <f>IFERROR(up_RadSpec!$J$9*(BY9*$B54),".")</f>
        <v>37812.492437499997</v>
      </c>
    </row>
    <row r="55" spans="1:77" x14ac:dyDescent="0.25">
      <c r="A55" s="66" t="s">
        <v>1078</v>
      </c>
      <c r="B55" s="49">
        <v>1.9999999999999999E-7</v>
      </c>
      <c r="C55" s="42">
        <f t="shared" ref="C55:AH55" si="76">IFERROR(C24/$B55,0)</f>
        <v>0</v>
      </c>
      <c r="D55" s="42">
        <f t="shared" si="76"/>
        <v>0</v>
      </c>
      <c r="E55" s="42">
        <f t="shared" si="76"/>
        <v>0</v>
      </c>
      <c r="F55" s="42">
        <f t="shared" si="76"/>
        <v>0</v>
      </c>
      <c r="G55" s="42">
        <f t="shared" si="76"/>
        <v>0</v>
      </c>
      <c r="H55" s="42">
        <f t="shared" si="76"/>
        <v>0</v>
      </c>
      <c r="I55" s="42">
        <f t="shared" si="76"/>
        <v>0</v>
      </c>
      <c r="J55" s="42">
        <f t="shared" si="76"/>
        <v>0</v>
      </c>
      <c r="K55" s="42">
        <f t="shared" si="76"/>
        <v>0</v>
      </c>
      <c r="L55" s="42">
        <f t="shared" si="76"/>
        <v>0</v>
      </c>
      <c r="M55" s="42">
        <f t="shared" si="76"/>
        <v>0</v>
      </c>
      <c r="N55" s="42">
        <f t="shared" si="76"/>
        <v>0</v>
      </c>
      <c r="O55" s="42">
        <f t="shared" si="76"/>
        <v>0</v>
      </c>
      <c r="P55" s="42">
        <f t="shared" si="76"/>
        <v>0</v>
      </c>
      <c r="Q55" s="42">
        <f t="shared" si="76"/>
        <v>0</v>
      </c>
      <c r="R55" s="42">
        <f t="shared" si="76"/>
        <v>0</v>
      </c>
      <c r="S55" s="42">
        <f t="shared" si="76"/>
        <v>0</v>
      </c>
      <c r="T55" s="42">
        <f t="shared" si="76"/>
        <v>0</v>
      </c>
      <c r="U55" s="42">
        <f t="shared" si="76"/>
        <v>0</v>
      </c>
      <c r="V55" s="42">
        <f t="shared" si="76"/>
        <v>0</v>
      </c>
      <c r="W55" s="42">
        <f t="shared" si="76"/>
        <v>0</v>
      </c>
      <c r="X55" s="42">
        <f t="shared" si="76"/>
        <v>0</v>
      </c>
      <c r="Y55" s="42">
        <f t="shared" si="76"/>
        <v>0</v>
      </c>
      <c r="Z55" s="42">
        <f t="shared" si="76"/>
        <v>0</v>
      </c>
      <c r="AA55" s="42">
        <f t="shared" si="76"/>
        <v>0</v>
      </c>
      <c r="AB55" s="42">
        <f t="shared" si="76"/>
        <v>0</v>
      </c>
      <c r="AC55" s="42">
        <f t="shared" si="76"/>
        <v>0</v>
      </c>
      <c r="AD55" s="42">
        <f t="shared" si="76"/>
        <v>0</v>
      </c>
      <c r="AE55" s="42">
        <f t="shared" si="76"/>
        <v>0</v>
      </c>
      <c r="AF55" s="42">
        <f t="shared" si="76"/>
        <v>0</v>
      </c>
      <c r="AG55" s="42">
        <f t="shared" si="76"/>
        <v>0</v>
      </c>
      <c r="AH55" s="42">
        <f t="shared" si="76"/>
        <v>0</v>
      </c>
      <c r="AI55" s="42">
        <f t="shared" ref="AI55:AZ55" si="77">IFERROR(AI24/$B55,0)</f>
        <v>0</v>
      </c>
      <c r="AJ55" s="42">
        <f t="shared" si="77"/>
        <v>0</v>
      </c>
      <c r="AK55" s="42">
        <f t="shared" si="77"/>
        <v>0</v>
      </c>
      <c r="AL55" s="42">
        <f t="shared" si="77"/>
        <v>0</v>
      </c>
      <c r="AM55" s="42">
        <f t="shared" si="77"/>
        <v>0</v>
      </c>
      <c r="AN55" s="42">
        <f t="shared" si="77"/>
        <v>0</v>
      </c>
      <c r="AO55" s="42">
        <f t="shared" si="77"/>
        <v>0</v>
      </c>
      <c r="AP55" s="42">
        <f t="shared" si="77"/>
        <v>0</v>
      </c>
      <c r="AQ55" s="42">
        <f t="shared" si="77"/>
        <v>0</v>
      </c>
      <c r="AR55" s="42">
        <f t="shared" si="77"/>
        <v>0</v>
      </c>
      <c r="AS55" s="42">
        <f t="shared" si="77"/>
        <v>0</v>
      </c>
      <c r="AT55" s="42">
        <f t="shared" si="77"/>
        <v>0</v>
      </c>
      <c r="AU55" s="42">
        <f t="shared" si="77"/>
        <v>0</v>
      </c>
      <c r="AV55" s="42">
        <f t="shared" si="77"/>
        <v>0</v>
      </c>
      <c r="AW55" s="42">
        <f t="shared" si="77"/>
        <v>0</v>
      </c>
      <c r="AX55" s="42">
        <f t="shared" si="77"/>
        <v>0</v>
      </c>
      <c r="AY55" s="42">
        <f t="shared" si="77"/>
        <v>0</v>
      </c>
      <c r="AZ55" s="42">
        <f t="shared" si="77"/>
        <v>0</v>
      </c>
      <c r="BA55" s="34">
        <f t="shared" si="29"/>
        <v>2.2687499999999999E-2</v>
      </c>
      <c r="BB55" s="34">
        <f>IFERROR(up_RadSpec!$J$24*(BB24*$B55),".")</f>
        <v>7.5624999999999998E-3</v>
      </c>
      <c r="BC55" s="34">
        <f>IFERROR(up_RadSpec!$J$24*(BC24*$B55),".")</f>
        <v>7.5624999999999998E-3</v>
      </c>
      <c r="BD55" s="34">
        <f>IFERROR(up_RadSpec!$J$24*(BD24*$B55),".")</f>
        <v>7.5624999999999998E-3</v>
      </c>
      <c r="BE55" s="34">
        <f>IFERROR(up_RadSpec!$J$24*(BE24*$B55),".")</f>
        <v>7.5624999999999998E-3</v>
      </c>
      <c r="BF55" s="34">
        <f>IFERROR(up_RadSpec!$J$24*(BF24*$B55),".")</f>
        <v>7.5624999999999998E-3</v>
      </c>
      <c r="BG55" s="34">
        <f>IFERROR(up_RadSpec!$J$24*(BG24*$B55),".")</f>
        <v>7.5624999999999998E-3</v>
      </c>
      <c r="BH55" s="34">
        <f>IFERROR(up_RadSpec!$J$24*(BH24*$B55),".")</f>
        <v>7.5624999999999998E-3</v>
      </c>
      <c r="BI55" s="34">
        <f>IFERROR(up_RadSpec!$J$24*(BI24*$B55),".")</f>
        <v>7.5624999999999998E-3</v>
      </c>
      <c r="BJ55" s="34">
        <f>IFERROR(up_RadSpec!$J$24*(BJ24*$B55),".")</f>
        <v>7.5624999999999998E-3</v>
      </c>
      <c r="BK55" s="34">
        <f>IFERROR(up_RadSpec!$J$24*(BK24*$B55),".")</f>
        <v>7.5624999999999998E-3</v>
      </c>
      <c r="BL55" s="34">
        <f>IFERROR(up_RadSpec!$J$24*(BL24*$B55),".")</f>
        <v>7.5624999999999998E-3</v>
      </c>
      <c r="BM55" s="34">
        <f>IFERROR(up_RadSpec!$J$24*(BM24*$B55),".")</f>
        <v>7.5624999999999998E-3</v>
      </c>
      <c r="BN55" s="34">
        <f>IFERROR(up_RadSpec!$J$24*(BN24*$B55),".")</f>
        <v>7.5624999999999998E-3</v>
      </c>
      <c r="BO55" s="34">
        <f>IFERROR(up_RadSpec!$J$24*(BO24*$B55),".")</f>
        <v>7.5624999999999998E-3</v>
      </c>
      <c r="BP55" s="34">
        <f>IFERROR(up_RadSpec!$J$24*(BP24*$B55),".")</f>
        <v>7.5624999999999998E-3</v>
      </c>
      <c r="BQ55" s="34">
        <f>IFERROR(up_RadSpec!$J$24*(BQ24*$B55),".")</f>
        <v>7.5624999999999998E-3</v>
      </c>
      <c r="BR55" s="34">
        <f>IFERROR(up_RadSpec!$J$24*(BR24*$B55),".")</f>
        <v>7.5624999999999998E-3</v>
      </c>
      <c r="BS55" s="34">
        <f>IFERROR(up_RadSpec!$J$24*(BS24*$B55),".")</f>
        <v>7.5624999999999998E-3</v>
      </c>
      <c r="BT55" s="34">
        <f>IFERROR(up_RadSpec!$J$24*(BT24*$B55),".")</f>
        <v>7.5624999999999998E-3</v>
      </c>
      <c r="BU55" s="34">
        <f>IFERROR(up_RadSpec!$J$24*(BU24*$B55),".")</f>
        <v>7.5624999999999998E-3</v>
      </c>
      <c r="BV55" s="34">
        <f>IFERROR(up_RadSpec!$J$24*(BV24*$B55),".")</f>
        <v>7.5624999999999998E-3</v>
      </c>
      <c r="BW55" s="34">
        <f>IFERROR(up_RadSpec!$J$24*(BW24*$B55),".")</f>
        <v>7.5624999999999998E-3</v>
      </c>
      <c r="BX55" s="34">
        <f>IFERROR(up_RadSpec!$J$24*(BX24*$B55),".")</f>
        <v>7.5624999999999998E-3</v>
      </c>
      <c r="BY55" s="34">
        <f>IFERROR(up_RadSpec!$J$24*(BY24*$B55),".")</f>
        <v>7.5624999999999998E-3</v>
      </c>
    </row>
    <row r="56" spans="1:77" x14ac:dyDescent="0.25">
      <c r="A56" s="66" t="s">
        <v>1079</v>
      </c>
      <c r="B56" s="49">
        <v>0.99979000004200003</v>
      </c>
      <c r="C56" s="42">
        <f t="shared" ref="C56:AH56" si="78">IFERROR(C20/$B56,0)</f>
        <v>0</v>
      </c>
      <c r="D56" s="42">
        <f t="shared" si="78"/>
        <v>0</v>
      </c>
      <c r="E56" s="42">
        <f t="shared" si="78"/>
        <v>0</v>
      </c>
      <c r="F56" s="42">
        <f t="shared" si="78"/>
        <v>0</v>
      </c>
      <c r="G56" s="42">
        <f t="shared" si="78"/>
        <v>0</v>
      </c>
      <c r="H56" s="42">
        <f t="shared" si="78"/>
        <v>0</v>
      </c>
      <c r="I56" s="42">
        <f t="shared" si="78"/>
        <v>0</v>
      </c>
      <c r="J56" s="42">
        <f t="shared" si="78"/>
        <v>0</v>
      </c>
      <c r="K56" s="42">
        <f t="shared" si="78"/>
        <v>0</v>
      </c>
      <c r="L56" s="42">
        <f t="shared" si="78"/>
        <v>0</v>
      </c>
      <c r="M56" s="42">
        <f t="shared" si="78"/>
        <v>0</v>
      </c>
      <c r="N56" s="42">
        <f t="shared" si="78"/>
        <v>0</v>
      </c>
      <c r="O56" s="42">
        <f t="shared" si="78"/>
        <v>0</v>
      </c>
      <c r="P56" s="42">
        <f t="shared" si="78"/>
        <v>0</v>
      </c>
      <c r="Q56" s="42">
        <f t="shared" si="78"/>
        <v>0</v>
      </c>
      <c r="R56" s="42">
        <f t="shared" si="78"/>
        <v>0</v>
      </c>
      <c r="S56" s="42">
        <f t="shared" si="78"/>
        <v>0</v>
      </c>
      <c r="T56" s="42">
        <f t="shared" si="78"/>
        <v>0</v>
      </c>
      <c r="U56" s="42">
        <f t="shared" si="78"/>
        <v>0</v>
      </c>
      <c r="V56" s="42">
        <f t="shared" si="78"/>
        <v>0</v>
      </c>
      <c r="W56" s="42">
        <f t="shared" si="78"/>
        <v>0</v>
      </c>
      <c r="X56" s="42">
        <f t="shared" si="78"/>
        <v>0</v>
      </c>
      <c r="Y56" s="42">
        <f t="shared" si="78"/>
        <v>0</v>
      </c>
      <c r="Z56" s="42">
        <f t="shared" si="78"/>
        <v>0</v>
      </c>
      <c r="AA56" s="42">
        <f t="shared" si="78"/>
        <v>0</v>
      </c>
      <c r="AB56" s="42">
        <f t="shared" si="78"/>
        <v>0</v>
      </c>
      <c r="AC56" s="42">
        <f t="shared" si="78"/>
        <v>0</v>
      </c>
      <c r="AD56" s="42">
        <f t="shared" si="78"/>
        <v>0</v>
      </c>
      <c r="AE56" s="42">
        <f t="shared" si="78"/>
        <v>0</v>
      </c>
      <c r="AF56" s="42">
        <f t="shared" si="78"/>
        <v>0</v>
      </c>
      <c r="AG56" s="42">
        <f t="shared" si="78"/>
        <v>0</v>
      </c>
      <c r="AH56" s="42">
        <f t="shared" si="78"/>
        <v>0</v>
      </c>
      <c r="AI56" s="42">
        <f t="shared" ref="AI56:AZ56" si="79">IFERROR(AI20/$B56,0)</f>
        <v>0</v>
      </c>
      <c r="AJ56" s="42">
        <f t="shared" si="79"/>
        <v>0</v>
      </c>
      <c r="AK56" s="42">
        <f t="shared" si="79"/>
        <v>0</v>
      </c>
      <c r="AL56" s="42">
        <f t="shared" si="79"/>
        <v>0</v>
      </c>
      <c r="AM56" s="42">
        <f t="shared" si="79"/>
        <v>0</v>
      </c>
      <c r="AN56" s="42">
        <f t="shared" si="79"/>
        <v>0</v>
      </c>
      <c r="AO56" s="42">
        <f t="shared" si="79"/>
        <v>0</v>
      </c>
      <c r="AP56" s="42">
        <f t="shared" si="79"/>
        <v>0</v>
      </c>
      <c r="AQ56" s="42">
        <f t="shared" si="79"/>
        <v>0</v>
      </c>
      <c r="AR56" s="42">
        <f t="shared" si="79"/>
        <v>0</v>
      </c>
      <c r="AS56" s="42">
        <f t="shared" si="79"/>
        <v>0</v>
      </c>
      <c r="AT56" s="42">
        <f t="shared" si="79"/>
        <v>0</v>
      </c>
      <c r="AU56" s="42">
        <f t="shared" si="79"/>
        <v>0</v>
      </c>
      <c r="AV56" s="42">
        <f t="shared" si="79"/>
        <v>0</v>
      </c>
      <c r="AW56" s="42">
        <f t="shared" si="79"/>
        <v>0</v>
      </c>
      <c r="AX56" s="42">
        <f t="shared" si="79"/>
        <v>0</v>
      </c>
      <c r="AY56" s="42">
        <f t="shared" si="79"/>
        <v>0</v>
      </c>
      <c r="AZ56" s="42">
        <f t="shared" si="79"/>
        <v>0</v>
      </c>
      <c r="BA56" s="34">
        <f t="shared" si="29"/>
        <v>113413.67812976439</v>
      </c>
      <c r="BB56" s="34">
        <f>IFERROR(up_RadSpec!$J$20*(BB20*$B56),".")</f>
        <v>37804.559376588128</v>
      </c>
      <c r="BC56" s="34">
        <f>IFERROR(up_RadSpec!$J$20*(BC20*$B56),".")</f>
        <v>37804.559376588128</v>
      </c>
      <c r="BD56" s="34">
        <f>IFERROR(up_RadSpec!$J$20*(BD20*$B56),".")</f>
        <v>37804.559376588128</v>
      </c>
      <c r="BE56" s="34">
        <f>IFERROR(up_RadSpec!$J$20*(BE20*$B56),".")</f>
        <v>37804.559376588128</v>
      </c>
      <c r="BF56" s="34">
        <f>IFERROR(up_RadSpec!$J$20*(BF20*$B56),".")</f>
        <v>37804.559376588128</v>
      </c>
      <c r="BG56" s="34">
        <f>IFERROR(up_RadSpec!$J$20*(BG20*$B56),".")</f>
        <v>37804.559376588128</v>
      </c>
      <c r="BH56" s="34">
        <f>IFERROR(up_RadSpec!$J$20*(BH20*$B56),".")</f>
        <v>37804.559376588128</v>
      </c>
      <c r="BI56" s="34">
        <f>IFERROR(up_RadSpec!$J$20*(BI20*$B56),".")</f>
        <v>37804.559376588128</v>
      </c>
      <c r="BJ56" s="34">
        <f>IFERROR(up_RadSpec!$J$20*(BJ20*$B56),".")</f>
        <v>37804.559376588128</v>
      </c>
      <c r="BK56" s="34">
        <f>IFERROR(up_RadSpec!$J$20*(BK20*$B56),".")</f>
        <v>37804.559376588128</v>
      </c>
      <c r="BL56" s="34">
        <f>IFERROR(up_RadSpec!$J$20*(BL20*$B56),".")</f>
        <v>37804.559376588128</v>
      </c>
      <c r="BM56" s="34">
        <f>IFERROR(up_RadSpec!$J$20*(BM20*$B56),".")</f>
        <v>37804.559376588128</v>
      </c>
      <c r="BN56" s="34">
        <f>IFERROR(up_RadSpec!$J$20*(BN20*$B56),".")</f>
        <v>37804.559376588128</v>
      </c>
      <c r="BO56" s="34">
        <f>IFERROR(up_RadSpec!$J$20*(BO20*$B56),".")</f>
        <v>37804.559376588128</v>
      </c>
      <c r="BP56" s="34">
        <f>IFERROR(up_RadSpec!$J$20*(BP20*$B56),".")</f>
        <v>37804.559376588128</v>
      </c>
      <c r="BQ56" s="34">
        <f>IFERROR(up_RadSpec!$J$20*(BQ20*$B56),".")</f>
        <v>37804.559376588128</v>
      </c>
      <c r="BR56" s="34">
        <f>IFERROR(up_RadSpec!$J$20*(BR20*$B56),".")</f>
        <v>37804.559376588128</v>
      </c>
      <c r="BS56" s="34">
        <f>IFERROR(up_RadSpec!$J$20*(BS20*$B56),".")</f>
        <v>37804.559376588128</v>
      </c>
      <c r="BT56" s="34">
        <f>IFERROR(up_RadSpec!$J$20*(BT20*$B56),".")</f>
        <v>37804.559376588128</v>
      </c>
      <c r="BU56" s="34">
        <f>IFERROR(up_RadSpec!$J$20*(BU20*$B56),".")</f>
        <v>37804.559376588128</v>
      </c>
      <c r="BV56" s="34">
        <f>IFERROR(up_RadSpec!$J$20*(BV20*$B56),".")</f>
        <v>37804.559376588128</v>
      </c>
      <c r="BW56" s="34">
        <f>IFERROR(up_RadSpec!$J$20*(BW20*$B56),".")</f>
        <v>37804.559376588128</v>
      </c>
      <c r="BX56" s="34">
        <f>IFERROR(up_RadSpec!$J$20*(BX20*$B56),".")</f>
        <v>37804.559376588128</v>
      </c>
      <c r="BY56" s="34">
        <f>IFERROR(up_RadSpec!$J$20*(BY20*$B56),".")</f>
        <v>37804.559376588128</v>
      </c>
    </row>
    <row r="57" spans="1:77" x14ac:dyDescent="0.25">
      <c r="A57" s="66" t="s">
        <v>1080</v>
      </c>
      <c r="B57" s="49">
        <v>2.0999995799999999E-4</v>
      </c>
      <c r="C57" s="42">
        <f t="shared" ref="C57:AH57" si="80">IFERROR(C29/$B57,0)</f>
        <v>0</v>
      </c>
      <c r="D57" s="42">
        <f t="shared" si="80"/>
        <v>0</v>
      </c>
      <c r="E57" s="42">
        <f t="shared" si="80"/>
        <v>0</v>
      </c>
      <c r="F57" s="42">
        <f t="shared" si="80"/>
        <v>0</v>
      </c>
      <c r="G57" s="42">
        <f t="shared" si="80"/>
        <v>0</v>
      </c>
      <c r="H57" s="42">
        <f t="shared" si="80"/>
        <v>0</v>
      </c>
      <c r="I57" s="42">
        <f t="shared" si="80"/>
        <v>0</v>
      </c>
      <c r="J57" s="42">
        <f t="shared" si="80"/>
        <v>0</v>
      </c>
      <c r="K57" s="42">
        <f t="shared" si="80"/>
        <v>0</v>
      </c>
      <c r="L57" s="42">
        <f t="shared" si="80"/>
        <v>0</v>
      </c>
      <c r="M57" s="42">
        <f t="shared" si="80"/>
        <v>0</v>
      </c>
      <c r="N57" s="42">
        <f t="shared" si="80"/>
        <v>0</v>
      </c>
      <c r="O57" s="42">
        <f t="shared" si="80"/>
        <v>0</v>
      </c>
      <c r="P57" s="42">
        <f t="shared" si="80"/>
        <v>0</v>
      </c>
      <c r="Q57" s="42">
        <f t="shared" si="80"/>
        <v>0</v>
      </c>
      <c r="R57" s="42">
        <f t="shared" si="80"/>
        <v>0</v>
      </c>
      <c r="S57" s="42">
        <f t="shared" si="80"/>
        <v>0</v>
      </c>
      <c r="T57" s="42">
        <f t="shared" si="80"/>
        <v>0</v>
      </c>
      <c r="U57" s="42">
        <f t="shared" si="80"/>
        <v>0</v>
      </c>
      <c r="V57" s="42">
        <f t="shared" si="80"/>
        <v>0</v>
      </c>
      <c r="W57" s="42">
        <f t="shared" si="80"/>
        <v>0</v>
      </c>
      <c r="X57" s="42">
        <f t="shared" si="80"/>
        <v>0</v>
      </c>
      <c r="Y57" s="42">
        <f t="shared" si="80"/>
        <v>0</v>
      </c>
      <c r="Z57" s="42">
        <f t="shared" si="80"/>
        <v>0</v>
      </c>
      <c r="AA57" s="42">
        <f t="shared" si="80"/>
        <v>0</v>
      </c>
      <c r="AB57" s="42">
        <f t="shared" si="80"/>
        <v>0</v>
      </c>
      <c r="AC57" s="42">
        <f t="shared" si="80"/>
        <v>0</v>
      </c>
      <c r="AD57" s="42">
        <f t="shared" si="80"/>
        <v>0</v>
      </c>
      <c r="AE57" s="42">
        <f t="shared" si="80"/>
        <v>0</v>
      </c>
      <c r="AF57" s="42">
        <f t="shared" si="80"/>
        <v>0</v>
      </c>
      <c r="AG57" s="42">
        <f t="shared" si="80"/>
        <v>0</v>
      </c>
      <c r="AH57" s="42">
        <f t="shared" si="80"/>
        <v>0</v>
      </c>
      <c r="AI57" s="42">
        <f t="shared" ref="AI57:AZ57" si="81">IFERROR(AI29/$B57,0)</f>
        <v>0</v>
      </c>
      <c r="AJ57" s="42">
        <f t="shared" si="81"/>
        <v>0</v>
      </c>
      <c r="AK57" s="42">
        <f t="shared" si="81"/>
        <v>0</v>
      </c>
      <c r="AL57" s="42">
        <f t="shared" si="81"/>
        <v>0</v>
      </c>
      <c r="AM57" s="42">
        <f t="shared" si="81"/>
        <v>0</v>
      </c>
      <c r="AN57" s="42">
        <f t="shared" si="81"/>
        <v>0</v>
      </c>
      <c r="AO57" s="42">
        <f t="shared" si="81"/>
        <v>0</v>
      </c>
      <c r="AP57" s="42">
        <f t="shared" si="81"/>
        <v>0</v>
      </c>
      <c r="AQ57" s="42">
        <f t="shared" si="81"/>
        <v>0</v>
      </c>
      <c r="AR57" s="42">
        <f t="shared" si="81"/>
        <v>0</v>
      </c>
      <c r="AS57" s="42">
        <f t="shared" si="81"/>
        <v>0</v>
      </c>
      <c r="AT57" s="42">
        <f t="shared" si="81"/>
        <v>0</v>
      </c>
      <c r="AU57" s="42">
        <f t="shared" si="81"/>
        <v>0</v>
      </c>
      <c r="AV57" s="42">
        <f t="shared" si="81"/>
        <v>0</v>
      </c>
      <c r="AW57" s="42">
        <f t="shared" si="81"/>
        <v>0</v>
      </c>
      <c r="AX57" s="42">
        <f t="shared" si="81"/>
        <v>0</v>
      </c>
      <c r="AY57" s="42">
        <f t="shared" si="81"/>
        <v>0</v>
      </c>
      <c r="AZ57" s="42">
        <f t="shared" si="81"/>
        <v>0</v>
      </c>
      <c r="BA57" s="34">
        <f t="shared" si="29"/>
        <v>23.821870235624999</v>
      </c>
      <c r="BB57" s="34">
        <f>IFERROR(up_RadSpec!$J$29*(BB29*$B57),".")</f>
        <v>7.9406234118749994</v>
      </c>
      <c r="BC57" s="34">
        <f>IFERROR(up_RadSpec!$J$29*(BC29*$B57),".")</f>
        <v>7.9406234118749994</v>
      </c>
      <c r="BD57" s="34">
        <f>IFERROR(up_RadSpec!$J$29*(BD29*$B57),".")</f>
        <v>7.9406234118749994</v>
      </c>
      <c r="BE57" s="34">
        <f>IFERROR(up_RadSpec!$J$29*(BE29*$B57),".")</f>
        <v>7.9406234118749994</v>
      </c>
      <c r="BF57" s="34">
        <f>IFERROR(up_RadSpec!$J$29*(BF29*$B57),".")</f>
        <v>7.9406234118749994</v>
      </c>
      <c r="BG57" s="34">
        <f>IFERROR(up_RadSpec!$J$29*(BG29*$B57),".")</f>
        <v>7.9406234118749994</v>
      </c>
      <c r="BH57" s="34">
        <f>IFERROR(up_RadSpec!$J$29*(BH29*$B57),".")</f>
        <v>7.9406234118749994</v>
      </c>
      <c r="BI57" s="34">
        <f>IFERROR(up_RadSpec!$J$29*(BI29*$B57),".")</f>
        <v>7.9406234118749994</v>
      </c>
      <c r="BJ57" s="34">
        <f>IFERROR(up_RadSpec!$J$29*(BJ29*$B57),".")</f>
        <v>7.9406234118749994</v>
      </c>
      <c r="BK57" s="34">
        <f>IFERROR(up_RadSpec!$J$29*(BK29*$B57),".")</f>
        <v>7.9406234118749994</v>
      </c>
      <c r="BL57" s="34">
        <f>IFERROR(up_RadSpec!$J$29*(BL29*$B57),".")</f>
        <v>7.9406234118749994</v>
      </c>
      <c r="BM57" s="34">
        <f>IFERROR(up_RadSpec!$J$29*(BM29*$B57),".")</f>
        <v>7.9406234118749994</v>
      </c>
      <c r="BN57" s="34">
        <f>IFERROR(up_RadSpec!$J$29*(BN29*$B57),".")</f>
        <v>7.9406234118749994</v>
      </c>
      <c r="BO57" s="34">
        <f>IFERROR(up_RadSpec!$J$29*(BO29*$B57),".")</f>
        <v>7.9406234118749994</v>
      </c>
      <c r="BP57" s="34">
        <f>IFERROR(up_RadSpec!$J$29*(BP29*$B57),".")</f>
        <v>7.9406234118749994</v>
      </c>
      <c r="BQ57" s="34">
        <f>IFERROR(up_RadSpec!$J$29*(BQ29*$B57),".")</f>
        <v>7.9406234118749994</v>
      </c>
      <c r="BR57" s="34">
        <f>IFERROR(up_RadSpec!$J$29*(BR29*$B57),".")</f>
        <v>7.9406234118749994</v>
      </c>
      <c r="BS57" s="34">
        <f>IFERROR(up_RadSpec!$J$29*(BS29*$B57),".")</f>
        <v>7.9406234118749994</v>
      </c>
      <c r="BT57" s="34">
        <f>IFERROR(up_RadSpec!$J$29*(BT29*$B57),".")</f>
        <v>7.9406234118749994</v>
      </c>
      <c r="BU57" s="34">
        <f>IFERROR(up_RadSpec!$J$29*(BU29*$B57),".")</f>
        <v>7.9406234118749994</v>
      </c>
      <c r="BV57" s="34">
        <f>IFERROR(up_RadSpec!$J$29*(BV29*$B57),".")</f>
        <v>7.9406234118749994</v>
      </c>
      <c r="BW57" s="34">
        <f>IFERROR(up_RadSpec!$J$29*(BW29*$B57),".")</f>
        <v>7.9406234118749994</v>
      </c>
      <c r="BX57" s="34">
        <f>IFERROR(up_RadSpec!$J$29*(BX29*$B57),".")</f>
        <v>7.9406234118749994</v>
      </c>
      <c r="BY57" s="34">
        <f>IFERROR(up_RadSpec!$J$29*(BY29*$B57),".")</f>
        <v>7.9406234118749994</v>
      </c>
    </row>
    <row r="58" spans="1:77" x14ac:dyDescent="0.25">
      <c r="A58" s="66" t="s">
        <v>1081</v>
      </c>
      <c r="B58" s="49">
        <v>1</v>
      </c>
      <c r="C58" s="42">
        <f t="shared" ref="C58:AH58" si="82">IFERROR(C16/$B58,0)</f>
        <v>0.29197890160457007</v>
      </c>
      <c r="D58" s="42">
        <f t="shared" si="82"/>
        <v>0.87593670481371022</v>
      </c>
      <c r="E58" s="42">
        <f t="shared" si="82"/>
        <v>0.87593670481371022</v>
      </c>
      <c r="F58" s="42">
        <f t="shared" si="82"/>
        <v>0.87593670481371022</v>
      </c>
      <c r="G58" s="42">
        <f t="shared" si="82"/>
        <v>0.87593670481371022</v>
      </c>
      <c r="H58" s="42">
        <f t="shared" si="82"/>
        <v>0.87593670481371022</v>
      </c>
      <c r="I58" s="42">
        <f t="shared" si="82"/>
        <v>0.87593670481371022</v>
      </c>
      <c r="J58" s="42">
        <f t="shared" si="82"/>
        <v>0.87593670481371022</v>
      </c>
      <c r="K58" s="42">
        <f t="shared" si="82"/>
        <v>0.87593670481371022</v>
      </c>
      <c r="L58" s="42">
        <f t="shared" si="82"/>
        <v>0.87593670481371022</v>
      </c>
      <c r="M58" s="42">
        <f t="shared" si="82"/>
        <v>0.87593670481371022</v>
      </c>
      <c r="N58" s="42">
        <f t="shared" si="82"/>
        <v>0.87593670481371022</v>
      </c>
      <c r="O58" s="42">
        <f t="shared" si="82"/>
        <v>0.87593670481371022</v>
      </c>
      <c r="P58" s="42">
        <f t="shared" si="82"/>
        <v>0.87593670481371022</v>
      </c>
      <c r="Q58" s="42">
        <f t="shared" si="82"/>
        <v>0.87593670481371022</v>
      </c>
      <c r="R58" s="42">
        <f t="shared" si="82"/>
        <v>0.87593670481371022</v>
      </c>
      <c r="S58" s="42">
        <f t="shared" si="82"/>
        <v>0.87593670481371022</v>
      </c>
      <c r="T58" s="42">
        <f t="shared" si="82"/>
        <v>0.87593670481371022</v>
      </c>
      <c r="U58" s="42">
        <f t="shared" si="82"/>
        <v>0.87593670481371022</v>
      </c>
      <c r="V58" s="42">
        <f t="shared" si="82"/>
        <v>0.87593670481371022</v>
      </c>
      <c r="W58" s="42">
        <f t="shared" si="82"/>
        <v>0.87593670481371022</v>
      </c>
      <c r="X58" s="42">
        <f t="shared" si="82"/>
        <v>0.87593670481371022</v>
      </c>
      <c r="Y58" s="42">
        <f t="shared" si="82"/>
        <v>0.87593670481371022</v>
      </c>
      <c r="Z58" s="42">
        <f t="shared" si="82"/>
        <v>0.87593670481371022</v>
      </c>
      <c r="AA58" s="42">
        <f t="shared" si="82"/>
        <v>0.87593670481371022</v>
      </c>
      <c r="AB58" s="42">
        <f t="shared" si="82"/>
        <v>0.29197890160457007</v>
      </c>
      <c r="AC58" s="42">
        <f t="shared" si="82"/>
        <v>0.87593670481371022</v>
      </c>
      <c r="AD58" s="42">
        <f t="shared" si="82"/>
        <v>0.87593670481371022</v>
      </c>
      <c r="AE58" s="42">
        <f t="shared" si="82"/>
        <v>0.87593670481371022</v>
      </c>
      <c r="AF58" s="42">
        <f t="shared" si="82"/>
        <v>0.87593670481371022</v>
      </c>
      <c r="AG58" s="42">
        <f t="shared" si="82"/>
        <v>0.87593670481371022</v>
      </c>
      <c r="AH58" s="42">
        <f t="shared" si="82"/>
        <v>0.87593670481371022</v>
      </c>
      <c r="AI58" s="42">
        <f t="shared" ref="AI58:AZ58" si="83">IFERROR(AI16/$B58,0)</f>
        <v>0.87593670481371022</v>
      </c>
      <c r="AJ58" s="42">
        <f t="shared" si="83"/>
        <v>0.87593670481371022</v>
      </c>
      <c r="AK58" s="42">
        <f t="shared" si="83"/>
        <v>0.87593670481371022</v>
      </c>
      <c r="AL58" s="42">
        <f t="shared" si="83"/>
        <v>0.87593670481371022</v>
      </c>
      <c r="AM58" s="42">
        <f t="shared" si="83"/>
        <v>0.87593670481371022</v>
      </c>
      <c r="AN58" s="42">
        <f t="shared" si="83"/>
        <v>0.87593670481371022</v>
      </c>
      <c r="AO58" s="42">
        <f t="shared" si="83"/>
        <v>0.87593670481371022</v>
      </c>
      <c r="AP58" s="42">
        <f t="shared" si="83"/>
        <v>0.87593670481371022</v>
      </c>
      <c r="AQ58" s="42">
        <f t="shared" si="83"/>
        <v>0.87593670481371022</v>
      </c>
      <c r="AR58" s="42">
        <f t="shared" si="83"/>
        <v>0.87593670481371022</v>
      </c>
      <c r="AS58" s="42">
        <f t="shared" si="83"/>
        <v>0.87593670481371022</v>
      </c>
      <c r="AT58" s="42">
        <f t="shared" si="83"/>
        <v>0.87593670481371022</v>
      </c>
      <c r="AU58" s="42">
        <f t="shared" si="83"/>
        <v>0.87593670481371022</v>
      </c>
      <c r="AV58" s="42">
        <f t="shared" si="83"/>
        <v>0.87593670481371022</v>
      </c>
      <c r="AW58" s="42">
        <f t="shared" si="83"/>
        <v>0.87593670481371022</v>
      </c>
      <c r="AX58" s="42">
        <f t="shared" si="83"/>
        <v>0.87593670481371022</v>
      </c>
      <c r="AY58" s="42">
        <f t="shared" si="83"/>
        <v>0.87593670481371022</v>
      </c>
      <c r="AZ58" s="42">
        <f t="shared" si="83"/>
        <v>0.87593670481371022</v>
      </c>
      <c r="BA58" s="34">
        <f t="shared" si="29"/>
        <v>113437.5</v>
      </c>
      <c r="BB58" s="34">
        <f>IFERROR(up_RadSpec!$J$16*(BB16*$B58),".")</f>
        <v>37812.5</v>
      </c>
      <c r="BC58" s="34">
        <f>IFERROR(up_RadSpec!$J$16*(BC16*$B58),".")</f>
        <v>37812.5</v>
      </c>
      <c r="BD58" s="34">
        <f>IFERROR(up_RadSpec!$J$16*(BD16*$B58),".")</f>
        <v>37812.5</v>
      </c>
      <c r="BE58" s="34">
        <f>IFERROR(up_RadSpec!$J$16*(BE16*$B58),".")</f>
        <v>37812.5</v>
      </c>
      <c r="BF58" s="34">
        <f>IFERROR(up_RadSpec!$J$16*(BF16*$B58),".")</f>
        <v>37812.5</v>
      </c>
      <c r="BG58" s="34">
        <f>IFERROR(up_RadSpec!$J$16*(BG16*$B58),".")</f>
        <v>37812.5</v>
      </c>
      <c r="BH58" s="34">
        <f>IFERROR(up_RadSpec!$J$16*(BH16*$B58),".")</f>
        <v>37812.5</v>
      </c>
      <c r="BI58" s="34">
        <f>IFERROR(up_RadSpec!$J$16*(BI16*$B58),".")</f>
        <v>37812.5</v>
      </c>
      <c r="BJ58" s="34">
        <f>IFERROR(up_RadSpec!$J$16*(BJ16*$B58),".")</f>
        <v>37812.5</v>
      </c>
      <c r="BK58" s="34">
        <f>IFERROR(up_RadSpec!$J$16*(BK16*$B58),".")</f>
        <v>37812.5</v>
      </c>
      <c r="BL58" s="34">
        <f>IFERROR(up_RadSpec!$J$16*(BL16*$B58),".")</f>
        <v>37812.5</v>
      </c>
      <c r="BM58" s="34">
        <f>IFERROR(up_RadSpec!$J$16*(BM16*$B58),".")</f>
        <v>37812.5</v>
      </c>
      <c r="BN58" s="34">
        <f>IFERROR(up_RadSpec!$J$16*(BN16*$B58),".")</f>
        <v>37812.5</v>
      </c>
      <c r="BO58" s="34">
        <f>IFERROR(up_RadSpec!$J$16*(BO16*$B58),".")</f>
        <v>37812.5</v>
      </c>
      <c r="BP58" s="34">
        <f>IFERROR(up_RadSpec!$J$16*(BP16*$B58),".")</f>
        <v>37812.5</v>
      </c>
      <c r="BQ58" s="34">
        <f>IFERROR(up_RadSpec!$J$16*(BQ16*$B58),".")</f>
        <v>37812.5</v>
      </c>
      <c r="BR58" s="34">
        <f>IFERROR(up_RadSpec!$J$16*(BR16*$B58),".")</f>
        <v>37812.5</v>
      </c>
      <c r="BS58" s="34">
        <f>IFERROR(up_RadSpec!$J$16*(BS16*$B58),".")</f>
        <v>37812.5</v>
      </c>
      <c r="BT58" s="34">
        <f>IFERROR(up_RadSpec!$J$16*(BT16*$B58),".")</f>
        <v>37812.5</v>
      </c>
      <c r="BU58" s="34">
        <f>IFERROR(up_RadSpec!$J$16*(BU16*$B58),".")</f>
        <v>37812.5</v>
      </c>
      <c r="BV58" s="34">
        <f>IFERROR(up_RadSpec!$J$16*(BV16*$B58),".")</f>
        <v>37812.5</v>
      </c>
      <c r="BW58" s="34">
        <f>IFERROR(up_RadSpec!$J$16*(BW16*$B58),".")</f>
        <v>37812.5</v>
      </c>
      <c r="BX58" s="34">
        <f>IFERROR(up_RadSpec!$J$16*(BX16*$B58),".")</f>
        <v>37812.5</v>
      </c>
      <c r="BY58" s="34">
        <f>IFERROR(up_RadSpec!$J$16*(BY16*$B58),".")</f>
        <v>37812.5</v>
      </c>
    </row>
    <row r="59" spans="1:77" x14ac:dyDescent="0.25">
      <c r="A59" s="66" t="s">
        <v>1082</v>
      </c>
      <c r="B59" s="49">
        <v>1</v>
      </c>
      <c r="C59" s="42">
        <f t="shared" ref="C59:AH59" si="84">IFERROR(C7/$B59,0)</f>
        <v>165.45471090925639</v>
      </c>
      <c r="D59" s="42">
        <f t="shared" si="84"/>
        <v>496.36413272776917</v>
      </c>
      <c r="E59" s="42">
        <f t="shared" si="84"/>
        <v>496.36413272776917</v>
      </c>
      <c r="F59" s="42">
        <f t="shared" si="84"/>
        <v>496.36413272776917</v>
      </c>
      <c r="G59" s="42">
        <f t="shared" si="84"/>
        <v>496.36413272776917</v>
      </c>
      <c r="H59" s="42">
        <f t="shared" si="84"/>
        <v>496.36413272776917</v>
      </c>
      <c r="I59" s="42">
        <f t="shared" si="84"/>
        <v>496.36413272776917</v>
      </c>
      <c r="J59" s="42">
        <f t="shared" si="84"/>
        <v>496.36413272776917</v>
      </c>
      <c r="K59" s="42">
        <f t="shared" si="84"/>
        <v>496.36413272776917</v>
      </c>
      <c r="L59" s="42">
        <f t="shared" si="84"/>
        <v>496.36413272776917</v>
      </c>
      <c r="M59" s="42">
        <f t="shared" si="84"/>
        <v>496.36413272776917</v>
      </c>
      <c r="N59" s="42">
        <f t="shared" si="84"/>
        <v>496.36413272776917</v>
      </c>
      <c r="O59" s="42">
        <f t="shared" si="84"/>
        <v>496.36413272776917</v>
      </c>
      <c r="P59" s="42">
        <f t="shared" si="84"/>
        <v>496.36413272776917</v>
      </c>
      <c r="Q59" s="42">
        <f t="shared" si="84"/>
        <v>496.36413272776917</v>
      </c>
      <c r="R59" s="42">
        <f t="shared" si="84"/>
        <v>496.36413272776917</v>
      </c>
      <c r="S59" s="42">
        <f t="shared" si="84"/>
        <v>496.36413272776917</v>
      </c>
      <c r="T59" s="42">
        <f t="shared" si="84"/>
        <v>496.36413272776917</v>
      </c>
      <c r="U59" s="42">
        <f t="shared" si="84"/>
        <v>496.36413272776917</v>
      </c>
      <c r="V59" s="42">
        <f t="shared" si="84"/>
        <v>496.36413272776917</v>
      </c>
      <c r="W59" s="42">
        <f t="shared" si="84"/>
        <v>496.36413272776917</v>
      </c>
      <c r="X59" s="42">
        <f t="shared" si="84"/>
        <v>496.36413272776917</v>
      </c>
      <c r="Y59" s="42">
        <f t="shared" si="84"/>
        <v>496.36413272776917</v>
      </c>
      <c r="Z59" s="42">
        <f t="shared" si="84"/>
        <v>496.36413272776917</v>
      </c>
      <c r="AA59" s="42">
        <f t="shared" si="84"/>
        <v>496.36413272776917</v>
      </c>
      <c r="AB59" s="42">
        <f t="shared" si="84"/>
        <v>165.45471090925639</v>
      </c>
      <c r="AC59" s="42">
        <f t="shared" si="84"/>
        <v>496.36413272776917</v>
      </c>
      <c r="AD59" s="42">
        <f t="shared" si="84"/>
        <v>496.36413272776917</v>
      </c>
      <c r="AE59" s="42">
        <f t="shared" si="84"/>
        <v>496.36413272776917</v>
      </c>
      <c r="AF59" s="42">
        <f t="shared" si="84"/>
        <v>496.36413272776917</v>
      </c>
      <c r="AG59" s="42">
        <f t="shared" si="84"/>
        <v>496.36413272776917</v>
      </c>
      <c r="AH59" s="42">
        <f t="shared" si="84"/>
        <v>496.36413272776917</v>
      </c>
      <c r="AI59" s="42">
        <f t="shared" ref="AI59:AZ59" si="85">IFERROR(AI7/$B59,0)</f>
        <v>496.36413272776917</v>
      </c>
      <c r="AJ59" s="42">
        <f t="shared" si="85"/>
        <v>496.36413272776917</v>
      </c>
      <c r="AK59" s="42">
        <f t="shared" si="85"/>
        <v>496.36413272776917</v>
      </c>
      <c r="AL59" s="42">
        <f t="shared" si="85"/>
        <v>496.36413272776917</v>
      </c>
      <c r="AM59" s="42">
        <f t="shared" si="85"/>
        <v>496.36413272776917</v>
      </c>
      <c r="AN59" s="42">
        <f t="shared" si="85"/>
        <v>496.36413272776917</v>
      </c>
      <c r="AO59" s="42">
        <f t="shared" si="85"/>
        <v>496.36413272776917</v>
      </c>
      <c r="AP59" s="42">
        <f t="shared" si="85"/>
        <v>496.36413272776917</v>
      </c>
      <c r="AQ59" s="42">
        <f t="shared" si="85"/>
        <v>496.36413272776917</v>
      </c>
      <c r="AR59" s="42">
        <f t="shared" si="85"/>
        <v>496.36413272776917</v>
      </c>
      <c r="AS59" s="42">
        <f t="shared" si="85"/>
        <v>496.36413272776917</v>
      </c>
      <c r="AT59" s="42">
        <f t="shared" si="85"/>
        <v>496.36413272776917</v>
      </c>
      <c r="AU59" s="42">
        <f t="shared" si="85"/>
        <v>496.36413272776917</v>
      </c>
      <c r="AV59" s="42">
        <f t="shared" si="85"/>
        <v>496.36413272776917</v>
      </c>
      <c r="AW59" s="42">
        <f t="shared" si="85"/>
        <v>496.36413272776917</v>
      </c>
      <c r="AX59" s="42">
        <f t="shared" si="85"/>
        <v>496.36413272776917</v>
      </c>
      <c r="AY59" s="42">
        <f t="shared" si="85"/>
        <v>496.36413272776917</v>
      </c>
      <c r="AZ59" s="42">
        <f t="shared" si="85"/>
        <v>496.36413272776917</v>
      </c>
      <c r="BA59" s="34">
        <f t="shared" si="29"/>
        <v>113437.5</v>
      </c>
      <c r="BB59" s="34">
        <f>IFERROR(up_RadSpec!$J$7*(BB7*$B59),".")</f>
        <v>37812.5</v>
      </c>
      <c r="BC59" s="34">
        <f>IFERROR(up_RadSpec!$J$7*(BC7*$B59),".")</f>
        <v>37812.5</v>
      </c>
      <c r="BD59" s="34">
        <f>IFERROR(up_RadSpec!$J$7*(BD7*$B59),".")</f>
        <v>37812.5</v>
      </c>
      <c r="BE59" s="34">
        <f>IFERROR(up_RadSpec!$J$7*(BE7*$B59),".")</f>
        <v>37812.5</v>
      </c>
      <c r="BF59" s="34">
        <f>IFERROR(up_RadSpec!$J$7*(BF7*$B59),".")</f>
        <v>37812.5</v>
      </c>
      <c r="BG59" s="34">
        <f>IFERROR(up_RadSpec!$J$7*(BG7*$B59),".")</f>
        <v>37812.5</v>
      </c>
      <c r="BH59" s="34">
        <f>IFERROR(up_RadSpec!$J$7*(BH7*$B59),".")</f>
        <v>37812.5</v>
      </c>
      <c r="BI59" s="34">
        <f>IFERROR(up_RadSpec!$J$7*(BI7*$B59),".")</f>
        <v>37812.5</v>
      </c>
      <c r="BJ59" s="34">
        <f>IFERROR(up_RadSpec!$J$7*(BJ7*$B59),".")</f>
        <v>37812.5</v>
      </c>
      <c r="BK59" s="34">
        <f>IFERROR(up_RadSpec!$J$7*(BK7*$B59),".")</f>
        <v>37812.5</v>
      </c>
      <c r="BL59" s="34">
        <f>IFERROR(up_RadSpec!$J$7*(BL7*$B59),".")</f>
        <v>37812.5</v>
      </c>
      <c r="BM59" s="34">
        <f>IFERROR(up_RadSpec!$J$7*(BM7*$B59),".")</f>
        <v>37812.5</v>
      </c>
      <c r="BN59" s="34">
        <f>IFERROR(up_RadSpec!$J$7*(BN7*$B59),".")</f>
        <v>37812.5</v>
      </c>
      <c r="BO59" s="34">
        <f>IFERROR(up_RadSpec!$J$7*(BO7*$B59),".")</f>
        <v>37812.5</v>
      </c>
      <c r="BP59" s="34">
        <f>IFERROR(up_RadSpec!$J$7*(BP7*$B59),".")</f>
        <v>37812.5</v>
      </c>
      <c r="BQ59" s="34">
        <f>IFERROR(up_RadSpec!$J$7*(BQ7*$B59),".")</f>
        <v>37812.5</v>
      </c>
      <c r="BR59" s="34">
        <f>IFERROR(up_RadSpec!$J$7*(BR7*$B59),".")</f>
        <v>37812.5</v>
      </c>
      <c r="BS59" s="34">
        <f>IFERROR(up_RadSpec!$J$7*(BS7*$B59),".")</f>
        <v>37812.5</v>
      </c>
      <c r="BT59" s="34">
        <f>IFERROR(up_RadSpec!$J$7*(BT7*$B59),".")</f>
        <v>37812.5</v>
      </c>
      <c r="BU59" s="34">
        <f>IFERROR(up_RadSpec!$J$7*(BU7*$B59),".")</f>
        <v>37812.5</v>
      </c>
      <c r="BV59" s="34">
        <f>IFERROR(up_RadSpec!$J$7*(BV7*$B59),".")</f>
        <v>37812.5</v>
      </c>
      <c r="BW59" s="34">
        <f>IFERROR(up_RadSpec!$J$7*(BW7*$B59),".")</f>
        <v>37812.5</v>
      </c>
      <c r="BX59" s="34">
        <f>IFERROR(up_RadSpec!$J$7*(BX7*$B59),".")</f>
        <v>37812.5</v>
      </c>
      <c r="BY59" s="34">
        <f>IFERROR(up_RadSpec!$J$7*(BY7*$B59),".")</f>
        <v>37812.5</v>
      </c>
    </row>
    <row r="60" spans="1:77" x14ac:dyDescent="0.25">
      <c r="A60" s="66" t="s">
        <v>1083</v>
      </c>
      <c r="B60" s="49">
        <v>1.9000000000000001E-8</v>
      </c>
      <c r="C60" s="42">
        <f t="shared" ref="C60:AH60" si="86">IFERROR(C12/$B60,0)</f>
        <v>0</v>
      </c>
      <c r="D60" s="42">
        <f t="shared" si="86"/>
        <v>0</v>
      </c>
      <c r="E60" s="42">
        <f t="shared" si="86"/>
        <v>0</v>
      </c>
      <c r="F60" s="42">
        <f t="shared" si="86"/>
        <v>0</v>
      </c>
      <c r="G60" s="42">
        <f t="shared" si="86"/>
        <v>0</v>
      </c>
      <c r="H60" s="42">
        <f t="shared" si="86"/>
        <v>0</v>
      </c>
      <c r="I60" s="42">
        <f t="shared" si="86"/>
        <v>0</v>
      </c>
      <c r="J60" s="42">
        <f t="shared" si="86"/>
        <v>0</v>
      </c>
      <c r="K60" s="42">
        <f t="shared" si="86"/>
        <v>0</v>
      </c>
      <c r="L60" s="42">
        <f t="shared" si="86"/>
        <v>0</v>
      </c>
      <c r="M60" s="42">
        <f t="shared" si="86"/>
        <v>0</v>
      </c>
      <c r="N60" s="42">
        <f t="shared" si="86"/>
        <v>0</v>
      </c>
      <c r="O60" s="42">
        <f t="shared" si="86"/>
        <v>0</v>
      </c>
      <c r="P60" s="42">
        <f t="shared" si="86"/>
        <v>0</v>
      </c>
      <c r="Q60" s="42">
        <f t="shared" si="86"/>
        <v>0</v>
      </c>
      <c r="R60" s="42">
        <f t="shared" si="86"/>
        <v>0</v>
      </c>
      <c r="S60" s="42">
        <f t="shared" si="86"/>
        <v>0</v>
      </c>
      <c r="T60" s="42">
        <f t="shared" si="86"/>
        <v>0</v>
      </c>
      <c r="U60" s="42">
        <f t="shared" si="86"/>
        <v>0</v>
      </c>
      <c r="V60" s="42">
        <f t="shared" si="86"/>
        <v>0</v>
      </c>
      <c r="W60" s="42">
        <f t="shared" si="86"/>
        <v>0</v>
      </c>
      <c r="X60" s="42">
        <f t="shared" si="86"/>
        <v>0</v>
      </c>
      <c r="Y60" s="42">
        <f t="shared" si="86"/>
        <v>0</v>
      </c>
      <c r="Z60" s="42">
        <f t="shared" si="86"/>
        <v>0</v>
      </c>
      <c r="AA60" s="42">
        <f t="shared" si="86"/>
        <v>0</v>
      </c>
      <c r="AB60" s="42">
        <f t="shared" si="86"/>
        <v>0</v>
      </c>
      <c r="AC60" s="42">
        <f t="shared" si="86"/>
        <v>0</v>
      </c>
      <c r="AD60" s="42">
        <f t="shared" si="86"/>
        <v>0</v>
      </c>
      <c r="AE60" s="42">
        <f t="shared" si="86"/>
        <v>0</v>
      </c>
      <c r="AF60" s="42">
        <f t="shared" si="86"/>
        <v>0</v>
      </c>
      <c r="AG60" s="42">
        <f t="shared" si="86"/>
        <v>0</v>
      </c>
      <c r="AH60" s="42">
        <f t="shared" si="86"/>
        <v>0</v>
      </c>
      <c r="AI60" s="42">
        <f t="shared" ref="AI60:AZ60" si="87">IFERROR(AI12/$B60,0)</f>
        <v>0</v>
      </c>
      <c r="AJ60" s="42">
        <f t="shared" si="87"/>
        <v>0</v>
      </c>
      <c r="AK60" s="42">
        <f t="shared" si="87"/>
        <v>0</v>
      </c>
      <c r="AL60" s="42">
        <f t="shared" si="87"/>
        <v>0</v>
      </c>
      <c r="AM60" s="42">
        <f t="shared" si="87"/>
        <v>0</v>
      </c>
      <c r="AN60" s="42">
        <f t="shared" si="87"/>
        <v>0</v>
      </c>
      <c r="AO60" s="42">
        <f t="shared" si="87"/>
        <v>0</v>
      </c>
      <c r="AP60" s="42">
        <f t="shared" si="87"/>
        <v>0</v>
      </c>
      <c r="AQ60" s="42">
        <f t="shared" si="87"/>
        <v>0</v>
      </c>
      <c r="AR60" s="42">
        <f t="shared" si="87"/>
        <v>0</v>
      </c>
      <c r="AS60" s="42">
        <f t="shared" si="87"/>
        <v>0</v>
      </c>
      <c r="AT60" s="42">
        <f t="shared" si="87"/>
        <v>0</v>
      </c>
      <c r="AU60" s="42">
        <f t="shared" si="87"/>
        <v>0</v>
      </c>
      <c r="AV60" s="42">
        <f t="shared" si="87"/>
        <v>0</v>
      </c>
      <c r="AW60" s="42">
        <f t="shared" si="87"/>
        <v>0</v>
      </c>
      <c r="AX60" s="42">
        <f t="shared" si="87"/>
        <v>0</v>
      </c>
      <c r="AY60" s="42">
        <f t="shared" si="87"/>
        <v>0</v>
      </c>
      <c r="AZ60" s="42">
        <f t="shared" si="87"/>
        <v>0</v>
      </c>
      <c r="BA60" s="34">
        <f t="shared" si="29"/>
        <v>2.1553125000000001E-3</v>
      </c>
      <c r="BB60" s="34">
        <f>IFERROR(up_RadSpec!$J$12*(BB12*$B60),".")</f>
        <v>7.1843750000000011E-4</v>
      </c>
      <c r="BC60" s="34">
        <f>IFERROR(up_RadSpec!$J$12*(BC12*$B60),".")</f>
        <v>7.1843750000000011E-4</v>
      </c>
      <c r="BD60" s="34">
        <f>IFERROR(up_RadSpec!$J$12*(BD12*$B60),".")</f>
        <v>7.1843750000000011E-4</v>
      </c>
      <c r="BE60" s="34">
        <f>IFERROR(up_RadSpec!$J$12*(BE12*$B60),".")</f>
        <v>7.1843750000000011E-4</v>
      </c>
      <c r="BF60" s="34">
        <f>IFERROR(up_RadSpec!$J$12*(BF12*$B60),".")</f>
        <v>7.1843750000000011E-4</v>
      </c>
      <c r="BG60" s="34">
        <f>IFERROR(up_RadSpec!$J$12*(BG12*$B60),".")</f>
        <v>7.1843750000000011E-4</v>
      </c>
      <c r="BH60" s="34">
        <f>IFERROR(up_RadSpec!$J$12*(BH12*$B60),".")</f>
        <v>7.1843750000000011E-4</v>
      </c>
      <c r="BI60" s="34">
        <f>IFERROR(up_RadSpec!$J$12*(BI12*$B60),".")</f>
        <v>7.1843750000000011E-4</v>
      </c>
      <c r="BJ60" s="34">
        <f>IFERROR(up_RadSpec!$J$12*(BJ12*$B60),".")</f>
        <v>7.1843750000000011E-4</v>
      </c>
      <c r="BK60" s="34">
        <f>IFERROR(up_RadSpec!$J$12*(BK12*$B60),".")</f>
        <v>7.1843750000000011E-4</v>
      </c>
      <c r="BL60" s="34">
        <f>IFERROR(up_RadSpec!$J$12*(BL12*$B60),".")</f>
        <v>7.1843750000000011E-4</v>
      </c>
      <c r="BM60" s="34">
        <f>IFERROR(up_RadSpec!$J$12*(BM12*$B60),".")</f>
        <v>7.1843750000000011E-4</v>
      </c>
      <c r="BN60" s="34">
        <f>IFERROR(up_RadSpec!$J$12*(BN12*$B60),".")</f>
        <v>7.1843750000000011E-4</v>
      </c>
      <c r="BO60" s="34">
        <f>IFERROR(up_RadSpec!$J$12*(BO12*$B60),".")</f>
        <v>7.1843750000000011E-4</v>
      </c>
      <c r="BP60" s="34">
        <f>IFERROR(up_RadSpec!$J$12*(BP12*$B60),".")</f>
        <v>7.1843750000000011E-4</v>
      </c>
      <c r="BQ60" s="34">
        <f>IFERROR(up_RadSpec!$J$12*(BQ12*$B60),".")</f>
        <v>7.1843750000000011E-4</v>
      </c>
      <c r="BR60" s="34">
        <f>IFERROR(up_RadSpec!$J$12*(BR12*$B60),".")</f>
        <v>7.1843750000000011E-4</v>
      </c>
      <c r="BS60" s="34">
        <f>IFERROR(up_RadSpec!$J$12*(BS12*$B60),".")</f>
        <v>7.1843750000000011E-4</v>
      </c>
      <c r="BT60" s="34">
        <f>IFERROR(up_RadSpec!$J$12*(BT12*$B60),".")</f>
        <v>7.1843750000000011E-4</v>
      </c>
      <c r="BU60" s="34">
        <f>IFERROR(up_RadSpec!$J$12*(BU12*$B60),".")</f>
        <v>7.1843750000000011E-4</v>
      </c>
      <c r="BV60" s="34">
        <f>IFERROR(up_RadSpec!$J$12*(BV12*$B60),".")</f>
        <v>7.1843750000000011E-4</v>
      </c>
      <c r="BW60" s="34">
        <f>IFERROR(up_RadSpec!$J$12*(BW12*$B60),".")</f>
        <v>7.1843750000000011E-4</v>
      </c>
      <c r="BX60" s="34">
        <f>IFERROR(up_RadSpec!$J$12*(BX12*$B60),".")</f>
        <v>7.1843750000000011E-4</v>
      </c>
      <c r="BY60" s="34">
        <f>IFERROR(up_RadSpec!$J$12*(BY12*$B60),".")</f>
        <v>7.1843750000000011E-4</v>
      </c>
    </row>
    <row r="61" spans="1:77" x14ac:dyDescent="0.25">
      <c r="A61" s="66" t="s">
        <v>1084</v>
      </c>
      <c r="B61" s="49">
        <v>1</v>
      </c>
      <c r="C61" s="42">
        <f t="shared" ref="C61:AH61" si="88">IFERROR(C18/$B61,0)</f>
        <v>0.17018198836380657</v>
      </c>
      <c r="D61" s="42">
        <f t="shared" si="88"/>
        <v>0.5105459650914197</v>
      </c>
      <c r="E61" s="42">
        <f t="shared" si="88"/>
        <v>0.5105459650914197</v>
      </c>
      <c r="F61" s="42">
        <f t="shared" si="88"/>
        <v>0.5105459650914197</v>
      </c>
      <c r="G61" s="42">
        <f t="shared" si="88"/>
        <v>0.5105459650914197</v>
      </c>
      <c r="H61" s="42">
        <f t="shared" si="88"/>
        <v>0.5105459650914197</v>
      </c>
      <c r="I61" s="42">
        <f t="shared" si="88"/>
        <v>0.5105459650914197</v>
      </c>
      <c r="J61" s="42">
        <f t="shared" si="88"/>
        <v>0.5105459650914197</v>
      </c>
      <c r="K61" s="42">
        <f t="shared" si="88"/>
        <v>0.5105459650914197</v>
      </c>
      <c r="L61" s="42">
        <f t="shared" si="88"/>
        <v>0.5105459650914197</v>
      </c>
      <c r="M61" s="42">
        <f t="shared" si="88"/>
        <v>0.5105459650914197</v>
      </c>
      <c r="N61" s="42">
        <f t="shared" si="88"/>
        <v>0.5105459650914197</v>
      </c>
      <c r="O61" s="42">
        <f t="shared" si="88"/>
        <v>0.5105459650914197</v>
      </c>
      <c r="P61" s="42">
        <f t="shared" si="88"/>
        <v>0.5105459650914197</v>
      </c>
      <c r="Q61" s="42">
        <f t="shared" si="88"/>
        <v>0.5105459650914197</v>
      </c>
      <c r="R61" s="42">
        <f t="shared" si="88"/>
        <v>0.5105459650914197</v>
      </c>
      <c r="S61" s="42">
        <f t="shared" si="88"/>
        <v>0.5105459650914197</v>
      </c>
      <c r="T61" s="42">
        <f t="shared" si="88"/>
        <v>0.5105459650914197</v>
      </c>
      <c r="U61" s="42">
        <f t="shared" si="88"/>
        <v>0.5105459650914197</v>
      </c>
      <c r="V61" s="42">
        <f t="shared" si="88"/>
        <v>0.5105459650914197</v>
      </c>
      <c r="W61" s="42">
        <f t="shared" si="88"/>
        <v>0.5105459650914197</v>
      </c>
      <c r="X61" s="42">
        <f t="shared" si="88"/>
        <v>0.5105459650914197</v>
      </c>
      <c r="Y61" s="42">
        <f t="shared" si="88"/>
        <v>0.5105459650914197</v>
      </c>
      <c r="Z61" s="42">
        <f t="shared" si="88"/>
        <v>0.5105459650914197</v>
      </c>
      <c r="AA61" s="42">
        <f t="shared" si="88"/>
        <v>0.5105459650914197</v>
      </c>
      <c r="AB61" s="42">
        <f t="shared" si="88"/>
        <v>0.17018198836380657</v>
      </c>
      <c r="AC61" s="42">
        <f t="shared" si="88"/>
        <v>0.5105459650914197</v>
      </c>
      <c r="AD61" s="42">
        <f t="shared" si="88"/>
        <v>0.5105459650914197</v>
      </c>
      <c r="AE61" s="42">
        <f t="shared" si="88"/>
        <v>0.5105459650914197</v>
      </c>
      <c r="AF61" s="42">
        <f t="shared" si="88"/>
        <v>0.5105459650914197</v>
      </c>
      <c r="AG61" s="42">
        <f t="shared" si="88"/>
        <v>0.5105459650914197</v>
      </c>
      <c r="AH61" s="42">
        <f t="shared" si="88"/>
        <v>0.5105459650914197</v>
      </c>
      <c r="AI61" s="42">
        <f t="shared" ref="AI61:AZ61" si="89">IFERROR(AI18/$B61,0)</f>
        <v>0.5105459650914197</v>
      </c>
      <c r="AJ61" s="42">
        <f t="shared" si="89"/>
        <v>0.5105459650914197</v>
      </c>
      <c r="AK61" s="42">
        <f t="shared" si="89"/>
        <v>0.5105459650914197</v>
      </c>
      <c r="AL61" s="42">
        <f t="shared" si="89"/>
        <v>0.5105459650914197</v>
      </c>
      <c r="AM61" s="42">
        <f t="shared" si="89"/>
        <v>0.5105459650914197</v>
      </c>
      <c r="AN61" s="42">
        <f t="shared" si="89"/>
        <v>0.5105459650914197</v>
      </c>
      <c r="AO61" s="42">
        <f t="shared" si="89"/>
        <v>0.5105459650914197</v>
      </c>
      <c r="AP61" s="42">
        <f t="shared" si="89"/>
        <v>0.5105459650914197</v>
      </c>
      <c r="AQ61" s="42">
        <f t="shared" si="89"/>
        <v>0.5105459650914197</v>
      </c>
      <c r="AR61" s="42">
        <f t="shared" si="89"/>
        <v>0.5105459650914197</v>
      </c>
      <c r="AS61" s="42">
        <f t="shared" si="89"/>
        <v>0.5105459650914197</v>
      </c>
      <c r="AT61" s="42">
        <f t="shared" si="89"/>
        <v>0.5105459650914197</v>
      </c>
      <c r="AU61" s="42">
        <f t="shared" si="89"/>
        <v>0.5105459650914197</v>
      </c>
      <c r="AV61" s="42">
        <f t="shared" si="89"/>
        <v>0.5105459650914197</v>
      </c>
      <c r="AW61" s="42">
        <f t="shared" si="89"/>
        <v>0.5105459650914197</v>
      </c>
      <c r="AX61" s="42">
        <f t="shared" si="89"/>
        <v>0.5105459650914197</v>
      </c>
      <c r="AY61" s="42">
        <f t="shared" si="89"/>
        <v>0.5105459650914197</v>
      </c>
      <c r="AZ61" s="42">
        <f t="shared" si="89"/>
        <v>0.5105459650914197</v>
      </c>
      <c r="BA61" s="34">
        <f t="shared" si="29"/>
        <v>113437.5</v>
      </c>
      <c r="BB61" s="34">
        <f>IFERROR(up_RadSpec!$J$18*(BB18*$B61),".")</f>
        <v>37812.5</v>
      </c>
      <c r="BC61" s="34">
        <f>IFERROR(up_RadSpec!$J$18*(BC18*$B61),".")</f>
        <v>37812.5</v>
      </c>
      <c r="BD61" s="34">
        <f>IFERROR(up_RadSpec!$J$18*(BD18*$B61),".")</f>
        <v>37812.5</v>
      </c>
      <c r="BE61" s="34">
        <f>IFERROR(up_RadSpec!$J$18*(BE18*$B61),".")</f>
        <v>37812.5</v>
      </c>
      <c r="BF61" s="34">
        <f>IFERROR(up_RadSpec!$J$18*(BF18*$B61),".")</f>
        <v>37812.5</v>
      </c>
      <c r="BG61" s="34">
        <f>IFERROR(up_RadSpec!$J$18*(BG18*$B61),".")</f>
        <v>37812.5</v>
      </c>
      <c r="BH61" s="34">
        <f>IFERROR(up_RadSpec!$J$18*(BH18*$B61),".")</f>
        <v>37812.5</v>
      </c>
      <c r="BI61" s="34">
        <f>IFERROR(up_RadSpec!$J$18*(BI18*$B61),".")</f>
        <v>37812.5</v>
      </c>
      <c r="BJ61" s="34">
        <f>IFERROR(up_RadSpec!$J$18*(BJ18*$B61),".")</f>
        <v>37812.5</v>
      </c>
      <c r="BK61" s="34">
        <f>IFERROR(up_RadSpec!$J$18*(BK18*$B61),".")</f>
        <v>37812.5</v>
      </c>
      <c r="BL61" s="34">
        <f>IFERROR(up_RadSpec!$J$18*(BL18*$B61),".")</f>
        <v>37812.5</v>
      </c>
      <c r="BM61" s="34">
        <f>IFERROR(up_RadSpec!$J$18*(BM18*$B61),".")</f>
        <v>37812.5</v>
      </c>
      <c r="BN61" s="34">
        <f>IFERROR(up_RadSpec!$J$18*(BN18*$B61),".")</f>
        <v>37812.5</v>
      </c>
      <c r="BO61" s="34">
        <f>IFERROR(up_RadSpec!$J$18*(BO18*$B61),".")</f>
        <v>37812.5</v>
      </c>
      <c r="BP61" s="34">
        <f>IFERROR(up_RadSpec!$J$18*(BP18*$B61),".")</f>
        <v>37812.5</v>
      </c>
      <c r="BQ61" s="34">
        <f>IFERROR(up_RadSpec!$J$18*(BQ18*$B61),".")</f>
        <v>37812.5</v>
      </c>
      <c r="BR61" s="34">
        <f>IFERROR(up_RadSpec!$J$18*(BR18*$B61),".")</f>
        <v>37812.5</v>
      </c>
      <c r="BS61" s="34">
        <f>IFERROR(up_RadSpec!$J$18*(BS18*$B61),".")</f>
        <v>37812.5</v>
      </c>
      <c r="BT61" s="34">
        <f>IFERROR(up_RadSpec!$J$18*(BT18*$B61),".")</f>
        <v>37812.5</v>
      </c>
      <c r="BU61" s="34">
        <f>IFERROR(up_RadSpec!$J$18*(BU18*$B61),".")</f>
        <v>37812.5</v>
      </c>
      <c r="BV61" s="34">
        <f>IFERROR(up_RadSpec!$J$18*(BV18*$B61),".")</f>
        <v>37812.5</v>
      </c>
      <c r="BW61" s="34">
        <f>IFERROR(up_RadSpec!$J$18*(BW18*$B61),".")</f>
        <v>37812.5</v>
      </c>
      <c r="BX61" s="34">
        <f>IFERROR(up_RadSpec!$J$18*(BX18*$B61),".")</f>
        <v>37812.5</v>
      </c>
      <c r="BY61" s="34">
        <f>IFERROR(up_RadSpec!$J$18*(BY18*$B61),".")</f>
        <v>37812.5</v>
      </c>
    </row>
    <row r="62" spans="1:77" x14ac:dyDescent="0.25">
      <c r="A62" s="66" t="s">
        <v>1085</v>
      </c>
      <c r="B62" s="49">
        <v>1.339E-6</v>
      </c>
      <c r="C62" s="42">
        <f t="shared" ref="C62:AH62" si="90">IFERROR(C27/$B62,0)</f>
        <v>0</v>
      </c>
      <c r="D62" s="42">
        <f t="shared" si="90"/>
        <v>0</v>
      </c>
      <c r="E62" s="42">
        <f t="shared" si="90"/>
        <v>0</v>
      </c>
      <c r="F62" s="42">
        <f t="shared" si="90"/>
        <v>0</v>
      </c>
      <c r="G62" s="42">
        <f t="shared" si="90"/>
        <v>0</v>
      </c>
      <c r="H62" s="42">
        <f t="shared" si="90"/>
        <v>0</v>
      </c>
      <c r="I62" s="42">
        <f t="shared" si="90"/>
        <v>0</v>
      </c>
      <c r="J62" s="42">
        <f t="shared" si="90"/>
        <v>0</v>
      </c>
      <c r="K62" s="42">
        <f t="shared" si="90"/>
        <v>0</v>
      </c>
      <c r="L62" s="42">
        <f t="shared" si="90"/>
        <v>0</v>
      </c>
      <c r="M62" s="42">
        <f t="shared" si="90"/>
        <v>0</v>
      </c>
      <c r="N62" s="42">
        <f t="shared" si="90"/>
        <v>0</v>
      </c>
      <c r="O62" s="42">
        <f t="shared" si="90"/>
        <v>0</v>
      </c>
      <c r="P62" s="42">
        <f t="shared" si="90"/>
        <v>0</v>
      </c>
      <c r="Q62" s="42">
        <f t="shared" si="90"/>
        <v>0</v>
      </c>
      <c r="R62" s="42">
        <f t="shared" si="90"/>
        <v>0</v>
      </c>
      <c r="S62" s="42">
        <f t="shared" si="90"/>
        <v>0</v>
      </c>
      <c r="T62" s="42">
        <f t="shared" si="90"/>
        <v>0</v>
      </c>
      <c r="U62" s="42">
        <f t="shared" si="90"/>
        <v>0</v>
      </c>
      <c r="V62" s="42">
        <f t="shared" si="90"/>
        <v>0</v>
      </c>
      <c r="W62" s="42">
        <f t="shared" si="90"/>
        <v>0</v>
      </c>
      <c r="X62" s="42">
        <f t="shared" si="90"/>
        <v>0</v>
      </c>
      <c r="Y62" s="42">
        <f t="shared" si="90"/>
        <v>0</v>
      </c>
      <c r="Z62" s="42">
        <f t="shared" si="90"/>
        <v>0</v>
      </c>
      <c r="AA62" s="42">
        <f t="shared" si="90"/>
        <v>0</v>
      </c>
      <c r="AB62" s="42">
        <f t="shared" si="90"/>
        <v>0</v>
      </c>
      <c r="AC62" s="42">
        <f t="shared" si="90"/>
        <v>0</v>
      </c>
      <c r="AD62" s="42">
        <f t="shared" si="90"/>
        <v>0</v>
      </c>
      <c r="AE62" s="42">
        <f t="shared" si="90"/>
        <v>0</v>
      </c>
      <c r="AF62" s="42">
        <f t="shared" si="90"/>
        <v>0</v>
      </c>
      <c r="AG62" s="42">
        <f t="shared" si="90"/>
        <v>0</v>
      </c>
      <c r="AH62" s="42">
        <f t="shared" si="90"/>
        <v>0</v>
      </c>
      <c r="AI62" s="42">
        <f t="shared" ref="AI62:AZ62" si="91">IFERROR(AI27/$B62,0)</f>
        <v>0</v>
      </c>
      <c r="AJ62" s="42">
        <f t="shared" si="91"/>
        <v>0</v>
      </c>
      <c r="AK62" s="42">
        <f t="shared" si="91"/>
        <v>0</v>
      </c>
      <c r="AL62" s="42">
        <f t="shared" si="91"/>
        <v>0</v>
      </c>
      <c r="AM62" s="42">
        <f t="shared" si="91"/>
        <v>0</v>
      </c>
      <c r="AN62" s="42">
        <f t="shared" si="91"/>
        <v>0</v>
      </c>
      <c r="AO62" s="42">
        <f t="shared" si="91"/>
        <v>0</v>
      </c>
      <c r="AP62" s="42">
        <f t="shared" si="91"/>
        <v>0</v>
      </c>
      <c r="AQ62" s="42">
        <f t="shared" si="91"/>
        <v>0</v>
      </c>
      <c r="AR62" s="42">
        <f t="shared" si="91"/>
        <v>0</v>
      </c>
      <c r="AS62" s="42">
        <f t="shared" si="91"/>
        <v>0</v>
      </c>
      <c r="AT62" s="42">
        <f t="shared" si="91"/>
        <v>0</v>
      </c>
      <c r="AU62" s="42">
        <f t="shared" si="91"/>
        <v>0</v>
      </c>
      <c r="AV62" s="42">
        <f t="shared" si="91"/>
        <v>0</v>
      </c>
      <c r="AW62" s="42">
        <f t="shared" si="91"/>
        <v>0</v>
      </c>
      <c r="AX62" s="42">
        <f t="shared" si="91"/>
        <v>0</v>
      </c>
      <c r="AY62" s="42">
        <f t="shared" si="91"/>
        <v>0</v>
      </c>
      <c r="AZ62" s="42">
        <f t="shared" si="91"/>
        <v>0</v>
      </c>
      <c r="BA62" s="34">
        <f t="shared" si="29"/>
        <v>0.1518928125</v>
      </c>
      <c r="BB62" s="34">
        <f>IFERROR(up_RadSpec!$J$27*(BB27*$B62),".")</f>
        <v>5.0630937500000001E-2</v>
      </c>
      <c r="BC62" s="34">
        <f>IFERROR(up_RadSpec!$J$27*(BC27*$B62),".")</f>
        <v>5.0630937500000001E-2</v>
      </c>
      <c r="BD62" s="34">
        <f>IFERROR(up_RadSpec!$J$27*(BD27*$B62),".")</f>
        <v>5.0630937500000001E-2</v>
      </c>
      <c r="BE62" s="34">
        <f>IFERROR(up_RadSpec!$J$27*(BE27*$B62),".")</f>
        <v>5.0630937500000001E-2</v>
      </c>
      <c r="BF62" s="34">
        <f>IFERROR(up_RadSpec!$J$27*(BF27*$B62),".")</f>
        <v>5.0630937500000001E-2</v>
      </c>
      <c r="BG62" s="34">
        <f>IFERROR(up_RadSpec!$J$27*(BG27*$B62),".")</f>
        <v>5.0630937500000001E-2</v>
      </c>
      <c r="BH62" s="34">
        <f>IFERROR(up_RadSpec!$J$27*(BH27*$B62),".")</f>
        <v>5.0630937500000001E-2</v>
      </c>
      <c r="BI62" s="34">
        <f>IFERROR(up_RadSpec!$J$27*(BI27*$B62),".")</f>
        <v>5.0630937500000001E-2</v>
      </c>
      <c r="BJ62" s="34">
        <f>IFERROR(up_RadSpec!$J$27*(BJ27*$B62),".")</f>
        <v>5.0630937500000001E-2</v>
      </c>
      <c r="BK62" s="34">
        <f>IFERROR(up_RadSpec!$J$27*(BK27*$B62),".")</f>
        <v>5.0630937500000001E-2</v>
      </c>
      <c r="BL62" s="34">
        <f>IFERROR(up_RadSpec!$J$27*(BL27*$B62),".")</f>
        <v>5.0630937500000001E-2</v>
      </c>
      <c r="BM62" s="34">
        <f>IFERROR(up_RadSpec!$J$27*(BM27*$B62),".")</f>
        <v>5.0630937500000001E-2</v>
      </c>
      <c r="BN62" s="34">
        <f>IFERROR(up_RadSpec!$J$27*(BN27*$B62),".")</f>
        <v>5.0630937500000001E-2</v>
      </c>
      <c r="BO62" s="34">
        <f>IFERROR(up_RadSpec!$J$27*(BO27*$B62),".")</f>
        <v>5.0630937500000001E-2</v>
      </c>
      <c r="BP62" s="34">
        <f>IFERROR(up_RadSpec!$J$27*(BP27*$B62),".")</f>
        <v>5.0630937500000001E-2</v>
      </c>
      <c r="BQ62" s="34">
        <f>IFERROR(up_RadSpec!$J$27*(BQ27*$B62),".")</f>
        <v>5.0630937500000001E-2</v>
      </c>
      <c r="BR62" s="34">
        <f>IFERROR(up_RadSpec!$J$27*(BR27*$B62),".")</f>
        <v>5.0630937500000001E-2</v>
      </c>
      <c r="BS62" s="34">
        <f>IFERROR(up_RadSpec!$J$27*(BS27*$B62),".")</f>
        <v>5.0630937500000001E-2</v>
      </c>
      <c r="BT62" s="34">
        <f>IFERROR(up_RadSpec!$J$27*(BT27*$B62),".")</f>
        <v>5.0630937500000001E-2</v>
      </c>
      <c r="BU62" s="34">
        <f>IFERROR(up_RadSpec!$J$27*(BU27*$B62),".")</f>
        <v>5.0630937500000001E-2</v>
      </c>
      <c r="BV62" s="34">
        <f>IFERROR(up_RadSpec!$J$27*(BV27*$B62),".")</f>
        <v>5.0630937500000001E-2</v>
      </c>
      <c r="BW62" s="34">
        <f>IFERROR(up_RadSpec!$J$27*(BW27*$B62),".")</f>
        <v>5.0630937500000001E-2</v>
      </c>
      <c r="BX62" s="34">
        <f>IFERROR(up_RadSpec!$J$27*(BX27*$B62),".")</f>
        <v>5.0630937500000001E-2</v>
      </c>
      <c r="BY62" s="34">
        <f>IFERROR(up_RadSpec!$J$27*(BY27*$B62),".")</f>
        <v>5.0630937500000001E-2</v>
      </c>
    </row>
    <row r="63" spans="1:77" x14ac:dyDescent="0.25">
      <c r="A63" s="64" t="s">
        <v>23</v>
      </c>
      <c r="B63" s="64" t="s">
        <v>1059</v>
      </c>
      <c r="C63" s="40">
        <f t="shared" ref="C63:AH63" si="92">1/SUM(1/C66,1/C68,1/C72,1/C73,1/C75)</f>
        <v>0.10743238958225611</v>
      </c>
      <c r="D63" s="40">
        <f t="shared" si="92"/>
        <v>0.32229716874676828</v>
      </c>
      <c r="E63" s="40">
        <f t="shared" si="92"/>
        <v>0.32229716874676828</v>
      </c>
      <c r="F63" s="40">
        <f t="shared" si="92"/>
        <v>0.32229716874676828</v>
      </c>
      <c r="G63" s="40">
        <f t="shared" si="92"/>
        <v>0.32229716874676828</v>
      </c>
      <c r="H63" s="40">
        <f t="shared" si="92"/>
        <v>0.32229716874676828</v>
      </c>
      <c r="I63" s="40">
        <f t="shared" si="92"/>
        <v>0.32229716874676828</v>
      </c>
      <c r="J63" s="40">
        <f t="shared" si="92"/>
        <v>0.32229716874676828</v>
      </c>
      <c r="K63" s="40">
        <f t="shared" si="92"/>
        <v>0.32229716874676828</v>
      </c>
      <c r="L63" s="40">
        <f t="shared" si="92"/>
        <v>0.32229716874676828</v>
      </c>
      <c r="M63" s="40">
        <f t="shared" si="92"/>
        <v>0.32229716874676828</v>
      </c>
      <c r="N63" s="40">
        <f t="shared" si="92"/>
        <v>0.32229716874676828</v>
      </c>
      <c r="O63" s="40">
        <f t="shared" si="92"/>
        <v>0.32229716874676828</v>
      </c>
      <c r="P63" s="40">
        <f t="shared" si="92"/>
        <v>0.32229716874676828</v>
      </c>
      <c r="Q63" s="40">
        <f t="shared" si="92"/>
        <v>0.32229716874676828</v>
      </c>
      <c r="R63" s="40">
        <f t="shared" si="92"/>
        <v>0.32229716874676828</v>
      </c>
      <c r="S63" s="40">
        <f t="shared" si="92"/>
        <v>0.32229716874676828</v>
      </c>
      <c r="T63" s="40">
        <f t="shared" si="92"/>
        <v>0.32229716874676828</v>
      </c>
      <c r="U63" s="40">
        <f t="shared" si="92"/>
        <v>0.32229716874676828</v>
      </c>
      <c r="V63" s="40">
        <f t="shared" si="92"/>
        <v>0.32229716874676828</v>
      </c>
      <c r="W63" s="40">
        <f t="shared" si="92"/>
        <v>0.32229716874676828</v>
      </c>
      <c r="X63" s="40">
        <f t="shared" si="92"/>
        <v>0.32229716874676828</v>
      </c>
      <c r="Y63" s="40">
        <f t="shared" si="92"/>
        <v>0.32229716874676828</v>
      </c>
      <c r="Z63" s="40">
        <f t="shared" si="92"/>
        <v>0.32229716874676828</v>
      </c>
      <c r="AA63" s="40">
        <f t="shared" si="92"/>
        <v>0.32229716874676828</v>
      </c>
      <c r="AB63" s="40">
        <f t="shared" si="92"/>
        <v>0.10743238958225611</v>
      </c>
      <c r="AC63" s="40">
        <f t="shared" si="92"/>
        <v>0.32229716874676828</v>
      </c>
      <c r="AD63" s="40">
        <f t="shared" si="92"/>
        <v>0.32229716874676828</v>
      </c>
      <c r="AE63" s="40">
        <f t="shared" si="92"/>
        <v>0.32229716874676828</v>
      </c>
      <c r="AF63" s="40">
        <f t="shared" si="92"/>
        <v>0.32229716874676828</v>
      </c>
      <c r="AG63" s="40">
        <f t="shared" si="92"/>
        <v>0.32229716874676828</v>
      </c>
      <c r="AH63" s="40">
        <f t="shared" si="92"/>
        <v>0.32229716874676828</v>
      </c>
      <c r="AI63" s="40">
        <f t="shared" ref="AI63:AZ63" si="93">1/SUM(1/AI66,1/AI68,1/AI72,1/AI73,1/AI75)</f>
        <v>0.32229716874676828</v>
      </c>
      <c r="AJ63" s="40">
        <f t="shared" si="93"/>
        <v>0.32229716874676828</v>
      </c>
      <c r="AK63" s="40">
        <f t="shared" si="93"/>
        <v>0.32229716874676828</v>
      </c>
      <c r="AL63" s="40">
        <f t="shared" si="93"/>
        <v>0.32229716874676828</v>
      </c>
      <c r="AM63" s="40">
        <f t="shared" si="93"/>
        <v>0.32229716874676828</v>
      </c>
      <c r="AN63" s="40">
        <f t="shared" si="93"/>
        <v>0.32229716874676828</v>
      </c>
      <c r="AO63" s="40">
        <f t="shared" si="93"/>
        <v>0.32229716874676828</v>
      </c>
      <c r="AP63" s="40">
        <f t="shared" si="93"/>
        <v>0.32229716874676828</v>
      </c>
      <c r="AQ63" s="40">
        <f t="shared" si="93"/>
        <v>0.32229716874676828</v>
      </c>
      <c r="AR63" s="40">
        <f t="shared" si="93"/>
        <v>0.32229716874676828</v>
      </c>
      <c r="AS63" s="40">
        <f t="shared" si="93"/>
        <v>0.32229716874676828</v>
      </c>
      <c r="AT63" s="40">
        <f t="shared" si="93"/>
        <v>0.32229716874676828</v>
      </c>
      <c r="AU63" s="40">
        <f t="shared" si="93"/>
        <v>0.32229716874676828</v>
      </c>
      <c r="AV63" s="40">
        <f t="shared" si="93"/>
        <v>0.32229716874676828</v>
      </c>
      <c r="AW63" s="40">
        <f t="shared" si="93"/>
        <v>0.32229716874676828</v>
      </c>
      <c r="AX63" s="40">
        <f t="shared" si="93"/>
        <v>0.32229716874676828</v>
      </c>
      <c r="AY63" s="40">
        <f t="shared" si="93"/>
        <v>0.32229716874676828</v>
      </c>
      <c r="AZ63" s="40">
        <f t="shared" si="93"/>
        <v>0.32229716874676828</v>
      </c>
      <c r="BA63" s="33">
        <f t="shared" si="29"/>
        <v>907500.15404812503</v>
      </c>
      <c r="BB63" s="33">
        <f t="shared" ref="BB63:BY63" si="94">IFERROR(SUM(BB64:BB76),".")</f>
        <v>302500.05134937499</v>
      </c>
      <c r="BC63" s="33">
        <f t="shared" si="94"/>
        <v>302500.05134937499</v>
      </c>
      <c r="BD63" s="33">
        <f t="shared" si="94"/>
        <v>302500.05134937499</v>
      </c>
      <c r="BE63" s="33">
        <f t="shared" si="94"/>
        <v>302500.05134937499</v>
      </c>
      <c r="BF63" s="33">
        <f t="shared" si="94"/>
        <v>302500.05134937499</v>
      </c>
      <c r="BG63" s="33">
        <f t="shared" si="94"/>
        <v>302500.05134937499</v>
      </c>
      <c r="BH63" s="33">
        <f t="shared" si="94"/>
        <v>302500.05134937499</v>
      </c>
      <c r="BI63" s="33">
        <f t="shared" si="94"/>
        <v>302500.05134937499</v>
      </c>
      <c r="BJ63" s="33">
        <f t="shared" si="94"/>
        <v>302500.05134937499</v>
      </c>
      <c r="BK63" s="33">
        <f t="shared" si="94"/>
        <v>302500.05134937499</v>
      </c>
      <c r="BL63" s="33">
        <f t="shared" si="94"/>
        <v>302500.05134937499</v>
      </c>
      <c r="BM63" s="33">
        <f t="shared" si="94"/>
        <v>302500.05134937499</v>
      </c>
      <c r="BN63" s="33">
        <f t="shared" si="94"/>
        <v>302500.05134937499</v>
      </c>
      <c r="BO63" s="33">
        <f t="shared" si="94"/>
        <v>302500.05134937499</v>
      </c>
      <c r="BP63" s="33">
        <f t="shared" si="94"/>
        <v>302500.05134937499</v>
      </c>
      <c r="BQ63" s="33">
        <f t="shared" si="94"/>
        <v>302500.05134937499</v>
      </c>
      <c r="BR63" s="33">
        <f t="shared" si="94"/>
        <v>302500.05134937499</v>
      </c>
      <c r="BS63" s="33">
        <f t="shared" si="94"/>
        <v>302500.05134937499</v>
      </c>
      <c r="BT63" s="33">
        <f t="shared" si="94"/>
        <v>302500.05134937499</v>
      </c>
      <c r="BU63" s="33">
        <f t="shared" si="94"/>
        <v>302500.05134937499</v>
      </c>
      <c r="BV63" s="33">
        <f t="shared" si="94"/>
        <v>302500.05134937499</v>
      </c>
      <c r="BW63" s="33">
        <f t="shared" si="94"/>
        <v>302500.05134937499</v>
      </c>
      <c r="BX63" s="33">
        <f t="shared" si="94"/>
        <v>302500.05134937499</v>
      </c>
      <c r="BY63" s="33">
        <f t="shared" si="94"/>
        <v>302500.05134937499</v>
      </c>
    </row>
    <row r="64" spans="1:77" x14ac:dyDescent="0.25">
      <c r="A64" s="66" t="s">
        <v>1075</v>
      </c>
      <c r="B64" s="49">
        <v>1</v>
      </c>
      <c r="C64" s="42">
        <f t="shared" ref="C64:AH64" si="95">IFERROR(C25/$B50,0)</f>
        <v>0</v>
      </c>
      <c r="D64" s="42">
        <f t="shared" si="95"/>
        <v>0</v>
      </c>
      <c r="E64" s="42">
        <f t="shared" si="95"/>
        <v>0</v>
      </c>
      <c r="F64" s="42">
        <f t="shared" si="95"/>
        <v>0</v>
      </c>
      <c r="G64" s="42">
        <f t="shared" si="95"/>
        <v>0</v>
      </c>
      <c r="H64" s="42">
        <f t="shared" si="95"/>
        <v>0</v>
      </c>
      <c r="I64" s="42">
        <f t="shared" si="95"/>
        <v>0</v>
      </c>
      <c r="J64" s="42">
        <f t="shared" si="95"/>
        <v>0</v>
      </c>
      <c r="K64" s="42">
        <f t="shared" si="95"/>
        <v>0</v>
      </c>
      <c r="L64" s="42">
        <f t="shared" si="95"/>
        <v>0</v>
      </c>
      <c r="M64" s="42">
        <f t="shared" si="95"/>
        <v>0</v>
      </c>
      <c r="N64" s="42">
        <f t="shared" si="95"/>
        <v>0</v>
      </c>
      <c r="O64" s="42">
        <f t="shared" si="95"/>
        <v>0</v>
      </c>
      <c r="P64" s="42">
        <f t="shared" si="95"/>
        <v>0</v>
      </c>
      <c r="Q64" s="42">
        <f t="shared" si="95"/>
        <v>0</v>
      </c>
      <c r="R64" s="42">
        <f t="shared" si="95"/>
        <v>0</v>
      </c>
      <c r="S64" s="42">
        <f t="shared" si="95"/>
        <v>0</v>
      </c>
      <c r="T64" s="42">
        <f t="shared" si="95"/>
        <v>0</v>
      </c>
      <c r="U64" s="42">
        <f t="shared" si="95"/>
        <v>0</v>
      </c>
      <c r="V64" s="42">
        <f t="shared" si="95"/>
        <v>0</v>
      </c>
      <c r="W64" s="42">
        <f t="shared" si="95"/>
        <v>0</v>
      </c>
      <c r="X64" s="42">
        <f t="shared" si="95"/>
        <v>0</v>
      </c>
      <c r="Y64" s="42">
        <f t="shared" si="95"/>
        <v>0</v>
      </c>
      <c r="Z64" s="42">
        <f t="shared" si="95"/>
        <v>0</v>
      </c>
      <c r="AA64" s="42">
        <f t="shared" si="95"/>
        <v>0</v>
      </c>
      <c r="AB64" s="42">
        <f t="shared" si="95"/>
        <v>0</v>
      </c>
      <c r="AC64" s="42">
        <f t="shared" si="95"/>
        <v>0</v>
      </c>
      <c r="AD64" s="42">
        <f t="shared" si="95"/>
        <v>0</v>
      </c>
      <c r="AE64" s="42">
        <f t="shared" si="95"/>
        <v>0</v>
      </c>
      <c r="AF64" s="42">
        <f t="shared" si="95"/>
        <v>0</v>
      </c>
      <c r="AG64" s="42">
        <f t="shared" si="95"/>
        <v>0</v>
      </c>
      <c r="AH64" s="42">
        <f t="shared" si="95"/>
        <v>0</v>
      </c>
      <c r="AI64" s="42">
        <f t="shared" ref="AI64:AZ64" si="96">IFERROR(AI25/$B50,0)</f>
        <v>0</v>
      </c>
      <c r="AJ64" s="42">
        <f t="shared" si="96"/>
        <v>0</v>
      </c>
      <c r="AK64" s="42">
        <f t="shared" si="96"/>
        <v>0</v>
      </c>
      <c r="AL64" s="42">
        <f t="shared" si="96"/>
        <v>0</v>
      </c>
      <c r="AM64" s="42">
        <f t="shared" si="96"/>
        <v>0</v>
      </c>
      <c r="AN64" s="42">
        <f t="shared" si="96"/>
        <v>0</v>
      </c>
      <c r="AO64" s="42">
        <f t="shared" si="96"/>
        <v>0</v>
      </c>
      <c r="AP64" s="42">
        <f t="shared" si="96"/>
        <v>0</v>
      </c>
      <c r="AQ64" s="42">
        <f t="shared" si="96"/>
        <v>0</v>
      </c>
      <c r="AR64" s="42">
        <f t="shared" si="96"/>
        <v>0</v>
      </c>
      <c r="AS64" s="42">
        <f t="shared" si="96"/>
        <v>0</v>
      </c>
      <c r="AT64" s="42">
        <f t="shared" si="96"/>
        <v>0</v>
      </c>
      <c r="AU64" s="42">
        <f t="shared" si="96"/>
        <v>0</v>
      </c>
      <c r="AV64" s="42">
        <f t="shared" si="96"/>
        <v>0</v>
      </c>
      <c r="AW64" s="42">
        <f t="shared" si="96"/>
        <v>0</v>
      </c>
      <c r="AX64" s="42">
        <f t="shared" si="96"/>
        <v>0</v>
      </c>
      <c r="AY64" s="42">
        <f t="shared" si="96"/>
        <v>0</v>
      </c>
      <c r="AZ64" s="42">
        <f t="shared" si="96"/>
        <v>0</v>
      </c>
      <c r="BA64" s="34">
        <f t="shared" si="29"/>
        <v>113437.5</v>
      </c>
      <c r="BB64" s="34">
        <f>IFERROR(up_RadSpec!$J$25*(BB25*$B64),".")</f>
        <v>37812.5</v>
      </c>
      <c r="BC64" s="34">
        <f>IFERROR(up_RadSpec!$J$25*(BC25*$B64),".")</f>
        <v>37812.5</v>
      </c>
      <c r="BD64" s="34">
        <f>IFERROR(up_RadSpec!$J$25*(BD25*$B64),".")</f>
        <v>37812.5</v>
      </c>
      <c r="BE64" s="34">
        <f>IFERROR(up_RadSpec!$J$25*(BE25*$B64),".")</f>
        <v>37812.5</v>
      </c>
      <c r="BF64" s="34">
        <f>IFERROR(up_RadSpec!$J$25*(BF25*$B64),".")</f>
        <v>37812.5</v>
      </c>
      <c r="BG64" s="34">
        <f>IFERROR(up_RadSpec!$J$25*(BG25*$B64),".")</f>
        <v>37812.5</v>
      </c>
      <c r="BH64" s="34">
        <f>IFERROR(up_RadSpec!$J$25*(BH25*$B64),".")</f>
        <v>37812.5</v>
      </c>
      <c r="BI64" s="34">
        <f>IFERROR(up_RadSpec!$J$25*(BI25*$B64),".")</f>
        <v>37812.5</v>
      </c>
      <c r="BJ64" s="34">
        <f>IFERROR(up_RadSpec!$J$25*(BJ25*$B64),".")</f>
        <v>37812.5</v>
      </c>
      <c r="BK64" s="34">
        <f>IFERROR(up_RadSpec!$J$25*(BK25*$B64),".")</f>
        <v>37812.5</v>
      </c>
      <c r="BL64" s="34">
        <f>IFERROR(up_RadSpec!$J$25*(BL25*$B64),".")</f>
        <v>37812.5</v>
      </c>
      <c r="BM64" s="34">
        <f>IFERROR(up_RadSpec!$J$25*(BM25*$B64),".")</f>
        <v>37812.5</v>
      </c>
      <c r="BN64" s="34">
        <f>IFERROR(up_RadSpec!$J$25*(BN25*$B64),".")</f>
        <v>37812.5</v>
      </c>
      <c r="BO64" s="34">
        <f>IFERROR(up_RadSpec!$J$25*(BO25*$B64),".")</f>
        <v>37812.5</v>
      </c>
      <c r="BP64" s="34">
        <f>IFERROR(up_RadSpec!$J$25*(BP25*$B64),".")</f>
        <v>37812.5</v>
      </c>
      <c r="BQ64" s="34">
        <f>IFERROR(up_RadSpec!$J$25*(BQ25*$B64),".")</f>
        <v>37812.5</v>
      </c>
      <c r="BR64" s="34">
        <f>IFERROR(up_RadSpec!$J$25*(BR25*$B64),".")</f>
        <v>37812.5</v>
      </c>
      <c r="BS64" s="34">
        <f>IFERROR(up_RadSpec!$J$25*(BS25*$B64),".")</f>
        <v>37812.5</v>
      </c>
      <c r="BT64" s="34">
        <f>IFERROR(up_RadSpec!$J$25*(BT25*$B64),".")</f>
        <v>37812.5</v>
      </c>
      <c r="BU64" s="34">
        <f>IFERROR(up_RadSpec!$J$25*(BU25*$B64),".")</f>
        <v>37812.5</v>
      </c>
      <c r="BV64" s="34">
        <f>IFERROR(up_RadSpec!$J$25*(BV25*$B64),".")</f>
        <v>37812.5</v>
      </c>
      <c r="BW64" s="34">
        <f>IFERROR(up_RadSpec!$J$25*(BW25*$B64),".")</f>
        <v>37812.5</v>
      </c>
      <c r="BX64" s="34">
        <f>IFERROR(up_RadSpec!$J$25*(BX25*$B64),".")</f>
        <v>37812.5</v>
      </c>
      <c r="BY64" s="34">
        <f>IFERROR(up_RadSpec!$J$25*(BY25*$B64),".")</f>
        <v>37812.5</v>
      </c>
    </row>
    <row r="65" spans="1:77" x14ac:dyDescent="0.25">
      <c r="A65" s="66" t="s">
        <v>1061</v>
      </c>
      <c r="B65" s="49">
        <v>1</v>
      </c>
      <c r="C65" s="42">
        <f t="shared" ref="C65:AH65" si="97">IFERROR(C21/$B51,0)</f>
        <v>0</v>
      </c>
      <c r="D65" s="42">
        <f t="shared" si="97"/>
        <v>0</v>
      </c>
      <c r="E65" s="42">
        <f t="shared" si="97"/>
        <v>0</v>
      </c>
      <c r="F65" s="42">
        <f t="shared" si="97"/>
        <v>0</v>
      </c>
      <c r="G65" s="42">
        <f t="shared" si="97"/>
        <v>0</v>
      </c>
      <c r="H65" s="42">
        <f t="shared" si="97"/>
        <v>0</v>
      </c>
      <c r="I65" s="42">
        <f t="shared" si="97"/>
        <v>0</v>
      </c>
      <c r="J65" s="42">
        <f t="shared" si="97"/>
        <v>0</v>
      </c>
      <c r="K65" s="42">
        <f t="shared" si="97"/>
        <v>0</v>
      </c>
      <c r="L65" s="42">
        <f t="shared" si="97"/>
        <v>0</v>
      </c>
      <c r="M65" s="42">
        <f t="shared" si="97"/>
        <v>0</v>
      </c>
      <c r="N65" s="42">
        <f t="shared" si="97"/>
        <v>0</v>
      </c>
      <c r="O65" s="42">
        <f t="shared" si="97"/>
        <v>0</v>
      </c>
      <c r="P65" s="42">
        <f t="shared" si="97"/>
        <v>0</v>
      </c>
      <c r="Q65" s="42">
        <f t="shared" si="97"/>
        <v>0</v>
      </c>
      <c r="R65" s="42">
        <f t="shared" si="97"/>
        <v>0</v>
      </c>
      <c r="S65" s="42">
        <f t="shared" si="97"/>
        <v>0</v>
      </c>
      <c r="T65" s="42">
        <f t="shared" si="97"/>
        <v>0</v>
      </c>
      <c r="U65" s="42">
        <f t="shared" si="97"/>
        <v>0</v>
      </c>
      <c r="V65" s="42">
        <f t="shared" si="97"/>
        <v>0</v>
      </c>
      <c r="W65" s="42">
        <f t="shared" si="97"/>
        <v>0</v>
      </c>
      <c r="X65" s="42">
        <f t="shared" si="97"/>
        <v>0</v>
      </c>
      <c r="Y65" s="42">
        <f t="shared" si="97"/>
        <v>0</v>
      </c>
      <c r="Z65" s="42">
        <f t="shared" si="97"/>
        <v>0</v>
      </c>
      <c r="AA65" s="42">
        <f t="shared" si="97"/>
        <v>0</v>
      </c>
      <c r="AB65" s="42">
        <f t="shared" si="97"/>
        <v>0</v>
      </c>
      <c r="AC65" s="42">
        <f t="shared" si="97"/>
        <v>0</v>
      </c>
      <c r="AD65" s="42">
        <f t="shared" si="97"/>
        <v>0</v>
      </c>
      <c r="AE65" s="42">
        <f t="shared" si="97"/>
        <v>0</v>
      </c>
      <c r="AF65" s="42">
        <f t="shared" si="97"/>
        <v>0</v>
      </c>
      <c r="AG65" s="42">
        <f t="shared" si="97"/>
        <v>0</v>
      </c>
      <c r="AH65" s="42">
        <f t="shared" si="97"/>
        <v>0</v>
      </c>
      <c r="AI65" s="42">
        <f t="shared" ref="AI65:AZ65" si="98">IFERROR(AI21/$B51,0)</f>
        <v>0</v>
      </c>
      <c r="AJ65" s="42">
        <f t="shared" si="98"/>
        <v>0</v>
      </c>
      <c r="AK65" s="42">
        <f t="shared" si="98"/>
        <v>0</v>
      </c>
      <c r="AL65" s="42">
        <f t="shared" si="98"/>
        <v>0</v>
      </c>
      <c r="AM65" s="42">
        <f t="shared" si="98"/>
        <v>0</v>
      </c>
      <c r="AN65" s="42">
        <f t="shared" si="98"/>
        <v>0</v>
      </c>
      <c r="AO65" s="42">
        <f t="shared" si="98"/>
        <v>0</v>
      </c>
      <c r="AP65" s="42">
        <f t="shared" si="98"/>
        <v>0</v>
      </c>
      <c r="AQ65" s="42">
        <f t="shared" si="98"/>
        <v>0</v>
      </c>
      <c r="AR65" s="42">
        <f t="shared" si="98"/>
        <v>0</v>
      </c>
      <c r="AS65" s="42">
        <f t="shared" si="98"/>
        <v>0</v>
      </c>
      <c r="AT65" s="42">
        <f t="shared" si="98"/>
        <v>0</v>
      </c>
      <c r="AU65" s="42">
        <f t="shared" si="98"/>
        <v>0</v>
      </c>
      <c r="AV65" s="42">
        <f t="shared" si="98"/>
        <v>0</v>
      </c>
      <c r="AW65" s="42">
        <f t="shared" si="98"/>
        <v>0</v>
      </c>
      <c r="AX65" s="42">
        <f t="shared" si="98"/>
        <v>0</v>
      </c>
      <c r="AY65" s="42">
        <f t="shared" si="98"/>
        <v>0</v>
      </c>
      <c r="AZ65" s="42">
        <f t="shared" si="98"/>
        <v>0</v>
      </c>
      <c r="BA65" s="34">
        <f t="shared" si="29"/>
        <v>113437.5</v>
      </c>
      <c r="BB65" s="34">
        <f>IFERROR(up_RadSpec!$J$21*(BB21*$B65),".")</f>
        <v>37812.5</v>
      </c>
      <c r="BC65" s="34">
        <f>IFERROR(up_RadSpec!$J$21*(BC21*$B65),".")</f>
        <v>37812.5</v>
      </c>
      <c r="BD65" s="34">
        <f>IFERROR(up_RadSpec!$J$21*(BD21*$B65),".")</f>
        <v>37812.5</v>
      </c>
      <c r="BE65" s="34">
        <f>IFERROR(up_RadSpec!$J$21*(BE21*$B65),".")</f>
        <v>37812.5</v>
      </c>
      <c r="BF65" s="34">
        <f>IFERROR(up_RadSpec!$J$21*(BF21*$B65),".")</f>
        <v>37812.5</v>
      </c>
      <c r="BG65" s="34">
        <f>IFERROR(up_RadSpec!$J$21*(BG21*$B65),".")</f>
        <v>37812.5</v>
      </c>
      <c r="BH65" s="34">
        <f>IFERROR(up_RadSpec!$J$21*(BH21*$B65),".")</f>
        <v>37812.5</v>
      </c>
      <c r="BI65" s="34">
        <f>IFERROR(up_RadSpec!$J$21*(BI21*$B65),".")</f>
        <v>37812.5</v>
      </c>
      <c r="BJ65" s="34">
        <f>IFERROR(up_RadSpec!$J$21*(BJ21*$B65),".")</f>
        <v>37812.5</v>
      </c>
      <c r="BK65" s="34">
        <f>IFERROR(up_RadSpec!$J$21*(BK21*$B65),".")</f>
        <v>37812.5</v>
      </c>
      <c r="BL65" s="34">
        <f>IFERROR(up_RadSpec!$J$21*(BL21*$B65),".")</f>
        <v>37812.5</v>
      </c>
      <c r="BM65" s="34">
        <f>IFERROR(up_RadSpec!$J$21*(BM21*$B65),".")</f>
        <v>37812.5</v>
      </c>
      <c r="BN65" s="34">
        <f>IFERROR(up_RadSpec!$J$21*(BN21*$B65),".")</f>
        <v>37812.5</v>
      </c>
      <c r="BO65" s="34">
        <f>IFERROR(up_RadSpec!$J$21*(BO21*$B65),".")</f>
        <v>37812.5</v>
      </c>
      <c r="BP65" s="34">
        <f>IFERROR(up_RadSpec!$J$21*(BP21*$B65),".")</f>
        <v>37812.5</v>
      </c>
      <c r="BQ65" s="34">
        <f>IFERROR(up_RadSpec!$J$21*(BQ21*$B65),".")</f>
        <v>37812.5</v>
      </c>
      <c r="BR65" s="34">
        <f>IFERROR(up_RadSpec!$J$21*(BR21*$B65),".")</f>
        <v>37812.5</v>
      </c>
      <c r="BS65" s="34">
        <f>IFERROR(up_RadSpec!$J$21*(BS21*$B65),".")</f>
        <v>37812.5</v>
      </c>
      <c r="BT65" s="34">
        <f>IFERROR(up_RadSpec!$J$21*(BT21*$B65),".")</f>
        <v>37812.5</v>
      </c>
      <c r="BU65" s="34">
        <f>IFERROR(up_RadSpec!$J$21*(BU21*$B65),".")</f>
        <v>37812.5</v>
      </c>
      <c r="BV65" s="34">
        <f>IFERROR(up_RadSpec!$J$21*(BV21*$B65),".")</f>
        <v>37812.5</v>
      </c>
      <c r="BW65" s="34">
        <f>IFERROR(up_RadSpec!$J$21*(BW21*$B65),".")</f>
        <v>37812.5</v>
      </c>
      <c r="BX65" s="34">
        <f>IFERROR(up_RadSpec!$J$21*(BX21*$B65),".")</f>
        <v>37812.5</v>
      </c>
      <c r="BY65" s="34">
        <f>IFERROR(up_RadSpec!$J$21*(BY21*$B65),".")</f>
        <v>37812.5</v>
      </c>
    </row>
    <row r="66" spans="1:77" x14ac:dyDescent="0.25">
      <c r="A66" s="66" t="s">
        <v>1062</v>
      </c>
      <c r="B66" s="49">
        <v>0.99980000000000002</v>
      </c>
      <c r="C66" s="42">
        <f t="shared" ref="C66:AH66" si="99">IFERROR(C17/$B52,0)</f>
        <v>1496.8746494859847</v>
      </c>
      <c r="D66" s="42">
        <f t="shared" si="99"/>
        <v>4490.6239484579546</v>
      </c>
      <c r="E66" s="42">
        <f t="shared" si="99"/>
        <v>4490.6239484579546</v>
      </c>
      <c r="F66" s="42">
        <f t="shared" si="99"/>
        <v>4490.6239484579546</v>
      </c>
      <c r="G66" s="42">
        <f t="shared" si="99"/>
        <v>4490.6239484579546</v>
      </c>
      <c r="H66" s="42">
        <f t="shared" si="99"/>
        <v>4490.6239484579546</v>
      </c>
      <c r="I66" s="42">
        <f t="shared" si="99"/>
        <v>4490.6239484579546</v>
      </c>
      <c r="J66" s="42">
        <f t="shared" si="99"/>
        <v>4490.6239484579546</v>
      </c>
      <c r="K66" s="42">
        <f t="shared" si="99"/>
        <v>4490.6239484579546</v>
      </c>
      <c r="L66" s="42">
        <f t="shared" si="99"/>
        <v>4490.6239484579546</v>
      </c>
      <c r="M66" s="42">
        <f t="shared" si="99"/>
        <v>4490.6239484579546</v>
      </c>
      <c r="N66" s="42">
        <f t="shared" si="99"/>
        <v>4490.6239484579546</v>
      </c>
      <c r="O66" s="42">
        <f t="shared" si="99"/>
        <v>4490.6239484579546</v>
      </c>
      <c r="P66" s="42">
        <f t="shared" si="99"/>
        <v>4490.6239484579546</v>
      </c>
      <c r="Q66" s="42">
        <f t="shared" si="99"/>
        <v>4490.6239484579546</v>
      </c>
      <c r="R66" s="42">
        <f t="shared" si="99"/>
        <v>4490.6239484579546</v>
      </c>
      <c r="S66" s="42">
        <f t="shared" si="99"/>
        <v>4490.6239484579546</v>
      </c>
      <c r="T66" s="42">
        <f t="shared" si="99"/>
        <v>4490.6239484579546</v>
      </c>
      <c r="U66" s="42">
        <f t="shared" si="99"/>
        <v>4490.6239484579546</v>
      </c>
      <c r="V66" s="42">
        <f t="shared" si="99"/>
        <v>4490.6239484579546</v>
      </c>
      <c r="W66" s="42">
        <f t="shared" si="99"/>
        <v>4490.6239484579546</v>
      </c>
      <c r="X66" s="42">
        <f t="shared" si="99"/>
        <v>4490.6239484579546</v>
      </c>
      <c r="Y66" s="42">
        <f t="shared" si="99"/>
        <v>4490.6239484579546</v>
      </c>
      <c r="Z66" s="42">
        <f t="shared" si="99"/>
        <v>4490.6239484579546</v>
      </c>
      <c r="AA66" s="42">
        <f t="shared" si="99"/>
        <v>4490.6239484579546</v>
      </c>
      <c r="AB66" s="42">
        <f t="shared" si="99"/>
        <v>1496.8746494859847</v>
      </c>
      <c r="AC66" s="42">
        <f t="shared" si="99"/>
        <v>4490.6239484579546</v>
      </c>
      <c r="AD66" s="42">
        <f t="shared" si="99"/>
        <v>4490.6239484579546</v>
      </c>
      <c r="AE66" s="42">
        <f t="shared" si="99"/>
        <v>4490.6239484579546</v>
      </c>
      <c r="AF66" s="42">
        <f t="shared" si="99"/>
        <v>4490.6239484579546</v>
      </c>
      <c r="AG66" s="42">
        <f t="shared" si="99"/>
        <v>4490.6239484579546</v>
      </c>
      <c r="AH66" s="42">
        <f t="shared" si="99"/>
        <v>4490.6239484579546</v>
      </c>
      <c r="AI66" s="42">
        <f t="shared" ref="AI66:AZ66" si="100">IFERROR(AI17/$B52,0)</f>
        <v>4490.6239484579546</v>
      </c>
      <c r="AJ66" s="42">
        <f t="shared" si="100"/>
        <v>4490.6239484579546</v>
      </c>
      <c r="AK66" s="42">
        <f t="shared" si="100"/>
        <v>4490.6239484579546</v>
      </c>
      <c r="AL66" s="42">
        <f t="shared" si="100"/>
        <v>4490.6239484579546</v>
      </c>
      <c r="AM66" s="42">
        <f t="shared" si="100"/>
        <v>4490.6239484579546</v>
      </c>
      <c r="AN66" s="42">
        <f t="shared" si="100"/>
        <v>4490.6239484579546</v>
      </c>
      <c r="AO66" s="42">
        <f t="shared" si="100"/>
        <v>4490.6239484579546</v>
      </c>
      <c r="AP66" s="42">
        <f t="shared" si="100"/>
        <v>4490.6239484579546</v>
      </c>
      <c r="AQ66" s="42">
        <f t="shared" si="100"/>
        <v>4490.6239484579546</v>
      </c>
      <c r="AR66" s="42">
        <f t="shared" si="100"/>
        <v>4490.6239484579546</v>
      </c>
      <c r="AS66" s="42">
        <f t="shared" si="100"/>
        <v>4490.6239484579546</v>
      </c>
      <c r="AT66" s="42">
        <f t="shared" si="100"/>
        <v>4490.6239484579546</v>
      </c>
      <c r="AU66" s="42">
        <f t="shared" si="100"/>
        <v>4490.6239484579546</v>
      </c>
      <c r="AV66" s="42">
        <f t="shared" si="100"/>
        <v>4490.6239484579546</v>
      </c>
      <c r="AW66" s="42">
        <f t="shared" si="100"/>
        <v>4490.6239484579546</v>
      </c>
      <c r="AX66" s="42">
        <f t="shared" si="100"/>
        <v>4490.6239484579546</v>
      </c>
      <c r="AY66" s="42">
        <f t="shared" si="100"/>
        <v>4490.6239484579546</v>
      </c>
      <c r="AZ66" s="42">
        <f t="shared" si="100"/>
        <v>4490.6239484579546</v>
      </c>
      <c r="BA66" s="34">
        <f t="shared" si="29"/>
        <v>113414.8125</v>
      </c>
      <c r="BB66" s="34">
        <f>IFERROR(up_RadSpec!$J$17*(BB17*$B66),".")</f>
        <v>37804.9375</v>
      </c>
      <c r="BC66" s="34">
        <f>IFERROR(up_RadSpec!$J$17*(BC17*$B66),".")</f>
        <v>37804.9375</v>
      </c>
      <c r="BD66" s="34">
        <f>IFERROR(up_RadSpec!$J$17*(BD17*$B66),".")</f>
        <v>37804.9375</v>
      </c>
      <c r="BE66" s="34">
        <f>IFERROR(up_RadSpec!$J$17*(BE17*$B66),".")</f>
        <v>37804.9375</v>
      </c>
      <c r="BF66" s="34">
        <f>IFERROR(up_RadSpec!$J$17*(BF17*$B66),".")</f>
        <v>37804.9375</v>
      </c>
      <c r="BG66" s="34">
        <f>IFERROR(up_RadSpec!$J$17*(BG17*$B66),".")</f>
        <v>37804.9375</v>
      </c>
      <c r="BH66" s="34">
        <f>IFERROR(up_RadSpec!$J$17*(BH17*$B66),".")</f>
        <v>37804.9375</v>
      </c>
      <c r="BI66" s="34">
        <f>IFERROR(up_RadSpec!$J$17*(BI17*$B66),".")</f>
        <v>37804.9375</v>
      </c>
      <c r="BJ66" s="34">
        <f>IFERROR(up_RadSpec!$J$17*(BJ17*$B66),".")</f>
        <v>37804.9375</v>
      </c>
      <c r="BK66" s="34">
        <f>IFERROR(up_RadSpec!$J$17*(BK17*$B66),".")</f>
        <v>37804.9375</v>
      </c>
      <c r="BL66" s="34">
        <f>IFERROR(up_RadSpec!$J$17*(BL17*$B66),".")</f>
        <v>37804.9375</v>
      </c>
      <c r="BM66" s="34">
        <f>IFERROR(up_RadSpec!$J$17*(BM17*$B66),".")</f>
        <v>37804.9375</v>
      </c>
      <c r="BN66" s="34">
        <f>IFERROR(up_RadSpec!$J$17*(BN17*$B66),".")</f>
        <v>37804.9375</v>
      </c>
      <c r="BO66" s="34">
        <f>IFERROR(up_RadSpec!$J$17*(BO17*$B66),".")</f>
        <v>37804.9375</v>
      </c>
      <c r="BP66" s="34">
        <f>IFERROR(up_RadSpec!$J$17*(BP17*$B66),".")</f>
        <v>37804.9375</v>
      </c>
      <c r="BQ66" s="34">
        <f>IFERROR(up_RadSpec!$J$17*(BQ17*$B66),".")</f>
        <v>37804.9375</v>
      </c>
      <c r="BR66" s="34">
        <f>IFERROR(up_RadSpec!$J$17*(BR17*$B66),".")</f>
        <v>37804.9375</v>
      </c>
      <c r="BS66" s="34">
        <f>IFERROR(up_RadSpec!$J$17*(BS17*$B66),".")</f>
        <v>37804.9375</v>
      </c>
      <c r="BT66" s="34">
        <f>IFERROR(up_RadSpec!$J$17*(BT17*$B66),".")</f>
        <v>37804.9375</v>
      </c>
      <c r="BU66" s="34">
        <f>IFERROR(up_RadSpec!$J$17*(BU17*$B66),".")</f>
        <v>37804.9375</v>
      </c>
      <c r="BV66" s="34">
        <f>IFERROR(up_RadSpec!$J$17*(BV17*$B66),".")</f>
        <v>37804.9375</v>
      </c>
      <c r="BW66" s="34">
        <f>IFERROR(up_RadSpec!$J$17*(BW17*$B66),".")</f>
        <v>37804.9375</v>
      </c>
      <c r="BX66" s="34">
        <f>IFERROR(up_RadSpec!$J$17*(BX17*$B66),".")</f>
        <v>37804.9375</v>
      </c>
      <c r="BY66" s="34">
        <f>IFERROR(up_RadSpec!$J$17*(BY17*$B66),".")</f>
        <v>37804.9375</v>
      </c>
    </row>
    <row r="67" spans="1:77" x14ac:dyDescent="0.25">
      <c r="A67" s="66" t="s">
        <v>1076</v>
      </c>
      <c r="B67" s="49">
        <v>2.0000000000000001E-4</v>
      </c>
      <c r="C67" s="42">
        <f t="shared" ref="C67:AH67" si="101">IFERROR(C5/$B53,0)</f>
        <v>0</v>
      </c>
      <c r="D67" s="42">
        <f t="shared" si="101"/>
        <v>0</v>
      </c>
      <c r="E67" s="42">
        <f t="shared" si="101"/>
        <v>0</v>
      </c>
      <c r="F67" s="42">
        <f t="shared" si="101"/>
        <v>0</v>
      </c>
      <c r="G67" s="42">
        <f t="shared" si="101"/>
        <v>0</v>
      </c>
      <c r="H67" s="42">
        <f t="shared" si="101"/>
        <v>0</v>
      </c>
      <c r="I67" s="42">
        <f t="shared" si="101"/>
        <v>0</v>
      </c>
      <c r="J67" s="42">
        <f t="shared" si="101"/>
        <v>0</v>
      </c>
      <c r="K67" s="42">
        <f t="shared" si="101"/>
        <v>0</v>
      </c>
      <c r="L67" s="42">
        <f t="shared" si="101"/>
        <v>0</v>
      </c>
      <c r="M67" s="42">
        <f t="shared" si="101"/>
        <v>0</v>
      </c>
      <c r="N67" s="42">
        <f t="shared" si="101"/>
        <v>0</v>
      </c>
      <c r="O67" s="42">
        <f t="shared" si="101"/>
        <v>0</v>
      </c>
      <c r="P67" s="42">
        <f t="shared" si="101"/>
        <v>0</v>
      </c>
      <c r="Q67" s="42">
        <f t="shared" si="101"/>
        <v>0</v>
      </c>
      <c r="R67" s="42">
        <f t="shared" si="101"/>
        <v>0</v>
      </c>
      <c r="S67" s="42">
        <f t="shared" si="101"/>
        <v>0</v>
      </c>
      <c r="T67" s="42">
        <f t="shared" si="101"/>
        <v>0</v>
      </c>
      <c r="U67" s="42">
        <f t="shared" si="101"/>
        <v>0</v>
      </c>
      <c r="V67" s="42">
        <f t="shared" si="101"/>
        <v>0</v>
      </c>
      <c r="W67" s="42">
        <f t="shared" si="101"/>
        <v>0</v>
      </c>
      <c r="X67" s="42">
        <f t="shared" si="101"/>
        <v>0</v>
      </c>
      <c r="Y67" s="42">
        <f t="shared" si="101"/>
        <v>0</v>
      </c>
      <c r="Z67" s="42">
        <f t="shared" si="101"/>
        <v>0</v>
      </c>
      <c r="AA67" s="42">
        <f t="shared" si="101"/>
        <v>0</v>
      </c>
      <c r="AB67" s="42">
        <f t="shared" si="101"/>
        <v>0</v>
      </c>
      <c r="AC67" s="42">
        <f t="shared" si="101"/>
        <v>0</v>
      </c>
      <c r="AD67" s="42">
        <f t="shared" si="101"/>
        <v>0</v>
      </c>
      <c r="AE67" s="42">
        <f t="shared" si="101"/>
        <v>0</v>
      </c>
      <c r="AF67" s="42">
        <f t="shared" si="101"/>
        <v>0</v>
      </c>
      <c r="AG67" s="42">
        <f t="shared" si="101"/>
        <v>0</v>
      </c>
      <c r="AH67" s="42">
        <f t="shared" si="101"/>
        <v>0</v>
      </c>
      <c r="AI67" s="42">
        <f t="shared" ref="AI67:AZ67" si="102">IFERROR(AI5/$B53,0)</f>
        <v>0</v>
      </c>
      <c r="AJ67" s="42">
        <f t="shared" si="102"/>
        <v>0</v>
      </c>
      <c r="AK67" s="42">
        <f t="shared" si="102"/>
        <v>0</v>
      </c>
      <c r="AL67" s="42">
        <f t="shared" si="102"/>
        <v>0</v>
      </c>
      <c r="AM67" s="42">
        <f t="shared" si="102"/>
        <v>0</v>
      </c>
      <c r="AN67" s="42">
        <f t="shared" si="102"/>
        <v>0</v>
      </c>
      <c r="AO67" s="42">
        <f t="shared" si="102"/>
        <v>0</v>
      </c>
      <c r="AP67" s="42">
        <f t="shared" si="102"/>
        <v>0</v>
      </c>
      <c r="AQ67" s="42">
        <f t="shared" si="102"/>
        <v>0</v>
      </c>
      <c r="AR67" s="42">
        <f t="shared" si="102"/>
        <v>0</v>
      </c>
      <c r="AS67" s="42">
        <f t="shared" si="102"/>
        <v>0</v>
      </c>
      <c r="AT67" s="42">
        <f t="shared" si="102"/>
        <v>0</v>
      </c>
      <c r="AU67" s="42">
        <f t="shared" si="102"/>
        <v>0</v>
      </c>
      <c r="AV67" s="42">
        <f t="shared" si="102"/>
        <v>0</v>
      </c>
      <c r="AW67" s="42">
        <f t="shared" si="102"/>
        <v>0</v>
      </c>
      <c r="AX67" s="42">
        <f t="shared" si="102"/>
        <v>0</v>
      </c>
      <c r="AY67" s="42">
        <f t="shared" si="102"/>
        <v>0</v>
      </c>
      <c r="AZ67" s="42">
        <f t="shared" si="102"/>
        <v>0</v>
      </c>
      <c r="BA67" s="34">
        <f t="shared" si="29"/>
        <v>22.687500000000004</v>
      </c>
      <c r="BB67" s="34">
        <f>IFERROR(up_RadSpec!$J$5*(BB5*$B67),".")</f>
        <v>7.5625000000000009</v>
      </c>
      <c r="BC67" s="34">
        <f>IFERROR(up_RadSpec!$J$5*(BC5*$B67),".")</f>
        <v>7.5625000000000009</v>
      </c>
      <c r="BD67" s="34">
        <f>IFERROR(up_RadSpec!$J$5*(BD5*$B67),".")</f>
        <v>7.5625000000000009</v>
      </c>
      <c r="BE67" s="34">
        <f>IFERROR(up_RadSpec!$J$5*(BE5*$B67),".")</f>
        <v>7.5625000000000009</v>
      </c>
      <c r="BF67" s="34">
        <f>IFERROR(up_RadSpec!$J$5*(BF5*$B67),".")</f>
        <v>7.5625000000000009</v>
      </c>
      <c r="BG67" s="34">
        <f>IFERROR(up_RadSpec!$J$5*(BG5*$B67),".")</f>
        <v>7.5625000000000009</v>
      </c>
      <c r="BH67" s="34">
        <f>IFERROR(up_RadSpec!$J$5*(BH5*$B67),".")</f>
        <v>7.5625000000000009</v>
      </c>
      <c r="BI67" s="34">
        <f>IFERROR(up_RadSpec!$J$5*(BI5*$B67),".")</f>
        <v>7.5625000000000009</v>
      </c>
      <c r="BJ67" s="34">
        <f>IFERROR(up_RadSpec!$J$5*(BJ5*$B67),".")</f>
        <v>7.5625000000000009</v>
      </c>
      <c r="BK67" s="34">
        <f>IFERROR(up_RadSpec!$J$5*(BK5*$B67),".")</f>
        <v>7.5625000000000009</v>
      </c>
      <c r="BL67" s="34">
        <f>IFERROR(up_RadSpec!$J$5*(BL5*$B67),".")</f>
        <v>7.5625000000000009</v>
      </c>
      <c r="BM67" s="34">
        <f>IFERROR(up_RadSpec!$J$5*(BM5*$B67),".")</f>
        <v>7.5625000000000009</v>
      </c>
      <c r="BN67" s="34">
        <f>IFERROR(up_RadSpec!$J$5*(BN5*$B67),".")</f>
        <v>7.5625000000000009</v>
      </c>
      <c r="BO67" s="34">
        <f>IFERROR(up_RadSpec!$J$5*(BO5*$B67),".")</f>
        <v>7.5625000000000009</v>
      </c>
      <c r="BP67" s="34">
        <f>IFERROR(up_RadSpec!$J$5*(BP5*$B67),".")</f>
        <v>7.5625000000000009</v>
      </c>
      <c r="BQ67" s="34">
        <f>IFERROR(up_RadSpec!$J$5*(BQ5*$B67),".")</f>
        <v>7.5625000000000009</v>
      </c>
      <c r="BR67" s="34">
        <f>IFERROR(up_RadSpec!$J$5*(BR5*$B67),".")</f>
        <v>7.5625000000000009</v>
      </c>
      <c r="BS67" s="34">
        <f>IFERROR(up_RadSpec!$J$5*(BS5*$B67),".")</f>
        <v>7.5625000000000009</v>
      </c>
      <c r="BT67" s="34">
        <f>IFERROR(up_RadSpec!$J$5*(BT5*$B67),".")</f>
        <v>7.5625000000000009</v>
      </c>
      <c r="BU67" s="34">
        <f>IFERROR(up_RadSpec!$J$5*(BU5*$B67),".")</f>
        <v>7.5625000000000009</v>
      </c>
      <c r="BV67" s="34">
        <f>IFERROR(up_RadSpec!$J$5*(BV5*$B67),".")</f>
        <v>7.5625000000000009</v>
      </c>
      <c r="BW67" s="34">
        <f>IFERROR(up_RadSpec!$J$5*(BW5*$B67),".")</f>
        <v>7.5625000000000009</v>
      </c>
      <c r="BX67" s="34">
        <f>IFERROR(up_RadSpec!$J$5*(BX5*$B67),".")</f>
        <v>7.5625000000000009</v>
      </c>
      <c r="BY67" s="34">
        <f>IFERROR(up_RadSpec!$J$5*(BY5*$B67),".")</f>
        <v>7.5625000000000009</v>
      </c>
    </row>
    <row r="68" spans="1:77" x14ac:dyDescent="0.25">
      <c r="A68" s="66" t="s">
        <v>1077</v>
      </c>
      <c r="B68" s="49">
        <v>0.99999979999999999</v>
      </c>
      <c r="C68" s="42">
        <f t="shared" ref="C68:AH68" si="103">IFERROR(C9/$B54,0)</f>
        <v>1998.7821422843576</v>
      </c>
      <c r="D68" s="42">
        <f t="shared" si="103"/>
        <v>5996.3464268530724</v>
      </c>
      <c r="E68" s="42">
        <f t="shared" si="103"/>
        <v>5996.3464268530724</v>
      </c>
      <c r="F68" s="42">
        <f t="shared" si="103"/>
        <v>5996.3464268530724</v>
      </c>
      <c r="G68" s="42">
        <f t="shared" si="103"/>
        <v>5996.3464268530724</v>
      </c>
      <c r="H68" s="42">
        <f t="shared" si="103"/>
        <v>5996.3464268530724</v>
      </c>
      <c r="I68" s="42">
        <f t="shared" si="103"/>
        <v>5996.3464268530724</v>
      </c>
      <c r="J68" s="42">
        <f t="shared" si="103"/>
        <v>5996.3464268530724</v>
      </c>
      <c r="K68" s="42">
        <f t="shared" si="103"/>
        <v>5996.3464268530724</v>
      </c>
      <c r="L68" s="42">
        <f t="shared" si="103"/>
        <v>5996.3464268530724</v>
      </c>
      <c r="M68" s="42">
        <f t="shared" si="103"/>
        <v>5996.3464268530724</v>
      </c>
      <c r="N68" s="42">
        <f t="shared" si="103"/>
        <v>5996.3464268530724</v>
      </c>
      <c r="O68" s="42">
        <f t="shared" si="103"/>
        <v>5996.3464268530724</v>
      </c>
      <c r="P68" s="42">
        <f t="shared" si="103"/>
        <v>5996.3464268530724</v>
      </c>
      <c r="Q68" s="42">
        <f t="shared" si="103"/>
        <v>5996.3464268530724</v>
      </c>
      <c r="R68" s="42">
        <f t="shared" si="103"/>
        <v>5996.3464268530724</v>
      </c>
      <c r="S68" s="42">
        <f t="shared" si="103"/>
        <v>5996.3464268530724</v>
      </c>
      <c r="T68" s="42">
        <f t="shared" si="103"/>
        <v>5996.3464268530724</v>
      </c>
      <c r="U68" s="42">
        <f t="shared" si="103"/>
        <v>5996.3464268530724</v>
      </c>
      <c r="V68" s="42">
        <f t="shared" si="103"/>
        <v>5996.3464268530724</v>
      </c>
      <c r="W68" s="42">
        <f t="shared" si="103"/>
        <v>5996.3464268530724</v>
      </c>
      <c r="X68" s="42">
        <f t="shared" si="103"/>
        <v>5996.3464268530724</v>
      </c>
      <c r="Y68" s="42">
        <f t="shared" si="103"/>
        <v>5996.3464268530724</v>
      </c>
      <c r="Z68" s="42">
        <f t="shared" si="103"/>
        <v>5996.3464268530724</v>
      </c>
      <c r="AA68" s="42">
        <f t="shared" si="103"/>
        <v>5996.3464268530724</v>
      </c>
      <c r="AB68" s="42">
        <f t="shared" si="103"/>
        <v>1998.7821422843576</v>
      </c>
      <c r="AC68" s="42">
        <f t="shared" si="103"/>
        <v>5996.3464268530724</v>
      </c>
      <c r="AD68" s="42">
        <f t="shared" si="103"/>
        <v>5996.3464268530724</v>
      </c>
      <c r="AE68" s="42">
        <f t="shared" si="103"/>
        <v>5996.3464268530724</v>
      </c>
      <c r="AF68" s="42">
        <f t="shared" si="103"/>
        <v>5996.3464268530724</v>
      </c>
      <c r="AG68" s="42">
        <f t="shared" si="103"/>
        <v>5996.3464268530724</v>
      </c>
      <c r="AH68" s="42">
        <f t="shared" si="103"/>
        <v>5996.3464268530724</v>
      </c>
      <c r="AI68" s="42">
        <f t="shared" ref="AI68:AZ68" si="104">IFERROR(AI9/$B54,0)</f>
        <v>5996.3464268530724</v>
      </c>
      <c r="AJ68" s="42">
        <f t="shared" si="104"/>
        <v>5996.3464268530724</v>
      </c>
      <c r="AK68" s="42">
        <f t="shared" si="104"/>
        <v>5996.3464268530724</v>
      </c>
      <c r="AL68" s="42">
        <f t="shared" si="104"/>
        <v>5996.3464268530724</v>
      </c>
      <c r="AM68" s="42">
        <f t="shared" si="104"/>
        <v>5996.3464268530724</v>
      </c>
      <c r="AN68" s="42">
        <f t="shared" si="104"/>
        <v>5996.3464268530724</v>
      </c>
      <c r="AO68" s="42">
        <f t="shared" si="104"/>
        <v>5996.3464268530724</v>
      </c>
      <c r="AP68" s="42">
        <f t="shared" si="104"/>
        <v>5996.3464268530724</v>
      </c>
      <c r="AQ68" s="42">
        <f t="shared" si="104"/>
        <v>5996.3464268530724</v>
      </c>
      <c r="AR68" s="42">
        <f t="shared" si="104"/>
        <v>5996.3464268530724</v>
      </c>
      <c r="AS68" s="42">
        <f t="shared" si="104"/>
        <v>5996.3464268530724</v>
      </c>
      <c r="AT68" s="42">
        <f t="shared" si="104"/>
        <v>5996.3464268530724</v>
      </c>
      <c r="AU68" s="42">
        <f t="shared" si="104"/>
        <v>5996.3464268530724</v>
      </c>
      <c r="AV68" s="42">
        <f t="shared" si="104"/>
        <v>5996.3464268530724</v>
      </c>
      <c r="AW68" s="42">
        <f t="shared" si="104"/>
        <v>5996.3464268530724</v>
      </c>
      <c r="AX68" s="42">
        <f t="shared" si="104"/>
        <v>5996.3464268530724</v>
      </c>
      <c r="AY68" s="42">
        <f t="shared" si="104"/>
        <v>5996.3464268530724</v>
      </c>
      <c r="AZ68" s="42">
        <f t="shared" si="104"/>
        <v>5996.3464268530724</v>
      </c>
      <c r="BA68" s="34">
        <f t="shared" si="29"/>
        <v>113437.47731249999</v>
      </c>
      <c r="BB68" s="34">
        <f>IFERROR(up_RadSpec!$J$9*(BB9*$B68),".")</f>
        <v>37812.492437499997</v>
      </c>
      <c r="BC68" s="34">
        <f>IFERROR(up_RadSpec!$J$9*(BC9*$B68),".")</f>
        <v>37812.492437499997</v>
      </c>
      <c r="BD68" s="34">
        <f>IFERROR(up_RadSpec!$J$9*(BD9*$B68),".")</f>
        <v>37812.492437499997</v>
      </c>
      <c r="BE68" s="34">
        <f>IFERROR(up_RadSpec!$J$9*(BE9*$B68),".")</f>
        <v>37812.492437499997</v>
      </c>
      <c r="BF68" s="34">
        <f>IFERROR(up_RadSpec!$J$9*(BF9*$B68),".")</f>
        <v>37812.492437499997</v>
      </c>
      <c r="BG68" s="34">
        <f>IFERROR(up_RadSpec!$J$9*(BG9*$B68),".")</f>
        <v>37812.492437499997</v>
      </c>
      <c r="BH68" s="34">
        <f>IFERROR(up_RadSpec!$J$9*(BH9*$B68),".")</f>
        <v>37812.492437499997</v>
      </c>
      <c r="BI68" s="34">
        <f>IFERROR(up_RadSpec!$J$9*(BI9*$B68),".")</f>
        <v>37812.492437499997</v>
      </c>
      <c r="BJ68" s="34">
        <f>IFERROR(up_RadSpec!$J$9*(BJ9*$B68),".")</f>
        <v>37812.492437499997</v>
      </c>
      <c r="BK68" s="34">
        <f>IFERROR(up_RadSpec!$J$9*(BK9*$B68),".")</f>
        <v>37812.492437499997</v>
      </c>
      <c r="BL68" s="34">
        <f>IFERROR(up_RadSpec!$J$9*(BL9*$B68),".")</f>
        <v>37812.492437499997</v>
      </c>
      <c r="BM68" s="34">
        <f>IFERROR(up_RadSpec!$J$9*(BM9*$B68),".")</f>
        <v>37812.492437499997</v>
      </c>
      <c r="BN68" s="34">
        <f>IFERROR(up_RadSpec!$J$9*(BN9*$B68),".")</f>
        <v>37812.492437499997</v>
      </c>
      <c r="BO68" s="34">
        <f>IFERROR(up_RadSpec!$J$9*(BO9*$B68),".")</f>
        <v>37812.492437499997</v>
      </c>
      <c r="BP68" s="34">
        <f>IFERROR(up_RadSpec!$J$9*(BP9*$B68),".")</f>
        <v>37812.492437499997</v>
      </c>
      <c r="BQ68" s="34">
        <f>IFERROR(up_RadSpec!$J$9*(BQ9*$B68),".")</f>
        <v>37812.492437499997</v>
      </c>
      <c r="BR68" s="34">
        <f>IFERROR(up_RadSpec!$J$9*(BR9*$B68),".")</f>
        <v>37812.492437499997</v>
      </c>
      <c r="BS68" s="34">
        <f>IFERROR(up_RadSpec!$J$9*(BS9*$B68),".")</f>
        <v>37812.492437499997</v>
      </c>
      <c r="BT68" s="34">
        <f>IFERROR(up_RadSpec!$J$9*(BT9*$B68),".")</f>
        <v>37812.492437499997</v>
      </c>
      <c r="BU68" s="34">
        <f>IFERROR(up_RadSpec!$J$9*(BU9*$B68),".")</f>
        <v>37812.492437499997</v>
      </c>
      <c r="BV68" s="34">
        <f>IFERROR(up_RadSpec!$J$9*(BV9*$B68),".")</f>
        <v>37812.492437499997</v>
      </c>
      <c r="BW68" s="34">
        <f>IFERROR(up_RadSpec!$J$9*(BW9*$B68),".")</f>
        <v>37812.492437499997</v>
      </c>
      <c r="BX68" s="34">
        <f>IFERROR(up_RadSpec!$J$9*(BX9*$B68),".")</f>
        <v>37812.492437499997</v>
      </c>
      <c r="BY68" s="34">
        <f>IFERROR(up_RadSpec!$J$9*(BY9*$B68),".")</f>
        <v>37812.492437499997</v>
      </c>
    </row>
    <row r="69" spans="1:77" x14ac:dyDescent="0.25">
      <c r="A69" s="66" t="s">
        <v>1078</v>
      </c>
      <c r="B69" s="49">
        <v>1.9999999999999999E-7</v>
      </c>
      <c r="C69" s="42">
        <f t="shared" ref="C69:AH69" si="105">IFERROR(C24/$B55,0)</f>
        <v>0</v>
      </c>
      <c r="D69" s="42">
        <f t="shared" si="105"/>
        <v>0</v>
      </c>
      <c r="E69" s="42">
        <f t="shared" si="105"/>
        <v>0</v>
      </c>
      <c r="F69" s="42">
        <f t="shared" si="105"/>
        <v>0</v>
      </c>
      <c r="G69" s="42">
        <f t="shared" si="105"/>
        <v>0</v>
      </c>
      <c r="H69" s="42">
        <f t="shared" si="105"/>
        <v>0</v>
      </c>
      <c r="I69" s="42">
        <f t="shared" si="105"/>
        <v>0</v>
      </c>
      <c r="J69" s="42">
        <f t="shared" si="105"/>
        <v>0</v>
      </c>
      <c r="K69" s="42">
        <f t="shared" si="105"/>
        <v>0</v>
      </c>
      <c r="L69" s="42">
        <f t="shared" si="105"/>
        <v>0</v>
      </c>
      <c r="M69" s="42">
        <f t="shared" si="105"/>
        <v>0</v>
      </c>
      <c r="N69" s="42">
        <f t="shared" si="105"/>
        <v>0</v>
      </c>
      <c r="O69" s="42">
        <f t="shared" si="105"/>
        <v>0</v>
      </c>
      <c r="P69" s="42">
        <f t="shared" si="105"/>
        <v>0</v>
      </c>
      <c r="Q69" s="42">
        <f t="shared" si="105"/>
        <v>0</v>
      </c>
      <c r="R69" s="42">
        <f t="shared" si="105"/>
        <v>0</v>
      </c>
      <c r="S69" s="42">
        <f t="shared" si="105"/>
        <v>0</v>
      </c>
      <c r="T69" s="42">
        <f t="shared" si="105"/>
        <v>0</v>
      </c>
      <c r="U69" s="42">
        <f t="shared" si="105"/>
        <v>0</v>
      </c>
      <c r="V69" s="42">
        <f t="shared" si="105"/>
        <v>0</v>
      </c>
      <c r="W69" s="42">
        <f t="shared" si="105"/>
        <v>0</v>
      </c>
      <c r="X69" s="42">
        <f t="shared" si="105"/>
        <v>0</v>
      </c>
      <c r="Y69" s="42">
        <f t="shared" si="105"/>
        <v>0</v>
      </c>
      <c r="Z69" s="42">
        <f t="shared" si="105"/>
        <v>0</v>
      </c>
      <c r="AA69" s="42">
        <f t="shared" si="105"/>
        <v>0</v>
      </c>
      <c r="AB69" s="42">
        <f t="shared" si="105"/>
        <v>0</v>
      </c>
      <c r="AC69" s="42">
        <f t="shared" si="105"/>
        <v>0</v>
      </c>
      <c r="AD69" s="42">
        <f t="shared" si="105"/>
        <v>0</v>
      </c>
      <c r="AE69" s="42">
        <f t="shared" si="105"/>
        <v>0</v>
      </c>
      <c r="AF69" s="42">
        <f t="shared" si="105"/>
        <v>0</v>
      </c>
      <c r="AG69" s="42">
        <f t="shared" si="105"/>
        <v>0</v>
      </c>
      <c r="AH69" s="42">
        <f t="shared" si="105"/>
        <v>0</v>
      </c>
      <c r="AI69" s="42">
        <f t="shared" ref="AI69:AZ69" si="106">IFERROR(AI24/$B55,0)</f>
        <v>0</v>
      </c>
      <c r="AJ69" s="42">
        <f t="shared" si="106"/>
        <v>0</v>
      </c>
      <c r="AK69" s="42">
        <f t="shared" si="106"/>
        <v>0</v>
      </c>
      <c r="AL69" s="42">
        <f t="shared" si="106"/>
        <v>0</v>
      </c>
      <c r="AM69" s="42">
        <f t="shared" si="106"/>
        <v>0</v>
      </c>
      <c r="AN69" s="42">
        <f t="shared" si="106"/>
        <v>0</v>
      </c>
      <c r="AO69" s="42">
        <f t="shared" si="106"/>
        <v>0</v>
      </c>
      <c r="AP69" s="42">
        <f t="shared" si="106"/>
        <v>0</v>
      </c>
      <c r="AQ69" s="42">
        <f t="shared" si="106"/>
        <v>0</v>
      </c>
      <c r="AR69" s="42">
        <f t="shared" si="106"/>
        <v>0</v>
      </c>
      <c r="AS69" s="42">
        <f t="shared" si="106"/>
        <v>0</v>
      </c>
      <c r="AT69" s="42">
        <f t="shared" si="106"/>
        <v>0</v>
      </c>
      <c r="AU69" s="42">
        <f t="shared" si="106"/>
        <v>0</v>
      </c>
      <c r="AV69" s="42">
        <f t="shared" si="106"/>
        <v>0</v>
      </c>
      <c r="AW69" s="42">
        <f t="shared" si="106"/>
        <v>0</v>
      </c>
      <c r="AX69" s="42">
        <f t="shared" si="106"/>
        <v>0</v>
      </c>
      <c r="AY69" s="42">
        <f t="shared" si="106"/>
        <v>0</v>
      </c>
      <c r="AZ69" s="42">
        <f t="shared" si="106"/>
        <v>0</v>
      </c>
      <c r="BA69" s="34">
        <f t="shared" si="29"/>
        <v>2.2687499999999999E-2</v>
      </c>
      <c r="BB69" s="34">
        <f>IFERROR(up_RadSpec!$J$24*(BB24*$B69),".")</f>
        <v>7.5624999999999998E-3</v>
      </c>
      <c r="BC69" s="34">
        <f>IFERROR(up_RadSpec!$J$24*(BC24*$B69),".")</f>
        <v>7.5624999999999998E-3</v>
      </c>
      <c r="BD69" s="34">
        <f>IFERROR(up_RadSpec!$J$24*(BD24*$B69),".")</f>
        <v>7.5624999999999998E-3</v>
      </c>
      <c r="BE69" s="34">
        <f>IFERROR(up_RadSpec!$J$24*(BE24*$B69),".")</f>
        <v>7.5624999999999998E-3</v>
      </c>
      <c r="BF69" s="34">
        <f>IFERROR(up_RadSpec!$J$24*(BF24*$B69),".")</f>
        <v>7.5624999999999998E-3</v>
      </c>
      <c r="BG69" s="34">
        <f>IFERROR(up_RadSpec!$J$24*(BG24*$B69),".")</f>
        <v>7.5624999999999998E-3</v>
      </c>
      <c r="BH69" s="34">
        <f>IFERROR(up_RadSpec!$J$24*(BH24*$B69),".")</f>
        <v>7.5624999999999998E-3</v>
      </c>
      <c r="BI69" s="34">
        <f>IFERROR(up_RadSpec!$J$24*(BI24*$B69),".")</f>
        <v>7.5624999999999998E-3</v>
      </c>
      <c r="BJ69" s="34">
        <f>IFERROR(up_RadSpec!$J$24*(BJ24*$B69),".")</f>
        <v>7.5624999999999998E-3</v>
      </c>
      <c r="BK69" s="34">
        <f>IFERROR(up_RadSpec!$J$24*(BK24*$B69),".")</f>
        <v>7.5624999999999998E-3</v>
      </c>
      <c r="BL69" s="34">
        <f>IFERROR(up_RadSpec!$J$24*(BL24*$B69),".")</f>
        <v>7.5624999999999998E-3</v>
      </c>
      <c r="BM69" s="34">
        <f>IFERROR(up_RadSpec!$J$24*(BM24*$B69),".")</f>
        <v>7.5624999999999998E-3</v>
      </c>
      <c r="BN69" s="34">
        <f>IFERROR(up_RadSpec!$J$24*(BN24*$B69),".")</f>
        <v>7.5624999999999998E-3</v>
      </c>
      <c r="BO69" s="34">
        <f>IFERROR(up_RadSpec!$J$24*(BO24*$B69),".")</f>
        <v>7.5624999999999998E-3</v>
      </c>
      <c r="BP69" s="34">
        <f>IFERROR(up_RadSpec!$J$24*(BP24*$B69),".")</f>
        <v>7.5624999999999998E-3</v>
      </c>
      <c r="BQ69" s="34">
        <f>IFERROR(up_RadSpec!$J$24*(BQ24*$B69),".")</f>
        <v>7.5624999999999998E-3</v>
      </c>
      <c r="BR69" s="34">
        <f>IFERROR(up_RadSpec!$J$24*(BR24*$B69),".")</f>
        <v>7.5624999999999998E-3</v>
      </c>
      <c r="BS69" s="34">
        <f>IFERROR(up_RadSpec!$J$24*(BS24*$B69),".")</f>
        <v>7.5624999999999998E-3</v>
      </c>
      <c r="BT69" s="34">
        <f>IFERROR(up_RadSpec!$J$24*(BT24*$B69),".")</f>
        <v>7.5624999999999998E-3</v>
      </c>
      <c r="BU69" s="34">
        <f>IFERROR(up_RadSpec!$J$24*(BU24*$B69),".")</f>
        <v>7.5624999999999998E-3</v>
      </c>
      <c r="BV69" s="34">
        <f>IFERROR(up_RadSpec!$J$24*(BV24*$B69),".")</f>
        <v>7.5624999999999998E-3</v>
      </c>
      <c r="BW69" s="34">
        <f>IFERROR(up_RadSpec!$J$24*(BW24*$B69),".")</f>
        <v>7.5624999999999998E-3</v>
      </c>
      <c r="BX69" s="34">
        <f>IFERROR(up_RadSpec!$J$24*(BX24*$B69),".")</f>
        <v>7.5624999999999998E-3</v>
      </c>
      <c r="BY69" s="34">
        <f>IFERROR(up_RadSpec!$J$24*(BY24*$B69),".")</f>
        <v>7.5624999999999998E-3</v>
      </c>
    </row>
    <row r="70" spans="1:77" x14ac:dyDescent="0.25">
      <c r="A70" s="66" t="s">
        <v>1079</v>
      </c>
      <c r="B70" s="49">
        <v>0.99979000004200003</v>
      </c>
      <c r="C70" s="42">
        <f t="shared" ref="C70:AH70" si="107">IFERROR(C20/$B56,0)</f>
        <v>0</v>
      </c>
      <c r="D70" s="42">
        <f t="shared" si="107"/>
        <v>0</v>
      </c>
      <c r="E70" s="42">
        <f t="shared" si="107"/>
        <v>0</v>
      </c>
      <c r="F70" s="42">
        <f t="shared" si="107"/>
        <v>0</v>
      </c>
      <c r="G70" s="42">
        <f t="shared" si="107"/>
        <v>0</v>
      </c>
      <c r="H70" s="42">
        <f t="shared" si="107"/>
        <v>0</v>
      </c>
      <c r="I70" s="42">
        <f t="shared" si="107"/>
        <v>0</v>
      </c>
      <c r="J70" s="42">
        <f t="shared" si="107"/>
        <v>0</v>
      </c>
      <c r="K70" s="42">
        <f t="shared" si="107"/>
        <v>0</v>
      </c>
      <c r="L70" s="42">
        <f t="shared" si="107"/>
        <v>0</v>
      </c>
      <c r="M70" s="42">
        <f t="shared" si="107"/>
        <v>0</v>
      </c>
      <c r="N70" s="42">
        <f t="shared" si="107"/>
        <v>0</v>
      </c>
      <c r="O70" s="42">
        <f t="shared" si="107"/>
        <v>0</v>
      </c>
      <c r="P70" s="42">
        <f t="shared" si="107"/>
        <v>0</v>
      </c>
      <c r="Q70" s="42">
        <f t="shared" si="107"/>
        <v>0</v>
      </c>
      <c r="R70" s="42">
        <f t="shared" si="107"/>
        <v>0</v>
      </c>
      <c r="S70" s="42">
        <f t="shared" si="107"/>
        <v>0</v>
      </c>
      <c r="T70" s="42">
        <f t="shared" si="107"/>
        <v>0</v>
      </c>
      <c r="U70" s="42">
        <f t="shared" si="107"/>
        <v>0</v>
      </c>
      <c r="V70" s="42">
        <f t="shared" si="107"/>
        <v>0</v>
      </c>
      <c r="W70" s="42">
        <f t="shared" si="107"/>
        <v>0</v>
      </c>
      <c r="X70" s="42">
        <f t="shared" si="107"/>
        <v>0</v>
      </c>
      <c r="Y70" s="42">
        <f t="shared" si="107"/>
        <v>0</v>
      </c>
      <c r="Z70" s="42">
        <f t="shared" si="107"/>
        <v>0</v>
      </c>
      <c r="AA70" s="42">
        <f t="shared" si="107"/>
        <v>0</v>
      </c>
      <c r="AB70" s="42">
        <f t="shared" si="107"/>
        <v>0</v>
      </c>
      <c r="AC70" s="42">
        <f t="shared" si="107"/>
        <v>0</v>
      </c>
      <c r="AD70" s="42">
        <f t="shared" si="107"/>
        <v>0</v>
      </c>
      <c r="AE70" s="42">
        <f t="shared" si="107"/>
        <v>0</v>
      </c>
      <c r="AF70" s="42">
        <f t="shared" si="107"/>
        <v>0</v>
      </c>
      <c r="AG70" s="42">
        <f t="shared" si="107"/>
        <v>0</v>
      </c>
      <c r="AH70" s="42">
        <f t="shared" si="107"/>
        <v>0</v>
      </c>
      <c r="AI70" s="42">
        <f t="shared" ref="AI70:AZ70" si="108">IFERROR(AI20/$B56,0)</f>
        <v>0</v>
      </c>
      <c r="AJ70" s="42">
        <f t="shared" si="108"/>
        <v>0</v>
      </c>
      <c r="AK70" s="42">
        <f t="shared" si="108"/>
        <v>0</v>
      </c>
      <c r="AL70" s="42">
        <f t="shared" si="108"/>
        <v>0</v>
      </c>
      <c r="AM70" s="42">
        <f t="shared" si="108"/>
        <v>0</v>
      </c>
      <c r="AN70" s="42">
        <f t="shared" si="108"/>
        <v>0</v>
      </c>
      <c r="AO70" s="42">
        <f t="shared" si="108"/>
        <v>0</v>
      </c>
      <c r="AP70" s="42">
        <f t="shared" si="108"/>
        <v>0</v>
      </c>
      <c r="AQ70" s="42">
        <f t="shared" si="108"/>
        <v>0</v>
      </c>
      <c r="AR70" s="42">
        <f t="shared" si="108"/>
        <v>0</v>
      </c>
      <c r="AS70" s="42">
        <f t="shared" si="108"/>
        <v>0</v>
      </c>
      <c r="AT70" s="42">
        <f t="shared" si="108"/>
        <v>0</v>
      </c>
      <c r="AU70" s="42">
        <f t="shared" si="108"/>
        <v>0</v>
      </c>
      <c r="AV70" s="42">
        <f t="shared" si="108"/>
        <v>0</v>
      </c>
      <c r="AW70" s="42">
        <f t="shared" si="108"/>
        <v>0</v>
      </c>
      <c r="AX70" s="42">
        <f t="shared" si="108"/>
        <v>0</v>
      </c>
      <c r="AY70" s="42">
        <f t="shared" si="108"/>
        <v>0</v>
      </c>
      <c r="AZ70" s="42">
        <f t="shared" si="108"/>
        <v>0</v>
      </c>
      <c r="BA70" s="34">
        <f t="shared" si="29"/>
        <v>113413.67812976439</v>
      </c>
      <c r="BB70" s="34">
        <f>IFERROR(up_RadSpec!$J$20*(BB20*$B70),".")</f>
        <v>37804.559376588128</v>
      </c>
      <c r="BC70" s="34">
        <f>IFERROR(up_RadSpec!$J$20*(BC20*$B70),".")</f>
        <v>37804.559376588128</v>
      </c>
      <c r="BD70" s="34">
        <f>IFERROR(up_RadSpec!$J$20*(BD20*$B70),".")</f>
        <v>37804.559376588128</v>
      </c>
      <c r="BE70" s="34">
        <f>IFERROR(up_RadSpec!$J$20*(BE20*$B70),".")</f>
        <v>37804.559376588128</v>
      </c>
      <c r="BF70" s="34">
        <f>IFERROR(up_RadSpec!$J$20*(BF20*$B70),".")</f>
        <v>37804.559376588128</v>
      </c>
      <c r="BG70" s="34">
        <f>IFERROR(up_RadSpec!$J$20*(BG20*$B70),".")</f>
        <v>37804.559376588128</v>
      </c>
      <c r="BH70" s="34">
        <f>IFERROR(up_RadSpec!$J$20*(BH20*$B70),".")</f>
        <v>37804.559376588128</v>
      </c>
      <c r="BI70" s="34">
        <f>IFERROR(up_RadSpec!$J$20*(BI20*$B70),".")</f>
        <v>37804.559376588128</v>
      </c>
      <c r="BJ70" s="34">
        <f>IFERROR(up_RadSpec!$J$20*(BJ20*$B70),".")</f>
        <v>37804.559376588128</v>
      </c>
      <c r="BK70" s="34">
        <f>IFERROR(up_RadSpec!$J$20*(BK20*$B70),".")</f>
        <v>37804.559376588128</v>
      </c>
      <c r="BL70" s="34">
        <f>IFERROR(up_RadSpec!$J$20*(BL20*$B70),".")</f>
        <v>37804.559376588128</v>
      </c>
      <c r="BM70" s="34">
        <f>IFERROR(up_RadSpec!$J$20*(BM20*$B70),".")</f>
        <v>37804.559376588128</v>
      </c>
      <c r="BN70" s="34">
        <f>IFERROR(up_RadSpec!$J$20*(BN20*$B70),".")</f>
        <v>37804.559376588128</v>
      </c>
      <c r="BO70" s="34">
        <f>IFERROR(up_RadSpec!$J$20*(BO20*$B70),".")</f>
        <v>37804.559376588128</v>
      </c>
      <c r="BP70" s="34">
        <f>IFERROR(up_RadSpec!$J$20*(BP20*$B70),".")</f>
        <v>37804.559376588128</v>
      </c>
      <c r="BQ70" s="34">
        <f>IFERROR(up_RadSpec!$J$20*(BQ20*$B70),".")</f>
        <v>37804.559376588128</v>
      </c>
      <c r="BR70" s="34">
        <f>IFERROR(up_RadSpec!$J$20*(BR20*$B70),".")</f>
        <v>37804.559376588128</v>
      </c>
      <c r="BS70" s="34">
        <f>IFERROR(up_RadSpec!$J$20*(BS20*$B70),".")</f>
        <v>37804.559376588128</v>
      </c>
      <c r="BT70" s="34">
        <f>IFERROR(up_RadSpec!$J$20*(BT20*$B70),".")</f>
        <v>37804.559376588128</v>
      </c>
      <c r="BU70" s="34">
        <f>IFERROR(up_RadSpec!$J$20*(BU20*$B70),".")</f>
        <v>37804.559376588128</v>
      </c>
      <c r="BV70" s="34">
        <f>IFERROR(up_RadSpec!$J$20*(BV20*$B70),".")</f>
        <v>37804.559376588128</v>
      </c>
      <c r="BW70" s="34">
        <f>IFERROR(up_RadSpec!$J$20*(BW20*$B70),".")</f>
        <v>37804.559376588128</v>
      </c>
      <c r="BX70" s="34">
        <f>IFERROR(up_RadSpec!$J$20*(BX20*$B70),".")</f>
        <v>37804.559376588128</v>
      </c>
      <c r="BY70" s="34">
        <f>IFERROR(up_RadSpec!$J$20*(BY20*$B70),".")</f>
        <v>37804.559376588128</v>
      </c>
    </row>
    <row r="71" spans="1:77" x14ac:dyDescent="0.25">
      <c r="A71" s="66" t="s">
        <v>1080</v>
      </c>
      <c r="B71" s="49">
        <v>2.0999995799999999E-4</v>
      </c>
      <c r="C71" s="42">
        <f t="shared" ref="C71:AH71" si="109">IFERROR(C29/$B57,0)</f>
        <v>0</v>
      </c>
      <c r="D71" s="42">
        <f t="shared" si="109"/>
        <v>0</v>
      </c>
      <c r="E71" s="42">
        <f t="shared" si="109"/>
        <v>0</v>
      </c>
      <c r="F71" s="42">
        <f t="shared" si="109"/>
        <v>0</v>
      </c>
      <c r="G71" s="42">
        <f t="shared" si="109"/>
        <v>0</v>
      </c>
      <c r="H71" s="42">
        <f t="shared" si="109"/>
        <v>0</v>
      </c>
      <c r="I71" s="42">
        <f t="shared" si="109"/>
        <v>0</v>
      </c>
      <c r="J71" s="42">
        <f t="shared" si="109"/>
        <v>0</v>
      </c>
      <c r="K71" s="42">
        <f t="shared" si="109"/>
        <v>0</v>
      </c>
      <c r="L71" s="42">
        <f t="shared" si="109"/>
        <v>0</v>
      </c>
      <c r="M71" s="42">
        <f t="shared" si="109"/>
        <v>0</v>
      </c>
      <c r="N71" s="42">
        <f t="shared" si="109"/>
        <v>0</v>
      </c>
      <c r="O71" s="42">
        <f t="shared" si="109"/>
        <v>0</v>
      </c>
      <c r="P71" s="42">
        <f t="shared" si="109"/>
        <v>0</v>
      </c>
      <c r="Q71" s="42">
        <f t="shared" si="109"/>
        <v>0</v>
      </c>
      <c r="R71" s="42">
        <f t="shared" si="109"/>
        <v>0</v>
      </c>
      <c r="S71" s="42">
        <f t="shared" si="109"/>
        <v>0</v>
      </c>
      <c r="T71" s="42">
        <f t="shared" si="109"/>
        <v>0</v>
      </c>
      <c r="U71" s="42">
        <f t="shared" si="109"/>
        <v>0</v>
      </c>
      <c r="V71" s="42">
        <f t="shared" si="109"/>
        <v>0</v>
      </c>
      <c r="W71" s="42">
        <f t="shared" si="109"/>
        <v>0</v>
      </c>
      <c r="X71" s="42">
        <f t="shared" si="109"/>
        <v>0</v>
      </c>
      <c r="Y71" s="42">
        <f t="shared" si="109"/>
        <v>0</v>
      </c>
      <c r="Z71" s="42">
        <f t="shared" si="109"/>
        <v>0</v>
      </c>
      <c r="AA71" s="42">
        <f t="shared" si="109"/>
        <v>0</v>
      </c>
      <c r="AB71" s="42">
        <f t="shared" si="109"/>
        <v>0</v>
      </c>
      <c r="AC71" s="42">
        <f t="shared" si="109"/>
        <v>0</v>
      </c>
      <c r="AD71" s="42">
        <f t="shared" si="109"/>
        <v>0</v>
      </c>
      <c r="AE71" s="42">
        <f t="shared" si="109"/>
        <v>0</v>
      </c>
      <c r="AF71" s="42">
        <f t="shared" si="109"/>
        <v>0</v>
      </c>
      <c r="AG71" s="42">
        <f t="shared" si="109"/>
        <v>0</v>
      </c>
      <c r="AH71" s="42">
        <f t="shared" si="109"/>
        <v>0</v>
      </c>
      <c r="AI71" s="42">
        <f t="shared" ref="AI71:AZ71" si="110">IFERROR(AI29/$B57,0)</f>
        <v>0</v>
      </c>
      <c r="AJ71" s="42">
        <f t="shared" si="110"/>
        <v>0</v>
      </c>
      <c r="AK71" s="42">
        <f t="shared" si="110"/>
        <v>0</v>
      </c>
      <c r="AL71" s="42">
        <f t="shared" si="110"/>
        <v>0</v>
      </c>
      <c r="AM71" s="42">
        <f t="shared" si="110"/>
        <v>0</v>
      </c>
      <c r="AN71" s="42">
        <f t="shared" si="110"/>
        <v>0</v>
      </c>
      <c r="AO71" s="42">
        <f t="shared" si="110"/>
        <v>0</v>
      </c>
      <c r="AP71" s="42">
        <f t="shared" si="110"/>
        <v>0</v>
      </c>
      <c r="AQ71" s="42">
        <f t="shared" si="110"/>
        <v>0</v>
      </c>
      <c r="AR71" s="42">
        <f t="shared" si="110"/>
        <v>0</v>
      </c>
      <c r="AS71" s="42">
        <f t="shared" si="110"/>
        <v>0</v>
      </c>
      <c r="AT71" s="42">
        <f t="shared" si="110"/>
        <v>0</v>
      </c>
      <c r="AU71" s="42">
        <f t="shared" si="110"/>
        <v>0</v>
      </c>
      <c r="AV71" s="42">
        <f t="shared" si="110"/>
        <v>0</v>
      </c>
      <c r="AW71" s="42">
        <f t="shared" si="110"/>
        <v>0</v>
      </c>
      <c r="AX71" s="42">
        <f t="shared" si="110"/>
        <v>0</v>
      </c>
      <c r="AY71" s="42">
        <f t="shared" si="110"/>
        <v>0</v>
      </c>
      <c r="AZ71" s="42">
        <f t="shared" si="110"/>
        <v>0</v>
      </c>
      <c r="BA71" s="34">
        <f t="shared" si="29"/>
        <v>23.821870235624999</v>
      </c>
      <c r="BB71" s="34">
        <f>IFERROR(up_RadSpec!$J$29*(BB29*$B71),".")</f>
        <v>7.9406234118749994</v>
      </c>
      <c r="BC71" s="34">
        <f>IFERROR(up_RadSpec!$J$29*(BC29*$B71),".")</f>
        <v>7.9406234118749994</v>
      </c>
      <c r="BD71" s="34">
        <f>IFERROR(up_RadSpec!$J$29*(BD29*$B71),".")</f>
        <v>7.9406234118749994</v>
      </c>
      <c r="BE71" s="34">
        <f>IFERROR(up_RadSpec!$J$29*(BE29*$B71),".")</f>
        <v>7.9406234118749994</v>
      </c>
      <c r="BF71" s="34">
        <f>IFERROR(up_RadSpec!$J$29*(BF29*$B71),".")</f>
        <v>7.9406234118749994</v>
      </c>
      <c r="BG71" s="34">
        <f>IFERROR(up_RadSpec!$J$29*(BG29*$B71),".")</f>
        <v>7.9406234118749994</v>
      </c>
      <c r="BH71" s="34">
        <f>IFERROR(up_RadSpec!$J$29*(BH29*$B71),".")</f>
        <v>7.9406234118749994</v>
      </c>
      <c r="BI71" s="34">
        <f>IFERROR(up_RadSpec!$J$29*(BI29*$B71),".")</f>
        <v>7.9406234118749994</v>
      </c>
      <c r="BJ71" s="34">
        <f>IFERROR(up_RadSpec!$J$29*(BJ29*$B71),".")</f>
        <v>7.9406234118749994</v>
      </c>
      <c r="BK71" s="34">
        <f>IFERROR(up_RadSpec!$J$29*(BK29*$B71),".")</f>
        <v>7.9406234118749994</v>
      </c>
      <c r="BL71" s="34">
        <f>IFERROR(up_RadSpec!$J$29*(BL29*$B71),".")</f>
        <v>7.9406234118749994</v>
      </c>
      <c r="BM71" s="34">
        <f>IFERROR(up_RadSpec!$J$29*(BM29*$B71),".")</f>
        <v>7.9406234118749994</v>
      </c>
      <c r="BN71" s="34">
        <f>IFERROR(up_RadSpec!$J$29*(BN29*$B71),".")</f>
        <v>7.9406234118749994</v>
      </c>
      <c r="BO71" s="34">
        <f>IFERROR(up_RadSpec!$J$29*(BO29*$B71),".")</f>
        <v>7.9406234118749994</v>
      </c>
      <c r="BP71" s="34">
        <f>IFERROR(up_RadSpec!$J$29*(BP29*$B71),".")</f>
        <v>7.9406234118749994</v>
      </c>
      <c r="BQ71" s="34">
        <f>IFERROR(up_RadSpec!$J$29*(BQ29*$B71),".")</f>
        <v>7.9406234118749994</v>
      </c>
      <c r="BR71" s="34">
        <f>IFERROR(up_RadSpec!$J$29*(BR29*$B71),".")</f>
        <v>7.9406234118749994</v>
      </c>
      <c r="BS71" s="34">
        <f>IFERROR(up_RadSpec!$J$29*(BS29*$B71),".")</f>
        <v>7.9406234118749994</v>
      </c>
      <c r="BT71" s="34">
        <f>IFERROR(up_RadSpec!$J$29*(BT29*$B71),".")</f>
        <v>7.9406234118749994</v>
      </c>
      <c r="BU71" s="34">
        <f>IFERROR(up_RadSpec!$J$29*(BU29*$B71),".")</f>
        <v>7.9406234118749994</v>
      </c>
      <c r="BV71" s="34">
        <f>IFERROR(up_RadSpec!$J$29*(BV29*$B71),".")</f>
        <v>7.9406234118749994</v>
      </c>
      <c r="BW71" s="34">
        <f>IFERROR(up_RadSpec!$J$29*(BW29*$B71),".")</f>
        <v>7.9406234118749994</v>
      </c>
      <c r="BX71" s="34">
        <f>IFERROR(up_RadSpec!$J$29*(BX29*$B71),".")</f>
        <v>7.9406234118749994</v>
      </c>
      <c r="BY71" s="34">
        <f>IFERROR(up_RadSpec!$J$29*(BY29*$B71),".")</f>
        <v>7.9406234118749994</v>
      </c>
    </row>
    <row r="72" spans="1:77" x14ac:dyDescent="0.25">
      <c r="A72" s="66" t="s">
        <v>1081</v>
      </c>
      <c r="B72" s="49">
        <v>1</v>
      </c>
      <c r="C72" s="42">
        <f t="shared" ref="C72:AH72" si="111">IFERROR(C16/$B58,0)</f>
        <v>0.29197890160457007</v>
      </c>
      <c r="D72" s="42">
        <f t="shared" si="111"/>
        <v>0.87593670481371022</v>
      </c>
      <c r="E72" s="42">
        <f t="shared" si="111"/>
        <v>0.87593670481371022</v>
      </c>
      <c r="F72" s="42">
        <f t="shared" si="111"/>
        <v>0.87593670481371022</v>
      </c>
      <c r="G72" s="42">
        <f t="shared" si="111"/>
        <v>0.87593670481371022</v>
      </c>
      <c r="H72" s="42">
        <f t="shared" si="111"/>
        <v>0.87593670481371022</v>
      </c>
      <c r="I72" s="42">
        <f t="shared" si="111"/>
        <v>0.87593670481371022</v>
      </c>
      <c r="J72" s="42">
        <f t="shared" si="111"/>
        <v>0.87593670481371022</v>
      </c>
      <c r="K72" s="42">
        <f t="shared" si="111"/>
        <v>0.87593670481371022</v>
      </c>
      <c r="L72" s="42">
        <f t="shared" si="111"/>
        <v>0.87593670481371022</v>
      </c>
      <c r="M72" s="42">
        <f t="shared" si="111"/>
        <v>0.87593670481371022</v>
      </c>
      <c r="N72" s="42">
        <f t="shared" si="111"/>
        <v>0.87593670481371022</v>
      </c>
      <c r="O72" s="42">
        <f t="shared" si="111"/>
        <v>0.87593670481371022</v>
      </c>
      <c r="P72" s="42">
        <f t="shared" si="111"/>
        <v>0.87593670481371022</v>
      </c>
      <c r="Q72" s="42">
        <f t="shared" si="111"/>
        <v>0.87593670481371022</v>
      </c>
      <c r="R72" s="42">
        <f t="shared" si="111"/>
        <v>0.87593670481371022</v>
      </c>
      <c r="S72" s="42">
        <f t="shared" si="111"/>
        <v>0.87593670481371022</v>
      </c>
      <c r="T72" s="42">
        <f t="shared" si="111"/>
        <v>0.87593670481371022</v>
      </c>
      <c r="U72" s="42">
        <f t="shared" si="111"/>
        <v>0.87593670481371022</v>
      </c>
      <c r="V72" s="42">
        <f t="shared" si="111"/>
        <v>0.87593670481371022</v>
      </c>
      <c r="W72" s="42">
        <f t="shared" si="111"/>
        <v>0.87593670481371022</v>
      </c>
      <c r="X72" s="42">
        <f t="shared" si="111"/>
        <v>0.87593670481371022</v>
      </c>
      <c r="Y72" s="42">
        <f t="shared" si="111"/>
        <v>0.87593670481371022</v>
      </c>
      <c r="Z72" s="42">
        <f t="shared" si="111"/>
        <v>0.87593670481371022</v>
      </c>
      <c r="AA72" s="42">
        <f t="shared" si="111"/>
        <v>0.87593670481371022</v>
      </c>
      <c r="AB72" s="42">
        <f t="shared" si="111"/>
        <v>0.29197890160457007</v>
      </c>
      <c r="AC72" s="42">
        <f t="shared" si="111"/>
        <v>0.87593670481371022</v>
      </c>
      <c r="AD72" s="42">
        <f t="shared" si="111"/>
        <v>0.87593670481371022</v>
      </c>
      <c r="AE72" s="42">
        <f t="shared" si="111"/>
        <v>0.87593670481371022</v>
      </c>
      <c r="AF72" s="42">
        <f t="shared" si="111"/>
        <v>0.87593670481371022</v>
      </c>
      <c r="AG72" s="42">
        <f t="shared" si="111"/>
        <v>0.87593670481371022</v>
      </c>
      <c r="AH72" s="42">
        <f t="shared" si="111"/>
        <v>0.87593670481371022</v>
      </c>
      <c r="AI72" s="42">
        <f t="shared" ref="AI72:AZ72" si="112">IFERROR(AI16/$B58,0)</f>
        <v>0.87593670481371022</v>
      </c>
      <c r="AJ72" s="42">
        <f t="shared" si="112"/>
        <v>0.87593670481371022</v>
      </c>
      <c r="AK72" s="42">
        <f t="shared" si="112"/>
        <v>0.87593670481371022</v>
      </c>
      <c r="AL72" s="42">
        <f t="shared" si="112"/>
        <v>0.87593670481371022</v>
      </c>
      <c r="AM72" s="42">
        <f t="shared" si="112"/>
        <v>0.87593670481371022</v>
      </c>
      <c r="AN72" s="42">
        <f t="shared" si="112"/>
        <v>0.87593670481371022</v>
      </c>
      <c r="AO72" s="42">
        <f t="shared" si="112"/>
        <v>0.87593670481371022</v>
      </c>
      <c r="AP72" s="42">
        <f t="shared" si="112"/>
        <v>0.87593670481371022</v>
      </c>
      <c r="AQ72" s="42">
        <f t="shared" si="112"/>
        <v>0.87593670481371022</v>
      </c>
      <c r="AR72" s="42">
        <f t="shared" si="112"/>
        <v>0.87593670481371022</v>
      </c>
      <c r="AS72" s="42">
        <f t="shared" si="112"/>
        <v>0.87593670481371022</v>
      </c>
      <c r="AT72" s="42">
        <f t="shared" si="112"/>
        <v>0.87593670481371022</v>
      </c>
      <c r="AU72" s="42">
        <f t="shared" si="112"/>
        <v>0.87593670481371022</v>
      </c>
      <c r="AV72" s="42">
        <f t="shared" si="112"/>
        <v>0.87593670481371022</v>
      </c>
      <c r="AW72" s="42">
        <f t="shared" si="112"/>
        <v>0.87593670481371022</v>
      </c>
      <c r="AX72" s="42">
        <f t="shared" si="112"/>
        <v>0.87593670481371022</v>
      </c>
      <c r="AY72" s="42">
        <f t="shared" si="112"/>
        <v>0.87593670481371022</v>
      </c>
      <c r="AZ72" s="42">
        <f t="shared" si="112"/>
        <v>0.87593670481371022</v>
      </c>
      <c r="BA72" s="34">
        <f t="shared" si="29"/>
        <v>113437.5</v>
      </c>
      <c r="BB72" s="34">
        <f>IFERROR(up_RadSpec!$J$16*(BB16*$B72),".")</f>
        <v>37812.5</v>
      </c>
      <c r="BC72" s="34">
        <f>IFERROR(up_RadSpec!$J$16*(BC16*$B72),".")</f>
        <v>37812.5</v>
      </c>
      <c r="BD72" s="34">
        <f>IFERROR(up_RadSpec!$J$16*(BD16*$B72),".")</f>
        <v>37812.5</v>
      </c>
      <c r="BE72" s="34">
        <f>IFERROR(up_RadSpec!$J$16*(BE16*$B72),".")</f>
        <v>37812.5</v>
      </c>
      <c r="BF72" s="34">
        <f>IFERROR(up_RadSpec!$J$16*(BF16*$B72),".")</f>
        <v>37812.5</v>
      </c>
      <c r="BG72" s="34">
        <f>IFERROR(up_RadSpec!$J$16*(BG16*$B72),".")</f>
        <v>37812.5</v>
      </c>
      <c r="BH72" s="34">
        <f>IFERROR(up_RadSpec!$J$16*(BH16*$B72),".")</f>
        <v>37812.5</v>
      </c>
      <c r="BI72" s="34">
        <f>IFERROR(up_RadSpec!$J$16*(BI16*$B72),".")</f>
        <v>37812.5</v>
      </c>
      <c r="BJ72" s="34">
        <f>IFERROR(up_RadSpec!$J$16*(BJ16*$B72),".")</f>
        <v>37812.5</v>
      </c>
      <c r="BK72" s="34">
        <f>IFERROR(up_RadSpec!$J$16*(BK16*$B72),".")</f>
        <v>37812.5</v>
      </c>
      <c r="BL72" s="34">
        <f>IFERROR(up_RadSpec!$J$16*(BL16*$B72),".")</f>
        <v>37812.5</v>
      </c>
      <c r="BM72" s="34">
        <f>IFERROR(up_RadSpec!$J$16*(BM16*$B72),".")</f>
        <v>37812.5</v>
      </c>
      <c r="BN72" s="34">
        <f>IFERROR(up_RadSpec!$J$16*(BN16*$B72),".")</f>
        <v>37812.5</v>
      </c>
      <c r="BO72" s="34">
        <f>IFERROR(up_RadSpec!$J$16*(BO16*$B72),".")</f>
        <v>37812.5</v>
      </c>
      <c r="BP72" s="34">
        <f>IFERROR(up_RadSpec!$J$16*(BP16*$B72),".")</f>
        <v>37812.5</v>
      </c>
      <c r="BQ72" s="34">
        <f>IFERROR(up_RadSpec!$J$16*(BQ16*$B72),".")</f>
        <v>37812.5</v>
      </c>
      <c r="BR72" s="34">
        <f>IFERROR(up_RadSpec!$J$16*(BR16*$B72),".")</f>
        <v>37812.5</v>
      </c>
      <c r="BS72" s="34">
        <f>IFERROR(up_RadSpec!$J$16*(BS16*$B72),".")</f>
        <v>37812.5</v>
      </c>
      <c r="BT72" s="34">
        <f>IFERROR(up_RadSpec!$J$16*(BT16*$B72),".")</f>
        <v>37812.5</v>
      </c>
      <c r="BU72" s="34">
        <f>IFERROR(up_RadSpec!$J$16*(BU16*$B72),".")</f>
        <v>37812.5</v>
      </c>
      <c r="BV72" s="34">
        <f>IFERROR(up_RadSpec!$J$16*(BV16*$B72),".")</f>
        <v>37812.5</v>
      </c>
      <c r="BW72" s="34">
        <f>IFERROR(up_RadSpec!$J$16*(BW16*$B72),".")</f>
        <v>37812.5</v>
      </c>
      <c r="BX72" s="34">
        <f>IFERROR(up_RadSpec!$J$16*(BX16*$B72),".")</f>
        <v>37812.5</v>
      </c>
      <c r="BY72" s="34">
        <f>IFERROR(up_RadSpec!$J$16*(BY16*$B72),".")</f>
        <v>37812.5</v>
      </c>
    </row>
    <row r="73" spans="1:77" x14ac:dyDescent="0.25">
      <c r="A73" s="66" t="s">
        <v>1082</v>
      </c>
      <c r="B73" s="49">
        <v>1</v>
      </c>
      <c r="C73" s="42">
        <f t="shared" ref="C73:AH73" si="113">IFERROR(C7/$B59,0)</f>
        <v>165.45471090925639</v>
      </c>
      <c r="D73" s="42">
        <f t="shared" si="113"/>
        <v>496.36413272776917</v>
      </c>
      <c r="E73" s="42">
        <f t="shared" si="113"/>
        <v>496.36413272776917</v>
      </c>
      <c r="F73" s="42">
        <f t="shared" si="113"/>
        <v>496.36413272776917</v>
      </c>
      <c r="G73" s="42">
        <f t="shared" si="113"/>
        <v>496.36413272776917</v>
      </c>
      <c r="H73" s="42">
        <f t="shared" si="113"/>
        <v>496.36413272776917</v>
      </c>
      <c r="I73" s="42">
        <f t="shared" si="113"/>
        <v>496.36413272776917</v>
      </c>
      <c r="J73" s="42">
        <f t="shared" si="113"/>
        <v>496.36413272776917</v>
      </c>
      <c r="K73" s="42">
        <f t="shared" si="113"/>
        <v>496.36413272776917</v>
      </c>
      <c r="L73" s="42">
        <f t="shared" si="113"/>
        <v>496.36413272776917</v>
      </c>
      <c r="M73" s="42">
        <f t="shared" si="113"/>
        <v>496.36413272776917</v>
      </c>
      <c r="N73" s="42">
        <f t="shared" si="113"/>
        <v>496.36413272776917</v>
      </c>
      <c r="O73" s="42">
        <f t="shared" si="113"/>
        <v>496.36413272776917</v>
      </c>
      <c r="P73" s="42">
        <f t="shared" si="113"/>
        <v>496.36413272776917</v>
      </c>
      <c r="Q73" s="42">
        <f t="shared" si="113"/>
        <v>496.36413272776917</v>
      </c>
      <c r="R73" s="42">
        <f t="shared" si="113"/>
        <v>496.36413272776917</v>
      </c>
      <c r="S73" s="42">
        <f t="shared" si="113"/>
        <v>496.36413272776917</v>
      </c>
      <c r="T73" s="42">
        <f t="shared" si="113"/>
        <v>496.36413272776917</v>
      </c>
      <c r="U73" s="42">
        <f t="shared" si="113"/>
        <v>496.36413272776917</v>
      </c>
      <c r="V73" s="42">
        <f t="shared" si="113"/>
        <v>496.36413272776917</v>
      </c>
      <c r="W73" s="42">
        <f t="shared" si="113"/>
        <v>496.36413272776917</v>
      </c>
      <c r="X73" s="42">
        <f t="shared" si="113"/>
        <v>496.36413272776917</v>
      </c>
      <c r="Y73" s="42">
        <f t="shared" si="113"/>
        <v>496.36413272776917</v>
      </c>
      <c r="Z73" s="42">
        <f t="shared" si="113"/>
        <v>496.36413272776917</v>
      </c>
      <c r="AA73" s="42">
        <f t="shared" si="113"/>
        <v>496.36413272776917</v>
      </c>
      <c r="AB73" s="42">
        <f t="shared" si="113"/>
        <v>165.45471090925639</v>
      </c>
      <c r="AC73" s="42">
        <f t="shared" si="113"/>
        <v>496.36413272776917</v>
      </c>
      <c r="AD73" s="42">
        <f t="shared" si="113"/>
        <v>496.36413272776917</v>
      </c>
      <c r="AE73" s="42">
        <f t="shared" si="113"/>
        <v>496.36413272776917</v>
      </c>
      <c r="AF73" s="42">
        <f t="shared" si="113"/>
        <v>496.36413272776917</v>
      </c>
      <c r="AG73" s="42">
        <f t="shared" si="113"/>
        <v>496.36413272776917</v>
      </c>
      <c r="AH73" s="42">
        <f t="shared" si="113"/>
        <v>496.36413272776917</v>
      </c>
      <c r="AI73" s="42">
        <f t="shared" ref="AI73:AZ73" si="114">IFERROR(AI7/$B59,0)</f>
        <v>496.36413272776917</v>
      </c>
      <c r="AJ73" s="42">
        <f t="shared" si="114"/>
        <v>496.36413272776917</v>
      </c>
      <c r="AK73" s="42">
        <f t="shared" si="114"/>
        <v>496.36413272776917</v>
      </c>
      <c r="AL73" s="42">
        <f t="shared" si="114"/>
        <v>496.36413272776917</v>
      </c>
      <c r="AM73" s="42">
        <f t="shared" si="114"/>
        <v>496.36413272776917</v>
      </c>
      <c r="AN73" s="42">
        <f t="shared" si="114"/>
        <v>496.36413272776917</v>
      </c>
      <c r="AO73" s="42">
        <f t="shared" si="114"/>
        <v>496.36413272776917</v>
      </c>
      <c r="AP73" s="42">
        <f t="shared" si="114"/>
        <v>496.36413272776917</v>
      </c>
      <c r="AQ73" s="42">
        <f t="shared" si="114"/>
        <v>496.36413272776917</v>
      </c>
      <c r="AR73" s="42">
        <f t="shared" si="114"/>
        <v>496.36413272776917</v>
      </c>
      <c r="AS73" s="42">
        <f t="shared" si="114"/>
        <v>496.36413272776917</v>
      </c>
      <c r="AT73" s="42">
        <f t="shared" si="114"/>
        <v>496.36413272776917</v>
      </c>
      <c r="AU73" s="42">
        <f t="shared" si="114"/>
        <v>496.36413272776917</v>
      </c>
      <c r="AV73" s="42">
        <f t="shared" si="114"/>
        <v>496.36413272776917</v>
      </c>
      <c r="AW73" s="42">
        <f t="shared" si="114"/>
        <v>496.36413272776917</v>
      </c>
      <c r="AX73" s="42">
        <f t="shared" si="114"/>
        <v>496.36413272776917</v>
      </c>
      <c r="AY73" s="42">
        <f t="shared" si="114"/>
        <v>496.36413272776917</v>
      </c>
      <c r="AZ73" s="42">
        <f t="shared" si="114"/>
        <v>496.36413272776917</v>
      </c>
      <c r="BA73" s="34">
        <f t="shared" si="29"/>
        <v>113437.5</v>
      </c>
      <c r="BB73" s="34">
        <f>IFERROR(up_RadSpec!$J$7*(BB7*$B73),".")</f>
        <v>37812.5</v>
      </c>
      <c r="BC73" s="34">
        <f>IFERROR(up_RadSpec!$J$7*(BC7*$B73),".")</f>
        <v>37812.5</v>
      </c>
      <c r="BD73" s="34">
        <f>IFERROR(up_RadSpec!$J$7*(BD7*$B73),".")</f>
        <v>37812.5</v>
      </c>
      <c r="BE73" s="34">
        <f>IFERROR(up_RadSpec!$J$7*(BE7*$B73),".")</f>
        <v>37812.5</v>
      </c>
      <c r="BF73" s="34">
        <f>IFERROR(up_RadSpec!$J$7*(BF7*$B73),".")</f>
        <v>37812.5</v>
      </c>
      <c r="BG73" s="34">
        <f>IFERROR(up_RadSpec!$J$7*(BG7*$B73),".")</f>
        <v>37812.5</v>
      </c>
      <c r="BH73" s="34">
        <f>IFERROR(up_RadSpec!$J$7*(BH7*$B73),".")</f>
        <v>37812.5</v>
      </c>
      <c r="BI73" s="34">
        <f>IFERROR(up_RadSpec!$J$7*(BI7*$B73),".")</f>
        <v>37812.5</v>
      </c>
      <c r="BJ73" s="34">
        <f>IFERROR(up_RadSpec!$J$7*(BJ7*$B73),".")</f>
        <v>37812.5</v>
      </c>
      <c r="BK73" s="34">
        <f>IFERROR(up_RadSpec!$J$7*(BK7*$B73),".")</f>
        <v>37812.5</v>
      </c>
      <c r="BL73" s="34">
        <f>IFERROR(up_RadSpec!$J$7*(BL7*$B73),".")</f>
        <v>37812.5</v>
      </c>
      <c r="BM73" s="34">
        <f>IFERROR(up_RadSpec!$J$7*(BM7*$B73),".")</f>
        <v>37812.5</v>
      </c>
      <c r="BN73" s="34">
        <f>IFERROR(up_RadSpec!$J$7*(BN7*$B73),".")</f>
        <v>37812.5</v>
      </c>
      <c r="BO73" s="34">
        <f>IFERROR(up_RadSpec!$J$7*(BO7*$B73),".")</f>
        <v>37812.5</v>
      </c>
      <c r="BP73" s="34">
        <f>IFERROR(up_RadSpec!$J$7*(BP7*$B73),".")</f>
        <v>37812.5</v>
      </c>
      <c r="BQ73" s="34">
        <f>IFERROR(up_RadSpec!$J$7*(BQ7*$B73),".")</f>
        <v>37812.5</v>
      </c>
      <c r="BR73" s="34">
        <f>IFERROR(up_RadSpec!$J$7*(BR7*$B73),".")</f>
        <v>37812.5</v>
      </c>
      <c r="BS73" s="34">
        <f>IFERROR(up_RadSpec!$J$7*(BS7*$B73),".")</f>
        <v>37812.5</v>
      </c>
      <c r="BT73" s="34">
        <f>IFERROR(up_RadSpec!$J$7*(BT7*$B73),".")</f>
        <v>37812.5</v>
      </c>
      <c r="BU73" s="34">
        <f>IFERROR(up_RadSpec!$J$7*(BU7*$B73),".")</f>
        <v>37812.5</v>
      </c>
      <c r="BV73" s="34">
        <f>IFERROR(up_RadSpec!$J$7*(BV7*$B73),".")</f>
        <v>37812.5</v>
      </c>
      <c r="BW73" s="34">
        <f>IFERROR(up_RadSpec!$J$7*(BW7*$B73),".")</f>
        <v>37812.5</v>
      </c>
      <c r="BX73" s="34">
        <f>IFERROR(up_RadSpec!$J$7*(BX7*$B73),".")</f>
        <v>37812.5</v>
      </c>
      <c r="BY73" s="34">
        <f>IFERROR(up_RadSpec!$J$7*(BY7*$B73),".")</f>
        <v>37812.5</v>
      </c>
    </row>
    <row r="74" spans="1:77" x14ac:dyDescent="0.25">
      <c r="A74" s="66" t="s">
        <v>1083</v>
      </c>
      <c r="B74" s="49">
        <v>1.9000000000000001E-8</v>
      </c>
      <c r="C74" s="42">
        <f t="shared" ref="C74:AH74" si="115">IFERROR(C12/$B60,0)</f>
        <v>0</v>
      </c>
      <c r="D74" s="42">
        <f t="shared" si="115"/>
        <v>0</v>
      </c>
      <c r="E74" s="42">
        <f t="shared" si="115"/>
        <v>0</v>
      </c>
      <c r="F74" s="42">
        <f t="shared" si="115"/>
        <v>0</v>
      </c>
      <c r="G74" s="42">
        <f t="shared" si="115"/>
        <v>0</v>
      </c>
      <c r="H74" s="42">
        <f t="shared" si="115"/>
        <v>0</v>
      </c>
      <c r="I74" s="42">
        <f t="shared" si="115"/>
        <v>0</v>
      </c>
      <c r="J74" s="42">
        <f t="shared" si="115"/>
        <v>0</v>
      </c>
      <c r="K74" s="42">
        <f t="shared" si="115"/>
        <v>0</v>
      </c>
      <c r="L74" s="42">
        <f t="shared" si="115"/>
        <v>0</v>
      </c>
      <c r="M74" s="42">
        <f t="shared" si="115"/>
        <v>0</v>
      </c>
      <c r="N74" s="42">
        <f t="shared" si="115"/>
        <v>0</v>
      </c>
      <c r="O74" s="42">
        <f t="shared" si="115"/>
        <v>0</v>
      </c>
      <c r="P74" s="42">
        <f t="shared" si="115"/>
        <v>0</v>
      </c>
      <c r="Q74" s="42">
        <f t="shared" si="115"/>
        <v>0</v>
      </c>
      <c r="R74" s="42">
        <f t="shared" si="115"/>
        <v>0</v>
      </c>
      <c r="S74" s="42">
        <f t="shared" si="115"/>
        <v>0</v>
      </c>
      <c r="T74" s="42">
        <f t="shared" si="115"/>
        <v>0</v>
      </c>
      <c r="U74" s="42">
        <f t="shared" si="115"/>
        <v>0</v>
      </c>
      <c r="V74" s="42">
        <f t="shared" si="115"/>
        <v>0</v>
      </c>
      <c r="W74" s="42">
        <f t="shared" si="115"/>
        <v>0</v>
      </c>
      <c r="X74" s="42">
        <f t="shared" si="115"/>
        <v>0</v>
      </c>
      <c r="Y74" s="42">
        <f t="shared" si="115"/>
        <v>0</v>
      </c>
      <c r="Z74" s="42">
        <f t="shared" si="115"/>
        <v>0</v>
      </c>
      <c r="AA74" s="42">
        <f t="shared" si="115"/>
        <v>0</v>
      </c>
      <c r="AB74" s="42">
        <f t="shared" si="115"/>
        <v>0</v>
      </c>
      <c r="AC74" s="42">
        <f t="shared" si="115"/>
        <v>0</v>
      </c>
      <c r="AD74" s="42">
        <f t="shared" si="115"/>
        <v>0</v>
      </c>
      <c r="AE74" s="42">
        <f t="shared" si="115"/>
        <v>0</v>
      </c>
      <c r="AF74" s="42">
        <f t="shared" si="115"/>
        <v>0</v>
      </c>
      <c r="AG74" s="42">
        <f t="shared" si="115"/>
        <v>0</v>
      </c>
      <c r="AH74" s="42">
        <f t="shared" si="115"/>
        <v>0</v>
      </c>
      <c r="AI74" s="42">
        <f t="shared" ref="AI74:AZ74" si="116">IFERROR(AI12/$B60,0)</f>
        <v>0</v>
      </c>
      <c r="AJ74" s="42">
        <f t="shared" si="116"/>
        <v>0</v>
      </c>
      <c r="AK74" s="42">
        <f t="shared" si="116"/>
        <v>0</v>
      </c>
      <c r="AL74" s="42">
        <f t="shared" si="116"/>
        <v>0</v>
      </c>
      <c r="AM74" s="42">
        <f t="shared" si="116"/>
        <v>0</v>
      </c>
      <c r="AN74" s="42">
        <f t="shared" si="116"/>
        <v>0</v>
      </c>
      <c r="AO74" s="42">
        <f t="shared" si="116"/>
        <v>0</v>
      </c>
      <c r="AP74" s="42">
        <f t="shared" si="116"/>
        <v>0</v>
      </c>
      <c r="AQ74" s="42">
        <f t="shared" si="116"/>
        <v>0</v>
      </c>
      <c r="AR74" s="42">
        <f t="shared" si="116"/>
        <v>0</v>
      </c>
      <c r="AS74" s="42">
        <f t="shared" si="116"/>
        <v>0</v>
      </c>
      <c r="AT74" s="42">
        <f t="shared" si="116"/>
        <v>0</v>
      </c>
      <c r="AU74" s="42">
        <f t="shared" si="116"/>
        <v>0</v>
      </c>
      <c r="AV74" s="42">
        <f t="shared" si="116"/>
        <v>0</v>
      </c>
      <c r="AW74" s="42">
        <f t="shared" si="116"/>
        <v>0</v>
      </c>
      <c r="AX74" s="42">
        <f t="shared" si="116"/>
        <v>0</v>
      </c>
      <c r="AY74" s="42">
        <f t="shared" si="116"/>
        <v>0</v>
      </c>
      <c r="AZ74" s="42">
        <f t="shared" si="116"/>
        <v>0</v>
      </c>
      <c r="BA74" s="34">
        <f t="shared" si="29"/>
        <v>2.1553125000000001E-3</v>
      </c>
      <c r="BB74" s="34">
        <f>IFERROR(up_RadSpec!$J$12*(BB12*$B74),".")</f>
        <v>7.1843750000000011E-4</v>
      </c>
      <c r="BC74" s="34">
        <f>IFERROR(up_RadSpec!$J$12*(BC12*$B74),".")</f>
        <v>7.1843750000000011E-4</v>
      </c>
      <c r="BD74" s="34">
        <f>IFERROR(up_RadSpec!$J$12*(BD12*$B74),".")</f>
        <v>7.1843750000000011E-4</v>
      </c>
      <c r="BE74" s="34">
        <f>IFERROR(up_RadSpec!$J$12*(BE12*$B74),".")</f>
        <v>7.1843750000000011E-4</v>
      </c>
      <c r="BF74" s="34">
        <f>IFERROR(up_RadSpec!$J$12*(BF12*$B74),".")</f>
        <v>7.1843750000000011E-4</v>
      </c>
      <c r="BG74" s="34">
        <f>IFERROR(up_RadSpec!$J$12*(BG12*$B74),".")</f>
        <v>7.1843750000000011E-4</v>
      </c>
      <c r="BH74" s="34">
        <f>IFERROR(up_RadSpec!$J$12*(BH12*$B74),".")</f>
        <v>7.1843750000000011E-4</v>
      </c>
      <c r="BI74" s="34">
        <f>IFERROR(up_RadSpec!$J$12*(BI12*$B74),".")</f>
        <v>7.1843750000000011E-4</v>
      </c>
      <c r="BJ74" s="34">
        <f>IFERROR(up_RadSpec!$J$12*(BJ12*$B74),".")</f>
        <v>7.1843750000000011E-4</v>
      </c>
      <c r="BK74" s="34">
        <f>IFERROR(up_RadSpec!$J$12*(BK12*$B74),".")</f>
        <v>7.1843750000000011E-4</v>
      </c>
      <c r="BL74" s="34">
        <f>IFERROR(up_RadSpec!$J$12*(BL12*$B74),".")</f>
        <v>7.1843750000000011E-4</v>
      </c>
      <c r="BM74" s="34">
        <f>IFERROR(up_RadSpec!$J$12*(BM12*$B74),".")</f>
        <v>7.1843750000000011E-4</v>
      </c>
      <c r="BN74" s="34">
        <f>IFERROR(up_RadSpec!$J$12*(BN12*$B74),".")</f>
        <v>7.1843750000000011E-4</v>
      </c>
      <c r="BO74" s="34">
        <f>IFERROR(up_RadSpec!$J$12*(BO12*$B74),".")</f>
        <v>7.1843750000000011E-4</v>
      </c>
      <c r="BP74" s="34">
        <f>IFERROR(up_RadSpec!$J$12*(BP12*$B74),".")</f>
        <v>7.1843750000000011E-4</v>
      </c>
      <c r="BQ74" s="34">
        <f>IFERROR(up_RadSpec!$J$12*(BQ12*$B74),".")</f>
        <v>7.1843750000000011E-4</v>
      </c>
      <c r="BR74" s="34">
        <f>IFERROR(up_RadSpec!$J$12*(BR12*$B74),".")</f>
        <v>7.1843750000000011E-4</v>
      </c>
      <c r="BS74" s="34">
        <f>IFERROR(up_RadSpec!$J$12*(BS12*$B74),".")</f>
        <v>7.1843750000000011E-4</v>
      </c>
      <c r="BT74" s="34">
        <f>IFERROR(up_RadSpec!$J$12*(BT12*$B74),".")</f>
        <v>7.1843750000000011E-4</v>
      </c>
      <c r="BU74" s="34">
        <f>IFERROR(up_RadSpec!$J$12*(BU12*$B74),".")</f>
        <v>7.1843750000000011E-4</v>
      </c>
      <c r="BV74" s="34">
        <f>IFERROR(up_RadSpec!$J$12*(BV12*$B74),".")</f>
        <v>7.1843750000000011E-4</v>
      </c>
      <c r="BW74" s="34">
        <f>IFERROR(up_RadSpec!$J$12*(BW12*$B74),".")</f>
        <v>7.1843750000000011E-4</v>
      </c>
      <c r="BX74" s="34">
        <f>IFERROR(up_RadSpec!$J$12*(BX12*$B74),".")</f>
        <v>7.1843750000000011E-4</v>
      </c>
      <c r="BY74" s="34">
        <f>IFERROR(up_RadSpec!$J$12*(BY12*$B74),".")</f>
        <v>7.1843750000000011E-4</v>
      </c>
    </row>
    <row r="75" spans="1:77" x14ac:dyDescent="0.25">
      <c r="A75" s="66" t="s">
        <v>1084</v>
      </c>
      <c r="B75" s="49">
        <v>1</v>
      </c>
      <c r="C75" s="42">
        <f t="shared" ref="C75:AH75" si="117">IFERROR(C18/$B61,0)</f>
        <v>0.17018198836380657</v>
      </c>
      <c r="D75" s="42">
        <f t="shared" si="117"/>
        <v>0.5105459650914197</v>
      </c>
      <c r="E75" s="42">
        <f t="shared" si="117"/>
        <v>0.5105459650914197</v>
      </c>
      <c r="F75" s="42">
        <f t="shared" si="117"/>
        <v>0.5105459650914197</v>
      </c>
      <c r="G75" s="42">
        <f t="shared" si="117"/>
        <v>0.5105459650914197</v>
      </c>
      <c r="H75" s="42">
        <f t="shared" si="117"/>
        <v>0.5105459650914197</v>
      </c>
      <c r="I75" s="42">
        <f t="shared" si="117"/>
        <v>0.5105459650914197</v>
      </c>
      <c r="J75" s="42">
        <f t="shared" si="117"/>
        <v>0.5105459650914197</v>
      </c>
      <c r="K75" s="42">
        <f t="shared" si="117"/>
        <v>0.5105459650914197</v>
      </c>
      <c r="L75" s="42">
        <f t="shared" si="117"/>
        <v>0.5105459650914197</v>
      </c>
      <c r="M75" s="42">
        <f t="shared" si="117"/>
        <v>0.5105459650914197</v>
      </c>
      <c r="N75" s="42">
        <f t="shared" si="117"/>
        <v>0.5105459650914197</v>
      </c>
      <c r="O75" s="42">
        <f t="shared" si="117"/>
        <v>0.5105459650914197</v>
      </c>
      <c r="P75" s="42">
        <f t="shared" si="117"/>
        <v>0.5105459650914197</v>
      </c>
      <c r="Q75" s="42">
        <f t="shared" si="117"/>
        <v>0.5105459650914197</v>
      </c>
      <c r="R75" s="42">
        <f t="shared" si="117"/>
        <v>0.5105459650914197</v>
      </c>
      <c r="S75" s="42">
        <f t="shared" si="117"/>
        <v>0.5105459650914197</v>
      </c>
      <c r="T75" s="42">
        <f t="shared" si="117"/>
        <v>0.5105459650914197</v>
      </c>
      <c r="U75" s="42">
        <f t="shared" si="117"/>
        <v>0.5105459650914197</v>
      </c>
      <c r="V75" s="42">
        <f t="shared" si="117"/>
        <v>0.5105459650914197</v>
      </c>
      <c r="W75" s="42">
        <f t="shared" si="117"/>
        <v>0.5105459650914197</v>
      </c>
      <c r="X75" s="42">
        <f t="shared" si="117"/>
        <v>0.5105459650914197</v>
      </c>
      <c r="Y75" s="42">
        <f t="shared" si="117"/>
        <v>0.5105459650914197</v>
      </c>
      <c r="Z75" s="42">
        <f t="shared" si="117"/>
        <v>0.5105459650914197</v>
      </c>
      <c r="AA75" s="42">
        <f t="shared" si="117"/>
        <v>0.5105459650914197</v>
      </c>
      <c r="AB75" s="42">
        <f t="shared" si="117"/>
        <v>0.17018198836380657</v>
      </c>
      <c r="AC75" s="42">
        <f t="shared" si="117"/>
        <v>0.5105459650914197</v>
      </c>
      <c r="AD75" s="42">
        <f t="shared" si="117"/>
        <v>0.5105459650914197</v>
      </c>
      <c r="AE75" s="42">
        <f t="shared" si="117"/>
        <v>0.5105459650914197</v>
      </c>
      <c r="AF75" s="42">
        <f t="shared" si="117"/>
        <v>0.5105459650914197</v>
      </c>
      <c r="AG75" s="42">
        <f t="shared" si="117"/>
        <v>0.5105459650914197</v>
      </c>
      <c r="AH75" s="42">
        <f t="shared" si="117"/>
        <v>0.5105459650914197</v>
      </c>
      <c r="AI75" s="42">
        <f t="shared" ref="AI75:AZ75" si="118">IFERROR(AI18/$B61,0)</f>
        <v>0.5105459650914197</v>
      </c>
      <c r="AJ75" s="42">
        <f t="shared" si="118"/>
        <v>0.5105459650914197</v>
      </c>
      <c r="AK75" s="42">
        <f t="shared" si="118"/>
        <v>0.5105459650914197</v>
      </c>
      <c r="AL75" s="42">
        <f t="shared" si="118"/>
        <v>0.5105459650914197</v>
      </c>
      <c r="AM75" s="42">
        <f t="shared" si="118"/>
        <v>0.5105459650914197</v>
      </c>
      <c r="AN75" s="42">
        <f t="shared" si="118"/>
        <v>0.5105459650914197</v>
      </c>
      <c r="AO75" s="42">
        <f t="shared" si="118"/>
        <v>0.5105459650914197</v>
      </c>
      <c r="AP75" s="42">
        <f t="shared" si="118"/>
        <v>0.5105459650914197</v>
      </c>
      <c r="AQ75" s="42">
        <f t="shared" si="118"/>
        <v>0.5105459650914197</v>
      </c>
      <c r="AR75" s="42">
        <f t="shared" si="118"/>
        <v>0.5105459650914197</v>
      </c>
      <c r="AS75" s="42">
        <f t="shared" si="118"/>
        <v>0.5105459650914197</v>
      </c>
      <c r="AT75" s="42">
        <f t="shared" si="118"/>
        <v>0.5105459650914197</v>
      </c>
      <c r="AU75" s="42">
        <f t="shared" si="118"/>
        <v>0.5105459650914197</v>
      </c>
      <c r="AV75" s="42">
        <f t="shared" si="118"/>
        <v>0.5105459650914197</v>
      </c>
      <c r="AW75" s="42">
        <f t="shared" si="118"/>
        <v>0.5105459650914197</v>
      </c>
      <c r="AX75" s="42">
        <f t="shared" si="118"/>
        <v>0.5105459650914197</v>
      </c>
      <c r="AY75" s="42">
        <f t="shared" si="118"/>
        <v>0.5105459650914197</v>
      </c>
      <c r="AZ75" s="42">
        <f t="shared" si="118"/>
        <v>0.5105459650914197</v>
      </c>
      <c r="BA75" s="34">
        <f t="shared" si="29"/>
        <v>113437.5</v>
      </c>
      <c r="BB75" s="34">
        <f>IFERROR(up_RadSpec!$J$18*(BB18*$B75),".")</f>
        <v>37812.5</v>
      </c>
      <c r="BC75" s="34">
        <f>IFERROR(up_RadSpec!$J$18*(BC18*$B75),".")</f>
        <v>37812.5</v>
      </c>
      <c r="BD75" s="34">
        <f>IFERROR(up_RadSpec!$J$18*(BD18*$B75),".")</f>
        <v>37812.5</v>
      </c>
      <c r="BE75" s="34">
        <f>IFERROR(up_RadSpec!$J$18*(BE18*$B75),".")</f>
        <v>37812.5</v>
      </c>
      <c r="BF75" s="34">
        <f>IFERROR(up_RadSpec!$J$18*(BF18*$B75),".")</f>
        <v>37812.5</v>
      </c>
      <c r="BG75" s="34">
        <f>IFERROR(up_RadSpec!$J$18*(BG18*$B75),".")</f>
        <v>37812.5</v>
      </c>
      <c r="BH75" s="34">
        <f>IFERROR(up_RadSpec!$J$18*(BH18*$B75),".")</f>
        <v>37812.5</v>
      </c>
      <c r="BI75" s="34">
        <f>IFERROR(up_RadSpec!$J$18*(BI18*$B75),".")</f>
        <v>37812.5</v>
      </c>
      <c r="BJ75" s="34">
        <f>IFERROR(up_RadSpec!$J$18*(BJ18*$B75),".")</f>
        <v>37812.5</v>
      </c>
      <c r="BK75" s="34">
        <f>IFERROR(up_RadSpec!$J$18*(BK18*$B75),".")</f>
        <v>37812.5</v>
      </c>
      <c r="BL75" s="34">
        <f>IFERROR(up_RadSpec!$J$18*(BL18*$B75),".")</f>
        <v>37812.5</v>
      </c>
      <c r="BM75" s="34">
        <f>IFERROR(up_RadSpec!$J$18*(BM18*$B75),".")</f>
        <v>37812.5</v>
      </c>
      <c r="BN75" s="34">
        <f>IFERROR(up_RadSpec!$J$18*(BN18*$B75),".")</f>
        <v>37812.5</v>
      </c>
      <c r="BO75" s="34">
        <f>IFERROR(up_RadSpec!$J$18*(BO18*$B75),".")</f>
        <v>37812.5</v>
      </c>
      <c r="BP75" s="34">
        <f>IFERROR(up_RadSpec!$J$18*(BP18*$B75),".")</f>
        <v>37812.5</v>
      </c>
      <c r="BQ75" s="34">
        <f>IFERROR(up_RadSpec!$J$18*(BQ18*$B75),".")</f>
        <v>37812.5</v>
      </c>
      <c r="BR75" s="34">
        <f>IFERROR(up_RadSpec!$J$18*(BR18*$B75),".")</f>
        <v>37812.5</v>
      </c>
      <c r="BS75" s="34">
        <f>IFERROR(up_RadSpec!$J$18*(BS18*$B75),".")</f>
        <v>37812.5</v>
      </c>
      <c r="BT75" s="34">
        <f>IFERROR(up_RadSpec!$J$18*(BT18*$B75),".")</f>
        <v>37812.5</v>
      </c>
      <c r="BU75" s="34">
        <f>IFERROR(up_RadSpec!$J$18*(BU18*$B75),".")</f>
        <v>37812.5</v>
      </c>
      <c r="BV75" s="34">
        <f>IFERROR(up_RadSpec!$J$18*(BV18*$B75),".")</f>
        <v>37812.5</v>
      </c>
      <c r="BW75" s="34">
        <f>IFERROR(up_RadSpec!$J$18*(BW18*$B75),".")</f>
        <v>37812.5</v>
      </c>
      <c r="BX75" s="34">
        <f>IFERROR(up_RadSpec!$J$18*(BX18*$B75),".")</f>
        <v>37812.5</v>
      </c>
      <c r="BY75" s="34">
        <f>IFERROR(up_RadSpec!$J$18*(BY18*$B75),".")</f>
        <v>37812.5</v>
      </c>
    </row>
    <row r="76" spans="1:77" x14ac:dyDescent="0.25">
      <c r="A76" s="66" t="s">
        <v>1085</v>
      </c>
      <c r="B76" s="49">
        <v>1.339E-6</v>
      </c>
      <c r="C76" s="42">
        <f t="shared" ref="C76:AH76" si="119">IFERROR(C27/$B62,0)</f>
        <v>0</v>
      </c>
      <c r="D76" s="42">
        <f t="shared" si="119"/>
        <v>0</v>
      </c>
      <c r="E76" s="42">
        <f t="shared" si="119"/>
        <v>0</v>
      </c>
      <c r="F76" s="42">
        <f t="shared" si="119"/>
        <v>0</v>
      </c>
      <c r="G76" s="42">
        <f t="shared" si="119"/>
        <v>0</v>
      </c>
      <c r="H76" s="42">
        <f t="shared" si="119"/>
        <v>0</v>
      </c>
      <c r="I76" s="42">
        <f t="shared" si="119"/>
        <v>0</v>
      </c>
      <c r="J76" s="42">
        <f t="shared" si="119"/>
        <v>0</v>
      </c>
      <c r="K76" s="42">
        <f t="shared" si="119"/>
        <v>0</v>
      </c>
      <c r="L76" s="42">
        <f t="shared" si="119"/>
        <v>0</v>
      </c>
      <c r="M76" s="42">
        <f t="shared" si="119"/>
        <v>0</v>
      </c>
      <c r="N76" s="42">
        <f t="shared" si="119"/>
        <v>0</v>
      </c>
      <c r="O76" s="42">
        <f t="shared" si="119"/>
        <v>0</v>
      </c>
      <c r="P76" s="42">
        <f t="shared" si="119"/>
        <v>0</v>
      </c>
      <c r="Q76" s="42">
        <f t="shared" si="119"/>
        <v>0</v>
      </c>
      <c r="R76" s="42">
        <f t="shared" si="119"/>
        <v>0</v>
      </c>
      <c r="S76" s="42">
        <f t="shared" si="119"/>
        <v>0</v>
      </c>
      <c r="T76" s="42">
        <f t="shared" si="119"/>
        <v>0</v>
      </c>
      <c r="U76" s="42">
        <f t="shared" si="119"/>
        <v>0</v>
      </c>
      <c r="V76" s="42">
        <f t="shared" si="119"/>
        <v>0</v>
      </c>
      <c r="W76" s="42">
        <f t="shared" si="119"/>
        <v>0</v>
      </c>
      <c r="X76" s="42">
        <f t="shared" si="119"/>
        <v>0</v>
      </c>
      <c r="Y76" s="42">
        <f t="shared" si="119"/>
        <v>0</v>
      </c>
      <c r="Z76" s="42">
        <f t="shared" si="119"/>
        <v>0</v>
      </c>
      <c r="AA76" s="42">
        <f t="shared" si="119"/>
        <v>0</v>
      </c>
      <c r="AB76" s="42">
        <f t="shared" si="119"/>
        <v>0</v>
      </c>
      <c r="AC76" s="42">
        <f t="shared" si="119"/>
        <v>0</v>
      </c>
      <c r="AD76" s="42">
        <f t="shared" si="119"/>
        <v>0</v>
      </c>
      <c r="AE76" s="42">
        <f t="shared" si="119"/>
        <v>0</v>
      </c>
      <c r="AF76" s="42">
        <f t="shared" si="119"/>
        <v>0</v>
      </c>
      <c r="AG76" s="42">
        <f t="shared" si="119"/>
        <v>0</v>
      </c>
      <c r="AH76" s="42">
        <f t="shared" si="119"/>
        <v>0</v>
      </c>
      <c r="AI76" s="42">
        <f t="shared" ref="AI76:AZ76" si="120">IFERROR(AI27/$B62,0)</f>
        <v>0</v>
      </c>
      <c r="AJ76" s="42">
        <f t="shared" si="120"/>
        <v>0</v>
      </c>
      <c r="AK76" s="42">
        <f t="shared" si="120"/>
        <v>0</v>
      </c>
      <c r="AL76" s="42">
        <f t="shared" si="120"/>
        <v>0</v>
      </c>
      <c r="AM76" s="42">
        <f t="shared" si="120"/>
        <v>0</v>
      </c>
      <c r="AN76" s="42">
        <f t="shared" si="120"/>
        <v>0</v>
      </c>
      <c r="AO76" s="42">
        <f t="shared" si="120"/>
        <v>0</v>
      </c>
      <c r="AP76" s="42">
        <f t="shared" si="120"/>
        <v>0</v>
      </c>
      <c r="AQ76" s="42">
        <f t="shared" si="120"/>
        <v>0</v>
      </c>
      <c r="AR76" s="42">
        <f t="shared" si="120"/>
        <v>0</v>
      </c>
      <c r="AS76" s="42">
        <f t="shared" si="120"/>
        <v>0</v>
      </c>
      <c r="AT76" s="42">
        <f t="shared" si="120"/>
        <v>0</v>
      </c>
      <c r="AU76" s="42">
        <f t="shared" si="120"/>
        <v>0</v>
      </c>
      <c r="AV76" s="42">
        <f t="shared" si="120"/>
        <v>0</v>
      </c>
      <c r="AW76" s="42">
        <f t="shared" si="120"/>
        <v>0</v>
      </c>
      <c r="AX76" s="42">
        <f t="shared" si="120"/>
        <v>0</v>
      </c>
      <c r="AY76" s="42">
        <f t="shared" si="120"/>
        <v>0</v>
      </c>
      <c r="AZ76" s="42">
        <f t="shared" si="120"/>
        <v>0</v>
      </c>
      <c r="BA76" s="34">
        <f t="shared" si="29"/>
        <v>0.1518928125</v>
      </c>
      <c r="BB76" s="34">
        <f>IFERROR(up_RadSpec!$J$27*(BB27*$B76),".")</f>
        <v>5.0630937500000001E-2</v>
      </c>
      <c r="BC76" s="34">
        <f>IFERROR(up_RadSpec!$J$27*(BC27*$B76),".")</f>
        <v>5.0630937500000001E-2</v>
      </c>
      <c r="BD76" s="34">
        <f>IFERROR(up_RadSpec!$J$27*(BD27*$B76),".")</f>
        <v>5.0630937500000001E-2</v>
      </c>
      <c r="BE76" s="34">
        <f>IFERROR(up_RadSpec!$J$27*(BE27*$B76),".")</f>
        <v>5.0630937500000001E-2</v>
      </c>
      <c r="BF76" s="34">
        <f>IFERROR(up_RadSpec!$J$27*(BF27*$B76),".")</f>
        <v>5.0630937500000001E-2</v>
      </c>
      <c r="BG76" s="34">
        <f>IFERROR(up_RadSpec!$J$27*(BG27*$B76),".")</f>
        <v>5.0630937500000001E-2</v>
      </c>
      <c r="BH76" s="34">
        <f>IFERROR(up_RadSpec!$J$27*(BH27*$B76),".")</f>
        <v>5.0630937500000001E-2</v>
      </c>
      <c r="BI76" s="34">
        <f>IFERROR(up_RadSpec!$J$27*(BI27*$B76),".")</f>
        <v>5.0630937500000001E-2</v>
      </c>
      <c r="BJ76" s="34">
        <f>IFERROR(up_RadSpec!$J$27*(BJ27*$B76),".")</f>
        <v>5.0630937500000001E-2</v>
      </c>
      <c r="BK76" s="34">
        <f>IFERROR(up_RadSpec!$J$27*(BK27*$B76),".")</f>
        <v>5.0630937500000001E-2</v>
      </c>
      <c r="BL76" s="34">
        <f>IFERROR(up_RadSpec!$J$27*(BL27*$B76),".")</f>
        <v>5.0630937500000001E-2</v>
      </c>
      <c r="BM76" s="34">
        <f>IFERROR(up_RadSpec!$J$27*(BM27*$B76),".")</f>
        <v>5.0630937500000001E-2</v>
      </c>
      <c r="BN76" s="34">
        <f>IFERROR(up_RadSpec!$J$27*(BN27*$B76),".")</f>
        <v>5.0630937500000001E-2</v>
      </c>
      <c r="BO76" s="34">
        <f>IFERROR(up_RadSpec!$J$27*(BO27*$B76),".")</f>
        <v>5.0630937500000001E-2</v>
      </c>
      <c r="BP76" s="34">
        <f>IFERROR(up_RadSpec!$J$27*(BP27*$B76),".")</f>
        <v>5.0630937500000001E-2</v>
      </c>
      <c r="BQ76" s="34">
        <f>IFERROR(up_RadSpec!$J$27*(BQ27*$B76),".")</f>
        <v>5.0630937500000001E-2</v>
      </c>
      <c r="BR76" s="34">
        <f>IFERROR(up_RadSpec!$J$27*(BR27*$B76),".")</f>
        <v>5.0630937500000001E-2</v>
      </c>
      <c r="BS76" s="34">
        <f>IFERROR(up_RadSpec!$J$27*(BS27*$B76),".")</f>
        <v>5.0630937500000001E-2</v>
      </c>
      <c r="BT76" s="34">
        <f>IFERROR(up_RadSpec!$J$27*(BT27*$B76),".")</f>
        <v>5.0630937500000001E-2</v>
      </c>
      <c r="BU76" s="34">
        <f>IFERROR(up_RadSpec!$J$27*(BU27*$B76),".")</f>
        <v>5.0630937500000001E-2</v>
      </c>
      <c r="BV76" s="34">
        <f>IFERROR(up_RadSpec!$J$27*(BV27*$B76),".")</f>
        <v>5.0630937500000001E-2</v>
      </c>
      <c r="BW76" s="34">
        <f>IFERROR(up_RadSpec!$J$27*(BW27*$B76),".")</f>
        <v>5.0630937500000001E-2</v>
      </c>
      <c r="BX76" s="34">
        <f>IFERROR(up_RadSpec!$J$27*(BX27*$B76),".")</f>
        <v>5.0630937500000001E-2</v>
      </c>
      <c r="BY76" s="34">
        <f>IFERROR(up_RadSpec!$J$27*(BY27*$B76),".")</f>
        <v>5.0630937500000001E-2</v>
      </c>
    </row>
  </sheetData>
  <sheetProtection algorithmName="SHA-512" hashValue="zTTEB6/RrJWwaWZVD+Dgjf0+aaebQQe4jNwv5e27yUVprs2UAHAvF57G4dzA3xvZPirb2lzyKzV1WTWKADG8pg==" saltValue="gN329FBNjcM0TTp29zaU/w==" spinCount="100000" sheet="1" objects="1" scenarios="1" formatColumns="0" formatRows="0" autoFilter="0"/>
  <autoFilter ref="A1:BY76" xr:uid="{2A51381B-F3AB-4DF7-BCFB-D392214769A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CX76"/>
  <sheetViews>
    <sheetView zoomScale="90" zoomScaleNormal="90" workbookViewId="0">
      <pane xSplit="2" ySplit="1" topLeftCell="C2" activePane="bottomRight" state="frozen"/>
      <selection activeCell="AB53" sqref="AB53:AB985"/>
      <selection pane="topRight" activeCell="AB53" sqref="AB53:AB985"/>
      <selection pane="bottomLeft" activeCell="AB53" sqref="AB53:AB985"/>
      <selection pane="bottomRight" activeCell="C2" sqref="C2"/>
    </sheetView>
  </sheetViews>
  <sheetFormatPr defaultColWidth="9.140625" defaultRowHeight="15" x14ac:dyDescent="0.25"/>
  <cols>
    <col min="1" max="1" width="14.5703125" style="3" bestFit="1" customWidth="1"/>
    <col min="2" max="2" width="11.7109375" style="3" bestFit="1" customWidth="1"/>
    <col min="3" max="3" width="24.42578125" style="3" bestFit="1" customWidth="1"/>
    <col min="4" max="4" width="14.5703125" style="3" bestFit="1" customWidth="1"/>
    <col min="5" max="5" width="14.28515625" style="3" bestFit="1" customWidth="1"/>
    <col min="6" max="6" width="13.85546875" style="3" bestFit="1" customWidth="1"/>
    <col min="7" max="7" width="14.28515625" style="3" bestFit="1" customWidth="1"/>
    <col min="8" max="8" width="13.7109375" style="3" bestFit="1" customWidth="1"/>
    <col min="9" max="9" width="14" style="3" bestFit="1" customWidth="1"/>
    <col min="10" max="10" width="13.140625" style="3" bestFit="1" customWidth="1"/>
    <col min="11" max="11" width="14.5703125" style="3" bestFit="1" customWidth="1"/>
    <col min="12" max="12" width="13.7109375" style="3" bestFit="1" customWidth="1"/>
    <col min="13" max="13" width="15.42578125" style="3" bestFit="1" customWidth="1"/>
    <col min="14" max="14" width="12.85546875" style="3" bestFit="1" customWidth="1"/>
    <col min="15" max="15" width="13.42578125" style="3" bestFit="1" customWidth="1"/>
    <col min="16" max="16" width="13.5703125" style="3" bestFit="1" customWidth="1"/>
    <col min="17" max="17" width="14.7109375" style="3" bestFit="1" customWidth="1"/>
    <col min="18" max="18" width="15" style="3" bestFit="1" customWidth="1"/>
    <col min="19" max="19" width="13.7109375" style="3" bestFit="1" customWidth="1"/>
    <col min="20" max="20" width="13" style="3" bestFit="1" customWidth="1"/>
    <col min="21" max="21" width="14.42578125" style="3" bestFit="1" customWidth="1"/>
    <col min="22" max="22" width="14.85546875" style="3" bestFit="1" customWidth="1"/>
    <col min="23" max="23" width="13.85546875" style="3" bestFit="1" customWidth="1"/>
    <col min="24" max="24" width="14.5703125" style="3" bestFit="1" customWidth="1"/>
    <col min="25" max="25" width="13.42578125" style="3" bestFit="1" customWidth="1"/>
    <col min="26" max="26" width="13" style="3" bestFit="1" customWidth="1"/>
    <col min="27" max="27" width="15" style="3" bestFit="1" customWidth="1"/>
    <col min="28" max="28" width="20.7109375" style="3" bestFit="1" customWidth="1"/>
    <col min="29" max="30" width="14.7109375" style="3" bestFit="1" customWidth="1"/>
    <col min="31" max="31" width="13.85546875" style="3" bestFit="1" customWidth="1"/>
    <col min="32" max="32" width="14.5703125" style="3" bestFit="1" customWidth="1"/>
    <col min="33" max="33" width="13.85546875" style="3" bestFit="1" customWidth="1"/>
    <col min="34" max="34" width="14.140625" style="3" bestFit="1" customWidth="1"/>
    <col min="35" max="35" width="13.5703125" style="3" bestFit="1" customWidth="1"/>
    <col min="36" max="36" width="14.7109375" style="3" bestFit="1" customWidth="1"/>
    <col min="37" max="37" width="13.85546875" style="3" bestFit="1" customWidth="1"/>
    <col min="38" max="38" width="15.5703125" style="3" bestFit="1" customWidth="1"/>
    <col min="39" max="39" width="13.140625" style="3" bestFit="1" customWidth="1"/>
    <col min="40" max="40" width="13.85546875" style="3" bestFit="1" customWidth="1"/>
    <col min="41" max="41" width="14" style="3" bestFit="1" customWidth="1"/>
    <col min="42" max="42" width="14.7109375" style="3" bestFit="1" customWidth="1"/>
    <col min="43" max="43" width="15" style="3" bestFit="1" customWidth="1"/>
    <col min="44" max="44" width="14" style="3" bestFit="1" customWidth="1"/>
    <col min="45" max="45" width="13.28515625" style="3" bestFit="1" customWidth="1"/>
    <col min="46" max="46" width="14.7109375" style="3" bestFit="1" customWidth="1"/>
    <col min="47" max="47" width="14.85546875" style="3" bestFit="1" customWidth="1"/>
    <col min="48" max="48" width="14" style="3" bestFit="1" customWidth="1"/>
    <col min="49" max="49" width="14.85546875" style="3" bestFit="1" customWidth="1"/>
    <col min="50" max="50" width="13.5703125" style="3" bestFit="1" customWidth="1"/>
    <col min="51" max="51" width="13.28515625" style="3" bestFit="1" customWidth="1"/>
    <col min="52" max="52" width="15.140625" style="3" bestFit="1" customWidth="1"/>
    <col min="53" max="53" width="24.140625" style="3" bestFit="1" customWidth="1"/>
    <col min="54" max="54" width="14.28515625" style="3" bestFit="1" customWidth="1"/>
    <col min="55" max="55" width="14.140625" style="3" bestFit="1" customWidth="1"/>
    <col min="56" max="56" width="13.5703125" style="3" bestFit="1" customWidth="1"/>
    <col min="57" max="57" width="14.140625" style="3" bestFit="1" customWidth="1"/>
    <col min="58" max="58" width="13.42578125" style="3" bestFit="1" customWidth="1"/>
    <col min="59" max="59" width="13.7109375" style="3" bestFit="1" customWidth="1"/>
    <col min="60" max="60" width="13" style="3" bestFit="1" customWidth="1"/>
    <col min="61" max="61" width="14.28515625" style="3" bestFit="1" customWidth="1"/>
    <col min="62" max="62" width="13.42578125" style="3" bestFit="1" customWidth="1"/>
    <col min="63" max="63" width="15.28515625" style="3" bestFit="1" customWidth="1"/>
    <col min="64" max="64" width="12.7109375" style="3" bestFit="1" customWidth="1"/>
    <col min="65" max="65" width="13.28515625" style="3" bestFit="1" customWidth="1"/>
    <col min="66" max="66" width="13.42578125" style="3" bestFit="1" customWidth="1"/>
    <col min="67" max="67" width="14.5703125" style="3" bestFit="1" customWidth="1"/>
    <col min="68" max="68" width="14.7109375" style="3" bestFit="1" customWidth="1"/>
    <col min="69" max="69" width="13.42578125" style="3" bestFit="1" customWidth="1"/>
    <col min="70" max="70" width="12.85546875" style="3" bestFit="1" customWidth="1"/>
    <col min="71" max="71" width="14.140625" style="3" bestFit="1" customWidth="1"/>
    <col min="72" max="72" width="14.5703125" style="3" bestFit="1" customWidth="1"/>
    <col min="73" max="73" width="13.5703125" style="3" bestFit="1" customWidth="1"/>
    <col min="74" max="74" width="14.28515625" style="3" bestFit="1" customWidth="1"/>
    <col min="75" max="75" width="13.140625" style="3" bestFit="1" customWidth="1"/>
    <col min="76" max="76" width="12.85546875" style="3" bestFit="1" customWidth="1"/>
    <col min="77" max="77" width="13.85546875" style="3" bestFit="1" customWidth="1"/>
    <col min="78" max="78" width="20.7109375" style="3" bestFit="1" customWidth="1"/>
    <col min="79" max="79" width="14.5703125" style="3" bestFit="1" customWidth="1"/>
    <col min="80" max="80" width="14.7109375" style="3" bestFit="1" customWidth="1"/>
    <col min="81" max="81" width="13.85546875" style="3" bestFit="1" customWidth="1"/>
    <col min="82" max="82" width="14.42578125" style="3" bestFit="1" customWidth="1"/>
    <col min="83" max="83" width="13.85546875" style="3" bestFit="1" customWidth="1"/>
    <col min="84" max="84" width="14" style="3" bestFit="1" customWidth="1"/>
    <col min="85" max="85" width="13.42578125" style="3" bestFit="1" customWidth="1"/>
    <col min="86" max="86" width="14.7109375" style="3" bestFit="1" customWidth="1"/>
    <col min="87" max="87" width="13.85546875" style="3" bestFit="1" customWidth="1"/>
    <col min="88" max="88" width="15.5703125" style="3" bestFit="1" customWidth="1"/>
    <col min="89" max="89" width="13" style="3" bestFit="1" customWidth="1"/>
    <col min="90" max="91" width="13.85546875" style="3" bestFit="1" customWidth="1"/>
    <col min="92" max="92" width="14.7109375" style="3" bestFit="1" customWidth="1"/>
    <col min="93" max="93" width="15" style="3" bestFit="1" customWidth="1"/>
    <col min="94" max="94" width="13.85546875" style="3" bestFit="1" customWidth="1"/>
    <col min="95" max="95" width="13.140625" style="3" bestFit="1" customWidth="1"/>
    <col min="96" max="96" width="14.5703125" style="3" bestFit="1" customWidth="1"/>
    <col min="97" max="97" width="14.85546875" style="3" bestFit="1" customWidth="1"/>
    <col min="98" max="98" width="14" style="3" bestFit="1" customWidth="1"/>
    <col min="99" max="99" width="14.85546875" style="3" bestFit="1" customWidth="1"/>
    <col min="100" max="100" width="13.5703125" style="3" bestFit="1" customWidth="1"/>
    <col min="101" max="101" width="13.140625" style="3" bestFit="1" customWidth="1"/>
    <col min="102" max="102" width="14.28515625" style="3" bestFit="1" customWidth="1"/>
    <col min="103" max="16384" width="9.140625" style="3"/>
  </cols>
  <sheetData>
    <row r="1" spans="1:102" x14ac:dyDescent="0.25">
      <c r="A1" s="50" t="s">
        <v>39</v>
      </c>
      <c r="B1" s="51" t="s">
        <v>335</v>
      </c>
      <c r="C1" s="52" t="s">
        <v>1388</v>
      </c>
      <c r="D1" s="3" t="s">
        <v>1362</v>
      </c>
      <c r="E1" s="3" t="s">
        <v>1363</v>
      </c>
      <c r="F1" s="3" t="s">
        <v>1364</v>
      </c>
      <c r="G1" s="3" t="s">
        <v>1365</v>
      </c>
      <c r="H1" s="3" t="s">
        <v>1366</v>
      </c>
      <c r="I1" s="3" t="s">
        <v>1367</v>
      </c>
      <c r="J1" s="3" t="s">
        <v>1368</v>
      </c>
      <c r="K1" s="3" t="s">
        <v>1369</v>
      </c>
      <c r="L1" s="3" t="s">
        <v>1370</v>
      </c>
      <c r="M1" s="3" t="s">
        <v>1371</v>
      </c>
      <c r="N1" s="3" t="s">
        <v>1372</v>
      </c>
      <c r="O1" s="3" t="s">
        <v>1373</v>
      </c>
      <c r="P1" s="3" t="s">
        <v>1374</v>
      </c>
      <c r="Q1" s="3" t="s">
        <v>1375</v>
      </c>
      <c r="R1" s="3" t="s">
        <v>1376</v>
      </c>
      <c r="S1" s="3" t="s">
        <v>1377</v>
      </c>
      <c r="T1" s="3" t="s">
        <v>1378</v>
      </c>
      <c r="U1" s="3" t="s">
        <v>1379</v>
      </c>
      <c r="V1" s="3" t="s">
        <v>1380</v>
      </c>
      <c r="W1" s="3" t="s">
        <v>1381</v>
      </c>
      <c r="X1" s="3" t="s">
        <v>1382</v>
      </c>
      <c r="Y1" s="3" t="s">
        <v>1383</v>
      </c>
      <c r="Z1" s="3" t="s">
        <v>1384</v>
      </c>
      <c r="AA1" s="3" t="s">
        <v>1385</v>
      </c>
      <c r="AB1" s="53" t="s">
        <v>1109</v>
      </c>
      <c r="AC1" s="53" t="s">
        <v>1110</v>
      </c>
      <c r="AD1" s="53" t="s">
        <v>1111</v>
      </c>
      <c r="AE1" s="53" t="s">
        <v>1112</v>
      </c>
      <c r="AF1" s="53" t="s">
        <v>1113</v>
      </c>
      <c r="AG1" s="53" t="s">
        <v>1114</v>
      </c>
      <c r="AH1" s="53" t="s">
        <v>1115</v>
      </c>
      <c r="AI1" s="53" t="s">
        <v>1116</v>
      </c>
      <c r="AJ1" s="53" t="s">
        <v>1117</v>
      </c>
      <c r="AK1" s="53" t="s">
        <v>1118</v>
      </c>
      <c r="AL1" s="53" t="s">
        <v>1119</v>
      </c>
      <c r="AM1" s="53" t="s">
        <v>1120</v>
      </c>
      <c r="AN1" s="53" t="s">
        <v>1121</v>
      </c>
      <c r="AO1" s="53" t="s">
        <v>1122</v>
      </c>
      <c r="AP1" s="53" t="s">
        <v>1123</v>
      </c>
      <c r="AQ1" s="53" t="s">
        <v>1124</v>
      </c>
      <c r="AR1" s="53" t="s">
        <v>1125</v>
      </c>
      <c r="AS1" s="53" t="s">
        <v>1126</v>
      </c>
      <c r="AT1" s="53" t="s">
        <v>1127</v>
      </c>
      <c r="AU1" s="53" t="s">
        <v>1128</v>
      </c>
      <c r="AV1" s="53" t="s">
        <v>1129</v>
      </c>
      <c r="AW1" s="53" t="s">
        <v>1130</v>
      </c>
      <c r="AX1" s="53" t="s">
        <v>1131</v>
      </c>
      <c r="AY1" s="53" t="s">
        <v>1132</v>
      </c>
      <c r="AZ1" s="53" t="s">
        <v>1133</v>
      </c>
      <c r="BA1" s="3" t="s">
        <v>1386</v>
      </c>
      <c r="BB1" s="3" t="s">
        <v>1337</v>
      </c>
      <c r="BC1" s="3" t="s">
        <v>1338</v>
      </c>
      <c r="BD1" s="3" t="s">
        <v>1339</v>
      </c>
      <c r="BE1" s="3" t="s">
        <v>1340</v>
      </c>
      <c r="BF1" s="3" t="s">
        <v>1341</v>
      </c>
      <c r="BG1" s="3" t="s">
        <v>1342</v>
      </c>
      <c r="BH1" s="3" t="s">
        <v>1343</v>
      </c>
      <c r="BI1" s="3" t="s">
        <v>1344</v>
      </c>
      <c r="BJ1" s="3" t="s">
        <v>1345</v>
      </c>
      <c r="BK1" s="3" t="s">
        <v>1346</v>
      </c>
      <c r="BL1" s="3" t="s">
        <v>1347</v>
      </c>
      <c r="BM1" s="3" t="s">
        <v>1348</v>
      </c>
      <c r="BN1" s="3" t="s">
        <v>1349</v>
      </c>
      <c r="BO1" s="3" t="s">
        <v>1350</v>
      </c>
      <c r="BP1" s="3" t="s">
        <v>1351</v>
      </c>
      <c r="BQ1" s="3" t="s">
        <v>1352</v>
      </c>
      <c r="BR1" s="3" t="s">
        <v>1353</v>
      </c>
      <c r="BS1" s="3" t="s">
        <v>1354</v>
      </c>
      <c r="BT1" s="3" t="s">
        <v>1355</v>
      </c>
      <c r="BU1" s="3" t="s">
        <v>1356</v>
      </c>
      <c r="BV1" s="3" t="s">
        <v>1357</v>
      </c>
      <c r="BW1" s="3" t="s">
        <v>1358</v>
      </c>
      <c r="BX1" s="3" t="s">
        <v>1359</v>
      </c>
      <c r="BY1" s="3" t="s">
        <v>1360</v>
      </c>
      <c r="BZ1" s="53" t="s">
        <v>1134</v>
      </c>
      <c r="CA1" s="53" t="s">
        <v>1312</v>
      </c>
      <c r="CB1" s="53" t="s">
        <v>1313</v>
      </c>
      <c r="CC1" s="53" t="s">
        <v>1314</v>
      </c>
      <c r="CD1" s="53" t="s">
        <v>1315</v>
      </c>
      <c r="CE1" s="53" t="s">
        <v>1316</v>
      </c>
      <c r="CF1" s="53" t="s">
        <v>1317</v>
      </c>
      <c r="CG1" s="53" t="s">
        <v>1318</v>
      </c>
      <c r="CH1" s="53" t="s">
        <v>1319</v>
      </c>
      <c r="CI1" s="53" t="s">
        <v>1320</v>
      </c>
      <c r="CJ1" s="53" t="s">
        <v>1321</v>
      </c>
      <c r="CK1" s="53" t="s">
        <v>1322</v>
      </c>
      <c r="CL1" s="53" t="s">
        <v>1323</v>
      </c>
      <c r="CM1" s="53" t="s">
        <v>1324</v>
      </c>
      <c r="CN1" s="53" t="s">
        <v>1325</v>
      </c>
      <c r="CO1" s="53" t="s">
        <v>1326</v>
      </c>
      <c r="CP1" s="53" t="s">
        <v>1327</v>
      </c>
      <c r="CQ1" s="53" t="s">
        <v>1328</v>
      </c>
      <c r="CR1" s="53" t="s">
        <v>1329</v>
      </c>
      <c r="CS1" s="53" t="s">
        <v>1330</v>
      </c>
      <c r="CT1" s="53" t="s">
        <v>1331</v>
      </c>
      <c r="CU1" s="53" t="s">
        <v>1332</v>
      </c>
      <c r="CV1" s="53" t="s">
        <v>1333</v>
      </c>
      <c r="CW1" s="53" t="s">
        <v>1334</v>
      </c>
      <c r="CX1" s="53" t="s">
        <v>1335</v>
      </c>
    </row>
    <row r="2" spans="1:102" ht="15" customHeight="1" x14ac:dyDescent="0.25">
      <c r="A2" s="31" t="s">
        <v>0</v>
      </c>
      <c r="B2" s="3" t="s">
        <v>1059</v>
      </c>
      <c r="C2" s="2">
        <f>IFERROR(1/SUM(1/D2,1/Z2,1/AA2),".")</f>
        <v>392.71903426737191</v>
      </c>
      <c r="D2" s="2">
        <f>IFERROR((s_dir!D2/(d_ss_Bv!C2+s_MLF_apple)),".")</f>
        <v>1178.1571028021156</v>
      </c>
      <c r="E2" s="2">
        <f>IFERROR((s_dir!E2/(d_ss_Bv!D2+s_MLF_asparagus)),".")</f>
        <v>1178.1571028021156</v>
      </c>
      <c r="F2" s="2">
        <f>IFERROR((s_dir!F2/(d_ss_Bv!E2+s_MLF_beet)),".")</f>
        <v>1178.1571028021156</v>
      </c>
      <c r="G2" s="2">
        <f>IFERROR((s_dir!G2/(d_ss_Bv!F2+s_MLF_berries)),".")</f>
        <v>1178.1571028021156</v>
      </c>
      <c r="H2" s="2">
        <f>IFERROR((s_dir!H2/(d_ss_Bv!G2+s_MLF_broccoli)),".")</f>
        <v>1178.1571028021156</v>
      </c>
      <c r="I2" s="2">
        <f>IFERROR((s_dir!I2/(d_ss_Bv!H2+s_MLF_cabbage)),".")</f>
        <v>1178.1571028021156</v>
      </c>
      <c r="J2" s="2">
        <f>IFERROR((s_dir!J2/(d_ss_Bv!I2+s_MLF_carrot)),".")</f>
        <v>1178.1571028021156</v>
      </c>
      <c r="K2" s="2">
        <f>IFERROR((s_dir!K2/(d_ss_Bv!J2+s_MLF_citrus)),".")</f>
        <v>1178.1571028021156</v>
      </c>
      <c r="L2" s="2">
        <f>IFERROR((s_dir!L2/(d_ss_Bv!K2+s_MLF_corn)),".")</f>
        <v>1178.1571028021156</v>
      </c>
      <c r="M2" s="2">
        <f>IFERROR((s_dir!M2/(d_ss_Bv!L2+s_MLF_cucumber)),".")</f>
        <v>1178.1571028021156</v>
      </c>
      <c r="N2" s="2">
        <f>IFERROR((s_dir!N2/(d_ss_Bv!M2+s_MLF_lettuce)),".")</f>
        <v>1178.1571028021156</v>
      </c>
      <c r="O2" s="2">
        <f>IFERROR((s_dir!O2/(d_ss_Bv!N2+s_MLF_lima_bean)),".")</f>
        <v>1178.1571028021156</v>
      </c>
      <c r="P2" s="2">
        <f>IFERROR((s_dir!P2/(d_ss_Bv!O2+s_MLF_okra)),".")</f>
        <v>1178.1571028021156</v>
      </c>
      <c r="Q2" s="2">
        <f>IFERROR((s_dir!Q2/(d_ss_Bv!P2+s_MLF_onion)),".")</f>
        <v>1178.1571028021156</v>
      </c>
      <c r="R2" s="2">
        <f>IFERROR((s_dir!R2/(d_ss_Bv!Q2+s_MLF_peach)),".")</f>
        <v>1178.1571028021156</v>
      </c>
      <c r="S2" s="2">
        <f>IFERROR((s_dir!S2/(d_ss_Bv!R2+s_MLF_pear)),".")</f>
        <v>1178.1571028021156</v>
      </c>
      <c r="T2" s="2">
        <f>IFERROR((s_dir!T2/(d_ss_Bv!S2+s_MLF_peas)),".")</f>
        <v>1178.1571028021156</v>
      </c>
      <c r="U2" s="2">
        <f>IFERROR((s_dir!U2/(d_ss_Bv!T2+s_MLF_potato)),".")</f>
        <v>1178.1571028021156</v>
      </c>
      <c r="V2" s="2">
        <f>IFERROR((s_dir!V2/(d_ss_Bv!U2+s_MLF_pumpkin)),".")</f>
        <v>1178.1571028021156</v>
      </c>
      <c r="W2" s="2">
        <f>IFERROR((s_dir!W2/(d_ss_Bv!V2+s_MLF_snap_bean)),".")</f>
        <v>1178.1571028021156</v>
      </c>
      <c r="X2" s="2">
        <f>IFERROR((s_dir!X2/(d_ss_Bv!W2+s_MLF_strawberry)),".")</f>
        <v>1178.1571028021156</v>
      </c>
      <c r="Y2" s="2">
        <f>IFERROR((s_dir!Y2/(d_ss_Bv!X2+s_MLF_tomato)),".")</f>
        <v>1178.1571028021156</v>
      </c>
      <c r="Z2" s="2">
        <f>IFERROR((s_dir!Z2/(d_ss_Bv!Y2+s_MLF_rice)),".")</f>
        <v>1178.1571028021156</v>
      </c>
      <c r="AA2" s="2">
        <f>IFERROR((s_dir!AA2/(d_ss_Bv!Z2+s_MLF_cereal)),".")</f>
        <v>1178.1571028021156</v>
      </c>
      <c r="AB2" s="10">
        <f>SUM(AC2,AY2:AZ2)</f>
        <v>328.96874999999994</v>
      </c>
      <c r="AC2" s="10">
        <f>s_C*(d_ss_Bv!C2+s_MLF_apple)*s_IFAP_res_adj*s_CF_apple</f>
        <v>109.65624999999999</v>
      </c>
      <c r="AD2" s="10">
        <f>s_C*(d_ss_Bv!D2+s_MLF_asparagus)*s_IFAS_res_adj*s_CF_asparagus</f>
        <v>109.65624999999999</v>
      </c>
      <c r="AE2" s="10">
        <f>s_C*(d_ss_Bv!E2+s_MLF_beet)*s_IFBT_res_adj*s_CF_beet</f>
        <v>109.65624999999999</v>
      </c>
      <c r="AF2" s="10">
        <f>s_C*(d_ss_Bv!F2+s_MLF_berries)*s_IFBE_res_adj*s_CF_berries</f>
        <v>109.65624999999999</v>
      </c>
      <c r="AG2" s="10">
        <f>s_C*(d_ss_Bv!G2+s_MLF_broccoli)*s_IFBR_res_adj*s_CF_broccoli</f>
        <v>109.65624999999999</v>
      </c>
      <c r="AH2" s="10">
        <f>s_C*(d_ss_Bv!H2+s_MLF_cabbage)*s_IFCB_res_adj*s_CF_cabbage</f>
        <v>109.65624999999999</v>
      </c>
      <c r="AI2" s="10">
        <f>s_C*(d_ss_Bv!I2+s_MLF_carrot)*s_IFCR_res_adj*s_CF_carrot</f>
        <v>109.65624999999999</v>
      </c>
      <c r="AJ2" s="10">
        <f>s_C*(d_ss_Bv!J2+s_MLF_citrus)*s_IFCI_res_adj*s_CF_citrus</f>
        <v>109.65624999999999</v>
      </c>
      <c r="AK2" s="10">
        <f>s_C*(d_ss_Bv!K2+s_MLF_corn)*s_IFCO_res_adj*s_CF_corn</f>
        <v>109.65624999999999</v>
      </c>
      <c r="AL2" s="10">
        <f>s_C*(d_ss_Bv!L2+s_MLF_cucumber)*s_IFCU_res_adj*s_CF_cucumber</f>
        <v>109.65624999999999</v>
      </c>
      <c r="AM2" s="10">
        <f>s_C*(d_ss_Bv!M2+s_MLF_lettuce)*s_IFLE_res_adj*s_CF_lettuce</f>
        <v>109.65624999999999</v>
      </c>
      <c r="AN2" s="10">
        <f>s_C*(d_ss_Bv!N2+s_MLF_lima_bean)*s_IFLI_res_adj*s_CF_lima_bean</f>
        <v>109.65624999999999</v>
      </c>
      <c r="AO2" s="10">
        <f>s_C*(d_ss_Bv!O2+s_MLF_okra)*s_IFOK_res_adj*s_CF_okra</f>
        <v>109.65624999999999</v>
      </c>
      <c r="AP2" s="10">
        <f>s_C*(d_ss_Bv!P2+s_MLF_onion)*s_IFON_res_adj*s_CF_onion</f>
        <v>109.65624999999999</v>
      </c>
      <c r="AQ2" s="10">
        <f>s_C*(d_ss_Bv!Q2+s_MLF_peach)*s_IFPC_res_adj*s_CF_peach</f>
        <v>109.65624999999999</v>
      </c>
      <c r="AR2" s="10">
        <f>s_C*(d_ss_Bv!R2+s_MLF_pear)*s_IFPR_res_adj*s_CF_pear</f>
        <v>109.65624999999999</v>
      </c>
      <c r="AS2" s="10">
        <f>s_C*(d_ss_Bv!S2+s_MLF_peas)*s_IFPE_res_adj*s_CF_peas</f>
        <v>109.65624999999999</v>
      </c>
      <c r="AT2" s="10">
        <f>s_C*(d_ss_Bv!T2+s_MLF_potato)*s_IFPT_res_adj*s_CF_potato</f>
        <v>109.65624999999999</v>
      </c>
      <c r="AU2" s="10">
        <f>s_C*(d_ss_Bv!U2+s_MLF_pumpkin)*s_IFPU_res_adj*s_CF_pumpkin</f>
        <v>109.65624999999999</v>
      </c>
      <c r="AV2" s="10">
        <f>s_C*(d_ss_Bv!V2+s_MLF_snap_bean)*s_IFSN_res_adj*s_CF_snap_bean</f>
        <v>109.65624999999999</v>
      </c>
      <c r="AW2" s="10">
        <f>s_C*(d_ss_Bv!W2+s_MLF_strawberry)*s_IFST_res_adj*s_CF_strawberry</f>
        <v>109.65624999999999</v>
      </c>
      <c r="AX2" s="10">
        <f>s_C*(d_ss_Bv!X2+s_MLF_tomato)*s_IFTO_res_adj*s_CF_tomato</f>
        <v>109.65624999999999</v>
      </c>
      <c r="AY2" s="10">
        <f>s_C*(d_ss_Bv!Y2+s_MLF_rice)*s_IFRI_res_adj*s_CF_rice</f>
        <v>109.65624999999999</v>
      </c>
      <c r="AZ2" s="10">
        <f>s_C*(d_ss_Bv!Z2+s_MLF_cereal)*s_IFCG_res_adj*s_CF_cereal</f>
        <v>109.65624999999999</v>
      </c>
      <c r="BA2" s="2">
        <f>IFERROR(1/SUM(1/BB2,1/BX2,1/BY2),".")</f>
        <v>392.71903426737191</v>
      </c>
      <c r="BB2" s="2">
        <f>IFERROR((s_dir!AC2/(d_ss_Bv!C2+s_MLF_apple)),".")</f>
        <v>1178.1571028021156</v>
      </c>
      <c r="BC2" s="2">
        <f>IFERROR((s_dir!AD2/(d_ss_Bv!D2+s_MLF_asparagus)),".")</f>
        <v>1178.1571028021156</v>
      </c>
      <c r="BD2" s="2">
        <f>IFERROR((s_dir!AE2/(d_ss_Bv!E2+s_MLF_beet)),".")</f>
        <v>1178.1571028021156</v>
      </c>
      <c r="BE2" s="2">
        <f>IFERROR((s_dir!AF2/(d_ss_Bv!F2+s_MLF_berries)),".")</f>
        <v>1178.1571028021156</v>
      </c>
      <c r="BF2" s="2">
        <f>IFERROR((s_dir!AG2/(d_ss_Bv!G2+s_MLF_broccoli)),".")</f>
        <v>1178.1571028021156</v>
      </c>
      <c r="BG2" s="2">
        <f>IFERROR((s_dir!AH2/(d_ss_Bv!H2+s_MLF_cabbage)),".")</f>
        <v>1178.1571028021156</v>
      </c>
      <c r="BH2" s="2">
        <f>IFERROR((s_dir!AI2/(d_ss_Bv!I2+s_MLF_carrot)),".")</f>
        <v>1178.1571028021156</v>
      </c>
      <c r="BI2" s="2">
        <f>IFERROR((s_dir!AJ2/(d_ss_Bv!J2+s_MLF_citrus)),".")</f>
        <v>1178.1571028021156</v>
      </c>
      <c r="BJ2" s="2">
        <f>IFERROR((s_dir!AK2/(d_ss_Bv!K2+s_MLF_corn)),".")</f>
        <v>1178.1571028021156</v>
      </c>
      <c r="BK2" s="2">
        <f>IFERROR((s_dir!AL2/(d_ss_Bv!L2+s_MLF_cucumber)),".")</f>
        <v>1178.1571028021156</v>
      </c>
      <c r="BL2" s="2">
        <f>IFERROR((s_dir!AM2/(d_ss_Bv!M2+s_MLF_lettuce)),".")</f>
        <v>1178.1571028021156</v>
      </c>
      <c r="BM2" s="2">
        <f>IFERROR((s_dir!AN2/(d_ss_Bv!N2+s_MLF_lima_bean)),".")</f>
        <v>1178.1571028021156</v>
      </c>
      <c r="BN2" s="2">
        <f>IFERROR((s_dir!AO2/(d_ss_Bv!O2+s_MLF_okra)),".")</f>
        <v>1178.1571028021156</v>
      </c>
      <c r="BO2" s="2">
        <f>IFERROR((s_dir!AP2/(d_ss_Bv!P2+s_MLF_onion)),".")</f>
        <v>1178.1571028021156</v>
      </c>
      <c r="BP2" s="2">
        <f>IFERROR((s_dir!AQ2/(d_ss_Bv!Q2+s_MLF_peach)),".")</f>
        <v>1178.1571028021156</v>
      </c>
      <c r="BQ2" s="2">
        <f>IFERROR((s_dir!AR2/(d_ss_Bv!R2+s_MLF_pear)),".")</f>
        <v>1178.1571028021156</v>
      </c>
      <c r="BR2" s="2">
        <f>IFERROR((s_dir!AS2/(d_ss_Bv!S2+s_MLF_peas)),".")</f>
        <v>1178.1571028021156</v>
      </c>
      <c r="BS2" s="2">
        <f>IFERROR((s_dir!AT2/(d_ss_Bv!T2+s_MLF_potato)),".")</f>
        <v>1178.1571028021156</v>
      </c>
      <c r="BT2" s="2">
        <f>IFERROR((s_dir!AU2/(d_ss_Bv!U2+s_MLF_pumpkin)),".")</f>
        <v>1178.1571028021156</v>
      </c>
      <c r="BU2" s="2">
        <f>IFERROR((s_dir!AV2/(d_ss_Bv!V2+s_MLF_snap_bean)),".")</f>
        <v>1178.1571028021156</v>
      </c>
      <c r="BV2" s="2">
        <f>IFERROR((s_dir!AW2/(d_ss_Bv!W2+s_MLF_strawberry)),".")</f>
        <v>1178.1571028021156</v>
      </c>
      <c r="BW2" s="2">
        <f>IFERROR((s_dir!AX2/(d_ss_Bv!X2+s_MLF_tomato)),".")</f>
        <v>1178.1571028021156</v>
      </c>
      <c r="BX2" s="2">
        <f>IFERROR((s_dir!AY2/(d_ss_Bv!Y2+s_MLF_rice)),".")</f>
        <v>1178.1571028021156</v>
      </c>
      <c r="BY2" s="2">
        <f>IFERROR((s_dir!AZ2/(d_ss_Bv!Z2+s_MLF_cereal)),".")</f>
        <v>1178.1571028021156</v>
      </c>
      <c r="BZ2" s="10">
        <f>SUM(CA2,CW2:CX2)</f>
        <v>328.96874999999994</v>
      </c>
      <c r="CA2" s="10">
        <f>IFERROR(s_C*(d_ss_Bv!C2+s_MLF_apple)*s_IFAP_far_adj*s_CF_apple,".")</f>
        <v>109.65624999999999</v>
      </c>
      <c r="CB2" s="10">
        <f>IFERROR(s_C*(d_ss_Bv!D2+s_MLF_asparagus)*s_IFAS_far_adj*s_CF_asparagus,".")</f>
        <v>109.65624999999999</v>
      </c>
      <c r="CC2" s="10">
        <f>IFERROR(s_C*(d_ss_Bv!E2+s_MLF_beet)*s_IFBT_far_adj*s_CF_beet,".")</f>
        <v>109.65624999999999</v>
      </c>
      <c r="CD2" s="10">
        <f>IFERROR(s_C*(d_ss_Bv!F2+s_MLF_berries)*s_IFBR_far_adj*s_CF_berries,".")</f>
        <v>109.65624999999999</v>
      </c>
      <c r="CE2" s="10">
        <f>IFERROR(s_C*(d_ss_Bv!G2+s_MLF_broccoli)*s_IFBR_far_adj*s_CF_broccoli,".")</f>
        <v>109.65624999999999</v>
      </c>
      <c r="CF2" s="10">
        <f>IFERROR(s_C*(d_ss_Bv!H2+s_MLF_cabbage)*s_IFCB_far_adj*s_CF_cabbage,".")</f>
        <v>109.65624999999999</v>
      </c>
      <c r="CG2" s="10">
        <f>IFERROR(s_C*(d_ss_Bv!I2+s_MLF_carrot)*s_IFCR_far_adj*s_CF_carrot,".")</f>
        <v>109.65624999999999</v>
      </c>
      <c r="CH2" s="10">
        <f>IFERROR(s_C*(d_ss_Bv!J2+s_MLF_citrus)*s_IFCI_far_adj*s_CF_citrus,".")</f>
        <v>109.65624999999999</v>
      </c>
      <c r="CI2" s="10">
        <f>IFERROR(s_C*(d_ss_Bv!K2+s_MLF_corn)*s_IFCO_far_adj*s_CF_corn,".")</f>
        <v>109.65624999999999</v>
      </c>
      <c r="CJ2" s="10">
        <f>IFERROR(s_C*(d_ss_Bv!L2+s_MLF_cucumber)*s_IFCU_far_adj*s_CF_cucumber,".")</f>
        <v>109.65624999999999</v>
      </c>
      <c r="CK2" s="10">
        <f>IFERROR(s_C*(d_ss_Bv!M2+s_MLF_lettuce)*s_IFLE_far_adj*s_CF_lettuce,".")</f>
        <v>109.65624999999999</v>
      </c>
      <c r="CL2" s="10">
        <f>IFERROR(s_C*(d_ss_Bv!N2+s_MLF_lima_bean)*s_IFLI_far_adj*s_CF_lima_bean,".")</f>
        <v>109.65624999999999</v>
      </c>
      <c r="CM2" s="10">
        <f>IFERROR(s_C*(d_ss_Bv!O2+s_MLF_okra)*s_IFOK_far_adj*s_CF_okra,".")</f>
        <v>109.65624999999999</v>
      </c>
      <c r="CN2" s="10">
        <f>IFERROR(s_C*(d_ss_Bv!P2+s_MLF_onion)*s_IFON_far_adj*s_CF_onion,".")</f>
        <v>109.65624999999999</v>
      </c>
      <c r="CO2" s="10">
        <f>IFERROR(s_C*(d_ss_Bv!Q2+s_MLF_peach)*s_IFPC_far_adj*s_CF_peach,".")</f>
        <v>109.65624999999999</v>
      </c>
      <c r="CP2" s="10">
        <f>IFERROR(s_C*(d_ss_Bv!R2+s_MLF_pear)*s_IFPR_far_adj*s_CF_pear,".")</f>
        <v>109.65624999999999</v>
      </c>
      <c r="CQ2" s="10">
        <f>IFERROR(s_C*(d_ss_Bv!S2+s_MLF_peas)*s_IFPE_far_adj*s_CF_peas,".")</f>
        <v>109.65624999999999</v>
      </c>
      <c r="CR2" s="10">
        <f>IFERROR(s_C*(d_ss_Bv!T2+s_MLF_potato)*s_IFPT_far_adj*s_CF_potato,".")</f>
        <v>109.65624999999999</v>
      </c>
      <c r="CS2" s="10">
        <f>IFERROR(s_C*(d_ss_Bv!U2+s_MLF_pumpkin)*s_IFPU_far_adj*s_CF_pumpkin,".")</f>
        <v>109.65624999999999</v>
      </c>
      <c r="CT2" s="10">
        <f>IFERROR(s_C*(d_ss_Bv!V2+s_MLF_snap_bean)*s_IFSN_far_adj*s_CF_snap_bean,".")</f>
        <v>109.65624999999999</v>
      </c>
      <c r="CU2" s="10">
        <f>IFERROR(s_C*(d_ss_Bv!W2+s_MLF_strawberry)*s_IFST_far_adj*s_CF_strawberry,".")</f>
        <v>109.65624999999999</v>
      </c>
      <c r="CV2" s="10">
        <f>IFERROR(s_C*(d_ss_Bv!X2+s_MLF_tomato)*s_IFTO_far_adj*s_CF_tomato,".")</f>
        <v>109.65624999999999</v>
      </c>
      <c r="CW2" s="10">
        <f>IFERROR(s_C*(d_ss_Bv!Y2+s_MLF_rice)*s_IFRI_far_adj*s_CF_rice,".")</f>
        <v>109.65624999999999</v>
      </c>
      <c r="CX2" s="10">
        <f>IFERROR(s_C*(d_ss_Bv!Z2+s_MLF_cereal)*s_IFCG_far_adj*s_CF_cereal,".")</f>
        <v>109.65624999999999</v>
      </c>
    </row>
    <row r="3" spans="1:102" x14ac:dyDescent="0.25">
      <c r="A3" s="32" t="s">
        <v>1</v>
      </c>
      <c r="B3" s="3" t="s">
        <v>336</v>
      </c>
      <c r="C3" s="2">
        <f t="shared" ref="C3:C30" si="0">IFERROR(1/SUM(1/D3,1/Z3,1/AA3),".")</f>
        <v>90.342801944543481</v>
      </c>
      <c r="D3" s="2">
        <f>IFERROR((s_dir!D3/(d_ss_Bv!C3+s_MLF_apple)),".")</f>
        <v>277.43806438560455</v>
      </c>
      <c r="E3" s="2">
        <f>IFERROR((s_dir!E3/(d_ss_Bv!D3+s_MLF_asparagus)),".")</f>
        <v>272.62269057382827</v>
      </c>
      <c r="F3" s="2">
        <f>IFERROR((s_dir!F3/(d_ss_Bv!E3+s_MLF_beet)),".")</f>
        <v>264.92691949199821</v>
      </c>
      <c r="G3" s="2">
        <f>IFERROR((s_dir!G3/(d_ss_Bv!F3+s_MLF_berries)),".")</f>
        <v>262.51849295116187</v>
      </c>
      <c r="H3" s="2">
        <f>IFERROR((s_dir!H3/(d_ss_Bv!G3+s_MLF_broccoli)),".")</f>
        <v>270.8524133623099</v>
      </c>
      <c r="I3" s="2">
        <f>IFERROR((s_dir!I3/(d_ss_Bv!H3+s_MLF_cabbage)),".")</f>
        <v>272.62269057382827</v>
      </c>
      <c r="J3" s="2">
        <f>IFERROR((s_dir!J3/(d_ss_Bv!I3+s_MLF_carrot)),".")</f>
        <v>264.92691949199821</v>
      </c>
      <c r="K3" s="2">
        <f>IFERROR((s_dir!K3/(d_ss_Bv!J3+s_MLF_citrus)),".")</f>
        <v>277.43806438560455</v>
      </c>
      <c r="L3" s="2">
        <f>IFERROR((s_dir!L3/(d_ss_Bv!K3+s_MLF_corn)),".")</f>
        <v>277.04903684144762</v>
      </c>
      <c r="M3" s="2">
        <f>IFERROR((s_dir!M3/(d_ss_Bv!L3+s_MLF_cucumber)),".")</f>
        <v>270.8524133623099</v>
      </c>
      <c r="N3" s="2">
        <f>IFERROR((s_dir!N3/(d_ss_Bv!M3+s_MLF_lettuce)),".")</f>
        <v>272.62269057382827</v>
      </c>
      <c r="O3" s="2">
        <f>IFERROR((s_dir!O3/(d_ss_Bv!N3+s_MLF_lima_bean)),".")</f>
        <v>270.46213610962644</v>
      </c>
      <c r="P3" s="2">
        <f>IFERROR((s_dir!P3/(d_ss_Bv!O3+s_MLF_okra)),".")</f>
        <v>270.8524133623099</v>
      </c>
      <c r="Q3" s="2">
        <f>IFERROR((s_dir!Q3/(d_ss_Bv!P3+s_MLF_onion)),".")</f>
        <v>270.8524133623099</v>
      </c>
      <c r="R3" s="2">
        <f>IFERROR((s_dir!R3/(d_ss_Bv!Q3+s_MLF_peach)),".")</f>
        <v>277.43806438560455</v>
      </c>
      <c r="S3" s="2">
        <f>IFERROR((s_dir!S3/(d_ss_Bv!R3+s_MLF_pear)),".")</f>
        <v>277.43806438560455</v>
      </c>
      <c r="T3" s="2">
        <f>IFERROR((s_dir!T3/(d_ss_Bv!S3+s_MLF_peas)),".")</f>
        <v>270.46213610962644</v>
      </c>
      <c r="U3" s="2">
        <f>IFERROR((s_dir!U3/(d_ss_Bv!T3+s_MLF_potato)),".")</f>
        <v>273.8157876879369</v>
      </c>
      <c r="V3" s="2">
        <f>IFERROR((s_dir!V3/(d_ss_Bv!U3+s_MLF_pumpkin)),".")</f>
        <v>270.8524133623099</v>
      </c>
      <c r="W3" s="2">
        <f>IFERROR((s_dir!W3/(d_ss_Bv!V3+s_MLF_snap_bean)),".")</f>
        <v>270.46213610962644</v>
      </c>
      <c r="X3" s="2">
        <f>IFERROR((s_dir!X3/(d_ss_Bv!W3+s_MLF_strawberry)),".")</f>
        <v>275.8276597503023</v>
      </c>
      <c r="Y3" s="2">
        <f>IFERROR((s_dir!Y3/(d_ss_Bv!X3+s_MLF_tomato)),".")</f>
        <v>270.8524133623099</v>
      </c>
      <c r="Z3" s="2">
        <f>IFERROR((s_dir!Z3/(d_ss_Bv!Y3+s_MLF_rice)),".")</f>
        <v>258.89754822080101</v>
      </c>
      <c r="AA3" s="2">
        <f>IFERROR((s_dir!AA3/(d_ss_Bv!Z3+s_MLF_cereal)),".")</f>
        <v>277.62272217139588</v>
      </c>
      <c r="AB3" s="10">
        <f t="shared" ref="AB3:AB12" si="1">SUM(AC3,AY3:AZ3)</f>
        <v>314.24456249999997</v>
      </c>
      <c r="AC3" s="10">
        <f>s_C*(d_ss_Bv!C3+s_MLF_apple)*s_IFAP_res_adj*s_CF_apple</f>
        <v>102.32818749999998</v>
      </c>
      <c r="AD3" s="10">
        <f>s_C*(d_ss_Bv!D3+s_MLF_asparagus)*s_IFAS_res_adj*s_CF_asparagus</f>
        <v>104.13562499999999</v>
      </c>
      <c r="AE3" s="10">
        <f>s_C*(d_ss_Bv!E3+s_MLF_beet)*s_IFBT_res_adj*s_CF_beet</f>
        <v>107.160625</v>
      </c>
      <c r="AF3" s="10">
        <f>s_C*(d_ss_Bv!F3+s_MLF_berries)*s_IFBE_res_adj*s_CF_berries</f>
        <v>108.14375000000001</v>
      </c>
      <c r="AG3" s="10">
        <f>s_C*(d_ss_Bv!G3+s_MLF_broccoli)*s_IFBR_res_adj*s_CF_broccoli</f>
        <v>104.81625</v>
      </c>
      <c r="AH3" s="10">
        <f>s_C*(d_ss_Bv!H3+s_MLF_cabbage)*s_IFCB_res_adj*s_CF_cabbage</f>
        <v>104.13562499999999</v>
      </c>
      <c r="AI3" s="10">
        <f>s_C*(d_ss_Bv!I3+s_MLF_carrot)*s_IFCR_res_adj*s_CF_carrot</f>
        <v>107.160625</v>
      </c>
      <c r="AJ3" s="10">
        <f>s_C*(d_ss_Bv!J3+s_MLF_citrus)*s_IFCI_res_adj*s_CF_citrus</f>
        <v>102.32818749999998</v>
      </c>
      <c r="AK3" s="10">
        <f>s_C*(d_ss_Bv!K3+s_MLF_corn)*s_IFCO_res_adj*s_CF_corn</f>
        <v>102.47187500000001</v>
      </c>
      <c r="AL3" s="10">
        <f>s_C*(d_ss_Bv!L3+s_MLF_cucumber)*s_IFCU_res_adj*s_CF_cucumber</f>
        <v>104.81625</v>
      </c>
      <c r="AM3" s="10">
        <f>s_C*(d_ss_Bv!M3+s_MLF_lettuce)*s_IFLE_res_adj*s_CF_lettuce</f>
        <v>104.13562499999999</v>
      </c>
      <c r="AN3" s="10">
        <f>s_C*(d_ss_Bv!N3+s_MLF_lima_bean)*s_IFLI_res_adj*s_CF_lima_bean</f>
        <v>104.9675</v>
      </c>
      <c r="AO3" s="10">
        <f>s_C*(d_ss_Bv!O3+s_MLF_okra)*s_IFOK_res_adj*s_CF_okra</f>
        <v>104.81625</v>
      </c>
      <c r="AP3" s="10">
        <f>s_C*(d_ss_Bv!P3+s_MLF_onion)*s_IFON_res_adj*s_CF_onion</f>
        <v>104.81625</v>
      </c>
      <c r="AQ3" s="10">
        <f>s_C*(d_ss_Bv!Q3+s_MLF_peach)*s_IFPC_res_adj*s_CF_peach</f>
        <v>102.32818749999998</v>
      </c>
      <c r="AR3" s="10">
        <f>s_C*(d_ss_Bv!R3+s_MLF_pear)*s_IFPR_res_adj*s_CF_pear</f>
        <v>102.32818749999998</v>
      </c>
      <c r="AS3" s="10">
        <f>s_C*(d_ss_Bv!S3+s_MLF_peas)*s_IFPE_res_adj*s_CF_peas</f>
        <v>104.9675</v>
      </c>
      <c r="AT3" s="10">
        <f>s_C*(d_ss_Bv!T3+s_MLF_potato)*s_IFPT_res_adj*s_CF_potato</f>
        <v>103.68187500000001</v>
      </c>
      <c r="AU3" s="10">
        <f>s_C*(d_ss_Bv!U3+s_MLF_pumpkin)*s_IFPU_res_adj*s_CF_pumpkin</f>
        <v>104.81625</v>
      </c>
      <c r="AV3" s="10">
        <f>s_C*(d_ss_Bv!V3+s_MLF_snap_bean)*s_IFSN_res_adj*s_CF_snap_bean</f>
        <v>104.9675</v>
      </c>
      <c r="AW3" s="10">
        <f>s_C*(d_ss_Bv!W3+s_MLF_strawberry)*s_IFST_res_adj*s_CF_strawberry</f>
        <v>102.925625</v>
      </c>
      <c r="AX3" s="10">
        <f>s_C*(d_ss_Bv!X3+s_MLF_tomato)*s_IFTO_res_adj*s_CF_tomato</f>
        <v>104.81625</v>
      </c>
      <c r="AY3" s="10">
        <f>s_C*(d_ss_Bv!Y3+s_MLF_rice)*s_IFRI_res_adj*s_CF_rice</f>
        <v>109.65624999999999</v>
      </c>
      <c r="AZ3" s="10">
        <f>s_C*(d_ss_Bv!Z3+s_MLF_cereal)*s_IFCG_res_adj*s_CF_cereal</f>
        <v>102.260125</v>
      </c>
      <c r="BA3" s="2">
        <f t="shared" ref="BA3:BA30" si="2">IFERROR(1/SUM(1/BB3,1/BX3,1/BY3),".")</f>
        <v>90.342801944543481</v>
      </c>
      <c r="BB3" s="2">
        <f>IFERROR((s_dir!AC3/(d_ss_Bv!C3+s_MLF_apple)),".")</f>
        <v>277.43806438560455</v>
      </c>
      <c r="BC3" s="2">
        <f>IFERROR((s_dir!AD3/(d_ss_Bv!D3+s_MLF_asparagus)),".")</f>
        <v>272.62269057382827</v>
      </c>
      <c r="BD3" s="2">
        <f>IFERROR((s_dir!AE3/(d_ss_Bv!E3+s_MLF_beet)),".")</f>
        <v>264.92691949199821</v>
      </c>
      <c r="BE3" s="2">
        <f>IFERROR((s_dir!AF3/(d_ss_Bv!F3+s_MLF_berries)),".")</f>
        <v>262.51849295116187</v>
      </c>
      <c r="BF3" s="2">
        <f>IFERROR((s_dir!AG3/(d_ss_Bv!G3+s_MLF_broccoli)),".")</f>
        <v>270.8524133623099</v>
      </c>
      <c r="BG3" s="2">
        <f>IFERROR((s_dir!AH3/(d_ss_Bv!H3+s_MLF_cabbage)),".")</f>
        <v>272.62269057382827</v>
      </c>
      <c r="BH3" s="2">
        <f>IFERROR((s_dir!AI3/(d_ss_Bv!I3+s_MLF_carrot)),".")</f>
        <v>264.92691949199821</v>
      </c>
      <c r="BI3" s="2">
        <f>IFERROR((s_dir!AJ3/(d_ss_Bv!J3+s_MLF_citrus)),".")</f>
        <v>277.43806438560455</v>
      </c>
      <c r="BJ3" s="2">
        <f>IFERROR((s_dir!AK3/(d_ss_Bv!K3+s_MLF_corn)),".")</f>
        <v>277.04903684144762</v>
      </c>
      <c r="BK3" s="2">
        <f>IFERROR((s_dir!AL3/(d_ss_Bv!L3+s_MLF_cucumber)),".")</f>
        <v>270.8524133623099</v>
      </c>
      <c r="BL3" s="2">
        <f>IFERROR((s_dir!AM3/(d_ss_Bv!M3+s_MLF_lettuce)),".")</f>
        <v>272.62269057382827</v>
      </c>
      <c r="BM3" s="2">
        <f>IFERROR((s_dir!AN3/(d_ss_Bv!N3+s_MLF_lima_bean)),".")</f>
        <v>270.46213610962644</v>
      </c>
      <c r="BN3" s="2">
        <f>IFERROR((s_dir!AO3/(d_ss_Bv!O3+s_MLF_okra)),".")</f>
        <v>270.8524133623099</v>
      </c>
      <c r="BO3" s="2">
        <f>IFERROR((s_dir!AP3/(d_ss_Bv!P3+s_MLF_onion)),".")</f>
        <v>270.8524133623099</v>
      </c>
      <c r="BP3" s="2">
        <f>IFERROR((s_dir!AQ3/(d_ss_Bv!Q3+s_MLF_peach)),".")</f>
        <v>277.43806438560455</v>
      </c>
      <c r="BQ3" s="2">
        <f>IFERROR((s_dir!AR3/(d_ss_Bv!R3+s_MLF_pear)),".")</f>
        <v>277.43806438560455</v>
      </c>
      <c r="BR3" s="2">
        <f>IFERROR((s_dir!AS3/(d_ss_Bv!S3+s_MLF_peas)),".")</f>
        <v>270.46213610962644</v>
      </c>
      <c r="BS3" s="2">
        <f>IFERROR((s_dir!AT3/(d_ss_Bv!T3+s_MLF_potato)),".")</f>
        <v>273.8157876879369</v>
      </c>
      <c r="BT3" s="2">
        <f>IFERROR((s_dir!AU3/(d_ss_Bv!U3+s_MLF_pumpkin)),".")</f>
        <v>270.8524133623099</v>
      </c>
      <c r="BU3" s="2">
        <f>IFERROR((s_dir!AV3/(d_ss_Bv!V3+s_MLF_snap_bean)),".")</f>
        <v>270.46213610962644</v>
      </c>
      <c r="BV3" s="2">
        <f>IFERROR((s_dir!AW3/(d_ss_Bv!W3+s_MLF_strawberry)),".")</f>
        <v>275.8276597503023</v>
      </c>
      <c r="BW3" s="2">
        <f>IFERROR((s_dir!AX3/(d_ss_Bv!X3+s_MLF_tomato)),".")</f>
        <v>270.8524133623099</v>
      </c>
      <c r="BX3" s="2">
        <f>IFERROR((s_dir!AY3/(d_ss_Bv!Y3+s_MLF_rice)),".")</f>
        <v>258.89754822080101</v>
      </c>
      <c r="BY3" s="2">
        <f>IFERROR((s_dir!AZ3/(d_ss_Bv!Z3+s_MLF_cereal)),".")</f>
        <v>277.62272217139588</v>
      </c>
      <c r="BZ3" s="10">
        <f t="shared" ref="BZ3:BZ30" si="3">SUM(CA3,CW3:CX3)</f>
        <v>314.24456249999997</v>
      </c>
      <c r="CA3" s="10">
        <f>IFERROR(s_C*(d_ss_Bv!C3+s_MLF_apple)*s_IFAP_far_adj*s_CF_apple,".")</f>
        <v>102.32818749999998</v>
      </c>
      <c r="CB3" s="10">
        <f>IFERROR(s_C*(d_ss_Bv!D3+s_MLF_asparagus)*s_IFAS_far_adj*s_CF_asparagus,".")</f>
        <v>104.13562499999999</v>
      </c>
      <c r="CC3" s="10">
        <f>IFERROR(s_C*(d_ss_Bv!E3+s_MLF_beet)*s_IFBT_far_adj*s_CF_beet,".")</f>
        <v>107.160625</v>
      </c>
      <c r="CD3" s="10">
        <f>IFERROR(s_C*(d_ss_Bv!F3+s_MLF_berries)*s_IFBR_far_adj*s_CF_berries,".")</f>
        <v>108.14375000000001</v>
      </c>
      <c r="CE3" s="10">
        <f>IFERROR(s_C*(d_ss_Bv!G3+s_MLF_broccoli)*s_IFBR_far_adj*s_CF_broccoli,".")</f>
        <v>104.81625</v>
      </c>
      <c r="CF3" s="10">
        <f>IFERROR(s_C*(d_ss_Bv!H3+s_MLF_cabbage)*s_IFCB_far_adj*s_CF_cabbage,".")</f>
        <v>104.13562499999999</v>
      </c>
      <c r="CG3" s="10">
        <f>IFERROR(s_C*(d_ss_Bv!I3+s_MLF_carrot)*s_IFCR_far_adj*s_CF_carrot,".")</f>
        <v>107.160625</v>
      </c>
      <c r="CH3" s="10">
        <f>IFERROR(s_C*(d_ss_Bv!J3+s_MLF_citrus)*s_IFCI_far_adj*s_CF_citrus,".")</f>
        <v>102.32818749999998</v>
      </c>
      <c r="CI3" s="10">
        <f>IFERROR(s_C*(d_ss_Bv!K3+s_MLF_corn)*s_IFCO_far_adj*s_CF_corn,".")</f>
        <v>102.47187500000001</v>
      </c>
      <c r="CJ3" s="10">
        <f>IFERROR(s_C*(d_ss_Bv!L3+s_MLF_cucumber)*s_IFCU_far_adj*s_CF_cucumber,".")</f>
        <v>104.81625</v>
      </c>
      <c r="CK3" s="10">
        <f>IFERROR(s_C*(d_ss_Bv!M3+s_MLF_lettuce)*s_IFLE_far_adj*s_CF_lettuce,".")</f>
        <v>104.13562499999999</v>
      </c>
      <c r="CL3" s="10">
        <f>IFERROR(s_C*(d_ss_Bv!N3+s_MLF_lima_bean)*s_IFLI_far_adj*s_CF_lima_bean,".")</f>
        <v>104.9675</v>
      </c>
      <c r="CM3" s="10">
        <f>IFERROR(s_C*(d_ss_Bv!O3+s_MLF_okra)*s_IFOK_far_adj*s_CF_okra,".")</f>
        <v>104.81625</v>
      </c>
      <c r="CN3" s="10">
        <f>IFERROR(s_C*(d_ss_Bv!P3+s_MLF_onion)*s_IFON_far_adj*s_CF_onion,".")</f>
        <v>104.81625</v>
      </c>
      <c r="CO3" s="10">
        <f>IFERROR(s_C*(d_ss_Bv!Q3+s_MLF_peach)*s_IFPC_far_adj*s_CF_peach,".")</f>
        <v>102.32818749999998</v>
      </c>
      <c r="CP3" s="10">
        <f>IFERROR(s_C*(d_ss_Bv!R3+s_MLF_pear)*s_IFPR_far_adj*s_CF_pear,".")</f>
        <v>102.32818749999998</v>
      </c>
      <c r="CQ3" s="10">
        <f>IFERROR(s_C*(d_ss_Bv!S3+s_MLF_peas)*s_IFPE_far_adj*s_CF_peas,".")</f>
        <v>104.9675</v>
      </c>
      <c r="CR3" s="10">
        <f>IFERROR(s_C*(d_ss_Bv!T3+s_MLF_potato)*s_IFPT_far_adj*s_CF_potato,".")</f>
        <v>103.68187500000001</v>
      </c>
      <c r="CS3" s="10">
        <f>IFERROR(s_C*(d_ss_Bv!U3+s_MLF_pumpkin)*s_IFPU_far_adj*s_CF_pumpkin,".")</f>
        <v>104.81625</v>
      </c>
      <c r="CT3" s="10">
        <f>IFERROR(s_C*(d_ss_Bv!V3+s_MLF_snap_bean)*s_IFSN_far_adj*s_CF_snap_bean,".")</f>
        <v>104.9675</v>
      </c>
      <c r="CU3" s="10">
        <f>IFERROR(s_C*(d_ss_Bv!W3+s_MLF_strawberry)*s_IFST_far_adj*s_CF_strawberry,".")</f>
        <v>102.925625</v>
      </c>
      <c r="CV3" s="10">
        <f>IFERROR(s_C*(d_ss_Bv!X3+s_MLF_tomato)*s_IFTO_far_adj*s_CF_tomato,".")</f>
        <v>104.81625</v>
      </c>
      <c r="CW3" s="10">
        <f>IFERROR(s_C*(d_ss_Bv!Y3+s_MLF_rice)*s_IFRI_far_adj*s_CF_rice,".")</f>
        <v>109.65624999999999</v>
      </c>
      <c r="CX3" s="10">
        <f>IFERROR(s_C*(d_ss_Bv!Z3+s_MLF_cereal)*s_IFCG_far_adj*s_CF_cereal,".")</f>
        <v>102.260125</v>
      </c>
    </row>
    <row r="4" spans="1:102" ht="15" customHeight="1" x14ac:dyDescent="0.25">
      <c r="A4" s="31" t="s">
        <v>2</v>
      </c>
      <c r="B4" s="3" t="s">
        <v>1059</v>
      </c>
      <c r="C4" s="2" t="str">
        <f t="shared" si="0"/>
        <v>.</v>
      </c>
      <c r="D4" s="2" t="str">
        <f>IFERROR((s_dir!D4/(d_ss_Bv!C4+s_MLF_apple)),".")</f>
        <v>.</v>
      </c>
      <c r="E4" s="2" t="str">
        <f>IFERROR((s_dir!E4/(d_ss_Bv!D4+s_MLF_asparagus)),".")</f>
        <v>.</v>
      </c>
      <c r="F4" s="2" t="str">
        <f>IFERROR((s_dir!F4/(d_ss_Bv!E4+s_MLF_beet)),".")</f>
        <v>.</v>
      </c>
      <c r="G4" s="2" t="str">
        <f>IFERROR((s_dir!G4/(d_ss_Bv!F4+s_MLF_berries)),".")</f>
        <v>.</v>
      </c>
      <c r="H4" s="2" t="str">
        <f>IFERROR((s_dir!H4/(d_ss_Bv!G4+s_MLF_broccoli)),".")</f>
        <v>.</v>
      </c>
      <c r="I4" s="2" t="str">
        <f>IFERROR((s_dir!I4/(d_ss_Bv!H4+s_MLF_cabbage)),".")</f>
        <v>.</v>
      </c>
      <c r="J4" s="2" t="str">
        <f>IFERROR((s_dir!J4/(d_ss_Bv!I4+s_MLF_carrot)),".")</f>
        <v>.</v>
      </c>
      <c r="K4" s="2" t="str">
        <f>IFERROR((s_dir!K4/(d_ss_Bv!J4+s_MLF_citrus)),".")</f>
        <v>.</v>
      </c>
      <c r="L4" s="2" t="str">
        <f>IFERROR((s_dir!L4/(d_ss_Bv!K4+s_MLF_corn)),".")</f>
        <v>.</v>
      </c>
      <c r="M4" s="2" t="str">
        <f>IFERROR((s_dir!M4/(d_ss_Bv!L4+s_MLF_cucumber)),".")</f>
        <v>.</v>
      </c>
      <c r="N4" s="2" t="str">
        <f>IFERROR((s_dir!N4/(d_ss_Bv!M4+s_MLF_lettuce)),".")</f>
        <v>.</v>
      </c>
      <c r="O4" s="2" t="str">
        <f>IFERROR((s_dir!O4/(d_ss_Bv!N4+s_MLF_lima_bean)),".")</f>
        <v>.</v>
      </c>
      <c r="P4" s="2" t="str">
        <f>IFERROR((s_dir!P4/(d_ss_Bv!O4+s_MLF_okra)),".")</f>
        <v>.</v>
      </c>
      <c r="Q4" s="2" t="str">
        <f>IFERROR((s_dir!Q4/(d_ss_Bv!P4+s_MLF_onion)),".")</f>
        <v>.</v>
      </c>
      <c r="R4" s="2" t="str">
        <f>IFERROR((s_dir!R4/(d_ss_Bv!Q4+s_MLF_peach)),".")</f>
        <v>.</v>
      </c>
      <c r="S4" s="2" t="str">
        <f>IFERROR((s_dir!S4/(d_ss_Bv!R4+s_MLF_pear)),".")</f>
        <v>.</v>
      </c>
      <c r="T4" s="2" t="str">
        <f>IFERROR((s_dir!T4/(d_ss_Bv!S4+s_MLF_peas)),".")</f>
        <v>.</v>
      </c>
      <c r="U4" s="2" t="str">
        <f>IFERROR((s_dir!U4/(d_ss_Bv!T4+s_MLF_potato)),".")</f>
        <v>.</v>
      </c>
      <c r="V4" s="2" t="str">
        <f>IFERROR((s_dir!V4/(d_ss_Bv!U4+s_MLF_pumpkin)),".")</f>
        <v>.</v>
      </c>
      <c r="W4" s="2" t="str">
        <f>IFERROR((s_dir!W4/(d_ss_Bv!V4+s_MLF_snap_bean)),".")</f>
        <v>.</v>
      </c>
      <c r="X4" s="2" t="str">
        <f>IFERROR((s_dir!X4/(d_ss_Bv!W4+s_MLF_strawberry)),".")</f>
        <v>.</v>
      </c>
      <c r="Y4" s="2" t="str">
        <f>IFERROR((s_dir!Y4/(d_ss_Bv!X4+s_MLF_tomato)),".")</f>
        <v>.</v>
      </c>
      <c r="Z4" s="2" t="str">
        <f>IFERROR((s_dir!Z4/(d_ss_Bv!Y4+s_MLF_rice)),".")</f>
        <v>.</v>
      </c>
      <c r="AA4" s="2" t="str">
        <f>IFERROR((s_dir!AA4/(d_ss_Bv!Z4+s_MLF_cereal)),".")</f>
        <v>.</v>
      </c>
      <c r="AB4" s="10">
        <f t="shared" si="1"/>
        <v>4843.7812500000009</v>
      </c>
      <c r="AC4" s="10">
        <f>s_C*(d_ss_Bv!C4+s_MLF_apple)*s_IFAP_res_adj*s_CF_apple</f>
        <v>1614.5937500000002</v>
      </c>
      <c r="AD4" s="10">
        <f>s_C*(d_ss_Bv!D4+s_MLF_asparagus)*s_IFAS_res_adj*s_CF_asparagus</f>
        <v>1614.5937500000002</v>
      </c>
      <c r="AE4" s="10">
        <f>s_C*(d_ss_Bv!E4+s_MLF_beet)*s_IFBT_res_adj*s_CF_beet</f>
        <v>1614.5937500000002</v>
      </c>
      <c r="AF4" s="10">
        <f>s_C*(d_ss_Bv!F4+s_MLF_berries)*s_IFBE_res_adj*s_CF_berries</f>
        <v>1614.5937500000002</v>
      </c>
      <c r="AG4" s="10">
        <f>s_C*(d_ss_Bv!G4+s_MLF_broccoli)*s_IFBR_res_adj*s_CF_broccoli</f>
        <v>1614.5937500000002</v>
      </c>
      <c r="AH4" s="10">
        <f>s_C*(d_ss_Bv!H4+s_MLF_cabbage)*s_IFCB_res_adj*s_CF_cabbage</f>
        <v>1614.5937500000002</v>
      </c>
      <c r="AI4" s="10">
        <f>s_C*(d_ss_Bv!I4+s_MLF_carrot)*s_IFCR_res_adj*s_CF_carrot</f>
        <v>1614.5937500000002</v>
      </c>
      <c r="AJ4" s="10">
        <f>s_C*(d_ss_Bv!J4+s_MLF_citrus)*s_IFCI_res_adj*s_CF_citrus</f>
        <v>1614.5937500000002</v>
      </c>
      <c r="AK4" s="10">
        <f>s_C*(d_ss_Bv!K4+s_MLF_corn)*s_IFCO_res_adj*s_CF_corn</f>
        <v>1614.5937500000002</v>
      </c>
      <c r="AL4" s="10">
        <f>s_C*(d_ss_Bv!L4+s_MLF_cucumber)*s_IFCU_res_adj*s_CF_cucumber</f>
        <v>1614.5937500000002</v>
      </c>
      <c r="AM4" s="10">
        <f>s_C*(d_ss_Bv!M4+s_MLF_lettuce)*s_IFLE_res_adj*s_CF_lettuce</f>
        <v>1614.5937500000002</v>
      </c>
      <c r="AN4" s="10">
        <f>s_C*(d_ss_Bv!N4+s_MLF_lima_bean)*s_IFLI_res_adj*s_CF_lima_bean</f>
        <v>1614.5937500000002</v>
      </c>
      <c r="AO4" s="10">
        <f>s_C*(d_ss_Bv!O4+s_MLF_okra)*s_IFOK_res_adj*s_CF_okra</f>
        <v>1614.5937500000002</v>
      </c>
      <c r="AP4" s="10">
        <f>s_C*(d_ss_Bv!P4+s_MLF_onion)*s_IFON_res_adj*s_CF_onion</f>
        <v>1614.5937500000002</v>
      </c>
      <c r="AQ4" s="10">
        <f>s_C*(d_ss_Bv!Q4+s_MLF_peach)*s_IFPC_res_adj*s_CF_peach</f>
        <v>1614.5937500000002</v>
      </c>
      <c r="AR4" s="10">
        <f>s_C*(d_ss_Bv!R4+s_MLF_pear)*s_IFPR_res_adj*s_CF_pear</f>
        <v>1614.5937500000002</v>
      </c>
      <c r="AS4" s="10">
        <f>s_C*(d_ss_Bv!S4+s_MLF_peas)*s_IFPE_res_adj*s_CF_peas</f>
        <v>1614.5937500000002</v>
      </c>
      <c r="AT4" s="10">
        <f>s_C*(d_ss_Bv!T4+s_MLF_potato)*s_IFPT_res_adj*s_CF_potato</f>
        <v>1614.5937500000002</v>
      </c>
      <c r="AU4" s="10">
        <f>s_C*(d_ss_Bv!U4+s_MLF_pumpkin)*s_IFPU_res_adj*s_CF_pumpkin</f>
        <v>1614.5937500000002</v>
      </c>
      <c r="AV4" s="10">
        <f>s_C*(d_ss_Bv!V4+s_MLF_snap_bean)*s_IFSN_res_adj*s_CF_snap_bean</f>
        <v>1614.5937500000002</v>
      </c>
      <c r="AW4" s="10">
        <f>s_C*(d_ss_Bv!W4+s_MLF_strawberry)*s_IFST_res_adj*s_CF_strawberry</f>
        <v>1614.5937500000002</v>
      </c>
      <c r="AX4" s="10">
        <f>s_C*(d_ss_Bv!X4+s_MLF_tomato)*s_IFTO_res_adj*s_CF_tomato</f>
        <v>1614.5937500000002</v>
      </c>
      <c r="AY4" s="10">
        <f>s_C*(d_ss_Bv!Y4+s_MLF_rice)*s_IFRI_res_adj*s_CF_rice</f>
        <v>1614.5937500000002</v>
      </c>
      <c r="AZ4" s="10">
        <f>s_C*(d_ss_Bv!Z4+s_MLF_cereal)*s_IFCG_res_adj*s_CF_cereal</f>
        <v>1614.5937500000002</v>
      </c>
      <c r="BA4" s="2" t="str">
        <f t="shared" si="2"/>
        <v>.</v>
      </c>
      <c r="BB4" s="2" t="str">
        <f>IFERROR((s_dir!AC4/(d_ss_Bv!C4+s_MLF_apple)),".")</f>
        <v>.</v>
      </c>
      <c r="BC4" s="2" t="str">
        <f>IFERROR((s_dir!AD4/(d_ss_Bv!D4+s_MLF_asparagus)),".")</f>
        <v>.</v>
      </c>
      <c r="BD4" s="2" t="str">
        <f>IFERROR((s_dir!AE4/(d_ss_Bv!E4+s_MLF_beet)),".")</f>
        <v>.</v>
      </c>
      <c r="BE4" s="2" t="str">
        <f>IFERROR((s_dir!AF4/(d_ss_Bv!F4+s_MLF_berries)),".")</f>
        <v>.</v>
      </c>
      <c r="BF4" s="2" t="str">
        <f>IFERROR((s_dir!AG4/(d_ss_Bv!G4+s_MLF_broccoli)),".")</f>
        <v>.</v>
      </c>
      <c r="BG4" s="2" t="str">
        <f>IFERROR((s_dir!AH4/(d_ss_Bv!H4+s_MLF_cabbage)),".")</f>
        <v>.</v>
      </c>
      <c r="BH4" s="2" t="str">
        <f>IFERROR((s_dir!AI4/(d_ss_Bv!I4+s_MLF_carrot)),".")</f>
        <v>.</v>
      </c>
      <c r="BI4" s="2" t="str">
        <f>IFERROR((s_dir!AJ4/(d_ss_Bv!J4+s_MLF_citrus)),".")</f>
        <v>.</v>
      </c>
      <c r="BJ4" s="2" t="str">
        <f>IFERROR((s_dir!AK4/(d_ss_Bv!K4+s_MLF_corn)),".")</f>
        <v>.</v>
      </c>
      <c r="BK4" s="2" t="str">
        <f>IFERROR((s_dir!AL4/(d_ss_Bv!L4+s_MLF_cucumber)),".")</f>
        <v>.</v>
      </c>
      <c r="BL4" s="2" t="str">
        <f>IFERROR((s_dir!AM4/(d_ss_Bv!M4+s_MLF_lettuce)),".")</f>
        <v>.</v>
      </c>
      <c r="BM4" s="2" t="str">
        <f>IFERROR((s_dir!AN4/(d_ss_Bv!N4+s_MLF_lima_bean)),".")</f>
        <v>.</v>
      </c>
      <c r="BN4" s="2" t="str">
        <f>IFERROR((s_dir!AO4/(d_ss_Bv!O4+s_MLF_okra)),".")</f>
        <v>.</v>
      </c>
      <c r="BO4" s="2" t="str">
        <f>IFERROR((s_dir!AP4/(d_ss_Bv!P4+s_MLF_onion)),".")</f>
        <v>.</v>
      </c>
      <c r="BP4" s="2" t="str">
        <f>IFERROR((s_dir!AQ4/(d_ss_Bv!Q4+s_MLF_peach)),".")</f>
        <v>.</v>
      </c>
      <c r="BQ4" s="2" t="str">
        <f>IFERROR((s_dir!AR4/(d_ss_Bv!R4+s_MLF_pear)),".")</f>
        <v>.</v>
      </c>
      <c r="BR4" s="2" t="str">
        <f>IFERROR((s_dir!AS4/(d_ss_Bv!S4+s_MLF_peas)),".")</f>
        <v>.</v>
      </c>
      <c r="BS4" s="2" t="str">
        <f>IFERROR((s_dir!AT4/(d_ss_Bv!T4+s_MLF_potato)),".")</f>
        <v>.</v>
      </c>
      <c r="BT4" s="2" t="str">
        <f>IFERROR((s_dir!AU4/(d_ss_Bv!U4+s_MLF_pumpkin)),".")</f>
        <v>.</v>
      </c>
      <c r="BU4" s="2" t="str">
        <f>IFERROR((s_dir!AV4/(d_ss_Bv!V4+s_MLF_snap_bean)),".")</f>
        <v>.</v>
      </c>
      <c r="BV4" s="2" t="str">
        <f>IFERROR((s_dir!AW4/(d_ss_Bv!W4+s_MLF_strawberry)),".")</f>
        <v>.</v>
      </c>
      <c r="BW4" s="2" t="str">
        <f>IFERROR((s_dir!AX4/(d_ss_Bv!X4+s_MLF_tomato)),".")</f>
        <v>.</v>
      </c>
      <c r="BX4" s="2" t="str">
        <f>IFERROR((s_dir!AY4/(d_ss_Bv!Y4+s_MLF_rice)),".")</f>
        <v>.</v>
      </c>
      <c r="BY4" s="2" t="str">
        <f>IFERROR((s_dir!AZ4/(d_ss_Bv!Z4+s_MLF_cereal)),".")</f>
        <v>.</v>
      </c>
      <c r="BZ4" s="10">
        <f t="shared" si="3"/>
        <v>4843.7812500000009</v>
      </c>
      <c r="CA4" s="10">
        <f>IFERROR(s_C*(d_ss_Bv!C4+s_MLF_apple)*s_IFAP_far_adj*s_CF_apple,".")</f>
        <v>1614.5937500000002</v>
      </c>
      <c r="CB4" s="10">
        <f>IFERROR(s_C*(d_ss_Bv!D4+s_MLF_asparagus)*s_IFAS_far_adj*s_CF_asparagus,".")</f>
        <v>1614.5937500000002</v>
      </c>
      <c r="CC4" s="10">
        <f>IFERROR(s_C*(d_ss_Bv!E4+s_MLF_beet)*s_IFBT_far_adj*s_CF_beet,".")</f>
        <v>1614.5937500000002</v>
      </c>
      <c r="CD4" s="10">
        <f>IFERROR(s_C*(d_ss_Bv!F4+s_MLF_berries)*s_IFBR_far_adj*s_CF_berries,".")</f>
        <v>1614.5937500000002</v>
      </c>
      <c r="CE4" s="10">
        <f>IFERROR(s_C*(d_ss_Bv!G4+s_MLF_broccoli)*s_IFBR_far_adj*s_CF_broccoli,".")</f>
        <v>1614.5937500000002</v>
      </c>
      <c r="CF4" s="10">
        <f>IFERROR(s_C*(d_ss_Bv!H4+s_MLF_cabbage)*s_IFCB_far_adj*s_CF_cabbage,".")</f>
        <v>1614.5937500000002</v>
      </c>
      <c r="CG4" s="10">
        <f>IFERROR(s_C*(d_ss_Bv!I4+s_MLF_carrot)*s_IFCR_far_adj*s_CF_carrot,".")</f>
        <v>1614.5937500000002</v>
      </c>
      <c r="CH4" s="10">
        <f>IFERROR(s_C*(d_ss_Bv!J4+s_MLF_citrus)*s_IFCI_far_adj*s_CF_citrus,".")</f>
        <v>1614.5937500000002</v>
      </c>
      <c r="CI4" s="10">
        <f>IFERROR(s_C*(d_ss_Bv!K4+s_MLF_corn)*s_IFCO_far_adj*s_CF_corn,".")</f>
        <v>1614.5937500000002</v>
      </c>
      <c r="CJ4" s="10">
        <f>IFERROR(s_C*(d_ss_Bv!L4+s_MLF_cucumber)*s_IFCU_far_adj*s_CF_cucumber,".")</f>
        <v>1614.5937500000002</v>
      </c>
      <c r="CK4" s="10">
        <f>IFERROR(s_C*(d_ss_Bv!M4+s_MLF_lettuce)*s_IFLE_far_adj*s_CF_lettuce,".")</f>
        <v>1614.5937500000002</v>
      </c>
      <c r="CL4" s="10">
        <f>IFERROR(s_C*(d_ss_Bv!N4+s_MLF_lima_bean)*s_IFLI_far_adj*s_CF_lima_bean,".")</f>
        <v>1614.5937500000002</v>
      </c>
      <c r="CM4" s="10">
        <f>IFERROR(s_C*(d_ss_Bv!O4+s_MLF_okra)*s_IFOK_far_adj*s_CF_okra,".")</f>
        <v>1614.5937500000002</v>
      </c>
      <c r="CN4" s="10">
        <f>IFERROR(s_C*(d_ss_Bv!P4+s_MLF_onion)*s_IFON_far_adj*s_CF_onion,".")</f>
        <v>1614.5937500000002</v>
      </c>
      <c r="CO4" s="10">
        <f>IFERROR(s_C*(d_ss_Bv!Q4+s_MLF_peach)*s_IFPC_far_adj*s_CF_peach,".")</f>
        <v>1614.5937500000002</v>
      </c>
      <c r="CP4" s="10">
        <f>IFERROR(s_C*(d_ss_Bv!R4+s_MLF_pear)*s_IFPR_far_adj*s_CF_pear,".")</f>
        <v>1614.5937500000002</v>
      </c>
      <c r="CQ4" s="10">
        <f>IFERROR(s_C*(d_ss_Bv!S4+s_MLF_peas)*s_IFPE_far_adj*s_CF_peas,".")</f>
        <v>1614.5937500000002</v>
      </c>
      <c r="CR4" s="10">
        <f>IFERROR(s_C*(d_ss_Bv!T4+s_MLF_potato)*s_IFPT_far_adj*s_CF_potato,".")</f>
        <v>1614.5937500000002</v>
      </c>
      <c r="CS4" s="10">
        <f>IFERROR(s_C*(d_ss_Bv!U4+s_MLF_pumpkin)*s_IFPU_far_adj*s_CF_pumpkin,".")</f>
        <v>1614.5937500000002</v>
      </c>
      <c r="CT4" s="10">
        <f>IFERROR(s_C*(d_ss_Bv!V4+s_MLF_snap_bean)*s_IFSN_far_adj*s_CF_snap_bean,".")</f>
        <v>1614.5937500000002</v>
      </c>
      <c r="CU4" s="10">
        <f>IFERROR(s_C*(d_ss_Bv!W4+s_MLF_strawberry)*s_IFST_far_adj*s_CF_strawberry,".")</f>
        <v>1614.5937500000002</v>
      </c>
      <c r="CV4" s="10">
        <f>IFERROR(s_C*(d_ss_Bv!X4+s_MLF_tomato)*s_IFTO_far_adj*s_CF_tomato,".")</f>
        <v>1614.5937500000002</v>
      </c>
      <c r="CW4" s="10">
        <f>IFERROR(s_C*(d_ss_Bv!Y4+s_MLF_rice)*s_IFRI_far_adj*s_CF_rice,".")</f>
        <v>1614.5937500000002</v>
      </c>
      <c r="CX4" s="10">
        <f>IFERROR(s_C*(d_ss_Bv!Z4+s_MLF_cereal)*s_IFCG_far_adj*s_CF_cereal,".")</f>
        <v>1614.5937500000002</v>
      </c>
    </row>
    <row r="5" spans="1:102" ht="15" customHeight="1" x14ac:dyDescent="0.25">
      <c r="A5" s="31" t="s">
        <v>3</v>
      </c>
      <c r="B5" s="3" t="s">
        <v>1059</v>
      </c>
      <c r="C5" s="2" t="str">
        <f t="shared" si="0"/>
        <v>.</v>
      </c>
      <c r="D5" s="2" t="str">
        <f>IFERROR((s_dir!D5/(d_ss_Bv!C5+s_MLF_apple)),".")</f>
        <v>.</v>
      </c>
      <c r="E5" s="2" t="str">
        <f>IFERROR((s_dir!E5/(d_ss_Bv!D5+s_MLF_asparagus)),".")</f>
        <v>.</v>
      </c>
      <c r="F5" s="2" t="str">
        <f>IFERROR((s_dir!F5/(d_ss_Bv!E5+s_MLF_beet)),".")</f>
        <v>.</v>
      </c>
      <c r="G5" s="2" t="str">
        <f>IFERROR((s_dir!G5/(d_ss_Bv!F5+s_MLF_berries)),".")</f>
        <v>.</v>
      </c>
      <c r="H5" s="2" t="str">
        <f>IFERROR((s_dir!H5/(d_ss_Bv!G5+s_MLF_broccoli)),".")</f>
        <v>.</v>
      </c>
      <c r="I5" s="2" t="str">
        <f>IFERROR((s_dir!I5/(d_ss_Bv!H5+s_MLF_cabbage)),".")</f>
        <v>.</v>
      </c>
      <c r="J5" s="2" t="str">
        <f>IFERROR((s_dir!J5/(d_ss_Bv!I5+s_MLF_carrot)),".")</f>
        <v>.</v>
      </c>
      <c r="K5" s="2" t="str">
        <f>IFERROR((s_dir!K5/(d_ss_Bv!J5+s_MLF_citrus)),".")</f>
        <v>.</v>
      </c>
      <c r="L5" s="2" t="str">
        <f>IFERROR((s_dir!L5/(d_ss_Bv!K5+s_MLF_corn)),".")</f>
        <v>.</v>
      </c>
      <c r="M5" s="2" t="str">
        <f>IFERROR((s_dir!M5/(d_ss_Bv!L5+s_MLF_cucumber)),".")</f>
        <v>.</v>
      </c>
      <c r="N5" s="2" t="str">
        <f>IFERROR((s_dir!N5/(d_ss_Bv!M5+s_MLF_lettuce)),".")</f>
        <v>.</v>
      </c>
      <c r="O5" s="2" t="str">
        <f>IFERROR((s_dir!O5/(d_ss_Bv!N5+s_MLF_lima_bean)),".")</f>
        <v>.</v>
      </c>
      <c r="P5" s="2" t="str">
        <f>IFERROR((s_dir!P5/(d_ss_Bv!O5+s_MLF_okra)),".")</f>
        <v>.</v>
      </c>
      <c r="Q5" s="2" t="str">
        <f>IFERROR((s_dir!Q5/(d_ss_Bv!P5+s_MLF_onion)),".")</f>
        <v>.</v>
      </c>
      <c r="R5" s="2" t="str">
        <f>IFERROR((s_dir!R5/(d_ss_Bv!Q5+s_MLF_peach)),".")</f>
        <v>.</v>
      </c>
      <c r="S5" s="2" t="str">
        <f>IFERROR((s_dir!S5/(d_ss_Bv!R5+s_MLF_pear)),".")</f>
        <v>.</v>
      </c>
      <c r="T5" s="2" t="str">
        <f>IFERROR((s_dir!T5/(d_ss_Bv!S5+s_MLF_peas)),".")</f>
        <v>.</v>
      </c>
      <c r="U5" s="2" t="str">
        <f>IFERROR((s_dir!U5/(d_ss_Bv!T5+s_MLF_potato)),".")</f>
        <v>.</v>
      </c>
      <c r="V5" s="2" t="str">
        <f>IFERROR((s_dir!V5/(d_ss_Bv!U5+s_MLF_pumpkin)),".")</f>
        <v>.</v>
      </c>
      <c r="W5" s="2" t="str">
        <f>IFERROR((s_dir!W5/(d_ss_Bv!V5+s_MLF_snap_bean)),".")</f>
        <v>.</v>
      </c>
      <c r="X5" s="2" t="str">
        <f>IFERROR((s_dir!X5/(d_ss_Bv!W5+s_MLF_strawberry)),".")</f>
        <v>.</v>
      </c>
      <c r="Y5" s="2" t="str">
        <f>IFERROR((s_dir!Y5/(d_ss_Bv!X5+s_MLF_tomato)),".")</f>
        <v>.</v>
      </c>
      <c r="Z5" s="2" t="str">
        <f>IFERROR((s_dir!Z5/(d_ss_Bv!Y5+s_MLF_rice)),".")</f>
        <v>.</v>
      </c>
      <c r="AA5" s="2" t="str">
        <f>IFERROR((s_dir!AA5/(d_ss_Bv!Z5+s_MLF_cereal)),".")</f>
        <v>.</v>
      </c>
      <c r="AB5" s="10">
        <f t="shared" si="1"/>
        <v>4843.7812500000009</v>
      </c>
      <c r="AC5" s="10">
        <f>s_C*(d_ss_Bv!C5+s_MLF_apple)*s_IFAP_res_adj*s_CF_apple</f>
        <v>1614.5937500000002</v>
      </c>
      <c r="AD5" s="10">
        <f>s_C*(d_ss_Bv!D5+s_MLF_asparagus)*s_IFAS_res_adj*s_CF_asparagus</f>
        <v>1614.5937500000002</v>
      </c>
      <c r="AE5" s="10">
        <f>s_C*(d_ss_Bv!E5+s_MLF_beet)*s_IFBT_res_adj*s_CF_beet</f>
        <v>1614.5937500000002</v>
      </c>
      <c r="AF5" s="10">
        <f>s_C*(d_ss_Bv!F5+s_MLF_berries)*s_IFBE_res_adj*s_CF_berries</f>
        <v>1614.5937500000002</v>
      </c>
      <c r="AG5" s="10">
        <f>s_C*(d_ss_Bv!G5+s_MLF_broccoli)*s_IFBR_res_adj*s_CF_broccoli</f>
        <v>1614.5937500000002</v>
      </c>
      <c r="AH5" s="10">
        <f>s_C*(d_ss_Bv!H5+s_MLF_cabbage)*s_IFCB_res_adj*s_CF_cabbage</f>
        <v>1614.5937500000002</v>
      </c>
      <c r="AI5" s="10">
        <f>s_C*(d_ss_Bv!I5+s_MLF_carrot)*s_IFCR_res_adj*s_CF_carrot</f>
        <v>1614.5937500000002</v>
      </c>
      <c r="AJ5" s="10">
        <f>s_C*(d_ss_Bv!J5+s_MLF_citrus)*s_IFCI_res_adj*s_CF_citrus</f>
        <v>1614.5937500000002</v>
      </c>
      <c r="AK5" s="10">
        <f>s_C*(d_ss_Bv!K5+s_MLF_corn)*s_IFCO_res_adj*s_CF_corn</f>
        <v>1614.5937500000002</v>
      </c>
      <c r="AL5" s="10">
        <f>s_C*(d_ss_Bv!L5+s_MLF_cucumber)*s_IFCU_res_adj*s_CF_cucumber</f>
        <v>1614.5937500000002</v>
      </c>
      <c r="AM5" s="10">
        <f>s_C*(d_ss_Bv!M5+s_MLF_lettuce)*s_IFLE_res_adj*s_CF_lettuce</f>
        <v>1614.5937500000002</v>
      </c>
      <c r="AN5" s="10">
        <f>s_C*(d_ss_Bv!N5+s_MLF_lima_bean)*s_IFLI_res_adj*s_CF_lima_bean</f>
        <v>1614.5937500000002</v>
      </c>
      <c r="AO5" s="10">
        <f>s_C*(d_ss_Bv!O5+s_MLF_okra)*s_IFOK_res_adj*s_CF_okra</f>
        <v>1614.5937500000002</v>
      </c>
      <c r="AP5" s="10">
        <f>s_C*(d_ss_Bv!P5+s_MLF_onion)*s_IFON_res_adj*s_CF_onion</f>
        <v>1614.5937500000002</v>
      </c>
      <c r="AQ5" s="10">
        <f>s_C*(d_ss_Bv!Q5+s_MLF_peach)*s_IFPC_res_adj*s_CF_peach</f>
        <v>1614.5937500000002</v>
      </c>
      <c r="AR5" s="10">
        <f>s_C*(d_ss_Bv!R5+s_MLF_pear)*s_IFPR_res_adj*s_CF_pear</f>
        <v>1614.5937500000002</v>
      </c>
      <c r="AS5" s="10">
        <f>s_C*(d_ss_Bv!S5+s_MLF_peas)*s_IFPE_res_adj*s_CF_peas</f>
        <v>1614.5937500000002</v>
      </c>
      <c r="AT5" s="10">
        <f>s_C*(d_ss_Bv!T5+s_MLF_potato)*s_IFPT_res_adj*s_CF_potato</f>
        <v>1614.5937500000002</v>
      </c>
      <c r="AU5" s="10">
        <f>s_C*(d_ss_Bv!U5+s_MLF_pumpkin)*s_IFPU_res_adj*s_CF_pumpkin</f>
        <v>1614.5937500000002</v>
      </c>
      <c r="AV5" s="10">
        <f>s_C*(d_ss_Bv!V5+s_MLF_snap_bean)*s_IFSN_res_adj*s_CF_snap_bean</f>
        <v>1614.5937500000002</v>
      </c>
      <c r="AW5" s="10">
        <f>s_C*(d_ss_Bv!W5+s_MLF_strawberry)*s_IFST_res_adj*s_CF_strawberry</f>
        <v>1614.5937500000002</v>
      </c>
      <c r="AX5" s="10">
        <f>s_C*(d_ss_Bv!X5+s_MLF_tomato)*s_IFTO_res_adj*s_CF_tomato</f>
        <v>1614.5937500000002</v>
      </c>
      <c r="AY5" s="10">
        <f>s_C*(d_ss_Bv!Y5+s_MLF_rice)*s_IFRI_res_adj*s_CF_rice</f>
        <v>1614.5937500000002</v>
      </c>
      <c r="AZ5" s="10">
        <f>s_C*(d_ss_Bv!Z5+s_MLF_cereal)*s_IFCG_res_adj*s_CF_cereal</f>
        <v>1614.5937500000002</v>
      </c>
      <c r="BA5" s="2" t="str">
        <f t="shared" si="2"/>
        <v>.</v>
      </c>
      <c r="BB5" s="2" t="str">
        <f>IFERROR((s_dir!AC5/(d_ss_Bv!C5+s_MLF_apple)),".")</f>
        <v>.</v>
      </c>
      <c r="BC5" s="2" t="str">
        <f>IFERROR((s_dir!AD5/(d_ss_Bv!D5+s_MLF_asparagus)),".")</f>
        <v>.</v>
      </c>
      <c r="BD5" s="2" t="str">
        <f>IFERROR((s_dir!AE5/(d_ss_Bv!E5+s_MLF_beet)),".")</f>
        <v>.</v>
      </c>
      <c r="BE5" s="2" t="str">
        <f>IFERROR((s_dir!AF5/(d_ss_Bv!F5+s_MLF_berries)),".")</f>
        <v>.</v>
      </c>
      <c r="BF5" s="2" t="str">
        <f>IFERROR((s_dir!AG5/(d_ss_Bv!G5+s_MLF_broccoli)),".")</f>
        <v>.</v>
      </c>
      <c r="BG5" s="2" t="str">
        <f>IFERROR((s_dir!AH5/(d_ss_Bv!H5+s_MLF_cabbage)),".")</f>
        <v>.</v>
      </c>
      <c r="BH5" s="2" t="str">
        <f>IFERROR((s_dir!AI5/(d_ss_Bv!I5+s_MLF_carrot)),".")</f>
        <v>.</v>
      </c>
      <c r="BI5" s="2" t="str">
        <f>IFERROR((s_dir!AJ5/(d_ss_Bv!J5+s_MLF_citrus)),".")</f>
        <v>.</v>
      </c>
      <c r="BJ5" s="2" t="str">
        <f>IFERROR((s_dir!AK5/(d_ss_Bv!K5+s_MLF_corn)),".")</f>
        <v>.</v>
      </c>
      <c r="BK5" s="2" t="str">
        <f>IFERROR((s_dir!AL5/(d_ss_Bv!L5+s_MLF_cucumber)),".")</f>
        <v>.</v>
      </c>
      <c r="BL5" s="2" t="str">
        <f>IFERROR((s_dir!AM5/(d_ss_Bv!M5+s_MLF_lettuce)),".")</f>
        <v>.</v>
      </c>
      <c r="BM5" s="2" t="str">
        <f>IFERROR((s_dir!AN5/(d_ss_Bv!N5+s_MLF_lima_bean)),".")</f>
        <v>.</v>
      </c>
      <c r="BN5" s="2" t="str">
        <f>IFERROR((s_dir!AO5/(d_ss_Bv!O5+s_MLF_okra)),".")</f>
        <v>.</v>
      </c>
      <c r="BO5" s="2" t="str">
        <f>IFERROR((s_dir!AP5/(d_ss_Bv!P5+s_MLF_onion)),".")</f>
        <v>.</v>
      </c>
      <c r="BP5" s="2" t="str">
        <f>IFERROR((s_dir!AQ5/(d_ss_Bv!Q5+s_MLF_peach)),".")</f>
        <v>.</v>
      </c>
      <c r="BQ5" s="2" t="str">
        <f>IFERROR((s_dir!AR5/(d_ss_Bv!R5+s_MLF_pear)),".")</f>
        <v>.</v>
      </c>
      <c r="BR5" s="2" t="str">
        <f>IFERROR((s_dir!AS5/(d_ss_Bv!S5+s_MLF_peas)),".")</f>
        <v>.</v>
      </c>
      <c r="BS5" s="2" t="str">
        <f>IFERROR((s_dir!AT5/(d_ss_Bv!T5+s_MLF_potato)),".")</f>
        <v>.</v>
      </c>
      <c r="BT5" s="2" t="str">
        <f>IFERROR((s_dir!AU5/(d_ss_Bv!U5+s_MLF_pumpkin)),".")</f>
        <v>.</v>
      </c>
      <c r="BU5" s="2" t="str">
        <f>IFERROR((s_dir!AV5/(d_ss_Bv!V5+s_MLF_snap_bean)),".")</f>
        <v>.</v>
      </c>
      <c r="BV5" s="2" t="str">
        <f>IFERROR((s_dir!AW5/(d_ss_Bv!W5+s_MLF_strawberry)),".")</f>
        <v>.</v>
      </c>
      <c r="BW5" s="2" t="str">
        <f>IFERROR((s_dir!AX5/(d_ss_Bv!X5+s_MLF_tomato)),".")</f>
        <v>.</v>
      </c>
      <c r="BX5" s="2" t="str">
        <f>IFERROR((s_dir!AY5/(d_ss_Bv!Y5+s_MLF_rice)),".")</f>
        <v>.</v>
      </c>
      <c r="BY5" s="2" t="str">
        <f>IFERROR((s_dir!AZ5/(d_ss_Bv!Z5+s_MLF_cereal)),".")</f>
        <v>.</v>
      </c>
      <c r="BZ5" s="10">
        <f t="shared" si="3"/>
        <v>4843.7812500000009</v>
      </c>
      <c r="CA5" s="10">
        <f>IFERROR(s_C*(d_ss_Bv!C5+s_MLF_apple)*s_IFAP_far_adj*s_CF_apple,".")</f>
        <v>1614.5937500000002</v>
      </c>
      <c r="CB5" s="10">
        <f>IFERROR(s_C*(d_ss_Bv!D5+s_MLF_asparagus)*s_IFAS_far_adj*s_CF_asparagus,".")</f>
        <v>1614.5937500000002</v>
      </c>
      <c r="CC5" s="10">
        <f>IFERROR(s_C*(d_ss_Bv!E5+s_MLF_beet)*s_IFBT_far_adj*s_CF_beet,".")</f>
        <v>1614.5937500000002</v>
      </c>
      <c r="CD5" s="10">
        <f>IFERROR(s_C*(d_ss_Bv!F5+s_MLF_berries)*s_IFBR_far_adj*s_CF_berries,".")</f>
        <v>1614.5937500000002</v>
      </c>
      <c r="CE5" s="10">
        <f>IFERROR(s_C*(d_ss_Bv!G5+s_MLF_broccoli)*s_IFBR_far_adj*s_CF_broccoli,".")</f>
        <v>1614.5937500000002</v>
      </c>
      <c r="CF5" s="10">
        <f>IFERROR(s_C*(d_ss_Bv!H5+s_MLF_cabbage)*s_IFCB_far_adj*s_CF_cabbage,".")</f>
        <v>1614.5937500000002</v>
      </c>
      <c r="CG5" s="10">
        <f>IFERROR(s_C*(d_ss_Bv!I5+s_MLF_carrot)*s_IFCR_far_adj*s_CF_carrot,".")</f>
        <v>1614.5937500000002</v>
      </c>
      <c r="CH5" s="10">
        <f>IFERROR(s_C*(d_ss_Bv!J5+s_MLF_citrus)*s_IFCI_far_adj*s_CF_citrus,".")</f>
        <v>1614.5937500000002</v>
      </c>
      <c r="CI5" s="10">
        <f>IFERROR(s_C*(d_ss_Bv!K5+s_MLF_corn)*s_IFCO_far_adj*s_CF_corn,".")</f>
        <v>1614.5937500000002</v>
      </c>
      <c r="CJ5" s="10">
        <f>IFERROR(s_C*(d_ss_Bv!L5+s_MLF_cucumber)*s_IFCU_far_adj*s_CF_cucumber,".")</f>
        <v>1614.5937500000002</v>
      </c>
      <c r="CK5" s="10">
        <f>IFERROR(s_C*(d_ss_Bv!M5+s_MLF_lettuce)*s_IFLE_far_adj*s_CF_lettuce,".")</f>
        <v>1614.5937500000002</v>
      </c>
      <c r="CL5" s="10">
        <f>IFERROR(s_C*(d_ss_Bv!N5+s_MLF_lima_bean)*s_IFLI_far_adj*s_CF_lima_bean,".")</f>
        <v>1614.5937500000002</v>
      </c>
      <c r="CM5" s="10">
        <f>IFERROR(s_C*(d_ss_Bv!O5+s_MLF_okra)*s_IFOK_far_adj*s_CF_okra,".")</f>
        <v>1614.5937500000002</v>
      </c>
      <c r="CN5" s="10">
        <f>IFERROR(s_C*(d_ss_Bv!P5+s_MLF_onion)*s_IFON_far_adj*s_CF_onion,".")</f>
        <v>1614.5937500000002</v>
      </c>
      <c r="CO5" s="10">
        <f>IFERROR(s_C*(d_ss_Bv!Q5+s_MLF_peach)*s_IFPC_far_adj*s_CF_peach,".")</f>
        <v>1614.5937500000002</v>
      </c>
      <c r="CP5" s="10">
        <f>IFERROR(s_C*(d_ss_Bv!R5+s_MLF_pear)*s_IFPR_far_adj*s_CF_pear,".")</f>
        <v>1614.5937500000002</v>
      </c>
      <c r="CQ5" s="10">
        <f>IFERROR(s_C*(d_ss_Bv!S5+s_MLF_peas)*s_IFPE_far_adj*s_CF_peas,".")</f>
        <v>1614.5937500000002</v>
      </c>
      <c r="CR5" s="10">
        <f>IFERROR(s_C*(d_ss_Bv!T5+s_MLF_potato)*s_IFPT_far_adj*s_CF_potato,".")</f>
        <v>1614.5937500000002</v>
      </c>
      <c r="CS5" s="10">
        <f>IFERROR(s_C*(d_ss_Bv!U5+s_MLF_pumpkin)*s_IFPU_far_adj*s_CF_pumpkin,".")</f>
        <v>1614.5937500000002</v>
      </c>
      <c r="CT5" s="10">
        <f>IFERROR(s_C*(d_ss_Bv!V5+s_MLF_snap_bean)*s_IFSN_far_adj*s_CF_snap_bean,".")</f>
        <v>1614.5937500000002</v>
      </c>
      <c r="CU5" s="10">
        <f>IFERROR(s_C*(d_ss_Bv!W5+s_MLF_strawberry)*s_IFST_far_adj*s_CF_strawberry,".")</f>
        <v>1614.5937500000002</v>
      </c>
      <c r="CV5" s="10">
        <f>IFERROR(s_C*(d_ss_Bv!X5+s_MLF_tomato)*s_IFTO_far_adj*s_CF_tomato,".")</f>
        <v>1614.5937500000002</v>
      </c>
      <c r="CW5" s="10">
        <f>IFERROR(s_C*(d_ss_Bv!Y5+s_MLF_rice)*s_IFRI_far_adj*s_CF_rice,".")</f>
        <v>1614.5937500000002</v>
      </c>
      <c r="CX5" s="10">
        <f>IFERROR(s_C*(d_ss_Bv!Z5+s_MLF_cereal)*s_IFCG_far_adj*s_CF_cereal,".")</f>
        <v>1614.5937500000002</v>
      </c>
    </row>
    <row r="6" spans="1:102" ht="15" customHeight="1" x14ac:dyDescent="0.25">
      <c r="A6" s="31" t="s">
        <v>4</v>
      </c>
      <c r="B6" s="3" t="s">
        <v>1059</v>
      </c>
      <c r="C6" s="2" t="str">
        <f t="shared" si="0"/>
        <v>.</v>
      </c>
      <c r="D6" s="2" t="str">
        <f>IFERROR((s_dir!D6/(d_ss_Bv!C6+s_MLF_apple)),".")</f>
        <v>.</v>
      </c>
      <c r="E6" s="2" t="str">
        <f>IFERROR((s_dir!E6/(d_ss_Bv!D6+s_MLF_asparagus)),".")</f>
        <v>.</v>
      </c>
      <c r="F6" s="2" t="str">
        <f>IFERROR((s_dir!F6/(d_ss_Bv!E6+s_MLF_beet)),".")</f>
        <v>.</v>
      </c>
      <c r="G6" s="2" t="str">
        <f>IFERROR((s_dir!G6/(d_ss_Bv!F6+s_MLF_berries)),".")</f>
        <v>.</v>
      </c>
      <c r="H6" s="2" t="str">
        <f>IFERROR((s_dir!H6/(d_ss_Bv!G6+s_MLF_broccoli)),".")</f>
        <v>.</v>
      </c>
      <c r="I6" s="2" t="str">
        <f>IFERROR((s_dir!I6/(d_ss_Bv!H6+s_MLF_cabbage)),".")</f>
        <v>.</v>
      </c>
      <c r="J6" s="2" t="str">
        <f>IFERROR((s_dir!J6/(d_ss_Bv!I6+s_MLF_carrot)),".")</f>
        <v>.</v>
      </c>
      <c r="K6" s="2" t="str">
        <f>IFERROR((s_dir!K6/(d_ss_Bv!J6+s_MLF_citrus)),".")</f>
        <v>.</v>
      </c>
      <c r="L6" s="2" t="str">
        <f>IFERROR((s_dir!L6/(d_ss_Bv!K6+s_MLF_corn)),".")</f>
        <v>.</v>
      </c>
      <c r="M6" s="2" t="str">
        <f>IFERROR((s_dir!M6/(d_ss_Bv!L6+s_MLF_cucumber)),".")</f>
        <v>.</v>
      </c>
      <c r="N6" s="2" t="str">
        <f>IFERROR((s_dir!N6/(d_ss_Bv!M6+s_MLF_lettuce)),".")</f>
        <v>.</v>
      </c>
      <c r="O6" s="2" t="str">
        <f>IFERROR((s_dir!O6/(d_ss_Bv!N6+s_MLF_lima_bean)),".")</f>
        <v>.</v>
      </c>
      <c r="P6" s="2" t="str">
        <f>IFERROR((s_dir!P6/(d_ss_Bv!O6+s_MLF_okra)),".")</f>
        <v>.</v>
      </c>
      <c r="Q6" s="2" t="str">
        <f>IFERROR((s_dir!Q6/(d_ss_Bv!P6+s_MLF_onion)),".")</f>
        <v>.</v>
      </c>
      <c r="R6" s="2" t="str">
        <f>IFERROR((s_dir!R6/(d_ss_Bv!Q6+s_MLF_peach)),".")</f>
        <v>.</v>
      </c>
      <c r="S6" s="2" t="str">
        <f>IFERROR((s_dir!S6/(d_ss_Bv!R6+s_MLF_pear)),".")</f>
        <v>.</v>
      </c>
      <c r="T6" s="2" t="str">
        <f>IFERROR((s_dir!T6/(d_ss_Bv!S6+s_MLF_peas)),".")</f>
        <v>.</v>
      </c>
      <c r="U6" s="2" t="str">
        <f>IFERROR((s_dir!U6/(d_ss_Bv!T6+s_MLF_potato)),".")</f>
        <v>.</v>
      </c>
      <c r="V6" s="2" t="str">
        <f>IFERROR((s_dir!V6/(d_ss_Bv!U6+s_MLF_pumpkin)),".")</f>
        <v>.</v>
      </c>
      <c r="W6" s="2" t="str">
        <f>IFERROR((s_dir!W6/(d_ss_Bv!V6+s_MLF_snap_bean)),".")</f>
        <v>.</v>
      </c>
      <c r="X6" s="2" t="str">
        <f>IFERROR((s_dir!X6/(d_ss_Bv!W6+s_MLF_strawberry)),".")</f>
        <v>.</v>
      </c>
      <c r="Y6" s="2" t="str">
        <f>IFERROR((s_dir!Y6/(d_ss_Bv!X6+s_MLF_tomato)),".")</f>
        <v>.</v>
      </c>
      <c r="Z6" s="2" t="str">
        <f>IFERROR((s_dir!Z6/(d_ss_Bv!Y6+s_MLF_rice)),".")</f>
        <v>.</v>
      </c>
      <c r="AA6" s="2" t="str">
        <f>IFERROR((s_dir!AA6/(d_ss_Bv!Z6+s_MLF_cereal)),".")</f>
        <v>.</v>
      </c>
      <c r="AB6" s="10">
        <f t="shared" si="1"/>
        <v>396.57749999999999</v>
      </c>
      <c r="AC6" s="10">
        <f>s_C*(d_ss_Bv!C6+s_MLF_apple)*s_IFAP_res_adj*s_CF_apple</f>
        <v>177.71875</v>
      </c>
      <c r="AD6" s="10">
        <f>s_C*(d_ss_Bv!D6+s_MLF_asparagus)*s_IFAS_res_adj*s_CF_asparagus</f>
        <v>139.90625</v>
      </c>
      <c r="AE6" s="10">
        <f>s_C*(d_ss_Bv!E6+s_MLF_beet)*s_IFBT_res_adj*s_CF_beet</f>
        <v>139.90625</v>
      </c>
      <c r="AF6" s="10">
        <f>s_C*(d_ss_Bv!F6+s_MLF_berries)*s_IFBE_res_adj*s_CF_berries</f>
        <v>177.71875</v>
      </c>
      <c r="AG6" s="10">
        <f>s_C*(d_ss_Bv!G6+s_MLF_broccoli)*s_IFBR_res_adj*s_CF_broccoli</f>
        <v>177.71875</v>
      </c>
      <c r="AH6" s="10">
        <f>s_C*(d_ss_Bv!H6+s_MLF_cabbage)*s_IFCB_res_adj*s_CF_cabbage</f>
        <v>139.90625</v>
      </c>
      <c r="AI6" s="10">
        <f>s_C*(d_ss_Bv!I6+s_MLF_carrot)*s_IFCR_res_adj*s_CF_carrot</f>
        <v>139.90625</v>
      </c>
      <c r="AJ6" s="10">
        <f>s_C*(d_ss_Bv!J6+s_MLF_citrus)*s_IFCI_res_adj*s_CF_citrus</f>
        <v>177.71875</v>
      </c>
      <c r="AK6" s="10">
        <f>s_C*(d_ss_Bv!K6+s_MLF_corn)*s_IFCO_res_adj*s_CF_corn</f>
        <v>177.71875</v>
      </c>
      <c r="AL6" s="10">
        <f>s_C*(d_ss_Bv!L6+s_MLF_cucumber)*s_IFCU_res_adj*s_CF_cucumber</f>
        <v>177.71875</v>
      </c>
      <c r="AM6" s="10">
        <f>s_C*(d_ss_Bv!M6+s_MLF_lettuce)*s_IFLE_res_adj*s_CF_lettuce</f>
        <v>139.90625</v>
      </c>
      <c r="AN6" s="10">
        <f>s_C*(d_ss_Bv!N6+s_MLF_lima_bean)*s_IFLI_res_adj*s_CF_lima_bean</f>
        <v>177.71875</v>
      </c>
      <c r="AO6" s="10">
        <f>s_C*(d_ss_Bv!O6+s_MLF_okra)*s_IFOK_res_adj*s_CF_okra</f>
        <v>177.71875</v>
      </c>
      <c r="AP6" s="10">
        <f>s_C*(d_ss_Bv!P6+s_MLF_onion)*s_IFON_res_adj*s_CF_onion</f>
        <v>177.71875</v>
      </c>
      <c r="AQ6" s="10">
        <f>s_C*(d_ss_Bv!Q6+s_MLF_peach)*s_IFPC_res_adj*s_CF_peach</f>
        <v>177.71875</v>
      </c>
      <c r="AR6" s="10">
        <f>s_C*(d_ss_Bv!R6+s_MLF_pear)*s_IFPR_res_adj*s_CF_pear</f>
        <v>177.71875</v>
      </c>
      <c r="AS6" s="10">
        <f>s_C*(d_ss_Bv!S6+s_MLF_peas)*s_IFPE_res_adj*s_CF_peas</f>
        <v>177.71875</v>
      </c>
      <c r="AT6" s="10">
        <f>s_C*(d_ss_Bv!T6+s_MLF_potato)*s_IFPT_res_adj*s_CF_potato</f>
        <v>139.90625</v>
      </c>
      <c r="AU6" s="10">
        <f>s_C*(d_ss_Bv!U6+s_MLF_pumpkin)*s_IFPU_res_adj*s_CF_pumpkin</f>
        <v>177.71875</v>
      </c>
      <c r="AV6" s="10">
        <f>s_C*(d_ss_Bv!V6+s_MLF_snap_bean)*s_IFSN_res_adj*s_CF_snap_bean</f>
        <v>177.71875</v>
      </c>
      <c r="AW6" s="10">
        <f>s_C*(d_ss_Bv!W6+s_MLF_strawberry)*s_IFST_res_adj*s_CF_strawberry</f>
        <v>177.71875</v>
      </c>
      <c r="AX6" s="10">
        <f>s_C*(d_ss_Bv!X6+s_MLF_tomato)*s_IFTO_res_adj*s_CF_tomato</f>
        <v>177.71875</v>
      </c>
      <c r="AY6" s="10">
        <f>s_C*(d_ss_Bv!Y6+s_MLF_rice)*s_IFRI_res_adj*s_CF_rice</f>
        <v>109.2025</v>
      </c>
      <c r="AZ6" s="10">
        <f>s_C*(d_ss_Bv!Z6+s_MLF_cereal)*s_IFCG_res_adj*s_CF_cereal</f>
        <v>109.65624999999999</v>
      </c>
      <c r="BA6" s="2" t="str">
        <f t="shared" si="2"/>
        <v>.</v>
      </c>
      <c r="BB6" s="2" t="str">
        <f>IFERROR((s_dir!AC6/(d_ss_Bv!C6+s_MLF_apple)),".")</f>
        <v>.</v>
      </c>
      <c r="BC6" s="2" t="str">
        <f>IFERROR((s_dir!AD6/(d_ss_Bv!D6+s_MLF_asparagus)),".")</f>
        <v>.</v>
      </c>
      <c r="BD6" s="2" t="str">
        <f>IFERROR((s_dir!AE6/(d_ss_Bv!E6+s_MLF_beet)),".")</f>
        <v>.</v>
      </c>
      <c r="BE6" s="2" t="str">
        <f>IFERROR((s_dir!AF6/(d_ss_Bv!F6+s_MLF_berries)),".")</f>
        <v>.</v>
      </c>
      <c r="BF6" s="2" t="str">
        <f>IFERROR((s_dir!AG6/(d_ss_Bv!G6+s_MLF_broccoli)),".")</f>
        <v>.</v>
      </c>
      <c r="BG6" s="2" t="str">
        <f>IFERROR((s_dir!AH6/(d_ss_Bv!H6+s_MLF_cabbage)),".")</f>
        <v>.</v>
      </c>
      <c r="BH6" s="2" t="str">
        <f>IFERROR((s_dir!AI6/(d_ss_Bv!I6+s_MLF_carrot)),".")</f>
        <v>.</v>
      </c>
      <c r="BI6" s="2" t="str">
        <f>IFERROR((s_dir!AJ6/(d_ss_Bv!J6+s_MLF_citrus)),".")</f>
        <v>.</v>
      </c>
      <c r="BJ6" s="2" t="str">
        <f>IFERROR((s_dir!AK6/(d_ss_Bv!K6+s_MLF_corn)),".")</f>
        <v>.</v>
      </c>
      <c r="BK6" s="2" t="str">
        <f>IFERROR((s_dir!AL6/(d_ss_Bv!L6+s_MLF_cucumber)),".")</f>
        <v>.</v>
      </c>
      <c r="BL6" s="2" t="str">
        <f>IFERROR((s_dir!AM6/(d_ss_Bv!M6+s_MLF_lettuce)),".")</f>
        <v>.</v>
      </c>
      <c r="BM6" s="2" t="str">
        <f>IFERROR((s_dir!AN6/(d_ss_Bv!N6+s_MLF_lima_bean)),".")</f>
        <v>.</v>
      </c>
      <c r="BN6" s="2" t="str">
        <f>IFERROR((s_dir!AO6/(d_ss_Bv!O6+s_MLF_okra)),".")</f>
        <v>.</v>
      </c>
      <c r="BO6" s="2" t="str">
        <f>IFERROR((s_dir!AP6/(d_ss_Bv!P6+s_MLF_onion)),".")</f>
        <v>.</v>
      </c>
      <c r="BP6" s="2" t="str">
        <f>IFERROR((s_dir!AQ6/(d_ss_Bv!Q6+s_MLF_peach)),".")</f>
        <v>.</v>
      </c>
      <c r="BQ6" s="2" t="str">
        <f>IFERROR((s_dir!AR6/(d_ss_Bv!R6+s_MLF_pear)),".")</f>
        <v>.</v>
      </c>
      <c r="BR6" s="2" t="str">
        <f>IFERROR((s_dir!AS6/(d_ss_Bv!S6+s_MLF_peas)),".")</f>
        <v>.</v>
      </c>
      <c r="BS6" s="2" t="str">
        <f>IFERROR((s_dir!AT6/(d_ss_Bv!T6+s_MLF_potato)),".")</f>
        <v>.</v>
      </c>
      <c r="BT6" s="2" t="str">
        <f>IFERROR((s_dir!AU6/(d_ss_Bv!U6+s_MLF_pumpkin)),".")</f>
        <v>.</v>
      </c>
      <c r="BU6" s="2" t="str">
        <f>IFERROR((s_dir!AV6/(d_ss_Bv!V6+s_MLF_snap_bean)),".")</f>
        <v>.</v>
      </c>
      <c r="BV6" s="2" t="str">
        <f>IFERROR((s_dir!AW6/(d_ss_Bv!W6+s_MLF_strawberry)),".")</f>
        <v>.</v>
      </c>
      <c r="BW6" s="2" t="str">
        <f>IFERROR((s_dir!AX6/(d_ss_Bv!X6+s_MLF_tomato)),".")</f>
        <v>.</v>
      </c>
      <c r="BX6" s="2" t="str">
        <f>IFERROR((s_dir!AY6/(d_ss_Bv!Y6+s_MLF_rice)),".")</f>
        <v>.</v>
      </c>
      <c r="BY6" s="2" t="str">
        <f>IFERROR((s_dir!AZ6/(d_ss_Bv!Z6+s_MLF_cereal)),".")</f>
        <v>.</v>
      </c>
      <c r="BZ6" s="10">
        <f t="shared" si="3"/>
        <v>396.57749999999999</v>
      </c>
      <c r="CA6" s="10">
        <f>IFERROR(s_C*(d_ss_Bv!C6+s_MLF_apple)*s_IFAP_far_adj*s_CF_apple,".")</f>
        <v>177.71875</v>
      </c>
      <c r="CB6" s="10">
        <f>IFERROR(s_C*(d_ss_Bv!D6+s_MLF_asparagus)*s_IFAS_far_adj*s_CF_asparagus,".")</f>
        <v>139.90625</v>
      </c>
      <c r="CC6" s="10">
        <f>IFERROR(s_C*(d_ss_Bv!E6+s_MLF_beet)*s_IFBT_far_adj*s_CF_beet,".")</f>
        <v>139.90625</v>
      </c>
      <c r="CD6" s="10">
        <f>IFERROR(s_C*(d_ss_Bv!F6+s_MLF_berries)*s_IFBR_far_adj*s_CF_berries,".")</f>
        <v>177.71875</v>
      </c>
      <c r="CE6" s="10">
        <f>IFERROR(s_C*(d_ss_Bv!G6+s_MLF_broccoli)*s_IFBR_far_adj*s_CF_broccoli,".")</f>
        <v>177.71875</v>
      </c>
      <c r="CF6" s="10">
        <f>IFERROR(s_C*(d_ss_Bv!H6+s_MLF_cabbage)*s_IFCB_far_adj*s_CF_cabbage,".")</f>
        <v>139.90625</v>
      </c>
      <c r="CG6" s="10">
        <f>IFERROR(s_C*(d_ss_Bv!I6+s_MLF_carrot)*s_IFCR_far_adj*s_CF_carrot,".")</f>
        <v>139.90625</v>
      </c>
      <c r="CH6" s="10">
        <f>IFERROR(s_C*(d_ss_Bv!J6+s_MLF_citrus)*s_IFCI_far_adj*s_CF_citrus,".")</f>
        <v>177.71875</v>
      </c>
      <c r="CI6" s="10">
        <f>IFERROR(s_C*(d_ss_Bv!K6+s_MLF_corn)*s_IFCO_far_adj*s_CF_corn,".")</f>
        <v>177.71875</v>
      </c>
      <c r="CJ6" s="10">
        <f>IFERROR(s_C*(d_ss_Bv!L6+s_MLF_cucumber)*s_IFCU_far_adj*s_CF_cucumber,".")</f>
        <v>177.71875</v>
      </c>
      <c r="CK6" s="10">
        <f>IFERROR(s_C*(d_ss_Bv!M6+s_MLF_lettuce)*s_IFLE_far_adj*s_CF_lettuce,".")</f>
        <v>139.90625</v>
      </c>
      <c r="CL6" s="10">
        <f>IFERROR(s_C*(d_ss_Bv!N6+s_MLF_lima_bean)*s_IFLI_far_adj*s_CF_lima_bean,".")</f>
        <v>177.71875</v>
      </c>
      <c r="CM6" s="10">
        <f>IFERROR(s_C*(d_ss_Bv!O6+s_MLF_okra)*s_IFOK_far_adj*s_CF_okra,".")</f>
        <v>177.71875</v>
      </c>
      <c r="CN6" s="10">
        <f>IFERROR(s_C*(d_ss_Bv!P6+s_MLF_onion)*s_IFON_far_adj*s_CF_onion,".")</f>
        <v>177.71875</v>
      </c>
      <c r="CO6" s="10">
        <f>IFERROR(s_C*(d_ss_Bv!Q6+s_MLF_peach)*s_IFPC_far_adj*s_CF_peach,".")</f>
        <v>177.71875</v>
      </c>
      <c r="CP6" s="10">
        <f>IFERROR(s_C*(d_ss_Bv!R6+s_MLF_pear)*s_IFPR_far_adj*s_CF_pear,".")</f>
        <v>177.71875</v>
      </c>
      <c r="CQ6" s="10">
        <f>IFERROR(s_C*(d_ss_Bv!S6+s_MLF_peas)*s_IFPE_far_adj*s_CF_peas,".")</f>
        <v>177.71875</v>
      </c>
      <c r="CR6" s="10">
        <f>IFERROR(s_C*(d_ss_Bv!T6+s_MLF_potato)*s_IFPT_far_adj*s_CF_potato,".")</f>
        <v>139.90625</v>
      </c>
      <c r="CS6" s="10">
        <f>IFERROR(s_C*(d_ss_Bv!U6+s_MLF_pumpkin)*s_IFPU_far_adj*s_CF_pumpkin,".")</f>
        <v>177.71875</v>
      </c>
      <c r="CT6" s="10">
        <f>IFERROR(s_C*(d_ss_Bv!V6+s_MLF_snap_bean)*s_IFSN_far_adj*s_CF_snap_bean,".")</f>
        <v>177.71875</v>
      </c>
      <c r="CU6" s="10">
        <f>IFERROR(s_C*(d_ss_Bv!W6+s_MLF_strawberry)*s_IFST_far_adj*s_CF_strawberry,".")</f>
        <v>177.71875</v>
      </c>
      <c r="CV6" s="10">
        <f>IFERROR(s_C*(d_ss_Bv!X6+s_MLF_tomato)*s_IFTO_far_adj*s_CF_tomato,".")</f>
        <v>177.71875</v>
      </c>
      <c r="CW6" s="10">
        <f>IFERROR(s_C*(d_ss_Bv!Y6+s_MLF_rice)*s_IFRI_far_adj*s_CF_rice,".")</f>
        <v>109.2025</v>
      </c>
      <c r="CX6" s="10">
        <f>IFERROR(s_C*(d_ss_Bv!Z6+s_MLF_cereal)*s_IFCG_far_adj*s_CF_cereal,".")</f>
        <v>109.65624999999999</v>
      </c>
    </row>
    <row r="7" spans="1:102" ht="15" customHeight="1" x14ac:dyDescent="0.25">
      <c r="A7" s="31" t="s">
        <v>5</v>
      </c>
      <c r="B7" s="3" t="s">
        <v>1059</v>
      </c>
      <c r="C7" s="2">
        <f t="shared" si="0"/>
        <v>1457.7507569097479</v>
      </c>
      <c r="D7" s="2">
        <f>IFERROR((s_dir!D7/(d_ss_Bv!C7+s_MLF_apple)),".")</f>
        <v>4373.2522707292437</v>
      </c>
      <c r="E7" s="2">
        <f>IFERROR((s_dir!E7/(d_ss_Bv!D7+s_MLF_asparagus)),".")</f>
        <v>4373.2522707292437</v>
      </c>
      <c r="F7" s="2">
        <f>IFERROR((s_dir!F7/(d_ss_Bv!E7+s_MLF_beet)),".")</f>
        <v>4373.2522707292437</v>
      </c>
      <c r="G7" s="2">
        <f>IFERROR((s_dir!G7/(d_ss_Bv!F7+s_MLF_berries)),".")</f>
        <v>4373.2522707292437</v>
      </c>
      <c r="H7" s="2">
        <f>IFERROR((s_dir!H7/(d_ss_Bv!G7+s_MLF_broccoli)),".")</f>
        <v>4373.2522707292437</v>
      </c>
      <c r="I7" s="2">
        <f>IFERROR((s_dir!I7/(d_ss_Bv!H7+s_MLF_cabbage)),".")</f>
        <v>4373.2522707292437</v>
      </c>
      <c r="J7" s="2">
        <f>IFERROR((s_dir!J7/(d_ss_Bv!I7+s_MLF_carrot)),".")</f>
        <v>4373.2522707292437</v>
      </c>
      <c r="K7" s="2">
        <f>IFERROR((s_dir!K7/(d_ss_Bv!J7+s_MLF_citrus)),".")</f>
        <v>4373.2522707292437</v>
      </c>
      <c r="L7" s="2">
        <f>IFERROR((s_dir!L7/(d_ss_Bv!K7+s_MLF_corn)),".")</f>
        <v>4373.2522707292437</v>
      </c>
      <c r="M7" s="2">
        <f>IFERROR((s_dir!M7/(d_ss_Bv!L7+s_MLF_cucumber)),".")</f>
        <v>4373.2522707292437</v>
      </c>
      <c r="N7" s="2">
        <f>IFERROR((s_dir!N7/(d_ss_Bv!M7+s_MLF_lettuce)),".")</f>
        <v>4373.2522707292437</v>
      </c>
      <c r="O7" s="2">
        <f>IFERROR((s_dir!O7/(d_ss_Bv!N7+s_MLF_lima_bean)),".")</f>
        <v>4373.2522707292437</v>
      </c>
      <c r="P7" s="2">
        <f>IFERROR((s_dir!P7/(d_ss_Bv!O7+s_MLF_okra)),".")</f>
        <v>4373.2522707292437</v>
      </c>
      <c r="Q7" s="2">
        <f>IFERROR((s_dir!Q7/(d_ss_Bv!P7+s_MLF_onion)),".")</f>
        <v>4373.2522707292437</v>
      </c>
      <c r="R7" s="2">
        <f>IFERROR((s_dir!R7/(d_ss_Bv!Q7+s_MLF_peach)),".")</f>
        <v>4373.2522707292437</v>
      </c>
      <c r="S7" s="2">
        <f>IFERROR((s_dir!S7/(d_ss_Bv!R7+s_MLF_pear)),".")</f>
        <v>4373.2522707292437</v>
      </c>
      <c r="T7" s="2">
        <f>IFERROR((s_dir!T7/(d_ss_Bv!S7+s_MLF_peas)),".")</f>
        <v>4373.2522707292437</v>
      </c>
      <c r="U7" s="2">
        <f>IFERROR((s_dir!U7/(d_ss_Bv!T7+s_MLF_potato)),".")</f>
        <v>4373.2522707292437</v>
      </c>
      <c r="V7" s="2">
        <f>IFERROR((s_dir!V7/(d_ss_Bv!U7+s_MLF_pumpkin)),".")</f>
        <v>4373.2522707292437</v>
      </c>
      <c r="W7" s="2">
        <f>IFERROR((s_dir!W7/(d_ss_Bv!V7+s_MLF_snap_bean)),".")</f>
        <v>4373.2522707292437</v>
      </c>
      <c r="X7" s="2">
        <f>IFERROR((s_dir!X7/(d_ss_Bv!W7+s_MLF_strawberry)),".")</f>
        <v>4373.2522707292437</v>
      </c>
      <c r="Y7" s="2">
        <f>IFERROR((s_dir!Y7/(d_ss_Bv!X7+s_MLF_tomato)),".")</f>
        <v>4373.2522707292437</v>
      </c>
      <c r="Z7" s="2">
        <f>IFERROR((s_dir!Z7/(d_ss_Bv!Y7+s_MLF_rice)),".")</f>
        <v>4373.2522707292437</v>
      </c>
      <c r="AA7" s="2">
        <f>IFERROR((s_dir!AA7/(d_ss_Bv!Z7+s_MLF_cereal)),".")</f>
        <v>4373.2522707292437</v>
      </c>
      <c r="AB7" s="10">
        <f t="shared" si="1"/>
        <v>2575.03125</v>
      </c>
      <c r="AC7" s="10">
        <f>s_C*(d_ss_Bv!C7+s_MLF_apple)*s_IFAP_res_adj*s_CF_apple</f>
        <v>858.34375</v>
      </c>
      <c r="AD7" s="10">
        <f>s_C*(d_ss_Bv!D7+s_MLF_asparagus)*s_IFAS_res_adj*s_CF_asparagus</f>
        <v>858.34375</v>
      </c>
      <c r="AE7" s="10">
        <f>s_C*(d_ss_Bv!E7+s_MLF_beet)*s_IFBT_res_adj*s_CF_beet</f>
        <v>858.34375</v>
      </c>
      <c r="AF7" s="10">
        <f>s_C*(d_ss_Bv!F7+s_MLF_berries)*s_IFBE_res_adj*s_CF_berries</f>
        <v>858.34375</v>
      </c>
      <c r="AG7" s="10">
        <f>s_C*(d_ss_Bv!G7+s_MLF_broccoli)*s_IFBR_res_adj*s_CF_broccoli</f>
        <v>858.34375</v>
      </c>
      <c r="AH7" s="10">
        <f>s_C*(d_ss_Bv!H7+s_MLF_cabbage)*s_IFCB_res_adj*s_CF_cabbage</f>
        <v>858.34375</v>
      </c>
      <c r="AI7" s="10">
        <f>s_C*(d_ss_Bv!I7+s_MLF_carrot)*s_IFCR_res_adj*s_CF_carrot</f>
        <v>858.34375</v>
      </c>
      <c r="AJ7" s="10">
        <f>s_C*(d_ss_Bv!J7+s_MLF_citrus)*s_IFCI_res_adj*s_CF_citrus</f>
        <v>858.34375</v>
      </c>
      <c r="AK7" s="10">
        <f>s_C*(d_ss_Bv!K7+s_MLF_corn)*s_IFCO_res_adj*s_CF_corn</f>
        <v>858.34375</v>
      </c>
      <c r="AL7" s="10">
        <f>s_C*(d_ss_Bv!L7+s_MLF_cucumber)*s_IFCU_res_adj*s_CF_cucumber</f>
        <v>858.34375</v>
      </c>
      <c r="AM7" s="10">
        <f>s_C*(d_ss_Bv!M7+s_MLF_lettuce)*s_IFLE_res_adj*s_CF_lettuce</f>
        <v>858.34375</v>
      </c>
      <c r="AN7" s="10">
        <f>s_C*(d_ss_Bv!N7+s_MLF_lima_bean)*s_IFLI_res_adj*s_CF_lima_bean</f>
        <v>858.34375</v>
      </c>
      <c r="AO7" s="10">
        <f>s_C*(d_ss_Bv!O7+s_MLF_okra)*s_IFOK_res_adj*s_CF_okra</f>
        <v>858.34375</v>
      </c>
      <c r="AP7" s="10">
        <f>s_C*(d_ss_Bv!P7+s_MLF_onion)*s_IFON_res_adj*s_CF_onion</f>
        <v>858.34375</v>
      </c>
      <c r="AQ7" s="10">
        <f>s_C*(d_ss_Bv!Q7+s_MLF_peach)*s_IFPC_res_adj*s_CF_peach</f>
        <v>858.34375</v>
      </c>
      <c r="AR7" s="10">
        <f>s_C*(d_ss_Bv!R7+s_MLF_pear)*s_IFPR_res_adj*s_CF_pear</f>
        <v>858.34375</v>
      </c>
      <c r="AS7" s="10">
        <f>s_C*(d_ss_Bv!S7+s_MLF_peas)*s_IFPE_res_adj*s_CF_peas</f>
        <v>858.34375</v>
      </c>
      <c r="AT7" s="10">
        <f>s_C*(d_ss_Bv!T7+s_MLF_potato)*s_IFPT_res_adj*s_CF_potato</f>
        <v>858.34375</v>
      </c>
      <c r="AU7" s="10">
        <f>s_C*(d_ss_Bv!U7+s_MLF_pumpkin)*s_IFPU_res_adj*s_CF_pumpkin</f>
        <v>858.34375</v>
      </c>
      <c r="AV7" s="10">
        <f>s_C*(d_ss_Bv!V7+s_MLF_snap_bean)*s_IFSN_res_adj*s_CF_snap_bean</f>
        <v>858.34375</v>
      </c>
      <c r="AW7" s="10">
        <f>s_C*(d_ss_Bv!W7+s_MLF_strawberry)*s_IFST_res_adj*s_CF_strawberry</f>
        <v>858.34375</v>
      </c>
      <c r="AX7" s="10">
        <f>s_C*(d_ss_Bv!X7+s_MLF_tomato)*s_IFTO_res_adj*s_CF_tomato</f>
        <v>858.34375</v>
      </c>
      <c r="AY7" s="10">
        <f>s_C*(d_ss_Bv!Y7+s_MLF_rice)*s_IFRI_res_adj*s_CF_rice</f>
        <v>858.34375</v>
      </c>
      <c r="AZ7" s="10">
        <f>s_C*(d_ss_Bv!Z7+s_MLF_cereal)*s_IFCG_res_adj*s_CF_cereal</f>
        <v>858.34375</v>
      </c>
      <c r="BA7" s="2">
        <f t="shared" si="2"/>
        <v>1457.7507569097479</v>
      </c>
      <c r="BB7" s="2">
        <f>IFERROR((s_dir!AC7/(d_ss_Bv!C7+s_MLF_apple)),".")</f>
        <v>4373.2522707292437</v>
      </c>
      <c r="BC7" s="2">
        <f>IFERROR((s_dir!AD7/(d_ss_Bv!D7+s_MLF_asparagus)),".")</f>
        <v>4373.2522707292437</v>
      </c>
      <c r="BD7" s="2">
        <f>IFERROR((s_dir!AE7/(d_ss_Bv!E7+s_MLF_beet)),".")</f>
        <v>4373.2522707292437</v>
      </c>
      <c r="BE7" s="2">
        <f>IFERROR((s_dir!AF7/(d_ss_Bv!F7+s_MLF_berries)),".")</f>
        <v>4373.2522707292437</v>
      </c>
      <c r="BF7" s="2">
        <f>IFERROR((s_dir!AG7/(d_ss_Bv!G7+s_MLF_broccoli)),".")</f>
        <v>4373.2522707292437</v>
      </c>
      <c r="BG7" s="2">
        <f>IFERROR((s_dir!AH7/(d_ss_Bv!H7+s_MLF_cabbage)),".")</f>
        <v>4373.2522707292437</v>
      </c>
      <c r="BH7" s="2">
        <f>IFERROR((s_dir!AI7/(d_ss_Bv!I7+s_MLF_carrot)),".")</f>
        <v>4373.2522707292437</v>
      </c>
      <c r="BI7" s="2">
        <f>IFERROR((s_dir!AJ7/(d_ss_Bv!J7+s_MLF_citrus)),".")</f>
        <v>4373.2522707292437</v>
      </c>
      <c r="BJ7" s="2">
        <f>IFERROR((s_dir!AK7/(d_ss_Bv!K7+s_MLF_corn)),".")</f>
        <v>4373.2522707292437</v>
      </c>
      <c r="BK7" s="2">
        <f>IFERROR((s_dir!AL7/(d_ss_Bv!L7+s_MLF_cucumber)),".")</f>
        <v>4373.2522707292437</v>
      </c>
      <c r="BL7" s="2">
        <f>IFERROR((s_dir!AM7/(d_ss_Bv!M7+s_MLF_lettuce)),".")</f>
        <v>4373.2522707292437</v>
      </c>
      <c r="BM7" s="2">
        <f>IFERROR((s_dir!AN7/(d_ss_Bv!N7+s_MLF_lima_bean)),".")</f>
        <v>4373.2522707292437</v>
      </c>
      <c r="BN7" s="2">
        <f>IFERROR((s_dir!AO7/(d_ss_Bv!O7+s_MLF_okra)),".")</f>
        <v>4373.2522707292437</v>
      </c>
      <c r="BO7" s="2">
        <f>IFERROR((s_dir!AP7/(d_ss_Bv!P7+s_MLF_onion)),".")</f>
        <v>4373.2522707292437</v>
      </c>
      <c r="BP7" s="2">
        <f>IFERROR((s_dir!AQ7/(d_ss_Bv!Q7+s_MLF_peach)),".")</f>
        <v>4373.2522707292437</v>
      </c>
      <c r="BQ7" s="2">
        <f>IFERROR((s_dir!AR7/(d_ss_Bv!R7+s_MLF_pear)),".")</f>
        <v>4373.2522707292437</v>
      </c>
      <c r="BR7" s="2">
        <f>IFERROR((s_dir!AS7/(d_ss_Bv!S7+s_MLF_peas)),".")</f>
        <v>4373.2522707292437</v>
      </c>
      <c r="BS7" s="2">
        <f>IFERROR((s_dir!AT7/(d_ss_Bv!T7+s_MLF_potato)),".")</f>
        <v>4373.2522707292437</v>
      </c>
      <c r="BT7" s="2">
        <f>IFERROR((s_dir!AU7/(d_ss_Bv!U7+s_MLF_pumpkin)),".")</f>
        <v>4373.2522707292437</v>
      </c>
      <c r="BU7" s="2">
        <f>IFERROR((s_dir!AV7/(d_ss_Bv!V7+s_MLF_snap_bean)),".")</f>
        <v>4373.2522707292437</v>
      </c>
      <c r="BV7" s="2">
        <f>IFERROR((s_dir!AW7/(d_ss_Bv!W7+s_MLF_strawberry)),".")</f>
        <v>4373.2522707292437</v>
      </c>
      <c r="BW7" s="2">
        <f>IFERROR((s_dir!AX7/(d_ss_Bv!X7+s_MLF_tomato)),".")</f>
        <v>4373.2522707292437</v>
      </c>
      <c r="BX7" s="2">
        <f>IFERROR((s_dir!AY7/(d_ss_Bv!Y7+s_MLF_rice)),".")</f>
        <v>4373.2522707292437</v>
      </c>
      <c r="BY7" s="2">
        <f>IFERROR((s_dir!AZ7/(d_ss_Bv!Z7+s_MLF_cereal)),".")</f>
        <v>4373.2522707292437</v>
      </c>
      <c r="BZ7" s="10">
        <f t="shared" si="3"/>
        <v>2575.03125</v>
      </c>
      <c r="CA7" s="10">
        <f>IFERROR(s_C*(d_ss_Bv!C7+s_MLF_apple)*s_IFAP_far_adj*s_CF_apple,".")</f>
        <v>858.34375</v>
      </c>
      <c r="CB7" s="10">
        <f>IFERROR(s_C*(d_ss_Bv!D7+s_MLF_asparagus)*s_IFAS_far_adj*s_CF_asparagus,".")</f>
        <v>858.34375</v>
      </c>
      <c r="CC7" s="10">
        <f>IFERROR(s_C*(d_ss_Bv!E7+s_MLF_beet)*s_IFBT_far_adj*s_CF_beet,".")</f>
        <v>858.34375</v>
      </c>
      <c r="CD7" s="10">
        <f>IFERROR(s_C*(d_ss_Bv!F7+s_MLF_berries)*s_IFBR_far_adj*s_CF_berries,".")</f>
        <v>858.34375</v>
      </c>
      <c r="CE7" s="10">
        <f>IFERROR(s_C*(d_ss_Bv!G7+s_MLF_broccoli)*s_IFBR_far_adj*s_CF_broccoli,".")</f>
        <v>858.34375</v>
      </c>
      <c r="CF7" s="10">
        <f>IFERROR(s_C*(d_ss_Bv!H7+s_MLF_cabbage)*s_IFCB_far_adj*s_CF_cabbage,".")</f>
        <v>858.34375</v>
      </c>
      <c r="CG7" s="10">
        <f>IFERROR(s_C*(d_ss_Bv!I7+s_MLF_carrot)*s_IFCR_far_adj*s_CF_carrot,".")</f>
        <v>858.34375</v>
      </c>
      <c r="CH7" s="10">
        <f>IFERROR(s_C*(d_ss_Bv!J7+s_MLF_citrus)*s_IFCI_far_adj*s_CF_citrus,".")</f>
        <v>858.34375</v>
      </c>
      <c r="CI7" s="10">
        <f>IFERROR(s_C*(d_ss_Bv!K7+s_MLF_corn)*s_IFCO_far_adj*s_CF_corn,".")</f>
        <v>858.34375</v>
      </c>
      <c r="CJ7" s="10">
        <f>IFERROR(s_C*(d_ss_Bv!L7+s_MLF_cucumber)*s_IFCU_far_adj*s_CF_cucumber,".")</f>
        <v>858.34375</v>
      </c>
      <c r="CK7" s="10">
        <f>IFERROR(s_C*(d_ss_Bv!M7+s_MLF_lettuce)*s_IFLE_far_adj*s_CF_lettuce,".")</f>
        <v>858.34375</v>
      </c>
      <c r="CL7" s="10">
        <f>IFERROR(s_C*(d_ss_Bv!N7+s_MLF_lima_bean)*s_IFLI_far_adj*s_CF_lima_bean,".")</f>
        <v>858.34375</v>
      </c>
      <c r="CM7" s="10">
        <f>IFERROR(s_C*(d_ss_Bv!O7+s_MLF_okra)*s_IFOK_far_adj*s_CF_okra,".")</f>
        <v>858.34375</v>
      </c>
      <c r="CN7" s="10">
        <f>IFERROR(s_C*(d_ss_Bv!P7+s_MLF_onion)*s_IFON_far_adj*s_CF_onion,".")</f>
        <v>858.34375</v>
      </c>
      <c r="CO7" s="10">
        <f>IFERROR(s_C*(d_ss_Bv!Q7+s_MLF_peach)*s_IFPC_far_adj*s_CF_peach,".")</f>
        <v>858.34375</v>
      </c>
      <c r="CP7" s="10">
        <f>IFERROR(s_C*(d_ss_Bv!R7+s_MLF_pear)*s_IFPR_far_adj*s_CF_pear,".")</f>
        <v>858.34375</v>
      </c>
      <c r="CQ7" s="10">
        <f>IFERROR(s_C*(d_ss_Bv!S7+s_MLF_peas)*s_IFPE_far_adj*s_CF_peas,".")</f>
        <v>858.34375</v>
      </c>
      <c r="CR7" s="10">
        <f>IFERROR(s_C*(d_ss_Bv!T7+s_MLF_potato)*s_IFPT_far_adj*s_CF_potato,".")</f>
        <v>858.34375</v>
      </c>
      <c r="CS7" s="10">
        <f>IFERROR(s_C*(d_ss_Bv!U7+s_MLF_pumpkin)*s_IFPU_far_adj*s_CF_pumpkin,".")</f>
        <v>858.34375</v>
      </c>
      <c r="CT7" s="10">
        <f>IFERROR(s_C*(d_ss_Bv!V7+s_MLF_snap_bean)*s_IFSN_far_adj*s_CF_snap_bean,".")</f>
        <v>858.34375</v>
      </c>
      <c r="CU7" s="10">
        <f>IFERROR(s_C*(d_ss_Bv!W7+s_MLF_strawberry)*s_IFST_far_adj*s_CF_strawberry,".")</f>
        <v>858.34375</v>
      </c>
      <c r="CV7" s="10">
        <f>IFERROR(s_C*(d_ss_Bv!X7+s_MLF_tomato)*s_IFTO_far_adj*s_CF_tomato,".")</f>
        <v>858.34375</v>
      </c>
      <c r="CW7" s="10">
        <f>IFERROR(s_C*(d_ss_Bv!Y7+s_MLF_rice)*s_IFRI_far_adj*s_CF_rice,".")</f>
        <v>858.34375</v>
      </c>
      <c r="CX7" s="10">
        <f>IFERROR(s_C*(d_ss_Bv!Z7+s_MLF_cereal)*s_IFCG_far_adj*s_CF_cereal,".")</f>
        <v>858.34375</v>
      </c>
    </row>
    <row r="8" spans="1:102" ht="15" customHeight="1" x14ac:dyDescent="0.25">
      <c r="A8" s="31" t="s">
        <v>6</v>
      </c>
      <c r="B8" s="3" t="s">
        <v>1059</v>
      </c>
      <c r="C8" s="2">
        <f t="shared" si="0"/>
        <v>9790.8632926774098</v>
      </c>
      <c r="D8" s="2">
        <f>IFERROR((s_dir!D8/(d_ss_Bv!C8+s_MLF_apple)),".")</f>
        <v>29372.589878032231</v>
      </c>
      <c r="E8" s="2">
        <f>IFERROR((s_dir!E8/(d_ss_Bv!D8+s_MLF_asparagus)),".")</f>
        <v>29372.589878032231</v>
      </c>
      <c r="F8" s="2">
        <f>IFERROR((s_dir!F8/(d_ss_Bv!E8+s_MLF_beet)),".")</f>
        <v>29372.589878032231</v>
      </c>
      <c r="G8" s="2">
        <f>IFERROR((s_dir!G8/(d_ss_Bv!F8+s_MLF_berries)),".")</f>
        <v>29372.589878032231</v>
      </c>
      <c r="H8" s="2">
        <f>IFERROR((s_dir!H8/(d_ss_Bv!G8+s_MLF_broccoli)),".")</f>
        <v>29372.589878032231</v>
      </c>
      <c r="I8" s="2">
        <f>IFERROR((s_dir!I8/(d_ss_Bv!H8+s_MLF_cabbage)),".")</f>
        <v>29372.589878032231</v>
      </c>
      <c r="J8" s="2">
        <f>IFERROR((s_dir!J8/(d_ss_Bv!I8+s_MLF_carrot)),".")</f>
        <v>29372.589878032231</v>
      </c>
      <c r="K8" s="2">
        <f>IFERROR((s_dir!K8/(d_ss_Bv!J8+s_MLF_citrus)),".")</f>
        <v>29372.589878032231</v>
      </c>
      <c r="L8" s="2">
        <f>IFERROR((s_dir!L8/(d_ss_Bv!K8+s_MLF_corn)),".")</f>
        <v>29372.589878032231</v>
      </c>
      <c r="M8" s="2">
        <f>IFERROR((s_dir!M8/(d_ss_Bv!L8+s_MLF_cucumber)),".")</f>
        <v>29372.589878032231</v>
      </c>
      <c r="N8" s="2">
        <f>IFERROR((s_dir!N8/(d_ss_Bv!M8+s_MLF_lettuce)),".")</f>
        <v>29372.589878032231</v>
      </c>
      <c r="O8" s="2">
        <f>IFERROR((s_dir!O8/(d_ss_Bv!N8+s_MLF_lima_bean)),".")</f>
        <v>29372.589878032231</v>
      </c>
      <c r="P8" s="2">
        <f>IFERROR((s_dir!P8/(d_ss_Bv!O8+s_MLF_okra)),".")</f>
        <v>29372.589878032231</v>
      </c>
      <c r="Q8" s="2">
        <f>IFERROR((s_dir!Q8/(d_ss_Bv!P8+s_MLF_onion)),".")</f>
        <v>29372.589878032231</v>
      </c>
      <c r="R8" s="2">
        <f>IFERROR((s_dir!R8/(d_ss_Bv!Q8+s_MLF_peach)),".")</f>
        <v>29372.589878032231</v>
      </c>
      <c r="S8" s="2">
        <f>IFERROR((s_dir!S8/(d_ss_Bv!R8+s_MLF_pear)),".")</f>
        <v>29372.589878032231</v>
      </c>
      <c r="T8" s="2">
        <f>IFERROR((s_dir!T8/(d_ss_Bv!S8+s_MLF_peas)),".")</f>
        <v>29372.589878032231</v>
      </c>
      <c r="U8" s="2">
        <f>IFERROR((s_dir!U8/(d_ss_Bv!T8+s_MLF_potato)),".")</f>
        <v>29372.589878032231</v>
      </c>
      <c r="V8" s="2">
        <f>IFERROR((s_dir!V8/(d_ss_Bv!U8+s_MLF_pumpkin)),".")</f>
        <v>29372.589878032231</v>
      </c>
      <c r="W8" s="2">
        <f>IFERROR((s_dir!W8/(d_ss_Bv!V8+s_MLF_snap_bean)),".")</f>
        <v>29372.589878032231</v>
      </c>
      <c r="X8" s="2">
        <f>IFERROR((s_dir!X8/(d_ss_Bv!W8+s_MLF_strawberry)),".")</f>
        <v>29372.589878032231</v>
      </c>
      <c r="Y8" s="2">
        <f>IFERROR((s_dir!Y8/(d_ss_Bv!X8+s_MLF_tomato)),".")</f>
        <v>29372.589878032231</v>
      </c>
      <c r="Z8" s="2">
        <f>IFERROR((s_dir!Z8/(d_ss_Bv!Y8+s_MLF_rice)),".")</f>
        <v>29372.589878032231</v>
      </c>
      <c r="AA8" s="2">
        <f>IFERROR((s_dir!AA8/(d_ss_Bv!Z8+s_MLF_cereal)),".")</f>
        <v>29372.589878032231</v>
      </c>
      <c r="AB8" s="10">
        <f t="shared" si="1"/>
        <v>2575.03125</v>
      </c>
      <c r="AC8" s="10">
        <f>s_C*(d_ss_Bv!C8+s_MLF_apple)*s_IFAP_res_adj*s_CF_apple</f>
        <v>858.34375</v>
      </c>
      <c r="AD8" s="10">
        <f>s_C*(d_ss_Bv!D8+s_MLF_asparagus)*s_IFAS_res_adj*s_CF_asparagus</f>
        <v>858.34375</v>
      </c>
      <c r="AE8" s="10">
        <f>s_C*(d_ss_Bv!E8+s_MLF_beet)*s_IFBT_res_adj*s_CF_beet</f>
        <v>858.34375</v>
      </c>
      <c r="AF8" s="10">
        <f>s_C*(d_ss_Bv!F8+s_MLF_berries)*s_IFBE_res_adj*s_CF_berries</f>
        <v>858.34375</v>
      </c>
      <c r="AG8" s="10">
        <f>s_C*(d_ss_Bv!G8+s_MLF_broccoli)*s_IFBR_res_adj*s_CF_broccoli</f>
        <v>858.34375</v>
      </c>
      <c r="AH8" s="10">
        <f>s_C*(d_ss_Bv!H8+s_MLF_cabbage)*s_IFCB_res_adj*s_CF_cabbage</f>
        <v>858.34375</v>
      </c>
      <c r="AI8" s="10">
        <f>s_C*(d_ss_Bv!I8+s_MLF_carrot)*s_IFCR_res_adj*s_CF_carrot</f>
        <v>858.34375</v>
      </c>
      <c r="AJ8" s="10">
        <f>s_C*(d_ss_Bv!J8+s_MLF_citrus)*s_IFCI_res_adj*s_CF_citrus</f>
        <v>858.34375</v>
      </c>
      <c r="AK8" s="10">
        <f>s_C*(d_ss_Bv!K8+s_MLF_corn)*s_IFCO_res_adj*s_CF_corn</f>
        <v>858.34375</v>
      </c>
      <c r="AL8" s="10">
        <f>s_C*(d_ss_Bv!L8+s_MLF_cucumber)*s_IFCU_res_adj*s_CF_cucumber</f>
        <v>858.34375</v>
      </c>
      <c r="AM8" s="10">
        <f>s_C*(d_ss_Bv!M8+s_MLF_lettuce)*s_IFLE_res_adj*s_CF_lettuce</f>
        <v>858.34375</v>
      </c>
      <c r="AN8" s="10">
        <f>s_C*(d_ss_Bv!N8+s_MLF_lima_bean)*s_IFLI_res_adj*s_CF_lima_bean</f>
        <v>858.34375</v>
      </c>
      <c r="AO8" s="10">
        <f>s_C*(d_ss_Bv!O8+s_MLF_okra)*s_IFOK_res_adj*s_CF_okra</f>
        <v>858.34375</v>
      </c>
      <c r="AP8" s="10">
        <f>s_C*(d_ss_Bv!P8+s_MLF_onion)*s_IFON_res_adj*s_CF_onion</f>
        <v>858.34375</v>
      </c>
      <c r="AQ8" s="10">
        <f>s_C*(d_ss_Bv!Q8+s_MLF_peach)*s_IFPC_res_adj*s_CF_peach</f>
        <v>858.34375</v>
      </c>
      <c r="AR8" s="10">
        <f>s_C*(d_ss_Bv!R8+s_MLF_pear)*s_IFPR_res_adj*s_CF_pear</f>
        <v>858.34375</v>
      </c>
      <c r="AS8" s="10">
        <f>s_C*(d_ss_Bv!S8+s_MLF_peas)*s_IFPE_res_adj*s_CF_peas</f>
        <v>858.34375</v>
      </c>
      <c r="AT8" s="10">
        <f>s_C*(d_ss_Bv!T8+s_MLF_potato)*s_IFPT_res_adj*s_CF_potato</f>
        <v>858.34375</v>
      </c>
      <c r="AU8" s="10">
        <f>s_C*(d_ss_Bv!U8+s_MLF_pumpkin)*s_IFPU_res_adj*s_CF_pumpkin</f>
        <v>858.34375</v>
      </c>
      <c r="AV8" s="10">
        <f>s_C*(d_ss_Bv!V8+s_MLF_snap_bean)*s_IFSN_res_adj*s_CF_snap_bean</f>
        <v>858.34375</v>
      </c>
      <c r="AW8" s="10">
        <f>s_C*(d_ss_Bv!W8+s_MLF_strawberry)*s_IFST_res_adj*s_CF_strawberry</f>
        <v>858.34375</v>
      </c>
      <c r="AX8" s="10">
        <f>s_C*(d_ss_Bv!X8+s_MLF_tomato)*s_IFTO_res_adj*s_CF_tomato</f>
        <v>858.34375</v>
      </c>
      <c r="AY8" s="10">
        <f>s_C*(d_ss_Bv!Y8+s_MLF_rice)*s_IFRI_res_adj*s_CF_rice</f>
        <v>858.34375</v>
      </c>
      <c r="AZ8" s="10">
        <f>s_C*(d_ss_Bv!Z8+s_MLF_cereal)*s_IFCG_res_adj*s_CF_cereal</f>
        <v>858.34375</v>
      </c>
      <c r="BA8" s="2">
        <f t="shared" si="2"/>
        <v>9790.8632926774098</v>
      </c>
      <c r="BB8" s="2">
        <f>IFERROR((s_dir!AC8/(d_ss_Bv!C8+s_MLF_apple)),".")</f>
        <v>29372.589878032231</v>
      </c>
      <c r="BC8" s="2">
        <f>IFERROR((s_dir!AD8/(d_ss_Bv!D8+s_MLF_asparagus)),".")</f>
        <v>29372.589878032231</v>
      </c>
      <c r="BD8" s="2">
        <f>IFERROR((s_dir!AE8/(d_ss_Bv!E8+s_MLF_beet)),".")</f>
        <v>29372.589878032231</v>
      </c>
      <c r="BE8" s="2">
        <f>IFERROR((s_dir!AF8/(d_ss_Bv!F8+s_MLF_berries)),".")</f>
        <v>29372.589878032231</v>
      </c>
      <c r="BF8" s="2">
        <f>IFERROR((s_dir!AG8/(d_ss_Bv!G8+s_MLF_broccoli)),".")</f>
        <v>29372.589878032231</v>
      </c>
      <c r="BG8" s="2">
        <f>IFERROR((s_dir!AH8/(d_ss_Bv!H8+s_MLF_cabbage)),".")</f>
        <v>29372.589878032231</v>
      </c>
      <c r="BH8" s="2">
        <f>IFERROR((s_dir!AI8/(d_ss_Bv!I8+s_MLF_carrot)),".")</f>
        <v>29372.589878032231</v>
      </c>
      <c r="BI8" s="2">
        <f>IFERROR((s_dir!AJ8/(d_ss_Bv!J8+s_MLF_citrus)),".")</f>
        <v>29372.589878032231</v>
      </c>
      <c r="BJ8" s="2">
        <f>IFERROR((s_dir!AK8/(d_ss_Bv!K8+s_MLF_corn)),".")</f>
        <v>29372.589878032231</v>
      </c>
      <c r="BK8" s="2">
        <f>IFERROR((s_dir!AL8/(d_ss_Bv!L8+s_MLF_cucumber)),".")</f>
        <v>29372.589878032231</v>
      </c>
      <c r="BL8" s="2">
        <f>IFERROR((s_dir!AM8/(d_ss_Bv!M8+s_MLF_lettuce)),".")</f>
        <v>29372.589878032231</v>
      </c>
      <c r="BM8" s="2">
        <f>IFERROR((s_dir!AN8/(d_ss_Bv!N8+s_MLF_lima_bean)),".")</f>
        <v>29372.589878032231</v>
      </c>
      <c r="BN8" s="2">
        <f>IFERROR((s_dir!AO8/(d_ss_Bv!O8+s_MLF_okra)),".")</f>
        <v>29372.589878032231</v>
      </c>
      <c r="BO8" s="2">
        <f>IFERROR((s_dir!AP8/(d_ss_Bv!P8+s_MLF_onion)),".")</f>
        <v>29372.589878032231</v>
      </c>
      <c r="BP8" s="2">
        <f>IFERROR((s_dir!AQ8/(d_ss_Bv!Q8+s_MLF_peach)),".")</f>
        <v>29372.589878032231</v>
      </c>
      <c r="BQ8" s="2">
        <f>IFERROR((s_dir!AR8/(d_ss_Bv!R8+s_MLF_pear)),".")</f>
        <v>29372.589878032231</v>
      </c>
      <c r="BR8" s="2">
        <f>IFERROR((s_dir!AS8/(d_ss_Bv!S8+s_MLF_peas)),".")</f>
        <v>29372.589878032231</v>
      </c>
      <c r="BS8" s="2">
        <f>IFERROR((s_dir!AT8/(d_ss_Bv!T8+s_MLF_potato)),".")</f>
        <v>29372.589878032231</v>
      </c>
      <c r="BT8" s="2">
        <f>IFERROR((s_dir!AU8/(d_ss_Bv!U8+s_MLF_pumpkin)),".")</f>
        <v>29372.589878032231</v>
      </c>
      <c r="BU8" s="2">
        <f>IFERROR((s_dir!AV8/(d_ss_Bv!V8+s_MLF_snap_bean)),".")</f>
        <v>29372.589878032231</v>
      </c>
      <c r="BV8" s="2">
        <f>IFERROR((s_dir!AW8/(d_ss_Bv!W8+s_MLF_strawberry)),".")</f>
        <v>29372.589878032231</v>
      </c>
      <c r="BW8" s="2">
        <f>IFERROR((s_dir!AX8/(d_ss_Bv!X8+s_MLF_tomato)),".")</f>
        <v>29372.589878032231</v>
      </c>
      <c r="BX8" s="2">
        <f>IFERROR((s_dir!AY8/(d_ss_Bv!Y8+s_MLF_rice)),".")</f>
        <v>29372.589878032231</v>
      </c>
      <c r="BY8" s="2">
        <f>IFERROR((s_dir!AZ8/(d_ss_Bv!Z8+s_MLF_cereal)),".")</f>
        <v>29372.589878032231</v>
      </c>
      <c r="BZ8" s="10">
        <f t="shared" si="3"/>
        <v>2575.03125</v>
      </c>
      <c r="CA8" s="10">
        <f>IFERROR(s_C*(d_ss_Bv!C8+s_MLF_apple)*s_IFAP_far_adj*s_CF_apple,".")</f>
        <v>858.34375</v>
      </c>
      <c r="CB8" s="10">
        <f>IFERROR(s_C*(d_ss_Bv!D8+s_MLF_asparagus)*s_IFAS_far_adj*s_CF_asparagus,".")</f>
        <v>858.34375</v>
      </c>
      <c r="CC8" s="10">
        <f>IFERROR(s_C*(d_ss_Bv!E8+s_MLF_beet)*s_IFBT_far_adj*s_CF_beet,".")</f>
        <v>858.34375</v>
      </c>
      <c r="CD8" s="10">
        <f>IFERROR(s_C*(d_ss_Bv!F8+s_MLF_berries)*s_IFBR_far_adj*s_CF_berries,".")</f>
        <v>858.34375</v>
      </c>
      <c r="CE8" s="10">
        <f>IFERROR(s_C*(d_ss_Bv!G8+s_MLF_broccoli)*s_IFBR_far_adj*s_CF_broccoli,".")</f>
        <v>858.34375</v>
      </c>
      <c r="CF8" s="10">
        <f>IFERROR(s_C*(d_ss_Bv!H8+s_MLF_cabbage)*s_IFCB_far_adj*s_CF_cabbage,".")</f>
        <v>858.34375</v>
      </c>
      <c r="CG8" s="10">
        <f>IFERROR(s_C*(d_ss_Bv!I8+s_MLF_carrot)*s_IFCR_far_adj*s_CF_carrot,".")</f>
        <v>858.34375</v>
      </c>
      <c r="CH8" s="10">
        <f>IFERROR(s_C*(d_ss_Bv!J8+s_MLF_citrus)*s_IFCI_far_adj*s_CF_citrus,".")</f>
        <v>858.34375</v>
      </c>
      <c r="CI8" s="10">
        <f>IFERROR(s_C*(d_ss_Bv!K8+s_MLF_corn)*s_IFCO_far_adj*s_CF_corn,".")</f>
        <v>858.34375</v>
      </c>
      <c r="CJ8" s="10">
        <f>IFERROR(s_C*(d_ss_Bv!L8+s_MLF_cucumber)*s_IFCU_far_adj*s_CF_cucumber,".")</f>
        <v>858.34375</v>
      </c>
      <c r="CK8" s="10">
        <f>IFERROR(s_C*(d_ss_Bv!M8+s_MLF_lettuce)*s_IFLE_far_adj*s_CF_lettuce,".")</f>
        <v>858.34375</v>
      </c>
      <c r="CL8" s="10">
        <f>IFERROR(s_C*(d_ss_Bv!N8+s_MLF_lima_bean)*s_IFLI_far_adj*s_CF_lima_bean,".")</f>
        <v>858.34375</v>
      </c>
      <c r="CM8" s="10">
        <f>IFERROR(s_C*(d_ss_Bv!O8+s_MLF_okra)*s_IFOK_far_adj*s_CF_okra,".")</f>
        <v>858.34375</v>
      </c>
      <c r="CN8" s="10">
        <f>IFERROR(s_C*(d_ss_Bv!P8+s_MLF_onion)*s_IFON_far_adj*s_CF_onion,".")</f>
        <v>858.34375</v>
      </c>
      <c r="CO8" s="10">
        <f>IFERROR(s_C*(d_ss_Bv!Q8+s_MLF_peach)*s_IFPC_far_adj*s_CF_peach,".")</f>
        <v>858.34375</v>
      </c>
      <c r="CP8" s="10">
        <f>IFERROR(s_C*(d_ss_Bv!R8+s_MLF_pear)*s_IFPR_far_adj*s_CF_pear,".")</f>
        <v>858.34375</v>
      </c>
      <c r="CQ8" s="10">
        <f>IFERROR(s_C*(d_ss_Bv!S8+s_MLF_peas)*s_IFPE_far_adj*s_CF_peas,".")</f>
        <v>858.34375</v>
      </c>
      <c r="CR8" s="10">
        <f>IFERROR(s_C*(d_ss_Bv!T8+s_MLF_potato)*s_IFPT_far_adj*s_CF_potato,".")</f>
        <v>858.34375</v>
      </c>
      <c r="CS8" s="10">
        <f>IFERROR(s_C*(d_ss_Bv!U8+s_MLF_pumpkin)*s_IFPU_far_adj*s_CF_pumpkin,".")</f>
        <v>858.34375</v>
      </c>
      <c r="CT8" s="10">
        <f>IFERROR(s_C*(d_ss_Bv!V8+s_MLF_snap_bean)*s_IFSN_far_adj*s_CF_snap_bean,".")</f>
        <v>858.34375</v>
      </c>
      <c r="CU8" s="10">
        <f>IFERROR(s_C*(d_ss_Bv!W8+s_MLF_strawberry)*s_IFST_far_adj*s_CF_strawberry,".")</f>
        <v>858.34375</v>
      </c>
      <c r="CV8" s="10">
        <f>IFERROR(s_C*(d_ss_Bv!X8+s_MLF_tomato)*s_IFTO_far_adj*s_CF_tomato,".")</f>
        <v>858.34375</v>
      </c>
      <c r="CW8" s="10">
        <f>IFERROR(s_C*(d_ss_Bv!Y8+s_MLF_rice)*s_IFRI_far_adj*s_CF_rice,".")</f>
        <v>858.34375</v>
      </c>
      <c r="CX8" s="10">
        <f>IFERROR(s_C*(d_ss_Bv!Z8+s_MLF_cereal)*s_IFCG_far_adj*s_CF_cereal,".")</f>
        <v>858.34375</v>
      </c>
    </row>
    <row r="9" spans="1:102" ht="15" customHeight="1" x14ac:dyDescent="0.25">
      <c r="A9" s="31" t="s">
        <v>7</v>
      </c>
      <c r="B9" s="3" t="s">
        <v>1059</v>
      </c>
      <c r="C9" s="2">
        <f t="shared" si="0"/>
        <v>17610.411828439905</v>
      </c>
      <c r="D9" s="2">
        <f>IFERROR((s_dir!D9/(d_ss_Bv!C9+s_MLF_apple)),".")</f>
        <v>52831.23548531971</v>
      </c>
      <c r="E9" s="2">
        <f>IFERROR((s_dir!E9/(d_ss_Bv!D9+s_MLF_asparagus)),".")</f>
        <v>52831.23548531971</v>
      </c>
      <c r="F9" s="2">
        <f>IFERROR((s_dir!F9/(d_ss_Bv!E9+s_MLF_beet)),".")</f>
        <v>52831.23548531971</v>
      </c>
      <c r="G9" s="2">
        <f>IFERROR((s_dir!G9/(d_ss_Bv!F9+s_MLF_berries)),".")</f>
        <v>52831.23548531971</v>
      </c>
      <c r="H9" s="2">
        <f>IFERROR((s_dir!H9/(d_ss_Bv!G9+s_MLF_broccoli)),".")</f>
        <v>52831.23548531971</v>
      </c>
      <c r="I9" s="2">
        <f>IFERROR((s_dir!I9/(d_ss_Bv!H9+s_MLF_cabbage)),".")</f>
        <v>52831.23548531971</v>
      </c>
      <c r="J9" s="2">
        <f>IFERROR((s_dir!J9/(d_ss_Bv!I9+s_MLF_carrot)),".")</f>
        <v>52831.23548531971</v>
      </c>
      <c r="K9" s="2">
        <f>IFERROR((s_dir!K9/(d_ss_Bv!J9+s_MLF_citrus)),".")</f>
        <v>52831.23548531971</v>
      </c>
      <c r="L9" s="2">
        <f>IFERROR((s_dir!L9/(d_ss_Bv!K9+s_MLF_corn)),".")</f>
        <v>52831.23548531971</v>
      </c>
      <c r="M9" s="2">
        <f>IFERROR((s_dir!M9/(d_ss_Bv!L9+s_MLF_cucumber)),".")</f>
        <v>52831.23548531971</v>
      </c>
      <c r="N9" s="2">
        <f>IFERROR((s_dir!N9/(d_ss_Bv!M9+s_MLF_lettuce)),".")</f>
        <v>52831.23548531971</v>
      </c>
      <c r="O9" s="2">
        <f>IFERROR((s_dir!O9/(d_ss_Bv!N9+s_MLF_lima_bean)),".")</f>
        <v>52831.23548531971</v>
      </c>
      <c r="P9" s="2">
        <f>IFERROR((s_dir!P9/(d_ss_Bv!O9+s_MLF_okra)),".")</f>
        <v>52831.23548531971</v>
      </c>
      <c r="Q9" s="2">
        <f>IFERROR((s_dir!Q9/(d_ss_Bv!P9+s_MLF_onion)),".")</f>
        <v>52831.23548531971</v>
      </c>
      <c r="R9" s="2">
        <f>IFERROR((s_dir!R9/(d_ss_Bv!Q9+s_MLF_peach)),".")</f>
        <v>52831.23548531971</v>
      </c>
      <c r="S9" s="2">
        <f>IFERROR((s_dir!S9/(d_ss_Bv!R9+s_MLF_pear)),".")</f>
        <v>52831.23548531971</v>
      </c>
      <c r="T9" s="2">
        <f>IFERROR((s_dir!T9/(d_ss_Bv!S9+s_MLF_peas)),".")</f>
        <v>52831.23548531971</v>
      </c>
      <c r="U9" s="2">
        <f>IFERROR((s_dir!U9/(d_ss_Bv!T9+s_MLF_potato)),".")</f>
        <v>52831.23548531971</v>
      </c>
      <c r="V9" s="2">
        <f>IFERROR((s_dir!V9/(d_ss_Bv!U9+s_MLF_pumpkin)),".")</f>
        <v>52831.23548531971</v>
      </c>
      <c r="W9" s="2">
        <f>IFERROR((s_dir!W9/(d_ss_Bv!V9+s_MLF_snap_bean)),".")</f>
        <v>52831.23548531971</v>
      </c>
      <c r="X9" s="2">
        <f>IFERROR((s_dir!X9/(d_ss_Bv!W9+s_MLF_strawberry)),".")</f>
        <v>52831.23548531971</v>
      </c>
      <c r="Y9" s="2">
        <f>IFERROR((s_dir!Y9/(d_ss_Bv!X9+s_MLF_tomato)),".")</f>
        <v>52831.23548531971</v>
      </c>
      <c r="Z9" s="2">
        <f>IFERROR((s_dir!Z9/(d_ss_Bv!Y9+s_MLF_rice)),".")</f>
        <v>52831.23548531971</v>
      </c>
      <c r="AA9" s="2">
        <f>IFERROR((s_dir!AA9/(d_ss_Bv!Z9+s_MLF_cereal)),".")</f>
        <v>52831.23548531971</v>
      </c>
      <c r="AB9" s="10">
        <f t="shared" si="1"/>
        <v>2575.03125</v>
      </c>
      <c r="AC9" s="10">
        <f>s_C*(d_ss_Bv!C9+s_MLF_apple)*s_IFAP_res_adj*s_CF_apple</f>
        <v>858.34375</v>
      </c>
      <c r="AD9" s="10">
        <f>s_C*(d_ss_Bv!D9+s_MLF_asparagus)*s_IFAS_res_adj*s_CF_asparagus</f>
        <v>858.34375</v>
      </c>
      <c r="AE9" s="10">
        <f>s_C*(d_ss_Bv!E9+s_MLF_beet)*s_IFBT_res_adj*s_CF_beet</f>
        <v>858.34375</v>
      </c>
      <c r="AF9" s="10">
        <f>s_C*(d_ss_Bv!F9+s_MLF_berries)*s_IFBE_res_adj*s_CF_berries</f>
        <v>858.34375</v>
      </c>
      <c r="AG9" s="10">
        <f>s_C*(d_ss_Bv!G9+s_MLF_broccoli)*s_IFBR_res_adj*s_CF_broccoli</f>
        <v>858.34375</v>
      </c>
      <c r="AH9" s="10">
        <f>s_C*(d_ss_Bv!H9+s_MLF_cabbage)*s_IFCB_res_adj*s_CF_cabbage</f>
        <v>858.34375</v>
      </c>
      <c r="AI9" s="10">
        <f>s_C*(d_ss_Bv!I9+s_MLF_carrot)*s_IFCR_res_adj*s_CF_carrot</f>
        <v>858.34375</v>
      </c>
      <c r="AJ9" s="10">
        <f>s_C*(d_ss_Bv!J9+s_MLF_citrus)*s_IFCI_res_adj*s_CF_citrus</f>
        <v>858.34375</v>
      </c>
      <c r="AK9" s="10">
        <f>s_C*(d_ss_Bv!K9+s_MLF_corn)*s_IFCO_res_adj*s_CF_corn</f>
        <v>858.34375</v>
      </c>
      <c r="AL9" s="10">
        <f>s_C*(d_ss_Bv!L9+s_MLF_cucumber)*s_IFCU_res_adj*s_CF_cucumber</f>
        <v>858.34375</v>
      </c>
      <c r="AM9" s="10">
        <f>s_C*(d_ss_Bv!M9+s_MLF_lettuce)*s_IFLE_res_adj*s_CF_lettuce</f>
        <v>858.34375</v>
      </c>
      <c r="AN9" s="10">
        <f>s_C*(d_ss_Bv!N9+s_MLF_lima_bean)*s_IFLI_res_adj*s_CF_lima_bean</f>
        <v>858.34375</v>
      </c>
      <c r="AO9" s="10">
        <f>s_C*(d_ss_Bv!O9+s_MLF_okra)*s_IFOK_res_adj*s_CF_okra</f>
        <v>858.34375</v>
      </c>
      <c r="AP9" s="10">
        <f>s_C*(d_ss_Bv!P9+s_MLF_onion)*s_IFON_res_adj*s_CF_onion</f>
        <v>858.34375</v>
      </c>
      <c r="AQ9" s="10">
        <f>s_C*(d_ss_Bv!Q9+s_MLF_peach)*s_IFPC_res_adj*s_CF_peach</f>
        <v>858.34375</v>
      </c>
      <c r="AR9" s="10">
        <f>s_C*(d_ss_Bv!R9+s_MLF_pear)*s_IFPR_res_adj*s_CF_pear</f>
        <v>858.34375</v>
      </c>
      <c r="AS9" s="10">
        <f>s_C*(d_ss_Bv!S9+s_MLF_peas)*s_IFPE_res_adj*s_CF_peas</f>
        <v>858.34375</v>
      </c>
      <c r="AT9" s="10">
        <f>s_C*(d_ss_Bv!T9+s_MLF_potato)*s_IFPT_res_adj*s_CF_potato</f>
        <v>858.34375</v>
      </c>
      <c r="AU9" s="10">
        <f>s_C*(d_ss_Bv!U9+s_MLF_pumpkin)*s_IFPU_res_adj*s_CF_pumpkin</f>
        <v>858.34375</v>
      </c>
      <c r="AV9" s="10">
        <f>s_C*(d_ss_Bv!V9+s_MLF_snap_bean)*s_IFSN_res_adj*s_CF_snap_bean</f>
        <v>858.34375</v>
      </c>
      <c r="AW9" s="10">
        <f>s_C*(d_ss_Bv!W9+s_MLF_strawberry)*s_IFST_res_adj*s_CF_strawberry</f>
        <v>858.34375</v>
      </c>
      <c r="AX9" s="10">
        <f>s_C*(d_ss_Bv!X9+s_MLF_tomato)*s_IFTO_res_adj*s_CF_tomato</f>
        <v>858.34375</v>
      </c>
      <c r="AY9" s="10">
        <f>s_C*(d_ss_Bv!Y9+s_MLF_rice)*s_IFRI_res_adj*s_CF_rice</f>
        <v>858.34375</v>
      </c>
      <c r="AZ9" s="10">
        <f>s_C*(d_ss_Bv!Z9+s_MLF_cereal)*s_IFCG_res_adj*s_CF_cereal</f>
        <v>858.34375</v>
      </c>
      <c r="BA9" s="2">
        <f t="shared" si="2"/>
        <v>17610.411828439905</v>
      </c>
      <c r="BB9" s="2">
        <f>IFERROR((s_dir!AC9/(d_ss_Bv!C9+s_MLF_apple)),".")</f>
        <v>52831.23548531971</v>
      </c>
      <c r="BC9" s="2">
        <f>IFERROR((s_dir!AD9/(d_ss_Bv!D9+s_MLF_asparagus)),".")</f>
        <v>52831.23548531971</v>
      </c>
      <c r="BD9" s="2">
        <f>IFERROR((s_dir!AE9/(d_ss_Bv!E9+s_MLF_beet)),".")</f>
        <v>52831.23548531971</v>
      </c>
      <c r="BE9" s="2">
        <f>IFERROR((s_dir!AF9/(d_ss_Bv!F9+s_MLF_berries)),".")</f>
        <v>52831.23548531971</v>
      </c>
      <c r="BF9" s="2">
        <f>IFERROR((s_dir!AG9/(d_ss_Bv!G9+s_MLF_broccoli)),".")</f>
        <v>52831.23548531971</v>
      </c>
      <c r="BG9" s="2">
        <f>IFERROR((s_dir!AH9/(d_ss_Bv!H9+s_MLF_cabbage)),".")</f>
        <v>52831.23548531971</v>
      </c>
      <c r="BH9" s="2">
        <f>IFERROR((s_dir!AI9/(d_ss_Bv!I9+s_MLF_carrot)),".")</f>
        <v>52831.23548531971</v>
      </c>
      <c r="BI9" s="2">
        <f>IFERROR((s_dir!AJ9/(d_ss_Bv!J9+s_MLF_citrus)),".")</f>
        <v>52831.23548531971</v>
      </c>
      <c r="BJ9" s="2">
        <f>IFERROR((s_dir!AK9/(d_ss_Bv!K9+s_MLF_corn)),".")</f>
        <v>52831.23548531971</v>
      </c>
      <c r="BK9" s="2">
        <f>IFERROR((s_dir!AL9/(d_ss_Bv!L9+s_MLF_cucumber)),".")</f>
        <v>52831.23548531971</v>
      </c>
      <c r="BL9" s="2">
        <f>IFERROR((s_dir!AM9/(d_ss_Bv!M9+s_MLF_lettuce)),".")</f>
        <v>52831.23548531971</v>
      </c>
      <c r="BM9" s="2">
        <f>IFERROR((s_dir!AN9/(d_ss_Bv!N9+s_MLF_lima_bean)),".")</f>
        <v>52831.23548531971</v>
      </c>
      <c r="BN9" s="2">
        <f>IFERROR((s_dir!AO9/(d_ss_Bv!O9+s_MLF_okra)),".")</f>
        <v>52831.23548531971</v>
      </c>
      <c r="BO9" s="2">
        <f>IFERROR((s_dir!AP9/(d_ss_Bv!P9+s_MLF_onion)),".")</f>
        <v>52831.23548531971</v>
      </c>
      <c r="BP9" s="2">
        <f>IFERROR((s_dir!AQ9/(d_ss_Bv!Q9+s_MLF_peach)),".")</f>
        <v>52831.23548531971</v>
      </c>
      <c r="BQ9" s="2">
        <f>IFERROR((s_dir!AR9/(d_ss_Bv!R9+s_MLF_pear)),".")</f>
        <v>52831.23548531971</v>
      </c>
      <c r="BR9" s="2">
        <f>IFERROR((s_dir!AS9/(d_ss_Bv!S9+s_MLF_peas)),".")</f>
        <v>52831.23548531971</v>
      </c>
      <c r="BS9" s="2">
        <f>IFERROR((s_dir!AT9/(d_ss_Bv!T9+s_MLF_potato)),".")</f>
        <v>52831.23548531971</v>
      </c>
      <c r="BT9" s="2">
        <f>IFERROR((s_dir!AU9/(d_ss_Bv!U9+s_MLF_pumpkin)),".")</f>
        <v>52831.23548531971</v>
      </c>
      <c r="BU9" s="2">
        <f>IFERROR((s_dir!AV9/(d_ss_Bv!V9+s_MLF_snap_bean)),".")</f>
        <v>52831.23548531971</v>
      </c>
      <c r="BV9" s="2">
        <f>IFERROR((s_dir!AW9/(d_ss_Bv!W9+s_MLF_strawberry)),".")</f>
        <v>52831.23548531971</v>
      </c>
      <c r="BW9" s="2">
        <f>IFERROR((s_dir!AX9/(d_ss_Bv!X9+s_MLF_tomato)),".")</f>
        <v>52831.23548531971</v>
      </c>
      <c r="BX9" s="2">
        <f>IFERROR((s_dir!AY9/(d_ss_Bv!Y9+s_MLF_rice)),".")</f>
        <v>52831.23548531971</v>
      </c>
      <c r="BY9" s="2">
        <f>IFERROR((s_dir!AZ9/(d_ss_Bv!Z9+s_MLF_cereal)),".")</f>
        <v>52831.23548531971</v>
      </c>
      <c r="BZ9" s="10">
        <f t="shared" si="3"/>
        <v>2575.03125</v>
      </c>
      <c r="CA9" s="10">
        <f>IFERROR(s_C*(d_ss_Bv!C9+s_MLF_apple)*s_IFAP_far_adj*s_CF_apple,".")</f>
        <v>858.34375</v>
      </c>
      <c r="CB9" s="10">
        <f>IFERROR(s_C*(d_ss_Bv!D9+s_MLF_asparagus)*s_IFAS_far_adj*s_CF_asparagus,".")</f>
        <v>858.34375</v>
      </c>
      <c r="CC9" s="10">
        <f>IFERROR(s_C*(d_ss_Bv!E9+s_MLF_beet)*s_IFBT_far_adj*s_CF_beet,".")</f>
        <v>858.34375</v>
      </c>
      <c r="CD9" s="10">
        <f>IFERROR(s_C*(d_ss_Bv!F9+s_MLF_berries)*s_IFBR_far_adj*s_CF_berries,".")</f>
        <v>858.34375</v>
      </c>
      <c r="CE9" s="10">
        <f>IFERROR(s_C*(d_ss_Bv!G9+s_MLF_broccoli)*s_IFBR_far_adj*s_CF_broccoli,".")</f>
        <v>858.34375</v>
      </c>
      <c r="CF9" s="10">
        <f>IFERROR(s_C*(d_ss_Bv!H9+s_MLF_cabbage)*s_IFCB_far_adj*s_CF_cabbage,".")</f>
        <v>858.34375</v>
      </c>
      <c r="CG9" s="10">
        <f>IFERROR(s_C*(d_ss_Bv!I9+s_MLF_carrot)*s_IFCR_far_adj*s_CF_carrot,".")</f>
        <v>858.34375</v>
      </c>
      <c r="CH9" s="10">
        <f>IFERROR(s_C*(d_ss_Bv!J9+s_MLF_citrus)*s_IFCI_far_adj*s_CF_citrus,".")</f>
        <v>858.34375</v>
      </c>
      <c r="CI9" s="10">
        <f>IFERROR(s_C*(d_ss_Bv!K9+s_MLF_corn)*s_IFCO_far_adj*s_CF_corn,".")</f>
        <v>858.34375</v>
      </c>
      <c r="CJ9" s="10">
        <f>IFERROR(s_C*(d_ss_Bv!L9+s_MLF_cucumber)*s_IFCU_far_adj*s_CF_cucumber,".")</f>
        <v>858.34375</v>
      </c>
      <c r="CK9" s="10">
        <f>IFERROR(s_C*(d_ss_Bv!M9+s_MLF_lettuce)*s_IFLE_far_adj*s_CF_lettuce,".")</f>
        <v>858.34375</v>
      </c>
      <c r="CL9" s="10">
        <f>IFERROR(s_C*(d_ss_Bv!N9+s_MLF_lima_bean)*s_IFLI_far_adj*s_CF_lima_bean,".")</f>
        <v>858.34375</v>
      </c>
      <c r="CM9" s="10">
        <f>IFERROR(s_C*(d_ss_Bv!O9+s_MLF_okra)*s_IFOK_far_adj*s_CF_okra,".")</f>
        <v>858.34375</v>
      </c>
      <c r="CN9" s="10">
        <f>IFERROR(s_C*(d_ss_Bv!P9+s_MLF_onion)*s_IFON_far_adj*s_CF_onion,".")</f>
        <v>858.34375</v>
      </c>
      <c r="CO9" s="10">
        <f>IFERROR(s_C*(d_ss_Bv!Q9+s_MLF_peach)*s_IFPC_far_adj*s_CF_peach,".")</f>
        <v>858.34375</v>
      </c>
      <c r="CP9" s="10">
        <f>IFERROR(s_C*(d_ss_Bv!R9+s_MLF_pear)*s_IFPR_far_adj*s_CF_pear,".")</f>
        <v>858.34375</v>
      </c>
      <c r="CQ9" s="10">
        <f>IFERROR(s_C*(d_ss_Bv!S9+s_MLF_peas)*s_IFPE_far_adj*s_CF_peas,".")</f>
        <v>858.34375</v>
      </c>
      <c r="CR9" s="10">
        <f>IFERROR(s_C*(d_ss_Bv!T9+s_MLF_potato)*s_IFPT_far_adj*s_CF_potato,".")</f>
        <v>858.34375</v>
      </c>
      <c r="CS9" s="10">
        <f>IFERROR(s_C*(d_ss_Bv!U9+s_MLF_pumpkin)*s_IFPU_far_adj*s_CF_pumpkin,".")</f>
        <v>858.34375</v>
      </c>
      <c r="CT9" s="10">
        <f>IFERROR(s_C*(d_ss_Bv!V9+s_MLF_snap_bean)*s_IFSN_far_adj*s_CF_snap_bean,".")</f>
        <v>858.34375</v>
      </c>
      <c r="CU9" s="10">
        <f>IFERROR(s_C*(d_ss_Bv!W9+s_MLF_strawberry)*s_IFST_far_adj*s_CF_strawberry,".")</f>
        <v>858.34375</v>
      </c>
      <c r="CV9" s="10">
        <f>IFERROR(s_C*(d_ss_Bv!X9+s_MLF_tomato)*s_IFTO_far_adj*s_CF_tomato,".")</f>
        <v>858.34375</v>
      </c>
      <c r="CW9" s="10">
        <f>IFERROR(s_C*(d_ss_Bv!Y9+s_MLF_rice)*s_IFRI_far_adj*s_CF_rice,".")</f>
        <v>858.34375</v>
      </c>
      <c r="CX9" s="10">
        <f>IFERROR(s_C*(d_ss_Bv!Z9+s_MLF_cereal)*s_IFCG_far_adj*s_CF_cereal,".")</f>
        <v>858.34375</v>
      </c>
    </row>
    <row r="10" spans="1:102" x14ac:dyDescent="0.25">
      <c r="A10" s="32" t="s">
        <v>8</v>
      </c>
      <c r="B10" s="3" t="s">
        <v>336</v>
      </c>
      <c r="C10" s="2">
        <f t="shared" si="0"/>
        <v>883.56044548104217</v>
      </c>
      <c r="D10" s="2">
        <f>IFERROR((s_dir!D10/(d_ss_Bv!C10+s_MLF_apple)),".")</f>
        <v>3480.6787911877532</v>
      </c>
      <c r="E10" s="2">
        <f>IFERROR((s_dir!E10/(d_ss_Bv!D10+s_MLF_asparagus)),".")</f>
        <v>913.97415877447122</v>
      </c>
      <c r="F10" s="2">
        <f>IFERROR((s_dir!F10/(d_ss_Bv!E10+s_MLF_beet)),".")</f>
        <v>1210.3982102688942</v>
      </c>
      <c r="G10" s="2">
        <f>IFERROR((s_dir!G10/(d_ss_Bv!F10+s_MLF_berries)),".")</f>
        <v>4306.2244019181817</v>
      </c>
      <c r="H10" s="2">
        <f>IFERROR((s_dir!H10/(d_ss_Bv!G10+s_MLF_broccoli)),".")</f>
        <v>1947.1623382586558</v>
      </c>
      <c r="I10" s="2">
        <f>IFERROR((s_dir!I10/(d_ss_Bv!H10+s_MLF_cabbage)),".")</f>
        <v>913.97415877447122</v>
      </c>
      <c r="J10" s="2">
        <f>IFERROR((s_dir!J10/(d_ss_Bv!I10+s_MLF_carrot)),".")</f>
        <v>1210.3982102688942</v>
      </c>
      <c r="K10" s="2">
        <f>IFERROR((s_dir!K10/(d_ss_Bv!J10+s_MLF_citrus)),".")</f>
        <v>3480.6787911877532</v>
      </c>
      <c r="L10" s="2">
        <f>IFERROR((s_dir!L10/(d_ss_Bv!K10+s_MLF_corn)),".")</f>
        <v>1444.6688316112609</v>
      </c>
      <c r="M10" s="2">
        <f>IFERROR((s_dir!M10/(d_ss_Bv!L10+s_MLF_cucumber)),".")</f>
        <v>1947.1623382586558</v>
      </c>
      <c r="N10" s="2">
        <f>IFERROR((s_dir!N10/(d_ss_Bv!M10+s_MLF_lettuce)),".")</f>
        <v>913.97415877447122</v>
      </c>
      <c r="O10" s="2">
        <f>IFERROR((s_dir!O10/(d_ss_Bv!N10+s_MLF_lima_bean)),".")</f>
        <v>1255.6467414938998</v>
      </c>
      <c r="P10" s="2">
        <f>IFERROR((s_dir!P10/(d_ss_Bv!O10+s_MLF_okra)),".")</f>
        <v>1947.1623382586558</v>
      </c>
      <c r="Q10" s="2">
        <f>IFERROR((s_dir!Q10/(d_ss_Bv!P10+s_MLF_onion)),".")</f>
        <v>1947.1623382586558</v>
      </c>
      <c r="R10" s="2">
        <f>IFERROR((s_dir!R10/(d_ss_Bv!Q10+s_MLF_peach)),".")</f>
        <v>3480.6787911877532</v>
      </c>
      <c r="S10" s="2">
        <f>IFERROR((s_dir!S10/(d_ss_Bv!R10+s_MLF_pear)),".")</f>
        <v>3480.6787911877532</v>
      </c>
      <c r="T10" s="2">
        <f>IFERROR((s_dir!T10/(d_ss_Bv!S10+s_MLF_peas)),".")</f>
        <v>1255.6467414938998</v>
      </c>
      <c r="U10" s="2">
        <f>IFERROR((s_dir!U10/(d_ss_Bv!T10+s_MLF_potato)),".")</f>
        <v>966.57698805645509</v>
      </c>
      <c r="V10" s="2">
        <f>IFERROR((s_dir!V10/(d_ss_Bv!U10+s_MLF_pumpkin)),".")</f>
        <v>1947.1623382586558</v>
      </c>
      <c r="W10" s="2">
        <f>IFERROR((s_dir!W10/(d_ss_Bv!V10+s_MLF_snap_bean)),".")</f>
        <v>1255.6467414938998</v>
      </c>
      <c r="X10" s="2">
        <f>IFERROR((s_dir!X10/(d_ss_Bv!W10+s_MLF_strawberry)),".")</f>
        <v>4096.1646749953443</v>
      </c>
      <c r="Y10" s="2">
        <f>IFERROR((s_dir!Y10/(d_ss_Bv!X10+s_MLF_tomato)),".")</f>
        <v>1947.1623382586558</v>
      </c>
      <c r="Z10" s="2">
        <f>IFERROR((s_dir!Z10/(d_ss_Bv!Y10+s_MLF_rice)),".")</f>
        <v>4720.8081988702488</v>
      </c>
      <c r="AA10" s="2">
        <f>IFERROR((s_dir!AA10/(d_ss_Bv!Z10+s_MLF_cereal)),".")</f>
        <v>1580.6376628217324</v>
      </c>
      <c r="AB10" s="10">
        <f t="shared" si="1"/>
        <v>574.97687500000006</v>
      </c>
      <c r="AC10" s="10">
        <f>s_C*(d_ss_Bv!C10+s_MLF_apple)*s_IFAP_res_adj*s_CF_apple</f>
        <v>145.95624999999998</v>
      </c>
      <c r="AD10" s="10">
        <f>s_C*(d_ss_Bv!D10+s_MLF_asparagus)*s_IFAS_res_adj*s_CF_asparagus</f>
        <v>555.84375</v>
      </c>
      <c r="AE10" s="10">
        <f>s_C*(d_ss_Bv!E10+s_MLF_beet)*s_IFBT_res_adj*s_CF_beet</f>
        <v>419.71875000000006</v>
      </c>
      <c r="AF10" s="10">
        <f>s_C*(d_ss_Bv!F10+s_MLF_berries)*s_IFBE_res_adj*s_CF_berries</f>
        <v>117.97499999999999</v>
      </c>
      <c r="AG10" s="10">
        <f>s_C*(d_ss_Bv!G10+s_MLF_broccoli)*s_IFBR_res_adj*s_CF_broccoli</f>
        <v>260.90625</v>
      </c>
      <c r="AH10" s="10">
        <f>s_C*(d_ss_Bv!H10+s_MLF_cabbage)*s_IFCB_res_adj*s_CF_cabbage</f>
        <v>555.84375</v>
      </c>
      <c r="AI10" s="10">
        <f>s_C*(d_ss_Bv!I10+s_MLF_carrot)*s_IFCR_res_adj*s_CF_carrot</f>
        <v>419.71875000000006</v>
      </c>
      <c r="AJ10" s="10">
        <f>s_C*(d_ss_Bv!J10+s_MLF_citrus)*s_IFCI_res_adj*s_CF_citrus</f>
        <v>145.95624999999998</v>
      </c>
      <c r="AK10" s="10">
        <f>s_C*(d_ss_Bv!K10+s_MLF_corn)*s_IFCO_res_adj*s_CF_corn</f>
        <v>351.65625</v>
      </c>
      <c r="AL10" s="10">
        <f>s_C*(d_ss_Bv!L10+s_MLF_cucumber)*s_IFCU_res_adj*s_CF_cucumber</f>
        <v>260.90625</v>
      </c>
      <c r="AM10" s="10">
        <f>s_C*(d_ss_Bv!M10+s_MLF_lettuce)*s_IFLE_res_adj*s_CF_lettuce</f>
        <v>555.84375</v>
      </c>
      <c r="AN10" s="10">
        <f>s_C*(d_ss_Bv!N10+s_MLF_lima_bean)*s_IFLI_res_adj*s_CF_lima_bean</f>
        <v>404.59375</v>
      </c>
      <c r="AO10" s="10">
        <f>s_C*(d_ss_Bv!O10+s_MLF_okra)*s_IFOK_res_adj*s_CF_okra</f>
        <v>260.90625</v>
      </c>
      <c r="AP10" s="10">
        <f>s_C*(d_ss_Bv!P10+s_MLF_onion)*s_IFON_res_adj*s_CF_onion</f>
        <v>260.90625</v>
      </c>
      <c r="AQ10" s="10">
        <f>s_C*(d_ss_Bv!Q10+s_MLF_peach)*s_IFPC_res_adj*s_CF_peach</f>
        <v>145.95624999999998</v>
      </c>
      <c r="AR10" s="10">
        <f>s_C*(d_ss_Bv!R10+s_MLF_pear)*s_IFPR_res_adj*s_CF_pear</f>
        <v>145.95624999999998</v>
      </c>
      <c r="AS10" s="10">
        <f>s_C*(d_ss_Bv!S10+s_MLF_peas)*s_IFPE_res_adj*s_CF_peas</f>
        <v>404.59375</v>
      </c>
      <c r="AT10" s="10">
        <f>s_C*(d_ss_Bv!T10+s_MLF_potato)*s_IFPT_res_adj*s_CF_potato</f>
        <v>525.59375</v>
      </c>
      <c r="AU10" s="10">
        <f>s_C*(d_ss_Bv!U10+s_MLF_pumpkin)*s_IFPU_res_adj*s_CF_pumpkin</f>
        <v>260.90625</v>
      </c>
      <c r="AV10" s="10">
        <f>s_C*(d_ss_Bv!V10+s_MLF_snap_bean)*s_IFSN_res_adj*s_CF_snap_bean</f>
        <v>404.59375</v>
      </c>
      <c r="AW10" s="10">
        <f>s_C*(d_ss_Bv!W10+s_MLF_strawberry)*s_IFST_res_adj*s_CF_strawberry</f>
        <v>124.02499999999998</v>
      </c>
      <c r="AX10" s="10">
        <f>s_C*(d_ss_Bv!X10+s_MLF_tomato)*s_IFTO_res_adj*s_CF_tomato</f>
        <v>260.90625</v>
      </c>
      <c r="AY10" s="10">
        <f>s_C*(d_ss_Bv!Y10+s_MLF_rice)*s_IFRI_res_adj*s_CF_rice</f>
        <v>107.61437499999998</v>
      </c>
      <c r="AZ10" s="10">
        <f>s_C*(d_ss_Bv!Z10+s_MLF_cereal)*s_IFCG_res_adj*s_CF_cereal</f>
        <v>321.40625000000006</v>
      </c>
      <c r="BA10" s="2">
        <f t="shared" si="2"/>
        <v>883.56044548104217</v>
      </c>
      <c r="BB10" s="2">
        <f>IFERROR((s_dir!AC10/(d_ss_Bv!C10+s_MLF_apple)),".")</f>
        <v>3480.6787911877532</v>
      </c>
      <c r="BC10" s="2">
        <f>IFERROR((s_dir!AD10/(d_ss_Bv!D10+s_MLF_asparagus)),".")</f>
        <v>913.97415877447122</v>
      </c>
      <c r="BD10" s="2">
        <f>IFERROR((s_dir!AE10/(d_ss_Bv!E10+s_MLF_beet)),".")</f>
        <v>1210.3982102688942</v>
      </c>
      <c r="BE10" s="2">
        <f>IFERROR((s_dir!AF10/(d_ss_Bv!F10+s_MLF_berries)),".")</f>
        <v>4306.2244019181817</v>
      </c>
      <c r="BF10" s="2">
        <f>IFERROR((s_dir!AG10/(d_ss_Bv!G10+s_MLF_broccoli)),".")</f>
        <v>1947.1623382586558</v>
      </c>
      <c r="BG10" s="2">
        <f>IFERROR((s_dir!AH10/(d_ss_Bv!H10+s_MLF_cabbage)),".")</f>
        <v>913.97415877447122</v>
      </c>
      <c r="BH10" s="2">
        <f>IFERROR((s_dir!AI10/(d_ss_Bv!I10+s_MLF_carrot)),".")</f>
        <v>1210.3982102688942</v>
      </c>
      <c r="BI10" s="2">
        <f>IFERROR((s_dir!AJ10/(d_ss_Bv!J10+s_MLF_citrus)),".")</f>
        <v>3480.6787911877532</v>
      </c>
      <c r="BJ10" s="2">
        <f>IFERROR((s_dir!AK10/(d_ss_Bv!K10+s_MLF_corn)),".")</f>
        <v>1444.6688316112609</v>
      </c>
      <c r="BK10" s="2">
        <f>IFERROR((s_dir!AL10/(d_ss_Bv!L10+s_MLF_cucumber)),".")</f>
        <v>1947.1623382586558</v>
      </c>
      <c r="BL10" s="2">
        <f>IFERROR((s_dir!AM10/(d_ss_Bv!M10+s_MLF_lettuce)),".")</f>
        <v>913.97415877447122</v>
      </c>
      <c r="BM10" s="2">
        <f>IFERROR((s_dir!AN10/(d_ss_Bv!N10+s_MLF_lima_bean)),".")</f>
        <v>1255.6467414938998</v>
      </c>
      <c r="BN10" s="2">
        <f>IFERROR((s_dir!AO10/(d_ss_Bv!O10+s_MLF_okra)),".")</f>
        <v>1947.1623382586558</v>
      </c>
      <c r="BO10" s="2">
        <f>IFERROR((s_dir!AP10/(d_ss_Bv!P10+s_MLF_onion)),".")</f>
        <v>1947.1623382586558</v>
      </c>
      <c r="BP10" s="2">
        <f>IFERROR((s_dir!AQ10/(d_ss_Bv!Q10+s_MLF_peach)),".")</f>
        <v>3480.6787911877532</v>
      </c>
      <c r="BQ10" s="2">
        <f>IFERROR((s_dir!AR10/(d_ss_Bv!R10+s_MLF_pear)),".")</f>
        <v>3480.6787911877532</v>
      </c>
      <c r="BR10" s="2">
        <f>IFERROR((s_dir!AS10/(d_ss_Bv!S10+s_MLF_peas)),".")</f>
        <v>1255.6467414938998</v>
      </c>
      <c r="BS10" s="2">
        <f>IFERROR((s_dir!AT10/(d_ss_Bv!T10+s_MLF_potato)),".")</f>
        <v>966.57698805645509</v>
      </c>
      <c r="BT10" s="2">
        <f>IFERROR((s_dir!AU10/(d_ss_Bv!U10+s_MLF_pumpkin)),".")</f>
        <v>1947.1623382586558</v>
      </c>
      <c r="BU10" s="2">
        <f>IFERROR((s_dir!AV10/(d_ss_Bv!V10+s_MLF_snap_bean)),".")</f>
        <v>1255.6467414938998</v>
      </c>
      <c r="BV10" s="2">
        <f>IFERROR((s_dir!AW10/(d_ss_Bv!W10+s_MLF_strawberry)),".")</f>
        <v>4096.1646749953443</v>
      </c>
      <c r="BW10" s="2">
        <f>IFERROR((s_dir!AX10/(d_ss_Bv!X10+s_MLF_tomato)),".")</f>
        <v>1947.1623382586558</v>
      </c>
      <c r="BX10" s="2">
        <f>IFERROR((s_dir!AY10/(d_ss_Bv!Y10+s_MLF_rice)),".")</f>
        <v>4720.8081988702488</v>
      </c>
      <c r="BY10" s="2">
        <f>IFERROR((s_dir!AZ10/(d_ss_Bv!Z10+s_MLF_cereal)),".")</f>
        <v>1580.6376628217324</v>
      </c>
      <c r="BZ10" s="10">
        <f t="shared" si="3"/>
        <v>574.97687500000006</v>
      </c>
      <c r="CA10" s="10">
        <f>IFERROR(s_C*(d_ss_Bv!C10+s_MLF_apple)*s_IFAP_far_adj*s_CF_apple,".")</f>
        <v>145.95624999999998</v>
      </c>
      <c r="CB10" s="10">
        <f>IFERROR(s_C*(d_ss_Bv!D10+s_MLF_asparagus)*s_IFAS_far_adj*s_CF_asparagus,".")</f>
        <v>555.84375</v>
      </c>
      <c r="CC10" s="10">
        <f>IFERROR(s_C*(d_ss_Bv!E10+s_MLF_beet)*s_IFBT_far_adj*s_CF_beet,".")</f>
        <v>419.71875000000006</v>
      </c>
      <c r="CD10" s="10">
        <f>IFERROR(s_C*(d_ss_Bv!F10+s_MLF_berries)*s_IFBR_far_adj*s_CF_berries,".")</f>
        <v>117.97499999999999</v>
      </c>
      <c r="CE10" s="10">
        <f>IFERROR(s_C*(d_ss_Bv!G10+s_MLF_broccoli)*s_IFBR_far_adj*s_CF_broccoli,".")</f>
        <v>260.90625</v>
      </c>
      <c r="CF10" s="10">
        <f>IFERROR(s_C*(d_ss_Bv!H10+s_MLF_cabbage)*s_IFCB_far_adj*s_CF_cabbage,".")</f>
        <v>555.84375</v>
      </c>
      <c r="CG10" s="10">
        <f>IFERROR(s_C*(d_ss_Bv!I10+s_MLF_carrot)*s_IFCR_far_adj*s_CF_carrot,".")</f>
        <v>419.71875000000006</v>
      </c>
      <c r="CH10" s="10">
        <f>IFERROR(s_C*(d_ss_Bv!J10+s_MLF_citrus)*s_IFCI_far_adj*s_CF_citrus,".")</f>
        <v>145.95624999999998</v>
      </c>
      <c r="CI10" s="10">
        <f>IFERROR(s_C*(d_ss_Bv!K10+s_MLF_corn)*s_IFCO_far_adj*s_CF_corn,".")</f>
        <v>351.65625</v>
      </c>
      <c r="CJ10" s="10">
        <f>IFERROR(s_C*(d_ss_Bv!L10+s_MLF_cucumber)*s_IFCU_far_adj*s_CF_cucumber,".")</f>
        <v>260.90625</v>
      </c>
      <c r="CK10" s="10">
        <f>IFERROR(s_C*(d_ss_Bv!M10+s_MLF_lettuce)*s_IFLE_far_adj*s_CF_lettuce,".")</f>
        <v>555.84375</v>
      </c>
      <c r="CL10" s="10">
        <f>IFERROR(s_C*(d_ss_Bv!N10+s_MLF_lima_bean)*s_IFLI_far_adj*s_CF_lima_bean,".")</f>
        <v>404.59375</v>
      </c>
      <c r="CM10" s="10">
        <f>IFERROR(s_C*(d_ss_Bv!O10+s_MLF_okra)*s_IFOK_far_adj*s_CF_okra,".")</f>
        <v>260.90625</v>
      </c>
      <c r="CN10" s="10">
        <f>IFERROR(s_C*(d_ss_Bv!P10+s_MLF_onion)*s_IFON_far_adj*s_CF_onion,".")</f>
        <v>260.90625</v>
      </c>
      <c r="CO10" s="10">
        <f>IFERROR(s_C*(d_ss_Bv!Q10+s_MLF_peach)*s_IFPC_far_adj*s_CF_peach,".")</f>
        <v>145.95624999999998</v>
      </c>
      <c r="CP10" s="10">
        <f>IFERROR(s_C*(d_ss_Bv!R10+s_MLF_pear)*s_IFPR_far_adj*s_CF_pear,".")</f>
        <v>145.95624999999998</v>
      </c>
      <c r="CQ10" s="10">
        <f>IFERROR(s_C*(d_ss_Bv!S10+s_MLF_peas)*s_IFPE_far_adj*s_CF_peas,".")</f>
        <v>404.59375</v>
      </c>
      <c r="CR10" s="10">
        <f>IFERROR(s_C*(d_ss_Bv!T10+s_MLF_potato)*s_IFPT_far_adj*s_CF_potato,".")</f>
        <v>525.59375</v>
      </c>
      <c r="CS10" s="10">
        <f>IFERROR(s_C*(d_ss_Bv!U10+s_MLF_pumpkin)*s_IFPU_far_adj*s_CF_pumpkin,".")</f>
        <v>260.90625</v>
      </c>
      <c r="CT10" s="10">
        <f>IFERROR(s_C*(d_ss_Bv!V10+s_MLF_snap_bean)*s_IFSN_far_adj*s_CF_snap_bean,".")</f>
        <v>404.59375</v>
      </c>
      <c r="CU10" s="10">
        <f>IFERROR(s_C*(d_ss_Bv!W10+s_MLF_strawberry)*s_IFST_far_adj*s_CF_strawberry,".")</f>
        <v>124.02499999999998</v>
      </c>
      <c r="CV10" s="10">
        <f>IFERROR(s_C*(d_ss_Bv!X10+s_MLF_tomato)*s_IFTO_far_adj*s_CF_tomato,".")</f>
        <v>260.90625</v>
      </c>
      <c r="CW10" s="10">
        <f>IFERROR(s_C*(d_ss_Bv!Y10+s_MLF_rice)*s_IFRI_far_adj*s_CF_rice,".")</f>
        <v>107.61437499999998</v>
      </c>
      <c r="CX10" s="10">
        <f>IFERROR(s_C*(d_ss_Bv!Z10+s_MLF_cereal)*s_IFCG_far_adj*s_CF_cereal,".")</f>
        <v>321.40625000000006</v>
      </c>
    </row>
    <row r="11" spans="1:102" ht="15" customHeight="1" x14ac:dyDescent="0.25">
      <c r="A11" s="31" t="s">
        <v>9</v>
      </c>
      <c r="B11" s="3" t="s">
        <v>1059</v>
      </c>
      <c r="C11" s="2" t="str">
        <f t="shared" si="0"/>
        <v>.</v>
      </c>
      <c r="D11" s="2" t="str">
        <f>IFERROR((s_dir!D11/(d_ss_Bv!C11+s_MLF_apple)),".")</f>
        <v>.</v>
      </c>
      <c r="E11" s="2" t="str">
        <f>IFERROR((s_dir!E11/(d_ss_Bv!D11+s_MLF_asparagus)),".")</f>
        <v>.</v>
      </c>
      <c r="F11" s="2" t="str">
        <f>IFERROR((s_dir!F11/(d_ss_Bv!E11+s_MLF_beet)),".")</f>
        <v>.</v>
      </c>
      <c r="G11" s="2" t="str">
        <f>IFERROR((s_dir!G11/(d_ss_Bv!F11+s_MLF_berries)),".")</f>
        <v>.</v>
      </c>
      <c r="H11" s="2" t="str">
        <f>IFERROR((s_dir!H11/(d_ss_Bv!G11+s_MLF_broccoli)),".")</f>
        <v>.</v>
      </c>
      <c r="I11" s="2" t="str">
        <f>IFERROR((s_dir!I11/(d_ss_Bv!H11+s_MLF_cabbage)),".")</f>
        <v>.</v>
      </c>
      <c r="J11" s="2" t="str">
        <f>IFERROR((s_dir!J11/(d_ss_Bv!I11+s_MLF_carrot)),".")</f>
        <v>.</v>
      </c>
      <c r="K11" s="2" t="str">
        <f>IFERROR((s_dir!K11/(d_ss_Bv!J11+s_MLF_citrus)),".")</f>
        <v>.</v>
      </c>
      <c r="L11" s="2" t="str">
        <f>IFERROR((s_dir!L11/(d_ss_Bv!K11+s_MLF_corn)),".")</f>
        <v>.</v>
      </c>
      <c r="M11" s="2" t="str">
        <f>IFERROR((s_dir!M11/(d_ss_Bv!L11+s_MLF_cucumber)),".")</f>
        <v>.</v>
      </c>
      <c r="N11" s="2" t="str">
        <f>IFERROR((s_dir!N11/(d_ss_Bv!M11+s_MLF_lettuce)),".")</f>
        <v>.</v>
      </c>
      <c r="O11" s="2" t="str">
        <f>IFERROR((s_dir!O11/(d_ss_Bv!N11+s_MLF_lima_bean)),".")</f>
        <v>.</v>
      </c>
      <c r="P11" s="2" t="str">
        <f>IFERROR((s_dir!P11/(d_ss_Bv!O11+s_MLF_okra)),".")</f>
        <v>.</v>
      </c>
      <c r="Q11" s="2" t="str">
        <f>IFERROR((s_dir!Q11/(d_ss_Bv!P11+s_MLF_onion)),".")</f>
        <v>.</v>
      </c>
      <c r="R11" s="2" t="str">
        <f>IFERROR((s_dir!R11/(d_ss_Bv!Q11+s_MLF_peach)),".")</f>
        <v>.</v>
      </c>
      <c r="S11" s="2" t="str">
        <f>IFERROR((s_dir!S11/(d_ss_Bv!R11+s_MLF_pear)),".")</f>
        <v>.</v>
      </c>
      <c r="T11" s="2" t="str">
        <f>IFERROR((s_dir!T11/(d_ss_Bv!S11+s_MLF_peas)),".")</f>
        <v>.</v>
      </c>
      <c r="U11" s="2" t="str">
        <f>IFERROR((s_dir!U11/(d_ss_Bv!T11+s_MLF_potato)),".")</f>
        <v>.</v>
      </c>
      <c r="V11" s="2" t="str">
        <f>IFERROR((s_dir!V11/(d_ss_Bv!U11+s_MLF_pumpkin)),".")</f>
        <v>.</v>
      </c>
      <c r="W11" s="2" t="str">
        <f>IFERROR((s_dir!W11/(d_ss_Bv!V11+s_MLF_snap_bean)),".")</f>
        <v>.</v>
      </c>
      <c r="X11" s="2" t="str">
        <f>IFERROR((s_dir!X11/(d_ss_Bv!W11+s_MLF_strawberry)),".")</f>
        <v>.</v>
      </c>
      <c r="Y11" s="2" t="str">
        <f>IFERROR((s_dir!Y11/(d_ss_Bv!X11+s_MLF_tomato)),".")</f>
        <v>.</v>
      </c>
      <c r="Z11" s="2" t="str">
        <f>IFERROR((s_dir!Z11/(d_ss_Bv!Y11+s_MLF_rice)),".")</f>
        <v>.</v>
      </c>
      <c r="AA11" s="2" t="str">
        <f>IFERROR((s_dir!AA11/(d_ss_Bv!Z11+s_MLF_cereal)),".")</f>
        <v>.</v>
      </c>
      <c r="AB11" s="10">
        <f t="shared" si="1"/>
        <v>986.90624999999977</v>
      </c>
      <c r="AC11" s="10">
        <f>s_C*(d_ss_Bv!C11+s_MLF_apple)*s_IFAP_res_adj*s_CF_apple</f>
        <v>328.96874999999994</v>
      </c>
      <c r="AD11" s="10">
        <f>s_C*(d_ss_Bv!D11+s_MLF_asparagus)*s_IFAS_res_adj*s_CF_asparagus</f>
        <v>328.96874999999994</v>
      </c>
      <c r="AE11" s="10">
        <f>s_C*(d_ss_Bv!E11+s_MLF_beet)*s_IFBT_res_adj*s_CF_beet</f>
        <v>328.96874999999994</v>
      </c>
      <c r="AF11" s="10">
        <f>s_C*(d_ss_Bv!F11+s_MLF_berries)*s_IFBE_res_adj*s_CF_berries</f>
        <v>328.96874999999994</v>
      </c>
      <c r="AG11" s="10">
        <f>s_C*(d_ss_Bv!G11+s_MLF_broccoli)*s_IFBR_res_adj*s_CF_broccoli</f>
        <v>328.96874999999994</v>
      </c>
      <c r="AH11" s="10">
        <f>s_C*(d_ss_Bv!H11+s_MLF_cabbage)*s_IFCB_res_adj*s_CF_cabbage</f>
        <v>328.96874999999994</v>
      </c>
      <c r="AI11" s="10">
        <f>s_C*(d_ss_Bv!I11+s_MLF_carrot)*s_IFCR_res_adj*s_CF_carrot</f>
        <v>328.96874999999994</v>
      </c>
      <c r="AJ11" s="10">
        <f>s_C*(d_ss_Bv!J11+s_MLF_citrus)*s_IFCI_res_adj*s_CF_citrus</f>
        <v>328.96874999999994</v>
      </c>
      <c r="AK11" s="10">
        <f>s_C*(d_ss_Bv!K11+s_MLF_corn)*s_IFCO_res_adj*s_CF_corn</f>
        <v>328.96874999999994</v>
      </c>
      <c r="AL11" s="10">
        <f>s_C*(d_ss_Bv!L11+s_MLF_cucumber)*s_IFCU_res_adj*s_CF_cucumber</f>
        <v>328.96874999999994</v>
      </c>
      <c r="AM11" s="10">
        <f>s_C*(d_ss_Bv!M11+s_MLF_lettuce)*s_IFLE_res_adj*s_CF_lettuce</f>
        <v>328.96874999999994</v>
      </c>
      <c r="AN11" s="10">
        <f>s_C*(d_ss_Bv!N11+s_MLF_lima_bean)*s_IFLI_res_adj*s_CF_lima_bean</f>
        <v>328.96874999999994</v>
      </c>
      <c r="AO11" s="10">
        <f>s_C*(d_ss_Bv!O11+s_MLF_okra)*s_IFOK_res_adj*s_CF_okra</f>
        <v>328.96874999999994</v>
      </c>
      <c r="AP11" s="10">
        <f>s_C*(d_ss_Bv!P11+s_MLF_onion)*s_IFON_res_adj*s_CF_onion</f>
        <v>328.96874999999994</v>
      </c>
      <c r="AQ11" s="10">
        <f>s_C*(d_ss_Bv!Q11+s_MLF_peach)*s_IFPC_res_adj*s_CF_peach</f>
        <v>328.96874999999994</v>
      </c>
      <c r="AR11" s="10">
        <f>s_C*(d_ss_Bv!R11+s_MLF_pear)*s_IFPR_res_adj*s_CF_pear</f>
        <v>328.96874999999994</v>
      </c>
      <c r="AS11" s="10">
        <f>s_C*(d_ss_Bv!S11+s_MLF_peas)*s_IFPE_res_adj*s_CF_peas</f>
        <v>328.96874999999994</v>
      </c>
      <c r="AT11" s="10">
        <f>s_C*(d_ss_Bv!T11+s_MLF_potato)*s_IFPT_res_adj*s_CF_potato</f>
        <v>328.96874999999994</v>
      </c>
      <c r="AU11" s="10">
        <f>s_C*(d_ss_Bv!U11+s_MLF_pumpkin)*s_IFPU_res_adj*s_CF_pumpkin</f>
        <v>328.96874999999994</v>
      </c>
      <c r="AV11" s="10">
        <f>s_C*(d_ss_Bv!V11+s_MLF_snap_bean)*s_IFSN_res_adj*s_CF_snap_bean</f>
        <v>328.96874999999994</v>
      </c>
      <c r="AW11" s="10">
        <f>s_C*(d_ss_Bv!W11+s_MLF_strawberry)*s_IFST_res_adj*s_CF_strawberry</f>
        <v>328.96874999999994</v>
      </c>
      <c r="AX11" s="10">
        <f>s_C*(d_ss_Bv!X11+s_MLF_tomato)*s_IFTO_res_adj*s_CF_tomato</f>
        <v>328.96874999999994</v>
      </c>
      <c r="AY11" s="10">
        <f>s_C*(d_ss_Bv!Y11+s_MLF_rice)*s_IFRI_res_adj*s_CF_rice</f>
        <v>328.96874999999994</v>
      </c>
      <c r="AZ11" s="10">
        <f>s_C*(d_ss_Bv!Z11+s_MLF_cereal)*s_IFCG_res_adj*s_CF_cereal</f>
        <v>328.96874999999994</v>
      </c>
      <c r="BA11" s="2" t="str">
        <f t="shared" si="2"/>
        <v>.</v>
      </c>
      <c r="BB11" s="2" t="str">
        <f>IFERROR((s_dir!AC11/(d_ss_Bv!C11+s_MLF_apple)),".")</f>
        <v>.</v>
      </c>
      <c r="BC11" s="2" t="str">
        <f>IFERROR((s_dir!AD11/(d_ss_Bv!D11+s_MLF_asparagus)),".")</f>
        <v>.</v>
      </c>
      <c r="BD11" s="2" t="str">
        <f>IFERROR((s_dir!AE11/(d_ss_Bv!E11+s_MLF_beet)),".")</f>
        <v>.</v>
      </c>
      <c r="BE11" s="2" t="str">
        <f>IFERROR((s_dir!AF11/(d_ss_Bv!F11+s_MLF_berries)),".")</f>
        <v>.</v>
      </c>
      <c r="BF11" s="2" t="str">
        <f>IFERROR((s_dir!AG11/(d_ss_Bv!G11+s_MLF_broccoli)),".")</f>
        <v>.</v>
      </c>
      <c r="BG11" s="2" t="str">
        <f>IFERROR((s_dir!AH11/(d_ss_Bv!H11+s_MLF_cabbage)),".")</f>
        <v>.</v>
      </c>
      <c r="BH11" s="2" t="str">
        <f>IFERROR((s_dir!AI11/(d_ss_Bv!I11+s_MLF_carrot)),".")</f>
        <v>.</v>
      </c>
      <c r="BI11" s="2" t="str">
        <f>IFERROR((s_dir!AJ11/(d_ss_Bv!J11+s_MLF_citrus)),".")</f>
        <v>.</v>
      </c>
      <c r="BJ11" s="2" t="str">
        <f>IFERROR((s_dir!AK11/(d_ss_Bv!K11+s_MLF_corn)),".")</f>
        <v>.</v>
      </c>
      <c r="BK11" s="2" t="str">
        <f>IFERROR((s_dir!AL11/(d_ss_Bv!L11+s_MLF_cucumber)),".")</f>
        <v>.</v>
      </c>
      <c r="BL11" s="2" t="str">
        <f>IFERROR((s_dir!AM11/(d_ss_Bv!M11+s_MLF_lettuce)),".")</f>
        <v>.</v>
      </c>
      <c r="BM11" s="2" t="str">
        <f>IFERROR((s_dir!AN11/(d_ss_Bv!N11+s_MLF_lima_bean)),".")</f>
        <v>.</v>
      </c>
      <c r="BN11" s="2" t="str">
        <f>IFERROR((s_dir!AO11/(d_ss_Bv!O11+s_MLF_okra)),".")</f>
        <v>.</v>
      </c>
      <c r="BO11" s="2" t="str">
        <f>IFERROR((s_dir!AP11/(d_ss_Bv!P11+s_MLF_onion)),".")</f>
        <v>.</v>
      </c>
      <c r="BP11" s="2" t="str">
        <f>IFERROR((s_dir!AQ11/(d_ss_Bv!Q11+s_MLF_peach)),".")</f>
        <v>.</v>
      </c>
      <c r="BQ11" s="2" t="str">
        <f>IFERROR((s_dir!AR11/(d_ss_Bv!R11+s_MLF_pear)),".")</f>
        <v>.</v>
      </c>
      <c r="BR11" s="2" t="str">
        <f>IFERROR((s_dir!AS11/(d_ss_Bv!S11+s_MLF_peas)),".")</f>
        <v>.</v>
      </c>
      <c r="BS11" s="2" t="str">
        <f>IFERROR((s_dir!AT11/(d_ss_Bv!T11+s_MLF_potato)),".")</f>
        <v>.</v>
      </c>
      <c r="BT11" s="2" t="str">
        <f>IFERROR((s_dir!AU11/(d_ss_Bv!U11+s_MLF_pumpkin)),".")</f>
        <v>.</v>
      </c>
      <c r="BU11" s="2" t="str">
        <f>IFERROR((s_dir!AV11/(d_ss_Bv!V11+s_MLF_snap_bean)),".")</f>
        <v>.</v>
      </c>
      <c r="BV11" s="2" t="str">
        <f>IFERROR((s_dir!AW11/(d_ss_Bv!W11+s_MLF_strawberry)),".")</f>
        <v>.</v>
      </c>
      <c r="BW11" s="2" t="str">
        <f>IFERROR((s_dir!AX11/(d_ss_Bv!X11+s_MLF_tomato)),".")</f>
        <v>.</v>
      </c>
      <c r="BX11" s="2" t="str">
        <f>IFERROR((s_dir!AY11/(d_ss_Bv!Y11+s_MLF_rice)),".")</f>
        <v>.</v>
      </c>
      <c r="BY11" s="2" t="str">
        <f>IFERROR((s_dir!AZ11/(d_ss_Bv!Z11+s_MLF_cereal)),".")</f>
        <v>.</v>
      </c>
      <c r="BZ11" s="10">
        <f t="shared" si="3"/>
        <v>986.90624999999977</v>
      </c>
      <c r="CA11" s="10">
        <f>IFERROR(s_C*(d_ss_Bv!C11+s_MLF_apple)*s_IFAP_far_adj*s_CF_apple,".")</f>
        <v>328.96874999999994</v>
      </c>
      <c r="CB11" s="10">
        <f>IFERROR(s_C*(d_ss_Bv!D11+s_MLF_asparagus)*s_IFAS_far_adj*s_CF_asparagus,".")</f>
        <v>328.96874999999994</v>
      </c>
      <c r="CC11" s="10">
        <f>IFERROR(s_C*(d_ss_Bv!E11+s_MLF_beet)*s_IFBT_far_adj*s_CF_beet,".")</f>
        <v>328.96874999999994</v>
      </c>
      <c r="CD11" s="10">
        <f>IFERROR(s_C*(d_ss_Bv!F11+s_MLF_berries)*s_IFBR_far_adj*s_CF_berries,".")</f>
        <v>328.96874999999994</v>
      </c>
      <c r="CE11" s="10">
        <f>IFERROR(s_C*(d_ss_Bv!G11+s_MLF_broccoli)*s_IFBR_far_adj*s_CF_broccoli,".")</f>
        <v>328.96874999999994</v>
      </c>
      <c r="CF11" s="10">
        <f>IFERROR(s_C*(d_ss_Bv!H11+s_MLF_cabbage)*s_IFCB_far_adj*s_CF_cabbage,".")</f>
        <v>328.96874999999994</v>
      </c>
      <c r="CG11" s="10">
        <f>IFERROR(s_C*(d_ss_Bv!I11+s_MLF_carrot)*s_IFCR_far_adj*s_CF_carrot,".")</f>
        <v>328.96874999999994</v>
      </c>
      <c r="CH11" s="10">
        <f>IFERROR(s_C*(d_ss_Bv!J11+s_MLF_citrus)*s_IFCI_far_adj*s_CF_citrus,".")</f>
        <v>328.96874999999994</v>
      </c>
      <c r="CI11" s="10">
        <f>IFERROR(s_C*(d_ss_Bv!K11+s_MLF_corn)*s_IFCO_far_adj*s_CF_corn,".")</f>
        <v>328.96874999999994</v>
      </c>
      <c r="CJ11" s="10">
        <f>IFERROR(s_C*(d_ss_Bv!L11+s_MLF_cucumber)*s_IFCU_far_adj*s_CF_cucumber,".")</f>
        <v>328.96874999999994</v>
      </c>
      <c r="CK11" s="10">
        <f>IFERROR(s_C*(d_ss_Bv!M11+s_MLF_lettuce)*s_IFLE_far_adj*s_CF_lettuce,".")</f>
        <v>328.96874999999994</v>
      </c>
      <c r="CL11" s="10">
        <f>IFERROR(s_C*(d_ss_Bv!N11+s_MLF_lima_bean)*s_IFLI_far_adj*s_CF_lima_bean,".")</f>
        <v>328.96874999999994</v>
      </c>
      <c r="CM11" s="10">
        <f>IFERROR(s_C*(d_ss_Bv!O11+s_MLF_okra)*s_IFOK_far_adj*s_CF_okra,".")</f>
        <v>328.96874999999994</v>
      </c>
      <c r="CN11" s="10">
        <f>IFERROR(s_C*(d_ss_Bv!P11+s_MLF_onion)*s_IFON_far_adj*s_CF_onion,".")</f>
        <v>328.96874999999994</v>
      </c>
      <c r="CO11" s="10">
        <f>IFERROR(s_C*(d_ss_Bv!Q11+s_MLF_peach)*s_IFPC_far_adj*s_CF_peach,".")</f>
        <v>328.96874999999994</v>
      </c>
      <c r="CP11" s="10">
        <f>IFERROR(s_C*(d_ss_Bv!R11+s_MLF_pear)*s_IFPR_far_adj*s_CF_pear,".")</f>
        <v>328.96874999999994</v>
      </c>
      <c r="CQ11" s="10">
        <f>IFERROR(s_C*(d_ss_Bv!S11+s_MLF_peas)*s_IFPE_far_adj*s_CF_peas,".")</f>
        <v>328.96874999999994</v>
      </c>
      <c r="CR11" s="10">
        <f>IFERROR(s_C*(d_ss_Bv!T11+s_MLF_potato)*s_IFPT_far_adj*s_CF_potato,".")</f>
        <v>328.96874999999994</v>
      </c>
      <c r="CS11" s="10">
        <f>IFERROR(s_C*(d_ss_Bv!U11+s_MLF_pumpkin)*s_IFPU_far_adj*s_CF_pumpkin,".")</f>
        <v>328.96874999999994</v>
      </c>
      <c r="CT11" s="10">
        <f>IFERROR(s_C*(d_ss_Bv!V11+s_MLF_snap_bean)*s_IFSN_far_adj*s_CF_snap_bean,".")</f>
        <v>328.96874999999994</v>
      </c>
      <c r="CU11" s="10">
        <f>IFERROR(s_C*(d_ss_Bv!W11+s_MLF_strawberry)*s_IFST_far_adj*s_CF_strawberry,".")</f>
        <v>328.96874999999994</v>
      </c>
      <c r="CV11" s="10">
        <f>IFERROR(s_C*(d_ss_Bv!X11+s_MLF_tomato)*s_IFTO_far_adj*s_CF_tomato,".")</f>
        <v>328.96874999999994</v>
      </c>
      <c r="CW11" s="10">
        <f>IFERROR(s_C*(d_ss_Bv!Y11+s_MLF_rice)*s_IFRI_far_adj*s_CF_rice,".")</f>
        <v>328.96874999999994</v>
      </c>
      <c r="CX11" s="10">
        <f>IFERROR(s_C*(d_ss_Bv!Z11+s_MLF_cereal)*s_IFCG_far_adj*s_CF_cereal,".")</f>
        <v>328.96874999999994</v>
      </c>
    </row>
    <row r="12" spans="1:102" ht="15" customHeight="1" x14ac:dyDescent="0.25">
      <c r="A12" s="31" t="s">
        <v>10</v>
      </c>
      <c r="B12" s="3" t="s">
        <v>1059</v>
      </c>
      <c r="C12" s="2" t="str">
        <f t="shared" si="0"/>
        <v>.</v>
      </c>
      <c r="D12" s="2" t="str">
        <f>IFERROR((s_dir!D12/(d_ss_Bv!C12+s_MLF_apple)),".")</f>
        <v>.</v>
      </c>
      <c r="E12" s="2" t="str">
        <f>IFERROR((s_dir!E12/(d_ss_Bv!D12+s_MLF_asparagus)),".")</f>
        <v>.</v>
      </c>
      <c r="F12" s="2" t="str">
        <f>IFERROR((s_dir!F12/(d_ss_Bv!E12+s_MLF_beet)),".")</f>
        <v>.</v>
      </c>
      <c r="G12" s="2" t="str">
        <f>IFERROR((s_dir!G12/(d_ss_Bv!F12+s_MLF_berries)),".")</f>
        <v>.</v>
      </c>
      <c r="H12" s="2" t="str">
        <f>IFERROR((s_dir!H12/(d_ss_Bv!G12+s_MLF_broccoli)),".")</f>
        <v>.</v>
      </c>
      <c r="I12" s="2" t="str">
        <f>IFERROR((s_dir!I12/(d_ss_Bv!H12+s_MLF_cabbage)),".")</f>
        <v>.</v>
      </c>
      <c r="J12" s="2" t="str">
        <f>IFERROR((s_dir!J12/(d_ss_Bv!I12+s_MLF_carrot)),".")</f>
        <v>.</v>
      </c>
      <c r="K12" s="2" t="str">
        <f>IFERROR((s_dir!K12/(d_ss_Bv!J12+s_MLF_citrus)),".")</f>
        <v>.</v>
      </c>
      <c r="L12" s="2" t="str">
        <f>IFERROR((s_dir!L12/(d_ss_Bv!K12+s_MLF_corn)),".")</f>
        <v>.</v>
      </c>
      <c r="M12" s="2" t="str">
        <f>IFERROR((s_dir!M12/(d_ss_Bv!L12+s_MLF_cucumber)),".")</f>
        <v>.</v>
      </c>
      <c r="N12" s="2" t="str">
        <f>IFERROR((s_dir!N12/(d_ss_Bv!M12+s_MLF_lettuce)),".")</f>
        <v>.</v>
      </c>
      <c r="O12" s="2" t="str">
        <f>IFERROR((s_dir!O12/(d_ss_Bv!N12+s_MLF_lima_bean)),".")</f>
        <v>.</v>
      </c>
      <c r="P12" s="2" t="str">
        <f>IFERROR((s_dir!P12/(d_ss_Bv!O12+s_MLF_okra)),".")</f>
        <v>.</v>
      </c>
      <c r="Q12" s="2" t="str">
        <f>IFERROR((s_dir!Q12/(d_ss_Bv!P12+s_MLF_onion)),".")</f>
        <v>.</v>
      </c>
      <c r="R12" s="2" t="str">
        <f>IFERROR((s_dir!R12/(d_ss_Bv!Q12+s_MLF_peach)),".")</f>
        <v>.</v>
      </c>
      <c r="S12" s="2" t="str">
        <f>IFERROR((s_dir!S12/(d_ss_Bv!R12+s_MLF_pear)),".")</f>
        <v>.</v>
      </c>
      <c r="T12" s="2" t="str">
        <f>IFERROR((s_dir!T12/(d_ss_Bv!S12+s_MLF_peas)),".")</f>
        <v>.</v>
      </c>
      <c r="U12" s="2" t="str">
        <f>IFERROR((s_dir!U12/(d_ss_Bv!T12+s_MLF_potato)),".")</f>
        <v>.</v>
      </c>
      <c r="V12" s="2" t="str">
        <f>IFERROR((s_dir!V12/(d_ss_Bv!U12+s_MLF_pumpkin)),".")</f>
        <v>.</v>
      </c>
      <c r="W12" s="2" t="str">
        <f>IFERROR((s_dir!W12/(d_ss_Bv!V12+s_MLF_snap_bean)),".")</f>
        <v>.</v>
      </c>
      <c r="X12" s="2" t="str">
        <f>IFERROR((s_dir!X12/(d_ss_Bv!W12+s_MLF_strawberry)),".")</f>
        <v>.</v>
      </c>
      <c r="Y12" s="2" t="str">
        <f>IFERROR((s_dir!Y12/(d_ss_Bv!X12+s_MLF_tomato)),".")</f>
        <v>.</v>
      </c>
      <c r="Z12" s="2" t="str">
        <f>IFERROR((s_dir!Z12/(d_ss_Bv!Y12+s_MLF_rice)),".")</f>
        <v>.</v>
      </c>
      <c r="AA12" s="2" t="str">
        <f>IFERROR((s_dir!AA12/(d_ss_Bv!Z12+s_MLF_cereal)),".")</f>
        <v>.</v>
      </c>
      <c r="AB12" s="10">
        <f t="shared" si="1"/>
        <v>7112.53125</v>
      </c>
      <c r="AC12" s="10">
        <f>s_C*(d_ss_Bv!C12+s_MLF_apple)*s_IFAP_res_adj*s_CF_apple</f>
        <v>2370.84375</v>
      </c>
      <c r="AD12" s="10">
        <f>s_C*(d_ss_Bv!D12+s_MLF_asparagus)*s_IFAS_res_adj*s_CF_asparagus</f>
        <v>2370.84375</v>
      </c>
      <c r="AE12" s="10">
        <f>s_C*(d_ss_Bv!E12+s_MLF_beet)*s_IFBT_res_adj*s_CF_beet</f>
        <v>2370.84375</v>
      </c>
      <c r="AF12" s="10">
        <f>s_C*(d_ss_Bv!F12+s_MLF_berries)*s_IFBE_res_adj*s_CF_berries</f>
        <v>2370.84375</v>
      </c>
      <c r="AG12" s="10">
        <f>s_C*(d_ss_Bv!G12+s_MLF_broccoli)*s_IFBR_res_adj*s_CF_broccoli</f>
        <v>2370.84375</v>
      </c>
      <c r="AH12" s="10">
        <f>s_C*(d_ss_Bv!H12+s_MLF_cabbage)*s_IFCB_res_adj*s_CF_cabbage</f>
        <v>2370.84375</v>
      </c>
      <c r="AI12" s="10">
        <f>s_C*(d_ss_Bv!I12+s_MLF_carrot)*s_IFCR_res_adj*s_CF_carrot</f>
        <v>2370.84375</v>
      </c>
      <c r="AJ12" s="10">
        <f>s_C*(d_ss_Bv!J12+s_MLF_citrus)*s_IFCI_res_adj*s_CF_citrus</f>
        <v>2370.84375</v>
      </c>
      <c r="AK12" s="10">
        <f>s_C*(d_ss_Bv!K12+s_MLF_corn)*s_IFCO_res_adj*s_CF_corn</f>
        <v>2370.84375</v>
      </c>
      <c r="AL12" s="10">
        <f>s_C*(d_ss_Bv!L12+s_MLF_cucumber)*s_IFCU_res_adj*s_CF_cucumber</f>
        <v>2370.84375</v>
      </c>
      <c r="AM12" s="10">
        <f>s_C*(d_ss_Bv!M12+s_MLF_lettuce)*s_IFLE_res_adj*s_CF_lettuce</f>
        <v>2370.84375</v>
      </c>
      <c r="AN12" s="10">
        <f>s_C*(d_ss_Bv!N12+s_MLF_lima_bean)*s_IFLI_res_adj*s_CF_lima_bean</f>
        <v>2370.84375</v>
      </c>
      <c r="AO12" s="10">
        <f>s_C*(d_ss_Bv!O12+s_MLF_okra)*s_IFOK_res_adj*s_CF_okra</f>
        <v>2370.84375</v>
      </c>
      <c r="AP12" s="10">
        <f>s_C*(d_ss_Bv!P12+s_MLF_onion)*s_IFON_res_adj*s_CF_onion</f>
        <v>2370.84375</v>
      </c>
      <c r="AQ12" s="10">
        <f>s_C*(d_ss_Bv!Q12+s_MLF_peach)*s_IFPC_res_adj*s_CF_peach</f>
        <v>2370.84375</v>
      </c>
      <c r="AR12" s="10">
        <f>s_C*(d_ss_Bv!R12+s_MLF_pear)*s_IFPR_res_adj*s_CF_pear</f>
        <v>2370.84375</v>
      </c>
      <c r="AS12" s="10">
        <f>s_C*(d_ss_Bv!S12+s_MLF_peas)*s_IFPE_res_adj*s_CF_peas</f>
        <v>2370.84375</v>
      </c>
      <c r="AT12" s="10">
        <f>s_C*(d_ss_Bv!T12+s_MLF_potato)*s_IFPT_res_adj*s_CF_potato</f>
        <v>2370.84375</v>
      </c>
      <c r="AU12" s="10">
        <f>s_C*(d_ss_Bv!U12+s_MLF_pumpkin)*s_IFPU_res_adj*s_CF_pumpkin</f>
        <v>2370.84375</v>
      </c>
      <c r="AV12" s="10">
        <f>s_C*(d_ss_Bv!V12+s_MLF_snap_bean)*s_IFSN_res_adj*s_CF_snap_bean</f>
        <v>2370.84375</v>
      </c>
      <c r="AW12" s="10">
        <f>s_C*(d_ss_Bv!W12+s_MLF_strawberry)*s_IFST_res_adj*s_CF_strawberry</f>
        <v>2370.84375</v>
      </c>
      <c r="AX12" s="10">
        <f>s_C*(d_ss_Bv!X12+s_MLF_tomato)*s_IFTO_res_adj*s_CF_tomato</f>
        <v>2370.84375</v>
      </c>
      <c r="AY12" s="10">
        <f>s_C*(d_ss_Bv!Y12+s_MLF_rice)*s_IFRI_res_adj*s_CF_rice</f>
        <v>2370.84375</v>
      </c>
      <c r="AZ12" s="10">
        <f>s_C*(d_ss_Bv!Z12+s_MLF_cereal)*s_IFCG_res_adj*s_CF_cereal</f>
        <v>2370.84375</v>
      </c>
      <c r="BA12" s="2" t="str">
        <f t="shared" si="2"/>
        <v>.</v>
      </c>
      <c r="BB12" s="2" t="str">
        <f>IFERROR((s_dir!AC12/(d_ss_Bv!C12+s_MLF_apple)),".")</f>
        <v>.</v>
      </c>
      <c r="BC12" s="2" t="str">
        <f>IFERROR((s_dir!AD12/(d_ss_Bv!D12+s_MLF_asparagus)),".")</f>
        <v>.</v>
      </c>
      <c r="BD12" s="2" t="str">
        <f>IFERROR((s_dir!AE12/(d_ss_Bv!E12+s_MLF_beet)),".")</f>
        <v>.</v>
      </c>
      <c r="BE12" s="2" t="str">
        <f>IFERROR((s_dir!AF12/(d_ss_Bv!F12+s_MLF_berries)),".")</f>
        <v>.</v>
      </c>
      <c r="BF12" s="2" t="str">
        <f>IFERROR((s_dir!AG12/(d_ss_Bv!G12+s_MLF_broccoli)),".")</f>
        <v>.</v>
      </c>
      <c r="BG12" s="2" t="str">
        <f>IFERROR((s_dir!AH12/(d_ss_Bv!H12+s_MLF_cabbage)),".")</f>
        <v>.</v>
      </c>
      <c r="BH12" s="2" t="str">
        <f>IFERROR((s_dir!AI12/(d_ss_Bv!I12+s_MLF_carrot)),".")</f>
        <v>.</v>
      </c>
      <c r="BI12" s="2" t="str">
        <f>IFERROR((s_dir!AJ12/(d_ss_Bv!J12+s_MLF_citrus)),".")</f>
        <v>.</v>
      </c>
      <c r="BJ12" s="2" t="str">
        <f>IFERROR((s_dir!AK12/(d_ss_Bv!K12+s_MLF_corn)),".")</f>
        <v>.</v>
      </c>
      <c r="BK12" s="2" t="str">
        <f>IFERROR((s_dir!AL12/(d_ss_Bv!L12+s_MLF_cucumber)),".")</f>
        <v>.</v>
      </c>
      <c r="BL12" s="2" t="str">
        <f>IFERROR((s_dir!AM12/(d_ss_Bv!M12+s_MLF_lettuce)),".")</f>
        <v>.</v>
      </c>
      <c r="BM12" s="2" t="str">
        <f>IFERROR((s_dir!AN12/(d_ss_Bv!N12+s_MLF_lima_bean)),".")</f>
        <v>.</v>
      </c>
      <c r="BN12" s="2" t="str">
        <f>IFERROR((s_dir!AO12/(d_ss_Bv!O12+s_MLF_okra)),".")</f>
        <v>.</v>
      </c>
      <c r="BO12" s="2" t="str">
        <f>IFERROR((s_dir!AP12/(d_ss_Bv!P12+s_MLF_onion)),".")</f>
        <v>.</v>
      </c>
      <c r="BP12" s="2" t="str">
        <f>IFERROR((s_dir!AQ12/(d_ss_Bv!Q12+s_MLF_peach)),".")</f>
        <v>.</v>
      </c>
      <c r="BQ12" s="2" t="str">
        <f>IFERROR((s_dir!AR12/(d_ss_Bv!R12+s_MLF_pear)),".")</f>
        <v>.</v>
      </c>
      <c r="BR12" s="2" t="str">
        <f>IFERROR((s_dir!AS12/(d_ss_Bv!S12+s_MLF_peas)),".")</f>
        <v>.</v>
      </c>
      <c r="BS12" s="2" t="str">
        <f>IFERROR((s_dir!AT12/(d_ss_Bv!T12+s_MLF_potato)),".")</f>
        <v>.</v>
      </c>
      <c r="BT12" s="2" t="str">
        <f>IFERROR((s_dir!AU12/(d_ss_Bv!U12+s_MLF_pumpkin)),".")</f>
        <v>.</v>
      </c>
      <c r="BU12" s="2" t="str">
        <f>IFERROR((s_dir!AV12/(d_ss_Bv!V12+s_MLF_snap_bean)),".")</f>
        <v>.</v>
      </c>
      <c r="BV12" s="2" t="str">
        <f>IFERROR((s_dir!AW12/(d_ss_Bv!W12+s_MLF_strawberry)),".")</f>
        <v>.</v>
      </c>
      <c r="BW12" s="2" t="str">
        <f>IFERROR((s_dir!AX12/(d_ss_Bv!X12+s_MLF_tomato)),".")</f>
        <v>.</v>
      </c>
      <c r="BX12" s="2" t="str">
        <f>IFERROR((s_dir!AY12/(d_ss_Bv!Y12+s_MLF_rice)),".")</f>
        <v>.</v>
      </c>
      <c r="BY12" s="2" t="str">
        <f>IFERROR((s_dir!AZ12/(d_ss_Bv!Z12+s_MLF_cereal)),".")</f>
        <v>.</v>
      </c>
      <c r="BZ12" s="10">
        <f t="shared" si="3"/>
        <v>7112.53125</v>
      </c>
      <c r="CA12" s="10">
        <f>IFERROR(s_C*(d_ss_Bv!C12+s_MLF_apple)*s_IFAP_far_adj*s_CF_apple,".")</f>
        <v>2370.84375</v>
      </c>
      <c r="CB12" s="10">
        <f>IFERROR(s_C*(d_ss_Bv!D12+s_MLF_asparagus)*s_IFAS_far_adj*s_CF_asparagus,".")</f>
        <v>2370.84375</v>
      </c>
      <c r="CC12" s="10">
        <f>IFERROR(s_C*(d_ss_Bv!E12+s_MLF_beet)*s_IFBT_far_adj*s_CF_beet,".")</f>
        <v>2370.84375</v>
      </c>
      <c r="CD12" s="10">
        <f>IFERROR(s_C*(d_ss_Bv!F12+s_MLF_berries)*s_IFBR_far_adj*s_CF_berries,".")</f>
        <v>2370.84375</v>
      </c>
      <c r="CE12" s="10">
        <f>IFERROR(s_C*(d_ss_Bv!G12+s_MLF_broccoli)*s_IFBR_far_adj*s_CF_broccoli,".")</f>
        <v>2370.84375</v>
      </c>
      <c r="CF12" s="10">
        <f>IFERROR(s_C*(d_ss_Bv!H12+s_MLF_cabbage)*s_IFCB_far_adj*s_CF_cabbage,".")</f>
        <v>2370.84375</v>
      </c>
      <c r="CG12" s="10">
        <f>IFERROR(s_C*(d_ss_Bv!I12+s_MLF_carrot)*s_IFCR_far_adj*s_CF_carrot,".")</f>
        <v>2370.84375</v>
      </c>
      <c r="CH12" s="10">
        <f>IFERROR(s_C*(d_ss_Bv!J12+s_MLF_citrus)*s_IFCI_far_adj*s_CF_citrus,".")</f>
        <v>2370.84375</v>
      </c>
      <c r="CI12" s="10">
        <f>IFERROR(s_C*(d_ss_Bv!K12+s_MLF_corn)*s_IFCO_far_adj*s_CF_corn,".")</f>
        <v>2370.84375</v>
      </c>
      <c r="CJ12" s="10">
        <f>IFERROR(s_C*(d_ss_Bv!L12+s_MLF_cucumber)*s_IFCU_far_adj*s_CF_cucumber,".")</f>
        <v>2370.84375</v>
      </c>
      <c r="CK12" s="10">
        <f>IFERROR(s_C*(d_ss_Bv!M12+s_MLF_lettuce)*s_IFLE_far_adj*s_CF_lettuce,".")</f>
        <v>2370.84375</v>
      </c>
      <c r="CL12" s="10">
        <f>IFERROR(s_C*(d_ss_Bv!N12+s_MLF_lima_bean)*s_IFLI_far_adj*s_CF_lima_bean,".")</f>
        <v>2370.84375</v>
      </c>
      <c r="CM12" s="10">
        <f>IFERROR(s_C*(d_ss_Bv!O12+s_MLF_okra)*s_IFOK_far_adj*s_CF_okra,".")</f>
        <v>2370.84375</v>
      </c>
      <c r="CN12" s="10">
        <f>IFERROR(s_C*(d_ss_Bv!P12+s_MLF_onion)*s_IFON_far_adj*s_CF_onion,".")</f>
        <v>2370.84375</v>
      </c>
      <c r="CO12" s="10">
        <f>IFERROR(s_C*(d_ss_Bv!Q12+s_MLF_peach)*s_IFPC_far_adj*s_CF_peach,".")</f>
        <v>2370.84375</v>
      </c>
      <c r="CP12" s="10">
        <f>IFERROR(s_C*(d_ss_Bv!R12+s_MLF_pear)*s_IFPR_far_adj*s_CF_pear,".")</f>
        <v>2370.84375</v>
      </c>
      <c r="CQ12" s="10">
        <f>IFERROR(s_C*(d_ss_Bv!S12+s_MLF_peas)*s_IFPE_far_adj*s_CF_peas,".")</f>
        <v>2370.84375</v>
      </c>
      <c r="CR12" s="10">
        <f>IFERROR(s_C*(d_ss_Bv!T12+s_MLF_potato)*s_IFPT_far_adj*s_CF_potato,".")</f>
        <v>2370.84375</v>
      </c>
      <c r="CS12" s="10">
        <f>IFERROR(s_C*(d_ss_Bv!U12+s_MLF_pumpkin)*s_IFPU_far_adj*s_CF_pumpkin,".")</f>
        <v>2370.84375</v>
      </c>
      <c r="CT12" s="10">
        <f>IFERROR(s_C*(d_ss_Bv!V12+s_MLF_snap_bean)*s_IFSN_far_adj*s_CF_snap_bean,".")</f>
        <v>2370.84375</v>
      </c>
      <c r="CU12" s="10">
        <f>IFERROR(s_C*(d_ss_Bv!W12+s_MLF_strawberry)*s_IFST_far_adj*s_CF_strawberry,".")</f>
        <v>2370.84375</v>
      </c>
      <c r="CV12" s="10">
        <f>IFERROR(s_C*(d_ss_Bv!X12+s_MLF_tomato)*s_IFTO_far_adj*s_CF_tomato,".")</f>
        <v>2370.84375</v>
      </c>
      <c r="CW12" s="10">
        <f>IFERROR(s_C*(d_ss_Bv!Y12+s_MLF_rice)*s_IFRI_far_adj*s_CF_rice,".")</f>
        <v>2370.84375</v>
      </c>
      <c r="CX12" s="10">
        <f>IFERROR(s_C*(d_ss_Bv!Z12+s_MLF_cereal)*s_IFCG_far_adj*s_CF_cereal,".")</f>
        <v>2370.84375</v>
      </c>
    </row>
    <row r="13" spans="1:102" ht="15" customHeight="1" x14ac:dyDescent="0.25">
      <c r="A13" s="31" t="s">
        <v>11</v>
      </c>
      <c r="B13" s="3" t="s">
        <v>1059</v>
      </c>
      <c r="C13" s="2">
        <f t="shared" si="0"/>
        <v>112.20790441569662</v>
      </c>
      <c r="D13" s="2">
        <f>IFERROR((s_dir!D13/(d_ss_Bv!C13+s_MLF_apple)),".")</f>
        <v>517.94518197680259</v>
      </c>
      <c r="E13" s="2">
        <f>IFERROR((s_dir!E13/(d_ss_Bv!D13+s_MLF_asparagus)),".")</f>
        <v>176.48502496987345</v>
      </c>
      <c r="F13" s="2">
        <f>IFERROR((s_dir!F13/(d_ss_Bv!E13+s_MLF_beet)),".")</f>
        <v>201.34207074027819</v>
      </c>
      <c r="G13" s="2">
        <f>IFERROR((s_dir!G13/(d_ss_Bv!F13+s_MLF_berries)),".")</f>
        <v>517.94518197680259</v>
      </c>
      <c r="H13" s="2">
        <f>IFERROR((s_dir!H13/(d_ss_Bv!G13+s_MLF_broccoli)),".")</f>
        <v>226.90931781840874</v>
      </c>
      <c r="I13" s="2">
        <f>IFERROR((s_dir!I13/(d_ss_Bv!H13+s_MLF_cabbage)),".")</f>
        <v>176.48502496987345</v>
      </c>
      <c r="J13" s="2">
        <f>IFERROR((s_dir!J13/(d_ss_Bv!I13+s_MLF_carrot)),".")</f>
        <v>201.34207074027819</v>
      </c>
      <c r="K13" s="2">
        <f>IFERROR((s_dir!K13/(d_ss_Bv!J13+s_MLF_citrus)),".")</f>
        <v>517.94518197680259</v>
      </c>
      <c r="L13" s="2">
        <f>IFERROR((s_dir!L13/(d_ss_Bv!K13+s_MLF_corn)),".")</f>
        <v>390.58161263824451</v>
      </c>
      <c r="M13" s="2">
        <f>IFERROR((s_dir!M13/(d_ss_Bv!L13+s_MLF_cucumber)),".")</f>
        <v>226.90931781840874</v>
      </c>
      <c r="N13" s="2">
        <f>IFERROR((s_dir!N13/(d_ss_Bv!M13+s_MLF_lettuce)),".")</f>
        <v>176.48502496987345</v>
      </c>
      <c r="O13" s="2">
        <f>IFERROR((s_dir!O13/(d_ss_Bv!N13+s_MLF_lima_bean)),".")</f>
        <v>234.34896758294673</v>
      </c>
      <c r="P13" s="2">
        <f>IFERROR((s_dir!P13/(d_ss_Bv!O13+s_MLF_okra)),".")</f>
        <v>226.90931781840874</v>
      </c>
      <c r="Q13" s="2">
        <f>IFERROR((s_dir!Q13/(d_ss_Bv!P13+s_MLF_onion)),".")</f>
        <v>226.90931781840874</v>
      </c>
      <c r="R13" s="2">
        <f>IFERROR((s_dir!R13/(d_ss_Bv!Q13+s_MLF_peach)),".")</f>
        <v>517.94518197680259</v>
      </c>
      <c r="S13" s="2">
        <f>IFERROR((s_dir!S13/(d_ss_Bv!R13+s_MLF_pear)),".")</f>
        <v>517.94518197680259</v>
      </c>
      <c r="T13" s="2">
        <f>IFERROR((s_dir!T13/(d_ss_Bv!S13+s_MLF_peas)),".")</f>
        <v>234.34896758294673</v>
      </c>
      <c r="U13" s="2">
        <f>IFERROR((s_dir!U13/(d_ss_Bv!T13+s_MLF_potato)),".")</f>
        <v>372.27309954582677</v>
      </c>
      <c r="V13" s="2">
        <f>IFERROR((s_dir!V13/(d_ss_Bv!U13+s_MLF_pumpkin)),".")</f>
        <v>226.90931781840874</v>
      </c>
      <c r="W13" s="2">
        <f>IFERROR((s_dir!W13/(d_ss_Bv!V13+s_MLF_snap_bean)),".")</f>
        <v>234.34896758294673</v>
      </c>
      <c r="X13" s="2">
        <f>IFERROR((s_dir!X13/(d_ss_Bv!W13+s_MLF_strawberry)),".")</f>
        <v>517.94518197680259</v>
      </c>
      <c r="Y13" s="2">
        <f>IFERROR((s_dir!Y13/(d_ss_Bv!X13+s_MLF_tomato)),".")</f>
        <v>226.90931781840874</v>
      </c>
      <c r="Z13" s="2">
        <f>IFERROR((s_dir!Z13/(d_ss_Bv!Y13+s_MLF_rice)),".")</f>
        <v>213.36249287402609</v>
      </c>
      <c r="AA13" s="2">
        <f>IFERROR((s_dir!AA13/(d_ss_Bv!Z13+s_MLF_cereal)),".")</f>
        <v>435.83192141950462</v>
      </c>
      <c r="AB13" s="10">
        <f>SUM(AC13,AY13:AZ13)</f>
        <v>481.73125000000005</v>
      </c>
      <c r="AC13" s="10">
        <f>s_C*(d_ss_Bv!C13+s_MLF_apple)*s_IFAP_res_adj*s_CF_apple</f>
        <v>104.36250000000001</v>
      </c>
      <c r="AD13" s="10">
        <f>s_C*(d_ss_Bv!D13+s_MLF_asparagus)*s_IFAS_res_adj*s_CF_asparagus</f>
        <v>306.28125</v>
      </c>
      <c r="AE13" s="10">
        <f>s_C*(d_ss_Bv!E13+s_MLF_beet)*s_IFBT_res_adj*s_CF_beet</f>
        <v>268.46875</v>
      </c>
      <c r="AF13" s="10">
        <f>s_C*(d_ss_Bv!F13+s_MLF_berries)*s_IFBE_res_adj*s_CF_berries</f>
        <v>104.36250000000001</v>
      </c>
      <c r="AG13" s="10">
        <f>s_C*(d_ss_Bv!G13+s_MLF_broccoli)*s_IFBR_res_adj*s_CF_broccoli</f>
        <v>238.21875</v>
      </c>
      <c r="AH13" s="10">
        <f>s_C*(d_ss_Bv!H13+s_MLF_cabbage)*s_IFCB_res_adj*s_CF_cabbage</f>
        <v>306.28125</v>
      </c>
      <c r="AI13" s="10">
        <f>s_C*(d_ss_Bv!I13+s_MLF_carrot)*s_IFCR_res_adj*s_CF_carrot</f>
        <v>268.46875</v>
      </c>
      <c r="AJ13" s="10">
        <f>s_C*(d_ss_Bv!J13+s_MLF_citrus)*s_IFCI_res_adj*s_CF_citrus</f>
        <v>104.36250000000001</v>
      </c>
      <c r="AK13" s="10">
        <f>s_C*(d_ss_Bv!K13+s_MLF_corn)*s_IFCO_res_adj*s_CF_corn</f>
        <v>138.39374999999998</v>
      </c>
      <c r="AL13" s="10">
        <f>s_C*(d_ss_Bv!L13+s_MLF_cucumber)*s_IFCU_res_adj*s_CF_cucumber</f>
        <v>238.21875</v>
      </c>
      <c r="AM13" s="10">
        <f>s_C*(d_ss_Bv!M13+s_MLF_lettuce)*s_IFLE_res_adj*s_CF_lettuce</f>
        <v>306.28125</v>
      </c>
      <c r="AN13" s="10">
        <f>s_C*(d_ss_Bv!N13+s_MLF_lima_bean)*s_IFLI_res_adj*s_CF_lima_bean</f>
        <v>230.65625</v>
      </c>
      <c r="AO13" s="10">
        <f>s_C*(d_ss_Bv!O13+s_MLF_okra)*s_IFOK_res_adj*s_CF_okra</f>
        <v>238.21875</v>
      </c>
      <c r="AP13" s="10">
        <f>s_C*(d_ss_Bv!P13+s_MLF_onion)*s_IFON_res_adj*s_CF_onion</f>
        <v>238.21875</v>
      </c>
      <c r="AQ13" s="10">
        <f>s_C*(d_ss_Bv!Q13+s_MLF_peach)*s_IFPC_res_adj*s_CF_peach</f>
        <v>104.36250000000001</v>
      </c>
      <c r="AR13" s="10">
        <f>s_C*(d_ss_Bv!R13+s_MLF_pear)*s_IFPR_res_adj*s_CF_pear</f>
        <v>104.36250000000001</v>
      </c>
      <c r="AS13" s="10">
        <f>s_C*(d_ss_Bv!S13+s_MLF_peas)*s_IFPE_res_adj*s_CF_peas</f>
        <v>230.65625</v>
      </c>
      <c r="AT13" s="10">
        <f>s_C*(d_ss_Bv!T13+s_MLF_potato)*s_IFPT_res_adj*s_CF_potato</f>
        <v>145.20000000000002</v>
      </c>
      <c r="AU13" s="10">
        <f>s_C*(d_ss_Bv!U13+s_MLF_pumpkin)*s_IFPU_res_adj*s_CF_pumpkin</f>
        <v>238.21875</v>
      </c>
      <c r="AV13" s="10">
        <f>s_C*(d_ss_Bv!V13+s_MLF_snap_bean)*s_IFSN_res_adj*s_CF_snap_bean</f>
        <v>230.65625</v>
      </c>
      <c r="AW13" s="10">
        <f>s_C*(d_ss_Bv!W13+s_MLF_strawberry)*s_IFST_res_adj*s_CF_strawberry</f>
        <v>104.36250000000001</v>
      </c>
      <c r="AX13" s="10">
        <f>s_C*(d_ss_Bv!X13+s_MLF_tomato)*s_IFTO_res_adj*s_CF_tomato</f>
        <v>238.21875</v>
      </c>
      <c r="AY13" s="10">
        <f>s_C*(d_ss_Bv!Y13+s_MLF_rice)*s_IFRI_res_adj*s_CF_rice</f>
        <v>253.34375000000003</v>
      </c>
      <c r="AZ13" s="10">
        <f>s_C*(d_ss_Bv!Z13+s_MLF_cereal)*s_IFCG_res_adj*s_CF_cereal</f>
        <v>124.02499999999998</v>
      </c>
      <c r="BA13" s="2">
        <f t="shared" si="2"/>
        <v>112.20790441569662</v>
      </c>
      <c r="BB13" s="2">
        <f>IFERROR((s_dir!AC13/(d_ss_Bv!C13+s_MLF_apple)),".")</f>
        <v>517.94518197680259</v>
      </c>
      <c r="BC13" s="2">
        <f>IFERROR((s_dir!AD13/(d_ss_Bv!D13+s_MLF_asparagus)),".")</f>
        <v>176.48502496987345</v>
      </c>
      <c r="BD13" s="2">
        <f>IFERROR((s_dir!AE13/(d_ss_Bv!E13+s_MLF_beet)),".")</f>
        <v>201.34207074027819</v>
      </c>
      <c r="BE13" s="2">
        <f>IFERROR((s_dir!AF13/(d_ss_Bv!F13+s_MLF_berries)),".")</f>
        <v>517.94518197680259</v>
      </c>
      <c r="BF13" s="2">
        <f>IFERROR((s_dir!AG13/(d_ss_Bv!G13+s_MLF_broccoli)),".")</f>
        <v>226.90931781840874</v>
      </c>
      <c r="BG13" s="2">
        <f>IFERROR((s_dir!AH13/(d_ss_Bv!H13+s_MLF_cabbage)),".")</f>
        <v>176.48502496987345</v>
      </c>
      <c r="BH13" s="2">
        <f>IFERROR((s_dir!AI13/(d_ss_Bv!I13+s_MLF_carrot)),".")</f>
        <v>201.34207074027819</v>
      </c>
      <c r="BI13" s="2">
        <f>IFERROR((s_dir!AJ13/(d_ss_Bv!J13+s_MLF_citrus)),".")</f>
        <v>517.94518197680259</v>
      </c>
      <c r="BJ13" s="2">
        <f>IFERROR((s_dir!AK13/(d_ss_Bv!K13+s_MLF_corn)),".")</f>
        <v>390.58161263824451</v>
      </c>
      <c r="BK13" s="2">
        <f>IFERROR((s_dir!AL13/(d_ss_Bv!L13+s_MLF_cucumber)),".")</f>
        <v>226.90931781840874</v>
      </c>
      <c r="BL13" s="2">
        <f>IFERROR((s_dir!AM13/(d_ss_Bv!M13+s_MLF_lettuce)),".")</f>
        <v>176.48502496987345</v>
      </c>
      <c r="BM13" s="2">
        <f>IFERROR((s_dir!AN13/(d_ss_Bv!N13+s_MLF_lima_bean)),".")</f>
        <v>234.34896758294673</v>
      </c>
      <c r="BN13" s="2">
        <f>IFERROR((s_dir!AO13/(d_ss_Bv!O13+s_MLF_okra)),".")</f>
        <v>226.90931781840874</v>
      </c>
      <c r="BO13" s="2">
        <f>IFERROR((s_dir!AP13/(d_ss_Bv!P13+s_MLF_onion)),".")</f>
        <v>226.90931781840874</v>
      </c>
      <c r="BP13" s="2">
        <f>IFERROR((s_dir!AQ13/(d_ss_Bv!Q13+s_MLF_peach)),".")</f>
        <v>517.94518197680259</v>
      </c>
      <c r="BQ13" s="2">
        <f>IFERROR((s_dir!AR13/(d_ss_Bv!R13+s_MLF_pear)),".")</f>
        <v>517.94518197680259</v>
      </c>
      <c r="BR13" s="2">
        <f>IFERROR((s_dir!AS13/(d_ss_Bv!S13+s_MLF_peas)),".")</f>
        <v>234.34896758294673</v>
      </c>
      <c r="BS13" s="2">
        <f>IFERROR((s_dir!AT13/(d_ss_Bv!T13+s_MLF_potato)),".")</f>
        <v>372.27309954582677</v>
      </c>
      <c r="BT13" s="2">
        <f>IFERROR((s_dir!AU13/(d_ss_Bv!U13+s_MLF_pumpkin)),".")</f>
        <v>226.90931781840874</v>
      </c>
      <c r="BU13" s="2">
        <f>IFERROR((s_dir!AV13/(d_ss_Bv!V13+s_MLF_snap_bean)),".")</f>
        <v>234.34896758294673</v>
      </c>
      <c r="BV13" s="2">
        <f>IFERROR((s_dir!AW13/(d_ss_Bv!W13+s_MLF_strawberry)),".")</f>
        <v>517.94518197680259</v>
      </c>
      <c r="BW13" s="2">
        <f>IFERROR((s_dir!AX13/(d_ss_Bv!X13+s_MLF_tomato)),".")</f>
        <v>226.90931781840874</v>
      </c>
      <c r="BX13" s="2">
        <f>IFERROR((s_dir!AY13/(d_ss_Bv!Y13+s_MLF_rice)),".")</f>
        <v>213.36249287402609</v>
      </c>
      <c r="BY13" s="2">
        <f>IFERROR((s_dir!AZ13/(d_ss_Bv!Z13+s_MLF_cereal)),".")</f>
        <v>435.83192141950462</v>
      </c>
      <c r="BZ13" s="10">
        <f t="shared" si="3"/>
        <v>481.73125000000005</v>
      </c>
      <c r="CA13" s="10">
        <f>IFERROR(s_C*(d_ss_Bv!C13+s_MLF_apple)*s_IFAP_far_adj*s_CF_apple,".")</f>
        <v>104.36250000000001</v>
      </c>
      <c r="CB13" s="10">
        <f>IFERROR(s_C*(d_ss_Bv!D13+s_MLF_asparagus)*s_IFAS_far_adj*s_CF_asparagus,".")</f>
        <v>306.28125</v>
      </c>
      <c r="CC13" s="10">
        <f>IFERROR(s_C*(d_ss_Bv!E13+s_MLF_beet)*s_IFBT_far_adj*s_CF_beet,".")</f>
        <v>268.46875</v>
      </c>
      <c r="CD13" s="10">
        <f>IFERROR(s_C*(d_ss_Bv!F13+s_MLF_berries)*s_IFBR_far_adj*s_CF_berries,".")</f>
        <v>104.36250000000001</v>
      </c>
      <c r="CE13" s="10">
        <f>IFERROR(s_C*(d_ss_Bv!G13+s_MLF_broccoli)*s_IFBR_far_adj*s_CF_broccoli,".")</f>
        <v>238.21875</v>
      </c>
      <c r="CF13" s="10">
        <f>IFERROR(s_C*(d_ss_Bv!H13+s_MLF_cabbage)*s_IFCB_far_adj*s_CF_cabbage,".")</f>
        <v>306.28125</v>
      </c>
      <c r="CG13" s="10">
        <f>IFERROR(s_C*(d_ss_Bv!I13+s_MLF_carrot)*s_IFCR_far_adj*s_CF_carrot,".")</f>
        <v>268.46875</v>
      </c>
      <c r="CH13" s="10">
        <f>IFERROR(s_C*(d_ss_Bv!J13+s_MLF_citrus)*s_IFCI_far_adj*s_CF_citrus,".")</f>
        <v>104.36250000000001</v>
      </c>
      <c r="CI13" s="10">
        <f>IFERROR(s_C*(d_ss_Bv!K13+s_MLF_corn)*s_IFCO_far_adj*s_CF_corn,".")</f>
        <v>138.39374999999998</v>
      </c>
      <c r="CJ13" s="10">
        <f>IFERROR(s_C*(d_ss_Bv!L13+s_MLF_cucumber)*s_IFCU_far_adj*s_CF_cucumber,".")</f>
        <v>238.21875</v>
      </c>
      <c r="CK13" s="10">
        <f>IFERROR(s_C*(d_ss_Bv!M13+s_MLF_lettuce)*s_IFLE_far_adj*s_CF_lettuce,".")</f>
        <v>306.28125</v>
      </c>
      <c r="CL13" s="10">
        <f>IFERROR(s_C*(d_ss_Bv!N13+s_MLF_lima_bean)*s_IFLI_far_adj*s_CF_lima_bean,".")</f>
        <v>230.65625</v>
      </c>
      <c r="CM13" s="10">
        <f>IFERROR(s_C*(d_ss_Bv!O13+s_MLF_okra)*s_IFOK_far_adj*s_CF_okra,".")</f>
        <v>238.21875</v>
      </c>
      <c r="CN13" s="10">
        <f>IFERROR(s_C*(d_ss_Bv!P13+s_MLF_onion)*s_IFON_far_adj*s_CF_onion,".")</f>
        <v>238.21875</v>
      </c>
      <c r="CO13" s="10">
        <f>IFERROR(s_C*(d_ss_Bv!Q13+s_MLF_peach)*s_IFPC_far_adj*s_CF_peach,".")</f>
        <v>104.36250000000001</v>
      </c>
      <c r="CP13" s="10">
        <f>IFERROR(s_C*(d_ss_Bv!R13+s_MLF_pear)*s_IFPR_far_adj*s_CF_pear,".")</f>
        <v>104.36250000000001</v>
      </c>
      <c r="CQ13" s="10">
        <f>IFERROR(s_C*(d_ss_Bv!S13+s_MLF_peas)*s_IFPE_far_adj*s_CF_peas,".")</f>
        <v>230.65625</v>
      </c>
      <c r="CR13" s="10">
        <f>IFERROR(s_C*(d_ss_Bv!T13+s_MLF_potato)*s_IFPT_far_adj*s_CF_potato,".")</f>
        <v>145.20000000000002</v>
      </c>
      <c r="CS13" s="10">
        <f>IFERROR(s_C*(d_ss_Bv!U13+s_MLF_pumpkin)*s_IFPU_far_adj*s_CF_pumpkin,".")</f>
        <v>238.21875</v>
      </c>
      <c r="CT13" s="10">
        <f>IFERROR(s_C*(d_ss_Bv!V13+s_MLF_snap_bean)*s_IFSN_far_adj*s_CF_snap_bean,".")</f>
        <v>230.65625</v>
      </c>
      <c r="CU13" s="10">
        <f>IFERROR(s_C*(d_ss_Bv!W13+s_MLF_strawberry)*s_IFST_far_adj*s_CF_strawberry,".")</f>
        <v>104.36250000000001</v>
      </c>
      <c r="CV13" s="10">
        <f>IFERROR(s_C*(d_ss_Bv!X13+s_MLF_tomato)*s_IFTO_far_adj*s_CF_tomato,".")</f>
        <v>238.21875</v>
      </c>
      <c r="CW13" s="10">
        <f>IFERROR(s_C*(d_ss_Bv!Y13+s_MLF_rice)*s_IFRI_far_adj*s_CF_rice,".")</f>
        <v>253.34375000000003</v>
      </c>
      <c r="CX13" s="10">
        <f>IFERROR(s_C*(d_ss_Bv!Z13+s_MLF_cereal)*s_IFCG_far_adj*s_CF_cereal,".")</f>
        <v>124.02499999999998</v>
      </c>
    </row>
    <row r="14" spans="1:102" ht="15" customHeight="1" x14ac:dyDescent="0.25">
      <c r="A14" s="31" t="s">
        <v>12</v>
      </c>
      <c r="B14" s="3" t="s">
        <v>1059</v>
      </c>
      <c r="C14" s="2">
        <f t="shared" si="0"/>
        <v>9600.8536310980489</v>
      </c>
      <c r="D14" s="2">
        <f>IFERROR((s_dir!D14/(d_ss_Bv!C14+s_MLF_apple)),".")</f>
        <v>28802.560893294147</v>
      </c>
      <c r="E14" s="2">
        <f>IFERROR((s_dir!E14/(d_ss_Bv!D14+s_MLF_asparagus)),".")</f>
        <v>28802.560893294147</v>
      </c>
      <c r="F14" s="2">
        <f>IFERROR((s_dir!F14/(d_ss_Bv!E14+s_MLF_beet)),".")</f>
        <v>28802.560893294147</v>
      </c>
      <c r="G14" s="2">
        <f>IFERROR((s_dir!G14/(d_ss_Bv!F14+s_MLF_berries)),".")</f>
        <v>28802.560893294147</v>
      </c>
      <c r="H14" s="2">
        <f>IFERROR((s_dir!H14/(d_ss_Bv!G14+s_MLF_broccoli)),".")</f>
        <v>28802.560893294147</v>
      </c>
      <c r="I14" s="2">
        <f>IFERROR((s_dir!I14/(d_ss_Bv!H14+s_MLF_cabbage)),".")</f>
        <v>28802.560893294147</v>
      </c>
      <c r="J14" s="2">
        <f>IFERROR((s_dir!J14/(d_ss_Bv!I14+s_MLF_carrot)),".")</f>
        <v>28802.560893294147</v>
      </c>
      <c r="K14" s="2">
        <f>IFERROR((s_dir!K14/(d_ss_Bv!J14+s_MLF_citrus)),".")</f>
        <v>28802.560893294147</v>
      </c>
      <c r="L14" s="2">
        <f>IFERROR((s_dir!L14/(d_ss_Bv!K14+s_MLF_corn)),".")</f>
        <v>28802.560893294147</v>
      </c>
      <c r="M14" s="2">
        <f>IFERROR((s_dir!M14/(d_ss_Bv!L14+s_MLF_cucumber)),".")</f>
        <v>28802.560893294147</v>
      </c>
      <c r="N14" s="2">
        <f>IFERROR((s_dir!N14/(d_ss_Bv!M14+s_MLF_lettuce)),".")</f>
        <v>28802.560893294147</v>
      </c>
      <c r="O14" s="2">
        <f>IFERROR((s_dir!O14/(d_ss_Bv!N14+s_MLF_lima_bean)),".")</f>
        <v>28802.560893294147</v>
      </c>
      <c r="P14" s="2">
        <f>IFERROR((s_dir!P14/(d_ss_Bv!O14+s_MLF_okra)),".")</f>
        <v>28802.560893294147</v>
      </c>
      <c r="Q14" s="2">
        <f>IFERROR((s_dir!Q14/(d_ss_Bv!P14+s_MLF_onion)),".")</f>
        <v>28802.560893294147</v>
      </c>
      <c r="R14" s="2">
        <f>IFERROR((s_dir!R14/(d_ss_Bv!Q14+s_MLF_peach)),".")</f>
        <v>28802.560893294147</v>
      </c>
      <c r="S14" s="2">
        <f>IFERROR((s_dir!S14/(d_ss_Bv!R14+s_MLF_pear)),".")</f>
        <v>28802.560893294147</v>
      </c>
      <c r="T14" s="2">
        <f>IFERROR((s_dir!T14/(d_ss_Bv!S14+s_MLF_peas)),".")</f>
        <v>28802.560893294147</v>
      </c>
      <c r="U14" s="2">
        <f>IFERROR((s_dir!U14/(d_ss_Bv!T14+s_MLF_potato)),".")</f>
        <v>28802.560893294147</v>
      </c>
      <c r="V14" s="2">
        <f>IFERROR((s_dir!V14/(d_ss_Bv!U14+s_MLF_pumpkin)),".")</f>
        <v>28802.560893294147</v>
      </c>
      <c r="W14" s="2">
        <f>IFERROR((s_dir!W14/(d_ss_Bv!V14+s_MLF_snap_bean)),".")</f>
        <v>28802.560893294147</v>
      </c>
      <c r="X14" s="2">
        <f>IFERROR((s_dir!X14/(d_ss_Bv!W14+s_MLF_strawberry)),".")</f>
        <v>28802.560893294147</v>
      </c>
      <c r="Y14" s="2">
        <f>IFERROR((s_dir!Y14/(d_ss_Bv!X14+s_MLF_tomato)),".")</f>
        <v>28802.560893294147</v>
      </c>
      <c r="Z14" s="2">
        <f>IFERROR((s_dir!Z14/(d_ss_Bv!Y14+s_MLF_rice)),".")</f>
        <v>28802.560893294147</v>
      </c>
      <c r="AA14" s="2">
        <f>IFERROR((s_dir!AA14/(d_ss_Bv!Z14+s_MLF_cereal)),".")</f>
        <v>28802.560893294147</v>
      </c>
      <c r="AB14" s="10">
        <f t="shared" ref="AB14:AB76" si="4">SUM(AC14,AY14:AZ14)</f>
        <v>533.15625</v>
      </c>
      <c r="AC14" s="10">
        <f>s_C*(d_ss_Bv!C14+s_MLF_apple)*s_IFAP_res_adj*s_CF_apple</f>
        <v>177.71875</v>
      </c>
      <c r="AD14" s="10">
        <f>s_C*(d_ss_Bv!D14+s_MLF_asparagus)*s_IFAS_res_adj*s_CF_asparagus</f>
        <v>177.71875</v>
      </c>
      <c r="AE14" s="10">
        <f>s_C*(d_ss_Bv!E14+s_MLF_beet)*s_IFBT_res_adj*s_CF_beet</f>
        <v>177.71875</v>
      </c>
      <c r="AF14" s="10">
        <f>s_C*(d_ss_Bv!F14+s_MLF_berries)*s_IFBE_res_adj*s_CF_berries</f>
        <v>177.71875</v>
      </c>
      <c r="AG14" s="10">
        <f>s_C*(d_ss_Bv!G14+s_MLF_broccoli)*s_IFBR_res_adj*s_CF_broccoli</f>
        <v>177.71875</v>
      </c>
      <c r="AH14" s="10">
        <f>s_C*(d_ss_Bv!H14+s_MLF_cabbage)*s_IFCB_res_adj*s_CF_cabbage</f>
        <v>177.71875</v>
      </c>
      <c r="AI14" s="10">
        <f>s_C*(d_ss_Bv!I14+s_MLF_carrot)*s_IFCR_res_adj*s_CF_carrot</f>
        <v>177.71875</v>
      </c>
      <c r="AJ14" s="10">
        <f>s_C*(d_ss_Bv!J14+s_MLF_citrus)*s_IFCI_res_adj*s_CF_citrus</f>
        <v>177.71875</v>
      </c>
      <c r="AK14" s="10">
        <f>s_C*(d_ss_Bv!K14+s_MLF_corn)*s_IFCO_res_adj*s_CF_corn</f>
        <v>177.71875</v>
      </c>
      <c r="AL14" s="10">
        <f>s_C*(d_ss_Bv!L14+s_MLF_cucumber)*s_IFCU_res_adj*s_CF_cucumber</f>
        <v>177.71875</v>
      </c>
      <c r="AM14" s="10">
        <f>s_C*(d_ss_Bv!M14+s_MLF_lettuce)*s_IFLE_res_adj*s_CF_lettuce</f>
        <v>177.71875</v>
      </c>
      <c r="AN14" s="10">
        <f>s_C*(d_ss_Bv!N14+s_MLF_lima_bean)*s_IFLI_res_adj*s_CF_lima_bean</f>
        <v>177.71875</v>
      </c>
      <c r="AO14" s="10">
        <f>s_C*(d_ss_Bv!O14+s_MLF_okra)*s_IFOK_res_adj*s_CF_okra</f>
        <v>177.71875</v>
      </c>
      <c r="AP14" s="10">
        <f>s_C*(d_ss_Bv!P14+s_MLF_onion)*s_IFON_res_adj*s_CF_onion</f>
        <v>177.71875</v>
      </c>
      <c r="AQ14" s="10">
        <f>s_C*(d_ss_Bv!Q14+s_MLF_peach)*s_IFPC_res_adj*s_CF_peach</f>
        <v>177.71875</v>
      </c>
      <c r="AR14" s="10">
        <f>s_C*(d_ss_Bv!R14+s_MLF_pear)*s_IFPR_res_adj*s_CF_pear</f>
        <v>177.71875</v>
      </c>
      <c r="AS14" s="10">
        <f>s_C*(d_ss_Bv!S14+s_MLF_peas)*s_IFPE_res_adj*s_CF_peas</f>
        <v>177.71875</v>
      </c>
      <c r="AT14" s="10">
        <f>s_C*(d_ss_Bv!T14+s_MLF_potato)*s_IFPT_res_adj*s_CF_potato</f>
        <v>177.71875</v>
      </c>
      <c r="AU14" s="10">
        <f>s_C*(d_ss_Bv!U14+s_MLF_pumpkin)*s_IFPU_res_adj*s_CF_pumpkin</f>
        <v>177.71875</v>
      </c>
      <c r="AV14" s="10">
        <f>s_C*(d_ss_Bv!V14+s_MLF_snap_bean)*s_IFSN_res_adj*s_CF_snap_bean</f>
        <v>177.71875</v>
      </c>
      <c r="AW14" s="10">
        <f>s_C*(d_ss_Bv!W14+s_MLF_strawberry)*s_IFST_res_adj*s_CF_strawberry</f>
        <v>177.71875</v>
      </c>
      <c r="AX14" s="10">
        <f>s_C*(d_ss_Bv!X14+s_MLF_tomato)*s_IFTO_res_adj*s_CF_tomato</f>
        <v>177.71875</v>
      </c>
      <c r="AY14" s="10">
        <f>s_C*(d_ss_Bv!Y14+s_MLF_rice)*s_IFRI_res_adj*s_CF_rice</f>
        <v>177.71875</v>
      </c>
      <c r="AZ14" s="10">
        <f>s_C*(d_ss_Bv!Z14+s_MLF_cereal)*s_IFCG_res_adj*s_CF_cereal</f>
        <v>177.71875</v>
      </c>
      <c r="BA14" s="2">
        <f t="shared" si="2"/>
        <v>9600.8536310980489</v>
      </c>
      <c r="BB14" s="2">
        <f>IFERROR((s_dir!AC14/(d_ss_Bv!C14+s_MLF_apple)),".")</f>
        <v>28802.560893294147</v>
      </c>
      <c r="BC14" s="2">
        <f>IFERROR((s_dir!AD14/(d_ss_Bv!D14+s_MLF_asparagus)),".")</f>
        <v>28802.560893294147</v>
      </c>
      <c r="BD14" s="2">
        <f>IFERROR((s_dir!AE14/(d_ss_Bv!E14+s_MLF_beet)),".")</f>
        <v>28802.560893294147</v>
      </c>
      <c r="BE14" s="2">
        <f>IFERROR((s_dir!AF14/(d_ss_Bv!F14+s_MLF_berries)),".")</f>
        <v>28802.560893294147</v>
      </c>
      <c r="BF14" s="2">
        <f>IFERROR((s_dir!AG14/(d_ss_Bv!G14+s_MLF_broccoli)),".")</f>
        <v>28802.560893294147</v>
      </c>
      <c r="BG14" s="2">
        <f>IFERROR((s_dir!AH14/(d_ss_Bv!H14+s_MLF_cabbage)),".")</f>
        <v>28802.560893294147</v>
      </c>
      <c r="BH14" s="2">
        <f>IFERROR((s_dir!AI14/(d_ss_Bv!I14+s_MLF_carrot)),".")</f>
        <v>28802.560893294147</v>
      </c>
      <c r="BI14" s="2">
        <f>IFERROR((s_dir!AJ14/(d_ss_Bv!J14+s_MLF_citrus)),".")</f>
        <v>28802.560893294147</v>
      </c>
      <c r="BJ14" s="2">
        <f>IFERROR((s_dir!AK14/(d_ss_Bv!K14+s_MLF_corn)),".")</f>
        <v>28802.560893294147</v>
      </c>
      <c r="BK14" s="2">
        <f>IFERROR((s_dir!AL14/(d_ss_Bv!L14+s_MLF_cucumber)),".")</f>
        <v>28802.560893294147</v>
      </c>
      <c r="BL14" s="2">
        <f>IFERROR((s_dir!AM14/(d_ss_Bv!M14+s_MLF_lettuce)),".")</f>
        <v>28802.560893294147</v>
      </c>
      <c r="BM14" s="2">
        <f>IFERROR((s_dir!AN14/(d_ss_Bv!N14+s_MLF_lima_bean)),".")</f>
        <v>28802.560893294147</v>
      </c>
      <c r="BN14" s="2">
        <f>IFERROR((s_dir!AO14/(d_ss_Bv!O14+s_MLF_okra)),".")</f>
        <v>28802.560893294147</v>
      </c>
      <c r="BO14" s="2">
        <f>IFERROR((s_dir!AP14/(d_ss_Bv!P14+s_MLF_onion)),".")</f>
        <v>28802.560893294147</v>
      </c>
      <c r="BP14" s="2">
        <f>IFERROR((s_dir!AQ14/(d_ss_Bv!Q14+s_MLF_peach)),".")</f>
        <v>28802.560893294147</v>
      </c>
      <c r="BQ14" s="2">
        <f>IFERROR((s_dir!AR14/(d_ss_Bv!R14+s_MLF_pear)),".")</f>
        <v>28802.560893294147</v>
      </c>
      <c r="BR14" s="2">
        <f>IFERROR((s_dir!AS14/(d_ss_Bv!S14+s_MLF_peas)),".")</f>
        <v>28802.560893294147</v>
      </c>
      <c r="BS14" s="2">
        <f>IFERROR((s_dir!AT14/(d_ss_Bv!T14+s_MLF_potato)),".")</f>
        <v>28802.560893294147</v>
      </c>
      <c r="BT14" s="2">
        <f>IFERROR((s_dir!AU14/(d_ss_Bv!U14+s_MLF_pumpkin)),".")</f>
        <v>28802.560893294147</v>
      </c>
      <c r="BU14" s="2">
        <f>IFERROR((s_dir!AV14/(d_ss_Bv!V14+s_MLF_snap_bean)),".")</f>
        <v>28802.560893294147</v>
      </c>
      <c r="BV14" s="2">
        <f>IFERROR((s_dir!AW14/(d_ss_Bv!W14+s_MLF_strawberry)),".")</f>
        <v>28802.560893294147</v>
      </c>
      <c r="BW14" s="2">
        <f>IFERROR((s_dir!AX14/(d_ss_Bv!X14+s_MLF_tomato)),".")</f>
        <v>28802.560893294147</v>
      </c>
      <c r="BX14" s="2">
        <f>IFERROR((s_dir!AY14/(d_ss_Bv!Y14+s_MLF_rice)),".")</f>
        <v>28802.560893294147</v>
      </c>
      <c r="BY14" s="2">
        <f>IFERROR((s_dir!AZ14/(d_ss_Bv!Z14+s_MLF_cereal)),".")</f>
        <v>28802.560893294147</v>
      </c>
      <c r="BZ14" s="10">
        <f t="shared" si="3"/>
        <v>533.15625</v>
      </c>
      <c r="CA14" s="10">
        <f>IFERROR(s_C*(d_ss_Bv!C14+s_MLF_apple)*s_IFAP_far_adj*s_CF_apple,".")</f>
        <v>177.71875</v>
      </c>
      <c r="CB14" s="10">
        <f>IFERROR(s_C*(d_ss_Bv!D14+s_MLF_asparagus)*s_IFAS_far_adj*s_CF_asparagus,".")</f>
        <v>177.71875</v>
      </c>
      <c r="CC14" s="10">
        <f>IFERROR(s_C*(d_ss_Bv!E14+s_MLF_beet)*s_IFBT_far_adj*s_CF_beet,".")</f>
        <v>177.71875</v>
      </c>
      <c r="CD14" s="10">
        <f>IFERROR(s_C*(d_ss_Bv!F14+s_MLF_berries)*s_IFBR_far_adj*s_CF_berries,".")</f>
        <v>177.71875</v>
      </c>
      <c r="CE14" s="10">
        <f>IFERROR(s_C*(d_ss_Bv!G14+s_MLF_broccoli)*s_IFBR_far_adj*s_CF_broccoli,".")</f>
        <v>177.71875</v>
      </c>
      <c r="CF14" s="10">
        <f>IFERROR(s_C*(d_ss_Bv!H14+s_MLF_cabbage)*s_IFCB_far_adj*s_CF_cabbage,".")</f>
        <v>177.71875</v>
      </c>
      <c r="CG14" s="10">
        <f>IFERROR(s_C*(d_ss_Bv!I14+s_MLF_carrot)*s_IFCR_far_adj*s_CF_carrot,".")</f>
        <v>177.71875</v>
      </c>
      <c r="CH14" s="10">
        <f>IFERROR(s_C*(d_ss_Bv!J14+s_MLF_citrus)*s_IFCI_far_adj*s_CF_citrus,".")</f>
        <v>177.71875</v>
      </c>
      <c r="CI14" s="10">
        <f>IFERROR(s_C*(d_ss_Bv!K14+s_MLF_corn)*s_IFCO_far_adj*s_CF_corn,".")</f>
        <v>177.71875</v>
      </c>
      <c r="CJ14" s="10">
        <f>IFERROR(s_C*(d_ss_Bv!L14+s_MLF_cucumber)*s_IFCU_far_adj*s_CF_cucumber,".")</f>
        <v>177.71875</v>
      </c>
      <c r="CK14" s="10">
        <f>IFERROR(s_C*(d_ss_Bv!M14+s_MLF_lettuce)*s_IFLE_far_adj*s_CF_lettuce,".")</f>
        <v>177.71875</v>
      </c>
      <c r="CL14" s="10">
        <f>IFERROR(s_C*(d_ss_Bv!N14+s_MLF_lima_bean)*s_IFLI_far_adj*s_CF_lima_bean,".")</f>
        <v>177.71875</v>
      </c>
      <c r="CM14" s="10">
        <f>IFERROR(s_C*(d_ss_Bv!O14+s_MLF_okra)*s_IFOK_far_adj*s_CF_okra,".")</f>
        <v>177.71875</v>
      </c>
      <c r="CN14" s="10">
        <f>IFERROR(s_C*(d_ss_Bv!P14+s_MLF_onion)*s_IFON_far_adj*s_CF_onion,".")</f>
        <v>177.71875</v>
      </c>
      <c r="CO14" s="10">
        <f>IFERROR(s_C*(d_ss_Bv!Q14+s_MLF_peach)*s_IFPC_far_adj*s_CF_peach,".")</f>
        <v>177.71875</v>
      </c>
      <c r="CP14" s="10">
        <f>IFERROR(s_C*(d_ss_Bv!R14+s_MLF_pear)*s_IFPR_far_adj*s_CF_pear,".")</f>
        <v>177.71875</v>
      </c>
      <c r="CQ14" s="10">
        <f>IFERROR(s_C*(d_ss_Bv!S14+s_MLF_peas)*s_IFPE_far_adj*s_CF_peas,".")</f>
        <v>177.71875</v>
      </c>
      <c r="CR14" s="10">
        <f>IFERROR(s_C*(d_ss_Bv!T14+s_MLF_potato)*s_IFPT_far_adj*s_CF_potato,".")</f>
        <v>177.71875</v>
      </c>
      <c r="CS14" s="10">
        <f>IFERROR(s_C*(d_ss_Bv!U14+s_MLF_pumpkin)*s_IFPU_far_adj*s_CF_pumpkin,".")</f>
        <v>177.71875</v>
      </c>
      <c r="CT14" s="10">
        <f>IFERROR(s_C*(d_ss_Bv!V14+s_MLF_snap_bean)*s_IFSN_far_adj*s_CF_snap_bean,".")</f>
        <v>177.71875</v>
      </c>
      <c r="CU14" s="10">
        <f>IFERROR(s_C*(d_ss_Bv!W14+s_MLF_strawberry)*s_IFST_far_adj*s_CF_strawberry,".")</f>
        <v>177.71875</v>
      </c>
      <c r="CV14" s="10">
        <f>IFERROR(s_C*(d_ss_Bv!X14+s_MLF_tomato)*s_IFTO_far_adj*s_CF_tomato,".")</f>
        <v>177.71875</v>
      </c>
      <c r="CW14" s="10">
        <f>IFERROR(s_C*(d_ss_Bv!Y14+s_MLF_rice)*s_IFRI_far_adj*s_CF_rice,".")</f>
        <v>177.71875</v>
      </c>
      <c r="CX14" s="10">
        <f>IFERROR(s_C*(d_ss_Bv!Z14+s_MLF_cereal)*s_IFCG_far_adj*s_CF_cereal,".")</f>
        <v>177.71875</v>
      </c>
    </row>
    <row r="15" spans="1:102" ht="15" customHeight="1" x14ac:dyDescent="0.25">
      <c r="A15" s="31" t="s">
        <v>13</v>
      </c>
      <c r="B15" s="3" t="s">
        <v>1059</v>
      </c>
      <c r="C15" s="2">
        <f t="shared" si="0"/>
        <v>193568.23938359777</v>
      </c>
      <c r="D15" s="2">
        <f>IFERROR((s_dir!D15/(d_ss_Bv!C15+s_MLF_apple)),".")</f>
        <v>508960.91538351099</v>
      </c>
      <c r="E15" s="2">
        <f>IFERROR((s_dir!E15/(d_ss_Bv!D15+s_MLF_asparagus)),".")</f>
        <v>127920.65787713912</v>
      </c>
      <c r="F15" s="2">
        <f>IFERROR((s_dir!F15/(d_ss_Bv!E15+s_MLF_beet)),".")</f>
        <v>419669.52671973716</v>
      </c>
      <c r="G15" s="2">
        <f>IFERROR((s_dir!G15/(d_ss_Bv!F15+s_MLF_berries)),".")</f>
        <v>508960.91538351099</v>
      </c>
      <c r="H15" s="2">
        <f>IFERROR((s_dir!H15/(d_ss_Bv!G15+s_MLF_broccoli)),".")</f>
        <v>419669.52671973716</v>
      </c>
      <c r="I15" s="2">
        <f>IFERROR((s_dir!I15/(d_ss_Bv!H15+s_MLF_cabbage)),".")</f>
        <v>127920.65787713912</v>
      </c>
      <c r="J15" s="2">
        <f>IFERROR((s_dir!J15/(d_ss_Bv!I15+s_MLF_carrot)),".")</f>
        <v>419669.52671973716</v>
      </c>
      <c r="K15" s="2">
        <f>IFERROR((s_dir!K15/(d_ss_Bv!J15+s_MLF_citrus)),".")</f>
        <v>508960.91538351099</v>
      </c>
      <c r="L15" s="2">
        <f>IFERROR((s_dir!L15/(d_ss_Bv!K15+s_MLF_corn)),".")</f>
        <v>813645.00078316382</v>
      </c>
      <c r="M15" s="2">
        <f>IFERROR((s_dir!M15/(d_ss_Bv!L15+s_MLF_cucumber)),".")</f>
        <v>419669.52671973716</v>
      </c>
      <c r="N15" s="2">
        <f>IFERROR((s_dir!N15/(d_ss_Bv!M15+s_MLF_lettuce)),".")</f>
        <v>127920.65787713912</v>
      </c>
      <c r="O15" s="2">
        <f>IFERROR((s_dir!O15/(d_ss_Bv!N15+s_MLF_lima_bean)),".")</f>
        <v>636201.14422938868</v>
      </c>
      <c r="P15" s="2">
        <f>IFERROR((s_dir!P15/(d_ss_Bv!O15+s_MLF_okra)),".")</f>
        <v>419669.52671973716</v>
      </c>
      <c r="Q15" s="2">
        <f>IFERROR((s_dir!Q15/(d_ss_Bv!P15+s_MLF_onion)),".")</f>
        <v>419669.52671973716</v>
      </c>
      <c r="R15" s="2">
        <f>IFERROR((s_dir!R15/(d_ss_Bv!Q15+s_MLF_peach)),".")</f>
        <v>508960.91538351099</v>
      </c>
      <c r="S15" s="2">
        <f>IFERROR((s_dir!S15/(d_ss_Bv!R15+s_MLF_pear)),".")</f>
        <v>508960.91538351099</v>
      </c>
      <c r="T15" s="2">
        <f>IFERROR((s_dir!T15/(d_ss_Bv!S15+s_MLF_peas)),".")</f>
        <v>636201.14422938868</v>
      </c>
      <c r="U15" s="2">
        <f>IFERROR((s_dir!U15/(d_ss_Bv!T15+s_MLF_potato)),".")</f>
        <v>797372.10076750058</v>
      </c>
      <c r="V15" s="2">
        <f>IFERROR((s_dir!V15/(d_ss_Bv!U15+s_MLF_pumpkin)),".")</f>
        <v>419669.52671973716</v>
      </c>
      <c r="W15" s="2">
        <f>IFERROR((s_dir!W15/(d_ss_Bv!V15+s_MLF_snap_bean)),".")</f>
        <v>636201.14422938868</v>
      </c>
      <c r="X15" s="2">
        <f>IFERROR((s_dir!X15/(d_ss_Bv!W15+s_MLF_strawberry)),".")</f>
        <v>508960.91538351099</v>
      </c>
      <c r="Y15" s="2">
        <f>IFERROR((s_dir!Y15/(d_ss_Bv!X15+s_MLF_tomato)),".")</f>
        <v>419669.52671973716</v>
      </c>
      <c r="Z15" s="2">
        <f>IFERROR((s_dir!Z15/(d_ss_Bv!Y15+s_MLF_rice)),".")</f>
        <v>867337.31047951465</v>
      </c>
      <c r="AA15" s="2">
        <f>IFERROR((s_dir!AA15/(d_ss_Bv!Z15+s_MLF_cereal)),".")</f>
        <v>488187.00046989828</v>
      </c>
      <c r="AB15" s="10">
        <f t="shared" si="4"/>
        <v>467.28687500000001</v>
      </c>
      <c r="AC15" s="10">
        <f>s_C*(d_ss_Bv!C15+s_MLF_apple)*s_IFAP_res_adj*s_CF_apple</f>
        <v>177.71875</v>
      </c>
      <c r="AD15" s="10">
        <f>s_C*(d_ss_Bv!D15+s_MLF_asparagus)*s_IFAS_res_adj*s_CF_asparagus</f>
        <v>707.09375</v>
      </c>
      <c r="AE15" s="10">
        <f>s_C*(d_ss_Bv!E15+s_MLF_beet)*s_IFBT_res_adj*s_CF_beet</f>
        <v>215.53124999999997</v>
      </c>
      <c r="AF15" s="10">
        <f>s_C*(d_ss_Bv!F15+s_MLF_berries)*s_IFBE_res_adj*s_CF_berries</f>
        <v>177.71875</v>
      </c>
      <c r="AG15" s="10">
        <f>s_C*(d_ss_Bv!G15+s_MLF_broccoli)*s_IFBR_res_adj*s_CF_broccoli</f>
        <v>215.53124999999997</v>
      </c>
      <c r="AH15" s="10">
        <f>s_C*(d_ss_Bv!H15+s_MLF_cabbage)*s_IFCB_res_adj*s_CF_cabbage</f>
        <v>707.09375</v>
      </c>
      <c r="AI15" s="10">
        <f>s_C*(d_ss_Bv!I15+s_MLF_carrot)*s_IFCR_res_adj*s_CF_carrot</f>
        <v>215.53124999999997</v>
      </c>
      <c r="AJ15" s="10">
        <f>s_C*(d_ss_Bv!J15+s_MLF_citrus)*s_IFCI_res_adj*s_CF_citrus</f>
        <v>177.71875</v>
      </c>
      <c r="AK15" s="10">
        <f>s_C*(d_ss_Bv!K15+s_MLF_corn)*s_IFCO_res_adj*s_CF_corn</f>
        <v>111.16874999999999</v>
      </c>
      <c r="AL15" s="10">
        <f>s_C*(d_ss_Bv!L15+s_MLF_cucumber)*s_IFCU_res_adj*s_CF_cucumber</f>
        <v>215.53124999999997</v>
      </c>
      <c r="AM15" s="10">
        <f>s_C*(d_ss_Bv!M15+s_MLF_lettuce)*s_IFLE_res_adj*s_CF_lettuce</f>
        <v>707.09375</v>
      </c>
      <c r="AN15" s="10">
        <f>s_C*(d_ss_Bv!N15+s_MLF_lima_bean)*s_IFLI_res_adj*s_CF_lima_bean</f>
        <v>142.17500000000001</v>
      </c>
      <c r="AO15" s="10">
        <f>s_C*(d_ss_Bv!O15+s_MLF_okra)*s_IFOK_res_adj*s_CF_okra</f>
        <v>215.53124999999997</v>
      </c>
      <c r="AP15" s="10">
        <f>s_C*(d_ss_Bv!P15+s_MLF_onion)*s_IFON_res_adj*s_CF_onion</f>
        <v>215.53124999999997</v>
      </c>
      <c r="AQ15" s="10">
        <f>s_C*(d_ss_Bv!Q15+s_MLF_peach)*s_IFPC_res_adj*s_CF_peach</f>
        <v>177.71875</v>
      </c>
      <c r="AR15" s="10">
        <f>s_C*(d_ss_Bv!R15+s_MLF_pear)*s_IFPR_res_adj*s_CF_pear</f>
        <v>177.71875</v>
      </c>
      <c r="AS15" s="10">
        <f>s_C*(d_ss_Bv!S15+s_MLF_peas)*s_IFPE_res_adj*s_CF_peas</f>
        <v>142.17500000000001</v>
      </c>
      <c r="AT15" s="10">
        <f>s_C*(d_ss_Bv!T15+s_MLF_potato)*s_IFPT_res_adj*s_CF_potato</f>
        <v>113.4375</v>
      </c>
      <c r="AU15" s="10">
        <f>s_C*(d_ss_Bv!U15+s_MLF_pumpkin)*s_IFPU_res_adj*s_CF_pumpkin</f>
        <v>215.53124999999997</v>
      </c>
      <c r="AV15" s="10">
        <f>s_C*(d_ss_Bv!V15+s_MLF_snap_bean)*s_IFSN_res_adj*s_CF_snap_bean</f>
        <v>142.17500000000001</v>
      </c>
      <c r="AW15" s="10">
        <f>s_C*(d_ss_Bv!W15+s_MLF_strawberry)*s_IFST_res_adj*s_CF_strawberry</f>
        <v>177.71875</v>
      </c>
      <c r="AX15" s="10">
        <f>s_C*(d_ss_Bv!X15+s_MLF_tomato)*s_IFTO_res_adj*s_CF_tomato</f>
        <v>215.53124999999997</v>
      </c>
      <c r="AY15" s="10">
        <f>s_C*(d_ss_Bv!Y15+s_MLF_rice)*s_IFRI_res_adj*s_CF_rice</f>
        <v>104.28687499999999</v>
      </c>
      <c r="AZ15" s="10">
        <f>s_C*(d_ss_Bv!Z15+s_MLF_cereal)*s_IFCG_res_adj*s_CF_cereal</f>
        <v>185.28125</v>
      </c>
      <c r="BA15" s="2">
        <f t="shared" si="2"/>
        <v>193568.23938359777</v>
      </c>
      <c r="BB15" s="2">
        <f>IFERROR((s_dir!AC15/(d_ss_Bv!C15+s_MLF_apple)),".")</f>
        <v>508960.91538351099</v>
      </c>
      <c r="BC15" s="2">
        <f>IFERROR((s_dir!AD15/(d_ss_Bv!D15+s_MLF_asparagus)),".")</f>
        <v>127920.65787713912</v>
      </c>
      <c r="BD15" s="2">
        <f>IFERROR((s_dir!AE15/(d_ss_Bv!E15+s_MLF_beet)),".")</f>
        <v>419669.52671973716</v>
      </c>
      <c r="BE15" s="2">
        <f>IFERROR((s_dir!AF15/(d_ss_Bv!F15+s_MLF_berries)),".")</f>
        <v>508960.91538351099</v>
      </c>
      <c r="BF15" s="2">
        <f>IFERROR((s_dir!AG15/(d_ss_Bv!G15+s_MLF_broccoli)),".")</f>
        <v>419669.52671973716</v>
      </c>
      <c r="BG15" s="2">
        <f>IFERROR((s_dir!AH15/(d_ss_Bv!H15+s_MLF_cabbage)),".")</f>
        <v>127920.65787713912</v>
      </c>
      <c r="BH15" s="2">
        <f>IFERROR((s_dir!AI15/(d_ss_Bv!I15+s_MLF_carrot)),".")</f>
        <v>419669.52671973716</v>
      </c>
      <c r="BI15" s="2">
        <f>IFERROR((s_dir!AJ15/(d_ss_Bv!J15+s_MLF_citrus)),".")</f>
        <v>508960.91538351099</v>
      </c>
      <c r="BJ15" s="2">
        <f>IFERROR((s_dir!AK15/(d_ss_Bv!K15+s_MLF_corn)),".")</f>
        <v>813645.00078316382</v>
      </c>
      <c r="BK15" s="2">
        <f>IFERROR((s_dir!AL15/(d_ss_Bv!L15+s_MLF_cucumber)),".")</f>
        <v>419669.52671973716</v>
      </c>
      <c r="BL15" s="2">
        <f>IFERROR((s_dir!AM15/(d_ss_Bv!M15+s_MLF_lettuce)),".")</f>
        <v>127920.65787713912</v>
      </c>
      <c r="BM15" s="2">
        <f>IFERROR((s_dir!AN15/(d_ss_Bv!N15+s_MLF_lima_bean)),".")</f>
        <v>636201.14422938868</v>
      </c>
      <c r="BN15" s="2">
        <f>IFERROR((s_dir!AO15/(d_ss_Bv!O15+s_MLF_okra)),".")</f>
        <v>419669.52671973716</v>
      </c>
      <c r="BO15" s="2">
        <f>IFERROR((s_dir!AP15/(d_ss_Bv!P15+s_MLF_onion)),".")</f>
        <v>419669.52671973716</v>
      </c>
      <c r="BP15" s="2">
        <f>IFERROR((s_dir!AQ15/(d_ss_Bv!Q15+s_MLF_peach)),".")</f>
        <v>508960.91538351099</v>
      </c>
      <c r="BQ15" s="2">
        <f>IFERROR((s_dir!AR15/(d_ss_Bv!R15+s_MLF_pear)),".")</f>
        <v>508960.91538351099</v>
      </c>
      <c r="BR15" s="2">
        <f>IFERROR((s_dir!AS15/(d_ss_Bv!S15+s_MLF_peas)),".")</f>
        <v>636201.14422938868</v>
      </c>
      <c r="BS15" s="2">
        <f>IFERROR((s_dir!AT15/(d_ss_Bv!T15+s_MLF_potato)),".")</f>
        <v>797372.10076750058</v>
      </c>
      <c r="BT15" s="2">
        <f>IFERROR((s_dir!AU15/(d_ss_Bv!U15+s_MLF_pumpkin)),".")</f>
        <v>419669.52671973716</v>
      </c>
      <c r="BU15" s="2">
        <f>IFERROR((s_dir!AV15/(d_ss_Bv!V15+s_MLF_snap_bean)),".")</f>
        <v>636201.14422938868</v>
      </c>
      <c r="BV15" s="2">
        <f>IFERROR((s_dir!AW15/(d_ss_Bv!W15+s_MLF_strawberry)),".")</f>
        <v>508960.91538351099</v>
      </c>
      <c r="BW15" s="2">
        <f>IFERROR((s_dir!AX15/(d_ss_Bv!X15+s_MLF_tomato)),".")</f>
        <v>419669.52671973716</v>
      </c>
      <c r="BX15" s="2">
        <f>IFERROR((s_dir!AY15/(d_ss_Bv!Y15+s_MLF_rice)),".")</f>
        <v>867337.31047951465</v>
      </c>
      <c r="BY15" s="2">
        <f>IFERROR((s_dir!AZ15/(d_ss_Bv!Z15+s_MLF_cereal)),".")</f>
        <v>488187.00046989828</v>
      </c>
      <c r="BZ15" s="10">
        <f t="shared" si="3"/>
        <v>467.28687500000001</v>
      </c>
      <c r="CA15" s="10">
        <f>IFERROR(s_C*(d_ss_Bv!C15+s_MLF_apple)*s_IFAP_far_adj*s_CF_apple,".")</f>
        <v>177.71875</v>
      </c>
      <c r="CB15" s="10">
        <f>IFERROR(s_C*(d_ss_Bv!D15+s_MLF_asparagus)*s_IFAS_far_adj*s_CF_asparagus,".")</f>
        <v>707.09375</v>
      </c>
      <c r="CC15" s="10">
        <f>IFERROR(s_C*(d_ss_Bv!E15+s_MLF_beet)*s_IFBT_far_adj*s_CF_beet,".")</f>
        <v>215.53124999999997</v>
      </c>
      <c r="CD15" s="10">
        <f>IFERROR(s_C*(d_ss_Bv!F15+s_MLF_berries)*s_IFBR_far_adj*s_CF_berries,".")</f>
        <v>177.71875</v>
      </c>
      <c r="CE15" s="10">
        <f>IFERROR(s_C*(d_ss_Bv!G15+s_MLF_broccoli)*s_IFBR_far_adj*s_CF_broccoli,".")</f>
        <v>215.53124999999997</v>
      </c>
      <c r="CF15" s="10">
        <f>IFERROR(s_C*(d_ss_Bv!H15+s_MLF_cabbage)*s_IFCB_far_adj*s_CF_cabbage,".")</f>
        <v>707.09375</v>
      </c>
      <c r="CG15" s="10">
        <f>IFERROR(s_C*(d_ss_Bv!I15+s_MLF_carrot)*s_IFCR_far_adj*s_CF_carrot,".")</f>
        <v>215.53124999999997</v>
      </c>
      <c r="CH15" s="10">
        <f>IFERROR(s_C*(d_ss_Bv!J15+s_MLF_citrus)*s_IFCI_far_adj*s_CF_citrus,".")</f>
        <v>177.71875</v>
      </c>
      <c r="CI15" s="10">
        <f>IFERROR(s_C*(d_ss_Bv!K15+s_MLF_corn)*s_IFCO_far_adj*s_CF_corn,".")</f>
        <v>111.16874999999999</v>
      </c>
      <c r="CJ15" s="10">
        <f>IFERROR(s_C*(d_ss_Bv!L15+s_MLF_cucumber)*s_IFCU_far_adj*s_CF_cucumber,".")</f>
        <v>215.53124999999997</v>
      </c>
      <c r="CK15" s="10">
        <f>IFERROR(s_C*(d_ss_Bv!M15+s_MLF_lettuce)*s_IFLE_far_adj*s_CF_lettuce,".")</f>
        <v>707.09375</v>
      </c>
      <c r="CL15" s="10">
        <f>IFERROR(s_C*(d_ss_Bv!N15+s_MLF_lima_bean)*s_IFLI_far_adj*s_CF_lima_bean,".")</f>
        <v>142.17500000000001</v>
      </c>
      <c r="CM15" s="10">
        <f>IFERROR(s_C*(d_ss_Bv!O15+s_MLF_okra)*s_IFOK_far_adj*s_CF_okra,".")</f>
        <v>215.53124999999997</v>
      </c>
      <c r="CN15" s="10">
        <f>IFERROR(s_C*(d_ss_Bv!P15+s_MLF_onion)*s_IFON_far_adj*s_CF_onion,".")</f>
        <v>215.53124999999997</v>
      </c>
      <c r="CO15" s="10">
        <f>IFERROR(s_C*(d_ss_Bv!Q15+s_MLF_peach)*s_IFPC_far_adj*s_CF_peach,".")</f>
        <v>177.71875</v>
      </c>
      <c r="CP15" s="10">
        <f>IFERROR(s_C*(d_ss_Bv!R15+s_MLF_pear)*s_IFPR_far_adj*s_CF_pear,".")</f>
        <v>177.71875</v>
      </c>
      <c r="CQ15" s="10">
        <f>IFERROR(s_C*(d_ss_Bv!S15+s_MLF_peas)*s_IFPE_far_adj*s_CF_peas,".")</f>
        <v>142.17500000000001</v>
      </c>
      <c r="CR15" s="10">
        <f>IFERROR(s_C*(d_ss_Bv!T15+s_MLF_potato)*s_IFPT_far_adj*s_CF_potato,".")</f>
        <v>113.4375</v>
      </c>
      <c r="CS15" s="10">
        <f>IFERROR(s_C*(d_ss_Bv!U15+s_MLF_pumpkin)*s_IFPU_far_adj*s_CF_pumpkin,".")</f>
        <v>215.53124999999997</v>
      </c>
      <c r="CT15" s="10">
        <f>IFERROR(s_C*(d_ss_Bv!V15+s_MLF_snap_bean)*s_IFSN_far_adj*s_CF_snap_bean,".")</f>
        <v>142.17500000000001</v>
      </c>
      <c r="CU15" s="10">
        <f>IFERROR(s_C*(d_ss_Bv!W15+s_MLF_strawberry)*s_IFST_far_adj*s_CF_strawberry,".")</f>
        <v>177.71875</v>
      </c>
      <c r="CV15" s="10">
        <f>IFERROR(s_C*(d_ss_Bv!X15+s_MLF_tomato)*s_IFTO_far_adj*s_CF_tomato,".")</f>
        <v>215.53124999999997</v>
      </c>
      <c r="CW15" s="10">
        <f>IFERROR(s_C*(d_ss_Bv!Y15+s_MLF_rice)*s_IFRI_far_adj*s_CF_rice,".")</f>
        <v>104.28687499999999</v>
      </c>
      <c r="CX15" s="10">
        <f>IFERROR(s_C*(d_ss_Bv!Z15+s_MLF_cereal)*s_IFCG_far_adj*s_CF_cereal,".")</f>
        <v>185.28125</v>
      </c>
    </row>
    <row r="16" spans="1:102" ht="15" customHeight="1" x14ac:dyDescent="0.25">
      <c r="A16" s="31" t="s">
        <v>14</v>
      </c>
      <c r="B16" s="3" t="s">
        <v>1059</v>
      </c>
      <c r="C16" s="2">
        <f t="shared" si="0"/>
        <v>14.176026943092898</v>
      </c>
      <c r="D16" s="2">
        <f>IFERROR((s_dir!D16/(d_ss_Bv!C16+s_MLF_apple)),".")</f>
        <v>37.273902332498309</v>
      </c>
      <c r="E16" s="2">
        <f>IFERROR((s_dir!E16/(d_ss_Bv!D16+s_MLF_asparagus)),".")</f>
        <v>9.3683070033551896</v>
      </c>
      <c r="F16" s="2">
        <f>IFERROR((s_dir!F16/(d_ss_Bv!E16+s_MLF_beet)),".")</f>
        <v>30.734621221533693</v>
      </c>
      <c r="G16" s="2">
        <f>IFERROR((s_dir!G16/(d_ss_Bv!F16+s_MLF_berries)),".")</f>
        <v>37.273902332498309</v>
      </c>
      <c r="H16" s="2">
        <f>IFERROR((s_dir!H16/(d_ss_Bv!G16+s_MLF_broccoli)),".")</f>
        <v>30.734621221533693</v>
      </c>
      <c r="I16" s="2">
        <f>IFERROR((s_dir!I16/(d_ss_Bv!H16+s_MLF_cabbage)),".")</f>
        <v>9.3683070033551896</v>
      </c>
      <c r="J16" s="2">
        <f>IFERROR((s_dir!J16/(d_ss_Bv!I16+s_MLF_carrot)),".")</f>
        <v>30.734621221533693</v>
      </c>
      <c r="K16" s="2">
        <f>IFERROR((s_dir!K16/(d_ss_Bv!J16+s_MLF_citrus)),".")</f>
        <v>37.273902332498309</v>
      </c>
      <c r="L16" s="2">
        <f>IFERROR((s_dir!L16/(d_ss_Bv!K16+s_MLF_corn)),".")</f>
        <v>59.587530939708181</v>
      </c>
      <c r="M16" s="2">
        <f>IFERROR((s_dir!M16/(d_ss_Bv!L16+s_MLF_cucumber)),".")</f>
        <v>30.734621221533693</v>
      </c>
      <c r="N16" s="2">
        <f>IFERROR((s_dir!N16/(d_ss_Bv!M16+s_MLF_lettuce)),".")</f>
        <v>9.3683070033551896</v>
      </c>
      <c r="O16" s="2">
        <f>IFERROR((s_dir!O16/(d_ss_Bv!N16+s_MLF_lima_bean)),".")</f>
        <v>46.592377915622883</v>
      </c>
      <c r="P16" s="2">
        <f>IFERROR((s_dir!P16/(d_ss_Bv!O16+s_MLF_okra)),".")</f>
        <v>30.734621221533693</v>
      </c>
      <c r="Q16" s="2">
        <f>IFERROR((s_dir!Q16/(d_ss_Bv!P16+s_MLF_onion)),".")</f>
        <v>30.734621221533693</v>
      </c>
      <c r="R16" s="2">
        <f>IFERROR((s_dir!R16/(d_ss_Bv!Q16+s_MLF_peach)),".")</f>
        <v>37.273902332498309</v>
      </c>
      <c r="S16" s="2">
        <f>IFERROR((s_dir!S16/(d_ss_Bv!R16+s_MLF_pear)),".")</f>
        <v>37.273902332498309</v>
      </c>
      <c r="T16" s="2">
        <f>IFERROR((s_dir!T16/(d_ss_Bv!S16+s_MLF_peas)),".")</f>
        <v>46.592377915622883</v>
      </c>
      <c r="U16" s="2">
        <f>IFERROR((s_dir!U16/(d_ss_Bv!T16+s_MLF_potato)),".")</f>
        <v>58.395780320914014</v>
      </c>
      <c r="V16" s="2">
        <f>IFERROR((s_dir!V16/(d_ss_Bv!U16+s_MLF_pumpkin)),".")</f>
        <v>30.734621221533693</v>
      </c>
      <c r="W16" s="2">
        <f>IFERROR((s_dir!W16/(d_ss_Bv!V16+s_MLF_snap_bean)),".")</f>
        <v>46.592377915622883</v>
      </c>
      <c r="X16" s="2">
        <f>IFERROR((s_dir!X16/(d_ss_Bv!W16+s_MLF_strawberry)),".")</f>
        <v>37.273902332498309</v>
      </c>
      <c r="Y16" s="2">
        <f>IFERROR((s_dir!Y16/(d_ss_Bv!X16+s_MLF_tomato)),".")</f>
        <v>30.734621221533693</v>
      </c>
      <c r="Z16" s="2">
        <f>IFERROR((s_dir!Z16/(d_ss_Bv!Y16+s_MLF_rice)),".")</f>
        <v>63.519703032176231</v>
      </c>
      <c r="AA16" s="2">
        <f>IFERROR((s_dir!AA16/(d_ss_Bv!Z16+s_MLF_cereal)),".")</f>
        <v>35.752518563824907</v>
      </c>
      <c r="AB16" s="10">
        <f t="shared" si="4"/>
        <v>467.28687500000001</v>
      </c>
      <c r="AC16" s="10">
        <f>s_C*(d_ss_Bv!C16+s_MLF_apple)*s_IFAP_res_adj*s_CF_apple</f>
        <v>177.71875</v>
      </c>
      <c r="AD16" s="10">
        <f>s_C*(d_ss_Bv!D16+s_MLF_asparagus)*s_IFAS_res_adj*s_CF_asparagus</f>
        <v>707.09375</v>
      </c>
      <c r="AE16" s="10">
        <f>s_C*(d_ss_Bv!E16+s_MLF_beet)*s_IFBT_res_adj*s_CF_beet</f>
        <v>215.53124999999997</v>
      </c>
      <c r="AF16" s="10">
        <f>s_C*(d_ss_Bv!F16+s_MLF_berries)*s_IFBE_res_adj*s_CF_berries</f>
        <v>177.71875</v>
      </c>
      <c r="AG16" s="10">
        <f>s_C*(d_ss_Bv!G16+s_MLF_broccoli)*s_IFBR_res_adj*s_CF_broccoli</f>
        <v>215.53124999999997</v>
      </c>
      <c r="AH16" s="10">
        <f>s_C*(d_ss_Bv!H16+s_MLF_cabbage)*s_IFCB_res_adj*s_CF_cabbage</f>
        <v>707.09375</v>
      </c>
      <c r="AI16" s="10">
        <f>s_C*(d_ss_Bv!I16+s_MLF_carrot)*s_IFCR_res_adj*s_CF_carrot</f>
        <v>215.53124999999997</v>
      </c>
      <c r="AJ16" s="10">
        <f>s_C*(d_ss_Bv!J16+s_MLF_citrus)*s_IFCI_res_adj*s_CF_citrus</f>
        <v>177.71875</v>
      </c>
      <c r="AK16" s="10">
        <f>s_C*(d_ss_Bv!K16+s_MLF_corn)*s_IFCO_res_adj*s_CF_corn</f>
        <v>111.16874999999999</v>
      </c>
      <c r="AL16" s="10">
        <f>s_C*(d_ss_Bv!L16+s_MLF_cucumber)*s_IFCU_res_adj*s_CF_cucumber</f>
        <v>215.53124999999997</v>
      </c>
      <c r="AM16" s="10">
        <f>s_C*(d_ss_Bv!M16+s_MLF_lettuce)*s_IFLE_res_adj*s_CF_lettuce</f>
        <v>707.09375</v>
      </c>
      <c r="AN16" s="10">
        <f>s_C*(d_ss_Bv!N16+s_MLF_lima_bean)*s_IFLI_res_adj*s_CF_lima_bean</f>
        <v>142.17500000000001</v>
      </c>
      <c r="AO16" s="10">
        <f>s_C*(d_ss_Bv!O16+s_MLF_okra)*s_IFOK_res_adj*s_CF_okra</f>
        <v>215.53124999999997</v>
      </c>
      <c r="AP16" s="10">
        <f>s_C*(d_ss_Bv!P16+s_MLF_onion)*s_IFON_res_adj*s_CF_onion</f>
        <v>215.53124999999997</v>
      </c>
      <c r="AQ16" s="10">
        <f>s_C*(d_ss_Bv!Q16+s_MLF_peach)*s_IFPC_res_adj*s_CF_peach</f>
        <v>177.71875</v>
      </c>
      <c r="AR16" s="10">
        <f>s_C*(d_ss_Bv!R16+s_MLF_pear)*s_IFPR_res_adj*s_CF_pear</f>
        <v>177.71875</v>
      </c>
      <c r="AS16" s="10">
        <f>s_C*(d_ss_Bv!S16+s_MLF_peas)*s_IFPE_res_adj*s_CF_peas</f>
        <v>142.17500000000001</v>
      </c>
      <c r="AT16" s="10">
        <f>s_C*(d_ss_Bv!T16+s_MLF_potato)*s_IFPT_res_adj*s_CF_potato</f>
        <v>113.4375</v>
      </c>
      <c r="AU16" s="10">
        <f>s_C*(d_ss_Bv!U16+s_MLF_pumpkin)*s_IFPU_res_adj*s_CF_pumpkin</f>
        <v>215.53124999999997</v>
      </c>
      <c r="AV16" s="10">
        <f>s_C*(d_ss_Bv!V16+s_MLF_snap_bean)*s_IFSN_res_adj*s_CF_snap_bean</f>
        <v>142.17500000000001</v>
      </c>
      <c r="AW16" s="10">
        <f>s_C*(d_ss_Bv!W16+s_MLF_strawberry)*s_IFST_res_adj*s_CF_strawberry</f>
        <v>177.71875</v>
      </c>
      <c r="AX16" s="10">
        <f>s_C*(d_ss_Bv!X16+s_MLF_tomato)*s_IFTO_res_adj*s_CF_tomato</f>
        <v>215.53124999999997</v>
      </c>
      <c r="AY16" s="10">
        <f>s_C*(d_ss_Bv!Y16+s_MLF_rice)*s_IFRI_res_adj*s_CF_rice</f>
        <v>104.28687499999999</v>
      </c>
      <c r="AZ16" s="10">
        <f>s_C*(d_ss_Bv!Z16+s_MLF_cereal)*s_IFCG_res_adj*s_CF_cereal</f>
        <v>185.28125</v>
      </c>
      <c r="BA16" s="2">
        <f t="shared" si="2"/>
        <v>14.176026943092898</v>
      </c>
      <c r="BB16" s="2">
        <f>IFERROR((s_dir!AC16/(d_ss_Bv!C16+s_MLF_apple)),".")</f>
        <v>37.273902332498309</v>
      </c>
      <c r="BC16" s="2">
        <f>IFERROR((s_dir!AD16/(d_ss_Bv!D16+s_MLF_asparagus)),".")</f>
        <v>9.3683070033551896</v>
      </c>
      <c r="BD16" s="2">
        <f>IFERROR((s_dir!AE16/(d_ss_Bv!E16+s_MLF_beet)),".")</f>
        <v>30.734621221533693</v>
      </c>
      <c r="BE16" s="2">
        <f>IFERROR((s_dir!AF16/(d_ss_Bv!F16+s_MLF_berries)),".")</f>
        <v>37.273902332498309</v>
      </c>
      <c r="BF16" s="2">
        <f>IFERROR((s_dir!AG16/(d_ss_Bv!G16+s_MLF_broccoli)),".")</f>
        <v>30.734621221533693</v>
      </c>
      <c r="BG16" s="2">
        <f>IFERROR((s_dir!AH16/(d_ss_Bv!H16+s_MLF_cabbage)),".")</f>
        <v>9.3683070033551896</v>
      </c>
      <c r="BH16" s="2">
        <f>IFERROR((s_dir!AI16/(d_ss_Bv!I16+s_MLF_carrot)),".")</f>
        <v>30.734621221533693</v>
      </c>
      <c r="BI16" s="2">
        <f>IFERROR((s_dir!AJ16/(d_ss_Bv!J16+s_MLF_citrus)),".")</f>
        <v>37.273902332498309</v>
      </c>
      <c r="BJ16" s="2">
        <f>IFERROR((s_dir!AK16/(d_ss_Bv!K16+s_MLF_corn)),".")</f>
        <v>59.587530939708181</v>
      </c>
      <c r="BK16" s="2">
        <f>IFERROR((s_dir!AL16/(d_ss_Bv!L16+s_MLF_cucumber)),".")</f>
        <v>30.734621221533693</v>
      </c>
      <c r="BL16" s="2">
        <f>IFERROR((s_dir!AM16/(d_ss_Bv!M16+s_MLF_lettuce)),".")</f>
        <v>9.3683070033551896</v>
      </c>
      <c r="BM16" s="2">
        <f>IFERROR((s_dir!AN16/(d_ss_Bv!N16+s_MLF_lima_bean)),".")</f>
        <v>46.592377915622883</v>
      </c>
      <c r="BN16" s="2">
        <f>IFERROR((s_dir!AO16/(d_ss_Bv!O16+s_MLF_okra)),".")</f>
        <v>30.734621221533693</v>
      </c>
      <c r="BO16" s="2">
        <f>IFERROR((s_dir!AP16/(d_ss_Bv!P16+s_MLF_onion)),".")</f>
        <v>30.734621221533693</v>
      </c>
      <c r="BP16" s="2">
        <f>IFERROR((s_dir!AQ16/(d_ss_Bv!Q16+s_MLF_peach)),".")</f>
        <v>37.273902332498309</v>
      </c>
      <c r="BQ16" s="2">
        <f>IFERROR((s_dir!AR16/(d_ss_Bv!R16+s_MLF_pear)),".")</f>
        <v>37.273902332498309</v>
      </c>
      <c r="BR16" s="2">
        <f>IFERROR((s_dir!AS16/(d_ss_Bv!S16+s_MLF_peas)),".")</f>
        <v>46.592377915622883</v>
      </c>
      <c r="BS16" s="2">
        <f>IFERROR((s_dir!AT16/(d_ss_Bv!T16+s_MLF_potato)),".")</f>
        <v>58.395780320914014</v>
      </c>
      <c r="BT16" s="2">
        <f>IFERROR((s_dir!AU16/(d_ss_Bv!U16+s_MLF_pumpkin)),".")</f>
        <v>30.734621221533693</v>
      </c>
      <c r="BU16" s="2">
        <f>IFERROR((s_dir!AV16/(d_ss_Bv!V16+s_MLF_snap_bean)),".")</f>
        <v>46.592377915622883</v>
      </c>
      <c r="BV16" s="2">
        <f>IFERROR((s_dir!AW16/(d_ss_Bv!W16+s_MLF_strawberry)),".")</f>
        <v>37.273902332498309</v>
      </c>
      <c r="BW16" s="2">
        <f>IFERROR((s_dir!AX16/(d_ss_Bv!X16+s_MLF_tomato)),".")</f>
        <v>30.734621221533693</v>
      </c>
      <c r="BX16" s="2">
        <f>IFERROR((s_dir!AY16/(d_ss_Bv!Y16+s_MLF_rice)),".")</f>
        <v>63.519703032176231</v>
      </c>
      <c r="BY16" s="2">
        <f>IFERROR((s_dir!AZ16/(d_ss_Bv!Z16+s_MLF_cereal)),".")</f>
        <v>35.752518563824907</v>
      </c>
      <c r="BZ16" s="10">
        <f t="shared" si="3"/>
        <v>467.28687500000001</v>
      </c>
      <c r="CA16" s="10">
        <f>IFERROR(s_C*(d_ss_Bv!C16+s_MLF_apple)*s_IFAP_far_adj*s_CF_apple,".")</f>
        <v>177.71875</v>
      </c>
      <c r="CB16" s="10">
        <f>IFERROR(s_C*(d_ss_Bv!D16+s_MLF_asparagus)*s_IFAS_far_adj*s_CF_asparagus,".")</f>
        <v>707.09375</v>
      </c>
      <c r="CC16" s="10">
        <f>IFERROR(s_C*(d_ss_Bv!E16+s_MLF_beet)*s_IFBT_far_adj*s_CF_beet,".")</f>
        <v>215.53124999999997</v>
      </c>
      <c r="CD16" s="10">
        <f>IFERROR(s_C*(d_ss_Bv!F16+s_MLF_berries)*s_IFBR_far_adj*s_CF_berries,".")</f>
        <v>177.71875</v>
      </c>
      <c r="CE16" s="10">
        <f>IFERROR(s_C*(d_ss_Bv!G16+s_MLF_broccoli)*s_IFBR_far_adj*s_CF_broccoli,".")</f>
        <v>215.53124999999997</v>
      </c>
      <c r="CF16" s="10">
        <f>IFERROR(s_C*(d_ss_Bv!H16+s_MLF_cabbage)*s_IFCB_far_adj*s_CF_cabbage,".")</f>
        <v>707.09375</v>
      </c>
      <c r="CG16" s="10">
        <f>IFERROR(s_C*(d_ss_Bv!I16+s_MLF_carrot)*s_IFCR_far_adj*s_CF_carrot,".")</f>
        <v>215.53124999999997</v>
      </c>
      <c r="CH16" s="10">
        <f>IFERROR(s_C*(d_ss_Bv!J16+s_MLF_citrus)*s_IFCI_far_adj*s_CF_citrus,".")</f>
        <v>177.71875</v>
      </c>
      <c r="CI16" s="10">
        <f>IFERROR(s_C*(d_ss_Bv!K16+s_MLF_corn)*s_IFCO_far_adj*s_CF_corn,".")</f>
        <v>111.16874999999999</v>
      </c>
      <c r="CJ16" s="10">
        <f>IFERROR(s_C*(d_ss_Bv!L16+s_MLF_cucumber)*s_IFCU_far_adj*s_CF_cucumber,".")</f>
        <v>215.53124999999997</v>
      </c>
      <c r="CK16" s="10">
        <f>IFERROR(s_C*(d_ss_Bv!M16+s_MLF_lettuce)*s_IFLE_far_adj*s_CF_lettuce,".")</f>
        <v>707.09375</v>
      </c>
      <c r="CL16" s="10">
        <f>IFERROR(s_C*(d_ss_Bv!N16+s_MLF_lima_bean)*s_IFLI_far_adj*s_CF_lima_bean,".")</f>
        <v>142.17500000000001</v>
      </c>
      <c r="CM16" s="10">
        <f>IFERROR(s_C*(d_ss_Bv!O16+s_MLF_okra)*s_IFOK_far_adj*s_CF_okra,".")</f>
        <v>215.53124999999997</v>
      </c>
      <c r="CN16" s="10">
        <f>IFERROR(s_C*(d_ss_Bv!P16+s_MLF_onion)*s_IFON_far_adj*s_CF_onion,".")</f>
        <v>215.53124999999997</v>
      </c>
      <c r="CO16" s="10">
        <f>IFERROR(s_C*(d_ss_Bv!Q16+s_MLF_peach)*s_IFPC_far_adj*s_CF_peach,".")</f>
        <v>177.71875</v>
      </c>
      <c r="CP16" s="10">
        <f>IFERROR(s_C*(d_ss_Bv!R16+s_MLF_pear)*s_IFPR_far_adj*s_CF_pear,".")</f>
        <v>177.71875</v>
      </c>
      <c r="CQ16" s="10">
        <f>IFERROR(s_C*(d_ss_Bv!S16+s_MLF_peas)*s_IFPE_far_adj*s_CF_peas,".")</f>
        <v>142.17500000000001</v>
      </c>
      <c r="CR16" s="10">
        <f>IFERROR(s_C*(d_ss_Bv!T16+s_MLF_potato)*s_IFPT_far_adj*s_CF_potato,".")</f>
        <v>113.4375</v>
      </c>
      <c r="CS16" s="10">
        <f>IFERROR(s_C*(d_ss_Bv!U16+s_MLF_pumpkin)*s_IFPU_far_adj*s_CF_pumpkin,".")</f>
        <v>215.53124999999997</v>
      </c>
      <c r="CT16" s="10">
        <f>IFERROR(s_C*(d_ss_Bv!V16+s_MLF_snap_bean)*s_IFSN_far_adj*s_CF_snap_bean,".")</f>
        <v>142.17500000000001</v>
      </c>
      <c r="CU16" s="10">
        <f>IFERROR(s_C*(d_ss_Bv!W16+s_MLF_strawberry)*s_IFST_far_adj*s_CF_strawberry,".")</f>
        <v>177.71875</v>
      </c>
      <c r="CV16" s="10">
        <f>IFERROR(s_C*(d_ss_Bv!X16+s_MLF_tomato)*s_IFTO_far_adj*s_CF_tomato,".")</f>
        <v>215.53124999999997</v>
      </c>
      <c r="CW16" s="10">
        <f>IFERROR(s_C*(d_ss_Bv!Y16+s_MLF_rice)*s_IFRI_far_adj*s_CF_rice,".")</f>
        <v>104.28687499999999</v>
      </c>
      <c r="CX16" s="10">
        <f>IFERROR(s_C*(d_ss_Bv!Z16+s_MLF_cereal)*s_IFCG_far_adj*s_CF_cereal,".")</f>
        <v>185.28125</v>
      </c>
    </row>
    <row r="17" spans="1:102" ht="15" customHeight="1" x14ac:dyDescent="0.25">
      <c r="A17" s="31" t="s">
        <v>15</v>
      </c>
      <c r="B17" s="3" t="s">
        <v>1059</v>
      </c>
      <c r="C17" s="2">
        <f t="shared" si="0"/>
        <v>72661.042622888213</v>
      </c>
      <c r="D17" s="2">
        <f>IFERROR((s_dir!D17/(d_ss_Bv!C17+s_MLF_apple)),".")</f>
        <v>191052.16270928778</v>
      </c>
      <c r="E17" s="2">
        <f>IFERROR((s_dir!E17/(d_ss_Bv!D17+s_MLF_asparagus)),".")</f>
        <v>48018.458007147194</v>
      </c>
      <c r="F17" s="2">
        <f>IFERROR((s_dir!F17/(d_ss_Bv!E17+s_MLF_beet)),".")</f>
        <v>157534.2394269566</v>
      </c>
      <c r="G17" s="2">
        <f>IFERROR((s_dir!G17/(d_ss_Bv!F17+s_MLF_berries)),".")</f>
        <v>191052.16270928778</v>
      </c>
      <c r="H17" s="2">
        <f>IFERROR((s_dir!H17/(d_ss_Bv!G17+s_MLF_broccoli)),".")</f>
        <v>157534.2394269566</v>
      </c>
      <c r="I17" s="2">
        <f>IFERROR((s_dir!I17/(d_ss_Bv!H17+s_MLF_cabbage)),".")</f>
        <v>48018.458007147194</v>
      </c>
      <c r="J17" s="2">
        <f>IFERROR((s_dir!J17/(d_ss_Bv!I17+s_MLF_carrot)),".")</f>
        <v>157534.2394269566</v>
      </c>
      <c r="K17" s="2">
        <f>IFERROR((s_dir!K17/(d_ss_Bv!J17+s_MLF_citrus)),".")</f>
        <v>191052.16270928778</v>
      </c>
      <c r="L17" s="2">
        <f>IFERROR((s_dir!L17/(d_ss_Bv!K17+s_MLF_corn)),".")</f>
        <v>305423.52541960974</v>
      </c>
      <c r="M17" s="2">
        <f>IFERROR((s_dir!M17/(d_ss_Bv!L17+s_MLF_cucumber)),".")</f>
        <v>157534.2394269566</v>
      </c>
      <c r="N17" s="2">
        <f>IFERROR((s_dir!N17/(d_ss_Bv!M17+s_MLF_lettuce)),".")</f>
        <v>48018.458007147194</v>
      </c>
      <c r="O17" s="2">
        <f>IFERROR((s_dir!O17/(d_ss_Bv!N17+s_MLF_lima_bean)),".")</f>
        <v>238815.2033866097</v>
      </c>
      <c r="P17" s="2">
        <f>IFERROR((s_dir!P17/(d_ss_Bv!O17+s_MLF_okra)),".")</f>
        <v>157534.2394269566</v>
      </c>
      <c r="Q17" s="2">
        <f>IFERROR((s_dir!Q17/(d_ss_Bv!P17+s_MLF_onion)),".")</f>
        <v>157534.2394269566</v>
      </c>
      <c r="R17" s="2">
        <f>IFERROR((s_dir!R17/(d_ss_Bv!Q17+s_MLF_peach)),".")</f>
        <v>191052.16270928778</v>
      </c>
      <c r="S17" s="2">
        <f>IFERROR((s_dir!S17/(d_ss_Bv!R17+s_MLF_pear)),".")</f>
        <v>191052.16270928778</v>
      </c>
      <c r="T17" s="2">
        <f>IFERROR((s_dir!T17/(d_ss_Bv!S17+s_MLF_peas)),".")</f>
        <v>238815.2033866097</v>
      </c>
      <c r="U17" s="2">
        <f>IFERROR((s_dir!U17/(d_ss_Bv!T17+s_MLF_potato)),".")</f>
        <v>299315.05491121754</v>
      </c>
      <c r="V17" s="2">
        <f>IFERROR((s_dir!V17/(d_ss_Bv!U17+s_MLF_pumpkin)),".")</f>
        <v>157534.2394269566</v>
      </c>
      <c r="W17" s="2">
        <f>IFERROR((s_dir!W17/(d_ss_Bv!V17+s_MLF_snap_bean)),".")</f>
        <v>238815.2033866097</v>
      </c>
      <c r="X17" s="2">
        <f>IFERROR((s_dir!X17/(d_ss_Bv!W17+s_MLF_strawberry)),".")</f>
        <v>191052.16270928778</v>
      </c>
      <c r="Y17" s="2">
        <f>IFERROR((s_dir!Y17/(d_ss_Bv!X17+s_MLF_tomato)),".")</f>
        <v>157534.2394269566</v>
      </c>
      <c r="Z17" s="2">
        <f>IFERROR((s_dir!Z17/(d_ss_Bv!Y17+s_MLF_rice)),".")</f>
        <v>325578.377350853</v>
      </c>
      <c r="AA17" s="2">
        <f>IFERROR((s_dir!AA17/(d_ss_Bv!Z17+s_MLF_cereal)),".")</f>
        <v>183254.11525176582</v>
      </c>
      <c r="AB17" s="10">
        <f t="shared" si="4"/>
        <v>467.28687500000001</v>
      </c>
      <c r="AC17" s="10">
        <f>s_C*(d_ss_Bv!C17+s_MLF_apple)*s_IFAP_res_adj*s_CF_apple</f>
        <v>177.71875</v>
      </c>
      <c r="AD17" s="10">
        <f>s_C*(d_ss_Bv!D17+s_MLF_asparagus)*s_IFAS_res_adj*s_CF_asparagus</f>
        <v>707.09375</v>
      </c>
      <c r="AE17" s="10">
        <f>s_C*(d_ss_Bv!E17+s_MLF_beet)*s_IFBT_res_adj*s_CF_beet</f>
        <v>215.53124999999997</v>
      </c>
      <c r="AF17" s="10">
        <f>s_C*(d_ss_Bv!F17+s_MLF_berries)*s_IFBE_res_adj*s_CF_berries</f>
        <v>177.71875</v>
      </c>
      <c r="AG17" s="10">
        <f>s_C*(d_ss_Bv!G17+s_MLF_broccoli)*s_IFBR_res_adj*s_CF_broccoli</f>
        <v>215.53124999999997</v>
      </c>
      <c r="AH17" s="10">
        <f>s_C*(d_ss_Bv!H17+s_MLF_cabbage)*s_IFCB_res_adj*s_CF_cabbage</f>
        <v>707.09375</v>
      </c>
      <c r="AI17" s="10">
        <f>s_C*(d_ss_Bv!I17+s_MLF_carrot)*s_IFCR_res_adj*s_CF_carrot</f>
        <v>215.53124999999997</v>
      </c>
      <c r="AJ17" s="10">
        <f>s_C*(d_ss_Bv!J17+s_MLF_citrus)*s_IFCI_res_adj*s_CF_citrus</f>
        <v>177.71875</v>
      </c>
      <c r="AK17" s="10">
        <f>s_C*(d_ss_Bv!K17+s_MLF_corn)*s_IFCO_res_adj*s_CF_corn</f>
        <v>111.16874999999999</v>
      </c>
      <c r="AL17" s="10">
        <f>s_C*(d_ss_Bv!L17+s_MLF_cucumber)*s_IFCU_res_adj*s_CF_cucumber</f>
        <v>215.53124999999997</v>
      </c>
      <c r="AM17" s="10">
        <f>s_C*(d_ss_Bv!M17+s_MLF_lettuce)*s_IFLE_res_adj*s_CF_lettuce</f>
        <v>707.09375</v>
      </c>
      <c r="AN17" s="10">
        <f>s_C*(d_ss_Bv!N17+s_MLF_lima_bean)*s_IFLI_res_adj*s_CF_lima_bean</f>
        <v>142.17500000000001</v>
      </c>
      <c r="AO17" s="10">
        <f>s_C*(d_ss_Bv!O17+s_MLF_okra)*s_IFOK_res_adj*s_CF_okra</f>
        <v>215.53124999999997</v>
      </c>
      <c r="AP17" s="10">
        <f>s_C*(d_ss_Bv!P17+s_MLF_onion)*s_IFON_res_adj*s_CF_onion</f>
        <v>215.53124999999997</v>
      </c>
      <c r="AQ17" s="10">
        <f>s_C*(d_ss_Bv!Q17+s_MLF_peach)*s_IFPC_res_adj*s_CF_peach</f>
        <v>177.71875</v>
      </c>
      <c r="AR17" s="10">
        <f>s_C*(d_ss_Bv!R17+s_MLF_pear)*s_IFPR_res_adj*s_CF_pear</f>
        <v>177.71875</v>
      </c>
      <c r="AS17" s="10">
        <f>s_C*(d_ss_Bv!S17+s_MLF_peas)*s_IFPE_res_adj*s_CF_peas</f>
        <v>142.17500000000001</v>
      </c>
      <c r="AT17" s="10">
        <f>s_C*(d_ss_Bv!T17+s_MLF_potato)*s_IFPT_res_adj*s_CF_potato</f>
        <v>113.4375</v>
      </c>
      <c r="AU17" s="10">
        <f>s_C*(d_ss_Bv!U17+s_MLF_pumpkin)*s_IFPU_res_adj*s_CF_pumpkin</f>
        <v>215.53124999999997</v>
      </c>
      <c r="AV17" s="10">
        <f>s_C*(d_ss_Bv!V17+s_MLF_snap_bean)*s_IFSN_res_adj*s_CF_snap_bean</f>
        <v>142.17500000000001</v>
      </c>
      <c r="AW17" s="10">
        <f>s_C*(d_ss_Bv!W17+s_MLF_strawberry)*s_IFST_res_adj*s_CF_strawberry</f>
        <v>177.71875</v>
      </c>
      <c r="AX17" s="10">
        <f>s_C*(d_ss_Bv!X17+s_MLF_tomato)*s_IFTO_res_adj*s_CF_tomato</f>
        <v>215.53124999999997</v>
      </c>
      <c r="AY17" s="10">
        <f>s_C*(d_ss_Bv!Y17+s_MLF_rice)*s_IFRI_res_adj*s_CF_rice</f>
        <v>104.28687499999999</v>
      </c>
      <c r="AZ17" s="10">
        <f>s_C*(d_ss_Bv!Z17+s_MLF_cereal)*s_IFCG_res_adj*s_CF_cereal</f>
        <v>185.28125</v>
      </c>
      <c r="BA17" s="2">
        <f t="shared" si="2"/>
        <v>72661.042622888213</v>
      </c>
      <c r="BB17" s="2">
        <f>IFERROR((s_dir!AC17/(d_ss_Bv!C17+s_MLF_apple)),".")</f>
        <v>191052.16270928778</v>
      </c>
      <c r="BC17" s="2">
        <f>IFERROR((s_dir!AD17/(d_ss_Bv!D17+s_MLF_asparagus)),".")</f>
        <v>48018.458007147194</v>
      </c>
      <c r="BD17" s="2">
        <f>IFERROR((s_dir!AE17/(d_ss_Bv!E17+s_MLF_beet)),".")</f>
        <v>157534.2394269566</v>
      </c>
      <c r="BE17" s="2">
        <f>IFERROR((s_dir!AF17/(d_ss_Bv!F17+s_MLF_berries)),".")</f>
        <v>191052.16270928778</v>
      </c>
      <c r="BF17" s="2">
        <f>IFERROR((s_dir!AG17/(d_ss_Bv!G17+s_MLF_broccoli)),".")</f>
        <v>157534.2394269566</v>
      </c>
      <c r="BG17" s="2">
        <f>IFERROR((s_dir!AH17/(d_ss_Bv!H17+s_MLF_cabbage)),".")</f>
        <v>48018.458007147194</v>
      </c>
      <c r="BH17" s="2">
        <f>IFERROR((s_dir!AI17/(d_ss_Bv!I17+s_MLF_carrot)),".")</f>
        <v>157534.2394269566</v>
      </c>
      <c r="BI17" s="2">
        <f>IFERROR((s_dir!AJ17/(d_ss_Bv!J17+s_MLF_citrus)),".")</f>
        <v>191052.16270928778</v>
      </c>
      <c r="BJ17" s="2">
        <f>IFERROR((s_dir!AK17/(d_ss_Bv!K17+s_MLF_corn)),".")</f>
        <v>305423.52541960974</v>
      </c>
      <c r="BK17" s="2">
        <f>IFERROR((s_dir!AL17/(d_ss_Bv!L17+s_MLF_cucumber)),".")</f>
        <v>157534.2394269566</v>
      </c>
      <c r="BL17" s="2">
        <f>IFERROR((s_dir!AM17/(d_ss_Bv!M17+s_MLF_lettuce)),".")</f>
        <v>48018.458007147194</v>
      </c>
      <c r="BM17" s="2">
        <f>IFERROR((s_dir!AN17/(d_ss_Bv!N17+s_MLF_lima_bean)),".")</f>
        <v>238815.2033866097</v>
      </c>
      <c r="BN17" s="2">
        <f>IFERROR((s_dir!AO17/(d_ss_Bv!O17+s_MLF_okra)),".")</f>
        <v>157534.2394269566</v>
      </c>
      <c r="BO17" s="2">
        <f>IFERROR((s_dir!AP17/(d_ss_Bv!P17+s_MLF_onion)),".")</f>
        <v>157534.2394269566</v>
      </c>
      <c r="BP17" s="2">
        <f>IFERROR((s_dir!AQ17/(d_ss_Bv!Q17+s_MLF_peach)),".")</f>
        <v>191052.16270928778</v>
      </c>
      <c r="BQ17" s="2">
        <f>IFERROR((s_dir!AR17/(d_ss_Bv!R17+s_MLF_pear)),".")</f>
        <v>191052.16270928778</v>
      </c>
      <c r="BR17" s="2">
        <f>IFERROR((s_dir!AS17/(d_ss_Bv!S17+s_MLF_peas)),".")</f>
        <v>238815.2033866097</v>
      </c>
      <c r="BS17" s="2">
        <f>IFERROR((s_dir!AT17/(d_ss_Bv!T17+s_MLF_potato)),".")</f>
        <v>299315.05491121754</v>
      </c>
      <c r="BT17" s="2">
        <f>IFERROR((s_dir!AU17/(d_ss_Bv!U17+s_MLF_pumpkin)),".")</f>
        <v>157534.2394269566</v>
      </c>
      <c r="BU17" s="2">
        <f>IFERROR((s_dir!AV17/(d_ss_Bv!V17+s_MLF_snap_bean)),".")</f>
        <v>238815.2033866097</v>
      </c>
      <c r="BV17" s="2">
        <f>IFERROR((s_dir!AW17/(d_ss_Bv!W17+s_MLF_strawberry)),".")</f>
        <v>191052.16270928778</v>
      </c>
      <c r="BW17" s="2">
        <f>IFERROR((s_dir!AX17/(d_ss_Bv!X17+s_MLF_tomato)),".")</f>
        <v>157534.2394269566</v>
      </c>
      <c r="BX17" s="2">
        <f>IFERROR((s_dir!AY17/(d_ss_Bv!Y17+s_MLF_rice)),".")</f>
        <v>325578.377350853</v>
      </c>
      <c r="BY17" s="2">
        <f>IFERROR((s_dir!AZ17/(d_ss_Bv!Z17+s_MLF_cereal)),".")</f>
        <v>183254.11525176582</v>
      </c>
      <c r="BZ17" s="10">
        <f t="shared" si="3"/>
        <v>467.28687500000001</v>
      </c>
      <c r="CA17" s="10">
        <f>IFERROR(s_C*(d_ss_Bv!C17+s_MLF_apple)*s_IFAP_far_adj*s_CF_apple,".")</f>
        <v>177.71875</v>
      </c>
      <c r="CB17" s="10">
        <f>IFERROR(s_C*(d_ss_Bv!D17+s_MLF_asparagus)*s_IFAS_far_adj*s_CF_asparagus,".")</f>
        <v>707.09375</v>
      </c>
      <c r="CC17" s="10">
        <f>IFERROR(s_C*(d_ss_Bv!E17+s_MLF_beet)*s_IFBT_far_adj*s_CF_beet,".")</f>
        <v>215.53124999999997</v>
      </c>
      <c r="CD17" s="10">
        <f>IFERROR(s_C*(d_ss_Bv!F17+s_MLF_berries)*s_IFBR_far_adj*s_CF_berries,".")</f>
        <v>177.71875</v>
      </c>
      <c r="CE17" s="10">
        <f>IFERROR(s_C*(d_ss_Bv!G17+s_MLF_broccoli)*s_IFBR_far_adj*s_CF_broccoli,".")</f>
        <v>215.53124999999997</v>
      </c>
      <c r="CF17" s="10">
        <f>IFERROR(s_C*(d_ss_Bv!H17+s_MLF_cabbage)*s_IFCB_far_adj*s_CF_cabbage,".")</f>
        <v>707.09375</v>
      </c>
      <c r="CG17" s="10">
        <f>IFERROR(s_C*(d_ss_Bv!I17+s_MLF_carrot)*s_IFCR_far_adj*s_CF_carrot,".")</f>
        <v>215.53124999999997</v>
      </c>
      <c r="CH17" s="10">
        <f>IFERROR(s_C*(d_ss_Bv!J17+s_MLF_citrus)*s_IFCI_far_adj*s_CF_citrus,".")</f>
        <v>177.71875</v>
      </c>
      <c r="CI17" s="10">
        <f>IFERROR(s_C*(d_ss_Bv!K17+s_MLF_corn)*s_IFCO_far_adj*s_CF_corn,".")</f>
        <v>111.16874999999999</v>
      </c>
      <c r="CJ17" s="10">
        <f>IFERROR(s_C*(d_ss_Bv!L17+s_MLF_cucumber)*s_IFCU_far_adj*s_CF_cucumber,".")</f>
        <v>215.53124999999997</v>
      </c>
      <c r="CK17" s="10">
        <f>IFERROR(s_C*(d_ss_Bv!M17+s_MLF_lettuce)*s_IFLE_far_adj*s_CF_lettuce,".")</f>
        <v>707.09375</v>
      </c>
      <c r="CL17" s="10">
        <f>IFERROR(s_C*(d_ss_Bv!N17+s_MLF_lima_bean)*s_IFLI_far_adj*s_CF_lima_bean,".")</f>
        <v>142.17500000000001</v>
      </c>
      <c r="CM17" s="10">
        <f>IFERROR(s_C*(d_ss_Bv!O17+s_MLF_okra)*s_IFOK_far_adj*s_CF_okra,".")</f>
        <v>215.53124999999997</v>
      </c>
      <c r="CN17" s="10">
        <f>IFERROR(s_C*(d_ss_Bv!P17+s_MLF_onion)*s_IFON_far_adj*s_CF_onion,".")</f>
        <v>215.53124999999997</v>
      </c>
      <c r="CO17" s="10">
        <f>IFERROR(s_C*(d_ss_Bv!Q17+s_MLF_peach)*s_IFPC_far_adj*s_CF_peach,".")</f>
        <v>177.71875</v>
      </c>
      <c r="CP17" s="10">
        <f>IFERROR(s_C*(d_ss_Bv!R17+s_MLF_pear)*s_IFPR_far_adj*s_CF_pear,".")</f>
        <v>177.71875</v>
      </c>
      <c r="CQ17" s="10">
        <f>IFERROR(s_C*(d_ss_Bv!S17+s_MLF_peas)*s_IFPE_far_adj*s_CF_peas,".")</f>
        <v>142.17500000000001</v>
      </c>
      <c r="CR17" s="10">
        <f>IFERROR(s_C*(d_ss_Bv!T17+s_MLF_potato)*s_IFPT_far_adj*s_CF_potato,".")</f>
        <v>113.4375</v>
      </c>
      <c r="CS17" s="10">
        <f>IFERROR(s_C*(d_ss_Bv!U17+s_MLF_pumpkin)*s_IFPU_far_adj*s_CF_pumpkin,".")</f>
        <v>215.53124999999997</v>
      </c>
      <c r="CT17" s="10">
        <f>IFERROR(s_C*(d_ss_Bv!V17+s_MLF_snap_bean)*s_IFSN_far_adj*s_CF_snap_bean,".")</f>
        <v>142.17500000000001</v>
      </c>
      <c r="CU17" s="10">
        <f>IFERROR(s_C*(d_ss_Bv!W17+s_MLF_strawberry)*s_IFST_far_adj*s_CF_strawberry,".")</f>
        <v>177.71875</v>
      </c>
      <c r="CV17" s="10">
        <f>IFERROR(s_C*(d_ss_Bv!X17+s_MLF_tomato)*s_IFTO_far_adj*s_CF_tomato,".")</f>
        <v>215.53124999999997</v>
      </c>
      <c r="CW17" s="10">
        <f>IFERROR(s_C*(d_ss_Bv!Y17+s_MLF_rice)*s_IFRI_far_adj*s_CF_rice,".")</f>
        <v>104.28687499999999</v>
      </c>
      <c r="CX17" s="10">
        <f>IFERROR(s_C*(d_ss_Bv!Z17+s_MLF_cereal)*s_IFCG_far_adj*s_CF_cereal,".")</f>
        <v>185.28125</v>
      </c>
    </row>
    <row r="18" spans="1:102" ht="15" customHeight="1" x14ac:dyDescent="0.25">
      <c r="A18" s="31" t="s">
        <v>16</v>
      </c>
      <c r="B18" s="3" t="s">
        <v>1059</v>
      </c>
      <c r="C18" s="2">
        <f t="shared" si="0"/>
        <v>9.4650716553841239</v>
      </c>
      <c r="D18" s="2">
        <f>IFERROR((s_dir!D18/(d_ss_Bv!C18+s_MLF_apple)),".")</f>
        <v>37.266128838789754</v>
      </c>
      <c r="E18" s="2">
        <f>IFERROR((s_dir!E18/(d_ss_Bv!D18+s_MLF_asparagus)),".")</f>
        <v>24.428036607244959</v>
      </c>
      <c r="F18" s="2">
        <f>IFERROR((s_dir!F18/(d_ss_Bv!E18+s_MLF_beet)),".")</f>
        <v>26.453158813026931</v>
      </c>
      <c r="G18" s="2">
        <f>IFERROR((s_dir!G18/(d_ss_Bv!F18+s_MLF_berries)),".")</f>
        <v>37.266128838789754</v>
      </c>
      <c r="H18" s="2">
        <f>IFERROR((s_dir!H18/(d_ss_Bv!G18+s_MLF_broccoli)),".")</f>
        <v>37.266128838789754</v>
      </c>
      <c r="I18" s="2">
        <f>IFERROR((s_dir!I18/(d_ss_Bv!H18+s_MLF_cabbage)),".")</f>
        <v>24.428036607244959</v>
      </c>
      <c r="J18" s="2">
        <f>IFERROR((s_dir!J18/(d_ss_Bv!I18+s_MLF_carrot)),".")</f>
        <v>26.453158813026931</v>
      </c>
      <c r="K18" s="2">
        <f>IFERROR((s_dir!K18/(d_ss_Bv!J18+s_MLF_citrus)),".")</f>
        <v>37.266128838789754</v>
      </c>
      <c r="L18" s="2">
        <f>IFERROR((s_dir!L18/(d_ss_Bv!K18+s_MLF_corn)),".")</f>
        <v>37.157639380743788</v>
      </c>
      <c r="M18" s="2">
        <f>IFERROR((s_dir!M18/(d_ss_Bv!L18+s_MLF_cucumber)),".")</f>
        <v>37.266128838789754</v>
      </c>
      <c r="N18" s="2">
        <f>IFERROR((s_dir!N18/(d_ss_Bv!M18+s_MLF_lettuce)),".")</f>
        <v>24.428036607244959</v>
      </c>
      <c r="O18" s="2">
        <f>IFERROR((s_dir!O18/(d_ss_Bv!N18+s_MLF_lima_bean)),".")</f>
        <v>37.076685918040646</v>
      </c>
      <c r="P18" s="2">
        <f>IFERROR((s_dir!P18/(d_ss_Bv!O18+s_MLF_okra)),".")</f>
        <v>37.266128838789754</v>
      </c>
      <c r="Q18" s="2">
        <f>IFERROR((s_dir!Q18/(d_ss_Bv!P18+s_MLF_onion)),".")</f>
        <v>37.266128838789754</v>
      </c>
      <c r="R18" s="2">
        <f>IFERROR((s_dir!R18/(d_ss_Bv!Q18+s_MLF_peach)),".")</f>
        <v>37.266128838789754</v>
      </c>
      <c r="S18" s="2">
        <f>IFERROR((s_dir!S18/(d_ss_Bv!R18+s_MLF_pear)),".")</f>
        <v>37.266128838789754</v>
      </c>
      <c r="T18" s="2">
        <f>IFERROR((s_dir!T18/(d_ss_Bv!S18+s_MLF_peas)),".")</f>
        <v>37.076685918040646</v>
      </c>
      <c r="U18" s="2">
        <f>IFERROR((s_dir!U18/(d_ss_Bv!T18+s_MLF_potato)),".")</f>
        <v>31.515183030334551</v>
      </c>
      <c r="V18" s="2">
        <f>IFERROR((s_dir!V18/(d_ss_Bv!U18+s_MLF_pumpkin)),".")</f>
        <v>37.266128838789754</v>
      </c>
      <c r="W18" s="2">
        <f>IFERROR((s_dir!W18/(d_ss_Bv!V18+s_MLF_snap_bean)),".")</f>
        <v>37.076685918040646</v>
      </c>
      <c r="X18" s="2">
        <f>IFERROR((s_dir!X18/(d_ss_Bv!W18+s_MLF_strawberry)),".")</f>
        <v>37.266128838789754</v>
      </c>
      <c r="Y18" s="2">
        <f>IFERROR((s_dir!Y18/(d_ss_Bv!X18+s_MLF_tomato)),".")</f>
        <v>37.266128838789754</v>
      </c>
      <c r="Z18" s="2">
        <f>IFERROR((s_dir!Z18/(d_ss_Bv!Y18+s_MLF_rice)),".")</f>
        <v>19.265885475147915</v>
      </c>
      <c r="AA18" s="2">
        <f>IFERROR((s_dir!AA18/(d_ss_Bv!Z18+s_MLF_cereal)),".")</f>
        <v>37.157639380743788</v>
      </c>
      <c r="AB18" s="10">
        <f t="shared" si="4"/>
        <v>407.92124999999999</v>
      </c>
      <c r="AC18" s="10">
        <f>s_C*(d_ss_Bv!C18+s_MLF_apple)*s_IFAP_res_adj*s_CF_apple</f>
        <v>103.60625</v>
      </c>
      <c r="AD18" s="10">
        <f>s_C*(d_ss_Bv!D18+s_MLF_asparagus)*s_IFAS_res_adj*s_CF_asparagus</f>
        <v>158.05625000000001</v>
      </c>
      <c r="AE18" s="10">
        <f>s_C*(d_ss_Bv!E18+s_MLF_beet)*s_IFBT_res_adj*s_CF_beet</f>
        <v>145.95624999999998</v>
      </c>
      <c r="AF18" s="10">
        <f>s_C*(d_ss_Bv!F18+s_MLF_berries)*s_IFBE_res_adj*s_CF_berries</f>
        <v>103.60625</v>
      </c>
      <c r="AG18" s="10">
        <f>s_C*(d_ss_Bv!G18+s_MLF_broccoli)*s_IFBR_res_adj*s_CF_broccoli</f>
        <v>103.60625</v>
      </c>
      <c r="AH18" s="10">
        <f>s_C*(d_ss_Bv!H18+s_MLF_cabbage)*s_IFCB_res_adj*s_CF_cabbage</f>
        <v>158.05625000000001</v>
      </c>
      <c r="AI18" s="10">
        <f>s_C*(d_ss_Bv!I18+s_MLF_carrot)*s_IFCR_res_adj*s_CF_carrot</f>
        <v>145.95624999999998</v>
      </c>
      <c r="AJ18" s="10">
        <f>s_C*(d_ss_Bv!J18+s_MLF_citrus)*s_IFCI_res_adj*s_CF_citrus</f>
        <v>103.60625</v>
      </c>
      <c r="AK18" s="10">
        <f>s_C*(d_ss_Bv!K18+s_MLF_corn)*s_IFCO_res_adj*s_CF_corn</f>
        <v>103.90875</v>
      </c>
      <c r="AL18" s="10">
        <f>s_C*(d_ss_Bv!L18+s_MLF_cucumber)*s_IFCU_res_adj*s_CF_cucumber</f>
        <v>103.60625</v>
      </c>
      <c r="AM18" s="10">
        <f>s_C*(d_ss_Bv!M18+s_MLF_lettuce)*s_IFLE_res_adj*s_CF_lettuce</f>
        <v>158.05625000000001</v>
      </c>
      <c r="AN18" s="10">
        <f>s_C*(d_ss_Bv!N18+s_MLF_lima_bean)*s_IFLI_res_adj*s_CF_lima_bean</f>
        <v>104.13562499999999</v>
      </c>
      <c r="AO18" s="10">
        <f>s_C*(d_ss_Bv!O18+s_MLF_okra)*s_IFOK_res_adj*s_CF_okra</f>
        <v>103.60625</v>
      </c>
      <c r="AP18" s="10">
        <f>s_C*(d_ss_Bv!P18+s_MLF_onion)*s_IFON_res_adj*s_CF_onion</f>
        <v>103.60625</v>
      </c>
      <c r="AQ18" s="10">
        <f>s_C*(d_ss_Bv!Q18+s_MLF_peach)*s_IFPC_res_adj*s_CF_peach</f>
        <v>103.60625</v>
      </c>
      <c r="AR18" s="10">
        <f>s_C*(d_ss_Bv!R18+s_MLF_pear)*s_IFPR_res_adj*s_CF_pear</f>
        <v>103.60625</v>
      </c>
      <c r="AS18" s="10">
        <f>s_C*(d_ss_Bv!S18+s_MLF_peas)*s_IFPE_res_adj*s_CF_peas</f>
        <v>104.13562499999999</v>
      </c>
      <c r="AT18" s="10">
        <f>s_C*(d_ss_Bv!T18+s_MLF_potato)*s_IFPT_res_adj*s_CF_potato</f>
        <v>122.51249999999999</v>
      </c>
      <c r="AU18" s="10">
        <f>s_C*(d_ss_Bv!U18+s_MLF_pumpkin)*s_IFPU_res_adj*s_CF_pumpkin</f>
        <v>103.60625</v>
      </c>
      <c r="AV18" s="10">
        <f>s_C*(d_ss_Bv!V18+s_MLF_snap_bean)*s_IFSN_res_adj*s_CF_snap_bean</f>
        <v>104.13562499999999</v>
      </c>
      <c r="AW18" s="10">
        <f>s_C*(d_ss_Bv!W18+s_MLF_strawberry)*s_IFST_res_adj*s_CF_strawberry</f>
        <v>103.60625</v>
      </c>
      <c r="AX18" s="10">
        <f>s_C*(d_ss_Bv!X18+s_MLF_tomato)*s_IFTO_res_adj*s_CF_tomato</f>
        <v>103.60625</v>
      </c>
      <c r="AY18" s="10">
        <f>s_C*(d_ss_Bv!Y18+s_MLF_rice)*s_IFRI_res_adj*s_CF_rice</f>
        <v>200.40625</v>
      </c>
      <c r="AZ18" s="10">
        <f>s_C*(d_ss_Bv!Z18+s_MLF_cereal)*s_IFCG_res_adj*s_CF_cereal</f>
        <v>103.90875</v>
      </c>
      <c r="BA18" s="2">
        <f t="shared" si="2"/>
        <v>9.4650716553841239</v>
      </c>
      <c r="BB18" s="2">
        <f>IFERROR((s_dir!AC18/(d_ss_Bv!C18+s_MLF_apple)),".")</f>
        <v>37.266128838789754</v>
      </c>
      <c r="BC18" s="2">
        <f>IFERROR((s_dir!AD18/(d_ss_Bv!D18+s_MLF_asparagus)),".")</f>
        <v>24.428036607244959</v>
      </c>
      <c r="BD18" s="2">
        <f>IFERROR((s_dir!AE18/(d_ss_Bv!E18+s_MLF_beet)),".")</f>
        <v>26.453158813026931</v>
      </c>
      <c r="BE18" s="2">
        <f>IFERROR((s_dir!AF18/(d_ss_Bv!F18+s_MLF_berries)),".")</f>
        <v>37.266128838789754</v>
      </c>
      <c r="BF18" s="2">
        <f>IFERROR((s_dir!AG18/(d_ss_Bv!G18+s_MLF_broccoli)),".")</f>
        <v>37.266128838789754</v>
      </c>
      <c r="BG18" s="2">
        <f>IFERROR((s_dir!AH18/(d_ss_Bv!H18+s_MLF_cabbage)),".")</f>
        <v>24.428036607244959</v>
      </c>
      <c r="BH18" s="2">
        <f>IFERROR((s_dir!AI18/(d_ss_Bv!I18+s_MLF_carrot)),".")</f>
        <v>26.453158813026931</v>
      </c>
      <c r="BI18" s="2">
        <f>IFERROR((s_dir!AJ18/(d_ss_Bv!J18+s_MLF_citrus)),".")</f>
        <v>37.266128838789754</v>
      </c>
      <c r="BJ18" s="2">
        <f>IFERROR((s_dir!AK18/(d_ss_Bv!K18+s_MLF_corn)),".")</f>
        <v>37.157639380743788</v>
      </c>
      <c r="BK18" s="2">
        <f>IFERROR((s_dir!AL18/(d_ss_Bv!L18+s_MLF_cucumber)),".")</f>
        <v>37.266128838789754</v>
      </c>
      <c r="BL18" s="2">
        <f>IFERROR((s_dir!AM18/(d_ss_Bv!M18+s_MLF_lettuce)),".")</f>
        <v>24.428036607244959</v>
      </c>
      <c r="BM18" s="2">
        <f>IFERROR((s_dir!AN18/(d_ss_Bv!N18+s_MLF_lima_bean)),".")</f>
        <v>37.076685918040646</v>
      </c>
      <c r="BN18" s="2">
        <f>IFERROR((s_dir!AO18/(d_ss_Bv!O18+s_MLF_okra)),".")</f>
        <v>37.266128838789754</v>
      </c>
      <c r="BO18" s="2">
        <f>IFERROR((s_dir!AP18/(d_ss_Bv!P18+s_MLF_onion)),".")</f>
        <v>37.266128838789754</v>
      </c>
      <c r="BP18" s="2">
        <f>IFERROR((s_dir!AQ18/(d_ss_Bv!Q18+s_MLF_peach)),".")</f>
        <v>37.266128838789754</v>
      </c>
      <c r="BQ18" s="2">
        <f>IFERROR((s_dir!AR18/(d_ss_Bv!R18+s_MLF_pear)),".")</f>
        <v>37.266128838789754</v>
      </c>
      <c r="BR18" s="2">
        <f>IFERROR((s_dir!AS18/(d_ss_Bv!S18+s_MLF_peas)),".")</f>
        <v>37.076685918040646</v>
      </c>
      <c r="BS18" s="2">
        <f>IFERROR((s_dir!AT18/(d_ss_Bv!T18+s_MLF_potato)),".")</f>
        <v>31.515183030334551</v>
      </c>
      <c r="BT18" s="2">
        <f>IFERROR((s_dir!AU18/(d_ss_Bv!U18+s_MLF_pumpkin)),".")</f>
        <v>37.266128838789754</v>
      </c>
      <c r="BU18" s="2">
        <f>IFERROR((s_dir!AV18/(d_ss_Bv!V18+s_MLF_snap_bean)),".")</f>
        <v>37.076685918040646</v>
      </c>
      <c r="BV18" s="2">
        <f>IFERROR((s_dir!AW18/(d_ss_Bv!W18+s_MLF_strawberry)),".")</f>
        <v>37.266128838789754</v>
      </c>
      <c r="BW18" s="2">
        <f>IFERROR((s_dir!AX18/(d_ss_Bv!X18+s_MLF_tomato)),".")</f>
        <v>37.266128838789754</v>
      </c>
      <c r="BX18" s="2">
        <f>IFERROR((s_dir!AY18/(d_ss_Bv!Y18+s_MLF_rice)),".")</f>
        <v>19.265885475147915</v>
      </c>
      <c r="BY18" s="2">
        <f>IFERROR((s_dir!AZ18/(d_ss_Bv!Z18+s_MLF_cereal)),".")</f>
        <v>37.157639380743788</v>
      </c>
      <c r="BZ18" s="10">
        <f t="shared" si="3"/>
        <v>407.92124999999999</v>
      </c>
      <c r="CA18" s="10">
        <f>IFERROR(s_C*(d_ss_Bv!C18+s_MLF_apple)*s_IFAP_far_adj*s_CF_apple,".")</f>
        <v>103.60625</v>
      </c>
      <c r="CB18" s="10">
        <f>IFERROR(s_C*(d_ss_Bv!D18+s_MLF_asparagus)*s_IFAS_far_adj*s_CF_asparagus,".")</f>
        <v>158.05625000000001</v>
      </c>
      <c r="CC18" s="10">
        <f>IFERROR(s_C*(d_ss_Bv!E18+s_MLF_beet)*s_IFBT_far_adj*s_CF_beet,".")</f>
        <v>145.95624999999998</v>
      </c>
      <c r="CD18" s="10">
        <f>IFERROR(s_C*(d_ss_Bv!F18+s_MLF_berries)*s_IFBR_far_adj*s_CF_berries,".")</f>
        <v>103.60625</v>
      </c>
      <c r="CE18" s="10">
        <f>IFERROR(s_C*(d_ss_Bv!G18+s_MLF_broccoli)*s_IFBR_far_adj*s_CF_broccoli,".")</f>
        <v>103.60625</v>
      </c>
      <c r="CF18" s="10">
        <f>IFERROR(s_C*(d_ss_Bv!H18+s_MLF_cabbage)*s_IFCB_far_adj*s_CF_cabbage,".")</f>
        <v>158.05625000000001</v>
      </c>
      <c r="CG18" s="10">
        <f>IFERROR(s_C*(d_ss_Bv!I18+s_MLF_carrot)*s_IFCR_far_adj*s_CF_carrot,".")</f>
        <v>145.95624999999998</v>
      </c>
      <c r="CH18" s="10">
        <f>IFERROR(s_C*(d_ss_Bv!J18+s_MLF_citrus)*s_IFCI_far_adj*s_CF_citrus,".")</f>
        <v>103.60625</v>
      </c>
      <c r="CI18" s="10">
        <f>IFERROR(s_C*(d_ss_Bv!K18+s_MLF_corn)*s_IFCO_far_adj*s_CF_corn,".")</f>
        <v>103.90875</v>
      </c>
      <c r="CJ18" s="10">
        <f>IFERROR(s_C*(d_ss_Bv!L18+s_MLF_cucumber)*s_IFCU_far_adj*s_CF_cucumber,".")</f>
        <v>103.60625</v>
      </c>
      <c r="CK18" s="10">
        <f>IFERROR(s_C*(d_ss_Bv!M18+s_MLF_lettuce)*s_IFLE_far_adj*s_CF_lettuce,".")</f>
        <v>158.05625000000001</v>
      </c>
      <c r="CL18" s="10">
        <f>IFERROR(s_C*(d_ss_Bv!N18+s_MLF_lima_bean)*s_IFLI_far_adj*s_CF_lima_bean,".")</f>
        <v>104.13562499999999</v>
      </c>
      <c r="CM18" s="10">
        <f>IFERROR(s_C*(d_ss_Bv!O18+s_MLF_okra)*s_IFOK_far_adj*s_CF_okra,".")</f>
        <v>103.60625</v>
      </c>
      <c r="CN18" s="10">
        <f>IFERROR(s_C*(d_ss_Bv!P18+s_MLF_onion)*s_IFON_far_adj*s_CF_onion,".")</f>
        <v>103.60625</v>
      </c>
      <c r="CO18" s="10">
        <f>IFERROR(s_C*(d_ss_Bv!Q18+s_MLF_peach)*s_IFPC_far_adj*s_CF_peach,".")</f>
        <v>103.60625</v>
      </c>
      <c r="CP18" s="10">
        <f>IFERROR(s_C*(d_ss_Bv!R18+s_MLF_pear)*s_IFPR_far_adj*s_CF_pear,".")</f>
        <v>103.60625</v>
      </c>
      <c r="CQ18" s="10">
        <f>IFERROR(s_C*(d_ss_Bv!S18+s_MLF_peas)*s_IFPE_far_adj*s_CF_peas,".")</f>
        <v>104.13562499999999</v>
      </c>
      <c r="CR18" s="10">
        <f>IFERROR(s_C*(d_ss_Bv!T18+s_MLF_potato)*s_IFPT_far_adj*s_CF_potato,".")</f>
        <v>122.51249999999999</v>
      </c>
      <c r="CS18" s="10">
        <f>IFERROR(s_C*(d_ss_Bv!U18+s_MLF_pumpkin)*s_IFPU_far_adj*s_CF_pumpkin,".")</f>
        <v>103.60625</v>
      </c>
      <c r="CT18" s="10">
        <f>IFERROR(s_C*(d_ss_Bv!V18+s_MLF_snap_bean)*s_IFSN_far_adj*s_CF_snap_bean,".")</f>
        <v>104.13562499999999</v>
      </c>
      <c r="CU18" s="10">
        <f>IFERROR(s_C*(d_ss_Bv!W18+s_MLF_strawberry)*s_IFST_far_adj*s_CF_strawberry,".")</f>
        <v>103.60625</v>
      </c>
      <c r="CV18" s="10">
        <f>IFERROR(s_C*(d_ss_Bv!X18+s_MLF_tomato)*s_IFTO_far_adj*s_CF_tomato,".")</f>
        <v>103.60625</v>
      </c>
      <c r="CW18" s="10">
        <f>IFERROR(s_C*(d_ss_Bv!Y18+s_MLF_rice)*s_IFRI_far_adj*s_CF_rice,".")</f>
        <v>200.40625</v>
      </c>
      <c r="CX18" s="10">
        <f>IFERROR(s_C*(d_ss_Bv!Z18+s_MLF_cereal)*s_IFCG_far_adj*s_CF_cereal,".")</f>
        <v>103.90875</v>
      </c>
    </row>
    <row r="19" spans="1:102" ht="15" customHeight="1" x14ac:dyDescent="0.25">
      <c r="A19" s="31" t="s">
        <v>17</v>
      </c>
      <c r="B19" s="3" t="s">
        <v>1059</v>
      </c>
      <c r="C19" s="2" t="str">
        <f t="shared" si="0"/>
        <v>.</v>
      </c>
      <c r="D19" s="2" t="str">
        <f>IFERROR((s_dir!D19/(d_ss_Bv!C19+s_MLF_apple)),".")</f>
        <v>.</v>
      </c>
      <c r="E19" s="2" t="str">
        <f>IFERROR((s_dir!E19/(d_ss_Bv!D19+s_MLF_asparagus)),".")</f>
        <v>.</v>
      </c>
      <c r="F19" s="2" t="str">
        <f>IFERROR((s_dir!F19/(d_ss_Bv!E19+s_MLF_beet)),".")</f>
        <v>.</v>
      </c>
      <c r="G19" s="2" t="str">
        <f>IFERROR((s_dir!G19/(d_ss_Bv!F19+s_MLF_berries)),".")</f>
        <v>.</v>
      </c>
      <c r="H19" s="2" t="str">
        <f>IFERROR((s_dir!H19/(d_ss_Bv!G19+s_MLF_broccoli)),".")</f>
        <v>.</v>
      </c>
      <c r="I19" s="2" t="str">
        <f>IFERROR((s_dir!I19/(d_ss_Bv!H19+s_MLF_cabbage)),".")</f>
        <v>.</v>
      </c>
      <c r="J19" s="2" t="str">
        <f>IFERROR((s_dir!J19/(d_ss_Bv!I19+s_MLF_carrot)),".")</f>
        <v>.</v>
      </c>
      <c r="K19" s="2" t="str">
        <f>IFERROR((s_dir!K19/(d_ss_Bv!J19+s_MLF_citrus)),".")</f>
        <v>.</v>
      </c>
      <c r="L19" s="2" t="str">
        <f>IFERROR((s_dir!L19/(d_ss_Bv!K19+s_MLF_corn)),".")</f>
        <v>.</v>
      </c>
      <c r="M19" s="2" t="str">
        <f>IFERROR((s_dir!M19/(d_ss_Bv!L19+s_MLF_cucumber)),".")</f>
        <v>.</v>
      </c>
      <c r="N19" s="2" t="str">
        <f>IFERROR((s_dir!N19/(d_ss_Bv!M19+s_MLF_lettuce)),".")</f>
        <v>.</v>
      </c>
      <c r="O19" s="2" t="str">
        <f>IFERROR((s_dir!O19/(d_ss_Bv!N19+s_MLF_lima_bean)),".")</f>
        <v>.</v>
      </c>
      <c r="P19" s="2" t="str">
        <f>IFERROR((s_dir!P19/(d_ss_Bv!O19+s_MLF_okra)),".")</f>
        <v>.</v>
      </c>
      <c r="Q19" s="2" t="str">
        <f>IFERROR((s_dir!Q19/(d_ss_Bv!P19+s_MLF_onion)),".")</f>
        <v>.</v>
      </c>
      <c r="R19" s="2" t="str">
        <f>IFERROR((s_dir!R19/(d_ss_Bv!Q19+s_MLF_peach)),".")</f>
        <v>.</v>
      </c>
      <c r="S19" s="2" t="str">
        <f>IFERROR((s_dir!S19/(d_ss_Bv!R19+s_MLF_pear)),".")</f>
        <v>.</v>
      </c>
      <c r="T19" s="2" t="str">
        <f>IFERROR((s_dir!T19/(d_ss_Bv!S19+s_MLF_peas)),".")</f>
        <v>.</v>
      </c>
      <c r="U19" s="2" t="str">
        <f>IFERROR((s_dir!U19/(d_ss_Bv!T19+s_MLF_potato)),".")</f>
        <v>.</v>
      </c>
      <c r="V19" s="2" t="str">
        <f>IFERROR((s_dir!V19/(d_ss_Bv!U19+s_MLF_pumpkin)),".")</f>
        <v>.</v>
      </c>
      <c r="W19" s="2" t="str">
        <f>IFERROR((s_dir!W19/(d_ss_Bv!V19+s_MLF_snap_bean)),".")</f>
        <v>.</v>
      </c>
      <c r="X19" s="2" t="str">
        <f>IFERROR((s_dir!X19/(d_ss_Bv!W19+s_MLF_strawberry)),".")</f>
        <v>.</v>
      </c>
      <c r="Y19" s="2" t="str">
        <f>IFERROR((s_dir!Y19/(d_ss_Bv!X19+s_MLF_tomato)),".")</f>
        <v>.</v>
      </c>
      <c r="Z19" s="2" t="str">
        <f>IFERROR((s_dir!Z19/(d_ss_Bv!Y19+s_MLF_rice)),".")</f>
        <v>.</v>
      </c>
      <c r="AA19" s="2" t="str">
        <f>IFERROR((s_dir!AA19/(d_ss_Bv!Z19+s_MLF_cereal)),".")</f>
        <v>.</v>
      </c>
      <c r="AB19" s="10">
        <f t="shared" si="4"/>
        <v>407.92124999999999</v>
      </c>
      <c r="AC19" s="10">
        <f>s_C*(d_ss_Bv!C19+s_MLF_apple)*s_IFAP_res_adj*s_CF_apple</f>
        <v>103.60625</v>
      </c>
      <c r="AD19" s="10">
        <f>s_C*(d_ss_Bv!D19+s_MLF_asparagus)*s_IFAS_res_adj*s_CF_asparagus</f>
        <v>158.05625000000001</v>
      </c>
      <c r="AE19" s="10">
        <f>s_C*(d_ss_Bv!E19+s_MLF_beet)*s_IFBT_res_adj*s_CF_beet</f>
        <v>145.95624999999998</v>
      </c>
      <c r="AF19" s="10">
        <f>s_C*(d_ss_Bv!F19+s_MLF_berries)*s_IFBE_res_adj*s_CF_berries</f>
        <v>103.60625</v>
      </c>
      <c r="AG19" s="10">
        <f>s_C*(d_ss_Bv!G19+s_MLF_broccoli)*s_IFBR_res_adj*s_CF_broccoli</f>
        <v>103.60625</v>
      </c>
      <c r="AH19" s="10">
        <f>s_C*(d_ss_Bv!H19+s_MLF_cabbage)*s_IFCB_res_adj*s_CF_cabbage</f>
        <v>158.05625000000001</v>
      </c>
      <c r="AI19" s="10">
        <f>s_C*(d_ss_Bv!I19+s_MLF_carrot)*s_IFCR_res_adj*s_CF_carrot</f>
        <v>145.95624999999998</v>
      </c>
      <c r="AJ19" s="10">
        <f>s_C*(d_ss_Bv!J19+s_MLF_citrus)*s_IFCI_res_adj*s_CF_citrus</f>
        <v>103.60625</v>
      </c>
      <c r="AK19" s="10">
        <f>s_C*(d_ss_Bv!K19+s_MLF_corn)*s_IFCO_res_adj*s_CF_corn</f>
        <v>103.90875</v>
      </c>
      <c r="AL19" s="10">
        <f>s_C*(d_ss_Bv!L19+s_MLF_cucumber)*s_IFCU_res_adj*s_CF_cucumber</f>
        <v>103.60625</v>
      </c>
      <c r="AM19" s="10">
        <f>s_C*(d_ss_Bv!M19+s_MLF_lettuce)*s_IFLE_res_adj*s_CF_lettuce</f>
        <v>158.05625000000001</v>
      </c>
      <c r="AN19" s="10">
        <f>s_C*(d_ss_Bv!N19+s_MLF_lima_bean)*s_IFLI_res_adj*s_CF_lima_bean</f>
        <v>104.13562499999999</v>
      </c>
      <c r="AO19" s="10">
        <f>s_C*(d_ss_Bv!O19+s_MLF_okra)*s_IFOK_res_adj*s_CF_okra</f>
        <v>103.60625</v>
      </c>
      <c r="AP19" s="10">
        <f>s_C*(d_ss_Bv!P19+s_MLF_onion)*s_IFON_res_adj*s_CF_onion</f>
        <v>103.60625</v>
      </c>
      <c r="AQ19" s="10">
        <f>s_C*(d_ss_Bv!Q19+s_MLF_peach)*s_IFPC_res_adj*s_CF_peach</f>
        <v>103.60625</v>
      </c>
      <c r="AR19" s="10">
        <f>s_C*(d_ss_Bv!R19+s_MLF_pear)*s_IFPR_res_adj*s_CF_pear</f>
        <v>103.60625</v>
      </c>
      <c r="AS19" s="10">
        <f>s_C*(d_ss_Bv!S19+s_MLF_peas)*s_IFPE_res_adj*s_CF_peas</f>
        <v>104.13562499999999</v>
      </c>
      <c r="AT19" s="10">
        <f>s_C*(d_ss_Bv!T19+s_MLF_potato)*s_IFPT_res_adj*s_CF_potato</f>
        <v>122.51249999999999</v>
      </c>
      <c r="AU19" s="10">
        <f>s_C*(d_ss_Bv!U19+s_MLF_pumpkin)*s_IFPU_res_adj*s_CF_pumpkin</f>
        <v>103.60625</v>
      </c>
      <c r="AV19" s="10">
        <f>s_C*(d_ss_Bv!V19+s_MLF_snap_bean)*s_IFSN_res_adj*s_CF_snap_bean</f>
        <v>104.13562499999999</v>
      </c>
      <c r="AW19" s="10">
        <f>s_C*(d_ss_Bv!W19+s_MLF_strawberry)*s_IFST_res_adj*s_CF_strawberry</f>
        <v>103.60625</v>
      </c>
      <c r="AX19" s="10">
        <f>s_C*(d_ss_Bv!X19+s_MLF_tomato)*s_IFTO_res_adj*s_CF_tomato</f>
        <v>103.60625</v>
      </c>
      <c r="AY19" s="10">
        <f>s_C*(d_ss_Bv!Y19+s_MLF_rice)*s_IFRI_res_adj*s_CF_rice</f>
        <v>200.40625</v>
      </c>
      <c r="AZ19" s="10">
        <f>s_C*(d_ss_Bv!Z19+s_MLF_cereal)*s_IFCG_res_adj*s_CF_cereal</f>
        <v>103.90875</v>
      </c>
      <c r="BA19" s="2" t="str">
        <f t="shared" si="2"/>
        <v>.</v>
      </c>
      <c r="BB19" s="2" t="str">
        <f>IFERROR((s_dir!AC19/(d_ss_Bv!C19+s_MLF_apple)),".")</f>
        <v>.</v>
      </c>
      <c r="BC19" s="2" t="str">
        <f>IFERROR((s_dir!AD19/(d_ss_Bv!D19+s_MLF_asparagus)),".")</f>
        <v>.</v>
      </c>
      <c r="BD19" s="2" t="str">
        <f>IFERROR((s_dir!AE19/(d_ss_Bv!E19+s_MLF_beet)),".")</f>
        <v>.</v>
      </c>
      <c r="BE19" s="2" t="str">
        <f>IFERROR((s_dir!AF19/(d_ss_Bv!F19+s_MLF_berries)),".")</f>
        <v>.</v>
      </c>
      <c r="BF19" s="2" t="str">
        <f>IFERROR((s_dir!AG19/(d_ss_Bv!G19+s_MLF_broccoli)),".")</f>
        <v>.</v>
      </c>
      <c r="BG19" s="2" t="str">
        <f>IFERROR((s_dir!AH19/(d_ss_Bv!H19+s_MLF_cabbage)),".")</f>
        <v>.</v>
      </c>
      <c r="BH19" s="2" t="str">
        <f>IFERROR((s_dir!AI19/(d_ss_Bv!I19+s_MLF_carrot)),".")</f>
        <v>.</v>
      </c>
      <c r="BI19" s="2" t="str">
        <f>IFERROR((s_dir!AJ19/(d_ss_Bv!J19+s_MLF_citrus)),".")</f>
        <v>.</v>
      </c>
      <c r="BJ19" s="2" t="str">
        <f>IFERROR((s_dir!AK19/(d_ss_Bv!K19+s_MLF_corn)),".")</f>
        <v>.</v>
      </c>
      <c r="BK19" s="2" t="str">
        <f>IFERROR((s_dir!AL19/(d_ss_Bv!L19+s_MLF_cucumber)),".")</f>
        <v>.</v>
      </c>
      <c r="BL19" s="2" t="str">
        <f>IFERROR((s_dir!AM19/(d_ss_Bv!M19+s_MLF_lettuce)),".")</f>
        <v>.</v>
      </c>
      <c r="BM19" s="2" t="str">
        <f>IFERROR((s_dir!AN19/(d_ss_Bv!N19+s_MLF_lima_bean)),".")</f>
        <v>.</v>
      </c>
      <c r="BN19" s="2" t="str">
        <f>IFERROR((s_dir!AO19/(d_ss_Bv!O19+s_MLF_okra)),".")</f>
        <v>.</v>
      </c>
      <c r="BO19" s="2" t="str">
        <f>IFERROR((s_dir!AP19/(d_ss_Bv!P19+s_MLF_onion)),".")</f>
        <v>.</v>
      </c>
      <c r="BP19" s="2" t="str">
        <f>IFERROR((s_dir!AQ19/(d_ss_Bv!Q19+s_MLF_peach)),".")</f>
        <v>.</v>
      </c>
      <c r="BQ19" s="2" t="str">
        <f>IFERROR((s_dir!AR19/(d_ss_Bv!R19+s_MLF_pear)),".")</f>
        <v>.</v>
      </c>
      <c r="BR19" s="2" t="str">
        <f>IFERROR((s_dir!AS19/(d_ss_Bv!S19+s_MLF_peas)),".")</f>
        <v>.</v>
      </c>
      <c r="BS19" s="2" t="str">
        <f>IFERROR((s_dir!AT19/(d_ss_Bv!T19+s_MLF_potato)),".")</f>
        <v>.</v>
      </c>
      <c r="BT19" s="2" t="str">
        <f>IFERROR((s_dir!AU19/(d_ss_Bv!U19+s_MLF_pumpkin)),".")</f>
        <v>.</v>
      </c>
      <c r="BU19" s="2" t="str">
        <f>IFERROR((s_dir!AV19/(d_ss_Bv!V19+s_MLF_snap_bean)),".")</f>
        <v>.</v>
      </c>
      <c r="BV19" s="2" t="str">
        <f>IFERROR((s_dir!AW19/(d_ss_Bv!W19+s_MLF_strawberry)),".")</f>
        <v>.</v>
      </c>
      <c r="BW19" s="2" t="str">
        <f>IFERROR((s_dir!AX19/(d_ss_Bv!X19+s_MLF_tomato)),".")</f>
        <v>.</v>
      </c>
      <c r="BX19" s="2" t="str">
        <f>IFERROR((s_dir!AY19/(d_ss_Bv!Y19+s_MLF_rice)),".")</f>
        <v>.</v>
      </c>
      <c r="BY19" s="2" t="str">
        <f>IFERROR((s_dir!AZ19/(d_ss_Bv!Z19+s_MLF_cereal)),".")</f>
        <v>.</v>
      </c>
      <c r="BZ19" s="10">
        <f t="shared" si="3"/>
        <v>407.92124999999999</v>
      </c>
      <c r="CA19" s="10">
        <f>IFERROR(s_C*(d_ss_Bv!C19+s_MLF_apple)*s_IFAP_far_adj*s_CF_apple,".")</f>
        <v>103.60625</v>
      </c>
      <c r="CB19" s="10">
        <f>IFERROR(s_C*(d_ss_Bv!D19+s_MLF_asparagus)*s_IFAS_far_adj*s_CF_asparagus,".")</f>
        <v>158.05625000000001</v>
      </c>
      <c r="CC19" s="10">
        <f>IFERROR(s_C*(d_ss_Bv!E19+s_MLF_beet)*s_IFBT_far_adj*s_CF_beet,".")</f>
        <v>145.95624999999998</v>
      </c>
      <c r="CD19" s="10">
        <f>IFERROR(s_C*(d_ss_Bv!F19+s_MLF_berries)*s_IFBR_far_adj*s_CF_berries,".")</f>
        <v>103.60625</v>
      </c>
      <c r="CE19" s="10">
        <f>IFERROR(s_C*(d_ss_Bv!G19+s_MLF_broccoli)*s_IFBR_far_adj*s_CF_broccoli,".")</f>
        <v>103.60625</v>
      </c>
      <c r="CF19" s="10">
        <f>IFERROR(s_C*(d_ss_Bv!H19+s_MLF_cabbage)*s_IFCB_far_adj*s_CF_cabbage,".")</f>
        <v>158.05625000000001</v>
      </c>
      <c r="CG19" s="10">
        <f>IFERROR(s_C*(d_ss_Bv!I19+s_MLF_carrot)*s_IFCR_far_adj*s_CF_carrot,".")</f>
        <v>145.95624999999998</v>
      </c>
      <c r="CH19" s="10">
        <f>IFERROR(s_C*(d_ss_Bv!J19+s_MLF_citrus)*s_IFCI_far_adj*s_CF_citrus,".")</f>
        <v>103.60625</v>
      </c>
      <c r="CI19" s="10">
        <f>IFERROR(s_C*(d_ss_Bv!K19+s_MLF_corn)*s_IFCO_far_adj*s_CF_corn,".")</f>
        <v>103.90875</v>
      </c>
      <c r="CJ19" s="10">
        <f>IFERROR(s_C*(d_ss_Bv!L19+s_MLF_cucumber)*s_IFCU_far_adj*s_CF_cucumber,".")</f>
        <v>103.60625</v>
      </c>
      <c r="CK19" s="10">
        <f>IFERROR(s_C*(d_ss_Bv!M19+s_MLF_lettuce)*s_IFLE_far_adj*s_CF_lettuce,".")</f>
        <v>158.05625000000001</v>
      </c>
      <c r="CL19" s="10">
        <f>IFERROR(s_C*(d_ss_Bv!N19+s_MLF_lima_bean)*s_IFLI_far_adj*s_CF_lima_bean,".")</f>
        <v>104.13562499999999</v>
      </c>
      <c r="CM19" s="10">
        <f>IFERROR(s_C*(d_ss_Bv!O19+s_MLF_okra)*s_IFOK_far_adj*s_CF_okra,".")</f>
        <v>103.60625</v>
      </c>
      <c r="CN19" s="10">
        <f>IFERROR(s_C*(d_ss_Bv!P19+s_MLF_onion)*s_IFON_far_adj*s_CF_onion,".")</f>
        <v>103.60625</v>
      </c>
      <c r="CO19" s="10">
        <f>IFERROR(s_C*(d_ss_Bv!Q19+s_MLF_peach)*s_IFPC_far_adj*s_CF_peach,".")</f>
        <v>103.60625</v>
      </c>
      <c r="CP19" s="10">
        <f>IFERROR(s_C*(d_ss_Bv!R19+s_MLF_pear)*s_IFPR_far_adj*s_CF_pear,".")</f>
        <v>103.60625</v>
      </c>
      <c r="CQ19" s="10">
        <f>IFERROR(s_C*(d_ss_Bv!S19+s_MLF_peas)*s_IFPE_far_adj*s_CF_peas,".")</f>
        <v>104.13562499999999</v>
      </c>
      <c r="CR19" s="10">
        <f>IFERROR(s_C*(d_ss_Bv!T19+s_MLF_potato)*s_IFPT_far_adj*s_CF_potato,".")</f>
        <v>122.51249999999999</v>
      </c>
      <c r="CS19" s="10">
        <f>IFERROR(s_C*(d_ss_Bv!U19+s_MLF_pumpkin)*s_IFPU_far_adj*s_CF_pumpkin,".")</f>
        <v>103.60625</v>
      </c>
      <c r="CT19" s="10">
        <f>IFERROR(s_C*(d_ss_Bv!V19+s_MLF_snap_bean)*s_IFSN_far_adj*s_CF_snap_bean,".")</f>
        <v>104.13562499999999</v>
      </c>
      <c r="CU19" s="10">
        <f>IFERROR(s_C*(d_ss_Bv!W19+s_MLF_strawberry)*s_IFST_far_adj*s_CF_strawberry,".")</f>
        <v>103.60625</v>
      </c>
      <c r="CV19" s="10">
        <f>IFERROR(s_C*(d_ss_Bv!X19+s_MLF_tomato)*s_IFTO_far_adj*s_CF_tomato,".")</f>
        <v>103.60625</v>
      </c>
      <c r="CW19" s="10">
        <f>IFERROR(s_C*(d_ss_Bv!Y19+s_MLF_rice)*s_IFRI_far_adj*s_CF_rice,".")</f>
        <v>200.40625</v>
      </c>
      <c r="CX19" s="10">
        <f>IFERROR(s_C*(d_ss_Bv!Z19+s_MLF_cereal)*s_IFCG_far_adj*s_CF_cereal,".")</f>
        <v>103.90875</v>
      </c>
    </row>
    <row r="20" spans="1:102" ht="15" customHeight="1" x14ac:dyDescent="0.25">
      <c r="A20" s="31" t="s">
        <v>18</v>
      </c>
      <c r="B20" s="3" t="s">
        <v>1059</v>
      </c>
      <c r="C20" s="2" t="str">
        <f t="shared" si="0"/>
        <v>.</v>
      </c>
      <c r="D20" s="2" t="str">
        <f>IFERROR((s_dir!D20/(d_ss_Bv!C20+s_MLF_apple)),".")</f>
        <v>.</v>
      </c>
      <c r="E20" s="2" t="str">
        <f>IFERROR((s_dir!E20/(d_ss_Bv!D20+s_MLF_asparagus)),".")</f>
        <v>.</v>
      </c>
      <c r="F20" s="2" t="str">
        <f>IFERROR((s_dir!F20/(d_ss_Bv!E20+s_MLF_beet)),".")</f>
        <v>.</v>
      </c>
      <c r="G20" s="2" t="str">
        <f>IFERROR((s_dir!G20/(d_ss_Bv!F20+s_MLF_berries)),".")</f>
        <v>.</v>
      </c>
      <c r="H20" s="2" t="str">
        <f>IFERROR((s_dir!H20/(d_ss_Bv!G20+s_MLF_broccoli)),".")</f>
        <v>.</v>
      </c>
      <c r="I20" s="2" t="str">
        <f>IFERROR((s_dir!I20/(d_ss_Bv!H20+s_MLF_cabbage)),".")</f>
        <v>.</v>
      </c>
      <c r="J20" s="2" t="str">
        <f>IFERROR((s_dir!J20/(d_ss_Bv!I20+s_MLF_carrot)),".")</f>
        <v>.</v>
      </c>
      <c r="K20" s="2" t="str">
        <f>IFERROR((s_dir!K20/(d_ss_Bv!J20+s_MLF_citrus)),".")</f>
        <v>.</v>
      </c>
      <c r="L20" s="2" t="str">
        <f>IFERROR((s_dir!L20/(d_ss_Bv!K20+s_MLF_corn)),".")</f>
        <v>.</v>
      </c>
      <c r="M20" s="2" t="str">
        <f>IFERROR((s_dir!M20/(d_ss_Bv!L20+s_MLF_cucumber)),".")</f>
        <v>.</v>
      </c>
      <c r="N20" s="2" t="str">
        <f>IFERROR((s_dir!N20/(d_ss_Bv!M20+s_MLF_lettuce)),".")</f>
        <v>.</v>
      </c>
      <c r="O20" s="2" t="str">
        <f>IFERROR((s_dir!O20/(d_ss_Bv!N20+s_MLF_lima_bean)),".")</f>
        <v>.</v>
      </c>
      <c r="P20" s="2" t="str">
        <f>IFERROR((s_dir!P20/(d_ss_Bv!O20+s_MLF_okra)),".")</f>
        <v>.</v>
      </c>
      <c r="Q20" s="2" t="str">
        <f>IFERROR((s_dir!Q20/(d_ss_Bv!P20+s_MLF_onion)),".")</f>
        <v>.</v>
      </c>
      <c r="R20" s="2" t="str">
        <f>IFERROR((s_dir!R20/(d_ss_Bv!Q20+s_MLF_peach)),".")</f>
        <v>.</v>
      </c>
      <c r="S20" s="2" t="str">
        <f>IFERROR((s_dir!S20/(d_ss_Bv!R20+s_MLF_pear)),".")</f>
        <v>.</v>
      </c>
      <c r="T20" s="2" t="str">
        <f>IFERROR((s_dir!T20/(d_ss_Bv!S20+s_MLF_peas)),".")</f>
        <v>.</v>
      </c>
      <c r="U20" s="2" t="str">
        <f>IFERROR((s_dir!U20/(d_ss_Bv!T20+s_MLF_potato)),".")</f>
        <v>.</v>
      </c>
      <c r="V20" s="2" t="str">
        <f>IFERROR((s_dir!V20/(d_ss_Bv!U20+s_MLF_pumpkin)),".")</f>
        <v>.</v>
      </c>
      <c r="W20" s="2" t="str">
        <f>IFERROR((s_dir!W20/(d_ss_Bv!V20+s_MLF_snap_bean)),".")</f>
        <v>.</v>
      </c>
      <c r="X20" s="2" t="str">
        <f>IFERROR((s_dir!X20/(d_ss_Bv!W20+s_MLF_strawberry)),".")</f>
        <v>.</v>
      </c>
      <c r="Y20" s="2" t="str">
        <f>IFERROR((s_dir!Y20/(d_ss_Bv!X20+s_MLF_tomato)),".")</f>
        <v>.</v>
      </c>
      <c r="Z20" s="2" t="str">
        <f>IFERROR((s_dir!Z20/(d_ss_Bv!Y20+s_MLF_rice)),".")</f>
        <v>.</v>
      </c>
      <c r="AA20" s="2" t="str">
        <f>IFERROR((s_dir!AA20/(d_ss_Bv!Z20+s_MLF_cereal)),".")</f>
        <v>.</v>
      </c>
      <c r="AB20" s="10">
        <f t="shared" si="4"/>
        <v>407.92124999999999</v>
      </c>
      <c r="AC20" s="10">
        <f>s_C*(d_ss_Bv!C20+s_MLF_apple)*s_IFAP_res_adj*s_CF_apple</f>
        <v>103.60625</v>
      </c>
      <c r="AD20" s="10">
        <f>s_C*(d_ss_Bv!D20+s_MLF_asparagus)*s_IFAS_res_adj*s_CF_asparagus</f>
        <v>158.05625000000001</v>
      </c>
      <c r="AE20" s="10">
        <f>s_C*(d_ss_Bv!E20+s_MLF_beet)*s_IFBT_res_adj*s_CF_beet</f>
        <v>145.95624999999998</v>
      </c>
      <c r="AF20" s="10">
        <f>s_C*(d_ss_Bv!F20+s_MLF_berries)*s_IFBE_res_adj*s_CF_berries</f>
        <v>103.60625</v>
      </c>
      <c r="AG20" s="10">
        <f>s_C*(d_ss_Bv!G20+s_MLF_broccoli)*s_IFBR_res_adj*s_CF_broccoli</f>
        <v>103.60625</v>
      </c>
      <c r="AH20" s="10">
        <f>s_C*(d_ss_Bv!H20+s_MLF_cabbage)*s_IFCB_res_adj*s_CF_cabbage</f>
        <v>158.05625000000001</v>
      </c>
      <c r="AI20" s="10">
        <f>s_C*(d_ss_Bv!I20+s_MLF_carrot)*s_IFCR_res_adj*s_CF_carrot</f>
        <v>145.95624999999998</v>
      </c>
      <c r="AJ20" s="10">
        <f>s_C*(d_ss_Bv!J20+s_MLF_citrus)*s_IFCI_res_adj*s_CF_citrus</f>
        <v>103.60625</v>
      </c>
      <c r="AK20" s="10">
        <f>s_C*(d_ss_Bv!K20+s_MLF_corn)*s_IFCO_res_adj*s_CF_corn</f>
        <v>103.90875</v>
      </c>
      <c r="AL20" s="10">
        <f>s_C*(d_ss_Bv!L20+s_MLF_cucumber)*s_IFCU_res_adj*s_CF_cucumber</f>
        <v>103.60625</v>
      </c>
      <c r="AM20" s="10">
        <f>s_C*(d_ss_Bv!M20+s_MLF_lettuce)*s_IFLE_res_adj*s_CF_lettuce</f>
        <v>158.05625000000001</v>
      </c>
      <c r="AN20" s="10">
        <f>s_C*(d_ss_Bv!N20+s_MLF_lima_bean)*s_IFLI_res_adj*s_CF_lima_bean</f>
        <v>104.13562499999999</v>
      </c>
      <c r="AO20" s="10">
        <f>s_C*(d_ss_Bv!O20+s_MLF_okra)*s_IFOK_res_adj*s_CF_okra</f>
        <v>103.60625</v>
      </c>
      <c r="AP20" s="10">
        <f>s_C*(d_ss_Bv!P20+s_MLF_onion)*s_IFON_res_adj*s_CF_onion</f>
        <v>103.60625</v>
      </c>
      <c r="AQ20" s="10">
        <f>s_C*(d_ss_Bv!Q20+s_MLF_peach)*s_IFPC_res_adj*s_CF_peach</f>
        <v>103.60625</v>
      </c>
      <c r="AR20" s="10">
        <f>s_C*(d_ss_Bv!R20+s_MLF_pear)*s_IFPR_res_adj*s_CF_pear</f>
        <v>103.60625</v>
      </c>
      <c r="AS20" s="10">
        <f>s_C*(d_ss_Bv!S20+s_MLF_peas)*s_IFPE_res_adj*s_CF_peas</f>
        <v>104.13562499999999</v>
      </c>
      <c r="AT20" s="10">
        <f>s_C*(d_ss_Bv!T20+s_MLF_potato)*s_IFPT_res_adj*s_CF_potato</f>
        <v>122.51249999999999</v>
      </c>
      <c r="AU20" s="10">
        <f>s_C*(d_ss_Bv!U20+s_MLF_pumpkin)*s_IFPU_res_adj*s_CF_pumpkin</f>
        <v>103.60625</v>
      </c>
      <c r="AV20" s="10">
        <f>s_C*(d_ss_Bv!V20+s_MLF_snap_bean)*s_IFSN_res_adj*s_CF_snap_bean</f>
        <v>104.13562499999999</v>
      </c>
      <c r="AW20" s="10">
        <f>s_C*(d_ss_Bv!W20+s_MLF_strawberry)*s_IFST_res_adj*s_CF_strawberry</f>
        <v>103.60625</v>
      </c>
      <c r="AX20" s="10">
        <f>s_C*(d_ss_Bv!X20+s_MLF_tomato)*s_IFTO_res_adj*s_CF_tomato</f>
        <v>103.60625</v>
      </c>
      <c r="AY20" s="10">
        <f>s_C*(d_ss_Bv!Y20+s_MLF_rice)*s_IFRI_res_adj*s_CF_rice</f>
        <v>200.40625</v>
      </c>
      <c r="AZ20" s="10">
        <f>s_C*(d_ss_Bv!Z20+s_MLF_cereal)*s_IFCG_res_adj*s_CF_cereal</f>
        <v>103.90875</v>
      </c>
      <c r="BA20" s="2" t="str">
        <f t="shared" si="2"/>
        <v>.</v>
      </c>
      <c r="BB20" s="2" t="str">
        <f>IFERROR((s_dir!AC20/(d_ss_Bv!C20+s_MLF_apple)),".")</f>
        <v>.</v>
      </c>
      <c r="BC20" s="2" t="str">
        <f>IFERROR((s_dir!AD20/(d_ss_Bv!D20+s_MLF_asparagus)),".")</f>
        <v>.</v>
      </c>
      <c r="BD20" s="2" t="str">
        <f>IFERROR((s_dir!AE20/(d_ss_Bv!E20+s_MLF_beet)),".")</f>
        <v>.</v>
      </c>
      <c r="BE20" s="2" t="str">
        <f>IFERROR((s_dir!AF20/(d_ss_Bv!F20+s_MLF_berries)),".")</f>
        <v>.</v>
      </c>
      <c r="BF20" s="2" t="str">
        <f>IFERROR((s_dir!AG20/(d_ss_Bv!G20+s_MLF_broccoli)),".")</f>
        <v>.</v>
      </c>
      <c r="BG20" s="2" t="str">
        <f>IFERROR((s_dir!AH20/(d_ss_Bv!H20+s_MLF_cabbage)),".")</f>
        <v>.</v>
      </c>
      <c r="BH20" s="2" t="str">
        <f>IFERROR((s_dir!AI20/(d_ss_Bv!I20+s_MLF_carrot)),".")</f>
        <v>.</v>
      </c>
      <c r="BI20" s="2" t="str">
        <f>IFERROR((s_dir!AJ20/(d_ss_Bv!J20+s_MLF_citrus)),".")</f>
        <v>.</v>
      </c>
      <c r="BJ20" s="2" t="str">
        <f>IFERROR((s_dir!AK20/(d_ss_Bv!K20+s_MLF_corn)),".")</f>
        <v>.</v>
      </c>
      <c r="BK20" s="2" t="str">
        <f>IFERROR((s_dir!AL20/(d_ss_Bv!L20+s_MLF_cucumber)),".")</f>
        <v>.</v>
      </c>
      <c r="BL20" s="2" t="str">
        <f>IFERROR((s_dir!AM20/(d_ss_Bv!M20+s_MLF_lettuce)),".")</f>
        <v>.</v>
      </c>
      <c r="BM20" s="2" t="str">
        <f>IFERROR((s_dir!AN20/(d_ss_Bv!N20+s_MLF_lima_bean)),".")</f>
        <v>.</v>
      </c>
      <c r="BN20" s="2" t="str">
        <f>IFERROR((s_dir!AO20/(d_ss_Bv!O20+s_MLF_okra)),".")</f>
        <v>.</v>
      </c>
      <c r="BO20" s="2" t="str">
        <f>IFERROR((s_dir!AP20/(d_ss_Bv!P20+s_MLF_onion)),".")</f>
        <v>.</v>
      </c>
      <c r="BP20" s="2" t="str">
        <f>IFERROR((s_dir!AQ20/(d_ss_Bv!Q20+s_MLF_peach)),".")</f>
        <v>.</v>
      </c>
      <c r="BQ20" s="2" t="str">
        <f>IFERROR((s_dir!AR20/(d_ss_Bv!R20+s_MLF_pear)),".")</f>
        <v>.</v>
      </c>
      <c r="BR20" s="2" t="str">
        <f>IFERROR((s_dir!AS20/(d_ss_Bv!S20+s_MLF_peas)),".")</f>
        <v>.</v>
      </c>
      <c r="BS20" s="2" t="str">
        <f>IFERROR((s_dir!AT20/(d_ss_Bv!T20+s_MLF_potato)),".")</f>
        <v>.</v>
      </c>
      <c r="BT20" s="2" t="str">
        <f>IFERROR((s_dir!AU20/(d_ss_Bv!U20+s_MLF_pumpkin)),".")</f>
        <v>.</v>
      </c>
      <c r="BU20" s="2" t="str">
        <f>IFERROR((s_dir!AV20/(d_ss_Bv!V20+s_MLF_snap_bean)),".")</f>
        <v>.</v>
      </c>
      <c r="BV20" s="2" t="str">
        <f>IFERROR((s_dir!AW20/(d_ss_Bv!W20+s_MLF_strawberry)),".")</f>
        <v>.</v>
      </c>
      <c r="BW20" s="2" t="str">
        <f>IFERROR((s_dir!AX20/(d_ss_Bv!X20+s_MLF_tomato)),".")</f>
        <v>.</v>
      </c>
      <c r="BX20" s="2" t="str">
        <f>IFERROR((s_dir!AY20/(d_ss_Bv!Y20+s_MLF_rice)),".")</f>
        <v>.</v>
      </c>
      <c r="BY20" s="2" t="str">
        <f>IFERROR((s_dir!AZ20/(d_ss_Bv!Z20+s_MLF_cereal)),".")</f>
        <v>.</v>
      </c>
      <c r="BZ20" s="10">
        <f t="shared" si="3"/>
        <v>407.92124999999999</v>
      </c>
      <c r="CA20" s="10">
        <f>IFERROR(s_C*(d_ss_Bv!C20+s_MLF_apple)*s_IFAP_far_adj*s_CF_apple,".")</f>
        <v>103.60625</v>
      </c>
      <c r="CB20" s="10">
        <f>IFERROR(s_C*(d_ss_Bv!D20+s_MLF_asparagus)*s_IFAS_far_adj*s_CF_asparagus,".")</f>
        <v>158.05625000000001</v>
      </c>
      <c r="CC20" s="10">
        <f>IFERROR(s_C*(d_ss_Bv!E20+s_MLF_beet)*s_IFBT_far_adj*s_CF_beet,".")</f>
        <v>145.95624999999998</v>
      </c>
      <c r="CD20" s="10">
        <f>IFERROR(s_C*(d_ss_Bv!F20+s_MLF_berries)*s_IFBR_far_adj*s_CF_berries,".")</f>
        <v>103.60625</v>
      </c>
      <c r="CE20" s="10">
        <f>IFERROR(s_C*(d_ss_Bv!G20+s_MLF_broccoli)*s_IFBR_far_adj*s_CF_broccoli,".")</f>
        <v>103.60625</v>
      </c>
      <c r="CF20" s="10">
        <f>IFERROR(s_C*(d_ss_Bv!H20+s_MLF_cabbage)*s_IFCB_far_adj*s_CF_cabbage,".")</f>
        <v>158.05625000000001</v>
      </c>
      <c r="CG20" s="10">
        <f>IFERROR(s_C*(d_ss_Bv!I20+s_MLF_carrot)*s_IFCR_far_adj*s_CF_carrot,".")</f>
        <v>145.95624999999998</v>
      </c>
      <c r="CH20" s="10">
        <f>IFERROR(s_C*(d_ss_Bv!J20+s_MLF_citrus)*s_IFCI_far_adj*s_CF_citrus,".")</f>
        <v>103.60625</v>
      </c>
      <c r="CI20" s="10">
        <f>IFERROR(s_C*(d_ss_Bv!K20+s_MLF_corn)*s_IFCO_far_adj*s_CF_corn,".")</f>
        <v>103.90875</v>
      </c>
      <c r="CJ20" s="10">
        <f>IFERROR(s_C*(d_ss_Bv!L20+s_MLF_cucumber)*s_IFCU_far_adj*s_CF_cucumber,".")</f>
        <v>103.60625</v>
      </c>
      <c r="CK20" s="10">
        <f>IFERROR(s_C*(d_ss_Bv!M20+s_MLF_lettuce)*s_IFLE_far_adj*s_CF_lettuce,".")</f>
        <v>158.05625000000001</v>
      </c>
      <c r="CL20" s="10">
        <f>IFERROR(s_C*(d_ss_Bv!N20+s_MLF_lima_bean)*s_IFLI_far_adj*s_CF_lima_bean,".")</f>
        <v>104.13562499999999</v>
      </c>
      <c r="CM20" s="10">
        <f>IFERROR(s_C*(d_ss_Bv!O20+s_MLF_okra)*s_IFOK_far_adj*s_CF_okra,".")</f>
        <v>103.60625</v>
      </c>
      <c r="CN20" s="10">
        <f>IFERROR(s_C*(d_ss_Bv!P20+s_MLF_onion)*s_IFON_far_adj*s_CF_onion,".")</f>
        <v>103.60625</v>
      </c>
      <c r="CO20" s="10">
        <f>IFERROR(s_C*(d_ss_Bv!Q20+s_MLF_peach)*s_IFPC_far_adj*s_CF_peach,".")</f>
        <v>103.60625</v>
      </c>
      <c r="CP20" s="10">
        <f>IFERROR(s_C*(d_ss_Bv!R20+s_MLF_pear)*s_IFPR_far_adj*s_CF_pear,".")</f>
        <v>103.60625</v>
      </c>
      <c r="CQ20" s="10">
        <f>IFERROR(s_C*(d_ss_Bv!S20+s_MLF_peas)*s_IFPE_far_adj*s_CF_peas,".")</f>
        <v>104.13562499999999</v>
      </c>
      <c r="CR20" s="10">
        <f>IFERROR(s_C*(d_ss_Bv!T20+s_MLF_potato)*s_IFPT_far_adj*s_CF_potato,".")</f>
        <v>122.51249999999999</v>
      </c>
      <c r="CS20" s="10">
        <f>IFERROR(s_C*(d_ss_Bv!U20+s_MLF_pumpkin)*s_IFPU_far_adj*s_CF_pumpkin,".")</f>
        <v>103.60625</v>
      </c>
      <c r="CT20" s="10">
        <f>IFERROR(s_C*(d_ss_Bv!V20+s_MLF_snap_bean)*s_IFSN_far_adj*s_CF_snap_bean,".")</f>
        <v>104.13562499999999</v>
      </c>
      <c r="CU20" s="10">
        <f>IFERROR(s_C*(d_ss_Bv!W20+s_MLF_strawberry)*s_IFST_far_adj*s_CF_strawberry,".")</f>
        <v>103.60625</v>
      </c>
      <c r="CV20" s="10">
        <f>IFERROR(s_C*(d_ss_Bv!X20+s_MLF_tomato)*s_IFTO_far_adj*s_CF_tomato,".")</f>
        <v>103.60625</v>
      </c>
      <c r="CW20" s="10">
        <f>IFERROR(s_C*(d_ss_Bv!Y20+s_MLF_rice)*s_IFRI_far_adj*s_CF_rice,".")</f>
        <v>200.40625</v>
      </c>
      <c r="CX20" s="10">
        <f>IFERROR(s_C*(d_ss_Bv!Z20+s_MLF_cereal)*s_IFCG_far_adj*s_CF_cereal,".")</f>
        <v>103.90875</v>
      </c>
    </row>
    <row r="21" spans="1:102" ht="15" customHeight="1" x14ac:dyDescent="0.25">
      <c r="A21" s="31" t="s">
        <v>19</v>
      </c>
      <c r="B21" s="3" t="s">
        <v>1059</v>
      </c>
      <c r="C21" s="2" t="str">
        <f t="shared" si="0"/>
        <v>.</v>
      </c>
      <c r="D21" s="2" t="str">
        <f>IFERROR((s_dir!D21/(d_ss_Bv!C21+s_MLF_apple)),".")</f>
        <v>.</v>
      </c>
      <c r="E21" s="2" t="str">
        <f>IFERROR((s_dir!E21/(d_ss_Bv!D21+s_MLF_asparagus)),".")</f>
        <v>.</v>
      </c>
      <c r="F21" s="2" t="str">
        <f>IFERROR((s_dir!F21/(d_ss_Bv!E21+s_MLF_beet)),".")</f>
        <v>.</v>
      </c>
      <c r="G21" s="2" t="str">
        <f>IFERROR((s_dir!G21/(d_ss_Bv!F21+s_MLF_berries)),".")</f>
        <v>.</v>
      </c>
      <c r="H21" s="2" t="str">
        <f>IFERROR((s_dir!H21/(d_ss_Bv!G21+s_MLF_broccoli)),".")</f>
        <v>.</v>
      </c>
      <c r="I21" s="2" t="str">
        <f>IFERROR((s_dir!I21/(d_ss_Bv!H21+s_MLF_cabbage)),".")</f>
        <v>.</v>
      </c>
      <c r="J21" s="2" t="str">
        <f>IFERROR((s_dir!J21/(d_ss_Bv!I21+s_MLF_carrot)),".")</f>
        <v>.</v>
      </c>
      <c r="K21" s="2" t="str">
        <f>IFERROR((s_dir!K21/(d_ss_Bv!J21+s_MLF_citrus)),".")</f>
        <v>.</v>
      </c>
      <c r="L21" s="2" t="str">
        <f>IFERROR((s_dir!L21/(d_ss_Bv!K21+s_MLF_corn)),".")</f>
        <v>.</v>
      </c>
      <c r="M21" s="2" t="str">
        <f>IFERROR((s_dir!M21/(d_ss_Bv!L21+s_MLF_cucumber)),".")</f>
        <v>.</v>
      </c>
      <c r="N21" s="2" t="str">
        <f>IFERROR((s_dir!N21/(d_ss_Bv!M21+s_MLF_lettuce)),".")</f>
        <v>.</v>
      </c>
      <c r="O21" s="2" t="str">
        <f>IFERROR((s_dir!O21/(d_ss_Bv!N21+s_MLF_lima_bean)),".")</f>
        <v>.</v>
      </c>
      <c r="P21" s="2" t="str">
        <f>IFERROR((s_dir!P21/(d_ss_Bv!O21+s_MLF_okra)),".")</f>
        <v>.</v>
      </c>
      <c r="Q21" s="2" t="str">
        <f>IFERROR((s_dir!Q21/(d_ss_Bv!P21+s_MLF_onion)),".")</f>
        <v>.</v>
      </c>
      <c r="R21" s="2" t="str">
        <f>IFERROR((s_dir!R21/(d_ss_Bv!Q21+s_MLF_peach)),".")</f>
        <v>.</v>
      </c>
      <c r="S21" s="2" t="str">
        <f>IFERROR((s_dir!S21/(d_ss_Bv!R21+s_MLF_pear)),".")</f>
        <v>.</v>
      </c>
      <c r="T21" s="2" t="str">
        <f>IFERROR((s_dir!T21/(d_ss_Bv!S21+s_MLF_peas)),".")</f>
        <v>.</v>
      </c>
      <c r="U21" s="2" t="str">
        <f>IFERROR((s_dir!U21/(d_ss_Bv!T21+s_MLF_potato)),".")</f>
        <v>.</v>
      </c>
      <c r="V21" s="2" t="str">
        <f>IFERROR((s_dir!V21/(d_ss_Bv!U21+s_MLF_pumpkin)),".")</f>
        <v>.</v>
      </c>
      <c r="W21" s="2" t="str">
        <f>IFERROR((s_dir!W21/(d_ss_Bv!V21+s_MLF_snap_bean)),".")</f>
        <v>.</v>
      </c>
      <c r="X21" s="2" t="str">
        <f>IFERROR((s_dir!X21/(d_ss_Bv!W21+s_MLF_strawberry)),".")</f>
        <v>.</v>
      </c>
      <c r="Y21" s="2" t="str">
        <f>IFERROR((s_dir!Y21/(d_ss_Bv!X21+s_MLF_tomato)),".")</f>
        <v>.</v>
      </c>
      <c r="Z21" s="2" t="str">
        <f>IFERROR((s_dir!Z21/(d_ss_Bv!Y21+s_MLF_rice)),".")</f>
        <v>.</v>
      </c>
      <c r="AA21" s="2" t="str">
        <f>IFERROR((s_dir!AA21/(d_ss_Bv!Z21+s_MLF_cereal)),".")</f>
        <v>.</v>
      </c>
      <c r="AB21" s="10">
        <f t="shared" si="4"/>
        <v>407.92124999999999</v>
      </c>
      <c r="AC21" s="10">
        <f>s_C*(d_ss_Bv!C21+s_MLF_apple)*s_IFAP_res_adj*s_CF_apple</f>
        <v>103.60625</v>
      </c>
      <c r="AD21" s="10">
        <f>s_C*(d_ss_Bv!D21+s_MLF_asparagus)*s_IFAS_res_adj*s_CF_asparagus</f>
        <v>158.05625000000001</v>
      </c>
      <c r="AE21" s="10">
        <f>s_C*(d_ss_Bv!E21+s_MLF_beet)*s_IFBT_res_adj*s_CF_beet</f>
        <v>145.95624999999998</v>
      </c>
      <c r="AF21" s="10">
        <f>s_C*(d_ss_Bv!F21+s_MLF_berries)*s_IFBE_res_adj*s_CF_berries</f>
        <v>103.60625</v>
      </c>
      <c r="AG21" s="10">
        <f>s_C*(d_ss_Bv!G21+s_MLF_broccoli)*s_IFBR_res_adj*s_CF_broccoli</f>
        <v>103.60625</v>
      </c>
      <c r="AH21" s="10">
        <f>s_C*(d_ss_Bv!H21+s_MLF_cabbage)*s_IFCB_res_adj*s_CF_cabbage</f>
        <v>158.05625000000001</v>
      </c>
      <c r="AI21" s="10">
        <f>s_C*(d_ss_Bv!I21+s_MLF_carrot)*s_IFCR_res_adj*s_CF_carrot</f>
        <v>145.95624999999998</v>
      </c>
      <c r="AJ21" s="10">
        <f>s_C*(d_ss_Bv!J21+s_MLF_citrus)*s_IFCI_res_adj*s_CF_citrus</f>
        <v>103.60625</v>
      </c>
      <c r="AK21" s="10">
        <f>s_C*(d_ss_Bv!K21+s_MLF_corn)*s_IFCO_res_adj*s_CF_corn</f>
        <v>103.90875</v>
      </c>
      <c r="AL21" s="10">
        <f>s_C*(d_ss_Bv!L21+s_MLF_cucumber)*s_IFCU_res_adj*s_CF_cucumber</f>
        <v>103.60625</v>
      </c>
      <c r="AM21" s="10">
        <f>s_C*(d_ss_Bv!M21+s_MLF_lettuce)*s_IFLE_res_adj*s_CF_lettuce</f>
        <v>158.05625000000001</v>
      </c>
      <c r="AN21" s="10">
        <f>s_C*(d_ss_Bv!N21+s_MLF_lima_bean)*s_IFLI_res_adj*s_CF_lima_bean</f>
        <v>104.13562499999999</v>
      </c>
      <c r="AO21" s="10">
        <f>s_C*(d_ss_Bv!O21+s_MLF_okra)*s_IFOK_res_adj*s_CF_okra</f>
        <v>103.60625</v>
      </c>
      <c r="AP21" s="10">
        <f>s_C*(d_ss_Bv!P21+s_MLF_onion)*s_IFON_res_adj*s_CF_onion</f>
        <v>103.60625</v>
      </c>
      <c r="AQ21" s="10">
        <f>s_C*(d_ss_Bv!Q21+s_MLF_peach)*s_IFPC_res_adj*s_CF_peach</f>
        <v>103.60625</v>
      </c>
      <c r="AR21" s="10">
        <f>s_C*(d_ss_Bv!R21+s_MLF_pear)*s_IFPR_res_adj*s_CF_pear</f>
        <v>103.60625</v>
      </c>
      <c r="AS21" s="10">
        <f>s_C*(d_ss_Bv!S21+s_MLF_peas)*s_IFPE_res_adj*s_CF_peas</f>
        <v>104.13562499999999</v>
      </c>
      <c r="AT21" s="10">
        <f>s_C*(d_ss_Bv!T21+s_MLF_potato)*s_IFPT_res_adj*s_CF_potato</f>
        <v>122.51249999999999</v>
      </c>
      <c r="AU21" s="10">
        <f>s_C*(d_ss_Bv!U21+s_MLF_pumpkin)*s_IFPU_res_adj*s_CF_pumpkin</f>
        <v>103.60625</v>
      </c>
      <c r="AV21" s="10">
        <f>s_C*(d_ss_Bv!V21+s_MLF_snap_bean)*s_IFSN_res_adj*s_CF_snap_bean</f>
        <v>104.13562499999999</v>
      </c>
      <c r="AW21" s="10">
        <f>s_C*(d_ss_Bv!W21+s_MLF_strawberry)*s_IFST_res_adj*s_CF_strawberry</f>
        <v>103.60625</v>
      </c>
      <c r="AX21" s="10">
        <f>s_C*(d_ss_Bv!X21+s_MLF_tomato)*s_IFTO_res_adj*s_CF_tomato</f>
        <v>103.60625</v>
      </c>
      <c r="AY21" s="10">
        <f>s_C*(d_ss_Bv!Y21+s_MLF_rice)*s_IFRI_res_adj*s_CF_rice</f>
        <v>200.40625</v>
      </c>
      <c r="AZ21" s="10">
        <f>s_C*(d_ss_Bv!Z21+s_MLF_cereal)*s_IFCG_res_adj*s_CF_cereal</f>
        <v>103.90875</v>
      </c>
      <c r="BA21" s="2" t="str">
        <f t="shared" si="2"/>
        <v>.</v>
      </c>
      <c r="BB21" s="2" t="str">
        <f>IFERROR((s_dir!AC21/(d_ss_Bv!C21+s_MLF_apple)),".")</f>
        <v>.</v>
      </c>
      <c r="BC21" s="2" t="str">
        <f>IFERROR((s_dir!AD21/(d_ss_Bv!D21+s_MLF_asparagus)),".")</f>
        <v>.</v>
      </c>
      <c r="BD21" s="2" t="str">
        <f>IFERROR((s_dir!AE21/(d_ss_Bv!E21+s_MLF_beet)),".")</f>
        <v>.</v>
      </c>
      <c r="BE21" s="2" t="str">
        <f>IFERROR((s_dir!AF21/(d_ss_Bv!F21+s_MLF_berries)),".")</f>
        <v>.</v>
      </c>
      <c r="BF21" s="2" t="str">
        <f>IFERROR((s_dir!AG21/(d_ss_Bv!G21+s_MLF_broccoli)),".")</f>
        <v>.</v>
      </c>
      <c r="BG21" s="2" t="str">
        <f>IFERROR((s_dir!AH21/(d_ss_Bv!H21+s_MLF_cabbage)),".")</f>
        <v>.</v>
      </c>
      <c r="BH21" s="2" t="str">
        <f>IFERROR((s_dir!AI21/(d_ss_Bv!I21+s_MLF_carrot)),".")</f>
        <v>.</v>
      </c>
      <c r="BI21" s="2" t="str">
        <f>IFERROR((s_dir!AJ21/(d_ss_Bv!J21+s_MLF_citrus)),".")</f>
        <v>.</v>
      </c>
      <c r="BJ21" s="2" t="str">
        <f>IFERROR((s_dir!AK21/(d_ss_Bv!K21+s_MLF_corn)),".")</f>
        <v>.</v>
      </c>
      <c r="BK21" s="2" t="str">
        <f>IFERROR((s_dir!AL21/(d_ss_Bv!L21+s_MLF_cucumber)),".")</f>
        <v>.</v>
      </c>
      <c r="BL21" s="2" t="str">
        <f>IFERROR((s_dir!AM21/(d_ss_Bv!M21+s_MLF_lettuce)),".")</f>
        <v>.</v>
      </c>
      <c r="BM21" s="2" t="str">
        <f>IFERROR((s_dir!AN21/(d_ss_Bv!N21+s_MLF_lima_bean)),".")</f>
        <v>.</v>
      </c>
      <c r="BN21" s="2" t="str">
        <f>IFERROR((s_dir!AO21/(d_ss_Bv!O21+s_MLF_okra)),".")</f>
        <v>.</v>
      </c>
      <c r="BO21" s="2" t="str">
        <f>IFERROR((s_dir!AP21/(d_ss_Bv!P21+s_MLF_onion)),".")</f>
        <v>.</v>
      </c>
      <c r="BP21" s="2" t="str">
        <f>IFERROR((s_dir!AQ21/(d_ss_Bv!Q21+s_MLF_peach)),".")</f>
        <v>.</v>
      </c>
      <c r="BQ21" s="2" t="str">
        <f>IFERROR((s_dir!AR21/(d_ss_Bv!R21+s_MLF_pear)),".")</f>
        <v>.</v>
      </c>
      <c r="BR21" s="2" t="str">
        <f>IFERROR((s_dir!AS21/(d_ss_Bv!S21+s_MLF_peas)),".")</f>
        <v>.</v>
      </c>
      <c r="BS21" s="2" t="str">
        <f>IFERROR((s_dir!AT21/(d_ss_Bv!T21+s_MLF_potato)),".")</f>
        <v>.</v>
      </c>
      <c r="BT21" s="2" t="str">
        <f>IFERROR((s_dir!AU21/(d_ss_Bv!U21+s_MLF_pumpkin)),".")</f>
        <v>.</v>
      </c>
      <c r="BU21" s="2" t="str">
        <f>IFERROR((s_dir!AV21/(d_ss_Bv!V21+s_MLF_snap_bean)),".")</f>
        <v>.</v>
      </c>
      <c r="BV21" s="2" t="str">
        <f>IFERROR((s_dir!AW21/(d_ss_Bv!W21+s_MLF_strawberry)),".")</f>
        <v>.</v>
      </c>
      <c r="BW21" s="2" t="str">
        <f>IFERROR((s_dir!AX21/(d_ss_Bv!X21+s_MLF_tomato)),".")</f>
        <v>.</v>
      </c>
      <c r="BX21" s="2" t="str">
        <f>IFERROR((s_dir!AY21/(d_ss_Bv!Y21+s_MLF_rice)),".")</f>
        <v>.</v>
      </c>
      <c r="BY21" s="2" t="str">
        <f>IFERROR((s_dir!AZ21/(d_ss_Bv!Z21+s_MLF_cereal)),".")</f>
        <v>.</v>
      </c>
      <c r="BZ21" s="10">
        <f t="shared" si="3"/>
        <v>407.92124999999999</v>
      </c>
      <c r="CA21" s="10">
        <f>IFERROR(s_C*(d_ss_Bv!C21+s_MLF_apple)*s_IFAP_far_adj*s_CF_apple,".")</f>
        <v>103.60625</v>
      </c>
      <c r="CB21" s="10">
        <f>IFERROR(s_C*(d_ss_Bv!D21+s_MLF_asparagus)*s_IFAS_far_adj*s_CF_asparagus,".")</f>
        <v>158.05625000000001</v>
      </c>
      <c r="CC21" s="10">
        <f>IFERROR(s_C*(d_ss_Bv!E21+s_MLF_beet)*s_IFBT_far_adj*s_CF_beet,".")</f>
        <v>145.95624999999998</v>
      </c>
      <c r="CD21" s="10">
        <f>IFERROR(s_C*(d_ss_Bv!F21+s_MLF_berries)*s_IFBR_far_adj*s_CF_berries,".")</f>
        <v>103.60625</v>
      </c>
      <c r="CE21" s="10">
        <f>IFERROR(s_C*(d_ss_Bv!G21+s_MLF_broccoli)*s_IFBR_far_adj*s_CF_broccoli,".")</f>
        <v>103.60625</v>
      </c>
      <c r="CF21" s="10">
        <f>IFERROR(s_C*(d_ss_Bv!H21+s_MLF_cabbage)*s_IFCB_far_adj*s_CF_cabbage,".")</f>
        <v>158.05625000000001</v>
      </c>
      <c r="CG21" s="10">
        <f>IFERROR(s_C*(d_ss_Bv!I21+s_MLF_carrot)*s_IFCR_far_adj*s_CF_carrot,".")</f>
        <v>145.95624999999998</v>
      </c>
      <c r="CH21" s="10">
        <f>IFERROR(s_C*(d_ss_Bv!J21+s_MLF_citrus)*s_IFCI_far_adj*s_CF_citrus,".")</f>
        <v>103.60625</v>
      </c>
      <c r="CI21" s="10">
        <f>IFERROR(s_C*(d_ss_Bv!K21+s_MLF_corn)*s_IFCO_far_adj*s_CF_corn,".")</f>
        <v>103.90875</v>
      </c>
      <c r="CJ21" s="10">
        <f>IFERROR(s_C*(d_ss_Bv!L21+s_MLF_cucumber)*s_IFCU_far_adj*s_CF_cucumber,".")</f>
        <v>103.60625</v>
      </c>
      <c r="CK21" s="10">
        <f>IFERROR(s_C*(d_ss_Bv!M21+s_MLF_lettuce)*s_IFLE_far_adj*s_CF_lettuce,".")</f>
        <v>158.05625000000001</v>
      </c>
      <c r="CL21" s="10">
        <f>IFERROR(s_C*(d_ss_Bv!N21+s_MLF_lima_bean)*s_IFLI_far_adj*s_CF_lima_bean,".")</f>
        <v>104.13562499999999</v>
      </c>
      <c r="CM21" s="10">
        <f>IFERROR(s_C*(d_ss_Bv!O21+s_MLF_okra)*s_IFOK_far_adj*s_CF_okra,".")</f>
        <v>103.60625</v>
      </c>
      <c r="CN21" s="10">
        <f>IFERROR(s_C*(d_ss_Bv!P21+s_MLF_onion)*s_IFON_far_adj*s_CF_onion,".")</f>
        <v>103.60625</v>
      </c>
      <c r="CO21" s="10">
        <f>IFERROR(s_C*(d_ss_Bv!Q21+s_MLF_peach)*s_IFPC_far_adj*s_CF_peach,".")</f>
        <v>103.60625</v>
      </c>
      <c r="CP21" s="10">
        <f>IFERROR(s_C*(d_ss_Bv!R21+s_MLF_pear)*s_IFPR_far_adj*s_CF_pear,".")</f>
        <v>103.60625</v>
      </c>
      <c r="CQ21" s="10">
        <f>IFERROR(s_C*(d_ss_Bv!S21+s_MLF_peas)*s_IFPE_far_adj*s_CF_peas,".")</f>
        <v>104.13562499999999</v>
      </c>
      <c r="CR21" s="10">
        <f>IFERROR(s_C*(d_ss_Bv!T21+s_MLF_potato)*s_IFPT_far_adj*s_CF_potato,".")</f>
        <v>122.51249999999999</v>
      </c>
      <c r="CS21" s="10">
        <f>IFERROR(s_C*(d_ss_Bv!U21+s_MLF_pumpkin)*s_IFPU_far_adj*s_CF_pumpkin,".")</f>
        <v>103.60625</v>
      </c>
      <c r="CT21" s="10">
        <f>IFERROR(s_C*(d_ss_Bv!V21+s_MLF_snap_bean)*s_IFSN_far_adj*s_CF_snap_bean,".")</f>
        <v>104.13562499999999</v>
      </c>
      <c r="CU21" s="10">
        <f>IFERROR(s_C*(d_ss_Bv!W21+s_MLF_strawberry)*s_IFST_far_adj*s_CF_strawberry,".")</f>
        <v>103.60625</v>
      </c>
      <c r="CV21" s="10">
        <f>IFERROR(s_C*(d_ss_Bv!X21+s_MLF_tomato)*s_IFTO_far_adj*s_CF_tomato,".")</f>
        <v>103.60625</v>
      </c>
      <c r="CW21" s="10">
        <f>IFERROR(s_C*(d_ss_Bv!Y21+s_MLF_rice)*s_IFRI_far_adj*s_CF_rice,".")</f>
        <v>200.40625</v>
      </c>
      <c r="CX21" s="10">
        <f>IFERROR(s_C*(d_ss_Bv!Z21+s_MLF_cereal)*s_IFCG_far_adj*s_CF_cereal,".")</f>
        <v>103.90875</v>
      </c>
    </row>
    <row r="22" spans="1:102" ht="15" customHeight="1" x14ac:dyDescent="0.25">
      <c r="A22" s="31" t="s">
        <v>20</v>
      </c>
      <c r="B22" s="3" t="s">
        <v>1059</v>
      </c>
      <c r="C22" s="2">
        <f t="shared" si="0"/>
        <v>54.907334345496793</v>
      </c>
      <c r="D22" s="2">
        <f>IFERROR((s_dir!D22/(d_ss_Bv!C22+s_MLF_apple)),".")</f>
        <v>159.74529571070701</v>
      </c>
      <c r="E22" s="2">
        <f>IFERROR((s_dir!E22/(d_ss_Bv!D22+s_MLF_asparagus)),".")</f>
        <v>35.923583245948471</v>
      </c>
      <c r="F22" s="2">
        <f>IFERROR((s_dir!F22/(d_ss_Bv!E22+s_MLF_beet)),".")</f>
        <v>44.958256876666042</v>
      </c>
      <c r="G22" s="2">
        <f>IFERROR((s_dir!G22/(d_ss_Bv!F22+s_MLF_berries)),".")</f>
        <v>159.74529571070701</v>
      </c>
      <c r="H22" s="2">
        <f>IFERROR((s_dir!H22/(d_ss_Bv!G22+s_MLF_broccoli)),".")</f>
        <v>123.08244095742999</v>
      </c>
      <c r="I22" s="2">
        <f>IFERROR((s_dir!I22/(d_ss_Bv!H22+s_MLF_cabbage)),".")</f>
        <v>35.923583245948471</v>
      </c>
      <c r="J22" s="2">
        <f>IFERROR((s_dir!J22/(d_ss_Bv!I22+s_MLF_carrot)),".")</f>
        <v>44.958256876666042</v>
      </c>
      <c r="K22" s="2">
        <f>IFERROR((s_dir!K22/(d_ss_Bv!J22+s_MLF_citrus)),".")</f>
        <v>159.74529571070701</v>
      </c>
      <c r="L22" s="2">
        <f>IFERROR((s_dir!L22/(d_ss_Bv!K22+s_MLF_corn)),".")</f>
        <v>236.10153768563615</v>
      </c>
      <c r="M22" s="2">
        <f>IFERROR((s_dir!M22/(d_ss_Bv!L22+s_MLF_cucumber)),".")</f>
        <v>123.08244095742999</v>
      </c>
      <c r="N22" s="2">
        <f>IFERROR((s_dir!N22/(d_ss_Bv!M22+s_MLF_lettuce)),".")</f>
        <v>35.923583245948471</v>
      </c>
      <c r="O22" s="2">
        <f>IFERROR((s_dir!O22/(d_ss_Bv!N22+s_MLF_lima_bean)),".")</f>
        <v>136.50961633460417</v>
      </c>
      <c r="P22" s="2">
        <f>IFERROR((s_dir!P22/(d_ss_Bv!O22+s_MLF_okra)),".")</f>
        <v>123.08244095742999</v>
      </c>
      <c r="Q22" s="2">
        <f>IFERROR((s_dir!Q22/(d_ss_Bv!P22+s_MLF_onion)),".")</f>
        <v>123.08244095742999</v>
      </c>
      <c r="R22" s="2">
        <f>IFERROR((s_dir!R22/(d_ss_Bv!Q22+s_MLF_peach)),".")</f>
        <v>159.74529571070701</v>
      </c>
      <c r="S22" s="2">
        <f>IFERROR((s_dir!S22/(d_ss_Bv!R22+s_MLF_pear)),".")</f>
        <v>159.74529571070701</v>
      </c>
      <c r="T22" s="2">
        <f>IFERROR((s_dir!T22/(d_ss_Bv!S22+s_MLF_peas)),".")</f>
        <v>136.50961633460417</v>
      </c>
      <c r="U22" s="2">
        <f>IFERROR((s_dir!U22/(d_ss_Bv!T22+s_MLF_potato)),".")</f>
        <v>153.22507955924956</v>
      </c>
      <c r="V22" s="2">
        <f>IFERROR((s_dir!V22/(d_ss_Bv!U22+s_MLF_pumpkin)),".")</f>
        <v>123.08244095742999</v>
      </c>
      <c r="W22" s="2">
        <f>IFERROR((s_dir!W22/(d_ss_Bv!V22+s_MLF_snap_bean)),".")</f>
        <v>136.50961633460417</v>
      </c>
      <c r="X22" s="2">
        <f>IFERROR((s_dir!X22/(d_ss_Bv!W22+s_MLF_strawberry)),".")</f>
        <v>159.74529571070701</v>
      </c>
      <c r="Y22" s="2">
        <f>IFERROR((s_dir!Y22/(d_ss_Bv!X22+s_MLF_tomato)),".")</f>
        <v>123.08244095742999</v>
      </c>
      <c r="Z22" s="2">
        <f>IFERROR((s_dir!Z22/(d_ss_Bv!Y22+s_MLF_rice)),".")</f>
        <v>261.23969723045337</v>
      </c>
      <c r="AA22" s="2">
        <f>IFERROR((s_dir!AA22/(d_ss_Bv!Z22+s_MLF_cereal)),".")</f>
        <v>123.08244095742999</v>
      </c>
      <c r="AB22" s="10">
        <f t="shared" si="4"/>
        <v>517.04812500000003</v>
      </c>
      <c r="AC22" s="10">
        <f>s_C*(d_ss_Bv!C22+s_MLF_apple)*s_IFAP_res_adj*s_CF_apple</f>
        <v>177.71875</v>
      </c>
      <c r="AD22" s="10">
        <f>s_C*(d_ss_Bv!D22+s_MLF_asparagus)*s_IFAS_res_adj*s_CF_asparagus</f>
        <v>790.28125</v>
      </c>
      <c r="AE22" s="10">
        <f>s_C*(d_ss_Bv!E22+s_MLF_beet)*s_IFBT_res_adj*s_CF_beet</f>
        <v>631.46875000000011</v>
      </c>
      <c r="AF22" s="10">
        <f>s_C*(d_ss_Bv!F22+s_MLF_berries)*s_IFBE_res_adj*s_CF_berries</f>
        <v>177.71875</v>
      </c>
      <c r="AG22" s="10">
        <f>s_C*(d_ss_Bv!G22+s_MLF_broccoli)*s_IFBR_res_adj*s_CF_broccoli</f>
        <v>230.65625</v>
      </c>
      <c r="AH22" s="10">
        <f>s_C*(d_ss_Bv!H22+s_MLF_cabbage)*s_IFCB_res_adj*s_CF_cabbage</f>
        <v>790.28125</v>
      </c>
      <c r="AI22" s="10">
        <f>s_C*(d_ss_Bv!I22+s_MLF_carrot)*s_IFCR_res_adj*s_CF_carrot</f>
        <v>631.46875000000011</v>
      </c>
      <c r="AJ22" s="10">
        <f>s_C*(d_ss_Bv!J22+s_MLF_citrus)*s_IFCI_res_adj*s_CF_citrus</f>
        <v>177.71875</v>
      </c>
      <c r="AK22" s="10">
        <f>s_C*(d_ss_Bv!K22+s_MLF_corn)*s_IFCO_res_adj*s_CF_corn</f>
        <v>120.24375000000001</v>
      </c>
      <c r="AL22" s="10">
        <f>s_C*(d_ss_Bv!L22+s_MLF_cucumber)*s_IFCU_res_adj*s_CF_cucumber</f>
        <v>230.65625</v>
      </c>
      <c r="AM22" s="10">
        <f>s_C*(d_ss_Bv!M22+s_MLF_lettuce)*s_IFLE_res_adj*s_CF_lettuce</f>
        <v>790.28125</v>
      </c>
      <c r="AN22" s="10">
        <f>s_C*(d_ss_Bv!N22+s_MLF_lima_bean)*s_IFLI_res_adj*s_CF_lima_bean</f>
        <v>207.96875000000003</v>
      </c>
      <c r="AO22" s="10">
        <f>s_C*(d_ss_Bv!O22+s_MLF_okra)*s_IFOK_res_adj*s_CF_okra</f>
        <v>230.65625</v>
      </c>
      <c r="AP22" s="10">
        <f>s_C*(d_ss_Bv!P22+s_MLF_onion)*s_IFON_res_adj*s_CF_onion</f>
        <v>230.65625</v>
      </c>
      <c r="AQ22" s="10">
        <f>s_C*(d_ss_Bv!Q22+s_MLF_peach)*s_IFPC_res_adj*s_CF_peach</f>
        <v>177.71875</v>
      </c>
      <c r="AR22" s="10">
        <f>s_C*(d_ss_Bv!R22+s_MLF_pear)*s_IFPR_res_adj*s_CF_pear</f>
        <v>177.71875</v>
      </c>
      <c r="AS22" s="10">
        <f>s_C*(d_ss_Bv!S22+s_MLF_peas)*s_IFPE_res_adj*s_CF_peas</f>
        <v>207.96875000000003</v>
      </c>
      <c r="AT22" s="10">
        <f>s_C*(d_ss_Bv!T22+s_MLF_potato)*s_IFPT_res_adj*s_CF_potato</f>
        <v>185.28125</v>
      </c>
      <c r="AU22" s="10">
        <f>s_C*(d_ss_Bv!U22+s_MLF_pumpkin)*s_IFPU_res_adj*s_CF_pumpkin</f>
        <v>230.65625</v>
      </c>
      <c r="AV22" s="10">
        <f>s_C*(d_ss_Bv!V22+s_MLF_snap_bean)*s_IFSN_res_adj*s_CF_snap_bean</f>
        <v>207.96875000000003</v>
      </c>
      <c r="AW22" s="10">
        <f>s_C*(d_ss_Bv!W22+s_MLF_strawberry)*s_IFST_res_adj*s_CF_strawberry</f>
        <v>177.71875</v>
      </c>
      <c r="AX22" s="10">
        <f>s_C*(d_ss_Bv!X22+s_MLF_tomato)*s_IFTO_res_adj*s_CF_tomato</f>
        <v>230.65625</v>
      </c>
      <c r="AY22" s="10">
        <f>s_C*(d_ss_Bv!Y22+s_MLF_rice)*s_IFRI_res_adj*s_CF_rice</f>
        <v>108.673125</v>
      </c>
      <c r="AZ22" s="10">
        <f>s_C*(d_ss_Bv!Z22+s_MLF_cereal)*s_IFCG_res_adj*s_CF_cereal</f>
        <v>230.65625</v>
      </c>
      <c r="BA22" s="2">
        <f t="shared" si="2"/>
        <v>54.907334345496793</v>
      </c>
      <c r="BB22" s="2">
        <f>IFERROR((s_dir!AC22/(d_ss_Bv!C22+s_MLF_apple)),".")</f>
        <v>159.74529571070701</v>
      </c>
      <c r="BC22" s="2">
        <f>IFERROR((s_dir!AD22/(d_ss_Bv!D22+s_MLF_asparagus)),".")</f>
        <v>35.923583245948471</v>
      </c>
      <c r="BD22" s="2">
        <f>IFERROR((s_dir!AE22/(d_ss_Bv!E22+s_MLF_beet)),".")</f>
        <v>44.958256876666042</v>
      </c>
      <c r="BE22" s="2">
        <f>IFERROR((s_dir!AF22/(d_ss_Bv!F22+s_MLF_berries)),".")</f>
        <v>159.74529571070701</v>
      </c>
      <c r="BF22" s="2">
        <f>IFERROR((s_dir!AG22/(d_ss_Bv!G22+s_MLF_broccoli)),".")</f>
        <v>123.08244095742999</v>
      </c>
      <c r="BG22" s="2">
        <f>IFERROR((s_dir!AH22/(d_ss_Bv!H22+s_MLF_cabbage)),".")</f>
        <v>35.923583245948471</v>
      </c>
      <c r="BH22" s="2">
        <f>IFERROR((s_dir!AI22/(d_ss_Bv!I22+s_MLF_carrot)),".")</f>
        <v>44.958256876666042</v>
      </c>
      <c r="BI22" s="2">
        <f>IFERROR((s_dir!AJ22/(d_ss_Bv!J22+s_MLF_citrus)),".")</f>
        <v>159.74529571070701</v>
      </c>
      <c r="BJ22" s="2">
        <f>IFERROR((s_dir!AK22/(d_ss_Bv!K22+s_MLF_corn)),".")</f>
        <v>236.10153768563615</v>
      </c>
      <c r="BK22" s="2">
        <f>IFERROR((s_dir!AL22/(d_ss_Bv!L22+s_MLF_cucumber)),".")</f>
        <v>123.08244095742999</v>
      </c>
      <c r="BL22" s="2">
        <f>IFERROR((s_dir!AM22/(d_ss_Bv!M22+s_MLF_lettuce)),".")</f>
        <v>35.923583245948471</v>
      </c>
      <c r="BM22" s="2">
        <f>IFERROR((s_dir!AN22/(d_ss_Bv!N22+s_MLF_lima_bean)),".")</f>
        <v>136.50961633460417</v>
      </c>
      <c r="BN22" s="2">
        <f>IFERROR((s_dir!AO22/(d_ss_Bv!O22+s_MLF_okra)),".")</f>
        <v>123.08244095742999</v>
      </c>
      <c r="BO22" s="2">
        <f>IFERROR((s_dir!AP22/(d_ss_Bv!P22+s_MLF_onion)),".")</f>
        <v>123.08244095742999</v>
      </c>
      <c r="BP22" s="2">
        <f>IFERROR((s_dir!AQ22/(d_ss_Bv!Q22+s_MLF_peach)),".")</f>
        <v>159.74529571070701</v>
      </c>
      <c r="BQ22" s="2">
        <f>IFERROR((s_dir!AR22/(d_ss_Bv!R22+s_MLF_pear)),".")</f>
        <v>159.74529571070701</v>
      </c>
      <c r="BR22" s="2">
        <f>IFERROR((s_dir!AS22/(d_ss_Bv!S22+s_MLF_peas)),".")</f>
        <v>136.50961633460417</v>
      </c>
      <c r="BS22" s="2">
        <f>IFERROR((s_dir!AT22/(d_ss_Bv!T22+s_MLF_potato)),".")</f>
        <v>153.22507955924956</v>
      </c>
      <c r="BT22" s="2">
        <f>IFERROR((s_dir!AU22/(d_ss_Bv!U22+s_MLF_pumpkin)),".")</f>
        <v>123.08244095742999</v>
      </c>
      <c r="BU22" s="2">
        <f>IFERROR((s_dir!AV22/(d_ss_Bv!V22+s_MLF_snap_bean)),".")</f>
        <v>136.50961633460417</v>
      </c>
      <c r="BV22" s="2">
        <f>IFERROR((s_dir!AW22/(d_ss_Bv!W22+s_MLF_strawberry)),".")</f>
        <v>159.74529571070701</v>
      </c>
      <c r="BW22" s="2">
        <f>IFERROR((s_dir!AX22/(d_ss_Bv!X22+s_MLF_tomato)),".")</f>
        <v>123.08244095742999</v>
      </c>
      <c r="BX22" s="2">
        <f>IFERROR((s_dir!AY22/(d_ss_Bv!Y22+s_MLF_rice)),".")</f>
        <v>261.23969723045337</v>
      </c>
      <c r="BY22" s="2">
        <f>IFERROR((s_dir!AZ22/(d_ss_Bv!Z22+s_MLF_cereal)),".")</f>
        <v>123.08244095742999</v>
      </c>
      <c r="BZ22" s="10">
        <f t="shared" si="3"/>
        <v>517.04812500000003</v>
      </c>
      <c r="CA22" s="10">
        <f>IFERROR(s_C*(d_ss_Bv!C22+s_MLF_apple)*s_IFAP_far_adj*s_CF_apple,".")</f>
        <v>177.71875</v>
      </c>
      <c r="CB22" s="10">
        <f>IFERROR(s_C*(d_ss_Bv!D22+s_MLF_asparagus)*s_IFAS_far_adj*s_CF_asparagus,".")</f>
        <v>790.28125</v>
      </c>
      <c r="CC22" s="10">
        <f>IFERROR(s_C*(d_ss_Bv!E22+s_MLF_beet)*s_IFBT_far_adj*s_CF_beet,".")</f>
        <v>631.46875000000011</v>
      </c>
      <c r="CD22" s="10">
        <f>IFERROR(s_C*(d_ss_Bv!F22+s_MLF_berries)*s_IFBR_far_adj*s_CF_berries,".")</f>
        <v>177.71875</v>
      </c>
      <c r="CE22" s="10">
        <f>IFERROR(s_C*(d_ss_Bv!G22+s_MLF_broccoli)*s_IFBR_far_adj*s_CF_broccoli,".")</f>
        <v>230.65625</v>
      </c>
      <c r="CF22" s="10">
        <f>IFERROR(s_C*(d_ss_Bv!H22+s_MLF_cabbage)*s_IFCB_far_adj*s_CF_cabbage,".")</f>
        <v>790.28125</v>
      </c>
      <c r="CG22" s="10">
        <f>IFERROR(s_C*(d_ss_Bv!I22+s_MLF_carrot)*s_IFCR_far_adj*s_CF_carrot,".")</f>
        <v>631.46875000000011</v>
      </c>
      <c r="CH22" s="10">
        <f>IFERROR(s_C*(d_ss_Bv!J22+s_MLF_citrus)*s_IFCI_far_adj*s_CF_citrus,".")</f>
        <v>177.71875</v>
      </c>
      <c r="CI22" s="10">
        <f>IFERROR(s_C*(d_ss_Bv!K22+s_MLF_corn)*s_IFCO_far_adj*s_CF_corn,".")</f>
        <v>120.24375000000001</v>
      </c>
      <c r="CJ22" s="10">
        <f>IFERROR(s_C*(d_ss_Bv!L22+s_MLF_cucumber)*s_IFCU_far_adj*s_CF_cucumber,".")</f>
        <v>230.65625</v>
      </c>
      <c r="CK22" s="10">
        <f>IFERROR(s_C*(d_ss_Bv!M22+s_MLF_lettuce)*s_IFLE_far_adj*s_CF_lettuce,".")</f>
        <v>790.28125</v>
      </c>
      <c r="CL22" s="10">
        <f>IFERROR(s_C*(d_ss_Bv!N22+s_MLF_lima_bean)*s_IFLI_far_adj*s_CF_lima_bean,".")</f>
        <v>207.96875000000003</v>
      </c>
      <c r="CM22" s="10">
        <f>IFERROR(s_C*(d_ss_Bv!O22+s_MLF_okra)*s_IFOK_far_adj*s_CF_okra,".")</f>
        <v>230.65625</v>
      </c>
      <c r="CN22" s="10">
        <f>IFERROR(s_C*(d_ss_Bv!P22+s_MLF_onion)*s_IFON_far_adj*s_CF_onion,".")</f>
        <v>230.65625</v>
      </c>
      <c r="CO22" s="10">
        <f>IFERROR(s_C*(d_ss_Bv!Q22+s_MLF_peach)*s_IFPC_far_adj*s_CF_peach,".")</f>
        <v>177.71875</v>
      </c>
      <c r="CP22" s="10">
        <f>IFERROR(s_C*(d_ss_Bv!R22+s_MLF_pear)*s_IFPR_far_adj*s_CF_pear,".")</f>
        <v>177.71875</v>
      </c>
      <c r="CQ22" s="10">
        <f>IFERROR(s_C*(d_ss_Bv!S22+s_MLF_peas)*s_IFPE_far_adj*s_CF_peas,".")</f>
        <v>207.96875000000003</v>
      </c>
      <c r="CR22" s="10">
        <f>IFERROR(s_C*(d_ss_Bv!T22+s_MLF_potato)*s_IFPT_far_adj*s_CF_potato,".")</f>
        <v>185.28125</v>
      </c>
      <c r="CS22" s="10">
        <f>IFERROR(s_C*(d_ss_Bv!U22+s_MLF_pumpkin)*s_IFPU_far_adj*s_CF_pumpkin,".")</f>
        <v>230.65625</v>
      </c>
      <c r="CT22" s="10">
        <f>IFERROR(s_C*(d_ss_Bv!V22+s_MLF_snap_bean)*s_IFSN_far_adj*s_CF_snap_bean,".")</f>
        <v>207.96875000000003</v>
      </c>
      <c r="CU22" s="10">
        <f>IFERROR(s_C*(d_ss_Bv!W22+s_MLF_strawberry)*s_IFST_far_adj*s_CF_strawberry,".")</f>
        <v>177.71875</v>
      </c>
      <c r="CV22" s="10">
        <f>IFERROR(s_C*(d_ss_Bv!X22+s_MLF_tomato)*s_IFTO_far_adj*s_CF_tomato,".")</f>
        <v>230.65625</v>
      </c>
      <c r="CW22" s="10">
        <f>IFERROR(s_C*(d_ss_Bv!Y22+s_MLF_rice)*s_IFRI_far_adj*s_CF_rice,".")</f>
        <v>108.673125</v>
      </c>
      <c r="CX22" s="10">
        <f>IFERROR(s_C*(d_ss_Bv!Z22+s_MLF_cereal)*s_IFCG_far_adj*s_CF_cereal,".")</f>
        <v>230.65625</v>
      </c>
    </row>
    <row r="23" spans="1:102" x14ac:dyDescent="0.25">
      <c r="A23" s="32" t="s">
        <v>21</v>
      </c>
      <c r="B23" s="3" t="s">
        <v>336</v>
      </c>
      <c r="C23" s="2">
        <f t="shared" si="0"/>
        <v>28.847561974013761</v>
      </c>
      <c r="D23" s="2">
        <f>IFERROR((s_dir!D23/(d_ss_Bv!C23+s_MLF_apple)),".")</f>
        <v>83.927992006949836</v>
      </c>
      <c r="E23" s="2">
        <f>IFERROR((s_dir!E23/(d_ss_Bv!D23+s_MLF_asparagus)),".")</f>
        <v>18.87375896807006</v>
      </c>
      <c r="F23" s="2">
        <f>IFERROR((s_dir!F23/(d_ss_Bv!E23+s_MLF_beet)),".")</f>
        <v>23.620452840279292</v>
      </c>
      <c r="G23" s="2">
        <f>IFERROR((s_dir!G23/(d_ss_Bv!F23+s_MLF_berries)),".")</f>
        <v>83.927992006949836</v>
      </c>
      <c r="H23" s="2">
        <f>IFERROR((s_dir!H23/(d_ss_Bv!G23+s_MLF_broccoli)),".")</f>
        <v>64.665829906994134</v>
      </c>
      <c r="I23" s="2">
        <f>IFERROR((s_dir!I23/(d_ss_Bv!H23+s_MLF_cabbage)),".")</f>
        <v>18.87375896807006</v>
      </c>
      <c r="J23" s="2">
        <f>IFERROR((s_dir!J23/(d_ss_Bv!I23+s_MLF_carrot)),".")</f>
        <v>23.620452840279292</v>
      </c>
      <c r="K23" s="2">
        <f>IFERROR((s_dir!K23/(d_ss_Bv!J23+s_MLF_citrus)),".")</f>
        <v>83.927992006949836</v>
      </c>
      <c r="L23" s="2">
        <f>IFERROR((s_dir!L23/(d_ss_Bv!K23+s_MLF_corn)),".")</f>
        <v>124.04451648825918</v>
      </c>
      <c r="M23" s="2">
        <f>IFERROR((s_dir!M23/(d_ss_Bv!L23+s_MLF_cucumber)),".")</f>
        <v>64.665829906994134</v>
      </c>
      <c r="N23" s="2">
        <f>IFERROR((s_dir!N23/(d_ss_Bv!M23+s_MLF_lettuce)),".")</f>
        <v>18.87375896807006</v>
      </c>
      <c r="O23" s="2">
        <f>IFERROR((s_dir!O23/(d_ss_Bv!N23+s_MLF_lima_bean)),".")</f>
        <v>71.720284078666225</v>
      </c>
      <c r="P23" s="2">
        <f>IFERROR((s_dir!P23/(d_ss_Bv!O23+s_MLF_okra)),".")</f>
        <v>64.665829906994134</v>
      </c>
      <c r="Q23" s="2">
        <f>IFERROR((s_dir!Q23/(d_ss_Bv!P23+s_MLF_onion)),".")</f>
        <v>64.665829906994134</v>
      </c>
      <c r="R23" s="2">
        <f>IFERROR((s_dir!R23/(d_ss_Bv!Q23+s_MLF_peach)),".")</f>
        <v>83.927992006949836</v>
      </c>
      <c r="S23" s="2">
        <f>IFERROR((s_dir!S23/(d_ss_Bv!R23+s_MLF_pear)),".")</f>
        <v>83.927992006949836</v>
      </c>
      <c r="T23" s="2">
        <f>IFERROR((s_dir!T23/(d_ss_Bv!S23+s_MLF_peas)),".")</f>
        <v>71.720284078666225</v>
      </c>
      <c r="U23" s="2">
        <f>IFERROR((s_dir!U23/(d_ss_Bv!T23+s_MLF_potato)),".")</f>
        <v>80.502359680135555</v>
      </c>
      <c r="V23" s="2">
        <f>IFERROR((s_dir!V23/(d_ss_Bv!U23+s_MLF_pumpkin)),".")</f>
        <v>64.665829906994134</v>
      </c>
      <c r="W23" s="2">
        <f>IFERROR((s_dir!W23/(d_ss_Bv!V23+s_MLF_snap_bean)),".")</f>
        <v>71.720284078666225</v>
      </c>
      <c r="X23" s="2">
        <f>IFERROR((s_dir!X23/(d_ss_Bv!W23+s_MLF_strawberry)),".")</f>
        <v>83.927992006949836</v>
      </c>
      <c r="Y23" s="2">
        <f>IFERROR((s_dir!Y23/(d_ss_Bv!X23+s_MLF_tomato)),".")</f>
        <v>64.665829906994134</v>
      </c>
      <c r="Z23" s="2">
        <f>IFERROR((s_dir!Z23/(d_ss_Bv!Y23+s_MLF_rice)),".")</f>
        <v>137.25176145882543</v>
      </c>
      <c r="AA23" s="2">
        <f>IFERROR((s_dir!AA23/(d_ss_Bv!Z23+s_MLF_cereal)),".")</f>
        <v>64.665829906994134</v>
      </c>
      <c r="AB23" s="10">
        <f t="shared" si="4"/>
        <v>517.04812500000003</v>
      </c>
      <c r="AC23" s="10">
        <f>s_C*(d_ss_Bv!C23+s_MLF_apple)*s_IFAP_res_adj*s_CF_apple</f>
        <v>177.71875</v>
      </c>
      <c r="AD23" s="10">
        <f>s_C*(d_ss_Bv!D23+s_MLF_asparagus)*s_IFAS_res_adj*s_CF_asparagus</f>
        <v>790.28125</v>
      </c>
      <c r="AE23" s="10">
        <f>s_C*(d_ss_Bv!E23+s_MLF_beet)*s_IFBT_res_adj*s_CF_beet</f>
        <v>631.46875000000011</v>
      </c>
      <c r="AF23" s="10">
        <f>s_C*(d_ss_Bv!F23+s_MLF_berries)*s_IFBE_res_adj*s_CF_berries</f>
        <v>177.71875</v>
      </c>
      <c r="AG23" s="10">
        <f>s_C*(d_ss_Bv!G23+s_MLF_broccoli)*s_IFBR_res_adj*s_CF_broccoli</f>
        <v>230.65625</v>
      </c>
      <c r="AH23" s="10">
        <f>s_C*(d_ss_Bv!H23+s_MLF_cabbage)*s_IFCB_res_adj*s_CF_cabbage</f>
        <v>790.28125</v>
      </c>
      <c r="AI23" s="10">
        <f>s_C*(d_ss_Bv!I23+s_MLF_carrot)*s_IFCR_res_adj*s_CF_carrot</f>
        <v>631.46875000000011</v>
      </c>
      <c r="AJ23" s="10">
        <f>s_C*(d_ss_Bv!J23+s_MLF_citrus)*s_IFCI_res_adj*s_CF_citrus</f>
        <v>177.71875</v>
      </c>
      <c r="AK23" s="10">
        <f>s_C*(d_ss_Bv!K23+s_MLF_corn)*s_IFCO_res_adj*s_CF_corn</f>
        <v>120.24375000000001</v>
      </c>
      <c r="AL23" s="10">
        <f>s_C*(d_ss_Bv!L23+s_MLF_cucumber)*s_IFCU_res_adj*s_CF_cucumber</f>
        <v>230.65625</v>
      </c>
      <c r="AM23" s="10">
        <f>s_C*(d_ss_Bv!M23+s_MLF_lettuce)*s_IFLE_res_adj*s_CF_lettuce</f>
        <v>790.28125</v>
      </c>
      <c r="AN23" s="10">
        <f>s_C*(d_ss_Bv!N23+s_MLF_lima_bean)*s_IFLI_res_adj*s_CF_lima_bean</f>
        <v>207.96875000000003</v>
      </c>
      <c r="AO23" s="10">
        <f>s_C*(d_ss_Bv!O23+s_MLF_okra)*s_IFOK_res_adj*s_CF_okra</f>
        <v>230.65625</v>
      </c>
      <c r="AP23" s="10">
        <f>s_C*(d_ss_Bv!P23+s_MLF_onion)*s_IFON_res_adj*s_CF_onion</f>
        <v>230.65625</v>
      </c>
      <c r="AQ23" s="10">
        <f>s_C*(d_ss_Bv!Q23+s_MLF_peach)*s_IFPC_res_adj*s_CF_peach</f>
        <v>177.71875</v>
      </c>
      <c r="AR23" s="10">
        <f>s_C*(d_ss_Bv!R23+s_MLF_pear)*s_IFPR_res_adj*s_CF_pear</f>
        <v>177.71875</v>
      </c>
      <c r="AS23" s="10">
        <f>s_C*(d_ss_Bv!S23+s_MLF_peas)*s_IFPE_res_adj*s_CF_peas</f>
        <v>207.96875000000003</v>
      </c>
      <c r="AT23" s="10">
        <f>s_C*(d_ss_Bv!T23+s_MLF_potato)*s_IFPT_res_adj*s_CF_potato</f>
        <v>185.28125</v>
      </c>
      <c r="AU23" s="10">
        <f>s_C*(d_ss_Bv!U23+s_MLF_pumpkin)*s_IFPU_res_adj*s_CF_pumpkin</f>
        <v>230.65625</v>
      </c>
      <c r="AV23" s="10">
        <f>s_C*(d_ss_Bv!V23+s_MLF_snap_bean)*s_IFSN_res_adj*s_CF_snap_bean</f>
        <v>207.96875000000003</v>
      </c>
      <c r="AW23" s="10">
        <f>s_C*(d_ss_Bv!W23+s_MLF_strawberry)*s_IFST_res_adj*s_CF_strawberry</f>
        <v>177.71875</v>
      </c>
      <c r="AX23" s="10">
        <f>s_C*(d_ss_Bv!X23+s_MLF_tomato)*s_IFTO_res_adj*s_CF_tomato</f>
        <v>230.65625</v>
      </c>
      <c r="AY23" s="10">
        <f>s_C*(d_ss_Bv!Y23+s_MLF_rice)*s_IFRI_res_adj*s_CF_rice</f>
        <v>108.673125</v>
      </c>
      <c r="AZ23" s="10">
        <f>s_C*(d_ss_Bv!Z23+s_MLF_cereal)*s_IFCG_res_adj*s_CF_cereal</f>
        <v>230.65625</v>
      </c>
      <c r="BA23" s="2">
        <f t="shared" si="2"/>
        <v>28.847561974013761</v>
      </c>
      <c r="BB23" s="2">
        <f>IFERROR((s_dir!AC23/(d_ss_Bv!C23+s_MLF_apple)),".")</f>
        <v>83.927992006949836</v>
      </c>
      <c r="BC23" s="2">
        <f>IFERROR((s_dir!AD23/(d_ss_Bv!D23+s_MLF_asparagus)),".")</f>
        <v>18.87375896807006</v>
      </c>
      <c r="BD23" s="2">
        <f>IFERROR((s_dir!AE23/(d_ss_Bv!E23+s_MLF_beet)),".")</f>
        <v>23.620452840279292</v>
      </c>
      <c r="BE23" s="2">
        <f>IFERROR((s_dir!AF23/(d_ss_Bv!F23+s_MLF_berries)),".")</f>
        <v>83.927992006949836</v>
      </c>
      <c r="BF23" s="2">
        <f>IFERROR((s_dir!AG23/(d_ss_Bv!G23+s_MLF_broccoli)),".")</f>
        <v>64.665829906994134</v>
      </c>
      <c r="BG23" s="2">
        <f>IFERROR((s_dir!AH23/(d_ss_Bv!H23+s_MLF_cabbage)),".")</f>
        <v>18.87375896807006</v>
      </c>
      <c r="BH23" s="2">
        <f>IFERROR((s_dir!AI23/(d_ss_Bv!I23+s_MLF_carrot)),".")</f>
        <v>23.620452840279292</v>
      </c>
      <c r="BI23" s="2">
        <f>IFERROR((s_dir!AJ23/(d_ss_Bv!J23+s_MLF_citrus)),".")</f>
        <v>83.927992006949836</v>
      </c>
      <c r="BJ23" s="2">
        <f>IFERROR((s_dir!AK23/(d_ss_Bv!K23+s_MLF_corn)),".")</f>
        <v>124.04451648825918</v>
      </c>
      <c r="BK23" s="2">
        <f>IFERROR((s_dir!AL23/(d_ss_Bv!L23+s_MLF_cucumber)),".")</f>
        <v>64.665829906994134</v>
      </c>
      <c r="BL23" s="2">
        <f>IFERROR((s_dir!AM23/(d_ss_Bv!M23+s_MLF_lettuce)),".")</f>
        <v>18.87375896807006</v>
      </c>
      <c r="BM23" s="2">
        <f>IFERROR((s_dir!AN23/(d_ss_Bv!N23+s_MLF_lima_bean)),".")</f>
        <v>71.720284078666225</v>
      </c>
      <c r="BN23" s="2">
        <f>IFERROR((s_dir!AO23/(d_ss_Bv!O23+s_MLF_okra)),".")</f>
        <v>64.665829906994134</v>
      </c>
      <c r="BO23" s="2">
        <f>IFERROR((s_dir!AP23/(d_ss_Bv!P23+s_MLF_onion)),".")</f>
        <v>64.665829906994134</v>
      </c>
      <c r="BP23" s="2">
        <f>IFERROR((s_dir!AQ23/(d_ss_Bv!Q23+s_MLF_peach)),".")</f>
        <v>83.927992006949836</v>
      </c>
      <c r="BQ23" s="2">
        <f>IFERROR((s_dir!AR23/(d_ss_Bv!R23+s_MLF_pear)),".")</f>
        <v>83.927992006949836</v>
      </c>
      <c r="BR23" s="2">
        <f>IFERROR((s_dir!AS23/(d_ss_Bv!S23+s_MLF_peas)),".")</f>
        <v>71.720284078666225</v>
      </c>
      <c r="BS23" s="2">
        <f>IFERROR((s_dir!AT23/(d_ss_Bv!T23+s_MLF_potato)),".")</f>
        <v>80.502359680135555</v>
      </c>
      <c r="BT23" s="2">
        <f>IFERROR((s_dir!AU23/(d_ss_Bv!U23+s_MLF_pumpkin)),".")</f>
        <v>64.665829906994134</v>
      </c>
      <c r="BU23" s="2">
        <f>IFERROR((s_dir!AV23/(d_ss_Bv!V23+s_MLF_snap_bean)),".")</f>
        <v>71.720284078666225</v>
      </c>
      <c r="BV23" s="2">
        <f>IFERROR((s_dir!AW23/(d_ss_Bv!W23+s_MLF_strawberry)),".")</f>
        <v>83.927992006949836</v>
      </c>
      <c r="BW23" s="2">
        <f>IFERROR((s_dir!AX23/(d_ss_Bv!X23+s_MLF_tomato)),".")</f>
        <v>64.665829906994134</v>
      </c>
      <c r="BX23" s="2">
        <f>IFERROR((s_dir!AY23/(d_ss_Bv!Y23+s_MLF_rice)),".")</f>
        <v>137.25176145882543</v>
      </c>
      <c r="BY23" s="2">
        <f>IFERROR((s_dir!AZ23/(d_ss_Bv!Z23+s_MLF_cereal)),".")</f>
        <v>64.665829906994134</v>
      </c>
      <c r="BZ23" s="10">
        <f t="shared" si="3"/>
        <v>517.04812500000003</v>
      </c>
      <c r="CA23" s="10">
        <f>IFERROR(s_C*(d_ss_Bv!C23+s_MLF_apple)*s_IFAP_far_adj*s_CF_apple,".")</f>
        <v>177.71875</v>
      </c>
      <c r="CB23" s="10">
        <f>IFERROR(s_C*(d_ss_Bv!D23+s_MLF_asparagus)*s_IFAS_far_adj*s_CF_asparagus,".")</f>
        <v>790.28125</v>
      </c>
      <c r="CC23" s="10">
        <f>IFERROR(s_C*(d_ss_Bv!E23+s_MLF_beet)*s_IFBT_far_adj*s_CF_beet,".")</f>
        <v>631.46875000000011</v>
      </c>
      <c r="CD23" s="10">
        <f>IFERROR(s_C*(d_ss_Bv!F23+s_MLF_berries)*s_IFBR_far_adj*s_CF_berries,".")</f>
        <v>177.71875</v>
      </c>
      <c r="CE23" s="10">
        <f>IFERROR(s_C*(d_ss_Bv!G23+s_MLF_broccoli)*s_IFBR_far_adj*s_CF_broccoli,".")</f>
        <v>230.65625</v>
      </c>
      <c r="CF23" s="10">
        <f>IFERROR(s_C*(d_ss_Bv!H23+s_MLF_cabbage)*s_IFCB_far_adj*s_CF_cabbage,".")</f>
        <v>790.28125</v>
      </c>
      <c r="CG23" s="10">
        <f>IFERROR(s_C*(d_ss_Bv!I23+s_MLF_carrot)*s_IFCR_far_adj*s_CF_carrot,".")</f>
        <v>631.46875000000011</v>
      </c>
      <c r="CH23" s="10">
        <f>IFERROR(s_C*(d_ss_Bv!J23+s_MLF_citrus)*s_IFCI_far_adj*s_CF_citrus,".")</f>
        <v>177.71875</v>
      </c>
      <c r="CI23" s="10">
        <f>IFERROR(s_C*(d_ss_Bv!K23+s_MLF_corn)*s_IFCO_far_adj*s_CF_corn,".")</f>
        <v>120.24375000000001</v>
      </c>
      <c r="CJ23" s="10">
        <f>IFERROR(s_C*(d_ss_Bv!L23+s_MLF_cucumber)*s_IFCU_far_adj*s_CF_cucumber,".")</f>
        <v>230.65625</v>
      </c>
      <c r="CK23" s="10">
        <f>IFERROR(s_C*(d_ss_Bv!M23+s_MLF_lettuce)*s_IFLE_far_adj*s_CF_lettuce,".")</f>
        <v>790.28125</v>
      </c>
      <c r="CL23" s="10">
        <f>IFERROR(s_C*(d_ss_Bv!N23+s_MLF_lima_bean)*s_IFLI_far_adj*s_CF_lima_bean,".")</f>
        <v>207.96875000000003</v>
      </c>
      <c r="CM23" s="10">
        <f>IFERROR(s_C*(d_ss_Bv!O23+s_MLF_okra)*s_IFOK_far_adj*s_CF_okra,".")</f>
        <v>230.65625</v>
      </c>
      <c r="CN23" s="10">
        <f>IFERROR(s_C*(d_ss_Bv!P23+s_MLF_onion)*s_IFON_far_adj*s_CF_onion,".")</f>
        <v>230.65625</v>
      </c>
      <c r="CO23" s="10">
        <f>IFERROR(s_C*(d_ss_Bv!Q23+s_MLF_peach)*s_IFPC_far_adj*s_CF_peach,".")</f>
        <v>177.71875</v>
      </c>
      <c r="CP23" s="10">
        <f>IFERROR(s_C*(d_ss_Bv!R23+s_MLF_pear)*s_IFPR_far_adj*s_CF_pear,".")</f>
        <v>177.71875</v>
      </c>
      <c r="CQ23" s="10">
        <f>IFERROR(s_C*(d_ss_Bv!S23+s_MLF_peas)*s_IFPE_far_adj*s_CF_peas,".")</f>
        <v>207.96875000000003</v>
      </c>
      <c r="CR23" s="10">
        <f>IFERROR(s_C*(d_ss_Bv!T23+s_MLF_potato)*s_IFPT_far_adj*s_CF_potato,".")</f>
        <v>185.28125</v>
      </c>
      <c r="CS23" s="10">
        <f>IFERROR(s_C*(d_ss_Bv!U23+s_MLF_pumpkin)*s_IFPU_far_adj*s_CF_pumpkin,".")</f>
        <v>230.65625</v>
      </c>
      <c r="CT23" s="10">
        <f>IFERROR(s_C*(d_ss_Bv!V23+s_MLF_snap_bean)*s_IFSN_far_adj*s_CF_snap_bean,".")</f>
        <v>207.96875000000003</v>
      </c>
      <c r="CU23" s="10">
        <f>IFERROR(s_C*(d_ss_Bv!W23+s_MLF_strawberry)*s_IFST_far_adj*s_CF_strawberry,".")</f>
        <v>177.71875</v>
      </c>
      <c r="CV23" s="10">
        <f>IFERROR(s_C*(d_ss_Bv!X23+s_MLF_tomato)*s_IFTO_far_adj*s_CF_tomato,".")</f>
        <v>230.65625</v>
      </c>
      <c r="CW23" s="10">
        <f>IFERROR(s_C*(d_ss_Bv!Y23+s_MLF_rice)*s_IFRI_far_adj*s_CF_rice,".")</f>
        <v>108.673125</v>
      </c>
      <c r="CX23" s="10">
        <f>IFERROR(s_C*(d_ss_Bv!Z23+s_MLF_cereal)*s_IFCG_far_adj*s_CF_cereal,".")</f>
        <v>230.65625</v>
      </c>
    </row>
    <row r="24" spans="1:102" ht="15" customHeight="1" x14ac:dyDescent="0.25">
      <c r="A24" s="31" t="s">
        <v>22</v>
      </c>
      <c r="B24" s="3" t="s">
        <v>1059</v>
      </c>
      <c r="C24" s="2" t="str">
        <f t="shared" si="0"/>
        <v>.</v>
      </c>
      <c r="D24" s="2" t="str">
        <f>IFERROR((s_dir!D24/(d_ss_Bv!C24+s_MLF_apple)),".")</f>
        <v>.</v>
      </c>
      <c r="E24" s="2" t="str">
        <f>IFERROR((s_dir!E24/(d_ss_Bv!D24+s_MLF_asparagus)),".")</f>
        <v>.</v>
      </c>
      <c r="F24" s="2" t="str">
        <f>IFERROR((s_dir!F24/(d_ss_Bv!E24+s_MLF_beet)),".")</f>
        <v>.</v>
      </c>
      <c r="G24" s="2" t="str">
        <f>IFERROR((s_dir!G24/(d_ss_Bv!F24+s_MLF_berries)),".")</f>
        <v>.</v>
      </c>
      <c r="H24" s="2" t="str">
        <f>IFERROR((s_dir!H24/(d_ss_Bv!G24+s_MLF_broccoli)),".")</f>
        <v>.</v>
      </c>
      <c r="I24" s="2" t="str">
        <f>IFERROR((s_dir!I24/(d_ss_Bv!H24+s_MLF_cabbage)),".")</f>
        <v>.</v>
      </c>
      <c r="J24" s="2" t="str">
        <f>IFERROR((s_dir!J24/(d_ss_Bv!I24+s_MLF_carrot)),".")</f>
        <v>.</v>
      </c>
      <c r="K24" s="2" t="str">
        <f>IFERROR((s_dir!K24/(d_ss_Bv!J24+s_MLF_citrus)),".")</f>
        <v>.</v>
      </c>
      <c r="L24" s="2" t="str">
        <f>IFERROR((s_dir!L24/(d_ss_Bv!K24+s_MLF_corn)),".")</f>
        <v>.</v>
      </c>
      <c r="M24" s="2" t="str">
        <f>IFERROR((s_dir!M24/(d_ss_Bv!L24+s_MLF_cucumber)),".")</f>
        <v>.</v>
      </c>
      <c r="N24" s="2" t="str">
        <f>IFERROR((s_dir!N24/(d_ss_Bv!M24+s_MLF_lettuce)),".")</f>
        <v>.</v>
      </c>
      <c r="O24" s="2" t="str">
        <f>IFERROR((s_dir!O24/(d_ss_Bv!N24+s_MLF_lima_bean)),".")</f>
        <v>.</v>
      </c>
      <c r="P24" s="2" t="str">
        <f>IFERROR((s_dir!P24/(d_ss_Bv!O24+s_MLF_okra)),".")</f>
        <v>.</v>
      </c>
      <c r="Q24" s="2" t="str">
        <f>IFERROR((s_dir!Q24/(d_ss_Bv!P24+s_MLF_onion)),".")</f>
        <v>.</v>
      </c>
      <c r="R24" s="2" t="str">
        <f>IFERROR((s_dir!R24/(d_ss_Bv!Q24+s_MLF_peach)),".")</f>
        <v>.</v>
      </c>
      <c r="S24" s="2" t="str">
        <f>IFERROR((s_dir!S24/(d_ss_Bv!R24+s_MLF_pear)),".")</f>
        <v>.</v>
      </c>
      <c r="T24" s="2" t="str">
        <f>IFERROR((s_dir!T24/(d_ss_Bv!S24+s_MLF_peas)),".")</f>
        <v>.</v>
      </c>
      <c r="U24" s="2" t="str">
        <f>IFERROR((s_dir!U24/(d_ss_Bv!T24+s_MLF_potato)),".")</f>
        <v>.</v>
      </c>
      <c r="V24" s="2" t="str">
        <f>IFERROR((s_dir!V24/(d_ss_Bv!U24+s_MLF_pumpkin)),".")</f>
        <v>.</v>
      </c>
      <c r="W24" s="2" t="str">
        <f>IFERROR((s_dir!W24/(d_ss_Bv!V24+s_MLF_snap_bean)),".")</f>
        <v>.</v>
      </c>
      <c r="X24" s="2" t="str">
        <f>IFERROR((s_dir!X24/(d_ss_Bv!W24+s_MLF_strawberry)),".")</f>
        <v>.</v>
      </c>
      <c r="Y24" s="2" t="str">
        <f>IFERROR((s_dir!Y24/(d_ss_Bv!X24+s_MLF_tomato)),".")</f>
        <v>.</v>
      </c>
      <c r="Z24" s="2" t="str">
        <f>IFERROR((s_dir!Z24/(d_ss_Bv!Y24+s_MLF_rice)),".")</f>
        <v>.</v>
      </c>
      <c r="AA24" s="2" t="str">
        <f>IFERROR((s_dir!AA24/(d_ss_Bv!Z24+s_MLF_cereal)),".")</f>
        <v>.</v>
      </c>
      <c r="AB24" s="10">
        <f t="shared" si="4"/>
        <v>306.28125</v>
      </c>
      <c r="AC24" s="10">
        <f>s_C*(d_ss_Bv!C24+s_MLF_apple)*s_IFAP_res_adj*s_CF_apple</f>
        <v>102.09375</v>
      </c>
      <c r="AD24" s="10">
        <f>s_C*(d_ss_Bv!D24+s_MLF_asparagus)*s_IFAS_res_adj*s_CF_asparagus</f>
        <v>102.09375</v>
      </c>
      <c r="AE24" s="10">
        <f>s_C*(d_ss_Bv!E24+s_MLF_beet)*s_IFBT_res_adj*s_CF_beet</f>
        <v>102.09375</v>
      </c>
      <c r="AF24" s="10">
        <f>s_C*(d_ss_Bv!F24+s_MLF_berries)*s_IFBE_res_adj*s_CF_berries</f>
        <v>102.09375</v>
      </c>
      <c r="AG24" s="10">
        <f>s_C*(d_ss_Bv!G24+s_MLF_broccoli)*s_IFBR_res_adj*s_CF_broccoli</f>
        <v>102.09375</v>
      </c>
      <c r="AH24" s="10">
        <f>s_C*(d_ss_Bv!H24+s_MLF_cabbage)*s_IFCB_res_adj*s_CF_cabbage</f>
        <v>102.09375</v>
      </c>
      <c r="AI24" s="10">
        <f>s_C*(d_ss_Bv!I24+s_MLF_carrot)*s_IFCR_res_adj*s_CF_carrot</f>
        <v>102.09375</v>
      </c>
      <c r="AJ24" s="10">
        <f>s_C*(d_ss_Bv!J24+s_MLF_citrus)*s_IFCI_res_adj*s_CF_citrus</f>
        <v>102.09375</v>
      </c>
      <c r="AK24" s="10">
        <f>s_C*(d_ss_Bv!K24+s_MLF_corn)*s_IFCO_res_adj*s_CF_corn</f>
        <v>102.09375</v>
      </c>
      <c r="AL24" s="10">
        <f>s_C*(d_ss_Bv!L24+s_MLF_cucumber)*s_IFCU_res_adj*s_CF_cucumber</f>
        <v>102.09375</v>
      </c>
      <c r="AM24" s="10">
        <f>s_C*(d_ss_Bv!M24+s_MLF_lettuce)*s_IFLE_res_adj*s_CF_lettuce</f>
        <v>102.09375</v>
      </c>
      <c r="AN24" s="10">
        <f>s_C*(d_ss_Bv!N24+s_MLF_lima_bean)*s_IFLI_res_adj*s_CF_lima_bean</f>
        <v>102.09375</v>
      </c>
      <c r="AO24" s="10">
        <f>s_C*(d_ss_Bv!O24+s_MLF_okra)*s_IFOK_res_adj*s_CF_okra</f>
        <v>102.09375</v>
      </c>
      <c r="AP24" s="10">
        <f>s_C*(d_ss_Bv!P24+s_MLF_onion)*s_IFON_res_adj*s_CF_onion</f>
        <v>102.09375</v>
      </c>
      <c r="AQ24" s="10">
        <f>s_C*(d_ss_Bv!Q24+s_MLF_peach)*s_IFPC_res_adj*s_CF_peach</f>
        <v>102.09375</v>
      </c>
      <c r="AR24" s="10">
        <f>s_C*(d_ss_Bv!R24+s_MLF_pear)*s_IFPR_res_adj*s_CF_pear</f>
        <v>102.09375</v>
      </c>
      <c r="AS24" s="10">
        <f>s_C*(d_ss_Bv!S24+s_MLF_peas)*s_IFPE_res_adj*s_CF_peas</f>
        <v>102.09375</v>
      </c>
      <c r="AT24" s="10">
        <f>s_C*(d_ss_Bv!T24+s_MLF_potato)*s_IFPT_res_adj*s_CF_potato</f>
        <v>102.09375</v>
      </c>
      <c r="AU24" s="10">
        <f>s_C*(d_ss_Bv!U24+s_MLF_pumpkin)*s_IFPU_res_adj*s_CF_pumpkin</f>
        <v>102.09375</v>
      </c>
      <c r="AV24" s="10">
        <f>s_C*(d_ss_Bv!V24+s_MLF_snap_bean)*s_IFSN_res_adj*s_CF_snap_bean</f>
        <v>102.09375</v>
      </c>
      <c r="AW24" s="10">
        <f>s_C*(d_ss_Bv!W24+s_MLF_strawberry)*s_IFST_res_adj*s_CF_strawberry</f>
        <v>102.09375</v>
      </c>
      <c r="AX24" s="10">
        <f>s_C*(d_ss_Bv!X24+s_MLF_tomato)*s_IFTO_res_adj*s_CF_tomato</f>
        <v>102.09375</v>
      </c>
      <c r="AY24" s="10">
        <f>s_C*(d_ss_Bv!Y24+s_MLF_rice)*s_IFRI_res_adj*s_CF_rice</f>
        <v>102.09375</v>
      </c>
      <c r="AZ24" s="10">
        <f>s_C*(d_ss_Bv!Z24+s_MLF_cereal)*s_IFCG_res_adj*s_CF_cereal</f>
        <v>102.09375</v>
      </c>
      <c r="BA24" s="2" t="str">
        <f t="shared" si="2"/>
        <v>.</v>
      </c>
      <c r="BB24" s="2" t="str">
        <f>IFERROR((s_dir!AC24/(d_ss_Bv!C24+s_MLF_apple)),".")</f>
        <v>.</v>
      </c>
      <c r="BC24" s="2" t="str">
        <f>IFERROR((s_dir!AD24/(d_ss_Bv!D24+s_MLF_asparagus)),".")</f>
        <v>.</v>
      </c>
      <c r="BD24" s="2" t="str">
        <f>IFERROR((s_dir!AE24/(d_ss_Bv!E24+s_MLF_beet)),".")</f>
        <v>.</v>
      </c>
      <c r="BE24" s="2" t="str">
        <f>IFERROR((s_dir!AF24/(d_ss_Bv!F24+s_MLF_berries)),".")</f>
        <v>.</v>
      </c>
      <c r="BF24" s="2" t="str">
        <f>IFERROR((s_dir!AG24/(d_ss_Bv!G24+s_MLF_broccoli)),".")</f>
        <v>.</v>
      </c>
      <c r="BG24" s="2" t="str">
        <f>IFERROR((s_dir!AH24/(d_ss_Bv!H24+s_MLF_cabbage)),".")</f>
        <v>.</v>
      </c>
      <c r="BH24" s="2" t="str">
        <f>IFERROR((s_dir!AI24/(d_ss_Bv!I24+s_MLF_carrot)),".")</f>
        <v>.</v>
      </c>
      <c r="BI24" s="2" t="str">
        <f>IFERROR((s_dir!AJ24/(d_ss_Bv!J24+s_MLF_citrus)),".")</f>
        <v>.</v>
      </c>
      <c r="BJ24" s="2" t="str">
        <f>IFERROR((s_dir!AK24/(d_ss_Bv!K24+s_MLF_corn)),".")</f>
        <v>.</v>
      </c>
      <c r="BK24" s="2" t="str">
        <f>IFERROR((s_dir!AL24/(d_ss_Bv!L24+s_MLF_cucumber)),".")</f>
        <v>.</v>
      </c>
      <c r="BL24" s="2" t="str">
        <f>IFERROR((s_dir!AM24/(d_ss_Bv!M24+s_MLF_lettuce)),".")</f>
        <v>.</v>
      </c>
      <c r="BM24" s="2" t="str">
        <f>IFERROR((s_dir!AN24/(d_ss_Bv!N24+s_MLF_lima_bean)),".")</f>
        <v>.</v>
      </c>
      <c r="BN24" s="2" t="str">
        <f>IFERROR((s_dir!AO24/(d_ss_Bv!O24+s_MLF_okra)),".")</f>
        <v>.</v>
      </c>
      <c r="BO24" s="2" t="str">
        <f>IFERROR((s_dir!AP24/(d_ss_Bv!P24+s_MLF_onion)),".")</f>
        <v>.</v>
      </c>
      <c r="BP24" s="2" t="str">
        <f>IFERROR((s_dir!AQ24/(d_ss_Bv!Q24+s_MLF_peach)),".")</f>
        <v>.</v>
      </c>
      <c r="BQ24" s="2" t="str">
        <f>IFERROR((s_dir!AR24/(d_ss_Bv!R24+s_MLF_pear)),".")</f>
        <v>.</v>
      </c>
      <c r="BR24" s="2" t="str">
        <f>IFERROR((s_dir!AS24/(d_ss_Bv!S24+s_MLF_peas)),".")</f>
        <v>.</v>
      </c>
      <c r="BS24" s="2" t="str">
        <f>IFERROR((s_dir!AT24/(d_ss_Bv!T24+s_MLF_potato)),".")</f>
        <v>.</v>
      </c>
      <c r="BT24" s="2" t="str">
        <f>IFERROR((s_dir!AU24/(d_ss_Bv!U24+s_MLF_pumpkin)),".")</f>
        <v>.</v>
      </c>
      <c r="BU24" s="2" t="str">
        <f>IFERROR((s_dir!AV24/(d_ss_Bv!V24+s_MLF_snap_bean)),".")</f>
        <v>.</v>
      </c>
      <c r="BV24" s="2" t="str">
        <f>IFERROR((s_dir!AW24/(d_ss_Bv!W24+s_MLF_strawberry)),".")</f>
        <v>.</v>
      </c>
      <c r="BW24" s="2" t="str">
        <f>IFERROR((s_dir!AX24/(d_ss_Bv!X24+s_MLF_tomato)),".")</f>
        <v>.</v>
      </c>
      <c r="BX24" s="2" t="str">
        <f>IFERROR((s_dir!AY24/(d_ss_Bv!Y24+s_MLF_rice)),".")</f>
        <v>.</v>
      </c>
      <c r="BY24" s="2" t="str">
        <f>IFERROR((s_dir!AZ24/(d_ss_Bv!Z24+s_MLF_cereal)),".")</f>
        <v>.</v>
      </c>
      <c r="BZ24" s="10">
        <f t="shared" si="3"/>
        <v>306.28125</v>
      </c>
      <c r="CA24" s="10">
        <f>IFERROR(s_C*(d_ss_Bv!C24+s_MLF_apple)*s_IFAP_far_adj*s_CF_apple,".")</f>
        <v>102.09375</v>
      </c>
      <c r="CB24" s="10">
        <f>IFERROR(s_C*(d_ss_Bv!D24+s_MLF_asparagus)*s_IFAS_far_adj*s_CF_asparagus,".")</f>
        <v>102.09375</v>
      </c>
      <c r="CC24" s="10">
        <f>IFERROR(s_C*(d_ss_Bv!E24+s_MLF_beet)*s_IFBT_far_adj*s_CF_beet,".")</f>
        <v>102.09375</v>
      </c>
      <c r="CD24" s="10">
        <f>IFERROR(s_C*(d_ss_Bv!F24+s_MLF_berries)*s_IFBR_far_adj*s_CF_berries,".")</f>
        <v>102.09375</v>
      </c>
      <c r="CE24" s="10">
        <f>IFERROR(s_C*(d_ss_Bv!G24+s_MLF_broccoli)*s_IFBR_far_adj*s_CF_broccoli,".")</f>
        <v>102.09375</v>
      </c>
      <c r="CF24" s="10">
        <f>IFERROR(s_C*(d_ss_Bv!H24+s_MLF_cabbage)*s_IFCB_far_adj*s_CF_cabbage,".")</f>
        <v>102.09375</v>
      </c>
      <c r="CG24" s="10">
        <f>IFERROR(s_C*(d_ss_Bv!I24+s_MLF_carrot)*s_IFCR_far_adj*s_CF_carrot,".")</f>
        <v>102.09375</v>
      </c>
      <c r="CH24" s="10">
        <f>IFERROR(s_C*(d_ss_Bv!J24+s_MLF_citrus)*s_IFCI_far_adj*s_CF_citrus,".")</f>
        <v>102.09375</v>
      </c>
      <c r="CI24" s="10">
        <f>IFERROR(s_C*(d_ss_Bv!K24+s_MLF_corn)*s_IFCO_far_adj*s_CF_corn,".")</f>
        <v>102.09375</v>
      </c>
      <c r="CJ24" s="10">
        <f>IFERROR(s_C*(d_ss_Bv!L24+s_MLF_cucumber)*s_IFCU_far_adj*s_CF_cucumber,".")</f>
        <v>102.09375</v>
      </c>
      <c r="CK24" s="10">
        <f>IFERROR(s_C*(d_ss_Bv!M24+s_MLF_lettuce)*s_IFLE_far_adj*s_CF_lettuce,".")</f>
        <v>102.09375</v>
      </c>
      <c r="CL24" s="10">
        <f>IFERROR(s_C*(d_ss_Bv!N24+s_MLF_lima_bean)*s_IFLI_far_adj*s_CF_lima_bean,".")</f>
        <v>102.09375</v>
      </c>
      <c r="CM24" s="10">
        <f>IFERROR(s_C*(d_ss_Bv!O24+s_MLF_okra)*s_IFOK_far_adj*s_CF_okra,".")</f>
        <v>102.09375</v>
      </c>
      <c r="CN24" s="10">
        <f>IFERROR(s_C*(d_ss_Bv!P24+s_MLF_onion)*s_IFON_far_adj*s_CF_onion,".")</f>
        <v>102.09375</v>
      </c>
      <c r="CO24" s="10">
        <f>IFERROR(s_C*(d_ss_Bv!Q24+s_MLF_peach)*s_IFPC_far_adj*s_CF_peach,".")</f>
        <v>102.09375</v>
      </c>
      <c r="CP24" s="10">
        <f>IFERROR(s_C*(d_ss_Bv!R24+s_MLF_pear)*s_IFPR_far_adj*s_CF_pear,".")</f>
        <v>102.09375</v>
      </c>
      <c r="CQ24" s="10">
        <f>IFERROR(s_C*(d_ss_Bv!S24+s_MLF_peas)*s_IFPE_far_adj*s_CF_peas,".")</f>
        <v>102.09375</v>
      </c>
      <c r="CR24" s="10">
        <f>IFERROR(s_C*(d_ss_Bv!T24+s_MLF_potato)*s_IFPT_far_adj*s_CF_potato,".")</f>
        <v>102.09375</v>
      </c>
      <c r="CS24" s="10">
        <f>IFERROR(s_C*(d_ss_Bv!U24+s_MLF_pumpkin)*s_IFPU_far_adj*s_CF_pumpkin,".")</f>
        <v>102.09375</v>
      </c>
      <c r="CT24" s="10">
        <f>IFERROR(s_C*(d_ss_Bv!V24+s_MLF_snap_bean)*s_IFSN_far_adj*s_CF_snap_bean,".")</f>
        <v>102.09375</v>
      </c>
      <c r="CU24" s="10">
        <f>IFERROR(s_C*(d_ss_Bv!W24+s_MLF_strawberry)*s_IFST_far_adj*s_CF_strawberry,".")</f>
        <v>102.09375</v>
      </c>
      <c r="CV24" s="10">
        <f>IFERROR(s_C*(d_ss_Bv!X24+s_MLF_tomato)*s_IFTO_far_adj*s_CF_tomato,".")</f>
        <v>102.09375</v>
      </c>
      <c r="CW24" s="10">
        <f>IFERROR(s_C*(d_ss_Bv!Y24+s_MLF_rice)*s_IFRI_far_adj*s_CF_rice,".")</f>
        <v>102.09375</v>
      </c>
      <c r="CX24" s="10">
        <f>IFERROR(s_C*(d_ss_Bv!Z24+s_MLF_cereal)*s_IFCG_far_adj*s_CF_cereal,".")</f>
        <v>102.09375</v>
      </c>
    </row>
    <row r="25" spans="1:102" x14ac:dyDescent="0.25">
      <c r="A25" s="32" t="s">
        <v>23</v>
      </c>
      <c r="B25" s="3" t="s">
        <v>336</v>
      </c>
      <c r="C25" s="2" t="str">
        <f t="shared" si="0"/>
        <v>.</v>
      </c>
      <c r="D25" s="2" t="str">
        <f>IFERROR((s_dir!D25/(d_ss_Bv!C25+s_MLF_apple)),".")</f>
        <v>.</v>
      </c>
      <c r="E25" s="2" t="str">
        <f>IFERROR((s_dir!E25/(d_ss_Bv!D25+s_MLF_asparagus)),".")</f>
        <v>.</v>
      </c>
      <c r="F25" s="2" t="str">
        <f>IFERROR((s_dir!F25/(d_ss_Bv!E25+s_MLF_beet)),".")</f>
        <v>.</v>
      </c>
      <c r="G25" s="2" t="str">
        <f>IFERROR((s_dir!G25/(d_ss_Bv!F25+s_MLF_berries)),".")</f>
        <v>.</v>
      </c>
      <c r="H25" s="2" t="str">
        <f>IFERROR((s_dir!H25/(d_ss_Bv!G25+s_MLF_broccoli)),".")</f>
        <v>.</v>
      </c>
      <c r="I25" s="2" t="str">
        <f>IFERROR((s_dir!I25/(d_ss_Bv!H25+s_MLF_cabbage)),".")</f>
        <v>.</v>
      </c>
      <c r="J25" s="2" t="str">
        <f>IFERROR((s_dir!J25/(d_ss_Bv!I25+s_MLF_carrot)),".")</f>
        <v>.</v>
      </c>
      <c r="K25" s="2" t="str">
        <f>IFERROR((s_dir!K25/(d_ss_Bv!J25+s_MLF_citrus)),".")</f>
        <v>.</v>
      </c>
      <c r="L25" s="2" t="str">
        <f>IFERROR((s_dir!L25/(d_ss_Bv!K25+s_MLF_corn)),".")</f>
        <v>.</v>
      </c>
      <c r="M25" s="2" t="str">
        <f>IFERROR((s_dir!M25/(d_ss_Bv!L25+s_MLF_cucumber)),".")</f>
        <v>.</v>
      </c>
      <c r="N25" s="2" t="str">
        <f>IFERROR((s_dir!N25/(d_ss_Bv!M25+s_MLF_lettuce)),".")</f>
        <v>.</v>
      </c>
      <c r="O25" s="2" t="str">
        <f>IFERROR((s_dir!O25/(d_ss_Bv!N25+s_MLF_lima_bean)),".")</f>
        <v>.</v>
      </c>
      <c r="P25" s="2" t="str">
        <f>IFERROR((s_dir!P25/(d_ss_Bv!O25+s_MLF_okra)),".")</f>
        <v>.</v>
      </c>
      <c r="Q25" s="2" t="str">
        <f>IFERROR((s_dir!Q25/(d_ss_Bv!P25+s_MLF_onion)),".")</f>
        <v>.</v>
      </c>
      <c r="R25" s="2" t="str">
        <f>IFERROR((s_dir!R25/(d_ss_Bv!Q25+s_MLF_peach)),".")</f>
        <v>.</v>
      </c>
      <c r="S25" s="2" t="str">
        <f>IFERROR((s_dir!S25/(d_ss_Bv!R25+s_MLF_pear)),".")</f>
        <v>.</v>
      </c>
      <c r="T25" s="2" t="str">
        <f>IFERROR((s_dir!T25/(d_ss_Bv!S25+s_MLF_peas)),".")</f>
        <v>.</v>
      </c>
      <c r="U25" s="2" t="str">
        <f>IFERROR((s_dir!U25/(d_ss_Bv!T25+s_MLF_potato)),".")</f>
        <v>.</v>
      </c>
      <c r="V25" s="2" t="str">
        <f>IFERROR((s_dir!V25/(d_ss_Bv!U25+s_MLF_pumpkin)),".")</f>
        <v>.</v>
      </c>
      <c r="W25" s="2" t="str">
        <f>IFERROR((s_dir!W25/(d_ss_Bv!V25+s_MLF_snap_bean)),".")</f>
        <v>.</v>
      </c>
      <c r="X25" s="2" t="str">
        <f>IFERROR((s_dir!X25/(d_ss_Bv!W25+s_MLF_strawberry)),".")</f>
        <v>.</v>
      </c>
      <c r="Y25" s="2" t="str">
        <f>IFERROR((s_dir!Y25/(d_ss_Bv!X25+s_MLF_tomato)),".")</f>
        <v>.</v>
      </c>
      <c r="Z25" s="2" t="str">
        <f>IFERROR((s_dir!Z25/(d_ss_Bv!Y25+s_MLF_rice)),".")</f>
        <v>.</v>
      </c>
      <c r="AA25" s="2" t="str">
        <f>IFERROR((s_dir!AA25/(d_ss_Bv!Z25+s_MLF_cereal)),".")</f>
        <v>.</v>
      </c>
      <c r="AB25" s="10">
        <f t="shared" si="4"/>
        <v>306.28125</v>
      </c>
      <c r="AC25" s="10">
        <f>s_C*(d_ss_Bv!C25+s_MLF_apple)*s_IFAP_res_adj*s_CF_apple</f>
        <v>102.09375</v>
      </c>
      <c r="AD25" s="10">
        <f>s_C*(d_ss_Bv!D25+s_MLF_asparagus)*s_IFAS_res_adj*s_CF_asparagus</f>
        <v>102.09375</v>
      </c>
      <c r="AE25" s="10">
        <f>s_C*(d_ss_Bv!E25+s_MLF_beet)*s_IFBT_res_adj*s_CF_beet</f>
        <v>102.09375</v>
      </c>
      <c r="AF25" s="10">
        <f>s_C*(d_ss_Bv!F25+s_MLF_berries)*s_IFBE_res_adj*s_CF_berries</f>
        <v>102.09375</v>
      </c>
      <c r="AG25" s="10">
        <f>s_C*(d_ss_Bv!G25+s_MLF_broccoli)*s_IFBR_res_adj*s_CF_broccoli</f>
        <v>102.09375</v>
      </c>
      <c r="AH25" s="10">
        <f>s_C*(d_ss_Bv!H25+s_MLF_cabbage)*s_IFCB_res_adj*s_CF_cabbage</f>
        <v>102.09375</v>
      </c>
      <c r="AI25" s="10">
        <f>s_C*(d_ss_Bv!I25+s_MLF_carrot)*s_IFCR_res_adj*s_CF_carrot</f>
        <v>102.09375</v>
      </c>
      <c r="AJ25" s="10">
        <f>s_C*(d_ss_Bv!J25+s_MLF_citrus)*s_IFCI_res_adj*s_CF_citrus</f>
        <v>102.09375</v>
      </c>
      <c r="AK25" s="10">
        <f>s_C*(d_ss_Bv!K25+s_MLF_corn)*s_IFCO_res_adj*s_CF_corn</f>
        <v>102.09375</v>
      </c>
      <c r="AL25" s="10">
        <f>s_C*(d_ss_Bv!L25+s_MLF_cucumber)*s_IFCU_res_adj*s_CF_cucumber</f>
        <v>102.09375</v>
      </c>
      <c r="AM25" s="10">
        <f>s_C*(d_ss_Bv!M25+s_MLF_lettuce)*s_IFLE_res_adj*s_CF_lettuce</f>
        <v>102.09375</v>
      </c>
      <c r="AN25" s="10">
        <f>s_C*(d_ss_Bv!N25+s_MLF_lima_bean)*s_IFLI_res_adj*s_CF_lima_bean</f>
        <v>102.09375</v>
      </c>
      <c r="AO25" s="10">
        <f>s_C*(d_ss_Bv!O25+s_MLF_okra)*s_IFOK_res_adj*s_CF_okra</f>
        <v>102.09375</v>
      </c>
      <c r="AP25" s="10">
        <f>s_C*(d_ss_Bv!P25+s_MLF_onion)*s_IFON_res_adj*s_CF_onion</f>
        <v>102.09375</v>
      </c>
      <c r="AQ25" s="10">
        <f>s_C*(d_ss_Bv!Q25+s_MLF_peach)*s_IFPC_res_adj*s_CF_peach</f>
        <v>102.09375</v>
      </c>
      <c r="AR25" s="10">
        <f>s_C*(d_ss_Bv!R25+s_MLF_pear)*s_IFPR_res_adj*s_CF_pear</f>
        <v>102.09375</v>
      </c>
      <c r="AS25" s="10">
        <f>s_C*(d_ss_Bv!S25+s_MLF_peas)*s_IFPE_res_adj*s_CF_peas</f>
        <v>102.09375</v>
      </c>
      <c r="AT25" s="10">
        <f>s_C*(d_ss_Bv!T25+s_MLF_potato)*s_IFPT_res_adj*s_CF_potato</f>
        <v>102.09375</v>
      </c>
      <c r="AU25" s="10">
        <f>s_C*(d_ss_Bv!U25+s_MLF_pumpkin)*s_IFPU_res_adj*s_CF_pumpkin</f>
        <v>102.09375</v>
      </c>
      <c r="AV25" s="10">
        <f>s_C*(d_ss_Bv!V25+s_MLF_snap_bean)*s_IFSN_res_adj*s_CF_snap_bean</f>
        <v>102.09375</v>
      </c>
      <c r="AW25" s="10">
        <f>s_C*(d_ss_Bv!W25+s_MLF_strawberry)*s_IFST_res_adj*s_CF_strawberry</f>
        <v>102.09375</v>
      </c>
      <c r="AX25" s="10">
        <f>s_C*(d_ss_Bv!X25+s_MLF_tomato)*s_IFTO_res_adj*s_CF_tomato</f>
        <v>102.09375</v>
      </c>
      <c r="AY25" s="10">
        <f>s_C*(d_ss_Bv!Y25+s_MLF_rice)*s_IFRI_res_adj*s_CF_rice</f>
        <v>102.09375</v>
      </c>
      <c r="AZ25" s="10">
        <f>s_C*(d_ss_Bv!Z25+s_MLF_cereal)*s_IFCG_res_adj*s_CF_cereal</f>
        <v>102.09375</v>
      </c>
      <c r="BA25" s="2" t="str">
        <f t="shared" si="2"/>
        <v>.</v>
      </c>
      <c r="BB25" s="2" t="str">
        <f>IFERROR((s_dir!AC25/(d_ss_Bv!C25+s_MLF_apple)),".")</f>
        <v>.</v>
      </c>
      <c r="BC25" s="2" t="str">
        <f>IFERROR((s_dir!AD25/(d_ss_Bv!D25+s_MLF_asparagus)),".")</f>
        <v>.</v>
      </c>
      <c r="BD25" s="2" t="str">
        <f>IFERROR((s_dir!AE25/(d_ss_Bv!E25+s_MLF_beet)),".")</f>
        <v>.</v>
      </c>
      <c r="BE25" s="2" t="str">
        <f>IFERROR((s_dir!AF25/(d_ss_Bv!F25+s_MLF_berries)),".")</f>
        <v>.</v>
      </c>
      <c r="BF25" s="2" t="str">
        <f>IFERROR((s_dir!AG25/(d_ss_Bv!G25+s_MLF_broccoli)),".")</f>
        <v>.</v>
      </c>
      <c r="BG25" s="2" t="str">
        <f>IFERROR((s_dir!AH25/(d_ss_Bv!H25+s_MLF_cabbage)),".")</f>
        <v>.</v>
      </c>
      <c r="BH25" s="2" t="str">
        <f>IFERROR((s_dir!AI25/(d_ss_Bv!I25+s_MLF_carrot)),".")</f>
        <v>.</v>
      </c>
      <c r="BI25" s="2" t="str">
        <f>IFERROR((s_dir!AJ25/(d_ss_Bv!J25+s_MLF_citrus)),".")</f>
        <v>.</v>
      </c>
      <c r="BJ25" s="2" t="str">
        <f>IFERROR((s_dir!AK25/(d_ss_Bv!K25+s_MLF_corn)),".")</f>
        <v>.</v>
      </c>
      <c r="BK25" s="2" t="str">
        <f>IFERROR((s_dir!AL25/(d_ss_Bv!L25+s_MLF_cucumber)),".")</f>
        <v>.</v>
      </c>
      <c r="BL25" s="2" t="str">
        <f>IFERROR((s_dir!AM25/(d_ss_Bv!M25+s_MLF_lettuce)),".")</f>
        <v>.</v>
      </c>
      <c r="BM25" s="2" t="str">
        <f>IFERROR((s_dir!AN25/(d_ss_Bv!N25+s_MLF_lima_bean)),".")</f>
        <v>.</v>
      </c>
      <c r="BN25" s="2" t="str">
        <f>IFERROR((s_dir!AO25/(d_ss_Bv!O25+s_MLF_okra)),".")</f>
        <v>.</v>
      </c>
      <c r="BO25" s="2" t="str">
        <f>IFERROR((s_dir!AP25/(d_ss_Bv!P25+s_MLF_onion)),".")</f>
        <v>.</v>
      </c>
      <c r="BP25" s="2" t="str">
        <f>IFERROR((s_dir!AQ25/(d_ss_Bv!Q25+s_MLF_peach)),".")</f>
        <v>.</v>
      </c>
      <c r="BQ25" s="2" t="str">
        <f>IFERROR((s_dir!AR25/(d_ss_Bv!R25+s_MLF_pear)),".")</f>
        <v>.</v>
      </c>
      <c r="BR25" s="2" t="str">
        <f>IFERROR((s_dir!AS25/(d_ss_Bv!S25+s_MLF_peas)),".")</f>
        <v>.</v>
      </c>
      <c r="BS25" s="2" t="str">
        <f>IFERROR((s_dir!AT25/(d_ss_Bv!T25+s_MLF_potato)),".")</f>
        <v>.</v>
      </c>
      <c r="BT25" s="2" t="str">
        <f>IFERROR((s_dir!AU25/(d_ss_Bv!U25+s_MLF_pumpkin)),".")</f>
        <v>.</v>
      </c>
      <c r="BU25" s="2" t="str">
        <f>IFERROR((s_dir!AV25/(d_ss_Bv!V25+s_MLF_snap_bean)),".")</f>
        <v>.</v>
      </c>
      <c r="BV25" s="2" t="str">
        <f>IFERROR((s_dir!AW25/(d_ss_Bv!W25+s_MLF_strawberry)),".")</f>
        <v>.</v>
      </c>
      <c r="BW25" s="2" t="str">
        <f>IFERROR((s_dir!AX25/(d_ss_Bv!X25+s_MLF_tomato)),".")</f>
        <v>.</v>
      </c>
      <c r="BX25" s="2" t="str">
        <f>IFERROR((s_dir!AY25/(d_ss_Bv!Y25+s_MLF_rice)),".")</f>
        <v>.</v>
      </c>
      <c r="BY25" s="2" t="str">
        <f>IFERROR((s_dir!AZ25/(d_ss_Bv!Z25+s_MLF_cereal)),".")</f>
        <v>.</v>
      </c>
      <c r="BZ25" s="10">
        <f t="shared" si="3"/>
        <v>306.28125</v>
      </c>
      <c r="CA25" s="10">
        <f>IFERROR(s_C*(d_ss_Bv!C25+s_MLF_apple)*s_IFAP_far_adj*s_CF_apple,".")</f>
        <v>102.09375</v>
      </c>
      <c r="CB25" s="10">
        <f>IFERROR(s_C*(d_ss_Bv!D25+s_MLF_asparagus)*s_IFAS_far_adj*s_CF_asparagus,".")</f>
        <v>102.09375</v>
      </c>
      <c r="CC25" s="10">
        <f>IFERROR(s_C*(d_ss_Bv!E25+s_MLF_beet)*s_IFBT_far_adj*s_CF_beet,".")</f>
        <v>102.09375</v>
      </c>
      <c r="CD25" s="10">
        <f>IFERROR(s_C*(d_ss_Bv!F25+s_MLF_berries)*s_IFBR_far_adj*s_CF_berries,".")</f>
        <v>102.09375</v>
      </c>
      <c r="CE25" s="10">
        <f>IFERROR(s_C*(d_ss_Bv!G25+s_MLF_broccoli)*s_IFBR_far_adj*s_CF_broccoli,".")</f>
        <v>102.09375</v>
      </c>
      <c r="CF25" s="10">
        <f>IFERROR(s_C*(d_ss_Bv!H25+s_MLF_cabbage)*s_IFCB_far_adj*s_CF_cabbage,".")</f>
        <v>102.09375</v>
      </c>
      <c r="CG25" s="10">
        <f>IFERROR(s_C*(d_ss_Bv!I25+s_MLF_carrot)*s_IFCR_far_adj*s_CF_carrot,".")</f>
        <v>102.09375</v>
      </c>
      <c r="CH25" s="10">
        <f>IFERROR(s_C*(d_ss_Bv!J25+s_MLF_citrus)*s_IFCI_far_adj*s_CF_citrus,".")</f>
        <v>102.09375</v>
      </c>
      <c r="CI25" s="10">
        <f>IFERROR(s_C*(d_ss_Bv!K25+s_MLF_corn)*s_IFCO_far_adj*s_CF_corn,".")</f>
        <v>102.09375</v>
      </c>
      <c r="CJ25" s="10">
        <f>IFERROR(s_C*(d_ss_Bv!L25+s_MLF_cucumber)*s_IFCU_far_adj*s_CF_cucumber,".")</f>
        <v>102.09375</v>
      </c>
      <c r="CK25" s="10">
        <f>IFERROR(s_C*(d_ss_Bv!M25+s_MLF_lettuce)*s_IFLE_far_adj*s_CF_lettuce,".")</f>
        <v>102.09375</v>
      </c>
      <c r="CL25" s="10">
        <f>IFERROR(s_C*(d_ss_Bv!N25+s_MLF_lima_bean)*s_IFLI_far_adj*s_CF_lima_bean,".")</f>
        <v>102.09375</v>
      </c>
      <c r="CM25" s="10">
        <f>IFERROR(s_C*(d_ss_Bv!O25+s_MLF_okra)*s_IFOK_far_adj*s_CF_okra,".")</f>
        <v>102.09375</v>
      </c>
      <c r="CN25" s="10">
        <f>IFERROR(s_C*(d_ss_Bv!P25+s_MLF_onion)*s_IFON_far_adj*s_CF_onion,".")</f>
        <v>102.09375</v>
      </c>
      <c r="CO25" s="10">
        <f>IFERROR(s_C*(d_ss_Bv!Q25+s_MLF_peach)*s_IFPC_far_adj*s_CF_peach,".")</f>
        <v>102.09375</v>
      </c>
      <c r="CP25" s="10">
        <f>IFERROR(s_C*(d_ss_Bv!R25+s_MLF_pear)*s_IFPR_far_adj*s_CF_pear,".")</f>
        <v>102.09375</v>
      </c>
      <c r="CQ25" s="10">
        <f>IFERROR(s_C*(d_ss_Bv!S25+s_MLF_peas)*s_IFPE_far_adj*s_CF_peas,".")</f>
        <v>102.09375</v>
      </c>
      <c r="CR25" s="10">
        <f>IFERROR(s_C*(d_ss_Bv!T25+s_MLF_potato)*s_IFPT_far_adj*s_CF_potato,".")</f>
        <v>102.09375</v>
      </c>
      <c r="CS25" s="10">
        <f>IFERROR(s_C*(d_ss_Bv!U25+s_MLF_pumpkin)*s_IFPU_far_adj*s_CF_pumpkin,".")</f>
        <v>102.09375</v>
      </c>
      <c r="CT25" s="10">
        <f>IFERROR(s_C*(d_ss_Bv!V25+s_MLF_snap_bean)*s_IFSN_far_adj*s_CF_snap_bean,".")</f>
        <v>102.09375</v>
      </c>
      <c r="CU25" s="10">
        <f>IFERROR(s_C*(d_ss_Bv!W25+s_MLF_strawberry)*s_IFST_far_adj*s_CF_strawberry,".")</f>
        <v>102.09375</v>
      </c>
      <c r="CV25" s="10">
        <f>IFERROR(s_C*(d_ss_Bv!X25+s_MLF_tomato)*s_IFTO_far_adj*s_CF_tomato,".")</f>
        <v>102.09375</v>
      </c>
      <c r="CW25" s="10">
        <f>IFERROR(s_C*(d_ss_Bv!Y25+s_MLF_rice)*s_IFRI_far_adj*s_CF_rice,".")</f>
        <v>102.09375</v>
      </c>
      <c r="CX25" s="10">
        <f>IFERROR(s_C*(d_ss_Bv!Z25+s_MLF_cereal)*s_IFCG_far_adj*s_CF_cereal,".")</f>
        <v>102.09375</v>
      </c>
    </row>
    <row r="26" spans="1:102" ht="15" customHeight="1" x14ac:dyDescent="0.25">
      <c r="A26" s="31" t="s">
        <v>24</v>
      </c>
      <c r="B26" s="3" t="s">
        <v>1059</v>
      </c>
      <c r="C26" s="2">
        <f t="shared" si="0"/>
        <v>33.913224840141915</v>
      </c>
      <c r="D26" s="2">
        <f>IFERROR((s_dir!D26/(d_ss_Bv!C26+s_MLF_apple)),".")</f>
        <v>104.79186475603851</v>
      </c>
      <c r="E26" s="2">
        <f>IFERROR((s_dir!E26/(d_ss_Bv!D26+s_MLF_asparagus)),".")</f>
        <v>99.801775958131913</v>
      </c>
      <c r="F26" s="2">
        <f>IFERROR((s_dir!F26/(d_ss_Bv!E26+s_MLF_beet)),".")</f>
        <v>102.59343402689085</v>
      </c>
      <c r="G26" s="2">
        <f>IFERROR((s_dir!G26/(d_ss_Bv!F26+s_MLF_berries)),".")</f>
        <v>104.79186475603851</v>
      </c>
      <c r="H26" s="2">
        <f>IFERROR((s_dir!H26/(d_ss_Bv!G26+s_MLF_broccoli)),".")</f>
        <v>102.73712230984168</v>
      </c>
      <c r="I26" s="2">
        <f>IFERROR((s_dir!I26/(d_ss_Bv!H26+s_MLF_cabbage)),".")</f>
        <v>99.801775958131913</v>
      </c>
      <c r="J26" s="2">
        <f>IFERROR((s_dir!J26/(d_ss_Bv!I26+s_MLF_carrot)),".")</f>
        <v>102.59343402689085</v>
      </c>
      <c r="K26" s="2">
        <f>IFERROR((s_dir!K26/(d_ss_Bv!J26+s_MLF_citrus)),".")</f>
        <v>104.79186475603851</v>
      </c>
      <c r="L26" s="2">
        <f>IFERROR((s_dir!L26/(d_ss_Bv!K26+s_MLF_corn)),".")</f>
        <v>103.75432154063219</v>
      </c>
      <c r="M26" s="2">
        <f>IFERROR((s_dir!M26/(d_ss_Bv!L26+s_MLF_cucumber)),".")</f>
        <v>102.73712230984168</v>
      </c>
      <c r="N26" s="2">
        <f>IFERROR((s_dir!N26/(d_ss_Bv!M26+s_MLF_lettuce)),".")</f>
        <v>99.801775958131913</v>
      </c>
      <c r="O26" s="2">
        <f>IFERROR((s_dir!O26/(d_ss_Bv!N26+s_MLF_lima_bean)),".")</f>
        <v>104.56779091835632</v>
      </c>
      <c r="P26" s="2">
        <f>IFERROR((s_dir!P26/(d_ss_Bv!O26+s_MLF_okra)),".")</f>
        <v>102.73712230984168</v>
      </c>
      <c r="Q26" s="2">
        <f>IFERROR((s_dir!Q26/(d_ss_Bv!P26+s_MLF_onion)),".")</f>
        <v>102.73712230984168</v>
      </c>
      <c r="R26" s="2">
        <f>IFERROR((s_dir!R26/(d_ss_Bv!Q26+s_MLF_peach)),".")</f>
        <v>104.79186475603851</v>
      </c>
      <c r="S26" s="2">
        <f>IFERROR((s_dir!S26/(d_ss_Bv!R26+s_MLF_pear)),".")</f>
        <v>104.79186475603851</v>
      </c>
      <c r="T26" s="2">
        <f>IFERROR((s_dir!T26/(d_ss_Bv!S26+s_MLF_peas)),".")</f>
        <v>104.56779091835632</v>
      </c>
      <c r="U26" s="2">
        <f>IFERROR((s_dir!U26/(d_ss_Bv!T26+s_MLF_potato)),".")</f>
        <v>107.08657712295906</v>
      </c>
      <c r="V26" s="2">
        <f>IFERROR((s_dir!V26/(d_ss_Bv!U26+s_MLF_pumpkin)),".")</f>
        <v>102.73712230984168</v>
      </c>
      <c r="W26" s="2">
        <f>IFERROR((s_dir!W26/(d_ss_Bv!V26+s_MLF_snap_bean)),".")</f>
        <v>104.56779091835632</v>
      </c>
      <c r="X26" s="2">
        <f>IFERROR((s_dir!X26/(d_ss_Bv!W26+s_MLF_strawberry)),".")</f>
        <v>104.79186475603851</v>
      </c>
      <c r="Y26" s="2">
        <f>IFERROR((s_dir!Y26/(d_ss_Bv!X26+s_MLF_tomato)),".")</f>
        <v>102.73712230984168</v>
      </c>
      <c r="Z26" s="2">
        <f>IFERROR((s_dir!Z26/(d_ss_Bv!Y26+s_MLF_rice)),".")</f>
        <v>107.40015421555923</v>
      </c>
      <c r="AA26" s="2">
        <f>IFERROR((s_dir!AA26/(d_ss_Bv!Z26+s_MLF_cereal)),".")</f>
        <v>94.043981191316618</v>
      </c>
      <c r="AB26" s="10">
        <f t="shared" si="4"/>
        <v>327.15375</v>
      </c>
      <c r="AC26" s="10">
        <f>s_C*(d_ss_Bv!C26+s_MLF_apple)*s_IFAP_res_adj*s_CF_apple</f>
        <v>105.87500000000001</v>
      </c>
      <c r="AD26" s="10">
        <f>s_C*(d_ss_Bv!D26+s_MLF_asparagus)*s_IFAS_res_adj*s_CF_asparagus</f>
        <v>111.16874999999999</v>
      </c>
      <c r="AE26" s="10">
        <f>s_C*(d_ss_Bv!E26+s_MLF_beet)*s_IFBT_res_adj*s_CF_beet</f>
        <v>108.14375000000001</v>
      </c>
      <c r="AF26" s="10">
        <f>s_C*(d_ss_Bv!F26+s_MLF_berries)*s_IFBE_res_adj*s_CF_berries</f>
        <v>105.87500000000001</v>
      </c>
      <c r="AG26" s="10">
        <f>s_C*(d_ss_Bv!G26+s_MLF_broccoli)*s_IFBR_res_adj*s_CF_broccoli</f>
        <v>107.99249999999999</v>
      </c>
      <c r="AH26" s="10">
        <f>s_C*(d_ss_Bv!H26+s_MLF_cabbage)*s_IFCB_res_adj*s_CF_cabbage</f>
        <v>111.16874999999999</v>
      </c>
      <c r="AI26" s="10">
        <f>s_C*(d_ss_Bv!I26+s_MLF_carrot)*s_IFCR_res_adj*s_CF_carrot</f>
        <v>108.14375000000001</v>
      </c>
      <c r="AJ26" s="10">
        <f>s_C*(d_ss_Bv!J26+s_MLF_citrus)*s_IFCI_res_adj*s_CF_citrus</f>
        <v>105.87500000000001</v>
      </c>
      <c r="AK26" s="10">
        <f>s_C*(d_ss_Bv!K26+s_MLF_corn)*s_IFCO_res_adj*s_CF_corn</f>
        <v>106.93375</v>
      </c>
      <c r="AL26" s="10">
        <f>s_C*(d_ss_Bv!L26+s_MLF_cucumber)*s_IFCU_res_adj*s_CF_cucumber</f>
        <v>107.99249999999999</v>
      </c>
      <c r="AM26" s="10">
        <f>s_C*(d_ss_Bv!M26+s_MLF_lettuce)*s_IFLE_res_adj*s_CF_lettuce</f>
        <v>111.16874999999999</v>
      </c>
      <c r="AN26" s="10">
        <f>s_C*(d_ss_Bv!N26+s_MLF_lima_bean)*s_IFLI_res_adj*s_CF_lima_bean</f>
        <v>106.10187499999998</v>
      </c>
      <c r="AO26" s="10">
        <f>s_C*(d_ss_Bv!O26+s_MLF_okra)*s_IFOK_res_adj*s_CF_okra</f>
        <v>107.99249999999999</v>
      </c>
      <c r="AP26" s="10">
        <f>s_C*(d_ss_Bv!P26+s_MLF_onion)*s_IFON_res_adj*s_CF_onion</f>
        <v>107.99249999999999</v>
      </c>
      <c r="AQ26" s="10">
        <f>s_C*(d_ss_Bv!Q26+s_MLF_peach)*s_IFPC_res_adj*s_CF_peach</f>
        <v>105.87500000000001</v>
      </c>
      <c r="AR26" s="10">
        <f>s_C*(d_ss_Bv!R26+s_MLF_pear)*s_IFPR_res_adj*s_CF_pear</f>
        <v>105.87500000000001</v>
      </c>
      <c r="AS26" s="10">
        <f>s_C*(d_ss_Bv!S26+s_MLF_peas)*s_IFPE_res_adj*s_CF_peas</f>
        <v>106.10187499999998</v>
      </c>
      <c r="AT26" s="10">
        <f>s_C*(d_ss_Bv!T26+s_MLF_potato)*s_IFPT_res_adj*s_CF_potato</f>
        <v>103.60625</v>
      </c>
      <c r="AU26" s="10">
        <f>s_C*(d_ss_Bv!U26+s_MLF_pumpkin)*s_IFPU_res_adj*s_CF_pumpkin</f>
        <v>107.99249999999999</v>
      </c>
      <c r="AV26" s="10">
        <f>s_C*(d_ss_Bv!V26+s_MLF_snap_bean)*s_IFSN_res_adj*s_CF_snap_bean</f>
        <v>106.10187499999998</v>
      </c>
      <c r="AW26" s="10">
        <f>s_C*(d_ss_Bv!W26+s_MLF_strawberry)*s_IFST_res_adj*s_CF_strawberry</f>
        <v>105.87500000000001</v>
      </c>
      <c r="AX26" s="10">
        <f>s_C*(d_ss_Bv!X26+s_MLF_tomato)*s_IFTO_res_adj*s_CF_tomato</f>
        <v>107.99249999999999</v>
      </c>
      <c r="AY26" s="10">
        <f>s_C*(d_ss_Bv!Y26+s_MLF_rice)*s_IFRI_res_adj*s_CF_rice</f>
        <v>103.30374999999999</v>
      </c>
      <c r="AZ26" s="10">
        <f>s_C*(d_ss_Bv!Z26+s_MLF_cereal)*s_IFCG_res_adj*s_CF_cereal</f>
        <v>117.97499999999999</v>
      </c>
      <c r="BA26" s="2">
        <f t="shared" si="2"/>
        <v>33.913224840141915</v>
      </c>
      <c r="BB26" s="2">
        <f>IFERROR((s_dir!AC26/(d_ss_Bv!C26+s_MLF_apple)),".")</f>
        <v>104.79186475603851</v>
      </c>
      <c r="BC26" s="2">
        <f>IFERROR((s_dir!AD26/(d_ss_Bv!D26+s_MLF_asparagus)),".")</f>
        <v>99.801775958131913</v>
      </c>
      <c r="BD26" s="2">
        <f>IFERROR((s_dir!AE26/(d_ss_Bv!E26+s_MLF_beet)),".")</f>
        <v>102.59343402689085</v>
      </c>
      <c r="BE26" s="2">
        <f>IFERROR((s_dir!AF26/(d_ss_Bv!F26+s_MLF_berries)),".")</f>
        <v>104.79186475603851</v>
      </c>
      <c r="BF26" s="2">
        <f>IFERROR((s_dir!AG26/(d_ss_Bv!G26+s_MLF_broccoli)),".")</f>
        <v>102.73712230984168</v>
      </c>
      <c r="BG26" s="2">
        <f>IFERROR((s_dir!AH26/(d_ss_Bv!H26+s_MLF_cabbage)),".")</f>
        <v>99.801775958131913</v>
      </c>
      <c r="BH26" s="2">
        <f>IFERROR((s_dir!AI26/(d_ss_Bv!I26+s_MLF_carrot)),".")</f>
        <v>102.59343402689085</v>
      </c>
      <c r="BI26" s="2">
        <f>IFERROR((s_dir!AJ26/(d_ss_Bv!J26+s_MLF_citrus)),".")</f>
        <v>104.79186475603851</v>
      </c>
      <c r="BJ26" s="2">
        <f>IFERROR((s_dir!AK26/(d_ss_Bv!K26+s_MLF_corn)),".")</f>
        <v>103.75432154063219</v>
      </c>
      <c r="BK26" s="2">
        <f>IFERROR((s_dir!AL26/(d_ss_Bv!L26+s_MLF_cucumber)),".")</f>
        <v>102.73712230984168</v>
      </c>
      <c r="BL26" s="2">
        <f>IFERROR((s_dir!AM26/(d_ss_Bv!M26+s_MLF_lettuce)),".")</f>
        <v>99.801775958131913</v>
      </c>
      <c r="BM26" s="2">
        <f>IFERROR((s_dir!AN26/(d_ss_Bv!N26+s_MLF_lima_bean)),".")</f>
        <v>104.56779091835632</v>
      </c>
      <c r="BN26" s="2">
        <f>IFERROR((s_dir!AO26/(d_ss_Bv!O26+s_MLF_okra)),".")</f>
        <v>102.73712230984168</v>
      </c>
      <c r="BO26" s="2">
        <f>IFERROR((s_dir!AP26/(d_ss_Bv!P26+s_MLF_onion)),".")</f>
        <v>102.73712230984168</v>
      </c>
      <c r="BP26" s="2">
        <f>IFERROR((s_dir!AQ26/(d_ss_Bv!Q26+s_MLF_peach)),".")</f>
        <v>104.79186475603851</v>
      </c>
      <c r="BQ26" s="2">
        <f>IFERROR((s_dir!AR26/(d_ss_Bv!R26+s_MLF_pear)),".")</f>
        <v>104.79186475603851</v>
      </c>
      <c r="BR26" s="2">
        <f>IFERROR((s_dir!AS26/(d_ss_Bv!S26+s_MLF_peas)),".")</f>
        <v>104.56779091835632</v>
      </c>
      <c r="BS26" s="2">
        <f>IFERROR((s_dir!AT26/(d_ss_Bv!T26+s_MLF_potato)),".")</f>
        <v>107.08657712295906</v>
      </c>
      <c r="BT26" s="2">
        <f>IFERROR((s_dir!AU26/(d_ss_Bv!U26+s_MLF_pumpkin)),".")</f>
        <v>102.73712230984168</v>
      </c>
      <c r="BU26" s="2">
        <f>IFERROR((s_dir!AV26/(d_ss_Bv!V26+s_MLF_snap_bean)),".")</f>
        <v>104.56779091835632</v>
      </c>
      <c r="BV26" s="2">
        <f>IFERROR((s_dir!AW26/(d_ss_Bv!W26+s_MLF_strawberry)),".")</f>
        <v>104.79186475603851</v>
      </c>
      <c r="BW26" s="2">
        <f>IFERROR((s_dir!AX26/(d_ss_Bv!X26+s_MLF_tomato)),".")</f>
        <v>102.73712230984168</v>
      </c>
      <c r="BX26" s="2">
        <f>IFERROR((s_dir!AY26/(d_ss_Bv!Y26+s_MLF_rice)),".")</f>
        <v>107.40015421555923</v>
      </c>
      <c r="BY26" s="2">
        <f>IFERROR((s_dir!AZ26/(d_ss_Bv!Z26+s_MLF_cereal)),".")</f>
        <v>94.043981191316618</v>
      </c>
      <c r="BZ26" s="10">
        <f t="shared" si="3"/>
        <v>327.15375</v>
      </c>
      <c r="CA26" s="10">
        <f>IFERROR(s_C*(d_ss_Bv!C26+s_MLF_apple)*s_IFAP_far_adj*s_CF_apple,".")</f>
        <v>105.87500000000001</v>
      </c>
      <c r="CB26" s="10">
        <f>IFERROR(s_C*(d_ss_Bv!D26+s_MLF_asparagus)*s_IFAS_far_adj*s_CF_asparagus,".")</f>
        <v>111.16874999999999</v>
      </c>
      <c r="CC26" s="10">
        <f>IFERROR(s_C*(d_ss_Bv!E26+s_MLF_beet)*s_IFBT_far_adj*s_CF_beet,".")</f>
        <v>108.14375000000001</v>
      </c>
      <c r="CD26" s="10">
        <f>IFERROR(s_C*(d_ss_Bv!F26+s_MLF_berries)*s_IFBR_far_adj*s_CF_berries,".")</f>
        <v>105.87500000000001</v>
      </c>
      <c r="CE26" s="10">
        <f>IFERROR(s_C*(d_ss_Bv!G26+s_MLF_broccoli)*s_IFBR_far_adj*s_CF_broccoli,".")</f>
        <v>107.99249999999999</v>
      </c>
      <c r="CF26" s="10">
        <f>IFERROR(s_C*(d_ss_Bv!H26+s_MLF_cabbage)*s_IFCB_far_adj*s_CF_cabbage,".")</f>
        <v>111.16874999999999</v>
      </c>
      <c r="CG26" s="10">
        <f>IFERROR(s_C*(d_ss_Bv!I26+s_MLF_carrot)*s_IFCR_far_adj*s_CF_carrot,".")</f>
        <v>108.14375000000001</v>
      </c>
      <c r="CH26" s="10">
        <f>IFERROR(s_C*(d_ss_Bv!J26+s_MLF_citrus)*s_IFCI_far_adj*s_CF_citrus,".")</f>
        <v>105.87500000000001</v>
      </c>
      <c r="CI26" s="10">
        <f>IFERROR(s_C*(d_ss_Bv!K26+s_MLF_corn)*s_IFCO_far_adj*s_CF_corn,".")</f>
        <v>106.93375</v>
      </c>
      <c r="CJ26" s="10">
        <f>IFERROR(s_C*(d_ss_Bv!L26+s_MLF_cucumber)*s_IFCU_far_adj*s_CF_cucumber,".")</f>
        <v>107.99249999999999</v>
      </c>
      <c r="CK26" s="10">
        <f>IFERROR(s_C*(d_ss_Bv!M26+s_MLF_lettuce)*s_IFLE_far_adj*s_CF_lettuce,".")</f>
        <v>111.16874999999999</v>
      </c>
      <c r="CL26" s="10">
        <f>IFERROR(s_C*(d_ss_Bv!N26+s_MLF_lima_bean)*s_IFLI_far_adj*s_CF_lima_bean,".")</f>
        <v>106.10187499999998</v>
      </c>
      <c r="CM26" s="10">
        <f>IFERROR(s_C*(d_ss_Bv!O26+s_MLF_okra)*s_IFOK_far_adj*s_CF_okra,".")</f>
        <v>107.99249999999999</v>
      </c>
      <c r="CN26" s="10">
        <f>IFERROR(s_C*(d_ss_Bv!P26+s_MLF_onion)*s_IFON_far_adj*s_CF_onion,".")</f>
        <v>107.99249999999999</v>
      </c>
      <c r="CO26" s="10">
        <f>IFERROR(s_C*(d_ss_Bv!Q26+s_MLF_peach)*s_IFPC_far_adj*s_CF_peach,".")</f>
        <v>105.87500000000001</v>
      </c>
      <c r="CP26" s="10">
        <f>IFERROR(s_C*(d_ss_Bv!R26+s_MLF_pear)*s_IFPR_far_adj*s_CF_pear,".")</f>
        <v>105.87500000000001</v>
      </c>
      <c r="CQ26" s="10">
        <f>IFERROR(s_C*(d_ss_Bv!S26+s_MLF_peas)*s_IFPE_far_adj*s_CF_peas,".")</f>
        <v>106.10187499999998</v>
      </c>
      <c r="CR26" s="10">
        <f>IFERROR(s_C*(d_ss_Bv!T26+s_MLF_potato)*s_IFPT_far_adj*s_CF_potato,".")</f>
        <v>103.60625</v>
      </c>
      <c r="CS26" s="10">
        <f>IFERROR(s_C*(d_ss_Bv!U26+s_MLF_pumpkin)*s_IFPU_far_adj*s_CF_pumpkin,".")</f>
        <v>107.99249999999999</v>
      </c>
      <c r="CT26" s="10">
        <f>IFERROR(s_C*(d_ss_Bv!V26+s_MLF_snap_bean)*s_IFSN_far_adj*s_CF_snap_bean,".")</f>
        <v>106.10187499999998</v>
      </c>
      <c r="CU26" s="10">
        <f>IFERROR(s_C*(d_ss_Bv!W26+s_MLF_strawberry)*s_IFST_far_adj*s_CF_strawberry,".")</f>
        <v>105.87500000000001</v>
      </c>
      <c r="CV26" s="10">
        <f>IFERROR(s_C*(d_ss_Bv!X26+s_MLF_tomato)*s_IFTO_far_adj*s_CF_tomato,".")</f>
        <v>107.99249999999999</v>
      </c>
      <c r="CW26" s="10">
        <f>IFERROR(s_C*(d_ss_Bv!Y26+s_MLF_rice)*s_IFRI_far_adj*s_CF_rice,".")</f>
        <v>103.30374999999999</v>
      </c>
      <c r="CX26" s="10">
        <f>IFERROR(s_C*(d_ss_Bv!Z26+s_MLF_cereal)*s_IFCG_far_adj*s_CF_cereal,".")</f>
        <v>117.97499999999999</v>
      </c>
    </row>
    <row r="27" spans="1:102" ht="15" customHeight="1" x14ac:dyDescent="0.25">
      <c r="A27" s="31" t="s">
        <v>25</v>
      </c>
      <c r="B27" s="3" t="s">
        <v>1059</v>
      </c>
      <c r="C27" s="2" t="str">
        <f t="shared" si="0"/>
        <v>.</v>
      </c>
      <c r="D27" s="2" t="str">
        <f>IFERROR((s_dir!D27/(d_ss_Bv!C27+s_MLF_apple)),".")</f>
        <v>.</v>
      </c>
      <c r="E27" s="2" t="str">
        <f>IFERROR((s_dir!E27/(d_ss_Bv!D27+s_MLF_asparagus)),".")</f>
        <v>.</v>
      </c>
      <c r="F27" s="2" t="str">
        <f>IFERROR((s_dir!F27/(d_ss_Bv!E27+s_MLF_beet)),".")</f>
        <v>.</v>
      </c>
      <c r="G27" s="2" t="str">
        <f>IFERROR((s_dir!G27/(d_ss_Bv!F27+s_MLF_berries)),".")</f>
        <v>.</v>
      </c>
      <c r="H27" s="2" t="str">
        <f>IFERROR((s_dir!H27/(d_ss_Bv!G27+s_MLF_broccoli)),".")</f>
        <v>.</v>
      </c>
      <c r="I27" s="2" t="str">
        <f>IFERROR((s_dir!I27/(d_ss_Bv!H27+s_MLF_cabbage)),".")</f>
        <v>.</v>
      </c>
      <c r="J27" s="2" t="str">
        <f>IFERROR((s_dir!J27/(d_ss_Bv!I27+s_MLF_carrot)),".")</f>
        <v>.</v>
      </c>
      <c r="K27" s="2" t="str">
        <f>IFERROR((s_dir!K27/(d_ss_Bv!J27+s_MLF_citrus)),".")</f>
        <v>.</v>
      </c>
      <c r="L27" s="2" t="str">
        <f>IFERROR((s_dir!L27/(d_ss_Bv!K27+s_MLF_corn)),".")</f>
        <v>.</v>
      </c>
      <c r="M27" s="2" t="str">
        <f>IFERROR((s_dir!M27/(d_ss_Bv!L27+s_MLF_cucumber)),".")</f>
        <v>.</v>
      </c>
      <c r="N27" s="2" t="str">
        <f>IFERROR((s_dir!N27/(d_ss_Bv!M27+s_MLF_lettuce)),".")</f>
        <v>.</v>
      </c>
      <c r="O27" s="2" t="str">
        <f>IFERROR((s_dir!O27/(d_ss_Bv!N27+s_MLF_lima_bean)),".")</f>
        <v>.</v>
      </c>
      <c r="P27" s="2" t="str">
        <f>IFERROR((s_dir!P27/(d_ss_Bv!O27+s_MLF_okra)),".")</f>
        <v>.</v>
      </c>
      <c r="Q27" s="2" t="str">
        <f>IFERROR((s_dir!Q27/(d_ss_Bv!P27+s_MLF_onion)),".")</f>
        <v>.</v>
      </c>
      <c r="R27" s="2" t="str">
        <f>IFERROR((s_dir!R27/(d_ss_Bv!Q27+s_MLF_peach)),".")</f>
        <v>.</v>
      </c>
      <c r="S27" s="2" t="str">
        <f>IFERROR((s_dir!S27/(d_ss_Bv!R27+s_MLF_pear)),".")</f>
        <v>.</v>
      </c>
      <c r="T27" s="2" t="str">
        <f>IFERROR((s_dir!T27/(d_ss_Bv!S27+s_MLF_peas)),".")</f>
        <v>.</v>
      </c>
      <c r="U27" s="2" t="str">
        <f>IFERROR((s_dir!U27/(d_ss_Bv!T27+s_MLF_potato)),".")</f>
        <v>.</v>
      </c>
      <c r="V27" s="2" t="str">
        <f>IFERROR((s_dir!V27/(d_ss_Bv!U27+s_MLF_pumpkin)),".")</f>
        <v>.</v>
      </c>
      <c r="W27" s="2" t="str">
        <f>IFERROR((s_dir!W27/(d_ss_Bv!V27+s_MLF_snap_bean)),".")</f>
        <v>.</v>
      </c>
      <c r="X27" s="2" t="str">
        <f>IFERROR((s_dir!X27/(d_ss_Bv!W27+s_MLF_strawberry)),".")</f>
        <v>.</v>
      </c>
      <c r="Y27" s="2" t="str">
        <f>IFERROR((s_dir!Y27/(d_ss_Bv!X27+s_MLF_tomato)),".")</f>
        <v>.</v>
      </c>
      <c r="Z27" s="2" t="str">
        <f>IFERROR((s_dir!Z27/(d_ss_Bv!Y27+s_MLF_rice)),".")</f>
        <v>.</v>
      </c>
      <c r="AA27" s="2" t="str">
        <f>IFERROR((s_dir!AA27/(d_ss_Bv!Z27+s_MLF_cereal)),".")</f>
        <v>.</v>
      </c>
      <c r="AB27" s="10">
        <f t="shared" si="4"/>
        <v>3331.8862500000005</v>
      </c>
      <c r="AC27" s="10">
        <f>s_C*(d_ss_Bv!C27+s_MLF_apple)*s_IFAP_res_adj*s_CF_apple</f>
        <v>102.69875</v>
      </c>
      <c r="AD27" s="10">
        <f>s_C*(d_ss_Bv!D27+s_MLF_asparagus)*s_IFAS_res_adj*s_CF_asparagus</f>
        <v>108.14375000000001</v>
      </c>
      <c r="AE27" s="10">
        <f>s_C*(d_ss_Bv!E27+s_MLF_beet)*s_IFBT_res_adj*s_CF_beet</f>
        <v>102.69875</v>
      </c>
      <c r="AF27" s="10">
        <f>s_C*(d_ss_Bv!F27+s_MLF_berries)*s_IFBE_res_adj*s_CF_berries</f>
        <v>102.69875</v>
      </c>
      <c r="AG27" s="10">
        <f>s_C*(d_ss_Bv!G27+s_MLF_broccoli)*s_IFBR_res_adj*s_CF_broccoli</f>
        <v>102.69875</v>
      </c>
      <c r="AH27" s="10">
        <f>s_C*(d_ss_Bv!H27+s_MLF_cabbage)*s_IFCB_res_adj*s_CF_cabbage</f>
        <v>108.14375000000001</v>
      </c>
      <c r="AI27" s="10">
        <f>s_C*(d_ss_Bv!I27+s_MLF_carrot)*s_IFCR_res_adj*s_CF_carrot</f>
        <v>102.69875</v>
      </c>
      <c r="AJ27" s="10">
        <f>s_C*(d_ss_Bv!J27+s_MLF_citrus)*s_IFCI_res_adj*s_CF_citrus</f>
        <v>102.69875</v>
      </c>
      <c r="AK27" s="10">
        <f>s_C*(d_ss_Bv!K27+s_MLF_corn)*s_IFCO_res_adj*s_CF_corn</f>
        <v>102.69875</v>
      </c>
      <c r="AL27" s="10">
        <f>s_C*(d_ss_Bv!L27+s_MLF_cucumber)*s_IFCU_res_adj*s_CF_cucumber</f>
        <v>102.69875</v>
      </c>
      <c r="AM27" s="10">
        <f>s_C*(d_ss_Bv!M27+s_MLF_lettuce)*s_IFLE_res_adj*s_CF_lettuce</f>
        <v>108.14375000000001</v>
      </c>
      <c r="AN27" s="10">
        <f>s_C*(d_ss_Bv!N27+s_MLF_lima_bean)*s_IFLI_res_adj*s_CF_lima_bean</f>
        <v>102.69875</v>
      </c>
      <c r="AO27" s="10">
        <f>s_C*(d_ss_Bv!O27+s_MLF_okra)*s_IFOK_res_adj*s_CF_okra</f>
        <v>102.69875</v>
      </c>
      <c r="AP27" s="10">
        <f>s_C*(d_ss_Bv!P27+s_MLF_onion)*s_IFON_res_adj*s_CF_onion</f>
        <v>102.69875</v>
      </c>
      <c r="AQ27" s="10">
        <f>s_C*(d_ss_Bv!Q27+s_MLF_peach)*s_IFPC_res_adj*s_CF_peach</f>
        <v>102.69875</v>
      </c>
      <c r="AR27" s="10">
        <f>s_C*(d_ss_Bv!R27+s_MLF_pear)*s_IFPR_res_adj*s_CF_pear</f>
        <v>102.69875</v>
      </c>
      <c r="AS27" s="10">
        <f>s_C*(d_ss_Bv!S27+s_MLF_peas)*s_IFPE_res_adj*s_CF_peas</f>
        <v>102.69875</v>
      </c>
      <c r="AT27" s="10">
        <f>s_C*(d_ss_Bv!T27+s_MLF_potato)*s_IFPT_res_adj*s_CF_potato</f>
        <v>102.69875</v>
      </c>
      <c r="AU27" s="10">
        <f>s_C*(d_ss_Bv!U27+s_MLF_pumpkin)*s_IFPU_res_adj*s_CF_pumpkin</f>
        <v>102.69875</v>
      </c>
      <c r="AV27" s="10">
        <f>s_C*(d_ss_Bv!V27+s_MLF_snap_bean)*s_IFSN_res_adj*s_CF_snap_bean</f>
        <v>102.69875</v>
      </c>
      <c r="AW27" s="10">
        <f>s_C*(d_ss_Bv!W27+s_MLF_strawberry)*s_IFST_res_adj*s_CF_strawberry</f>
        <v>102.69875</v>
      </c>
      <c r="AX27" s="10">
        <f>s_C*(d_ss_Bv!X27+s_MLF_tomato)*s_IFTO_res_adj*s_CF_tomato</f>
        <v>102.69875</v>
      </c>
      <c r="AY27" s="10">
        <f>s_C*(d_ss_Bv!Y27+s_MLF_rice)*s_IFRI_res_adj*s_CF_rice</f>
        <v>1614.5937500000002</v>
      </c>
      <c r="AZ27" s="10">
        <f>s_C*(d_ss_Bv!Z27+s_MLF_cereal)*s_IFCG_res_adj*s_CF_cereal</f>
        <v>1614.5937500000002</v>
      </c>
      <c r="BA27" s="2" t="str">
        <f t="shared" si="2"/>
        <v>.</v>
      </c>
      <c r="BB27" s="2" t="str">
        <f>IFERROR((s_dir!AC27/(d_ss_Bv!C27+s_MLF_apple)),".")</f>
        <v>.</v>
      </c>
      <c r="BC27" s="2" t="str">
        <f>IFERROR((s_dir!AD27/(d_ss_Bv!D27+s_MLF_asparagus)),".")</f>
        <v>.</v>
      </c>
      <c r="BD27" s="2" t="str">
        <f>IFERROR((s_dir!AE27/(d_ss_Bv!E27+s_MLF_beet)),".")</f>
        <v>.</v>
      </c>
      <c r="BE27" s="2" t="str">
        <f>IFERROR((s_dir!AF27/(d_ss_Bv!F27+s_MLF_berries)),".")</f>
        <v>.</v>
      </c>
      <c r="BF27" s="2" t="str">
        <f>IFERROR((s_dir!AG27/(d_ss_Bv!G27+s_MLF_broccoli)),".")</f>
        <v>.</v>
      </c>
      <c r="BG27" s="2" t="str">
        <f>IFERROR((s_dir!AH27/(d_ss_Bv!H27+s_MLF_cabbage)),".")</f>
        <v>.</v>
      </c>
      <c r="BH27" s="2" t="str">
        <f>IFERROR((s_dir!AI27/(d_ss_Bv!I27+s_MLF_carrot)),".")</f>
        <v>.</v>
      </c>
      <c r="BI27" s="2" t="str">
        <f>IFERROR((s_dir!AJ27/(d_ss_Bv!J27+s_MLF_citrus)),".")</f>
        <v>.</v>
      </c>
      <c r="BJ27" s="2" t="str">
        <f>IFERROR((s_dir!AK27/(d_ss_Bv!K27+s_MLF_corn)),".")</f>
        <v>.</v>
      </c>
      <c r="BK27" s="2" t="str">
        <f>IFERROR((s_dir!AL27/(d_ss_Bv!L27+s_MLF_cucumber)),".")</f>
        <v>.</v>
      </c>
      <c r="BL27" s="2" t="str">
        <f>IFERROR((s_dir!AM27/(d_ss_Bv!M27+s_MLF_lettuce)),".")</f>
        <v>.</v>
      </c>
      <c r="BM27" s="2" t="str">
        <f>IFERROR((s_dir!AN27/(d_ss_Bv!N27+s_MLF_lima_bean)),".")</f>
        <v>.</v>
      </c>
      <c r="BN27" s="2" t="str">
        <f>IFERROR((s_dir!AO27/(d_ss_Bv!O27+s_MLF_okra)),".")</f>
        <v>.</v>
      </c>
      <c r="BO27" s="2" t="str">
        <f>IFERROR((s_dir!AP27/(d_ss_Bv!P27+s_MLF_onion)),".")</f>
        <v>.</v>
      </c>
      <c r="BP27" s="2" t="str">
        <f>IFERROR((s_dir!AQ27/(d_ss_Bv!Q27+s_MLF_peach)),".")</f>
        <v>.</v>
      </c>
      <c r="BQ27" s="2" t="str">
        <f>IFERROR((s_dir!AR27/(d_ss_Bv!R27+s_MLF_pear)),".")</f>
        <v>.</v>
      </c>
      <c r="BR27" s="2" t="str">
        <f>IFERROR((s_dir!AS27/(d_ss_Bv!S27+s_MLF_peas)),".")</f>
        <v>.</v>
      </c>
      <c r="BS27" s="2" t="str">
        <f>IFERROR((s_dir!AT27/(d_ss_Bv!T27+s_MLF_potato)),".")</f>
        <v>.</v>
      </c>
      <c r="BT27" s="2" t="str">
        <f>IFERROR((s_dir!AU27/(d_ss_Bv!U27+s_MLF_pumpkin)),".")</f>
        <v>.</v>
      </c>
      <c r="BU27" s="2" t="str">
        <f>IFERROR((s_dir!AV27/(d_ss_Bv!V27+s_MLF_snap_bean)),".")</f>
        <v>.</v>
      </c>
      <c r="BV27" s="2" t="str">
        <f>IFERROR((s_dir!AW27/(d_ss_Bv!W27+s_MLF_strawberry)),".")</f>
        <v>.</v>
      </c>
      <c r="BW27" s="2" t="str">
        <f>IFERROR((s_dir!AX27/(d_ss_Bv!X27+s_MLF_tomato)),".")</f>
        <v>.</v>
      </c>
      <c r="BX27" s="2" t="str">
        <f>IFERROR((s_dir!AY27/(d_ss_Bv!Y27+s_MLF_rice)),".")</f>
        <v>.</v>
      </c>
      <c r="BY27" s="2" t="str">
        <f>IFERROR((s_dir!AZ27/(d_ss_Bv!Z27+s_MLF_cereal)),".")</f>
        <v>.</v>
      </c>
      <c r="BZ27" s="10">
        <f t="shared" si="3"/>
        <v>3331.8862500000005</v>
      </c>
      <c r="CA27" s="10">
        <f>IFERROR(s_C*(d_ss_Bv!C27+s_MLF_apple)*s_IFAP_far_adj*s_CF_apple,".")</f>
        <v>102.69875</v>
      </c>
      <c r="CB27" s="10">
        <f>IFERROR(s_C*(d_ss_Bv!D27+s_MLF_asparagus)*s_IFAS_far_adj*s_CF_asparagus,".")</f>
        <v>108.14375000000001</v>
      </c>
      <c r="CC27" s="10">
        <f>IFERROR(s_C*(d_ss_Bv!E27+s_MLF_beet)*s_IFBT_far_adj*s_CF_beet,".")</f>
        <v>102.69875</v>
      </c>
      <c r="CD27" s="10">
        <f>IFERROR(s_C*(d_ss_Bv!F27+s_MLF_berries)*s_IFBR_far_adj*s_CF_berries,".")</f>
        <v>102.69875</v>
      </c>
      <c r="CE27" s="10">
        <f>IFERROR(s_C*(d_ss_Bv!G27+s_MLF_broccoli)*s_IFBR_far_adj*s_CF_broccoli,".")</f>
        <v>102.69875</v>
      </c>
      <c r="CF27" s="10">
        <f>IFERROR(s_C*(d_ss_Bv!H27+s_MLF_cabbage)*s_IFCB_far_adj*s_CF_cabbage,".")</f>
        <v>108.14375000000001</v>
      </c>
      <c r="CG27" s="10">
        <f>IFERROR(s_C*(d_ss_Bv!I27+s_MLF_carrot)*s_IFCR_far_adj*s_CF_carrot,".")</f>
        <v>102.69875</v>
      </c>
      <c r="CH27" s="10">
        <f>IFERROR(s_C*(d_ss_Bv!J27+s_MLF_citrus)*s_IFCI_far_adj*s_CF_citrus,".")</f>
        <v>102.69875</v>
      </c>
      <c r="CI27" s="10">
        <f>IFERROR(s_C*(d_ss_Bv!K27+s_MLF_corn)*s_IFCO_far_adj*s_CF_corn,".")</f>
        <v>102.69875</v>
      </c>
      <c r="CJ27" s="10">
        <f>IFERROR(s_C*(d_ss_Bv!L27+s_MLF_cucumber)*s_IFCU_far_adj*s_CF_cucumber,".")</f>
        <v>102.69875</v>
      </c>
      <c r="CK27" s="10">
        <f>IFERROR(s_C*(d_ss_Bv!M27+s_MLF_lettuce)*s_IFLE_far_adj*s_CF_lettuce,".")</f>
        <v>108.14375000000001</v>
      </c>
      <c r="CL27" s="10">
        <f>IFERROR(s_C*(d_ss_Bv!N27+s_MLF_lima_bean)*s_IFLI_far_adj*s_CF_lima_bean,".")</f>
        <v>102.69875</v>
      </c>
      <c r="CM27" s="10">
        <f>IFERROR(s_C*(d_ss_Bv!O27+s_MLF_okra)*s_IFOK_far_adj*s_CF_okra,".")</f>
        <v>102.69875</v>
      </c>
      <c r="CN27" s="10">
        <f>IFERROR(s_C*(d_ss_Bv!P27+s_MLF_onion)*s_IFON_far_adj*s_CF_onion,".")</f>
        <v>102.69875</v>
      </c>
      <c r="CO27" s="10">
        <f>IFERROR(s_C*(d_ss_Bv!Q27+s_MLF_peach)*s_IFPC_far_adj*s_CF_peach,".")</f>
        <v>102.69875</v>
      </c>
      <c r="CP27" s="10">
        <f>IFERROR(s_C*(d_ss_Bv!R27+s_MLF_pear)*s_IFPR_far_adj*s_CF_pear,".")</f>
        <v>102.69875</v>
      </c>
      <c r="CQ27" s="10">
        <f>IFERROR(s_C*(d_ss_Bv!S27+s_MLF_peas)*s_IFPE_far_adj*s_CF_peas,".")</f>
        <v>102.69875</v>
      </c>
      <c r="CR27" s="10">
        <f>IFERROR(s_C*(d_ss_Bv!T27+s_MLF_potato)*s_IFPT_far_adj*s_CF_potato,".")</f>
        <v>102.69875</v>
      </c>
      <c r="CS27" s="10">
        <f>IFERROR(s_C*(d_ss_Bv!U27+s_MLF_pumpkin)*s_IFPU_far_adj*s_CF_pumpkin,".")</f>
        <v>102.69875</v>
      </c>
      <c r="CT27" s="10">
        <f>IFERROR(s_C*(d_ss_Bv!V27+s_MLF_snap_bean)*s_IFSN_far_adj*s_CF_snap_bean,".")</f>
        <v>102.69875</v>
      </c>
      <c r="CU27" s="10">
        <f>IFERROR(s_C*(d_ss_Bv!W27+s_MLF_strawberry)*s_IFST_far_adj*s_CF_strawberry,".")</f>
        <v>102.69875</v>
      </c>
      <c r="CV27" s="10">
        <f>IFERROR(s_C*(d_ss_Bv!X27+s_MLF_tomato)*s_IFTO_far_adj*s_CF_tomato,".")</f>
        <v>102.69875</v>
      </c>
      <c r="CW27" s="10">
        <f>IFERROR(s_C*(d_ss_Bv!Y27+s_MLF_rice)*s_IFRI_far_adj*s_CF_rice,".")</f>
        <v>1614.5937500000002</v>
      </c>
      <c r="CX27" s="10">
        <f>IFERROR(s_C*(d_ss_Bv!Z27+s_MLF_cereal)*s_IFCG_far_adj*s_CF_cereal,".")</f>
        <v>1614.5937500000002</v>
      </c>
    </row>
    <row r="28" spans="1:102" ht="15" customHeight="1" x14ac:dyDescent="0.25">
      <c r="A28" s="31" t="s">
        <v>26</v>
      </c>
      <c r="B28" s="3" t="s">
        <v>1059</v>
      </c>
      <c r="C28" s="2" t="str">
        <f t="shared" si="0"/>
        <v>.</v>
      </c>
      <c r="D28" s="2" t="str">
        <f>IFERROR((s_dir!D28/(d_ss_Bv!C28+s_MLF_apple)),".")</f>
        <v>.</v>
      </c>
      <c r="E28" s="2" t="str">
        <f>IFERROR((s_dir!E28/(d_ss_Bv!D28+s_MLF_asparagus)),".")</f>
        <v>.</v>
      </c>
      <c r="F28" s="2" t="str">
        <f>IFERROR((s_dir!F28/(d_ss_Bv!E28+s_MLF_beet)),".")</f>
        <v>.</v>
      </c>
      <c r="G28" s="2" t="str">
        <f>IFERROR((s_dir!G28/(d_ss_Bv!F28+s_MLF_berries)),".")</f>
        <v>.</v>
      </c>
      <c r="H28" s="2" t="str">
        <f>IFERROR((s_dir!H28/(d_ss_Bv!G28+s_MLF_broccoli)),".")</f>
        <v>.</v>
      </c>
      <c r="I28" s="2" t="str">
        <f>IFERROR((s_dir!I28/(d_ss_Bv!H28+s_MLF_cabbage)),".")</f>
        <v>.</v>
      </c>
      <c r="J28" s="2" t="str">
        <f>IFERROR((s_dir!J28/(d_ss_Bv!I28+s_MLF_carrot)),".")</f>
        <v>.</v>
      </c>
      <c r="K28" s="2" t="str">
        <f>IFERROR((s_dir!K28/(d_ss_Bv!J28+s_MLF_citrus)),".")</f>
        <v>.</v>
      </c>
      <c r="L28" s="2" t="str">
        <f>IFERROR((s_dir!L28/(d_ss_Bv!K28+s_MLF_corn)),".")</f>
        <v>.</v>
      </c>
      <c r="M28" s="2" t="str">
        <f>IFERROR((s_dir!M28/(d_ss_Bv!L28+s_MLF_cucumber)),".")</f>
        <v>.</v>
      </c>
      <c r="N28" s="2" t="str">
        <f>IFERROR((s_dir!N28/(d_ss_Bv!M28+s_MLF_lettuce)),".")</f>
        <v>.</v>
      </c>
      <c r="O28" s="2" t="str">
        <f>IFERROR((s_dir!O28/(d_ss_Bv!N28+s_MLF_lima_bean)),".")</f>
        <v>.</v>
      </c>
      <c r="P28" s="2" t="str">
        <f>IFERROR((s_dir!P28/(d_ss_Bv!O28+s_MLF_okra)),".")</f>
        <v>.</v>
      </c>
      <c r="Q28" s="2" t="str">
        <f>IFERROR((s_dir!Q28/(d_ss_Bv!P28+s_MLF_onion)),".")</f>
        <v>.</v>
      </c>
      <c r="R28" s="2" t="str">
        <f>IFERROR((s_dir!R28/(d_ss_Bv!Q28+s_MLF_peach)),".")</f>
        <v>.</v>
      </c>
      <c r="S28" s="2" t="str">
        <f>IFERROR((s_dir!S28/(d_ss_Bv!R28+s_MLF_pear)),".")</f>
        <v>.</v>
      </c>
      <c r="T28" s="2" t="str">
        <f>IFERROR((s_dir!T28/(d_ss_Bv!S28+s_MLF_peas)),".")</f>
        <v>.</v>
      </c>
      <c r="U28" s="2" t="str">
        <f>IFERROR((s_dir!U28/(d_ss_Bv!T28+s_MLF_potato)),".")</f>
        <v>.</v>
      </c>
      <c r="V28" s="2" t="str">
        <f>IFERROR((s_dir!V28/(d_ss_Bv!U28+s_MLF_pumpkin)),".")</f>
        <v>.</v>
      </c>
      <c r="W28" s="2" t="str">
        <f>IFERROR((s_dir!W28/(d_ss_Bv!V28+s_MLF_snap_bean)),".")</f>
        <v>.</v>
      </c>
      <c r="X28" s="2" t="str">
        <f>IFERROR((s_dir!X28/(d_ss_Bv!W28+s_MLF_strawberry)),".")</f>
        <v>.</v>
      </c>
      <c r="Y28" s="2" t="str">
        <f>IFERROR((s_dir!Y28/(d_ss_Bv!X28+s_MLF_tomato)),".")</f>
        <v>.</v>
      </c>
      <c r="Z28" s="2" t="str">
        <f>IFERROR((s_dir!Z28/(d_ss_Bv!Y28+s_MLF_rice)),".")</f>
        <v>.</v>
      </c>
      <c r="AA28" s="2" t="str">
        <f>IFERROR((s_dir!AA28/(d_ss_Bv!Z28+s_MLF_cereal)),".")</f>
        <v>.</v>
      </c>
      <c r="AB28" s="10">
        <f t="shared" si="4"/>
        <v>3331.8862500000005</v>
      </c>
      <c r="AC28" s="10">
        <f>s_C*(d_ss_Bv!C28+s_MLF_apple)*s_IFAP_res_adj*s_CF_apple</f>
        <v>102.69875</v>
      </c>
      <c r="AD28" s="10">
        <f>s_C*(d_ss_Bv!D28+s_MLF_asparagus)*s_IFAS_res_adj*s_CF_asparagus</f>
        <v>108.14375000000001</v>
      </c>
      <c r="AE28" s="10">
        <f>s_C*(d_ss_Bv!E28+s_MLF_beet)*s_IFBT_res_adj*s_CF_beet</f>
        <v>102.69875</v>
      </c>
      <c r="AF28" s="10">
        <f>s_C*(d_ss_Bv!F28+s_MLF_berries)*s_IFBE_res_adj*s_CF_berries</f>
        <v>102.69875</v>
      </c>
      <c r="AG28" s="10">
        <f>s_C*(d_ss_Bv!G28+s_MLF_broccoli)*s_IFBR_res_adj*s_CF_broccoli</f>
        <v>102.69875</v>
      </c>
      <c r="AH28" s="10">
        <f>s_C*(d_ss_Bv!H28+s_MLF_cabbage)*s_IFCB_res_adj*s_CF_cabbage</f>
        <v>108.14375000000001</v>
      </c>
      <c r="AI28" s="10">
        <f>s_C*(d_ss_Bv!I28+s_MLF_carrot)*s_IFCR_res_adj*s_CF_carrot</f>
        <v>102.69875</v>
      </c>
      <c r="AJ28" s="10">
        <f>s_C*(d_ss_Bv!J28+s_MLF_citrus)*s_IFCI_res_adj*s_CF_citrus</f>
        <v>102.69875</v>
      </c>
      <c r="AK28" s="10">
        <f>s_C*(d_ss_Bv!K28+s_MLF_corn)*s_IFCO_res_adj*s_CF_corn</f>
        <v>102.69875</v>
      </c>
      <c r="AL28" s="10">
        <f>s_C*(d_ss_Bv!L28+s_MLF_cucumber)*s_IFCU_res_adj*s_CF_cucumber</f>
        <v>102.69875</v>
      </c>
      <c r="AM28" s="10">
        <f>s_C*(d_ss_Bv!M28+s_MLF_lettuce)*s_IFLE_res_adj*s_CF_lettuce</f>
        <v>108.14375000000001</v>
      </c>
      <c r="AN28" s="10">
        <f>s_C*(d_ss_Bv!N28+s_MLF_lima_bean)*s_IFLI_res_adj*s_CF_lima_bean</f>
        <v>102.69875</v>
      </c>
      <c r="AO28" s="10">
        <f>s_C*(d_ss_Bv!O28+s_MLF_okra)*s_IFOK_res_adj*s_CF_okra</f>
        <v>102.69875</v>
      </c>
      <c r="AP28" s="10">
        <f>s_C*(d_ss_Bv!P28+s_MLF_onion)*s_IFON_res_adj*s_CF_onion</f>
        <v>102.69875</v>
      </c>
      <c r="AQ28" s="10">
        <f>s_C*(d_ss_Bv!Q28+s_MLF_peach)*s_IFPC_res_adj*s_CF_peach</f>
        <v>102.69875</v>
      </c>
      <c r="AR28" s="10">
        <f>s_C*(d_ss_Bv!R28+s_MLF_pear)*s_IFPR_res_adj*s_CF_pear</f>
        <v>102.69875</v>
      </c>
      <c r="AS28" s="10">
        <f>s_C*(d_ss_Bv!S28+s_MLF_peas)*s_IFPE_res_adj*s_CF_peas</f>
        <v>102.69875</v>
      </c>
      <c r="AT28" s="10">
        <f>s_C*(d_ss_Bv!T28+s_MLF_potato)*s_IFPT_res_adj*s_CF_potato</f>
        <v>102.69875</v>
      </c>
      <c r="AU28" s="10">
        <f>s_C*(d_ss_Bv!U28+s_MLF_pumpkin)*s_IFPU_res_adj*s_CF_pumpkin</f>
        <v>102.69875</v>
      </c>
      <c r="AV28" s="10">
        <f>s_C*(d_ss_Bv!V28+s_MLF_snap_bean)*s_IFSN_res_adj*s_CF_snap_bean</f>
        <v>102.69875</v>
      </c>
      <c r="AW28" s="10">
        <f>s_C*(d_ss_Bv!W28+s_MLF_strawberry)*s_IFST_res_adj*s_CF_strawberry</f>
        <v>102.69875</v>
      </c>
      <c r="AX28" s="10">
        <f>s_C*(d_ss_Bv!X28+s_MLF_tomato)*s_IFTO_res_adj*s_CF_tomato</f>
        <v>102.69875</v>
      </c>
      <c r="AY28" s="10">
        <f>s_C*(d_ss_Bv!Y28+s_MLF_rice)*s_IFRI_res_adj*s_CF_rice</f>
        <v>1614.5937500000002</v>
      </c>
      <c r="AZ28" s="10">
        <f>s_C*(d_ss_Bv!Z28+s_MLF_cereal)*s_IFCG_res_adj*s_CF_cereal</f>
        <v>1614.5937500000002</v>
      </c>
      <c r="BA28" s="2" t="str">
        <f t="shared" si="2"/>
        <v>.</v>
      </c>
      <c r="BB28" s="2" t="str">
        <f>IFERROR((s_dir!AC28/(d_ss_Bv!C28+s_MLF_apple)),".")</f>
        <v>.</v>
      </c>
      <c r="BC28" s="2" t="str">
        <f>IFERROR((s_dir!AD28/(d_ss_Bv!D28+s_MLF_asparagus)),".")</f>
        <v>.</v>
      </c>
      <c r="BD28" s="2" t="str">
        <f>IFERROR((s_dir!AE28/(d_ss_Bv!E28+s_MLF_beet)),".")</f>
        <v>.</v>
      </c>
      <c r="BE28" s="2" t="str">
        <f>IFERROR((s_dir!AF28/(d_ss_Bv!F28+s_MLF_berries)),".")</f>
        <v>.</v>
      </c>
      <c r="BF28" s="2" t="str">
        <f>IFERROR((s_dir!AG28/(d_ss_Bv!G28+s_MLF_broccoli)),".")</f>
        <v>.</v>
      </c>
      <c r="BG28" s="2" t="str">
        <f>IFERROR((s_dir!AH28/(d_ss_Bv!H28+s_MLF_cabbage)),".")</f>
        <v>.</v>
      </c>
      <c r="BH28" s="2" t="str">
        <f>IFERROR((s_dir!AI28/(d_ss_Bv!I28+s_MLF_carrot)),".")</f>
        <v>.</v>
      </c>
      <c r="BI28" s="2" t="str">
        <f>IFERROR((s_dir!AJ28/(d_ss_Bv!J28+s_MLF_citrus)),".")</f>
        <v>.</v>
      </c>
      <c r="BJ28" s="2" t="str">
        <f>IFERROR((s_dir!AK28/(d_ss_Bv!K28+s_MLF_corn)),".")</f>
        <v>.</v>
      </c>
      <c r="BK28" s="2" t="str">
        <f>IFERROR((s_dir!AL28/(d_ss_Bv!L28+s_MLF_cucumber)),".")</f>
        <v>.</v>
      </c>
      <c r="BL28" s="2" t="str">
        <f>IFERROR((s_dir!AM28/(d_ss_Bv!M28+s_MLF_lettuce)),".")</f>
        <v>.</v>
      </c>
      <c r="BM28" s="2" t="str">
        <f>IFERROR((s_dir!AN28/(d_ss_Bv!N28+s_MLF_lima_bean)),".")</f>
        <v>.</v>
      </c>
      <c r="BN28" s="2" t="str">
        <f>IFERROR((s_dir!AO28/(d_ss_Bv!O28+s_MLF_okra)),".")</f>
        <v>.</v>
      </c>
      <c r="BO28" s="2" t="str">
        <f>IFERROR((s_dir!AP28/(d_ss_Bv!P28+s_MLF_onion)),".")</f>
        <v>.</v>
      </c>
      <c r="BP28" s="2" t="str">
        <f>IFERROR((s_dir!AQ28/(d_ss_Bv!Q28+s_MLF_peach)),".")</f>
        <v>.</v>
      </c>
      <c r="BQ28" s="2" t="str">
        <f>IFERROR((s_dir!AR28/(d_ss_Bv!R28+s_MLF_pear)),".")</f>
        <v>.</v>
      </c>
      <c r="BR28" s="2" t="str">
        <f>IFERROR((s_dir!AS28/(d_ss_Bv!S28+s_MLF_peas)),".")</f>
        <v>.</v>
      </c>
      <c r="BS28" s="2" t="str">
        <f>IFERROR((s_dir!AT28/(d_ss_Bv!T28+s_MLF_potato)),".")</f>
        <v>.</v>
      </c>
      <c r="BT28" s="2" t="str">
        <f>IFERROR((s_dir!AU28/(d_ss_Bv!U28+s_MLF_pumpkin)),".")</f>
        <v>.</v>
      </c>
      <c r="BU28" s="2" t="str">
        <f>IFERROR((s_dir!AV28/(d_ss_Bv!V28+s_MLF_snap_bean)),".")</f>
        <v>.</v>
      </c>
      <c r="BV28" s="2" t="str">
        <f>IFERROR((s_dir!AW28/(d_ss_Bv!W28+s_MLF_strawberry)),".")</f>
        <v>.</v>
      </c>
      <c r="BW28" s="2" t="str">
        <f>IFERROR((s_dir!AX28/(d_ss_Bv!X28+s_MLF_tomato)),".")</f>
        <v>.</v>
      </c>
      <c r="BX28" s="2" t="str">
        <f>IFERROR((s_dir!AY28/(d_ss_Bv!Y28+s_MLF_rice)),".")</f>
        <v>.</v>
      </c>
      <c r="BY28" s="2" t="str">
        <f>IFERROR((s_dir!AZ28/(d_ss_Bv!Z28+s_MLF_cereal)),".")</f>
        <v>.</v>
      </c>
      <c r="BZ28" s="10">
        <f t="shared" si="3"/>
        <v>3331.8862500000005</v>
      </c>
      <c r="CA28" s="10">
        <f>IFERROR(s_C*(d_ss_Bv!C28+s_MLF_apple)*s_IFAP_far_adj*s_CF_apple,".")</f>
        <v>102.69875</v>
      </c>
      <c r="CB28" s="10">
        <f>IFERROR(s_C*(d_ss_Bv!D28+s_MLF_asparagus)*s_IFAS_far_adj*s_CF_asparagus,".")</f>
        <v>108.14375000000001</v>
      </c>
      <c r="CC28" s="10">
        <f>IFERROR(s_C*(d_ss_Bv!E28+s_MLF_beet)*s_IFBT_far_adj*s_CF_beet,".")</f>
        <v>102.69875</v>
      </c>
      <c r="CD28" s="10">
        <f>IFERROR(s_C*(d_ss_Bv!F28+s_MLF_berries)*s_IFBR_far_adj*s_CF_berries,".")</f>
        <v>102.69875</v>
      </c>
      <c r="CE28" s="10">
        <f>IFERROR(s_C*(d_ss_Bv!G28+s_MLF_broccoli)*s_IFBR_far_adj*s_CF_broccoli,".")</f>
        <v>102.69875</v>
      </c>
      <c r="CF28" s="10">
        <f>IFERROR(s_C*(d_ss_Bv!H28+s_MLF_cabbage)*s_IFCB_far_adj*s_CF_cabbage,".")</f>
        <v>108.14375000000001</v>
      </c>
      <c r="CG28" s="10">
        <f>IFERROR(s_C*(d_ss_Bv!I28+s_MLF_carrot)*s_IFCR_far_adj*s_CF_carrot,".")</f>
        <v>102.69875</v>
      </c>
      <c r="CH28" s="10">
        <f>IFERROR(s_C*(d_ss_Bv!J28+s_MLF_citrus)*s_IFCI_far_adj*s_CF_citrus,".")</f>
        <v>102.69875</v>
      </c>
      <c r="CI28" s="10">
        <f>IFERROR(s_C*(d_ss_Bv!K28+s_MLF_corn)*s_IFCO_far_adj*s_CF_corn,".")</f>
        <v>102.69875</v>
      </c>
      <c r="CJ28" s="10">
        <f>IFERROR(s_C*(d_ss_Bv!L28+s_MLF_cucumber)*s_IFCU_far_adj*s_CF_cucumber,".")</f>
        <v>102.69875</v>
      </c>
      <c r="CK28" s="10">
        <f>IFERROR(s_C*(d_ss_Bv!M28+s_MLF_lettuce)*s_IFLE_far_adj*s_CF_lettuce,".")</f>
        <v>108.14375000000001</v>
      </c>
      <c r="CL28" s="10">
        <f>IFERROR(s_C*(d_ss_Bv!N28+s_MLF_lima_bean)*s_IFLI_far_adj*s_CF_lima_bean,".")</f>
        <v>102.69875</v>
      </c>
      <c r="CM28" s="10">
        <f>IFERROR(s_C*(d_ss_Bv!O28+s_MLF_okra)*s_IFOK_far_adj*s_CF_okra,".")</f>
        <v>102.69875</v>
      </c>
      <c r="CN28" s="10">
        <f>IFERROR(s_C*(d_ss_Bv!P28+s_MLF_onion)*s_IFON_far_adj*s_CF_onion,".")</f>
        <v>102.69875</v>
      </c>
      <c r="CO28" s="10">
        <f>IFERROR(s_C*(d_ss_Bv!Q28+s_MLF_peach)*s_IFPC_far_adj*s_CF_peach,".")</f>
        <v>102.69875</v>
      </c>
      <c r="CP28" s="10">
        <f>IFERROR(s_C*(d_ss_Bv!R28+s_MLF_pear)*s_IFPR_far_adj*s_CF_pear,".")</f>
        <v>102.69875</v>
      </c>
      <c r="CQ28" s="10">
        <f>IFERROR(s_C*(d_ss_Bv!S28+s_MLF_peas)*s_IFPE_far_adj*s_CF_peas,".")</f>
        <v>102.69875</v>
      </c>
      <c r="CR28" s="10">
        <f>IFERROR(s_C*(d_ss_Bv!T28+s_MLF_potato)*s_IFPT_far_adj*s_CF_potato,".")</f>
        <v>102.69875</v>
      </c>
      <c r="CS28" s="10">
        <f>IFERROR(s_C*(d_ss_Bv!U28+s_MLF_pumpkin)*s_IFPU_far_adj*s_CF_pumpkin,".")</f>
        <v>102.69875</v>
      </c>
      <c r="CT28" s="10">
        <f>IFERROR(s_C*(d_ss_Bv!V28+s_MLF_snap_bean)*s_IFSN_far_adj*s_CF_snap_bean,".")</f>
        <v>102.69875</v>
      </c>
      <c r="CU28" s="10">
        <f>IFERROR(s_C*(d_ss_Bv!W28+s_MLF_strawberry)*s_IFST_far_adj*s_CF_strawberry,".")</f>
        <v>102.69875</v>
      </c>
      <c r="CV28" s="10">
        <f>IFERROR(s_C*(d_ss_Bv!X28+s_MLF_tomato)*s_IFTO_far_adj*s_CF_tomato,".")</f>
        <v>102.69875</v>
      </c>
      <c r="CW28" s="10">
        <f>IFERROR(s_C*(d_ss_Bv!Y28+s_MLF_rice)*s_IFRI_far_adj*s_CF_rice,".")</f>
        <v>1614.5937500000002</v>
      </c>
      <c r="CX28" s="10">
        <f>IFERROR(s_C*(d_ss_Bv!Z28+s_MLF_cereal)*s_IFCG_far_adj*s_CF_cereal,".")</f>
        <v>1614.5937500000002</v>
      </c>
    </row>
    <row r="29" spans="1:102" ht="15" customHeight="1" x14ac:dyDescent="0.25">
      <c r="A29" s="31" t="s">
        <v>27</v>
      </c>
      <c r="B29" s="3" t="s">
        <v>1059</v>
      </c>
      <c r="C29" s="2" t="str">
        <f t="shared" si="0"/>
        <v>.</v>
      </c>
      <c r="D29" s="2" t="str">
        <f>IFERROR((s_dir!D29/(d_ss_Bv!C29+s_MLF_apple)),".")</f>
        <v>.</v>
      </c>
      <c r="E29" s="2" t="str">
        <f>IFERROR((s_dir!E29/(d_ss_Bv!D29+s_MLF_asparagus)),".")</f>
        <v>.</v>
      </c>
      <c r="F29" s="2" t="str">
        <f>IFERROR((s_dir!F29/(d_ss_Bv!E29+s_MLF_beet)),".")</f>
        <v>.</v>
      </c>
      <c r="G29" s="2" t="str">
        <f>IFERROR((s_dir!G29/(d_ss_Bv!F29+s_MLF_berries)),".")</f>
        <v>.</v>
      </c>
      <c r="H29" s="2" t="str">
        <f>IFERROR((s_dir!H29/(d_ss_Bv!G29+s_MLF_broccoli)),".")</f>
        <v>.</v>
      </c>
      <c r="I29" s="2" t="str">
        <f>IFERROR((s_dir!I29/(d_ss_Bv!H29+s_MLF_cabbage)),".")</f>
        <v>.</v>
      </c>
      <c r="J29" s="2" t="str">
        <f>IFERROR((s_dir!J29/(d_ss_Bv!I29+s_MLF_carrot)),".")</f>
        <v>.</v>
      </c>
      <c r="K29" s="2" t="str">
        <f>IFERROR((s_dir!K29/(d_ss_Bv!J29+s_MLF_citrus)),".")</f>
        <v>.</v>
      </c>
      <c r="L29" s="2" t="str">
        <f>IFERROR((s_dir!L29/(d_ss_Bv!K29+s_MLF_corn)),".")</f>
        <v>.</v>
      </c>
      <c r="M29" s="2" t="str">
        <f>IFERROR((s_dir!M29/(d_ss_Bv!L29+s_MLF_cucumber)),".")</f>
        <v>.</v>
      </c>
      <c r="N29" s="2" t="str">
        <f>IFERROR((s_dir!N29/(d_ss_Bv!M29+s_MLF_lettuce)),".")</f>
        <v>.</v>
      </c>
      <c r="O29" s="2" t="str">
        <f>IFERROR((s_dir!O29/(d_ss_Bv!N29+s_MLF_lima_bean)),".")</f>
        <v>.</v>
      </c>
      <c r="P29" s="2" t="str">
        <f>IFERROR((s_dir!P29/(d_ss_Bv!O29+s_MLF_okra)),".")</f>
        <v>.</v>
      </c>
      <c r="Q29" s="2" t="str">
        <f>IFERROR((s_dir!Q29/(d_ss_Bv!P29+s_MLF_onion)),".")</f>
        <v>.</v>
      </c>
      <c r="R29" s="2" t="str">
        <f>IFERROR((s_dir!R29/(d_ss_Bv!Q29+s_MLF_peach)),".")</f>
        <v>.</v>
      </c>
      <c r="S29" s="2" t="str">
        <f>IFERROR((s_dir!S29/(d_ss_Bv!R29+s_MLF_pear)),".")</f>
        <v>.</v>
      </c>
      <c r="T29" s="2" t="str">
        <f>IFERROR((s_dir!T29/(d_ss_Bv!S29+s_MLF_peas)),".")</f>
        <v>.</v>
      </c>
      <c r="U29" s="2" t="str">
        <f>IFERROR((s_dir!U29/(d_ss_Bv!T29+s_MLF_potato)),".")</f>
        <v>.</v>
      </c>
      <c r="V29" s="2" t="str">
        <f>IFERROR((s_dir!V29/(d_ss_Bv!U29+s_MLF_pumpkin)),".")</f>
        <v>.</v>
      </c>
      <c r="W29" s="2" t="str">
        <f>IFERROR((s_dir!W29/(d_ss_Bv!V29+s_MLF_snap_bean)),".")</f>
        <v>.</v>
      </c>
      <c r="X29" s="2" t="str">
        <f>IFERROR((s_dir!X29/(d_ss_Bv!W29+s_MLF_strawberry)),".")</f>
        <v>.</v>
      </c>
      <c r="Y29" s="2" t="str">
        <f>IFERROR((s_dir!Y29/(d_ss_Bv!X29+s_MLF_tomato)),".")</f>
        <v>.</v>
      </c>
      <c r="Z29" s="2" t="str">
        <f>IFERROR((s_dir!Z29/(d_ss_Bv!Y29+s_MLF_rice)),".")</f>
        <v>.</v>
      </c>
      <c r="AA29" s="2" t="str">
        <f>IFERROR((s_dir!AA29/(d_ss_Bv!Z29+s_MLF_cereal)),".")</f>
        <v>.</v>
      </c>
      <c r="AB29" s="10">
        <f t="shared" si="4"/>
        <v>3331.8862500000005</v>
      </c>
      <c r="AC29" s="10">
        <f>s_C*(d_ss_Bv!C29+s_MLF_apple)*s_IFAP_res_adj*s_CF_apple</f>
        <v>102.69875</v>
      </c>
      <c r="AD29" s="10">
        <f>s_C*(d_ss_Bv!D29+s_MLF_asparagus)*s_IFAS_res_adj*s_CF_asparagus</f>
        <v>108.14375000000001</v>
      </c>
      <c r="AE29" s="10">
        <f>s_C*(d_ss_Bv!E29+s_MLF_beet)*s_IFBT_res_adj*s_CF_beet</f>
        <v>102.69875</v>
      </c>
      <c r="AF29" s="10">
        <f>s_C*(d_ss_Bv!F29+s_MLF_berries)*s_IFBE_res_adj*s_CF_berries</f>
        <v>102.69875</v>
      </c>
      <c r="AG29" s="10">
        <f>s_C*(d_ss_Bv!G29+s_MLF_broccoli)*s_IFBR_res_adj*s_CF_broccoli</f>
        <v>102.69875</v>
      </c>
      <c r="AH29" s="10">
        <f>s_C*(d_ss_Bv!H29+s_MLF_cabbage)*s_IFCB_res_adj*s_CF_cabbage</f>
        <v>108.14375000000001</v>
      </c>
      <c r="AI29" s="10">
        <f>s_C*(d_ss_Bv!I29+s_MLF_carrot)*s_IFCR_res_adj*s_CF_carrot</f>
        <v>102.69875</v>
      </c>
      <c r="AJ29" s="10">
        <f>s_C*(d_ss_Bv!J29+s_MLF_citrus)*s_IFCI_res_adj*s_CF_citrus</f>
        <v>102.69875</v>
      </c>
      <c r="AK29" s="10">
        <f>s_C*(d_ss_Bv!K29+s_MLF_corn)*s_IFCO_res_adj*s_CF_corn</f>
        <v>102.69875</v>
      </c>
      <c r="AL29" s="10">
        <f>s_C*(d_ss_Bv!L29+s_MLF_cucumber)*s_IFCU_res_adj*s_CF_cucumber</f>
        <v>102.69875</v>
      </c>
      <c r="AM29" s="10">
        <f>s_C*(d_ss_Bv!M29+s_MLF_lettuce)*s_IFLE_res_adj*s_CF_lettuce</f>
        <v>108.14375000000001</v>
      </c>
      <c r="AN29" s="10">
        <f>s_C*(d_ss_Bv!N29+s_MLF_lima_bean)*s_IFLI_res_adj*s_CF_lima_bean</f>
        <v>102.69875</v>
      </c>
      <c r="AO29" s="10">
        <f>s_C*(d_ss_Bv!O29+s_MLF_okra)*s_IFOK_res_adj*s_CF_okra</f>
        <v>102.69875</v>
      </c>
      <c r="AP29" s="10">
        <f>s_C*(d_ss_Bv!P29+s_MLF_onion)*s_IFON_res_adj*s_CF_onion</f>
        <v>102.69875</v>
      </c>
      <c r="AQ29" s="10">
        <f>s_C*(d_ss_Bv!Q29+s_MLF_peach)*s_IFPC_res_adj*s_CF_peach</f>
        <v>102.69875</v>
      </c>
      <c r="AR29" s="10">
        <f>s_C*(d_ss_Bv!R29+s_MLF_pear)*s_IFPR_res_adj*s_CF_pear</f>
        <v>102.69875</v>
      </c>
      <c r="AS29" s="10">
        <f>s_C*(d_ss_Bv!S29+s_MLF_peas)*s_IFPE_res_adj*s_CF_peas</f>
        <v>102.69875</v>
      </c>
      <c r="AT29" s="10">
        <f>s_C*(d_ss_Bv!T29+s_MLF_potato)*s_IFPT_res_adj*s_CF_potato</f>
        <v>102.69875</v>
      </c>
      <c r="AU29" s="10">
        <f>s_C*(d_ss_Bv!U29+s_MLF_pumpkin)*s_IFPU_res_adj*s_CF_pumpkin</f>
        <v>102.69875</v>
      </c>
      <c r="AV29" s="10">
        <f>s_C*(d_ss_Bv!V29+s_MLF_snap_bean)*s_IFSN_res_adj*s_CF_snap_bean</f>
        <v>102.69875</v>
      </c>
      <c r="AW29" s="10">
        <f>s_C*(d_ss_Bv!W29+s_MLF_strawberry)*s_IFST_res_adj*s_CF_strawberry</f>
        <v>102.69875</v>
      </c>
      <c r="AX29" s="10">
        <f>s_C*(d_ss_Bv!X29+s_MLF_tomato)*s_IFTO_res_adj*s_CF_tomato</f>
        <v>102.69875</v>
      </c>
      <c r="AY29" s="10">
        <f>s_C*(d_ss_Bv!Y29+s_MLF_rice)*s_IFRI_res_adj*s_CF_rice</f>
        <v>1614.5937500000002</v>
      </c>
      <c r="AZ29" s="10">
        <f>s_C*(d_ss_Bv!Z29+s_MLF_cereal)*s_IFCG_res_adj*s_CF_cereal</f>
        <v>1614.5937500000002</v>
      </c>
      <c r="BA29" s="2" t="str">
        <f t="shared" si="2"/>
        <v>.</v>
      </c>
      <c r="BB29" s="2" t="str">
        <f>IFERROR((s_dir!AC29/(d_ss_Bv!C29+s_MLF_apple)),".")</f>
        <v>.</v>
      </c>
      <c r="BC29" s="2" t="str">
        <f>IFERROR((s_dir!AD29/(d_ss_Bv!D29+s_MLF_asparagus)),".")</f>
        <v>.</v>
      </c>
      <c r="BD29" s="2" t="str">
        <f>IFERROR((s_dir!AE29/(d_ss_Bv!E29+s_MLF_beet)),".")</f>
        <v>.</v>
      </c>
      <c r="BE29" s="2" t="str">
        <f>IFERROR((s_dir!AF29/(d_ss_Bv!F29+s_MLF_berries)),".")</f>
        <v>.</v>
      </c>
      <c r="BF29" s="2" t="str">
        <f>IFERROR((s_dir!AG29/(d_ss_Bv!G29+s_MLF_broccoli)),".")</f>
        <v>.</v>
      </c>
      <c r="BG29" s="2" t="str">
        <f>IFERROR((s_dir!AH29/(d_ss_Bv!H29+s_MLF_cabbage)),".")</f>
        <v>.</v>
      </c>
      <c r="BH29" s="2" t="str">
        <f>IFERROR((s_dir!AI29/(d_ss_Bv!I29+s_MLF_carrot)),".")</f>
        <v>.</v>
      </c>
      <c r="BI29" s="2" t="str">
        <f>IFERROR((s_dir!AJ29/(d_ss_Bv!J29+s_MLF_citrus)),".")</f>
        <v>.</v>
      </c>
      <c r="BJ29" s="2" t="str">
        <f>IFERROR((s_dir!AK29/(d_ss_Bv!K29+s_MLF_corn)),".")</f>
        <v>.</v>
      </c>
      <c r="BK29" s="2" t="str">
        <f>IFERROR((s_dir!AL29/(d_ss_Bv!L29+s_MLF_cucumber)),".")</f>
        <v>.</v>
      </c>
      <c r="BL29" s="2" t="str">
        <f>IFERROR((s_dir!AM29/(d_ss_Bv!M29+s_MLF_lettuce)),".")</f>
        <v>.</v>
      </c>
      <c r="BM29" s="2" t="str">
        <f>IFERROR((s_dir!AN29/(d_ss_Bv!N29+s_MLF_lima_bean)),".")</f>
        <v>.</v>
      </c>
      <c r="BN29" s="2" t="str">
        <f>IFERROR((s_dir!AO29/(d_ss_Bv!O29+s_MLF_okra)),".")</f>
        <v>.</v>
      </c>
      <c r="BO29" s="2" t="str">
        <f>IFERROR((s_dir!AP29/(d_ss_Bv!P29+s_MLF_onion)),".")</f>
        <v>.</v>
      </c>
      <c r="BP29" s="2" t="str">
        <f>IFERROR((s_dir!AQ29/(d_ss_Bv!Q29+s_MLF_peach)),".")</f>
        <v>.</v>
      </c>
      <c r="BQ29" s="2" t="str">
        <f>IFERROR((s_dir!AR29/(d_ss_Bv!R29+s_MLF_pear)),".")</f>
        <v>.</v>
      </c>
      <c r="BR29" s="2" t="str">
        <f>IFERROR((s_dir!AS29/(d_ss_Bv!S29+s_MLF_peas)),".")</f>
        <v>.</v>
      </c>
      <c r="BS29" s="2" t="str">
        <f>IFERROR((s_dir!AT29/(d_ss_Bv!T29+s_MLF_potato)),".")</f>
        <v>.</v>
      </c>
      <c r="BT29" s="2" t="str">
        <f>IFERROR((s_dir!AU29/(d_ss_Bv!U29+s_MLF_pumpkin)),".")</f>
        <v>.</v>
      </c>
      <c r="BU29" s="2" t="str">
        <f>IFERROR((s_dir!AV29/(d_ss_Bv!V29+s_MLF_snap_bean)),".")</f>
        <v>.</v>
      </c>
      <c r="BV29" s="2" t="str">
        <f>IFERROR((s_dir!AW29/(d_ss_Bv!W29+s_MLF_strawberry)),".")</f>
        <v>.</v>
      </c>
      <c r="BW29" s="2" t="str">
        <f>IFERROR((s_dir!AX29/(d_ss_Bv!X29+s_MLF_tomato)),".")</f>
        <v>.</v>
      </c>
      <c r="BX29" s="2" t="str">
        <f>IFERROR((s_dir!AY29/(d_ss_Bv!Y29+s_MLF_rice)),".")</f>
        <v>.</v>
      </c>
      <c r="BY29" s="2" t="str">
        <f>IFERROR((s_dir!AZ29/(d_ss_Bv!Z29+s_MLF_cereal)),".")</f>
        <v>.</v>
      </c>
      <c r="BZ29" s="10">
        <f t="shared" si="3"/>
        <v>3331.8862500000005</v>
      </c>
      <c r="CA29" s="10">
        <f>IFERROR(s_C*(d_ss_Bv!C29+s_MLF_apple)*s_IFAP_far_adj*s_CF_apple,".")</f>
        <v>102.69875</v>
      </c>
      <c r="CB29" s="10">
        <f>IFERROR(s_C*(d_ss_Bv!D29+s_MLF_asparagus)*s_IFAS_far_adj*s_CF_asparagus,".")</f>
        <v>108.14375000000001</v>
      </c>
      <c r="CC29" s="10">
        <f>IFERROR(s_C*(d_ss_Bv!E29+s_MLF_beet)*s_IFBT_far_adj*s_CF_beet,".")</f>
        <v>102.69875</v>
      </c>
      <c r="CD29" s="10">
        <f>IFERROR(s_C*(d_ss_Bv!F29+s_MLF_berries)*s_IFBR_far_adj*s_CF_berries,".")</f>
        <v>102.69875</v>
      </c>
      <c r="CE29" s="10">
        <f>IFERROR(s_C*(d_ss_Bv!G29+s_MLF_broccoli)*s_IFBR_far_adj*s_CF_broccoli,".")</f>
        <v>102.69875</v>
      </c>
      <c r="CF29" s="10">
        <f>IFERROR(s_C*(d_ss_Bv!H29+s_MLF_cabbage)*s_IFCB_far_adj*s_CF_cabbage,".")</f>
        <v>108.14375000000001</v>
      </c>
      <c r="CG29" s="10">
        <f>IFERROR(s_C*(d_ss_Bv!I29+s_MLF_carrot)*s_IFCR_far_adj*s_CF_carrot,".")</f>
        <v>102.69875</v>
      </c>
      <c r="CH29" s="10">
        <f>IFERROR(s_C*(d_ss_Bv!J29+s_MLF_citrus)*s_IFCI_far_adj*s_CF_citrus,".")</f>
        <v>102.69875</v>
      </c>
      <c r="CI29" s="10">
        <f>IFERROR(s_C*(d_ss_Bv!K29+s_MLF_corn)*s_IFCO_far_adj*s_CF_corn,".")</f>
        <v>102.69875</v>
      </c>
      <c r="CJ29" s="10">
        <f>IFERROR(s_C*(d_ss_Bv!L29+s_MLF_cucumber)*s_IFCU_far_adj*s_CF_cucumber,".")</f>
        <v>102.69875</v>
      </c>
      <c r="CK29" s="10">
        <f>IFERROR(s_C*(d_ss_Bv!M29+s_MLF_lettuce)*s_IFLE_far_adj*s_CF_lettuce,".")</f>
        <v>108.14375000000001</v>
      </c>
      <c r="CL29" s="10">
        <f>IFERROR(s_C*(d_ss_Bv!N29+s_MLF_lima_bean)*s_IFLI_far_adj*s_CF_lima_bean,".")</f>
        <v>102.69875</v>
      </c>
      <c r="CM29" s="10">
        <f>IFERROR(s_C*(d_ss_Bv!O29+s_MLF_okra)*s_IFOK_far_adj*s_CF_okra,".")</f>
        <v>102.69875</v>
      </c>
      <c r="CN29" s="10">
        <f>IFERROR(s_C*(d_ss_Bv!P29+s_MLF_onion)*s_IFON_far_adj*s_CF_onion,".")</f>
        <v>102.69875</v>
      </c>
      <c r="CO29" s="10">
        <f>IFERROR(s_C*(d_ss_Bv!Q29+s_MLF_peach)*s_IFPC_far_adj*s_CF_peach,".")</f>
        <v>102.69875</v>
      </c>
      <c r="CP29" s="10">
        <f>IFERROR(s_C*(d_ss_Bv!R29+s_MLF_pear)*s_IFPR_far_adj*s_CF_pear,".")</f>
        <v>102.69875</v>
      </c>
      <c r="CQ29" s="10">
        <f>IFERROR(s_C*(d_ss_Bv!S29+s_MLF_peas)*s_IFPE_far_adj*s_CF_peas,".")</f>
        <v>102.69875</v>
      </c>
      <c r="CR29" s="10">
        <f>IFERROR(s_C*(d_ss_Bv!T29+s_MLF_potato)*s_IFPT_far_adj*s_CF_potato,".")</f>
        <v>102.69875</v>
      </c>
      <c r="CS29" s="10">
        <f>IFERROR(s_C*(d_ss_Bv!U29+s_MLF_pumpkin)*s_IFPU_far_adj*s_CF_pumpkin,".")</f>
        <v>102.69875</v>
      </c>
      <c r="CT29" s="10">
        <f>IFERROR(s_C*(d_ss_Bv!V29+s_MLF_snap_bean)*s_IFSN_far_adj*s_CF_snap_bean,".")</f>
        <v>102.69875</v>
      </c>
      <c r="CU29" s="10">
        <f>IFERROR(s_C*(d_ss_Bv!W29+s_MLF_strawberry)*s_IFST_far_adj*s_CF_strawberry,".")</f>
        <v>102.69875</v>
      </c>
      <c r="CV29" s="10">
        <f>IFERROR(s_C*(d_ss_Bv!X29+s_MLF_tomato)*s_IFTO_far_adj*s_CF_tomato,".")</f>
        <v>102.69875</v>
      </c>
      <c r="CW29" s="10">
        <f>IFERROR(s_C*(d_ss_Bv!Y29+s_MLF_rice)*s_IFRI_far_adj*s_CF_rice,".")</f>
        <v>1614.5937500000002</v>
      </c>
      <c r="CX29" s="10">
        <f>IFERROR(s_C*(d_ss_Bv!Z29+s_MLF_cereal)*s_IFCG_far_adj*s_CF_cereal,".")</f>
        <v>1614.5937500000002</v>
      </c>
    </row>
    <row r="30" spans="1:102" ht="15" customHeight="1" x14ac:dyDescent="0.25">
      <c r="A30" s="31" t="s">
        <v>28</v>
      </c>
      <c r="B30" s="3" t="s">
        <v>1059</v>
      </c>
      <c r="C30" s="2">
        <f t="shared" si="0"/>
        <v>309.56453441769975</v>
      </c>
      <c r="D30" s="2">
        <f>IFERROR((s_dir!D30/(d_ss_Bv!C30+s_MLF_apple)),".")</f>
        <v>1023.5484464543297</v>
      </c>
      <c r="E30" s="2">
        <f>IFERROR((s_dir!E30/(d_ss_Bv!D30+s_MLF_asparagus)),".")</f>
        <v>443.02843204739634</v>
      </c>
      <c r="F30" s="2">
        <f>IFERROR((s_dir!F30/(d_ss_Bv!E30+s_MLF_beet)),".")</f>
        <v>677.6918937711315</v>
      </c>
      <c r="G30" s="2">
        <f>IFERROR((s_dir!G30/(d_ss_Bv!F30+s_MLF_berries)),".")</f>
        <v>1023.5484464543297</v>
      </c>
      <c r="H30" s="2">
        <f>IFERROR((s_dir!H30/(d_ss_Bv!G30+s_MLF_broccoli)),".")</f>
        <v>520.75271837150103</v>
      </c>
      <c r="I30" s="2">
        <f>IFERROR((s_dir!I30/(d_ss_Bv!H30+s_MLF_cabbage)),".")</f>
        <v>443.02843204739634</v>
      </c>
      <c r="J30" s="2">
        <f>IFERROR((s_dir!J30/(d_ss_Bv!I30+s_MLF_carrot)),".")</f>
        <v>677.6918937711315</v>
      </c>
      <c r="K30" s="2">
        <f>IFERROR((s_dir!K30/(d_ss_Bv!J30+s_MLF_citrus)),".")</f>
        <v>1023.5484464543297</v>
      </c>
      <c r="L30" s="2">
        <f>IFERROR((s_dir!L30/(d_ss_Bv!K30+s_MLF_corn)),".")</f>
        <v>520.75271837150103</v>
      </c>
      <c r="M30" s="2">
        <f>IFERROR((s_dir!M30/(d_ss_Bv!L30+s_MLF_cucumber)),".")</f>
        <v>520.75271837150103</v>
      </c>
      <c r="N30" s="2">
        <f>IFERROR((s_dir!N30/(d_ss_Bv!M30+s_MLF_lettuce)),".")</f>
        <v>443.02843204739634</v>
      </c>
      <c r="O30" s="2">
        <f>IFERROR((s_dir!O30/(d_ss_Bv!N30+s_MLF_lima_bean)),".")</f>
        <v>945.31544417756561</v>
      </c>
      <c r="P30" s="2">
        <f>IFERROR((s_dir!P30/(d_ss_Bv!O30+s_MLF_okra)),".")</f>
        <v>520.75271837150103</v>
      </c>
      <c r="Q30" s="2">
        <f>IFERROR((s_dir!Q30/(d_ss_Bv!P30+s_MLF_onion)),".")</f>
        <v>520.75271837150103</v>
      </c>
      <c r="R30" s="2">
        <f>IFERROR((s_dir!R30/(d_ss_Bv!Q30+s_MLF_peach)),".")</f>
        <v>1023.5484464543297</v>
      </c>
      <c r="S30" s="2">
        <f>IFERROR((s_dir!S30/(d_ss_Bv!R30+s_MLF_pear)),".")</f>
        <v>1023.5484464543297</v>
      </c>
      <c r="T30" s="2">
        <f>IFERROR((s_dir!T30/(d_ss_Bv!S30+s_MLF_peas)),".")</f>
        <v>945.31544417756561</v>
      </c>
      <c r="U30" s="2">
        <f>IFERROR((s_dir!U30/(d_ss_Bv!T30+s_MLF_potato)),".")</f>
        <v>802.24067424798807</v>
      </c>
      <c r="V30" s="2">
        <f>IFERROR((s_dir!V30/(d_ss_Bv!U30+s_MLF_pumpkin)),".")</f>
        <v>520.75271837150103</v>
      </c>
      <c r="W30" s="2">
        <f>IFERROR((s_dir!W30/(d_ss_Bv!V30+s_MLF_snap_bean)),".")</f>
        <v>945.31544417756561</v>
      </c>
      <c r="X30" s="2">
        <f>IFERROR((s_dir!X30/(d_ss_Bv!W30+s_MLF_strawberry)),".")</f>
        <v>1023.5484464543297</v>
      </c>
      <c r="Y30" s="2">
        <f>IFERROR((s_dir!Y30/(d_ss_Bv!X30+s_MLF_tomato)),".")</f>
        <v>520.75271837150103</v>
      </c>
      <c r="Z30" s="2">
        <f>IFERROR((s_dir!Z30/(d_ss_Bv!Y30+s_MLF_rice)),".")</f>
        <v>1079.9281433157082</v>
      </c>
      <c r="AA30" s="2">
        <f>IFERROR((s_dir!AA30/(d_ss_Bv!Z30+s_MLF_cereal)),".")</f>
        <v>753.37322200953201</v>
      </c>
      <c r="AB30" s="10">
        <f t="shared" si="4"/>
        <v>362.56893749999995</v>
      </c>
      <c r="AC30" s="10">
        <f>s_C*(d_ss_Bv!C30+s_MLF_apple)*s_IFAP_res_adj*s_CF_apple</f>
        <v>109.65624999999999</v>
      </c>
      <c r="AD30" s="10">
        <f>s_C*(d_ss_Bv!D30+s_MLF_asparagus)*s_IFAS_res_adj*s_CF_asparagus</f>
        <v>253.34375000000003</v>
      </c>
      <c r="AE30" s="10">
        <f>s_C*(d_ss_Bv!E30+s_MLF_beet)*s_IFBT_res_adj*s_CF_beet</f>
        <v>165.61875000000001</v>
      </c>
      <c r="AF30" s="10">
        <f>s_C*(d_ss_Bv!F30+s_MLF_berries)*s_IFBE_res_adj*s_CF_berries</f>
        <v>109.65624999999999</v>
      </c>
      <c r="AG30" s="10">
        <f>s_C*(d_ss_Bv!G30+s_MLF_broccoli)*s_IFBR_res_adj*s_CF_broccoli</f>
        <v>215.53124999999997</v>
      </c>
      <c r="AH30" s="10">
        <f>s_C*(d_ss_Bv!H30+s_MLF_cabbage)*s_IFCB_res_adj*s_CF_cabbage</f>
        <v>253.34375000000003</v>
      </c>
      <c r="AI30" s="10">
        <f>s_C*(d_ss_Bv!I30+s_MLF_carrot)*s_IFCR_res_adj*s_CF_carrot</f>
        <v>165.61875000000001</v>
      </c>
      <c r="AJ30" s="10">
        <f>s_C*(d_ss_Bv!J30+s_MLF_citrus)*s_IFCI_res_adj*s_CF_citrus</f>
        <v>109.65624999999999</v>
      </c>
      <c r="AK30" s="10">
        <f>s_C*(d_ss_Bv!K30+s_MLF_corn)*s_IFCO_res_adj*s_CF_corn</f>
        <v>215.53124999999997</v>
      </c>
      <c r="AL30" s="10">
        <f>s_C*(d_ss_Bv!L30+s_MLF_cucumber)*s_IFCU_res_adj*s_CF_cucumber</f>
        <v>215.53124999999997</v>
      </c>
      <c r="AM30" s="10">
        <f>s_C*(d_ss_Bv!M30+s_MLF_lettuce)*s_IFLE_res_adj*s_CF_lettuce</f>
        <v>253.34375000000003</v>
      </c>
      <c r="AN30" s="10">
        <f>s_C*(d_ss_Bv!N30+s_MLF_lima_bean)*s_IFLI_res_adj*s_CF_lima_bean</f>
        <v>118.73124999999997</v>
      </c>
      <c r="AO30" s="10">
        <f>s_C*(d_ss_Bv!O30+s_MLF_okra)*s_IFOK_res_adj*s_CF_okra</f>
        <v>215.53124999999997</v>
      </c>
      <c r="AP30" s="10">
        <f>s_C*(d_ss_Bv!P30+s_MLF_onion)*s_IFON_res_adj*s_CF_onion</f>
        <v>215.53124999999997</v>
      </c>
      <c r="AQ30" s="10">
        <f>s_C*(d_ss_Bv!Q30+s_MLF_peach)*s_IFPC_res_adj*s_CF_peach</f>
        <v>109.65624999999999</v>
      </c>
      <c r="AR30" s="10">
        <f>s_C*(d_ss_Bv!R30+s_MLF_pear)*s_IFPR_res_adj*s_CF_pear</f>
        <v>109.65624999999999</v>
      </c>
      <c r="AS30" s="10">
        <f>s_C*(d_ss_Bv!S30+s_MLF_peas)*s_IFPE_res_adj*s_CF_peas</f>
        <v>118.73124999999997</v>
      </c>
      <c r="AT30" s="10">
        <f>s_C*(d_ss_Bv!T30+s_MLF_potato)*s_IFPT_res_adj*s_CF_potato</f>
        <v>139.90625</v>
      </c>
      <c r="AU30" s="10">
        <f>s_C*(d_ss_Bv!U30+s_MLF_pumpkin)*s_IFPU_res_adj*s_CF_pumpkin</f>
        <v>215.53124999999997</v>
      </c>
      <c r="AV30" s="10">
        <f>s_C*(d_ss_Bv!V30+s_MLF_snap_bean)*s_IFSN_res_adj*s_CF_snap_bean</f>
        <v>118.73124999999997</v>
      </c>
      <c r="AW30" s="10">
        <f>s_C*(d_ss_Bv!W30+s_MLF_strawberry)*s_IFST_res_adj*s_CF_strawberry</f>
        <v>109.65624999999999</v>
      </c>
      <c r="AX30" s="10">
        <f>s_C*(d_ss_Bv!X30+s_MLF_tomato)*s_IFTO_res_adj*s_CF_tomato</f>
        <v>215.53124999999997</v>
      </c>
      <c r="AY30" s="10">
        <f>s_C*(d_ss_Bv!Y30+s_MLF_rice)*s_IFRI_res_adj*s_CF_rice</f>
        <v>103.9314375</v>
      </c>
      <c r="AZ30" s="10">
        <f>s_C*(d_ss_Bv!Z30+s_MLF_cereal)*s_IFCG_res_adj*s_CF_cereal</f>
        <v>148.98124999999999</v>
      </c>
      <c r="BA30" s="2">
        <f t="shared" si="2"/>
        <v>309.56453441769975</v>
      </c>
      <c r="BB30" s="2">
        <f>IFERROR((s_dir!AC30/(d_ss_Bv!C30+s_MLF_apple)),".")</f>
        <v>1023.5484464543297</v>
      </c>
      <c r="BC30" s="2">
        <f>IFERROR((s_dir!AD30/(d_ss_Bv!D30+s_MLF_asparagus)),".")</f>
        <v>443.02843204739634</v>
      </c>
      <c r="BD30" s="2">
        <f>IFERROR((s_dir!AE30/(d_ss_Bv!E30+s_MLF_beet)),".")</f>
        <v>677.6918937711315</v>
      </c>
      <c r="BE30" s="2">
        <f>IFERROR((s_dir!AF30/(d_ss_Bv!F30+s_MLF_berries)),".")</f>
        <v>1023.5484464543297</v>
      </c>
      <c r="BF30" s="2">
        <f>IFERROR((s_dir!AG30/(d_ss_Bv!G30+s_MLF_broccoli)),".")</f>
        <v>520.75271837150103</v>
      </c>
      <c r="BG30" s="2">
        <f>IFERROR((s_dir!AH30/(d_ss_Bv!H30+s_MLF_cabbage)),".")</f>
        <v>443.02843204739634</v>
      </c>
      <c r="BH30" s="2">
        <f>IFERROR((s_dir!AI30/(d_ss_Bv!I30+s_MLF_carrot)),".")</f>
        <v>677.6918937711315</v>
      </c>
      <c r="BI30" s="2">
        <f>IFERROR((s_dir!AJ30/(d_ss_Bv!J30+s_MLF_citrus)),".")</f>
        <v>1023.5484464543297</v>
      </c>
      <c r="BJ30" s="2">
        <f>IFERROR((s_dir!AK30/(d_ss_Bv!K30+s_MLF_corn)),".")</f>
        <v>520.75271837150103</v>
      </c>
      <c r="BK30" s="2">
        <f>IFERROR((s_dir!AL30/(d_ss_Bv!L30+s_MLF_cucumber)),".")</f>
        <v>520.75271837150103</v>
      </c>
      <c r="BL30" s="2">
        <f>IFERROR((s_dir!AM30/(d_ss_Bv!M30+s_MLF_lettuce)),".")</f>
        <v>443.02843204739634</v>
      </c>
      <c r="BM30" s="2">
        <f>IFERROR((s_dir!AN30/(d_ss_Bv!N30+s_MLF_lima_bean)),".")</f>
        <v>945.31544417756561</v>
      </c>
      <c r="BN30" s="2">
        <f>IFERROR((s_dir!AO30/(d_ss_Bv!O30+s_MLF_okra)),".")</f>
        <v>520.75271837150103</v>
      </c>
      <c r="BO30" s="2">
        <f>IFERROR((s_dir!AP30/(d_ss_Bv!P30+s_MLF_onion)),".")</f>
        <v>520.75271837150103</v>
      </c>
      <c r="BP30" s="2">
        <f>IFERROR((s_dir!AQ30/(d_ss_Bv!Q30+s_MLF_peach)),".")</f>
        <v>1023.5484464543297</v>
      </c>
      <c r="BQ30" s="2">
        <f>IFERROR((s_dir!AR30/(d_ss_Bv!R30+s_MLF_pear)),".")</f>
        <v>1023.5484464543297</v>
      </c>
      <c r="BR30" s="2">
        <f>IFERROR((s_dir!AS30/(d_ss_Bv!S30+s_MLF_peas)),".")</f>
        <v>945.31544417756561</v>
      </c>
      <c r="BS30" s="2">
        <f>IFERROR((s_dir!AT30/(d_ss_Bv!T30+s_MLF_potato)),".")</f>
        <v>802.24067424798807</v>
      </c>
      <c r="BT30" s="2">
        <f>IFERROR((s_dir!AU30/(d_ss_Bv!U30+s_MLF_pumpkin)),".")</f>
        <v>520.75271837150103</v>
      </c>
      <c r="BU30" s="2">
        <f>IFERROR((s_dir!AV30/(d_ss_Bv!V30+s_MLF_snap_bean)),".")</f>
        <v>945.31544417756561</v>
      </c>
      <c r="BV30" s="2">
        <f>IFERROR((s_dir!AW30/(d_ss_Bv!W30+s_MLF_strawberry)),".")</f>
        <v>1023.5484464543297</v>
      </c>
      <c r="BW30" s="2">
        <f>IFERROR((s_dir!AX30/(d_ss_Bv!X30+s_MLF_tomato)),".")</f>
        <v>520.75271837150103</v>
      </c>
      <c r="BX30" s="2">
        <f>IFERROR((s_dir!AY30/(d_ss_Bv!Y30+s_MLF_rice)),".")</f>
        <v>1079.9281433157082</v>
      </c>
      <c r="BY30" s="2">
        <f>IFERROR((s_dir!AZ30/(d_ss_Bv!Z30+s_MLF_cereal)),".")</f>
        <v>753.37322200953201</v>
      </c>
      <c r="BZ30" s="10">
        <f t="shared" si="3"/>
        <v>362.56893749999995</v>
      </c>
      <c r="CA30" s="10">
        <f>IFERROR(s_C*(d_ss_Bv!C30+s_MLF_apple)*s_IFAP_far_adj*s_CF_apple,".")</f>
        <v>109.65624999999999</v>
      </c>
      <c r="CB30" s="10">
        <f>IFERROR(s_C*(d_ss_Bv!D30+s_MLF_asparagus)*s_IFAS_far_adj*s_CF_asparagus,".")</f>
        <v>253.34375000000003</v>
      </c>
      <c r="CC30" s="10">
        <f>IFERROR(s_C*(d_ss_Bv!E30+s_MLF_beet)*s_IFBT_far_adj*s_CF_beet,".")</f>
        <v>165.61875000000001</v>
      </c>
      <c r="CD30" s="10">
        <f>IFERROR(s_C*(d_ss_Bv!F30+s_MLF_berries)*s_IFBR_far_adj*s_CF_berries,".")</f>
        <v>109.65624999999999</v>
      </c>
      <c r="CE30" s="10">
        <f>IFERROR(s_C*(d_ss_Bv!G30+s_MLF_broccoli)*s_IFBR_far_adj*s_CF_broccoli,".")</f>
        <v>215.53124999999997</v>
      </c>
      <c r="CF30" s="10">
        <f>IFERROR(s_C*(d_ss_Bv!H30+s_MLF_cabbage)*s_IFCB_far_adj*s_CF_cabbage,".")</f>
        <v>253.34375000000003</v>
      </c>
      <c r="CG30" s="10">
        <f>IFERROR(s_C*(d_ss_Bv!I30+s_MLF_carrot)*s_IFCR_far_adj*s_CF_carrot,".")</f>
        <v>165.61875000000001</v>
      </c>
      <c r="CH30" s="10">
        <f>IFERROR(s_C*(d_ss_Bv!J30+s_MLF_citrus)*s_IFCI_far_adj*s_CF_citrus,".")</f>
        <v>109.65624999999999</v>
      </c>
      <c r="CI30" s="10">
        <f>IFERROR(s_C*(d_ss_Bv!K30+s_MLF_corn)*s_IFCO_far_adj*s_CF_corn,".")</f>
        <v>215.53124999999997</v>
      </c>
      <c r="CJ30" s="10">
        <f>IFERROR(s_C*(d_ss_Bv!L30+s_MLF_cucumber)*s_IFCU_far_adj*s_CF_cucumber,".")</f>
        <v>215.53124999999997</v>
      </c>
      <c r="CK30" s="10">
        <f>IFERROR(s_C*(d_ss_Bv!M30+s_MLF_lettuce)*s_IFLE_far_adj*s_CF_lettuce,".")</f>
        <v>253.34375000000003</v>
      </c>
      <c r="CL30" s="10">
        <f>IFERROR(s_C*(d_ss_Bv!N30+s_MLF_lima_bean)*s_IFLI_far_adj*s_CF_lima_bean,".")</f>
        <v>118.73124999999997</v>
      </c>
      <c r="CM30" s="10">
        <f>IFERROR(s_C*(d_ss_Bv!O30+s_MLF_okra)*s_IFOK_far_adj*s_CF_okra,".")</f>
        <v>215.53124999999997</v>
      </c>
      <c r="CN30" s="10">
        <f>IFERROR(s_C*(d_ss_Bv!P30+s_MLF_onion)*s_IFON_far_adj*s_CF_onion,".")</f>
        <v>215.53124999999997</v>
      </c>
      <c r="CO30" s="10">
        <f>IFERROR(s_C*(d_ss_Bv!Q30+s_MLF_peach)*s_IFPC_far_adj*s_CF_peach,".")</f>
        <v>109.65624999999999</v>
      </c>
      <c r="CP30" s="10">
        <f>IFERROR(s_C*(d_ss_Bv!R30+s_MLF_pear)*s_IFPR_far_adj*s_CF_pear,".")</f>
        <v>109.65624999999999</v>
      </c>
      <c r="CQ30" s="10">
        <f>IFERROR(s_C*(d_ss_Bv!S30+s_MLF_peas)*s_IFPE_far_adj*s_CF_peas,".")</f>
        <v>118.73124999999997</v>
      </c>
      <c r="CR30" s="10">
        <f>IFERROR(s_C*(d_ss_Bv!T30+s_MLF_potato)*s_IFPT_far_adj*s_CF_potato,".")</f>
        <v>139.90625</v>
      </c>
      <c r="CS30" s="10">
        <f>IFERROR(s_C*(d_ss_Bv!U30+s_MLF_pumpkin)*s_IFPU_far_adj*s_CF_pumpkin,".")</f>
        <v>215.53124999999997</v>
      </c>
      <c r="CT30" s="10">
        <f>IFERROR(s_C*(d_ss_Bv!V30+s_MLF_snap_bean)*s_IFSN_far_adj*s_CF_snap_bean,".")</f>
        <v>118.73124999999997</v>
      </c>
      <c r="CU30" s="10">
        <f>IFERROR(s_C*(d_ss_Bv!W30+s_MLF_strawberry)*s_IFST_far_adj*s_CF_strawberry,".")</f>
        <v>109.65624999999999</v>
      </c>
      <c r="CV30" s="10">
        <f>IFERROR(s_C*(d_ss_Bv!X30+s_MLF_tomato)*s_IFTO_far_adj*s_CF_tomato,".")</f>
        <v>215.53124999999997</v>
      </c>
      <c r="CW30" s="10">
        <f>IFERROR(s_C*(d_ss_Bv!Y30+s_MLF_rice)*s_IFRI_far_adj*s_CF_rice,".")</f>
        <v>103.9314375</v>
      </c>
      <c r="CX30" s="10">
        <f>IFERROR(s_C*(d_ss_Bv!Z30+s_MLF_cereal)*s_IFCG_far_adj*s_CF_cereal,".")</f>
        <v>148.98124999999999</v>
      </c>
    </row>
    <row r="31" spans="1:102" x14ac:dyDescent="0.25">
      <c r="A31" s="54" t="s">
        <v>1</v>
      </c>
      <c r="B31" s="54" t="s">
        <v>1059</v>
      </c>
      <c r="C31" s="40">
        <f t="shared" ref="C31:AA31" si="5">1/SUM(1/C32,1/C33,1/C34,1/C35,1/C36,1/C37,1/C38,1/C41,1/C44)</f>
        <v>13.574296246384492</v>
      </c>
      <c r="D31" s="40">
        <f t="shared" si="5"/>
        <v>43.039803932542718</v>
      </c>
      <c r="E31" s="40">
        <f t="shared" si="5"/>
        <v>19.851685508159726</v>
      </c>
      <c r="F31" s="40">
        <f t="shared" si="5"/>
        <v>23.187390420653021</v>
      </c>
      <c r="G31" s="40">
        <f t="shared" si="5"/>
        <v>42.66365593647987</v>
      </c>
      <c r="H31" s="40">
        <f t="shared" si="5"/>
        <v>34.725196019394929</v>
      </c>
      <c r="I31" s="40">
        <f t="shared" si="5"/>
        <v>19.851685508159726</v>
      </c>
      <c r="J31" s="40">
        <f t="shared" si="5"/>
        <v>23.187390420653021</v>
      </c>
      <c r="K31" s="40">
        <f t="shared" si="5"/>
        <v>43.039803932542718</v>
      </c>
      <c r="L31" s="40">
        <f t="shared" si="5"/>
        <v>43.701629295965056</v>
      </c>
      <c r="M31" s="40">
        <f t="shared" si="5"/>
        <v>34.725196019394929</v>
      </c>
      <c r="N31" s="40">
        <f t="shared" si="5"/>
        <v>19.851685508159726</v>
      </c>
      <c r="O31" s="40">
        <f t="shared" si="5"/>
        <v>37.271510018851934</v>
      </c>
      <c r="P31" s="40">
        <f t="shared" si="5"/>
        <v>34.725196019394929</v>
      </c>
      <c r="Q31" s="40">
        <f t="shared" si="5"/>
        <v>34.725196019394929</v>
      </c>
      <c r="R31" s="40">
        <f t="shared" si="5"/>
        <v>43.039803932542718</v>
      </c>
      <c r="S31" s="40">
        <f t="shared" si="5"/>
        <v>43.039803932542718</v>
      </c>
      <c r="T31" s="40">
        <f t="shared" si="5"/>
        <v>37.271510018851934</v>
      </c>
      <c r="U31" s="40">
        <f t="shared" si="5"/>
        <v>41.037119688532677</v>
      </c>
      <c r="V31" s="40">
        <f t="shared" si="5"/>
        <v>34.725196019394929</v>
      </c>
      <c r="W31" s="40">
        <f t="shared" si="5"/>
        <v>37.271510018851934</v>
      </c>
      <c r="X31" s="40">
        <f t="shared" si="5"/>
        <v>43.00085652617279</v>
      </c>
      <c r="Y31" s="40">
        <f t="shared" si="5"/>
        <v>34.725196019394929</v>
      </c>
      <c r="Z31" s="40">
        <f t="shared" si="5"/>
        <v>42.493608470973854</v>
      </c>
      <c r="AA31" s="40">
        <f t="shared" si="5"/>
        <v>37.172804895378256</v>
      </c>
      <c r="AB31" s="33">
        <f>SUM(AC31,AY31:AZ31)</f>
        <v>1.8417161041891024</v>
      </c>
      <c r="AC31" s="33">
        <f>IFERROR(SUM(AC32:AC44),".")</f>
        <v>0.58085766466741084</v>
      </c>
      <c r="AD31" s="33">
        <f t="shared" ref="AD31:AZ31" si="6">IFERROR(SUM(AD32:AD44),".")</f>
        <v>1.259338910528486</v>
      </c>
      <c r="AE31" s="33">
        <f t="shared" si="6"/>
        <v>1.0781722111226664</v>
      </c>
      <c r="AF31" s="33">
        <f t="shared" si="6"/>
        <v>0.58597884900491082</v>
      </c>
      <c r="AG31" s="33">
        <f t="shared" si="6"/>
        <v>0.71993834062266615</v>
      </c>
      <c r="AH31" s="33">
        <f t="shared" si="6"/>
        <v>1.259338910528486</v>
      </c>
      <c r="AI31" s="33">
        <f t="shared" si="6"/>
        <v>1.0781722111226664</v>
      </c>
      <c r="AJ31" s="33">
        <f t="shared" si="6"/>
        <v>0.58085766466741084</v>
      </c>
      <c r="AK31" s="33">
        <f t="shared" si="6"/>
        <v>0.57206105133266127</v>
      </c>
      <c r="AL31" s="33">
        <f t="shared" si="6"/>
        <v>0.71993834062266615</v>
      </c>
      <c r="AM31" s="33">
        <f t="shared" si="6"/>
        <v>1.259338910528486</v>
      </c>
      <c r="AN31" s="33">
        <f t="shared" si="6"/>
        <v>0.67075361280922075</v>
      </c>
      <c r="AO31" s="33">
        <f t="shared" si="6"/>
        <v>0.71993834062266615</v>
      </c>
      <c r="AP31" s="33">
        <f t="shared" si="6"/>
        <v>0.71993834062266615</v>
      </c>
      <c r="AQ31" s="33">
        <f t="shared" si="6"/>
        <v>0.58085766466741084</v>
      </c>
      <c r="AR31" s="33">
        <f t="shared" si="6"/>
        <v>0.58085766466741084</v>
      </c>
      <c r="AS31" s="33">
        <f t="shared" si="6"/>
        <v>0.67075361280922075</v>
      </c>
      <c r="AT31" s="33">
        <f t="shared" si="6"/>
        <v>0.60920454919222655</v>
      </c>
      <c r="AU31" s="33">
        <f t="shared" si="6"/>
        <v>0.71993834062266615</v>
      </c>
      <c r="AV31" s="33">
        <f t="shared" si="6"/>
        <v>0.67075361280922075</v>
      </c>
      <c r="AW31" s="33">
        <f t="shared" si="6"/>
        <v>0.58138376812991088</v>
      </c>
      <c r="AX31" s="33">
        <f t="shared" si="6"/>
        <v>0.71993834062266615</v>
      </c>
      <c r="AY31" s="33">
        <f t="shared" si="6"/>
        <v>0.58832377149322979</v>
      </c>
      <c r="AZ31" s="33">
        <f t="shared" si="6"/>
        <v>0.67253466802846185</v>
      </c>
      <c r="BA31" s="40">
        <f t="shared" ref="BA31:BY31" si="7">1/SUM(1/BA32,1/BA33,1/BA34,1/BA35,1/BA36,1/BA37,1/BA38,1/BA41,1/BA44)</f>
        <v>13.574296246384492</v>
      </c>
      <c r="BB31" s="40">
        <f t="shared" si="7"/>
        <v>43.039803932542718</v>
      </c>
      <c r="BC31" s="40">
        <f t="shared" si="7"/>
        <v>19.851685508159726</v>
      </c>
      <c r="BD31" s="40">
        <f t="shared" si="7"/>
        <v>23.187390420653021</v>
      </c>
      <c r="BE31" s="40">
        <f t="shared" si="7"/>
        <v>42.66365593647987</v>
      </c>
      <c r="BF31" s="40">
        <f t="shared" si="7"/>
        <v>34.725196019394929</v>
      </c>
      <c r="BG31" s="40">
        <f t="shared" si="7"/>
        <v>19.851685508159726</v>
      </c>
      <c r="BH31" s="40">
        <f t="shared" si="7"/>
        <v>23.187390420653021</v>
      </c>
      <c r="BI31" s="40">
        <f t="shared" si="7"/>
        <v>43.039803932542718</v>
      </c>
      <c r="BJ31" s="40">
        <f t="shared" si="7"/>
        <v>43.701629295965056</v>
      </c>
      <c r="BK31" s="40">
        <f t="shared" si="7"/>
        <v>34.725196019394929</v>
      </c>
      <c r="BL31" s="40">
        <f t="shared" si="7"/>
        <v>19.851685508159726</v>
      </c>
      <c r="BM31" s="40">
        <f t="shared" si="7"/>
        <v>37.271510018851934</v>
      </c>
      <c r="BN31" s="40">
        <f t="shared" si="7"/>
        <v>34.725196019394929</v>
      </c>
      <c r="BO31" s="40">
        <f t="shared" si="7"/>
        <v>34.725196019394929</v>
      </c>
      <c r="BP31" s="40">
        <f t="shared" si="7"/>
        <v>43.039803932542718</v>
      </c>
      <c r="BQ31" s="40">
        <f t="shared" si="7"/>
        <v>43.039803932542718</v>
      </c>
      <c r="BR31" s="40">
        <f t="shared" si="7"/>
        <v>37.271510018851934</v>
      </c>
      <c r="BS31" s="40">
        <f t="shared" si="7"/>
        <v>41.037119688532677</v>
      </c>
      <c r="BT31" s="40">
        <f t="shared" si="7"/>
        <v>34.725196019394929</v>
      </c>
      <c r="BU31" s="40">
        <f t="shared" si="7"/>
        <v>37.271510018851934</v>
      </c>
      <c r="BV31" s="40">
        <f t="shared" si="7"/>
        <v>43.00085652617279</v>
      </c>
      <c r="BW31" s="40">
        <f t="shared" si="7"/>
        <v>34.725196019394929</v>
      </c>
      <c r="BX31" s="40">
        <f t="shared" si="7"/>
        <v>42.493608470973854</v>
      </c>
      <c r="BY31" s="40">
        <f t="shared" si="7"/>
        <v>37.172804895378256</v>
      </c>
      <c r="BZ31" s="33">
        <f>SUM(CA31,CW31:CX31)</f>
        <v>1.8417161041891024</v>
      </c>
      <c r="CA31" s="33">
        <f>IFERROR(SUM(CA32:CA44),".")</f>
        <v>0.58085766466741084</v>
      </c>
      <c r="CB31" s="33">
        <f t="shared" ref="CB31" si="8">IFERROR(SUM(CB32:CB44),".")</f>
        <v>1.259338910528486</v>
      </c>
      <c r="CC31" s="33">
        <f t="shared" ref="CC31" si="9">IFERROR(SUM(CC32:CC44),".")</f>
        <v>1.0781722111226664</v>
      </c>
      <c r="CD31" s="33">
        <f t="shared" ref="CD31" si="10">IFERROR(SUM(CD32:CD44),".")</f>
        <v>0.58597884900491082</v>
      </c>
      <c r="CE31" s="33">
        <f t="shared" ref="CE31" si="11">IFERROR(SUM(CE32:CE44),".")</f>
        <v>0.71993834062266615</v>
      </c>
      <c r="CF31" s="33">
        <f t="shared" ref="CF31" si="12">IFERROR(SUM(CF32:CF44),".")</f>
        <v>1.259338910528486</v>
      </c>
      <c r="CG31" s="33">
        <f t="shared" ref="CG31" si="13">IFERROR(SUM(CG32:CG44),".")</f>
        <v>1.0781722111226664</v>
      </c>
      <c r="CH31" s="33">
        <f t="shared" ref="CH31" si="14">IFERROR(SUM(CH32:CH44),".")</f>
        <v>0.58085766466741084</v>
      </c>
      <c r="CI31" s="33">
        <f t="shared" ref="CI31" si="15">IFERROR(SUM(CI32:CI44),".")</f>
        <v>0.57206105133266127</v>
      </c>
      <c r="CJ31" s="33">
        <f t="shared" ref="CJ31" si="16">IFERROR(SUM(CJ32:CJ44),".")</f>
        <v>0.71993834062266615</v>
      </c>
      <c r="CK31" s="33">
        <f t="shared" ref="CK31" si="17">IFERROR(SUM(CK32:CK44),".")</f>
        <v>1.259338910528486</v>
      </c>
      <c r="CL31" s="33">
        <f t="shared" ref="CL31" si="18">IFERROR(SUM(CL32:CL44),".")</f>
        <v>0.67075361280922075</v>
      </c>
      <c r="CM31" s="33">
        <f t="shared" ref="CM31" si="19">IFERROR(SUM(CM32:CM44),".")</f>
        <v>0.71993834062266615</v>
      </c>
      <c r="CN31" s="33">
        <f t="shared" ref="CN31" si="20">IFERROR(SUM(CN32:CN44),".")</f>
        <v>0.71993834062266615</v>
      </c>
      <c r="CO31" s="33">
        <f t="shared" ref="CO31" si="21">IFERROR(SUM(CO32:CO44),".")</f>
        <v>0.58085766466741084</v>
      </c>
      <c r="CP31" s="33">
        <f t="shared" ref="CP31" si="22">IFERROR(SUM(CP32:CP44),".")</f>
        <v>0.58085766466741084</v>
      </c>
      <c r="CQ31" s="33">
        <f t="shared" ref="CQ31" si="23">IFERROR(SUM(CQ32:CQ44),".")</f>
        <v>0.67075361280922075</v>
      </c>
      <c r="CR31" s="33">
        <f t="shared" ref="CR31" si="24">IFERROR(SUM(CR32:CR44),".")</f>
        <v>0.60920454919222655</v>
      </c>
      <c r="CS31" s="33">
        <f t="shared" ref="CS31" si="25">IFERROR(SUM(CS32:CS44),".")</f>
        <v>0.71993834062266615</v>
      </c>
      <c r="CT31" s="33">
        <f t="shared" ref="CT31" si="26">IFERROR(SUM(CT32:CT44),".")</f>
        <v>0.67075361280922075</v>
      </c>
      <c r="CU31" s="33">
        <f t="shared" ref="CU31" si="27">IFERROR(SUM(CU32:CU44),".")</f>
        <v>0.58138376812991088</v>
      </c>
      <c r="CV31" s="33">
        <f t="shared" ref="CV31" si="28">IFERROR(SUM(CV32:CV44),".")</f>
        <v>0.71993834062266615</v>
      </c>
      <c r="CW31" s="33">
        <f t="shared" ref="CW31" si="29">IFERROR(SUM(CW32:CW44),".")</f>
        <v>0.58832377149322979</v>
      </c>
      <c r="CX31" s="33">
        <f t="shared" ref="CX31" si="30">IFERROR(SUM(CX32:CX44),".")</f>
        <v>0.67253466802846185</v>
      </c>
    </row>
    <row r="32" spans="1:102" x14ac:dyDescent="0.25">
      <c r="A32" s="55" t="s">
        <v>1087</v>
      </c>
      <c r="B32" s="3">
        <v>1</v>
      </c>
      <c r="C32" s="42">
        <f t="shared" ref="C32:AA32" si="31">IFERROR(C3/$B32,0)</f>
        <v>90.342801944543481</v>
      </c>
      <c r="D32" s="42">
        <f t="shared" si="31"/>
        <v>277.43806438560455</v>
      </c>
      <c r="E32" s="42">
        <f t="shared" si="31"/>
        <v>272.62269057382827</v>
      </c>
      <c r="F32" s="42">
        <f t="shared" si="31"/>
        <v>264.92691949199821</v>
      </c>
      <c r="G32" s="42">
        <f t="shared" si="31"/>
        <v>262.51849295116187</v>
      </c>
      <c r="H32" s="42">
        <f t="shared" si="31"/>
        <v>270.8524133623099</v>
      </c>
      <c r="I32" s="42">
        <f t="shared" si="31"/>
        <v>272.62269057382827</v>
      </c>
      <c r="J32" s="42">
        <f t="shared" si="31"/>
        <v>264.92691949199821</v>
      </c>
      <c r="K32" s="42">
        <f t="shared" si="31"/>
        <v>277.43806438560455</v>
      </c>
      <c r="L32" s="42">
        <f t="shared" si="31"/>
        <v>277.04903684144762</v>
      </c>
      <c r="M32" s="42">
        <f t="shared" si="31"/>
        <v>270.8524133623099</v>
      </c>
      <c r="N32" s="42">
        <f t="shared" si="31"/>
        <v>272.62269057382827</v>
      </c>
      <c r="O32" s="42">
        <f t="shared" si="31"/>
        <v>270.46213610962644</v>
      </c>
      <c r="P32" s="42">
        <f t="shared" si="31"/>
        <v>270.8524133623099</v>
      </c>
      <c r="Q32" s="42">
        <f t="shared" si="31"/>
        <v>270.8524133623099</v>
      </c>
      <c r="R32" s="42">
        <f t="shared" si="31"/>
        <v>277.43806438560455</v>
      </c>
      <c r="S32" s="42">
        <f t="shared" si="31"/>
        <v>277.43806438560455</v>
      </c>
      <c r="T32" s="42">
        <f t="shared" si="31"/>
        <v>270.46213610962644</v>
      </c>
      <c r="U32" s="42">
        <f t="shared" si="31"/>
        <v>273.8157876879369</v>
      </c>
      <c r="V32" s="42">
        <f t="shared" si="31"/>
        <v>270.8524133623099</v>
      </c>
      <c r="W32" s="42">
        <f t="shared" si="31"/>
        <v>270.46213610962644</v>
      </c>
      <c r="X32" s="42">
        <f t="shared" si="31"/>
        <v>275.8276597503023</v>
      </c>
      <c r="Y32" s="42">
        <f t="shared" si="31"/>
        <v>270.8524133623099</v>
      </c>
      <c r="Z32" s="42">
        <f t="shared" si="31"/>
        <v>258.89754822080101</v>
      </c>
      <c r="AA32" s="42">
        <f t="shared" si="31"/>
        <v>277.62272217139588</v>
      </c>
      <c r="AB32" s="34">
        <f>SUM(AC32,AY32:AZ32)</f>
        <v>0.27672376173749996</v>
      </c>
      <c r="AC32" s="34">
        <f>IFERROR(s_RadSpec!$J$3*(AC3*$B32),".")</f>
        <v>9.0110201912499993E-2</v>
      </c>
      <c r="AD32" s="34">
        <f>IFERROR(s_RadSpec!$J$3*(AD3*$B32),".")</f>
        <v>9.1701831375000001E-2</v>
      </c>
      <c r="AE32" s="34">
        <f>IFERROR(s_RadSpec!$J$3*(AE3*$B32),".")</f>
        <v>9.4365646375000001E-2</v>
      </c>
      <c r="AF32" s="34">
        <f>IFERROR(s_RadSpec!$J$3*(AF3*$B32),".")</f>
        <v>9.5231386250000022E-2</v>
      </c>
      <c r="AG32" s="34">
        <f>IFERROR(s_RadSpec!$J$3*(AG3*$B32),".")</f>
        <v>9.2301189749999998E-2</v>
      </c>
      <c r="AH32" s="34">
        <f>IFERROR(s_RadSpec!$J$3*(AH3*$B32),".")</f>
        <v>9.1701831375000001E-2</v>
      </c>
      <c r="AI32" s="34">
        <f>IFERROR(s_RadSpec!$J$3*(AI3*$B32),".")</f>
        <v>9.4365646375000001E-2</v>
      </c>
      <c r="AJ32" s="34">
        <f>IFERROR(s_RadSpec!$J$3*(AJ3*$B32),".")</f>
        <v>9.0110201912499993E-2</v>
      </c>
      <c r="AK32" s="34">
        <f>IFERROR(s_RadSpec!$J$3*(AK3*$B32),".")</f>
        <v>9.023673312500001E-2</v>
      </c>
      <c r="AL32" s="34">
        <f>IFERROR(s_RadSpec!$J$3*(AL3*$B32),".")</f>
        <v>9.2301189749999998E-2</v>
      </c>
      <c r="AM32" s="34">
        <f>IFERROR(s_RadSpec!$J$3*(AM3*$B32),".")</f>
        <v>9.1701831375000001E-2</v>
      </c>
      <c r="AN32" s="34">
        <f>IFERROR(s_RadSpec!$J$3*(AN3*$B32),".")</f>
        <v>9.243438050000001E-2</v>
      </c>
      <c r="AO32" s="34">
        <f>IFERROR(s_RadSpec!$J$3*(AO3*$B32),".")</f>
        <v>9.2301189749999998E-2</v>
      </c>
      <c r="AP32" s="34">
        <f>IFERROR(s_RadSpec!$J$3*(AP3*$B32),".")</f>
        <v>9.2301189749999998E-2</v>
      </c>
      <c r="AQ32" s="34">
        <f>IFERROR(s_RadSpec!$J$3*(AQ3*$B32),".")</f>
        <v>9.0110201912499993E-2</v>
      </c>
      <c r="AR32" s="34">
        <f>IFERROR(s_RadSpec!$J$3*(AR3*$B32),".")</f>
        <v>9.0110201912499993E-2</v>
      </c>
      <c r="AS32" s="34">
        <f>IFERROR(s_RadSpec!$J$3*(AS3*$B32),".")</f>
        <v>9.243438050000001E-2</v>
      </c>
      <c r="AT32" s="34">
        <f>IFERROR(s_RadSpec!$J$3*(AT3*$B32),".")</f>
        <v>9.1302259125000007E-2</v>
      </c>
      <c r="AU32" s="34">
        <f>IFERROR(s_RadSpec!$J$3*(AU3*$B32),".")</f>
        <v>9.2301189749999998E-2</v>
      </c>
      <c r="AV32" s="34">
        <f>IFERROR(s_RadSpec!$J$3*(AV3*$B32),".")</f>
        <v>9.243438050000001E-2</v>
      </c>
      <c r="AW32" s="34">
        <f>IFERROR(s_RadSpec!$J$3*(AW3*$B32),".")</f>
        <v>9.0636305375000004E-2</v>
      </c>
      <c r="AX32" s="34">
        <f>IFERROR(s_RadSpec!$J$3*(AX3*$B32),".")</f>
        <v>9.2301189749999998E-2</v>
      </c>
      <c r="AY32" s="34">
        <f>IFERROR(s_RadSpec!$J$3*(AY3*$B32),".")</f>
        <v>9.6563293749999987E-2</v>
      </c>
      <c r="AZ32" s="34">
        <f>IFERROR(s_RadSpec!$J$3*(AZ3*$B32),".")</f>
        <v>9.005026607500001E-2</v>
      </c>
      <c r="BA32" s="42">
        <f t="shared" ref="BA32:BY32" si="32">IFERROR(BA3/$B32,0)</f>
        <v>90.342801944543481</v>
      </c>
      <c r="BB32" s="42">
        <f t="shared" si="32"/>
        <v>277.43806438560455</v>
      </c>
      <c r="BC32" s="42">
        <f t="shared" si="32"/>
        <v>272.62269057382827</v>
      </c>
      <c r="BD32" s="42">
        <f t="shared" si="32"/>
        <v>264.92691949199821</v>
      </c>
      <c r="BE32" s="42">
        <f t="shared" si="32"/>
        <v>262.51849295116187</v>
      </c>
      <c r="BF32" s="42">
        <f t="shared" si="32"/>
        <v>270.8524133623099</v>
      </c>
      <c r="BG32" s="42">
        <f t="shared" si="32"/>
        <v>272.62269057382827</v>
      </c>
      <c r="BH32" s="42">
        <f t="shared" si="32"/>
        <v>264.92691949199821</v>
      </c>
      <c r="BI32" s="42">
        <f t="shared" si="32"/>
        <v>277.43806438560455</v>
      </c>
      <c r="BJ32" s="42">
        <f t="shared" si="32"/>
        <v>277.04903684144762</v>
      </c>
      <c r="BK32" s="42">
        <f t="shared" si="32"/>
        <v>270.8524133623099</v>
      </c>
      <c r="BL32" s="42">
        <f t="shared" si="32"/>
        <v>272.62269057382827</v>
      </c>
      <c r="BM32" s="42">
        <f t="shared" si="32"/>
        <v>270.46213610962644</v>
      </c>
      <c r="BN32" s="42">
        <f t="shared" si="32"/>
        <v>270.8524133623099</v>
      </c>
      <c r="BO32" s="42">
        <f t="shared" si="32"/>
        <v>270.8524133623099</v>
      </c>
      <c r="BP32" s="42">
        <f t="shared" si="32"/>
        <v>277.43806438560455</v>
      </c>
      <c r="BQ32" s="42">
        <f t="shared" si="32"/>
        <v>277.43806438560455</v>
      </c>
      <c r="BR32" s="42">
        <f t="shared" si="32"/>
        <v>270.46213610962644</v>
      </c>
      <c r="BS32" s="42">
        <f t="shared" si="32"/>
        <v>273.8157876879369</v>
      </c>
      <c r="BT32" s="42">
        <f t="shared" si="32"/>
        <v>270.8524133623099</v>
      </c>
      <c r="BU32" s="42">
        <f t="shared" si="32"/>
        <v>270.46213610962644</v>
      </c>
      <c r="BV32" s="42">
        <f t="shared" si="32"/>
        <v>275.8276597503023</v>
      </c>
      <c r="BW32" s="42">
        <f t="shared" si="32"/>
        <v>270.8524133623099</v>
      </c>
      <c r="BX32" s="42">
        <f t="shared" si="32"/>
        <v>258.89754822080101</v>
      </c>
      <c r="BY32" s="42">
        <f t="shared" si="32"/>
        <v>277.62272217139588</v>
      </c>
      <c r="BZ32" s="34">
        <f>SUM(CA32,CW32:CX32)</f>
        <v>0.27672376173749996</v>
      </c>
      <c r="CA32" s="34">
        <f>IFERROR(s_RadSpec!$J$3*(CA3*$B32),".")</f>
        <v>9.0110201912499993E-2</v>
      </c>
      <c r="CB32" s="34">
        <f>IFERROR(s_RadSpec!$J$3*(CB3*$B32),".")</f>
        <v>9.1701831375000001E-2</v>
      </c>
      <c r="CC32" s="34">
        <f>IFERROR(s_RadSpec!$J$3*(CC3*$B32),".")</f>
        <v>9.4365646375000001E-2</v>
      </c>
      <c r="CD32" s="34">
        <f>IFERROR(s_RadSpec!$J$3*(CD3*$B32),".")</f>
        <v>9.5231386250000022E-2</v>
      </c>
      <c r="CE32" s="34">
        <f>IFERROR(s_RadSpec!$J$3*(CE3*$B32),".")</f>
        <v>9.2301189749999998E-2</v>
      </c>
      <c r="CF32" s="34">
        <f>IFERROR(s_RadSpec!$J$3*(CF3*$B32),".")</f>
        <v>9.1701831375000001E-2</v>
      </c>
      <c r="CG32" s="34">
        <f>IFERROR(s_RadSpec!$J$3*(CG3*$B32),".")</f>
        <v>9.4365646375000001E-2</v>
      </c>
      <c r="CH32" s="34">
        <f>IFERROR(s_RadSpec!$J$3*(CH3*$B32),".")</f>
        <v>9.0110201912499993E-2</v>
      </c>
      <c r="CI32" s="34">
        <f>IFERROR(s_RadSpec!$J$3*(CI3*$B32),".")</f>
        <v>9.023673312500001E-2</v>
      </c>
      <c r="CJ32" s="34">
        <f>IFERROR(s_RadSpec!$J$3*(CJ3*$B32),".")</f>
        <v>9.2301189749999998E-2</v>
      </c>
      <c r="CK32" s="34">
        <f>IFERROR(s_RadSpec!$J$3*(CK3*$B32),".")</f>
        <v>9.1701831375000001E-2</v>
      </c>
      <c r="CL32" s="34">
        <f>IFERROR(s_RadSpec!$J$3*(CL3*$B32),".")</f>
        <v>9.243438050000001E-2</v>
      </c>
      <c r="CM32" s="34">
        <f>IFERROR(s_RadSpec!$J$3*(CM3*$B32),".")</f>
        <v>9.2301189749999998E-2</v>
      </c>
      <c r="CN32" s="34">
        <f>IFERROR(s_RadSpec!$J$3*(CN3*$B32),".")</f>
        <v>9.2301189749999998E-2</v>
      </c>
      <c r="CO32" s="34">
        <f>IFERROR(s_RadSpec!$J$3*(CO3*$B32),".")</f>
        <v>9.0110201912499993E-2</v>
      </c>
      <c r="CP32" s="34">
        <f>IFERROR(s_RadSpec!$J$3*(CP3*$B32),".")</f>
        <v>9.0110201912499993E-2</v>
      </c>
      <c r="CQ32" s="34">
        <f>IFERROR(s_RadSpec!$J$3*(CQ3*$B32),".")</f>
        <v>9.243438050000001E-2</v>
      </c>
      <c r="CR32" s="34">
        <f>IFERROR(s_RadSpec!$J$3*(CR3*$B32),".")</f>
        <v>9.1302259125000007E-2</v>
      </c>
      <c r="CS32" s="34">
        <f>IFERROR(s_RadSpec!$J$3*(CS3*$B32),".")</f>
        <v>9.2301189749999998E-2</v>
      </c>
      <c r="CT32" s="34">
        <f>IFERROR(s_RadSpec!$J$3*(CT3*$B32),".")</f>
        <v>9.243438050000001E-2</v>
      </c>
      <c r="CU32" s="34">
        <f>IFERROR(s_RadSpec!$J$3*(CU3*$B32),".")</f>
        <v>9.0636305375000004E-2</v>
      </c>
      <c r="CV32" s="34">
        <f>IFERROR(s_RadSpec!$J$3*(CV3*$B32),".")</f>
        <v>9.2301189749999998E-2</v>
      </c>
      <c r="CW32" s="34">
        <f>IFERROR(s_RadSpec!$J$3*(CW3*$B32),".")</f>
        <v>9.6563293749999987E-2</v>
      </c>
      <c r="CX32" s="34">
        <f>IFERROR(s_RadSpec!$J$3*(CX3*$B32),".")</f>
        <v>9.005026607500001E-2</v>
      </c>
    </row>
    <row r="33" spans="1:102" x14ac:dyDescent="0.25">
      <c r="A33" s="55" t="s">
        <v>1063</v>
      </c>
      <c r="B33" s="3">
        <v>1</v>
      </c>
      <c r="C33" s="42">
        <f t="shared" ref="C33:AA34" si="33">IFERROR(C13/$B33,0)</f>
        <v>112.20790441569662</v>
      </c>
      <c r="D33" s="42">
        <f t="shared" si="33"/>
        <v>517.94518197680259</v>
      </c>
      <c r="E33" s="42">
        <f t="shared" si="33"/>
        <v>176.48502496987345</v>
      </c>
      <c r="F33" s="42">
        <f t="shared" si="33"/>
        <v>201.34207074027819</v>
      </c>
      <c r="G33" s="42">
        <f t="shared" si="33"/>
        <v>517.94518197680259</v>
      </c>
      <c r="H33" s="42">
        <f t="shared" si="33"/>
        <v>226.90931781840874</v>
      </c>
      <c r="I33" s="42">
        <f t="shared" si="33"/>
        <v>176.48502496987345</v>
      </c>
      <c r="J33" s="42">
        <f t="shared" si="33"/>
        <v>201.34207074027819</v>
      </c>
      <c r="K33" s="42">
        <f t="shared" si="33"/>
        <v>517.94518197680259</v>
      </c>
      <c r="L33" s="42">
        <f t="shared" si="33"/>
        <v>390.58161263824451</v>
      </c>
      <c r="M33" s="42">
        <f t="shared" si="33"/>
        <v>226.90931781840874</v>
      </c>
      <c r="N33" s="42">
        <f t="shared" si="33"/>
        <v>176.48502496987345</v>
      </c>
      <c r="O33" s="42">
        <f t="shared" si="33"/>
        <v>234.34896758294673</v>
      </c>
      <c r="P33" s="42">
        <f t="shared" si="33"/>
        <v>226.90931781840874</v>
      </c>
      <c r="Q33" s="42">
        <f t="shared" si="33"/>
        <v>226.90931781840874</v>
      </c>
      <c r="R33" s="42">
        <f t="shared" si="33"/>
        <v>517.94518197680259</v>
      </c>
      <c r="S33" s="42">
        <f t="shared" si="33"/>
        <v>517.94518197680259</v>
      </c>
      <c r="T33" s="42">
        <f t="shared" si="33"/>
        <v>234.34896758294673</v>
      </c>
      <c r="U33" s="42">
        <f t="shared" si="33"/>
        <v>372.27309954582677</v>
      </c>
      <c r="V33" s="42">
        <f t="shared" si="33"/>
        <v>226.90931781840874</v>
      </c>
      <c r="W33" s="42">
        <f t="shared" si="33"/>
        <v>234.34896758294673</v>
      </c>
      <c r="X33" s="42">
        <f t="shared" si="33"/>
        <v>517.94518197680259</v>
      </c>
      <c r="Y33" s="42">
        <f t="shared" si="33"/>
        <v>226.90931781840874</v>
      </c>
      <c r="Z33" s="42">
        <f t="shared" si="33"/>
        <v>213.36249287402609</v>
      </c>
      <c r="AA33" s="42">
        <f t="shared" si="33"/>
        <v>435.83192141950462</v>
      </c>
      <c r="AB33" s="34">
        <f t="shared" si="4"/>
        <v>0.22280070312500003</v>
      </c>
      <c r="AC33" s="34">
        <f>IFERROR(s_RadSpec!$J$13*(AC13*$B33),".")</f>
        <v>4.8267656250000006E-2</v>
      </c>
      <c r="AD33" s="34">
        <f>IFERROR(s_RadSpec!$J$13*(AD13*$B33),".")</f>
        <v>0.141655078125</v>
      </c>
      <c r="AE33" s="34">
        <f>IFERROR(s_RadSpec!$J$13*(AE13*$B33),".")</f>
        <v>0.124166796875</v>
      </c>
      <c r="AF33" s="34">
        <f>IFERROR(s_RadSpec!$J$13*(AF13*$B33),".")</f>
        <v>4.8267656250000006E-2</v>
      </c>
      <c r="AG33" s="34">
        <f>IFERROR(s_RadSpec!$J$13*(AG13*$B33),".")</f>
        <v>0.11017617187500001</v>
      </c>
      <c r="AH33" s="34">
        <f>IFERROR(s_RadSpec!$J$13*(AH13*$B33),".")</f>
        <v>0.141655078125</v>
      </c>
      <c r="AI33" s="34">
        <f>IFERROR(s_RadSpec!$J$13*(AI13*$B33),".")</f>
        <v>0.124166796875</v>
      </c>
      <c r="AJ33" s="34">
        <f>IFERROR(s_RadSpec!$J$13*(AJ13*$B33),".")</f>
        <v>4.8267656250000006E-2</v>
      </c>
      <c r="AK33" s="34">
        <f>IFERROR(s_RadSpec!$J$13*(AK13*$B33),".")</f>
        <v>6.4007109374999996E-2</v>
      </c>
      <c r="AL33" s="34">
        <f>IFERROR(s_RadSpec!$J$13*(AL13*$B33),".")</f>
        <v>0.11017617187500001</v>
      </c>
      <c r="AM33" s="34">
        <f>IFERROR(s_RadSpec!$J$13*(AM13*$B33),".")</f>
        <v>0.141655078125</v>
      </c>
      <c r="AN33" s="34">
        <f>IFERROR(s_RadSpec!$J$13*(AN13*$B33),".")</f>
        <v>0.10667851562500001</v>
      </c>
      <c r="AO33" s="34">
        <f>IFERROR(s_RadSpec!$J$13*(AO13*$B33),".")</f>
        <v>0.11017617187500001</v>
      </c>
      <c r="AP33" s="34">
        <f>IFERROR(s_RadSpec!$J$13*(AP13*$B33),".")</f>
        <v>0.11017617187500001</v>
      </c>
      <c r="AQ33" s="34">
        <f>IFERROR(s_RadSpec!$J$13*(AQ13*$B33),".")</f>
        <v>4.8267656250000006E-2</v>
      </c>
      <c r="AR33" s="34">
        <f>IFERROR(s_RadSpec!$J$13*(AR13*$B33),".")</f>
        <v>4.8267656250000006E-2</v>
      </c>
      <c r="AS33" s="34">
        <f>IFERROR(s_RadSpec!$J$13*(AS13*$B33),".")</f>
        <v>0.10667851562500001</v>
      </c>
      <c r="AT33" s="34">
        <f>IFERROR(s_RadSpec!$J$13*(AT13*$B33),".")</f>
        <v>6.7155000000000006E-2</v>
      </c>
      <c r="AU33" s="34">
        <f>IFERROR(s_RadSpec!$J$13*(AU13*$B33),".")</f>
        <v>0.11017617187500001</v>
      </c>
      <c r="AV33" s="34">
        <f>IFERROR(s_RadSpec!$J$13*(AV13*$B33),".")</f>
        <v>0.10667851562500001</v>
      </c>
      <c r="AW33" s="34">
        <f>IFERROR(s_RadSpec!$J$13*(AW13*$B33),".")</f>
        <v>4.8267656250000006E-2</v>
      </c>
      <c r="AX33" s="34">
        <f>IFERROR(s_RadSpec!$J$13*(AX13*$B33),".")</f>
        <v>0.11017617187500001</v>
      </c>
      <c r="AY33" s="34">
        <f>IFERROR(s_RadSpec!$J$13*(AY13*$B33),".")</f>
        <v>0.11717148437500002</v>
      </c>
      <c r="AZ33" s="34">
        <f>IFERROR(s_RadSpec!$J$13*(AZ13*$B33),".")</f>
        <v>5.7361562499999991E-2</v>
      </c>
      <c r="BA33" s="42">
        <f t="shared" ref="BA33:BY34" si="34">IFERROR(BA13/$B33,0)</f>
        <v>112.20790441569662</v>
      </c>
      <c r="BB33" s="42">
        <f t="shared" si="34"/>
        <v>517.94518197680259</v>
      </c>
      <c r="BC33" s="42">
        <f t="shared" si="34"/>
        <v>176.48502496987345</v>
      </c>
      <c r="BD33" s="42">
        <f t="shared" si="34"/>
        <v>201.34207074027819</v>
      </c>
      <c r="BE33" s="42">
        <f t="shared" si="34"/>
        <v>517.94518197680259</v>
      </c>
      <c r="BF33" s="42">
        <f t="shared" si="34"/>
        <v>226.90931781840874</v>
      </c>
      <c r="BG33" s="42">
        <f t="shared" si="34"/>
        <v>176.48502496987345</v>
      </c>
      <c r="BH33" s="42">
        <f t="shared" si="34"/>
        <v>201.34207074027819</v>
      </c>
      <c r="BI33" s="42">
        <f t="shared" si="34"/>
        <v>517.94518197680259</v>
      </c>
      <c r="BJ33" s="42">
        <f t="shared" si="34"/>
        <v>390.58161263824451</v>
      </c>
      <c r="BK33" s="42">
        <f t="shared" si="34"/>
        <v>226.90931781840874</v>
      </c>
      <c r="BL33" s="42">
        <f t="shared" si="34"/>
        <v>176.48502496987345</v>
      </c>
      <c r="BM33" s="42">
        <f t="shared" si="34"/>
        <v>234.34896758294673</v>
      </c>
      <c r="BN33" s="42">
        <f t="shared" si="34"/>
        <v>226.90931781840874</v>
      </c>
      <c r="BO33" s="42">
        <f t="shared" si="34"/>
        <v>226.90931781840874</v>
      </c>
      <c r="BP33" s="42">
        <f t="shared" si="34"/>
        <v>517.94518197680259</v>
      </c>
      <c r="BQ33" s="42">
        <f t="shared" si="34"/>
        <v>517.94518197680259</v>
      </c>
      <c r="BR33" s="42">
        <f t="shared" si="34"/>
        <v>234.34896758294673</v>
      </c>
      <c r="BS33" s="42">
        <f t="shared" si="34"/>
        <v>372.27309954582677</v>
      </c>
      <c r="BT33" s="42">
        <f t="shared" si="34"/>
        <v>226.90931781840874</v>
      </c>
      <c r="BU33" s="42">
        <f t="shared" si="34"/>
        <v>234.34896758294673</v>
      </c>
      <c r="BV33" s="42">
        <f t="shared" si="34"/>
        <v>517.94518197680259</v>
      </c>
      <c r="BW33" s="42">
        <f t="shared" si="34"/>
        <v>226.90931781840874</v>
      </c>
      <c r="BX33" s="42">
        <f t="shared" si="34"/>
        <v>213.36249287402609</v>
      </c>
      <c r="BY33" s="42">
        <f t="shared" si="34"/>
        <v>435.83192141950462</v>
      </c>
      <c r="BZ33" s="34">
        <f t="shared" ref="BZ33:BZ76" si="35">SUM(CA33,CW33:CX33)</f>
        <v>0.22280070312500003</v>
      </c>
      <c r="CA33" s="34">
        <f>IFERROR(s_RadSpec!$J$13*(CA13*$B33),".")</f>
        <v>4.8267656250000006E-2</v>
      </c>
      <c r="CB33" s="34">
        <f>IFERROR(s_RadSpec!$J$13*(CB13*$B33),".")</f>
        <v>0.141655078125</v>
      </c>
      <c r="CC33" s="34">
        <f>IFERROR(s_RadSpec!$J$13*(CC13*$B33),".")</f>
        <v>0.124166796875</v>
      </c>
      <c r="CD33" s="34">
        <f>IFERROR(s_RadSpec!$J$13*(CD13*$B33),".")</f>
        <v>4.8267656250000006E-2</v>
      </c>
      <c r="CE33" s="34">
        <f>IFERROR(s_RadSpec!$J$13*(CE13*$B33),".")</f>
        <v>0.11017617187500001</v>
      </c>
      <c r="CF33" s="34">
        <f>IFERROR(s_RadSpec!$J$13*(CF13*$B33),".")</f>
        <v>0.141655078125</v>
      </c>
      <c r="CG33" s="34">
        <f>IFERROR(s_RadSpec!$J$13*(CG13*$B33),".")</f>
        <v>0.124166796875</v>
      </c>
      <c r="CH33" s="34">
        <f>IFERROR(s_RadSpec!$J$13*(CH13*$B33),".")</f>
        <v>4.8267656250000006E-2</v>
      </c>
      <c r="CI33" s="34">
        <f>IFERROR(s_RadSpec!$J$13*(CI13*$B33),".")</f>
        <v>6.4007109374999996E-2</v>
      </c>
      <c r="CJ33" s="34">
        <f>IFERROR(s_RadSpec!$J$13*(CJ13*$B33),".")</f>
        <v>0.11017617187500001</v>
      </c>
      <c r="CK33" s="34">
        <f>IFERROR(s_RadSpec!$J$13*(CK13*$B33),".")</f>
        <v>0.141655078125</v>
      </c>
      <c r="CL33" s="34">
        <f>IFERROR(s_RadSpec!$J$13*(CL13*$B33),".")</f>
        <v>0.10667851562500001</v>
      </c>
      <c r="CM33" s="34">
        <f>IFERROR(s_RadSpec!$J$13*(CM13*$B33),".")</f>
        <v>0.11017617187500001</v>
      </c>
      <c r="CN33" s="34">
        <f>IFERROR(s_RadSpec!$J$13*(CN13*$B33),".")</f>
        <v>0.11017617187500001</v>
      </c>
      <c r="CO33" s="34">
        <f>IFERROR(s_RadSpec!$J$13*(CO13*$B33),".")</f>
        <v>4.8267656250000006E-2</v>
      </c>
      <c r="CP33" s="34">
        <f>IFERROR(s_RadSpec!$J$13*(CP13*$B33),".")</f>
        <v>4.8267656250000006E-2</v>
      </c>
      <c r="CQ33" s="34">
        <f>IFERROR(s_RadSpec!$J$13*(CQ13*$B33),".")</f>
        <v>0.10667851562500001</v>
      </c>
      <c r="CR33" s="34">
        <f>IFERROR(s_RadSpec!$J$13*(CR13*$B33),".")</f>
        <v>6.7155000000000006E-2</v>
      </c>
      <c r="CS33" s="34">
        <f>IFERROR(s_RadSpec!$J$13*(CS13*$B33),".")</f>
        <v>0.11017617187500001</v>
      </c>
      <c r="CT33" s="34">
        <f>IFERROR(s_RadSpec!$J$13*(CT13*$B33),".")</f>
        <v>0.10667851562500001</v>
      </c>
      <c r="CU33" s="34">
        <f>IFERROR(s_RadSpec!$J$13*(CU13*$B33),".")</f>
        <v>4.8267656250000006E-2</v>
      </c>
      <c r="CV33" s="34">
        <f>IFERROR(s_RadSpec!$J$13*(CV13*$B33),".")</f>
        <v>0.11017617187500001</v>
      </c>
      <c r="CW33" s="34">
        <f>IFERROR(s_RadSpec!$J$13*(CW13*$B33),".")</f>
        <v>0.11717148437500002</v>
      </c>
      <c r="CX33" s="34">
        <f>IFERROR(s_RadSpec!$J$13*(CX13*$B33),".")</f>
        <v>5.7361562499999991E-2</v>
      </c>
    </row>
    <row r="34" spans="1:102" x14ac:dyDescent="0.25">
      <c r="A34" s="55" t="s">
        <v>1064</v>
      </c>
      <c r="B34" s="3">
        <v>1</v>
      </c>
      <c r="C34" s="42">
        <f t="shared" si="33"/>
        <v>9600.8536310980489</v>
      </c>
      <c r="D34" s="42">
        <f t="shared" si="33"/>
        <v>28802.560893294147</v>
      </c>
      <c r="E34" s="42">
        <f t="shared" si="33"/>
        <v>28802.560893294147</v>
      </c>
      <c r="F34" s="42">
        <f t="shared" si="33"/>
        <v>28802.560893294147</v>
      </c>
      <c r="G34" s="42">
        <f t="shared" si="33"/>
        <v>28802.560893294147</v>
      </c>
      <c r="H34" s="42">
        <f t="shared" si="33"/>
        <v>28802.560893294147</v>
      </c>
      <c r="I34" s="42">
        <f t="shared" si="33"/>
        <v>28802.560893294147</v>
      </c>
      <c r="J34" s="42">
        <f t="shared" si="33"/>
        <v>28802.560893294147</v>
      </c>
      <c r="K34" s="42">
        <f t="shared" si="33"/>
        <v>28802.560893294147</v>
      </c>
      <c r="L34" s="42">
        <f t="shared" si="33"/>
        <v>28802.560893294147</v>
      </c>
      <c r="M34" s="42">
        <f t="shared" si="33"/>
        <v>28802.560893294147</v>
      </c>
      <c r="N34" s="42">
        <f t="shared" si="33"/>
        <v>28802.560893294147</v>
      </c>
      <c r="O34" s="42">
        <f t="shared" si="33"/>
        <v>28802.560893294147</v>
      </c>
      <c r="P34" s="42">
        <f t="shared" si="33"/>
        <v>28802.560893294147</v>
      </c>
      <c r="Q34" s="42">
        <f t="shared" si="33"/>
        <v>28802.560893294147</v>
      </c>
      <c r="R34" s="42">
        <f t="shared" si="33"/>
        <v>28802.560893294147</v>
      </c>
      <c r="S34" s="42">
        <f t="shared" si="33"/>
        <v>28802.560893294147</v>
      </c>
      <c r="T34" s="42">
        <f t="shared" si="33"/>
        <v>28802.560893294147</v>
      </c>
      <c r="U34" s="42">
        <f t="shared" si="33"/>
        <v>28802.560893294147</v>
      </c>
      <c r="V34" s="42">
        <f t="shared" si="33"/>
        <v>28802.560893294147</v>
      </c>
      <c r="W34" s="42">
        <f t="shared" si="33"/>
        <v>28802.560893294147</v>
      </c>
      <c r="X34" s="42">
        <f t="shared" si="33"/>
        <v>28802.560893294147</v>
      </c>
      <c r="Y34" s="42">
        <f t="shared" si="33"/>
        <v>28802.560893294147</v>
      </c>
      <c r="Z34" s="42">
        <f t="shared" si="33"/>
        <v>28802.560893294147</v>
      </c>
      <c r="AA34" s="42">
        <f t="shared" si="33"/>
        <v>28802.560893294147</v>
      </c>
      <c r="AB34" s="34">
        <f t="shared" si="4"/>
        <v>2.6039351250000003E-3</v>
      </c>
      <c r="AC34" s="34">
        <f>IFERROR(s_RadSpec!$J$14*(AC14*$B34),".")</f>
        <v>8.6797837500000006E-4</v>
      </c>
      <c r="AD34" s="34">
        <f>IFERROR(s_RadSpec!$J$14*(AD14*$B34),".")</f>
        <v>8.6797837500000006E-4</v>
      </c>
      <c r="AE34" s="34">
        <f>IFERROR(s_RadSpec!$J$14*(AE14*$B34),".")</f>
        <v>8.6797837500000006E-4</v>
      </c>
      <c r="AF34" s="34">
        <f>IFERROR(s_RadSpec!$J$14*(AF14*$B34),".")</f>
        <v>8.6797837500000006E-4</v>
      </c>
      <c r="AG34" s="34">
        <f>IFERROR(s_RadSpec!$J$14*(AG14*$B34),".")</f>
        <v>8.6797837500000006E-4</v>
      </c>
      <c r="AH34" s="34">
        <f>IFERROR(s_RadSpec!$J$14*(AH14*$B34),".")</f>
        <v>8.6797837500000006E-4</v>
      </c>
      <c r="AI34" s="34">
        <f>IFERROR(s_RadSpec!$J$14*(AI14*$B34),".")</f>
        <v>8.6797837500000006E-4</v>
      </c>
      <c r="AJ34" s="34">
        <f>IFERROR(s_RadSpec!$J$14*(AJ14*$B34),".")</f>
        <v>8.6797837500000006E-4</v>
      </c>
      <c r="AK34" s="34">
        <f>IFERROR(s_RadSpec!$J$14*(AK14*$B34),".")</f>
        <v>8.6797837500000006E-4</v>
      </c>
      <c r="AL34" s="34">
        <f>IFERROR(s_RadSpec!$J$14*(AL14*$B34),".")</f>
        <v>8.6797837500000006E-4</v>
      </c>
      <c r="AM34" s="34">
        <f>IFERROR(s_RadSpec!$J$14*(AM14*$B34),".")</f>
        <v>8.6797837500000006E-4</v>
      </c>
      <c r="AN34" s="34">
        <f>IFERROR(s_RadSpec!$J$14*(AN14*$B34),".")</f>
        <v>8.6797837500000006E-4</v>
      </c>
      <c r="AO34" s="34">
        <f>IFERROR(s_RadSpec!$J$14*(AO14*$B34),".")</f>
        <v>8.6797837500000006E-4</v>
      </c>
      <c r="AP34" s="34">
        <f>IFERROR(s_RadSpec!$J$14*(AP14*$B34),".")</f>
        <v>8.6797837500000006E-4</v>
      </c>
      <c r="AQ34" s="34">
        <f>IFERROR(s_RadSpec!$J$14*(AQ14*$B34),".")</f>
        <v>8.6797837500000006E-4</v>
      </c>
      <c r="AR34" s="34">
        <f>IFERROR(s_RadSpec!$J$14*(AR14*$B34),".")</f>
        <v>8.6797837500000006E-4</v>
      </c>
      <c r="AS34" s="34">
        <f>IFERROR(s_RadSpec!$J$14*(AS14*$B34),".")</f>
        <v>8.6797837500000006E-4</v>
      </c>
      <c r="AT34" s="34">
        <f>IFERROR(s_RadSpec!$J$14*(AT14*$B34),".")</f>
        <v>8.6797837500000006E-4</v>
      </c>
      <c r="AU34" s="34">
        <f>IFERROR(s_RadSpec!$J$14*(AU14*$B34),".")</f>
        <v>8.6797837500000006E-4</v>
      </c>
      <c r="AV34" s="34">
        <f>IFERROR(s_RadSpec!$J$14*(AV14*$B34),".")</f>
        <v>8.6797837500000006E-4</v>
      </c>
      <c r="AW34" s="34">
        <f>IFERROR(s_RadSpec!$J$14*(AW14*$B34),".")</f>
        <v>8.6797837500000006E-4</v>
      </c>
      <c r="AX34" s="34">
        <f>IFERROR(s_RadSpec!$J$14*(AX14*$B34),".")</f>
        <v>8.6797837500000006E-4</v>
      </c>
      <c r="AY34" s="34">
        <f>IFERROR(s_RadSpec!$J$14*(AY14*$B34),".")</f>
        <v>8.6797837500000006E-4</v>
      </c>
      <c r="AZ34" s="34">
        <f>IFERROR(s_RadSpec!$J$14*(AZ14*$B34),".")</f>
        <v>8.6797837500000006E-4</v>
      </c>
      <c r="BA34" s="42">
        <f t="shared" si="34"/>
        <v>9600.8536310980489</v>
      </c>
      <c r="BB34" s="42">
        <f t="shared" si="34"/>
        <v>28802.560893294147</v>
      </c>
      <c r="BC34" s="42">
        <f t="shared" si="34"/>
        <v>28802.560893294147</v>
      </c>
      <c r="BD34" s="42">
        <f t="shared" si="34"/>
        <v>28802.560893294147</v>
      </c>
      <c r="BE34" s="42">
        <f t="shared" si="34"/>
        <v>28802.560893294147</v>
      </c>
      <c r="BF34" s="42">
        <f t="shared" si="34"/>
        <v>28802.560893294147</v>
      </c>
      <c r="BG34" s="42">
        <f t="shared" si="34"/>
        <v>28802.560893294147</v>
      </c>
      <c r="BH34" s="42">
        <f t="shared" si="34"/>
        <v>28802.560893294147</v>
      </c>
      <c r="BI34" s="42">
        <f t="shared" si="34"/>
        <v>28802.560893294147</v>
      </c>
      <c r="BJ34" s="42">
        <f t="shared" si="34"/>
        <v>28802.560893294147</v>
      </c>
      <c r="BK34" s="42">
        <f t="shared" si="34"/>
        <v>28802.560893294147</v>
      </c>
      <c r="BL34" s="42">
        <f t="shared" si="34"/>
        <v>28802.560893294147</v>
      </c>
      <c r="BM34" s="42">
        <f t="shared" si="34"/>
        <v>28802.560893294147</v>
      </c>
      <c r="BN34" s="42">
        <f t="shared" si="34"/>
        <v>28802.560893294147</v>
      </c>
      <c r="BO34" s="42">
        <f t="shared" si="34"/>
        <v>28802.560893294147</v>
      </c>
      <c r="BP34" s="42">
        <f t="shared" si="34"/>
        <v>28802.560893294147</v>
      </c>
      <c r="BQ34" s="42">
        <f t="shared" si="34"/>
        <v>28802.560893294147</v>
      </c>
      <c r="BR34" s="42">
        <f t="shared" si="34"/>
        <v>28802.560893294147</v>
      </c>
      <c r="BS34" s="42">
        <f t="shared" si="34"/>
        <v>28802.560893294147</v>
      </c>
      <c r="BT34" s="42">
        <f t="shared" si="34"/>
        <v>28802.560893294147</v>
      </c>
      <c r="BU34" s="42">
        <f t="shared" si="34"/>
        <v>28802.560893294147</v>
      </c>
      <c r="BV34" s="42">
        <f t="shared" si="34"/>
        <v>28802.560893294147</v>
      </c>
      <c r="BW34" s="42">
        <f t="shared" si="34"/>
        <v>28802.560893294147</v>
      </c>
      <c r="BX34" s="42">
        <f t="shared" si="34"/>
        <v>28802.560893294147</v>
      </c>
      <c r="BY34" s="42">
        <f t="shared" si="34"/>
        <v>28802.560893294147</v>
      </c>
      <c r="BZ34" s="34">
        <f t="shared" si="35"/>
        <v>2.6039351250000003E-3</v>
      </c>
      <c r="CA34" s="34">
        <f>IFERROR(s_RadSpec!$J$14*(CA14*$B34),".")</f>
        <v>8.6797837500000006E-4</v>
      </c>
      <c r="CB34" s="34">
        <f>IFERROR(s_RadSpec!$J$14*(CB14*$B34),".")</f>
        <v>8.6797837500000006E-4</v>
      </c>
      <c r="CC34" s="34">
        <f>IFERROR(s_RadSpec!$J$14*(CC14*$B34),".")</f>
        <v>8.6797837500000006E-4</v>
      </c>
      <c r="CD34" s="34">
        <f>IFERROR(s_RadSpec!$J$14*(CD14*$B34),".")</f>
        <v>8.6797837500000006E-4</v>
      </c>
      <c r="CE34" s="34">
        <f>IFERROR(s_RadSpec!$J$14*(CE14*$B34),".")</f>
        <v>8.6797837500000006E-4</v>
      </c>
      <c r="CF34" s="34">
        <f>IFERROR(s_RadSpec!$J$14*(CF14*$B34),".")</f>
        <v>8.6797837500000006E-4</v>
      </c>
      <c r="CG34" s="34">
        <f>IFERROR(s_RadSpec!$J$14*(CG14*$B34),".")</f>
        <v>8.6797837500000006E-4</v>
      </c>
      <c r="CH34" s="34">
        <f>IFERROR(s_RadSpec!$J$14*(CH14*$B34),".")</f>
        <v>8.6797837500000006E-4</v>
      </c>
      <c r="CI34" s="34">
        <f>IFERROR(s_RadSpec!$J$14*(CI14*$B34),".")</f>
        <v>8.6797837500000006E-4</v>
      </c>
      <c r="CJ34" s="34">
        <f>IFERROR(s_RadSpec!$J$14*(CJ14*$B34),".")</f>
        <v>8.6797837500000006E-4</v>
      </c>
      <c r="CK34" s="34">
        <f>IFERROR(s_RadSpec!$J$14*(CK14*$B34),".")</f>
        <v>8.6797837500000006E-4</v>
      </c>
      <c r="CL34" s="34">
        <f>IFERROR(s_RadSpec!$J$14*(CL14*$B34),".")</f>
        <v>8.6797837500000006E-4</v>
      </c>
      <c r="CM34" s="34">
        <f>IFERROR(s_RadSpec!$J$14*(CM14*$B34),".")</f>
        <v>8.6797837500000006E-4</v>
      </c>
      <c r="CN34" s="34">
        <f>IFERROR(s_RadSpec!$J$14*(CN14*$B34),".")</f>
        <v>8.6797837500000006E-4</v>
      </c>
      <c r="CO34" s="34">
        <f>IFERROR(s_RadSpec!$J$14*(CO14*$B34),".")</f>
        <v>8.6797837500000006E-4</v>
      </c>
      <c r="CP34" s="34">
        <f>IFERROR(s_RadSpec!$J$14*(CP14*$B34),".")</f>
        <v>8.6797837500000006E-4</v>
      </c>
      <c r="CQ34" s="34">
        <f>IFERROR(s_RadSpec!$J$14*(CQ14*$B34),".")</f>
        <v>8.6797837500000006E-4</v>
      </c>
      <c r="CR34" s="34">
        <f>IFERROR(s_RadSpec!$J$14*(CR14*$B34),".")</f>
        <v>8.6797837500000006E-4</v>
      </c>
      <c r="CS34" s="34">
        <f>IFERROR(s_RadSpec!$J$14*(CS14*$B34),".")</f>
        <v>8.6797837500000006E-4</v>
      </c>
      <c r="CT34" s="34">
        <f>IFERROR(s_RadSpec!$J$14*(CT14*$B34),".")</f>
        <v>8.6797837500000006E-4</v>
      </c>
      <c r="CU34" s="34">
        <f>IFERROR(s_RadSpec!$J$14*(CU14*$B34),".")</f>
        <v>8.6797837500000006E-4</v>
      </c>
      <c r="CV34" s="34">
        <f>IFERROR(s_RadSpec!$J$14*(CV14*$B34),".")</f>
        <v>8.6797837500000006E-4</v>
      </c>
      <c r="CW34" s="34">
        <f>IFERROR(s_RadSpec!$J$14*(CW14*$B34),".")</f>
        <v>8.6797837500000006E-4</v>
      </c>
      <c r="CX34" s="34">
        <f>IFERROR(s_RadSpec!$J$14*(CX14*$B34),".")</f>
        <v>8.6797837500000006E-4</v>
      </c>
    </row>
    <row r="35" spans="1:102" x14ac:dyDescent="0.25">
      <c r="A35" s="55" t="s">
        <v>1065</v>
      </c>
      <c r="B35" s="3">
        <v>1</v>
      </c>
      <c r="C35" s="42">
        <f t="shared" ref="C35:AA35" si="36">IFERROR(C30/$B35,0)</f>
        <v>309.56453441769975</v>
      </c>
      <c r="D35" s="42">
        <f t="shared" si="36"/>
        <v>1023.5484464543297</v>
      </c>
      <c r="E35" s="42">
        <f t="shared" si="36"/>
        <v>443.02843204739634</v>
      </c>
      <c r="F35" s="42">
        <f t="shared" si="36"/>
        <v>677.6918937711315</v>
      </c>
      <c r="G35" s="42">
        <f t="shared" si="36"/>
        <v>1023.5484464543297</v>
      </c>
      <c r="H35" s="42">
        <f t="shared" si="36"/>
        <v>520.75271837150103</v>
      </c>
      <c r="I35" s="42">
        <f t="shared" si="36"/>
        <v>443.02843204739634</v>
      </c>
      <c r="J35" s="42">
        <f t="shared" si="36"/>
        <v>677.6918937711315</v>
      </c>
      <c r="K35" s="42">
        <f t="shared" si="36"/>
        <v>1023.5484464543297</v>
      </c>
      <c r="L35" s="42">
        <f t="shared" si="36"/>
        <v>520.75271837150103</v>
      </c>
      <c r="M35" s="42">
        <f t="shared" si="36"/>
        <v>520.75271837150103</v>
      </c>
      <c r="N35" s="42">
        <f t="shared" si="36"/>
        <v>443.02843204739634</v>
      </c>
      <c r="O35" s="42">
        <f t="shared" si="36"/>
        <v>945.31544417756561</v>
      </c>
      <c r="P35" s="42">
        <f t="shared" si="36"/>
        <v>520.75271837150103</v>
      </c>
      <c r="Q35" s="42">
        <f t="shared" si="36"/>
        <v>520.75271837150103</v>
      </c>
      <c r="R35" s="42">
        <f t="shared" si="36"/>
        <v>1023.5484464543297</v>
      </c>
      <c r="S35" s="42">
        <f t="shared" si="36"/>
        <v>1023.5484464543297</v>
      </c>
      <c r="T35" s="42">
        <f t="shared" si="36"/>
        <v>945.31544417756561</v>
      </c>
      <c r="U35" s="42">
        <f t="shared" si="36"/>
        <v>802.24067424798807</v>
      </c>
      <c r="V35" s="42">
        <f t="shared" si="36"/>
        <v>520.75271837150103</v>
      </c>
      <c r="W35" s="42">
        <f t="shared" si="36"/>
        <v>945.31544417756561</v>
      </c>
      <c r="X35" s="42">
        <f t="shared" si="36"/>
        <v>1023.5484464543297</v>
      </c>
      <c r="Y35" s="42">
        <f t="shared" si="36"/>
        <v>520.75271837150103</v>
      </c>
      <c r="Z35" s="42">
        <f t="shared" si="36"/>
        <v>1079.9281433157082</v>
      </c>
      <c r="AA35" s="42">
        <f t="shared" si="36"/>
        <v>753.37322200953201</v>
      </c>
      <c r="AB35" s="34">
        <f t="shared" si="4"/>
        <v>8.0758605138749995E-2</v>
      </c>
      <c r="AC35" s="34">
        <f>IFERROR(s_RadSpec!$J$30*(AC30*$B35),".")</f>
        <v>2.4424833124999996E-2</v>
      </c>
      <c r="AD35" s="34">
        <f>IFERROR(s_RadSpec!$J$30*(AD30*$B35),".")</f>
        <v>5.6429786875000006E-2</v>
      </c>
      <c r="AE35" s="34">
        <f>IFERROR(s_RadSpec!$J$30*(AE30*$B35),".")</f>
        <v>3.6889920375000003E-2</v>
      </c>
      <c r="AF35" s="34">
        <f>IFERROR(s_RadSpec!$J$30*(AF30*$B35),".")</f>
        <v>2.4424833124999996E-2</v>
      </c>
      <c r="AG35" s="34">
        <f>IFERROR(s_RadSpec!$J$30*(AG30*$B35),".")</f>
        <v>4.8007430624999993E-2</v>
      </c>
      <c r="AH35" s="34">
        <f>IFERROR(s_RadSpec!$J$30*(AH30*$B35),".")</f>
        <v>5.6429786875000006E-2</v>
      </c>
      <c r="AI35" s="34">
        <f>IFERROR(s_RadSpec!$J$30*(AI30*$B35),".")</f>
        <v>3.6889920375000003E-2</v>
      </c>
      <c r="AJ35" s="34">
        <f>IFERROR(s_RadSpec!$J$30*(AJ30*$B35),".")</f>
        <v>2.4424833124999996E-2</v>
      </c>
      <c r="AK35" s="34">
        <f>IFERROR(s_RadSpec!$J$30*(AK30*$B35),".")</f>
        <v>4.8007430624999993E-2</v>
      </c>
      <c r="AL35" s="34">
        <f>IFERROR(s_RadSpec!$J$30*(AL30*$B35),".")</f>
        <v>4.8007430624999993E-2</v>
      </c>
      <c r="AM35" s="34">
        <f>IFERROR(s_RadSpec!$J$30*(AM30*$B35),".")</f>
        <v>5.6429786875000006E-2</v>
      </c>
      <c r="AN35" s="34">
        <f>IFERROR(s_RadSpec!$J$30*(AN30*$B35),".")</f>
        <v>2.6446198624999993E-2</v>
      </c>
      <c r="AO35" s="34">
        <f>IFERROR(s_RadSpec!$J$30*(AO30*$B35),".")</f>
        <v>4.8007430624999993E-2</v>
      </c>
      <c r="AP35" s="34">
        <f>IFERROR(s_RadSpec!$J$30*(AP30*$B35),".")</f>
        <v>4.8007430624999993E-2</v>
      </c>
      <c r="AQ35" s="34">
        <f>IFERROR(s_RadSpec!$J$30*(AQ30*$B35),".")</f>
        <v>2.4424833124999996E-2</v>
      </c>
      <c r="AR35" s="34">
        <f>IFERROR(s_RadSpec!$J$30*(AR30*$B35),".")</f>
        <v>2.4424833124999996E-2</v>
      </c>
      <c r="AS35" s="34">
        <f>IFERROR(s_RadSpec!$J$30*(AS30*$B35),".")</f>
        <v>2.6446198624999993E-2</v>
      </c>
      <c r="AT35" s="34">
        <f>IFERROR(s_RadSpec!$J$30*(AT30*$B35),".")</f>
        <v>3.1162718124999999E-2</v>
      </c>
      <c r="AU35" s="34">
        <f>IFERROR(s_RadSpec!$J$30*(AU30*$B35),".")</f>
        <v>4.8007430624999993E-2</v>
      </c>
      <c r="AV35" s="34">
        <f>IFERROR(s_RadSpec!$J$30*(AV30*$B35),".")</f>
        <v>2.6446198624999993E-2</v>
      </c>
      <c r="AW35" s="34">
        <f>IFERROR(s_RadSpec!$J$30*(AW30*$B35),".")</f>
        <v>2.4424833124999996E-2</v>
      </c>
      <c r="AX35" s="34">
        <f>IFERROR(s_RadSpec!$J$30*(AX30*$B35),".")</f>
        <v>4.8007430624999993E-2</v>
      </c>
      <c r="AY35" s="34">
        <f>IFERROR(s_RadSpec!$J$30*(AY30*$B35),".")</f>
        <v>2.3149688388749999E-2</v>
      </c>
      <c r="AZ35" s="34">
        <f>IFERROR(s_RadSpec!$J$30*(AZ30*$B35),".")</f>
        <v>3.3184083624999999E-2</v>
      </c>
      <c r="BA35" s="42">
        <f t="shared" ref="BA35:BY35" si="37">IFERROR(BA30/$B35,0)</f>
        <v>309.56453441769975</v>
      </c>
      <c r="BB35" s="42">
        <f t="shared" si="37"/>
        <v>1023.5484464543297</v>
      </c>
      <c r="BC35" s="42">
        <f t="shared" si="37"/>
        <v>443.02843204739634</v>
      </c>
      <c r="BD35" s="42">
        <f t="shared" si="37"/>
        <v>677.6918937711315</v>
      </c>
      <c r="BE35" s="42">
        <f t="shared" si="37"/>
        <v>1023.5484464543297</v>
      </c>
      <c r="BF35" s="42">
        <f t="shared" si="37"/>
        <v>520.75271837150103</v>
      </c>
      <c r="BG35" s="42">
        <f t="shared" si="37"/>
        <v>443.02843204739634</v>
      </c>
      <c r="BH35" s="42">
        <f t="shared" si="37"/>
        <v>677.6918937711315</v>
      </c>
      <c r="BI35" s="42">
        <f t="shared" si="37"/>
        <v>1023.5484464543297</v>
      </c>
      <c r="BJ35" s="42">
        <f t="shared" si="37"/>
        <v>520.75271837150103</v>
      </c>
      <c r="BK35" s="42">
        <f t="shared" si="37"/>
        <v>520.75271837150103</v>
      </c>
      <c r="BL35" s="42">
        <f t="shared" si="37"/>
        <v>443.02843204739634</v>
      </c>
      <c r="BM35" s="42">
        <f t="shared" si="37"/>
        <v>945.31544417756561</v>
      </c>
      <c r="BN35" s="42">
        <f t="shared" si="37"/>
        <v>520.75271837150103</v>
      </c>
      <c r="BO35" s="42">
        <f t="shared" si="37"/>
        <v>520.75271837150103</v>
      </c>
      <c r="BP35" s="42">
        <f t="shared" si="37"/>
        <v>1023.5484464543297</v>
      </c>
      <c r="BQ35" s="42">
        <f t="shared" si="37"/>
        <v>1023.5484464543297</v>
      </c>
      <c r="BR35" s="42">
        <f t="shared" si="37"/>
        <v>945.31544417756561</v>
      </c>
      <c r="BS35" s="42">
        <f t="shared" si="37"/>
        <v>802.24067424798807</v>
      </c>
      <c r="BT35" s="42">
        <f t="shared" si="37"/>
        <v>520.75271837150103</v>
      </c>
      <c r="BU35" s="42">
        <f t="shared" si="37"/>
        <v>945.31544417756561</v>
      </c>
      <c r="BV35" s="42">
        <f t="shared" si="37"/>
        <v>1023.5484464543297</v>
      </c>
      <c r="BW35" s="42">
        <f t="shared" si="37"/>
        <v>520.75271837150103</v>
      </c>
      <c r="BX35" s="42">
        <f t="shared" si="37"/>
        <v>1079.9281433157082</v>
      </c>
      <c r="BY35" s="42">
        <f t="shared" si="37"/>
        <v>753.37322200953201</v>
      </c>
      <c r="BZ35" s="34">
        <f t="shared" si="35"/>
        <v>8.0758605138749995E-2</v>
      </c>
      <c r="CA35" s="34">
        <f>IFERROR(s_RadSpec!$J$30*(CA30*$B35),".")</f>
        <v>2.4424833124999996E-2</v>
      </c>
      <c r="CB35" s="34">
        <f>IFERROR(s_RadSpec!$J$30*(CB30*$B35),".")</f>
        <v>5.6429786875000006E-2</v>
      </c>
      <c r="CC35" s="34">
        <f>IFERROR(s_RadSpec!$J$30*(CC30*$B35),".")</f>
        <v>3.6889920375000003E-2</v>
      </c>
      <c r="CD35" s="34">
        <f>IFERROR(s_RadSpec!$J$30*(CD30*$B35),".")</f>
        <v>2.4424833124999996E-2</v>
      </c>
      <c r="CE35" s="34">
        <f>IFERROR(s_RadSpec!$J$30*(CE30*$B35),".")</f>
        <v>4.8007430624999993E-2</v>
      </c>
      <c r="CF35" s="34">
        <f>IFERROR(s_RadSpec!$J$30*(CF30*$B35),".")</f>
        <v>5.6429786875000006E-2</v>
      </c>
      <c r="CG35" s="34">
        <f>IFERROR(s_RadSpec!$J$30*(CG30*$B35),".")</f>
        <v>3.6889920375000003E-2</v>
      </c>
      <c r="CH35" s="34">
        <f>IFERROR(s_RadSpec!$J$30*(CH30*$B35),".")</f>
        <v>2.4424833124999996E-2</v>
      </c>
      <c r="CI35" s="34">
        <f>IFERROR(s_RadSpec!$J$30*(CI30*$B35),".")</f>
        <v>4.8007430624999993E-2</v>
      </c>
      <c r="CJ35" s="34">
        <f>IFERROR(s_RadSpec!$J$30*(CJ30*$B35),".")</f>
        <v>4.8007430624999993E-2</v>
      </c>
      <c r="CK35" s="34">
        <f>IFERROR(s_RadSpec!$J$30*(CK30*$B35),".")</f>
        <v>5.6429786875000006E-2</v>
      </c>
      <c r="CL35" s="34">
        <f>IFERROR(s_RadSpec!$J$30*(CL30*$B35),".")</f>
        <v>2.6446198624999993E-2</v>
      </c>
      <c r="CM35" s="34">
        <f>IFERROR(s_RadSpec!$J$30*(CM30*$B35),".")</f>
        <v>4.8007430624999993E-2</v>
      </c>
      <c r="CN35" s="34">
        <f>IFERROR(s_RadSpec!$J$30*(CN30*$B35),".")</f>
        <v>4.8007430624999993E-2</v>
      </c>
      <c r="CO35" s="34">
        <f>IFERROR(s_RadSpec!$J$30*(CO30*$B35),".")</f>
        <v>2.4424833124999996E-2</v>
      </c>
      <c r="CP35" s="34">
        <f>IFERROR(s_RadSpec!$J$30*(CP30*$B35),".")</f>
        <v>2.4424833124999996E-2</v>
      </c>
      <c r="CQ35" s="34">
        <f>IFERROR(s_RadSpec!$J$30*(CQ30*$B35),".")</f>
        <v>2.6446198624999993E-2</v>
      </c>
      <c r="CR35" s="34">
        <f>IFERROR(s_RadSpec!$J$30*(CR30*$B35),".")</f>
        <v>3.1162718124999999E-2</v>
      </c>
      <c r="CS35" s="34">
        <f>IFERROR(s_RadSpec!$J$30*(CS30*$B35),".")</f>
        <v>4.8007430624999993E-2</v>
      </c>
      <c r="CT35" s="34">
        <f>IFERROR(s_RadSpec!$J$30*(CT30*$B35),".")</f>
        <v>2.6446198624999993E-2</v>
      </c>
      <c r="CU35" s="34">
        <f>IFERROR(s_RadSpec!$J$30*(CU30*$B35),".")</f>
        <v>2.4424833124999996E-2</v>
      </c>
      <c r="CV35" s="34">
        <f>IFERROR(s_RadSpec!$J$30*(CV30*$B35),".")</f>
        <v>4.8007430624999993E-2</v>
      </c>
      <c r="CW35" s="34">
        <f>IFERROR(s_RadSpec!$J$30*(CW30*$B35),".")</f>
        <v>2.3149688388749999E-2</v>
      </c>
      <c r="CX35" s="34">
        <f>IFERROR(s_RadSpec!$J$30*(CX30*$B35),".")</f>
        <v>3.3184083624999999E-2</v>
      </c>
    </row>
    <row r="36" spans="1:102" x14ac:dyDescent="0.25">
      <c r="A36" s="55" t="s">
        <v>1066</v>
      </c>
      <c r="B36" s="3">
        <v>1</v>
      </c>
      <c r="C36" s="42">
        <f t="shared" ref="C36:AA36" si="38">IFERROR(C26/$B36,0)</f>
        <v>33.913224840141915</v>
      </c>
      <c r="D36" s="42">
        <f t="shared" si="38"/>
        <v>104.79186475603851</v>
      </c>
      <c r="E36" s="42">
        <f t="shared" si="38"/>
        <v>99.801775958131913</v>
      </c>
      <c r="F36" s="42">
        <f t="shared" si="38"/>
        <v>102.59343402689085</v>
      </c>
      <c r="G36" s="42">
        <f t="shared" si="38"/>
        <v>104.79186475603851</v>
      </c>
      <c r="H36" s="42">
        <f t="shared" si="38"/>
        <v>102.73712230984168</v>
      </c>
      <c r="I36" s="42">
        <f t="shared" si="38"/>
        <v>99.801775958131913</v>
      </c>
      <c r="J36" s="42">
        <f t="shared" si="38"/>
        <v>102.59343402689085</v>
      </c>
      <c r="K36" s="42">
        <f t="shared" si="38"/>
        <v>104.79186475603851</v>
      </c>
      <c r="L36" s="42">
        <f t="shared" si="38"/>
        <v>103.75432154063219</v>
      </c>
      <c r="M36" s="42">
        <f t="shared" si="38"/>
        <v>102.73712230984168</v>
      </c>
      <c r="N36" s="42">
        <f t="shared" si="38"/>
        <v>99.801775958131913</v>
      </c>
      <c r="O36" s="42">
        <f t="shared" si="38"/>
        <v>104.56779091835632</v>
      </c>
      <c r="P36" s="42">
        <f t="shared" si="38"/>
        <v>102.73712230984168</v>
      </c>
      <c r="Q36" s="42">
        <f t="shared" si="38"/>
        <v>102.73712230984168</v>
      </c>
      <c r="R36" s="42">
        <f t="shared" si="38"/>
        <v>104.79186475603851</v>
      </c>
      <c r="S36" s="42">
        <f t="shared" si="38"/>
        <v>104.79186475603851</v>
      </c>
      <c r="T36" s="42">
        <f t="shared" si="38"/>
        <v>104.56779091835632</v>
      </c>
      <c r="U36" s="42">
        <f t="shared" si="38"/>
        <v>107.08657712295906</v>
      </c>
      <c r="V36" s="42">
        <f t="shared" si="38"/>
        <v>102.73712230984168</v>
      </c>
      <c r="W36" s="42">
        <f t="shared" si="38"/>
        <v>104.56779091835632</v>
      </c>
      <c r="X36" s="42">
        <f t="shared" si="38"/>
        <v>104.79186475603851</v>
      </c>
      <c r="Y36" s="42">
        <f t="shared" si="38"/>
        <v>102.73712230984168</v>
      </c>
      <c r="Z36" s="42">
        <f t="shared" si="38"/>
        <v>107.40015421555923</v>
      </c>
      <c r="AA36" s="42">
        <f t="shared" si="38"/>
        <v>94.043981191316618</v>
      </c>
      <c r="AB36" s="34">
        <f t="shared" si="4"/>
        <v>0.73717554487500014</v>
      </c>
      <c r="AC36" s="34">
        <f>IFERROR(s_RadSpec!$J$26*(AC26*$B36),".")</f>
        <v>0.23856813750000005</v>
      </c>
      <c r="AD36" s="34">
        <f>IFERROR(s_RadSpec!$J$26*(AD26*$B36),".")</f>
        <v>0.25049654437500002</v>
      </c>
      <c r="AE36" s="34">
        <f>IFERROR(s_RadSpec!$J$26*(AE26*$B36),".")</f>
        <v>0.24368031187500006</v>
      </c>
      <c r="AF36" s="34">
        <f>IFERROR(s_RadSpec!$J$26*(AF26*$B36),".")</f>
        <v>0.23856813750000005</v>
      </c>
      <c r="AG36" s="34">
        <f>IFERROR(s_RadSpec!$J$26*(AG26*$B36),".")</f>
        <v>0.24333950025000001</v>
      </c>
      <c r="AH36" s="34">
        <f>IFERROR(s_RadSpec!$J$26*(AH26*$B36),".")</f>
        <v>0.25049654437500002</v>
      </c>
      <c r="AI36" s="34">
        <f>IFERROR(s_RadSpec!$J$26*(AI26*$B36),".")</f>
        <v>0.24368031187500006</v>
      </c>
      <c r="AJ36" s="34">
        <f>IFERROR(s_RadSpec!$J$26*(AJ26*$B36),".")</f>
        <v>0.23856813750000005</v>
      </c>
      <c r="AK36" s="34">
        <f>IFERROR(s_RadSpec!$J$26*(AK26*$B36),".")</f>
        <v>0.24095381887500003</v>
      </c>
      <c r="AL36" s="34">
        <f>IFERROR(s_RadSpec!$J$26*(AL26*$B36),".")</f>
        <v>0.24333950025000001</v>
      </c>
      <c r="AM36" s="34">
        <f>IFERROR(s_RadSpec!$J$26*(AM26*$B36),".")</f>
        <v>0.25049654437500002</v>
      </c>
      <c r="AN36" s="34">
        <f>IFERROR(s_RadSpec!$J$26*(AN26*$B36),".")</f>
        <v>0.23907935493749996</v>
      </c>
      <c r="AO36" s="34">
        <f>IFERROR(s_RadSpec!$J$26*(AO26*$B36),".")</f>
        <v>0.24333950025000001</v>
      </c>
      <c r="AP36" s="34">
        <f>IFERROR(s_RadSpec!$J$26*(AP26*$B36),".")</f>
        <v>0.24333950025000001</v>
      </c>
      <c r="AQ36" s="34">
        <f>IFERROR(s_RadSpec!$J$26*(AQ26*$B36),".")</f>
        <v>0.23856813750000005</v>
      </c>
      <c r="AR36" s="34">
        <f>IFERROR(s_RadSpec!$J$26*(AR26*$B36),".")</f>
        <v>0.23856813750000005</v>
      </c>
      <c r="AS36" s="34">
        <f>IFERROR(s_RadSpec!$J$26*(AS26*$B36),".")</f>
        <v>0.23907935493749996</v>
      </c>
      <c r="AT36" s="34">
        <f>IFERROR(s_RadSpec!$J$26*(AT26*$B36),".")</f>
        <v>0.23345596312500003</v>
      </c>
      <c r="AU36" s="34">
        <f>IFERROR(s_RadSpec!$J$26*(AU26*$B36),".")</f>
        <v>0.24333950025000001</v>
      </c>
      <c r="AV36" s="34">
        <f>IFERROR(s_RadSpec!$J$26*(AV26*$B36),".")</f>
        <v>0.23907935493749996</v>
      </c>
      <c r="AW36" s="34">
        <f>IFERROR(s_RadSpec!$J$26*(AW26*$B36),".")</f>
        <v>0.23856813750000005</v>
      </c>
      <c r="AX36" s="34">
        <f>IFERROR(s_RadSpec!$J$26*(AX26*$B36),".")</f>
        <v>0.24333950025000001</v>
      </c>
      <c r="AY36" s="34">
        <f>IFERROR(s_RadSpec!$J$26*(AY26*$B36),".")</f>
        <v>0.23277433987500001</v>
      </c>
      <c r="AZ36" s="34">
        <f>IFERROR(s_RadSpec!$J$26*(AZ26*$B36),".")</f>
        <v>0.26583306750000002</v>
      </c>
      <c r="BA36" s="42">
        <f t="shared" ref="BA36:BY36" si="39">IFERROR(BA26/$B36,0)</f>
        <v>33.913224840141915</v>
      </c>
      <c r="BB36" s="42">
        <f t="shared" si="39"/>
        <v>104.79186475603851</v>
      </c>
      <c r="BC36" s="42">
        <f t="shared" si="39"/>
        <v>99.801775958131913</v>
      </c>
      <c r="BD36" s="42">
        <f t="shared" si="39"/>
        <v>102.59343402689085</v>
      </c>
      <c r="BE36" s="42">
        <f t="shared" si="39"/>
        <v>104.79186475603851</v>
      </c>
      <c r="BF36" s="42">
        <f t="shared" si="39"/>
        <v>102.73712230984168</v>
      </c>
      <c r="BG36" s="42">
        <f t="shared" si="39"/>
        <v>99.801775958131913</v>
      </c>
      <c r="BH36" s="42">
        <f t="shared" si="39"/>
        <v>102.59343402689085</v>
      </c>
      <c r="BI36" s="42">
        <f t="shared" si="39"/>
        <v>104.79186475603851</v>
      </c>
      <c r="BJ36" s="42">
        <f t="shared" si="39"/>
        <v>103.75432154063219</v>
      </c>
      <c r="BK36" s="42">
        <f t="shared" si="39"/>
        <v>102.73712230984168</v>
      </c>
      <c r="BL36" s="42">
        <f t="shared" si="39"/>
        <v>99.801775958131913</v>
      </c>
      <c r="BM36" s="42">
        <f t="shared" si="39"/>
        <v>104.56779091835632</v>
      </c>
      <c r="BN36" s="42">
        <f t="shared" si="39"/>
        <v>102.73712230984168</v>
      </c>
      <c r="BO36" s="42">
        <f t="shared" si="39"/>
        <v>102.73712230984168</v>
      </c>
      <c r="BP36" s="42">
        <f t="shared" si="39"/>
        <v>104.79186475603851</v>
      </c>
      <c r="BQ36" s="42">
        <f t="shared" si="39"/>
        <v>104.79186475603851</v>
      </c>
      <c r="BR36" s="42">
        <f t="shared" si="39"/>
        <v>104.56779091835632</v>
      </c>
      <c r="BS36" s="42">
        <f t="shared" si="39"/>
        <v>107.08657712295906</v>
      </c>
      <c r="BT36" s="42">
        <f t="shared" si="39"/>
        <v>102.73712230984168</v>
      </c>
      <c r="BU36" s="42">
        <f t="shared" si="39"/>
        <v>104.56779091835632</v>
      </c>
      <c r="BV36" s="42">
        <f t="shared" si="39"/>
        <v>104.79186475603851</v>
      </c>
      <c r="BW36" s="42">
        <f t="shared" si="39"/>
        <v>102.73712230984168</v>
      </c>
      <c r="BX36" s="42">
        <f t="shared" si="39"/>
        <v>107.40015421555923</v>
      </c>
      <c r="BY36" s="42">
        <f t="shared" si="39"/>
        <v>94.043981191316618</v>
      </c>
      <c r="BZ36" s="34">
        <f t="shared" si="35"/>
        <v>0.73717554487500014</v>
      </c>
      <c r="CA36" s="34">
        <f>IFERROR(s_RadSpec!$J$26*(CA26*$B36),".")</f>
        <v>0.23856813750000005</v>
      </c>
      <c r="CB36" s="34">
        <f>IFERROR(s_RadSpec!$J$26*(CB26*$B36),".")</f>
        <v>0.25049654437500002</v>
      </c>
      <c r="CC36" s="34">
        <f>IFERROR(s_RadSpec!$J$26*(CC26*$B36),".")</f>
        <v>0.24368031187500006</v>
      </c>
      <c r="CD36" s="34">
        <f>IFERROR(s_RadSpec!$J$26*(CD26*$B36),".")</f>
        <v>0.23856813750000005</v>
      </c>
      <c r="CE36" s="34">
        <f>IFERROR(s_RadSpec!$J$26*(CE26*$B36),".")</f>
        <v>0.24333950025000001</v>
      </c>
      <c r="CF36" s="34">
        <f>IFERROR(s_RadSpec!$J$26*(CF26*$B36),".")</f>
        <v>0.25049654437500002</v>
      </c>
      <c r="CG36" s="34">
        <f>IFERROR(s_RadSpec!$J$26*(CG26*$B36),".")</f>
        <v>0.24368031187500006</v>
      </c>
      <c r="CH36" s="34">
        <f>IFERROR(s_RadSpec!$J$26*(CH26*$B36),".")</f>
        <v>0.23856813750000005</v>
      </c>
      <c r="CI36" s="34">
        <f>IFERROR(s_RadSpec!$J$26*(CI26*$B36),".")</f>
        <v>0.24095381887500003</v>
      </c>
      <c r="CJ36" s="34">
        <f>IFERROR(s_RadSpec!$J$26*(CJ26*$B36),".")</f>
        <v>0.24333950025000001</v>
      </c>
      <c r="CK36" s="34">
        <f>IFERROR(s_RadSpec!$J$26*(CK26*$B36),".")</f>
        <v>0.25049654437500002</v>
      </c>
      <c r="CL36" s="34">
        <f>IFERROR(s_RadSpec!$J$26*(CL26*$B36),".")</f>
        <v>0.23907935493749996</v>
      </c>
      <c r="CM36" s="34">
        <f>IFERROR(s_RadSpec!$J$26*(CM26*$B36),".")</f>
        <v>0.24333950025000001</v>
      </c>
      <c r="CN36" s="34">
        <f>IFERROR(s_RadSpec!$J$26*(CN26*$B36),".")</f>
        <v>0.24333950025000001</v>
      </c>
      <c r="CO36" s="34">
        <f>IFERROR(s_RadSpec!$J$26*(CO26*$B36),".")</f>
        <v>0.23856813750000005</v>
      </c>
      <c r="CP36" s="34">
        <f>IFERROR(s_RadSpec!$J$26*(CP26*$B36),".")</f>
        <v>0.23856813750000005</v>
      </c>
      <c r="CQ36" s="34">
        <f>IFERROR(s_RadSpec!$J$26*(CQ26*$B36),".")</f>
        <v>0.23907935493749996</v>
      </c>
      <c r="CR36" s="34">
        <f>IFERROR(s_RadSpec!$J$26*(CR26*$B36),".")</f>
        <v>0.23345596312500003</v>
      </c>
      <c r="CS36" s="34">
        <f>IFERROR(s_RadSpec!$J$26*(CS26*$B36),".")</f>
        <v>0.24333950025000001</v>
      </c>
      <c r="CT36" s="34">
        <f>IFERROR(s_RadSpec!$J$26*(CT26*$B36),".")</f>
        <v>0.23907935493749996</v>
      </c>
      <c r="CU36" s="34">
        <f>IFERROR(s_RadSpec!$J$26*(CU26*$B36),".")</f>
        <v>0.23856813750000005</v>
      </c>
      <c r="CV36" s="34">
        <f>IFERROR(s_RadSpec!$J$26*(CV26*$B36),".")</f>
        <v>0.24333950025000001</v>
      </c>
      <c r="CW36" s="34">
        <f>IFERROR(s_RadSpec!$J$26*(CW26*$B36),".")</f>
        <v>0.23277433987500001</v>
      </c>
      <c r="CX36" s="34">
        <f>IFERROR(s_RadSpec!$J$26*(CX26*$B36),".")</f>
        <v>0.26583306750000002</v>
      </c>
    </row>
    <row r="37" spans="1:102" x14ac:dyDescent="0.25">
      <c r="A37" s="55" t="s">
        <v>1067</v>
      </c>
      <c r="B37" s="3">
        <v>1</v>
      </c>
      <c r="C37" s="42">
        <f t="shared" ref="C37:AA37" si="40">IFERROR(C22/$B37,0)</f>
        <v>54.907334345496793</v>
      </c>
      <c r="D37" s="42">
        <f t="shared" si="40"/>
        <v>159.74529571070701</v>
      </c>
      <c r="E37" s="42">
        <f t="shared" si="40"/>
        <v>35.923583245948471</v>
      </c>
      <c r="F37" s="42">
        <f t="shared" si="40"/>
        <v>44.958256876666042</v>
      </c>
      <c r="G37" s="42">
        <f t="shared" si="40"/>
        <v>159.74529571070701</v>
      </c>
      <c r="H37" s="42">
        <f t="shared" si="40"/>
        <v>123.08244095742999</v>
      </c>
      <c r="I37" s="42">
        <f t="shared" si="40"/>
        <v>35.923583245948471</v>
      </c>
      <c r="J37" s="42">
        <f t="shared" si="40"/>
        <v>44.958256876666042</v>
      </c>
      <c r="K37" s="42">
        <f t="shared" si="40"/>
        <v>159.74529571070701</v>
      </c>
      <c r="L37" s="42">
        <f t="shared" si="40"/>
        <v>236.10153768563615</v>
      </c>
      <c r="M37" s="42">
        <f t="shared" si="40"/>
        <v>123.08244095742999</v>
      </c>
      <c r="N37" s="42">
        <f t="shared" si="40"/>
        <v>35.923583245948471</v>
      </c>
      <c r="O37" s="42">
        <f t="shared" si="40"/>
        <v>136.50961633460417</v>
      </c>
      <c r="P37" s="42">
        <f t="shared" si="40"/>
        <v>123.08244095742999</v>
      </c>
      <c r="Q37" s="42">
        <f t="shared" si="40"/>
        <v>123.08244095742999</v>
      </c>
      <c r="R37" s="42">
        <f t="shared" si="40"/>
        <v>159.74529571070701</v>
      </c>
      <c r="S37" s="42">
        <f t="shared" si="40"/>
        <v>159.74529571070701</v>
      </c>
      <c r="T37" s="42">
        <f t="shared" si="40"/>
        <v>136.50961633460417</v>
      </c>
      <c r="U37" s="42">
        <f t="shared" si="40"/>
        <v>153.22507955924956</v>
      </c>
      <c r="V37" s="42">
        <f t="shared" si="40"/>
        <v>123.08244095742999</v>
      </c>
      <c r="W37" s="42">
        <f t="shared" si="40"/>
        <v>136.50961633460417</v>
      </c>
      <c r="X37" s="42">
        <f t="shared" si="40"/>
        <v>159.74529571070701</v>
      </c>
      <c r="Y37" s="42">
        <f t="shared" si="40"/>
        <v>123.08244095742999</v>
      </c>
      <c r="Z37" s="42">
        <f t="shared" si="40"/>
        <v>261.23969723045337</v>
      </c>
      <c r="AA37" s="42">
        <f t="shared" si="40"/>
        <v>123.08244095742999</v>
      </c>
      <c r="AB37" s="34">
        <f t="shared" si="4"/>
        <v>0.45531257887500004</v>
      </c>
      <c r="AC37" s="34">
        <f>IFERROR(s_RadSpec!$J$22*(AC22*$B37),".")</f>
        <v>0.15649913125000001</v>
      </c>
      <c r="AD37" s="34">
        <f>IFERROR(s_RadSpec!$J$22*(AD22*$B37),".")</f>
        <v>0.69592166875000006</v>
      </c>
      <c r="AE37" s="34">
        <f>IFERROR(s_RadSpec!$J$22*(AE22*$B37),".")</f>
        <v>0.55607138125000011</v>
      </c>
      <c r="AF37" s="34">
        <f>IFERROR(s_RadSpec!$J$22*(AF22*$B37),".")</f>
        <v>0.15649913125000001</v>
      </c>
      <c r="AG37" s="34">
        <f>IFERROR(s_RadSpec!$J$22*(AG22*$B37),".")</f>
        <v>0.20311589375</v>
      </c>
      <c r="AH37" s="34">
        <f>IFERROR(s_RadSpec!$J$22*(AH22*$B37),".")</f>
        <v>0.69592166875000006</v>
      </c>
      <c r="AI37" s="34">
        <f>IFERROR(s_RadSpec!$J$22*(AI22*$B37),".")</f>
        <v>0.55607138125000011</v>
      </c>
      <c r="AJ37" s="34">
        <f>IFERROR(s_RadSpec!$J$22*(AJ22*$B37),".")</f>
        <v>0.15649913125000001</v>
      </c>
      <c r="AK37" s="34">
        <f>IFERROR(s_RadSpec!$J$22*(AK22*$B37),".")</f>
        <v>0.10588664625000001</v>
      </c>
      <c r="AL37" s="34">
        <f>IFERROR(s_RadSpec!$J$22*(AL22*$B37),".")</f>
        <v>0.20311589375</v>
      </c>
      <c r="AM37" s="34">
        <f>IFERROR(s_RadSpec!$J$22*(AM22*$B37),".")</f>
        <v>0.69592166875000006</v>
      </c>
      <c r="AN37" s="34">
        <f>IFERROR(s_RadSpec!$J$22*(AN22*$B37),".")</f>
        <v>0.18313728125000003</v>
      </c>
      <c r="AO37" s="34">
        <f>IFERROR(s_RadSpec!$J$22*(AO22*$B37),".")</f>
        <v>0.20311589375</v>
      </c>
      <c r="AP37" s="34">
        <f>IFERROR(s_RadSpec!$J$22*(AP22*$B37),".")</f>
        <v>0.20311589375</v>
      </c>
      <c r="AQ37" s="34">
        <f>IFERROR(s_RadSpec!$J$22*(AQ22*$B37),".")</f>
        <v>0.15649913125000001</v>
      </c>
      <c r="AR37" s="34">
        <f>IFERROR(s_RadSpec!$J$22*(AR22*$B37),".")</f>
        <v>0.15649913125000001</v>
      </c>
      <c r="AS37" s="34">
        <f>IFERROR(s_RadSpec!$J$22*(AS22*$B37),".")</f>
        <v>0.18313728125000003</v>
      </c>
      <c r="AT37" s="34">
        <f>IFERROR(s_RadSpec!$J$22*(AT22*$B37),".")</f>
        <v>0.16315866875000001</v>
      </c>
      <c r="AU37" s="34">
        <f>IFERROR(s_RadSpec!$J$22*(AU22*$B37),".")</f>
        <v>0.20311589375</v>
      </c>
      <c r="AV37" s="34">
        <f>IFERROR(s_RadSpec!$J$22*(AV22*$B37),".")</f>
        <v>0.18313728125000003</v>
      </c>
      <c r="AW37" s="34">
        <f>IFERROR(s_RadSpec!$J$22*(AW22*$B37),".")</f>
        <v>0.15649913125000001</v>
      </c>
      <c r="AX37" s="34">
        <f>IFERROR(s_RadSpec!$J$22*(AX22*$B37),".")</f>
        <v>0.20311589375</v>
      </c>
      <c r="AY37" s="34">
        <f>IFERROR(s_RadSpec!$J$22*(AY22*$B37),".")</f>
        <v>9.5697553875000008E-2</v>
      </c>
      <c r="AZ37" s="34">
        <f>IFERROR(s_RadSpec!$J$22*(AZ22*$B37),".")</f>
        <v>0.20311589375</v>
      </c>
      <c r="BA37" s="42">
        <f t="shared" ref="BA37:BY37" si="41">IFERROR(BA22/$B37,0)</f>
        <v>54.907334345496793</v>
      </c>
      <c r="BB37" s="42">
        <f t="shared" si="41"/>
        <v>159.74529571070701</v>
      </c>
      <c r="BC37" s="42">
        <f t="shared" si="41"/>
        <v>35.923583245948471</v>
      </c>
      <c r="BD37" s="42">
        <f t="shared" si="41"/>
        <v>44.958256876666042</v>
      </c>
      <c r="BE37" s="42">
        <f t="shared" si="41"/>
        <v>159.74529571070701</v>
      </c>
      <c r="BF37" s="42">
        <f t="shared" si="41"/>
        <v>123.08244095742999</v>
      </c>
      <c r="BG37" s="42">
        <f t="shared" si="41"/>
        <v>35.923583245948471</v>
      </c>
      <c r="BH37" s="42">
        <f t="shared" si="41"/>
        <v>44.958256876666042</v>
      </c>
      <c r="BI37" s="42">
        <f t="shared" si="41"/>
        <v>159.74529571070701</v>
      </c>
      <c r="BJ37" s="42">
        <f t="shared" si="41"/>
        <v>236.10153768563615</v>
      </c>
      <c r="BK37" s="42">
        <f t="shared" si="41"/>
        <v>123.08244095742999</v>
      </c>
      <c r="BL37" s="42">
        <f t="shared" si="41"/>
        <v>35.923583245948471</v>
      </c>
      <c r="BM37" s="42">
        <f t="shared" si="41"/>
        <v>136.50961633460417</v>
      </c>
      <c r="BN37" s="42">
        <f t="shared" si="41"/>
        <v>123.08244095742999</v>
      </c>
      <c r="BO37" s="42">
        <f t="shared" si="41"/>
        <v>123.08244095742999</v>
      </c>
      <c r="BP37" s="42">
        <f t="shared" si="41"/>
        <v>159.74529571070701</v>
      </c>
      <c r="BQ37" s="42">
        <f t="shared" si="41"/>
        <v>159.74529571070701</v>
      </c>
      <c r="BR37" s="42">
        <f t="shared" si="41"/>
        <v>136.50961633460417</v>
      </c>
      <c r="BS37" s="42">
        <f t="shared" si="41"/>
        <v>153.22507955924956</v>
      </c>
      <c r="BT37" s="42">
        <f t="shared" si="41"/>
        <v>123.08244095742999</v>
      </c>
      <c r="BU37" s="42">
        <f t="shared" si="41"/>
        <v>136.50961633460417</v>
      </c>
      <c r="BV37" s="42">
        <f t="shared" si="41"/>
        <v>159.74529571070701</v>
      </c>
      <c r="BW37" s="42">
        <f t="shared" si="41"/>
        <v>123.08244095742999</v>
      </c>
      <c r="BX37" s="42">
        <f t="shared" si="41"/>
        <v>261.23969723045337</v>
      </c>
      <c r="BY37" s="42">
        <f t="shared" si="41"/>
        <v>123.08244095742999</v>
      </c>
      <c r="BZ37" s="34">
        <f t="shared" si="35"/>
        <v>0.45531257887500004</v>
      </c>
      <c r="CA37" s="34">
        <f>IFERROR(s_RadSpec!$J$22*(CA22*$B37),".")</f>
        <v>0.15649913125000001</v>
      </c>
      <c r="CB37" s="34">
        <f>IFERROR(s_RadSpec!$J$22*(CB22*$B37),".")</f>
        <v>0.69592166875000006</v>
      </c>
      <c r="CC37" s="34">
        <f>IFERROR(s_RadSpec!$J$22*(CC22*$B37),".")</f>
        <v>0.55607138125000011</v>
      </c>
      <c r="CD37" s="34">
        <f>IFERROR(s_RadSpec!$J$22*(CD22*$B37),".")</f>
        <v>0.15649913125000001</v>
      </c>
      <c r="CE37" s="34">
        <f>IFERROR(s_RadSpec!$J$22*(CE22*$B37),".")</f>
        <v>0.20311589375</v>
      </c>
      <c r="CF37" s="34">
        <f>IFERROR(s_RadSpec!$J$22*(CF22*$B37),".")</f>
        <v>0.69592166875000006</v>
      </c>
      <c r="CG37" s="34">
        <f>IFERROR(s_RadSpec!$J$22*(CG22*$B37),".")</f>
        <v>0.55607138125000011</v>
      </c>
      <c r="CH37" s="34">
        <f>IFERROR(s_RadSpec!$J$22*(CH22*$B37),".")</f>
        <v>0.15649913125000001</v>
      </c>
      <c r="CI37" s="34">
        <f>IFERROR(s_RadSpec!$J$22*(CI22*$B37),".")</f>
        <v>0.10588664625000001</v>
      </c>
      <c r="CJ37" s="34">
        <f>IFERROR(s_RadSpec!$J$22*(CJ22*$B37),".")</f>
        <v>0.20311589375</v>
      </c>
      <c r="CK37" s="34">
        <f>IFERROR(s_RadSpec!$J$22*(CK22*$B37),".")</f>
        <v>0.69592166875000006</v>
      </c>
      <c r="CL37" s="34">
        <f>IFERROR(s_RadSpec!$J$22*(CL22*$B37),".")</f>
        <v>0.18313728125000003</v>
      </c>
      <c r="CM37" s="34">
        <f>IFERROR(s_RadSpec!$J$22*(CM22*$B37),".")</f>
        <v>0.20311589375</v>
      </c>
      <c r="CN37" s="34">
        <f>IFERROR(s_RadSpec!$J$22*(CN22*$B37),".")</f>
        <v>0.20311589375</v>
      </c>
      <c r="CO37" s="34">
        <f>IFERROR(s_RadSpec!$J$22*(CO22*$B37),".")</f>
        <v>0.15649913125000001</v>
      </c>
      <c r="CP37" s="34">
        <f>IFERROR(s_RadSpec!$J$22*(CP22*$B37),".")</f>
        <v>0.15649913125000001</v>
      </c>
      <c r="CQ37" s="34">
        <f>IFERROR(s_RadSpec!$J$22*(CQ22*$B37),".")</f>
        <v>0.18313728125000003</v>
      </c>
      <c r="CR37" s="34">
        <f>IFERROR(s_RadSpec!$J$22*(CR22*$B37),".")</f>
        <v>0.16315866875000001</v>
      </c>
      <c r="CS37" s="34">
        <f>IFERROR(s_RadSpec!$J$22*(CS22*$B37),".")</f>
        <v>0.20311589375</v>
      </c>
      <c r="CT37" s="34">
        <f>IFERROR(s_RadSpec!$J$22*(CT22*$B37),".")</f>
        <v>0.18313728125000003</v>
      </c>
      <c r="CU37" s="34">
        <f>IFERROR(s_RadSpec!$J$22*(CU22*$B37),".")</f>
        <v>0.15649913125000001</v>
      </c>
      <c r="CV37" s="34">
        <f>IFERROR(s_RadSpec!$J$22*(CV22*$B37),".")</f>
        <v>0.20311589375</v>
      </c>
      <c r="CW37" s="34">
        <f>IFERROR(s_RadSpec!$J$22*(CW22*$B37),".")</f>
        <v>9.5697553875000008E-2</v>
      </c>
      <c r="CX37" s="34">
        <f>IFERROR(s_RadSpec!$J$22*(CX22*$B37),".")</f>
        <v>0.20311589375</v>
      </c>
    </row>
    <row r="38" spans="1:102" x14ac:dyDescent="0.25">
      <c r="A38" s="55" t="s">
        <v>1068</v>
      </c>
      <c r="B38" s="3">
        <v>1</v>
      </c>
      <c r="C38" s="42">
        <f t="shared" ref="C38:AA38" si="42">IFERROR(C2/$B38,0)</f>
        <v>392.71903426737191</v>
      </c>
      <c r="D38" s="42">
        <f t="shared" si="42"/>
        <v>1178.1571028021156</v>
      </c>
      <c r="E38" s="42">
        <f t="shared" si="42"/>
        <v>1178.1571028021156</v>
      </c>
      <c r="F38" s="42">
        <f t="shared" si="42"/>
        <v>1178.1571028021156</v>
      </c>
      <c r="G38" s="42">
        <f t="shared" si="42"/>
        <v>1178.1571028021156</v>
      </c>
      <c r="H38" s="42">
        <f t="shared" si="42"/>
        <v>1178.1571028021156</v>
      </c>
      <c r="I38" s="42">
        <f t="shared" si="42"/>
        <v>1178.1571028021156</v>
      </c>
      <c r="J38" s="42">
        <f t="shared" si="42"/>
        <v>1178.1571028021156</v>
      </c>
      <c r="K38" s="42">
        <f t="shared" si="42"/>
        <v>1178.1571028021156</v>
      </c>
      <c r="L38" s="42">
        <f t="shared" si="42"/>
        <v>1178.1571028021156</v>
      </c>
      <c r="M38" s="42">
        <f t="shared" si="42"/>
        <v>1178.1571028021156</v>
      </c>
      <c r="N38" s="42">
        <f t="shared" si="42"/>
        <v>1178.1571028021156</v>
      </c>
      <c r="O38" s="42">
        <f t="shared" si="42"/>
        <v>1178.1571028021156</v>
      </c>
      <c r="P38" s="42">
        <f t="shared" si="42"/>
        <v>1178.1571028021156</v>
      </c>
      <c r="Q38" s="42">
        <f t="shared" si="42"/>
        <v>1178.1571028021156</v>
      </c>
      <c r="R38" s="42">
        <f t="shared" si="42"/>
        <v>1178.1571028021156</v>
      </c>
      <c r="S38" s="42">
        <f t="shared" si="42"/>
        <v>1178.1571028021156</v>
      </c>
      <c r="T38" s="42">
        <f t="shared" si="42"/>
        <v>1178.1571028021156</v>
      </c>
      <c r="U38" s="42">
        <f t="shared" si="42"/>
        <v>1178.1571028021156</v>
      </c>
      <c r="V38" s="42">
        <f t="shared" si="42"/>
        <v>1178.1571028021156</v>
      </c>
      <c r="W38" s="42">
        <f t="shared" si="42"/>
        <v>1178.1571028021156</v>
      </c>
      <c r="X38" s="42">
        <f t="shared" si="42"/>
        <v>1178.1571028021156</v>
      </c>
      <c r="Y38" s="42">
        <f t="shared" si="42"/>
        <v>1178.1571028021156</v>
      </c>
      <c r="Z38" s="42">
        <f t="shared" si="42"/>
        <v>1178.1571028021156</v>
      </c>
      <c r="AA38" s="42">
        <f t="shared" si="42"/>
        <v>1178.1571028021156</v>
      </c>
      <c r="AB38" s="34">
        <f t="shared" si="4"/>
        <v>6.3658742812500002E-2</v>
      </c>
      <c r="AC38" s="34">
        <f>IFERROR(s_RadSpec!$J$2*(AC2*$B38),".")</f>
        <v>2.12195809375E-2</v>
      </c>
      <c r="AD38" s="34">
        <f>IFERROR(s_RadSpec!$J$2*(AD2*$B38),".")</f>
        <v>2.12195809375E-2</v>
      </c>
      <c r="AE38" s="34">
        <f>IFERROR(s_RadSpec!$J$2*(AE2*$B38),".")</f>
        <v>2.12195809375E-2</v>
      </c>
      <c r="AF38" s="34">
        <f>IFERROR(s_RadSpec!$J$2*(AF2*$B38),".")</f>
        <v>2.12195809375E-2</v>
      </c>
      <c r="AG38" s="34">
        <f>IFERROR(s_RadSpec!$J$2*(AG2*$B38),".")</f>
        <v>2.12195809375E-2</v>
      </c>
      <c r="AH38" s="34">
        <f>IFERROR(s_RadSpec!$J$2*(AH2*$B38),".")</f>
        <v>2.12195809375E-2</v>
      </c>
      <c r="AI38" s="34">
        <f>IFERROR(s_RadSpec!$J$2*(AI2*$B38),".")</f>
        <v>2.12195809375E-2</v>
      </c>
      <c r="AJ38" s="34">
        <f>IFERROR(s_RadSpec!$J$2*(AJ2*$B38),".")</f>
        <v>2.12195809375E-2</v>
      </c>
      <c r="AK38" s="34">
        <f>IFERROR(s_RadSpec!$J$2*(AK2*$B38),".")</f>
        <v>2.12195809375E-2</v>
      </c>
      <c r="AL38" s="34">
        <f>IFERROR(s_RadSpec!$J$2*(AL2*$B38),".")</f>
        <v>2.12195809375E-2</v>
      </c>
      <c r="AM38" s="34">
        <f>IFERROR(s_RadSpec!$J$2*(AM2*$B38),".")</f>
        <v>2.12195809375E-2</v>
      </c>
      <c r="AN38" s="34">
        <f>IFERROR(s_RadSpec!$J$2*(AN2*$B38),".")</f>
        <v>2.12195809375E-2</v>
      </c>
      <c r="AO38" s="34">
        <f>IFERROR(s_RadSpec!$J$2*(AO2*$B38),".")</f>
        <v>2.12195809375E-2</v>
      </c>
      <c r="AP38" s="34">
        <f>IFERROR(s_RadSpec!$J$2*(AP2*$B38),".")</f>
        <v>2.12195809375E-2</v>
      </c>
      <c r="AQ38" s="34">
        <f>IFERROR(s_RadSpec!$J$2*(AQ2*$B38),".")</f>
        <v>2.12195809375E-2</v>
      </c>
      <c r="AR38" s="34">
        <f>IFERROR(s_RadSpec!$J$2*(AR2*$B38),".")</f>
        <v>2.12195809375E-2</v>
      </c>
      <c r="AS38" s="34">
        <f>IFERROR(s_RadSpec!$J$2*(AS2*$B38),".")</f>
        <v>2.12195809375E-2</v>
      </c>
      <c r="AT38" s="34">
        <f>IFERROR(s_RadSpec!$J$2*(AT2*$B38),".")</f>
        <v>2.12195809375E-2</v>
      </c>
      <c r="AU38" s="34">
        <f>IFERROR(s_RadSpec!$J$2*(AU2*$B38),".")</f>
        <v>2.12195809375E-2</v>
      </c>
      <c r="AV38" s="34">
        <f>IFERROR(s_RadSpec!$J$2*(AV2*$B38),".")</f>
        <v>2.12195809375E-2</v>
      </c>
      <c r="AW38" s="34">
        <f>IFERROR(s_RadSpec!$J$2*(AW2*$B38),".")</f>
        <v>2.12195809375E-2</v>
      </c>
      <c r="AX38" s="34">
        <f>IFERROR(s_RadSpec!$J$2*(AX2*$B38),".")</f>
        <v>2.12195809375E-2</v>
      </c>
      <c r="AY38" s="34">
        <f>IFERROR(s_RadSpec!$J$2*(AY2*$B38),".")</f>
        <v>2.12195809375E-2</v>
      </c>
      <c r="AZ38" s="34">
        <f>IFERROR(s_RadSpec!$J$2*(AZ2*$B38),".")</f>
        <v>2.12195809375E-2</v>
      </c>
      <c r="BA38" s="42">
        <f t="shared" ref="BA38:BY38" si="43">IFERROR(BA2/$B38,0)</f>
        <v>392.71903426737191</v>
      </c>
      <c r="BB38" s="42">
        <f t="shared" si="43"/>
        <v>1178.1571028021156</v>
      </c>
      <c r="BC38" s="42">
        <f t="shared" si="43"/>
        <v>1178.1571028021156</v>
      </c>
      <c r="BD38" s="42">
        <f t="shared" si="43"/>
        <v>1178.1571028021156</v>
      </c>
      <c r="BE38" s="42">
        <f t="shared" si="43"/>
        <v>1178.1571028021156</v>
      </c>
      <c r="BF38" s="42">
        <f t="shared" si="43"/>
        <v>1178.1571028021156</v>
      </c>
      <c r="BG38" s="42">
        <f t="shared" si="43"/>
        <v>1178.1571028021156</v>
      </c>
      <c r="BH38" s="42">
        <f t="shared" si="43"/>
        <v>1178.1571028021156</v>
      </c>
      <c r="BI38" s="42">
        <f t="shared" si="43"/>
        <v>1178.1571028021156</v>
      </c>
      <c r="BJ38" s="42">
        <f t="shared" si="43"/>
        <v>1178.1571028021156</v>
      </c>
      <c r="BK38" s="42">
        <f t="shared" si="43"/>
        <v>1178.1571028021156</v>
      </c>
      <c r="BL38" s="42">
        <f t="shared" si="43"/>
        <v>1178.1571028021156</v>
      </c>
      <c r="BM38" s="42">
        <f t="shared" si="43"/>
        <v>1178.1571028021156</v>
      </c>
      <c r="BN38" s="42">
        <f t="shared" si="43"/>
        <v>1178.1571028021156</v>
      </c>
      <c r="BO38" s="42">
        <f t="shared" si="43"/>
        <v>1178.1571028021156</v>
      </c>
      <c r="BP38" s="42">
        <f t="shared" si="43"/>
        <v>1178.1571028021156</v>
      </c>
      <c r="BQ38" s="42">
        <f t="shared" si="43"/>
        <v>1178.1571028021156</v>
      </c>
      <c r="BR38" s="42">
        <f t="shared" si="43"/>
        <v>1178.1571028021156</v>
      </c>
      <c r="BS38" s="42">
        <f t="shared" si="43"/>
        <v>1178.1571028021156</v>
      </c>
      <c r="BT38" s="42">
        <f t="shared" si="43"/>
        <v>1178.1571028021156</v>
      </c>
      <c r="BU38" s="42">
        <f t="shared" si="43"/>
        <v>1178.1571028021156</v>
      </c>
      <c r="BV38" s="42">
        <f t="shared" si="43"/>
        <v>1178.1571028021156</v>
      </c>
      <c r="BW38" s="42">
        <f t="shared" si="43"/>
        <v>1178.1571028021156</v>
      </c>
      <c r="BX38" s="42">
        <f t="shared" si="43"/>
        <v>1178.1571028021156</v>
      </c>
      <c r="BY38" s="42">
        <f t="shared" si="43"/>
        <v>1178.1571028021156</v>
      </c>
      <c r="BZ38" s="34">
        <f t="shared" si="35"/>
        <v>6.3658742812500002E-2</v>
      </c>
      <c r="CA38" s="34">
        <f>IFERROR(s_RadSpec!$J$2*(CA2*$B38),".")</f>
        <v>2.12195809375E-2</v>
      </c>
      <c r="CB38" s="34">
        <f>IFERROR(s_RadSpec!$J$2*(CB2*$B38),".")</f>
        <v>2.12195809375E-2</v>
      </c>
      <c r="CC38" s="34">
        <f>IFERROR(s_RadSpec!$J$2*(CC2*$B38),".")</f>
        <v>2.12195809375E-2</v>
      </c>
      <c r="CD38" s="34">
        <f>IFERROR(s_RadSpec!$J$2*(CD2*$B38),".")</f>
        <v>2.12195809375E-2</v>
      </c>
      <c r="CE38" s="34">
        <f>IFERROR(s_RadSpec!$J$2*(CE2*$B38),".")</f>
        <v>2.12195809375E-2</v>
      </c>
      <c r="CF38" s="34">
        <f>IFERROR(s_RadSpec!$J$2*(CF2*$B38),".")</f>
        <v>2.12195809375E-2</v>
      </c>
      <c r="CG38" s="34">
        <f>IFERROR(s_RadSpec!$J$2*(CG2*$B38),".")</f>
        <v>2.12195809375E-2</v>
      </c>
      <c r="CH38" s="34">
        <f>IFERROR(s_RadSpec!$J$2*(CH2*$B38),".")</f>
        <v>2.12195809375E-2</v>
      </c>
      <c r="CI38" s="34">
        <f>IFERROR(s_RadSpec!$J$2*(CI2*$B38),".")</f>
        <v>2.12195809375E-2</v>
      </c>
      <c r="CJ38" s="34">
        <f>IFERROR(s_RadSpec!$J$2*(CJ2*$B38),".")</f>
        <v>2.12195809375E-2</v>
      </c>
      <c r="CK38" s="34">
        <f>IFERROR(s_RadSpec!$J$2*(CK2*$B38),".")</f>
        <v>2.12195809375E-2</v>
      </c>
      <c r="CL38" s="34">
        <f>IFERROR(s_RadSpec!$J$2*(CL2*$B38),".")</f>
        <v>2.12195809375E-2</v>
      </c>
      <c r="CM38" s="34">
        <f>IFERROR(s_RadSpec!$J$2*(CM2*$B38),".")</f>
        <v>2.12195809375E-2</v>
      </c>
      <c r="CN38" s="34">
        <f>IFERROR(s_RadSpec!$J$2*(CN2*$B38),".")</f>
        <v>2.12195809375E-2</v>
      </c>
      <c r="CO38" s="34">
        <f>IFERROR(s_RadSpec!$J$2*(CO2*$B38),".")</f>
        <v>2.12195809375E-2</v>
      </c>
      <c r="CP38" s="34">
        <f>IFERROR(s_RadSpec!$J$2*(CP2*$B38),".")</f>
        <v>2.12195809375E-2</v>
      </c>
      <c r="CQ38" s="34">
        <f>IFERROR(s_RadSpec!$J$2*(CQ2*$B38),".")</f>
        <v>2.12195809375E-2</v>
      </c>
      <c r="CR38" s="34">
        <f>IFERROR(s_RadSpec!$J$2*(CR2*$B38),".")</f>
        <v>2.12195809375E-2</v>
      </c>
      <c r="CS38" s="34">
        <f>IFERROR(s_RadSpec!$J$2*(CS2*$B38),".")</f>
        <v>2.12195809375E-2</v>
      </c>
      <c r="CT38" s="34">
        <f>IFERROR(s_RadSpec!$J$2*(CT2*$B38),".")</f>
        <v>2.12195809375E-2</v>
      </c>
      <c r="CU38" s="34">
        <f>IFERROR(s_RadSpec!$J$2*(CU2*$B38),".")</f>
        <v>2.12195809375E-2</v>
      </c>
      <c r="CV38" s="34">
        <f>IFERROR(s_RadSpec!$J$2*(CV2*$B38),".")</f>
        <v>2.12195809375E-2</v>
      </c>
      <c r="CW38" s="34">
        <f>IFERROR(s_RadSpec!$J$2*(CW2*$B38),".")</f>
        <v>2.12195809375E-2</v>
      </c>
      <c r="CX38" s="34">
        <f>IFERROR(s_RadSpec!$J$2*(CX2*$B38),".")</f>
        <v>2.12195809375E-2</v>
      </c>
    </row>
    <row r="39" spans="1:102" x14ac:dyDescent="0.25">
      <c r="A39" s="55" t="s">
        <v>1069</v>
      </c>
      <c r="B39" s="3">
        <v>1</v>
      </c>
      <c r="C39" s="42">
        <f t="shared" ref="C39:AA39" si="44">IFERROR(C11/$B39,0)</f>
        <v>0</v>
      </c>
      <c r="D39" s="42">
        <f t="shared" si="44"/>
        <v>0</v>
      </c>
      <c r="E39" s="42">
        <f t="shared" si="44"/>
        <v>0</v>
      </c>
      <c r="F39" s="42">
        <f t="shared" si="44"/>
        <v>0</v>
      </c>
      <c r="G39" s="42">
        <f t="shared" si="44"/>
        <v>0</v>
      </c>
      <c r="H39" s="42">
        <f t="shared" si="44"/>
        <v>0</v>
      </c>
      <c r="I39" s="42">
        <f t="shared" si="44"/>
        <v>0</v>
      </c>
      <c r="J39" s="42">
        <f t="shared" si="44"/>
        <v>0</v>
      </c>
      <c r="K39" s="42">
        <f t="shared" si="44"/>
        <v>0</v>
      </c>
      <c r="L39" s="42">
        <f t="shared" si="44"/>
        <v>0</v>
      </c>
      <c r="M39" s="42">
        <f t="shared" si="44"/>
        <v>0</v>
      </c>
      <c r="N39" s="42">
        <f t="shared" si="44"/>
        <v>0</v>
      </c>
      <c r="O39" s="42">
        <f t="shared" si="44"/>
        <v>0</v>
      </c>
      <c r="P39" s="42">
        <f t="shared" si="44"/>
        <v>0</v>
      </c>
      <c r="Q39" s="42">
        <f t="shared" si="44"/>
        <v>0</v>
      </c>
      <c r="R39" s="42">
        <f t="shared" si="44"/>
        <v>0</v>
      </c>
      <c r="S39" s="42">
        <f t="shared" si="44"/>
        <v>0</v>
      </c>
      <c r="T39" s="42">
        <f t="shared" si="44"/>
        <v>0</v>
      </c>
      <c r="U39" s="42">
        <f t="shared" si="44"/>
        <v>0</v>
      </c>
      <c r="V39" s="42">
        <f t="shared" si="44"/>
        <v>0</v>
      </c>
      <c r="W39" s="42">
        <f t="shared" si="44"/>
        <v>0</v>
      </c>
      <c r="X39" s="42">
        <f t="shared" si="44"/>
        <v>0</v>
      </c>
      <c r="Y39" s="42">
        <f t="shared" si="44"/>
        <v>0</v>
      </c>
      <c r="Z39" s="42">
        <f t="shared" si="44"/>
        <v>0</v>
      </c>
      <c r="AA39" s="42">
        <f t="shared" si="44"/>
        <v>0</v>
      </c>
      <c r="AB39" s="34">
        <f t="shared" si="4"/>
        <v>0</v>
      </c>
      <c r="AC39" s="34">
        <f>IFERROR(s_RadSpec!$J$11*(AC11*$B39),".")</f>
        <v>0</v>
      </c>
      <c r="AD39" s="34">
        <f>IFERROR(s_RadSpec!$J$11*(AD11*$B39),".")</f>
        <v>0</v>
      </c>
      <c r="AE39" s="34">
        <f>IFERROR(s_RadSpec!$J$11*(AE11*$B39),".")</f>
        <v>0</v>
      </c>
      <c r="AF39" s="34">
        <f>IFERROR(s_RadSpec!$J$11*(AF11*$B39),".")</f>
        <v>0</v>
      </c>
      <c r="AG39" s="34">
        <f>IFERROR(s_RadSpec!$J$11*(AG11*$B39),".")</f>
        <v>0</v>
      </c>
      <c r="AH39" s="34">
        <f>IFERROR(s_RadSpec!$J$11*(AH11*$B39),".")</f>
        <v>0</v>
      </c>
      <c r="AI39" s="34">
        <f>IFERROR(s_RadSpec!$J$11*(AI11*$B39),".")</f>
        <v>0</v>
      </c>
      <c r="AJ39" s="34">
        <f>IFERROR(s_RadSpec!$J$11*(AJ11*$B39),".")</f>
        <v>0</v>
      </c>
      <c r="AK39" s="34">
        <f>IFERROR(s_RadSpec!$J$11*(AK11*$B39),".")</f>
        <v>0</v>
      </c>
      <c r="AL39" s="34">
        <f>IFERROR(s_RadSpec!$J$11*(AL11*$B39),".")</f>
        <v>0</v>
      </c>
      <c r="AM39" s="34">
        <f>IFERROR(s_RadSpec!$J$11*(AM11*$B39),".")</f>
        <v>0</v>
      </c>
      <c r="AN39" s="34">
        <f>IFERROR(s_RadSpec!$J$11*(AN11*$B39),".")</f>
        <v>0</v>
      </c>
      <c r="AO39" s="34">
        <f>IFERROR(s_RadSpec!$J$11*(AO11*$B39),".")</f>
        <v>0</v>
      </c>
      <c r="AP39" s="34">
        <f>IFERROR(s_RadSpec!$J$11*(AP11*$B39),".")</f>
        <v>0</v>
      </c>
      <c r="AQ39" s="34">
        <f>IFERROR(s_RadSpec!$J$11*(AQ11*$B39),".")</f>
        <v>0</v>
      </c>
      <c r="AR39" s="34">
        <f>IFERROR(s_RadSpec!$J$11*(AR11*$B39),".")</f>
        <v>0</v>
      </c>
      <c r="AS39" s="34">
        <f>IFERROR(s_RadSpec!$J$11*(AS11*$B39),".")</f>
        <v>0</v>
      </c>
      <c r="AT39" s="34">
        <f>IFERROR(s_RadSpec!$J$11*(AT11*$B39),".")</f>
        <v>0</v>
      </c>
      <c r="AU39" s="34">
        <f>IFERROR(s_RadSpec!$J$11*(AU11*$B39),".")</f>
        <v>0</v>
      </c>
      <c r="AV39" s="34">
        <f>IFERROR(s_RadSpec!$J$11*(AV11*$B39),".")</f>
        <v>0</v>
      </c>
      <c r="AW39" s="34">
        <f>IFERROR(s_RadSpec!$J$11*(AW11*$B39),".")</f>
        <v>0</v>
      </c>
      <c r="AX39" s="34">
        <f>IFERROR(s_RadSpec!$J$11*(AX11*$B39),".")</f>
        <v>0</v>
      </c>
      <c r="AY39" s="34">
        <f>IFERROR(s_RadSpec!$J$11*(AY11*$B39),".")</f>
        <v>0</v>
      </c>
      <c r="AZ39" s="34">
        <f>IFERROR(s_RadSpec!$J$11*(AZ11*$B39),".")</f>
        <v>0</v>
      </c>
      <c r="BA39" s="42">
        <f t="shared" ref="BA39:BY39" si="45">IFERROR(BA11/$B39,0)</f>
        <v>0</v>
      </c>
      <c r="BB39" s="42">
        <f t="shared" si="45"/>
        <v>0</v>
      </c>
      <c r="BC39" s="42">
        <f t="shared" si="45"/>
        <v>0</v>
      </c>
      <c r="BD39" s="42">
        <f t="shared" si="45"/>
        <v>0</v>
      </c>
      <c r="BE39" s="42">
        <f t="shared" si="45"/>
        <v>0</v>
      </c>
      <c r="BF39" s="42">
        <f t="shared" si="45"/>
        <v>0</v>
      </c>
      <c r="BG39" s="42">
        <f t="shared" si="45"/>
        <v>0</v>
      </c>
      <c r="BH39" s="42">
        <f t="shared" si="45"/>
        <v>0</v>
      </c>
      <c r="BI39" s="42">
        <f t="shared" si="45"/>
        <v>0</v>
      </c>
      <c r="BJ39" s="42">
        <f t="shared" si="45"/>
        <v>0</v>
      </c>
      <c r="BK39" s="42">
        <f t="shared" si="45"/>
        <v>0</v>
      </c>
      <c r="BL39" s="42">
        <f t="shared" si="45"/>
        <v>0</v>
      </c>
      <c r="BM39" s="42">
        <f t="shared" si="45"/>
        <v>0</v>
      </c>
      <c r="BN39" s="42">
        <f t="shared" si="45"/>
        <v>0</v>
      </c>
      <c r="BO39" s="42">
        <f t="shared" si="45"/>
        <v>0</v>
      </c>
      <c r="BP39" s="42">
        <f t="shared" si="45"/>
        <v>0</v>
      </c>
      <c r="BQ39" s="42">
        <f t="shared" si="45"/>
        <v>0</v>
      </c>
      <c r="BR39" s="42">
        <f t="shared" si="45"/>
        <v>0</v>
      </c>
      <c r="BS39" s="42">
        <f t="shared" si="45"/>
        <v>0</v>
      </c>
      <c r="BT39" s="42">
        <f t="shared" si="45"/>
        <v>0</v>
      </c>
      <c r="BU39" s="42">
        <f t="shared" si="45"/>
        <v>0</v>
      </c>
      <c r="BV39" s="42">
        <f t="shared" si="45"/>
        <v>0</v>
      </c>
      <c r="BW39" s="42">
        <f t="shared" si="45"/>
        <v>0</v>
      </c>
      <c r="BX39" s="42">
        <f t="shared" si="45"/>
        <v>0</v>
      </c>
      <c r="BY39" s="42">
        <f t="shared" si="45"/>
        <v>0</v>
      </c>
      <c r="BZ39" s="34">
        <f t="shared" si="35"/>
        <v>0</v>
      </c>
      <c r="CA39" s="34">
        <f>IFERROR(s_RadSpec!$J$11*(CA11*$B39),".")</f>
        <v>0</v>
      </c>
      <c r="CB39" s="34">
        <f>IFERROR(s_RadSpec!$J$11*(CB11*$B39),".")</f>
        <v>0</v>
      </c>
      <c r="CC39" s="34">
        <f>IFERROR(s_RadSpec!$J$11*(CC11*$B39),".")</f>
        <v>0</v>
      </c>
      <c r="CD39" s="34">
        <f>IFERROR(s_RadSpec!$J$11*(CD11*$B39),".")</f>
        <v>0</v>
      </c>
      <c r="CE39" s="34">
        <f>IFERROR(s_RadSpec!$J$11*(CE11*$B39),".")</f>
        <v>0</v>
      </c>
      <c r="CF39" s="34">
        <f>IFERROR(s_RadSpec!$J$11*(CF11*$B39),".")</f>
        <v>0</v>
      </c>
      <c r="CG39" s="34">
        <f>IFERROR(s_RadSpec!$J$11*(CG11*$B39),".")</f>
        <v>0</v>
      </c>
      <c r="CH39" s="34">
        <f>IFERROR(s_RadSpec!$J$11*(CH11*$B39),".")</f>
        <v>0</v>
      </c>
      <c r="CI39" s="34">
        <f>IFERROR(s_RadSpec!$J$11*(CI11*$B39),".")</f>
        <v>0</v>
      </c>
      <c r="CJ39" s="34">
        <f>IFERROR(s_RadSpec!$J$11*(CJ11*$B39),".")</f>
        <v>0</v>
      </c>
      <c r="CK39" s="34">
        <f>IFERROR(s_RadSpec!$J$11*(CK11*$B39),".")</f>
        <v>0</v>
      </c>
      <c r="CL39" s="34">
        <f>IFERROR(s_RadSpec!$J$11*(CL11*$B39),".")</f>
        <v>0</v>
      </c>
      <c r="CM39" s="34">
        <f>IFERROR(s_RadSpec!$J$11*(CM11*$B39),".")</f>
        <v>0</v>
      </c>
      <c r="CN39" s="34">
        <f>IFERROR(s_RadSpec!$J$11*(CN11*$B39),".")</f>
        <v>0</v>
      </c>
      <c r="CO39" s="34">
        <f>IFERROR(s_RadSpec!$J$11*(CO11*$B39),".")</f>
        <v>0</v>
      </c>
      <c r="CP39" s="34">
        <f>IFERROR(s_RadSpec!$J$11*(CP11*$B39),".")</f>
        <v>0</v>
      </c>
      <c r="CQ39" s="34">
        <f>IFERROR(s_RadSpec!$J$11*(CQ11*$B39),".")</f>
        <v>0</v>
      </c>
      <c r="CR39" s="34">
        <f>IFERROR(s_RadSpec!$J$11*(CR11*$B39),".")</f>
        <v>0</v>
      </c>
      <c r="CS39" s="34">
        <f>IFERROR(s_RadSpec!$J$11*(CS11*$B39),".")</f>
        <v>0</v>
      </c>
      <c r="CT39" s="34">
        <f>IFERROR(s_RadSpec!$J$11*(CT11*$B39),".")</f>
        <v>0</v>
      </c>
      <c r="CU39" s="34">
        <f>IFERROR(s_RadSpec!$J$11*(CU11*$B39),".")</f>
        <v>0</v>
      </c>
      <c r="CV39" s="34">
        <f>IFERROR(s_RadSpec!$J$11*(CV11*$B39),".")</f>
        <v>0</v>
      </c>
      <c r="CW39" s="34">
        <f>IFERROR(s_RadSpec!$J$11*(CW11*$B39),".")</f>
        <v>0</v>
      </c>
      <c r="CX39" s="34">
        <f>IFERROR(s_RadSpec!$J$11*(CX11*$B39),".")</f>
        <v>0</v>
      </c>
    </row>
    <row r="40" spans="1:102" x14ac:dyDescent="0.25">
      <c r="A40" s="55" t="s">
        <v>1070</v>
      </c>
      <c r="B40" s="3">
        <v>1</v>
      </c>
      <c r="C40" s="42">
        <f t="shared" ref="C40:AA40" si="46">IFERROR(C4/$B40,0)</f>
        <v>0</v>
      </c>
      <c r="D40" s="42">
        <f t="shared" si="46"/>
        <v>0</v>
      </c>
      <c r="E40" s="42">
        <f t="shared" si="46"/>
        <v>0</v>
      </c>
      <c r="F40" s="42">
        <f t="shared" si="46"/>
        <v>0</v>
      </c>
      <c r="G40" s="42">
        <f t="shared" si="46"/>
        <v>0</v>
      </c>
      <c r="H40" s="42">
        <f t="shared" si="46"/>
        <v>0</v>
      </c>
      <c r="I40" s="42">
        <f t="shared" si="46"/>
        <v>0</v>
      </c>
      <c r="J40" s="42">
        <f t="shared" si="46"/>
        <v>0</v>
      </c>
      <c r="K40" s="42">
        <f t="shared" si="46"/>
        <v>0</v>
      </c>
      <c r="L40" s="42">
        <f t="shared" si="46"/>
        <v>0</v>
      </c>
      <c r="M40" s="42">
        <f t="shared" si="46"/>
        <v>0</v>
      </c>
      <c r="N40" s="42">
        <f t="shared" si="46"/>
        <v>0</v>
      </c>
      <c r="O40" s="42">
        <f t="shared" si="46"/>
        <v>0</v>
      </c>
      <c r="P40" s="42">
        <f t="shared" si="46"/>
        <v>0</v>
      </c>
      <c r="Q40" s="42">
        <f t="shared" si="46"/>
        <v>0</v>
      </c>
      <c r="R40" s="42">
        <f t="shared" si="46"/>
        <v>0</v>
      </c>
      <c r="S40" s="42">
        <f t="shared" si="46"/>
        <v>0</v>
      </c>
      <c r="T40" s="42">
        <f t="shared" si="46"/>
        <v>0</v>
      </c>
      <c r="U40" s="42">
        <f t="shared" si="46"/>
        <v>0</v>
      </c>
      <c r="V40" s="42">
        <f t="shared" si="46"/>
        <v>0</v>
      </c>
      <c r="W40" s="42">
        <f t="shared" si="46"/>
        <v>0</v>
      </c>
      <c r="X40" s="42">
        <f t="shared" si="46"/>
        <v>0</v>
      </c>
      <c r="Y40" s="42">
        <f t="shared" si="46"/>
        <v>0</v>
      </c>
      <c r="Z40" s="42">
        <f t="shared" si="46"/>
        <v>0</v>
      </c>
      <c r="AA40" s="42">
        <f t="shared" si="46"/>
        <v>0</v>
      </c>
      <c r="AB40" s="34">
        <f t="shared" si="4"/>
        <v>0</v>
      </c>
      <c r="AC40" s="34">
        <f>IFERROR(s_RadSpec!$J$4*(AC4*$B40),".")</f>
        <v>0</v>
      </c>
      <c r="AD40" s="34">
        <f>IFERROR(s_RadSpec!$J$4*(AD4*$B40),".")</f>
        <v>0</v>
      </c>
      <c r="AE40" s="34">
        <f>IFERROR(s_RadSpec!$J$4*(AE4*$B40),".")</f>
        <v>0</v>
      </c>
      <c r="AF40" s="34">
        <f>IFERROR(s_RadSpec!$J$4*(AF4*$B40),".")</f>
        <v>0</v>
      </c>
      <c r="AG40" s="34">
        <f>IFERROR(s_RadSpec!$J$4*(AG4*$B40),".")</f>
        <v>0</v>
      </c>
      <c r="AH40" s="34">
        <f>IFERROR(s_RadSpec!$J$4*(AH4*$B40),".")</f>
        <v>0</v>
      </c>
      <c r="AI40" s="34">
        <f>IFERROR(s_RadSpec!$J$4*(AI4*$B40),".")</f>
        <v>0</v>
      </c>
      <c r="AJ40" s="34">
        <f>IFERROR(s_RadSpec!$J$4*(AJ4*$B40),".")</f>
        <v>0</v>
      </c>
      <c r="AK40" s="34">
        <f>IFERROR(s_RadSpec!$J$4*(AK4*$B40),".")</f>
        <v>0</v>
      </c>
      <c r="AL40" s="34">
        <f>IFERROR(s_RadSpec!$J$4*(AL4*$B40),".")</f>
        <v>0</v>
      </c>
      <c r="AM40" s="34">
        <f>IFERROR(s_RadSpec!$J$4*(AM4*$B40),".")</f>
        <v>0</v>
      </c>
      <c r="AN40" s="34">
        <f>IFERROR(s_RadSpec!$J$4*(AN4*$B40),".")</f>
        <v>0</v>
      </c>
      <c r="AO40" s="34">
        <f>IFERROR(s_RadSpec!$J$4*(AO4*$B40),".")</f>
        <v>0</v>
      </c>
      <c r="AP40" s="34">
        <f>IFERROR(s_RadSpec!$J$4*(AP4*$B40),".")</f>
        <v>0</v>
      </c>
      <c r="AQ40" s="34">
        <f>IFERROR(s_RadSpec!$J$4*(AQ4*$B40),".")</f>
        <v>0</v>
      </c>
      <c r="AR40" s="34">
        <f>IFERROR(s_RadSpec!$J$4*(AR4*$B40),".")</f>
        <v>0</v>
      </c>
      <c r="AS40" s="34">
        <f>IFERROR(s_RadSpec!$J$4*(AS4*$B40),".")</f>
        <v>0</v>
      </c>
      <c r="AT40" s="34">
        <f>IFERROR(s_RadSpec!$J$4*(AT4*$B40),".")</f>
        <v>0</v>
      </c>
      <c r="AU40" s="34">
        <f>IFERROR(s_RadSpec!$J$4*(AU4*$B40),".")</f>
        <v>0</v>
      </c>
      <c r="AV40" s="34">
        <f>IFERROR(s_RadSpec!$J$4*(AV4*$B40),".")</f>
        <v>0</v>
      </c>
      <c r="AW40" s="34">
        <f>IFERROR(s_RadSpec!$J$4*(AW4*$B40),".")</f>
        <v>0</v>
      </c>
      <c r="AX40" s="34">
        <f>IFERROR(s_RadSpec!$J$4*(AX4*$B40),".")</f>
        <v>0</v>
      </c>
      <c r="AY40" s="34">
        <f>IFERROR(s_RadSpec!$J$4*(AY4*$B40),".")</f>
        <v>0</v>
      </c>
      <c r="AZ40" s="34">
        <f>IFERROR(s_RadSpec!$J$4*(AZ4*$B40),".")</f>
        <v>0</v>
      </c>
      <c r="BA40" s="42">
        <f t="shared" ref="BA40:BY40" si="47">IFERROR(BA4/$B40,0)</f>
        <v>0</v>
      </c>
      <c r="BB40" s="42">
        <f t="shared" si="47"/>
        <v>0</v>
      </c>
      <c r="BC40" s="42">
        <f t="shared" si="47"/>
        <v>0</v>
      </c>
      <c r="BD40" s="42">
        <f t="shared" si="47"/>
        <v>0</v>
      </c>
      <c r="BE40" s="42">
        <f t="shared" si="47"/>
        <v>0</v>
      </c>
      <c r="BF40" s="42">
        <f t="shared" si="47"/>
        <v>0</v>
      </c>
      <c r="BG40" s="42">
        <f t="shared" si="47"/>
        <v>0</v>
      </c>
      <c r="BH40" s="42">
        <f t="shared" si="47"/>
        <v>0</v>
      </c>
      <c r="BI40" s="42">
        <f t="shared" si="47"/>
        <v>0</v>
      </c>
      <c r="BJ40" s="42">
        <f t="shared" si="47"/>
        <v>0</v>
      </c>
      <c r="BK40" s="42">
        <f t="shared" si="47"/>
        <v>0</v>
      </c>
      <c r="BL40" s="42">
        <f t="shared" si="47"/>
        <v>0</v>
      </c>
      <c r="BM40" s="42">
        <f t="shared" si="47"/>
        <v>0</v>
      </c>
      <c r="BN40" s="42">
        <f t="shared" si="47"/>
        <v>0</v>
      </c>
      <c r="BO40" s="42">
        <f t="shared" si="47"/>
        <v>0</v>
      </c>
      <c r="BP40" s="42">
        <f t="shared" si="47"/>
        <v>0</v>
      </c>
      <c r="BQ40" s="42">
        <f t="shared" si="47"/>
        <v>0</v>
      </c>
      <c r="BR40" s="42">
        <f t="shared" si="47"/>
        <v>0</v>
      </c>
      <c r="BS40" s="42">
        <f t="shared" si="47"/>
        <v>0</v>
      </c>
      <c r="BT40" s="42">
        <f t="shared" si="47"/>
        <v>0</v>
      </c>
      <c r="BU40" s="42">
        <f t="shared" si="47"/>
        <v>0</v>
      </c>
      <c r="BV40" s="42">
        <f t="shared" si="47"/>
        <v>0</v>
      </c>
      <c r="BW40" s="42">
        <f t="shared" si="47"/>
        <v>0</v>
      </c>
      <c r="BX40" s="42">
        <f t="shared" si="47"/>
        <v>0</v>
      </c>
      <c r="BY40" s="42">
        <f t="shared" si="47"/>
        <v>0</v>
      </c>
      <c r="BZ40" s="34">
        <f t="shared" si="35"/>
        <v>0</v>
      </c>
      <c r="CA40" s="34">
        <f>IFERROR(s_RadSpec!$J$4*(CA4*$B40),".")</f>
        <v>0</v>
      </c>
      <c r="CB40" s="34">
        <f>IFERROR(s_RadSpec!$J$4*(CB4*$B40),".")</f>
        <v>0</v>
      </c>
      <c r="CC40" s="34">
        <f>IFERROR(s_RadSpec!$J$4*(CC4*$B40),".")</f>
        <v>0</v>
      </c>
      <c r="CD40" s="34">
        <f>IFERROR(s_RadSpec!$J$4*(CD4*$B40),".")</f>
        <v>0</v>
      </c>
      <c r="CE40" s="34">
        <f>IFERROR(s_RadSpec!$J$4*(CE4*$B40),".")</f>
        <v>0</v>
      </c>
      <c r="CF40" s="34">
        <f>IFERROR(s_RadSpec!$J$4*(CF4*$B40),".")</f>
        <v>0</v>
      </c>
      <c r="CG40" s="34">
        <f>IFERROR(s_RadSpec!$J$4*(CG4*$B40),".")</f>
        <v>0</v>
      </c>
      <c r="CH40" s="34">
        <f>IFERROR(s_RadSpec!$J$4*(CH4*$B40),".")</f>
        <v>0</v>
      </c>
      <c r="CI40" s="34">
        <f>IFERROR(s_RadSpec!$J$4*(CI4*$B40),".")</f>
        <v>0</v>
      </c>
      <c r="CJ40" s="34">
        <f>IFERROR(s_RadSpec!$J$4*(CJ4*$B40),".")</f>
        <v>0</v>
      </c>
      <c r="CK40" s="34">
        <f>IFERROR(s_RadSpec!$J$4*(CK4*$B40),".")</f>
        <v>0</v>
      </c>
      <c r="CL40" s="34">
        <f>IFERROR(s_RadSpec!$J$4*(CL4*$B40),".")</f>
        <v>0</v>
      </c>
      <c r="CM40" s="34">
        <f>IFERROR(s_RadSpec!$J$4*(CM4*$B40),".")</f>
        <v>0</v>
      </c>
      <c r="CN40" s="34">
        <f>IFERROR(s_RadSpec!$J$4*(CN4*$B40),".")</f>
        <v>0</v>
      </c>
      <c r="CO40" s="34">
        <f>IFERROR(s_RadSpec!$J$4*(CO4*$B40),".")</f>
        <v>0</v>
      </c>
      <c r="CP40" s="34">
        <f>IFERROR(s_RadSpec!$J$4*(CP4*$B40),".")</f>
        <v>0</v>
      </c>
      <c r="CQ40" s="34">
        <f>IFERROR(s_RadSpec!$J$4*(CQ4*$B40),".")</f>
        <v>0</v>
      </c>
      <c r="CR40" s="34">
        <f>IFERROR(s_RadSpec!$J$4*(CR4*$B40),".")</f>
        <v>0</v>
      </c>
      <c r="CS40" s="34">
        <f>IFERROR(s_RadSpec!$J$4*(CS4*$B40),".")</f>
        <v>0</v>
      </c>
      <c r="CT40" s="34">
        <f>IFERROR(s_RadSpec!$J$4*(CT4*$B40),".")</f>
        <v>0</v>
      </c>
      <c r="CU40" s="34">
        <f>IFERROR(s_RadSpec!$J$4*(CU4*$B40),".")</f>
        <v>0</v>
      </c>
      <c r="CV40" s="34">
        <f>IFERROR(s_RadSpec!$J$4*(CV4*$B40),".")</f>
        <v>0</v>
      </c>
      <c r="CW40" s="34">
        <f>IFERROR(s_RadSpec!$J$4*(CW4*$B40),".")</f>
        <v>0</v>
      </c>
      <c r="CX40" s="34">
        <f>IFERROR(s_RadSpec!$J$4*(CX4*$B40),".")</f>
        <v>0</v>
      </c>
    </row>
    <row r="41" spans="1:102" x14ac:dyDescent="0.25">
      <c r="A41" s="55" t="s">
        <v>1071</v>
      </c>
      <c r="B41" s="56">
        <v>0.99987999999999999</v>
      </c>
      <c r="C41" s="42">
        <f t="shared" ref="C41:AA41" si="48">IFERROR(C8/$B41,0)</f>
        <v>9792.0383372778833</v>
      </c>
      <c r="D41" s="42">
        <f t="shared" si="48"/>
        <v>29376.115011833652</v>
      </c>
      <c r="E41" s="42">
        <f t="shared" si="48"/>
        <v>29376.115011833652</v>
      </c>
      <c r="F41" s="42">
        <f t="shared" si="48"/>
        <v>29376.115011833652</v>
      </c>
      <c r="G41" s="42">
        <f t="shared" si="48"/>
        <v>29376.115011833652</v>
      </c>
      <c r="H41" s="42">
        <f t="shared" si="48"/>
        <v>29376.115011833652</v>
      </c>
      <c r="I41" s="42">
        <f t="shared" si="48"/>
        <v>29376.115011833652</v>
      </c>
      <c r="J41" s="42">
        <f t="shared" si="48"/>
        <v>29376.115011833652</v>
      </c>
      <c r="K41" s="42">
        <f t="shared" si="48"/>
        <v>29376.115011833652</v>
      </c>
      <c r="L41" s="42">
        <f t="shared" si="48"/>
        <v>29376.115011833652</v>
      </c>
      <c r="M41" s="42">
        <f t="shared" si="48"/>
        <v>29376.115011833652</v>
      </c>
      <c r="N41" s="42">
        <f t="shared" si="48"/>
        <v>29376.115011833652</v>
      </c>
      <c r="O41" s="42">
        <f t="shared" si="48"/>
        <v>29376.115011833652</v>
      </c>
      <c r="P41" s="42">
        <f t="shared" si="48"/>
        <v>29376.115011833652</v>
      </c>
      <c r="Q41" s="42">
        <f t="shared" si="48"/>
        <v>29376.115011833652</v>
      </c>
      <c r="R41" s="42">
        <f t="shared" si="48"/>
        <v>29376.115011833652</v>
      </c>
      <c r="S41" s="42">
        <f t="shared" si="48"/>
        <v>29376.115011833652</v>
      </c>
      <c r="T41" s="42">
        <f t="shared" si="48"/>
        <v>29376.115011833652</v>
      </c>
      <c r="U41" s="42">
        <f t="shared" si="48"/>
        <v>29376.115011833652</v>
      </c>
      <c r="V41" s="42">
        <f t="shared" si="48"/>
        <v>29376.115011833652</v>
      </c>
      <c r="W41" s="42">
        <f t="shared" si="48"/>
        <v>29376.115011833652</v>
      </c>
      <c r="X41" s="42">
        <f t="shared" si="48"/>
        <v>29376.115011833652</v>
      </c>
      <c r="Y41" s="42">
        <f t="shared" si="48"/>
        <v>29376.115011833652</v>
      </c>
      <c r="Z41" s="42">
        <f t="shared" si="48"/>
        <v>29376.115011833652</v>
      </c>
      <c r="AA41" s="42">
        <f t="shared" si="48"/>
        <v>29376.115011833652</v>
      </c>
      <c r="AB41" s="34">
        <f t="shared" si="4"/>
        <v>2.5530945793814999E-3</v>
      </c>
      <c r="AC41" s="34">
        <f>IFERROR(s_RadSpec!$J$8*(AC8*$B41),".")</f>
        <v>8.510315264604999E-4</v>
      </c>
      <c r="AD41" s="34">
        <f>IFERROR(s_RadSpec!$J$8*(AD8*$B41),".")</f>
        <v>8.510315264604999E-4</v>
      </c>
      <c r="AE41" s="34">
        <f>IFERROR(s_RadSpec!$J$8*(AE8*$B41),".")</f>
        <v>8.510315264604999E-4</v>
      </c>
      <c r="AF41" s="34">
        <f>IFERROR(s_RadSpec!$J$8*(AF8*$B41),".")</f>
        <v>8.510315264604999E-4</v>
      </c>
      <c r="AG41" s="34">
        <f>IFERROR(s_RadSpec!$J$8*(AG8*$B41),".")</f>
        <v>8.510315264604999E-4</v>
      </c>
      <c r="AH41" s="34">
        <f>IFERROR(s_RadSpec!$J$8*(AH8*$B41),".")</f>
        <v>8.510315264604999E-4</v>
      </c>
      <c r="AI41" s="34">
        <f>IFERROR(s_RadSpec!$J$8*(AI8*$B41),".")</f>
        <v>8.510315264604999E-4</v>
      </c>
      <c r="AJ41" s="34">
        <f>IFERROR(s_RadSpec!$J$8*(AJ8*$B41),".")</f>
        <v>8.510315264604999E-4</v>
      </c>
      <c r="AK41" s="34">
        <f>IFERROR(s_RadSpec!$J$8*(AK8*$B41),".")</f>
        <v>8.510315264604999E-4</v>
      </c>
      <c r="AL41" s="34">
        <f>IFERROR(s_RadSpec!$J$8*(AL8*$B41),".")</f>
        <v>8.510315264604999E-4</v>
      </c>
      <c r="AM41" s="34">
        <f>IFERROR(s_RadSpec!$J$8*(AM8*$B41),".")</f>
        <v>8.510315264604999E-4</v>
      </c>
      <c r="AN41" s="34">
        <f>IFERROR(s_RadSpec!$J$8*(AN8*$B41),".")</f>
        <v>8.510315264604999E-4</v>
      </c>
      <c r="AO41" s="34">
        <f>IFERROR(s_RadSpec!$J$8*(AO8*$B41),".")</f>
        <v>8.510315264604999E-4</v>
      </c>
      <c r="AP41" s="34">
        <f>IFERROR(s_RadSpec!$J$8*(AP8*$B41),".")</f>
        <v>8.510315264604999E-4</v>
      </c>
      <c r="AQ41" s="34">
        <f>IFERROR(s_RadSpec!$J$8*(AQ8*$B41),".")</f>
        <v>8.510315264604999E-4</v>
      </c>
      <c r="AR41" s="34">
        <f>IFERROR(s_RadSpec!$J$8*(AR8*$B41),".")</f>
        <v>8.510315264604999E-4</v>
      </c>
      <c r="AS41" s="34">
        <f>IFERROR(s_RadSpec!$J$8*(AS8*$B41),".")</f>
        <v>8.510315264604999E-4</v>
      </c>
      <c r="AT41" s="34">
        <f>IFERROR(s_RadSpec!$J$8*(AT8*$B41),".")</f>
        <v>8.510315264604999E-4</v>
      </c>
      <c r="AU41" s="34">
        <f>IFERROR(s_RadSpec!$J$8*(AU8*$B41),".")</f>
        <v>8.510315264604999E-4</v>
      </c>
      <c r="AV41" s="34">
        <f>IFERROR(s_RadSpec!$J$8*(AV8*$B41),".")</f>
        <v>8.510315264604999E-4</v>
      </c>
      <c r="AW41" s="34">
        <f>IFERROR(s_RadSpec!$J$8*(AW8*$B41),".")</f>
        <v>8.510315264604999E-4</v>
      </c>
      <c r="AX41" s="34">
        <f>IFERROR(s_RadSpec!$J$8*(AX8*$B41),".")</f>
        <v>8.510315264604999E-4</v>
      </c>
      <c r="AY41" s="34">
        <f>IFERROR(s_RadSpec!$J$8*(AY8*$B41),".")</f>
        <v>8.510315264604999E-4</v>
      </c>
      <c r="AZ41" s="34">
        <f>IFERROR(s_RadSpec!$J$8*(AZ8*$B41),".")</f>
        <v>8.510315264604999E-4</v>
      </c>
      <c r="BA41" s="42">
        <f t="shared" ref="BA41:BY41" si="49">IFERROR(BA8/$B41,0)</f>
        <v>9792.0383372778833</v>
      </c>
      <c r="BB41" s="42">
        <f t="shared" si="49"/>
        <v>29376.115011833652</v>
      </c>
      <c r="BC41" s="42">
        <f t="shared" si="49"/>
        <v>29376.115011833652</v>
      </c>
      <c r="BD41" s="42">
        <f t="shared" si="49"/>
        <v>29376.115011833652</v>
      </c>
      <c r="BE41" s="42">
        <f t="shared" si="49"/>
        <v>29376.115011833652</v>
      </c>
      <c r="BF41" s="42">
        <f t="shared" si="49"/>
        <v>29376.115011833652</v>
      </c>
      <c r="BG41" s="42">
        <f t="shared" si="49"/>
        <v>29376.115011833652</v>
      </c>
      <c r="BH41" s="42">
        <f t="shared" si="49"/>
        <v>29376.115011833652</v>
      </c>
      <c r="BI41" s="42">
        <f t="shared" si="49"/>
        <v>29376.115011833652</v>
      </c>
      <c r="BJ41" s="42">
        <f t="shared" si="49"/>
        <v>29376.115011833652</v>
      </c>
      <c r="BK41" s="42">
        <f t="shared" si="49"/>
        <v>29376.115011833652</v>
      </c>
      <c r="BL41" s="42">
        <f t="shared" si="49"/>
        <v>29376.115011833652</v>
      </c>
      <c r="BM41" s="42">
        <f t="shared" si="49"/>
        <v>29376.115011833652</v>
      </c>
      <c r="BN41" s="42">
        <f t="shared" si="49"/>
        <v>29376.115011833652</v>
      </c>
      <c r="BO41" s="42">
        <f t="shared" si="49"/>
        <v>29376.115011833652</v>
      </c>
      <c r="BP41" s="42">
        <f t="shared" si="49"/>
        <v>29376.115011833652</v>
      </c>
      <c r="BQ41" s="42">
        <f t="shared" si="49"/>
        <v>29376.115011833652</v>
      </c>
      <c r="BR41" s="42">
        <f t="shared" si="49"/>
        <v>29376.115011833652</v>
      </c>
      <c r="BS41" s="42">
        <f t="shared" si="49"/>
        <v>29376.115011833652</v>
      </c>
      <c r="BT41" s="42">
        <f t="shared" si="49"/>
        <v>29376.115011833652</v>
      </c>
      <c r="BU41" s="42">
        <f t="shared" si="49"/>
        <v>29376.115011833652</v>
      </c>
      <c r="BV41" s="42">
        <f t="shared" si="49"/>
        <v>29376.115011833652</v>
      </c>
      <c r="BW41" s="42">
        <f t="shared" si="49"/>
        <v>29376.115011833652</v>
      </c>
      <c r="BX41" s="42">
        <f t="shared" si="49"/>
        <v>29376.115011833652</v>
      </c>
      <c r="BY41" s="42">
        <f t="shared" si="49"/>
        <v>29376.115011833652</v>
      </c>
      <c r="BZ41" s="34">
        <f t="shared" si="35"/>
        <v>2.5530945793814999E-3</v>
      </c>
      <c r="CA41" s="34">
        <f>IFERROR(s_RadSpec!$J$8*(CA8*$B41),".")</f>
        <v>8.510315264604999E-4</v>
      </c>
      <c r="CB41" s="34">
        <f>IFERROR(s_RadSpec!$J$8*(CB8*$B41),".")</f>
        <v>8.510315264604999E-4</v>
      </c>
      <c r="CC41" s="34">
        <f>IFERROR(s_RadSpec!$J$8*(CC8*$B41),".")</f>
        <v>8.510315264604999E-4</v>
      </c>
      <c r="CD41" s="34">
        <f>IFERROR(s_RadSpec!$J$8*(CD8*$B41),".")</f>
        <v>8.510315264604999E-4</v>
      </c>
      <c r="CE41" s="34">
        <f>IFERROR(s_RadSpec!$J$8*(CE8*$B41),".")</f>
        <v>8.510315264604999E-4</v>
      </c>
      <c r="CF41" s="34">
        <f>IFERROR(s_RadSpec!$J$8*(CF8*$B41),".")</f>
        <v>8.510315264604999E-4</v>
      </c>
      <c r="CG41" s="34">
        <f>IFERROR(s_RadSpec!$J$8*(CG8*$B41),".")</f>
        <v>8.510315264604999E-4</v>
      </c>
      <c r="CH41" s="34">
        <f>IFERROR(s_RadSpec!$J$8*(CH8*$B41),".")</f>
        <v>8.510315264604999E-4</v>
      </c>
      <c r="CI41" s="34">
        <f>IFERROR(s_RadSpec!$J$8*(CI8*$B41),".")</f>
        <v>8.510315264604999E-4</v>
      </c>
      <c r="CJ41" s="34">
        <f>IFERROR(s_RadSpec!$J$8*(CJ8*$B41),".")</f>
        <v>8.510315264604999E-4</v>
      </c>
      <c r="CK41" s="34">
        <f>IFERROR(s_RadSpec!$J$8*(CK8*$B41),".")</f>
        <v>8.510315264604999E-4</v>
      </c>
      <c r="CL41" s="34">
        <f>IFERROR(s_RadSpec!$J$8*(CL8*$B41),".")</f>
        <v>8.510315264604999E-4</v>
      </c>
      <c r="CM41" s="34">
        <f>IFERROR(s_RadSpec!$J$8*(CM8*$B41),".")</f>
        <v>8.510315264604999E-4</v>
      </c>
      <c r="CN41" s="34">
        <f>IFERROR(s_RadSpec!$J$8*(CN8*$B41),".")</f>
        <v>8.510315264604999E-4</v>
      </c>
      <c r="CO41" s="34">
        <f>IFERROR(s_RadSpec!$J$8*(CO8*$B41),".")</f>
        <v>8.510315264604999E-4</v>
      </c>
      <c r="CP41" s="34">
        <f>IFERROR(s_RadSpec!$J$8*(CP8*$B41),".")</f>
        <v>8.510315264604999E-4</v>
      </c>
      <c r="CQ41" s="34">
        <f>IFERROR(s_RadSpec!$J$8*(CQ8*$B41),".")</f>
        <v>8.510315264604999E-4</v>
      </c>
      <c r="CR41" s="34">
        <f>IFERROR(s_RadSpec!$J$8*(CR8*$B41),".")</f>
        <v>8.510315264604999E-4</v>
      </c>
      <c r="CS41" s="34">
        <f>IFERROR(s_RadSpec!$J$8*(CS8*$B41),".")</f>
        <v>8.510315264604999E-4</v>
      </c>
      <c r="CT41" s="34">
        <f>IFERROR(s_RadSpec!$J$8*(CT8*$B41),".")</f>
        <v>8.510315264604999E-4</v>
      </c>
      <c r="CU41" s="34">
        <f>IFERROR(s_RadSpec!$J$8*(CU8*$B41),".")</f>
        <v>8.510315264604999E-4</v>
      </c>
      <c r="CV41" s="34">
        <f>IFERROR(s_RadSpec!$J$8*(CV8*$B41),".")</f>
        <v>8.510315264604999E-4</v>
      </c>
      <c r="CW41" s="34">
        <f>IFERROR(s_RadSpec!$J$8*(CW8*$B41),".")</f>
        <v>8.510315264604999E-4</v>
      </c>
      <c r="CX41" s="34">
        <f>IFERROR(s_RadSpec!$J$8*(CX8*$B41),".")</f>
        <v>8.510315264604999E-4</v>
      </c>
    </row>
    <row r="42" spans="1:102" x14ac:dyDescent="0.25">
      <c r="A42" s="55" t="s">
        <v>1072</v>
      </c>
      <c r="B42" s="3">
        <v>0.97898250799999997</v>
      </c>
      <c r="C42" s="42">
        <f t="shared" ref="C42:AA42" si="50">IFERROR(C19/$B42,0)</f>
        <v>0</v>
      </c>
      <c r="D42" s="42">
        <f t="shared" si="50"/>
        <v>0</v>
      </c>
      <c r="E42" s="42">
        <f t="shared" si="50"/>
        <v>0</v>
      </c>
      <c r="F42" s="42">
        <f t="shared" si="50"/>
        <v>0</v>
      </c>
      <c r="G42" s="42">
        <f t="shared" si="50"/>
        <v>0</v>
      </c>
      <c r="H42" s="42">
        <f t="shared" si="50"/>
        <v>0</v>
      </c>
      <c r="I42" s="42">
        <f t="shared" si="50"/>
        <v>0</v>
      </c>
      <c r="J42" s="42">
        <f t="shared" si="50"/>
        <v>0</v>
      </c>
      <c r="K42" s="42">
        <f t="shared" si="50"/>
        <v>0</v>
      </c>
      <c r="L42" s="42">
        <f t="shared" si="50"/>
        <v>0</v>
      </c>
      <c r="M42" s="42">
        <f t="shared" si="50"/>
        <v>0</v>
      </c>
      <c r="N42" s="42">
        <f t="shared" si="50"/>
        <v>0</v>
      </c>
      <c r="O42" s="42">
        <f t="shared" si="50"/>
        <v>0</v>
      </c>
      <c r="P42" s="42">
        <f t="shared" si="50"/>
        <v>0</v>
      </c>
      <c r="Q42" s="42">
        <f t="shared" si="50"/>
        <v>0</v>
      </c>
      <c r="R42" s="42">
        <f t="shared" si="50"/>
        <v>0</v>
      </c>
      <c r="S42" s="42">
        <f t="shared" si="50"/>
        <v>0</v>
      </c>
      <c r="T42" s="42">
        <f t="shared" si="50"/>
        <v>0</v>
      </c>
      <c r="U42" s="42">
        <f t="shared" si="50"/>
        <v>0</v>
      </c>
      <c r="V42" s="42">
        <f t="shared" si="50"/>
        <v>0</v>
      </c>
      <c r="W42" s="42">
        <f t="shared" si="50"/>
        <v>0</v>
      </c>
      <c r="X42" s="42">
        <f t="shared" si="50"/>
        <v>0</v>
      </c>
      <c r="Y42" s="42">
        <f t="shared" si="50"/>
        <v>0</v>
      </c>
      <c r="Z42" s="42">
        <f t="shared" si="50"/>
        <v>0</v>
      </c>
      <c r="AA42" s="42">
        <f t="shared" si="50"/>
        <v>0</v>
      </c>
      <c r="AB42" s="34">
        <f t="shared" si="4"/>
        <v>0</v>
      </c>
      <c r="AC42" s="34">
        <f>IFERROR(s_RadSpec!$J$19*(AC19*$B42),".")</f>
        <v>0</v>
      </c>
      <c r="AD42" s="34">
        <f>IFERROR(s_RadSpec!$J$19*(AD19*$B42),".")</f>
        <v>0</v>
      </c>
      <c r="AE42" s="34">
        <f>IFERROR(s_RadSpec!$J$19*(AE19*$B42),".")</f>
        <v>0</v>
      </c>
      <c r="AF42" s="34">
        <f>IFERROR(s_RadSpec!$J$19*(AF19*$B42),".")</f>
        <v>0</v>
      </c>
      <c r="AG42" s="34">
        <f>IFERROR(s_RadSpec!$J$19*(AG19*$B42),".")</f>
        <v>0</v>
      </c>
      <c r="AH42" s="34">
        <f>IFERROR(s_RadSpec!$J$19*(AH19*$B42),".")</f>
        <v>0</v>
      </c>
      <c r="AI42" s="34">
        <f>IFERROR(s_RadSpec!$J$19*(AI19*$B42),".")</f>
        <v>0</v>
      </c>
      <c r="AJ42" s="34">
        <f>IFERROR(s_RadSpec!$J$19*(AJ19*$B42),".")</f>
        <v>0</v>
      </c>
      <c r="AK42" s="34">
        <f>IFERROR(s_RadSpec!$J$19*(AK19*$B42),".")</f>
        <v>0</v>
      </c>
      <c r="AL42" s="34">
        <f>IFERROR(s_RadSpec!$J$19*(AL19*$B42),".")</f>
        <v>0</v>
      </c>
      <c r="AM42" s="34">
        <f>IFERROR(s_RadSpec!$J$19*(AM19*$B42),".")</f>
        <v>0</v>
      </c>
      <c r="AN42" s="34">
        <f>IFERROR(s_RadSpec!$J$19*(AN19*$B42),".")</f>
        <v>0</v>
      </c>
      <c r="AO42" s="34">
        <f>IFERROR(s_RadSpec!$J$19*(AO19*$B42),".")</f>
        <v>0</v>
      </c>
      <c r="AP42" s="34">
        <f>IFERROR(s_RadSpec!$J$19*(AP19*$B42),".")</f>
        <v>0</v>
      </c>
      <c r="AQ42" s="34">
        <f>IFERROR(s_RadSpec!$J$19*(AQ19*$B42),".")</f>
        <v>0</v>
      </c>
      <c r="AR42" s="34">
        <f>IFERROR(s_RadSpec!$J$19*(AR19*$B42),".")</f>
        <v>0</v>
      </c>
      <c r="AS42" s="34">
        <f>IFERROR(s_RadSpec!$J$19*(AS19*$B42),".")</f>
        <v>0</v>
      </c>
      <c r="AT42" s="34">
        <f>IFERROR(s_RadSpec!$J$19*(AT19*$B42),".")</f>
        <v>0</v>
      </c>
      <c r="AU42" s="34">
        <f>IFERROR(s_RadSpec!$J$19*(AU19*$B42),".")</f>
        <v>0</v>
      </c>
      <c r="AV42" s="34">
        <f>IFERROR(s_RadSpec!$J$19*(AV19*$B42),".")</f>
        <v>0</v>
      </c>
      <c r="AW42" s="34">
        <f>IFERROR(s_RadSpec!$J$19*(AW19*$B42),".")</f>
        <v>0</v>
      </c>
      <c r="AX42" s="34">
        <f>IFERROR(s_RadSpec!$J$19*(AX19*$B42),".")</f>
        <v>0</v>
      </c>
      <c r="AY42" s="34">
        <f>IFERROR(s_RadSpec!$J$19*(AY19*$B42),".")</f>
        <v>0</v>
      </c>
      <c r="AZ42" s="34">
        <f>IFERROR(s_RadSpec!$J$19*(AZ19*$B42),".")</f>
        <v>0</v>
      </c>
      <c r="BA42" s="42">
        <f t="shared" ref="BA42:BY42" si="51">IFERROR(BA19/$B42,0)</f>
        <v>0</v>
      </c>
      <c r="BB42" s="42">
        <f t="shared" si="51"/>
        <v>0</v>
      </c>
      <c r="BC42" s="42">
        <f t="shared" si="51"/>
        <v>0</v>
      </c>
      <c r="BD42" s="42">
        <f t="shared" si="51"/>
        <v>0</v>
      </c>
      <c r="BE42" s="42">
        <f t="shared" si="51"/>
        <v>0</v>
      </c>
      <c r="BF42" s="42">
        <f t="shared" si="51"/>
        <v>0</v>
      </c>
      <c r="BG42" s="42">
        <f t="shared" si="51"/>
        <v>0</v>
      </c>
      <c r="BH42" s="42">
        <f t="shared" si="51"/>
        <v>0</v>
      </c>
      <c r="BI42" s="42">
        <f t="shared" si="51"/>
        <v>0</v>
      </c>
      <c r="BJ42" s="42">
        <f t="shared" si="51"/>
        <v>0</v>
      </c>
      <c r="BK42" s="42">
        <f t="shared" si="51"/>
        <v>0</v>
      </c>
      <c r="BL42" s="42">
        <f t="shared" si="51"/>
        <v>0</v>
      </c>
      <c r="BM42" s="42">
        <f t="shared" si="51"/>
        <v>0</v>
      </c>
      <c r="BN42" s="42">
        <f t="shared" si="51"/>
        <v>0</v>
      </c>
      <c r="BO42" s="42">
        <f t="shared" si="51"/>
        <v>0</v>
      </c>
      <c r="BP42" s="42">
        <f t="shared" si="51"/>
        <v>0</v>
      </c>
      <c r="BQ42" s="42">
        <f t="shared" si="51"/>
        <v>0</v>
      </c>
      <c r="BR42" s="42">
        <f t="shared" si="51"/>
        <v>0</v>
      </c>
      <c r="BS42" s="42">
        <f t="shared" si="51"/>
        <v>0</v>
      </c>
      <c r="BT42" s="42">
        <f t="shared" si="51"/>
        <v>0</v>
      </c>
      <c r="BU42" s="42">
        <f t="shared" si="51"/>
        <v>0</v>
      </c>
      <c r="BV42" s="42">
        <f t="shared" si="51"/>
        <v>0</v>
      </c>
      <c r="BW42" s="42">
        <f t="shared" si="51"/>
        <v>0</v>
      </c>
      <c r="BX42" s="42">
        <f t="shared" si="51"/>
        <v>0</v>
      </c>
      <c r="BY42" s="42">
        <f t="shared" si="51"/>
        <v>0</v>
      </c>
      <c r="BZ42" s="34">
        <f t="shared" si="35"/>
        <v>0</v>
      </c>
      <c r="CA42" s="34">
        <f>IFERROR(s_RadSpec!$J$19*(CA19*$B42),".")</f>
        <v>0</v>
      </c>
      <c r="CB42" s="34">
        <f>IFERROR(s_RadSpec!$J$19*(CB19*$B42),".")</f>
        <v>0</v>
      </c>
      <c r="CC42" s="34">
        <f>IFERROR(s_RadSpec!$J$19*(CC19*$B42),".")</f>
        <v>0</v>
      </c>
      <c r="CD42" s="34">
        <f>IFERROR(s_RadSpec!$J$19*(CD19*$B42),".")</f>
        <v>0</v>
      </c>
      <c r="CE42" s="34">
        <f>IFERROR(s_RadSpec!$J$19*(CE19*$B42),".")</f>
        <v>0</v>
      </c>
      <c r="CF42" s="34">
        <f>IFERROR(s_RadSpec!$J$19*(CF19*$B42),".")</f>
        <v>0</v>
      </c>
      <c r="CG42" s="34">
        <f>IFERROR(s_RadSpec!$J$19*(CG19*$B42),".")</f>
        <v>0</v>
      </c>
      <c r="CH42" s="34">
        <f>IFERROR(s_RadSpec!$J$19*(CH19*$B42),".")</f>
        <v>0</v>
      </c>
      <c r="CI42" s="34">
        <f>IFERROR(s_RadSpec!$J$19*(CI19*$B42),".")</f>
        <v>0</v>
      </c>
      <c r="CJ42" s="34">
        <f>IFERROR(s_RadSpec!$J$19*(CJ19*$B42),".")</f>
        <v>0</v>
      </c>
      <c r="CK42" s="34">
        <f>IFERROR(s_RadSpec!$J$19*(CK19*$B42),".")</f>
        <v>0</v>
      </c>
      <c r="CL42" s="34">
        <f>IFERROR(s_RadSpec!$J$19*(CL19*$B42),".")</f>
        <v>0</v>
      </c>
      <c r="CM42" s="34">
        <f>IFERROR(s_RadSpec!$J$19*(CM19*$B42),".")</f>
        <v>0</v>
      </c>
      <c r="CN42" s="34">
        <f>IFERROR(s_RadSpec!$J$19*(CN19*$B42),".")</f>
        <v>0</v>
      </c>
      <c r="CO42" s="34">
        <f>IFERROR(s_RadSpec!$J$19*(CO19*$B42),".")</f>
        <v>0</v>
      </c>
      <c r="CP42" s="34">
        <f>IFERROR(s_RadSpec!$J$19*(CP19*$B42),".")</f>
        <v>0</v>
      </c>
      <c r="CQ42" s="34">
        <f>IFERROR(s_RadSpec!$J$19*(CQ19*$B42),".")</f>
        <v>0</v>
      </c>
      <c r="CR42" s="34">
        <f>IFERROR(s_RadSpec!$J$19*(CR19*$B42),".")</f>
        <v>0</v>
      </c>
      <c r="CS42" s="34">
        <f>IFERROR(s_RadSpec!$J$19*(CS19*$B42),".")</f>
        <v>0</v>
      </c>
      <c r="CT42" s="34">
        <f>IFERROR(s_RadSpec!$J$19*(CT19*$B42),".")</f>
        <v>0</v>
      </c>
      <c r="CU42" s="34">
        <f>IFERROR(s_RadSpec!$J$19*(CU19*$B42),".")</f>
        <v>0</v>
      </c>
      <c r="CV42" s="34">
        <f>IFERROR(s_RadSpec!$J$19*(CV19*$B42),".")</f>
        <v>0</v>
      </c>
      <c r="CW42" s="34">
        <f>IFERROR(s_RadSpec!$J$19*(CW19*$B42),".")</f>
        <v>0</v>
      </c>
      <c r="CX42" s="34">
        <f>IFERROR(s_RadSpec!$J$19*(CX19*$B42),".")</f>
        <v>0</v>
      </c>
    </row>
    <row r="43" spans="1:102" x14ac:dyDescent="0.25">
      <c r="A43" s="55" t="s">
        <v>1073</v>
      </c>
      <c r="B43" s="3">
        <v>2.0897492E-2</v>
      </c>
      <c r="C43" s="42">
        <f t="shared" ref="C43:AA43" si="52">IFERROR(C28/$B43,0)</f>
        <v>0</v>
      </c>
      <c r="D43" s="42">
        <f t="shared" si="52"/>
        <v>0</v>
      </c>
      <c r="E43" s="42">
        <f t="shared" si="52"/>
        <v>0</v>
      </c>
      <c r="F43" s="42">
        <f t="shared" si="52"/>
        <v>0</v>
      </c>
      <c r="G43" s="42">
        <f t="shared" si="52"/>
        <v>0</v>
      </c>
      <c r="H43" s="42">
        <f t="shared" si="52"/>
        <v>0</v>
      </c>
      <c r="I43" s="42">
        <f t="shared" si="52"/>
        <v>0</v>
      </c>
      <c r="J43" s="42">
        <f t="shared" si="52"/>
        <v>0</v>
      </c>
      <c r="K43" s="42">
        <f t="shared" si="52"/>
        <v>0</v>
      </c>
      <c r="L43" s="42">
        <f t="shared" si="52"/>
        <v>0</v>
      </c>
      <c r="M43" s="42">
        <f t="shared" si="52"/>
        <v>0</v>
      </c>
      <c r="N43" s="42">
        <f t="shared" si="52"/>
        <v>0</v>
      </c>
      <c r="O43" s="42">
        <f t="shared" si="52"/>
        <v>0</v>
      </c>
      <c r="P43" s="42">
        <f t="shared" si="52"/>
        <v>0</v>
      </c>
      <c r="Q43" s="42">
        <f t="shared" si="52"/>
        <v>0</v>
      </c>
      <c r="R43" s="42">
        <f t="shared" si="52"/>
        <v>0</v>
      </c>
      <c r="S43" s="42">
        <f t="shared" si="52"/>
        <v>0</v>
      </c>
      <c r="T43" s="42">
        <f t="shared" si="52"/>
        <v>0</v>
      </c>
      <c r="U43" s="42">
        <f t="shared" si="52"/>
        <v>0</v>
      </c>
      <c r="V43" s="42">
        <f t="shared" si="52"/>
        <v>0</v>
      </c>
      <c r="W43" s="42">
        <f t="shared" si="52"/>
        <v>0</v>
      </c>
      <c r="X43" s="42">
        <f t="shared" si="52"/>
        <v>0</v>
      </c>
      <c r="Y43" s="42">
        <f t="shared" si="52"/>
        <v>0</v>
      </c>
      <c r="Z43" s="42">
        <f t="shared" si="52"/>
        <v>0</v>
      </c>
      <c r="AA43" s="42">
        <f t="shared" si="52"/>
        <v>0</v>
      </c>
      <c r="AB43" s="34">
        <f t="shared" si="4"/>
        <v>0</v>
      </c>
      <c r="AC43" s="34">
        <f>IFERROR(s_RadSpec!$J$28*(AC28*$B43),".")</f>
        <v>0</v>
      </c>
      <c r="AD43" s="34">
        <f>IFERROR(s_RadSpec!$J$28*(AD28*$B43),".")</f>
        <v>0</v>
      </c>
      <c r="AE43" s="34">
        <f>IFERROR(s_RadSpec!$J$28*(AE28*$B43),".")</f>
        <v>0</v>
      </c>
      <c r="AF43" s="34">
        <f>IFERROR(s_RadSpec!$J$28*(AF28*$B43),".")</f>
        <v>0</v>
      </c>
      <c r="AG43" s="34">
        <f>IFERROR(s_RadSpec!$J$28*(AG28*$B43),".")</f>
        <v>0</v>
      </c>
      <c r="AH43" s="34">
        <f>IFERROR(s_RadSpec!$J$28*(AH28*$B43),".")</f>
        <v>0</v>
      </c>
      <c r="AI43" s="34">
        <f>IFERROR(s_RadSpec!$J$28*(AI28*$B43),".")</f>
        <v>0</v>
      </c>
      <c r="AJ43" s="34">
        <f>IFERROR(s_RadSpec!$J$28*(AJ28*$B43),".")</f>
        <v>0</v>
      </c>
      <c r="AK43" s="34">
        <f>IFERROR(s_RadSpec!$J$28*(AK28*$B43),".")</f>
        <v>0</v>
      </c>
      <c r="AL43" s="34">
        <f>IFERROR(s_RadSpec!$J$28*(AL28*$B43),".")</f>
        <v>0</v>
      </c>
      <c r="AM43" s="34">
        <f>IFERROR(s_RadSpec!$J$28*(AM28*$B43),".")</f>
        <v>0</v>
      </c>
      <c r="AN43" s="34">
        <f>IFERROR(s_RadSpec!$J$28*(AN28*$B43),".")</f>
        <v>0</v>
      </c>
      <c r="AO43" s="34">
        <f>IFERROR(s_RadSpec!$J$28*(AO28*$B43),".")</f>
        <v>0</v>
      </c>
      <c r="AP43" s="34">
        <f>IFERROR(s_RadSpec!$J$28*(AP28*$B43),".")</f>
        <v>0</v>
      </c>
      <c r="AQ43" s="34">
        <f>IFERROR(s_RadSpec!$J$28*(AQ28*$B43),".")</f>
        <v>0</v>
      </c>
      <c r="AR43" s="34">
        <f>IFERROR(s_RadSpec!$J$28*(AR28*$B43),".")</f>
        <v>0</v>
      </c>
      <c r="AS43" s="34">
        <f>IFERROR(s_RadSpec!$J$28*(AS28*$B43),".")</f>
        <v>0</v>
      </c>
      <c r="AT43" s="34">
        <f>IFERROR(s_RadSpec!$J$28*(AT28*$B43),".")</f>
        <v>0</v>
      </c>
      <c r="AU43" s="34">
        <f>IFERROR(s_RadSpec!$J$28*(AU28*$B43),".")</f>
        <v>0</v>
      </c>
      <c r="AV43" s="34">
        <f>IFERROR(s_RadSpec!$J$28*(AV28*$B43),".")</f>
        <v>0</v>
      </c>
      <c r="AW43" s="34">
        <f>IFERROR(s_RadSpec!$J$28*(AW28*$B43),".")</f>
        <v>0</v>
      </c>
      <c r="AX43" s="34">
        <f>IFERROR(s_RadSpec!$J$28*(AX28*$B43),".")</f>
        <v>0</v>
      </c>
      <c r="AY43" s="34">
        <f>IFERROR(s_RadSpec!$J$28*(AY28*$B43),".")</f>
        <v>0</v>
      </c>
      <c r="AZ43" s="34">
        <f>IFERROR(s_RadSpec!$J$28*(AZ28*$B43),".")</f>
        <v>0</v>
      </c>
      <c r="BA43" s="42">
        <f t="shared" ref="BA43:BY43" si="53">IFERROR(BA28/$B43,0)</f>
        <v>0</v>
      </c>
      <c r="BB43" s="42">
        <f t="shared" si="53"/>
        <v>0</v>
      </c>
      <c r="BC43" s="42">
        <f t="shared" si="53"/>
        <v>0</v>
      </c>
      <c r="BD43" s="42">
        <f t="shared" si="53"/>
        <v>0</v>
      </c>
      <c r="BE43" s="42">
        <f t="shared" si="53"/>
        <v>0</v>
      </c>
      <c r="BF43" s="42">
        <f t="shared" si="53"/>
        <v>0</v>
      </c>
      <c r="BG43" s="42">
        <f t="shared" si="53"/>
        <v>0</v>
      </c>
      <c r="BH43" s="42">
        <f t="shared" si="53"/>
        <v>0</v>
      </c>
      <c r="BI43" s="42">
        <f t="shared" si="53"/>
        <v>0</v>
      </c>
      <c r="BJ43" s="42">
        <f t="shared" si="53"/>
        <v>0</v>
      </c>
      <c r="BK43" s="42">
        <f t="shared" si="53"/>
        <v>0</v>
      </c>
      <c r="BL43" s="42">
        <f t="shared" si="53"/>
        <v>0</v>
      </c>
      <c r="BM43" s="42">
        <f t="shared" si="53"/>
        <v>0</v>
      </c>
      <c r="BN43" s="42">
        <f t="shared" si="53"/>
        <v>0</v>
      </c>
      <c r="BO43" s="42">
        <f t="shared" si="53"/>
        <v>0</v>
      </c>
      <c r="BP43" s="42">
        <f t="shared" si="53"/>
        <v>0</v>
      </c>
      <c r="BQ43" s="42">
        <f t="shared" si="53"/>
        <v>0</v>
      </c>
      <c r="BR43" s="42">
        <f t="shared" si="53"/>
        <v>0</v>
      </c>
      <c r="BS43" s="42">
        <f t="shared" si="53"/>
        <v>0</v>
      </c>
      <c r="BT43" s="42">
        <f t="shared" si="53"/>
        <v>0</v>
      </c>
      <c r="BU43" s="42">
        <f t="shared" si="53"/>
        <v>0</v>
      </c>
      <c r="BV43" s="42">
        <f t="shared" si="53"/>
        <v>0</v>
      </c>
      <c r="BW43" s="42">
        <f t="shared" si="53"/>
        <v>0</v>
      </c>
      <c r="BX43" s="42">
        <f t="shared" si="53"/>
        <v>0</v>
      </c>
      <c r="BY43" s="42">
        <f t="shared" si="53"/>
        <v>0</v>
      </c>
      <c r="BZ43" s="34">
        <f t="shared" si="35"/>
        <v>0</v>
      </c>
      <c r="CA43" s="34">
        <f>IFERROR(s_RadSpec!$J$28*(CA28*$B43),".")</f>
        <v>0</v>
      </c>
      <c r="CB43" s="34">
        <f>IFERROR(s_RadSpec!$J$28*(CB28*$B43),".")</f>
        <v>0</v>
      </c>
      <c r="CC43" s="34">
        <f>IFERROR(s_RadSpec!$J$28*(CC28*$B43),".")</f>
        <v>0</v>
      </c>
      <c r="CD43" s="34">
        <f>IFERROR(s_RadSpec!$J$28*(CD28*$B43),".")</f>
        <v>0</v>
      </c>
      <c r="CE43" s="34">
        <f>IFERROR(s_RadSpec!$J$28*(CE28*$B43),".")</f>
        <v>0</v>
      </c>
      <c r="CF43" s="34">
        <f>IFERROR(s_RadSpec!$J$28*(CF28*$B43),".")</f>
        <v>0</v>
      </c>
      <c r="CG43" s="34">
        <f>IFERROR(s_RadSpec!$J$28*(CG28*$B43),".")</f>
        <v>0</v>
      </c>
      <c r="CH43" s="34">
        <f>IFERROR(s_RadSpec!$J$28*(CH28*$B43),".")</f>
        <v>0</v>
      </c>
      <c r="CI43" s="34">
        <f>IFERROR(s_RadSpec!$J$28*(CI28*$B43),".")</f>
        <v>0</v>
      </c>
      <c r="CJ43" s="34">
        <f>IFERROR(s_RadSpec!$J$28*(CJ28*$B43),".")</f>
        <v>0</v>
      </c>
      <c r="CK43" s="34">
        <f>IFERROR(s_RadSpec!$J$28*(CK28*$B43),".")</f>
        <v>0</v>
      </c>
      <c r="CL43" s="34">
        <f>IFERROR(s_RadSpec!$J$28*(CL28*$B43),".")</f>
        <v>0</v>
      </c>
      <c r="CM43" s="34">
        <f>IFERROR(s_RadSpec!$J$28*(CM28*$B43),".")</f>
        <v>0</v>
      </c>
      <c r="CN43" s="34">
        <f>IFERROR(s_RadSpec!$J$28*(CN28*$B43),".")</f>
        <v>0</v>
      </c>
      <c r="CO43" s="34">
        <f>IFERROR(s_RadSpec!$J$28*(CO28*$B43),".")</f>
        <v>0</v>
      </c>
      <c r="CP43" s="34">
        <f>IFERROR(s_RadSpec!$J$28*(CP28*$B43),".")</f>
        <v>0</v>
      </c>
      <c r="CQ43" s="34">
        <f>IFERROR(s_RadSpec!$J$28*(CQ28*$B43),".")</f>
        <v>0</v>
      </c>
      <c r="CR43" s="34">
        <f>IFERROR(s_RadSpec!$J$28*(CR28*$B43),".")</f>
        <v>0</v>
      </c>
      <c r="CS43" s="34">
        <f>IFERROR(s_RadSpec!$J$28*(CS28*$B43),".")</f>
        <v>0</v>
      </c>
      <c r="CT43" s="34">
        <f>IFERROR(s_RadSpec!$J$28*(CT28*$B43),".")</f>
        <v>0</v>
      </c>
      <c r="CU43" s="34">
        <f>IFERROR(s_RadSpec!$J$28*(CU28*$B43),".")</f>
        <v>0</v>
      </c>
      <c r="CV43" s="34">
        <f>IFERROR(s_RadSpec!$J$28*(CV28*$B43),".")</f>
        <v>0</v>
      </c>
      <c r="CW43" s="34">
        <f>IFERROR(s_RadSpec!$J$28*(CW28*$B43),".")</f>
        <v>0</v>
      </c>
      <c r="CX43" s="34">
        <f>IFERROR(s_RadSpec!$J$28*(CX28*$B43),".")</f>
        <v>0</v>
      </c>
    </row>
    <row r="44" spans="1:102" x14ac:dyDescent="0.25">
      <c r="A44" s="55" t="s">
        <v>1074</v>
      </c>
      <c r="B44" s="3">
        <v>0.99987999999999999</v>
      </c>
      <c r="C44" s="42">
        <f t="shared" ref="C44:AA44" si="54">IFERROR(C15/$B44,0)</f>
        <v>193591.47036004098</v>
      </c>
      <c r="D44" s="42">
        <f t="shared" si="54"/>
        <v>509021.99802327377</v>
      </c>
      <c r="E44" s="42">
        <f t="shared" si="54"/>
        <v>127936.01019836293</v>
      </c>
      <c r="F44" s="42">
        <f t="shared" si="54"/>
        <v>419719.89310690999</v>
      </c>
      <c r="G44" s="42">
        <f t="shared" si="54"/>
        <v>509021.99802327377</v>
      </c>
      <c r="H44" s="42">
        <f t="shared" si="54"/>
        <v>419719.89310690999</v>
      </c>
      <c r="I44" s="42">
        <f t="shared" si="54"/>
        <v>127936.01019836293</v>
      </c>
      <c r="J44" s="42">
        <f t="shared" si="54"/>
        <v>419719.89310690999</v>
      </c>
      <c r="K44" s="42">
        <f t="shared" si="54"/>
        <v>509021.99802327377</v>
      </c>
      <c r="L44" s="42">
        <f t="shared" si="54"/>
        <v>813742.64990115201</v>
      </c>
      <c r="M44" s="42">
        <f t="shared" si="54"/>
        <v>419719.89310690999</v>
      </c>
      <c r="N44" s="42">
        <f t="shared" si="54"/>
        <v>127936.01019836293</v>
      </c>
      <c r="O44" s="42">
        <f t="shared" si="54"/>
        <v>636277.49752909213</v>
      </c>
      <c r="P44" s="42">
        <f t="shared" si="54"/>
        <v>419719.89310690999</v>
      </c>
      <c r="Q44" s="42">
        <f t="shared" si="54"/>
        <v>419719.89310690999</v>
      </c>
      <c r="R44" s="42">
        <f t="shared" si="54"/>
        <v>509021.99802327377</v>
      </c>
      <c r="S44" s="42">
        <f t="shared" si="54"/>
        <v>509021.99802327377</v>
      </c>
      <c r="T44" s="42">
        <f t="shared" si="54"/>
        <v>636277.49752909213</v>
      </c>
      <c r="U44" s="42">
        <f t="shared" si="54"/>
        <v>797467.79690312897</v>
      </c>
      <c r="V44" s="42">
        <f t="shared" si="54"/>
        <v>419719.89310690999</v>
      </c>
      <c r="W44" s="42">
        <f t="shared" si="54"/>
        <v>636277.49752909213</v>
      </c>
      <c r="X44" s="42">
        <f t="shared" si="54"/>
        <v>509021.99802327377</v>
      </c>
      <c r="Y44" s="42">
        <f t="shared" si="54"/>
        <v>419719.89310690999</v>
      </c>
      <c r="Z44" s="42">
        <f t="shared" si="54"/>
        <v>867441.40344792837</v>
      </c>
      <c r="AA44" s="42">
        <f t="shared" si="54"/>
        <v>488245.58994069119</v>
      </c>
      <c r="AB44" s="34">
        <f t="shared" si="4"/>
        <v>1.2913792097092423E-4</v>
      </c>
      <c r="AC44" s="34">
        <f>IFERROR(s_RadSpec!$J$15*(AC15*$B44),".")</f>
        <v>4.9113790950262496E-5</v>
      </c>
      <c r="AD44" s="34">
        <f>IFERROR(s_RadSpec!$J$15*(AD15*$B44),".")</f>
        <v>1.954101895255125E-4</v>
      </c>
      <c r="AE44" s="34">
        <f>IFERROR(s_RadSpec!$J$15*(AE15*$B44),".")</f>
        <v>5.956353370563749E-5</v>
      </c>
      <c r="AF44" s="34">
        <f>IFERROR(s_RadSpec!$J$15*(AF15*$B44),".")</f>
        <v>4.9113790950262496E-5</v>
      </c>
      <c r="AG44" s="34">
        <f>IFERROR(s_RadSpec!$J$15*(AG15*$B44),".")</f>
        <v>5.956353370563749E-5</v>
      </c>
      <c r="AH44" s="34">
        <f>IFERROR(s_RadSpec!$J$15*(AH15*$B44),".")</f>
        <v>1.954101895255125E-4</v>
      </c>
      <c r="AI44" s="34">
        <f>IFERROR(s_RadSpec!$J$15*(AI15*$B44),".")</f>
        <v>5.956353370563749E-5</v>
      </c>
      <c r="AJ44" s="34">
        <f>IFERROR(s_RadSpec!$J$15*(AJ15*$B44),".")</f>
        <v>4.9113790950262496E-5</v>
      </c>
      <c r="AK44" s="34">
        <f>IFERROR(s_RadSpec!$J$15*(AK15*$B44),".")</f>
        <v>3.07222437008025E-5</v>
      </c>
      <c r="AL44" s="34">
        <f>IFERROR(s_RadSpec!$J$15*(AL15*$B44),".")</f>
        <v>5.956353370563749E-5</v>
      </c>
      <c r="AM44" s="34">
        <f>IFERROR(s_RadSpec!$J$15*(AM15*$B44),".")</f>
        <v>1.954101895255125E-4</v>
      </c>
      <c r="AN44" s="34">
        <f>IFERROR(s_RadSpec!$J$15*(AN15*$B44),".")</f>
        <v>3.9291032760209998E-5</v>
      </c>
      <c r="AO44" s="34">
        <f>IFERROR(s_RadSpec!$J$15*(AO15*$B44),".")</f>
        <v>5.956353370563749E-5</v>
      </c>
      <c r="AP44" s="34">
        <f>IFERROR(s_RadSpec!$J$15*(AP15*$B44),".")</f>
        <v>5.956353370563749E-5</v>
      </c>
      <c r="AQ44" s="34">
        <f>IFERROR(s_RadSpec!$J$15*(AQ15*$B44),".")</f>
        <v>4.9113790950262496E-5</v>
      </c>
      <c r="AR44" s="34">
        <f>IFERROR(s_RadSpec!$J$15*(AR15*$B44),".")</f>
        <v>4.9113790950262496E-5</v>
      </c>
      <c r="AS44" s="34">
        <f>IFERROR(s_RadSpec!$J$15*(AS15*$B44),".")</f>
        <v>3.9291032760209998E-5</v>
      </c>
      <c r="AT44" s="34">
        <f>IFERROR(s_RadSpec!$J$15*(AT15*$B44),".")</f>
        <v>3.1349228266124997E-5</v>
      </c>
      <c r="AU44" s="34">
        <f>IFERROR(s_RadSpec!$J$15*(AU15*$B44),".")</f>
        <v>5.956353370563749E-5</v>
      </c>
      <c r="AV44" s="34">
        <f>IFERROR(s_RadSpec!$J$15*(AV15*$B44),".")</f>
        <v>3.9291032760209998E-5</v>
      </c>
      <c r="AW44" s="34">
        <f>IFERROR(s_RadSpec!$J$15*(AW15*$B44),".")</f>
        <v>4.9113790950262496E-5</v>
      </c>
      <c r="AX44" s="34">
        <f>IFERROR(s_RadSpec!$J$15*(AX15*$B44),".")</f>
        <v>5.956353370563749E-5</v>
      </c>
      <c r="AY44" s="34">
        <f>IFERROR(s_RadSpec!$J$15*(AY15*$B44),".")</f>
        <v>2.8820390519324247E-5</v>
      </c>
      <c r="AZ44" s="34">
        <f>IFERROR(s_RadSpec!$J$15*(AZ15*$B44),".")</f>
        <v>5.1203739501337503E-5</v>
      </c>
      <c r="BA44" s="42">
        <f t="shared" ref="BA44:BY44" si="55">IFERROR(BA15/$B44,0)</f>
        <v>193591.47036004098</v>
      </c>
      <c r="BB44" s="42">
        <f t="shared" si="55"/>
        <v>509021.99802327377</v>
      </c>
      <c r="BC44" s="42">
        <f t="shared" si="55"/>
        <v>127936.01019836293</v>
      </c>
      <c r="BD44" s="42">
        <f t="shared" si="55"/>
        <v>419719.89310690999</v>
      </c>
      <c r="BE44" s="42">
        <f t="shared" si="55"/>
        <v>509021.99802327377</v>
      </c>
      <c r="BF44" s="42">
        <f t="shared" si="55"/>
        <v>419719.89310690999</v>
      </c>
      <c r="BG44" s="42">
        <f t="shared" si="55"/>
        <v>127936.01019836293</v>
      </c>
      <c r="BH44" s="42">
        <f t="shared" si="55"/>
        <v>419719.89310690999</v>
      </c>
      <c r="BI44" s="42">
        <f t="shared" si="55"/>
        <v>509021.99802327377</v>
      </c>
      <c r="BJ44" s="42">
        <f t="shared" si="55"/>
        <v>813742.64990115201</v>
      </c>
      <c r="BK44" s="42">
        <f t="shared" si="55"/>
        <v>419719.89310690999</v>
      </c>
      <c r="BL44" s="42">
        <f t="shared" si="55"/>
        <v>127936.01019836293</v>
      </c>
      <c r="BM44" s="42">
        <f t="shared" si="55"/>
        <v>636277.49752909213</v>
      </c>
      <c r="BN44" s="42">
        <f t="shared" si="55"/>
        <v>419719.89310690999</v>
      </c>
      <c r="BO44" s="42">
        <f t="shared" si="55"/>
        <v>419719.89310690999</v>
      </c>
      <c r="BP44" s="42">
        <f t="shared" si="55"/>
        <v>509021.99802327377</v>
      </c>
      <c r="BQ44" s="42">
        <f t="shared" si="55"/>
        <v>509021.99802327377</v>
      </c>
      <c r="BR44" s="42">
        <f t="shared" si="55"/>
        <v>636277.49752909213</v>
      </c>
      <c r="BS44" s="42">
        <f t="shared" si="55"/>
        <v>797467.79690312897</v>
      </c>
      <c r="BT44" s="42">
        <f t="shared" si="55"/>
        <v>419719.89310690999</v>
      </c>
      <c r="BU44" s="42">
        <f t="shared" si="55"/>
        <v>636277.49752909213</v>
      </c>
      <c r="BV44" s="42">
        <f t="shared" si="55"/>
        <v>509021.99802327377</v>
      </c>
      <c r="BW44" s="42">
        <f t="shared" si="55"/>
        <v>419719.89310690999</v>
      </c>
      <c r="BX44" s="42">
        <f t="shared" si="55"/>
        <v>867441.40344792837</v>
      </c>
      <c r="BY44" s="42">
        <f t="shared" si="55"/>
        <v>488245.58994069119</v>
      </c>
      <c r="BZ44" s="34">
        <f t="shared" si="35"/>
        <v>1.2913792097092423E-4</v>
      </c>
      <c r="CA44" s="34">
        <f>IFERROR(s_RadSpec!$J$15*(CA15*$B44),".")</f>
        <v>4.9113790950262496E-5</v>
      </c>
      <c r="CB44" s="34">
        <f>IFERROR(s_RadSpec!$J$15*(CB15*$B44),".")</f>
        <v>1.954101895255125E-4</v>
      </c>
      <c r="CC44" s="34">
        <f>IFERROR(s_RadSpec!$J$15*(CC15*$B44),".")</f>
        <v>5.956353370563749E-5</v>
      </c>
      <c r="CD44" s="34">
        <f>IFERROR(s_RadSpec!$J$15*(CD15*$B44),".")</f>
        <v>4.9113790950262496E-5</v>
      </c>
      <c r="CE44" s="34">
        <f>IFERROR(s_RadSpec!$J$15*(CE15*$B44),".")</f>
        <v>5.956353370563749E-5</v>
      </c>
      <c r="CF44" s="34">
        <f>IFERROR(s_RadSpec!$J$15*(CF15*$B44),".")</f>
        <v>1.954101895255125E-4</v>
      </c>
      <c r="CG44" s="34">
        <f>IFERROR(s_RadSpec!$J$15*(CG15*$B44),".")</f>
        <v>5.956353370563749E-5</v>
      </c>
      <c r="CH44" s="34">
        <f>IFERROR(s_RadSpec!$J$15*(CH15*$B44),".")</f>
        <v>4.9113790950262496E-5</v>
      </c>
      <c r="CI44" s="34">
        <f>IFERROR(s_RadSpec!$J$15*(CI15*$B44),".")</f>
        <v>3.07222437008025E-5</v>
      </c>
      <c r="CJ44" s="34">
        <f>IFERROR(s_RadSpec!$J$15*(CJ15*$B44),".")</f>
        <v>5.956353370563749E-5</v>
      </c>
      <c r="CK44" s="34">
        <f>IFERROR(s_RadSpec!$J$15*(CK15*$B44),".")</f>
        <v>1.954101895255125E-4</v>
      </c>
      <c r="CL44" s="34">
        <f>IFERROR(s_RadSpec!$J$15*(CL15*$B44),".")</f>
        <v>3.9291032760209998E-5</v>
      </c>
      <c r="CM44" s="34">
        <f>IFERROR(s_RadSpec!$J$15*(CM15*$B44),".")</f>
        <v>5.956353370563749E-5</v>
      </c>
      <c r="CN44" s="34">
        <f>IFERROR(s_RadSpec!$J$15*(CN15*$B44),".")</f>
        <v>5.956353370563749E-5</v>
      </c>
      <c r="CO44" s="34">
        <f>IFERROR(s_RadSpec!$J$15*(CO15*$B44),".")</f>
        <v>4.9113790950262496E-5</v>
      </c>
      <c r="CP44" s="34">
        <f>IFERROR(s_RadSpec!$J$15*(CP15*$B44),".")</f>
        <v>4.9113790950262496E-5</v>
      </c>
      <c r="CQ44" s="34">
        <f>IFERROR(s_RadSpec!$J$15*(CQ15*$B44),".")</f>
        <v>3.9291032760209998E-5</v>
      </c>
      <c r="CR44" s="34">
        <f>IFERROR(s_RadSpec!$J$15*(CR15*$B44),".")</f>
        <v>3.1349228266124997E-5</v>
      </c>
      <c r="CS44" s="34">
        <f>IFERROR(s_RadSpec!$J$15*(CS15*$B44),".")</f>
        <v>5.956353370563749E-5</v>
      </c>
      <c r="CT44" s="34">
        <f>IFERROR(s_RadSpec!$J$15*(CT15*$B44),".")</f>
        <v>3.9291032760209998E-5</v>
      </c>
      <c r="CU44" s="34">
        <f>IFERROR(s_RadSpec!$J$15*(CU15*$B44),".")</f>
        <v>4.9113790950262496E-5</v>
      </c>
      <c r="CV44" s="34">
        <f>IFERROR(s_RadSpec!$J$15*(CV15*$B44),".")</f>
        <v>5.956353370563749E-5</v>
      </c>
      <c r="CW44" s="34">
        <f>IFERROR(s_RadSpec!$J$15*(CW15*$B44),".")</f>
        <v>2.8820390519324247E-5</v>
      </c>
      <c r="CX44" s="34">
        <f>IFERROR(s_RadSpec!$J$15*(CX15*$B44),".")</f>
        <v>5.1203739501337503E-5</v>
      </c>
    </row>
    <row r="45" spans="1:102" x14ac:dyDescent="0.25">
      <c r="A45" s="54" t="s">
        <v>8</v>
      </c>
      <c r="B45" s="54" t="s">
        <v>1059</v>
      </c>
      <c r="C45" s="40">
        <f t="shared" ref="C45:AA45" si="56">IFERROR(IF(AND(C46&lt;&gt;0,C47&lt;&gt;0),1/SUM(1/C46,1/C47),IF(AND(C46&lt;&gt;0,C47=0),1/(1/C46),IF(AND(C46=0,C47&lt;&gt;0),1/(1/C47),IF(AND(C46=0,C47=0),".")))),".")</f>
        <v>883.56044548104217</v>
      </c>
      <c r="D45" s="40">
        <f t="shared" si="56"/>
        <v>3480.6787911877532</v>
      </c>
      <c r="E45" s="40">
        <f t="shared" si="56"/>
        <v>913.97415877447122</v>
      </c>
      <c r="F45" s="40">
        <f t="shared" si="56"/>
        <v>1210.3982102688942</v>
      </c>
      <c r="G45" s="40">
        <f t="shared" si="56"/>
        <v>4306.2244019181817</v>
      </c>
      <c r="H45" s="40">
        <f t="shared" si="56"/>
        <v>1947.1623382586558</v>
      </c>
      <c r="I45" s="40">
        <f t="shared" si="56"/>
        <v>913.97415877447122</v>
      </c>
      <c r="J45" s="40">
        <f t="shared" si="56"/>
        <v>1210.3982102688942</v>
      </c>
      <c r="K45" s="40">
        <f t="shared" si="56"/>
        <v>3480.6787911877532</v>
      </c>
      <c r="L45" s="40">
        <f t="shared" si="56"/>
        <v>1444.6688316112609</v>
      </c>
      <c r="M45" s="40">
        <f t="shared" si="56"/>
        <v>1947.1623382586558</v>
      </c>
      <c r="N45" s="40">
        <f t="shared" si="56"/>
        <v>913.97415877447122</v>
      </c>
      <c r="O45" s="40">
        <f t="shared" si="56"/>
        <v>1255.6467414938998</v>
      </c>
      <c r="P45" s="40">
        <f t="shared" si="56"/>
        <v>1947.1623382586558</v>
      </c>
      <c r="Q45" s="40">
        <f t="shared" si="56"/>
        <v>1947.1623382586558</v>
      </c>
      <c r="R45" s="40">
        <f t="shared" si="56"/>
        <v>3480.6787911877532</v>
      </c>
      <c r="S45" s="40">
        <f t="shared" si="56"/>
        <v>3480.6787911877532</v>
      </c>
      <c r="T45" s="40">
        <f t="shared" si="56"/>
        <v>1255.6467414938998</v>
      </c>
      <c r="U45" s="40">
        <f t="shared" si="56"/>
        <v>966.57698805645509</v>
      </c>
      <c r="V45" s="40">
        <f t="shared" si="56"/>
        <v>1947.1623382586558</v>
      </c>
      <c r="W45" s="40">
        <f t="shared" si="56"/>
        <v>1255.6467414938998</v>
      </c>
      <c r="X45" s="40">
        <f t="shared" si="56"/>
        <v>4096.1646749953443</v>
      </c>
      <c r="Y45" s="40">
        <f t="shared" si="56"/>
        <v>1947.1623382586558</v>
      </c>
      <c r="Z45" s="40">
        <f t="shared" si="56"/>
        <v>4720.8081988702488</v>
      </c>
      <c r="AA45" s="40">
        <f t="shared" si="56"/>
        <v>1580.6376628217324</v>
      </c>
      <c r="AB45" s="33">
        <f t="shared" si="4"/>
        <v>2.8294612018749998E-2</v>
      </c>
      <c r="AC45" s="33">
        <f>IFERROR(SUM(AC46:AC47),".")</f>
        <v>7.1825070624999985E-3</v>
      </c>
      <c r="AD45" s="33">
        <f t="shared" ref="AD45:AZ45" si="57">IFERROR(SUM(AD46:AD47),".")</f>
        <v>2.7353070937499998E-2</v>
      </c>
      <c r="AE45" s="33">
        <f t="shared" si="57"/>
        <v>2.0654359687500002E-2</v>
      </c>
      <c r="AF45" s="33">
        <f t="shared" si="57"/>
        <v>5.8055497499999997E-3</v>
      </c>
      <c r="AG45" s="33">
        <f t="shared" si="57"/>
        <v>1.28391965625E-2</v>
      </c>
      <c r="AH45" s="33">
        <f t="shared" si="57"/>
        <v>2.7353070937499998E-2</v>
      </c>
      <c r="AI45" s="33">
        <f t="shared" si="57"/>
        <v>2.0654359687500002E-2</v>
      </c>
      <c r="AJ45" s="33">
        <f t="shared" si="57"/>
        <v>7.1825070624999985E-3</v>
      </c>
      <c r="AK45" s="33">
        <f t="shared" si="57"/>
        <v>1.7305004062500001E-2</v>
      </c>
      <c r="AL45" s="33">
        <f t="shared" si="57"/>
        <v>1.28391965625E-2</v>
      </c>
      <c r="AM45" s="33">
        <f t="shared" si="57"/>
        <v>2.7353070937499998E-2</v>
      </c>
      <c r="AN45" s="33">
        <f t="shared" si="57"/>
        <v>1.9910058437499999E-2</v>
      </c>
      <c r="AO45" s="33">
        <f t="shared" si="57"/>
        <v>1.28391965625E-2</v>
      </c>
      <c r="AP45" s="33">
        <f t="shared" si="57"/>
        <v>1.28391965625E-2</v>
      </c>
      <c r="AQ45" s="33">
        <f t="shared" si="57"/>
        <v>7.1825070624999985E-3</v>
      </c>
      <c r="AR45" s="33">
        <f t="shared" si="57"/>
        <v>7.1825070624999985E-3</v>
      </c>
      <c r="AS45" s="33">
        <f t="shared" si="57"/>
        <v>1.9910058437499999E-2</v>
      </c>
      <c r="AT45" s="33">
        <f t="shared" si="57"/>
        <v>2.58644684375E-2</v>
      </c>
      <c r="AU45" s="33">
        <f t="shared" si="57"/>
        <v>1.28391965625E-2</v>
      </c>
      <c r="AV45" s="33">
        <f t="shared" si="57"/>
        <v>1.9910058437499999E-2</v>
      </c>
      <c r="AW45" s="33">
        <f t="shared" si="57"/>
        <v>6.1032702499999991E-3</v>
      </c>
      <c r="AX45" s="33">
        <f t="shared" si="57"/>
        <v>1.28391965625E-2</v>
      </c>
      <c r="AY45" s="33">
        <f t="shared" si="57"/>
        <v>5.2957033937499984E-3</v>
      </c>
      <c r="AZ45" s="33">
        <f t="shared" si="57"/>
        <v>1.5816401562500002E-2</v>
      </c>
      <c r="BA45" s="40">
        <f t="shared" ref="BA45:BY45" si="58">IFERROR(IF(AND(BA46&lt;&gt;0,BA47&lt;&gt;0),1/SUM(1/BA46,1/BA47),IF(AND(BA46&lt;&gt;0,BA47=0),1/(1/BA46),IF(AND(BA46=0,BA47&lt;&gt;0),1/(1/BA47),IF(AND(BA46=0,BA47=0),".")))),".")</f>
        <v>883.56044548104217</v>
      </c>
      <c r="BB45" s="40">
        <f t="shared" si="58"/>
        <v>3480.6787911877532</v>
      </c>
      <c r="BC45" s="40">
        <f t="shared" si="58"/>
        <v>913.97415877447122</v>
      </c>
      <c r="BD45" s="40">
        <f t="shared" si="58"/>
        <v>1210.3982102688942</v>
      </c>
      <c r="BE45" s="40">
        <f t="shared" si="58"/>
        <v>4306.2244019181817</v>
      </c>
      <c r="BF45" s="40">
        <f t="shared" si="58"/>
        <v>1947.1623382586558</v>
      </c>
      <c r="BG45" s="40">
        <f t="shared" si="58"/>
        <v>913.97415877447122</v>
      </c>
      <c r="BH45" s="40">
        <f t="shared" si="58"/>
        <v>1210.3982102688942</v>
      </c>
      <c r="BI45" s="40">
        <f t="shared" si="58"/>
        <v>3480.6787911877532</v>
      </c>
      <c r="BJ45" s="40">
        <f t="shared" si="58"/>
        <v>1444.6688316112609</v>
      </c>
      <c r="BK45" s="40">
        <f t="shared" si="58"/>
        <v>1947.1623382586558</v>
      </c>
      <c r="BL45" s="40">
        <f t="shared" si="58"/>
        <v>913.97415877447122</v>
      </c>
      <c r="BM45" s="40">
        <f t="shared" si="58"/>
        <v>1255.6467414938998</v>
      </c>
      <c r="BN45" s="40">
        <f t="shared" si="58"/>
        <v>1947.1623382586558</v>
      </c>
      <c r="BO45" s="40">
        <f t="shared" si="58"/>
        <v>1947.1623382586558</v>
      </c>
      <c r="BP45" s="40">
        <f t="shared" si="58"/>
        <v>3480.6787911877532</v>
      </c>
      <c r="BQ45" s="40">
        <f t="shared" si="58"/>
        <v>3480.6787911877532</v>
      </c>
      <c r="BR45" s="40">
        <f t="shared" si="58"/>
        <v>1255.6467414938998</v>
      </c>
      <c r="BS45" s="40">
        <f t="shared" si="58"/>
        <v>966.57698805645509</v>
      </c>
      <c r="BT45" s="40">
        <f t="shared" si="58"/>
        <v>1947.1623382586558</v>
      </c>
      <c r="BU45" s="40">
        <f t="shared" si="58"/>
        <v>1255.6467414938998</v>
      </c>
      <c r="BV45" s="40">
        <f t="shared" si="58"/>
        <v>4096.1646749953443</v>
      </c>
      <c r="BW45" s="40">
        <f t="shared" si="58"/>
        <v>1947.1623382586558</v>
      </c>
      <c r="BX45" s="40">
        <f t="shared" si="58"/>
        <v>4720.8081988702488</v>
      </c>
      <c r="BY45" s="40">
        <f t="shared" si="58"/>
        <v>1580.6376628217324</v>
      </c>
      <c r="BZ45" s="33">
        <f t="shared" si="35"/>
        <v>2.8294612018749998E-2</v>
      </c>
      <c r="CA45" s="33">
        <f>IFERROR(SUM(CA46:CA47),".")</f>
        <v>7.1825070624999985E-3</v>
      </c>
      <c r="CB45" s="33">
        <f t="shared" ref="CB45" si="59">IFERROR(SUM(CB46:CB47),".")</f>
        <v>2.7353070937499998E-2</v>
      </c>
      <c r="CC45" s="33">
        <f t="shared" ref="CC45" si="60">IFERROR(SUM(CC46:CC47),".")</f>
        <v>2.0654359687500002E-2</v>
      </c>
      <c r="CD45" s="33">
        <f t="shared" ref="CD45" si="61">IFERROR(SUM(CD46:CD47),".")</f>
        <v>5.8055497499999997E-3</v>
      </c>
      <c r="CE45" s="33">
        <f t="shared" ref="CE45" si="62">IFERROR(SUM(CE46:CE47),".")</f>
        <v>1.28391965625E-2</v>
      </c>
      <c r="CF45" s="33">
        <f t="shared" ref="CF45" si="63">IFERROR(SUM(CF46:CF47),".")</f>
        <v>2.7353070937499998E-2</v>
      </c>
      <c r="CG45" s="33">
        <f t="shared" ref="CG45" si="64">IFERROR(SUM(CG46:CG47),".")</f>
        <v>2.0654359687500002E-2</v>
      </c>
      <c r="CH45" s="33">
        <f t="shared" ref="CH45" si="65">IFERROR(SUM(CH46:CH47),".")</f>
        <v>7.1825070624999985E-3</v>
      </c>
      <c r="CI45" s="33">
        <f t="shared" ref="CI45" si="66">IFERROR(SUM(CI46:CI47),".")</f>
        <v>1.7305004062500001E-2</v>
      </c>
      <c r="CJ45" s="33">
        <f t="shared" ref="CJ45" si="67">IFERROR(SUM(CJ46:CJ47),".")</f>
        <v>1.28391965625E-2</v>
      </c>
      <c r="CK45" s="33">
        <f t="shared" ref="CK45" si="68">IFERROR(SUM(CK46:CK47),".")</f>
        <v>2.7353070937499998E-2</v>
      </c>
      <c r="CL45" s="33">
        <f t="shared" ref="CL45" si="69">IFERROR(SUM(CL46:CL47),".")</f>
        <v>1.9910058437499999E-2</v>
      </c>
      <c r="CM45" s="33">
        <f t="shared" ref="CM45" si="70">IFERROR(SUM(CM46:CM47),".")</f>
        <v>1.28391965625E-2</v>
      </c>
      <c r="CN45" s="33">
        <f t="shared" ref="CN45" si="71">IFERROR(SUM(CN46:CN47),".")</f>
        <v>1.28391965625E-2</v>
      </c>
      <c r="CO45" s="33">
        <f t="shared" ref="CO45" si="72">IFERROR(SUM(CO46:CO47),".")</f>
        <v>7.1825070624999985E-3</v>
      </c>
      <c r="CP45" s="33">
        <f t="shared" ref="CP45" si="73">IFERROR(SUM(CP46:CP47),".")</f>
        <v>7.1825070624999985E-3</v>
      </c>
      <c r="CQ45" s="33">
        <f t="shared" ref="CQ45" si="74">IFERROR(SUM(CQ46:CQ47),".")</f>
        <v>1.9910058437499999E-2</v>
      </c>
      <c r="CR45" s="33">
        <f t="shared" ref="CR45" si="75">IFERROR(SUM(CR46:CR47),".")</f>
        <v>2.58644684375E-2</v>
      </c>
      <c r="CS45" s="33">
        <f t="shared" ref="CS45" si="76">IFERROR(SUM(CS46:CS47),".")</f>
        <v>1.28391965625E-2</v>
      </c>
      <c r="CT45" s="33">
        <f t="shared" ref="CT45" si="77">IFERROR(SUM(CT46:CT47),".")</f>
        <v>1.9910058437499999E-2</v>
      </c>
      <c r="CU45" s="33">
        <f t="shared" ref="CU45" si="78">IFERROR(SUM(CU46:CU47),".")</f>
        <v>6.1032702499999991E-3</v>
      </c>
      <c r="CV45" s="33">
        <f t="shared" ref="CV45" si="79">IFERROR(SUM(CV46:CV47),".")</f>
        <v>1.28391965625E-2</v>
      </c>
      <c r="CW45" s="33">
        <f t="shared" ref="CW45" si="80">IFERROR(SUM(CW46:CW47),".")</f>
        <v>5.2957033937499984E-3</v>
      </c>
      <c r="CX45" s="33">
        <f t="shared" ref="CX45" si="81">IFERROR(SUM(CX46:CX47),".")</f>
        <v>1.5816401562500002E-2</v>
      </c>
    </row>
    <row r="46" spans="1:102" x14ac:dyDescent="0.25">
      <c r="A46" s="55" t="s">
        <v>1086</v>
      </c>
      <c r="B46" s="3">
        <v>1</v>
      </c>
      <c r="C46" s="42">
        <f t="shared" ref="C46:AA46" si="82">IFERROR(C10/$B46,0)</f>
        <v>883.56044548104217</v>
      </c>
      <c r="D46" s="42">
        <f t="shared" si="82"/>
        <v>3480.6787911877532</v>
      </c>
      <c r="E46" s="42">
        <f t="shared" si="82"/>
        <v>913.97415877447122</v>
      </c>
      <c r="F46" s="42">
        <f t="shared" si="82"/>
        <v>1210.3982102688942</v>
      </c>
      <c r="G46" s="42">
        <f t="shared" si="82"/>
        <v>4306.2244019181817</v>
      </c>
      <c r="H46" s="42">
        <f t="shared" si="82"/>
        <v>1947.1623382586558</v>
      </c>
      <c r="I46" s="42">
        <f t="shared" si="82"/>
        <v>913.97415877447122</v>
      </c>
      <c r="J46" s="42">
        <f t="shared" si="82"/>
        <v>1210.3982102688942</v>
      </c>
      <c r="K46" s="42">
        <f t="shared" si="82"/>
        <v>3480.6787911877532</v>
      </c>
      <c r="L46" s="42">
        <f t="shared" si="82"/>
        <v>1444.6688316112609</v>
      </c>
      <c r="M46" s="42">
        <f t="shared" si="82"/>
        <v>1947.1623382586558</v>
      </c>
      <c r="N46" s="42">
        <f t="shared" si="82"/>
        <v>913.97415877447122</v>
      </c>
      <c r="O46" s="42">
        <f t="shared" si="82"/>
        <v>1255.6467414938998</v>
      </c>
      <c r="P46" s="42">
        <f t="shared" si="82"/>
        <v>1947.1623382586558</v>
      </c>
      <c r="Q46" s="42">
        <f t="shared" si="82"/>
        <v>1947.1623382586558</v>
      </c>
      <c r="R46" s="42">
        <f t="shared" si="82"/>
        <v>3480.6787911877532</v>
      </c>
      <c r="S46" s="42">
        <f t="shared" si="82"/>
        <v>3480.6787911877532</v>
      </c>
      <c r="T46" s="42">
        <f t="shared" si="82"/>
        <v>1255.6467414938998</v>
      </c>
      <c r="U46" s="42">
        <f t="shared" si="82"/>
        <v>966.57698805645509</v>
      </c>
      <c r="V46" s="42">
        <f t="shared" si="82"/>
        <v>1947.1623382586558</v>
      </c>
      <c r="W46" s="42">
        <f t="shared" si="82"/>
        <v>1255.6467414938998</v>
      </c>
      <c r="X46" s="42">
        <f t="shared" si="82"/>
        <v>4096.1646749953443</v>
      </c>
      <c r="Y46" s="42">
        <f t="shared" si="82"/>
        <v>1947.1623382586558</v>
      </c>
      <c r="Z46" s="42">
        <f t="shared" si="82"/>
        <v>4720.8081988702488</v>
      </c>
      <c r="AA46" s="42">
        <f t="shared" si="82"/>
        <v>1580.6376628217324</v>
      </c>
      <c r="AB46" s="34">
        <f t="shared" si="4"/>
        <v>2.8294612018749998E-2</v>
      </c>
      <c r="AC46" s="34">
        <f>IFERROR(s_RadSpec!$J$10*(AC10*$B46),".")</f>
        <v>7.1825070624999985E-3</v>
      </c>
      <c r="AD46" s="34">
        <f>IFERROR(s_RadSpec!$J$10*(AD10*$B46),".")</f>
        <v>2.7353070937499998E-2</v>
      </c>
      <c r="AE46" s="34">
        <f>IFERROR(s_RadSpec!$J$10*(AE10*$B46),".")</f>
        <v>2.0654359687500002E-2</v>
      </c>
      <c r="AF46" s="34">
        <f>IFERROR(s_RadSpec!$J$10*(AF10*$B46),".")</f>
        <v>5.8055497499999997E-3</v>
      </c>
      <c r="AG46" s="34">
        <f>IFERROR(s_RadSpec!$J$10*(AG10*$B46),".")</f>
        <v>1.28391965625E-2</v>
      </c>
      <c r="AH46" s="34">
        <f>IFERROR(s_RadSpec!$J$10*(AH10*$B46),".")</f>
        <v>2.7353070937499998E-2</v>
      </c>
      <c r="AI46" s="34">
        <f>IFERROR(s_RadSpec!$J$10*(AI10*$B46),".")</f>
        <v>2.0654359687500002E-2</v>
      </c>
      <c r="AJ46" s="34">
        <f>IFERROR(s_RadSpec!$J$10*(AJ10*$B46),".")</f>
        <v>7.1825070624999985E-3</v>
      </c>
      <c r="AK46" s="34">
        <f>IFERROR(s_RadSpec!$J$10*(AK10*$B46),".")</f>
        <v>1.7305004062500001E-2</v>
      </c>
      <c r="AL46" s="34">
        <f>IFERROR(s_RadSpec!$J$10*(AL10*$B46),".")</f>
        <v>1.28391965625E-2</v>
      </c>
      <c r="AM46" s="34">
        <f>IFERROR(s_RadSpec!$J$10*(AM10*$B46),".")</f>
        <v>2.7353070937499998E-2</v>
      </c>
      <c r="AN46" s="34">
        <f>IFERROR(s_RadSpec!$J$10*(AN10*$B46),".")</f>
        <v>1.9910058437499999E-2</v>
      </c>
      <c r="AO46" s="34">
        <f>IFERROR(s_RadSpec!$J$10*(AO10*$B46),".")</f>
        <v>1.28391965625E-2</v>
      </c>
      <c r="AP46" s="34">
        <f>IFERROR(s_RadSpec!$J$10*(AP10*$B46),".")</f>
        <v>1.28391965625E-2</v>
      </c>
      <c r="AQ46" s="34">
        <f>IFERROR(s_RadSpec!$J$10*(AQ10*$B46),".")</f>
        <v>7.1825070624999985E-3</v>
      </c>
      <c r="AR46" s="34">
        <f>IFERROR(s_RadSpec!$J$10*(AR10*$B46),".")</f>
        <v>7.1825070624999985E-3</v>
      </c>
      <c r="AS46" s="34">
        <f>IFERROR(s_RadSpec!$J$10*(AS10*$B46),".")</f>
        <v>1.9910058437499999E-2</v>
      </c>
      <c r="AT46" s="34">
        <f>IFERROR(s_RadSpec!$J$10*(AT10*$B46),".")</f>
        <v>2.58644684375E-2</v>
      </c>
      <c r="AU46" s="34">
        <f>IFERROR(s_RadSpec!$J$10*(AU10*$B46),".")</f>
        <v>1.28391965625E-2</v>
      </c>
      <c r="AV46" s="34">
        <f>IFERROR(s_RadSpec!$J$10*(AV10*$B46),".")</f>
        <v>1.9910058437499999E-2</v>
      </c>
      <c r="AW46" s="34">
        <f>IFERROR(s_RadSpec!$J$10*(AW10*$B46),".")</f>
        <v>6.1032702499999991E-3</v>
      </c>
      <c r="AX46" s="34">
        <f>IFERROR(s_RadSpec!$J$10*(AX10*$B46),".")</f>
        <v>1.28391965625E-2</v>
      </c>
      <c r="AY46" s="34">
        <f>IFERROR(s_RadSpec!$J$10*(AY10*$B46),".")</f>
        <v>5.2957033937499984E-3</v>
      </c>
      <c r="AZ46" s="34">
        <f>IFERROR(s_RadSpec!$J$10*(AZ10*$B46),".")</f>
        <v>1.5816401562500002E-2</v>
      </c>
      <c r="BA46" s="42">
        <f t="shared" ref="BA46:BY46" si="83">IFERROR(BA10/$B46,0)</f>
        <v>883.56044548104217</v>
      </c>
      <c r="BB46" s="42">
        <f t="shared" si="83"/>
        <v>3480.6787911877532</v>
      </c>
      <c r="BC46" s="42">
        <f t="shared" si="83"/>
        <v>913.97415877447122</v>
      </c>
      <c r="BD46" s="42">
        <f t="shared" si="83"/>
        <v>1210.3982102688942</v>
      </c>
      <c r="BE46" s="42">
        <f t="shared" si="83"/>
        <v>4306.2244019181817</v>
      </c>
      <c r="BF46" s="42">
        <f t="shared" si="83"/>
        <v>1947.1623382586558</v>
      </c>
      <c r="BG46" s="42">
        <f t="shared" si="83"/>
        <v>913.97415877447122</v>
      </c>
      <c r="BH46" s="42">
        <f t="shared" si="83"/>
        <v>1210.3982102688942</v>
      </c>
      <c r="BI46" s="42">
        <f t="shared" si="83"/>
        <v>3480.6787911877532</v>
      </c>
      <c r="BJ46" s="42">
        <f t="shared" si="83"/>
        <v>1444.6688316112609</v>
      </c>
      <c r="BK46" s="42">
        <f t="shared" si="83"/>
        <v>1947.1623382586558</v>
      </c>
      <c r="BL46" s="42">
        <f t="shared" si="83"/>
        <v>913.97415877447122</v>
      </c>
      <c r="BM46" s="42">
        <f t="shared" si="83"/>
        <v>1255.6467414938998</v>
      </c>
      <c r="BN46" s="42">
        <f t="shared" si="83"/>
        <v>1947.1623382586558</v>
      </c>
      <c r="BO46" s="42">
        <f t="shared" si="83"/>
        <v>1947.1623382586558</v>
      </c>
      <c r="BP46" s="42">
        <f t="shared" si="83"/>
        <v>3480.6787911877532</v>
      </c>
      <c r="BQ46" s="42">
        <f t="shared" si="83"/>
        <v>3480.6787911877532</v>
      </c>
      <c r="BR46" s="42">
        <f t="shared" si="83"/>
        <v>1255.6467414938998</v>
      </c>
      <c r="BS46" s="42">
        <f t="shared" si="83"/>
        <v>966.57698805645509</v>
      </c>
      <c r="BT46" s="42">
        <f t="shared" si="83"/>
        <v>1947.1623382586558</v>
      </c>
      <c r="BU46" s="42">
        <f t="shared" si="83"/>
        <v>1255.6467414938998</v>
      </c>
      <c r="BV46" s="42">
        <f t="shared" si="83"/>
        <v>4096.1646749953443</v>
      </c>
      <c r="BW46" s="42">
        <f t="shared" si="83"/>
        <v>1947.1623382586558</v>
      </c>
      <c r="BX46" s="42">
        <f t="shared" si="83"/>
        <v>4720.8081988702488</v>
      </c>
      <c r="BY46" s="42">
        <f t="shared" si="83"/>
        <v>1580.6376628217324</v>
      </c>
      <c r="BZ46" s="34">
        <f t="shared" si="35"/>
        <v>2.8294612018749998E-2</v>
      </c>
      <c r="CA46" s="34">
        <f>IFERROR(s_RadSpec!$J$10*(CA10*$B46),".")</f>
        <v>7.1825070624999985E-3</v>
      </c>
      <c r="CB46" s="34">
        <f>IFERROR(s_RadSpec!$J$10*(CB10*$B46),".")</f>
        <v>2.7353070937499998E-2</v>
      </c>
      <c r="CC46" s="34">
        <f>IFERROR(s_RadSpec!$J$10*(CC10*$B46),".")</f>
        <v>2.0654359687500002E-2</v>
      </c>
      <c r="CD46" s="34">
        <f>IFERROR(s_RadSpec!$J$10*(CD10*$B46),".")</f>
        <v>5.8055497499999997E-3</v>
      </c>
      <c r="CE46" s="34">
        <f>IFERROR(s_RadSpec!$J$10*(CE10*$B46),".")</f>
        <v>1.28391965625E-2</v>
      </c>
      <c r="CF46" s="34">
        <f>IFERROR(s_RadSpec!$J$10*(CF10*$B46),".")</f>
        <v>2.7353070937499998E-2</v>
      </c>
      <c r="CG46" s="34">
        <f>IFERROR(s_RadSpec!$J$10*(CG10*$B46),".")</f>
        <v>2.0654359687500002E-2</v>
      </c>
      <c r="CH46" s="34">
        <f>IFERROR(s_RadSpec!$J$10*(CH10*$B46),".")</f>
        <v>7.1825070624999985E-3</v>
      </c>
      <c r="CI46" s="34">
        <f>IFERROR(s_RadSpec!$J$10*(CI10*$B46),".")</f>
        <v>1.7305004062500001E-2</v>
      </c>
      <c r="CJ46" s="34">
        <f>IFERROR(s_RadSpec!$J$10*(CJ10*$B46),".")</f>
        <v>1.28391965625E-2</v>
      </c>
      <c r="CK46" s="34">
        <f>IFERROR(s_RadSpec!$J$10*(CK10*$B46),".")</f>
        <v>2.7353070937499998E-2</v>
      </c>
      <c r="CL46" s="34">
        <f>IFERROR(s_RadSpec!$J$10*(CL10*$B46),".")</f>
        <v>1.9910058437499999E-2</v>
      </c>
      <c r="CM46" s="34">
        <f>IFERROR(s_RadSpec!$J$10*(CM10*$B46),".")</f>
        <v>1.28391965625E-2</v>
      </c>
      <c r="CN46" s="34">
        <f>IFERROR(s_RadSpec!$J$10*(CN10*$B46),".")</f>
        <v>1.28391965625E-2</v>
      </c>
      <c r="CO46" s="34">
        <f>IFERROR(s_RadSpec!$J$10*(CO10*$B46),".")</f>
        <v>7.1825070624999985E-3</v>
      </c>
      <c r="CP46" s="34">
        <f>IFERROR(s_RadSpec!$J$10*(CP10*$B46),".")</f>
        <v>7.1825070624999985E-3</v>
      </c>
      <c r="CQ46" s="34">
        <f>IFERROR(s_RadSpec!$J$10*(CQ10*$B46),".")</f>
        <v>1.9910058437499999E-2</v>
      </c>
      <c r="CR46" s="34">
        <f>IFERROR(s_RadSpec!$J$10*(CR10*$B46),".")</f>
        <v>2.58644684375E-2</v>
      </c>
      <c r="CS46" s="34">
        <f>IFERROR(s_RadSpec!$J$10*(CS10*$B46),".")</f>
        <v>1.28391965625E-2</v>
      </c>
      <c r="CT46" s="34">
        <f>IFERROR(s_RadSpec!$J$10*(CT10*$B46),".")</f>
        <v>1.9910058437499999E-2</v>
      </c>
      <c r="CU46" s="34">
        <f>IFERROR(s_RadSpec!$J$10*(CU10*$B46),".")</f>
        <v>6.1032702499999991E-3</v>
      </c>
      <c r="CV46" s="34">
        <f>IFERROR(s_RadSpec!$J$10*(CV10*$B46),".")</f>
        <v>1.28391965625E-2</v>
      </c>
      <c r="CW46" s="34">
        <f>IFERROR(s_RadSpec!$J$10*(CW10*$B46),".")</f>
        <v>5.2957033937499984E-3</v>
      </c>
      <c r="CX46" s="34">
        <f>IFERROR(s_RadSpec!$J$10*(CX10*$B46),".")</f>
        <v>1.5816401562500002E-2</v>
      </c>
    </row>
    <row r="47" spans="1:102" x14ac:dyDescent="0.25">
      <c r="A47" s="55" t="s">
        <v>1060</v>
      </c>
      <c r="B47" s="3">
        <v>0.94399</v>
      </c>
      <c r="C47" s="42">
        <f t="shared" ref="C47:AA47" si="84">IFERROR(C6/$B$47,0)</f>
        <v>0</v>
      </c>
      <c r="D47" s="42">
        <f t="shared" si="84"/>
        <v>0</v>
      </c>
      <c r="E47" s="42">
        <f t="shared" si="84"/>
        <v>0</v>
      </c>
      <c r="F47" s="42">
        <f t="shared" si="84"/>
        <v>0</v>
      </c>
      <c r="G47" s="42">
        <f t="shared" si="84"/>
        <v>0</v>
      </c>
      <c r="H47" s="42">
        <f t="shared" si="84"/>
        <v>0</v>
      </c>
      <c r="I47" s="42">
        <f t="shared" si="84"/>
        <v>0</v>
      </c>
      <c r="J47" s="42">
        <f t="shared" si="84"/>
        <v>0</v>
      </c>
      <c r="K47" s="42">
        <f t="shared" si="84"/>
        <v>0</v>
      </c>
      <c r="L47" s="42">
        <f t="shared" si="84"/>
        <v>0</v>
      </c>
      <c r="M47" s="42">
        <f t="shared" si="84"/>
        <v>0</v>
      </c>
      <c r="N47" s="42">
        <f t="shared" si="84"/>
        <v>0</v>
      </c>
      <c r="O47" s="42">
        <f t="shared" si="84"/>
        <v>0</v>
      </c>
      <c r="P47" s="42">
        <f t="shared" si="84"/>
        <v>0</v>
      </c>
      <c r="Q47" s="42">
        <f t="shared" si="84"/>
        <v>0</v>
      </c>
      <c r="R47" s="42">
        <f t="shared" si="84"/>
        <v>0</v>
      </c>
      <c r="S47" s="42">
        <f t="shared" si="84"/>
        <v>0</v>
      </c>
      <c r="T47" s="42">
        <f t="shared" si="84"/>
        <v>0</v>
      </c>
      <c r="U47" s="42">
        <f t="shared" si="84"/>
        <v>0</v>
      </c>
      <c r="V47" s="42">
        <f t="shared" si="84"/>
        <v>0</v>
      </c>
      <c r="W47" s="42">
        <f t="shared" si="84"/>
        <v>0</v>
      </c>
      <c r="X47" s="42">
        <f t="shared" si="84"/>
        <v>0</v>
      </c>
      <c r="Y47" s="42">
        <f t="shared" si="84"/>
        <v>0</v>
      </c>
      <c r="Z47" s="42">
        <f t="shared" si="84"/>
        <v>0</v>
      </c>
      <c r="AA47" s="42">
        <f t="shared" si="84"/>
        <v>0</v>
      </c>
      <c r="AB47" s="34">
        <f t="shared" si="4"/>
        <v>0</v>
      </c>
      <c r="AC47" s="34">
        <f>IFERROR(s_RadSpec!$J$6*(AC6*$B47),".")</f>
        <v>0</v>
      </c>
      <c r="AD47" s="34">
        <f>IFERROR(s_RadSpec!$J$6*(AD6*$B47),".")</f>
        <v>0</v>
      </c>
      <c r="AE47" s="34">
        <f>IFERROR(s_RadSpec!$J$6*(AE6*$B47),".")</f>
        <v>0</v>
      </c>
      <c r="AF47" s="34">
        <f>IFERROR(s_RadSpec!$J$6*(AF6*$B47),".")</f>
        <v>0</v>
      </c>
      <c r="AG47" s="34">
        <f>IFERROR(s_RadSpec!$J$6*(AG6*$B47),".")</f>
        <v>0</v>
      </c>
      <c r="AH47" s="34">
        <f>IFERROR(s_RadSpec!$J$6*(AH6*$B47),".")</f>
        <v>0</v>
      </c>
      <c r="AI47" s="34">
        <f>IFERROR(s_RadSpec!$J$6*(AI6*$B47),".")</f>
        <v>0</v>
      </c>
      <c r="AJ47" s="34">
        <f>IFERROR(s_RadSpec!$J$6*(AJ6*$B47),".")</f>
        <v>0</v>
      </c>
      <c r="AK47" s="34">
        <f>IFERROR(s_RadSpec!$J$6*(AK6*$B47),".")</f>
        <v>0</v>
      </c>
      <c r="AL47" s="34">
        <f>IFERROR(s_RadSpec!$J$6*(AL6*$B47),".")</f>
        <v>0</v>
      </c>
      <c r="AM47" s="34">
        <f>IFERROR(s_RadSpec!$J$6*(AM6*$B47),".")</f>
        <v>0</v>
      </c>
      <c r="AN47" s="34">
        <f>IFERROR(s_RadSpec!$J$6*(AN6*$B47),".")</f>
        <v>0</v>
      </c>
      <c r="AO47" s="34">
        <f>IFERROR(s_RadSpec!$J$6*(AO6*$B47),".")</f>
        <v>0</v>
      </c>
      <c r="AP47" s="34">
        <f>IFERROR(s_RadSpec!$J$6*(AP6*$B47),".")</f>
        <v>0</v>
      </c>
      <c r="AQ47" s="34">
        <f>IFERROR(s_RadSpec!$J$6*(AQ6*$B47),".")</f>
        <v>0</v>
      </c>
      <c r="AR47" s="34">
        <f>IFERROR(s_RadSpec!$J$6*(AR6*$B47),".")</f>
        <v>0</v>
      </c>
      <c r="AS47" s="34">
        <f>IFERROR(s_RadSpec!$J$6*(AS6*$B47),".")</f>
        <v>0</v>
      </c>
      <c r="AT47" s="34">
        <f>IFERROR(s_RadSpec!$J$6*(AT6*$B47),".")</f>
        <v>0</v>
      </c>
      <c r="AU47" s="34">
        <f>IFERROR(s_RadSpec!$J$6*(AU6*$B47),".")</f>
        <v>0</v>
      </c>
      <c r="AV47" s="34">
        <f>IFERROR(s_RadSpec!$J$6*(AV6*$B47),".")</f>
        <v>0</v>
      </c>
      <c r="AW47" s="34">
        <f>IFERROR(s_RadSpec!$J$6*(AW6*$B47),".")</f>
        <v>0</v>
      </c>
      <c r="AX47" s="34">
        <f>IFERROR(s_RadSpec!$J$6*(AX6*$B47),".")</f>
        <v>0</v>
      </c>
      <c r="AY47" s="34">
        <f>IFERROR(s_RadSpec!$J$6*(AY6*$B47),".")</f>
        <v>0</v>
      </c>
      <c r="AZ47" s="34">
        <f>IFERROR(s_RadSpec!$J$6*(AZ6*$B47),".")</f>
        <v>0</v>
      </c>
      <c r="BA47" s="42">
        <f t="shared" ref="BA47:BY47" si="85">IFERROR(BA6/$B$47,0)</f>
        <v>0</v>
      </c>
      <c r="BB47" s="42">
        <f t="shared" si="85"/>
        <v>0</v>
      </c>
      <c r="BC47" s="42">
        <f t="shared" si="85"/>
        <v>0</v>
      </c>
      <c r="BD47" s="42">
        <f t="shared" si="85"/>
        <v>0</v>
      </c>
      <c r="BE47" s="42">
        <f t="shared" si="85"/>
        <v>0</v>
      </c>
      <c r="BF47" s="42">
        <f t="shared" si="85"/>
        <v>0</v>
      </c>
      <c r="BG47" s="42">
        <f t="shared" si="85"/>
        <v>0</v>
      </c>
      <c r="BH47" s="42">
        <f t="shared" si="85"/>
        <v>0</v>
      </c>
      <c r="BI47" s="42">
        <f t="shared" si="85"/>
        <v>0</v>
      </c>
      <c r="BJ47" s="42">
        <f t="shared" si="85"/>
        <v>0</v>
      </c>
      <c r="BK47" s="42">
        <f t="shared" si="85"/>
        <v>0</v>
      </c>
      <c r="BL47" s="42">
        <f t="shared" si="85"/>
        <v>0</v>
      </c>
      <c r="BM47" s="42">
        <f t="shared" si="85"/>
        <v>0</v>
      </c>
      <c r="BN47" s="42">
        <f t="shared" si="85"/>
        <v>0</v>
      </c>
      <c r="BO47" s="42">
        <f t="shared" si="85"/>
        <v>0</v>
      </c>
      <c r="BP47" s="42">
        <f t="shared" si="85"/>
        <v>0</v>
      </c>
      <c r="BQ47" s="42">
        <f t="shared" si="85"/>
        <v>0</v>
      </c>
      <c r="BR47" s="42">
        <f t="shared" si="85"/>
        <v>0</v>
      </c>
      <c r="BS47" s="42">
        <f t="shared" si="85"/>
        <v>0</v>
      </c>
      <c r="BT47" s="42">
        <f t="shared" si="85"/>
        <v>0</v>
      </c>
      <c r="BU47" s="42">
        <f t="shared" si="85"/>
        <v>0</v>
      </c>
      <c r="BV47" s="42">
        <f t="shared" si="85"/>
        <v>0</v>
      </c>
      <c r="BW47" s="42">
        <f t="shared" si="85"/>
        <v>0</v>
      </c>
      <c r="BX47" s="42">
        <f t="shared" si="85"/>
        <v>0</v>
      </c>
      <c r="BY47" s="42">
        <f t="shared" si="85"/>
        <v>0</v>
      </c>
      <c r="BZ47" s="34">
        <f t="shared" si="35"/>
        <v>0</v>
      </c>
      <c r="CA47" s="34">
        <f>IFERROR(s_RadSpec!$J$6*(CA6*$B47),".")</f>
        <v>0</v>
      </c>
      <c r="CB47" s="34">
        <f>IFERROR(s_RadSpec!$J$6*(CB6*$B47),".")</f>
        <v>0</v>
      </c>
      <c r="CC47" s="34">
        <f>IFERROR(s_RadSpec!$J$6*(CC6*$B47),".")</f>
        <v>0</v>
      </c>
      <c r="CD47" s="34">
        <f>IFERROR(s_RadSpec!$J$6*(CD6*$B47),".")</f>
        <v>0</v>
      </c>
      <c r="CE47" s="34">
        <f>IFERROR(s_RadSpec!$J$6*(CE6*$B47),".")</f>
        <v>0</v>
      </c>
      <c r="CF47" s="34">
        <f>IFERROR(s_RadSpec!$J$6*(CF6*$B47),".")</f>
        <v>0</v>
      </c>
      <c r="CG47" s="34">
        <f>IFERROR(s_RadSpec!$J$6*(CG6*$B47),".")</f>
        <v>0</v>
      </c>
      <c r="CH47" s="34">
        <f>IFERROR(s_RadSpec!$J$6*(CH6*$B47),".")</f>
        <v>0</v>
      </c>
      <c r="CI47" s="34">
        <f>IFERROR(s_RadSpec!$J$6*(CI6*$B47),".")</f>
        <v>0</v>
      </c>
      <c r="CJ47" s="34">
        <f>IFERROR(s_RadSpec!$J$6*(CJ6*$B47),".")</f>
        <v>0</v>
      </c>
      <c r="CK47" s="34">
        <f>IFERROR(s_RadSpec!$J$6*(CK6*$B47),".")</f>
        <v>0</v>
      </c>
      <c r="CL47" s="34">
        <f>IFERROR(s_RadSpec!$J$6*(CL6*$B47),".")</f>
        <v>0</v>
      </c>
      <c r="CM47" s="34">
        <f>IFERROR(s_RadSpec!$J$6*(CM6*$B47),".")</f>
        <v>0</v>
      </c>
      <c r="CN47" s="34">
        <f>IFERROR(s_RadSpec!$J$6*(CN6*$B47),".")</f>
        <v>0</v>
      </c>
      <c r="CO47" s="34">
        <f>IFERROR(s_RadSpec!$J$6*(CO6*$B47),".")</f>
        <v>0</v>
      </c>
      <c r="CP47" s="34">
        <f>IFERROR(s_RadSpec!$J$6*(CP6*$B47),".")</f>
        <v>0</v>
      </c>
      <c r="CQ47" s="34">
        <f>IFERROR(s_RadSpec!$J$6*(CQ6*$B47),".")</f>
        <v>0</v>
      </c>
      <c r="CR47" s="34">
        <f>IFERROR(s_RadSpec!$J$6*(CR6*$B47),".")</f>
        <v>0</v>
      </c>
      <c r="CS47" s="34">
        <f>IFERROR(s_RadSpec!$J$6*(CS6*$B47),".")</f>
        <v>0</v>
      </c>
      <c r="CT47" s="34">
        <f>IFERROR(s_RadSpec!$J$6*(CT6*$B47),".")</f>
        <v>0</v>
      </c>
      <c r="CU47" s="34">
        <f>IFERROR(s_RadSpec!$J$6*(CU6*$B47),".")</f>
        <v>0</v>
      </c>
      <c r="CV47" s="34">
        <f>IFERROR(s_RadSpec!$J$6*(CV6*$B47),".")</f>
        <v>0</v>
      </c>
      <c r="CW47" s="34">
        <f>IFERROR(s_RadSpec!$J$6*(CW6*$B47),".")</f>
        <v>0</v>
      </c>
      <c r="CX47" s="34">
        <f>IFERROR(s_RadSpec!$J$6*(CX6*$B47),".")</f>
        <v>0</v>
      </c>
    </row>
    <row r="48" spans="1:102" x14ac:dyDescent="0.25">
      <c r="A48" s="54" t="s">
        <v>21</v>
      </c>
      <c r="B48" s="54" t="s">
        <v>1059</v>
      </c>
      <c r="C48" s="40">
        <f t="shared" ref="C48:AA48" si="86">1/SUM(1/C49,1/C52,1/C54,1/C58,1/C59,1/C61)</f>
        <v>4.7255687928719201</v>
      </c>
      <c r="D48" s="40">
        <f t="shared" si="86"/>
        <v>15.190586901887269</v>
      </c>
      <c r="E48" s="40">
        <f t="shared" si="86"/>
        <v>4.976821214094663</v>
      </c>
      <c r="F48" s="40">
        <f t="shared" si="86"/>
        <v>8.8550904138342617</v>
      </c>
      <c r="G48" s="40">
        <f t="shared" si="86"/>
        <v>15.190586901887269</v>
      </c>
      <c r="H48" s="40">
        <f t="shared" si="86"/>
        <v>13.317588144301656</v>
      </c>
      <c r="I48" s="40">
        <f t="shared" si="86"/>
        <v>4.976821214094663</v>
      </c>
      <c r="J48" s="40">
        <f t="shared" si="86"/>
        <v>8.8550904138342617</v>
      </c>
      <c r="K48" s="40">
        <f t="shared" si="86"/>
        <v>15.190586901887269</v>
      </c>
      <c r="L48" s="40">
        <f t="shared" si="86"/>
        <v>19.228222534123908</v>
      </c>
      <c r="M48" s="40">
        <f t="shared" si="86"/>
        <v>13.317588144301656</v>
      </c>
      <c r="N48" s="40">
        <f t="shared" si="86"/>
        <v>4.976821214094663</v>
      </c>
      <c r="O48" s="40">
        <f t="shared" si="86"/>
        <v>15.967120704768705</v>
      </c>
      <c r="P48" s="40">
        <f t="shared" si="86"/>
        <v>13.317588144301656</v>
      </c>
      <c r="Q48" s="40">
        <f t="shared" si="86"/>
        <v>13.317588144301656</v>
      </c>
      <c r="R48" s="40">
        <f t="shared" si="86"/>
        <v>15.190586901887269</v>
      </c>
      <c r="S48" s="40">
        <f t="shared" si="86"/>
        <v>15.190586901887269</v>
      </c>
      <c r="T48" s="40">
        <f t="shared" si="86"/>
        <v>15.967120704768705</v>
      </c>
      <c r="U48" s="40">
        <f t="shared" si="86"/>
        <v>16.25271281112844</v>
      </c>
      <c r="V48" s="40">
        <f t="shared" si="86"/>
        <v>13.317588144301656</v>
      </c>
      <c r="W48" s="40">
        <f t="shared" si="86"/>
        <v>15.967120704768705</v>
      </c>
      <c r="X48" s="40">
        <f t="shared" si="86"/>
        <v>15.190586901887269</v>
      </c>
      <c r="Y48" s="40">
        <f t="shared" si="86"/>
        <v>13.317588144301656</v>
      </c>
      <c r="Z48" s="40">
        <f t="shared" si="86"/>
        <v>13.300541610054406</v>
      </c>
      <c r="AA48" s="40">
        <f t="shared" si="86"/>
        <v>14.164388577032724</v>
      </c>
      <c r="AB48" s="33">
        <f t="shared" si="4"/>
        <v>5.2903684393950989</v>
      </c>
      <c r="AC48" s="33">
        <f>IFERROR(SUM(AC49:AC62),".")</f>
        <v>1.6457560304594958</v>
      </c>
      <c r="AD48" s="33">
        <f t="shared" ref="AD48:AZ48" si="87">IFERROR(SUM(AD49:AD62),".")</f>
        <v>5.0232867375662336</v>
      </c>
      <c r="AE48" s="33">
        <f t="shared" si="87"/>
        <v>2.8232348662349773</v>
      </c>
      <c r="AF48" s="33">
        <f t="shared" si="87"/>
        <v>1.6457560304594958</v>
      </c>
      <c r="AG48" s="33">
        <f t="shared" si="87"/>
        <v>1.8772167849849772</v>
      </c>
      <c r="AH48" s="33">
        <f t="shared" si="87"/>
        <v>5.0232867375662336</v>
      </c>
      <c r="AI48" s="33">
        <f t="shared" si="87"/>
        <v>2.8232348662349773</v>
      </c>
      <c r="AJ48" s="33">
        <f t="shared" si="87"/>
        <v>1.6457560304594958</v>
      </c>
      <c r="AK48" s="33">
        <f t="shared" si="87"/>
        <v>1.3001721794946488</v>
      </c>
      <c r="AL48" s="33">
        <f t="shared" si="87"/>
        <v>1.8772167849849772</v>
      </c>
      <c r="AM48" s="33">
        <f t="shared" si="87"/>
        <v>5.0232867375662336</v>
      </c>
      <c r="AN48" s="33">
        <f t="shared" si="87"/>
        <v>1.5657174804555436</v>
      </c>
      <c r="AO48" s="33">
        <f t="shared" si="87"/>
        <v>1.8772167849849772</v>
      </c>
      <c r="AP48" s="33">
        <f t="shared" si="87"/>
        <v>1.8772167849849772</v>
      </c>
      <c r="AQ48" s="33">
        <f t="shared" si="87"/>
        <v>1.6457560304594958</v>
      </c>
      <c r="AR48" s="33">
        <f t="shared" si="87"/>
        <v>1.6457560304594958</v>
      </c>
      <c r="AS48" s="33">
        <f t="shared" si="87"/>
        <v>1.5657174804555436</v>
      </c>
      <c r="AT48" s="33">
        <f t="shared" si="87"/>
        <v>1.5382047471411777</v>
      </c>
      <c r="AU48" s="33">
        <f t="shared" si="87"/>
        <v>1.8772167849849772</v>
      </c>
      <c r="AV48" s="33">
        <f t="shared" si="87"/>
        <v>1.5657174804555436</v>
      </c>
      <c r="AW48" s="33">
        <f t="shared" si="87"/>
        <v>1.6457560304594958</v>
      </c>
      <c r="AX48" s="33">
        <f t="shared" si="87"/>
        <v>1.8772167849849772</v>
      </c>
      <c r="AY48" s="33">
        <f t="shared" si="87"/>
        <v>1.8796227050710113</v>
      </c>
      <c r="AZ48" s="33">
        <f t="shared" si="87"/>
        <v>1.7649897038645923</v>
      </c>
      <c r="BA48" s="40">
        <f t="shared" ref="BA48:BY48" si="88">1/SUM(1/BA49,1/BA52,1/BA54,1/BA58,1/BA59,1/BA61)</f>
        <v>4.7255687928719201</v>
      </c>
      <c r="BB48" s="40">
        <f t="shared" si="88"/>
        <v>15.190586901887269</v>
      </c>
      <c r="BC48" s="40">
        <f t="shared" si="88"/>
        <v>4.976821214094663</v>
      </c>
      <c r="BD48" s="40">
        <f t="shared" si="88"/>
        <v>8.8550904138342617</v>
      </c>
      <c r="BE48" s="40">
        <f t="shared" si="88"/>
        <v>15.190586901887269</v>
      </c>
      <c r="BF48" s="40">
        <f t="shared" si="88"/>
        <v>13.317588144301656</v>
      </c>
      <c r="BG48" s="40">
        <f t="shared" si="88"/>
        <v>4.976821214094663</v>
      </c>
      <c r="BH48" s="40">
        <f t="shared" si="88"/>
        <v>8.8550904138342617</v>
      </c>
      <c r="BI48" s="40">
        <f t="shared" si="88"/>
        <v>15.190586901887269</v>
      </c>
      <c r="BJ48" s="40">
        <f t="shared" si="88"/>
        <v>19.228222534123908</v>
      </c>
      <c r="BK48" s="40">
        <f t="shared" si="88"/>
        <v>13.317588144301656</v>
      </c>
      <c r="BL48" s="40">
        <f t="shared" si="88"/>
        <v>4.976821214094663</v>
      </c>
      <c r="BM48" s="40">
        <f t="shared" si="88"/>
        <v>15.967120704768705</v>
      </c>
      <c r="BN48" s="40">
        <f t="shared" si="88"/>
        <v>13.317588144301656</v>
      </c>
      <c r="BO48" s="40">
        <f t="shared" si="88"/>
        <v>13.317588144301656</v>
      </c>
      <c r="BP48" s="40">
        <f t="shared" si="88"/>
        <v>15.190586901887269</v>
      </c>
      <c r="BQ48" s="40">
        <f t="shared" si="88"/>
        <v>15.190586901887269</v>
      </c>
      <c r="BR48" s="40">
        <f t="shared" si="88"/>
        <v>15.967120704768705</v>
      </c>
      <c r="BS48" s="40">
        <f t="shared" si="88"/>
        <v>16.25271281112844</v>
      </c>
      <c r="BT48" s="40">
        <f t="shared" si="88"/>
        <v>13.317588144301656</v>
      </c>
      <c r="BU48" s="40">
        <f t="shared" si="88"/>
        <v>15.967120704768705</v>
      </c>
      <c r="BV48" s="40">
        <f t="shared" si="88"/>
        <v>15.190586901887269</v>
      </c>
      <c r="BW48" s="40">
        <f t="shared" si="88"/>
        <v>13.317588144301656</v>
      </c>
      <c r="BX48" s="40">
        <f t="shared" si="88"/>
        <v>13.300541610054406</v>
      </c>
      <c r="BY48" s="40">
        <f t="shared" si="88"/>
        <v>14.164388577032724</v>
      </c>
      <c r="BZ48" s="33">
        <f t="shared" si="35"/>
        <v>4.9372680913784874</v>
      </c>
      <c r="CA48" s="33">
        <f>IFERROR(SUM(CA49:CA62),".")</f>
        <v>1.6457560304594958</v>
      </c>
      <c r="CB48" s="33">
        <f t="shared" ref="CB48" si="89">IFERROR(SUM(CB49:CB62),".")</f>
        <v>1.6457560304594958</v>
      </c>
      <c r="CC48" s="33">
        <f t="shared" ref="CC48" si="90">IFERROR(SUM(CC49:CC62),".")</f>
        <v>1.6457560304594958</v>
      </c>
      <c r="CD48" s="33">
        <f t="shared" ref="CD48" si="91">IFERROR(SUM(CD49:CD62),".")</f>
        <v>1.6457560304594958</v>
      </c>
      <c r="CE48" s="33">
        <f t="shared" ref="CE48" si="92">IFERROR(SUM(CE49:CE62),".")</f>
        <v>1.6457560304594958</v>
      </c>
      <c r="CF48" s="33">
        <f t="shared" ref="CF48" si="93">IFERROR(SUM(CF49:CF62),".")</f>
        <v>1.6457560304594958</v>
      </c>
      <c r="CG48" s="33">
        <f t="shared" ref="CG48" si="94">IFERROR(SUM(CG49:CG62),".")</f>
        <v>1.6457560304594958</v>
      </c>
      <c r="CH48" s="33">
        <f t="shared" ref="CH48" si="95">IFERROR(SUM(CH49:CH62),".")</f>
        <v>1.6457560304594958</v>
      </c>
      <c r="CI48" s="33">
        <f t="shared" ref="CI48" si="96">IFERROR(SUM(CI49:CI62),".")</f>
        <v>1.6457560304594958</v>
      </c>
      <c r="CJ48" s="33">
        <f t="shared" ref="CJ48" si="97">IFERROR(SUM(CJ49:CJ62),".")</f>
        <v>1.6457560304594958</v>
      </c>
      <c r="CK48" s="33">
        <f t="shared" ref="CK48" si="98">IFERROR(SUM(CK49:CK62),".")</f>
        <v>1.6457560304594958</v>
      </c>
      <c r="CL48" s="33">
        <f t="shared" ref="CL48" si="99">IFERROR(SUM(CL49:CL62),".")</f>
        <v>1.6457560304594958</v>
      </c>
      <c r="CM48" s="33">
        <f t="shared" ref="CM48" si="100">IFERROR(SUM(CM49:CM62),".")</f>
        <v>1.6457560304594958</v>
      </c>
      <c r="CN48" s="33">
        <f t="shared" ref="CN48" si="101">IFERROR(SUM(CN49:CN62),".")</f>
        <v>1.6457560304594958</v>
      </c>
      <c r="CO48" s="33">
        <f t="shared" ref="CO48" si="102">IFERROR(SUM(CO49:CO62),".")</f>
        <v>1.6457560304594958</v>
      </c>
      <c r="CP48" s="33">
        <f t="shared" ref="CP48" si="103">IFERROR(SUM(CP49:CP62),".")</f>
        <v>1.6457560304594958</v>
      </c>
      <c r="CQ48" s="33">
        <f t="shared" ref="CQ48" si="104">IFERROR(SUM(CQ49:CQ62),".")</f>
        <v>1.6457560304594958</v>
      </c>
      <c r="CR48" s="33">
        <f t="shared" ref="CR48" si="105">IFERROR(SUM(CR49:CR62),".")</f>
        <v>1.6457560304594958</v>
      </c>
      <c r="CS48" s="33">
        <f t="shared" ref="CS48" si="106">IFERROR(SUM(CS49:CS62),".")</f>
        <v>1.6457560304594958</v>
      </c>
      <c r="CT48" s="33">
        <f t="shared" ref="CT48" si="107">IFERROR(SUM(CT49:CT62),".")</f>
        <v>1.6457560304594958</v>
      </c>
      <c r="CU48" s="33">
        <f t="shared" ref="CU48" si="108">IFERROR(SUM(CU49:CU62),".")</f>
        <v>1.6457560304594958</v>
      </c>
      <c r="CV48" s="33">
        <f t="shared" ref="CV48" si="109">IFERROR(SUM(CV49:CV62),".")</f>
        <v>1.6457560304594958</v>
      </c>
      <c r="CW48" s="33">
        <f t="shared" ref="CW48" si="110">IFERROR(SUM(CW49:CW62),".")</f>
        <v>1.6457560304594958</v>
      </c>
      <c r="CX48" s="33">
        <f t="shared" ref="CX48" si="111">IFERROR(SUM(CX49:CX62),".")</f>
        <v>1.6457560304594958</v>
      </c>
    </row>
    <row r="49" spans="1:102" x14ac:dyDescent="0.25">
      <c r="A49" s="55" t="s">
        <v>1088</v>
      </c>
      <c r="B49" s="3">
        <v>1</v>
      </c>
      <c r="C49" s="42">
        <f t="shared" ref="C49:AA49" si="112">IFERROR(C23/$B49,0)</f>
        <v>28.847561974013761</v>
      </c>
      <c r="D49" s="42">
        <f t="shared" si="112"/>
        <v>83.927992006949836</v>
      </c>
      <c r="E49" s="42">
        <f t="shared" si="112"/>
        <v>18.87375896807006</v>
      </c>
      <c r="F49" s="42">
        <f t="shared" si="112"/>
        <v>23.620452840279292</v>
      </c>
      <c r="G49" s="42">
        <f t="shared" si="112"/>
        <v>83.927992006949836</v>
      </c>
      <c r="H49" s="42">
        <f t="shared" si="112"/>
        <v>64.665829906994134</v>
      </c>
      <c r="I49" s="42">
        <f t="shared" si="112"/>
        <v>18.87375896807006</v>
      </c>
      <c r="J49" s="42">
        <f t="shared" si="112"/>
        <v>23.620452840279292</v>
      </c>
      <c r="K49" s="42">
        <f t="shared" si="112"/>
        <v>83.927992006949836</v>
      </c>
      <c r="L49" s="42">
        <f t="shared" si="112"/>
        <v>124.04451648825918</v>
      </c>
      <c r="M49" s="42">
        <f t="shared" si="112"/>
        <v>64.665829906994134</v>
      </c>
      <c r="N49" s="42">
        <f t="shared" si="112"/>
        <v>18.87375896807006</v>
      </c>
      <c r="O49" s="42">
        <f t="shared" si="112"/>
        <v>71.720284078666225</v>
      </c>
      <c r="P49" s="42">
        <f t="shared" si="112"/>
        <v>64.665829906994134</v>
      </c>
      <c r="Q49" s="42">
        <f t="shared" si="112"/>
        <v>64.665829906994134</v>
      </c>
      <c r="R49" s="42">
        <f t="shared" si="112"/>
        <v>83.927992006949836</v>
      </c>
      <c r="S49" s="42">
        <f t="shared" si="112"/>
        <v>83.927992006949836</v>
      </c>
      <c r="T49" s="42">
        <f t="shared" si="112"/>
        <v>71.720284078666225</v>
      </c>
      <c r="U49" s="42">
        <f t="shared" si="112"/>
        <v>80.502359680135555</v>
      </c>
      <c r="V49" s="42">
        <f t="shared" si="112"/>
        <v>64.665829906994134</v>
      </c>
      <c r="W49" s="42">
        <f t="shared" si="112"/>
        <v>71.720284078666225</v>
      </c>
      <c r="X49" s="42">
        <f t="shared" si="112"/>
        <v>83.927992006949836</v>
      </c>
      <c r="Y49" s="42">
        <f t="shared" si="112"/>
        <v>64.665829906994134</v>
      </c>
      <c r="Z49" s="42">
        <f t="shared" si="112"/>
        <v>137.25176145882543</v>
      </c>
      <c r="AA49" s="42">
        <f t="shared" si="112"/>
        <v>64.665829906994134</v>
      </c>
      <c r="AB49" s="34">
        <f t="shared" si="4"/>
        <v>0.86662436231250006</v>
      </c>
      <c r="AC49" s="34">
        <f>IFERROR(s_RadSpec!$J$23*(AC23*$B49),".")</f>
        <v>0.297874396875</v>
      </c>
      <c r="AD49" s="34">
        <f>IFERROR(s_RadSpec!$J$23*(AD23*$B49),".")</f>
        <v>1.324590403125</v>
      </c>
      <c r="AE49" s="34">
        <f>IFERROR(s_RadSpec!$J$23*(AE23*$B49),".")</f>
        <v>1.0584047718750003</v>
      </c>
      <c r="AF49" s="34">
        <f>IFERROR(s_RadSpec!$J$23*(AF23*$B49),".")</f>
        <v>0.297874396875</v>
      </c>
      <c r="AG49" s="34">
        <f>IFERROR(s_RadSpec!$J$23*(AG23*$B49),".")</f>
        <v>0.386602940625</v>
      </c>
      <c r="AH49" s="34">
        <f>IFERROR(s_RadSpec!$J$23*(AH23*$B49),".")</f>
        <v>1.324590403125</v>
      </c>
      <c r="AI49" s="34">
        <f>IFERROR(s_RadSpec!$J$23*(AI23*$B49),".")</f>
        <v>1.0584047718750003</v>
      </c>
      <c r="AJ49" s="34">
        <f>IFERROR(s_RadSpec!$J$23*(AJ23*$B49),".")</f>
        <v>0.297874396875</v>
      </c>
      <c r="AK49" s="34">
        <f>IFERROR(s_RadSpec!$J$23*(AK23*$B49),".")</f>
        <v>0.20154054937500002</v>
      </c>
      <c r="AL49" s="34">
        <f>IFERROR(s_RadSpec!$J$23*(AL23*$B49),".")</f>
        <v>0.386602940625</v>
      </c>
      <c r="AM49" s="34">
        <f>IFERROR(s_RadSpec!$J$23*(AM23*$B49),".")</f>
        <v>1.324590403125</v>
      </c>
      <c r="AN49" s="34">
        <f>IFERROR(s_RadSpec!$J$23*(AN23*$B49),".")</f>
        <v>0.34857642187500004</v>
      </c>
      <c r="AO49" s="34">
        <f>IFERROR(s_RadSpec!$J$23*(AO23*$B49),".")</f>
        <v>0.386602940625</v>
      </c>
      <c r="AP49" s="34">
        <f>IFERROR(s_RadSpec!$J$23*(AP23*$B49),".")</f>
        <v>0.386602940625</v>
      </c>
      <c r="AQ49" s="34">
        <f>IFERROR(s_RadSpec!$J$23*(AQ23*$B49),".")</f>
        <v>0.297874396875</v>
      </c>
      <c r="AR49" s="34">
        <f>IFERROR(s_RadSpec!$J$23*(AR23*$B49),".")</f>
        <v>0.297874396875</v>
      </c>
      <c r="AS49" s="34">
        <f>IFERROR(s_RadSpec!$J$23*(AS23*$B49),".")</f>
        <v>0.34857642187500004</v>
      </c>
      <c r="AT49" s="34">
        <f>IFERROR(s_RadSpec!$J$23*(AT23*$B49),".")</f>
        <v>0.31054990312500003</v>
      </c>
      <c r="AU49" s="34">
        <f>IFERROR(s_RadSpec!$J$23*(AU23*$B49),".")</f>
        <v>0.386602940625</v>
      </c>
      <c r="AV49" s="34">
        <f>IFERROR(s_RadSpec!$J$23*(AV23*$B49),".")</f>
        <v>0.34857642187500004</v>
      </c>
      <c r="AW49" s="34">
        <f>IFERROR(s_RadSpec!$J$23*(AW23*$B49),".")</f>
        <v>0.297874396875</v>
      </c>
      <c r="AX49" s="34">
        <f>IFERROR(s_RadSpec!$J$23*(AX23*$B49),".")</f>
        <v>0.386602940625</v>
      </c>
      <c r="AY49" s="34">
        <f>IFERROR(s_RadSpec!$J$23*(AY23*$B49),".")</f>
        <v>0.1821470248125</v>
      </c>
      <c r="AZ49" s="34">
        <f>IFERROR(s_RadSpec!$J$23*(AZ23*$B49),".")</f>
        <v>0.386602940625</v>
      </c>
      <c r="BA49" s="42">
        <f t="shared" ref="BA49:BY49" si="113">IFERROR(BA23/$B49,0)</f>
        <v>28.847561974013761</v>
      </c>
      <c r="BB49" s="42">
        <f t="shared" si="113"/>
        <v>83.927992006949836</v>
      </c>
      <c r="BC49" s="42">
        <f t="shared" si="113"/>
        <v>18.87375896807006</v>
      </c>
      <c r="BD49" s="42">
        <f t="shared" si="113"/>
        <v>23.620452840279292</v>
      </c>
      <c r="BE49" s="42">
        <f t="shared" si="113"/>
        <v>83.927992006949836</v>
      </c>
      <c r="BF49" s="42">
        <f t="shared" si="113"/>
        <v>64.665829906994134</v>
      </c>
      <c r="BG49" s="42">
        <f t="shared" si="113"/>
        <v>18.87375896807006</v>
      </c>
      <c r="BH49" s="42">
        <f t="shared" si="113"/>
        <v>23.620452840279292</v>
      </c>
      <c r="BI49" s="42">
        <f t="shared" si="113"/>
        <v>83.927992006949836</v>
      </c>
      <c r="BJ49" s="42">
        <f t="shared" si="113"/>
        <v>124.04451648825918</v>
      </c>
      <c r="BK49" s="42">
        <f t="shared" si="113"/>
        <v>64.665829906994134</v>
      </c>
      <c r="BL49" s="42">
        <f t="shared" si="113"/>
        <v>18.87375896807006</v>
      </c>
      <c r="BM49" s="42">
        <f t="shared" si="113"/>
        <v>71.720284078666225</v>
      </c>
      <c r="BN49" s="42">
        <f t="shared" si="113"/>
        <v>64.665829906994134</v>
      </c>
      <c r="BO49" s="42">
        <f t="shared" si="113"/>
        <v>64.665829906994134</v>
      </c>
      <c r="BP49" s="42">
        <f t="shared" si="113"/>
        <v>83.927992006949836</v>
      </c>
      <c r="BQ49" s="42">
        <f t="shared" si="113"/>
        <v>83.927992006949836</v>
      </c>
      <c r="BR49" s="42">
        <f t="shared" si="113"/>
        <v>71.720284078666225</v>
      </c>
      <c r="BS49" s="42">
        <f t="shared" si="113"/>
        <v>80.502359680135555</v>
      </c>
      <c r="BT49" s="42">
        <f t="shared" si="113"/>
        <v>64.665829906994134</v>
      </c>
      <c r="BU49" s="42">
        <f t="shared" si="113"/>
        <v>71.720284078666225</v>
      </c>
      <c r="BV49" s="42">
        <f t="shared" si="113"/>
        <v>83.927992006949836</v>
      </c>
      <c r="BW49" s="42">
        <f t="shared" si="113"/>
        <v>64.665829906994134</v>
      </c>
      <c r="BX49" s="42">
        <f t="shared" si="113"/>
        <v>137.25176145882543</v>
      </c>
      <c r="BY49" s="42">
        <f t="shared" si="113"/>
        <v>64.665829906994134</v>
      </c>
      <c r="BZ49" s="34">
        <f t="shared" si="35"/>
        <v>0.89362319062500006</v>
      </c>
      <c r="CA49" s="34">
        <f>IFERROR(s_RadSpec!$J$23*(AC23*$B49),".")</f>
        <v>0.297874396875</v>
      </c>
      <c r="CB49" s="34">
        <f>IFERROR(s_RadSpec!$J$23*(AC23*$B49),".")</f>
        <v>0.297874396875</v>
      </c>
      <c r="CC49" s="34">
        <f>IFERROR(s_RadSpec!$J$23*(AC23*$B49),".")</f>
        <v>0.297874396875</v>
      </c>
      <c r="CD49" s="34">
        <f>IFERROR(s_RadSpec!$J$23*(AC23*$B49),".")</f>
        <v>0.297874396875</v>
      </c>
      <c r="CE49" s="34">
        <f>IFERROR(s_RadSpec!$J$23*(AC23*$B49),".")</f>
        <v>0.297874396875</v>
      </c>
      <c r="CF49" s="34">
        <f>IFERROR(s_RadSpec!$J$23*(AC23*$B49),".")</f>
        <v>0.297874396875</v>
      </c>
      <c r="CG49" s="34">
        <f>IFERROR(s_RadSpec!$J$23*(AC23*$B49),".")</f>
        <v>0.297874396875</v>
      </c>
      <c r="CH49" s="34">
        <f>IFERROR(s_RadSpec!$J$23*(AC23*$B49),".")</f>
        <v>0.297874396875</v>
      </c>
      <c r="CI49" s="34">
        <f>IFERROR(s_RadSpec!$J$23*(AC23*$B49),".")</f>
        <v>0.297874396875</v>
      </c>
      <c r="CJ49" s="34">
        <f>IFERROR(s_RadSpec!$J$23*(AC23*$B49),".")</f>
        <v>0.297874396875</v>
      </c>
      <c r="CK49" s="34">
        <f>IFERROR(s_RadSpec!$J$23*(AC23*$B49),".")</f>
        <v>0.297874396875</v>
      </c>
      <c r="CL49" s="34">
        <f>IFERROR(s_RadSpec!$J$23*(AC23*$B49),".")</f>
        <v>0.297874396875</v>
      </c>
      <c r="CM49" s="34">
        <f>IFERROR(s_RadSpec!$J$23*(AC23*$B49),".")</f>
        <v>0.297874396875</v>
      </c>
      <c r="CN49" s="34">
        <f>IFERROR(s_RadSpec!$J$23*(AC23*$B49),".")</f>
        <v>0.297874396875</v>
      </c>
      <c r="CO49" s="34">
        <f>IFERROR(s_RadSpec!$J$23*(AC23*$B49),".")</f>
        <v>0.297874396875</v>
      </c>
      <c r="CP49" s="34">
        <f>IFERROR(s_RadSpec!$J$23*(AC23*$B49),".")</f>
        <v>0.297874396875</v>
      </c>
      <c r="CQ49" s="34">
        <f>IFERROR(s_RadSpec!$J$23*(AC23*$B49),".")</f>
        <v>0.297874396875</v>
      </c>
      <c r="CR49" s="34">
        <f>IFERROR(s_RadSpec!$J$23*(AC23*$B49),".")</f>
        <v>0.297874396875</v>
      </c>
      <c r="CS49" s="34">
        <f>IFERROR(s_RadSpec!$J$23*(AC23*$B49),".")</f>
        <v>0.297874396875</v>
      </c>
      <c r="CT49" s="34">
        <f>IFERROR(s_RadSpec!$J$23*(AC23*$B49),".")</f>
        <v>0.297874396875</v>
      </c>
      <c r="CU49" s="34">
        <f>IFERROR(s_RadSpec!$J$23*(AC23*$B49),".")</f>
        <v>0.297874396875</v>
      </c>
      <c r="CV49" s="34">
        <f>IFERROR(s_RadSpec!$J$23*(AC23*$B49),".")</f>
        <v>0.297874396875</v>
      </c>
      <c r="CW49" s="34">
        <f>IFERROR(s_RadSpec!$J$23*(AC23*$B49),".")</f>
        <v>0.297874396875</v>
      </c>
      <c r="CX49" s="34">
        <f>IFERROR(s_RadSpec!$J$23*(AC23*$B49),".")</f>
        <v>0.297874396875</v>
      </c>
    </row>
    <row r="50" spans="1:102" x14ac:dyDescent="0.25">
      <c r="A50" s="55" t="s">
        <v>1075</v>
      </c>
      <c r="B50" s="3">
        <v>1</v>
      </c>
      <c r="C50" s="42">
        <f t="shared" ref="C50:AA50" si="114">IFERROR(C25/$B50,0)</f>
        <v>0</v>
      </c>
      <c r="D50" s="42">
        <f t="shared" si="114"/>
        <v>0</v>
      </c>
      <c r="E50" s="42">
        <f t="shared" si="114"/>
        <v>0</v>
      </c>
      <c r="F50" s="42">
        <f t="shared" si="114"/>
        <v>0</v>
      </c>
      <c r="G50" s="42">
        <f t="shared" si="114"/>
        <v>0</v>
      </c>
      <c r="H50" s="42">
        <f t="shared" si="114"/>
        <v>0</v>
      </c>
      <c r="I50" s="42">
        <f t="shared" si="114"/>
        <v>0</v>
      </c>
      <c r="J50" s="42">
        <f t="shared" si="114"/>
        <v>0</v>
      </c>
      <c r="K50" s="42">
        <f t="shared" si="114"/>
        <v>0</v>
      </c>
      <c r="L50" s="42">
        <f t="shared" si="114"/>
        <v>0</v>
      </c>
      <c r="M50" s="42">
        <f t="shared" si="114"/>
        <v>0</v>
      </c>
      <c r="N50" s="42">
        <f t="shared" si="114"/>
        <v>0</v>
      </c>
      <c r="O50" s="42">
        <f t="shared" si="114"/>
        <v>0</v>
      </c>
      <c r="P50" s="42">
        <f t="shared" si="114"/>
        <v>0</v>
      </c>
      <c r="Q50" s="42">
        <f t="shared" si="114"/>
        <v>0</v>
      </c>
      <c r="R50" s="42">
        <f t="shared" si="114"/>
        <v>0</v>
      </c>
      <c r="S50" s="42">
        <f t="shared" si="114"/>
        <v>0</v>
      </c>
      <c r="T50" s="42">
        <f t="shared" si="114"/>
        <v>0</v>
      </c>
      <c r="U50" s="42">
        <f t="shared" si="114"/>
        <v>0</v>
      </c>
      <c r="V50" s="42">
        <f t="shared" si="114"/>
        <v>0</v>
      </c>
      <c r="W50" s="42">
        <f t="shared" si="114"/>
        <v>0</v>
      </c>
      <c r="X50" s="42">
        <f t="shared" si="114"/>
        <v>0</v>
      </c>
      <c r="Y50" s="42">
        <f t="shared" si="114"/>
        <v>0</v>
      </c>
      <c r="Z50" s="42">
        <f t="shared" si="114"/>
        <v>0</v>
      </c>
      <c r="AA50" s="42">
        <f t="shared" si="114"/>
        <v>0</v>
      </c>
      <c r="AB50" s="34">
        <f t="shared" si="4"/>
        <v>0</v>
      </c>
      <c r="AC50" s="34">
        <f>IFERROR(s_RadSpec!$J$25*(AC25*$B50),".")</f>
        <v>0</v>
      </c>
      <c r="AD50" s="34">
        <f>IFERROR(s_RadSpec!$J$25*(AD25*$B50),".")</f>
        <v>0</v>
      </c>
      <c r="AE50" s="34">
        <f>IFERROR(s_RadSpec!$J$25*(AE25*$B50),".")</f>
        <v>0</v>
      </c>
      <c r="AF50" s="34">
        <f>IFERROR(s_RadSpec!$J$25*(AF25*$B50),".")</f>
        <v>0</v>
      </c>
      <c r="AG50" s="34">
        <f>IFERROR(s_RadSpec!$J$25*(AG25*$B50),".")</f>
        <v>0</v>
      </c>
      <c r="AH50" s="34">
        <f>IFERROR(s_RadSpec!$J$25*(AH25*$B50),".")</f>
        <v>0</v>
      </c>
      <c r="AI50" s="34">
        <f>IFERROR(s_RadSpec!$J$25*(AI25*$B50),".")</f>
        <v>0</v>
      </c>
      <c r="AJ50" s="34">
        <f>IFERROR(s_RadSpec!$J$25*(AJ25*$B50),".")</f>
        <v>0</v>
      </c>
      <c r="AK50" s="34">
        <f>IFERROR(s_RadSpec!$J$25*(AK25*$B50),".")</f>
        <v>0</v>
      </c>
      <c r="AL50" s="34">
        <f>IFERROR(s_RadSpec!$J$25*(AL25*$B50),".")</f>
        <v>0</v>
      </c>
      <c r="AM50" s="34">
        <f>IFERROR(s_RadSpec!$J$25*(AM25*$B50),".")</f>
        <v>0</v>
      </c>
      <c r="AN50" s="34">
        <f>IFERROR(s_RadSpec!$J$25*(AN25*$B50),".")</f>
        <v>0</v>
      </c>
      <c r="AO50" s="34">
        <f>IFERROR(s_RadSpec!$J$25*(AO25*$B50),".")</f>
        <v>0</v>
      </c>
      <c r="AP50" s="34">
        <f>IFERROR(s_RadSpec!$J$25*(AP25*$B50),".")</f>
        <v>0</v>
      </c>
      <c r="AQ50" s="34">
        <f>IFERROR(s_RadSpec!$J$25*(AQ25*$B50),".")</f>
        <v>0</v>
      </c>
      <c r="AR50" s="34">
        <f>IFERROR(s_RadSpec!$J$25*(AR25*$B50),".")</f>
        <v>0</v>
      </c>
      <c r="AS50" s="34">
        <f>IFERROR(s_RadSpec!$J$25*(AS25*$B50),".")</f>
        <v>0</v>
      </c>
      <c r="AT50" s="34">
        <f>IFERROR(s_RadSpec!$J$25*(AT25*$B50),".")</f>
        <v>0</v>
      </c>
      <c r="AU50" s="34">
        <f>IFERROR(s_RadSpec!$J$25*(AU25*$B50),".")</f>
        <v>0</v>
      </c>
      <c r="AV50" s="34">
        <f>IFERROR(s_RadSpec!$J$25*(AV25*$B50),".")</f>
        <v>0</v>
      </c>
      <c r="AW50" s="34">
        <f>IFERROR(s_RadSpec!$J$25*(AW25*$B50),".")</f>
        <v>0</v>
      </c>
      <c r="AX50" s="34">
        <f>IFERROR(s_RadSpec!$J$25*(AX25*$B50),".")</f>
        <v>0</v>
      </c>
      <c r="AY50" s="34">
        <f>IFERROR(s_RadSpec!$J$25*(AY25*$B50),".")</f>
        <v>0</v>
      </c>
      <c r="AZ50" s="34">
        <f>IFERROR(s_RadSpec!$J$25*(AZ25*$B50),".")</f>
        <v>0</v>
      </c>
      <c r="BA50" s="42">
        <f t="shared" ref="BA50:BY50" si="115">IFERROR(BA25/$B50,0)</f>
        <v>0</v>
      </c>
      <c r="BB50" s="42">
        <f t="shared" si="115"/>
        <v>0</v>
      </c>
      <c r="BC50" s="42">
        <f t="shared" si="115"/>
        <v>0</v>
      </c>
      <c r="BD50" s="42">
        <f t="shared" si="115"/>
        <v>0</v>
      </c>
      <c r="BE50" s="42">
        <f t="shared" si="115"/>
        <v>0</v>
      </c>
      <c r="BF50" s="42">
        <f t="shared" si="115"/>
        <v>0</v>
      </c>
      <c r="BG50" s="42">
        <f t="shared" si="115"/>
        <v>0</v>
      </c>
      <c r="BH50" s="42">
        <f t="shared" si="115"/>
        <v>0</v>
      </c>
      <c r="BI50" s="42">
        <f t="shared" si="115"/>
        <v>0</v>
      </c>
      <c r="BJ50" s="42">
        <f t="shared" si="115"/>
        <v>0</v>
      </c>
      <c r="BK50" s="42">
        <f t="shared" si="115"/>
        <v>0</v>
      </c>
      <c r="BL50" s="42">
        <f t="shared" si="115"/>
        <v>0</v>
      </c>
      <c r="BM50" s="42">
        <f t="shared" si="115"/>
        <v>0</v>
      </c>
      <c r="BN50" s="42">
        <f t="shared" si="115"/>
        <v>0</v>
      </c>
      <c r="BO50" s="42">
        <f t="shared" si="115"/>
        <v>0</v>
      </c>
      <c r="BP50" s="42">
        <f t="shared" si="115"/>
        <v>0</v>
      </c>
      <c r="BQ50" s="42">
        <f t="shared" si="115"/>
        <v>0</v>
      </c>
      <c r="BR50" s="42">
        <f t="shared" si="115"/>
        <v>0</v>
      </c>
      <c r="BS50" s="42">
        <f t="shared" si="115"/>
        <v>0</v>
      </c>
      <c r="BT50" s="42">
        <f t="shared" si="115"/>
        <v>0</v>
      </c>
      <c r="BU50" s="42">
        <f t="shared" si="115"/>
        <v>0</v>
      </c>
      <c r="BV50" s="42">
        <f t="shared" si="115"/>
        <v>0</v>
      </c>
      <c r="BW50" s="42">
        <f t="shared" si="115"/>
        <v>0</v>
      </c>
      <c r="BX50" s="42">
        <f t="shared" si="115"/>
        <v>0</v>
      </c>
      <c r="BY50" s="42">
        <f t="shared" si="115"/>
        <v>0</v>
      </c>
      <c r="BZ50" s="34">
        <f t="shared" si="35"/>
        <v>0</v>
      </c>
      <c r="CA50" s="34">
        <f>IFERROR(s_RadSpec!$J$25*(AC25*$B50),".")</f>
        <v>0</v>
      </c>
      <c r="CB50" s="34">
        <f>IFERROR(s_RadSpec!$J$25*(AC25*$B50),".")</f>
        <v>0</v>
      </c>
      <c r="CC50" s="34">
        <f>IFERROR(s_RadSpec!$J$25*(AC25*$B50),".")</f>
        <v>0</v>
      </c>
      <c r="CD50" s="34">
        <f>IFERROR(s_RadSpec!$J$25*(AC25*$B50),".")</f>
        <v>0</v>
      </c>
      <c r="CE50" s="34">
        <f>IFERROR(s_RadSpec!$J$25*(AC25*$B50),".")</f>
        <v>0</v>
      </c>
      <c r="CF50" s="34">
        <f>IFERROR(s_RadSpec!$J$25*(AC25*$B50),".")</f>
        <v>0</v>
      </c>
      <c r="CG50" s="34">
        <f>IFERROR(s_RadSpec!$J$25*(AC25*$B50),".")</f>
        <v>0</v>
      </c>
      <c r="CH50" s="34">
        <f>IFERROR(s_RadSpec!$J$25*(AC25*$B50),".")</f>
        <v>0</v>
      </c>
      <c r="CI50" s="34">
        <f>IFERROR(s_RadSpec!$J$25*(AC25*$B50),".")</f>
        <v>0</v>
      </c>
      <c r="CJ50" s="34">
        <f>IFERROR(s_RadSpec!$J$25*(AC25*$B50),".")</f>
        <v>0</v>
      </c>
      <c r="CK50" s="34">
        <f>IFERROR(s_RadSpec!$J$25*(AC25*$B50),".")</f>
        <v>0</v>
      </c>
      <c r="CL50" s="34">
        <f>IFERROR(s_RadSpec!$J$25*(AC25*$B50),".")</f>
        <v>0</v>
      </c>
      <c r="CM50" s="34">
        <f>IFERROR(s_RadSpec!$J$25*(AC25*$B50),".")</f>
        <v>0</v>
      </c>
      <c r="CN50" s="34">
        <f>IFERROR(s_RadSpec!$J$25*(AC25*$B50),".")</f>
        <v>0</v>
      </c>
      <c r="CO50" s="34">
        <f>IFERROR(s_RadSpec!$J$25*(AC25*$B50),".")</f>
        <v>0</v>
      </c>
      <c r="CP50" s="34">
        <f>IFERROR(s_RadSpec!$J$25*(AC25*$B50),".")</f>
        <v>0</v>
      </c>
      <c r="CQ50" s="34">
        <f>IFERROR(s_RadSpec!$J$25*(AC25*$B50),".")</f>
        <v>0</v>
      </c>
      <c r="CR50" s="34">
        <f>IFERROR(s_RadSpec!$J$25*(AC25*$B50),".")</f>
        <v>0</v>
      </c>
      <c r="CS50" s="34">
        <f>IFERROR(s_RadSpec!$J$25*(AC25*$B50),".")</f>
        <v>0</v>
      </c>
      <c r="CT50" s="34">
        <f>IFERROR(s_RadSpec!$J$25*(AC25*$B50),".")</f>
        <v>0</v>
      </c>
      <c r="CU50" s="34">
        <f>IFERROR(s_RadSpec!$J$25*(AC25*$B50),".")</f>
        <v>0</v>
      </c>
      <c r="CV50" s="34">
        <f>IFERROR(s_RadSpec!$J$25*(AC25*$B50),".")</f>
        <v>0</v>
      </c>
      <c r="CW50" s="34">
        <f>IFERROR(s_RadSpec!$J$25*(AC25*$B50),".")</f>
        <v>0</v>
      </c>
      <c r="CX50" s="34">
        <f>IFERROR(s_RadSpec!$J$25*(AC25*$B50),".")</f>
        <v>0</v>
      </c>
    </row>
    <row r="51" spans="1:102" x14ac:dyDescent="0.25">
      <c r="A51" s="55" t="s">
        <v>1061</v>
      </c>
      <c r="B51" s="3">
        <v>1</v>
      </c>
      <c r="C51" s="42">
        <f t="shared" ref="C51:AA51" si="116">IFERROR(C21/$B51,0)</f>
        <v>0</v>
      </c>
      <c r="D51" s="42">
        <f t="shared" si="116"/>
        <v>0</v>
      </c>
      <c r="E51" s="42">
        <f t="shared" si="116"/>
        <v>0</v>
      </c>
      <c r="F51" s="42">
        <f t="shared" si="116"/>
        <v>0</v>
      </c>
      <c r="G51" s="42">
        <f t="shared" si="116"/>
        <v>0</v>
      </c>
      <c r="H51" s="42">
        <f t="shared" si="116"/>
        <v>0</v>
      </c>
      <c r="I51" s="42">
        <f t="shared" si="116"/>
        <v>0</v>
      </c>
      <c r="J51" s="42">
        <f t="shared" si="116"/>
        <v>0</v>
      </c>
      <c r="K51" s="42">
        <f t="shared" si="116"/>
        <v>0</v>
      </c>
      <c r="L51" s="42">
        <f t="shared" si="116"/>
        <v>0</v>
      </c>
      <c r="M51" s="42">
        <f t="shared" si="116"/>
        <v>0</v>
      </c>
      <c r="N51" s="42">
        <f t="shared" si="116"/>
        <v>0</v>
      </c>
      <c r="O51" s="42">
        <f t="shared" si="116"/>
        <v>0</v>
      </c>
      <c r="P51" s="42">
        <f t="shared" si="116"/>
        <v>0</v>
      </c>
      <c r="Q51" s="42">
        <f t="shared" si="116"/>
        <v>0</v>
      </c>
      <c r="R51" s="42">
        <f t="shared" si="116"/>
        <v>0</v>
      </c>
      <c r="S51" s="42">
        <f t="shared" si="116"/>
        <v>0</v>
      </c>
      <c r="T51" s="42">
        <f t="shared" si="116"/>
        <v>0</v>
      </c>
      <c r="U51" s="42">
        <f t="shared" si="116"/>
        <v>0</v>
      </c>
      <c r="V51" s="42">
        <f t="shared" si="116"/>
        <v>0</v>
      </c>
      <c r="W51" s="42">
        <f t="shared" si="116"/>
        <v>0</v>
      </c>
      <c r="X51" s="42">
        <f t="shared" si="116"/>
        <v>0</v>
      </c>
      <c r="Y51" s="42">
        <f t="shared" si="116"/>
        <v>0</v>
      </c>
      <c r="Z51" s="42">
        <f t="shared" si="116"/>
        <v>0</v>
      </c>
      <c r="AA51" s="42">
        <f t="shared" si="116"/>
        <v>0</v>
      </c>
      <c r="AB51" s="34">
        <f t="shared" si="4"/>
        <v>0</v>
      </c>
      <c r="AC51" s="34">
        <f>IFERROR(s_RadSpec!$J$21*(AC21*$B51),".")</f>
        <v>0</v>
      </c>
      <c r="AD51" s="34">
        <f>IFERROR(s_RadSpec!$J$21*(AD21*$B51),".")</f>
        <v>0</v>
      </c>
      <c r="AE51" s="34">
        <f>IFERROR(s_RadSpec!$J$21*(AE21*$B51),".")</f>
        <v>0</v>
      </c>
      <c r="AF51" s="34">
        <f>IFERROR(s_RadSpec!$J$21*(AF21*$B51),".")</f>
        <v>0</v>
      </c>
      <c r="AG51" s="34">
        <f>IFERROR(s_RadSpec!$J$21*(AG21*$B51),".")</f>
        <v>0</v>
      </c>
      <c r="AH51" s="34">
        <f>IFERROR(s_RadSpec!$J$21*(AH21*$B51),".")</f>
        <v>0</v>
      </c>
      <c r="AI51" s="34">
        <f>IFERROR(s_RadSpec!$J$21*(AI21*$B51),".")</f>
        <v>0</v>
      </c>
      <c r="AJ51" s="34">
        <f>IFERROR(s_RadSpec!$J$21*(AJ21*$B51),".")</f>
        <v>0</v>
      </c>
      <c r="AK51" s="34">
        <f>IFERROR(s_RadSpec!$J$21*(AK21*$B51),".")</f>
        <v>0</v>
      </c>
      <c r="AL51" s="34">
        <f>IFERROR(s_RadSpec!$J$21*(AL21*$B51),".")</f>
        <v>0</v>
      </c>
      <c r="AM51" s="34">
        <f>IFERROR(s_RadSpec!$J$21*(AM21*$B51),".")</f>
        <v>0</v>
      </c>
      <c r="AN51" s="34">
        <f>IFERROR(s_RadSpec!$J$21*(AN21*$B51),".")</f>
        <v>0</v>
      </c>
      <c r="AO51" s="34">
        <f>IFERROR(s_RadSpec!$J$21*(AO21*$B51),".")</f>
        <v>0</v>
      </c>
      <c r="AP51" s="34">
        <f>IFERROR(s_RadSpec!$J$21*(AP21*$B51),".")</f>
        <v>0</v>
      </c>
      <c r="AQ51" s="34">
        <f>IFERROR(s_RadSpec!$J$21*(AQ21*$B51),".")</f>
        <v>0</v>
      </c>
      <c r="AR51" s="34">
        <f>IFERROR(s_RadSpec!$J$21*(AR21*$B51),".")</f>
        <v>0</v>
      </c>
      <c r="AS51" s="34">
        <f>IFERROR(s_RadSpec!$J$21*(AS21*$B51),".")</f>
        <v>0</v>
      </c>
      <c r="AT51" s="34">
        <f>IFERROR(s_RadSpec!$J$21*(AT21*$B51),".")</f>
        <v>0</v>
      </c>
      <c r="AU51" s="34">
        <f>IFERROR(s_RadSpec!$J$21*(AU21*$B51),".")</f>
        <v>0</v>
      </c>
      <c r="AV51" s="34">
        <f>IFERROR(s_RadSpec!$J$21*(AV21*$B51),".")</f>
        <v>0</v>
      </c>
      <c r="AW51" s="34">
        <f>IFERROR(s_RadSpec!$J$21*(AW21*$B51),".")</f>
        <v>0</v>
      </c>
      <c r="AX51" s="34">
        <f>IFERROR(s_RadSpec!$J$21*(AX21*$B51),".")</f>
        <v>0</v>
      </c>
      <c r="AY51" s="34">
        <f>IFERROR(s_RadSpec!$J$21*(AY21*$B51),".")</f>
        <v>0</v>
      </c>
      <c r="AZ51" s="34">
        <f>IFERROR(s_RadSpec!$J$21*(AZ21*$B51),".")</f>
        <v>0</v>
      </c>
      <c r="BA51" s="42">
        <f t="shared" ref="BA51:BY51" si="117">IFERROR(BA21/$B51,0)</f>
        <v>0</v>
      </c>
      <c r="BB51" s="42">
        <f t="shared" si="117"/>
        <v>0</v>
      </c>
      <c r="BC51" s="42">
        <f t="shared" si="117"/>
        <v>0</v>
      </c>
      <c r="BD51" s="42">
        <f t="shared" si="117"/>
        <v>0</v>
      </c>
      <c r="BE51" s="42">
        <f t="shared" si="117"/>
        <v>0</v>
      </c>
      <c r="BF51" s="42">
        <f t="shared" si="117"/>
        <v>0</v>
      </c>
      <c r="BG51" s="42">
        <f t="shared" si="117"/>
        <v>0</v>
      </c>
      <c r="BH51" s="42">
        <f t="shared" si="117"/>
        <v>0</v>
      </c>
      <c r="BI51" s="42">
        <f t="shared" si="117"/>
        <v>0</v>
      </c>
      <c r="BJ51" s="42">
        <f t="shared" si="117"/>
        <v>0</v>
      </c>
      <c r="BK51" s="42">
        <f t="shared" si="117"/>
        <v>0</v>
      </c>
      <c r="BL51" s="42">
        <f t="shared" si="117"/>
        <v>0</v>
      </c>
      <c r="BM51" s="42">
        <f t="shared" si="117"/>
        <v>0</v>
      </c>
      <c r="BN51" s="42">
        <f t="shared" si="117"/>
        <v>0</v>
      </c>
      <c r="BO51" s="42">
        <f t="shared" si="117"/>
        <v>0</v>
      </c>
      <c r="BP51" s="42">
        <f t="shared" si="117"/>
        <v>0</v>
      </c>
      <c r="BQ51" s="42">
        <f t="shared" si="117"/>
        <v>0</v>
      </c>
      <c r="BR51" s="42">
        <f t="shared" si="117"/>
        <v>0</v>
      </c>
      <c r="BS51" s="42">
        <f t="shared" si="117"/>
        <v>0</v>
      </c>
      <c r="BT51" s="42">
        <f t="shared" si="117"/>
        <v>0</v>
      </c>
      <c r="BU51" s="42">
        <f t="shared" si="117"/>
        <v>0</v>
      </c>
      <c r="BV51" s="42">
        <f t="shared" si="117"/>
        <v>0</v>
      </c>
      <c r="BW51" s="42">
        <f t="shared" si="117"/>
        <v>0</v>
      </c>
      <c r="BX51" s="42">
        <f t="shared" si="117"/>
        <v>0</v>
      </c>
      <c r="BY51" s="42">
        <f t="shared" si="117"/>
        <v>0</v>
      </c>
      <c r="BZ51" s="34">
        <f t="shared" si="35"/>
        <v>0</v>
      </c>
      <c r="CA51" s="34">
        <f>IFERROR(s_RadSpec!$J$21*(AC21*$B51),".")</f>
        <v>0</v>
      </c>
      <c r="CB51" s="34">
        <f>IFERROR(s_RadSpec!$J$21*(AC21*$B51),".")</f>
        <v>0</v>
      </c>
      <c r="CC51" s="34">
        <f>IFERROR(s_RadSpec!$J$21*(AC21*$B51),".")</f>
        <v>0</v>
      </c>
      <c r="CD51" s="34">
        <f>IFERROR(s_RadSpec!$J$21*(AC21*$B51),".")</f>
        <v>0</v>
      </c>
      <c r="CE51" s="34">
        <f>IFERROR(s_RadSpec!$J$21*(AC21*$B51),".")</f>
        <v>0</v>
      </c>
      <c r="CF51" s="34">
        <f>IFERROR(s_RadSpec!$J$21*(AC21*$B51),".")</f>
        <v>0</v>
      </c>
      <c r="CG51" s="34">
        <f>IFERROR(s_RadSpec!$J$21*(AC21*$B51),".")</f>
        <v>0</v>
      </c>
      <c r="CH51" s="34">
        <f>IFERROR(s_RadSpec!$J$21*(AC21*$B51),".")</f>
        <v>0</v>
      </c>
      <c r="CI51" s="34">
        <f>IFERROR(s_RadSpec!$J$21*(AC21*$B51),".")</f>
        <v>0</v>
      </c>
      <c r="CJ51" s="34">
        <f>IFERROR(s_RadSpec!$J$21*(AC21*$B51),".")</f>
        <v>0</v>
      </c>
      <c r="CK51" s="34">
        <f>IFERROR(s_RadSpec!$J$21*(AC21*$B51),".")</f>
        <v>0</v>
      </c>
      <c r="CL51" s="34">
        <f>IFERROR(s_RadSpec!$J$21*(AC21*$B51),".")</f>
        <v>0</v>
      </c>
      <c r="CM51" s="34">
        <f>IFERROR(s_RadSpec!$J$21*(AC21*$B51),".")</f>
        <v>0</v>
      </c>
      <c r="CN51" s="34">
        <f>IFERROR(s_RadSpec!$J$21*(AC21*$B51),".")</f>
        <v>0</v>
      </c>
      <c r="CO51" s="34">
        <f>IFERROR(s_RadSpec!$J$21*(AC21*$B51),".")</f>
        <v>0</v>
      </c>
      <c r="CP51" s="34">
        <f>IFERROR(s_RadSpec!$J$21*(AC21*$B51),".")</f>
        <v>0</v>
      </c>
      <c r="CQ51" s="34">
        <f>IFERROR(s_RadSpec!$J$21*(AC21*$B51),".")</f>
        <v>0</v>
      </c>
      <c r="CR51" s="34">
        <f>IFERROR(s_RadSpec!$J$21*(AC21*$B51),".")</f>
        <v>0</v>
      </c>
      <c r="CS51" s="34">
        <f>IFERROR(s_RadSpec!$J$21*(AC21*$B51),".")</f>
        <v>0</v>
      </c>
      <c r="CT51" s="34">
        <f>IFERROR(s_RadSpec!$J$21*(AC21*$B51),".")</f>
        <v>0</v>
      </c>
      <c r="CU51" s="34">
        <f>IFERROR(s_RadSpec!$J$21*(AC21*$B51),".")</f>
        <v>0</v>
      </c>
      <c r="CV51" s="34">
        <f>IFERROR(s_RadSpec!$J$21*(AC21*$B51),".")</f>
        <v>0</v>
      </c>
      <c r="CW51" s="34">
        <f>IFERROR(s_RadSpec!$J$21*(AC21*$B51),".")</f>
        <v>0</v>
      </c>
      <c r="CX51" s="34">
        <f>IFERROR(s_RadSpec!$J$21*(AC21*$B51),".")</f>
        <v>0</v>
      </c>
    </row>
    <row r="52" spans="1:102" x14ac:dyDescent="0.25">
      <c r="A52" s="55" t="s">
        <v>1062</v>
      </c>
      <c r="B52" s="3">
        <v>0.99980000000000002</v>
      </c>
      <c r="C52" s="42">
        <f t="shared" ref="C52:AA52" si="118">IFERROR(C17/$B52,0)</f>
        <v>72675.577738435895</v>
      </c>
      <c r="D52" s="42">
        <f t="shared" si="118"/>
        <v>191090.38078544487</v>
      </c>
      <c r="E52" s="42">
        <f t="shared" si="118"/>
        <v>48028.063619871165</v>
      </c>
      <c r="F52" s="42">
        <f t="shared" si="118"/>
        <v>157565.7525774721</v>
      </c>
      <c r="G52" s="42">
        <f t="shared" si="118"/>
        <v>191090.38078544487</v>
      </c>
      <c r="H52" s="42">
        <f t="shared" si="118"/>
        <v>157565.7525774721</v>
      </c>
      <c r="I52" s="42">
        <f t="shared" si="118"/>
        <v>48028.063619871165</v>
      </c>
      <c r="J52" s="42">
        <f t="shared" si="118"/>
        <v>157565.7525774721</v>
      </c>
      <c r="K52" s="42">
        <f t="shared" si="118"/>
        <v>191090.38078544487</v>
      </c>
      <c r="L52" s="42">
        <f t="shared" si="118"/>
        <v>305484.62234407855</v>
      </c>
      <c r="M52" s="42">
        <f t="shared" si="118"/>
        <v>157565.7525774721</v>
      </c>
      <c r="N52" s="42">
        <f t="shared" si="118"/>
        <v>48028.063619871165</v>
      </c>
      <c r="O52" s="42">
        <f t="shared" si="118"/>
        <v>238862.97598180606</v>
      </c>
      <c r="P52" s="42">
        <f t="shared" si="118"/>
        <v>157565.7525774721</v>
      </c>
      <c r="Q52" s="42">
        <f t="shared" si="118"/>
        <v>157565.7525774721</v>
      </c>
      <c r="R52" s="42">
        <f t="shared" si="118"/>
        <v>191090.38078544487</v>
      </c>
      <c r="S52" s="42">
        <f t="shared" si="118"/>
        <v>191090.38078544487</v>
      </c>
      <c r="T52" s="42">
        <f t="shared" si="118"/>
        <v>238862.97598180606</v>
      </c>
      <c r="U52" s="42">
        <f t="shared" si="118"/>
        <v>299374.92989719694</v>
      </c>
      <c r="V52" s="42">
        <f t="shared" si="118"/>
        <v>157565.7525774721</v>
      </c>
      <c r="W52" s="42">
        <f t="shared" si="118"/>
        <v>238862.97598180606</v>
      </c>
      <c r="X52" s="42">
        <f t="shared" si="118"/>
        <v>191090.38078544487</v>
      </c>
      <c r="Y52" s="42">
        <f t="shared" si="118"/>
        <v>157565.7525774721</v>
      </c>
      <c r="Z52" s="42">
        <f t="shared" si="118"/>
        <v>325643.50605206343</v>
      </c>
      <c r="AA52" s="42">
        <f t="shared" si="118"/>
        <v>183290.77340644712</v>
      </c>
      <c r="AB52" s="34">
        <f t="shared" si="4"/>
        <v>3.4399451339728749E-4</v>
      </c>
      <c r="AC52" s="34">
        <f>IFERROR(s_RadSpec!$J$17*(AC17*$B52),".")</f>
        <v>1.3082814476187503E-4</v>
      </c>
      <c r="AD52" s="34">
        <f>IFERROR(s_RadSpec!$J$17*(AD17*$B52),".")</f>
        <v>5.205290014993751E-4</v>
      </c>
      <c r="AE52" s="34">
        <f>IFERROR(s_RadSpec!$J$17*(AE17*$B52),".")</f>
        <v>1.58663920243125E-4</v>
      </c>
      <c r="AF52" s="34">
        <f>IFERROR(s_RadSpec!$J$17*(AF17*$B52),".")</f>
        <v>1.3082814476187503E-4</v>
      </c>
      <c r="AG52" s="34">
        <f>IFERROR(s_RadSpec!$J$17*(AG17*$B52),".")</f>
        <v>1.58663920243125E-4</v>
      </c>
      <c r="AH52" s="34">
        <f>IFERROR(s_RadSpec!$J$17*(AH17*$B52),".")</f>
        <v>5.205290014993751E-4</v>
      </c>
      <c r="AI52" s="34">
        <f>IFERROR(s_RadSpec!$J$17*(AI17*$B52),".")</f>
        <v>1.58663920243125E-4</v>
      </c>
      <c r="AJ52" s="34">
        <f>IFERROR(s_RadSpec!$J$17*(AJ17*$B52),".")</f>
        <v>1.3082814476187503E-4</v>
      </c>
      <c r="AK52" s="34">
        <f>IFERROR(s_RadSpec!$J$17*(AK17*$B52),".")</f>
        <v>8.1837179914875E-5</v>
      </c>
      <c r="AL52" s="34">
        <f>IFERROR(s_RadSpec!$J$17*(AL17*$B52),".")</f>
        <v>1.58663920243125E-4</v>
      </c>
      <c r="AM52" s="34">
        <f>IFERROR(s_RadSpec!$J$17*(AM17*$B52),".")</f>
        <v>5.205290014993751E-4</v>
      </c>
      <c r="AN52" s="34">
        <f>IFERROR(s_RadSpec!$J$17*(AN17*$B52),".")</f>
        <v>1.0466251580950002E-4</v>
      </c>
      <c r="AO52" s="34">
        <f>IFERROR(s_RadSpec!$J$17*(AO17*$B52),".")</f>
        <v>1.58663920243125E-4</v>
      </c>
      <c r="AP52" s="34">
        <f>IFERROR(s_RadSpec!$J$17*(AP17*$B52),".")</f>
        <v>1.58663920243125E-4</v>
      </c>
      <c r="AQ52" s="34">
        <f>IFERROR(s_RadSpec!$J$17*(AQ17*$B52),".")</f>
        <v>1.3082814476187503E-4</v>
      </c>
      <c r="AR52" s="34">
        <f>IFERROR(s_RadSpec!$J$17*(AR17*$B52),".")</f>
        <v>1.3082814476187503E-4</v>
      </c>
      <c r="AS52" s="34">
        <f>IFERROR(s_RadSpec!$J$17*(AS17*$B52),".")</f>
        <v>1.0466251580950002E-4</v>
      </c>
      <c r="AT52" s="34">
        <f>IFERROR(s_RadSpec!$J$17*(AT17*$B52),".")</f>
        <v>8.3507326443750001E-5</v>
      </c>
      <c r="AU52" s="34">
        <f>IFERROR(s_RadSpec!$J$17*(AU17*$B52),".")</f>
        <v>1.58663920243125E-4</v>
      </c>
      <c r="AV52" s="34">
        <f>IFERROR(s_RadSpec!$J$17*(AV17*$B52),".")</f>
        <v>1.0466251580950002E-4</v>
      </c>
      <c r="AW52" s="34">
        <f>IFERROR(s_RadSpec!$J$17*(AW17*$B52),".")</f>
        <v>1.3082814476187503E-4</v>
      </c>
      <c r="AX52" s="34">
        <f>IFERROR(s_RadSpec!$J$17*(AX17*$B52),".")</f>
        <v>1.58663920243125E-4</v>
      </c>
      <c r="AY52" s="34">
        <f>IFERROR(s_RadSpec!$J$17*(AY17*$B52),".")</f>
        <v>7.6771068777287509E-5</v>
      </c>
      <c r="AZ52" s="34">
        <f>IFERROR(s_RadSpec!$J$17*(AZ17*$B52),".")</f>
        <v>1.36395299858125E-4</v>
      </c>
      <c r="BA52" s="42">
        <f t="shared" ref="BA52:BY52" si="119">IFERROR(BA17/$B52,0)</f>
        <v>72675.577738435895</v>
      </c>
      <c r="BB52" s="42">
        <f t="shared" si="119"/>
        <v>191090.38078544487</v>
      </c>
      <c r="BC52" s="42">
        <f t="shared" si="119"/>
        <v>48028.063619871165</v>
      </c>
      <c r="BD52" s="42">
        <f t="shared" si="119"/>
        <v>157565.7525774721</v>
      </c>
      <c r="BE52" s="42">
        <f t="shared" si="119"/>
        <v>191090.38078544487</v>
      </c>
      <c r="BF52" s="42">
        <f t="shared" si="119"/>
        <v>157565.7525774721</v>
      </c>
      <c r="BG52" s="42">
        <f t="shared" si="119"/>
        <v>48028.063619871165</v>
      </c>
      <c r="BH52" s="42">
        <f t="shared" si="119"/>
        <v>157565.7525774721</v>
      </c>
      <c r="BI52" s="42">
        <f t="shared" si="119"/>
        <v>191090.38078544487</v>
      </c>
      <c r="BJ52" s="42">
        <f t="shared" si="119"/>
        <v>305484.62234407855</v>
      </c>
      <c r="BK52" s="42">
        <f t="shared" si="119"/>
        <v>157565.7525774721</v>
      </c>
      <c r="BL52" s="42">
        <f t="shared" si="119"/>
        <v>48028.063619871165</v>
      </c>
      <c r="BM52" s="42">
        <f t="shared" si="119"/>
        <v>238862.97598180606</v>
      </c>
      <c r="BN52" s="42">
        <f t="shared" si="119"/>
        <v>157565.7525774721</v>
      </c>
      <c r="BO52" s="42">
        <f t="shared" si="119"/>
        <v>157565.7525774721</v>
      </c>
      <c r="BP52" s="42">
        <f t="shared" si="119"/>
        <v>191090.38078544487</v>
      </c>
      <c r="BQ52" s="42">
        <f t="shared" si="119"/>
        <v>191090.38078544487</v>
      </c>
      <c r="BR52" s="42">
        <f t="shared" si="119"/>
        <v>238862.97598180606</v>
      </c>
      <c r="BS52" s="42">
        <f t="shared" si="119"/>
        <v>299374.92989719694</v>
      </c>
      <c r="BT52" s="42">
        <f t="shared" si="119"/>
        <v>157565.7525774721</v>
      </c>
      <c r="BU52" s="42">
        <f t="shared" si="119"/>
        <v>238862.97598180606</v>
      </c>
      <c r="BV52" s="42">
        <f t="shared" si="119"/>
        <v>191090.38078544487</v>
      </c>
      <c r="BW52" s="42">
        <f t="shared" si="119"/>
        <v>157565.7525774721</v>
      </c>
      <c r="BX52" s="42">
        <f t="shared" si="119"/>
        <v>325643.50605206343</v>
      </c>
      <c r="BY52" s="42">
        <f t="shared" si="119"/>
        <v>183290.77340644712</v>
      </c>
      <c r="BZ52" s="34">
        <f t="shared" si="35"/>
        <v>3.9248443428562506E-4</v>
      </c>
      <c r="CA52" s="34">
        <f>IFERROR(s_RadSpec!$J$17*(AC17*$B52),".")</f>
        <v>1.3082814476187503E-4</v>
      </c>
      <c r="CB52" s="34">
        <f>IFERROR(s_RadSpec!$J$17*(AC17*$B52),".")</f>
        <v>1.3082814476187503E-4</v>
      </c>
      <c r="CC52" s="34">
        <f>IFERROR(s_RadSpec!$J$17*(AC17*$B52),".")</f>
        <v>1.3082814476187503E-4</v>
      </c>
      <c r="CD52" s="34">
        <f>IFERROR(s_RadSpec!$J$17*(AC17*$B52),".")</f>
        <v>1.3082814476187503E-4</v>
      </c>
      <c r="CE52" s="34">
        <f>IFERROR(s_RadSpec!$J$17*(AC17*$B52),".")</f>
        <v>1.3082814476187503E-4</v>
      </c>
      <c r="CF52" s="34">
        <f>IFERROR(s_RadSpec!$J$17*(AC17*$B52),".")</f>
        <v>1.3082814476187503E-4</v>
      </c>
      <c r="CG52" s="34">
        <f>IFERROR(s_RadSpec!$J$17*(AC17*$B52),".")</f>
        <v>1.3082814476187503E-4</v>
      </c>
      <c r="CH52" s="34">
        <f>IFERROR(s_RadSpec!$J$17*(AC17*$B52),".")</f>
        <v>1.3082814476187503E-4</v>
      </c>
      <c r="CI52" s="34">
        <f>IFERROR(s_RadSpec!$J$17*(AC17*$B52),".")</f>
        <v>1.3082814476187503E-4</v>
      </c>
      <c r="CJ52" s="34">
        <f>IFERROR(s_RadSpec!$J$17*(AC17*$B52),".")</f>
        <v>1.3082814476187503E-4</v>
      </c>
      <c r="CK52" s="34">
        <f>IFERROR(s_RadSpec!$J$17*(AC17*$B52),".")</f>
        <v>1.3082814476187503E-4</v>
      </c>
      <c r="CL52" s="34">
        <f>IFERROR(s_RadSpec!$J$17*(AC17*$B52),".")</f>
        <v>1.3082814476187503E-4</v>
      </c>
      <c r="CM52" s="34">
        <f>IFERROR(s_RadSpec!$J$17*(AC17*$B52),".")</f>
        <v>1.3082814476187503E-4</v>
      </c>
      <c r="CN52" s="34">
        <f>IFERROR(s_RadSpec!$J$17*(AC17*$B52),".")</f>
        <v>1.3082814476187503E-4</v>
      </c>
      <c r="CO52" s="34">
        <f>IFERROR(s_RadSpec!$J$17*(AC17*$B52),".")</f>
        <v>1.3082814476187503E-4</v>
      </c>
      <c r="CP52" s="34">
        <f>IFERROR(s_RadSpec!$J$17*(AC17*$B52),".")</f>
        <v>1.3082814476187503E-4</v>
      </c>
      <c r="CQ52" s="34">
        <f>IFERROR(s_RadSpec!$J$17*(AC17*$B52),".")</f>
        <v>1.3082814476187503E-4</v>
      </c>
      <c r="CR52" s="34">
        <f>IFERROR(s_RadSpec!$J$17*(AC17*$B52),".")</f>
        <v>1.3082814476187503E-4</v>
      </c>
      <c r="CS52" s="34">
        <f>IFERROR(s_RadSpec!$J$17*(AC17*$B52),".")</f>
        <v>1.3082814476187503E-4</v>
      </c>
      <c r="CT52" s="34">
        <f>IFERROR(s_RadSpec!$J$17*(AC17*$B52),".")</f>
        <v>1.3082814476187503E-4</v>
      </c>
      <c r="CU52" s="34">
        <f>IFERROR(s_RadSpec!$J$17*(AC17*$B52),".")</f>
        <v>1.3082814476187503E-4</v>
      </c>
      <c r="CV52" s="34">
        <f>IFERROR(s_RadSpec!$J$17*(AC17*$B52),".")</f>
        <v>1.3082814476187503E-4</v>
      </c>
      <c r="CW52" s="34">
        <f>IFERROR(s_RadSpec!$J$17*(AC17*$B52),".")</f>
        <v>1.3082814476187503E-4</v>
      </c>
      <c r="CX52" s="34">
        <f>IFERROR(s_RadSpec!$J$17*(AC17*$B52),".")</f>
        <v>1.3082814476187503E-4</v>
      </c>
    </row>
    <row r="53" spans="1:102" x14ac:dyDescent="0.25">
      <c r="A53" s="55" t="s">
        <v>1076</v>
      </c>
      <c r="B53" s="3">
        <v>2.0000000000000001E-4</v>
      </c>
      <c r="C53" s="42">
        <f t="shared" ref="C53:AA53" si="120">IFERROR(C5/$B53,0)</f>
        <v>0</v>
      </c>
      <c r="D53" s="42">
        <f t="shared" si="120"/>
        <v>0</v>
      </c>
      <c r="E53" s="42">
        <f t="shared" si="120"/>
        <v>0</v>
      </c>
      <c r="F53" s="42">
        <f t="shared" si="120"/>
        <v>0</v>
      </c>
      <c r="G53" s="42">
        <f t="shared" si="120"/>
        <v>0</v>
      </c>
      <c r="H53" s="42">
        <f t="shared" si="120"/>
        <v>0</v>
      </c>
      <c r="I53" s="42">
        <f t="shared" si="120"/>
        <v>0</v>
      </c>
      <c r="J53" s="42">
        <f t="shared" si="120"/>
        <v>0</v>
      </c>
      <c r="K53" s="42">
        <f t="shared" si="120"/>
        <v>0</v>
      </c>
      <c r="L53" s="42">
        <f t="shared" si="120"/>
        <v>0</v>
      </c>
      <c r="M53" s="42">
        <f t="shared" si="120"/>
        <v>0</v>
      </c>
      <c r="N53" s="42">
        <f t="shared" si="120"/>
        <v>0</v>
      </c>
      <c r="O53" s="42">
        <f t="shared" si="120"/>
        <v>0</v>
      </c>
      <c r="P53" s="42">
        <f t="shared" si="120"/>
        <v>0</v>
      </c>
      <c r="Q53" s="42">
        <f t="shared" si="120"/>
        <v>0</v>
      </c>
      <c r="R53" s="42">
        <f t="shared" si="120"/>
        <v>0</v>
      </c>
      <c r="S53" s="42">
        <f t="shared" si="120"/>
        <v>0</v>
      </c>
      <c r="T53" s="42">
        <f t="shared" si="120"/>
        <v>0</v>
      </c>
      <c r="U53" s="42">
        <f t="shared" si="120"/>
        <v>0</v>
      </c>
      <c r="V53" s="42">
        <f t="shared" si="120"/>
        <v>0</v>
      </c>
      <c r="W53" s="42">
        <f t="shared" si="120"/>
        <v>0</v>
      </c>
      <c r="X53" s="42">
        <f t="shared" si="120"/>
        <v>0</v>
      </c>
      <c r="Y53" s="42">
        <f t="shared" si="120"/>
        <v>0</v>
      </c>
      <c r="Z53" s="42">
        <f t="shared" si="120"/>
        <v>0</v>
      </c>
      <c r="AA53" s="42">
        <f t="shared" si="120"/>
        <v>0</v>
      </c>
      <c r="AB53" s="34">
        <f t="shared" si="4"/>
        <v>0</v>
      </c>
      <c r="AC53" s="34">
        <f>IFERROR(s_RadSpec!$J$5*(AC5*$B53),".")</f>
        <v>0</v>
      </c>
      <c r="AD53" s="34">
        <f>IFERROR(s_RadSpec!$J$5*(AD5*$B53),".")</f>
        <v>0</v>
      </c>
      <c r="AE53" s="34">
        <f>IFERROR(s_RadSpec!$J$5*(AE5*$B53),".")</f>
        <v>0</v>
      </c>
      <c r="AF53" s="34">
        <f>IFERROR(s_RadSpec!$J$5*(AF5*$B53),".")</f>
        <v>0</v>
      </c>
      <c r="AG53" s="34">
        <f>IFERROR(s_RadSpec!$J$5*(AG5*$B53),".")</f>
        <v>0</v>
      </c>
      <c r="AH53" s="34">
        <f>IFERROR(s_RadSpec!$J$5*(AH5*$B53),".")</f>
        <v>0</v>
      </c>
      <c r="AI53" s="34">
        <f>IFERROR(s_RadSpec!$J$5*(AI5*$B53),".")</f>
        <v>0</v>
      </c>
      <c r="AJ53" s="34">
        <f>IFERROR(s_RadSpec!$J$5*(AJ5*$B53),".")</f>
        <v>0</v>
      </c>
      <c r="AK53" s="34">
        <f>IFERROR(s_RadSpec!$J$5*(AK5*$B53),".")</f>
        <v>0</v>
      </c>
      <c r="AL53" s="34">
        <f>IFERROR(s_RadSpec!$J$5*(AL5*$B53),".")</f>
        <v>0</v>
      </c>
      <c r="AM53" s="34">
        <f>IFERROR(s_RadSpec!$J$5*(AM5*$B53),".")</f>
        <v>0</v>
      </c>
      <c r="AN53" s="34">
        <f>IFERROR(s_RadSpec!$J$5*(AN5*$B53),".")</f>
        <v>0</v>
      </c>
      <c r="AO53" s="34">
        <f>IFERROR(s_RadSpec!$J$5*(AO5*$B53),".")</f>
        <v>0</v>
      </c>
      <c r="AP53" s="34">
        <f>IFERROR(s_RadSpec!$J$5*(AP5*$B53),".")</f>
        <v>0</v>
      </c>
      <c r="AQ53" s="34">
        <f>IFERROR(s_RadSpec!$J$5*(AQ5*$B53),".")</f>
        <v>0</v>
      </c>
      <c r="AR53" s="34">
        <f>IFERROR(s_RadSpec!$J$5*(AR5*$B53),".")</f>
        <v>0</v>
      </c>
      <c r="AS53" s="34">
        <f>IFERROR(s_RadSpec!$J$5*(AS5*$B53),".")</f>
        <v>0</v>
      </c>
      <c r="AT53" s="34">
        <f>IFERROR(s_RadSpec!$J$5*(AT5*$B53),".")</f>
        <v>0</v>
      </c>
      <c r="AU53" s="34">
        <f>IFERROR(s_RadSpec!$J$5*(AU5*$B53),".")</f>
        <v>0</v>
      </c>
      <c r="AV53" s="34">
        <f>IFERROR(s_RadSpec!$J$5*(AV5*$B53),".")</f>
        <v>0</v>
      </c>
      <c r="AW53" s="34">
        <f>IFERROR(s_RadSpec!$J$5*(AW5*$B53),".")</f>
        <v>0</v>
      </c>
      <c r="AX53" s="34">
        <f>IFERROR(s_RadSpec!$J$5*(AX5*$B53),".")</f>
        <v>0</v>
      </c>
      <c r="AY53" s="34">
        <f>IFERROR(s_RadSpec!$J$5*(AY5*$B53),".")</f>
        <v>0</v>
      </c>
      <c r="AZ53" s="34">
        <f>IFERROR(s_RadSpec!$J$5*(AZ5*$B53),".")</f>
        <v>0</v>
      </c>
      <c r="BA53" s="42">
        <f t="shared" ref="BA53:BY53" si="121">IFERROR(BA5/$B53,0)</f>
        <v>0</v>
      </c>
      <c r="BB53" s="42">
        <f t="shared" si="121"/>
        <v>0</v>
      </c>
      <c r="BC53" s="42">
        <f t="shared" si="121"/>
        <v>0</v>
      </c>
      <c r="BD53" s="42">
        <f t="shared" si="121"/>
        <v>0</v>
      </c>
      <c r="BE53" s="42">
        <f t="shared" si="121"/>
        <v>0</v>
      </c>
      <c r="BF53" s="42">
        <f t="shared" si="121"/>
        <v>0</v>
      </c>
      <c r="BG53" s="42">
        <f t="shared" si="121"/>
        <v>0</v>
      </c>
      <c r="BH53" s="42">
        <f t="shared" si="121"/>
        <v>0</v>
      </c>
      <c r="BI53" s="42">
        <f t="shared" si="121"/>
        <v>0</v>
      </c>
      <c r="BJ53" s="42">
        <f t="shared" si="121"/>
        <v>0</v>
      </c>
      <c r="BK53" s="42">
        <f t="shared" si="121"/>
        <v>0</v>
      </c>
      <c r="BL53" s="42">
        <f t="shared" si="121"/>
        <v>0</v>
      </c>
      <c r="BM53" s="42">
        <f t="shared" si="121"/>
        <v>0</v>
      </c>
      <c r="BN53" s="42">
        <f t="shared" si="121"/>
        <v>0</v>
      </c>
      <c r="BO53" s="42">
        <f t="shared" si="121"/>
        <v>0</v>
      </c>
      <c r="BP53" s="42">
        <f t="shared" si="121"/>
        <v>0</v>
      </c>
      <c r="BQ53" s="42">
        <f t="shared" si="121"/>
        <v>0</v>
      </c>
      <c r="BR53" s="42">
        <f t="shared" si="121"/>
        <v>0</v>
      </c>
      <c r="BS53" s="42">
        <f t="shared" si="121"/>
        <v>0</v>
      </c>
      <c r="BT53" s="42">
        <f t="shared" si="121"/>
        <v>0</v>
      </c>
      <c r="BU53" s="42">
        <f t="shared" si="121"/>
        <v>0</v>
      </c>
      <c r="BV53" s="42">
        <f t="shared" si="121"/>
        <v>0</v>
      </c>
      <c r="BW53" s="42">
        <f t="shared" si="121"/>
        <v>0</v>
      </c>
      <c r="BX53" s="42">
        <f t="shared" si="121"/>
        <v>0</v>
      </c>
      <c r="BY53" s="42">
        <f t="shared" si="121"/>
        <v>0</v>
      </c>
      <c r="BZ53" s="34">
        <f t="shared" si="35"/>
        <v>0</v>
      </c>
      <c r="CA53" s="34">
        <f>IFERROR(s_RadSpec!$J$5*(AC5*$B53),".")</f>
        <v>0</v>
      </c>
      <c r="CB53" s="34">
        <f>IFERROR(s_RadSpec!$J$5*(AC5*$B53),".")</f>
        <v>0</v>
      </c>
      <c r="CC53" s="34">
        <f>IFERROR(s_RadSpec!$J$5*(AC5*$B53),".")</f>
        <v>0</v>
      </c>
      <c r="CD53" s="34">
        <f>IFERROR(s_RadSpec!$J$5*(AC5*$B53),".")</f>
        <v>0</v>
      </c>
      <c r="CE53" s="34">
        <f>IFERROR(s_RadSpec!$J$5*(AC5*$B53),".")</f>
        <v>0</v>
      </c>
      <c r="CF53" s="34">
        <f>IFERROR(s_RadSpec!$J$5*(AC5*$B53),".")</f>
        <v>0</v>
      </c>
      <c r="CG53" s="34">
        <f>IFERROR(s_RadSpec!$J$5*(AC5*$B53),".")</f>
        <v>0</v>
      </c>
      <c r="CH53" s="34">
        <f>IFERROR(s_RadSpec!$J$5*(AC5*$B53),".")</f>
        <v>0</v>
      </c>
      <c r="CI53" s="34">
        <f>IFERROR(s_RadSpec!$J$5*(AC5*$B53),".")</f>
        <v>0</v>
      </c>
      <c r="CJ53" s="34">
        <f>IFERROR(s_RadSpec!$J$5*(AC5*$B53),".")</f>
        <v>0</v>
      </c>
      <c r="CK53" s="34">
        <f>IFERROR(s_RadSpec!$J$5*(AC5*$B53),".")</f>
        <v>0</v>
      </c>
      <c r="CL53" s="34">
        <f>IFERROR(s_RadSpec!$J$5*(AC5*$B53),".")</f>
        <v>0</v>
      </c>
      <c r="CM53" s="34">
        <f>IFERROR(s_RadSpec!$J$5*(AC5*$B53),".")</f>
        <v>0</v>
      </c>
      <c r="CN53" s="34">
        <f>IFERROR(s_RadSpec!$J$5*(AC5*$B53),".")</f>
        <v>0</v>
      </c>
      <c r="CO53" s="34">
        <f>IFERROR(s_RadSpec!$J$5*(AC5*$B53),".")</f>
        <v>0</v>
      </c>
      <c r="CP53" s="34">
        <f>IFERROR(s_RadSpec!$J$5*(AC5*$B53),".")</f>
        <v>0</v>
      </c>
      <c r="CQ53" s="34">
        <f>IFERROR(s_RadSpec!$J$5*(AC5*$B53),".")</f>
        <v>0</v>
      </c>
      <c r="CR53" s="34">
        <f>IFERROR(s_RadSpec!$J$5*(AC5*$B53),".")</f>
        <v>0</v>
      </c>
      <c r="CS53" s="34">
        <f>IFERROR(s_RadSpec!$J$5*(AC5*$B53),".")</f>
        <v>0</v>
      </c>
      <c r="CT53" s="34">
        <f>IFERROR(s_RadSpec!$J$5*(AC5*$B53),".")</f>
        <v>0</v>
      </c>
      <c r="CU53" s="34">
        <f>IFERROR(s_RadSpec!$J$5*(AC5*$B53),".")</f>
        <v>0</v>
      </c>
      <c r="CV53" s="34">
        <f>IFERROR(s_RadSpec!$J$5*(AC5*$B53),".")</f>
        <v>0</v>
      </c>
      <c r="CW53" s="34">
        <f>IFERROR(s_RadSpec!$J$5*(AC5*$B53),".")</f>
        <v>0</v>
      </c>
      <c r="CX53" s="34">
        <f>IFERROR(s_RadSpec!$J$5*(AC5*$B53),".")</f>
        <v>0</v>
      </c>
    </row>
    <row r="54" spans="1:102" x14ac:dyDescent="0.25">
      <c r="A54" s="55" t="s">
        <v>1077</v>
      </c>
      <c r="B54" s="3">
        <v>0.99999979999999999</v>
      </c>
      <c r="C54" s="42">
        <f t="shared" ref="C54:AA54" si="122">IFERROR(C9/$B54,0)</f>
        <v>17610.415350522973</v>
      </c>
      <c r="D54" s="42">
        <f t="shared" si="122"/>
        <v>52831.246051568924</v>
      </c>
      <c r="E54" s="42">
        <f t="shared" si="122"/>
        <v>52831.246051568924</v>
      </c>
      <c r="F54" s="42">
        <f t="shared" si="122"/>
        <v>52831.246051568924</v>
      </c>
      <c r="G54" s="42">
        <f t="shared" si="122"/>
        <v>52831.246051568924</v>
      </c>
      <c r="H54" s="42">
        <f t="shared" si="122"/>
        <v>52831.246051568924</v>
      </c>
      <c r="I54" s="42">
        <f t="shared" si="122"/>
        <v>52831.246051568924</v>
      </c>
      <c r="J54" s="42">
        <f t="shared" si="122"/>
        <v>52831.246051568924</v>
      </c>
      <c r="K54" s="42">
        <f t="shared" si="122"/>
        <v>52831.246051568924</v>
      </c>
      <c r="L54" s="42">
        <f t="shared" si="122"/>
        <v>52831.246051568924</v>
      </c>
      <c r="M54" s="42">
        <f t="shared" si="122"/>
        <v>52831.246051568924</v>
      </c>
      <c r="N54" s="42">
        <f t="shared" si="122"/>
        <v>52831.246051568924</v>
      </c>
      <c r="O54" s="42">
        <f t="shared" si="122"/>
        <v>52831.246051568924</v>
      </c>
      <c r="P54" s="42">
        <f t="shared" si="122"/>
        <v>52831.246051568924</v>
      </c>
      <c r="Q54" s="42">
        <f t="shared" si="122"/>
        <v>52831.246051568924</v>
      </c>
      <c r="R54" s="42">
        <f t="shared" si="122"/>
        <v>52831.246051568924</v>
      </c>
      <c r="S54" s="42">
        <f t="shared" si="122"/>
        <v>52831.246051568924</v>
      </c>
      <c r="T54" s="42">
        <f t="shared" si="122"/>
        <v>52831.246051568924</v>
      </c>
      <c r="U54" s="42">
        <f t="shared" si="122"/>
        <v>52831.246051568924</v>
      </c>
      <c r="V54" s="42">
        <f t="shared" si="122"/>
        <v>52831.246051568924</v>
      </c>
      <c r="W54" s="42">
        <f t="shared" si="122"/>
        <v>52831.246051568924</v>
      </c>
      <c r="X54" s="42">
        <f t="shared" si="122"/>
        <v>52831.246051568924</v>
      </c>
      <c r="Y54" s="42">
        <f t="shared" si="122"/>
        <v>52831.246051568924</v>
      </c>
      <c r="Z54" s="42">
        <f t="shared" si="122"/>
        <v>52831.246051568924</v>
      </c>
      <c r="AA54" s="42">
        <f t="shared" si="122"/>
        <v>52831.246051568924</v>
      </c>
      <c r="AB54" s="34">
        <f t="shared" si="4"/>
        <v>1.4196144442020543E-3</v>
      </c>
      <c r="AC54" s="34">
        <f>IFERROR(s_RadSpec!$J$9*(AC9*$B54),".")</f>
        <v>4.7320481473401812E-4</v>
      </c>
      <c r="AD54" s="34">
        <f>IFERROR(s_RadSpec!$J$9*(AD9*$B54),".")</f>
        <v>4.7320481473401812E-4</v>
      </c>
      <c r="AE54" s="34">
        <f>IFERROR(s_RadSpec!$J$9*(AE9*$B54),".")</f>
        <v>4.7320481473401812E-4</v>
      </c>
      <c r="AF54" s="34">
        <f>IFERROR(s_RadSpec!$J$9*(AF9*$B54),".")</f>
        <v>4.7320481473401812E-4</v>
      </c>
      <c r="AG54" s="34">
        <f>IFERROR(s_RadSpec!$J$9*(AG9*$B54),".")</f>
        <v>4.7320481473401812E-4</v>
      </c>
      <c r="AH54" s="34">
        <f>IFERROR(s_RadSpec!$J$9*(AH9*$B54),".")</f>
        <v>4.7320481473401812E-4</v>
      </c>
      <c r="AI54" s="34">
        <f>IFERROR(s_RadSpec!$J$9*(AI9*$B54),".")</f>
        <v>4.7320481473401812E-4</v>
      </c>
      <c r="AJ54" s="34">
        <f>IFERROR(s_RadSpec!$J$9*(AJ9*$B54),".")</f>
        <v>4.7320481473401812E-4</v>
      </c>
      <c r="AK54" s="34">
        <f>IFERROR(s_RadSpec!$J$9*(AK9*$B54),".")</f>
        <v>4.7320481473401812E-4</v>
      </c>
      <c r="AL54" s="34">
        <f>IFERROR(s_RadSpec!$J$9*(AL9*$B54),".")</f>
        <v>4.7320481473401812E-4</v>
      </c>
      <c r="AM54" s="34">
        <f>IFERROR(s_RadSpec!$J$9*(AM9*$B54),".")</f>
        <v>4.7320481473401812E-4</v>
      </c>
      <c r="AN54" s="34">
        <f>IFERROR(s_RadSpec!$J$9*(AN9*$B54),".")</f>
        <v>4.7320481473401812E-4</v>
      </c>
      <c r="AO54" s="34">
        <f>IFERROR(s_RadSpec!$J$9*(AO9*$B54),".")</f>
        <v>4.7320481473401812E-4</v>
      </c>
      <c r="AP54" s="34">
        <f>IFERROR(s_RadSpec!$J$9*(AP9*$B54),".")</f>
        <v>4.7320481473401812E-4</v>
      </c>
      <c r="AQ54" s="34">
        <f>IFERROR(s_RadSpec!$J$9*(AQ9*$B54),".")</f>
        <v>4.7320481473401812E-4</v>
      </c>
      <c r="AR54" s="34">
        <f>IFERROR(s_RadSpec!$J$9*(AR9*$B54),".")</f>
        <v>4.7320481473401812E-4</v>
      </c>
      <c r="AS54" s="34">
        <f>IFERROR(s_RadSpec!$J$9*(AS9*$B54),".")</f>
        <v>4.7320481473401812E-4</v>
      </c>
      <c r="AT54" s="34">
        <f>IFERROR(s_RadSpec!$J$9*(AT9*$B54),".")</f>
        <v>4.7320481473401812E-4</v>
      </c>
      <c r="AU54" s="34">
        <f>IFERROR(s_RadSpec!$J$9*(AU9*$B54),".")</f>
        <v>4.7320481473401812E-4</v>
      </c>
      <c r="AV54" s="34">
        <f>IFERROR(s_RadSpec!$J$9*(AV9*$B54),".")</f>
        <v>4.7320481473401812E-4</v>
      </c>
      <c r="AW54" s="34">
        <f>IFERROR(s_RadSpec!$J$9*(AW9*$B54),".")</f>
        <v>4.7320481473401812E-4</v>
      </c>
      <c r="AX54" s="34">
        <f>IFERROR(s_RadSpec!$J$9*(AX9*$B54),".")</f>
        <v>4.7320481473401812E-4</v>
      </c>
      <c r="AY54" s="34">
        <f>IFERROR(s_RadSpec!$J$9*(AY9*$B54),".")</f>
        <v>4.7320481473401812E-4</v>
      </c>
      <c r="AZ54" s="34">
        <f>IFERROR(s_RadSpec!$J$9*(AZ9*$B54),".")</f>
        <v>4.7320481473401812E-4</v>
      </c>
      <c r="BA54" s="42">
        <f t="shared" ref="BA54:BY54" si="123">IFERROR(BA9/$B54,0)</f>
        <v>17610.415350522973</v>
      </c>
      <c r="BB54" s="42">
        <f t="shared" si="123"/>
        <v>52831.246051568924</v>
      </c>
      <c r="BC54" s="42">
        <f t="shared" si="123"/>
        <v>52831.246051568924</v>
      </c>
      <c r="BD54" s="42">
        <f t="shared" si="123"/>
        <v>52831.246051568924</v>
      </c>
      <c r="BE54" s="42">
        <f t="shared" si="123"/>
        <v>52831.246051568924</v>
      </c>
      <c r="BF54" s="42">
        <f t="shared" si="123"/>
        <v>52831.246051568924</v>
      </c>
      <c r="BG54" s="42">
        <f t="shared" si="123"/>
        <v>52831.246051568924</v>
      </c>
      <c r="BH54" s="42">
        <f t="shared" si="123"/>
        <v>52831.246051568924</v>
      </c>
      <c r="BI54" s="42">
        <f t="shared" si="123"/>
        <v>52831.246051568924</v>
      </c>
      <c r="BJ54" s="42">
        <f t="shared" si="123"/>
        <v>52831.246051568924</v>
      </c>
      <c r="BK54" s="42">
        <f t="shared" si="123"/>
        <v>52831.246051568924</v>
      </c>
      <c r="BL54" s="42">
        <f t="shared" si="123"/>
        <v>52831.246051568924</v>
      </c>
      <c r="BM54" s="42">
        <f t="shared" si="123"/>
        <v>52831.246051568924</v>
      </c>
      <c r="BN54" s="42">
        <f t="shared" si="123"/>
        <v>52831.246051568924</v>
      </c>
      <c r="BO54" s="42">
        <f t="shared" si="123"/>
        <v>52831.246051568924</v>
      </c>
      <c r="BP54" s="42">
        <f t="shared" si="123"/>
        <v>52831.246051568924</v>
      </c>
      <c r="BQ54" s="42">
        <f t="shared" si="123"/>
        <v>52831.246051568924</v>
      </c>
      <c r="BR54" s="42">
        <f t="shared" si="123"/>
        <v>52831.246051568924</v>
      </c>
      <c r="BS54" s="42">
        <f t="shared" si="123"/>
        <v>52831.246051568924</v>
      </c>
      <c r="BT54" s="42">
        <f t="shared" si="123"/>
        <v>52831.246051568924</v>
      </c>
      <c r="BU54" s="42">
        <f t="shared" si="123"/>
        <v>52831.246051568924</v>
      </c>
      <c r="BV54" s="42">
        <f t="shared" si="123"/>
        <v>52831.246051568924</v>
      </c>
      <c r="BW54" s="42">
        <f t="shared" si="123"/>
        <v>52831.246051568924</v>
      </c>
      <c r="BX54" s="42">
        <f t="shared" si="123"/>
        <v>52831.246051568924</v>
      </c>
      <c r="BY54" s="42">
        <f t="shared" si="123"/>
        <v>52831.246051568924</v>
      </c>
      <c r="BZ54" s="34">
        <f t="shared" si="35"/>
        <v>1.4196144442020543E-3</v>
      </c>
      <c r="CA54" s="34">
        <f>IFERROR(s_RadSpec!$J$9*(AC9*$B54),".")</f>
        <v>4.7320481473401812E-4</v>
      </c>
      <c r="CB54" s="34">
        <f>IFERROR(s_RadSpec!$J$9*(AC9*$B54),".")</f>
        <v>4.7320481473401812E-4</v>
      </c>
      <c r="CC54" s="34">
        <f>IFERROR(s_RadSpec!$J$9*(AC9*$B54),".")</f>
        <v>4.7320481473401812E-4</v>
      </c>
      <c r="CD54" s="34">
        <f>IFERROR(s_RadSpec!$J$9*(AC9*$B54),".")</f>
        <v>4.7320481473401812E-4</v>
      </c>
      <c r="CE54" s="34">
        <f>IFERROR(s_RadSpec!$J$9*(AC9*$B54),".")</f>
        <v>4.7320481473401812E-4</v>
      </c>
      <c r="CF54" s="34">
        <f>IFERROR(s_RadSpec!$J$9*(AC9*$B54),".")</f>
        <v>4.7320481473401812E-4</v>
      </c>
      <c r="CG54" s="34">
        <f>IFERROR(s_RadSpec!$J$9*(AC9*$B54),".")</f>
        <v>4.7320481473401812E-4</v>
      </c>
      <c r="CH54" s="34">
        <f>IFERROR(s_RadSpec!$J$9*(AC9*$B54),".")</f>
        <v>4.7320481473401812E-4</v>
      </c>
      <c r="CI54" s="34">
        <f>IFERROR(s_RadSpec!$J$9*(AC9*$B54),".")</f>
        <v>4.7320481473401812E-4</v>
      </c>
      <c r="CJ54" s="34">
        <f>IFERROR(s_RadSpec!$J$9*(AC9*$B54),".")</f>
        <v>4.7320481473401812E-4</v>
      </c>
      <c r="CK54" s="34">
        <f>IFERROR(s_RadSpec!$J$9*(AC9*$B54),".")</f>
        <v>4.7320481473401812E-4</v>
      </c>
      <c r="CL54" s="34">
        <f>IFERROR(s_RadSpec!$J$9*(AC9*$B54),".")</f>
        <v>4.7320481473401812E-4</v>
      </c>
      <c r="CM54" s="34">
        <f>IFERROR(s_RadSpec!$J$9*(AC9*$B54),".")</f>
        <v>4.7320481473401812E-4</v>
      </c>
      <c r="CN54" s="34">
        <f>IFERROR(s_RadSpec!$J$9*(AC9*$B54),".")</f>
        <v>4.7320481473401812E-4</v>
      </c>
      <c r="CO54" s="34">
        <f>IFERROR(s_RadSpec!$J$9*(AC9*$B54),".")</f>
        <v>4.7320481473401812E-4</v>
      </c>
      <c r="CP54" s="34">
        <f>IFERROR(s_RadSpec!$J$9*(AC9*$B54),".")</f>
        <v>4.7320481473401812E-4</v>
      </c>
      <c r="CQ54" s="34">
        <f>IFERROR(s_RadSpec!$J$9*(AC9*$B54),".")</f>
        <v>4.7320481473401812E-4</v>
      </c>
      <c r="CR54" s="34">
        <f>IFERROR(s_RadSpec!$J$9*(AC9*$B54),".")</f>
        <v>4.7320481473401812E-4</v>
      </c>
      <c r="CS54" s="34">
        <f>IFERROR(s_RadSpec!$J$9*(AC9*$B54),".")</f>
        <v>4.7320481473401812E-4</v>
      </c>
      <c r="CT54" s="34">
        <f>IFERROR(s_RadSpec!$J$9*(AC9*$B54),".")</f>
        <v>4.7320481473401812E-4</v>
      </c>
      <c r="CU54" s="34">
        <f>IFERROR(s_RadSpec!$J$9*(AC9*$B54),".")</f>
        <v>4.7320481473401812E-4</v>
      </c>
      <c r="CV54" s="34">
        <f>IFERROR(s_RadSpec!$J$9*(AC9*$B54),".")</f>
        <v>4.7320481473401812E-4</v>
      </c>
      <c r="CW54" s="34">
        <f>IFERROR(s_RadSpec!$J$9*(AC9*$B54),".")</f>
        <v>4.7320481473401812E-4</v>
      </c>
      <c r="CX54" s="34">
        <f>IFERROR(s_RadSpec!$J$9*(AC9*$B54),".")</f>
        <v>4.7320481473401812E-4</v>
      </c>
    </row>
    <row r="55" spans="1:102" x14ac:dyDescent="0.25">
      <c r="A55" s="55" t="s">
        <v>1078</v>
      </c>
      <c r="B55" s="3">
        <v>1.9999999999999999E-7</v>
      </c>
      <c r="C55" s="42">
        <f t="shared" ref="C55:AA55" si="124">IFERROR(C24/$B55,0)</f>
        <v>0</v>
      </c>
      <c r="D55" s="42">
        <f t="shared" si="124"/>
        <v>0</v>
      </c>
      <c r="E55" s="42">
        <f t="shared" si="124"/>
        <v>0</v>
      </c>
      <c r="F55" s="42">
        <f t="shared" si="124"/>
        <v>0</v>
      </c>
      <c r="G55" s="42">
        <f t="shared" si="124"/>
        <v>0</v>
      </c>
      <c r="H55" s="42">
        <f t="shared" si="124"/>
        <v>0</v>
      </c>
      <c r="I55" s="42">
        <f t="shared" si="124"/>
        <v>0</v>
      </c>
      <c r="J55" s="42">
        <f t="shared" si="124"/>
        <v>0</v>
      </c>
      <c r="K55" s="42">
        <f t="shared" si="124"/>
        <v>0</v>
      </c>
      <c r="L55" s="42">
        <f t="shared" si="124"/>
        <v>0</v>
      </c>
      <c r="M55" s="42">
        <f t="shared" si="124"/>
        <v>0</v>
      </c>
      <c r="N55" s="42">
        <f t="shared" si="124"/>
        <v>0</v>
      </c>
      <c r="O55" s="42">
        <f t="shared" si="124"/>
        <v>0</v>
      </c>
      <c r="P55" s="42">
        <f t="shared" si="124"/>
        <v>0</v>
      </c>
      <c r="Q55" s="42">
        <f t="shared" si="124"/>
        <v>0</v>
      </c>
      <c r="R55" s="42">
        <f t="shared" si="124"/>
        <v>0</v>
      </c>
      <c r="S55" s="42">
        <f t="shared" si="124"/>
        <v>0</v>
      </c>
      <c r="T55" s="42">
        <f t="shared" si="124"/>
        <v>0</v>
      </c>
      <c r="U55" s="42">
        <f t="shared" si="124"/>
        <v>0</v>
      </c>
      <c r="V55" s="42">
        <f t="shared" si="124"/>
        <v>0</v>
      </c>
      <c r="W55" s="42">
        <f t="shared" si="124"/>
        <v>0</v>
      </c>
      <c r="X55" s="42">
        <f t="shared" si="124"/>
        <v>0</v>
      </c>
      <c r="Y55" s="42">
        <f t="shared" si="124"/>
        <v>0</v>
      </c>
      <c r="Z55" s="42">
        <f t="shared" si="124"/>
        <v>0</v>
      </c>
      <c r="AA55" s="42">
        <f t="shared" si="124"/>
        <v>0</v>
      </c>
      <c r="AB55" s="34">
        <f t="shared" si="4"/>
        <v>0</v>
      </c>
      <c r="AC55" s="34">
        <f>IFERROR(s_RadSpec!$J$24*(AC24*$B55),".")</f>
        <v>0</v>
      </c>
      <c r="AD55" s="34">
        <f>IFERROR(s_RadSpec!$J$24*(AD24*$B55),".")</f>
        <v>0</v>
      </c>
      <c r="AE55" s="34">
        <f>IFERROR(s_RadSpec!$J$24*(AE24*$B55),".")</f>
        <v>0</v>
      </c>
      <c r="AF55" s="34">
        <f>IFERROR(s_RadSpec!$J$24*(AF24*$B55),".")</f>
        <v>0</v>
      </c>
      <c r="AG55" s="34">
        <f>IFERROR(s_RadSpec!$J$24*(AG24*$B55),".")</f>
        <v>0</v>
      </c>
      <c r="AH55" s="34">
        <f>IFERROR(s_RadSpec!$J$24*(AH24*$B55),".")</f>
        <v>0</v>
      </c>
      <c r="AI55" s="34">
        <f>IFERROR(s_RadSpec!$J$24*(AI24*$B55),".")</f>
        <v>0</v>
      </c>
      <c r="AJ55" s="34">
        <f>IFERROR(s_RadSpec!$J$24*(AJ24*$B55),".")</f>
        <v>0</v>
      </c>
      <c r="AK55" s="34">
        <f>IFERROR(s_RadSpec!$J$24*(AK24*$B55),".")</f>
        <v>0</v>
      </c>
      <c r="AL55" s="34">
        <f>IFERROR(s_RadSpec!$J$24*(AL24*$B55),".")</f>
        <v>0</v>
      </c>
      <c r="AM55" s="34">
        <f>IFERROR(s_RadSpec!$J$24*(AM24*$B55),".")</f>
        <v>0</v>
      </c>
      <c r="AN55" s="34">
        <f>IFERROR(s_RadSpec!$J$24*(AN24*$B55),".")</f>
        <v>0</v>
      </c>
      <c r="AO55" s="34">
        <f>IFERROR(s_RadSpec!$J$24*(AO24*$B55),".")</f>
        <v>0</v>
      </c>
      <c r="AP55" s="34">
        <f>IFERROR(s_RadSpec!$J$24*(AP24*$B55),".")</f>
        <v>0</v>
      </c>
      <c r="AQ55" s="34">
        <f>IFERROR(s_RadSpec!$J$24*(AQ24*$B55),".")</f>
        <v>0</v>
      </c>
      <c r="AR55" s="34">
        <f>IFERROR(s_RadSpec!$J$24*(AR24*$B55),".")</f>
        <v>0</v>
      </c>
      <c r="AS55" s="34">
        <f>IFERROR(s_RadSpec!$J$24*(AS24*$B55),".")</f>
        <v>0</v>
      </c>
      <c r="AT55" s="34">
        <f>IFERROR(s_RadSpec!$J$24*(AT24*$B55),".")</f>
        <v>0</v>
      </c>
      <c r="AU55" s="34">
        <f>IFERROR(s_RadSpec!$J$24*(AU24*$B55),".")</f>
        <v>0</v>
      </c>
      <c r="AV55" s="34">
        <f>IFERROR(s_RadSpec!$J$24*(AV24*$B55),".")</f>
        <v>0</v>
      </c>
      <c r="AW55" s="34">
        <f>IFERROR(s_RadSpec!$J$24*(AW24*$B55),".")</f>
        <v>0</v>
      </c>
      <c r="AX55" s="34">
        <f>IFERROR(s_RadSpec!$J$24*(AX24*$B55),".")</f>
        <v>0</v>
      </c>
      <c r="AY55" s="34">
        <f>IFERROR(s_RadSpec!$J$24*(AY24*$B55),".")</f>
        <v>0</v>
      </c>
      <c r="AZ55" s="34">
        <f>IFERROR(s_RadSpec!$J$24*(AZ24*$B55),".")</f>
        <v>0</v>
      </c>
      <c r="BA55" s="42">
        <f t="shared" ref="BA55:BY55" si="125">IFERROR(BA24/$B55,0)</f>
        <v>0</v>
      </c>
      <c r="BB55" s="42">
        <f t="shared" si="125"/>
        <v>0</v>
      </c>
      <c r="BC55" s="42">
        <f t="shared" si="125"/>
        <v>0</v>
      </c>
      <c r="BD55" s="42">
        <f t="shared" si="125"/>
        <v>0</v>
      </c>
      <c r="BE55" s="42">
        <f t="shared" si="125"/>
        <v>0</v>
      </c>
      <c r="BF55" s="42">
        <f t="shared" si="125"/>
        <v>0</v>
      </c>
      <c r="BG55" s="42">
        <f t="shared" si="125"/>
        <v>0</v>
      </c>
      <c r="BH55" s="42">
        <f t="shared" si="125"/>
        <v>0</v>
      </c>
      <c r="BI55" s="42">
        <f t="shared" si="125"/>
        <v>0</v>
      </c>
      <c r="BJ55" s="42">
        <f t="shared" si="125"/>
        <v>0</v>
      </c>
      <c r="BK55" s="42">
        <f t="shared" si="125"/>
        <v>0</v>
      </c>
      <c r="BL55" s="42">
        <f t="shared" si="125"/>
        <v>0</v>
      </c>
      <c r="BM55" s="42">
        <f t="shared" si="125"/>
        <v>0</v>
      </c>
      <c r="BN55" s="42">
        <f t="shared" si="125"/>
        <v>0</v>
      </c>
      <c r="BO55" s="42">
        <f t="shared" si="125"/>
        <v>0</v>
      </c>
      <c r="BP55" s="42">
        <f t="shared" si="125"/>
        <v>0</v>
      </c>
      <c r="BQ55" s="42">
        <f t="shared" si="125"/>
        <v>0</v>
      </c>
      <c r="BR55" s="42">
        <f t="shared" si="125"/>
        <v>0</v>
      </c>
      <c r="BS55" s="42">
        <f t="shared" si="125"/>
        <v>0</v>
      </c>
      <c r="BT55" s="42">
        <f t="shared" si="125"/>
        <v>0</v>
      </c>
      <c r="BU55" s="42">
        <f t="shared" si="125"/>
        <v>0</v>
      </c>
      <c r="BV55" s="42">
        <f t="shared" si="125"/>
        <v>0</v>
      </c>
      <c r="BW55" s="42">
        <f t="shared" si="125"/>
        <v>0</v>
      </c>
      <c r="BX55" s="42">
        <f t="shared" si="125"/>
        <v>0</v>
      </c>
      <c r="BY55" s="42">
        <f t="shared" si="125"/>
        <v>0</v>
      </c>
      <c r="BZ55" s="34">
        <f t="shared" si="35"/>
        <v>0</v>
      </c>
      <c r="CA55" s="34">
        <f>IFERROR(s_RadSpec!$J$24*(AC24*$B55),".")</f>
        <v>0</v>
      </c>
      <c r="CB55" s="34">
        <f>IFERROR(s_RadSpec!$J$24*(AC24*$B55),".")</f>
        <v>0</v>
      </c>
      <c r="CC55" s="34">
        <f>IFERROR(s_RadSpec!$J$24*(AC24*$B55),".")</f>
        <v>0</v>
      </c>
      <c r="CD55" s="34">
        <f>IFERROR(s_RadSpec!$J$24*(AC24*$B55),".")</f>
        <v>0</v>
      </c>
      <c r="CE55" s="34">
        <f>IFERROR(s_RadSpec!$J$24*(AC24*$B55),".")</f>
        <v>0</v>
      </c>
      <c r="CF55" s="34">
        <f>IFERROR(s_RadSpec!$J$24*(AC24*$B55),".")</f>
        <v>0</v>
      </c>
      <c r="CG55" s="34">
        <f>IFERROR(s_RadSpec!$J$24*(AC24*$B55),".")</f>
        <v>0</v>
      </c>
      <c r="CH55" s="34">
        <f>IFERROR(s_RadSpec!$J$24*(AC24*$B55),".")</f>
        <v>0</v>
      </c>
      <c r="CI55" s="34">
        <f>IFERROR(s_RadSpec!$J$24*(AC24*$B55),".")</f>
        <v>0</v>
      </c>
      <c r="CJ55" s="34">
        <f>IFERROR(s_RadSpec!$J$24*(AC24*$B55),".")</f>
        <v>0</v>
      </c>
      <c r="CK55" s="34">
        <f>IFERROR(s_RadSpec!$J$24*(AC24*$B55),".")</f>
        <v>0</v>
      </c>
      <c r="CL55" s="34">
        <f>IFERROR(s_RadSpec!$J$24*(AC24*$B55),".")</f>
        <v>0</v>
      </c>
      <c r="CM55" s="34">
        <f>IFERROR(s_RadSpec!$J$24*(AC24*$B55),".")</f>
        <v>0</v>
      </c>
      <c r="CN55" s="34">
        <f>IFERROR(s_RadSpec!$J$24*(AC24*$B55),".")</f>
        <v>0</v>
      </c>
      <c r="CO55" s="34">
        <f>IFERROR(s_RadSpec!$J$24*(AC24*$B55),".")</f>
        <v>0</v>
      </c>
      <c r="CP55" s="34">
        <f>IFERROR(s_RadSpec!$J$24*(AC24*$B55),".")</f>
        <v>0</v>
      </c>
      <c r="CQ55" s="34">
        <f>IFERROR(s_RadSpec!$J$24*(AC24*$B55),".")</f>
        <v>0</v>
      </c>
      <c r="CR55" s="34">
        <f>IFERROR(s_RadSpec!$J$24*(AC24*$B55),".")</f>
        <v>0</v>
      </c>
      <c r="CS55" s="34">
        <f>IFERROR(s_RadSpec!$J$24*(AC24*$B55),".")</f>
        <v>0</v>
      </c>
      <c r="CT55" s="34">
        <f>IFERROR(s_RadSpec!$J$24*(AC24*$B55),".")</f>
        <v>0</v>
      </c>
      <c r="CU55" s="34">
        <f>IFERROR(s_RadSpec!$J$24*(AC24*$B55),".")</f>
        <v>0</v>
      </c>
      <c r="CV55" s="34">
        <f>IFERROR(s_RadSpec!$J$24*(AC24*$B55),".")</f>
        <v>0</v>
      </c>
      <c r="CW55" s="34">
        <f>IFERROR(s_RadSpec!$J$24*(AC24*$B55),".")</f>
        <v>0</v>
      </c>
      <c r="CX55" s="34">
        <f>IFERROR(s_RadSpec!$J$24*(AC24*$B55),".")</f>
        <v>0</v>
      </c>
    </row>
    <row r="56" spans="1:102" x14ac:dyDescent="0.25">
      <c r="A56" s="55" t="s">
        <v>1079</v>
      </c>
      <c r="B56" s="3">
        <v>0.99979000004200003</v>
      </c>
      <c r="C56" s="42">
        <f t="shared" ref="C56:AA56" si="126">IFERROR(C20/$B56,0)</f>
        <v>0</v>
      </c>
      <c r="D56" s="42">
        <f t="shared" si="126"/>
        <v>0</v>
      </c>
      <c r="E56" s="42">
        <f t="shared" si="126"/>
        <v>0</v>
      </c>
      <c r="F56" s="42">
        <f t="shared" si="126"/>
        <v>0</v>
      </c>
      <c r="G56" s="42">
        <f t="shared" si="126"/>
        <v>0</v>
      </c>
      <c r="H56" s="42">
        <f t="shared" si="126"/>
        <v>0</v>
      </c>
      <c r="I56" s="42">
        <f t="shared" si="126"/>
        <v>0</v>
      </c>
      <c r="J56" s="42">
        <f t="shared" si="126"/>
        <v>0</v>
      </c>
      <c r="K56" s="42">
        <f t="shared" si="126"/>
        <v>0</v>
      </c>
      <c r="L56" s="42">
        <f t="shared" si="126"/>
        <v>0</v>
      </c>
      <c r="M56" s="42">
        <f t="shared" si="126"/>
        <v>0</v>
      </c>
      <c r="N56" s="42">
        <f t="shared" si="126"/>
        <v>0</v>
      </c>
      <c r="O56" s="42">
        <f t="shared" si="126"/>
        <v>0</v>
      </c>
      <c r="P56" s="42">
        <f t="shared" si="126"/>
        <v>0</v>
      </c>
      <c r="Q56" s="42">
        <f t="shared" si="126"/>
        <v>0</v>
      </c>
      <c r="R56" s="42">
        <f t="shared" si="126"/>
        <v>0</v>
      </c>
      <c r="S56" s="42">
        <f t="shared" si="126"/>
        <v>0</v>
      </c>
      <c r="T56" s="42">
        <f t="shared" si="126"/>
        <v>0</v>
      </c>
      <c r="U56" s="42">
        <f t="shared" si="126"/>
        <v>0</v>
      </c>
      <c r="V56" s="42">
        <f t="shared" si="126"/>
        <v>0</v>
      </c>
      <c r="W56" s="42">
        <f t="shared" si="126"/>
        <v>0</v>
      </c>
      <c r="X56" s="42">
        <f t="shared" si="126"/>
        <v>0</v>
      </c>
      <c r="Y56" s="42">
        <f t="shared" si="126"/>
        <v>0</v>
      </c>
      <c r="Z56" s="42">
        <f t="shared" si="126"/>
        <v>0</v>
      </c>
      <c r="AA56" s="42">
        <f t="shared" si="126"/>
        <v>0</v>
      </c>
      <c r="AB56" s="34">
        <f t="shared" si="4"/>
        <v>0</v>
      </c>
      <c r="AC56" s="34">
        <f>IFERROR(s_RadSpec!$J$20*(AC20*$B56),".")</f>
        <v>0</v>
      </c>
      <c r="AD56" s="34">
        <f>IFERROR(s_RadSpec!$J$20*(AD20*$B56),".")</f>
        <v>0</v>
      </c>
      <c r="AE56" s="34">
        <f>IFERROR(s_RadSpec!$J$20*(AE20*$B56),".")</f>
        <v>0</v>
      </c>
      <c r="AF56" s="34">
        <f>IFERROR(s_RadSpec!$J$20*(AF20*$B56),".")</f>
        <v>0</v>
      </c>
      <c r="AG56" s="34">
        <f>IFERROR(s_RadSpec!$J$20*(AG20*$B56),".")</f>
        <v>0</v>
      </c>
      <c r="AH56" s="34">
        <f>IFERROR(s_RadSpec!$J$20*(AH20*$B56),".")</f>
        <v>0</v>
      </c>
      <c r="AI56" s="34">
        <f>IFERROR(s_RadSpec!$J$20*(AI20*$B56),".")</f>
        <v>0</v>
      </c>
      <c r="AJ56" s="34">
        <f>IFERROR(s_RadSpec!$J$20*(AJ20*$B56),".")</f>
        <v>0</v>
      </c>
      <c r="AK56" s="34">
        <f>IFERROR(s_RadSpec!$J$20*(AK20*$B56),".")</f>
        <v>0</v>
      </c>
      <c r="AL56" s="34">
        <f>IFERROR(s_RadSpec!$J$20*(AL20*$B56),".")</f>
        <v>0</v>
      </c>
      <c r="AM56" s="34">
        <f>IFERROR(s_RadSpec!$J$20*(AM20*$B56),".")</f>
        <v>0</v>
      </c>
      <c r="AN56" s="34">
        <f>IFERROR(s_RadSpec!$J$20*(AN20*$B56),".")</f>
        <v>0</v>
      </c>
      <c r="AO56" s="34">
        <f>IFERROR(s_RadSpec!$J$20*(AO20*$B56),".")</f>
        <v>0</v>
      </c>
      <c r="AP56" s="34">
        <f>IFERROR(s_RadSpec!$J$20*(AP20*$B56),".")</f>
        <v>0</v>
      </c>
      <c r="AQ56" s="34">
        <f>IFERROR(s_RadSpec!$J$20*(AQ20*$B56),".")</f>
        <v>0</v>
      </c>
      <c r="AR56" s="34">
        <f>IFERROR(s_RadSpec!$J$20*(AR20*$B56),".")</f>
        <v>0</v>
      </c>
      <c r="AS56" s="34">
        <f>IFERROR(s_RadSpec!$J$20*(AS20*$B56),".")</f>
        <v>0</v>
      </c>
      <c r="AT56" s="34">
        <f>IFERROR(s_RadSpec!$J$20*(AT20*$B56),".")</f>
        <v>0</v>
      </c>
      <c r="AU56" s="34">
        <f>IFERROR(s_RadSpec!$J$20*(AU20*$B56),".")</f>
        <v>0</v>
      </c>
      <c r="AV56" s="34">
        <f>IFERROR(s_RadSpec!$J$20*(AV20*$B56),".")</f>
        <v>0</v>
      </c>
      <c r="AW56" s="34">
        <f>IFERROR(s_RadSpec!$J$20*(AW20*$B56),".")</f>
        <v>0</v>
      </c>
      <c r="AX56" s="34">
        <f>IFERROR(s_RadSpec!$J$20*(AX20*$B56),".")</f>
        <v>0</v>
      </c>
      <c r="AY56" s="34">
        <f>IFERROR(s_RadSpec!$J$20*(AY20*$B56),".")</f>
        <v>0</v>
      </c>
      <c r="AZ56" s="34">
        <f>IFERROR(s_RadSpec!$J$20*(AZ20*$B56),".")</f>
        <v>0</v>
      </c>
      <c r="BA56" s="42">
        <f t="shared" ref="BA56:BY56" si="127">IFERROR(BA20/$B56,0)</f>
        <v>0</v>
      </c>
      <c r="BB56" s="42">
        <f t="shared" si="127"/>
        <v>0</v>
      </c>
      <c r="BC56" s="42">
        <f t="shared" si="127"/>
        <v>0</v>
      </c>
      <c r="BD56" s="42">
        <f t="shared" si="127"/>
        <v>0</v>
      </c>
      <c r="BE56" s="42">
        <f t="shared" si="127"/>
        <v>0</v>
      </c>
      <c r="BF56" s="42">
        <f t="shared" si="127"/>
        <v>0</v>
      </c>
      <c r="BG56" s="42">
        <f t="shared" si="127"/>
        <v>0</v>
      </c>
      <c r="BH56" s="42">
        <f t="shared" si="127"/>
        <v>0</v>
      </c>
      <c r="BI56" s="42">
        <f t="shared" si="127"/>
        <v>0</v>
      </c>
      <c r="BJ56" s="42">
        <f t="shared" si="127"/>
        <v>0</v>
      </c>
      <c r="BK56" s="42">
        <f t="shared" si="127"/>
        <v>0</v>
      </c>
      <c r="BL56" s="42">
        <f t="shared" si="127"/>
        <v>0</v>
      </c>
      <c r="BM56" s="42">
        <f t="shared" si="127"/>
        <v>0</v>
      </c>
      <c r="BN56" s="42">
        <f t="shared" si="127"/>
        <v>0</v>
      </c>
      <c r="BO56" s="42">
        <f t="shared" si="127"/>
        <v>0</v>
      </c>
      <c r="BP56" s="42">
        <f t="shared" si="127"/>
        <v>0</v>
      </c>
      <c r="BQ56" s="42">
        <f t="shared" si="127"/>
        <v>0</v>
      </c>
      <c r="BR56" s="42">
        <f t="shared" si="127"/>
        <v>0</v>
      </c>
      <c r="BS56" s="42">
        <f t="shared" si="127"/>
        <v>0</v>
      </c>
      <c r="BT56" s="42">
        <f t="shared" si="127"/>
        <v>0</v>
      </c>
      <c r="BU56" s="42">
        <f t="shared" si="127"/>
        <v>0</v>
      </c>
      <c r="BV56" s="42">
        <f t="shared" si="127"/>
        <v>0</v>
      </c>
      <c r="BW56" s="42">
        <f t="shared" si="127"/>
        <v>0</v>
      </c>
      <c r="BX56" s="42">
        <f t="shared" si="127"/>
        <v>0</v>
      </c>
      <c r="BY56" s="42">
        <f t="shared" si="127"/>
        <v>0</v>
      </c>
      <c r="BZ56" s="34">
        <f t="shared" si="35"/>
        <v>0</v>
      </c>
      <c r="CA56" s="34">
        <f>IFERROR(s_RadSpec!$J$20*(AC20*$B56),".")</f>
        <v>0</v>
      </c>
      <c r="CB56" s="34">
        <f>IFERROR(s_RadSpec!$J$20*(AC20*$B56),".")</f>
        <v>0</v>
      </c>
      <c r="CC56" s="34">
        <f>IFERROR(s_RadSpec!$J$20*(AC20*$B56),".")</f>
        <v>0</v>
      </c>
      <c r="CD56" s="34">
        <f>IFERROR(s_RadSpec!$J$20*(AC20*$B56),".")</f>
        <v>0</v>
      </c>
      <c r="CE56" s="34">
        <f>IFERROR(s_RadSpec!$J$20*(AC20*$B56),".")</f>
        <v>0</v>
      </c>
      <c r="CF56" s="34">
        <f>IFERROR(s_RadSpec!$J$20*(AC20*$B56),".")</f>
        <v>0</v>
      </c>
      <c r="CG56" s="34">
        <f>IFERROR(s_RadSpec!$J$20*(AC20*$B56),".")</f>
        <v>0</v>
      </c>
      <c r="CH56" s="34">
        <f>IFERROR(s_RadSpec!$J$20*(AC20*$B56),".")</f>
        <v>0</v>
      </c>
      <c r="CI56" s="34">
        <f>IFERROR(s_RadSpec!$J$20*(AC20*$B56),".")</f>
        <v>0</v>
      </c>
      <c r="CJ56" s="34">
        <f>IFERROR(s_RadSpec!$J$20*(AC20*$B56),".")</f>
        <v>0</v>
      </c>
      <c r="CK56" s="34">
        <f>IFERROR(s_RadSpec!$J$20*(AC20*$B56),".")</f>
        <v>0</v>
      </c>
      <c r="CL56" s="34">
        <f>IFERROR(s_RadSpec!$J$20*(AC20*$B56),".")</f>
        <v>0</v>
      </c>
      <c r="CM56" s="34">
        <f>IFERROR(s_RadSpec!$J$20*(AC20*$B56),".")</f>
        <v>0</v>
      </c>
      <c r="CN56" s="34">
        <f>IFERROR(s_RadSpec!$J$20*(AC20*$B56),".")</f>
        <v>0</v>
      </c>
      <c r="CO56" s="34">
        <f>IFERROR(s_RadSpec!$J$20*(AC20*$B56),".")</f>
        <v>0</v>
      </c>
      <c r="CP56" s="34">
        <f>IFERROR(s_RadSpec!$J$20*(AC20*$B56),".")</f>
        <v>0</v>
      </c>
      <c r="CQ56" s="34">
        <f>IFERROR(s_RadSpec!$J$20*(AC20*$B56),".")</f>
        <v>0</v>
      </c>
      <c r="CR56" s="34">
        <f>IFERROR(s_RadSpec!$J$20*(AC20*$B56),".")</f>
        <v>0</v>
      </c>
      <c r="CS56" s="34">
        <f>IFERROR(s_RadSpec!$J$20*(AC20*$B56),".")</f>
        <v>0</v>
      </c>
      <c r="CT56" s="34">
        <f>IFERROR(s_RadSpec!$J$20*(AC20*$B56),".")</f>
        <v>0</v>
      </c>
      <c r="CU56" s="34">
        <f>IFERROR(s_RadSpec!$J$20*(AC20*$B56),".")</f>
        <v>0</v>
      </c>
      <c r="CV56" s="34">
        <f>IFERROR(s_RadSpec!$J$20*(AC20*$B56),".")</f>
        <v>0</v>
      </c>
      <c r="CW56" s="34">
        <f>IFERROR(s_RadSpec!$J$20*(AC20*$B56),".")</f>
        <v>0</v>
      </c>
      <c r="CX56" s="34">
        <f>IFERROR(s_RadSpec!$J$20*(AC20*$B56),".")</f>
        <v>0</v>
      </c>
    </row>
    <row r="57" spans="1:102" x14ac:dyDescent="0.25">
      <c r="A57" s="55" t="s">
        <v>1080</v>
      </c>
      <c r="B57" s="3">
        <v>2.0999995799999999E-4</v>
      </c>
      <c r="C57" s="42">
        <f t="shared" ref="C57:AA57" si="128">IFERROR(C29/$B57,0)</f>
        <v>0</v>
      </c>
      <c r="D57" s="42">
        <f t="shared" si="128"/>
        <v>0</v>
      </c>
      <c r="E57" s="42">
        <f t="shared" si="128"/>
        <v>0</v>
      </c>
      <c r="F57" s="42">
        <f t="shared" si="128"/>
        <v>0</v>
      </c>
      <c r="G57" s="42">
        <f t="shared" si="128"/>
        <v>0</v>
      </c>
      <c r="H57" s="42">
        <f t="shared" si="128"/>
        <v>0</v>
      </c>
      <c r="I57" s="42">
        <f t="shared" si="128"/>
        <v>0</v>
      </c>
      <c r="J57" s="42">
        <f t="shared" si="128"/>
        <v>0</v>
      </c>
      <c r="K57" s="42">
        <f t="shared" si="128"/>
        <v>0</v>
      </c>
      <c r="L57" s="42">
        <f t="shared" si="128"/>
        <v>0</v>
      </c>
      <c r="M57" s="42">
        <f t="shared" si="128"/>
        <v>0</v>
      </c>
      <c r="N57" s="42">
        <f t="shared" si="128"/>
        <v>0</v>
      </c>
      <c r="O57" s="42">
        <f t="shared" si="128"/>
        <v>0</v>
      </c>
      <c r="P57" s="42">
        <f t="shared" si="128"/>
        <v>0</v>
      </c>
      <c r="Q57" s="42">
        <f t="shared" si="128"/>
        <v>0</v>
      </c>
      <c r="R57" s="42">
        <f t="shared" si="128"/>
        <v>0</v>
      </c>
      <c r="S57" s="42">
        <f t="shared" si="128"/>
        <v>0</v>
      </c>
      <c r="T57" s="42">
        <f t="shared" si="128"/>
        <v>0</v>
      </c>
      <c r="U57" s="42">
        <f t="shared" si="128"/>
        <v>0</v>
      </c>
      <c r="V57" s="42">
        <f t="shared" si="128"/>
        <v>0</v>
      </c>
      <c r="W57" s="42">
        <f t="shared" si="128"/>
        <v>0</v>
      </c>
      <c r="X57" s="42">
        <f t="shared" si="128"/>
        <v>0</v>
      </c>
      <c r="Y57" s="42">
        <f t="shared" si="128"/>
        <v>0</v>
      </c>
      <c r="Z57" s="42">
        <f t="shared" si="128"/>
        <v>0</v>
      </c>
      <c r="AA57" s="42">
        <f t="shared" si="128"/>
        <v>0</v>
      </c>
      <c r="AB57" s="34">
        <f t="shared" si="4"/>
        <v>0</v>
      </c>
      <c r="AC57" s="34">
        <f>IFERROR(s_RadSpec!$J$29*(AC29*$B57),".")</f>
        <v>0</v>
      </c>
      <c r="AD57" s="34">
        <f>IFERROR(s_RadSpec!$J$29*(AD29*$B57),".")</f>
        <v>0</v>
      </c>
      <c r="AE57" s="34">
        <f>IFERROR(s_RadSpec!$J$29*(AE29*$B57),".")</f>
        <v>0</v>
      </c>
      <c r="AF57" s="34">
        <f>IFERROR(s_RadSpec!$J$29*(AF29*$B57),".")</f>
        <v>0</v>
      </c>
      <c r="AG57" s="34">
        <f>IFERROR(s_RadSpec!$J$29*(AG29*$B57),".")</f>
        <v>0</v>
      </c>
      <c r="AH57" s="34">
        <f>IFERROR(s_RadSpec!$J$29*(AH29*$B57),".")</f>
        <v>0</v>
      </c>
      <c r="AI57" s="34">
        <f>IFERROR(s_RadSpec!$J$29*(AI29*$B57),".")</f>
        <v>0</v>
      </c>
      <c r="AJ57" s="34">
        <f>IFERROR(s_RadSpec!$J$29*(AJ29*$B57),".")</f>
        <v>0</v>
      </c>
      <c r="AK57" s="34">
        <f>IFERROR(s_RadSpec!$J$29*(AK29*$B57),".")</f>
        <v>0</v>
      </c>
      <c r="AL57" s="34">
        <f>IFERROR(s_RadSpec!$J$29*(AL29*$B57),".")</f>
        <v>0</v>
      </c>
      <c r="AM57" s="34">
        <f>IFERROR(s_RadSpec!$J$29*(AM29*$B57),".")</f>
        <v>0</v>
      </c>
      <c r="AN57" s="34">
        <f>IFERROR(s_RadSpec!$J$29*(AN29*$B57),".")</f>
        <v>0</v>
      </c>
      <c r="AO57" s="34">
        <f>IFERROR(s_RadSpec!$J$29*(AO29*$B57),".")</f>
        <v>0</v>
      </c>
      <c r="AP57" s="34">
        <f>IFERROR(s_RadSpec!$J$29*(AP29*$B57),".")</f>
        <v>0</v>
      </c>
      <c r="AQ57" s="34">
        <f>IFERROR(s_RadSpec!$J$29*(AQ29*$B57),".")</f>
        <v>0</v>
      </c>
      <c r="AR57" s="34">
        <f>IFERROR(s_RadSpec!$J$29*(AR29*$B57),".")</f>
        <v>0</v>
      </c>
      <c r="AS57" s="34">
        <f>IFERROR(s_RadSpec!$J$29*(AS29*$B57),".")</f>
        <v>0</v>
      </c>
      <c r="AT57" s="34">
        <f>IFERROR(s_RadSpec!$J$29*(AT29*$B57),".")</f>
        <v>0</v>
      </c>
      <c r="AU57" s="34">
        <f>IFERROR(s_RadSpec!$J$29*(AU29*$B57),".")</f>
        <v>0</v>
      </c>
      <c r="AV57" s="34">
        <f>IFERROR(s_RadSpec!$J$29*(AV29*$B57),".")</f>
        <v>0</v>
      </c>
      <c r="AW57" s="34">
        <f>IFERROR(s_RadSpec!$J$29*(AW29*$B57),".")</f>
        <v>0</v>
      </c>
      <c r="AX57" s="34">
        <f>IFERROR(s_RadSpec!$J$29*(AX29*$B57),".")</f>
        <v>0</v>
      </c>
      <c r="AY57" s="34">
        <f>IFERROR(s_RadSpec!$J$29*(AY29*$B57),".")</f>
        <v>0</v>
      </c>
      <c r="AZ57" s="34">
        <f>IFERROR(s_RadSpec!$J$29*(AZ29*$B57),".")</f>
        <v>0</v>
      </c>
      <c r="BA57" s="42">
        <f t="shared" ref="BA57:BY57" si="129">IFERROR(BA29/$B57,0)</f>
        <v>0</v>
      </c>
      <c r="BB57" s="42">
        <f t="shared" si="129"/>
        <v>0</v>
      </c>
      <c r="BC57" s="42">
        <f t="shared" si="129"/>
        <v>0</v>
      </c>
      <c r="BD57" s="42">
        <f t="shared" si="129"/>
        <v>0</v>
      </c>
      <c r="BE57" s="42">
        <f t="shared" si="129"/>
        <v>0</v>
      </c>
      <c r="BF57" s="42">
        <f t="shared" si="129"/>
        <v>0</v>
      </c>
      <c r="BG57" s="42">
        <f t="shared" si="129"/>
        <v>0</v>
      </c>
      <c r="BH57" s="42">
        <f t="shared" si="129"/>
        <v>0</v>
      </c>
      <c r="BI57" s="42">
        <f t="shared" si="129"/>
        <v>0</v>
      </c>
      <c r="BJ57" s="42">
        <f t="shared" si="129"/>
        <v>0</v>
      </c>
      <c r="BK57" s="42">
        <f t="shared" si="129"/>
        <v>0</v>
      </c>
      <c r="BL57" s="42">
        <f t="shared" si="129"/>
        <v>0</v>
      </c>
      <c r="BM57" s="42">
        <f t="shared" si="129"/>
        <v>0</v>
      </c>
      <c r="BN57" s="42">
        <f t="shared" si="129"/>
        <v>0</v>
      </c>
      <c r="BO57" s="42">
        <f t="shared" si="129"/>
        <v>0</v>
      </c>
      <c r="BP57" s="42">
        <f t="shared" si="129"/>
        <v>0</v>
      </c>
      <c r="BQ57" s="42">
        <f t="shared" si="129"/>
        <v>0</v>
      </c>
      <c r="BR57" s="42">
        <f t="shared" si="129"/>
        <v>0</v>
      </c>
      <c r="BS57" s="42">
        <f t="shared" si="129"/>
        <v>0</v>
      </c>
      <c r="BT57" s="42">
        <f t="shared" si="129"/>
        <v>0</v>
      </c>
      <c r="BU57" s="42">
        <f t="shared" si="129"/>
        <v>0</v>
      </c>
      <c r="BV57" s="42">
        <f t="shared" si="129"/>
        <v>0</v>
      </c>
      <c r="BW57" s="42">
        <f t="shared" si="129"/>
        <v>0</v>
      </c>
      <c r="BX57" s="42">
        <f t="shared" si="129"/>
        <v>0</v>
      </c>
      <c r="BY57" s="42">
        <f t="shared" si="129"/>
        <v>0</v>
      </c>
      <c r="BZ57" s="34">
        <f t="shared" si="35"/>
        <v>0</v>
      </c>
      <c r="CA57" s="34">
        <f>IFERROR(s_RadSpec!$J$29*(AC29*$B57),".")</f>
        <v>0</v>
      </c>
      <c r="CB57" s="34">
        <f>IFERROR(s_RadSpec!$J$29*(AC29*$B57),".")</f>
        <v>0</v>
      </c>
      <c r="CC57" s="34">
        <f>IFERROR(s_RadSpec!$J$29*(AC29*$B57),".")</f>
        <v>0</v>
      </c>
      <c r="CD57" s="34">
        <f>IFERROR(s_RadSpec!$J$29*(AC29*$B57),".")</f>
        <v>0</v>
      </c>
      <c r="CE57" s="34">
        <f>IFERROR(s_RadSpec!$J$29*(AC29*$B57),".")</f>
        <v>0</v>
      </c>
      <c r="CF57" s="34">
        <f>IFERROR(s_RadSpec!$J$29*(AC29*$B57),".")</f>
        <v>0</v>
      </c>
      <c r="CG57" s="34">
        <f>IFERROR(s_RadSpec!$J$29*(AC29*$B57),".")</f>
        <v>0</v>
      </c>
      <c r="CH57" s="34">
        <f>IFERROR(s_RadSpec!$J$29*(AC29*$B57),".")</f>
        <v>0</v>
      </c>
      <c r="CI57" s="34">
        <f>IFERROR(s_RadSpec!$J$29*(AC29*$B57),".")</f>
        <v>0</v>
      </c>
      <c r="CJ57" s="34">
        <f>IFERROR(s_RadSpec!$J$29*(AC29*$B57),".")</f>
        <v>0</v>
      </c>
      <c r="CK57" s="34">
        <f>IFERROR(s_RadSpec!$J$29*(AC29*$B57),".")</f>
        <v>0</v>
      </c>
      <c r="CL57" s="34">
        <f>IFERROR(s_RadSpec!$J$29*(AC29*$B57),".")</f>
        <v>0</v>
      </c>
      <c r="CM57" s="34">
        <f>IFERROR(s_RadSpec!$J$29*(AC29*$B57),".")</f>
        <v>0</v>
      </c>
      <c r="CN57" s="34">
        <f>IFERROR(s_RadSpec!$J$29*(AC29*$B57),".")</f>
        <v>0</v>
      </c>
      <c r="CO57" s="34">
        <f>IFERROR(s_RadSpec!$J$29*(AC29*$B57),".")</f>
        <v>0</v>
      </c>
      <c r="CP57" s="34">
        <f>IFERROR(s_RadSpec!$J$29*(AC29*$B57),".")</f>
        <v>0</v>
      </c>
      <c r="CQ57" s="34">
        <f>IFERROR(s_RadSpec!$J$29*(AC29*$B57),".")</f>
        <v>0</v>
      </c>
      <c r="CR57" s="34">
        <f>IFERROR(s_RadSpec!$J$29*(AC29*$B57),".")</f>
        <v>0</v>
      </c>
      <c r="CS57" s="34">
        <f>IFERROR(s_RadSpec!$J$29*(AC29*$B57),".")</f>
        <v>0</v>
      </c>
      <c r="CT57" s="34">
        <f>IFERROR(s_RadSpec!$J$29*(AC29*$B57),".")</f>
        <v>0</v>
      </c>
      <c r="CU57" s="34">
        <f>IFERROR(s_RadSpec!$J$29*(AC29*$B57),".")</f>
        <v>0</v>
      </c>
      <c r="CV57" s="34">
        <f>IFERROR(s_RadSpec!$J$29*(AC29*$B57),".")</f>
        <v>0</v>
      </c>
      <c r="CW57" s="34">
        <f>IFERROR(s_RadSpec!$J$29*(AC29*$B57),".")</f>
        <v>0</v>
      </c>
      <c r="CX57" s="34">
        <f>IFERROR(s_RadSpec!$J$29*(AC29*$B57),".")</f>
        <v>0</v>
      </c>
    </row>
    <row r="58" spans="1:102" x14ac:dyDescent="0.25">
      <c r="A58" s="55" t="s">
        <v>1081</v>
      </c>
      <c r="B58" s="3">
        <v>1</v>
      </c>
      <c r="C58" s="42">
        <f t="shared" ref="C58:AA58" si="130">IFERROR(C16/$B58,0)</f>
        <v>14.176026943092898</v>
      </c>
      <c r="D58" s="42">
        <f t="shared" si="130"/>
        <v>37.273902332498309</v>
      </c>
      <c r="E58" s="42">
        <f t="shared" si="130"/>
        <v>9.3683070033551896</v>
      </c>
      <c r="F58" s="42">
        <f t="shared" si="130"/>
        <v>30.734621221533693</v>
      </c>
      <c r="G58" s="42">
        <f t="shared" si="130"/>
        <v>37.273902332498309</v>
      </c>
      <c r="H58" s="42">
        <f t="shared" si="130"/>
        <v>30.734621221533693</v>
      </c>
      <c r="I58" s="42">
        <f t="shared" si="130"/>
        <v>9.3683070033551896</v>
      </c>
      <c r="J58" s="42">
        <f t="shared" si="130"/>
        <v>30.734621221533693</v>
      </c>
      <c r="K58" s="42">
        <f t="shared" si="130"/>
        <v>37.273902332498309</v>
      </c>
      <c r="L58" s="42">
        <f t="shared" si="130"/>
        <v>59.587530939708181</v>
      </c>
      <c r="M58" s="42">
        <f t="shared" si="130"/>
        <v>30.734621221533693</v>
      </c>
      <c r="N58" s="42">
        <f t="shared" si="130"/>
        <v>9.3683070033551896</v>
      </c>
      <c r="O58" s="42">
        <f t="shared" si="130"/>
        <v>46.592377915622883</v>
      </c>
      <c r="P58" s="42">
        <f t="shared" si="130"/>
        <v>30.734621221533693</v>
      </c>
      <c r="Q58" s="42">
        <f t="shared" si="130"/>
        <v>30.734621221533693</v>
      </c>
      <c r="R58" s="42">
        <f t="shared" si="130"/>
        <v>37.273902332498309</v>
      </c>
      <c r="S58" s="42">
        <f t="shared" si="130"/>
        <v>37.273902332498309</v>
      </c>
      <c r="T58" s="42">
        <f t="shared" si="130"/>
        <v>46.592377915622883</v>
      </c>
      <c r="U58" s="42">
        <f t="shared" si="130"/>
        <v>58.395780320914014</v>
      </c>
      <c r="V58" s="42">
        <f t="shared" si="130"/>
        <v>30.734621221533693</v>
      </c>
      <c r="W58" s="42">
        <f t="shared" si="130"/>
        <v>46.592377915622883</v>
      </c>
      <c r="X58" s="42">
        <f t="shared" si="130"/>
        <v>37.273902332498309</v>
      </c>
      <c r="Y58" s="42">
        <f t="shared" si="130"/>
        <v>30.734621221533693</v>
      </c>
      <c r="Z58" s="42">
        <f t="shared" si="130"/>
        <v>63.519703032176231</v>
      </c>
      <c r="AA58" s="42">
        <f t="shared" si="130"/>
        <v>35.752518563824907</v>
      </c>
      <c r="AB58" s="34">
        <f t="shared" si="4"/>
        <v>1.7635406662499999</v>
      </c>
      <c r="AC58" s="34">
        <f>IFERROR(s_RadSpec!$J$16*(AC16*$B58),".")</f>
        <v>0.67071056250000005</v>
      </c>
      <c r="AD58" s="34">
        <f>IFERROR(s_RadSpec!$J$16*(AD16*$B58),".")</f>
        <v>2.6685718125000002</v>
      </c>
      <c r="AE58" s="34">
        <f>IFERROR(s_RadSpec!$J$16*(AE16*$B58),".")</f>
        <v>0.81341493749999993</v>
      </c>
      <c r="AF58" s="34">
        <f>IFERROR(s_RadSpec!$J$16*(AF16*$B58),".")</f>
        <v>0.67071056250000005</v>
      </c>
      <c r="AG58" s="34">
        <f>IFERROR(s_RadSpec!$J$16*(AG16*$B58),".")</f>
        <v>0.81341493749999993</v>
      </c>
      <c r="AH58" s="34">
        <f>IFERROR(s_RadSpec!$J$16*(AH16*$B58),".")</f>
        <v>2.6685718125000002</v>
      </c>
      <c r="AI58" s="34">
        <f>IFERROR(s_RadSpec!$J$16*(AI16*$B58),".")</f>
        <v>0.81341493749999993</v>
      </c>
      <c r="AJ58" s="34">
        <f>IFERROR(s_RadSpec!$J$16*(AJ16*$B58),".")</f>
        <v>0.67071056250000005</v>
      </c>
      <c r="AK58" s="34">
        <f>IFERROR(s_RadSpec!$J$16*(AK16*$B58),".")</f>
        <v>0.41955086249999995</v>
      </c>
      <c r="AL58" s="34">
        <f>IFERROR(s_RadSpec!$J$16*(AL16*$B58),".")</f>
        <v>0.81341493749999993</v>
      </c>
      <c r="AM58" s="34">
        <f>IFERROR(s_RadSpec!$J$16*(AM16*$B58),".")</f>
        <v>2.6685718125000002</v>
      </c>
      <c r="AN58" s="34">
        <f>IFERROR(s_RadSpec!$J$16*(AN16*$B58),".")</f>
        <v>0.53656845000000009</v>
      </c>
      <c r="AO58" s="34">
        <f>IFERROR(s_RadSpec!$J$16*(AO16*$B58),".")</f>
        <v>0.81341493749999993</v>
      </c>
      <c r="AP58" s="34">
        <f>IFERROR(s_RadSpec!$J$16*(AP16*$B58),".")</f>
        <v>0.81341493749999993</v>
      </c>
      <c r="AQ58" s="34">
        <f>IFERROR(s_RadSpec!$J$16*(AQ16*$B58),".")</f>
        <v>0.67071056250000005</v>
      </c>
      <c r="AR58" s="34">
        <f>IFERROR(s_RadSpec!$J$16*(AR16*$B58),".")</f>
        <v>0.67071056250000005</v>
      </c>
      <c r="AS58" s="34">
        <f>IFERROR(s_RadSpec!$J$16*(AS16*$B58),".")</f>
        <v>0.53656845000000009</v>
      </c>
      <c r="AT58" s="34">
        <f>IFERROR(s_RadSpec!$J$16*(AT16*$B58),".")</f>
        <v>0.42811312499999998</v>
      </c>
      <c r="AU58" s="34">
        <f>IFERROR(s_RadSpec!$J$16*(AU16*$B58),".")</f>
        <v>0.81341493749999993</v>
      </c>
      <c r="AV58" s="34">
        <f>IFERROR(s_RadSpec!$J$16*(AV16*$B58),".")</f>
        <v>0.53656845000000009</v>
      </c>
      <c r="AW58" s="34">
        <f>IFERROR(s_RadSpec!$J$16*(AW16*$B58),".")</f>
        <v>0.67071056250000005</v>
      </c>
      <c r="AX58" s="34">
        <f>IFERROR(s_RadSpec!$J$16*(AX16*$B58),".")</f>
        <v>0.81341493749999993</v>
      </c>
      <c r="AY58" s="34">
        <f>IFERROR(s_RadSpec!$J$16*(AY16*$B58),".")</f>
        <v>0.39357866624999999</v>
      </c>
      <c r="AZ58" s="34">
        <f>IFERROR(s_RadSpec!$J$16*(AZ16*$B58),".")</f>
        <v>0.69925143749999996</v>
      </c>
      <c r="BA58" s="42">
        <f t="shared" ref="BA58:BY58" si="131">IFERROR(BA16/$B58,0)</f>
        <v>14.176026943092898</v>
      </c>
      <c r="BB58" s="42">
        <f t="shared" si="131"/>
        <v>37.273902332498309</v>
      </c>
      <c r="BC58" s="42">
        <f t="shared" si="131"/>
        <v>9.3683070033551896</v>
      </c>
      <c r="BD58" s="42">
        <f t="shared" si="131"/>
        <v>30.734621221533693</v>
      </c>
      <c r="BE58" s="42">
        <f t="shared" si="131"/>
        <v>37.273902332498309</v>
      </c>
      <c r="BF58" s="42">
        <f t="shared" si="131"/>
        <v>30.734621221533693</v>
      </c>
      <c r="BG58" s="42">
        <f t="shared" si="131"/>
        <v>9.3683070033551896</v>
      </c>
      <c r="BH58" s="42">
        <f t="shared" si="131"/>
        <v>30.734621221533693</v>
      </c>
      <c r="BI58" s="42">
        <f t="shared" si="131"/>
        <v>37.273902332498309</v>
      </c>
      <c r="BJ58" s="42">
        <f t="shared" si="131"/>
        <v>59.587530939708181</v>
      </c>
      <c r="BK58" s="42">
        <f t="shared" si="131"/>
        <v>30.734621221533693</v>
      </c>
      <c r="BL58" s="42">
        <f t="shared" si="131"/>
        <v>9.3683070033551896</v>
      </c>
      <c r="BM58" s="42">
        <f t="shared" si="131"/>
        <v>46.592377915622883</v>
      </c>
      <c r="BN58" s="42">
        <f t="shared" si="131"/>
        <v>30.734621221533693</v>
      </c>
      <c r="BO58" s="42">
        <f t="shared" si="131"/>
        <v>30.734621221533693</v>
      </c>
      <c r="BP58" s="42">
        <f t="shared" si="131"/>
        <v>37.273902332498309</v>
      </c>
      <c r="BQ58" s="42">
        <f t="shared" si="131"/>
        <v>37.273902332498309</v>
      </c>
      <c r="BR58" s="42">
        <f t="shared" si="131"/>
        <v>46.592377915622883</v>
      </c>
      <c r="BS58" s="42">
        <f t="shared" si="131"/>
        <v>58.395780320914014</v>
      </c>
      <c r="BT58" s="42">
        <f t="shared" si="131"/>
        <v>30.734621221533693</v>
      </c>
      <c r="BU58" s="42">
        <f t="shared" si="131"/>
        <v>46.592377915622883</v>
      </c>
      <c r="BV58" s="42">
        <f t="shared" si="131"/>
        <v>37.273902332498309</v>
      </c>
      <c r="BW58" s="42">
        <f t="shared" si="131"/>
        <v>30.734621221533693</v>
      </c>
      <c r="BX58" s="42">
        <f t="shared" si="131"/>
        <v>63.519703032176231</v>
      </c>
      <c r="BY58" s="42">
        <f t="shared" si="131"/>
        <v>35.752518563824907</v>
      </c>
      <c r="BZ58" s="34">
        <f t="shared" si="35"/>
        <v>2.0121316875000002</v>
      </c>
      <c r="CA58" s="34">
        <f>IFERROR(s_RadSpec!$J$16*(AC16*$B58),".")</f>
        <v>0.67071056250000005</v>
      </c>
      <c r="CB58" s="34">
        <f>IFERROR(s_RadSpec!$J$16*(AC16*$B58),".")</f>
        <v>0.67071056250000005</v>
      </c>
      <c r="CC58" s="34">
        <f>IFERROR(s_RadSpec!$J$16*(AC16*$B58),".")</f>
        <v>0.67071056250000005</v>
      </c>
      <c r="CD58" s="34">
        <f>IFERROR(s_RadSpec!$J$16*(AC16*$B58),".")</f>
        <v>0.67071056250000005</v>
      </c>
      <c r="CE58" s="34">
        <f>IFERROR(s_RadSpec!$J$16*(AC16*$B58),".")</f>
        <v>0.67071056250000005</v>
      </c>
      <c r="CF58" s="34">
        <f>IFERROR(s_RadSpec!$J$16*(AC16*$B58),".")</f>
        <v>0.67071056250000005</v>
      </c>
      <c r="CG58" s="34">
        <f>IFERROR(s_RadSpec!$J$16*(AC16*$B58),".")</f>
        <v>0.67071056250000005</v>
      </c>
      <c r="CH58" s="34">
        <f>IFERROR(s_RadSpec!$J$16*(AC16*$B58),".")</f>
        <v>0.67071056250000005</v>
      </c>
      <c r="CI58" s="34">
        <f>IFERROR(s_RadSpec!$J$16*(AC16*$B58),".")</f>
        <v>0.67071056250000005</v>
      </c>
      <c r="CJ58" s="34">
        <f>IFERROR(s_RadSpec!$J$16*(AC16*$B58),".")</f>
        <v>0.67071056250000005</v>
      </c>
      <c r="CK58" s="34">
        <f>IFERROR(s_RadSpec!$J$16*(AC16*$B58),".")</f>
        <v>0.67071056250000005</v>
      </c>
      <c r="CL58" s="34">
        <f>IFERROR(s_RadSpec!$J$16*(AC16*$B58),".")</f>
        <v>0.67071056250000005</v>
      </c>
      <c r="CM58" s="34">
        <f>IFERROR(s_RadSpec!$J$16*(AC16*$B58),".")</f>
        <v>0.67071056250000005</v>
      </c>
      <c r="CN58" s="34">
        <f>IFERROR(s_RadSpec!$J$16*(AC16*$B58),".")</f>
        <v>0.67071056250000005</v>
      </c>
      <c r="CO58" s="34">
        <f>IFERROR(s_RadSpec!$J$16*(AC16*$B58),".")</f>
        <v>0.67071056250000005</v>
      </c>
      <c r="CP58" s="34">
        <f>IFERROR(s_RadSpec!$J$16*(AC16*$B58),".")</f>
        <v>0.67071056250000005</v>
      </c>
      <c r="CQ58" s="34">
        <f>IFERROR(s_RadSpec!$J$16*(AC16*$B58),".")</f>
        <v>0.67071056250000005</v>
      </c>
      <c r="CR58" s="34">
        <f>IFERROR(s_RadSpec!$J$16*(AC16*$B58),".")</f>
        <v>0.67071056250000005</v>
      </c>
      <c r="CS58" s="34">
        <f>IFERROR(s_RadSpec!$J$16*(AC16*$B58),".")</f>
        <v>0.67071056250000005</v>
      </c>
      <c r="CT58" s="34">
        <f>IFERROR(s_RadSpec!$J$16*(AC16*$B58),".")</f>
        <v>0.67071056250000005</v>
      </c>
      <c r="CU58" s="34">
        <f>IFERROR(s_RadSpec!$J$16*(AC16*$B58),".")</f>
        <v>0.67071056250000005</v>
      </c>
      <c r="CV58" s="34">
        <f>IFERROR(s_RadSpec!$J$16*(AC16*$B58),".")</f>
        <v>0.67071056250000005</v>
      </c>
      <c r="CW58" s="34">
        <f>IFERROR(s_RadSpec!$J$16*(AC16*$B58),".")</f>
        <v>0.67071056250000005</v>
      </c>
      <c r="CX58" s="34">
        <f>IFERROR(s_RadSpec!$J$16*(AC16*$B58),".")</f>
        <v>0.67071056250000005</v>
      </c>
    </row>
    <row r="59" spans="1:102" x14ac:dyDescent="0.25">
      <c r="A59" s="55" t="s">
        <v>1082</v>
      </c>
      <c r="B59" s="3">
        <v>1</v>
      </c>
      <c r="C59" s="42">
        <f t="shared" ref="C59:AA59" si="132">IFERROR(C7/$B59,0)</f>
        <v>1457.7507569097479</v>
      </c>
      <c r="D59" s="42">
        <f t="shared" si="132"/>
        <v>4373.2522707292437</v>
      </c>
      <c r="E59" s="42">
        <f t="shared" si="132"/>
        <v>4373.2522707292437</v>
      </c>
      <c r="F59" s="42">
        <f t="shared" si="132"/>
        <v>4373.2522707292437</v>
      </c>
      <c r="G59" s="42">
        <f t="shared" si="132"/>
        <v>4373.2522707292437</v>
      </c>
      <c r="H59" s="42">
        <f t="shared" si="132"/>
        <v>4373.2522707292437</v>
      </c>
      <c r="I59" s="42">
        <f t="shared" si="132"/>
        <v>4373.2522707292437</v>
      </c>
      <c r="J59" s="42">
        <f t="shared" si="132"/>
        <v>4373.2522707292437</v>
      </c>
      <c r="K59" s="42">
        <f t="shared" si="132"/>
        <v>4373.2522707292437</v>
      </c>
      <c r="L59" s="42">
        <f t="shared" si="132"/>
        <v>4373.2522707292437</v>
      </c>
      <c r="M59" s="42">
        <f t="shared" si="132"/>
        <v>4373.2522707292437</v>
      </c>
      <c r="N59" s="42">
        <f t="shared" si="132"/>
        <v>4373.2522707292437</v>
      </c>
      <c r="O59" s="42">
        <f t="shared" si="132"/>
        <v>4373.2522707292437</v>
      </c>
      <c r="P59" s="42">
        <f t="shared" si="132"/>
        <v>4373.2522707292437</v>
      </c>
      <c r="Q59" s="42">
        <f t="shared" si="132"/>
        <v>4373.2522707292437</v>
      </c>
      <c r="R59" s="42">
        <f t="shared" si="132"/>
        <v>4373.2522707292437</v>
      </c>
      <c r="S59" s="42">
        <f t="shared" si="132"/>
        <v>4373.2522707292437</v>
      </c>
      <c r="T59" s="42">
        <f t="shared" si="132"/>
        <v>4373.2522707292437</v>
      </c>
      <c r="U59" s="42">
        <f t="shared" si="132"/>
        <v>4373.2522707292437</v>
      </c>
      <c r="V59" s="42">
        <f t="shared" si="132"/>
        <v>4373.2522707292437</v>
      </c>
      <c r="W59" s="42">
        <f t="shared" si="132"/>
        <v>4373.2522707292437</v>
      </c>
      <c r="X59" s="42">
        <f t="shared" si="132"/>
        <v>4373.2522707292437</v>
      </c>
      <c r="Y59" s="42">
        <f t="shared" si="132"/>
        <v>4373.2522707292437</v>
      </c>
      <c r="Z59" s="42">
        <f t="shared" si="132"/>
        <v>4373.2522707292437</v>
      </c>
      <c r="AA59" s="42">
        <f t="shared" si="132"/>
        <v>4373.2522707292437</v>
      </c>
      <c r="AB59" s="34">
        <f t="shared" si="4"/>
        <v>1.7149708125E-2</v>
      </c>
      <c r="AC59" s="34">
        <f>IFERROR(s_RadSpec!$J$7*(AC7*$B59),".")</f>
        <v>5.7165693750000001E-3</v>
      </c>
      <c r="AD59" s="34">
        <f>IFERROR(s_RadSpec!$J$7*(AD7*$B59),".")</f>
        <v>5.7165693750000001E-3</v>
      </c>
      <c r="AE59" s="34">
        <f>IFERROR(s_RadSpec!$J$7*(AE7*$B59),".")</f>
        <v>5.7165693750000001E-3</v>
      </c>
      <c r="AF59" s="34">
        <f>IFERROR(s_RadSpec!$J$7*(AF7*$B59),".")</f>
        <v>5.7165693750000001E-3</v>
      </c>
      <c r="AG59" s="34">
        <f>IFERROR(s_RadSpec!$J$7*(AG7*$B59),".")</f>
        <v>5.7165693750000001E-3</v>
      </c>
      <c r="AH59" s="34">
        <f>IFERROR(s_RadSpec!$J$7*(AH7*$B59),".")</f>
        <v>5.7165693750000001E-3</v>
      </c>
      <c r="AI59" s="34">
        <f>IFERROR(s_RadSpec!$J$7*(AI7*$B59),".")</f>
        <v>5.7165693750000001E-3</v>
      </c>
      <c r="AJ59" s="34">
        <f>IFERROR(s_RadSpec!$J$7*(AJ7*$B59),".")</f>
        <v>5.7165693750000001E-3</v>
      </c>
      <c r="AK59" s="34">
        <f>IFERROR(s_RadSpec!$J$7*(AK7*$B59),".")</f>
        <v>5.7165693750000001E-3</v>
      </c>
      <c r="AL59" s="34">
        <f>IFERROR(s_RadSpec!$J$7*(AL7*$B59),".")</f>
        <v>5.7165693750000001E-3</v>
      </c>
      <c r="AM59" s="34">
        <f>IFERROR(s_RadSpec!$J$7*(AM7*$B59),".")</f>
        <v>5.7165693750000001E-3</v>
      </c>
      <c r="AN59" s="34">
        <f>IFERROR(s_RadSpec!$J$7*(AN7*$B59),".")</f>
        <v>5.7165693750000001E-3</v>
      </c>
      <c r="AO59" s="34">
        <f>IFERROR(s_RadSpec!$J$7*(AO7*$B59),".")</f>
        <v>5.7165693750000001E-3</v>
      </c>
      <c r="AP59" s="34">
        <f>IFERROR(s_RadSpec!$J$7*(AP7*$B59),".")</f>
        <v>5.7165693750000001E-3</v>
      </c>
      <c r="AQ59" s="34">
        <f>IFERROR(s_RadSpec!$J$7*(AQ7*$B59),".")</f>
        <v>5.7165693750000001E-3</v>
      </c>
      <c r="AR59" s="34">
        <f>IFERROR(s_RadSpec!$J$7*(AR7*$B59),".")</f>
        <v>5.7165693750000001E-3</v>
      </c>
      <c r="AS59" s="34">
        <f>IFERROR(s_RadSpec!$J$7*(AS7*$B59),".")</f>
        <v>5.7165693750000001E-3</v>
      </c>
      <c r="AT59" s="34">
        <f>IFERROR(s_RadSpec!$J$7*(AT7*$B59),".")</f>
        <v>5.7165693750000001E-3</v>
      </c>
      <c r="AU59" s="34">
        <f>IFERROR(s_RadSpec!$J$7*(AU7*$B59),".")</f>
        <v>5.7165693750000001E-3</v>
      </c>
      <c r="AV59" s="34">
        <f>IFERROR(s_RadSpec!$J$7*(AV7*$B59),".")</f>
        <v>5.7165693750000001E-3</v>
      </c>
      <c r="AW59" s="34">
        <f>IFERROR(s_RadSpec!$J$7*(AW7*$B59),".")</f>
        <v>5.7165693750000001E-3</v>
      </c>
      <c r="AX59" s="34">
        <f>IFERROR(s_RadSpec!$J$7*(AX7*$B59),".")</f>
        <v>5.7165693750000001E-3</v>
      </c>
      <c r="AY59" s="34">
        <f>IFERROR(s_RadSpec!$J$7*(AY7*$B59),".")</f>
        <v>5.7165693750000001E-3</v>
      </c>
      <c r="AZ59" s="34">
        <f>IFERROR(s_RadSpec!$J$7*(AZ7*$B59),".")</f>
        <v>5.7165693750000001E-3</v>
      </c>
      <c r="BA59" s="42">
        <f t="shared" ref="BA59:BY59" si="133">IFERROR(BA7/$B59,0)</f>
        <v>1457.7507569097479</v>
      </c>
      <c r="BB59" s="42">
        <f t="shared" si="133"/>
        <v>4373.2522707292437</v>
      </c>
      <c r="BC59" s="42">
        <f t="shared" si="133"/>
        <v>4373.2522707292437</v>
      </c>
      <c r="BD59" s="42">
        <f t="shared" si="133"/>
        <v>4373.2522707292437</v>
      </c>
      <c r="BE59" s="42">
        <f t="shared" si="133"/>
        <v>4373.2522707292437</v>
      </c>
      <c r="BF59" s="42">
        <f t="shared" si="133"/>
        <v>4373.2522707292437</v>
      </c>
      <c r="BG59" s="42">
        <f t="shared" si="133"/>
        <v>4373.2522707292437</v>
      </c>
      <c r="BH59" s="42">
        <f t="shared" si="133"/>
        <v>4373.2522707292437</v>
      </c>
      <c r="BI59" s="42">
        <f t="shared" si="133"/>
        <v>4373.2522707292437</v>
      </c>
      <c r="BJ59" s="42">
        <f t="shared" si="133"/>
        <v>4373.2522707292437</v>
      </c>
      <c r="BK59" s="42">
        <f t="shared" si="133"/>
        <v>4373.2522707292437</v>
      </c>
      <c r="BL59" s="42">
        <f t="shared" si="133"/>
        <v>4373.2522707292437</v>
      </c>
      <c r="BM59" s="42">
        <f t="shared" si="133"/>
        <v>4373.2522707292437</v>
      </c>
      <c r="BN59" s="42">
        <f t="shared" si="133"/>
        <v>4373.2522707292437</v>
      </c>
      <c r="BO59" s="42">
        <f t="shared" si="133"/>
        <v>4373.2522707292437</v>
      </c>
      <c r="BP59" s="42">
        <f t="shared" si="133"/>
        <v>4373.2522707292437</v>
      </c>
      <c r="BQ59" s="42">
        <f t="shared" si="133"/>
        <v>4373.2522707292437</v>
      </c>
      <c r="BR59" s="42">
        <f t="shared" si="133"/>
        <v>4373.2522707292437</v>
      </c>
      <c r="BS59" s="42">
        <f t="shared" si="133"/>
        <v>4373.2522707292437</v>
      </c>
      <c r="BT59" s="42">
        <f t="shared" si="133"/>
        <v>4373.2522707292437</v>
      </c>
      <c r="BU59" s="42">
        <f t="shared" si="133"/>
        <v>4373.2522707292437</v>
      </c>
      <c r="BV59" s="42">
        <f t="shared" si="133"/>
        <v>4373.2522707292437</v>
      </c>
      <c r="BW59" s="42">
        <f t="shared" si="133"/>
        <v>4373.2522707292437</v>
      </c>
      <c r="BX59" s="42">
        <f t="shared" si="133"/>
        <v>4373.2522707292437</v>
      </c>
      <c r="BY59" s="42">
        <f t="shared" si="133"/>
        <v>4373.2522707292437</v>
      </c>
      <c r="BZ59" s="34">
        <f t="shared" si="35"/>
        <v>1.7149708125E-2</v>
      </c>
      <c r="CA59" s="34">
        <f>IFERROR(s_RadSpec!$J$7*(AC7*$B59),".")</f>
        <v>5.7165693750000001E-3</v>
      </c>
      <c r="CB59" s="34">
        <f>IFERROR(s_RadSpec!$J$7*(AC7*$B59),".")</f>
        <v>5.7165693750000001E-3</v>
      </c>
      <c r="CC59" s="34">
        <f>IFERROR(s_RadSpec!$J$7*(AC7*$B59),".")</f>
        <v>5.7165693750000001E-3</v>
      </c>
      <c r="CD59" s="34">
        <f>IFERROR(s_RadSpec!$J$7*(AC7*$B59),".")</f>
        <v>5.7165693750000001E-3</v>
      </c>
      <c r="CE59" s="34">
        <f>IFERROR(s_RadSpec!$J$7*(AC7*$B59),".")</f>
        <v>5.7165693750000001E-3</v>
      </c>
      <c r="CF59" s="34">
        <f>IFERROR(s_RadSpec!$J$7*(AC7*$B59),".")</f>
        <v>5.7165693750000001E-3</v>
      </c>
      <c r="CG59" s="34">
        <f>IFERROR(s_RadSpec!$J$7*(AC7*$B59),".")</f>
        <v>5.7165693750000001E-3</v>
      </c>
      <c r="CH59" s="34">
        <f>IFERROR(s_RadSpec!$J$7*(AC7*$B59),".")</f>
        <v>5.7165693750000001E-3</v>
      </c>
      <c r="CI59" s="34">
        <f>IFERROR(s_RadSpec!$J$7*(AC7*$B59),".")</f>
        <v>5.7165693750000001E-3</v>
      </c>
      <c r="CJ59" s="34">
        <f>IFERROR(s_RadSpec!$J$7*(AC7*$B59),".")</f>
        <v>5.7165693750000001E-3</v>
      </c>
      <c r="CK59" s="34">
        <f>IFERROR(s_RadSpec!$J$7*(AC7*$B59),".")</f>
        <v>5.7165693750000001E-3</v>
      </c>
      <c r="CL59" s="34">
        <f>IFERROR(s_RadSpec!$J$7*(AC7*$B59),".")</f>
        <v>5.7165693750000001E-3</v>
      </c>
      <c r="CM59" s="34">
        <f>IFERROR(s_RadSpec!$J$7*(AC7*$B59),".")</f>
        <v>5.7165693750000001E-3</v>
      </c>
      <c r="CN59" s="34">
        <f>IFERROR(s_RadSpec!$J$7*(AC7*$B59),".")</f>
        <v>5.7165693750000001E-3</v>
      </c>
      <c r="CO59" s="34">
        <f>IFERROR(s_RadSpec!$J$7*(AC7*$B59),".")</f>
        <v>5.7165693750000001E-3</v>
      </c>
      <c r="CP59" s="34">
        <f>IFERROR(s_RadSpec!$J$7*(AC7*$B59),".")</f>
        <v>5.7165693750000001E-3</v>
      </c>
      <c r="CQ59" s="34">
        <f>IFERROR(s_RadSpec!$J$7*(AC7*$B59),".")</f>
        <v>5.7165693750000001E-3</v>
      </c>
      <c r="CR59" s="34">
        <f>IFERROR(s_RadSpec!$J$7*(AC7*$B59),".")</f>
        <v>5.7165693750000001E-3</v>
      </c>
      <c r="CS59" s="34">
        <f>IFERROR(s_RadSpec!$J$7*(AC7*$B59),".")</f>
        <v>5.7165693750000001E-3</v>
      </c>
      <c r="CT59" s="34">
        <f>IFERROR(s_RadSpec!$J$7*(AC7*$B59),".")</f>
        <v>5.7165693750000001E-3</v>
      </c>
      <c r="CU59" s="34">
        <f>IFERROR(s_RadSpec!$J$7*(AC7*$B59),".")</f>
        <v>5.7165693750000001E-3</v>
      </c>
      <c r="CV59" s="34">
        <f>IFERROR(s_RadSpec!$J$7*(AC7*$B59),".")</f>
        <v>5.7165693750000001E-3</v>
      </c>
      <c r="CW59" s="34">
        <f>IFERROR(s_RadSpec!$J$7*(AC7*$B59),".")</f>
        <v>5.7165693750000001E-3</v>
      </c>
      <c r="CX59" s="34">
        <f>IFERROR(s_RadSpec!$J$7*(AC7*$B59),".")</f>
        <v>5.7165693750000001E-3</v>
      </c>
    </row>
    <row r="60" spans="1:102" x14ac:dyDescent="0.25">
      <c r="A60" s="55" t="s">
        <v>1083</v>
      </c>
      <c r="B60" s="3">
        <v>1.9000000000000001E-8</v>
      </c>
      <c r="C60" s="42">
        <f t="shared" ref="C60:AA60" si="134">IFERROR(C12/$B60,0)</f>
        <v>0</v>
      </c>
      <c r="D60" s="42">
        <f t="shared" si="134"/>
        <v>0</v>
      </c>
      <c r="E60" s="42">
        <f t="shared" si="134"/>
        <v>0</v>
      </c>
      <c r="F60" s="42">
        <f t="shared" si="134"/>
        <v>0</v>
      </c>
      <c r="G60" s="42">
        <f t="shared" si="134"/>
        <v>0</v>
      </c>
      <c r="H60" s="42">
        <f t="shared" si="134"/>
        <v>0</v>
      </c>
      <c r="I60" s="42">
        <f t="shared" si="134"/>
        <v>0</v>
      </c>
      <c r="J60" s="42">
        <f t="shared" si="134"/>
        <v>0</v>
      </c>
      <c r="K60" s="42">
        <f t="shared" si="134"/>
        <v>0</v>
      </c>
      <c r="L60" s="42">
        <f t="shared" si="134"/>
        <v>0</v>
      </c>
      <c r="M60" s="42">
        <f t="shared" si="134"/>
        <v>0</v>
      </c>
      <c r="N60" s="42">
        <f t="shared" si="134"/>
        <v>0</v>
      </c>
      <c r="O60" s="42">
        <f t="shared" si="134"/>
        <v>0</v>
      </c>
      <c r="P60" s="42">
        <f t="shared" si="134"/>
        <v>0</v>
      </c>
      <c r="Q60" s="42">
        <f t="shared" si="134"/>
        <v>0</v>
      </c>
      <c r="R60" s="42">
        <f t="shared" si="134"/>
        <v>0</v>
      </c>
      <c r="S60" s="42">
        <f t="shared" si="134"/>
        <v>0</v>
      </c>
      <c r="T60" s="42">
        <f t="shared" si="134"/>
        <v>0</v>
      </c>
      <c r="U60" s="42">
        <f t="shared" si="134"/>
        <v>0</v>
      </c>
      <c r="V60" s="42">
        <f t="shared" si="134"/>
        <v>0</v>
      </c>
      <c r="W60" s="42">
        <f t="shared" si="134"/>
        <v>0</v>
      </c>
      <c r="X60" s="42">
        <f t="shared" si="134"/>
        <v>0</v>
      </c>
      <c r="Y60" s="42">
        <f t="shared" si="134"/>
        <v>0</v>
      </c>
      <c r="Z60" s="42">
        <f t="shared" si="134"/>
        <v>0</v>
      </c>
      <c r="AA60" s="42">
        <f t="shared" si="134"/>
        <v>0</v>
      </c>
      <c r="AB60" s="34">
        <f t="shared" si="4"/>
        <v>0</v>
      </c>
      <c r="AC60" s="34">
        <f>IFERROR(s_RadSpec!$J$12*(AC12*$B60),".")</f>
        <v>0</v>
      </c>
      <c r="AD60" s="34">
        <f>IFERROR(s_RadSpec!$J$12*(AD12*$B60),".")</f>
        <v>0</v>
      </c>
      <c r="AE60" s="34">
        <f>IFERROR(s_RadSpec!$J$12*(AE12*$B60),".")</f>
        <v>0</v>
      </c>
      <c r="AF60" s="34">
        <f>IFERROR(s_RadSpec!$J$12*(AF12*$B60),".")</f>
        <v>0</v>
      </c>
      <c r="AG60" s="34">
        <f>IFERROR(s_RadSpec!$J$12*(AG12*$B60),".")</f>
        <v>0</v>
      </c>
      <c r="AH60" s="34">
        <f>IFERROR(s_RadSpec!$J$12*(AH12*$B60),".")</f>
        <v>0</v>
      </c>
      <c r="AI60" s="34">
        <f>IFERROR(s_RadSpec!$J$12*(AI12*$B60),".")</f>
        <v>0</v>
      </c>
      <c r="AJ60" s="34">
        <f>IFERROR(s_RadSpec!$J$12*(AJ12*$B60),".")</f>
        <v>0</v>
      </c>
      <c r="AK60" s="34">
        <f>IFERROR(s_RadSpec!$J$12*(AK12*$B60),".")</f>
        <v>0</v>
      </c>
      <c r="AL60" s="34">
        <f>IFERROR(s_RadSpec!$J$12*(AL12*$B60),".")</f>
        <v>0</v>
      </c>
      <c r="AM60" s="34">
        <f>IFERROR(s_RadSpec!$J$12*(AM12*$B60),".")</f>
        <v>0</v>
      </c>
      <c r="AN60" s="34">
        <f>IFERROR(s_RadSpec!$J$12*(AN12*$B60),".")</f>
        <v>0</v>
      </c>
      <c r="AO60" s="34">
        <f>IFERROR(s_RadSpec!$J$12*(AO12*$B60),".")</f>
        <v>0</v>
      </c>
      <c r="AP60" s="34">
        <f>IFERROR(s_RadSpec!$J$12*(AP12*$B60),".")</f>
        <v>0</v>
      </c>
      <c r="AQ60" s="34">
        <f>IFERROR(s_RadSpec!$J$12*(AQ12*$B60),".")</f>
        <v>0</v>
      </c>
      <c r="AR60" s="34">
        <f>IFERROR(s_RadSpec!$J$12*(AR12*$B60),".")</f>
        <v>0</v>
      </c>
      <c r="AS60" s="34">
        <f>IFERROR(s_RadSpec!$J$12*(AS12*$B60),".")</f>
        <v>0</v>
      </c>
      <c r="AT60" s="34">
        <f>IFERROR(s_RadSpec!$J$12*(AT12*$B60),".")</f>
        <v>0</v>
      </c>
      <c r="AU60" s="34">
        <f>IFERROR(s_RadSpec!$J$12*(AU12*$B60),".")</f>
        <v>0</v>
      </c>
      <c r="AV60" s="34">
        <f>IFERROR(s_RadSpec!$J$12*(AV12*$B60),".")</f>
        <v>0</v>
      </c>
      <c r="AW60" s="34">
        <f>IFERROR(s_RadSpec!$J$12*(AW12*$B60),".")</f>
        <v>0</v>
      </c>
      <c r="AX60" s="34">
        <f>IFERROR(s_RadSpec!$J$12*(AX12*$B60),".")</f>
        <v>0</v>
      </c>
      <c r="AY60" s="34">
        <f>IFERROR(s_RadSpec!$J$12*(AY12*$B60),".")</f>
        <v>0</v>
      </c>
      <c r="AZ60" s="34">
        <f>IFERROR(s_RadSpec!$J$12*(AZ12*$B60),".")</f>
        <v>0</v>
      </c>
      <c r="BA60" s="42">
        <f t="shared" ref="BA60:BY60" si="135">IFERROR(BA12/$B60,0)</f>
        <v>0</v>
      </c>
      <c r="BB60" s="42">
        <f t="shared" si="135"/>
        <v>0</v>
      </c>
      <c r="BC60" s="42">
        <f t="shared" si="135"/>
        <v>0</v>
      </c>
      <c r="BD60" s="42">
        <f t="shared" si="135"/>
        <v>0</v>
      </c>
      <c r="BE60" s="42">
        <f t="shared" si="135"/>
        <v>0</v>
      </c>
      <c r="BF60" s="42">
        <f t="shared" si="135"/>
        <v>0</v>
      </c>
      <c r="BG60" s="42">
        <f t="shared" si="135"/>
        <v>0</v>
      </c>
      <c r="BH60" s="42">
        <f t="shared" si="135"/>
        <v>0</v>
      </c>
      <c r="BI60" s="42">
        <f t="shared" si="135"/>
        <v>0</v>
      </c>
      <c r="BJ60" s="42">
        <f t="shared" si="135"/>
        <v>0</v>
      </c>
      <c r="BK60" s="42">
        <f t="shared" si="135"/>
        <v>0</v>
      </c>
      <c r="BL60" s="42">
        <f t="shared" si="135"/>
        <v>0</v>
      </c>
      <c r="BM60" s="42">
        <f t="shared" si="135"/>
        <v>0</v>
      </c>
      <c r="BN60" s="42">
        <f t="shared" si="135"/>
        <v>0</v>
      </c>
      <c r="BO60" s="42">
        <f t="shared" si="135"/>
        <v>0</v>
      </c>
      <c r="BP60" s="42">
        <f t="shared" si="135"/>
        <v>0</v>
      </c>
      <c r="BQ60" s="42">
        <f t="shared" si="135"/>
        <v>0</v>
      </c>
      <c r="BR60" s="42">
        <f t="shared" si="135"/>
        <v>0</v>
      </c>
      <c r="BS60" s="42">
        <f t="shared" si="135"/>
        <v>0</v>
      </c>
      <c r="BT60" s="42">
        <f t="shared" si="135"/>
        <v>0</v>
      </c>
      <c r="BU60" s="42">
        <f t="shared" si="135"/>
        <v>0</v>
      </c>
      <c r="BV60" s="42">
        <f t="shared" si="135"/>
        <v>0</v>
      </c>
      <c r="BW60" s="42">
        <f t="shared" si="135"/>
        <v>0</v>
      </c>
      <c r="BX60" s="42">
        <f t="shared" si="135"/>
        <v>0</v>
      </c>
      <c r="BY60" s="42">
        <f t="shared" si="135"/>
        <v>0</v>
      </c>
      <c r="BZ60" s="34">
        <f t="shared" si="35"/>
        <v>0</v>
      </c>
      <c r="CA60" s="34">
        <f>IFERROR(s_RadSpec!$J$12*(AC12*$B60),".")</f>
        <v>0</v>
      </c>
      <c r="CB60" s="34">
        <f>IFERROR(s_RadSpec!$J$12*(AC12*$B60),".")</f>
        <v>0</v>
      </c>
      <c r="CC60" s="34">
        <f>IFERROR(s_RadSpec!$J$12*(AC12*$B60),".")</f>
        <v>0</v>
      </c>
      <c r="CD60" s="34">
        <f>IFERROR(s_RadSpec!$J$12*(AC12*$B60),".")</f>
        <v>0</v>
      </c>
      <c r="CE60" s="34">
        <f>IFERROR(s_RadSpec!$J$12*(AC12*$B60),".")</f>
        <v>0</v>
      </c>
      <c r="CF60" s="34">
        <f>IFERROR(s_RadSpec!$J$12*(AC12*$B60),".")</f>
        <v>0</v>
      </c>
      <c r="CG60" s="34">
        <f>IFERROR(s_RadSpec!$J$12*(AC12*$B60),".")</f>
        <v>0</v>
      </c>
      <c r="CH60" s="34">
        <f>IFERROR(s_RadSpec!$J$12*(AC12*$B60),".")</f>
        <v>0</v>
      </c>
      <c r="CI60" s="34">
        <f>IFERROR(s_RadSpec!$J$12*(AC12*$B60),".")</f>
        <v>0</v>
      </c>
      <c r="CJ60" s="34">
        <f>IFERROR(s_RadSpec!$J$12*(AC12*$B60),".")</f>
        <v>0</v>
      </c>
      <c r="CK60" s="34">
        <f>IFERROR(s_RadSpec!$J$12*(AC12*$B60),".")</f>
        <v>0</v>
      </c>
      <c r="CL60" s="34">
        <f>IFERROR(s_RadSpec!$J$12*(AC12*$B60),".")</f>
        <v>0</v>
      </c>
      <c r="CM60" s="34">
        <f>IFERROR(s_RadSpec!$J$12*(AC12*$B60),".")</f>
        <v>0</v>
      </c>
      <c r="CN60" s="34">
        <f>IFERROR(s_RadSpec!$J$12*(AC12*$B60),".")</f>
        <v>0</v>
      </c>
      <c r="CO60" s="34">
        <f>IFERROR(s_RadSpec!$J$12*(AC12*$B60),".")</f>
        <v>0</v>
      </c>
      <c r="CP60" s="34">
        <f>IFERROR(s_RadSpec!$J$12*(AC12*$B60),".")</f>
        <v>0</v>
      </c>
      <c r="CQ60" s="34">
        <f>IFERROR(s_RadSpec!$J$12*(AC12*$B60),".")</f>
        <v>0</v>
      </c>
      <c r="CR60" s="34">
        <f>IFERROR(s_RadSpec!$J$12*(AC12*$B60),".")</f>
        <v>0</v>
      </c>
      <c r="CS60" s="34">
        <f>IFERROR(s_RadSpec!$J$12*(AC12*$B60),".")</f>
        <v>0</v>
      </c>
      <c r="CT60" s="34">
        <f>IFERROR(s_RadSpec!$J$12*(AC12*$B60),".")</f>
        <v>0</v>
      </c>
      <c r="CU60" s="34">
        <f>IFERROR(s_RadSpec!$J$12*(AC12*$B60),".")</f>
        <v>0</v>
      </c>
      <c r="CV60" s="34">
        <f>IFERROR(s_RadSpec!$J$12*(AC12*$B60),".")</f>
        <v>0</v>
      </c>
      <c r="CW60" s="34">
        <f>IFERROR(s_RadSpec!$J$12*(AC12*$B60),".")</f>
        <v>0</v>
      </c>
      <c r="CX60" s="34">
        <f>IFERROR(s_RadSpec!$J$12*(AC12*$B60),".")</f>
        <v>0</v>
      </c>
    </row>
    <row r="61" spans="1:102" x14ac:dyDescent="0.25">
      <c r="A61" s="55" t="s">
        <v>1084</v>
      </c>
      <c r="B61" s="3">
        <v>1</v>
      </c>
      <c r="C61" s="42">
        <f t="shared" ref="C61:AA61" si="136">IFERROR(C18/$B61,0)</f>
        <v>9.4650716553841239</v>
      </c>
      <c r="D61" s="42">
        <f t="shared" si="136"/>
        <v>37.266128838789754</v>
      </c>
      <c r="E61" s="42">
        <f t="shared" si="136"/>
        <v>24.428036607244959</v>
      </c>
      <c r="F61" s="42">
        <f t="shared" si="136"/>
        <v>26.453158813026931</v>
      </c>
      <c r="G61" s="42">
        <f t="shared" si="136"/>
        <v>37.266128838789754</v>
      </c>
      <c r="H61" s="42">
        <f t="shared" si="136"/>
        <v>37.266128838789754</v>
      </c>
      <c r="I61" s="42">
        <f t="shared" si="136"/>
        <v>24.428036607244959</v>
      </c>
      <c r="J61" s="42">
        <f t="shared" si="136"/>
        <v>26.453158813026931</v>
      </c>
      <c r="K61" s="42">
        <f t="shared" si="136"/>
        <v>37.266128838789754</v>
      </c>
      <c r="L61" s="42">
        <f t="shared" si="136"/>
        <v>37.157639380743788</v>
      </c>
      <c r="M61" s="42">
        <f t="shared" si="136"/>
        <v>37.266128838789754</v>
      </c>
      <c r="N61" s="42">
        <f t="shared" si="136"/>
        <v>24.428036607244959</v>
      </c>
      <c r="O61" s="42">
        <f t="shared" si="136"/>
        <v>37.076685918040646</v>
      </c>
      <c r="P61" s="42">
        <f t="shared" si="136"/>
        <v>37.266128838789754</v>
      </c>
      <c r="Q61" s="42">
        <f t="shared" si="136"/>
        <v>37.266128838789754</v>
      </c>
      <c r="R61" s="42">
        <f t="shared" si="136"/>
        <v>37.266128838789754</v>
      </c>
      <c r="S61" s="42">
        <f t="shared" si="136"/>
        <v>37.266128838789754</v>
      </c>
      <c r="T61" s="42">
        <f t="shared" si="136"/>
        <v>37.076685918040646</v>
      </c>
      <c r="U61" s="42">
        <f t="shared" si="136"/>
        <v>31.515183030334551</v>
      </c>
      <c r="V61" s="42">
        <f t="shared" si="136"/>
        <v>37.266128838789754</v>
      </c>
      <c r="W61" s="42">
        <f t="shared" si="136"/>
        <v>37.076685918040646</v>
      </c>
      <c r="X61" s="42">
        <f t="shared" si="136"/>
        <v>37.266128838789754</v>
      </c>
      <c r="Y61" s="42">
        <f t="shared" si="136"/>
        <v>37.266128838789754</v>
      </c>
      <c r="Z61" s="42">
        <f t="shared" si="136"/>
        <v>19.265885475147915</v>
      </c>
      <c r="AA61" s="42">
        <f t="shared" si="136"/>
        <v>37.157639380743788</v>
      </c>
      <c r="AB61" s="34">
        <f t="shared" si="4"/>
        <v>2.6412900937499999</v>
      </c>
      <c r="AC61" s="34">
        <f>IFERROR(s_RadSpec!$J$18*(AC18*$B61),".")</f>
        <v>0.67085046874999998</v>
      </c>
      <c r="AD61" s="34">
        <f>IFERROR(s_RadSpec!$J$18*(AD18*$B61),".")</f>
        <v>1.0234142187499999</v>
      </c>
      <c r="AE61" s="34">
        <f>IFERROR(s_RadSpec!$J$18*(AE18*$B61),".")</f>
        <v>0.94506671874999992</v>
      </c>
      <c r="AF61" s="34">
        <f>IFERROR(s_RadSpec!$J$18*(AF18*$B61),".")</f>
        <v>0.67085046874999998</v>
      </c>
      <c r="AG61" s="34">
        <f>IFERROR(s_RadSpec!$J$18*(AG18*$B61),".")</f>
        <v>0.67085046874999998</v>
      </c>
      <c r="AH61" s="34">
        <f>IFERROR(s_RadSpec!$J$18*(AH18*$B61),".")</f>
        <v>1.0234142187499999</v>
      </c>
      <c r="AI61" s="34">
        <f>IFERROR(s_RadSpec!$J$18*(AI18*$B61),".")</f>
        <v>0.94506671874999992</v>
      </c>
      <c r="AJ61" s="34">
        <f>IFERROR(s_RadSpec!$J$18*(AJ18*$B61),".")</f>
        <v>0.67085046874999998</v>
      </c>
      <c r="AK61" s="34">
        <f>IFERROR(s_RadSpec!$J$18*(AK18*$B61),".")</f>
        <v>0.67280915624999993</v>
      </c>
      <c r="AL61" s="34">
        <f>IFERROR(s_RadSpec!$J$18*(AL18*$B61),".")</f>
        <v>0.67085046874999998</v>
      </c>
      <c r="AM61" s="34">
        <f>IFERROR(s_RadSpec!$J$18*(AM18*$B61),".")</f>
        <v>1.0234142187499999</v>
      </c>
      <c r="AN61" s="34">
        <f>IFERROR(s_RadSpec!$J$18*(AN18*$B61),".")</f>
        <v>0.67427817187499994</v>
      </c>
      <c r="AO61" s="34">
        <f>IFERROR(s_RadSpec!$J$18*(AO18*$B61),".")</f>
        <v>0.67085046874999998</v>
      </c>
      <c r="AP61" s="34">
        <f>IFERROR(s_RadSpec!$J$18*(AP18*$B61),".")</f>
        <v>0.67085046874999998</v>
      </c>
      <c r="AQ61" s="34">
        <f>IFERROR(s_RadSpec!$J$18*(AQ18*$B61),".")</f>
        <v>0.67085046874999998</v>
      </c>
      <c r="AR61" s="34">
        <f>IFERROR(s_RadSpec!$J$18*(AR18*$B61),".")</f>
        <v>0.67085046874999998</v>
      </c>
      <c r="AS61" s="34">
        <f>IFERROR(s_RadSpec!$J$18*(AS18*$B61),".")</f>
        <v>0.67427817187499994</v>
      </c>
      <c r="AT61" s="34">
        <f>IFERROR(s_RadSpec!$J$18*(AT18*$B61),".")</f>
        <v>0.79326843749999987</v>
      </c>
      <c r="AU61" s="34">
        <f>IFERROR(s_RadSpec!$J$18*(AU18*$B61),".")</f>
        <v>0.67085046874999998</v>
      </c>
      <c r="AV61" s="34">
        <f>IFERROR(s_RadSpec!$J$18*(AV18*$B61),".")</f>
        <v>0.67427817187499994</v>
      </c>
      <c r="AW61" s="34">
        <f>IFERROR(s_RadSpec!$J$18*(AW18*$B61),".")</f>
        <v>0.67085046874999998</v>
      </c>
      <c r="AX61" s="34">
        <f>IFERROR(s_RadSpec!$J$18*(AX18*$B61),".")</f>
        <v>0.67085046874999998</v>
      </c>
      <c r="AY61" s="34">
        <f>IFERROR(s_RadSpec!$J$18*(AY18*$B61),".")</f>
        <v>1.29763046875</v>
      </c>
      <c r="AZ61" s="34">
        <f>IFERROR(s_RadSpec!$J$18*(AZ18*$B61),".")</f>
        <v>0.67280915624999993</v>
      </c>
      <c r="BA61" s="42">
        <f t="shared" ref="BA61:BY61" si="137">IFERROR(BA18/$B61,0)</f>
        <v>9.4650716553841239</v>
      </c>
      <c r="BB61" s="42">
        <f t="shared" si="137"/>
        <v>37.266128838789754</v>
      </c>
      <c r="BC61" s="42">
        <f t="shared" si="137"/>
        <v>24.428036607244959</v>
      </c>
      <c r="BD61" s="42">
        <f t="shared" si="137"/>
        <v>26.453158813026931</v>
      </c>
      <c r="BE61" s="42">
        <f t="shared" si="137"/>
        <v>37.266128838789754</v>
      </c>
      <c r="BF61" s="42">
        <f t="shared" si="137"/>
        <v>37.266128838789754</v>
      </c>
      <c r="BG61" s="42">
        <f t="shared" si="137"/>
        <v>24.428036607244959</v>
      </c>
      <c r="BH61" s="42">
        <f t="shared" si="137"/>
        <v>26.453158813026931</v>
      </c>
      <c r="BI61" s="42">
        <f t="shared" si="137"/>
        <v>37.266128838789754</v>
      </c>
      <c r="BJ61" s="42">
        <f t="shared" si="137"/>
        <v>37.157639380743788</v>
      </c>
      <c r="BK61" s="42">
        <f t="shared" si="137"/>
        <v>37.266128838789754</v>
      </c>
      <c r="BL61" s="42">
        <f t="shared" si="137"/>
        <v>24.428036607244959</v>
      </c>
      <c r="BM61" s="42">
        <f t="shared" si="137"/>
        <v>37.076685918040646</v>
      </c>
      <c r="BN61" s="42">
        <f t="shared" si="137"/>
        <v>37.266128838789754</v>
      </c>
      <c r="BO61" s="42">
        <f t="shared" si="137"/>
        <v>37.266128838789754</v>
      </c>
      <c r="BP61" s="42">
        <f t="shared" si="137"/>
        <v>37.266128838789754</v>
      </c>
      <c r="BQ61" s="42">
        <f t="shared" si="137"/>
        <v>37.266128838789754</v>
      </c>
      <c r="BR61" s="42">
        <f t="shared" si="137"/>
        <v>37.076685918040646</v>
      </c>
      <c r="BS61" s="42">
        <f t="shared" si="137"/>
        <v>31.515183030334551</v>
      </c>
      <c r="BT61" s="42">
        <f t="shared" si="137"/>
        <v>37.266128838789754</v>
      </c>
      <c r="BU61" s="42">
        <f t="shared" si="137"/>
        <v>37.076685918040646</v>
      </c>
      <c r="BV61" s="42">
        <f t="shared" si="137"/>
        <v>37.266128838789754</v>
      </c>
      <c r="BW61" s="42">
        <f t="shared" si="137"/>
        <v>37.266128838789754</v>
      </c>
      <c r="BX61" s="42">
        <f t="shared" si="137"/>
        <v>19.265885475147915</v>
      </c>
      <c r="BY61" s="42">
        <f t="shared" si="137"/>
        <v>37.157639380743788</v>
      </c>
      <c r="BZ61" s="34">
        <f t="shared" si="35"/>
        <v>2.0125514062500001</v>
      </c>
      <c r="CA61" s="34">
        <f>IFERROR(s_RadSpec!$J$18*(AC18*$B61),".")</f>
        <v>0.67085046874999998</v>
      </c>
      <c r="CB61" s="34">
        <f>IFERROR(s_RadSpec!$J$18*(AC18*$B61),".")</f>
        <v>0.67085046874999998</v>
      </c>
      <c r="CC61" s="34">
        <f>IFERROR(s_RadSpec!$J$18*(AC18*$B61),".")</f>
        <v>0.67085046874999998</v>
      </c>
      <c r="CD61" s="34">
        <f>IFERROR(s_RadSpec!$J$18*(AC18*$B61),".")</f>
        <v>0.67085046874999998</v>
      </c>
      <c r="CE61" s="34">
        <f>IFERROR(s_RadSpec!$J$18*(AC18*$B61),".")</f>
        <v>0.67085046874999998</v>
      </c>
      <c r="CF61" s="34">
        <f>IFERROR(s_RadSpec!$J$18*(AC18*$B61),".")</f>
        <v>0.67085046874999998</v>
      </c>
      <c r="CG61" s="34">
        <f>IFERROR(s_RadSpec!$J$18*(AC18*$B61),".")</f>
        <v>0.67085046874999998</v>
      </c>
      <c r="CH61" s="34">
        <f>IFERROR(s_RadSpec!$J$18*(AC18*$B61),".")</f>
        <v>0.67085046874999998</v>
      </c>
      <c r="CI61" s="34">
        <f>IFERROR(s_RadSpec!$J$18*(AC18*$B61),".")</f>
        <v>0.67085046874999998</v>
      </c>
      <c r="CJ61" s="34">
        <f>IFERROR(s_RadSpec!$J$18*(AC18*$B61),".")</f>
        <v>0.67085046874999998</v>
      </c>
      <c r="CK61" s="34">
        <f>IFERROR(s_RadSpec!$J$18*(AC18*$B61),".")</f>
        <v>0.67085046874999998</v>
      </c>
      <c r="CL61" s="34">
        <f>IFERROR(s_RadSpec!$J$18*(AC18*$B61),".")</f>
        <v>0.67085046874999998</v>
      </c>
      <c r="CM61" s="34">
        <f>IFERROR(s_RadSpec!$J$18*(AC18*$B61),".")</f>
        <v>0.67085046874999998</v>
      </c>
      <c r="CN61" s="34">
        <f>IFERROR(s_RadSpec!$J$18*(AC18*$B61),".")</f>
        <v>0.67085046874999998</v>
      </c>
      <c r="CO61" s="34">
        <f>IFERROR(s_RadSpec!$J$18*(AC18*$B61),".")</f>
        <v>0.67085046874999998</v>
      </c>
      <c r="CP61" s="34">
        <f>IFERROR(s_RadSpec!$J$18*(AC18*$B61),".")</f>
        <v>0.67085046874999998</v>
      </c>
      <c r="CQ61" s="34">
        <f>IFERROR(s_RadSpec!$J$18*(AC18*$B61),".")</f>
        <v>0.67085046874999998</v>
      </c>
      <c r="CR61" s="34">
        <f>IFERROR(s_RadSpec!$J$18*(AC18*$B61),".")</f>
        <v>0.67085046874999998</v>
      </c>
      <c r="CS61" s="34">
        <f>IFERROR(s_RadSpec!$J$18*(AC18*$B61),".")</f>
        <v>0.67085046874999998</v>
      </c>
      <c r="CT61" s="34">
        <f>IFERROR(s_RadSpec!$J$18*(AC18*$B61),".")</f>
        <v>0.67085046874999998</v>
      </c>
      <c r="CU61" s="34">
        <f>IFERROR(s_RadSpec!$J$18*(AC18*$B61),".")</f>
        <v>0.67085046874999998</v>
      </c>
      <c r="CV61" s="34">
        <f>IFERROR(s_RadSpec!$J$18*(AC18*$B61),".")</f>
        <v>0.67085046874999998</v>
      </c>
      <c r="CW61" s="34">
        <f>IFERROR(s_RadSpec!$J$18*(AC18*$B61),".")</f>
        <v>0.67085046874999998</v>
      </c>
      <c r="CX61" s="34">
        <f>IFERROR(s_RadSpec!$J$18*(AC18*$B61),".")</f>
        <v>0.67085046874999998</v>
      </c>
    </row>
    <row r="62" spans="1:102" x14ac:dyDescent="0.25">
      <c r="A62" s="55" t="s">
        <v>1085</v>
      </c>
      <c r="B62" s="3">
        <v>1.339E-6</v>
      </c>
      <c r="C62" s="42">
        <f t="shared" ref="C62:AA62" si="138">IFERROR(C27/$B62,0)</f>
        <v>0</v>
      </c>
      <c r="D62" s="42">
        <f t="shared" si="138"/>
        <v>0</v>
      </c>
      <c r="E62" s="42">
        <f t="shared" si="138"/>
        <v>0</v>
      </c>
      <c r="F62" s="42">
        <f t="shared" si="138"/>
        <v>0</v>
      </c>
      <c r="G62" s="42">
        <f t="shared" si="138"/>
        <v>0</v>
      </c>
      <c r="H62" s="42">
        <f t="shared" si="138"/>
        <v>0</v>
      </c>
      <c r="I62" s="42">
        <f t="shared" si="138"/>
        <v>0</v>
      </c>
      <c r="J62" s="42">
        <f t="shared" si="138"/>
        <v>0</v>
      </c>
      <c r="K62" s="42">
        <f t="shared" si="138"/>
        <v>0</v>
      </c>
      <c r="L62" s="42">
        <f t="shared" si="138"/>
        <v>0</v>
      </c>
      <c r="M62" s="42">
        <f t="shared" si="138"/>
        <v>0</v>
      </c>
      <c r="N62" s="42">
        <f t="shared" si="138"/>
        <v>0</v>
      </c>
      <c r="O62" s="42">
        <f t="shared" si="138"/>
        <v>0</v>
      </c>
      <c r="P62" s="42">
        <f t="shared" si="138"/>
        <v>0</v>
      </c>
      <c r="Q62" s="42">
        <f t="shared" si="138"/>
        <v>0</v>
      </c>
      <c r="R62" s="42">
        <f t="shared" si="138"/>
        <v>0</v>
      </c>
      <c r="S62" s="42">
        <f t="shared" si="138"/>
        <v>0</v>
      </c>
      <c r="T62" s="42">
        <f t="shared" si="138"/>
        <v>0</v>
      </c>
      <c r="U62" s="42">
        <f t="shared" si="138"/>
        <v>0</v>
      </c>
      <c r="V62" s="42">
        <f t="shared" si="138"/>
        <v>0</v>
      </c>
      <c r="W62" s="42">
        <f t="shared" si="138"/>
        <v>0</v>
      </c>
      <c r="X62" s="42">
        <f t="shared" si="138"/>
        <v>0</v>
      </c>
      <c r="Y62" s="42">
        <f t="shared" si="138"/>
        <v>0</v>
      </c>
      <c r="Z62" s="42">
        <f t="shared" si="138"/>
        <v>0</v>
      </c>
      <c r="AA62" s="42">
        <f t="shared" si="138"/>
        <v>0</v>
      </c>
      <c r="AB62" s="34">
        <f t="shared" si="4"/>
        <v>0</v>
      </c>
      <c r="AC62" s="34">
        <f>IFERROR(s_RadSpec!$J$27*(AC27*$B62),".")</f>
        <v>0</v>
      </c>
      <c r="AD62" s="34">
        <f>IFERROR(s_RadSpec!$J$27*(AD27*$B62),".")</f>
        <v>0</v>
      </c>
      <c r="AE62" s="34">
        <f>IFERROR(s_RadSpec!$J$27*(AE27*$B62),".")</f>
        <v>0</v>
      </c>
      <c r="AF62" s="34">
        <f>IFERROR(s_RadSpec!$J$27*(AF27*$B62),".")</f>
        <v>0</v>
      </c>
      <c r="AG62" s="34">
        <f>IFERROR(s_RadSpec!$J$27*(AG27*$B62),".")</f>
        <v>0</v>
      </c>
      <c r="AH62" s="34">
        <f>IFERROR(s_RadSpec!$J$27*(AH27*$B62),".")</f>
        <v>0</v>
      </c>
      <c r="AI62" s="34">
        <f>IFERROR(s_RadSpec!$J$27*(AI27*$B62),".")</f>
        <v>0</v>
      </c>
      <c r="AJ62" s="34">
        <f>IFERROR(s_RadSpec!$J$27*(AJ27*$B62),".")</f>
        <v>0</v>
      </c>
      <c r="AK62" s="34">
        <f>IFERROR(s_RadSpec!$J$27*(AK27*$B62),".")</f>
        <v>0</v>
      </c>
      <c r="AL62" s="34">
        <f>IFERROR(s_RadSpec!$J$27*(AL27*$B62),".")</f>
        <v>0</v>
      </c>
      <c r="AM62" s="34">
        <f>IFERROR(s_RadSpec!$J$27*(AM27*$B62),".")</f>
        <v>0</v>
      </c>
      <c r="AN62" s="34">
        <f>IFERROR(s_RadSpec!$J$27*(AN27*$B62),".")</f>
        <v>0</v>
      </c>
      <c r="AO62" s="34">
        <f>IFERROR(s_RadSpec!$J$27*(AO27*$B62),".")</f>
        <v>0</v>
      </c>
      <c r="AP62" s="34">
        <f>IFERROR(s_RadSpec!$J$27*(AP27*$B62),".")</f>
        <v>0</v>
      </c>
      <c r="AQ62" s="34">
        <f>IFERROR(s_RadSpec!$J$27*(AQ27*$B62),".")</f>
        <v>0</v>
      </c>
      <c r="AR62" s="34">
        <f>IFERROR(s_RadSpec!$J$27*(AR27*$B62),".")</f>
        <v>0</v>
      </c>
      <c r="AS62" s="34">
        <f>IFERROR(s_RadSpec!$J$27*(AS27*$B62),".")</f>
        <v>0</v>
      </c>
      <c r="AT62" s="34">
        <f>IFERROR(s_RadSpec!$J$27*(AT27*$B62),".")</f>
        <v>0</v>
      </c>
      <c r="AU62" s="34">
        <f>IFERROR(s_RadSpec!$J$27*(AU27*$B62),".")</f>
        <v>0</v>
      </c>
      <c r="AV62" s="34">
        <f>IFERROR(s_RadSpec!$J$27*(AV27*$B62),".")</f>
        <v>0</v>
      </c>
      <c r="AW62" s="34">
        <f>IFERROR(s_RadSpec!$J$27*(AW27*$B62),".")</f>
        <v>0</v>
      </c>
      <c r="AX62" s="34">
        <f>IFERROR(s_RadSpec!$J$27*(AX27*$B62),".")</f>
        <v>0</v>
      </c>
      <c r="AY62" s="34">
        <f>IFERROR(s_RadSpec!$J$27*(AY27*$B62),".")</f>
        <v>0</v>
      </c>
      <c r="AZ62" s="34">
        <f>IFERROR(s_RadSpec!$J$27*(AZ27*$B62),".")</f>
        <v>0</v>
      </c>
      <c r="BA62" s="42">
        <f t="shared" ref="BA62:BY62" si="139">IFERROR(BA27/$B62,0)</f>
        <v>0</v>
      </c>
      <c r="BB62" s="42">
        <f t="shared" si="139"/>
        <v>0</v>
      </c>
      <c r="BC62" s="42">
        <f t="shared" si="139"/>
        <v>0</v>
      </c>
      <c r="BD62" s="42">
        <f t="shared" si="139"/>
        <v>0</v>
      </c>
      <c r="BE62" s="42">
        <f t="shared" si="139"/>
        <v>0</v>
      </c>
      <c r="BF62" s="42">
        <f t="shared" si="139"/>
        <v>0</v>
      </c>
      <c r="BG62" s="42">
        <f t="shared" si="139"/>
        <v>0</v>
      </c>
      <c r="BH62" s="42">
        <f t="shared" si="139"/>
        <v>0</v>
      </c>
      <c r="BI62" s="42">
        <f t="shared" si="139"/>
        <v>0</v>
      </c>
      <c r="BJ62" s="42">
        <f t="shared" si="139"/>
        <v>0</v>
      </c>
      <c r="BK62" s="42">
        <f t="shared" si="139"/>
        <v>0</v>
      </c>
      <c r="BL62" s="42">
        <f t="shared" si="139"/>
        <v>0</v>
      </c>
      <c r="BM62" s="42">
        <f t="shared" si="139"/>
        <v>0</v>
      </c>
      <c r="BN62" s="42">
        <f t="shared" si="139"/>
        <v>0</v>
      </c>
      <c r="BO62" s="42">
        <f t="shared" si="139"/>
        <v>0</v>
      </c>
      <c r="BP62" s="42">
        <f t="shared" si="139"/>
        <v>0</v>
      </c>
      <c r="BQ62" s="42">
        <f t="shared" si="139"/>
        <v>0</v>
      </c>
      <c r="BR62" s="42">
        <f t="shared" si="139"/>
        <v>0</v>
      </c>
      <c r="BS62" s="42">
        <f t="shared" si="139"/>
        <v>0</v>
      </c>
      <c r="BT62" s="42">
        <f t="shared" si="139"/>
        <v>0</v>
      </c>
      <c r="BU62" s="42">
        <f t="shared" si="139"/>
        <v>0</v>
      </c>
      <c r="BV62" s="42">
        <f t="shared" si="139"/>
        <v>0</v>
      </c>
      <c r="BW62" s="42">
        <f t="shared" si="139"/>
        <v>0</v>
      </c>
      <c r="BX62" s="42">
        <f t="shared" si="139"/>
        <v>0</v>
      </c>
      <c r="BY62" s="42">
        <f t="shared" si="139"/>
        <v>0</v>
      </c>
      <c r="BZ62" s="34">
        <f t="shared" si="35"/>
        <v>0</v>
      </c>
      <c r="CA62" s="34">
        <f>IFERROR(s_RadSpec!$J$27*(AC27*$B62),".")</f>
        <v>0</v>
      </c>
      <c r="CB62" s="34">
        <f>IFERROR(s_RadSpec!$J$27*(AC27*$B62),".")</f>
        <v>0</v>
      </c>
      <c r="CC62" s="34">
        <f>IFERROR(s_RadSpec!$J$27*(AC27*$B62),".")</f>
        <v>0</v>
      </c>
      <c r="CD62" s="34">
        <f>IFERROR(s_RadSpec!$J$27*(AC27*$B62),".")</f>
        <v>0</v>
      </c>
      <c r="CE62" s="34">
        <f>IFERROR(s_RadSpec!$J$27*(AC27*$B62),".")</f>
        <v>0</v>
      </c>
      <c r="CF62" s="34">
        <f>IFERROR(s_RadSpec!$J$27*(AC27*$B62),".")</f>
        <v>0</v>
      </c>
      <c r="CG62" s="34">
        <f>IFERROR(s_RadSpec!$J$27*(AC27*$B62),".")</f>
        <v>0</v>
      </c>
      <c r="CH62" s="34">
        <f>IFERROR(s_RadSpec!$J$27*(AC27*$B62),".")</f>
        <v>0</v>
      </c>
      <c r="CI62" s="34">
        <f>IFERROR(s_RadSpec!$J$27*(AC27*$B62),".")</f>
        <v>0</v>
      </c>
      <c r="CJ62" s="34">
        <f>IFERROR(s_RadSpec!$J$27*(AC27*$B62),".")</f>
        <v>0</v>
      </c>
      <c r="CK62" s="34">
        <f>IFERROR(s_RadSpec!$J$27*(AC27*$B62),".")</f>
        <v>0</v>
      </c>
      <c r="CL62" s="34">
        <f>IFERROR(s_RadSpec!$J$27*(AC27*$B62),".")</f>
        <v>0</v>
      </c>
      <c r="CM62" s="34">
        <f>IFERROR(s_RadSpec!$J$27*(AC27*$B62),".")</f>
        <v>0</v>
      </c>
      <c r="CN62" s="34">
        <f>IFERROR(s_RadSpec!$J$27*(AC27*$B62),".")</f>
        <v>0</v>
      </c>
      <c r="CO62" s="34">
        <f>IFERROR(s_RadSpec!$J$27*(AC27*$B62),".")</f>
        <v>0</v>
      </c>
      <c r="CP62" s="34">
        <f>IFERROR(s_RadSpec!$J$27*(AC27*$B62),".")</f>
        <v>0</v>
      </c>
      <c r="CQ62" s="34">
        <f>IFERROR(s_RadSpec!$J$27*(AC27*$B62),".")</f>
        <v>0</v>
      </c>
      <c r="CR62" s="34">
        <f>IFERROR(s_RadSpec!$J$27*(AC27*$B62),".")</f>
        <v>0</v>
      </c>
      <c r="CS62" s="34">
        <f>IFERROR(s_RadSpec!$J$27*(AC27*$B62),".")</f>
        <v>0</v>
      </c>
      <c r="CT62" s="34">
        <f>IFERROR(s_RadSpec!$J$27*(AC27*$B62),".")</f>
        <v>0</v>
      </c>
      <c r="CU62" s="34">
        <f>IFERROR(s_RadSpec!$J$27*(AC27*$B62),".")</f>
        <v>0</v>
      </c>
      <c r="CV62" s="34">
        <f>IFERROR(s_RadSpec!$J$27*(AC27*$B62),".")</f>
        <v>0</v>
      </c>
      <c r="CW62" s="34">
        <f>IFERROR(s_RadSpec!$J$27*(AC27*$B62),".")</f>
        <v>0</v>
      </c>
      <c r="CX62" s="34">
        <f>IFERROR(s_RadSpec!$J$27*(AC27*$B62),".")</f>
        <v>0</v>
      </c>
    </row>
    <row r="63" spans="1:102" x14ac:dyDescent="0.25">
      <c r="A63" s="54" t="s">
        <v>23</v>
      </c>
      <c r="B63" s="54" t="s">
        <v>1059</v>
      </c>
      <c r="C63" s="40">
        <f t="shared" ref="C63:AA63" si="140">1/SUM(1/C66,1/C68,1/C72,1/C73,1/C75)</f>
        <v>5.6513214969902084</v>
      </c>
      <c r="D63" s="40">
        <f t="shared" si="140"/>
        <v>18.547622711881701</v>
      </c>
      <c r="E63" s="40">
        <f t="shared" si="140"/>
        <v>6.759138285348528</v>
      </c>
      <c r="F63" s="40">
        <f t="shared" si="140"/>
        <v>14.165669590457862</v>
      </c>
      <c r="G63" s="40">
        <f t="shared" si="140"/>
        <v>18.547622711881701</v>
      </c>
      <c r="H63" s="40">
        <f t="shared" si="140"/>
        <v>16.77161398613886</v>
      </c>
      <c r="I63" s="40">
        <f t="shared" si="140"/>
        <v>6.759138285348528</v>
      </c>
      <c r="J63" s="40">
        <f t="shared" si="140"/>
        <v>14.165669590457862</v>
      </c>
      <c r="K63" s="40">
        <f t="shared" si="140"/>
        <v>18.547622711881701</v>
      </c>
      <c r="L63" s="40">
        <f t="shared" si="140"/>
        <v>22.755580045767772</v>
      </c>
      <c r="M63" s="40">
        <f t="shared" si="140"/>
        <v>16.77161398613886</v>
      </c>
      <c r="N63" s="40">
        <f t="shared" si="140"/>
        <v>6.759138285348528</v>
      </c>
      <c r="O63" s="40">
        <f t="shared" si="140"/>
        <v>20.539936454987025</v>
      </c>
      <c r="P63" s="40">
        <f t="shared" si="140"/>
        <v>16.77161398613886</v>
      </c>
      <c r="Q63" s="40">
        <f t="shared" si="140"/>
        <v>16.77161398613886</v>
      </c>
      <c r="R63" s="40">
        <f t="shared" si="140"/>
        <v>18.547622711881701</v>
      </c>
      <c r="S63" s="40">
        <f t="shared" si="140"/>
        <v>18.547622711881701</v>
      </c>
      <c r="T63" s="40">
        <f t="shared" si="140"/>
        <v>20.539936454987025</v>
      </c>
      <c r="U63" s="40">
        <f t="shared" si="140"/>
        <v>20.364029940381645</v>
      </c>
      <c r="V63" s="40">
        <f t="shared" si="140"/>
        <v>16.77161398613886</v>
      </c>
      <c r="W63" s="40">
        <f t="shared" si="140"/>
        <v>20.539936454987025</v>
      </c>
      <c r="X63" s="40">
        <f t="shared" si="140"/>
        <v>18.547622711881701</v>
      </c>
      <c r="Y63" s="40">
        <f t="shared" si="140"/>
        <v>16.77161398613886</v>
      </c>
      <c r="Z63" s="40">
        <f t="shared" si="140"/>
        <v>14.72775150227349</v>
      </c>
      <c r="AA63" s="40">
        <f t="shared" si="140"/>
        <v>18.137144571268987</v>
      </c>
      <c r="AB63" s="33">
        <f t="shared" si="4"/>
        <v>4.4237440770825991</v>
      </c>
      <c r="AC63" s="33">
        <f>IFERROR(SUM(AC64:AC76),".")</f>
        <v>1.3478816335844959</v>
      </c>
      <c r="AD63" s="33">
        <f t="shared" ref="AD63:AZ63" si="141">IFERROR(SUM(AD64:AD76),".")</f>
        <v>3.6986963344412338</v>
      </c>
      <c r="AE63" s="33">
        <f t="shared" si="141"/>
        <v>1.7648300943599771</v>
      </c>
      <c r="AF63" s="33">
        <f t="shared" si="141"/>
        <v>1.3478816335844959</v>
      </c>
      <c r="AG63" s="33">
        <f t="shared" si="141"/>
        <v>1.490613844359977</v>
      </c>
      <c r="AH63" s="33">
        <f t="shared" si="141"/>
        <v>3.6986963344412338</v>
      </c>
      <c r="AI63" s="33">
        <f t="shared" si="141"/>
        <v>1.7648300943599771</v>
      </c>
      <c r="AJ63" s="33">
        <f t="shared" si="141"/>
        <v>1.3478816335844959</v>
      </c>
      <c r="AK63" s="33">
        <f t="shared" si="141"/>
        <v>1.0986316301196488</v>
      </c>
      <c r="AL63" s="33">
        <f t="shared" si="141"/>
        <v>1.490613844359977</v>
      </c>
      <c r="AM63" s="33">
        <f t="shared" si="141"/>
        <v>3.6986963344412338</v>
      </c>
      <c r="AN63" s="33">
        <f t="shared" si="141"/>
        <v>1.2171410585805436</v>
      </c>
      <c r="AO63" s="33">
        <f t="shared" si="141"/>
        <v>1.490613844359977</v>
      </c>
      <c r="AP63" s="33">
        <f t="shared" si="141"/>
        <v>1.490613844359977</v>
      </c>
      <c r="AQ63" s="33">
        <f t="shared" si="141"/>
        <v>1.3478816335844959</v>
      </c>
      <c r="AR63" s="33">
        <f t="shared" si="141"/>
        <v>1.3478816335844959</v>
      </c>
      <c r="AS63" s="33">
        <f t="shared" si="141"/>
        <v>1.2171410585805436</v>
      </c>
      <c r="AT63" s="33">
        <f t="shared" si="141"/>
        <v>1.2276548440161776</v>
      </c>
      <c r="AU63" s="33">
        <f t="shared" si="141"/>
        <v>1.490613844359977</v>
      </c>
      <c r="AV63" s="33">
        <f t="shared" si="141"/>
        <v>1.2171410585805436</v>
      </c>
      <c r="AW63" s="33">
        <f t="shared" si="141"/>
        <v>1.3478816335844959</v>
      </c>
      <c r="AX63" s="33">
        <f t="shared" si="141"/>
        <v>1.490613844359977</v>
      </c>
      <c r="AY63" s="33">
        <f t="shared" si="141"/>
        <v>1.6974756802585111</v>
      </c>
      <c r="AZ63" s="33">
        <f t="shared" si="141"/>
        <v>1.3783867632395919</v>
      </c>
      <c r="BA63" s="40">
        <f t="shared" ref="BA63:BY63" si="142">1/SUM(1/BA66,1/BA68,1/BA72,1/BA73,1/BA75)</f>
        <v>5.6513214969902084</v>
      </c>
      <c r="BB63" s="40">
        <f t="shared" si="142"/>
        <v>18.547622711881701</v>
      </c>
      <c r="BC63" s="40">
        <f t="shared" si="142"/>
        <v>6.759138285348528</v>
      </c>
      <c r="BD63" s="40">
        <f t="shared" si="142"/>
        <v>14.165669590457862</v>
      </c>
      <c r="BE63" s="40">
        <f t="shared" si="142"/>
        <v>18.547622711881701</v>
      </c>
      <c r="BF63" s="40">
        <f t="shared" si="142"/>
        <v>16.77161398613886</v>
      </c>
      <c r="BG63" s="40">
        <f t="shared" si="142"/>
        <v>6.759138285348528</v>
      </c>
      <c r="BH63" s="40">
        <f t="shared" si="142"/>
        <v>14.165669590457862</v>
      </c>
      <c r="BI63" s="40">
        <f t="shared" si="142"/>
        <v>18.547622711881701</v>
      </c>
      <c r="BJ63" s="40">
        <f t="shared" si="142"/>
        <v>22.755580045767772</v>
      </c>
      <c r="BK63" s="40">
        <f t="shared" si="142"/>
        <v>16.77161398613886</v>
      </c>
      <c r="BL63" s="40">
        <f t="shared" si="142"/>
        <v>6.759138285348528</v>
      </c>
      <c r="BM63" s="40">
        <f t="shared" si="142"/>
        <v>20.539936454987025</v>
      </c>
      <c r="BN63" s="40">
        <f t="shared" si="142"/>
        <v>16.77161398613886</v>
      </c>
      <c r="BO63" s="40">
        <f t="shared" si="142"/>
        <v>16.77161398613886</v>
      </c>
      <c r="BP63" s="40">
        <f t="shared" si="142"/>
        <v>18.547622711881701</v>
      </c>
      <c r="BQ63" s="40">
        <f t="shared" si="142"/>
        <v>18.547622711881701</v>
      </c>
      <c r="BR63" s="40">
        <f t="shared" si="142"/>
        <v>20.539936454987025</v>
      </c>
      <c r="BS63" s="40">
        <f t="shared" si="142"/>
        <v>20.364029940381645</v>
      </c>
      <c r="BT63" s="40">
        <f t="shared" si="142"/>
        <v>16.77161398613886</v>
      </c>
      <c r="BU63" s="40">
        <f t="shared" si="142"/>
        <v>20.539936454987025</v>
      </c>
      <c r="BV63" s="40">
        <f t="shared" si="142"/>
        <v>18.547622711881701</v>
      </c>
      <c r="BW63" s="40">
        <f t="shared" si="142"/>
        <v>16.77161398613886</v>
      </c>
      <c r="BX63" s="40">
        <f t="shared" si="142"/>
        <v>14.72775150227349</v>
      </c>
      <c r="BY63" s="40">
        <f t="shared" si="142"/>
        <v>18.137144571268987</v>
      </c>
      <c r="BZ63" s="33">
        <f t="shared" si="35"/>
        <v>4.0436449007534874</v>
      </c>
      <c r="CA63" s="33">
        <f>IFERROR(SUM(CA64:CA76),".")</f>
        <v>1.3478816335844959</v>
      </c>
      <c r="CB63" s="33">
        <f t="shared" ref="CB63" si="143">IFERROR(SUM(CB64:CB76),".")</f>
        <v>1.3478816335844959</v>
      </c>
      <c r="CC63" s="33">
        <f t="shared" ref="CC63" si="144">IFERROR(SUM(CC64:CC76),".")</f>
        <v>1.3478816335844959</v>
      </c>
      <c r="CD63" s="33">
        <f t="shared" ref="CD63" si="145">IFERROR(SUM(CD64:CD76),".")</f>
        <v>1.3478816335844959</v>
      </c>
      <c r="CE63" s="33">
        <f t="shared" ref="CE63" si="146">IFERROR(SUM(CE64:CE76),".")</f>
        <v>1.3478816335844959</v>
      </c>
      <c r="CF63" s="33">
        <f t="shared" ref="CF63" si="147">IFERROR(SUM(CF64:CF76),".")</f>
        <v>1.3478816335844959</v>
      </c>
      <c r="CG63" s="33">
        <f t="shared" ref="CG63" si="148">IFERROR(SUM(CG64:CG76),".")</f>
        <v>1.3478816335844959</v>
      </c>
      <c r="CH63" s="33">
        <f t="shared" ref="CH63" si="149">IFERROR(SUM(CH64:CH76),".")</f>
        <v>1.3478816335844959</v>
      </c>
      <c r="CI63" s="33">
        <f t="shared" ref="CI63" si="150">IFERROR(SUM(CI64:CI76),".")</f>
        <v>1.3478816335844959</v>
      </c>
      <c r="CJ63" s="33">
        <f t="shared" ref="CJ63" si="151">IFERROR(SUM(CJ64:CJ76),".")</f>
        <v>1.3478816335844959</v>
      </c>
      <c r="CK63" s="33">
        <f t="shared" ref="CK63" si="152">IFERROR(SUM(CK64:CK76),".")</f>
        <v>1.3478816335844959</v>
      </c>
      <c r="CL63" s="33">
        <f t="shared" ref="CL63" si="153">IFERROR(SUM(CL64:CL76),".")</f>
        <v>1.3478816335844959</v>
      </c>
      <c r="CM63" s="33">
        <f t="shared" ref="CM63" si="154">IFERROR(SUM(CM64:CM76),".")</f>
        <v>1.3478816335844959</v>
      </c>
      <c r="CN63" s="33">
        <f t="shared" ref="CN63" si="155">IFERROR(SUM(CN64:CN76),".")</f>
        <v>1.3478816335844959</v>
      </c>
      <c r="CO63" s="33">
        <f t="shared" ref="CO63" si="156">IFERROR(SUM(CO64:CO76),".")</f>
        <v>1.3478816335844959</v>
      </c>
      <c r="CP63" s="33">
        <f t="shared" ref="CP63" si="157">IFERROR(SUM(CP64:CP76),".")</f>
        <v>1.3478816335844959</v>
      </c>
      <c r="CQ63" s="33">
        <f t="shared" ref="CQ63" si="158">IFERROR(SUM(CQ64:CQ76),".")</f>
        <v>1.3478816335844959</v>
      </c>
      <c r="CR63" s="33">
        <f t="shared" ref="CR63" si="159">IFERROR(SUM(CR64:CR76),".")</f>
        <v>1.3478816335844959</v>
      </c>
      <c r="CS63" s="33">
        <f t="shared" ref="CS63" si="160">IFERROR(SUM(CS64:CS76),".")</f>
        <v>1.3478816335844959</v>
      </c>
      <c r="CT63" s="33">
        <f t="shared" ref="CT63" si="161">IFERROR(SUM(CT64:CT76),".")</f>
        <v>1.3478816335844959</v>
      </c>
      <c r="CU63" s="33">
        <f t="shared" ref="CU63" si="162">IFERROR(SUM(CU64:CU76),".")</f>
        <v>1.3478816335844959</v>
      </c>
      <c r="CV63" s="33">
        <f t="shared" ref="CV63" si="163">IFERROR(SUM(CV64:CV76),".")</f>
        <v>1.3478816335844959</v>
      </c>
      <c r="CW63" s="33">
        <f t="shared" ref="CW63" si="164">IFERROR(SUM(CW64:CW76),".")</f>
        <v>1.3478816335844959</v>
      </c>
      <c r="CX63" s="33">
        <f t="shared" ref="CX63" si="165">IFERROR(SUM(CX64:CX76),".")</f>
        <v>1.3478816335844959</v>
      </c>
    </row>
    <row r="64" spans="1:102" x14ac:dyDescent="0.25">
      <c r="A64" s="55" t="s">
        <v>1075</v>
      </c>
      <c r="B64" s="3">
        <v>1</v>
      </c>
      <c r="C64" s="42">
        <f t="shared" ref="C64:AA64" si="166">IFERROR(C25/$B50,0)</f>
        <v>0</v>
      </c>
      <c r="D64" s="42">
        <f t="shared" si="166"/>
        <v>0</v>
      </c>
      <c r="E64" s="42">
        <f t="shared" si="166"/>
        <v>0</v>
      </c>
      <c r="F64" s="42">
        <f t="shared" si="166"/>
        <v>0</v>
      </c>
      <c r="G64" s="42">
        <f t="shared" si="166"/>
        <v>0</v>
      </c>
      <c r="H64" s="42">
        <f t="shared" si="166"/>
        <v>0</v>
      </c>
      <c r="I64" s="42">
        <f t="shared" si="166"/>
        <v>0</v>
      </c>
      <c r="J64" s="42">
        <f t="shared" si="166"/>
        <v>0</v>
      </c>
      <c r="K64" s="42">
        <f t="shared" si="166"/>
        <v>0</v>
      </c>
      <c r="L64" s="42">
        <f t="shared" si="166"/>
        <v>0</v>
      </c>
      <c r="M64" s="42">
        <f t="shared" si="166"/>
        <v>0</v>
      </c>
      <c r="N64" s="42">
        <f t="shared" si="166"/>
        <v>0</v>
      </c>
      <c r="O64" s="42">
        <f t="shared" si="166"/>
        <v>0</v>
      </c>
      <c r="P64" s="42">
        <f t="shared" si="166"/>
        <v>0</v>
      </c>
      <c r="Q64" s="42">
        <f t="shared" si="166"/>
        <v>0</v>
      </c>
      <c r="R64" s="42">
        <f t="shared" si="166"/>
        <v>0</v>
      </c>
      <c r="S64" s="42">
        <f t="shared" si="166"/>
        <v>0</v>
      </c>
      <c r="T64" s="42">
        <f t="shared" si="166"/>
        <v>0</v>
      </c>
      <c r="U64" s="42">
        <f t="shared" si="166"/>
        <v>0</v>
      </c>
      <c r="V64" s="42">
        <f t="shared" si="166"/>
        <v>0</v>
      </c>
      <c r="W64" s="42">
        <f t="shared" si="166"/>
        <v>0</v>
      </c>
      <c r="X64" s="42">
        <f t="shared" si="166"/>
        <v>0</v>
      </c>
      <c r="Y64" s="42">
        <f t="shared" si="166"/>
        <v>0</v>
      </c>
      <c r="Z64" s="42">
        <f t="shared" si="166"/>
        <v>0</v>
      </c>
      <c r="AA64" s="42">
        <f t="shared" si="166"/>
        <v>0</v>
      </c>
      <c r="AB64" s="34">
        <f t="shared" si="4"/>
        <v>0</v>
      </c>
      <c r="AC64" s="34">
        <f>IFERROR(s_RadSpec!$J$25*(AC25*$B64),".")</f>
        <v>0</v>
      </c>
      <c r="AD64" s="34">
        <f>IFERROR(s_RadSpec!$J$25*(AD25*$B64),".")</f>
        <v>0</v>
      </c>
      <c r="AE64" s="34">
        <f>IFERROR(s_RadSpec!$J$25*(AE25*$B64),".")</f>
        <v>0</v>
      </c>
      <c r="AF64" s="34">
        <f>IFERROR(s_RadSpec!$J$25*(AF25*$B64),".")</f>
        <v>0</v>
      </c>
      <c r="AG64" s="34">
        <f>IFERROR(s_RadSpec!$J$25*(AG25*$B64),".")</f>
        <v>0</v>
      </c>
      <c r="AH64" s="34">
        <f>IFERROR(s_RadSpec!$J$25*(AH25*$B64),".")</f>
        <v>0</v>
      </c>
      <c r="AI64" s="34">
        <f>IFERROR(s_RadSpec!$J$25*(AI25*$B64),".")</f>
        <v>0</v>
      </c>
      <c r="AJ64" s="34">
        <f>IFERROR(s_RadSpec!$J$25*(AJ25*$B64),".")</f>
        <v>0</v>
      </c>
      <c r="AK64" s="34">
        <f>IFERROR(s_RadSpec!$J$25*(AK25*$B64),".")</f>
        <v>0</v>
      </c>
      <c r="AL64" s="34">
        <f>IFERROR(s_RadSpec!$J$25*(AL25*$B64),".")</f>
        <v>0</v>
      </c>
      <c r="AM64" s="34">
        <f>IFERROR(s_RadSpec!$J$25*(AM25*$B64),".")</f>
        <v>0</v>
      </c>
      <c r="AN64" s="34">
        <f>IFERROR(s_RadSpec!$J$25*(AN25*$B64),".")</f>
        <v>0</v>
      </c>
      <c r="AO64" s="34">
        <f>IFERROR(s_RadSpec!$J$25*(AO25*$B64),".")</f>
        <v>0</v>
      </c>
      <c r="AP64" s="34">
        <f>IFERROR(s_RadSpec!$J$25*(AP25*$B64),".")</f>
        <v>0</v>
      </c>
      <c r="AQ64" s="34">
        <f>IFERROR(s_RadSpec!$J$25*(AQ25*$B64),".")</f>
        <v>0</v>
      </c>
      <c r="AR64" s="34">
        <f>IFERROR(s_RadSpec!$J$25*(AR25*$B64),".")</f>
        <v>0</v>
      </c>
      <c r="AS64" s="34">
        <f>IFERROR(s_RadSpec!$J$25*(AS25*$B64),".")</f>
        <v>0</v>
      </c>
      <c r="AT64" s="34">
        <f>IFERROR(s_RadSpec!$J$25*(AT25*$B64),".")</f>
        <v>0</v>
      </c>
      <c r="AU64" s="34">
        <f>IFERROR(s_RadSpec!$J$25*(AU25*$B64),".")</f>
        <v>0</v>
      </c>
      <c r="AV64" s="34">
        <f>IFERROR(s_RadSpec!$J$25*(AV25*$B64),".")</f>
        <v>0</v>
      </c>
      <c r="AW64" s="34">
        <f>IFERROR(s_RadSpec!$J$25*(AW25*$B64),".")</f>
        <v>0</v>
      </c>
      <c r="AX64" s="34">
        <f>IFERROR(s_RadSpec!$J$25*(AX25*$B64),".")</f>
        <v>0</v>
      </c>
      <c r="AY64" s="34">
        <f>IFERROR(s_RadSpec!$J$25*(AY25*$B64),".")</f>
        <v>0</v>
      </c>
      <c r="AZ64" s="34">
        <f>IFERROR(s_RadSpec!$J$25*(AZ25*$B64),".")</f>
        <v>0</v>
      </c>
      <c r="BA64" s="42">
        <f t="shared" ref="BA64:BY64" si="167">IFERROR(BA25/$B50,0)</f>
        <v>0</v>
      </c>
      <c r="BB64" s="42">
        <f t="shared" si="167"/>
        <v>0</v>
      </c>
      <c r="BC64" s="42">
        <f t="shared" si="167"/>
        <v>0</v>
      </c>
      <c r="BD64" s="42">
        <f t="shared" si="167"/>
        <v>0</v>
      </c>
      <c r="BE64" s="42">
        <f t="shared" si="167"/>
        <v>0</v>
      </c>
      <c r="BF64" s="42">
        <f t="shared" si="167"/>
        <v>0</v>
      </c>
      <c r="BG64" s="42">
        <f t="shared" si="167"/>
        <v>0</v>
      </c>
      <c r="BH64" s="42">
        <f t="shared" si="167"/>
        <v>0</v>
      </c>
      <c r="BI64" s="42">
        <f t="shared" si="167"/>
        <v>0</v>
      </c>
      <c r="BJ64" s="42">
        <f t="shared" si="167"/>
        <v>0</v>
      </c>
      <c r="BK64" s="42">
        <f t="shared" si="167"/>
        <v>0</v>
      </c>
      <c r="BL64" s="42">
        <f t="shared" si="167"/>
        <v>0</v>
      </c>
      <c r="BM64" s="42">
        <f t="shared" si="167"/>
        <v>0</v>
      </c>
      <c r="BN64" s="42">
        <f t="shared" si="167"/>
        <v>0</v>
      </c>
      <c r="BO64" s="42">
        <f t="shared" si="167"/>
        <v>0</v>
      </c>
      <c r="BP64" s="42">
        <f t="shared" si="167"/>
        <v>0</v>
      </c>
      <c r="BQ64" s="42">
        <f t="shared" si="167"/>
        <v>0</v>
      </c>
      <c r="BR64" s="42">
        <f t="shared" si="167"/>
        <v>0</v>
      </c>
      <c r="BS64" s="42">
        <f t="shared" si="167"/>
        <v>0</v>
      </c>
      <c r="BT64" s="42">
        <f t="shared" si="167"/>
        <v>0</v>
      </c>
      <c r="BU64" s="42">
        <f t="shared" si="167"/>
        <v>0</v>
      </c>
      <c r="BV64" s="42">
        <f t="shared" si="167"/>
        <v>0</v>
      </c>
      <c r="BW64" s="42">
        <f t="shared" si="167"/>
        <v>0</v>
      </c>
      <c r="BX64" s="42">
        <f t="shared" si="167"/>
        <v>0</v>
      </c>
      <c r="BY64" s="42">
        <f t="shared" si="167"/>
        <v>0</v>
      </c>
      <c r="BZ64" s="34">
        <f t="shared" si="35"/>
        <v>0</v>
      </c>
      <c r="CA64" s="34">
        <f>IFERROR(s_RadSpec!$J$25*(AC25*$B64),".")</f>
        <v>0</v>
      </c>
      <c r="CB64" s="34">
        <f>IFERROR(s_RadSpec!$J$25*(AC25*$B64),".")</f>
        <v>0</v>
      </c>
      <c r="CC64" s="34">
        <f>IFERROR(s_RadSpec!$J$25*(AC25*$B64),".")</f>
        <v>0</v>
      </c>
      <c r="CD64" s="34">
        <f>IFERROR(s_RadSpec!$J$25*(AC25*$B64),".")</f>
        <v>0</v>
      </c>
      <c r="CE64" s="34">
        <f>IFERROR(s_RadSpec!$J$25*(AC25*$B64),".")</f>
        <v>0</v>
      </c>
      <c r="CF64" s="34">
        <f>IFERROR(s_RadSpec!$J$25*(AC25*$B64),".")</f>
        <v>0</v>
      </c>
      <c r="CG64" s="34">
        <f>IFERROR(s_RadSpec!$J$25*(AC25*$B64),".")</f>
        <v>0</v>
      </c>
      <c r="CH64" s="34">
        <f>IFERROR(s_RadSpec!$J$25*(AC25*$B64),".")</f>
        <v>0</v>
      </c>
      <c r="CI64" s="34">
        <f>IFERROR(s_RadSpec!$J$25*(AC25*$B64),".")</f>
        <v>0</v>
      </c>
      <c r="CJ64" s="34">
        <f>IFERROR(s_RadSpec!$J$25*(AC25*$B64),".")</f>
        <v>0</v>
      </c>
      <c r="CK64" s="34">
        <f>IFERROR(s_RadSpec!$J$25*(AC25*$B64),".")</f>
        <v>0</v>
      </c>
      <c r="CL64" s="34">
        <f>IFERROR(s_RadSpec!$J$25*(AC25*$B64),".")</f>
        <v>0</v>
      </c>
      <c r="CM64" s="34">
        <f>IFERROR(s_RadSpec!$J$25*(AC25*$B64),".")</f>
        <v>0</v>
      </c>
      <c r="CN64" s="34">
        <f>IFERROR(s_RadSpec!$J$25*(AC25*$B64),".")</f>
        <v>0</v>
      </c>
      <c r="CO64" s="34">
        <f>IFERROR(s_RadSpec!$J$25*(AC25*$B64),".")</f>
        <v>0</v>
      </c>
      <c r="CP64" s="34">
        <f>IFERROR(s_RadSpec!$J$25*(AC25*$B64),".")</f>
        <v>0</v>
      </c>
      <c r="CQ64" s="34">
        <f>IFERROR(s_RadSpec!$J$25*(AC25*$B64),".")</f>
        <v>0</v>
      </c>
      <c r="CR64" s="34">
        <f>IFERROR(s_RadSpec!$J$25*(AC25*$B64),".")</f>
        <v>0</v>
      </c>
      <c r="CS64" s="34">
        <f>IFERROR(s_RadSpec!$J$25*(AC25*$B64),".")</f>
        <v>0</v>
      </c>
      <c r="CT64" s="34">
        <f>IFERROR(s_RadSpec!$J$25*(AC25*$B64),".")</f>
        <v>0</v>
      </c>
      <c r="CU64" s="34">
        <f>IFERROR(s_RadSpec!$J$25*(AC25*$B64),".")</f>
        <v>0</v>
      </c>
      <c r="CV64" s="34">
        <f>IFERROR(s_RadSpec!$J$25*(AC25*$B64),".")</f>
        <v>0</v>
      </c>
      <c r="CW64" s="34">
        <f>IFERROR(s_RadSpec!$J$25*(AC25*$B64),".")</f>
        <v>0</v>
      </c>
      <c r="CX64" s="34">
        <f>IFERROR(s_RadSpec!$J$25*(AC25*$B64),".")</f>
        <v>0</v>
      </c>
    </row>
    <row r="65" spans="1:102" x14ac:dyDescent="0.25">
      <c r="A65" s="55" t="s">
        <v>1061</v>
      </c>
      <c r="B65" s="3">
        <v>1</v>
      </c>
      <c r="C65" s="42">
        <f t="shared" ref="C65:AA65" si="168">IFERROR(C21/$B51,0)</f>
        <v>0</v>
      </c>
      <c r="D65" s="42">
        <f t="shared" si="168"/>
        <v>0</v>
      </c>
      <c r="E65" s="42">
        <f t="shared" si="168"/>
        <v>0</v>
      </c>
      <c r="F65" s="42">
        <f t="shared" si="168"/>
        <v>0</v>
      </c>
      <c r="G65" s="42">
        <f t="shared" si="168"/>
        <v>0</v>
      </c>
      <c r="H65" s="42">
        <f t="shared" si="168"/>
        <v>0</v>
      </c>
      <c r="I65" s="42">
        <f t="shared" si="168"/>
        <v>0</v>
      </c>
      <c r="J65" s="42">
        <f t="shared" si="168"/>
        <v>0</v>
      </c>
      <c r="K65" s="42">
        <f t="shared" si="168"/>
        <v>0</v>
      </c>
      <c r="L65" s="42">
        <f t="shared" si="168"/>
        <v>0</v>
      </c>
      <c r="M65" s="42">
        <f t="shared" si="168"/>
        <v>0</v>
      </c>
      <c r="N65" s="42">
        <f t="shared" si="168"/>
        <v>0</v>
      </c>
      <c r="O65" s="42">
        <f t="shared" si="168"/>
        <v>0</v>
      </c>
      <c r="P65" s="42">
        <f t="shared" si="168"/>
        <v>0</v>
      </c>
      <c r="Q65" s="42">
        <f t="shared" si="168"/>
        <v>0</v>
      </c>
      <c r="R65" s="42">
        <f t="shared" si="168"/>
        <v>0</v>
      </c>
      <c r="S65" s="42">
        <f t="shared" si="168"/>
        <v>0</v>
      </c>
      <c r="T65" s="42">
        <f t="shared" si="168"/>
        <v>0</v>
      </c>
      <c r="U65" s="42">
        <f t="shared" si="168"/>
        <v>0</v>
      </c>
      <c r="V65" s="42">
        <f t="shared" si="168"/>
        <v>0</v>
      </c>
      <c r="W65" s="42">
        <f t="shared" si="168"/>
        <v>0</v>
      </c>
      <c r="X65" s="42">
        <f t="shared" si="168"/>
        <v>0</v>
      </c>
      <c r="Y65" s="42">
        <f t="shared" si="168"/>
        <v>0</v>
      </c>
      <c r="Z65" s="42">
        <f t="shared" si="168"/>
        <v>0</v>
      </c>
      <c r="AA65" s="42">
        <f t="shared" si="168"/>
        <v>0</v>
      </c>
      <c r="AB65" s="34">
        <f t="shared" si="4"/>
        <v>0</v>
      </c>
      <c r="AC65" s="34">
        <f>IFERROR(s_RadSpec!$J$21*(AC21*$B65),".")</f>
        <v>0</v>
      </c>
      <c r="AD65" s="34">
        <f>IFERROR(s_RadSpec!$J$21*(AD21*$B65),".")</f>
        <v>0</v>
      </c>
      <c r="AE65" s="34">
        <f>IFERROR(s_RadSpec!$J$21*(AE21*$B65),".")</f>
        <v>0</v>
      </c>
      <c r="AF65" s="34">
        <f>IFERROR(s_RadSpec!$J$21*(AF21*$B65),".")</f>
        <v>0</v>
      </c>
      <c r="AG65" s="34">
        <f>IFERROR(s_RadSpec!$J$21*(AG21*$B65),".")</f>
        <v>0</v>
      </c>
      <c r="AH65" s="34">
        <f>IFERROR(s_RadSpec!$J$21*(AH21*$B65),".")</f>
        <v>0</v>
      </c>
      <c r="AI65" s="34">
        <f>IFERROR(s_RadSpec!$J$21*(AI21*$B65),".")</f>
        <v>0</v>
      </c>
      <c r="AJ65" s="34">
        <f>IFERROR(s_RadSpec!$J$21*(AJ21*$B65),".")</f>
        <v>0</v>
      </c>
      <c r="AK65" s="34">
        <f>IFERROR(s_RadSpec!$J$21*(AK21*$B65),".")</f>
        <v>0</v>
      </c>
      <c r="AL65" s="34">
        <f>IFERROR(s_RadSpec!$J$21*(AL21*$B65),".")</f>
        <v>0</v>
      </c>
      <c r="AM65" s="34">
        <f>IFERROR(s_RadSpec!$J$21*(AM21*$B65),".")</f>
        <v>0</v>
      </c>
      <c r="AN65" s="34">
        <f>IFERROR(s_RadSpec!$J$21*(AN21*$B65),".")</f>
        <v>0</v>
      </c>
      <c r="AO65" s="34">
        <f>IFERROR(s_RadSpec!$J$21*(AO21*$B65),".")</f>
        <v>0</v>
      </c>
      <c r="AP65" s="34">
        <f>IFERROR(s_RadSpec!$J$21*(AP21*$B65),".")</f>
        <v>0</v>
      </c>
      <c r="AQ65" s="34">
        <f>IFERROR(s_RadSpec!$J$21*(AQ21*$B65),".")</f>
        <v>0</v>
      </c>
      <c r="AR65" s="34">
        <f>IFERROR(s_RadSpec!$J$21*(AR21*$B65),".")</f>
        <v>0</v>
      </c>
      <c r="AS65" s="34">
        <f>IFERROR(s_RadSpec!$J$21*(AS21*$B65),".")</f>
        <v>0</v>
      </c>
      <c r="AT65" s="34">
        <f>IFERROR(s_RadSpec!$J$21*(AT21*$B65),".")</f>
        <v>0</v>
      </c>
      <c r="AU65" s="34">
        <f>IFERROR(s_RadSpec!$J$21*(AU21*$B65),".")</f>
        <v>0</v>
      </c>
      <c r="AV65" s="34">
        <f>IFERROR(s_RadSpec!$J$21*(AV21*$B65),".")</f>
        <v>0</v>
      </c>
      <c r="AW65" s="34">
        <f>IFERROR(s_RadSpec!$J$21*(AW21*$B65),".")</f>
        <v>0</v>
      </c>
      <c r="AX65" s="34">
        <f>IFERROR(s_RadSpec!$J$21*(AX21*$B65),".")</f>
        <v>0</v>
      </c>
      <c r="AY65" s="34">
        <f>IFERROR(s_RadSpec!$J$21*(AY21*$B65),".")</f>
        <v>0</v>
      </c>
      <c r="AZ65" s="34">
        <f>IFERROR(s_RadSpec!$J$21*(AZ21*$B65),".")</f>
        <v>0</v>
      </c>
      <c r="BA65" s="42">
        <f t="shared" ref="BA65:BY65" si="169">IFERROR(BA21/$B51,0)</f>
        <v>0</v>
      </c>
      <c r="BB65" s="42">
        <f t="shared" si="169"/>
        <v>0</v>
      </c>
      <c r="BC65" s="42">
        <f t="shared" si="169"/>
        <v>0</v>
      </c>
      <c r="BD65" s="42">
        <f t="shared" si="169"/>
        <v>0</v>
      </c>
      <c r="BE65" s="42">
        <f t="shared" si="169"/>
        <v>0</v>
      </c>
      <c r="BF65" s="42">
        <f t="shared" si="169"/>
        <v>0</v>
      </c>
      <c r="BG65" s="42">
        <f t="shared" si="169"/>
        <v>0</v>
      </c>
      <c r="BH65" s="42">
        <f t="shared" si="169"/>
        <v>0</v>
      </c>
      <c r="BI65" s="42">
        <f t="shared" si="169"/>
        <v>0</v>
      </c>
      <c r="BJ65" s="42">
        <f t="shared" si="169"/>
        <v>0</v>
      </c>
      <c r="BK65" s="42">
        <f t="shared" si="169"/>
        <v>0</v>
      </c>
      <c r="BL65" s="42">
        <f t="shared" si="169"/>
        <v>0</v>
      </c>
      <c r="BM65" s="42">
        <f t="shared" si="169"/>
        <v>0</v>
      </c>
      <c r="BN65" s="42">
        <f t="shared" si="169"/>
        <v>0</v>
      </c>
      <c r="BO65" s="42">
        <f t="shared" si="169"/>
        <v>0</v>
      </c>
      <c r="BP65" s="42">
        <f t="shared" si="169"/>
        <v>0</v>
      </c>
      <c r="BQ65" s="42">
        <f t="shared" si="169"/>
        <v>0</v>
      </c>
      <c r="BR65" s="42">
        <f t="shared" si="169"/>
        <v>0</v>
      </c>
      <c r="BS65" s="42">
        <f t="shared" si="169"/>
        <v>0</v>
      </c>
      <c r="BT65" s="42">
        <f t="shared" si="169"/>
        <v>0</v>
      </c>
      <c r="BU65" s="42">
        <f t="shared" si="169"/>
        <v>0</v>
      </c>
      <c r="BV65" s="42">
        <f t="shared" si="169"/>
        <v>0</v>
      </c>
      <c r="BW65" s="42">
        <f t="shared" si="169"/>
        <v>0</v>
      </c>
      <c r="BX65" s="42">
        <f t="shared" si="169"/>
        <v>0</v>
      </c>
      <c r="BY65" s="42">
        <f t="shared" si="169"/>
        <v>0</v>
      </c>
      <c r="BZ65" s="34">
        <f t="shared" si="35"/>
        <v>0</v>
      </c>
      <c r="CA65" s="34">
        <f>IFERROR(s_RadSpec!$J$21*(AC21*$B65),".")</f>
        <v>0</v>
      </c>
      <c r="CB65" s="34">
        <f>IFERROR(s_RadSpec!$J$21*(AC21*$B65),".")</f>
        <v>0</v>
      </c>
      <c r="CC65" s="34">
        <f>IFERROR(s_RadSpec!$J$21*(AC21*$B65),".")</f>
        <v>0</v>
      </c>
      <c r="CD65" s="34">
        <f>IFERROR(s_RadSpec!$J$21*(AC21*$B65),".")</f>
        <v>0</v>
      </c>
      <c r="CE65" s="34">
        <f>IFERROR(s_RadSpec!$J$21*(AC21*$B65),".")</f>
        <v>0</v>
      </c>
      <c r="CF65" s="34">
        <f>IFERROR(s_RadSpec!$J$21*(AC21*$B65),".")</f>
        <v>0</v>
      </c>
      <c r="CG65" s="34">
        <f>IFERROR(s_RadSpec!$J$21*(AC21*$B65),".")</f>
        <v>0</v>
      </c>
      <c r="CH65" s="34">
        <f>IFERROR(s_RadSpec!$J$21*(AC21*$B65),".")</f>
        <v>0</v>
      </c>
      <c r="CI65" s="34">
        <f>IFERROR(s_RadSpec!$J$21*(AC21*$B65),".")</f>
        <v>0</v>
      </c>
      <c r="CJ65" s="34">
        <f>IFERROR(s_RadSpec!$J$21*(AC21*$B65),".")</f>
        <v>0</v>
      </c>
      <c r="CK65" s="34">
        <f>IFERROR(s_RadSpec!$J$21*(AC21*$B65),".")</f>
        <v>0</v>
      </c>
      <c r="CL65" s="34">
        <f>IFERROR(s_RadSpec!$J$21*(AC21*$B65),".")</f>
        <v>0</v>
      </c>
      <c r="CM65" s="34">
        <f>IFERROR(s_RadSpec!$J$21*(AC21*$B65),".")</f>
        <v>0</v>
      </c>
      <c r="CN65" s="34">
        <f>IFERROR(s_RadSpec!$J$21*(AC21*$B65),".")</f>
        <v>0</v>
      </c>
      <c r="CO65" s="34">
        <f>IFERROR(s_RadSpec!$J$21*(AC21*$B65),".")</f>
        <v>0</v>
      </c>
      <c r="CP65" s="34">
        <f>IFERROR(s_RadSpec!$J$21*(AC21*$B65),".")</f>
        <v>0</v>
      </c>
      <c r="CQ65" s="34">
        <f>IFERROR(s_RadSpec!$J$21*(AC21*$B65),".")</f>
        <v>0</v>
      </c>
      <c r="CR65" s="34">
        <f>IFERROR(s_RadSpec!$J$21*(AC21*$B65),".")</f>
        <v>0</v>
      </c>
      <c r="CS65" s="34">
        <f>IFERROR(s_RadSpec!$J$21*(AC21*$B65),".")</f>
        <v>0</v>
      </c>
      <c r="CT65" s="34">
        <f>IFERROR(s_RadSpec!$J$21*(AC21*$B65),".")</f>
        <v>0</v>
      </c>
      <c r="CU65" s="34">
        <f>IFERROR(s_RadSpec!$J$21*(AC21*$B65),".")</f>
        <v>0</v>
      </c>
      <c r="CV65" s="34">
        <f>IFERROR(s_RadSpec!$J$21*(AC21*$B65),".")</f>
        <v>0</v>
      </c>
      <c r="CW65" s="34">
        <f>IFERROR(s_RadSpec!$J$21*(AC21*$B65),".")</f>
        <v>0</v>
      </c>
      <c r="CX65" s="34">
        <f>IFERROR(s_RadSpec!$J$21*(AC21*$B65),".")</f>
        <v>0</v>
      </c>
    </row>
    <row r="66" spans="1:102" x14ac:dyDescent="0.25">
      <c r="A66" s="55" t="s">
        <v>1062</v>
      </c>
      <c r="B66" s="3">
        <v>0.99980000000000002</v>
      </c>
      <c r="C66" s="42">
        <f t="shared" ref="C66:AA66" si="170">IFERROR(C17/$B52,0)</f>
        <v>72675.577738435895</v>
      </c>
      <c r="D66" s="42">
        <f t="shared" si="170"/>
        <v>191090.38078544487</v>
      </c>
      <c r="E66" s="42">
        <f t="shared" si="170"/>
        <v>48028.063619871165</v>
      </c>
      <c r="F66" s="42">
        <f t="shared" si="170"/>
        <v>157565.7525774721</v>
      </c>
      <c r="G66" s="42">
        <f t="shared" si="170"/>
        <v>191090.38078544487</v>
      </c>
      <c r="H66" s="42">
        <f t="shared" si="170"/>
        <v>157565.7525774721</v>
      </c>
      <c r="I66" s="42">
        <f t="shared" si="170"/>
        <v>48028.063619871165</v>
      </c>
      <c r="J66" s="42">
        <f t="shared" si="170"/>
        <v>157565.7525774721</v>
      </c>
      <c r="K66" s="42">
        <f t="shared" si="170"/>
        <v>191090.38078544487</v>
      </c>
      <c r="L66" s="42">
        <f t="shared" si="170"/>
        <v>305484.62234407855</v>
      </c>
      <c r="M66" s="42">
        <f t="shared" si="170"/>
        <v>157565.7525774721</v>
      </c>
      <c r="N66" s="42">
        <f t="shared" si="170"/>
        <v>48028.063619871165</v>
      </c>
      <c r="O66" s="42">
        <f t="shared" si="170"/>
        <v>238862.97598180606</v>
      </c>
      <c r="P66" s="42">
        <f t="shared" si="170"/>
        <v>157565.7525774721</v>
      </c>
      <c r="Q66" s="42">
        <f t="shared" si="170"/>
        <v>157565.7525774721</v>
      </c>
      <c r="R66" s="42">
        <f t="shared" si="170"/>
        <v>191090.38078544487</v>
      </c>
      <c r="S66" s="42">
        <f t="shared" si="170"/>
        <v>191090.38078544487</v>
      </c>
      <c r="T66" s="42">
        <f t="shared" si="170"/>
        <v>238862.97598180606</v>
      </c>
      <c r="U66" s="42">
        <f t="shared" si="170"/>
        <v>299374.92989719694</v>
      </c>
      <c r="V66" s="42">
        <f t="shared" si="170"/>
        <v>157565.7525774721</v>
      </c>
      <c r="W66" s="42">
        <f t="shared" si="170"/>
        <v>238862.97598180606</v>
      </c>
      <c r="X66" s="42">
        <f t="shared" si="170"/>
        <v>191090.38078544487</v>
      </c>
      <c r="Y66" s="42">
        <f t="shared" si="170"/>
        <v>157565.7525774721</v>
      </c>
      <c r="Z66" s="42">
        <f t="shared" si="170"/>
        <v>325643.50605206343</v>
      </c>
      <c r="AA66" s="42">
        <f t="shared" si="170"/>
        <v>183290.77340644712</v>
      </c>
      <c r="AB66" s="34">
        <f t="shared" si="4"/>
        <v>3.4399451339728749E-4</v>
      </c>
      <c r="AC66" s="34">
        <f>IFERROR(s_RadSpec!$J$17*(AC17*$B66),".")</f>
        <v>1.3082814476187503E-4</v>
      </c>
      <c r="AD66" s="34">
        <f>IFERROR(s_RadSpec!$J$17*(AD17*$B66),".")</f>
        <v>5.205290014993751E-4</v>
      </c>
      <c r="AE66" s="34">
        <f>IFERROR(s_RadSpec!$J$17*(AE17*$B66),".")</f>
        <v>1.58663920243125E-4</v>
      </c>
      <c r="AF66" s="34">
        <f>IFERROR(s_RadSpec!$J$17*(AF17*$B66),".")</f>
        <v>1.3082814476187503E-4</v>
      </c>
      <c r="AG66" s="34">
        <f>IFERROR(s_RadSpec!$J$17*(AG17*$B66),".")</f>
        <v>1.58663920243125E-4</v>
      </c>
      <c r="AH66" s="34">
        <f>IFERROR(s_RadSpec!$J$17*(AH17*$B66),".")</f>
        <v>5.205290014993751E-4</v>
      </c>
      <c r="AI66" s="34">
        <f>IFERROR(s_RadSpec!$J$17*(AI17*$B66),".")</f>
        <v>1.58663920243125E-4</v>
      </c>
      <c r="AJ66" s="34">
        <f>IFERROR(s_RadSpec!$J$17*(AJ17*$B66),".")</f>
        <v>1.3082814476187503E-4</v>
      </c>
      <c r="AK66" s="34">
        <f>IFERROR(s_RadSpec!$J$17*(AK17*$B66),".")</f>
        <v>8.1837179914875E-5</v>
      </c>
      <c r="AL66" s="34">
        <f>IFERROR(s_RadSpec!$J$17*(AL17*$B66),".")</f>
        <v>1.58663920243125E-4</v>
      </c>
      <c r="AM66" s="34">
        <f>IFERROR(s_RadSpec!$J$17*(AM17*$B66),".")</f>
        <v>5.205290014993751E-4</v>
      </c>
      <c r="AN66" s="34">
        <f>IFERROR(s_RadSpec!$J$17*(AN17*$B66),".")</f>
        <v>1.0466251580950002E-4</v>
      </c>
      <c r="AO66" s="34">
        <f>IFERROR(s_RadSpec!$J$17*(AO17*$B66),".")</f>
        <v>1.58663920243125E-4</v>
      </c>
      <c r="AP66" s="34">
        <f>IFERROR(s_RadSpec!$J$17*(AP17*$B66),".")</f>
        <v>1.58663920243125E-4</v>
      </c>
      <c r="AQ66" s="34">
        <f>IFERROR(s_RadSpec!$J$17*(AQ17*$B66),".")</f>
        <v>1.3082814476187503E-4</v>
      </c>
      <c r="AR66" s="34">
        <f>IFERROR(s_RadSpec!$J$17*(AR17*$B66),".")</f>
        <v>1.3082814476187503E-4</v>
      </c>
      <c r="AS66" s="34">
        <f>IFERROR(s_RadSpec!$J$17*(AS17*$B66),".")</f>
        <v>1.0466251580950002E-4</v>
      </c>
      <c r="AT66" s="34">
        <f>IFERROR(s_RadSpec!$J$17*(AT17*$B66),".")</f>
        <v>8.3507326443750001E-5</v>
      </c>
      <c r="AU66" s="34">
        <f>IFERROR(s_RadSpec!$J$17*(AU17*$B66),".")</f>
        <v>1.58663920243125E-4</v>
      </c>
      <c r="AV66" s="34">
        <f>IFERROR(s_RadSpec!$J$17*(AV17*$B66),".")</f>
        <v>1.0466251580950002E-4</v>
      </c>
      <c r="AW66" s="34">
        <f>IFERROR(s_RadSpec!$J$17*(AW17*$B66),".")</f>
        <v>1.3082814476187503E-4</v>
      </c>
      <c r="AX66" s="34">
        <f>IFERROR(s_RadSpec!$J$17*(AX17*$B66),".")</f>
        <v>1.58663920243125E-4</v>
      </c>
      <c r="AY66" s="34">
        <f>IFERROR(s_RadSpec!$J$17*(AY17*$B66),".")</f>
        <v>7.6771068777287509E-5</v>
      </c>
      <c r="AZ66" s="34">
        <f>IFERROR(s_RadSpec!$J$17*(AZ17*$B66),".")</f>
        <v>1.36395299858125E-4</v>
      </c>
      <c r="BA66" s="42">
        <f t="shared" ref="BA66:BY66" si="171">IFERROR(BA17/$B52,0)</f>
        <v>72675.577738435895</v>
      </c>
      <c r="BB66" s="42">
        <f t="shared" si="171"/>
        <v>191090.38078544487</v>
      </c>
      <c r="BC66" s="42">
        <f t="shared" si="171"/>
        <v>48028.063619871165</v>
      </c>
      <c r="BD66" s="42">
        <f t="shared" si="171"/>
        <v>157565.7525774721</v>
      </c>
      <c r="BE66" s="42">
        <f t="shared" si="171"/>
        <v>191090.38078544487</v>
      </c>
      <c r="BF66" s="42">
        <f t="shared" si="171"/>
        <v>157565.7525774721</v>
      </c>
      <c r="BG66" s="42">
        <f t="shared" si="171"/>
        <v>48028.063619871165</v>
      </c>
      <c r="BH66" s="42">
        <f t="shared" si="171"/>
        <v>157565.7525774721</v>
      </c>
      <c r="BI66" s="42">
        <f t="shared" si="171"/>
        <v>191090.38078544487</v>
      </c>
      <c r="BJ66" s="42">
        <f t="shared" si="171"/>
        <v>305484.62234407855</v>
      </c>
      <c r="BK66" s="42">
        <f t="shared" si="171"/>
        <v>157565.7525774721</v>
      </c>
      <c r="BL66" s="42">
        <f t="shared" si="171"/>
        <v>48028.063619871165</v>
      </c>
      <c r="BM66" s="42">
        <f t="shared" si="171"/>
        <v>238862.97598180606</v>
      </c>
      <c r="BN66" s="42">
        <f t="shared" si="171"/>
        <v>157565.7525774721</v>
      </c>
      <c r="BO66" s="42">
        <f t="shared" si="171"/>
        <v>157565.7525774721</v>
      </c>
      <c r="BP66" s="42">
        <f t="shared" si="171"/>
        <v>191090.38078544487</v>
      </c>
      <c r="BQ66" s="42">
        <f t="shared" si="171"/>
        <v>191090.38078544487</v>
      </c>
      <c r="BR66" s="42">
        <f t="shared" si="171"/>
        <v>238862.97598180606</v>
      </c>
      <c r="BS66" s="42">
        <f t="shared" si="171"/>
        <v>299374.92989719694</v>
      </c>
      <c r="BT66" s="42">
        <f t="shared" si="171"/>
        <v>157565.7525774721</v>
      </c>
      <c r="BU66" s="42">
        <f t="shared" si="171"/>
        <v>238862.97598180606</v>
      </c>
      <c r="BV66" s="42">
        <f t="shared" si="171"/>
        <v>191090.38078544487</v>
      </c>
      <c r="BW66" s="42">
        <f t="shared" si="171"/>
        <v>157565.7525774721</v>
      </c>
      <c r="BX66" s="42">
        <f t="shared" si="171"/>
        <v>325643.50605206343</v>
      </c>
      <c r="BY66" s="42">
        <f t="shared" si="171"/>
        <v>183290.77340644712</v>
      </c>
      <c r="BZ66" s="34">
        <f t="shared" si="35"/>
        <v>3.9248443428562506E-4</v>
      </c>
      <c r="CA66" s="34">
        <f>IFERROR(s_RadSpec!$J$17*(AC17*$B66),".")</f>
        <v>1.3082814476187503E-4</v>
      </c>
      <c r="CB66" s="34">
        <f>IFERROR(s_RadSpec!$J$17*(AC17*$B66),".")</f>
        <v>1.3082814476187503E-4</v>
      </c>
      <c r="CC66" s="34">
        <f>IFERROR(s_RadSpec!$J$17*(AC17*$B66),".")</f>
        <v>1.3082814476187503E-4</v>
      </c>
      <c r="CD66" s="34">
        <f>IFERROR(s_RadSpec!$J$17*(AC17*$B66),".")</f>
        <v>1.3082814476187503E-4</v>
      </c>
      <c r="CE66" s="34">
        <f>IFERROR(s_RadSpec!$J$17*(AC17*$B66),".")</f>
        <v>1.3082814476187503E-4</v>
      </c>
      <c r="CF66" s="34">
        <f>IFERROR(s_RadSpec!$J$17*(AC17*$B66),".")</f>
        <v>1.3082814476187503E-4</v>
      </c>
      <c r="CG66" s="34">
        <f>IFERROR(s_RadSpec!$J$17*(AC17*$B66),".")</f>
        <v>1.3082814476187503E-4</v>
      </c>
      <c r="CH66" s="34">
        <f>IFERROR(s_RadSpec!$J$17*(AC17*$B66),".")</f>
        <v>1.3082814476187503E-4</v>
      </c>
      <c r="CI66" s="34">
        <f>IFERROR(s_RadSpec!$J$17*(AC17*$B66),".")</f>
        <v>1.3082814476187503E-4</v>
      </c>
      <c r="CJ66" s="34">
        <f>IFERROR(s_RadSpec!$J$17*(AC17*$B66),".")</f>
        <v>1.3082814476187503E-4</v>
      </c>
      <c r="CK66" s="34">
        <f>IFERROR(s_RadSpec!$J$17*(AC17*$B66),".")</f>
        <v>1.3082814476187503E-4</v>
      </c>
      <c r="CL66" s="34">
        <f>IFERROR(s_RadSpec!$J$17*(AC17*$B66),".")</f>
        <v>1.3082814476187503E-4</v>
      </c>
      <c r="CM66" s="34">
        <f>IFERROR(s_RadSpec!$J$17*(AC17*$B66),".")</f>
        <v>1.3082814476187503E-4</v>
      </c>
      <c r="CN66" s="34">
        <f>IFERROR(s_RadSpec!$J$17*(AC17*$B66),".")</f>
        <v>1.3082814476187503E-4</v>
      </c>
      <c r="CO66" s="34">
        <f>IFERROR(s_RadSpec!$J$17*(AC17*$B66),".")</f>
        <v>1.3082814476187503E-4</v>
      </c>
      <c r="CP66" s="34">
        <f>IFERROR(s_RadSpec!$J$17*(AC17*$B66),".")</f>
        <v>1.3082814476187503E-4</v>
      </c>
      <c r="CQ66" s="34">
        <f>IFERROR(s_RadSpec!$J$17*(AC17*$B66),".")</f>
        <v>1.3082814476187503E-4</v>
      </c>
      <c r="CR66" s="34">
        <f>IFERROR(s_RadSpec!$J$17*(AC17*$B66),".")</f>
        <v>1.3082814476187503E-4</v>
      </c>
      <c r="CS66" s="34">
        <f>IFERROR(s_RadSpec!$J$17*(AC17*$B66),".")</f>
        <v>1.3082814476187503E-4</v>
      </c>
      <c r="CT66" s="34">
        <f>IFERROR(s_RadSpec!$J$17*(AC17*$B66),".")</f>
        <v>1.3082814476187503E-4</v>
      </c>
      <c r="CU66" s="34">
        <f>IFERROR(s_RadSpec!$J$17*(AC17*$B66),".")</f>
        <v>1.3082814476187503E-4</v>
      </c>
      <c r="CV66" s="34">
        <f>IFERROR(s_RadSpec!$J$17*(AC17*$B66),".")</f>
        <v>1.3082814476187503E-4</v>
      </c>
      <c r="CW66" s="34">
        <f>IFERROR(s_RadSpec!$J$17*(AC17*$B66),".")</f>
        <v>1.3082814476187503E-4</v>
      </c>
      <c r="CX66" s="34">
        <f>IFERROR(s_RadSpec!$J$17*(AC17*$B66),".")</f>
        <v>1.3082814476187503E-4</v>
      </c>
    </row>
    <row r="67" spans="1:102" x14ac:dyDescent="0.25">
      <c r="A67" s="55" t="s">
        <v>1076</v>
      </c>
      <c r="B67" s="3">
        <v>2.0000000000000001E-4</v>
      </c>
      <c r="C67" s="42">
        <f t="shared" ref="C67:AA67" si="172">IFERROR(C5/$B53,0)</f>
        <v>0</v>
      </c>
      <c r="D67" s="42">
        <f t="shared" si="172"/>
        <v>0</v>
      </c>
      <c r="E67" s="42">
        <f t="shared" si="172"/>
        <v>0</v>
      </c>
      <c r="F67" s="42">
        <f t="shared" si="172"/>
        <v>0</v>
      </c>
      <c r="G67" s="42">
        <f t="shared" si="172"/>
        <v>0</v>
      </c>
      <c r="H67" s="42">
        <f t="shared" si="172"/>
        <v>0</v>
      </c>
      <c r="I67" s="42">
        <f t="shared" si="172"/>
        <v>0</v>
      </c>
      <c r="J67" s="42">
        <f t="shared" si="172"/>
        <v>0</v>
      </c>
      <c r="K67" s="42">
        <f t="shared" si="172"/>
        <v>0</v>
      </c>
      <c r="L67" s="42">
        <f t="shared" si="172"/>
        <v>0</v>
      </c>
      <c r="M67" s="42">
        <f t="shared" si="172"/>
        <v>0</v>
      </c>
      <c r="N67" s="42">
        <f t="shared" si="172"/>
        <v>0</v>
      </c>
      <c r="O67" s="42">
        <f t="shared" si="172"/>
        <v>0</v>
      </c>
      <c r="P67" s="42">
        <f t="shared" si="172"/>
        <v>0</v>
      </c>
      <c r="Q67" s="42">
        <f t="shared" si="172"/>
        <v>0</v>
      </c>
      <c r="R67" s="42">
        <f t="shared" si="172"/>
        <v>0</v>
      </c>
      <c r="S67" s="42">
        <f t="shared" si="172"/>
        <v>0</v>
      </c>
      <c r="T67" s="42">
        <f t="shared" si="172"/>
        <v>0</v>
      </c>
      <c r="U67" s="42">
        <f t="shared" si="172"/>
        <v>0</v>
      </c>
      <c r="V67" s="42">
        <f t="shared" si="172"/>
        <v>0</v>
      </c>
      <c r="W67" s="42">
        <f t="shared" si="172"/>
        <v>0</v>
      </c>
      <c r="X67" s="42">
        <f t="shared" si="172"/>
        <v>0</v>
      </c>
      <c r="Y67" s="42">
        <f t="shared" si="172"/>
        <v>0</v>
      </c>
      <c r="Z67" s="42">
        <f t="shared" si="172"/>
        <v>0</v>
      </c>
      <c r="AA67" s="42">
        <f t="shared" si="172"/>
        <v>0</v>
      </c>
      <c r="AB67" s="34">
        <f t="shared" si="4"/>
        <v>0</v>
      </c>
      <c r="AC67" s="34">
        <f>IFERROR(s_RadSpec!$J$5*(AC5*$B67),".")</f>
        <v>0</v>
      </c>
      <c r="AD67" s="34">
        <f>IFERROR(s_RadSpec!$J$5*(AD5*$B67),".")</f>
        <v>0</v>
      </c>
      <c r="AE67" s="34">
        <f>IFERROR(s_RadSpec!$J$5*(AE5*$B67),".")</f>
        <v>0</v>
      </c>
      <c r="AF67" s="34">
        <f>IFERROR(s_RadSpec!$J$5*(AF5*$B67),".")</f>
        <v>0</v>
      </c>
      <c r="AG67" s="34">
        <f>IFERROR(s_RadSpec!$J$5*(AG5*$B67),".")</f>
        <v>0</v>
      </c>
      <c r="AH67" s="34">
        <f>IFERROR(s_RadSpec!$J$5*(AH5*$B67),".")</f>
        <v>0</v>
      </c>
      <c r="AI67" s="34">
        <f>IFERROR(s_RadSpec!$J$5*(AI5*$B67),".")</f>
        <v>0</v>
      </c>
      <c r="AJ67" s="34">
        <f>IFERROR(s_RadSpec!$J$5*(AJ5*$B67),".")</f>
        <v>0</v>
      </c>
      <c r="AK67" s="34">
        <f>IFERROR(s_RadSpec!$J$5*(AK5*$B67),".")</f>
        <v>0</v>
      </c>
      <c r="AL67" s="34">
        <f>IFERROR(s_RadSpec!$J$5*(AL5*$B67),".")</f>
        <v>0</v>
      </c>
      <c r="AM67" s="34">
        <f>IFERROR(s_RadSpec!$J$5*(AM5*$B67),".")</f>
        <v>0</v>
      </c>
      <c r="AN67" s="34">
        <f>IFERROR(s_RadSpec!$J$5*(AN5*$B67),".")</f>
        <v>0</v>
      </c>
      <c r="AO67" s="34">
        <f>IFERROR(s_RadSpec!$J$5*(AO5*$B67),".")</f>
        <v>0</v>
      </c>
      <c r="AP67" s="34">
        <f>IFERROR(s_RadSpec!$J$5*(AP5*$B67),".")</f>
        <v>0</v>
      </c>
      <c r="AQ67" s="34">
        <f>IFERROR(s_RadSpec!$J$5*(AQ5*$B67),".")</f>
        <v>0</v>
      </c>
      <c r="AR67" s="34">
        <f>IFERROR(s_RadSpec!$J$5*(AR5*$B67),".")</f>
        <v>0</v>
      </c>
      <c r="AS67" s="34">
        <f>IFERROR(s_RadSpec!$J$5*(AS5*$B67),".")</f>
        <v>0</v>
      </c>
      <c r="AT67" s="34">
        <f>IFERROR(s_RadSpec!$J$5*(AT5*$B67),".")</f>
        <v>0</v>
      </c>
      <c r="AU67" s="34">
        <f>IFERROR(s_RadSpec!$J$5*(AU5*$B67),".")</f>
        <v>0</v>
      </c>
      <c r="AV67" s="34">
        <f>IFERROR(s_RadSpec!$J$5*(AV5*$B67),".")</f>
        <v>0</v>
      </c>
      <c r="AW67" s="34">
        <f>IFERROR(s_RadSpec!$J$5*(AW5*$B67),".")</f>
        <v>0</v>
      </c>
      <c r="AX67" s="34">
        <f>IFERROR(s_RadSpec!$J$5*(AX5*$B67),".")</f>
        <v>0</v>
      </c>
      <c r="AY67" s="34">
        <f>IFERROR(s_RadSpec!$J$5*(AY5*$B67),".")</f>
        <v>0</v>
      </c>
      <c r="AZ67" s="34">
        <f>IFERROR(s_RadSpec!$J$5*(AZ5*$B67),".")</f>
        <v>0</v>
      </c>
      <c r="BA67" s="42">
        <f t="shared" ref="BA67:BY67" si="173">IFERROR(BA5/$B53,0)</f>
        <v>0</v>
      </c>
      <c r="BB67" s="42">
        <f t="shared" si="173"/>
        <v>0</v>
      </c>
      <c r="BC67" s="42">
        <f t="shared" si="173"/>
        <v>0</v>
      </c>
      <c r="BD67" s="42">
        <f t="shared" si="173"/>
        <v>0</v>
      </c>
      <c r="BE67" s="42">
        <f t="shared" si="173"/>
        <v>0</v>
      </c>
      <c r="BF67" s="42">
        <f t="shared" si="173"/>
        <v>0</v>
      </c>
      <c r="BG67" s="42">
        <f t="shared" si="173"/>
        <v>0</v>
      </c>
      <c r="BH67" s="42">
        <f t="shared" si="173"/>
        <v>0</v>
      </c>
      <c r="BI67" s="42">
        <f t="shared" si="173"/>
        <v>0</v>
      </c>
      <c r="BJ67" s="42">
        <f t="shared" si="173"/>
        <v>0</v>
      </c>
      <c r="BK67" s="42">
        <f t="shared" si="173"/>
        <v>0</v>
      </c>
      <c r="BL67" s="42">
        <f t="shared" si="173"/>
        <v>0</v>
      </c>
      <c r="BM67" s="42">
        <f t="shared" si="173"/>
        <v>0</v>
      </c>
      <c r="BN67" s="42">
        <f t="shared" si="173"/>
        <v>0</v>
      </c>
      <c r="BO67" s="42">
        <f t="shared" si="173"/>
        <v>0</v>
      </c>
      <c r="BP67" s="42">
        <f t="shared" si="173"/>
        <v>0</v>
      </c>
      <c r="BQ67" s="42">
        <f t="shared" si="173"/>
        <v>0</v>
      </c>
      <c r="BR67" s="42">
        <f t="shared" si="173"/>
        <v>0</v>
      </c>
      <c r="BS67" s="42">
        <f t="shared" si="173"/>
        <v>0</v>
      </c>
      <c r="BT67" s="42">
        <f t="shared" si="173"/>
        <v>0</v>
      </c>
      <c r="BU67" s="42">
        <f t="shared" si="173"/>
        <v>0</v>
      </c>
      <c r="BV67" s="42">
        <f t="shared" si="173"/>
        <v>0</v>
      </c>
      <c r="BW67" s="42">
        <f t="shared" si="173"/>
        <v>0</v>
      </c>
      <c r="BX67" s="42">
        <f t="shared" si="173"/>
        <v>0</v>
      </c>
      <c r="BY67" s="42">
        <f t="shared" si="173"/>
        <v>0</v>
      </c>
      <c r="BZ67" s="34">
        <f t="shared" si="35"/>
        <v>0</v>
      </c>
      <c r="CA67" s="34">
        <f>IFERROR(s_RadSpec!$J$5*(AC5*$B67),".")</f>
        <v>0</v>
      </c>
      <c r="CB67" s="34">
        <f>IFERROR(s_RadSpec!$J$5*(AC5*$B67),".")</f>
        <v>0</v>
      </c>
      <c r="CC67" s="34">
        <f>IFERROR(s_RadSpec!$J$5*(AC5*$B67),".")</f>
        <v>0</v>
      </c>
      <c r="CD67" s="34">
        <f>IFERROR(s_RadSpec!$J$5*(AC5*$B67),".")</f>
        <v>0</v>
      </c>
      <c r="CE67" s="34">
        <f>IFERROR(s_RadSpec!$J$5*(AC5*$B67),".")</f>
        <v>0</v>
      </c>
      <c r="CF67" s="34">
        <f>IFERROR(s_RadSpec!$J$5*(AC5*$B67),".")</f>
        <v>0</v>
      </c>
      <c r="CG67" s="34">
        <f>IFERROR(s_RadSpec!$J$5*(AC5*$B67),".")</f>
        <v>0</v>
      </c>
      <c r="CH67" s="34">
        <f>IFERROR(s_RadSpec!$J$5*(AC5*$B67),".")</f>
        <v>0</v>
      </c>
      <c r="CI67" s="34">
        <f>IFERROR(s_RadSpec!$J$5*(AC5*$B67),".")</f>
        <v>0</v>
      </c>
      <c r="CJ67" s="34">
        <f>IFERROR(s_RadSpec!$J$5*(AC5*$B67),".")</f>
        <v>0</v>
      </c>
      <c r="CK67" s="34">
        <f>IFERROR(s_RadSpec!$J$5*(AC5*$B67),".")</f>
        <v>0</v>
      </c>
      <c r="CL67" s="34">
        <f>IFERROR(s_RadSpec!$J$5*(AC5*$B67),".")</f>
        <v>0</v>
      </c>
      <c r="CM67" s="34">
        <f>IFERROR(s_RadSpec!$J$5*(AC5*$B67),".")</f>
        <v>0</v>
      </c>
      <c r="CN67" s="34">
        <f>IFERROR(s_RadSpec!$J$5*(AC5*$B67),".")</f>
        <v>0</v>
      </c>
      <c r="CO67" s="34">
        <f>IFERROR(s_RadSpec!$J$5*(AC5*$B67),".")</f>
        <v>0</v>
      </c>
      <c r="CP67" s="34">
        <f>IFERROR(s_RadSpec!$J$5*(AC5*$B67),".")</f>
        <v>0</v>
      </c>
      <c r="CQ67" s="34">
        <f>IFERROR(s_RadSpec!$J$5*(AC5*$B67),".")</f>
        <v>0</v>
      </c>
      <c r="CR67" s="34">
        <f>IFERROR(s_RadSpec!$J$5*(AC5*$B67),".")</f>
        <v>0</v>
      </c>
      <c r="CS67" s="34">
        <f>IFERROR(s_RadSpec!$J$5*(AC5*$B67),".")</f>
        <v>0</v>
      </c>
      <c r="CT67" s="34">
        <f>IFERROR(s_RadSpec!$J$5*(AC5*$B67),".")</f>
        <v>0</v>
      </c>
      <c r="CU67" s="34">
        <f>IFERROR(s_RadSpec!$J$5*(AC5*$B67),".")</f>
        <v>0</v>
      </c>
      <c r="CV67" s="34">
        <f>IFERROR(s_RadSpec!$J$5*(AC5*$B67),".")</f>
        <v>0</v>
      </c>
      <c r="CW67" s="34">
        <f>IFERROR(s_RadSpec!$J$5*(AC5*$B67),".")</f>
        <v>0</v>
      </c>
      <c r="CX67" s="34">
        <f>IFERROR(s_RadSpec!$J$5*(AC5*$B67),".")</f>
        <v>0</v>
      </c>
    </row>
    <row r="68" spans="1:102" x14ac:dyDescent="0.25">
      <c r="A68" s="55" t="s">
        <v>1077</v>
      </c>
      <c r="B68" s="3">
        <v>0.99999979999999999</v>
      </c>
      <c r="C68" s="42">
        <f t="shared" ref="C68:AA68" si="174">IFERROR(C9/$B54,0)</f>
        <v>17610.415350522973</v>
      </c>
      <c r="D68" s="42">
        <f t="shared" si="174"/>
        <v>52831.246051568924</v>
      </c>
      <c r="E68" s="42">
        <f t="shared" si="174"/>
        <v>52831.246051568924</v>
      </c>
      <c r="F68" s="42">
        <f t="shared" si="174"/>
        <v>52831.246051568924</v>
      </c>
      <c r="G68" s="42">
        <f t="shared" si="174"/>
        <v>52831.246051568924</v>
      </c>
      <c r="H68" s="42">
        <f t="shared" si="174"/>
        <v>52831.246051568924</v>
      </c>
      <c r="I68" s="42">
        <f t="shared" si="174"/>
        <v>52831.246051568924</v>
      </c>
      <c r="J68" s="42">
        <f t="shared" si="174"/>
        <v>52831.246051568924</v>
      </c>
      <c r="K68" s="42">
        <f t="shared" si="174"/>
        <v>52831.246051568924</v>
      </c>
      <c r="L68" s="42">
        <f t="shared" si="174"/>
        <v>52831.246051568924</v>
      </c>
      <c r="M68" s="42">
        <f t="shared" si="174"/>
        <v>52831.246051568924</v>
      </c>
      <c r="N68" s="42">
        <f t="shared" si="174"/>
        <v>52831.246051568924</v>
      </c>
      <c r="O68" s="42">
        <f t="shared" si="174"/>
        <v>52831.246051568924</v>
      </c>
      <c r="P68" s="42">
        <f t="shared" si="174"/>
        <v>52831.246051568924</v>
      </c>
      <c r="Q68" s="42">
        <f t="shared" si="174"/>
        <v>52831.246051568924</v>
      </c>
      <c r="R68" s="42">
        <f t="shared" si="174"/>
        <v>52831.246051568924</v>
      </c>
      <c r="S68" s="42">
        <f t="shared" si="174"/>
        <v>52831.246051568924</v>
      </c>
      <c r="T68" s="42">
        <f t="shared" si="174"/>
        <v>52831.246051568924</v>
      </c>
      <c r="U68" s="42">
        <f t="shared" si="174"/>
        <v>52831.246051568924</v>
      </c>
      <c r="V68" s="42">
        <f t="shared" si="174"/>
        <v>52831.246051568924</v>
      </c>
      <c r="W68" s="42">
        <f t="shared" si="174"/>
        <v>52831.246051568924</v>
      </c>
      <c r="X68" s="42">
        <f t="shared" si="174"/>
        <v>52831.246051568924</v>
      </c>
      <c r="Y68" s="42">
        <f t="shared" si="174"/>
        <v>52831.246051568924</v>
      </c>
      <c r="Z68" s="42">
        <f t="shared" si="174"/>
        <v>52831.246051568924</v>
      </c>
      <c r="AA68" s="42">
        <f t="shared" si="174"/>
        <v>52831.246051568924</v>
      </c>
      <c r="AB68" s="34">
        <f t="shared" si="4"/>
        <v>1.4196144442020543E-3</v>
      </c>
      <c r="AC68" s="34">
        <f>IFERROR(s_RadSpec!$J$9*(AC9*$B68),".")</f>
        <v>4.7320481473401812E-4</v>
      </c>
      <c r="AD68" s="34">
        <f>IFERROR(s_RadSpec!$J$9*(AD9*$B68),".")</f>
        <v>4.7320481473401812E-4</v>
      </c>
      <c r="AE68" s="34">
        <f>IFERROR(s_RadSpec!$J$9*(AE9*$B68),".")</f>
        <v>4.7320481473401812E-4</v>
      </c>
      <c r="AF68" s="34">
        <f>IFERROR(s_RadSpec!$J$9*(AF9*$B68),".")</f>
        <v>4.7320481473401812E-4</v>
      </c>
      <c r="AG68" s="34">
        <f>IFERROR(s_RadSpec!$J$9*(AG9*$B68),".")</f>
        <v>4.7320481473401812E-4</v>
      </c>
      <c r="AH68" s="34">
        <f>IFERROR(s_RadSpec!$J$9*(AH9*$B68),".")</f>
        <v>4.7320481473401812E-4</v>
      </c>
      <c r="AI68" s="34">
        <f>IFERROR(s_RadSpec!$J$9*(AI9*$B68),".")</f>
        <v>4.7320481473401812E-4</v>
      </c>
      <c r="AJ68" s="34">
        <f>IFERROR(s_RadSpec!$J$9*(AJ9*$B68),".")</f>
        <v>4.7320481473401812E-4</v>
      </c>
      <c r="AK68" s="34">
        <f>IFERROR(s_RadSpec!$J$9*(AK9*$B68),".")</f>
        <v>4.7320481473401812E-4</v>
      </c>
      <c r="AL68" s="34">
        <f>IFERROR(s_RadSpec!$J$9*(AL9*$B68),".")</f>
        <v>4.7320481473401812E-4</v>
      </c>
      <c r="AM68" s="34">
        <f>IFERROR(s_RadSpec!$J$9*(AM9*$B68),".")</f>
        <v>4.7320481473401812E-4</v>
      </c>
      <c r="AN68" s="34">
        <f>IFERROR(s_RadSpec!$J$9*(AN9*$B68),".")</f>
        <v>4.7320481473401812E-4</v>
      </c>
      <c r="AO68" s="34">
        <f>IFERROR(s_RadSpec!$J$9*(AO9*$B68),".")</f>
        <v>4.7320481473401812E-4</v>
      </c>
      <c r="AP68" s="34">
        <f>IFERROR(s_RadSpec!$J$9*(AP9*$B68),".")</f>
        <v>4.7320481473401812E-4</v>
      </c>
      <c r="AQ68" s="34">
        <f>IFERROR(s_RadSpec!$J$9*(AQ9*$B68),".")</f>
        <v>4.7320481473401812E-4</v>
      </c>
      <c r="AR68" s="34">
        <f>IFERROR(s_RadSpec!$J$9*(AR9*$B68),".")</f>
        <v>4.7320481473401812E-4</v>
      </c>
      <c r="AS68" s="34">
        <f>IFERROR(s_RadSpec!$J$9*(AS9*$B68),".")</f>
        <v>4.7320481473401812E-4</v>
      </c>
      <c r="AT68" s="34">
        <f>IFERROR(s_RadSpec!$J$9*(AT9*$B68),".")</f>
        <v>4.7320481473401812E-4</v>
      </c>
      <c r="AU68" s="34">
        <f>IFERROR(s_RadSpec!$J$9*(AU9*$B68),".")</f>
        <v>4.7320481473401812E-4</v>
      </c>
      <c r="AV68" s="34">
        <f>IFERROR(s_RadSpec!$J$9*(AV9*$B68),".")</f>
        <v>4.7320481473401812E-4</v>
      </c>
      <c r="AW68" s="34">
        <f>IFERROR(s_RadSpec!$J$9*(AW9*$B68),".")</f>
        <v>4.7320481473401812E-4</v>
      </c>
      <c r="AX68" s="34">
        <f>IFERROR(s_RadSpec!$J$9*(AX9*$B68),".")</f>
        <v>4.7320481473401812E-4</v>
      </c>
      <c r="AY68" s="34">
        <f>IFERROR(s_RadSpec!$J$9*(AY9*$B68),".")</f>
        <v>4.7320481473401812E-4</v>
      </c>
      <c r="AZ68" s="34">
        <f>IFERROR(s_RadSpec!$J$9*(AZ9*$B68),".")</f>
        <v>4.7320481473401812E-4</v>
      </c>
      <c r="BA68" s="42">
        <f t="shared" ref="BA68:BY68" si="175">IFERROR(BA9/$B54,0)</f>
        <v>17610.415350522973</v>
      </c>
      <c r="BB68" s="42">
        <f t="shared" si="175"/>
        <v>52831.246051568924</v>
      </c>
      <c r="BC68" s="42">
        <f t="shared" si="175"/>
        <v>52831.246051568924</v>
      </c>
      <c r="BD68" s="42">
        <f t="shared" si="175"/>
        <v>52831.246051568924</v>
      </c>
      <c r="BE68" s="42">
        <f t="shared" si="175"/>
        <v>52831.246051568924</v>
      </c>
      <c r="BF68" s="42">
        <f t="shared" si="175"/>
        <v>52831.246051568924</v>
      </c>
      <c r="BG68" s="42">
        <f t="shared" si="175"/>
        <v>52831.246051568924</v>
      </c>
      <c r="BH68" s="42">
        <f t="shared" si="175"/>
        <v>52831.246051568924</v>
      </c>
      <c r="BI68" s="42">
        <f t="shared" si="175"/>
        <v>52831.246051568924</v>
      </c>
      <c r="BJ68" s="42">
        <f t="shared" si="175"/>
        <v>52831.246051568924</v>
      </c>
      <c r="BK68" s="42">
        <f t="shared" si="175"/>
        <v>52831.246051568924</v>
      </c>
      <c r="BL68" s="42">
        <f t="shared" si="175"/>
        <v>52831.246051568924</v>
      </c>
      <c r="BM68" s="42">
        <f t="shared" si="175"/>
        <v>52831.246051568924</v>
      </c>
      <c r="BN68" s="42">
        <f t="shared" si="175"/>
        <v>52831.246051568924</v>
      </c>
      <c r="BO68" s="42">
        <f t="shared" si="175"/>
        <v>52831.246051568924</v>
      </c>
      <c r="BP68" s="42">
        <f t="shared" si="175"/>
        <v>52831.246051568924</v>
      </c>
      <c r="BQ68" s="42">
        <f t="shared" si="175"/>
        <v>52831.246051568924</v>
      </c>
      <c r="BR68" s="42">
        <f t="shared" si="175"/>
        <v>52831.246051568924</v>
      </c>
      <c r="BS68" s="42">
        <f t="shared" si="175"/>
        <v>52831.246051568924</v>
      </c>
      <c r="BT68" s="42">
        <f t="shared" si="175"/>
        <v>52831.246051568924</v>
      </c>
      <c r="BU68" s="42">
        <f t="shared" si="175"/>
        <v>52831.246051568924</v>
      </c>
      <c r="BV68" s="42">
        <f t="shared" si="175"/>
        <v>52831.246051568924</v>
      </c>
      <c r="BW68" s="42">
        <f t="shared" si="175"/>
        <v>52831.246051568924</v>
      </c>
      <c r="BX68" s="42">
        <f t="shared" si="175"/>
        <v>52831.246051568924</v>
      </c>
      <c r="BY68" s="42">
        <f t="shared" si="175"/>
        <v>52831.246051568924</v>
      </c>
      <c r="BZ68" s="34">
        <f t="shared" si="35"/>
        <v>1.4196144442020543E-3</v>
      </c>
      <c r="CA68" s="34">
        <f>IFERROR(s_RadSpec!$J$9*(AC9*$B68),".")</f>
        <v>4.7320481473401812E-4</v>
      </c>
      <c r="CB68" s="34">
        <f>IFERROR(s_RadSpec!$J$9*(AC9*$B68),".")</f>
        <v>4.7320481473401812E-4</v>
      </c>
      <c r="CC68" s="34">
        <f>IFERROR(s_RadSpec!$J$9*(AC9*$B68),".")</f>
        <v>4.7320481473401812E-4</v>
      </c>
      <c r="CD68" s="34">
        <f>IFERROR(s_RadSpec!$J$9*(AC9*$B68),".")</f>
        <v>4.7320481473401812E-4</v>
      </c>
      <c r="CE68" s="34">
        <f>IFERROR(s_RadSpec!$J$9*(AC9*$B68),".")</f>
        <v>4.7320481473401812E-4</v>
      </c>
      <c r="CF68" s="34">
        <f>IFERROR(s_RadSpec!$J$9*(AC9*$B68),".")</f>
        <v>4.7320481473401812E-4</v>
      </c>
      <c r="CG68" s="34">
        <f>IFERROR(s_RadSpec!$J$9*(AC9*$B68),".")</f>
        <v>4.7320481473401812E-4</v>
      </c>
      <c r="CH68" s="34">
        <f>IFERROR(s_RadSpec!$J$9*(AC9*$B68),".")</f>
        <v>4.7320481473401812E-4</v>
      </c>
      <c r="CI68" s="34">
        <f>IFERROR(s_RadSpec!$J$9*(AC9*$B68),".")</f>
        <v>4.7320481473401812E-4</v>
      </c>
      <c r="CJ68" s="34">
        <f>IFERROR(s_RadSpec!$J$9*(AC9*$B68),".")</f>
        <v>4.7320481473401812E-4</v>
      </c>
      <c r="CK68" s="34">
        <f>IFERROR(s_RadSpec!$J$9*(AC9*$B68),".")</f>
        <v>4.7320481473401812E-4</v>
      </c>
      <c r="CL68" s="34">
        <f>IFERROR(s_RadSpec!$J$9*(AC9*$B68),".")</f>
        <v>4.7320481473401812E-4</v>
      </c>
      <c r="CM68" s="34">
        <f>IFERROR(s_RadSpec!$J$9*(AC9*$B68),".")</f>
        <v>4.7320481473401812E-4</v>
      </c>
      <c r="CN68" s="34">
        <f>IFERROR(s_RadSpec!$J$9*(AC9*$B68),".")</f>
        <v>4.7320481473401812E-4</v>
      </c>
      <c r="CO68" s="34">
        <f>IFERROR(s_RadSpec!$J$9*(AC9*$B68),".")</f>
        <v>4.7320481473401812E-4</v>
      </c>
      <c r="CP68" s="34">
        <f>IFERROR(s_RadSpec!$J$9*(AC9*$B68),".")</f>
        <v>4.7320481473401812E-4</v>
      </c>
      <c r="CQ68" s="34">
        <f>IFERROR(s_RadSpec!$J$9*(AC9*$B68),".")</f>
        <v>4.7320481473401812E-4</v>
      </c>
      <c r="CR68" s="34">
        <f>IFERROR(s_RadSpec!$J$9*(AC9*$B68),".")</f>
        <v>4.7320481473401812E-4</v>
      </c>
      <c r="CS68" s="34">
        <f>IFERROR(s_RadSpec!$J$9*(AC9*$B68),".")</f>
        <v>4.7320481473401812E-4</v>
      </c>
      <c r="CT68" s="34">
        <f>IFERROR(s_RadSpec!$J$9*(AC9*$B68),".")</f>
        <v>4.7320481473401812E-4</v>
      </c>
      <c r="CU68" s="34">
        <f>IFERROR(s_RadSpec!$J$9*(AC9*$B68),".")</f>
        <v>4.7320481473401812E-4</v>
      </c>
      <c r="CV68" s="34">
        <f>IFERROR(s_RadSpec!$J$9*(AC9*$B68),".")</f>
        <v>4.7320481473401812E-4</v>
      </c>
      <c r="CW68" s="34">
        <f>IFERROR(s_RadSpec!$J$9*(AC9*$B68),".")</f>
        <v>4.7320481473401812E-4</v>
      </c>
      <c r="CX68" s="34">
        <f>IFERROR(s_RadSpec!$J$9*(AC9*$B68),".")</f>
        <v>4.7320481473401812E-4</v>
      </c>
    </row>
    <row r="69" spans="1:102" x14ac:dyDescent="0.25">
      <c r="A69" s="55" t="s">
        <v>1078</v>
      </c>
      <c r="B69" s="3">
        <v>1.9999999999999999E-7</v>
      </c>
      <c r="C69" s="42">
        <f t="shared" ref="C69:AA69" si="176">IFERROR(C24/$B55,0)</f>
        <v>0</v>
      </c>
      <c r="D69" s="42">
        <f t="shared" si="176"/>
        <v>0</v>
      </c>
      <c r="E69" s="42">
        <f t="shared" si="176"/>
        <v>0</v>
      </c>
      <c r="F69" s="42">
        <f t="shared" si="176"/>
        <v>0</v>
      </c>
      <c r="G69" s="42">
        <f t="shared" si="176"/>
        <v>0</v>
      </c>
      <c r="H69" s="42">
        <f t="shared" si="176"/>
        <v>0</v>
      </c>
      <c r="I69" s="42">
        <f t="shared" si="176"/>
        <v>0</v>
      </c>
      <c r="J69" s="42">
        <f t="shared" si="176"/>
        <v>0</v>
      </c>
      <c r="K69" s="42">
        <f t="shared" si="176"/>
        <v>0</v>
      </c>
      <c r="L69" s="42">
        <f t="shared" si="176"/>
        <v>0</v>
      </c>
      <c r="M69" s="42">
        <f t="shared" si="176"/>
        <v>0</v>
      </c>
      <c r="N69" s="42">
        <f t="shared" si="176"/>
        <v>0</v>
      </c>
      <c r="O69" s="42">
        <f t="shared" si="176"/>
        <v>0</v>
      </c>
      <c r="P69" s="42">
        <f t="shared" si="176"/>
        <v>0</v>
      </c>
      <c r="Q69" s="42">
        <f t="shared" si="176"/>
        <v>0</v>
      </c>
      <c r="R69" s="42">
        <f t="shared" si="176"/>
        <v>0</v>
      </c>
      <c r="S69" s="42">
        <f t="shared" si="176"/>
        <v>0</v>
      </c>
      <c r="T69" s="42">
        <f t="shared" si="176"/>
        <v>0</v>
      </c>
      <c r="U69" s="42">
        <f t="shared" si="176"/>
        <v>0</v>
      </c>
      <c r="V69" s="42">
        <f t="shared" si="176"/>
        <v>0</v>
      </c>
      <c r="W69" s="42">
        <f t="shared" si="176"/>
        <v>0</v>
      </c>
      <c r="X69" s="42">
        <f t="shared" si="176"/>
        <v>0</v>
      </c>
      <c r="Y69" s="42">
        <f t="shared" si="176"/>
        <v>0</v>
      </c>
      <c r="Z69" s="42">
        <f t="shared" si="176"/>
        <v>0</v>
      </c>
      <c r="AA69" s="42">
        <f t="shared" si="176"/>
        <v>0</v>
      </c>
      <c r="AB69" s="34">
        <f t="shared" si="4"/>
        <v>0</v>
      </c>
      <c r="AC69" s="34">
        <f>IFERROR(s_RadSpec!$J$24*(AC24*$B69),".")</f>
        <v>0</v>
      </c>
      <c r="AD69" s="34">
        <f>IFERROR(s_RadSpec!$J$24*(AD24*$B69),".")</f>
        <v>0</v>
      </c>
      <c r="AE69" s="34">
        <f>IFERROR(s_RadSpec!$J$24*(AE24*$B69),".")</f>
        <v>0</v>
      </c>
      <c r="AF69" s="34">
        <f>IFERROR(s_RadSpec!$J$24*(AF24*$B69),".")</f>
        <v>0</v>
      </c>
      <c r="AG69" s="34">
        <f>IFERROR(s_RadSpec!$J$24*(AG24*$B69),".")</f>
        <v>0</v>
      </c>
      <c r="AH69" s="34">
        <f>IFERROR(s_RadSpec!$J$24*(AH24*$B69),".")</f>
        <v>0</v>
      </c>
      <c r="AI69" s="34">
        <f>IFERROR(s_RadSpec!$J$24*(AI24*$B69),".")</f>
        <v>0</v>
      </c>
      <c r="AJ69" s="34">
        <f>IFERROR(s_RadSpec!$J$24*(AJ24*$B69),".")</f>
        <v>0</v>
      </c>
      <c r="AK69" s="34">
        <f>IFERROR(s_RadSpec!$J$24*(AK24*$B69),".")</f>
        <v>0</v>
      </c>
      <c r="AL69" s="34">
        <f>IFERROR(s_RadSpec!$J$24*(AL24*$B69),".")</f>
        <v>0</v>
      </c>
      <c r="AM69" s="34">
        <f>IFERROR(s_RadSpec!$J$24*(AM24*$B69),".")</f>
        <v>0</v>
      </c>
      <c r="AN69" s="34">
        <f>IFERROR(s_RadSpec!$J$24*(AN24*$B69),".")</f>
        <v>0</v>
      </c>
      <c r="AO69" s="34">
        <f>IFERROR(s_RadSpec!$J$24*(AO24*$B69),".")</f>
        <v>0</v>
      </c>
      <c r="AP69" s="34">
        <f>IFERROR(s_RadSpec!$J$24*(AP24*$B69),".")</f>
        <v>0</v>
      </c>
      <c r="AQ69" s="34">
        <f>IFERROR(s_RadSpec!$J$24*(AQ24*$B69),".")</f>
        <v>0</v>
      </c>
      <c r="AR69" s="34">
        <f>IFERROR(s_RadSpec!$J$24*(AR24*$B69),".")</f>
        <v>0</v>
      </c>
      <c r="AS69" s="34">
        <f>IFERROR(s_RadSpec!$J$24*(AS24*$B69),".")</f>
        <v>0</v>
      </c>
      <c r="AT69" s="34">
        <f>IFERROR(s_RadSpec!$J$24*(AT24*$B69),".")</f>
        <v>0</v>
      </c>
      <c r="AU69" s="34">
        <f>IFERROR(s_RadSpec!$J$24*(AU24*$B69),".")</f>
        <v>0</v>
      </c>
      <c r="AV69" s="34">
        <f>IFERROR(s_RadSpec!$J$24*(AV24*$B69),".")</f>
        <v>0</v>
      </c>
      <c r="AW69" s="34">
        <f>IFERROR(s_RadSpec!$J$24*(AW24*$B69),".")</f>
        <v>0</v>
      </c>
      <c r="AX69" s="34">
        <f>IFERROR(s_RadSpec!$J$24*(AX24*$B69),".")</f>
        <v>0</v>
      </c>
      <c r="AY69" s="34">
        <f>IFERROR(s_RadSpec!$J$24*(AY24*$B69),".")</f>
        <v>0</v>
      </c>
      <c r="AZ69" s="34">
        <f>IFERROR(s_RadSpec!$J$24*(AZ24*$B69),".")</f>
        <v>0</v>
      </c>
      <c r="BA69" s="42">
        <f t="shared" ref="BA69:BY69" si="177">IFERROR(BA24/$B55,0)</f>
        <v>0</v>
      </c>
      <c r="BB69" s="42">
        <f t="shared" si="177"/>
        <v>0</v>
      </c>
      <c r="BC69" s="42">
        <f t="shared" si="177"/>
        <v>0</v>
      </c>
      <c r="BD69" s="42">
        <f t="shared" si="177"/>
        <v>0</v>
      </c>
      <c r="BE69" s="42">
        <f t="shared" si="177"/>
        <v>0</v>
      </c>
      <c r="BF69" s="42">
        <f t="shared" si="177"/>
        <v>0</v>
      </c>
      <c r="BG69" s="42">
        <f t="shared" si="177"/>
        <v>0</v>
      </c>
      <c r="BH69" s="42">
        <f t="shared" si="177"/>
        <v>0</v>
      </c>
      <c r="BI69" s="42">
        <f t="shared" si="177"/>
        <v>0</v>
      </c>
      <c r="BJ69" s="42">
        <f t="shared" si="177"/>
        <v>0</v>
      </c>
      <c r="BK69" s="42">
        <f t="shared" si="177"/>
        <v>0</v>
      </c>
      <c r="BL69" s="42">
        <f t="shared" si="177"/>
        <v>0</v>
      </c>
      <c r="BM69" s="42">
        <f t="shared" si="177"/>
        <v>0</v>
      </c>
      <c r="BN69" s="42">
        <f t="shared" si="177"/>
        <v>0</v>
      </c>
      <c r="BO69" s="42">
        <f t="shared" si="177"/>
        <v>0</v>
      </c>
      <c r="BP69" s="42">
        <f t="shared" si="177"/>
        <v>0</v>
      </c>
      <c r="BQ69" s="42">
        <f t="shared" si="177"/>
        <v>0</v>
      </c>
      <c r="BR69" s="42">
        <f t="shared" si="177"/>
        <v>0</v>
      </c>
      <c r="BS69" s="42">
        <f t="shared" si="177"/>
        <v>0</v>
      </c>
      <c r="BT69" s="42">
        <f t="shared" si="177"/>
        <v>0</v>
      </c>
      <c r="BU69" s="42">
        <f t="shared" si="177"/>
        <v>0</v>
      </c>
      <c r="BV69" s="42">
        <f t="shared" si="177"/>
        <v>0</v>
      </c>
      <c r="BW69" s="42">
        <f t="shared" si="177"/>
        <v>0</v>
      </c>
      <c r="BX69" s="42">
        <f t="shared" si="177"/>
        <v>0</v>
      </c>
      <c r="BY69" s="42">
        <f t="shared" si="177"/>
        <v>0</v>
      </c>
      <c r="BZ69" s="34">
        <f t="shared" si="35"/>
        <v>0</v>
      </c>
      <c r="CA69" s="34">
        <f>IFERROR(s_RadSpec!$J$24*(AC24*$B69),".")</f>
        <v>0</v>
      </c>
      <c r="CB69" s="34">
        <f>IFERROR(s_RadSpec!$J$24*(AC24*$B69),".")</f>
        <v>0</v>
      </c>
      <c r="CC69" s="34">
        <f>IFERROR(s_RadSpec!$J$24*(AC24*$B69),".")</f>
        <v>0</v>
      </c>
      <c r="CD69" s="34">
        <f>IFERROR(s_RadSpec!$J$24*(AC24*$B69),".")</f>
        <v>0</v>
      </c>
      <c r="CE69" s="34">
        <f>IFERROR(s_RadSpec!$J$24*(AC24*$B69),".")</f>
        <v>0</v>
      </c>
      <c r="CF69" s="34">
        <f>IFERROR(s_RadSpec!$J$24*(AC24*$B69),".")</f>
        <v>0</v>
      </c>
      <c r="CG69" s="34">
        <f>IFERROR(s_RadSpec!$J$24*(AC24*$B69),".")</f>
        <v>0</v>
      </c>
      <c r="CH69" s="34">
        <f>IFERROR(s_RadSpec!$J$24*(AC24*$B69),".")</f>
        <v>0</v>
      </c>
      <c r="CI69" s="34">
        <f>IFERROR(s_RadSpec!$J$24*(AC24*$B69),".")</f>
        <v>0</v>
      </c>
      <c r="CJ69" s="34">
        <f>IFERROR(s_RadSpec!$J$24*(AC24*$B69),".")</f>
        <v>0</v>
      </c>
      <c r="CK69" s="34">
        <f>IFERROR(s_RadSpec!$J$24*(AC24*$B69),".")</f>
        <v>0</v>
      </c>
      <c r="CL69" s="34">
        <f>IFERROR(s_RadSpec!$J$24*(AC24*$B69),".")</f>
        <v>0</v>
      </c>
      <c r="CM69" s="34">
        <f>IFERROR(s_RadSpec!$J$24*(AC24*$B69),".")</f>
        <v>0</v>
      </c>
      <c r="CN69" s="34">
        <f>IFERROR(s_RadSpec!$J$24*(AC24*$B69),".")</f>
        <v>0</v>
      </c>
      <c r="CO69" s="34">
        <f>IFERROR(s_RadSpec!$J$24*(AC24*$B69),".")</f>
        <v>0</v>
      </c>
      <c r="CP69" s="34">
        <f>IFERROR(s_RadSpec!$J$24*(AC24*$B69),".")</f>
        <v>0</v>
      </c>
      <c r="CQ69" s="34">
        <f>IFERROR(s_RadSpec!$J$24*(AC24*$B69),".")</f>
        <v>0</v>
      </c>
      <c r="CR69" s="34">
        <f>IFERROR(s_RadSpec!$J$24*(AC24*$B69),".")</f>
        <v>0</v>
      </c>
      <c r="CS69" s="34">
        <f>IFERROR(s_RadSpec!$J$24*(AC24*$B69),".")</f>
        <v>0</v>
      </c>
      <c r="CT69" s="34">
        <f>IFERROR(s_RadSpec!$J$24*(AC24*$B69),".")</f>
        <v>0</v>
      </c>
      <c r="CU69" s="34">
        <f>IFERROR(s_RadSpec!$J$24*(AC24*$B69),".")</f>
        <v>0</v>
      </c>
      <c r="CV69" s="34">
        <f>IFERROR(s_RadSpec!$J$24*(AC24*$B69),".")</f>
        <v>0</v>
      </c>
      <c r="CW69" s="34">
        <f>IFERROR(s_RadSpec!$J$24*(AC24*$B69),".")</f>
        <v>0</v>
      </c>
      <c r="CX69" s="34">
        <f>IFERROR(s_RadSpec!$J$24*(AC24*$B69),".")</f>
        <v>0</v>
      </c>
    </row>
    <row r="70" spans="1:102" x14ac:dyDescent="0.25">
      <c r="A70" s="55" t="s">
        <v>1079</v>
      </c>
      <c r="B70" s="3">
        <v>0.99979000004200003</v>
      </c>
      <c r="C70" s="42">
        <f t="shared" ref="C70:AA70" si="178">IFERROR(C20/$B56,0)</f>
        <v>0</v>
      </c>
      <c r="D70" s="42">
        <f t="shared" si="178"/>
        <v>0</v>
      </c>
      <c r="E70" s="42">
        <f t="shared" si="178"/>
        <v>0</v>
      </c>
      <c r="F70" s="42">
        <f t="shared" si="178"/>
        <v>0</v>
      </c>
      <c r="G70" s="42">
        <f t="shared" si="178"/>
        <v>0</v>
      </c>
      <c r="H70" s="42">
        <f t="shared" si="178"/>
        <v>0</v>
      </c>
      <c r="I70" s="42">
        <f t="shared" si="178"/>
        <v>0</v>
      </c>
      <c r="J70" s="42">
        <f t="shared" si="178"/>
        <v>0</v>
      </c>
      <c r="K70" s="42">
        <f t="shared" si="178"/>
        <v>0</v>
      </c>
      <c r="L70" s="42">
        <f t="shared" si="178"/>
        <v>0</v>
      </c>
      <c r="M70" s="42">
        <f t="shared" si="178"/>
        <v>0</v>
      </c>
      <c r="N70" s="42">
        <f t="shared" si="178"/>
        <v>0</v>
      </c>
      <c r="O70" s="42">
        <f t="shared" si="178"/>
        <v>0</v>
      </c>
      <c r="P70" s="42">
        <f t="shared" si="178"/>
        <v>0</v>
      </c>
      <c r="Q70" s="42">
        <f t="shared" si="178"/>
        <v>0</v>
      </c>
      <c r="R70" s="42">
        <f t="shared" si="178"/>
        <v>0</v>
      </c>
      <c r="S70" s="42">
        <f t="shared" si="178"/>
        <v>0</v>
      </c>
      <c r="T70" s="42">
        <f t="shared" si="178"/>
        <v>0</v>
      </c>
      <c r="U70" s="42">
        <f t="shared" si="178"/>
        <v>0</v>
      </c>
      <c r="V70" s="42">
        <f t="shared" si="178"/>
        <v>0</v>
      </c>
      <c r="W70" s="42">
        <f t="shared" si="178"/>
        <v>0</v>
      </c>
      <c r="X70" s="42">
        <f t="shared" si="178"/>
        <v>0</v>
      </c>
      <c r="Y70" s="42">
        <f t="shared" si="178"/>
        <v>0</v>
      </c>
      <c r="Z70" s="42">
        <f t="shared" si="178"/>
        <v>0</v>
      </c>
      <c r="AA70" s="42">
        <f t="shared" si="178"/>
        <v>0</v>
      </c>
      <c r="AB70" s="34">
        <f t="shared" si="4"/>
        <v>0</v>
      </c>
      <c r="AC70" s="34">
        <f>IFERROR(s_RadSpec!$J$20*(AC20*$B70),".")</f>
        <v>0</v>
      </c>
      <c r="AD70" s="34">
        <f>IFERROR(s_RadSpec!$J$20*(AD20*$B70),".")</f>
        <v>0</v>
      </c>
      <c r="AE70" s="34">
        <f>IFERROR(s_RadSpec!$J$20*(AE20*$B70),".")</f>
        <v>0</v>
      </c>
      <c r="AF70" s="34">
        <f>IFERROR(s_RadSpec!$J$20*(AF20*$B70),".")</f>
        <v>0</v>
      </c>
      <c r="AG70" s="34">
        <f>IFERROR(s_RadSpec!$J$20*(AG20*$B70),".")</f>
        <v>0</v>
      </c>
      <c r="AH70" s="34">
        <f>IFERROR(s_RadSpec!$J$20*(AH20*$B70),".")</f>
        <v>0</v>
      </c>
      <c r="AI70" s="34">
        <f>IFERROR(s_RadSpec!$J$20*(AI20*$B70),".")</f>
        <v>0</v>
      </c>
      <c r="AJ70" s="34">
        <f>IFERROR(s_RadSpec!$J$20*(AJ20*$B70),".")</f>
        <v>0</v>
      </c>
      <c r="AK70" s="34">
        <f>IFERROR(s_RadSpec!$J$20*(AK20*$B70),".")</f>
        <v>0</v>
      </c>
      <c r="AL70" s="34">
        <f>IFERROR(s_RadSpec!$J$20*(AL20*$B70),".")</f>
        <v>0</v>
      </c>
      <c r="AM70" s="34">
        <f>IFERROR(s_RadSpec!$J$20*(AM20*$B70),".")</f>
        <v>0</v>
      </c>
      <c r="AN70" s="34">
        <f>IFERROR(s_RadSpec!$J$20*(AN20*$B70),".")</f>
        <v>0</v>
      </c>
      <c r="AO70" s="34">
        <f>IFERROR(s_RadSpec!$J$20*(AO20*$B70),".")</f>
        <v>0</v>
      </c>
      <c r="AP70" s="34">
        <f>IFERROR(s_RadSpec!$J$20*(AP20*$B70),".")</f>
        <v>0</v>
      </c>
      <c r="AQ70" s="34">
        <f>IFERROR(s_RadSpec!$J$20*(AQ20*$B70),".")</f>
        <v>0</v>
      </c>
      <c r="AR70" s="34">
        <f>IFERROR(s_RadSpec!$J$20*(AR20*$B70),".")</f>
        <v>0</v>
      </c>
      <c r="AS70" s="34">
        <f>IFERROR(s_RadSpec!$J$20*(AS20*$B70),".")</f>
        <v>0</v>
      </c>
      <c r="AT70" s="34">
        <f>IFERROR(s_RadSpec!$J$20*(AT20*$B70),".")</f>
        <v>0</v>
      </c>
      <c r="AU70" s="34">
        <f>IFERROR(s_RadSpec!$J$20*(AU20*$B70),".")</f>
        <v>0</v>
      </c>
      <c r="AV70" s="34">
        <f>IFERROR(s_RadSpec!$J$20*(AV20*$B70),".")</f>
        <v>0</v>
      </c>
      <c r="AW70" s="34">
        <f>IFERROR(s_RadSpec!$J$20*(AW20*$B70),".")</f>
        <v>0</v>
      </c>
      <c r="AX70" s="34">
        <f>IFERROR(s_RadSpec!$J$20*(AX20*$B70),".")</f>
        <v>0</v>
      </c>
      <c r="AY70" s="34">
        <f>IFERROR(s_RadSpec!$J$20*(AY20*$B70),".")</f>
        <v>0</v>
      </c>
      <c r="AZ70" s="34">
        <f>IFERROR(s_RadSpec!$J$20*(AZ20*$B70),".")</f>
        <v>0</v>
      </c>
      <c r="BA70" s="42">
        <f t="shared" ref="BA70:BY70" si="179">IFERROR(BA20/$B56,0)</f>
        <v>0</v>
      </c>
      <c r="BB70" s="42">
        <f t="shared" si="179"/>
        <v>0</v>
      </c>
      <c r="BC70" s="42">
        <f t="shared" si="179"/>
        <v>0</v>
      </c>
      <c r="BD70" s="42">
        <f t="shared" si="179"/>
        <v>0</v>
      </c>
      <c r="BE70" s="42">
        <f t="shared" si="179"/>
        <v>0</v>
      </c>
      <c r="BF70" s="42">
        <f t="shared" si="179"/>
        <v>0</v>
      </c>
      <c r="BG70" s="42">
        <f t="shared" si="179"/>
        <v>0</v>
      </c>
      <c r="BH70" s="42">
        <f t="shared" si="179"/>
        <v>0</v>
      </c>
      <c r="BI70" s="42">
        <f t="shared" si="179"/>
        <v>0</v>
      </c>
      <c r="BJ70" s="42">
        <f t="shared" si="179"/>
        <v>0</v>
      </c>
      <c r="BK70" s="42">
        <f t="shared" si="179"/>
        <v>0</v>
      </c>
      <c r="BL70" s="42">
        <f t="shared" si="179"/>
        <v>0</v>
      </c>
      <c r="BM70" s="42">
        <f t="shared" si="179"/>
        <v>0</v>
      </c>
      <c r="BN70" s="42">
        <f t="shared" si="179"/>
        <v>0</v>
      </c>
      <c r="BO70" s="42">
        <f t="shared" si="179"/>
        <v>0</v>
      </c>
      <c r="BP70" s="42">
        <f t="shared" si="179"/>
        <v>0</v>
      </c>
      <c r="BQ70" s="42">
        <f t="shared" si="179"/>
        <v>0</v>
      </c>
      <c r="BR70" s="42">
        <f t="shared" si="179"/>
        <v>0</v>
      </c>
      <c r="BS70" s="42">
        <f t="shared" si="179"/>
        <v>0</v>
      </c>
      <c r="BT70" s="42">
        <f t="shared" si="179"/>
        <v>0</v>
      </c>
      <c r="BU70" s="42">
        <f t="shared" si="179"/>
        <v>0</v>
      </c>
      <c r="BV70" s="42">
        <f t="shared" si="179"/>
        <v>0</v>
      </c>
      <c r="BW70" s="42">
        <f t="shared" si="179"/>
        <v>0</v>
      </c>
      <c r="BX70" s="42">
        <f t="shared" si="179"/>
        <v>0</v>
      </c>
      <c r="BY70" s="42">
        <f t="shared" si="179"/>
        <v>0</v>
      </c>
      <c r="BZ70" s="34">
        <f t="shared" si="35"/>
        <v>0</v>
      </c>
      <c r="CA70" s="34">
        <f>IFERROR(s_RadSpec!$J$20*(AC20*$B70),".")</f>
        <v>0</v>
      </c>
      <c r="CB70" s="34">
        <f>IFERROR(s_RadSpec!$J$20*(AC20*$B70),".")</f>
        <v>0</v>
      </c>
      <c r="CC70" s="34">
        <f>IFERROR(s_RadSpec!$J$20*(AC20*$B70),".")</f>
        <v>0</v>
      </c>
      <c r="CD70" s="34">
        <f>IFERROR(s_RadSpec!$J$20*(AC20*$B70),".")</f>
        <v>0</v>
      </c>
      <c r="CE70" s="34">
        <f>IFERROR(s_RadSpec!$J$20*(AC20*$B70),".")</f>
        <v>0</v>
      </c>
      <c r="CF70" s="34">
        <f>IFERROR(s_RadSpec!$J$20*(AC20*$B70),".")</f>
        <v>0</v>
      </c>
      <c r="CG70" s="34">
        <f>IFERROR(s_RadSpec!$J$20*(AC20*$B70),".")</f>
        <v>0</v>
      </c>
      <c r="CH70" s="34">
        <f>IFERROR(s_RadSpec!$J$20*(AC20*$B70),".")</f>
        <v>0</v>
      </c>
      <c r="CI70" s="34">
        <f>IFERROR(s_RadSpec!$J$20*(AC20*$B70),".")</f>
        <v>0</v>
      </c>
      <c r="CJ70" s="34">
        <f>IFERROR(s_RadSpec!$J$20*(AC20*$B70),".")</f>
        <v>0</v>
      </c>
      <c r="CK70" s="34">
        <f>IFERROR(s_RadSpec!$J$20*(AC20*$B70),".")</f>
        <v>0</v>
      </c>
      <c r="CL70" s="34">
        <f>IFERROR(s_RadSpec!$J$20*(AC20*$B70),".")</f>
        <v>0</v>
      </c>
      <c r="CM70" s="34">
        <f>IFERROR(s_RadSpec!$J$20*(AC20*$B70),".")</f>
        <v>0</v>
      </c>
      <c r="CN70" s="34">
        <f>IFERROR(s_RadSpec!$J$20*(AC20*$B70),".")</f>
        <v>0</v>
      </c>
      <c r="CO70" s="34">
        <f>IFERROR(s_RadSpec!$J$20*(AC20*$B70),".")</f>
        <v>0</v>
      </c>
      <c r="CP70" s="34">
        <f>IFERROR(s_RadSpec!$J$20*(AC20*$B70),".")</f>
        <v>0</v>
      </c>
      <c r="CQ70" s="34">
        <f>IFERROR(s_RadSpec!$J$20*(AC20*$B70),".")</f>
        <v>0</v>
      </c>
      <c r="CR70" s="34">
        <f>IFERROR(s_RadSpec!$J$20*(AC20*$B70),".")</f>
        <v>0</v>
      </c>
      <c r="CS70" s="34">
        <f>IFERROR(s_RadSpec!$J$20*(AC20*$B70),".")</f>
        <v>0</v>
      </c>
      <c r="CT70" s="34">
        <f>IFERROR(s_RadSpec!$J$20*(AC20*$B70),".")</f>
        <v>0</v>
      </c>
      <c r="CU70" s="34">
        <f>IFERROR(s_RadSpec!$J$20*(AC20*$B70),".")</f>
        <v>0</v>
      </c>
      <c r="CV70" s="34">
        <f>IFERROR(s_RadSpec!$J$20*(AC20*$B70),".")</f>
        <v>0</v>
      </c>
      <c r="CW70" s="34">
        <f>IFERROR(s_RadSpec!$J$20*(AC20*$B70),".")</f>
        <v>0</v>
      </c>
      <c r="CX70" s="34">
        <f>IFERROR(s_RadSpec!$J$20*(AC20*$B70),".")</f>
        <v>0</v>
      </c>
    </row>
    <row r="71" spans="1:102" x14ac:dyDescent="0.25">
      <c r="A71" s="55" t="s">
        <v>1080</v>
      </c>
      <c r="B71" s="3">
        <v>2.0999995799999999E-4</v>
      </c>
      <c r="C71" s="42">
        <f t="shared" ref="C71:AA71" si="180">IFERROR(C29/$B57,0)</f>
        <v>0</v>
      </c>
      <c r="D71" s="42">
        <f t="shared" si="180"/>
        <v>0</v>
      </c>
      <c r="E71" s="42">
        <f t="shared" si="180"/>
        <v>0</v>
      </c>
      <c r="F71" s="42">
        <f t="shared" si="180"/>
        <v>0</v>
      </c>
      <c r="G71" s="42">
        <f t="shared" si="180"/>
        <v>0</v>
      </c>
      <c r="H71" s="42">
        <f t="shared" si="180"/>
        <v>0</v>
      </c>
      <c r="I71" s="42">
        <f t="shared" si="180"/>
        <v>0</v>
      </c>
      <c r="J71" s="42">
        <f t="shared" si="180"/>
        <v>0</v>
      </c>
      <c r="K71" s="42">
        <f t="shared" si="180"/>
        <v>0</v>
      </c>
      <c r="L71" s="42">
        <f t="shared" si="180"/>
        <v>0</v>
      </c>
      <c r="M71" s="42">
        <f t="shared" si="180"/>
        <v>0</v>
      </c>
      <c r="N71" s="42">
        <f t="shared" si="180"/>
        <v>0</v>
      </c>
      <c r="O71" s="42">
        <f t="shared" si="180"/>
        <v>0</v>
      </c>
      <c r="P71" s="42">
        <f t="shared" si="180"/>
        <v>0</v>
      </c>
      <c r="Q71" s="42">
        <f t="shared" si="180"/>
        <v>0</v>
      </c>
      <c r="R71" s="42">
        <f t="shared" si="180"/>
        <v>0</v>
      </c>
      <c r="S71" s="42">
        <f t="shared" si="180"/>
        <v>0</v>
      </c>
      <c r="T71" s="42">
        <f t="shared" si="180"/>
        <v>0</v>
      </c>
      <c r="U71" s="42">
        <f t="shared" si="180"/>
        <v>0</v>
      </c>
      <c r="V71" s="42">
        <f t="shared" si="180"/>
        <v>0</v>
      </c>
      <c r="W71" s="42">
        <f t="shared" si="180"/>
        <v>0</v>
      </c>
      <c r="X71" s="42">
        <f t="shared" si="180"/>
        <v>0</v>
      </c>
      <c r="Y71" s="42">
        <f t="shared" si="180"/>
        <v>0</v>
      </c>
      <c r="Z71" s="42">
        <f t="shared" si="180"/>
        <v>0</v>
      </c>
      <c r="AA71" s="42">
        <f t="shared" si="180"/>
        <v>0</v>
      </c>
      <c r="AB71" s="34">
        <f t="shared" si="4"/>
        <v>0</v>
      </c>
      <c r="AC71" s="34">
        <f>IFERROR(s_RadSpec!$J$29*(AC29*$B71),".")</f>
        <v>0</v>
      </c>
      <c r="AD71" s="34">
        <f>IFERROR(s_RadSpec!$J$29*(AD29*$B71),".")</f>
        <v>0</v>
      </c>
      <c r="AE71" s="34">
        <f>IFERROR(s_RadSpec!$J$29*(AE29*$B71),".")</f>
        <v>0</v>
      </c>
      <c r="AF71" s="34">
        <f>IFERROR(s_RadSpec!$J$29*(AF29*$B71),".")</f>
        <v>0</v>
      </c>
      <c r="AG71" s="34">
        <f>IFERROR(s_RadSpec!$J$29*(AG29*$B71),".")</f>
        <v>0</v>
      </c>
      <c r="AH71" s="34">
        <f>IFERROR(s_RadSpec!$J$29*(AH29*$B71),".")</f>
        <v>0</v>
      </c>
      <c r="AI71" s="34">
        <f>IFERROR(s_RadSpec!$J$29*(AI29*$B71),".")</f>
        <v>0</v>
      </c>
      <c r="AJ71" s="34">
        <f>IFERROR(s_RadSpec!$J$29*(AJ29*$B71),".")</f>
        <v>0</v>
      </c>
      <c r="AK71" s="34">
        <f>IFERROR(s_RadSpec!$J$29*(AK29*$B71),".")</f>
        <v>0</v>
      </c>
      <c r="AL71" s="34">
        <f>IFERROR(s_RadSpec!$J$29*(AL29*$B71),".")</f>
        <v>0</v>
      </c>
      <c r="AM71" s="34">
        <f>IFERROR(s_RadSpec!$J$29*(AM29*$B71),".")</f>
        <v>0</v>
      </c>
      <c r="AN71" s="34">
        <f>IFERROR(s_RadSpec!$J$29*(AN29*$B71),".")</f>
        <v>0</v>
      </c>
      <c r="AO71" s="34">
        <f>IFERROR(s_RadSpec!$J$29*(AO29*$B71),".")</f>
        <v>0</v>
      </c>
      <c r="AP71" s="34">
        <f>IFERROR(s_RadSpec!$J$29*(AP29*$B71),".")</f>
        <v>0</v>
      </c>
      <c r="AQ71" s="34">
        <f>IFERROR(s_RadSpec!$J$29*(AQ29*$B71),".")</f>
        <v>0</v>
      </c>
      <c r="AR71" s="34">
        <f>IFERROR(s_RadSpec!$J$29*(AR29*$B71),".")</f>
        <v>0</v>
      </c>
      <c r="AS71" s="34">
        <f>IFERROR(s_RadSpec!$J$29*(AS29*$B71),".")</f>
        <v>0</v>
      </c>
      <c r="AT71" s="34">
        <f>IFERROR(s_RadSpec!$J$29*(AT29*$B71),".")</f>
        <v>0</v>
      </c>
      <c r="AU71" s="34">
        <f>IFERROR(s_RadSpec!$J$29*(AU29*$B71),".")</f>
        <v>0</v>
      </c>
      <c r="AV71" s="34">
        <f>IFERROR(s_RadSpec!$J$29*(AV29*$B71),".")</f>
        <v>0</v>
      </c>
      <c r="AW71" s="34">
        <f>IFERROR(s_RadSpec!$J$29*(AW29*$B71),".")</f>
        <v>0</v>
      </c>
      <c r="AX71" s="34">
        <f>IFERROR(s_RadSpec!$J$29*(AX29*$B71),".")</f>
        <v>0</v>
      </c>
      <c r="AY71" s="34">
        <f>IFERROR(s_RadSpec!$J$29*(AY29*$B71),".")</f>
        <v>0</v>
      </c>
      <c r="AZ71" s="34">
        <f>IFERROR(s_RadSpec!$J$29*(AZ29*$B71),".")</f>
        <v>0</v>
      </c>
      <c r="BA71" s="42">
        <f t="shared" ref="BA71:BY71" si="181">IFERROR(BA29/$B57,0)</f>
        <v>0</v>
      </c>
      <c r="BB71" s="42">
        <f t="shared" si="181"/>
        <v>0</v>
      </c>
      <c r="BC71" s="42">
        <f t="shared" si="181"/>
        <v>0</v>
      </c>
      <c r="BD71" s="42">
        <f t="shared" si="181"/>
        <v>0</v>
      </c>
      <c r="BE71" s="42">
        <f t="shared" si="181"/>
        <v>0</v>
      </c>
      <c r="BF71" s="42">
        <f t="shared" si="181"/>
        <v>0</v>
      </c>
      <c r="BG71" s="42">
        <f t="shared" si="181"/>
        <v>0</v>
      </c>
      <c r="BH71" s="42">
        <f t="shared" si="181"/>
        <v>0</v>
      </c>
      <c r="BI71" s="42">
        <f t="shared" si="181"/>
        <v>0</v>
      </c>
      <c r="BJ71" s="42">
        <f t="shared" si="181"/>
        <v>0</v>
      </c>
      <c r="BK71" s="42">
        <f t="shared" si="181"/>
        <v>0</v>
      </c>
      <c r="BL71" s="42">
        <f t="shared" si="181"/>
        <v>0</v>
      </c>
      <c r="BM71" s="42">
        <f t="shared" si="181"/>
        <v>0</v>
      </c>
      <c r="BN71" s="42">
        <f t="shared" si="181"/>
        <v>0</v>
      </c>
      <c r="BO71" s="42">
        <f t="shared" si="181"/>
        <v>0</v>
      </c>
      <c r="BP71" s="42">
        <f t="shared" si="181"/>
        <v>0</v>
      </c>
      <c r="BQ71" s="42">
        <f t="shared" si="181"/>
        <v>0</v>
      </c>
      <c r="BR71" s="42">
        <f t="shared" si="181"/>
        <v>0</v>
      </c>
      <c r="BS71" s="42">
        <f t="shared" si="181"/>
        <v>0</v>
      </c>
      <c r="BT71" s="42">
        <f t="shared" si="181"/>
        <v>0</v>
      </c>
      <c r="BU71" s="42">
        <f t="shared" si="181"/>
        <v>0</v>
      </c>
      <c r="BV71" s="42">
        <f t="shared" si="181"/>
        <v>0</v>
      </c>
      <c r="BW71" s="42">
        <f t="shared" si="181"/>
        <v>0</v>
      </c>
      <c r="BX71" s="42">
        <f t="shared" si="181"/>
        <v>0</v>
      </c>
      <c r="BY71" s="42">
        <f t="shared" si="181"/>
        <v>0</v>
      </c>
      <c r="BZ71" s="34">
        <f t="shared" si="35"/>
        <v>0</v>
      </c>
      <c r="CA71" s="34">
        <f>IFERROR(s_RadSpec!$J$29*(AC29*$B71),".")</f>
        <v>0</v>
      </c>
      <c r="CB71" s="34">
        <f>IFERROR(s_RadSpec!$J$29*(AC29*$B71),".")</f>
        <v>0</v>
      </c>
      <c r="CC71" s="34">
        <f>IFERROR(s_RadSpec!$J$29*(AC29*$B71),".")</f>
        <v>0</v>
      </c>
      <c r="CD71" s="34">
        <f>IFERROR(s_RadSpec!$J$29*(AC29*$B71),".")</f>
        <v>0</v>
      </c>
      <c r="CE71" s="34">
        <f>IFERROR(s_RadSpec!$J$29*(AC29*$B71),".")</f>
        <v>0</v>
      </c>
      <c r="CF71" s="34">
        <f>IFERROR(s_RadSpec!$J$29*(AC29*$B71),".")</f>
        <v>0</v>
      </c>
      <c r="CG71" s="34">
        <f>IFERROR(s_RadSpec!$J$29*(AC29*$B71),".")</f>
        <v>0</v>
      </c>
      <c r="CH71" s="34">
        <f>IFERROR(s_RadSpec!$J$29*(AC29*$B71),".")</f>
        <v>0</v>
      </c>
      <c r="CI71" s="34">
        <f>IFERROR(s_RadSpec!$J$29*(AC29*$B71),".")</f>
        <v>0</v>
      </c>
      <c r="CJ71" s="34">
        <f>IFERROR(s_RadSpec!$J$29*(AC29*$B71),".")</f>
        <v>0</v>
      </c>
      <c r="CK71" s="34">
        <f>IFERROR(s_RadSpec!$J$29*(AC29*$B71),".")</f>
        <v>0</v>
      </c>
      <c r="CL71" s="34">
        <f>IFERROR(s_RadSpec!$J$29*(AC29*$B71),".")</f>
        <v>0</v>
      </c>
      <c r="CM71" s="34">
        <f>IFERROR(s_RadSpec!$J$29*(AC29*$B71),".")</f>
        <v>0</v>
      </c>
      <c r="CN71" s="34">
        <f>IFERROR(s_RadSpec!$J$29*(AC29*$B71),".")</f>
        <v>0</v>
      </c>
      <c r="CO71" s="34">
        <f>IFERROR(s_RadSpec!$J$29*(AC29*$B71),".")</f>
        <v>0</v>
      </c>
      <c r="CP71" s="34">
        <f>IFERROR(s_RadSpec!$J$29*(AC29*$B71),".")</f>
        <v>0</v>
      </c>
      <c r="CQ71" s="34">
        <f>IFERROR(s_RadSpec!$J$29*(AC29*$B71),".")</f>
        <v>0</v>
      </c>
      <c r="CR71" s="34">
        <f>IFERROR(s_RadSpec!$J$29*(AC29*$B71),".")</f>
        <v>0</v>
      </c>
      <c r="CS71" s="34">
        <f>IFERROR(s_RadSpec!$J$29*(AC29*$B71),".")</f>
        <v>0</v>
      </c>
      <c r="CT71" s="34">
        <f>IFERROR(s_RadSpec!$J$29*(AC29*$B71),".")</f>
        <v>0</v>
      </c>
      <c r="CU71" s="34">
        <f>IFERROR(s_RadSpec!$J$29*(AC29*$B71),".")</f>
        <v>0</v>
      </c>
      <c r="CV71" s="34">
        <f>IFERROR(s_RadSpec!$J$29*(AC29*$B71),".")</f>
        <v>0</v>
      </c>
      <c r="CW71" s="34">
        <f>IFERROR(s_RadSpec!$J$29*(AC29*$B71),".")</f>
        <v>0</v>
      </c>
      <c r="CX71" s="34">
        <f>IFERROR(s_RadSpec!$J$29*(AC29*$B71),".")</f>
        <v>0</v>
      </c>
    </row>
    <row r="72" spans="1:102" x14ac:dyDescent="0.25">
      <c r="A72" s="55" t="s">
        <v>1081</v>
      </c>
      <c r="B72" s="3">
        <v>1</v>
      </c>
      <c r="C72" s="42">
        <f t="shared" ref="C72:AA72" si="182">IFERROR(C16/$B58,0)</f>
        <v>14.176026943092898</v>
      </c>
      <c r="D72" s="42">
        <f t="shared" si="182"/>
        <v>37.273902332498309</v>
      </c>
      <c r="E72" s="42">
        <f t="shared" si="182"/>
        <v>9.3683070033551896</v>
      </c>
      <c r="F72" s="42">
        <f t="shared" si="182"/>
        <v>30.734621221533693</v>
      </c>
      <c r="G72" s="42">
        <f t="shared" si="182"/>
        <v>37.273902332498309</v>
      </c>
      <c r="H72" s="42">
        <f t="shared" si="182"/>
        <v>30.734621221533693</v>
      </c>
      <c r="I72" s="42">
        <f t="shared" si="182"/>
        <v>9.3683070033551896</v>
      </c>
      <c r="J72" s="42">
        <f t="shared" si="182"/>
        <v>30.734621221533693</v>
      </c>
      <c r="K72" s="42">
        <f t="shared" si="182"/>
        <v>37.273902332498309</v>
      </c>
      <c r="L72" s="42">
        <f t="shared" si="182"/>
        <v>59.587530939708181</v>
      </c>
      <c r="M72" s="42">
        <f t="shared" si="182"/>
        <v>30.734621221533693</v>
      </c>
      <c r="N72" s="42">
        <f t="shared" si="182"/>
        <v>9.3683070033551896</v>
      </c>
      <c r="O72" s="42">
        <f t="shared" si="182"/>
        <v>46.592377915622883</v>
      </c>
      <c r="P72" s="42">
        <f t="shared" si="182"/>
        <v>30.734621221533693</v>
      </c>
      <c r="Q72" s="42">
        <f t="shared" si="182"/>
        <v>30.734621221533693</v>
      </c>
      <c r="R72" s="42">
        <f t="shared" si="182"/>
        <v>37.273902332498309</v>
      </c>
      <c r="S72" s="42">
        <f t="shared" si="182"/>
        <v>37.273902332498309</v>
      </c>
      <c r="T72" s="42">
        <f t="shared" si="182"/>
        <v>46.592377915622883</v>
      </c>
      <c r="U72" s="42">
        <f t="shared" si="182"/>
        <v>58.395780320914014</v>
      </c>
      <c r="V72" s="42">
        <f t="shared" si="182"/>
        <v>30.734621221533693</v>
      </c>
      <c r="W72" s="42">
        <f t="shared" si="182"/>
        <v>46.592377915622883</v>
      </c>
      <c r="X72" s="42">
        <f t="shared" si="182"/>
        <v>37.273902332498309</v>
      </c>
      <c r="Y72" s="42">
        <f t="shared" si="182"/>
        <v>30.734621221533693</v>
      </c>
      <c r="Z72" s="42">
        <f t="shared" si="182"/>
        <v>63.519703032176231</v>
      </c>
      <c r="AA72" s="42">
        <f t="shared" si="182"/>
        <v>35.752518563824907</v>
      </c>
      <c r="AB72" s="34">
        <f t="shared" si="4"/>
        <v>1.7635406662499999</v>
      </c>
      <c r="AC72" s="34">
        <f>IFERROR(s_RadSpec!$J$16*(AC16*$B72),".")</f>
        <v>0.67071056250000005</v>
      </c>
      <c r="AD72" s="34">
        <f>IFERROR(s_RadSpec!$J$16*(AD16*$B72),".")</f>
        <v>2.6685718125000002</v>
      </c>
      <c r="AE72" s="34">
        <f>IFERROR(s_RadSpec!$J$16*(AE16*$B72),".")</f>
        <v>0.81341493749999993</v>
      </c>
      <c r="AF72" s="34">
        <f>IFERROR(s_RadSpec!$J$16*(AF16*$B72),".")</f>
        <v>0.67071056250000005</v>
      </c>
      <c r="AG72" s="34">
        <f>IFERROR(s_RadSpec!$J$16*(AG16*$B72),".")</f>
        <v>0.81341493749999993</v>
      </c>
      <c r="AH72" s="34">
        <f>IFERROR(s_RadSpec!$J$16*(AH16*$B72),".")</f>
        <v>2.6685718125000002</v>
      </c>
      <c r="AI72" s="34">
        <f>IFERROR(s_RadSpec!$J$16*(AI16*$B72),".")</f>
        <v>0.81341493749999993</v>
      </c>
      <c r="AJ72" s="34">
        <f>IFERROR(s_RadSpec!$J$16*(AJ16*$B72),".")</f>
        <v>0.67071056250000005</v>
      </c>
      <c r="AK72" s="34">
        <f>IFERROR(s_RadSpec!$J$16*(AK16*$B72),".")</f>
        <v>0.41955086249999995</v>
      </c>
      <c r="AL72" s="34">
        <f>IFERROR(s_RadSpec!$J$16*(AL16*$B72),".")</f>
        <v>0.81341493749999993</v>
      </c>
      <c r="AM72" s="34">
        <f>IFERROR(s_RadSpec!$J$16*(AM16*$B72),".")</f>
        <v>2.6685718125000002</v>
      </c>
      <c r="AN72" s="34">
        <f>IFERROR(s_RadSpec!$J$16*(AN16*$B72),".")</f>
        <v>0.53656845000000009</v>
      </c>
      <c r="AO72" s="34">
        <f>IFERROR(s_RadSpec!$J$16*(AO16*$B72),".")</f>
        <v>0.81341493749999993</v>
      </c>
      <c r="AP72" s="34">
        <f>IFERROR(s_RadSpec!$J$16*(AP16*$B72),".")</f>
        <v>0.81341493749999993</v>
      </c>
      <c r="AQ72" s="34">
        <f>IFERROR(s_RadSpec!$J$16*(AQ16*$B72),".")</f>
        <v>0.67071056250000005</v>
      </c>
      <c r="AR72" s="34">
        <f>IFERROR(s_RadSpec!$J$16*(AR16*$B72),".")</f>
        <v>0.67071056250000005</v>
      </c>
      <c r="AS72" s="34">
        <f>IFERROR(s_RadSpec!$J$16*(AS16*$B72),".")</f>
        <v>0.53656845000000009</v>
      </c>
      <c r="AT72" s="34">
        <f>IFERROR(s_RadSpec!$J$16*(AT16*$B72),".")</f>
        <v>0.42811312499999998</v>
      </c>
      <c r="AU72" s="34">
        <f>IFERROR(s_RadSpec!$J$16*(AU16*$B72),".")</f>
        <v>0.81341493749999993</v>
      </c>
      <c r="AV72" s="34">
        <f>IFERROR(s_RadSpec!$J$16*(AV16*$B72),".")</f>
        <v>0.53656845000000009</v>
      </c>
      <c r="AW72" s="34">
        <f>IFERROR(s_RadSpec!$J$16*(AW16*$B72),".")</f>
        <v>0.67071056250000005</v>
      </c>
      <c r="AX72" s="34">
        <f>IFERROR(s_RadSpec!$J$16*(AX16*$B72),".")</f>
        <v>0.81341493749999993</v>
      </c>
      <c r="AY72" s="34">
        <f>IFERROR(s_RadSpec!$J$16*(AY16*$B72),".")</f>
        <v>0.39357866624999999</v>
      </c>
      <c r="AZ72" s="34">
        <f>IFERROR(s_RadSpec!$J$16*(AZ16*$B72),".")</f>
        <v>0.69925143749999996</v>
      </c>
      <c r="BA72" s="42">
        <f t="shared" ref="BA72:BY72" si="183">IFERROR(BA16/$B58,0)</f>
        <v>14.176026943092898</v>
      </c>
      <c r="BB72" s="42">
        <f t="shared" si="183"/>
        <v>37.273902332498309</v>
      </c>
      <c r="BC72" s="42">
        <f t="shared" si="183"/>
        <v>9.3683070033551896</v>
      </c>
      <c r="BD72" s="42">
        <f t="shared" si="183"/>
        <v>30.734621221533693</v>
      </c>
      <c r="BE72" s="42">
        <f t="shared" si="183"/>
        <v>37.273902332498309</v>
      </c>
      <c r="BF72" s="42">
        <f t="shared" si="183"/>
        <v>30.734621221533693</v>
      </c>
      <c r="BG72" s="42">
        <f t="shared" si="183"/>
        <v>9.3683070033551896</v>
      </c>
      <c r="BH72" s="42">
        <f t="shared" si="183"/>
        <v>30.734621221533693</v>
      </c>
      <c r="BI72" s="42">
        <f t="shared" si="183"/>
        <v>37.273902332498309</v>
      </c>
      <c r="BJ72" s="42">
        <f t="shared" si="183"/>
        <v>59.587530939708181</v>
      </c>
      <c r="BK72" s="42">
        <f t="shared" si="183"/>
        <v>30.734621221533693</v>
      </c>
      <c r="BL72" s="42">
        <f t="shared" si="183"/>
        <v>9.3683070033551896</v>
      </c>
      <c r="BM72" s="42">
        <f t="shared" si="183"/>
        <v>46.592377915622883</v>
      </c>
      <c r="BN72" s="42">
        <f t="shared" si="183"/>
        <v>30.734621221533693</v>
      </c>
      <c r="BO72" s="42">
        <f t="shared" si="183"/>
        <v>30.734621221533693</v>
      </c>
      <c r="BP72" s="42">
        <f t="shared" si="183"/>
        <v>37.273902332498309</v>
      </c>
      <c r="BQ72" s="42">
        <f t="shared" si="183"/>
        <v>37.273902332498309</v>
      </c>
      <c r="BR72" s="42">
        <f t="shared" si="183"/>
        <v>46.592377915622883</v>
      </c>
      <c r="BS72" s="42">
        <f t="shared" si="183"/>
        <v>58.395780320914014</v>
      </c>
      <c r="BT72" s="42">
        <f t="shared" si="183"/>
        <v>30.734621221533693</v>
      </c>
      <c r="BU72" s="42">
        <f t="shared" si="183"/>
        <v>46.592377915622883</v>
      </c>
      <c r="BV72" s="42">
        <f t="shared" si="183"/>
        <v>37.273902332498309</v>
      </c>
      <c r="BW72" s="42">
        <f t="shared" si="183"/>
        <v>30.734621221533693</v>
      </c>
      <c r="BX72" s="42">
        <f t="shared" si="183"/>
        <v>63.519703032176231</v>
      </c>
      <c r="BY72" s="42">
        <f t="shared" si="183"/>
        <v>35.752518563824907</v>
      </c>
      <c r="BZ72" s="34">
        <f t="shared" si="35"/>
        <v>2.0121316875000002</v>
      </c>
      <c r="CA72" s="34">
        <f>IFERROR(s_RadSpec!$J$16*(AC16*$B72),".")</f>
        <v>0.67071056250000005</v>
      </c>
      <c r="CB72" s="34">
        <f>IFERROR(s_RadSpec!$J$16*(AC16*$B72),".")</f>
        <v>0.67071056250000005</v>
      </c>
      <c r="CC72" s="34">
        <f>IFERROR(s_RadSpec!$J$16*(AC16*$B72),".")</f>
        <v>0.67071056250000005</v>
      </c>
      <c r="CD72" s="34">
        <f>IFERROR(s_RadSpec!$J$16*(AC16*$B72),".")</f>
        <v>0.67071056250000005</v>
      </c>
      <c r="CE72" s="34">
        <f>IFERROR(s_RadSpec!$J$16*(AC16*$B72),".")</f>
        <v>0.67071056250000005</v>
      </c>
      <c r="CF72" s="34">
        <f>IFERROR(s_RadSpec!$J$16*(AC16*$B72),".")</f>
        <v>0.67071056250000005</v>
      </c>
      <c r="CG72" s="34">
        <f>IFERROR(s_RadSpec!$J$16*(AC16*$B72),".")</f>
        <v>0.67071056250000005</v>
      </c>
      <c r="CH72" s="34">
        <f>IFERROR(s_RadSpec!$J$16*(AC16*$B72),".")</f>
        <v>0.67071056250000005</v>
      </c>
      <c r="CI72" s="34">
        <f>IFERROR(s_RadSpec!$J$16*(AC16*$B72),".")</f>
        <v>0.67071056250000005</v>
      </c>
      <c r="CJ72" s="34">
        <f>IFERROR(s_RadSpec!$J$16*(AC16*$B72),".")</f>
        <v>0.67071056250000005</v>
      </c>
      <c r="CK72" s="34">
        <f>IFERROR(s_RadSpec!$J$16*(AC16*$B72),".")</f>
        <v>0.67071056250000005</v>
      </c>
      <c r="CL72" s="34">
        <f>IFERROR(s_RadSpec!$J$16*(AC16*$B72),".")</f>
        <v>0.67071056250000005</v>
      </c>
      <c r="CM72" s="34">
        <f>IFERROR(s_RadSpec!$J$16*(AC16*$B72),".")</f>
        <v>0.67071056250000005</v>
      </c>
      <c r="CN72" s="34">
        <f>IFERROR(s_RadSpec!$J$16*(AC16*$B72),".")</f>
        <v>0.67071056250000005</v>
      </c>
      <c r="CO72" s="34">
        <f>IFERROR(s_RadSpec!$J$16*(AC16*$B72),".")</f>
        <v>0.67071056250000005</v>
      </c>
      <c r="CP72" s="34">
        <f>IFERROR(s_RadSpec!$J$16*(AC16*$B72),".")</f>
        <v>0.67071056250000005</v>
      </c>
      <c r="CQ72" s="34">
        <f>IFERROR(s_RadSpec!$J$16*(AC16*$B72),".")</f>
        <v>0.67071056250000005</v>
      </c>
      <c r="CR72" s="34">
        <f>IFERROR(s_RadSpec!$J$16*(AC16*$B72),".")</f>
        <v>0.67071056250000005</v>
      </c>
      <c r="CS72" s="34">
        <f>IFERROR(s_RadSpec!$J$16*(AC16*$B72),".")</f>
        <v>0.67071056250000005</v>
      </c>
      <c r="CT72" s="34">
        <f>IFERROR(s_RadSpec!$J$16*(AC16*$B72),".")</f>
        <v>0.67071056250000005</v>
      </c>
      <c r="CU72" s="34">
        <f>IFERROR(s_RadSpec!$J$16*(AC16*$B72),".")</f>
        <v>0.67071056250000005</v>
      </c>
      <c r="CV72" s="34">
        <f>IFERROR(s_RadSpec!$J$16*(AC16*$B72),".")</f>
        <v>0.67071056250000005</v>
      </c>
      <c r="CW72" s="34">
        <f>IFERROR(s_RadSpec!$J$16*(AC16*$B72),".")</f>
        <v>0.67071056250000005</v>
      </c>
      <c r="CX72" s="34">
        <f>IFERROR(s_RadSpec!$J$16*(AC16*$B72),".")</f>
        <v>0.67071056250000005</v>
      </c>
    </row>
    <row r="73" spans="1:102" x14ac:dyDescent="0.25">
      <c r="A73" s="55" t="s">
        <v>1082</v>
      </c>
      <c r="B73" s="3">
        <v>1</v>
      </c>
      <c r="C73" s="42">
        <f t="shared" ref="C73:AA73" si="184">IFERROR(C7/$B59,0)</f>
        <v>1457.7507569097479</v>
      </c>
      <c r="D73" s="42">
        <f t="shared" si="184"/>
        <v>4373.2522707292437</v>
      </c>
      <c r="E73" s="42">
        <f t="shared" si="184"/>
        <v>4373.2522707292437</v>
      </c>
      <c r="F73" s="42">
        <f t="shared" si="184"/>
        <v>4373.2522707292437</v>
      </c>
      <c r="G73" s="42">
        <f t="shared" si="184"/>
        <v>4373.2522707292437</v>
      </c>
      <c r="H73" s="42">
        <f t="shared" si="184"/>
        <v>4373.2522707292437</v>
      </c>
      <c r="I73" s="42">
        <f t="shared" si="184"/>
        <v>4373.2522707292437</v>
      </c>
      <c r="J73" s="42">
        <f t="shared" si="184"/>
        <v>4373.2522707292437</v>
      </c>
      <c r="K73" s="42">
        <f t="shared" si="184"/>
        <v>4373.2522707292437</v>
      </c>
      <c r="L73" s="42">
        <f t="shared" si="184"/>
        <v>4373.2522707292437</v>
      </c>
      <c r="M73" s="42">
        <f t="shared" si="184"/>
        <v>4373.2522707292437</v>
      </c>
      <c r="N73" s="42">
        <f t="shared" si="184"/>
        <v>4373.2522707292437</v>
      </c>
      <c r="O73" s="42">
        <f t="shared" si="184"/>
        <v>4373.2522707292437</v>
      </c>
      <c r="P73" s="42">
        <f t="shared" si="184"/>
        <v>4373.2522707292437</v>
      </c>
      <c r="Q73" s="42">
        <f t="shared" si="184"/>
        <v>4373.2522707292437</v>
      </c>
      <c r="R73" s="42">
        <f t="shared" si="184"/>
        <v>4373.2522707292437</v>
      </c>
      <c r="S73" s="42">
        <f t="shared" si="184"/>
        <v>4373.2522707292437</v>
      </c>
      <c r="T73" s="42">
        <f t="shared" si="184"/>
        <v>4373.2522707292437</v>
      </c>
      <c r="U73" s="42">
        <f t="shared" si="184"/>
        <v>4373.2522707292437</v>
      </c>
      <c r="V73" s="42">
        <f t="shared" si="184"/>
        <v>4373.2522707292437</v>
      </c>
      <c r="W73" s="42">
        <f t="shared" si="184"/>
        <v>4373.2522707292437</v>
      </c>
      <c r="X73" s="42">
        <f t="shared" si="184"/>
        <v>4373.2522707292437</v>
      </c>
      <c r="Y73" s="42">
        <f t="shared" si="184"/>
        <v>4373.2522707292437</v>
      </c>
      <c r="Z73" s="42">
        <f t="shared" si="184"/>
        <v>4373.2522707292437</v>
      </c>
      <c r="AA73" s="42">
        <f t="shared" si="184"/>
        <v>4373.2522707292437</v>
      </c>
      <c r="AB73" s="34">
        <f t="shared" si="4"/>
        <v>1.7149708125E-2</v>
      </c>
      <c r="AC73" s="34">
        <f>IFERROR(s_RadSpec!$J$7*(AC7*$B73),".")</f>
        <v>5.7165693750000001E-3</v>
      </c>
      <c r="AD73" s="34">
        <f>IFERROR(s_RadSpec!$J$7*(AD7*$B73),".")</f>
        <v>5.7165693750000001E-3</v>
      </c>
      <c r="AE73" s="34">
        <f>IFERROR(s_RadSpec!$J$7*(AE7*$B73),".")</f>
        <v>5.7165693750000001E-3</v>
      </c>
      <c r="AF73" s="34">
        <f>IFERROR(s_RadSpec!$J$7*(AF7*$B73),".")</f>
        <v>5.7165693750000001E-3</v>
      </c>
      <c r="AG73" s="34">
        <f>IFERROR(s_RadSpec!$J$7*(AG7*$B73),".")</f>
        <v>5.7165693750000001E-3</v>
      </c>
      <c r="AH73" s="34">
        <f>IFERROR(s_RadSpec!$J$7*(AH7*$B73),".")</f>
        <v>5.7165693750000001E-3</v>
      </c>
      <c r="AI73" s="34">
        <f>IFERROR(s_RadSpec!$J$7*(AI7*$B73),".")</f>
        <v>5.7165693750000001E-3</v>
      </c>
      <c r="AJ73" s="34">
        <f>IFERROR(s_RadSpec!$J$7*(AJ7*$B73),".")</f>
        <v>5.7165693750000001E-3</v>
      </c>
      <c r="AK73" s="34">
        <f>IFERROR(s_RadSpec!$J$7*(AK7*$B73),".")</f>
        <v>5.7165693750000001E-3</v>
      </c>
      <c r="AL73" s="34">
        <f>IFERROR(s_RadSpec!$J$7*(AL7*$B73),".")</f>
        <v>5.7165693750000001E-3</v>
      </c>
      <c r="AM73" s="34">
        <f>IFERROR(s_RadSpec!$J$7*(AM7*$B73),".")</f>
        <v>5.7165693750000001E-3</v>
      </c>
      <c r="AN73" s="34">
        <f>IFERROR(s_RadSpec!$J$7*(AN7*$B73),".")</f>
        <v>5.7165693750000001E-3</v>
      </c>
      <c r="AO73" s="34">
        <f>IFERROR(s_RadSpec!$J$7*(AO7*$B73),".")</f>
        <v>5.7165693750000001E-3</v>
      </c>
      <c r="AP73" s="34">
        <f>IFERROR(s_RadSpec!$J$7*(AP7*$B73),".")</f>
        <v>5.7165693750000001E-3</v>
      </c>
      <c r="AQ73" s="34">
        <f>IFERROR(s_RadSpec!$J$7*(AQ7*$B73),".")</f>
        <v>5.7165693750000001E-3</v>
      </c>
      <c r="AR73" s="34">
        <f>IFERROR(s_RadSpec!$J$7*(AR7*$B73),".")</f>
        <v>5.7165693750000001E-3</v>
      </c>
      <c r="AS73" s="34">
        <f>IFERROR(s_RadSpec!$J$7*(AS7*$B73),".")</f>
        <v>5.7165693750000001E-3</v>
      </c>
      <c r="AT73" s="34">
        <f>IFERROR(s_RadSpec!$J$7*(AT7*$B73),".")</f>
        <v>5.7165693750000001E-3</v>
      </c>
      <c r="AU73" s="34">
        <f>IFERROR(s_RadSpec!$J$7*(AU7*$B73),".")</f>
        <v>5.7165693750000001E-3</v>
      </c>
      <c r="AV73" s="34">
        <f>IFERROR(s_RadSpec!$J$7*(AV7*$B73),".")</f>
        <v>5.7165693750000001E-3</v>
      </c>
      <c r="AW73" s="34">
        <f>IFERROR(s_RadSpec!$J$7*(AW7*$B73),".")</f>
        <v>5.7165693750000001E-3</v>
      </c>
      <c r="AX73" s="34">
        <f>IFERROR(s_RadSpec!$J$7*(AX7*$B73),".")</f>
        <v>5.7165693750000001E-3</v>
      </c>
      <c r="AY73" s="34">
        <f>IFERROR(s_RadSpec!$J$7*(AY7*$B73),".")</f>
        <v>5.7165693750000001E-3</v>
      </c>
      <c r="AZ73" s="34">
        <f>IFERROR(s_RadSpec!$J$7*(AZ7*$B73),".")</f>
        <v>5.7165693750000001E-3</v>
      </c>
      <c r="BA73" s="42">
        <f t="shared" ref="BA73:BY73" si="185">IFERROR(BA7/$B59,0)</f>
        <v>1457.7507569097479</v>
      </c>
      <c r="BB73" s="42">
        <f t="shared" si="185"/>
        <v>4373.2522707292437</v>
      </c>
      <c r="BC73" s="42">
        <f t="shared" si="185"/>
        <v>4373.2522707292437</v>
      </c>
      <c r="BD73" s="42">
        <f t="shared" si="185"/>
        <v>4373.2522707292437</v>
      </c>
      <c r="BE73" s="42">
        <f t="shared" si="185"/>
        <v>4373.2522707292437</v>
      </c>
      <c r="BF73" s="42">
        <f t="shared" si="185"/>
        <v>4373.2522707292437</v>
      </c>
      <c r="BG73" s="42">
        <f t="shared" si="185"/>
        <v>4373.2522707292437</v>
      </c>
      <c r="BH73" s="42">
        <f t="shared" si="185"/>
        <v>4373.2522707292437</v>
      </c>
      <c r="BI73" s="42">
        <f t="shared" si="185"/>
        <v>4373.2522707292437</v>
      </c>
      <c r="BJ73" s="42">
        <f t="shared" si="185"/>
        <v>4373.2522707292437</v>
      </c>
      <c r="BK73" s="42">
        <f t="shared" si="185"/>
        <v>4373.2522707292437</v>
      </c>
      <c r="BL73" s="42">
        <f t="shared" si="185"/>
        <v>4373.2522707292437</v>
      </c>
      <c r="BM73" s="42">
        <f t="shared" si="185"/>
        <v>4373.2522707292437</v>
      </c>
      <c r="BN73" s="42">
        <f t="shared" si="185"/>
        <v>4373.2522707292437</v>
      </c>
      <c r="BO73" s="42">
        <f t="shared" si="185"/>
        <v>4373.2522707292437</v>
      </c>
      <c r="BP73" s="42">
        <f t="shared" si="185"/>
        <v>4373.2522707292437</v>
      </c>
      <c r="BQ73" s="42">
        <f t="shared" si="185"/>
        <v>4373.2522707292437</v>
      </c>
      <c r="BR73" s="42">
        <f t="shared" si="185"/>
        <v>4373.2522707292437</v>
      </c>
      <c r="BS73" s="42">
        <f t="shared" si="185"/>
        <v>4373.2522707292437</v>
      </c>
      <c r="BT73" s="42">
        <f t="shared" si="185"/>
        <v>4373.2522707292437</v>
      </c>
      <c r="BU73" s="42">
        <f t="shared" si="185"/>
        <v>4373.2522707292437</v>
      </c>
      <c r="BV73" s="42">
        <f t="shared" si="185"/>
        <v>4373.2522707292437</v>
      </c>
      <c r="BW73" s="42">
        <f t="shared" si="185"/>
        <v>4373.2522707292437</v>
      </c>
      <c r="BX73" s="42">
        <f t="shared" si="185"/>
        <v>4373.2522707292437</v>
      </c>
      <c r="BY73" s="42">
        <f t="shared" si="185"/>
        <v>4373.2522707292437</v>
      </c>
      <c r="BZ73" s="34">
        <f t="shared" si="35"/>
        <v>1.7149708125E-2</v>
      </c>
      <c r="CA73" s="34">
        <f>IFERROR(s_RadSpec!$J$7*(AC7*$B73),".")</f>
        <v>5.7165693750000001E-3</v>
      </c>
      <c r="CB73" s="34">
        <f>IFERROR(s_RadSpec!$J$7*(AC7*$B73),".")</f>
        <v>5.7165693750000001E-3</v>
      </c>
      <c r="CC73" s="34">
        <f>IFERROR(s_RadSpec!$J$7*(AC7*$B73),".")</f>
        <v>5.7165693750000001E-3</v>
      </c>
      <c r="CD73" s="34">
        <f>IFERROR(s_RadSpec!$J$7*(AC7*$B73),".")</f>
        <v>5.7165693750000001E-3</v>
      </c>
      <c r="CE73" s="34">
        <f>IFERROR(s_RadSpec!$J$7*(AC7*$B73),".")</f>
        <v>5.7165693750000001E-3</v>
      </c>
      <c r="CF73" s="34">
        <f>IFERROR(s_RadSpec!$J$7*(AC7*$B73),".")</f>
        <v>5.7165693750000001E-3</v>
      </c>
      <c r="CG73" s="34">
        <f>IFERROR(s_RadSpec!$J$7*(AC7*$B73),".")</f>
        <v>5.7165693750000001E-3</v>
      </c>
      <c r="CH73" s="34">
        <f>IFERROR(s_RadSpec!$J$7*(AC7*$B73),".")</f>
        <v>5.7165693750000001E-3</v>
      </c>
      <c r="CI73" s="34">
        <f>IFERROR(s_RadSpec!$J$7*(AC7*$B73),".")</f>
        <v>5.7165693750000001E-3</v>
      </c>
      <c r="CJ73" s="34">
        <f>IFERROR(s_RadSpec!$J$7*(AC7*$B73),".")</f>
        <v>5.7165693750000001E-3</v>
      </c>
      <c r="CK73" s="34">
        <f>IFERROR(s_RadSpec!$J$7*(AC7*$B73),".")</f>
        <v>5.7165693750000001E-3</v>
      </c>
      <c r="CL73" s="34">
        <f>IFERROR(s_RadSpec!$J$7*(AC7*$B73),".")</f>
        <v>5.7165693750000001E-3</v>
      </c>
      <c r="CM73" s="34">
        <f>IFERROR(s_RadSpec!$J$7*(AC7*$B73),".")</f>
        <v>5.7165693750000001E-3</v>
      </c>
      <c r="CN73" s="34">
        <f>IFERROR(s_RadSpec!$J$7*(AC7*$B73),".")</f>
        <v>5.7165693750000001E-3</v>
      </c>
      <c r="CO73" s="34">
        <f>IFERROR(s_RadSpec!$J$7*(AC7*$B73),".")</f>
        <v>5.7165693750000001E-3</v>
      </c>
      <c r="CP73" s="34">
        <f>IFERROR(s_RadSpec!$J$7*(AC7*$B73),".")</f>
        <v>5.7165693750000001E-3</v>
      </c>
      <c r="CQ73" s="34">
        <f>IFERROR(s_RadSpec!$J$7*(AC7*$B73),".")</f>
        <v>5.7165693750000001E-3</v>
      </c>
      <c r="CR73" s="34">
        <f>IFERROR(s_RadSpec!$J$7*(AC7*$B73),".")</f>
        <v>5.7165693750000001E-3</v>
      </c>
      <c r="CS73" s="34">
        <f>IFERROR(s_RadSpec!$J$7*(AC7*$B73),".")</f>
        <v>5.7165693750000001E-3</v>
      </c>
      <c r="CT73" s="34">
        <f>IFERROR(s_RadSpec!$J$7*(AC7*$B73),".")</f>
        <v>5.7165693750000001E-3</v>
      </c>
      <c r="CU73" s="34">
        <f>IFERROR(s_RadSpec!$J$7*(AC7*$B73),".")</f>
        <v>5.7165693750000001E-3</v>
      </c>
      <c r="CV73" s="34">
        <f>IFERROR(s_RadSpec!$J$7*(AC7*$B73),".")</f>
        <v>5.7165693750000001E-3</v>
      </c>
      <c r="CW73" s="34">
        <f>IFERROR(s_RadSpec!$J$7*(AC7*$B73),".")</f>
        <v>5.7165693750000001E-3</v>
      </c>
      <c r="CX73" s="34">
        <f>IFERROR(s_RadSpec!$J$7*(AC7*$B73),".")</f>
        <v>5.7165693750000001E-3</v>
      </c>
    </row>
    <row r="74" spans="1:102" x14ac:dyDescent="0.25">
      <c r="A74" s="55" t="s">
        <v>1083</v>
      </c>
      <c r="B74" s="3">
        <v>1.9000000000000001E-8</v>
      </c>
      <c r="C74" s="42">
        <f t="shared" ref="C74:AA74" si="186">IFERROR(C12/$B60,0)</f>
        <v>0</v>
      </c>
      <c r="D74" s="42">
        <f t="shared" si="186"/>
        <v>0</v>
      </c>
      <c r="E74" s="42">
        <f t="shared" si="186"/>
        <v>0</v>
      </c>
      <c r="F74" s="42">
        <f t="shared" si="186"/>
        <v>0</v>
      </c>
      <c r="G74" s="42">
        <f t="shared" si="186"/>
        <v>0</v>
      </c>
      <c r="H74" s="42">
        <f t="shared" si="186"/>
        <v>0</v>
      </c>
      <c r="I74" s="42">
        <f t="shared" si="186"/>
        <v>0</v>
      </c>
      <c r="J74" s="42">
        <f t="shared" si="186"/>
        <v>0</v>
      </c>
      <c r="K74" s="42">
        <f t="shared" si="186"/>
        <v>0</v>
      </c>
      <c r="L74" s="42">
        <f t="shared" si="186"/>
        <v>0</v>
      </c>
      <c r="M74" s="42">
        <f t="shared" si="186"/>
        <v>0</v>
      </c>
      <c r="N74" s="42">
        <f t="shared" si="186"/>
        <v>0</v>
      </c>
      <c r="O74" s="42">
        <f t="shared" si="186"/>
        <v>0</v>
      </c>
      <c r="P74" s="42">
        <f t="shared" si="186"/>
        <v>0</v>
      </c>
      <c r="Q74" s="42">
        <f t="shared" si="186"/>
        <v>0</v>
      </c>
      <c r="R74" s="42">
        <f t="shared" si="186"/>
        <v>0</v>
      </c>
      <c r="S74" s="42">
        <f t="shared" si="186"/>
        <v>0</v>
      </c>
      <c r="T74" s="42">
        <f t="shared" si="186"/>
        <v>0</v>
      </c>
      <c r="U74" s="42">
        <f t="shared" si="186"/>
        <v>0</v>
      </c>
      <c r="V74" s="42">
        <f t="shared" si="186"/>
        <v>0</v>
      </c>
      <c r="W74" s="42">
        <f t="shared" si="186"/>
        <v>0</v>
      </c>
      <c r="X74" s="42">
        <f t="shared" si="186"/>
        <v>0</v>
      </c>
      <c r="Y74" s="42">
        <f t="shared" si="186"/>
        <v>0</v>
      </c>
      <c r="Z74" s="42">
        <f t="shared" si="186"/>
        <v>0</v>
      </c>
      <c r="AA74" s="42">
        <f t="shared" si="186"/>
        <v>0</v>
      </c>
      <c r="AB74" s="34">
        <f t="shared" si="4"/>
        <v>0</v>
      </c>
      <c r="AC74" s="34">
        <f>IFERROR(s_RadSpec!$J$12*(AC12*$B74),".")</f>
        <v>0</v>
      </c>
      <c r="AD74" s="34">
        <f>IFERROR(s_RadSpec!$J$12*(AD12*$B74),".")</f>
        <v>0</v>
      </c>
      <c r="AE74" s="34">
        <f>IFERROR(s_RadSpec!$J$12*(AE12*$B74),".")</f>
        <v>0</v>
      </c>
      <c r="AF74" s="34">
        <f>IFERROR(s_RadSpec!$J$12*(AF12*$B74),".")</f>
        <v>0</v>
      </c>
      <c r="AG74" s="34">
        <f>IFERROR(s_RadSpec!$J$12*(AG12*$B74),".")</f>
        <v>0</v>
      </c>
      <c r="AH74" s="34">
        <f>IFERROR(s_RadSpec!$J$12*(AH12*$B74),".")</f>
        <v>0</v>
      </c>
      <c r="AI74" s="34">
        <f>IFERROR(s_RadSpec!$J$12*(AI12*$B74),".")</f>
        <v>0</v>
      </c>
      <c r="AJ74" s="34">
        <f>IFERROR(s_RadSpec!$J$12*(AJ12*$B74),".")</f>
        <v>0</v>
      </c>
      <c r="AK74" s="34">
        <f>IFERROR(s_RadSpec!$J$12*(AK12*$B74),".")</f>
        <v>0</v>
      </c>
      <c r="AL74" s="34">
        <f>IFERROR(s_RadSpec!$J$12*(AL12*$B74),".")</f>
        <v>0</v>
      </c>
      <c r="AM74" s="34">
        <f>IFERROR(s_RadSpec!$J$12*(AM12*$B74),".")</f>
        <v>0</v>
      </c>
      <c r="AN74" s="34">
        <f>IFERROR(s_RadSpec!$J$12*(AN12*$B74),".")</f>
        <v>0</v>
      </c>
      <c r="AO74" s="34">
        <f>IFERROR(s_RadSpec!$J$12*(AO12*$B74),".")</f>
        <v>0</v>
      </c>
      <c r="AP74" s="34">
        <f>IFERROR(s_RadSpec!$J$12*(AP12*$B74),".")</f>
        <v>0</v>
      </c>
      <c r="AQ74" s="34">
        <f>IFERROR(s_RadSpec!$J$12*(AQ12*$B74),".")</f>
        <v>0</v>
      </c>
      <c r="AR74" s="34">
        <f>IFERROR(s_RadSpec!$J$12*(AR12*$B74),".")</f>
        <v>0</v>
      </c>
      <c r="AS74" s="34">
        <f>IFERROR(s_RadSpec!$J$12*(AS12*$B74),".")</f>
        <v>0</v>
      </c>
      <c r="AT74" s="34">
        <f>IFERROR(s_RadSpec!$J$12*(AT12*$B74),".")</f>
        <v>0</v>
      </c>
      <c r="AU74" s="34">
        <f>IFERROR(s_RadSpec!$J$12*(AU12*$B74),".")</f>
        <v>0</v>
      </c>
      <c r="AV74" s="34">
        <f>IFERROR(s_RadSpec!$J$12*(AV12*$B74),".")</f>
        <v>0</v>
      </c>
      <c r="AW74" s="34">
        <f>IFERROR(s_RadSpec!$J$12*(AW12*$B74),".")</f>
        <v>0</v>
      </c>
      <c r="AX74" s="34">
        <f>IFERROR(s_RadSpec!$J$12*(AX12*$B74),".")</f>
        <v>0</v>
      </c>
      <c r="AY74" s="34">
        <f>IFERROR(s_RadSpec!$J$12*(AY12*$B74),".")</f>
        <v>0</v>
      </c>
      <c r="AZ74" s="34">
        <f>IFERROR(s_RadSpec!$J$12*(AZ12*$B74),".")</f>
        <v>0</v>
      </c>
      <c r="BA74" s="42">
        <f t="shared" ref="BA74:BY74" si="187">IFERROR(BA12/$B60,0)</f>
        <v>0</v>
      </c>
      <c r="BB74" s="42">
        <f t="shared" si="187"/>
        <v>0</v>
      </c>
      <c r="BC74" s="42">
        <f t="shared" si="187"/>
        <v>0</v>
      </c>
      <c r="BD74" s="42">
        <f t="shared" si="187"/>
        <v>0</v>
      </c>
      <c r="BE74" s="42">
        <f t="shared" si="187"/>
        <v>0</v>
      </c>
      <c r="BF74" s="42">
        <f t="shared" si="187"/>
        <v>0</v>
      </c>
      <c r="BG74" s="42">
        <f t="shared" si="187"/>
        <v>0</v>
      </c>
      <c r="BH74" s="42">
        <f t="shared" si="187"/>
        <v>0</v>
      </c>
      <c r="BI74" s="42">
        <f t="shared" si="187"/>
        <v>0</v>
      </c>
      <c r="BJ74" s="42">
        <f t="shared" si="187"/>
        <v>0</v>
      </c>
      <c r="BK74" s="42">
        <f t="shared" si="187"/>
        <v>0</v>
      </c>
      <c r="BL74" s="42">
        <f t="shared" si="187"/>
        <v>0</v>
      </c>
      <c r="BM74" s="42">
        <f t="shared" si="187"/>
        <v>0</v>
      </c>
      <c r="BN74" s="42">
        <f t="shared" si="187"/>
        <v>0</v>
      </c>
      <c r="BO74" s="42">
        <f t="shared" si="187"/>
        <v>0</v>
      </c>
      <c r="BP74" s="42">
        <f t="shared" si="187"/>
        <v>0</v>
      </c>
      <c r="BQ74" s="42">
        <f t="shared" si="187"/>
        <v>0</v>
      </c>
      <c r="BR74" s="42">
        <f t="shared" si="187"/>
        <v>0</v>
      </c>
      <c r="BS74" s="42">
        <f t="shared" si="187"/>
        <v>0</v>
      </c>
      <c r="BT74" s="42">
        <f t="shared" si="187"/>
        <v>0</v>
      </c>
      <c r="BU74" s="42">
        <f t="shared" si="187"/>
        <v>0</v>
      </c>
      <c r="BV74" s="42">
        <f t="shared" si="187"/>
        <v>0</v>
      </c>
      <c r="BW74" s="42">
        <f t="shared" si="187"/>
        <v>0</v>
      </c>
      <c r="BX74" s="42">
        <f t="shared" si="187"/>
        <v>0</v>
      </c>
      <c r="BY74" s="42">
        <f t="shared" si="187"/>
        <v>0</v>
      </c>
      <c r="BZ74" s="34">
        <f t="shared" si="35"/>
        <v>0</v>
      </c>
      <c r="CA74" s="34">
        <f>IFERROR(s_RadSpec!$J$12*(AC12*$B74),".")</f>
        <v>0</v>
      </c>
      <c r="CB74" s="34">
        <f>IFERROR(s_RadSpec!$J$12*(AC12*$B74),".")</f>
        <v>0</v>
      </c>
      <c r="CC74" s="34">
        <f>IFERROR(s_RadSpec!$J$12*(AC12*$B74),".")</f>
        <v>0</v>
      </c>
      <c r="CD74" s="34">
        <f>IFERROR(s_RadSpec!$J$12*(AC12*$B74),".")</f>
        <v>0</v>
      </c>
      <c r="CE74" s="34">
        <f>IFERROR(s_RadSpec!$J$12*(AC12*$B74),".")</f>
        <v>0</v>
      </c>
      <c r="CF74" s="34">
        <f>IFERROR(s_RadSpec!$J$12*(AC12*$B74),".")</f>
        <v>0</v>
      </c>
      <c r="CG74" s="34">
        <f>IFERROR(s_RadSpec!$J$12*(AC12*$B74),".")</f>
        <v>0</v>
      </c>
      <c r="CH74" s="34">
        <f>IFERROR(s_RadSpec!$J$12*(AC12*$B74),".")</f>
        <v>0</v>
      </c>
      <c r="CI74" s="34">
        <f>IFERROR(s_RadSpec!$J$12*(AC12*$B74),".")</f>
        <v>0</v>
      </c>
      <c r="CJ74" s="34">
        <f>IFERROR(s_RadSpec!$J$12*(AC12*$B74),".")</f>
        <v>0</v>
      </c>
      <c r="CK74" s="34">
        <f>IFERROR(s_RadSpec!$J$12*(AC12*$B74),".")</f>
        <v>0</v>
      </c>
      <c r="CL74" s="34">
        <f>IFERROR(s_RadSpec!$J$12*(AC12*$B74),".")</f>
        <v>0</v>
      </c>
      <c r="CM74" s="34">
        <f>IFERROR(s_RadSpec!$J$12*(AC12*$B74),".")</f>
        <v>0</v>
      </c>
      <c r="CN74" s="34">
        <f>IFERROR(s_RadSpec!$J$12*(AC12*$B74),".")</f>
        <v>0</v>
      </c>
      <c r="CO74" s="34">
        <f>IFERROR(s_RadSpec!$J$12*(AC12*$B74),".")</f>
        <v>0</v>
      </c>
      <c r="CP74" s="34">
        <f>IFERROR(s_RadSpec!$J$12*(AC12*$B74),".")</f>
        <v>0</v>
      </c>
      <c r="CQ74" s="34">
        <f>IFERROR(s_RadSpec!$J$12*(AC12*$B74),".")</f>
        <v>0</v>
      </c>
      <c r="CR74" s="34">
        <f>IFERROR(s_RadSpec!$J$12*(AC12*$B74),".")</f>
        <v>0</v>
      </c>
      <c r="CS74" s="34">
        <f>IFERROR(s_RadSpec!$J$12*(AC12*$B74),".")</f>
        <v>0</v>
      </c>
      <c r="CT74" s="34">
        <f>IFERROR(s_RadSpec!$J$12*(AC12*$B74),".")</f>
        <v>0</v>
      </c>
      <c r="CU74" s="34">
        <f>IFERROR(s_RadSpec!$J$12*(AC12*$B74),".")</f>
        <v>0</v>
      </c>
      <c r="CV74" s="34">
        <f>IFERROR(s_RadSpec!$J$12*(AC12*$B74),".")</f>
        <v>0</v>
      </c>
      <c r="CW74" s="34">
        <f>IFERROR(s_RadSpec!$J$12*(AC12*$B74),".")</f>
        <v>0</v>
      </c>
      <c r="CX74" s="34">
        <f>IFERROR(s_RadSpec!$J$12*(AC12*$B74),".")</f>
        <v>0</v>
      </c>
    </row>
    <row r="75" spans="1:102" x14ac:dyDescent="0.25">
      <c r="A75" s="55" t="s">
        <v>1084</v>
      </c>
      <c r="B75" s="3">
        <v>1</v>
      </c>
      <c r="C75" s="42">
        <f t="shared" ref="C75:AA75" si="188">IFERROR(C18/$B61,0)</f>
        <v>9.4650716553841239</v>
      </c>
      <c r="D75" s="42">
        <f t="shared" si="188"/>
        <v>37.266128838789754</v>
      </c>
      <c r="E75" s="42">
        <f t="shared" si="188"/>
        <v>24.428036607244959</v>
      </c>
      <c r="F75" s="42">
        <f t="shared" si="188"/>
        <v>26.453158813026931</v>
      </c>
      <c r="G75" s="42">
        <f t="shared" si="188"/>
        <v>37.266128838789754</v>
      </c>
      <c r="H75" s="42">
        <f t="shared" si="188"/>
        <v>37.266128838789754</v>
      </c>
      <c r="I75" s="42">
        <f t="shared" si="188"/>
        <v>24.428036607244959</v>
      </c>
      <c r="J75" s="42">
        <f t="shared" si="188"/>
        <v>26.453158813026931</v>
      </c>
      <c r="K75" s="42">
        <f t="shared" si="188"/>
        <v>37.266128838789754</v>
      </c>
      <c r="L75" s="42">
        <f t="shared" si="188"/>
        <v>37.157639380743788</v>
      </c>
      <c r="M75" s="42">
        <f t="shared" si="188"/>
        <v>37.266128838789754</v>
      </c>
      <c r="N75" s="42">
        <f t="shared" si="188"/>
        <v>24.428036607244959</v>
      </c>
      <c r="O75" s="42">
        <f t="shared" si="188"/>
        <v>37.076685918040646</v>
      </c>
      <c r="P75" s="42">
        <f t="shared" si="188"/>
        <v>37.266128838789754</v>
      </c>
      <c r="Q75" s="42">
        <f t="shared" si="188"/>
        <v>37.266128838789754</v>
      </c>
      <c r="R75" s="42">
        <f t="shared" si="188"/>
        <v>37.266128838789754</v>
      </c>
      <c r="S75" s="42">
        <f t="shared" si="188"/>
        <v>37.266128838789754</v>
      </c>
      <c r="T75" s="42">
        <f t="shared" si="188"/>
        <v>37.076685918040646</v>
      </c>
      <c r="U75" s="42">
        <f t="shared" si="188"/>
        <v>31.515183030334551</v>
      </c>
      <c r="V75" s="42">
        <f t="shared" si="188"/>
        <v>37.266128838789754</v>
      </c>
      <c r="W75" s="42">
        <f t="shared" si="188"/>
        <v>37.076685918040646</v>
      </c>
      <c r="X75" s="42">
        <f t="shared" si="188"/>
        <v>37.266128838789754</v>
      </c>
      <c r="Y75" s="42">
        <f t="shared" si="188"/>
        <v>37.266128838789754</v>
      </c>
      <c r="Z75" s="42">
        <f t="shared" si="188"/>
        <v>19.265885475147915</v>
      </c>
      <c r="AA75" s="42">
        <f t="shared" si="188"/>
        <v>37.157639380743788</v>
      </c>
      <c r="AB75" s="34">
        <f t="shared" si="4"/>
        <v>2.6412900937499999</v>
      </c>
      <c r="AC75" s="34">
        <f>IFERROR(s_RadSpec!$J$18*(AC18*$B75),".")</f>
        <v>0.67085046874999998</v>
      </c>
      <c r="AD75" s="34">
        <f>IFERROR(s_RadSpec!$J$18*(AD18*$B75),".")</f>
        <v>1.0234142187499999</v>
      </c>
      <c r="AE75" s="34">
        <f>IFERROR(s_RadSpec!$J$18*(AE18*$B75),".")</f>
        <v>0.94506671874999992</v>
      </c>
      <c r="AF75" s="34">
        <f>IFERROR(s_RadSpec!$J$18*(AF18*$B75),".")</f>
        <v>0.67085046874999998</v>
      </c>
      <c r="AG75" s="34">
        <f>IFERROR(s_RadSpec!$J$18*(AG18*$B75),".")</f>
        <v>0.67085046874999998</v>
      </c>
      <c r="AH75" s="34">
        <f>IFERROR(s_RadSpec!$J$18*(AH18*$B75),".")</f>
        <v>1.0234142187499999</v>
      </c>
      <c r="AI75" s="34">
        <f>IFERROR(s_RadSpec!$J$18*(AI18*$B75),".")</f>
        <v>0.94506671874999992</v>
      </c>
      <c r="AJ75" s="34">
        <f>IFERROR(s_RadSpec!$J$18*(AJ18*$B75),".")</f>
        <v>0.67085046874999998</v>
      </c>
      <c r="AK75" s="34">
        <f>IFERROR(s_RadSpec!$J$18*(AK18*$B75),".")</f>
        <v>0.67280915624999993</v>
      </c>
      <c r="AL75" s="34">
        <f>IFERROR(s_RadSpec!$J$18*(AL18*$B75),".")</f>
        <v>0.67085046874999998</v>
      </c>
      <c r="AM75" s="34">
        <f>IFERROR(s_RadSpec!$J$18*(AM18*$B75),".")</f>
        <v>1.0234142187499999</v>
      </c>
      <c r="AN75" s="34">
        <f>IFERROR(s_RadSpec!$J$18*(AN18*$B75),".")</f>
        <v>0.67427817187499994</v>
      </c>
      <c r="AO75" s="34">
        <f>IFERROR(s_RadSpec!$J$18*(AO18*$B75),".")</f>
        <v>0.67085046874999998</v>
      </c>
      <c r="AP75" s="34">
        <f>IFERROR(s_RadSpec!$J$18*(AP18*$B75),".")</f>
        <v>0.67085046874999998</v>
      </c>
      <c r="AQ75" s="34">
        <f>IFERROR(s_RadSpec!$J$18*(AQ18*$B75),".")</f>
        <v>0.67085046874999998</v>
      </c>
      <c r="AR75" s="34">
        <f>IFERROR(s_RadSpec!$J$18*(AR18*$B75),".")</f>
        <v>0.67085046874999998</v>
      </c>
      <c r="AS75" s="34">
        <f>IFERROR(s_RadSpec!$J$18*(AS18*$B75),".")</f>
        <v>0.67427817187499994</v>
      </c>
      <c r="AT75" s="34">
        <f>IFERROR(s_RadSpec!$J$18*(AT18*$B75),".")</f>
        <v>0.79326843749999987</v>
      </c>
      <c r="AU75" s="34">
        <f>IFERROR(s_RadSpec!$J$18*(AU18*$B75),".")</f>
        <v>0.67085046874999998</v>
      </c>
      <c r="AV75" s="34">
        <f>IFERROR(s_RadSpec!$J$18*(AV18*$B75),".")</f>
        <v>0.67427817187499994</v>
      </c>
      <c r="AW75" s="34">
        <f>IFERROR(s_RadSpec!$J$18*(AW18*$B75),".")</f>
        <v>0.67085046874999998</v>
      </c>
      <c r="AX75" s="34">
        <f>IFERROR(s_RadSpec!$J$18*(AX18*$B75),".")</f>
        <v>0.67085046874999998</v>
      </c>
      <c r="AY75" s="34">
        <f>IFERROR(s_RadSpec!$J$18*(AY18*$B75),".")</f>
        <v>1.29763046875</v>
      </c>
      <c r="AZ75" s="34">
        <f>IFERROR(s_RadSpec!$J$18*(AZ18*$B75),".")</f>
        <v>0.67280915624999993</v>
      </c>
      <c r="BA75" s="42">
        <f t="shared" ref="BA75:BY75" si="189">IFERROR(BA18/$B61,0)</f>
        <v>9.4650716553841239</v>
      </c>
      <c r="BB75" s="42">
        <f t="shared" si="189"/>
        <v>37.266128838789754</v>
      </c>
      <c r="BC75" s="42">
        <f t="shared" si="189"/>
        <v>24.428036607244959</v>
      </c>
      <c r="BD75" s="42">
        <f t="shared" si="189"/>
        <v>26.453158813026931</v>
      </c>
      <c r="BE75" s="42">
        <f t="shared" si="189"/>
        <v>37.266128838789754</v>
      </c>
      <c r="BF75" s="42">
        <f t="shared" si="189"/>
        <v>37.266128838789754</v>
      </c>
      <c r="BG75" s="42">
        <f t="shared" si="189"/>
        <v>24.428036607244959</v>
      </c>
      <c r="BH75" s="42">
        <f t="shared" si="189"/>
        <v>26.453158813026931</v>
      </c>
      <c r="BI75" s="42">
        <f t="shared" si="189"/>
        <v>37.266128838789754</v>
      </c>
      <c r="BJ75" s="42">
        <f t="shared" si="189"/>
        <v>37.157639380743788</v>
      </c>
      <c r="BK75" s="42">
        <f t="shared" si="189"/>
        <v>37.266128838789754</v>
      </c>
      <c r="BL75" s="42">
        <f t="shared" si="189"/>
        <v>24.428036607244959</v>
      </c>
      <c r="BM75" s="42">
        <f t="shared" si="189"/>
        <v>37.076685918040646</v>
      </c>
      <c r="BN75" s="42">
        <f t="shared" si="189"/>
        <v>37.266128838789754</v>
      </c>
      <c r="BO75" s="42">
        <f t="shared" si="189"/>
        <v>37.266128838789754</v>
      </c>
      <c r="BP75" s="42">
        <f t="shared" si="189"/>
        <v>37.266128838789754</v>
      </c>
      <c r="BQ75" s="42">
        <f t="shared" si="189"/>
        <v>37.266128838789754</v>
      </c>
      <c r="BR75" s="42">
        <f t="shared" si="189"/>
        <v>37.076685918040646</v>
      </c>
      <c r="BS75" s="42">
        <f t="shared" si="189"/>
        <v>31.515183030334551</v>
      </c>
      <c r="BT75" s="42">
        <f t="shared" si="189"/>
        <v>37.266128838789754</v>
      </c>
      <c r="BU75" s="42">
        <f t="shared" si="189"/>
        <v>37.076685918040646</v>
      </c>
      <c r="BV75" s="42">
        <f t="shared" si="189"/>
        <v>37.266128838789754</v>
      </c>
      <c r="BW75" s="42">
        <f t="shared" si="189"/>
        <v>37.266128838789754</v>
      </c>
      <c r="BX75" s="42">
        <f t="shared" si="189"/>
        <v>19.265885475147915</v>
      </c>
      <c r="BY75" s="42">
        <f t="shared" si="189"/>
        <v>37.157639380743788</v>
      </c>
      <c r="BZ75" s="34">
        <f t="shared" si="35"/>
        <v>2.0125514062500001</v>
      </c>
      <c r="CA75" s="34">
        <f>IFERROR(s_RadSpec!$J$18*(AC18*$B75),".")</f>
        <v>0.67085046874999998</v>
      </c>
      <c r="CB75" s="34">
        <f>IFERROR(s_RadSpec!$J$18*(AC18*$B75),".")</f>
        <v>0.67085046874999998</v>
      </c>
      <c r="CC75" s="34">
        <f>IFERROR(s_RadSpec!$J$18*(AC18*$B75),".")</f>
        <v>0.67085046874999998</v>
      </c>
      <c r="CD75" s="34">
        <f>IFERROR(s_RadSpec!$J$18*(AC18*$B75),".")</f>
        <v>0.67085046874999998</v>
      </c>
      <c r="CE75" s="34">
        <f>IFERROR(s_RadSpec!$J$18*(AC18*$B75),".")</f>
        <v>0.67085046874999998</v>
      </c>
      <c r="CF75" s="34">
        <f>IFERROR(s_RadSpec!$J$18*(AC18*$B75),".")</f>
        <v>0.67085046874999998</v>
      </c>
      <c r="CG75" s="34">
        <f>IFERROR(s_RadSpec!$J$18*(AC18*$B75),".")</f>
        <v>0.67085046874999998</v>
      </c>
      <c r="CH75" s="34">
        <f>IFERROR(s_RadSpec!$J$18*(AC18*$B75),".")</f>
        <v>0.67085046874999998</v>
      </c>
      <c r="CI75" s="34">
        <f>IFERROR(s_RadSpec!$J$18*(AC18*$B75),".")</f>
        <v>0.67085046874999998</v>
      </c>
      <c r="CJ75" s="34">
        <f>IFERROR(s_RadSpec!$J$18*(AC18*$B75),".")</f>
        <v>0.67085046874999998</v>
      </c>
      <c r="CK75" s="34">
        <f>IFERROR(s_RadSpec!$J$18*(AC18*$B75),".")</f>
        <v>0.67085046874999998</v>
      </c>
      <c r="CL75" s="34">
        <f>IFERROR(s_RadSpec!$J$18*(AC18*$B75),".")</f>
        <v>0.67085046874999998</v>
      </c>
      <c r="CM75" s="34">
        <f>IFERROR(s_RadSpec!$J$18*(AC18*$B75),".")</f>
        <v>0.67085046874999998</v>
      </c>
      <c r="CN75" s="34">
        <f>IFERROR(s_RadSpec!$J$18*(AC18*$B75),".")</f>
        <v>0.67085046874999998</v>
      </c>
      <c r="CO75" s="34">
        <f>IFERROR(s_RadSpec!$J$18*(AC18*$B75),".")</f>
        <v>0.67085046874999998</v>
      </c>
      <c r="CP75" s="34">
        <f>IFERROR(s_RadSpec!$J$18*(AC18*$B75),".")</f>
        <v>0.67085046874999998</v>
      </c>
      <c r="CQ75" s="34">
        <f>IFERROR(s_RadSpec!$J$18*(AC18*$B75),".")</f>
        <v>0.67085046874999998</v>
      </c>
      <c r="CR75" s="34">
        <f>IFERROR(s_RadSpec!$J$18*(AC18*$B75),".")</f>
        <v>0.67085046874999998</v>
      </c>
      <c r="CS75" s="34">
        <f>IFERROR(s_RadSpec!$J$18*(AC18*$B75),".")</f>
        <v>0.67085046874999998</v>
      </c>
      <c r="CT75" s="34">
        <f>IFERROR(s_RadSpec!$J$18*(AC18*$B75),".")</f>
        <v>0.67085046874999998</v>
      </c>
      <c r="CU75" s="34">
        <f>IFERROR(s_RadSpec!$J$18*(AC18*$B75),".")</f>
        <v>0.67085046874999998</v>
      </c>
      <c r="CV75" s="34">
        <f>IFERROR(s_RadSpec!$J$18*(AC18*$B75),".")</f>
        <v>0.67085046874999998</v>
      </c>
      <c r="CW75" s="34">
        <f>IFERROR(s_RadSpec!$J$18*(AC18*$B75),".")</f>
        <v>0.67085046874999998</v>
      </c>
      <c r="CX75" s="34">
        <f>IFERROR(s_RadSpec!$J$18*(AC18*$B75),".")</f>
        <v>0.67085046874999998</v>
      </c>
    </row>
    <row r="76" spans="1:102" x14ac:dyDescent="0.25">
      <c r="A76" s="55" t="s">
        <v>1085</v>
      </c>
      <c r="B76" s="3">
        <v>1.339E-6</v>
      </c>
      <c r="C76" s="42">
        <f t="shared" ref="C76:AA76" si="190">IFERROR(C27/$B62,0)</f>
        <v>0</v>
      </c>
      <c r="D76" s="42">
        <f t="shared" si="190"/>
        <v>0</v>
      </c>
      <c r="E76" s="42">
        <f t="shared" si="190"/>
        <v>0</v>
      </c>
      <c r="F76" s="42">
        <f t="shared" si="190"/>
        <v>0</v>
      </c>
      <c r="G76" s="42">
        <f t="shared" si="190"/>
        <v>0</v>
      </c>
      <c r="H76" s="42">
        <f t="shared" si="190"/>
        <v>0</v>
      </c>
      <c r="I76" s="42">
        <f t="shared" si="190"/>
        <v>0</v>
      </c>
      <c r="J76" s="42">
        <f t="shared" si="190"/>
        <v>0</v>
      </c>
      <c r="K76" s="42">
        <f t="shared" si="190"/>
        <v>0</v>
      </c>
      <c r="L76" s="42">
        <f t="shared" si="190"/>
        <v>0</v>
      </c>
      <c r="M76" s="42">
        <f t="shared" si="190"/>
        <v>0</v>
      </c>
      <c r="N76" s="42">
        <f t="shared" si="190"/>
        <v>0</v>
      </c>
      <c r="O76" s="42">
        <f t="shared" si="190"/>
        <v>0</v>
      </c>
      <c r="P76" s="42">
        <f t="shared" si="190"/>
        <v>0</v>
      </c>
      <c r="Q76" s="42">
        <f t="shared" si="190"/>
        <v>0</v>
      </c>
      <c r="R76" s="42">
        <f t="shared" si="190"/>
        <v>0</v>
      </c>
      <c r="S76" s="42">
        <f t="shared" si="190"/>
        <v>0</v>
      </c>
      <c r="T76" s="42">
        <f t="shared" si="190"/>
        <v>0</v>
      </c>
      <c r="U76" s="42">
        <f t="shared" si="190"/>
        <v>0</v>
      </c>
      <c r="V76" s="42">
        <f t="shared" si="190"/>
        <v>0</v>
      </c>
      <c r="W76" s="42">
        <f t="shared" si="190"/>
        <v>0</v>
      </c>
      <c r="X76" s="42">
        <f t="shared" si="190"/>
        <v>0</v>
      </c>
      <c r="Y76" s="42">
        <f t="shared" si="190"/>
        <v>0</v>
      </c>
      <c r="Z76" s="42">
        <f t="shared" si="190"/>
        <v>0</v>
      </c>
      <c r="AA76" s="42">
        <f t="shared" si="190"/>
        <v>0</v>
      </c>
      <c r="AB76" s="34">
        <f t="shared" si="4"/>
        <v>0</v>
      </c>
      <c r="AC76" s="34">
        <f>IFERROR(s_RadSpec!$J$27*(AC27*$B76),".")</f>
        <v>0</v>
      </c>
      <c r="AD76" s="34">
        <f>IFERROR(s_RadSpec!$J$27*(AD27*$B76),".")</f>
        <v>0</v>
      </c>
      <c r="AE76" s="34">
        <f>IFERROR(s_RadSpec!$J$27*(AE27*$B76),".")</f>
        <v>0</v>
      </c>
      <c r="AF76" s="34">
        <f>IFERROR(s_RadSpec!$J$27*(AF27*$B76),".")</f>
        <v>0</v>
      </c>
      <c r="AG76" s="34">
        <f>IFERROR(s_RadSpec!$J$27*(AG27*$B76),".")</f>
        <v>0</v>
      </c>
      <c r="AH76" s="34">
        <f>IFERROR(s_RadSpec!$J$27*(AH27*$B76),".")</f>
        <v>0</v>
      </c>
      <c r="AI76" s="34">
        <f>IFERROR(s_RadSpec!$J$27*(AI27*$B76),".")</f>
        <v>0</v>
      </c>
      <c r="AJ76" s="34">
        <f>IFERROR(s_RadSpec!$J$27*(AJ27*$B76),".")</f>
        <v>0</v>
      </c>
      <c r="AK76" s="34">
        <f>IFERROR(s_RadSpec!$J$27*(AK27*$B76),".")</f>
        <v>0</v>
      </c>
      <c r="AL76" s="34">
        <f>IFERROR(s_RadSpec!$J$27*(AL27*$B76),".")</f>
        <v>0</v>
      </c>
      <c r="AM76" s="34">
        <f>IFERROR(s_RadSpec!$J$27*(AM27*$B76),".")</f>
        <v>0</v>
      </c>
      <c r="AN76" s="34">
        <f>IFERROR(s_RadSpec!$J$27*(AN27*$B76),".")</f>
        <v>0</v>
      </c>
      <c r="AO76" s="34">
        <f>IFERROR(s_RadSpec!$J$27*(AO27*$B76),".")</f>
        <v>0</v>
      </c>
      <c r="AP76" s="34">
        <f>IFERROR(s_RadSpec!$J$27*(AP27*$B76),".")</f>
        <v>0</v>
      </c>
      <c r="AQ76" s="34">
        <f>IFERROR(s_RadSpec!$J$27*(AQ27*$B76),".")</f>
        <v>0</v>
      </c>
      <c r="AR76" s="34">
        <f>IFERROR(s_RadSpec!$J$27*(AR27*$B76),".")</f>
        <v>0</v>
      </c>
      <c r="AS76" s="34">
        <f>IFERROR(s_RadSpec!$J$27*(AS27*$B76),".")</f>
        <v>0</v>
      </c>
      <c r="AT76" s="34">
        <f>IFERROR(s_RadSpec!$J$27*(AT27*$B76),".")</f>
        <v>0</v>
      </c>
      <c r="AU76" s="34">
        <f>IFERROR(s_RadSpec!$J$27*(AU27*$B76),".")</f>
        <v>0</v>
      </c>
      <c r="AV76" s="34">
        <f>IFERROR(s_RadSpec!$J$27*(AV27*$B76),".")</f>
        <v>0</v>
      </c>
      <c r="AW76" s="34">
        <f>IFERROR(s_RadSpec!$J$27*(AW27*$B76),".")</f>
        <v>0</v>
      </c>
      <c r="AX76" s="34">
        <f>IFERROR(s_RadSpec!$J$27*(AX27*$B76),".")</f>
        <v>0</v>
      </c>
      <c r="AY76" s="34">
        <f>IFERROR(s_RadSpec!$J$27*(AY27*$B76),".")</f>
        <v>0</v>
      </c>
      <c r="AZ76" s="34">
        <f>IFERROR(s_RadSpec!$J$27*(AZ27*$B76),".")</f>
        <v>0</v>
      </c>
      <c r="BA76" s="42">
        <f t="shared" ref="BA76:BY76" si="191">IFERROR(BA27/$B62,0)</f>
        <v>0</v>
      </c>
      <c r="BB76" s="42">
        <f t="shared" si="191"/>
        <v>0</v>
      </c>
      <c r="BC76" s="42">
        <f t="shared" si="191"/>
        <v>0</v>
      </c>
      <c r="BD76" s="42">
        <f t="shared" si="191"/>
        <v>0</v>
      </c>
      <c r="BE76" s="42">
        <f t="shared" si="191"/>
        <v>0</v>
      </c>
      <c r="BF76" s="42">
        <f t="shared" si="191"/>
        <v>0</v>
      </c>
      <c r="BG76" s="42">
        <f t="shared" si="191"/>
        <v>0</v>
      </c>
      <c r="BH76" s="42">
        <f t="shared" si="191"/>
        <v>0</v>
      </c>
      <c r="BI76" s="42">
        <f t="shared" si="191"/>
        <v>0</v>
      </c>
      <c r="BJ76" s="42">
        <f t="shared" si="191"/>
        <v>0</v>
      </c>
      <c r="BK76" s="42">
        <f t="shared" si="191"/>
        <v>0</v>
      </c>
      <c r="BL76" s="42">
        <f t="shared" si="191"/>
        <v>0</v>
      </c>
      <c r="BM76" s="42">
        <f t="shared" si="191"/>
        <v>0</v>
      </c>
      <c r="BN76" s="42">
        <f t="shared" si="191"/>
        <v>0</v>
      </c>
      <c r="BO76" s="42">
        <f t="shared" si="191"/>
        <v>0</v>
      </c>
      <c r="BP76" s="42">
        <f t="shared" si="191"/>
        <v>0</v>
      </c>
      <c r="BQ76" s="42">
        <f t="shared" si="191"/>
        <v>0</v>
      </c>
      <c r="BR76" s="42">
        <f t="shared" si="191"/>
        <v>0</v>
      </c>
      <c r="BS76" s="42">
        <f t="shared" si="191"/>
        <v>0</v>
      </c>
      <c r="BT76" s="42">
        <f t="shared" si="191"/>
        <v>0</v>
      </c>
      <c r="BU76" s="42">
        <f t="shared" si="191"/>
        <v>0</v>
      </c>
      <c r="BV76" s="42">
        <f t="shared" si="191"/>
        <v>0</v>
      </c>
      <c r="BW76" s="42">
        <f t="shared" si="191"/>
        <v>0</v>
      </c>
      <c r="BX76" s="42">
        <f t="shared" si="191"/>
        <v>0</v>
      </c>
      <c r="BY76" s="42">
        <f t="shared" si="191"/>
        <v>0</v>
      </c>
      <c r="BZ76" s="34">
        <f t="shared" si="35"/>
        <v>0</v>
      </c>
      <c r="CA76" s="34">
        <f>IFERROR(s_RadSpec!$J$27*(AC27*$B76),".")</f>
        <v>0</v>
      </c>
      <c r="CB76" s="34">
        <f>IFERROR(s_RadSpec!$J$27*(AC27*$B76),".")</f>
        <v>0</v>
      </c>
      <c r="CC76" s="34">
        <f>IFERROR(s_RadSpec!$J$27*(AC27*$B76),".")</f>
        <v>0</v>
      </c>
      <c r="CD76" s="34">
        <f>IFERROR(s_RadSpec!$J$27*(AC27*$B76),".")</f>
        <v>0</v>
      </c>
      <c r="CE76" s="34">
        <f>IFERROR(s_RadSpec!$J$27*(AC27*$B76),".")</f>
        <v>0</v>
      </c>
      <c r="CF76" s="34">
        <f>IFERROR(s_RadSpec!$J$27*(AC27*$B76),".")</f>
        <v>0</v>
      </c>
      <c r="CG76" s="34">
        <f>IFERROR(s_RadSpec!$J$27*(AC27*$B76),".")</f>
        <v>0</v>
      </c>
      <c r="CH76" s="34">
        <f>IFERROR(s_RadSpec!$J$27*(AC27*$B76),".")</f>
        <v>0</v>
      </c>
      <c r="CI76" s="34">
        <f>IFERROR(s_RadSpec!$J$27*(AC27*$B76),".")</f>
        <v>0</v>
      </c>
      <c r="CJ76" s="34">
        <f>IFERROR(s_RadSpec!$J$27*(AC27*$B76),".")</f>
        <v>0</v>
      </c>
      <c r="CK76" s="34">
        <f>IFERROR(s_RadSpec!$J$27*(AC27*$B76),".")</f>
        <v>0</v>
      </c>
      <c r="CL76" s="34">
        <f>IFERROR(s_RadSpec!$J$27*(AC27*$B76),".")</f>
        <v>0</v>
      </c>
      <c r="CM76" s="34">
        <f>IFERROR(s_RadSpec!$J$27*(AC27*$B76),".")</f>
        <v>0</v>
      </c>
      <c r="CN76" s="34">
        <f>IFERROR(s_RadSpec!$J$27*(AC27*$B76),".")</f>
        <v>0</v>
      </c>
      <c r="CO76" s="34">
        <f>IFERROR(s_RadSpec!$J$27*(AC27*$B76),".")</f>
        <v>0</v>
      </c>
      <c r="CP76" s="34">
        <f>IFERROR(s_RadSpec!$J$27*(AC27*$B76),".")</f>
        <v>0</v>
      </c>
      <c r="CQ76" s="34">
        <f>IFERROR(s_RadSpec!$J$27*(AC27*$B76),".")</f>
        <v>0</v>
      </c>
      <c r="CR76" s="34">
        <f>IFERROR(s_RadSpec!$J$27*(AC27*$B76),".")</f>
        <v>0</v>
      </c>
      <c r="CS76" s="34">
        <f>IFERROR(s_RadSpec!$J$27*(AC27*$B76),".")</f>
        <v>0</v>
      </c>
      <c r="CT76" s="34">
        <f>IFERROR(s_RadSpec!$J$27*(AC27*$B76),".")</f>
        <v>0</v>
      </c>
      <c r="CU76" s="34">
        <f>IFERROR(s_RadSpec!$J$27*(AC27*$B76),".")</f>
        <v>0</v>
      </c>
      <c r="CV76" s="34">
        <f>IFERROR(s_RadSpec!$J$27*(AC27*$B76),".")</f>
        <v>0</v>
      </c>
      <c r="CW76" s="34">
        <f>IFERROR(s_RadSpec!$J$27*(AC27*$B76),".")</f>
        <v>0</v>
      </c>
      <c r="CX76" s="34">
        <f>IFERROR(s_RadSpec!$J$27*(AC27*$B76),".")</f>
        <v>0</v>
      </c>
    </row>
  </sheetData>
  <sheetProtection algorithmName="SHA-512" hashValue="fSav9tTF9H3BMFRMWekWeLXWHWe9J2va/+jyi7+cKG4Cv4LhRPIF2pGfkfvU6/K0nyjg4ni6ikIzXe6ZL97MBA==" saltValue="qwfP7smWvRUNgqgBcnNlww==" spinCount="100000" sheet="1" objects="1" scenarios="1" formatColumns="0" formatRows="0" autoFilter="0"/>
  <autoFilter ref="A1:CX76" xr:uid="{3385F858-6C0B-4236-8BDB-64B8C83CBEA4}"/>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X76"/>
  <sheetViews>
    <sheetView zoomScale="90" zoomScaleNormal="90" workbookViewId="0">
      <pane xSplit="2" ySplit="1" topLeftCell="C2" activePane="bottomRight" state="frozen"/>
      <selection activeCell="AB53" sqref="AB53:AB985"/>
      <selection pane="topRight" activeCell="AB53" sqref="AB53:AB985"/>
      <selection pane="bottomLeft" activeCell="AB53" sqref="AB53:AB985"/>
      <selection pane="bottomRight" activeCell="C2" sqref="C2"/>
    </sheetView>
  </sheetViews>
  <sheetFormatPr defaultColWidth="9.140625" defaultRowHeight="15" x14ac:dyDescent="0.25"/>
  <cols>
    <col min="1" max="1" width="14.5703125" style="49" bestFit="1" customWidth="1"/>
    <col min="2" max="2" width="11.7109375" style="49" bestFit="1" customWidth="1"/>
    <col min="3" max="3" width="22.85546875" style="49" bestFit="1" customWidth="1"/>
    <col min="4" max="4" width="14.5703125" style="49" bestFit="1" customWidth="1"/>
    <col min="5" max="5" width="14.28515625" style="49" bestFit="1" customWidth="1"/>
    <col min="6" max="6" width="13.85546875" style="49" bestFit="1" customWidth="1"/>
    <col min="7" max="7" width="14.28515625" style="49" bestFit="1" customWidth="1"/>
    <col min="8" max="8" width="13.7109375" style="49" bestFit="1" customWidth="1"/>
    <col min="9" max="9" width="14" style="49" bestFit="1" customWidth="1"/>
    <col min="10" max="10" width="13.140625" style="49" bestFit="1" customWidth="1"/>
    <col min="11" max="11" width="14.5703125" style="49" bestFit="1" customWidth="1"/>
    <col min="12" max="12" width="13.7109375" style="49" bestFit="1" customWidth="1"/>
    <col min="13" max="13" width="15.42578125" style="49" bestFit="1" customWidth="1"/>
    <col min="14" max="14" width="12.85546875" style="49" bestFit="1" customWidth="1"/>
    <col min="15" max="15" width="13.42578125" style="49" bestFit="1" customWidth="1"/>
    <col min="16" max="16" width="13.5703125" style="49" bestFit="1" customWidth="1"/>
    <col min="17" max="17" width="14.7109375" style="49" bestFit="1" customWidth="1"/>
    <col min="18" max="18" width="15" style="49" bestFit="1" customWidth="1"/>
    <col min="19" max="19" width="13.7109375" style="49" bestFit="1" customWidth="1"/>
    <col min="20" max="20" width="13" style="49" bestFit="1" customWidth="1"/>
    <col min="21" max="21" width="14.42578125" style="49" bestFit="1" customWidth="1"/>
    <col min="22" max="22" width="14.85546875" style="49" bestFit="1" customWidth="1"/>
    <col min="23" max="23" width="13.85546875" style="49" bestFit="1" customWidth="1"/>
    <col min="24" max="24" width="14.5703125" style="49" bestFit="1" customWidth="1"/>
    <col min="25" max="25" width="13.42578125" style="49" bestFit="1" customWidth="1"/>
    <col min="26" max="26" width="13" style="49" bestFit="1" customWidth="1"/>
    <col min="27" max="27" width="15" style="49" bestFit="1" customWidth="1"/>
    <col min="28" max="28" width="20.7109375" style="49" bestFit="1" customWidth="1"/>
    <col min="29" max="30" width="14.7109375" style="49" bestFit="1" customWidth="1"/>
    <col min="31" max="31" width="13.85546875" style="49" bestFit="1" customWidth="1"/>
    <col min="32" max="32" width="14.5703125" style="49" bestFit="1" customWidth="1"/>
    <col min="33" max="33" width="13.85546875" style="49" bestFit="1" customWidth="1"/>
    <col min="34" max="34" width="14.140625" style="49" bestFit="1" customWidth="1"/>
    <col min="35" max="35" width="13.5703125" style="49" bestFit="1" customWidth="1"/>
    <col min="36" max="36" width="14.7109375" style="49" bestFit="1" customWidth="1"/>
    <col min="37" max="37" width="13.85546875" style="49" bestFit="1" customWidth="1"/>
    <col min="38" max="38" width="15.5703125" style="49" bestFit="1" customWidth="1"/>
    <col min="39" max="39" width="13.140625" style="49" bestFit="1" customWidth="1"/>
    <col min="40" max="40" width="13.85546875" style="49" bestFit="1" customWidth="1"/>
    <col min="41" max="41" width="14" style="49" bestFit="1" customWidth="1"/>
    <col min="42" max="42" width="14.7109375" style="49" bestFit="1" customWidth="1"/>
    <col min="43" max="43" width="15" style="49" bestFit="1" customWidth="1"/>
    <col min="44" max="44" width="14" style="49" bestFit="1" customWidth="1"/>
    <col min="45" max="45" width="13.28515625" style="49" bestFit="1" customWidth="1"/>
    <col min="46" max="46" width="14.7109375" style="49" bestFit="1" customWidth="1"/>
    <col min="47" max="47" width="14.85546875" style="49" bestFit="1" customWidth="1"/>
    <col min="48" max="48" width="14" style="49" bestFit="1" customWidth="1"/>
    <col min="49" max="49" width="14.85546875" style="49" bestFit="1" customWidth="1"/>
    <col min="50" max="50" width="13.5703125" style="49" bestFit="1" customWidth="1"/>
    <col min="51" max="51" width="13.28515625" style="49" bestFit="1" customWidth="1"/>
    <col min="52" max="52" width="15.140625" style="49" bestFit="1" customWidth="1"/>
    <col min="53" max="53" width="26.140625" style="49" bestFit="1" customWidth="1"/>
    <col min="54" max="54" width="14.28515625" style="49" bestFit="1" customWidth="1"/>
    <col min="55" max="55" width="14.140625" style="49" bestFit="1" customWidth="1"/>
    <col min="56" max="56" width="13.5703125" style="49" bestFit="1" customWidth="1"/>
    <col min="57" max="57" width="14.140625" style="49" bestFit="1" customWidth="1"/>
    <col min="58" max="58" width="13.42578125" style="49" bestFit="1" customWidth="1"/>
    <col min="59" max="59" width="13.7109375" style="49" bestFit="1" customWidth="1"/>
    <col min="60" max="60" width="13" style="49" bestFit="1" customWidth="1"/>
    <col min="61" max="61" width="14.28515625" style="49" bestFit="1" customWidth="1"/>
    <col min="62" max="62" width="13.42578125" style="49" bestFit="1" customWidth="1"/>
    <col min="63" max="63" width="15.28515625" style="49" bestFit="1" customWidth="1"/>
    <col min="64" max="64" width="12.7109375" style="49" bestFit="1" customWidth="1"/>
    <col min="65" max="65" width="13.28515625" style="49" bestFit="1" customWidth="1"/>
    <col min="66" max="66" width="13.42578125" style="49" bestFit="1" customWidth="1"/>
    <col min="67" max="67" width="14.5703125" style="49" bestFit="1" customWidth="1"/>
    <col min="68" max="68" width="14.7109375" style="49" bestFit="1" customWidth="1"/>
    <col min="69" max="69" width="13.42578125" style="49" bestFit="1" customWidth="1"/>
    <col min="70" max="70" width="12.85546875" style="49" bestFit="1" customWidth="1"/>
    <col min="71" max="71" width="14.140625" style="49" bestFit="1" customWidth="1"/>
    <col min="72" max="72" width="14.5703125" style="49" bestFit="1" customWidth="1"/>
    <col min="73" max="73" width="13.5703125" style="49" bestFit="1" customWidth="1"/>
    <col min="74" max="74" width="14.28515625" style="49" bestFit="1" customWidth="1"/>
    <col min="75" max="75" width="13.140625" style="49" bestFit="1" customWidth="1"/>
    <col min="76" max="76" width="12.85546875" style="49" bestFit="1" customWidth="1"/>
    <col min="77" max="77" width="13.85546875" style="49" bestFit="1" customWidth="1"/>
    <col min="78" max="78" width="20.7109375" style="49" bestFit="1" customWidth="1"/>
    <col min="79" max="79" width="14.5703125" style="49" bestFit="1" customWidth="1"/>
    <col min="80" max="80" width="14.7109375" style="49" bestFit="1" customWidth="1"/>
    <col min="81" max="81" width="13.85546875" style="49" bestFit="1" customWidth="1"/>
    <col min="82" max="82" width="14.42578125" style="49" bestFit="1" customWidth="1"/>
    <col min="83" max="83" width="13.85546875" style="49" bestFit="1" customWidth="1"/>
    <col min="84" max="84" width="14" style="49" bestFit="1" customWidth="1"/>
    <col min="85" max="85" width="13.42578125" style="49" bestFit="1" customWidth="1"/>
    <col min="86" max="86" width="14.7109375" style="49" bestFit="1" customWidth="1"/>
    <col min="87" max="87" width="13.85546875" style="49" bestFit="1" customWidth="1"/>
    <col min="88" max="88" width="15.5703125" style="49" bestFit="1" customWidth="1"/>
    <col min="89" max="89" width="13" style="49" bestFit="1" customWidth="1"/>
    <col min="90" max="91" width="13.85546875" style="49" bestFit="1" customWidth="1"/>
    <col min="92" max="92" width="14.7109375" style="49" bestFit="1" customWidth="1"/>
    <col min="93" max="93" width="15" style="49" bestFit="1" customWidth="1"/>
    <col min="94" max="94" width="13.85546875" style="49" bestFit="1" customWidth="1"/>
    <col min="95" max="95" width="13.140625" style="49" bestFit="1" customWidth="1"/>
    <col min="96" max="96" width="14.5703125" style="49" bestFit="1" customWidth="1"/>
    <col min="97" max="97" width="14.85546875" style="49" bestFit="1" customWidth="1"/>
    <col min="98" max="98" width="14" style="49" bestFit="1" customWidth="1"/>
    <col min="99" max="99" width="14.85546875" style="49" bestFit="1" customWidth="1"/>
    <col min="100" max="100" width="13.5703125" style="49" bestFit="1" customWidth="1"/>
    <col min="101" max="101" width="13.140625" style="49" bestFit="1" customWidth="1"/>
    <col min="102" max="102" width="14.28515625" style="49" bestFit="1" customWidth="1"/>
    <col min="103" max="16384" width="9.140625" style="49"/>
  </cols>
  <sheetData>
    <row r="1" spans="1:102" x14ac:dyDescent="0.25">
      <c r="A1" s="57" t="s">
        <v>39</v>
      </c>
      <c r="B1" s="58" t="s">
        <v>335</v>
      </c>
      <c r="C1" s="59" t="s">
        <v>1387</v>
      </c>
      <c r="D1" s="49" t="s">
        <v>1362</v>
      </c>
      <c r="E1" s="49" t="s">
        <v>1363</v>
      </c>
      <c r="F1" s="49" t="s">
        <v>1364</v>
      </c>
      <c r="G1" s="49" t="s">
        <v>1365</v>
      </c>
      <c r="H1" s="49" t="s">
        <v>1366</v>
      </c>
      <c r="I1" s="49" t="s">
        <v>1367</v>
      </c>
      <c r="J1" s="49" t="s">
        <v>1368</v>
      </c>
      <c r="K1" s="49" t="s">
        <v>1369</v>
      </c>
      <c r="L1" s="49" t="s">
        <v>1370</v>
      </c>
      <c r="M1" s="49" t="s">
        <v>1371</v>
      </c>
      <c r="N1" s="49" t="s">
        <v>1372</v>
      </c>
      <c r="O1" s="49" t="s">
        <v>1373</v>
      </c>
      <c r="P1" s="49" t="s">
        <v>1374</v>
      </c>
      <c r="Q1" s="49" t="s">
        <v>1375</v>
      </c>
      <c r="R1" s="49" t="s">
        <v>1376</v>
      </c>
      <c r="S1" s="49" t="s">
        <v>1377</v>
      </c>
      <c r="T1" s="49" t="s">
        <v>1378</v>
      </c>
      <c r="U1" s="49" t="s">
        <v>1379</v>
      </c>
      <c r="V1" s="49" t="s">
        <v>1380</v>
      </c>
      <c r="W1" s="49" t="s">
        <v>1381</v>
      </c>
      <c r="X1" s="49" t="s">
        <v>1382</v>
      </c>
      <c r="Y1" s="49" t="s">
        <v>1383</v>
      </c>
      <c r="Z1" s="49" t="s">
        <v>1384</v>
      </c>
      <c r="AA1" s="49" t="s">
        <v>1385</v>
      </c>
      <c r="AB1" s="60" t="s">
        <v>1109</v>
      </c>
      <c r="AC1" s="60" t="s">
        <v>1110</v>
      </c>
      <c r="AD1" s="60" t="s">
        <v>1111</v>
      </c>
      <c r="AE1" s="60" t="s">
        <v>1112</v>
      </c>
      <c r="AF1" s="60" t="s">
        <v>1113</v>
      </c>
      <c r="AG1" s="60" t="s">
        <v>1114</v>
      </c>
      <c r="AH1" s="60" t="s">
        <v>1115</v>
      </c>
      <c r="AI1" s="60" t="s">
        <v>1116</v>
      </c>
      <c r="AJ1" s="60" t="s">
        <v>1117</v>
      </c>
      <c r="AK1" s="60" t="s">
        <v>1118</v>
      </c>
      <c r="AL1" s="60" t="s">
        <v>1119</v>
      </c>
      <c r="AM1" s="60" t="s">
        <v>1120</v>
      </c>
      <c r="AN1" s="60" t="s">
        <v>1121</v>
      </c>
      <c r="AO1" s="60" t="s">
        <v>1122</v>
      </c>
      <c r="AP1" s="60" t="s">
        <v>1123</v>
      </c>
      <c r="AQ1" s="60" t="s">
        <v>1124</v>
      </c>
      <c r="AR1" s="60" t="s">
        <v>1125</v>
      </c>
      <c r="AS1" s="60" t="s">
        <v>1126</v>
      </c>
      <c r="AT1" s="60" t="s">
        <v>1127</v>
      </c>
      <c r="AU1" s="60" t="s">
        <v>1128</v>
      </c>
      <c r="AV1" s="60" t="s">
        <v>1129</v>
      </c>
      <c r="AW1" s="60" t="s">
        <v>1130</v>
      </c>
      <c r="AX1" s="60" t="s">
        <v>1131</v>
      </c>
      <c r="AY1" s="60" t="s">
        <v>1132</v>
      </c>
      <c r="AZ1" s="60" t="s">
        <v>1133</v>
      </c>
      <c r="BA1" s="49" t="s">
        <v>1389</v>
      </c>
      <c r="BB1" s="49" t="s">
        <v>1337</v>
      </c>
      <c r="BC1" s="49" t="s">
        <v>1338</v>
      </c>
      <c r="BD1" s="49" t="s">
        <v>1339</v>
      </c>
      <c r="BE1" s="49" t="s">
        <v>1340</v>
      </c>
      <c r="BF1" s="49" t="s">
        <v>1341</v>
      </c>
      <c r="BG1" s="49" t="s">
        <v>1342</v>
      </c>
      <c r="BH1" s="49" t="s">
        <v>1343</v>
      </c>
      <c r="BI1" s="49" t="s">
        <v>1344</v>
      </c>
      <c r="BJ1" s="49" t="s">
        <v>1345</v>
      </c>
      <c r="BK1" s="49" t="s">
        <v>1346</v>
      </c>
      <c r="BL1" s="49" t="s">
        <v>1347</v>
      </c>
      <c r="BM1" s="49" t="s">
        <v>1348</v>
      </c>
      <c r="BN1" s="49" t="s">
        <v>1349</v>
      </c>
      <c r="BO1" s="49" t="s">
        <v>1350</v>
      </c>
      <c r="BP1" s="49" t="s">
        <v>1351</v>
      </c>
      <c r="BQ1" s="49" t="s">
        <v>1352</v>
      </c>
      <c r="BR1" s="49" t="s">
        <v>1353</v>
      </c>
      <c r="BS1" s="49" t="s">
        <v>1354</v>
      </c>
      <c r="BT1" s="49" t="s">
        <v>1355</v>
      </c>
      <c r="BU1" s="49" t="s">
        <v>1356</v>
      </c>
      <c r="BV1" s="49" t="s">
        <v>1357</v>
      </c>
      <c r="BW1" s="49" t="s">
        <v>1358</v>
      </c>
      <c r="BX1" s="49" t="s">
        <v>1359</v>
      </c>
      <c r="BY1" s="49" t="s">
        <v>1360</v>
      </c>
      <c r="BZ1" s="60" t="s">
        <v>1134</v>
      </c>
      <c r="CA1" s="60" t="s">
        <v>1312</v>
      </c>
      <c r="CB1" s="60" t="s">
        <v>1313</v>
      </c>
      <c r="CC1" s="60" t="s">
        <v>1314</v>
      </c>
      <c r="CD1" s="60" t="s">
        <v>1315</v>
      </c>
      <c r="CE1" s="60" t="s">
        <v>1316</v>
      </c>
      <c r="CF1" s="60" t="s">
        <v>1317</v>
      </c>
      <c r="CG1" s="60" t="s">
        <v>1318</v>
      </c>
      <c r="CH1" s="60" t="s">
        <v>1319</v>
      </c>
      <c r="CI1" s="60" t="s">
        <v>1320</v>
      </c>
      <c r="CJ1" s="60" t="s">
        <v>1321</v>
      </c>
      <c r="CK1" s="60" t="s">
        <v>1322</v>
      </c>
      <c r="CL1" s="60" t="s">
        <v>1323</v>
      </c>
      <c r="CM1" s="60" t="s">
        <v>1324</v>
      </c>
      <c r="CN1" s="60" t="s">
        <v>1325</v>
      </c>
      <c r="CO1" s="60" t="s">
        <v>1326</v>
      </c>
      <c r="CP1" s="60" t="s">
        <v>1327</v>
      </c>
      <c r="CQ1" s="60" t="s">
        <v>1328</v>
      </c>
      <c r="CR1" s="60" t="s">
        <v>1329</v>
      </c>
      <c r="CS1" s="60" t="s">
        <v>1330</v>
      </c>
      <c r="CT1" s="60" t="s">
        <v>1331</v>
      </c>
      <c r="CU1" s="60" t="s">
        <v>1332</v>
      </c>
      <c r="CV1" s="60" t="s">
        <v>1333</v>
      </c>
      <c r="CW1" s="60" t="s">
        <v>1334</v>
      </c>
      <c r="CX1" s="60" t="s">
        <v>1335</v>
      </c>
    </row>
    <row r="2" spans="1:102" ht="15" customHeight="1" x14ac:dyDescent="0.25">
      <c r="A2" s="61" t="s">
        <v>0</v>
      </c>
      <c r="B2" s="49" t="s">
        <v>1059</v>
      </c>
      <c r="C2" s="48">
        <f>IFERROR(1/SUM(1/D2,1/Z2,1/AA2),".")</f>
        <v>478.70386553435469</v>
      </c>
      <c r="D2" s="48">
        <f>IFERROR(IF(AND(s_Irr!C2&lt;&gt;".",s_Irr!AA2&lt;&gt;".",s_Irr!AY2&lt;&gt;"."),s_dir!D2/((1/1000)*(s_Irr!C2+s_Irr!AA2+s_Irr!AY2)),IF(AND(s_Irr!C2&lt;&gt;".",s_Irr!AA2&lt;&gt;".",s_Irr!AY2="."),s_dir!D2/((1/1000)*(s_Irr!C2+s_Irr!AA2)),IF(AND(s_Irr!C2&lt;&gt;".",s_Irr!AA2=".",s_Irr!AY2&lt;&gt;"."),s_dir!D2/((1/1000)*(s_Irr!C2+s_Irr!AY2)),IF(AND(s_Irr!C2=".",s_Irr!AA2&lt;&gt;".",s_Irr!AY2&lt;&gt;"."),s_dir!D2/((1/1000)*(s_Irr!AA2+s_Irr!AY2)),IF(AND(s_Irr!C2=".",s_Irr!AA2=".",s_Irr!AY2&lt;&gt;"."),s_dir!D2/((1/1000)*(s_Irr!AY2)),IF(AND(s_Irr!C2=".",s_Irr!AA2&lt;&gt;".",s_Irr!AY2="."),s_dir!D2/((1/1000)*(s_Irr!AA2)),IF(AND(s_Irr!C2&lt;&gt;".",s_Irr!AA2=".",s_Irr!AY2="."),s_dir!D2/((1/1000)*(s_Irr!C2)),IF(AND(s_Irr!C2=".",s_Irr!AA2=".",s_Irr!AY2="."),s_dir!D2*1000)))))))),".")</f>
        <v>1436.1115966030641</v>
      </c>
      <c r="E2" s="48">
        <f>IFERROR(IF(AND(s_Irr!D2&lt;&gt;".",s_Irr!AB2&lt;&gt;".",s_Irr!AZ2&lt;&gt;"."),s_dir!E2/((1/1000)*(s_Irr!D2+s_Irr!AB2+s_Irr!AZ2)),IF(AND(s_Irr!D2&lt;&gt;".",s_Irr!AB2&lt;&gt;".",s_Irr!AZ2="."),s_dir!E2/((1/1000)*(s_Irr!D2+s_Irr!AB2)),IF(AND(s_Irr!D2&lt;&gt;".",s_Irr!AB2=".",s_Irr!AZ2&lt;&gt;"."),s_dir!E2/((1/1000)*(s_Irr!D2+s_Irr!AZ2)),IF(AND(s_Irr!D2=".",s_Irr!AB2&lt;&gt;".",s_Irr!AZ2&lt;&gt;"."),s_dir!E2/((1/1000)*(s_Irr!AB2+s_Irr!AZ2)),IF(AND(s_Irr!D2=".",s_Irr!AB2=".",s_Irr!AZ2&lt;&gt;"."),s_dir!E2/((1/1000)*(s_Irr!AZ2)),IF(AND(s_Irr!D2=".",s_Irr!AB2&lt;&gt;".",s_Irr!AZ2="."),s_dir!E2/((1/1000)*(s_Irr!AB2)),IF(AND(s_Irr!D2&lt;&gt;".",s_Irr!AB2=".",s_Irr!AZ2="."),s_dir!E2/((1/1000)*(s_Irr!D2)),IF(AND(s_Irr!D2=".",s_Irr!AB2=".",s_Irr!AZ2="."),s_dir!E2*1000)))))))),".")</f>
        <v>1436.1115966030641</v>
      </c>
      <c r="F2" s="48">
        <f>IFERROR(IF(AND(s_Irr!E2&lt;&gt;".",s_Irr!AC2&lt;&gt;".",s_Irr!BA2&lt;&gt;"."),s_dir!F2/((1/1000)*(s_Irr!E2+s_Irr!AC2+s_Irr!BA2)),IF(AND(s_Irr!E2&lt;&gt;".",s_Irr!AC2&lt;&gt;".",s_Irr!BA2="."),s_dir!F2/((1/1000)*(s_Irr!E2+s_Irr!AC2)),IF(AND(s_Irr!E2&lt;&gt;".",s_Irr!AC2=".",s_Irr!BA2&lt;&gt;"."),s_dir!F2/((1/1000)*(s_Irr!E2+s_Irr!BA2)),IF(AND(s_Irr!E2=".",s_Irr!AC2&lt;&gt;".",s_Irr!BA2&lt;&gt;"."),s_dir!F2/((1/1000)*(s_Irr!AC2+s_Irr!BA2)),IF(AND(s_Irr!E2=".",s_Irr!AC2=".",s_Irr!BA2&lt;&gt;"."),s_dir!F2/((1/1000)*(s_Irr!BA2)),IF(AND(s_Irr!E2=".",s_Irr!AC2&lt;&gt;".",s_Irr!BA2="."),s_dir!F2/((1/1000)*(s_Irr!AC2)),IF(AND(s_Irr!E2&lt;&gt;".",s_Irr!AC2=".",s_Irr!BA2="."),s_dir!F2/((1/1000)*(s_Irr!E2)),IF(AND(s_Irr!E2=".",s_Irr!AC2=".",s_Irr!BA2="."),s_dir!F2*1000)))))))),".")</f>
        <v>1436.1115966030641</v>
      </c>
      <c r="G2" s="48">
        <f>IFERROR(IF(AND(s_Irr!F2&lt;&gt;".",s_Irr!AD2&lt;&gt;".",s_Irr!BB2&lt;&gt;"."),s_dir!G2/((1/1000)*(s_Irr!F2+s_Irr!AD2+s_Irr!BB2)),IF(AND(s_Irr!F2&lt;&gt;".",s_Irr!AD2&lt;&gt;".",s_Irr!BB2="."),s_dir!G2/((1/1000)*(s_Irr!F2+s_Irr!AD2)),IF(AND(s_Irr!F2&lt;&gt;".",s_Irr!AD2=".",s_Irr!BB2&lt;&gt;"."),s_dir!G2/((1/1000)*(s_Irr!F2+s_Irr!BB2)),IF(AND(s_Irr!F2=".",s_Irr!AD2&lt;&gt;".",s_Irr!BB2&lt;&gt;"."),s_dir!G2/((1/1000)*(s_Irr!AD2+s_Irr!BB2)),IF(AND(s_Irr!F2=".",s_Irr!AD2=".",s_Irr!BB2&lt;&gt;"."),s_dir!G2/((1/1000)*(s_Irr!BB2)),IF(AND(s_Irr!F2=".",s_Irr!AD2&lt;&gt;".",s_Irr!BB2="."),s_dir!G2/((1/1000)*(s_Irr!AD2)),IF(AND(s_Irr!F2&lt;&gt;".",s_Irr!AD2=".",s_Irr!BB2="."),s_dir!G2/((1/1000)*(s_Irr!F2)),IF(AND(s_Irr!F2=".",s_Irr!AD2=".",s_Irr!BB2="."),s_dir!G2*1000)))))))),".")</f>
        <v>1436.1115966030641</v>
      </c>
      <c r="H2" s="48">
        <f>IFERROR(IF(AND(s_Irr!G2&lt;&gt;".",s_Irr!AE2&lt;&gt;".",s_Irr!BC2&lt;&gt;"."),s_dir!H2/((1/1000)*(s_Irr!G2+s_Irr!AE2+s_Irr!BC2)),IF(AND(s_Irr!G2&lt;&gt;".",s_Irr!AE2&lt;&gt;".",s_Irr!BC2="."),s_dir!H2/((1/1000)*(s_Irr!G2+s_Irr!AE2)),IF(AND(s_Irr!G2&lt;&gt;".",s_Irr!AE2=".",s_Irr!BC2&lt;&gt;"."),s_dir!H2/((1/1000)*(s_Irr!G2+s_Irr!BC2)),IF(AND(s_Irr!G2=".",s_Irr!AE2&lt;&gt;".",s_Irr!BC2&lt;&gt;"."),s_dir!H2/((1/1000)*(s_Irr!AE2+s_Irr!BC2)),IF(AND(s_Irr!G2=".",s_Irr!AE2=".",s_Irr!BC2&lt;&gt;"."),s_dir!H2/((1/1000)*(s_Irr!BC2)),IF(AND(s_Irr!G2=".",s_Irr!AE2&lt;&gt;".",s_Irr!BC2="."),s_dir!H2/((1/1000)*(s_Irr!AE2)),IF(AND(s_Irr!G2&lt;&gt;".",s_Irr!AE2=".",s_Irr!BC2="."),s_dir!H2/((1/1000)*(s_Irr!G2)),IF(AND(s_Irr!G2=".",s_Irr!AE2=".",s_Irr!BC2="."),s_dir!H2*1000)))))))),".")</f>
        <v>1436.1115966030641</v>
      </c>
      <c r="I2" s="48">
        <f>IFERROR(IF(AND(s_Irr!H2&lt;&gt;".",s_Irr!AF2&lt;&gt;".",s_Irr!BD2&lt;&gt;"."),s_dir!I2/((1/1000)*(s_Irr!H2+s_Irr!AF2+s_Irr!BD2)),IF(AND(s_Irr!H2&lt;&gt;".",s_Irr!AF2&lt;&gt;".",s_Irr!BD2="."),s_dir!I2/((1/1000)*(s_Irr!H2+s_Irr!AF2)),IF(AND(s_Irr!H2&lt;&gt;".",s_Irr!AF2=".",s_Irr!BD2&lt;&gt;"."),s_dir!I2/((1/1000)*(s_Irr!H2+s_Irr!BD2)),IF(AND(s_Irr!H2=".",s_Irr!AF2&lt;&gt;".",s_Irr!BD2&lt;&gt;"."),s_dir!I2/((1/1000)*(s_Irr!AF2+s_Irr!BD2)),IF(AND(s_Irr!H2=".",s_Irr!AF2=".",s_Irr!BD2&lt;&gt;"."),s_dir!I2/((1/1000)*(s_Irr!BD2)),IF(AND(s_Irr!H2=".",s_Irr!AF2&lt;&gt;".",s_Irr!BD2="."),s_dir!I2/((1/1000)*(s_Irr!AF2)),IF(AND(s_Irr!H2&lt;&gt;".",s_Irr!AF2=".",s_Irr!BD2="."),s_dir!I2/((1/1000)*(s_Irr!H2)),IF(AND(s_Irr!H2=".",s_Irr!AF2=".",s_Irr!BD2="."),s_dir!I2*1000)))))))),".")</f>
        <v>1436.1115966030641</v>
      </c>
      <c r="J2" s="48">
        <f>IFERROR(IF(AND(s_Irr!I2&lt;&gt;".",s_Irr!AG2&lt;&gt;".",s_Irr!BE2&lt;&gt;"."),s_dir!J2/((1/1000)*(s_Irr!I2+s_Irr!AG2+s_Irr!BE2)),IF(AND(s_Irr!I2&lt;&gt;".",s_Irr!AG2&lt;&gt;".",s_Irr!BE2="."),s_dir!J2/((1/1000)*(s_Irr!I2+s_Irr!AG2)),IF(AND(s_Irr!I2&lt;&gt;".",s_Irr!AG2=".",s_Irr!BE2&lt;&gt;"."),s_dir!J2/((1/1000)*(s_Irr!I2+s_Irr!BE2)),IF(AND(s_Irr!I2=".",s_Irr!AG2&lt;&gt;".",s_Irr!BE2&lt;&gt;"."),s_dir!J2/((1/1000)*(s_Irr!AG2+s_Irr!BE2)),IF(AND(s_Irr!I2=".",s_Irr!AG2=".",s_Irr!BE2&lt;&gt;"."),s_dir!J2/((1/1000)*(s_Irr!BE2)),IF(AND(s_Irr!I2=".",s_Irr!AG2&lt;&gt;".",s_Irr!BE2="."),s_dir!J2/((1/1000)*(s_Irr!AG2)),IF(AND(s_Irr!I2&lt;&gt;".",s_Irr!AG2=".",s_Irr!BE2="."),s_dir!J2/((1/1000)*(s_Irr!I2)),IF(AND(s_Irr!I2=".",s_Irr!AG2=".",s_Irr!BE2="."),s_dir!J2*1000)))))))),".")</f>
        <v>1436.1115966030641</v>
      </c>
      <c r="K2" s="48">
        <f>IFERROR(IF(AND(s_Irr!J2&lt;&gt;".",s_Irr!AH2&lt;&gt;".",s_Irr!BF2&lt;&gt;"."),s_dir!K2/((1/1000)*(s_Irr!J2+s_Irr!AH2+s_Irr!BF2)),IF(AND(s_Irr!J2&lt;&gt;".",s_Irr!AH2&lt;&gt;".",s_Irr!BF2="."),s_dir!K2/((1/1000)*(s_Irr!J2+s_Irr!AH2)),IF(AND(s_Irr!J2&lt;&gt;".",s_Irr!AH2=".",s_Irr!BF2&lt;&gt;"."),s_dir!K2/((1/1000)*(s_Irr!J2+s_Irr!BF2)),IF(AND(s_Irr!J2=".",s_Irr!AH2&lt;&gt;".",s_Irr!BF2&lt;&gt;"."),s_dir!K2/((1/1000)*(s_Irr!AH2+s_Irr!BF2)),IF(AND(s_Irr!J2=".",s_Irr!AH2=".",s_Irr!BF2&lt;&gt;"."),s_dir!K2/((1/1000)*(s_Irr!BF2)),IF(AND(s_Irr!J2=".",s_Irr!AH2&lt;&gt;".",s_Irr!BF2="."),s_dir!K2/((1/1000)*(s_Irr!AH2)),IF(AND(s_Irr!J2&lt;&gt;".",s_Irr!AH2=".",s_Irr!BF2="."),s_dir!K2/((1/1000)*(s_Irr!J2)),IF(AND(s_Irr!J2=".",s_Irr!AH2=".",s_Irr!BF2="."),s_dir!K2*1000)))))))),".")</f>
        <v>1436.1115966030641</v>
      </c>
      <c r="L2" s="48">
        <f>IFERROR(IF(AND(s_Irr!K2&lt;&gt;".",s_Irr!AI2&lt;&gt;".",s_Irr!BG2&lt;&gt;"."),s_dir!L2/((1/1000)*(s_Irr!K2+s_Irr!AI2+s_Irr!BG2)),IF(AND(s_Irr!K2&lt;&gt;".",s_Irr!AI2&lt;&gt;".",s_Irr!BG2="."),s_dir!L2/((1/1000)*(s_Irr!K2+s_Irr!AI2)),IF(AND(s_Irr!K2&lt;&gt;".",s_Irr!AI2=".",s_Irr!BG2&lt;&gt;"."),s_dir!L2/((1/1000)*(s_Irr!K2+s_Irr!BG2)),IF(AND(s_Irr!K2=".",s_Irr!AI2&lt;&gt;".",s_Irr!BG2&lt;&gt;"."),s_dir!L2/((1/1000)*(s_Irr!AI2+s_Irr!BG2)),IF(AND(s_Irr!K2=".",s_Irr!AI2=".",s_Irr!BG2&lt;&gt;"."),s_dir!L2/((1/1000)*(s_Irr!BG2)),IF(AND(s_Irr!K2=".",s_Irr!AI2&lt;&gt;".",s_Irr!BG2="."),s_dir!L2/((1/1000)*(s_Irr!AI2)),IF(AND(s_Irr!K2&lt;&gt;".",s_Irr!AI2=".",s_Irr!BG2="."),s_dir!L2/((1/1000)*(s_Irr!K2)),IF(AND(s_Irr!K2=".",s_Irr!AI2=".",s_Irr!BG2="."),s_dir!L2*1000)))))))),".")</f>
        <v>1436.1115966030641</v>
      </c>
      <c r="M2" s="48">
        <f>IFERROR(IF(AND(s_Irr!L2&lt;&gt;".",s_Irr!AJ2&lt;&gt;".",s_Irr!BH2&lt;&gt;"."),s_dir!M2/((1/1000)*(s_Irr!L2+s_Irr!AJ2+s_Irr!BH2)),IF(AND(s_Irr!L2&lt;&gt;".",s_Irr!AJ2&lt;&gt;".",s_Irr!BH2="."),s_dir!M2/((1/1000)*(s_Irr!L2+s_Irr!AJ2)),IF(AND(s_Irr!L2&lt;&gt;".",s_Irr!AJ2=".",s_Irr!BH2&lt;&gt;"."),s_dir!M2/((1/1000)*(s_Irr!L2+s_Irr!BH2)),IF(AND(s_Irr!L2=".",s_Irr!AJ2&lt;&gt;".",s_Irr!BH2&lt;&gt;"."),s_dir!M2/((1/1000)*(s_Irr!AJ2+s_Irr!BH2)),IF(AND(s_Irr!L2=".",s_Irr!AJ2=".",s_Irr!BH2&lt;&gt;"."),s_dir!M2/((1/1000)*(s_Irr!BH2)),IF(AND(s_Irr!L2=".",s_Irr!AJ2&lt;&gt;".",s_Irr!BH2="."),s_dir!M2/((1/1000)*(s_Irr!AJ2)),IF(AND(s_Irr!L2&lt;&gt;".",s_Irr!AJ2=".",s_Irr!BH2="."),s_dir!M2/((1/1000)*(s_Irr!L2)),IF(AND(s_Irr!L2=".",s_Irr!AJ2=".",s_Irr!BH2="."),s_dir!M2*1000)))))))),".")</f>
        <v>1436.1115966030641</v>
      </c>
      <c r="N2" s="48">
        <f>IFERROR(IF(AND(s_Irr!M2&lt;&gt;".",s_Irr!AK2&lt;&gt;".",s_Irr!BI2&lt;&gt;"."),s_dir!N2/((1/1000)*(s_Irr!M2+s_Irr!AK2+s_Irr!BI2)),IF(AND(s_Irr!M2&lt;&gt;".",s_Irr!AK2&lt;&gt;".",s_Irr!BI2="."),s_dir!N2/((1/1000)*(s_Irr!M2+s_Irr!AK2)),IF(AND(s_Irr!M2&lt;&gt;".",s_Irr!AK2=".",s_Irr!BI2&lt;&gt;"."),s_dir!N2/((1/1000)*(s_Irr!M2+s_Irr!BI2)),IF(AND(s_Irr!M2=".",s_Irr!AK2&lt;&gt;".",s_Irr!BI2&lt;&gt;"."),s_dir!N2/((1/1000)*(s_Irr!AK2+s_Irr!BI2)),IF(AND(s_Irr!M2=".",s_Irr!AK2=".",s_Irr!BI2&lt;&gt;"."),s_dir!N2/((1/1000)*(s_Irr!BI2)),IF(AND(s_Irr!M2=".",s_Irr!AK2&lt;&gt;".",s_Irr!BI2="."),s_dir!N2/((1/1000)*(s_Irr!AK2)),IF(AND(s_Irr!M2&lt;&gt;".",s_Irr!AK2=".",s_Irr!BI2="."),s_dir!N2/((1/1000)*(s_Irr!M2)),IF(AND(s_Irr!M2=".",s_Irr!AK2=".",s_Irr!BI2="."),s_dir!N2*1000)))))))),".")</f>
        <v>1436.1115966030641</v>
      </c>
      <c r="O2" s="48">
        <f>IFERROR(IF(AND(s_Irr!N2&lt;&gt;".",s_Irr!AL2&lt;&gt;".",s_Irr!BJ2&lt;&gt;"."),s_dir!O2/((1/1000)*(s_Irr!N2+s_Irr!AL2+s_Irr!BJ2)),IF(AND(s_Irr!N2&lt;&gt;".",s_Irr!AL2&lt;&gt;".",s_Irr!BJ2="."),s_dir!O2/((1/1000)*(s_Irr!N2+s_Irr!AL2)),IF(AND(s_Irr!N2&lt;&gt;".",s_Irr!AL2=".",s_Irr!BJ2&lt;&gt;"."),s_dir!O2/((1/1000)*(s_Irr!N2+s_Irr!BJ2)),IF(AND(s_Irr!N2=".",s_Irr!AL2&lt;&gt;".",s_Irr!BJ2&lt;&gt;"."),s_dir!O2/((1/1000)*(s_Irr!AL2+s_Irr!BJ2)),IF(AND(s_Irr!N2=".",s_Irr!AL2=".",s_Irr!BJ2&lt;&gt;"."),s_dir!O2/((1/1000)*(s_Irr!BJ2)),IF(AND(s_Irr!N2=".",s_Irr!AL2&lt;&gt;".",s_Irr!BJ2="."),s_dir!O2/((1/1000)*(s_Irr!AL2)),IF(AND(s_Irr!N2&lt;&gt;".",s_Irr!AL2=".",s_Irr!BJ2="."),s_dir!O2/((1/1000)*(s_Irr!N2)),IF(AND(s_Irr!N2=".",s_Irr!AL2=".",s_Irr!BJ2="."),s_dir!O2*1000)))))))),".")</f>
        <v>1436.1115966030641</v>
      </c>
      <c r="P2" s="48">
        <f>IFERROR(IF(AND(s_Irr!O2&lt;&gt;".",s_Irr!AM2&lt;&gt;".",s_Irr!BK2&lt;&gt;"."),s_dir!P2/((1/1000)*(s_Irr!O2+s_Irr!AM2+s_Irr!BK2)),IF(AND(s_Irr!O2&lt;&gt;".",s_Irr!AM2&lt;&gt;".",s_Irr!BK2="."),s_dir!P2/((1/1000)*(s_Irr!O2+s_Irr!AM2)),IF(AND(s_Irr!O2&lt;&gt;".",s_Irr!AM2=".",s_Irr!BK2&lt;&gt;"."),s_dir!P2/((1/1000)*(s_Irr!O2+s_Irr!BK2)),IF(AND(s_Irr!O2=".",s_Irr!AM2&lt;&gt;".",s_Irr!BK2&lt;&gt;"."),s_dir!P2/((1/1000)*(s_Irr!AM2+s_Irr!BK2)),IF(AND(s_Irr!O2=".",s_Irr!AM2=".",s_Irr!BK2&lt;&gt;"."),s_dir!P2/((1/1000)*(s_Irr!BK2)),IF(AND(s_Irr!O2=".",s_Irr!AM2&lt;&gt;".",s_Irr!BK2="."),s_dir!P2/((1/1000)*(s_Irr!AM2)),IF(AND(s_Irr!O2&lt;&gt;".",s_Irr!AM2=".",s_Irr!BK2="."),s_dir!P2/((1/1000)*(s_Irr!O2)),IF(AND(s_Irr!O2=".",s_Irr!AM2=".",s_Irr!BK2="."),s_dir!P2*1000)))))))),".")</f>
        <v>1436.1115966030641</v>
      </c>
      <c r="Q2" s="48">
        <f>IFERROR(IF(AND(s_Irr!P2&lt;&gt;".",s_Irr!AN2&lt;&gt;".",s_Irr!BL2&lt;&gt;"."),s_dir!Q2/((1/1000)*(s_Irr!P2+s_Irr!AN2+s_Irr!BL2)),IF(AND(s_Irr!P2&lt;&gt;".",s_Irr!AN2&lt;&gt;".",s_Irr!BL2="."),s_dir!Q2/((1/1000)*(s_Irr!P2+s_Irr!AN2)),IF(AND(s_Irr!P2&lt;&gt;".",s_Irr!AN2=".",s_Irr!BL2&lt;&gt;"."),s_dir!Q2/((1/1000)*(s_Irr!P2+s_Irr!BL2)),IF(AND(s_Irr!P2=".",s_Irr!AN2&lt;&gt;".",s_Irr!BL2&lt;&gt;"."),s_dir!Q2/((1/1000)*(s_Irr!AN2+s_Irr!BL2)),IF(AND(s_Irr!P2=".",s_Irr!AN2=".",s_Irr!BL2&lt;&gt;"."),s_dir!Q2/((1/1000)*(s_Irr!BL2)),IF(AND(s_Irr!P2=".",s_Irr!AN2&lt;&gt;".",s_Irr!BL2="."),s_dir!Q2/((1/1000)*(s_Irr!AN2)),IF(AND(s_Irr!P2&lt;&gt;".",s_Irr!AN2=".",s_Irr!BL2="."),s_dir!Q2/((1/1000)*(s_Irr!P2)),IF(AND(s_Irr!P2=".",s_Irr!AN2=".",s_Irr!BL2="."),s_dir!Q2*1000)))))))),".")</f>
        <v>1436.1115966030641</v>
      </c>
      <c r="R2" s="48">
        <f>IFERROR(IF(AND(s_Irr!Q2&lt;&gt;".",s_Irr!AO2&lt;&gt;".",s_Irr!BM2&lt;&gt;"."),s_dir!R2/((1/1000)*(s_Irr!Q2+s_Irr!AO2+s_Irr!BM2)),IF(AND(s_Irr!Q2&lt;&gt;".",s_Irr!AO2&lt;&gt;".",s_Irr!BM2="."),s_dir!R2/((1/1000)*(s_Irr!Q2+s_Irr!AO2)),IF(AND(s_Irr!Q2&lt;&gt;".",s_Irr!AO2=".",s_Irr!BM2&lt;&gt;"."),s_dir!R2/((1/1000)*(s_Irr!Q2+s_Irr!BM2)),IF(AND(s_Irr!Q2=".",s_Irr!AO2&lt;&gt;".",s_Irr!BM2&lt;&gt;"."),s_dir!R2/((1/1000)*(s_Irr!AO2+s_Irr!BM2)),IF(AND(s_Irr!Q2=".",s_Irr!AO2=".",s_Irr!BM2&lt;&gt;"."),s_dir!R2/((1/1000)*(s_Irr!BM2)),IF(AND(s_Irr!Q2=".",s_Irr!AO2&lt;&gt;".",s_Irr!BM2="."),s_dir!R2/((1/1000)*(s_Irr!AO2)),IF(AND(s_Irr!Q2&lt;&gt;".",s_Irr!AO2=".",s_Irr!BM2="."),s_dir!R2/((1/1000)*(s_Irr!Q2)),IF(AND(s_Irr!Q2=".",s_Irr!AO2=".",s_Irr!BM2="."),s_dir!R2*1000)))))))),".")</f>
        <v>1436.1115966030641</v>
      </c>
      <c r="S2" s="48">
        <f>IFERROR(IF(AND(s_Irr!R2&lt;&gt;".",s_Irr!AP2&lt;&gt;".",s_Irr!BN2&lt;&gt;"."),s_dir!S2/((1/1000)*(s_Irr!R2+s_Irr!AP2+s_Irr!BN2)),IF(AND(s_Irr!R2&lt;&gt;".",s_Irr!AP2&lt;&gt;".",s_Irr!BN2="."),s_dir!S2/((1/1000)*(s_Irr!R2+s_Irr!AP2)),IF(AND(s_Irr!R2&lt;&gt;".",s_Irr!AP2=".",s_Irr!BN2&lt;&gt;"."),s_dir!S2/((1/1000)*(s_Irr!R2+s_Irr!BN2)),IF(AND(s_Irr!R2=".",s_Irr!AP2&lt;&gt;".",s_Irr!BN2&lt;&gt;"."),s_dir!S2/((1/1000)*(s_Irr!AP2+s_Irr!BN2)),IF(AND(s_Irr!R2=".",s_Irr!AP2=".",s_Irr!BN2&lt;&gt;"."),s_dir!S2/((1/1000)*(s_Irr!BN2)),IF(AND(s_Irr!R2=".",s_Irr!AP2&lt;&gt;".",s_Irr!BN2="."),s_dir!S2/((1/1000)*(s_Irr!AP2)),IF(AND(s_Irr!R2&lt;&gt;".",s_Irr!AP2=".",s_Irr!BN2="."),s_dir!S2/((1/1000)*(s_Irr!R2)),IF(AND(s_Irr!R2=".",s_Irr!AP2=".",s_Irr!BN2="."),s_dir!S2*1000)))))))),".")</f>
        <v>1436.1115966030641</v>
      </c>
      <c r="T2" s="48">
        <f>IFERROR(IF(AND(s_Irr!S2&lt;&gt;".",s_Irr!AQ2&lt;&gt;".",s_Irr!BO2&lt;&gt;"."),s_dir!T2/((1/1000)*(s_Irr!S2+s_Irr!AQ2+s_Irr!BO2)),IF(AND(s_Irr!S2&lt;&gt;".",s_Irr!AQ2&lt;&gt;".",s_Irr!BO2="."),s_dir!T2/((1/1000)*(s_Irr!S2+s_Irr!AQ2)),IF(AND(s_Irr!S2&lt;&gt;".",s_Irr!AQ2=".",s_Irr!BO2&lt;&gt;"."),s_dir!T2/((1/1000)*(s_Irr!S2+s_Irr!BO2)),IF(AND(s_Irr!S2=".",s_Irr!AQ2&lt;&gt;".",s_Irr!BO2&lt;&gt;"."),s_dir!T2/((1/1000)*(s_Irr!AQ2+s_Irr!BO2)),IF(AND(s_Irr!S2=".",s_Irr!AQ2=".",s_Irr!BO2&lt;&gt;"."),s_dir!T2/((1/1000)*(s_Irr!BO2)),IF(AND(s_Irr!S2=".",s_Irr!AQ2&lt;&gt;".",s_Irr!BO2="."),s_dir!T2/((1/1000)*(s_Irr!AQ2)),IF(AND(s_Irr!S2&lt;&gt;".",s_Irr!AQ2=".",s_Irr!BO2="."),s_dir!T2/((1/1000)*(s_Irr!S2)),IF(AND(s_Irr!S2=".",s_Irr!AQ2=".",s_Irr!BO2="."),s_dir!T2*1000)))))))),".")</f>
        <v>1436.1115966030641</v>
      </c>
      <c r="U2" s="48">
        <f>IFERROR(IF(AND(s_Irr!T2&lt;&gt;".",s_Irr!AR2&lt;&gt;".",s_Irr!BP2&lt;&gt;"."),s_dir!U2/((1/1000)*(s_Irr!T2+s_Irr!AR2+s_Irr!BP2)),IF(AND(s_Irr!T2&lt;&gt;".",s_Irr!AR2&lt;&gt;".",s_Irr!BP2="."),s_dir!U2/((1/1000)*(s_Irr!T2+s_Irr!AR2)),IF(AND(s_Irr!T2&lt;&gt;".",s_Irr!AR2=".",s_Irr!BP2&lt;&gt;"."),s_dir!U2/((1/1000)*(s_Irr!T2+s_Irr!BP2)),IF(AND(s_Irr!T2=".",s_Irr!AR2&lt;&gt;".",s_Irr!BP2&lt;&gt;"."),s_dir!U2/((1/1000)*(s_Irr!AR2+s_Irr!BP2)),IF(AND(s_Irr!T2=".",s_Irr!AR2=".",s_Irr!BP2&lt;&gt;"."),s_dir!U2/((1/1000)*(s_Irr!BP2)),IF(AND(s_Irr!T2=".",s_Irr!AR2&lt;&gt;".",s_Irr!BP2="."),s_dir!U2/((1/1000)*(s_Irr!AR2)),IF(AND(s_Irr!T2&lt;&gt;".",s_Irr!AR2=".",s_Irr!BP2="."),s_dir!U2/((1/1000)*(s_Irr!T2)),IF(AND(s_Irr!T2=".",s_Irr!AR2=".",s_Irr!BP2="."),s_dir!U2*1000)))))))),".")</f>
        <v>1436.1115966030641</v>
      </c>
      <c r="V2" s="48">
        <f>IFERROR(IF(AND(s_Irr!U2&lt;&gt;".",s_Irr!AS2&lt;&gt;".",s_Irr!BQ2&lt;&gt;"."),s_dir!V2/((1/1000)*(s_Irr!U2+s_Irr!AS2+s_Irr!BQ2)),IF(AND(s_Irr!U2&lt;&gt;".",s_Irr!AS2&lt;&gt;".",s_Irr!BQ2="."),s_dir!V2/((1/1000)*(s_Irr!U2+s_Irr!AS2)),IF(AND(s_Irr!U2&lt;&gt;".",s_Irr!AS2=".",s_Irr!BQ2&lt;&gt;"."),s_dir!V2/((1/1000)*(s_Irr!U2+s_Irr!BQ2)),IF(AND(s_Irr!U2=".",s_Irr!AS2&lt;&gt;".",s_Irr!BQ2&lt;&gt;"."),s_dir!V2/((1/1000)*(s_Irr!AS2+s_Irr!BQ2)),IF(AND(s_Irr!U2=".",s_Irr!AS2=".",s_Irr!BQ2&lt;&gt;"."),s_dir!V2/((1/1000)*(s_Irr!BQ2)),IF(AND(s_Irr!U2=".",s_Irr!AS2&lt;&gt;".",s_Irr!BQ2="."),s_dir!V2/((1/1000)*(s_Irr!AS2)),IF(AND(s_Irr!U2&lt;&gt;".",s_Irr!AS2=".",s_Irr!BQ2="."),s_dir!V2/((1/1000)*(s_Irr!U2)),IF(AND(s_Irr!U2=".",s_Irr!AS2=".",s_Irr!BQ2="."),s_dir!V2*1000)))))))),".")</f>
        <v>1436.1115966030641</v>
      </c>
      <c r="W2" s="48">
        <f>IFERROR(IF(AND(s_Irr!V2&lt;&gt;".",s_Irr!AT2&lt;&gt;".",s_Irr!BR2&lt;&gt;"."),s_dir!W2/((1/1000)*(s_Irr!V2+s_Irr!AT2+s_Irr!BR2)),IF(AND(s_Irr!V2&lt;&gt;".",s_Irr!AT2&lt;&gt;".",s_Irr!BR2="."),s_dir!W2/((1/1000)*(s_Irr!V2+s_Irr!AT2)),IF(AND(s_Irr!V2&lt;&gt;".",s_Irr!AT2=".",s_Irr!BR2&lt;&gt;"."),s_dir!W2/((1/1000)*(s_Irr!V2+s_Irr!BR2)),IF(AND(s_Irr!V2=".",s_Irr!AT2&lt;&gt;".",s_Irr!BR2&lt;&gt;"."),s_dir!W2/((1/1000)*(s_Irr!AT2+s_Irr!BR2)),IF(AND(s_Irr!V2=".",s_Irr!AT2=".",s_Irr!BR2&lt;&gt;"."),s_dir!W2/((1/1000)*(s_Irr!BR2)),IF(AND(s_Irr!V2=".",s_Irr!AT2&lt;&gt;".",s_Irr!BR2="."),s_dir!W2/((1/1000)*(s_Irr!AT2)),IF(AND(s_Irr!V2&lt;&gt;".",s_Irr!AT2=".",s_Irr!BR2="."),s_dir!W2/((1/1000)*(s_Irr!V2)),IF(AND(s_Irr!V2=".",s_Irr!AT2=".",s_Irr!BR2="."),s_dir!W2*1000)))))))),".")</f>
        <v>1436.1115966030641</v>
      </c>
      <c r="X2" s="48">
        <f>IFERROR(IF(AND(s_Irr!W2&lt;&gt;".",s_Irr!AU2&lt;&gt;".",s_Irr!BS2&lt;&gt;"."),s_dir!X2/((1/1000)*(s_Irr!W2+s_Irr!AU2+s_Irr!BS2)),IF(AND(s_Irr!W2&lt;&gt;".",s_Irr!AU2&lt;&gt;".",s_Irr!BS2="."),s_dir!X2/((1/1000)*(s_Irr!W2+s_Irr!AU2)),IF(AND(s_Irr!W2&lt;&gt;".",s_Irr!AU2=".",s_Irr!BS2&lt;&gt;"."),s_dir!X2/((1/1000)*(s_Irr!W2+s_Irr!BS2)),IF(AND(s_Irr!W2=".",s_Irr!AU2&lt;&gt;".",s_Irr!BS2&lt;&gt;"."),s_dir!X2/((1/1000)*(s_Irr!AU2+s_Irr!BS2)),IF(AND(s_Irr!W2=".",s_Irr!AU2=".",s_Irr!BS2&lt;&gt;"."),s_dir!X2/((1/1000)*(s_Irr!BS2)),IF(AND(s_Irr!W2=".",s_Irr!AU2&lt;&gt;".",s_Irr!BS2="."),s_dir!X2/((1/1000)*(s_Irr!AU2)),IF(AND(s_Irr!W2&lt;&gt;".",s_Irr!AU2=".",s_Irr!BS2="."),s_dir!X2/((1/1000)*(s_Irr!W2)),IF(AND(s_Irr!W2=".",s_Irr!AU2=".",s_Irr!BS2="."),s_dir!X2*1000)))))))),".")</f>
        <v>1436.1115966030641</v>
      </c>
      <c r="Y2" s="48">
        <f>IFERROR(IF(AND(s_Irr!X2&lt;&gt;".",s_Irr!AV2&lt;&gt;".",s_Irr!BT2&lt;&gt;"."),s_dir!Y2/((1/1000)*(s_Irr!X2+s_Irr!AV2+s_Irr!BT2)),IF(AND(s_Irr!X2&lt;&gt;".",s_Irr!AV2&lt;&gt;".",s_Irr!BT2="."),s_dir!Y2/((1/1000)*(s_Irr!X2+s_Irr!AV2)),IF(AND(s_Irr!X2&lt;&gt;".",s_Irr!AV2=".",s_Irr!BT2&lt;&gt;"."),s_dir!Y2/((1/1000)*(s_Irr!X2+s_Irr!BT2)),IF(AND(s_Irr!X2=".",s_Irr!AV2&lt;&gt;".",s_Irr!BT2&lt;&gt;"."),s_dir!Y2/((1/1000)*(s_Irr!AV2+s_Irr!BT2)),IF(AND(s_Irr!X2=".",s_Irr!AV2=".",s_Irr!BT2&lt;&gt;"."),s_dir!Y2/((1/1000)*(s_Irr!BT2)),IF(AND(s_Irr!X2=".",s_Irr!AV2&lt;&gt;".",s_Irr!BT2="."),s_dir!Y2/((1/1000)*(s_Irr!AV2)),IF(AND(s_Irr!X2&lt;&gt;".",s_Irr!AV2=".",s_Irr!BT2="."),s_dir!Y2/((1/1000)*(s_Irr!X2)),IF(AND(s_Irr!X2=".",s_Irr!AV2=".",s_Irr!BT2="."),s_dir!Y2*1000)))))))),".")</f>
        <v>1436.1115966030641</v>
      </c>
      <c r="Z2" s="48">
        <f>IFERROR(IF(AND(s_Irr!Y2&lt;&gt;".",s_Irr!AW2&lt;&gt;".",s_Irr!BU2&lt;&gt;"."),s_dir!Z2/((1/1000)*(s_Irr!Y2+s_Irr!AW2+s_Irr!BU2)),IF(AND(s_Irr!Y2&lt;&gt;".",s_Irr!AW2&lt;&gt;".",s_Irr!BU2="."),s_dir!Z2/((1/1000)*(s_Irr!Y2+s_Irr!AW2)),IF(AND(s_Irr!Y2&lt;&gt;".",s_Irr!AW2=".",s_Irr!BU2&lt;&gt;"."),s_dir!Z2/((1/1000)*(s_Irr!Y2+s_Irr!BU2)),IF(AND(s_Irr!Y2=".",s_Irr!AW2&lt;&gt;".",s_Irr!BU2&lt;&gt;"."),s_dir!Z2/((1/1000)*(s_Irr!AW2+s_Irr!BU2)),IF(AND(s_Irr!Y2=".",s_Irr!AW2=".",s_Irr!BU2&lt;&gt;"."),s_dir!Z2/((1/1000)*(s_Irr!BU2)),IF(AND(s_Irr!Y2=".",s_Irr!AW2&lt;&gt;".",s_Irr!BU2="."),s_dir!Z2/((1/1000)*(s_Irr!AW2)),IF(AND(s_Irr!Y2&lt;&gt;".",s_Irr!AW2=".",s_Irr!BU2="."),s_dir!Z2/((1/1000)*(s_Irr!Y2)),IF(AND(s_Irr!Y2=".",s_Irr!AW2=".",s_Irr!BU2="."),s_dir!Z2*1000)))))))),".")</f>
        <v>1436.1115966030641</v>
      </c>
      <c r="AA2" s="48">
        <f>IFERROR(IF(AND(s_Irr!Z2&lt;&gt;".",s_Irr!AX2&lt;&gt;".",s_Irr!BV2&lt;&gt;"."),s_dir!AA2/((1/1000)*(s_Irr!Z2+s_Irr!AX2+s_Irr!BV2)),IF(AND(s_Irr!Z2&lt;&gt;".",s_Irr!AX2&lt;&gt;".",s_Irr!BV2="."),s_dir!AA2/((1/1000)*(s_Irr!Z2+s_Irr!AX2)),IF(AND(s_Irr!Z2&lt;&gt;".",s_Irr!AX2=".",s_Irr!BV2&lt;&gt;"."),s_dir!AA2/((1/1000)*(s_Irr!Z2+s_Irr!BV2)),IF(AND(s_Irr!Z2=".",s_Irr!AX2&lt;&gt;".",s_Irr!BV2&lt;&gt;"."),s_dir!AA2/((1/1000)*(s_Irr!AX2+s_Irr!BV2)),IF(AND(s_Irr!Z2=".",s_Irr!AX2=".",s_Irr!BV2&lt;&gt;"."),s_dir!AA2/((1/1000)*(s_Irr!BV2)),IF(AND(s_Irr!Z2=".",s_Irr!AX2&lt;&gt;".",s_Irr!BV2="."),s_dir!AA2/((1/1000)*(s_Irr!AX2)),IF(AND(s_Irr!Z2&lt;&gt;".",s_Irr!AX2=".",s_Irr!BV2="."),s_dir!AA2/((1/1000)*(s_Irr!Z2)),IF(AND(s_Irr!Z2=".",s_Irr!AX2=".",s_Irr!BV2="."),s_dir!AA2*1000)))))))),".")</f>
        <v>1436.1115966030641</v>
      </c>
      <c r="AB2" s="62">
        <f>SUM(AC2,AY2:AZ2)</f>
        <v>269.87935361652694</v>
      </c>
      <c r="AC2" s="62">
        <f>IFERROR(s_C*s_IFAP_res_adj*s_CF_apple*0.001*(s_Irr!C2+s_Irr!AA2+s_Irr!AY2),".")</f>
        <v>89.959784538842314</v>
      </c>
      <c r="AD2" s="62">
        <f>IFERROR(s_C*s_IFAS_res_adj*s_CF_asparagus*0.001*(s_Irr!D2+s_Irr!AB2+s_Irr!AZ2),".")</f>
        <v>89.959784538842314</v>
      </c>
      <c r="AE2" s="62">
        <f>IFERROR(s_C*s_IFBT_res_adj*s_CF_beet*0.001*(s_Irr!E2+s_Irr!AC2+s_Irr!BA2),".")</f>
        <v>89.959784538842314</v>
      </c>
      <c r="AF2" s="62">
        <f>IFERROR(s_C*s_IFBE_res_adj*s_CF_berries*0.001*(s_Irr!F2+s_Irr!AD2+s_Irr!BB2),".")</f>
        <v>89.959784538842314</v>
      </c>
      <c r="AG2" s="62">
        <f>IFERROR(s_C*s_IFBR_res_adj*s_CF_broccoli*0.001*(s_Irr!G2+s_Irr!AE2+s_Irr!BC2),".")</f>
        <v>89.959784538842314</v>
      </c>
      <c r="AH2" s="62">
        <f>IFERROR(s_C*s_IFCB_res_adj*s_CF_cabbage*0.001*(s_Irr!H2+s_Irr!AF2+s_Irr!BD2),".")</f>
        <v>89.959784538842314</v>
      </c>
      <c r="AI2" s="62">
        <f>IFERROR(s_C*s_IFCR_res_adj*s_CF_carrot*0.001*(s_Irr!I2+s_Irr!AG2+s_Irr!BE2),".")</f>
        <v>89.959784538842314</v>
      </c>
      <c r="AJ2" s="62">
        <f>IFERROR(s_C*s_IFCI_res_adj*s_CF_citrus*0.001*(s_Irr!J2+s_Irr!AH2+s_Irr!BF2),".")</f>
        <v>89.959784538842314</v>
      </c>
      <c r="AK2" s="62">
        <f>IFERROR(s_C*s_IFCO_res_adj*s_CF_corn*0.001*(s_Irr!K2+s_Irr!AI2+s_Irr!BG2),".")</f>
        <v>89.959784538842314</v>
      </c>
      <c r="AL2" s="62">
        <f>IFERROR(s_C*s_IFCU_res_adj*s_CF_cucumber*0.001*(s_Irr!L2+s_Irr!AJ2+s_Irr!BH2),".")</f>
        <v>89.959784538842314</v>
      </c>
      <c r="AM2" s="62">
        <f>IFERROR(s_C*s_IFLE_res_adj*s_CF_lettuce*0.001*(s_Irr!M2+s_Irr!AK2+s_Irr!BI2),".")</f>
        <v>89.959784538842314</v>
      </c>
      <c r="AN2" s="62">
        <f>IFERROR(s_C*s_IFLI_res_adj*s_CF_lima_bean*0.001*(s_Irr!N2+s_Irr!AL2+s_Irr!BJ2),".")</f>
        <v>89.959784538842314</v>
      </c>
      <c r="AO2" s="62">
        <f>IFERROR(s_C*s_IFOK_res_adj*s_CF_okra*0.001*(s_Irr!O2+s_Irr!AM2+s_Irr!BK2),".")</f>
        <v>89.959784538842314</v>
      </c>
      <c r="AP2" s="62">
        <f>IFERROR(s_C*s_IFON_res_adj*s_CF_onion*0.001*(s_Irr!P2+s_Irr!AN2+s_Irr!BL2),".")</f>
        <v>89.959784538842314</v>
      </c>
      <c r="AQ2" s="62">
        <f>IFERROR(s_C*s_IFPC_res_adj*s_CF_peach*0.001*(s_Irr!Q2+s_Irr!AO2+s_Irr!BM2),".")</f>
        <v>89.959784538842314</v>
      </c>
      <c r="AR2" s="62">
        <f>IFERROR(s_C*s_IFPR_res_adj*s_CF_pear*0.001*(s_Irr!R2+s_Irr!AP2+s_Irr!BN2),".")</f>
        <v>89.959784538842314</v>
      </c>
      <c r="AS2" s="62">
        <f>IFERROR(s_C*s_IFPE_res_adj*s_CF_peas*0.001*(s_Irr!S2+s_Irr!AQ2+s_Irr!BO2),".")</f>
        <v>89.959784538842314</v>
      </c>
      <c r="AT2" s="62">
        <f>IFERROR(s_C*s_IFPT_res_adj*s_CF_potato*0.001*(s_Irr!T2+s_Irr!AR2+s_Irr!BP2),".")</f>
        <v>89.959784538842314</v>
      </c>
      <c r="AU2" s="62">
        <f>IFERROR(s_C*s_IFPU_res_adj*s_CF_pumpkin*0.001*(s_Irr!U2+s_Irr!AS2+s_Irr!BQ2),".")</f>
        <v>89.959784538842314</v>
      </c>
      <c r="AV2" s="62">
        <f>IFERROR(s_C*s_IFSN_res_adj*s_CF_snap_bean*0.001*(s_Irr!V2+s_Irr!AT2+s_Irr!BR2),".")</f>
        <v>89.959784538842314</v>
      </c>
      <c r="AW2" s="62">
        <f>IFERROR(s_C*s_IFST_res_adj*s_CF_strawberry*0.001*(s_Irr!W2+s_Irr!AU2+s_Irr!BS2),".")</f>
        <v>89.959784538842314</v>
      </c>
      <c r="AX2" s="62">
        <f>IFERROR(s_C*s_IFTO_res_adj*s_CF_tomato*0.001*(s_Irr!X2+s_Irr!AV2+s_Irr!BT2),".")</f>
        <v>89.959784538842314</v>
      </c>
      <c r="AY2" s="62">
        <f>IFERROR(s_C*s_IFRI_res_adj*s_CF_rice*0.001*(s_Irr!Y2+s_Irr!AW2+s_Irr!BU2),".")</f>
        <v>89.959784538842314</v>
      </c>
      <c r="AZ2" s="62">
        <f>IFERROR(s_C*s_IFCG_res_adj*s_CF_cereal*0.001*(s_Irr!Z2+s_Irr!AX2+s_Irr!BV2),".")</f>
        <v>89.959784538842314</v>
      </c>
      <c r="BA2" s="48">
        <f t="shared" ref="BA2:BA30" si="0">IFERROR(1/SUM(1/BB2,1/BX2,1/BY2),".")</f>
        <v>478.70386553435469</v>
      </c>
      <c r="BB2" s="48">
        <f>IFERROR(IF(AND(s_Irr!C2&lt;&gt;".",s_Irr!AA2&lt;&gt;".",s_Irr!AY2&lt;&gt;"."),s_dir!AC2/((1/1000)*(s_Irr!C2+s_Irr!AA2+s_Irr!AY2)),IF(AND(s_Irr!C2&lt;&gt;".",s_Irr!AA2&lt;&gt;".",s_Irr!AY2="."),s_dir!AC2/((1/1000)*(s_Irr!C2+s_Irr!AA2)),IF(AND(s_Irr!C2&lt;&gt;".",s_Irr!AA2=".",s_Irr!AY2&lt;&gt;"."),s_dir!AC2/((1/1000)*(s_Irr!C2+s_Irr!AY2)),IF(AND(s_Irr!C2=".",s_Irr!AA2&lt;&gt;".",s_Irr!AY2&lt;&gt;"."),s_dir!AC2/((1/1000)*(s_Irr!AA2+s_Irr!AY2)),IF(AND(s_Irr!C2=".",s_Irr!AA2=".",s_Irr!AY2&lt;&gt;"."),s_dir!AC2/((1/1000)*(s_Irr!AY2)),IF(AND(s_Irr!C2=".",s_Irr!AA2&lt;&gt;".",s_Irr!AY2="."),s_dir!AC2/((1/1000)*(s_Irr!AA2)),IF(AND(s_Irr!C2&lt;&gt;".",s_Irr!AA2=".",s_Irr!AY2="."),s_dir!AC2/((1/1000)*(s_Irr!C2)),IF(AND(s_Irr!C2=".",s_Irr!AA2=".",s_Irr!AY2="."),s_dir!AC2*1000)))))))),".")</f>
        <v>1436.1115966030641</v>
      </c>
      <c r="BC2" s="48">
        <f>IFERROR(IF(AND(s_Irr!D2&lt;&gt;".",s_Irr!AB2&lt;&gt;".",s_Irr!AZ2&lt;&gt;"."),s_dir!AD2/((1/1000)*(s_Irr!D2+s_Irr!AB2+s_Irr!AZ2)),IF(AND(s_Irr!D2&lt;&gt;".",s_Irr!AB2&lt;&gt;".",s_Irr!AZ2="."),s_dir!AD2/((1/1000)*(s_Irr!D2+s_Irr!AB2)),IF(AND(s_Irr!D2&lt;&gt;".",s_Irr!AB2=".",s_Irr!AZ2&lt;&gt;"."),s_dir!AD2/((1/1000)*(s_Irr!D2+s_Irr!AZ2)),IF(AND(s_Irr!D2=".",s_Irr!AB2&lt;&gt;".",s_Irr!AZ2&lt;&gt;"."),s_dir!AD2/((1/1000)*(s_Irr!AB2+s_Irr!AZ2)),IF(AND(s_Irr!D2=".",s_Irr!AB2=".",s_Irr!AZ2&lt;&gt;"."),s_dir!AD2/((1/1000)*(s_Irr!AZ2)),IF(AND(s_Irr!D2=".",s_Irr!AB2&lt;&gt;".",s_Irr!AZ2="."),s_dir!AD2/((1/1000)*(s_Irr!AB2)),IF(AND(s_Irr!D2&lt;&gt;".",s_Irr!AB2=".",s_Irr!AZ2="."),s_dir!AD2/((1/1000)*(s_Irr!D2)),IF(AND(s_Irr!D2=".",s_Irr!AB2=".",s_Irr!AZ2="."),s_dir!AD2*1000)))))))),".")</f>
        <v>1436.1115966030641</v>
      </c>
      <c r="BD2" s="48">
        <f>IFERROR(IF(AND(s_Irr!E2&lt;&gt;".",s_Irr!AC2&lt;&gt;".",s_Irr!BA2&lt;&gt;"."),s_dir!AE2/((1/1000)*(s_Irr!E2+s_Irr!AC2+s_Irr!BA2)),IF(AND(s_Irr!E2&lt;&gt;".",s_Irr!AC2&lt;&gt;".",s_Irr!BA2="."),s_dir!AE2/((1/1000)*(s_Irr!E2+s_Irr!AC2)),IF(AND(s_Irr!E2&lt;&gt;".",s_Irr!AC2=".",s_Irr!BA2&lt;&gt;"."),s_dir!AE2/((1/1000)*(s_Irr!E2+s_Irr!BA2)),IF(AND(s_Irr!E2=".",s_Irr!AC2&lt;&gt;".",s_Irr!BA2&lt;&gt;"."),s_dir!AE2/((1/1000)*(s_Irr!AC2+s_Irr!BA2)),IF(AND(s_Irr!E2=".",s_Irr!AC2=".",s_Irr!BA2&lt;&gt;"."),s_dir!AE2/((1/1000)*(s_Irr!BA2)),IF(AND(s_Irr!E2=".",s_Irr!AC2&lt;&gt;".",s_Irr!BA2="."),s_dir!AE2/((1/1000)*(s_Irr!AC2)),IF(AND(s_Irr!E2&lt;&gt;".",s_Irr!AC2=".",s_Irr!BA2="."),s_dir!AE2/((1/1000)*(s_Irr!E2)),IF(AND(s_Irr!E2=".",s_Irr!AC2=".",s_Irr!BA2="."),s_dir!AE2*1000)))))))),".")</f>
        <v>1436.1115966030641</v>
      </c>
      <c r="BE2" s="48">
        <f>IFERROR(IF(AND(s_Irr!F2&lt;&gt;".",s_Irr!AD2&lt;&gt;".",s_Irr!BB2&lt;&gt;"."),s_dir!AF2/((1/1000)*(s_Irr!F2+s_Irr!AD2+s_Irr!BB2)),IF(AND(s_Irr!F2&lt;&gt;".",s_Irr!AD2&lt;&gt;".",s_Irr!BB2="."),s_dir!AF2/((1/1000)*(s_Irr!F2+s_Irr!AD2)),IF(AND(s_Irr!F2&lt;&gt;".",s_Irr!AD2=".",s_Irr!BB2&lt;&gt;"."),s_dir!AF2/((1/1000)*(s_Irr!F2+s_Irr!BB2)),IF(AND(s_Irr!F2=".",s_Irr!AD2&lt;&gt;".",s_Irr!BB2&lt;&gt;"."),s_dir!AF2/((1/1000)*(s_Irr!AD2+s_Irr!BB2)),IF(AND(s_Irr!F2=".",s_Irr!AD2=".",s_Irr!BB2&lt;&gt;"."),s_dir!AF2/((1/1000)*(s_Irr!BB2)),IF(AND(s_Irr!F2=".",s_Irr!AD2&lt;&gt;".",s_Irr!BB2="."),s_dir!AF2/((1/1000)*(s_Irr!AD2)),IF(AND(s_Irr!F2&lt;&gt;".",s_Irr!AD2=".",s_Irr!BB2="."),s_dir!AF2/((1/1000)*(s_Irr!F2)),IF(AND(s_Irr!F2=".",s_Irr!AD2=".",s_Irr!BB2="."),s_dir!AF2*1000)))))))),".")</f>
        <v>1436.1115966030641</v>
      </c>
      <c r="BF2" s="48">
        <f>IFERROR(IF(AND(s_Irr!G2&lt;&gt;".",s_Irr!AE2&lt;&gt;".",s_Irr!BC2&lt;&gt;"."),s_dir!AG2/((1/1000)*(s_Irr!G2+s_Irr!AE2+s_Irr!BC2)),IF(AND(s_Irr!G2&lt;&gt;".",s_Irr!AE2&lt;&gt;".",s_Irr!BC2="."),s_dir!AG2/((1/1000)*(s_Irr!G2+s_Irr!AE2)),IF(AND(s_Irr!G2&lt;&gt;".",s_Irr!AE2=".",s_Irr!BC2&lt;&gt;"."),s_dir!AG2/((1/1000)*(s_Irr!G2+s_Irr!BC2)),IF(AND(s_Irr!G2=".",s_Irr!AE2&lt;&gt;".",s_Irr!BC2&lt;&gt;"."),s_dir!AG2/((1/1000)*(s_Irr!AE2+s_Irr!BC2)),IF(AND(s_Irr!G2=".",s_Irr!AE2=".",s_Irr!BC2&lt;&gt;"."),s_dir!AG2/((1/1000)*(s_Irr!BC2)),IF(AND(s_Irr!G2=".",s_Irr!AE2&lt;&gt;".",s_Irr!BC2="."),s_dir!AG2/((1/1000)*(s_Irr!AE2)),IF(AND(s_Irr!G2&lt;&gt;".",s_Irr!AE2=".",s_Irr!BC2="."),s_dir!AG2/((1/1000)*(s_Irr!G2)),IF(AND(s_Irr!G2=".",s_Irr!AE2=".",s_Irr!BC2="."),s_dir!AG2*1000)))))))),".")</f>
        <v>1436.1115966030641</v>
      </c>
      <c r="BG2" s="48">
        <f>IFERROR(IF(AND(s_Irr!H2&lt;&gt;".",s_Irr!AF2&lt;&gt;".",s_Irr!BD2&lt;&gt;"."),s_dir!AH2/((1/1000)*(s_Irr!H2+s_Irr!AF2+s_Irr!BD2)),IF(AND(s_Irr!H2&lt;&gt;".",s_Irr!AF2&lt;&gt;".",s_Irr!BD2="."),s_dir!AH2/((1/1000)*(s_Irr!H2+s_Irr!AF2)),IF(AND(s_Irr!H2&lt;&gt;".",s_Irr!AF2=".",s_Irr!BD2&lt;&gt;"."),s_dir!AH2/((1/1000)*(s_Irr!H2+s_Irr!BD2)),IF(AND(s_Irr!H2=".",s_Irr!AF2&lt;&gt;".",s_Irr!BD2&lt;&gt;"."),s_dir!AH2/((1/1000)*(s_Irr!AF2+s_Irr!BD2)),IF(AND(s_Irr!H2=".",s_Irr!AF2=".",s_Irr!BD2&lt;&gt;"."),s_dir!AH2/((1/1000)*(s_Irr!BD2)),IF(AND(s_Irr!H2=".",s_Irr!AF2&lt;&gt;".",s_Irr!BD2="."),s_dir!AH2/((1/1000)*(s_Irr!AF2)),IF(AND(s_Irr!H2&lt;&gt;".",s_Irr!AF2=".",s_Irr!BD2="."),s_dir!AH2/((1/1000)*(s_Irr!H2)),IF(AND(s_Irr!H2=".",s_Irr!AF2=".",s_Irr!BD2="."),s_dir!AH2*1000)))))))),".")</f>
        <v>1436.1115966030641</v>
      </c>
      <c r="BH2" s="48">
        <f>IFERROR(IF(AND(s_Irr!I2&lt;&gt;".",s_Irr!AG2&lt;&gt;".",s_Irr!BE2&lt;&gt;"."),s_dir!AI2/((1/1000)*(s_Irr!I2+s_Irr!AG2+s_Irr!BE2)),IF(AND(s_Irr!I2&lt;&gt;".",s_Irr!AG2&lt;&gt;".",s_Irr!BE2="."),s_dir!AI2/((1/1000)*(s_Irr!I2+s_Irr!AG2)),IF(AND(s_Irr!I2&lt;&gt;".",s_Irr!AG2=".",s_Irr!BE2&lt;&gt;"."),s_dir!AI2/((1/1000)*(s_Irr!I2+s_Irr!BE2)),IF(AND(s_Irr!I2=".",s_Irr!AG2&lt;&gt;".",s_Irr!BE2&lt;&gt;"."),s_dir!AI2/((1/1000)*(s_Irr!AG2+s_Irr!BE2)),IF(AND(s_Irr!I2=".",s_Irr!AG2=".",s_Irr!BE2&lt;&gt;"."),s_dir!AI2/((1/1000)*(s_Irr!BE2)),IF(AND(s_Irr!I2=".",s_Irr!AG2&lt;&gt;".",s_Irr!BE2="."),s_dir!AI2/((1/1000)*(s_Irr!AG2)),IF(AND(s_Irr!I2&lt;&gt;".",s_Irr!AG2=".",s_Irr!BE2="."),s_dir!AI2/((1/1000)*(s_Irr!I2)),IF(AND(s_Irr!I2=".",s_Irr!AG2=".",s_Irr!BE2="."),s_dir!AI2*1000)))))))),".")</f>
        <v>1436.1115966030641</v>
      </c>
      <c r="BI2" s="48">
        <f>IFERROR(IF(AND(s_Irr!J2&lt;&gt;".",s_Irr!AH2&lt;&gt;".",s_Irr!BF2&lt;&gt;"."),s_dir!AJ2/((1/1000)*(s_Irr!J2+s_Irr!AH2+s_Irr!BF2)),IF(AND(s_Irr!J2&lt;&gt;".",s_Irr!AH2&lt;&gt;".",s_Irr!BF2="."),s_dir!AJ2/((1/1000)*(s_Irr!J2+s_Irr!AH2)),IF(AND(s_Irr!J2&lt;&gt;".",s_Irr!AH2=".",s_Irr!BF2&lt;&gt;"."),s_dir!AJ2/((1/1000)*(s_Irr!J2+s_Irr!BF2)),IF(AND(s_Irr!J2=".",s_Irr!AH2&lt;&gt;".",s_Irr!BF2&lt;&gt;"."),s_dir!AJ2/((1/1000)*(s_Irr!AH2+s_Irr!BF2)),IF(AND(s_Irr!J2=".",s_Irr!AH2=".",s_Irr!BF2&lt;&gt;"."),s_dir!AJ2/((1/1000)*(s_Irr!BF2)),IF(AND(s_Irr!J2=".",s_Irr!AH2&lt;&gt;".",s_Irr!BF2="."),s_dir!AJ2/((1/1000)*(s_Irr!AH2)),IF(AND(s_Irr!J2&lt;&gt;".",s_Irr!AH2=".",s_Irr!BF2="."),s_dir!AJ2/((1/1000)*(s_Irr!J2)),IF(AND(s_Irr!J2=".",s_Irr!AH2=".",s_Irr!BF2="."),s_dir!AJ2*1000)))))))),".")</f>
        <v>1436.1115966030641</v>
      </c>
      <c r="BJ2" s="48">
        <f>IFERROR(IF(AND(s_Irr!K2&lt;&gt;".",s_Irr!AI2&lt;&gt;".",s_Irr!BG2&lt;&gt;"."),s_dir!AK2/((1/1000)*(s_Irr!K2+s_Irr!AI2+s_Irr!BG2)),IF(AND(s_Irr!K2&lt;&gt;".",s_Irr!AI2&lt;&gt;".",s_Irr!BG2="."),s_dir!AK2/((1/1000)*(s_Irr!K2+s_Irr!AI2)),IF(AND(s_Irr!K2&lt;&gt;".",s_Irr!AI2=".",s_Irr!BG2&lt;&gt;"."),s_dir!AK2/((1/1000)*(s_Irr!K2+s_Irr!BG2)),IF(AND(s_Irr!K2=".",s_Irr!AI2&lt;&gt;".",s_Irr!BG2&lt;&gt;"."),s_dir!AK2/((1/1000)*(s_Irr!AI2+s_Irr!BG2)),IF(AND(s_Irr!K2=".",s_Irr!AI2=".",s_Irr!BG2&lt;&gt;"."),s_dir!AK2/((1/1000)*(s_Irr!BG2)),IF(AND(s_Irr!K2=".",s_Irr!AI2&lt;&gt;".",s_Irr!BG2="."),s_dir!AK2/((1/1000)*(s_Irr!AI2)),IF(AND(s_Irr!K2&lt;&gt;".",s_Irr!AI2=".",s_Irr!BG2="."),s_dir!AK2/((1/1000)*(s_Irr!K2)),IF(AND(s_Irr!K2=".",s_Irr!AI2=".",s_Irr!BG2="."),s_dir!AK2*1000)))))))),".")</f>
        <v>1436.1115966030641</v>
      </c>
      <c r="BK2" s="48">
        <f>IFERROR(IF(AND(s_Irr!L2&lt;&gt;".",s_Irr!AJ2&lt;&gt;".",s_Irr!BH2&lt;&gt;"."),s_dir!AL2/((1/1000)*(s_Irr!L2+s_Irr!AJ2+s_Irr!BH2)),IF(AND(s_Irr!L2&lt;&gt;".",s_Irr!AJ2&lt;&gt;".",s_Irr!BH2="."),s_dir!AL2/((1/1000)*(s_Irr!L2+s_Irr!AJ2)),IF(AND(s_Irr!L2&lt;&gt;".",s_Irr!AJ2=".",s_Irr!BH2&lt;&gt;"."),s_dir!AL2/((1/1000)*(s_Irr!L2+s_Irr!BH2)),IF(AND(s_Irr!L2=".",s_Irr!AJ2&lt;&gt;".",s_Irr!BH2&lt;&gt;"."),s_dir!AL2/((1/1000)*(s_Irr!AJ2+s_Irr!BH2)),IF(AND(s_Irr!L2=".",s_Irr!AJ2=".",s_Irr!BH2&lt;&gt;"."),s_dir!AL2/((1/1000)*(s_Irr!BH2)),IF(AND(s_Irr!L2=".",s_Irr!AJ2&lt;&gt;".",s_Irr!BH2="."),s_dir!AL2/((1/1000)*(s_Irr!AJ2)),IF(AND(s_Irr!L2&lt;&gt;".",s_Irr!AJ2=".",s_Irr!BH2="."),s_dir!AL2/((1/1000)*(s_Irr!L2)),IF(AND(s_Irr!L2=".",s_Irr!AJ2=".",s_Irr!BH2="."),s_dir!AL2*1000)))))))),".")</f>
        <v>1436.1115966030641</v>
      </c>
      <c r="BL2" s="48">
        <f>IFERROR(IF(AND(s_Irr!M2&lt;&gt;".",s_Irr!AK2&lt;&gt;".",s_Irr!BI2&lt;&gt;"."),s_dir!AM2/((1/1000)*(s_Irr!M2+s_Irr!AK2+s_Irr!BI2)),IF(AND(s_Irr!M2&lt;&gt;".",s_Irr!AK2&lt;&gt;".",s_Irr!BI2="."),s_dir!AM2/((1/1000)*(s_Irr!M2+s_Irr!AK2)),IF(AND(s_Irr!M2&lt;&gt;".",s_Irr!AK2=".",s_Irr!BI2&lt;&gt;"."),s_dir!AM2/((1/1000)*(s_Irr!M2+s_Irr!BI2)),IF(AND(s_Irr!M2=".",s_Irr!AK2&lt;&gt;".",s_Irr!BI2&lt;&gt;"."),s_dir!AM2/((1/1000)*(s_Irr!AK2+s_Irr!BI2)),IF(AND(s_Irr!M2=".",s_Irr!AK2=".",s_Irr!BI2&lt;&gt;"."),s_dir!AM2/((1/1000)*(s_Irr!BI2)),IF(AND(s_Irr!M2=".",s_Irr!AK2&lt;&gt;".",s_Irr!BI2="."),s_dir!AM2/((1/1000)*(s_Irr!AK2)),IF(AND(s_Irr!M2&lt;&gt;".",s_Irr!AK2=".",s_Irr!BI2="."),s_dir!AM2/((1/1000)*(s_Irr!M2)),IF(AND(s_Irr!M2=".",s_Irr!AK2=".",s_Irr!BI2="."),s_dir!AM2*1000)))))))),".")</f>
        <v>1436.1115966030641</v>
      </c>
      <c r="BM2" s="48">
        <f>IFERROR(IF(AND(s_Irr!N2&lt;&gt;".",s_Irr!AL2&lt;&gt;".",s_Irr!BJ2&lt;&gt;"."),s_dir!AN2/((1/1000)*(s_Irr!N2+s_Irr!AL2+s_Irr!BJ2)),IF(AND(s_Irr!N2&lt;&gt;".",s_Irr!AL2&lt;&gt;".",s_Irr!BJ2="."),s_dir!AN2/((1/1000)*(s_Irr!N2+s_Irr!AL2)),IF(AND(s_Irr!N2&lt;&gt;".",s_Irr!AL2=".",s_Irr!BJ2&lt;&gt;"."),s_dir!AN2/((1/1000)*(s_Irr!N2+s_Irr!BJ2)),IF(AND(s_Irr!N2=".",s_Irr!AL2&lt;&gt;".",s_Irr!BJ2&lt;&gt;"."),s_dir!AN2/((1/1000)*(s_Irr!AL2+s_Irr!BJ2)),IF(AND(s_Irr!N2=".",s_Irr!AL2=".",s_Irr!BJ2&lt;&gt;"."),s_dir!AN2/((1/1000)*(s_Irr!BJ2)),IF(AND(s_Irr!N2=".",s_Irr!AL2&lt;&gt;".",s_Irr!BJ2="."),s_dir!AN2/((1/1000)*(s_Irr!AL2)),IF(AND(s_Irr!N2&lt;&gt;".",s_Irr!AL2=".",s_Irr!BJ2="."),s_dir!AN2/((1/1000)*(s_Irr!N2)),IF(AND(s_Irr!N2=".",s_Irr!AL2=".",s_Irr!BJ2="."),s_dir!AN2*1000)))))))),".")</f>
        <v>1436.1115966030641</v>
      </c>
      <c r="BN2" s="48">
        <f>IFERROR(IF(AND(s_Irr!O2&lt;&gt;".",s_Irr!AM2&lt;&gt;".",s_Irr!BK2&lt;&gt;"."),s_dir!AO2/((1/1000)*(s_Irr!O2+s_Irr!AM2+s_Irr!BK2)),IF(AND(s_Irr!O2&lt;&gt;".",s_Irr!AM2&lt;&gt;".",s_Irr!BK2="."),s_dir!AO2/((1/1000)*(s_Irr!O2+s_Irr!AM2)),IF(AND(s_Irr!O2&lt;&gt;".",s_Irr!AM2=".",s_Irr!BK2&lt;&gt;"."),s_dir!AO2/((1/1000)*(s_Irr!O2+s_Irr!BK2)),IF(AND(s_Irr!O2=".",s_Irr!AM2&lt;&gt;".",s_Irr!BK2&lt;&gt;"."),s_dir!AO2/((1/1000)*(s_Irr!AM2+s_Irr!BK2)),IF(AND(s_Irr!O2=".",s_Irr!AM2=".",s_Irr!BK2&lt;&gt;"."),s_dir!AO2/((1/1000)*(s_Irr!BK2)),IF(AND(s_Irr!O2=".",s_Irr!AM2&lt;&gt;".",s_Irr!BK2="."),s_dir!AO2/((1/1000)*(s_Irr!AM2)),IF(AND(s_Irr!O2&lt;&gt;".",s_Irr!AM2=".",s_Irr!BK2="."),s_dir!AO2/((1/1000)*(s_Irr!O2)),IF(AND(s_Irr!O2=".",s_Irr!AM2=".",s_Irr!BK2="."),s_dir!AO2*1000)))))))),".")</f>
        <v>1436.1115966030641</v>
      </c>
      <c r="BO2" s="48">
        <f>IFERROR(IF(AND(s_Irr!P2&lt;&gt;".",s_Irr!AN2&lt;&gt;".",s_Irr!BL2&lt;&gt;"."),s_dir!AP2/((1/1000)*(s_Irr!P2+s_Irr!AN2+s_Irr!BL2)),IF(AND(s_Irr!P2&lt;&gt;".",s_Irr!AN2&lt;&gt;".",s_Irr!BL2="."),s_dir!AP2/((1/1000)*(s_Irr!P2+s_Irr!AN2)),IF(AND(s_Irr!P2&lt;&gt;".",s_Irr!AN2=".",s_Irr!BL2&lt;&gt;"."),s_dir!AP2/((1/1000)*(s_Irr!P2+s_Irr!BL2)),IF(AND(s_Irr!P2=".",s_Irr!AN2&lt;&gt;".",s_Irr!BL2&lt;&gt;"."),s_dir!AP2/((1/1000)*(s_Irr!AN2+s_Irr!BL2)),IF(AND(s_Irr!P2=".",s_Irr!AN2=".",s_Irr!BL2&lt;&gt;"."),s_dir!AP2/((1/1000)*(s_Irr!BL2)),IF(AND(s_Irr!P2=".",s_Irr!AN2&lt;&gt;".",s_Irr!BL2="."),s_dir!AP2/((1/1000)*(s_Irr!AN2)),IF(AND(s_Irr!P2&lt;&gt;".",s_Irr!AN2=".",s_Irr!BL2="."),s_dir!AP2/((1/1000)*(s_Irr!P2)),IF(AND(s_Irr!P2=".",s_Irr!AN2=".",s_Irr!BL2="."),s_dir!AP2*1000)))))))),".")</f>
        <v>1436.1115966030641</v>
      </c>
      <c r="BP2" s="48">
        <f>IFERROR(IF(AND(s_Irr!Q2&lt;&gt;".",s_Irr!AO2&lt;&gt;".",s_Irr!BM2&lt;&gt;"."),s_dir!AQ2/((1/1000)*(s_Irr!Q2+s_Irr!AO2+s_Irr!BM2)),IF(AND(s_Irr!Q2&lt;&gt;".",s_Irr!AO2&lt;&gt;".",s_Irr!BM2="."),s_dir!AQ2/((1/1000)*(s_Irr!Q2+s_Irr!AO2)),IF(AND(s_Irr!Q2&lt;&gt;".",s_Irr!AO2=".",s_Irr!BM2&lt;&gt;"."),s_dir!AQ2/((1/1000)*(s_Irr!Q2+s_Irr!BM2)),IF(AND(s_Irr!Q2=".",s_Irr!AO2&lt;&gt;".",s_Irr!BM2&lt;&gt;"."),s_dir!AQ2/((1/1000)*(s_Irr!AO2+s_Irr!BM2)),IF(AND(s_Irr!Q2=".",s_Irr!AO2=".",s_Irr!BM2&lt;&gt;"."),s_dir!AQ2/((1/1000)*(s_Irr!BM2)),IF(AND(s_Irr!Q2=".",s_Irr!AO2&lt;&gt;".",s_Irr!BM2="."),s_dir!AQ2/((1/1000)*(s_Irr!AO2)),IF(AND(s_Irr!Q2&lt;&gt;".",s_Irr!AO2=".",s_Irr!BM2="."),s_dir!AQ2/((1/1000)*(s_Irr!Q2)),IF(AND(s_Irr!Q2=".",s_Irr!AO2=".",s_Irr!BM2="."),s_dir!AQ2*1000)))))))),".")</f>
        <v>1436.1115966030641</v>
      </c>
      <c r="BQ2" s="48">
        <f>IFERROR(IF(AND(s_Irr!R2&lt;&gt;".",s_Irr!AP2&lt;&gt;".",s_Irr!BN2&lt;&gt;"."),s_dir!AR2/((1/1000)*(s_Irr!R2+s_Irr!AP2+s_Irr!BN2)),IF(AND(s_Irr!R2&lt;&gt;".",s_Irr!AP2&lt;&gt;".",s_Irr!BN2="."),s_dir!AR2/((1/1000)*(s_Irr!R2+s_Irr!AP2)),IF(AND(s_Irr!R2&lt;&gt;".",s_Irr!AP2=".",s_Irr!BN2&lt;&gt;"."),s_dir!AR2/((1/1000)*(s_Irr!R2+s_Irr!BN2)),IF(AND(s_Irr!R2=".",s_Irr!AP2&lt;&gt;".",s_Irr!BN2&lt;&gt;"."),s_dir!AR2/((1/1000)*(s_Irr!AP2+s_Irr!BN2)),IF(AND(s_Irr!R2=".",s_Irr!AP2=".",s_Irr!BN2&lt;&gt;"."),s_dir!AR2/((1/1000)*(s_Irr!BN2)),IF(AND(s_Irr!R2=".",s_Irr!AP2&lt;&gt;".",s_Irr!BN2="."),s_dir!AR2/((1/1000)*(s_Irr!AP2)),IF(AND(s_Irr!R2&lt;&gt;".",s_Irr!AP2=".",s_Irr!BN2="."),s_dir!AR2/((1/1000)*(s_Irr!R2)),IF(AND(s_Irr!R2=".",s_Irr!AP2=".",s_Irr!BN2="."),s_dir!AR2*1000)))))))),".")</f>
        <v>1436.1115966030641</v>
      </c>
      <c r="BR2" s="48">
        <f>IFERROR(IF(AND(s_Irr!S2&lt;&gt;".",s_Irr!AQ2&lt;&gt;".",s_Irr!BO2&lt;&gt;"."),s_dir!AS2/((1/1000)*(s_Irr!S2+s_Irr!AQ2+s_Irr!BO2)),IF(AND(s_Irr!S2&lt;&gt;".",s_Irr!AQ2&lt;&gt;".",s_Irr!BO2="."),s_dir!AS2/((1/1000)*(s_Irr!S2+s_Irr!AQ2)),IF(AND(s_Irr!S2&lt;&gt;".",s_Irr!AQ2=".",s_Irr!BO2&lt;&gt;"."),s_dir!AS2/((1/1000)*(s_Irr!S2+s_Irr!BO2)),IF(AND(s_Irr!S2=".",s_Irr!AQ2&lt;&gt;".",s_Irr!BO2&lt;&gt;"."),s_dir!AS2/((1/1000)*(s_Irr!AQ2+s_Irr!BO2)),IF(AND(s_Irr!S2=".",s_Irr!AQ2=".",s_Irr!BO2&lt;&gt;"."),s_dir!AS2/((1/1000)*(s_Irr!BO2)),IF(AND(s_Irr!S2=".",s_Irr!AQ2&lt;&gt;".",s_Irr!BO2="."),s_dir!AS2/((1/1000)*(s_Irr!AQ2)),IF(AND(s_Irr!S2&lt;&gt;".",s_Irr!AQ2=".",s_Irr!BO2="."),s_dir!AS2/((1/1000)*(s_Irr!S2)),IF(AND(s_Irr!S2=".",s_Irr!AQ2=".",s_Irr!BO2="."),s_dir!AS2*1000)))))))),".")</f>
        <v>1436.1115966030641</v>
      </c>
      <c r="BS2" s="48">
        <f>IFERROR(IF(AND(s_Irr!T2&lt;&gt;".",s_Irr!AR2&lt;&gt;".",s_Irr!BP2&lt;&gt;"."),s_dir!AT2/((1/1000)*(s_Irr!T2+s_Irr!AR2+s_Irr!BP2)),IF(AND(s_Irr!T2&lt;&gt;".",s_Irr!AR2&lt;&gt;".",s_Irr!BP2="."),s_dir!AT2/((1/1000)*(s_Irr!T2+s_Irr!AR2)),IF(AND(s_Irr!T2&lt;&gt;".",s_Irr!AR2=".",s_Irr!BP2&lt;&gt;"."),s_dir!AT2/((1/1000)*(s_Irr!T2+s_Irr!BP2)),IF(AND(s_Irr!T2=".",s_Irr!AR2&lt;&gt;".",s_Irr!BP2&lt;&gt;"."),s_dir!AT2/((1/1000)*(s_Irr!AR2+s_Irr!BP2)),IF(AND(s_Irr!T2=".",s_Irr!AR2=".",s_Irr!BP2&lt;&gt;"."),s_dir!AT2/((1/1000)*(s_Irr!BP2)),IF(AND(s_Irr!T2=".",s_Irr!AR2&lt;&gt;".",s_Irr!BP2="."),s_dir!AT2/((1/1000)*(s_Irr!AR2)),IF(AND(s_Irr!T2&lt;&gt;".",s_Irr!AR2=".",s_Irr!BP2="."),s_dir!AT2/((1/1000)*(s_Irr!T2)),IF(AND(s_Irr!T2=".",s_Irr!AR2=".",s_Irr!BP2="."),s_dir!AT2*1000)))))))),".")</f>
        <v>1436.1115966030641</v>
      </c>
      <c r="BT2" s="48">
        <f>IFERROR(IF(AND(s_Irr!U2&lt;&gt;".",s_Irr!AS2&lt;&gt;".",s_Irr!BQ2&lt;&gt;"."),s_dir!AU2/((1/1000)*(s_Irr!U2+s_Irr!AS2+s_Irr!BQ2)),IF(AND(s_Irr!U2&lt;&gt;".",s_Irr!AS2&lt;&gt;".",s_Irr!BQ2="."),s_dir!AU2/((1/1000)*(s_Irr!U2+s_Irr!AS2)),IF(AND(s_Irr!U2&lt;&gt;".",s_Irr!AS2=".",s_Irr!BQ2&lt;&gt;"."),s_dir!AU2/((1/1000)*(s_Irr!U2+s_Irr!BQ2)),IF(AND(s_Irr!U2=".",s_Irr!AS2&lt;&gt;".",s_Irr!BQ2&lt;&gt;"."),s_dir!AU2/((1/1000)*(s_Irr!AS2+s_Irr!BQ2)),IF(AND(s_Irr!U2=".",s_Irr!AS2=".",s_Irr!BQ2&lt;&gt;"."),s_dir!AU2/((1/1000)*(s_Irr!BQ2)),IF(AND(s_Irr!U2=".",s_Irr!AS2&lt;&gt;".",s_Irr!BQ2="."),s_dir!AU2/((1/1000)*(s_Irr!AS2)),IF(AND(s_Irr!U2&lt;&gt;".",s_Irr!AS2=".",s_Irr!BQ2="."),s_dir!AU2/((1/1000)*(s_Irr!U2)),IF(AND(s_Irr!U2=".",s_Irr!AS2=".",s_Irr!BQ2="."),s_dir!AU2*1000)))))))),".")</f>
        <v>1436.1115966030641</v>
      </c>
      <c r="BU2" s="48">
        <f>IFERROR(IF(AND(s_Irr!V2&lt;&gt;".",s_Irr!AT2&lt;&gt;".",s_Irr!BR2&lt;&gt;"."),s_dir!AV2/((1/1000)*(s_Irr!V2+s_Irr!AT2+s_Irr!BR2)),IF(AND(s_Irr!V2&lt;&gt;".",s_Irr!AT2&lt;&gt;".",s_Irr!BR2="."),s_dir!AV2/((1/1000)*(s_Irr!V2+s_Irr!AT2)),IF(AND(s_Irr!V2&lt;&gt;".",s_Irr!AT2=".",s_Irr!BR2&lt;&gt;"."),s_dir!AV2/((1/1000)*(s_Irr!V2+s_Irr!BR2)),IF(AND(s_Irr!V2=".",s_Irr!AT2&lt;&gt;".",s_Irr!BR2&lt;&gt;"."),s_dir!AV2/((1/1000)*(s_Irr!AT2+s_Irr!BR2)),IF(AND(s_Irr!V2=".",s_Irr!AT2=".",s_Irr!BR2&lt;&gt;"."),s_dir!AV2/((1/1000)*(s_Irr!BR2)),IF(AND(s_Irr!V2=".",s_Irr!AT2&lt;&gt;".",s_Irr!BR2="."),s_dir!AV2/((1/1000)*(s_Irr!AT2)),IF(AND(s_Irr!V2&lt;&gt;".",s_Irr!AT2=".",s_Irr!BR2="."),s_dir!AV2/((1/1000)*(s_Irr!V2)),IF(AND(s_Irr!V2=".",s_Irr!AT2=".",s_Irr!BR2="."),s_dir!AV2*1000)))))))),".")</f>
        <v>1436.1115966030641</v>
      </c>
      <c r="BV2" s="48">
        <f>IFERROR(IF(AND(s_Irr!W2&lt;&gt;".",s_Irr!AU2&lt;&gt;".",s_Irr!BS2&lt;&gt;"."),s_dir!AW2/((1/1000)*(s_Irr!W2+s_Irr!AU2+s_Irr!BS2)),IF(AND(s_Irr!W2&lt;&gt;".",s_Irr!AU2&lt;&gt;".",s_Irr!BS2="."),s_dir!AW2/((1/1000)*(s_Irr!W2+s_Irr!AU2)),IF(AND(s_Irr!W2&lt;&gt;".",s_Irr!AU2=".",s_Irr!BS2&lt;&gt;"."),s_dir!AW2/((1/1000)*(s_Irr!W2+s_Irr!BS2)),IF(AND(s_Irr!W2=".",s_Irr!AU2&lt;&gt;".",s_Irr!BS2&lt;&gt;"."),s_dir!AW2/((1/1000)*(s_Irr!AU2+s_Irr!BS2)),IF(AND(s_Irr!W2=".",s_Irr!AU2=".",s_Irr!BS2&lt;&gt;"."),s_dir!AW2/((1/1000)*(s_Irr!BS2)),IF(AND(s_Irr!W2=".",s_Irr!AU2&lt;&gt;".",s_Irr!BS2="."),s_dir!AW2/((1/1000)*(s_Irr!AU2)),IF(AND(s_Irr!W2&lt;&gt;".",s_Irr!AU2=".",s_Irr!BS2="."),s_dir!AW2/((1/1000)*(s_Irr!W2)),IF(AND(s_Irr!W2=".",s_Irr!AU2=".",s_Irr!BS2="."),s_dir!AW2*1000)))))))),".")</f>
        <v>1436.1115966030641</v>
      </c>
      <c r="BW2" s="48">
        <f>IFERROR(IF(AND(s_Irr!X2&lt;&gt;".",s_Irr!AV2&lt;&gt;".",s_Irr!BT2&lt;&gt;"."),s_dir!AX2/((1/1000)*(s_Irr!X2+s_Irr!AV2+s_Irr!BT2)),IF(AND(s_Irr!X2&lt;&gt;".",s_Irr!AV2&lt;&gt;".",s_Irr!BT2="."),s_dir!AX2/((1/1000)*(s_Irr!X2+s_Irr!AV2)),IF(AND(s_Irr!X2&lt;&gt;".",s_Irr!AV2=".",s_Irr!BT2&lt;&gt;"."),s_dir!AX2/((1/1000)*(s_Irr!X2+s_Irr!BT2)),IF(AND(s_Irr!X2=".",s_Irr!AV2&lt;&gt;".",s_Irr!BT2&lt;&gt;"."),s_dir!AX2/((1/1000)*(s_Irr!AV2+s_Irr!BT2)),IF(AND(s_Irr!X2=".",s_Irr!AV2=".",s_Irr!BT2&lt;&gt;"."),s_dir!AX2/((1/1000)*(s_Irr!BT2)),IF(AND(s_Irr!X2=".",s_Irr!AV2&lt;&gt;".",s_Irr!BT2="."),s_dir!AX2/((1/1000)*(s_Irr!AV2)),IF(AND(s_Irr!X2&lt;&gt;".",s_Irr!AV2=".",s_Irr!BT2="."),s_dir!AX2/((1/1000)*(s_Irr!X2)),IF(AND(s_Irr!X2=".",s_Irr!AV2=".",s_Irr!BT2="."),s_dir!AX2*1000)))))))),".")</f>
        <v>1436.1115966030641</v>
      </c>
      <c r="BX2" s="48">
        <f>IFERROR(IF(AND(s_Irr!Y2&lt;&gt;".",s_Irr!AW2&lt;&gt;".",s_Irr!BU2&lt;&gt;"."),s_dir!AY2/((1/1000)*(s_Irr!Y2+s_Irr!AW2+s_Irr!BU2)),IF(AND(s_Irr!Y2&lt;&gt;".",s_Irr!AW2&lt;&gt;".",s_Irr!BU2="."),s_dir!AY2/((1/1000)*(s_Irr!Y2+s_Irr!AW2)),IF(AND(s_Irr!Y2&lt;&gt;".",s_Irr!AW2=".",s_Irr!BU2&lt;&gt;"."),s_dir!AY2/((1/1000)*(s_Irr!Y2+s_Irr!BU2)),IF(AND(s_Irr!Y2=".",s_Irr!AW2&lt;&gt;".",s_Irr!BU2&lt;&gt;"."),s_dir!AY2/((1/1000)*(s_Irr!AW2+s_Irr!BU2)),IF(AND(s_Irr!Y2=".",s_Irr!AW2=".",s_Irr!BU2&lt;&gt;"."),s_dir!AY2/((1/1000)*(s_Irr!BU2)),IF(AND(s_Irr!Y2=".",s_Irr!AW2&lt;&gt;".",s_Irr!BU2="."),s_dir!AY2/((1/1000)*(s_Irr!AW2)),IF(AND(s_Irr!Y2&lt;&gt;".",s_Irr!AW2=".",s_Irr!BU2="."),s_dir!AY2/((1/1000)*(s_Irr!Y2)),IF(AND(s_Irr!Y2=".",s_Irr!AW2=".",s_Irr!BU2="."),s_dir!AY2*1000)))))))),".")</f>
        <v>1436.1115966030641</v>
      </c>
      <c r="BY2" s="48">
        <f>IFERROR(IF(AND(s_Irr!Z2&lt;&gt;".",s_Irr!AX2&lt;&gt;".",s_Irr!BV2&lt;&gt;"."),s_dir!AZ2/((1/1000)*(s_Irr!Z2+s_Irr!AX2+s_Irr!BV2)),IF(AND(s_Irr!Z2&lt;&gt;".",s_Irr!AX2&lt;&gt;".",s_Irr!BV2="."),s_dir!AZ2/((1/1000)*(s_Irr!Z2+s_Irr!AX2)),IF(AND(s_Irr!Z2&lt;&gt;".",s_Irr!AX2=".",s_Irr!BV2&lt;&gt;"."),s_dir!AZ2/((1/1000)*(s_Irr!Z2+s_Irr!BV2)),IF(AND(s_Irr!Z2=".",s_Irr!AX2&lt;&gt;".",s_Irr!BV2&lt;&gt;"."),s_dir!AZ2/((1/1000)*(s_Irr!AX2+s_Irr!BV2)),IF(AND(s_Irr!Z2=".",s_Irr!AX2=".",s_Irr!BV2&lt;&gt;"."),s_dir!AZ2/((1/1000)*(s_Irr!BV2)),IF(AND(s_Irr!Z2=".",s_Irr!AX2&lt;&gt;".",s_Irr!BV2="."),s_dir!AZ2/((1/1000)*(s_Irr!AX2)),IF(AND(s_Irr!Z2&lt;&gt;".",s_Irr!AX2=".",s_Irr!BV2="."),s_dir!AZ2/((1/1000)*(s_Irr!Z2)),IF(AND(s_Irr!Z2=".",s_Irr!AX2=".",s_Irr!BV2="."),s_dir!AZ2*1000)))))))),".")</f>
        <v>1436.1115966030641</v>
      </c>
      <c r="BZ2" s="62">
        <f t="shared" ref="BZ2:BZ30" si="1">SUM(CA2,CW2:CX2)</f>
        <v>269.87935361652694</v>
      </c>
      <c r="CA2" s="62">
        <f>IFERROR(s_C*s_IFAP_far_adj*s_CF_apple*(1/1000)*(s_Irr!C2+s_Irr!AA2+s_Irr!AY2),".")</f>
        <v>89.959784538842314</v>
      </c>
      <c r="CB2" s="62">
        <f>IFERROR(s_C*s_IFAS_far_adj*s_CF_asparagus*(1/1000)*(s_Irr!D2+s_Irr!AB2+s_Irr!AZ2),".")</f>
        <v>89.959784538842314</v>
      </c>
      <c r="CC2" s="62">
        <f>IFERROR(s_C*s_IFBT_far_adj*s_CF_beet*(1/1000)*(s_Irr!E2+s_Irr!AC2+s_Irr!BA2),".")</f>
        <v>89.959784538842314</v>
      </c>
      <c r="CD2" s="62">
        <f>IFERROR(s_C*s_IFBE_far_adj*s_CF_berries*(1/1000)*(s_Irr!F2+s_Irr!AD2+s_Irr!BB2),".")</f>
        <v>89.959784538842314</v>
      </c>
      <c r="CE2" s="62">
        <f>IFERROR(s_C*s_IFBR_far_adj*s_CF_broccoli*(1/1000)*(s_Irr!G2+s_Irr!AE2+s_Irr!BC2),".")</f>
        <v>89.959784538842314</v>
      </c>
      <c r="CF2" s="62">
        <f>IFERROR(s_C*s_IFCB_far_adj*s_CF_cabbage*(1/1000)*(s_Irr!H2+s_Irr!AF2+s_Irr!BD2),".")</f>
        <v>89.959784538842314</v>
      </c>
      <c r="CG2" s="62">
        <f>IFERROR(s_C*s_IFCR_far_adj*s_CF_carrot*(1/1000)*(s_Irr!I2+s_Irr!AG2+s_Irr!BE2),".")</f>
        <v>89.959784538842314</v>
      </c>
      <c r="CH2" s="62">
        <f>IFERROR(s_C*s_IFCI_far_adj*s_CF_citrus*(1/1000)*(s_Irr!J2+s_Irr!AH2+s_Irr!BF2),".")</f>
        <v>89.959784538842314</v>
      </c>
      <c r="CI2" s="62">
        <f>IFERROR(s_C*s_IFCO_far_adj*s_CF_corn*(1/1000)*(s_Irr!K2+s_Irr!AI2+s_Irr!BG2),".")</f>
        <v>89.959784538842314</v>
      </c>
      <c r="CJ2" s="62">
        <f>IFERROR(s_C*s_IFCU_far_adj*s_CF_cucumber*(1/1000)*(s_Irr!L2+s_Irr!AJ2+s_Irr!BH2),".")</f>
        <v>89.959784538842314</v>
      </c>
      <c r="CK2" s="62">
        <f>IFERROR(s_C*s_IFLE_far_adj*s_CF_lettuce*(1/1000)*(s_Irr!M2+s_Irr!AK2+s_Irr!BI2),".")</f>
        <v>89.959784538842314</v>
      </c>
      <c r="CL2" s="62">
        <f>IFERROR(s_C*s_IFLI_far_adj*s_CF_lima_bean*(1/1000)*(s_Irr!N2+s_Irr!AL2+s_Irr!BJ2),".")</f>
        <v>89.959784538842314</v>
      </c>
      <c r="CM2" s="62">
        <f>IFERROR(s_C*s_IFOK_far_adj*s_CF_okra*(1/1000)*(s_Irr!O2+s_Irr!AM2+s_Irr!BK2),".")</f>
        <v>89.959784538842314</v>
      </c>
      <c r="CN2" s="62">
        <f>IFERROR(s_C*s_IFON_far_adj*s_CF_onion*(1/1000)*(s_Irr!P2+s_Irr!AN2+s_Irr!BL2),".")</f>
        <v>89.959784538842314</v>
      </c>
      <c r="CO2" s="62">
        <f>IFERROR(s_C*s_IFPC_far_adj*s_CF_peach*(1/1000)*(s_Irr!Q2+s_Irr!AO2+s_Irr!BM2),".")</f>
        <v>89.959784538842314</v>
      </c>
      <c r="CP2" s="62">
        <f>IFERROR(s_C*s_IFPR_far_adj*s_CF_pear*(1/1000)*(s_Irr!R2+s_Irr!AP2+s_Irr!BN2),".")</f>
        <v>89.959784538842314</v>
      </c>
      <c r="CQ2" s="62">
        <f>IFERROR(s_C*s_IFPE_far_adj*s_CF_peas*(1/1000)*(s_Irr!S2+s_Irr!AQ2+s_Irr!BO2),".")</f>
        <v>89.959784538842314</v>
      </c>
      <c r="CR2" s="62">
        <f>IFERROR(s_C*s_IFPT_far_adj*s_CF_potato*(1/1000)*(s_Irr!T2+s_Irr!AR2+s_Irr!BP2),".")</f>
        <v>89.959784538842314</v>
      </c>
      <c r="CS2" s="62">
        <f>IFERROR(s_C*s_IFPU_far_adj*s_CF_pumpkin*(1/1000)*(s_Irr!U2+s_Irr!AS2+s_Irr!BQ2),".")</f>
        <v>89.959784538842314</v>
      </c>
      <c r="CT2" s="62">
        <f>IFERROR(s_C*s_IFSN_far_adj*s_CF_snap_bean*(1/1000)*(s_Irr!V2+s_Irr!AT2+s_Irr!BR2),".")</f>
        <v>89.959784538842314</v>
      </c>
      <c r="CU2" s="62">
        <f>IFERROR(s_C*s_IFST_far_adj*s_CF_strawberry*(1/1000)*(s_Irr!W2+s_Irr!AU2+s_Irr!BS2),".")</f>
        <v>89.959784538842314</v>
      </c>
      <c r="CV2" s="62">
        <f>IFERROR(s_C*s_IFTO_far_adj*s_CF_tomato*(1/1000)*(s_Irr!X2+s_Irr!AV2+s_Irr!BT2),".")</f>
        <v>89.959784538842314</v>
      </c>
      <c r="CW2" s="62">
        <f>IFERROR(s_C*s_IFRI_far_adj*s_CF_rice*(1/1000)*(s_Irr!Y2+s_Irr!AW2+s_Irr!BU2),".")</f>
        <v>89.959784538842314</v>
      </c>
      <c r="CX2" s="62">
        <f>IFERROR(s_C*s_IFCG_far_adj*s_CF_cereal*(1/1000)*(s_Irr!Z2+s_Irr!AX2+s_Irr!BV2),".")</f>
        <v>89.959784538842314</v>
      </c>
    </row>
    <row r="3" spans="1:102" x14ac:dyDescent="0.25">
      <c r="A3" s="63" t="s">
        <v>1</v>
      </c>
      <c r="B3" s="49" t="s">
        <v>336</v>
      </c>
      <c r="C3" s="48">
        <f t="shared" ref="C3:C30" si="2">IFERROR(1/SUM(1/D3,1/Z3,1/AA3),".")</f>
        <v>106.34705538852155</v>
      </c>
      <c r="D3" s="48">
        <f>IFERROR(IF(AND(s_Irr!C3&lt;&gt;".",s_Irr!AA3&lt;&gt;".",s_Irr!AY3&lt;&gt;"."),s_dir!D3/((1/1000)*(s_Irr!C3+s_Irr!AA3+s_Irr!AY3)),IF(AND(s_Irr!C3&lt;&gt;".",s_Irr!AA3&lt;&gt;".",s_Irr!AY3="."),s_dir!D3/((1/1000)*(s_Irr!C3+s_Irr!AA3)),IF(AND(s_Irr!C3&lt;&gt;".",s_Irr!AA3=".",s_Irr!AY3&lt;&gt;"."),s_dir!D3/((1/1000)*(s_Irr!C3+s_Irr!AY3)),IF(AND(s_Irr!C3=".",s_Irr!AA3&lt;&gt;".",s_Irr!AY3&lt;&gt;"."),s_dir!D3/((1/1000)*(s_Irr!AA3+s_Irr!AY3)),IF(AND(s_Irr!C3=".",s_Irr!AA3=".",s_Irr!AY3&lt;&gt;"."),s_dir!D3/((1/1000)*(s_Irr!AY3)),IF(AND(s_Irr!C3=".",s_Irr!AA3&lt;&gt;".",s_Irr!AY3="."),s_dir!D3/((1/1000)*(s_Irr!AA3)),IF(AND(s_Irr!C3&lt;&gt;".",s_Irr!AA3=".",s_Irr!AY3="."),s_dir!D3/((1/1000)*(s_Irr!C3)),IF(AND(s_Irr!C3=".",s_Irr!AA3=".",s_Irr!AY3="."),s_dir!D3*1000)))))))),".")</f>
        <v>320.77457157279218</v>
      </c>
      <c r="E3" s="48">
        <f>IFERROR(IF(AND(s_Irr!D3&lt;&gt;".",s_Irr!AB3&lt;&gt;".",s_Irr!AZ3&lt;&gt;"."),s_dir!E3/((1/1000)*(s_Irr!D3+s_Irr!AB3+s_Irr!AZ3)),IF(AND(s_Irr!D3&lt;&gt;".",s_Irr!AB3&lt;&gt;".",s_Irr!AZ3="."),s_dir!E3/((1/1000)*(s_Irr!D3+s_Irr!AB3)),IF(AND(s_Irr!D3&lt;&gt;".",s_Irr!AB3=".",s_Irr!AZ3&lt;&gt;"."),s_dir!E3/((1/1000)*(s_Irr!D3+s_Irr!AZ3)),IF(AND(s_Irr!D3=".",s_Irr!AB3&lt;&gt;".",s_Irr!AZ3&lt;&gt;"."),s_dir!E3/((1/1000)*(s_Irr!AB3+s_Irr!AZ3)),IF(AND(s_Irr!D3=".",s_Irr!AB3=".",s_Irr!AZ3&lt;&gt;"."),s_dir!E3/((1/1000)*(s_Irr!AZ3)),IF(AND(s_Irr!D3=".",s_Irr!AB3&lt;&gt;".",s_Irr!AZ3="."),s_dir!E3/((1/1000)*(s_Irr!AB3)),IF(AND(s_Irr!D3&lt;&gt;".",s_Irr!AB3=".",s_Irr!AZ3="."),s_dir!E3/((1/1000)*(s_Irr!D3)),IF(AND(s_Irr!D3=".",s_Irr!AB3=".",s_Irr!AZ3="."),s_dir!E3*1000)))))))),".")</f>
        <v>319.47816112739247</v>
      </c>
      <c r="F3" s="48">
        <f>IFERROR(IF(AND(s_Irr!E3&lt;&gt;".",s_Irr!AC3&lt;&gt;".",s_Irr!BA3&lt;&gt;"."),s_dir!F3/((1/1000)*(s_Irr!E3+s_Irr!AC3+s_Irr!BA3)),IF(AND(s_Irr!E3&lt;&gt;".",s_Irr!AC3&lt;&gt;".",s_Irr!BA3="."),s_dir!F3/((1/1000)*(s_Irr!E3+s_Irr!AC3)),IF(AND(s_Irr!E3&lt;&gt;".",s_Irr!AC3=".",s_Irr!BA3&lt;&gt;"."),s_dir!F3/((1/1000)*(s_Irr!E3+s_Irr!BA3)),IF(AND(s_Irr!E3=".",s_Irr!AC3&lt;&gt;".",s_Irr!BA3&lt;&gt;"."),s_dir!F3/((1/1000)*(s_Irr!AC3+s_Irr!BA3)),IF(AND(s_Irr!E3=".",s_Irr!AC3=".",s_Irr!BA3&lt;&gt;"."),s_dir!F3/((1/1000)*(s_Irr!BA3)),IF(AND(s_Irr!E3=".",s_Irr!AC3&lt;&gt;".",s_Irr!BA3="."),s_dir!F3/((1/1000)*(s_Irr!AC3)),IF(AND(s_Irr!E3&lt;&gt;".",s_Irr!AC3=".",s_Irr!BA3="."),s_dir!F3/((1/1000)*(s_Irr!E3)),IF(AND(s_Irr!E3=".",s_Irr!AC3=".",s_Irr!BA3="."),s_dir!F3*1000)))))))),".")</f>
        <v>317.33172401136619</v>
      </c>
      <c r="G3" s="48">
        <f>IFERROR(IF(AND(s_Irr!F3&lt;&gt;".",s_Irr!AD3&lt;&gt;".",s_Irr!BB3&lt;&gt;"."),s_dir!G3/((1/1000)*(s_Irr!F3+s_Irr!AD3+s_Irr!BB3)),IF(AND(s_Irr!F3&lt;&gt;".",s_Irr!AD3&lt;&gt;".",s_Irr!BB3="."),s_dir!G3/((1/1000)*(s_Irr!F3+s_Irr!AD3)),IF(AND(s_Irr!F3&lt;&gt;".",s_Irr!AD3=".",s_Irr!BB3&lt;&gt;"."),s_dir!G3/((1/1000)*(s_Irr!F3+s_Irr!BB3)),IF(AND(s_Irr!F3=".",s_Irr!AD3&lt;&gt;".",s_Irr!BB3&lt;&gt;"."),s_dir!G3/((1/1000)*(s_Irr!AD3+s_Irr!BB3)),IF(AND(s_Irr!F3=".",s_Irr!AD3=".",s_Irr!BB3&lt;&gt;"."),s_dir!G3/((1/1000)*(s_Irr!BB3)),IF(AND(s_Irr!F3=".",s_Irr!AD3&lt;&gt;".",s_Irr!BB3="."),s_dir!G3/((1/1000)*(s_Irr!AD3)),IF(AND(s_Irr!F3&lt;&gt;".",s_Irr!AD3=".",s_Irr!BB3="."),s_dir!G3/((1/1000)*(s_Irr!F3)),IF(AND(s_Irr!F3=".",s_Irr!AD3=".",s_Irr!BB3="."),s_dir!G3*1000)))))))),".")</f>
        <v>316.64032845842269</v>
      </c>
      <c r="H3" s="48">
        <f>IFERROR(IF(AND(s_Irr!G3&lt;&gt;".",s_Irr!AE3&lt;&gt;".",s_Irr!BC3&lt;&gt;"."),s_dir!H3/((1/1000)*(s_Irr!G3+s_Irr!AE3+s_Irr!BC3)),IF(AND(s_Irr!G3&lt;&gt;".",s_Irr!AE3&lt;&gt;".",s_Irr!BC3="."),s_dir!H3/((1/1000)*(s_Irr!G3+s_Irr!AE3)),IF(AND(s_Irr!G3&lt;&gt;".",s_Irr!AE3=".",s_Irr!BC3&lt;&gt;"."),s_dir!H3/((1/1000)*(s_Irr!G3+s_Irr!BC3)),IF(AND(s_Irr!G3=".",s_Irr!AE3&lt;&gt;".",s_Irr!BC3&lt;&gt;"."),s_dir!H3/((1/1000)*(s_Irr!AE3+s_Irr!BC3)),IF(AND(s_Irr!G3=".",s_Irr!AE3=".",s_Irr!BC3&lt;&gt;"."),s_dir!H3/((1/1000)*(s_Irr!BC3)),IF(AND(s_Irr!G3=".",s_Irr!AE3&lt;&gt;".",s_Irr!BC3="."),s_dir!H3/((1/1000)*(s_Irr!AE3)),IF(AND(s_Irr!G3&lt;&gt;".",s_Irr!AE3=".",s_Irr!BC3="."),s_dir!H3/((1/1000)*(s_Irr!G3)),IF(AND(s_Irr!G3=".",s_Irr!AE3=".",s_Irr!BC3="."),s_dir!H3*1000)))))))),".")</f>
        <v>318.9926849535459</v>
      </c>
      <c r="I3" s="48">
        <f>IFERROR(IF(AND(s_Irr!H3&lt;&gt;".",s_Irr!AF3&lt;&gt;".",s_Irr!BD3&lt;&gt;"."),s_dir!I3/((1/1000)*(s_Irr!H3+s_Irr!AF3+s_Irr!BD3)),IF(AND(s_Irr!H3&lt;&gt;".",s_Irr!AF3&lt;&gt;".",s_Irr!BD3="."),s_dir!I3/((1/1000)*(s_Irr!H3+s_Irr!AF3)),IF(AND(s_Irr!H3&lt;&gt;".",s_Irr!AF3=".",s_Irr!BD3&lt;&gt;"."),s_dir!I3/((1/1000)*(s_Irr!H3+s_Irr!BD3)),IF(AND(s_Irr!H3=".",s_Irr!AF3&lt;&gt;".",s_Irr!BD3&lt;&gt;"."),s_dir!I3/((1/1000)*(s_Irr!AF3+s_Irr!BD3)),IF(AND(s_Irr!H3=".",s_Irr!AF3=".",s_Irr!BD3&lt;&gt;"."),s_dir!I3/((1/1000)*(s_Irr!BD3)),IF(AND(s_Irr!H3=".",s_Irr!AF3&lt;&gt;".",s_Irr!BD3="."),s_dir!I3/((1/1000)*(s_Irr!AF3)),IF(AND(s_Irr!H3&lt;&gt;".",s_Irr!AF3=".",s_Irr!BD3="."),s_dir!I3/((1/1000)*(s_Irr!H3)),IF(AND(s_Irr!H3=".",s_Irr!AF3=".",s_Irr!BD3="."),s_dir!I3*1000)))))))),".")</f>
        <v>319.47816112739247</v>
      </c>
      <c r="J3" s="48">
        <f>IFERROR(IF(AND(s_Irr!I3&lt;&gt;".",s_Irr!AG3&lt;&gt;".",s_Irr!BE3&lt;&gt;"."),s_dir!J3/((1/1000)*(s_Irr!I3+s_Irr!AG3+s_Irr!BE3)),IF(AND(s_Irr!I3&lt;&gt;".",s_Irr!AG3&lt;&gt;".",s_Irr!BE3="."),s_dir!J3/((1/1000)*(s_Irr!I3+s_Irr!AG3)),IF(AND(s_Irr!I3&lt;&gt;".",s_Irr!AG3=".",s_Irr!BE3&lt;&gt;"."),s_dir!J3/((1/1000)*(s_Irr!I3+s_Irr!BE3)),IF(AND(s_Irr!I3=".",s_Irr!AG3&lt;&gt;".",s_Irr!BE3&lt;&gt;"."),s_dir!J3/((1/1000)*(s_Irr!AG3+s_Irr!BE3)),IF(AND(s_Irr!I3=".",s_Irr!AG3=".",s_Irr!BE3&lt;&gt;"."),s_dir!J3/((1/1000)*(s_Irr!BE3)),IF(AND(s_Irr!I3=".",s_Irr!AG3&lt;&gt;".",s_Irr!BE3="."),s_dir!J3/((1/1000)*(s_Irr!AG3)),IF(AND(s_Irr!I3&lt;&gt;".",s_Irr!AG3=".",s_Irr!BE3="."),s_dir!J3/((1/1000)*(s_Irr!I3)),IF(AND(s_Irr!I3=".",s_Irr!AG3=".",s_Irr!BE3="."),s_dir!J3*1000)))))))),".")</f>
        <v>317.33172401136619</v>
      </c>
      <c r="K3" s="48">
        <f>IFERROR(IF(AND(s_Irr!J3&lt;&gt;".",s_Irr!AH3&lt;&gt;".",s_Irr!BF3&lt;&gt;"."),s_dir!K3/((1/1000)*(s_Irr!J3+s_Irr!AH3+s_Irr!BF3)),IF(AND(s_Irr!J3&lt;&gt;".",s_Irr!AH3&lt;&gt;".",s_Irr!BF3="."),s_dir!K3/((1/1000)*(s_Irr!J3+s_Irr!AH3)),IF(AND(s_Irr!J3&lt;&gt;".",s_Irr!AH3=".",s_Irr!BF3&lt;&gt;"."),s_dir!K3/((1/1000)*(s_Irr!J3+s_Irr!BF3)),IF(AND(s_Irr!J3=".",s_Irr!AH3&lt;&gt;".",s_Irr!BF3&lt;&gt;"."),s_dir!K3/((1/1000)*(s_Irr!AH3+s_Irr!BF3)),IF(AND(s_Irr!J3=".",s_Irr!AH3=".",s_Irr!BF3&lt;&gt;"."),s_dir!K3/((1/1000)*(s_Irr!BF3)),IF(AND(s_Irr!J3=".",s_Irr!AH3&lt;&gt;".",s_Irr!BF3="."),s_dir!K3/((1/1000)*(s_Irr!AH3)),IF(AND(s_Irr!J3&lt;&gt;".",s_Irr!AH3=".",s_Irr!BF3="."),s_dir!K3/((1/1000)*(s_Irr!J3)),IF(AND(s_Irr!J3=".",s_Irr!AH3=".",s_Irr!BF3="."),s_dir!K3*1000)))))))),".")</f>
        <v>320.77457157279218</v>
      </c>
      <c r="L3" s="48">
        <f>IFERROR(IF(AND(s_Irr!K3&lt;&gt;".",s_Irr!AI3&lt;&gt;".",s_Irr!BG3&lt;&gt;"."),s_dir!L3/((1/1000)*(s_Irr!K3+s_Irr!AI3+s_Irr!BG3)),IF(AND(s_Irr!K3&lt;&gt;".",s_Irr!AI3&lt;&gt;".",s_Irr!BG3="."),s_dir!L3/((1/1000)*(s_Irr!K3+s_Irr!AI3)),IF(AND(s_Irr!K3&lt;&gt;".",s_Irr!AI3=".",s_Irr!BG3&lt;&gt;"."),s_dir!L3/((1/1000)*(s_Irr!K3+s_Irr!BG3)),IF(AND(s_Irr!K3=".",s_Irr!AI3&lt;&gt;".",s_Irr!BG3&lt;&gt;"."),s_dir!L3/((1/1000)*(s_Irr!AI3+s_Irr!BG3)),IF(AND(s_Irr!K3=".",s_Irr!AI3=".",s_Irr!BG3&lt;&gt;"."),s_dir!L3/((1/1000)*(s_Irr!BG3)),IF(AND(s_Irr!K3=".",s_Irr!AI3&lt;&gt;".",s_Irr!BG3="."),s_dir!L3/((1/1000)*(s_Irr!AI3)),IF(AND(s_Irr!K3&lt;&gt;".",s_Irr!AI3=".",s_Irr!BG3="."),s_dir!L3/((1/1000)*(s_Irr!K3)),IF(AND(s_Irr!K3=".",s_Irr!AI3=".",s_Irr!BG3="."),s_dir!L3*1000)))))))),".")</f>
        <v>320.67112481093869</v>
      </c>
      <c r="M3" s="48">
        <f>IFERROR(IF(AND(s_Irr!L3&lt;&gt;".",s_Irr!AJ3&lt;&gt;".",s_Irr!BH3&lt;&gt;"."),s_dir!M3/((1/1000)*(s_Irr!L3+s_Irr!AJ3+s_Irr!BH3)),IF(AND(s_Irr!L3&lt;&gt;".",s_Irr!AJ3&lt;&gt;".",s_Irr!BH3="."),s_dir!M3/((1/1000)*(s_Irr!L3+s_Irr!AJ3)),IF(AND(s_Irr!L3&lt;&gt;".",s_Irr!AJ3=".",s_Irr!BH3&lt;&gt;"."),s_dir!M3/((1/1000)*(s_Irr!L3+s_Irr!BH3)),IF(AND(s_Irr!L3=".",s_Irr!AJ3&lt;&gt;".",s_Irr!BH3&lt;&gt;"."),s_dir!M3/((1/1000)*(s_Irr!AJ3+s_Irr!BH3)),IF(AND(s_Irr!L3=".",s_Irr!AJ3=".",s_Irr!BH3&lt;&gt;"."),s_dir!M3/((1/1000)*(s_Irr!BH3)),IF(AND(s_Irr!L3=".",s_Irr!AJ3&lt;&gt;".",s_Irr!BH3="."),s_dir!M3/((1/1000)*(s_Irr!AJ3)),IF(AND(s_Irr!L3&lt;&gt;".",s_Irr!AJ3=".",s_Irr!BH3="."),s_dir!M3/((1/1000)*(s_Irr!L3)),IF(AND(s_Irr!L3=".",s_Irr!AJ3=".",s_Irr!BH3="."),s_dir!M3*1000)))))))),".")</f>
        <v>318.9926849535459</v>
      </c>
      <c r="N3" s="48">
        <f>IFERROR(IF(AND(s_Irr!M3&lt;&gt;".",s_Irr!AK3&lt;&gt;".",s_Irr!BI3&lt;&gt;"."),s_dir!N3/((1/1000)*(s_Irr!M3+s_Irr!AK3+s_Irr!BI3)),IF(AND(s_Irr!M3&lt;&gt;".",s_Irr!AK3&lt;&gt;".",s_Irr!BI3="."),s_dir!N3/((1/1000)*(s_Irr!M3+s_Irr!AK3)),IF(AND(s_Irr!M3&lt;&gt;".",s_Irr!AK3=".",s_Irr!BI3&lt;&gt;"."),s_dir!N3/((1/1000)*(s_Irr!M3+s_Irr!BI3)),IF(AND(s_Irr!M3=".",s_Irr!AK3&lt;&gt;".",s_Irr!BI3&lt;&gt;"."),s_dir!N3/((1/1000)*(s_Irr!AK3+s_Irr!BI3)),IF(AND(s_Irr!M3=".",s_Irr!AK3=".",s_Irr!BI3&lt;&gt;"."),s_dir!N3/((1/1000)*(s_Irr!BI3)),IF(AND(s_Irr!M3=".",s_Irr!AK3&lt;&gt;".",s_Irr!BI3="."),s_dir!N3/((1/1000)*(s_Irr!AK3)),IF(AND(s_Irr!M3&lt;&gt;".",s_Irr!AK3=".",s_Irr!BI3="."),s_dir!N3/((1/1000)*(s_Irr!M3)),IF(AND(s_Irr!M3=".",s_Irr!AK3=".",s_Irr!BI3="."),s_dir!N3*1000)))))))),".")</f>
        <v>319.47816112739247</v>
      </c>
      <c r="O3" s="48">
        <f>IFERROR(IF(AND(s_Irr!N3&lt;&gt;".",s_Irr!AL3&lt;&gt;".",s_Irr!BJ3&lt;&gt;"."),s_dir!O3/((1/1000)*(s_Irr!N3+s_Irr!AL3+s_Irr!BJ3)),IF(AND(s_Irr!N3&lt;&gt;".",s_Irr!AL3&lt;&gt;".",s_Irr!BJ3="."),s_dir!O3/((1/1000)*(s_Irr!N3+s_Irr!AL3)),IF(AND(s_Irr!N3&lt;&gt;".",s_Irr!AL3=".",s_Irr!BJ3&lt;&gt;"."),s_dir!O3/((1/1000)*(s_Irr!N3+s_Irr!BJ3)),IF(AND(s_Irr!N3=".",s_Irr!AL3&lt;&gt;".",s_Irr!BJ3&lt;&gt;"."),s_dir!O3/((1/1000)*(s_Irr!AL3+s_Irr!BJ3)),IF(AND(s_Irr!N3=".",s_Irr!AL3=".",s_Irr!BJ3&lt;&gt;"."),s_dir!O3/((1/1000)*(s_Irr!BJ3)),IF(AND(s_Irr!N3=".",s_Irr!AL3&lt;&gt;".",s_Irr!BJ3="."),s_dir!O3/((1/1000)*(s_Irr!AL3)),IF(AND(s_Irr!N3&lt;&gt;".",s_Irr!AL3=".",s_Irr!BJ3="."),s_dir!O3/((1/1000)*(s_Irr!N3)),IF(AND(s_Irr!N3=".",s_Irr!AL3=".",s_Irr!BJ3="."),s_dir!O3*1000)))))))),".")</f>
        <v>318.88500166154716</v>
      </c>
      <c r="P3" s="48">
        <f>IFERROR(IF(AND(s_Irr!O3&lt;&gt;".",s_Irr!AM3&lt;&gt;".",s_Irr!BK3&lt;&gt;"."),s_dir!P3/((1/1000)*(s_Irr!O3+s_Irr!AM3+s_Irr!BK3)),IF(AND(s_Irr!O3&lt;&gt;".",s_Irr!AM3&lt;&gt;".",s_Irr!BK3="."),s_dir!P3/((1/1000)*(s_Irr!O3+s_Irr!AM3)),IF(AND(s_Irr!O3&lt;&gt;".",s_Irr!AM3=".",s_Irr!BK3&lt;&gt;"."),s_dir!P3/((1/1000)*(s_Irr!O3+s_Irr!BK3)),IF(AND(s_Irr!O3=".",s_Irr!AM3&lt;&gt;".",s_Irr!BK3&lt;&gt;"."),s_dir!P3/((1/1000)*(s_Irr!AM3+s_Irr!BK3)),IF(AND(s_Irr!O3=".",s_Irr!AM3=".",s_Irr!BK3&lt;&gt;"."),s_dir!P3/((1/1000)*(s_Irr!BK3)),IF(AND(s_Irr!O3=".",s_Irr!AM3&lt;&gt;".",s_Irr!BK3="."),s_dir!P3/((1/1000)*(s_Irr!AM3)),IF(AND(s_Irr!O3&lt;&gt;".",s_Irr!AM3=".",s_Irr!BK3="."),s_dir!P3/((1/1000)*(s_Irr!O3)),IF(AND(s_Irr!O3=".",s_Irr!AM3=".",s_Irr!BK3="."),s_dir!P3*1000)))))))),".")</f>
        <v>318.9926849535459</v>
      </c>
      <c r="Q3" s="48">
        <f>IFERROR(IF(AND(s_Irr!P3&lt;&gt;".",s_Irr!AN3&lt;&gt;".",s_Irr!BL3&lt;&gt;"."),s_dir!Q3/((1/1000)*(s_Irr!P3+s_Irr!AN3+s_Irr!BL3)),IF(AND(s_Irr!P3&lt;&gt;".",s_Irr!AN3&lt;&gt;".",s_Irr!BL3="."),s_dir!Q3/((1/1000)*(s_Irr!P3+s_Irr!AN3)),IF(AND(s_Irr!P3&lt;&gt;".",s_Irr!AN3=".",s_Irr!BL3&lt;&gt;"."),s_dir!Q3/((1/1000)*(s_Irr!P3+s_Irr!BL3)),IF(AND(s_Irr!P3=".",s_Irr!AN3&lt;&gt;".",s_Irr!BL3&lt;&gt;"."),s_dir!Q3/((1/1000)*(s_Irr!AN3+s_Irr!BL3)),IF(AND(s_Irr!P3=".",s_Irr!AN3=".",s_Irr!BL3&lt;&gt;"."),s_dir!Q3/((1/1000)*(s_Irr!BL3)),IF(AND(s_Irr!P3=".",s_Irr!AN3&lt;&gt;".",s_Irr!BL3="."),s_dir!Q3/((1/1000)*(s_Irr!AN3)),IF(AND(s_Irr!P3&lt;&gt;".",s_Irr!AN3=".",s_Irr!BL3="."),s_dir!Q3/((1/1000)*(s_Irr!P3)),IF(AND(s_Irr!P3=".",s_Irr!AN3=".",s_Irr!BL3="."),s_dir!Q3*1000)))))))),".")</f>
        <v>318.9926849535459</v>
      </c>
      <c r="R3" s="48">
        <f>IFERROR(IF(AND(s_Irr!Q3&lt;&gt;".",s_Irr!AO3&lt;&gt;".",s_Irr!BM3&lt;&gt;"."),s_dir!R3/((1/1000)*(s_Irr!Q3+s_Irr!AO3+s_Irr!BM3)),IF(AND(s_Irr!Q3&lt;&gt;".",s_Irr!AO3&lt;&gt;".",s_Irr!BM3="."),s_dir!R3/((1/1000)*(s_Irr!Q3+s_Irr!AO3)),IF(AND(s_Irr!Q3&lt;&gt;".",s_Irr!AO3=".",s_Irr!BM3&lt;&gt;"."),s_dir!R3/((1/1000)*(s_Irr!Q3+s_Irr!BM3)),IF(AND(s_Irr!Q3=".",s_Irr!AO3&lt;&gt;".",s_Irr!BM3&lt;&gt;"."),s_dir!R3/((1/1000)*(s_Irr!AO3+s_Irr!BM3)),IF(AND(s_Irr!Q3=".",s_Irr!AO3=".",s_Irr!BM3&lt;&gt;"."),s_dir!R3/((1/1000)*(s_Irr!BM3)),IF(AND(s_Irr!Q3=".",s_Irr!AO3&lt;&gt;".",s_Irr!BM3="."),s_dir!R3/((1/1000)*(s_Irr!AO3)),IF(AND(s_Irr!Q3&lt;&gt;".",s_Irr!AO3=".",s_Irr!BM3="."),s_dir!R3/((1/1000)*(s_Irr!Q3)),IF(AND(s_Irr!Q3=".",s_Irr!AO3=".",s_Irr!BM3="."),s_dir!R3*1000)))))))),".")</f>
        <v>320.77457157279218</v>
      </c>
      <c r="S3" s="48">
        <f>IFERROR(IF(AND(s_Irr!R3&lt;&gt;".",s_Irr!AP3&lt;&gt;".",s_Irr!BN3&lt;&gt;"."),s_dir!S3/((1/1000)*(s_Irr!R3+s_Irr!AP3+s_Irr!BN3)),IF(AND(s_Irr!R3&lt;&gt;".",s_Irr!AP3&lt;&gt;".",s_Irr!BN3="."),s_dir!S3/((1/1000)*(s_Irr!R3+s_Irr!AP3)),IF(AND(s_Irr!R3&lt;&gt;".",s_Irr!AP3=".",s_Irr!BN3&lt;&gt;"."),s_dir!S3/((1/1000)*(s_Irr!R3+s_Irr!BN3)),IF(AND(s_Irr!R3=".",s_Irr!AP3&lt;&gt;".",s_Irr!BN3&lt;&gt;"."),s_dir!S3/((1/1000)*(s_Irr!AP3+s_Irr!BN3)),IF(AND(s_Irr!R3=".",s_Irr!AP3=".",s_Irr!BN3&lt;&gt;"."),s_dir!S3/((1/1000)*(s_Irr!BN3)),IF(AND(s_Irr!R3=".",s_Irr!AP3&lt;&gt;".",s_Irr!BN3="."),s_dir!S3/((1/1000)*(s_Irr!AP3)),IF(AND(s_Irr!R3&lt;&gt;".",s_Irr!AP3=".",s_Irr!BN3="."),s_dir!S3/((1/1000)*(s_Irr!R3)),IF(AND(s_Irr!R3=".",s_Irr!AP3=".",s_Irr!BN3="."),s_dir!S3*1000)))))))),".")</f>
        <v>320.77457157279218</v>
      </c>
      <c r="T3" s="48">
        <f>IFERROR(IF(AND(s_Irr!S3&lt;&gt;".",s_Irr!AQ3&lt;&gt;".",s_Irr!BO3&lt;&gt;"."),s_dir!T3/((1/1000)*(s_Irr!S3+s_Irr!AQ3+s_Irr!BO3)),IF(AND(s_Irr!S3&lt;&gt;".",s_Irr!AQ3&lt;&gt;".",s_Irr!BO3="."),s_dir!T3/((1/1000)*(s_Irr!S3+s_Irr!AQ3)),IF(AND(s_Irr!S3&lt;&gt;".",s_Irr!AQ3=".",s_Irr!BO3&lt;&gt;"."),s_dir!T3/((1/1000)*(s_Irr!S3+s_Irr!BO3)),IF(AND(s_Irr!S3=".",s_Irr!AQ3&lt;&gt;".",s_Irr!BO3&lt;&gt;"."),s_dir!T3/((1/1000)*(s_Irr!AQ3+s_Irr!BO3)),IF(AND(s_Irr!S3=".",s_Irr!AQ3=".",s_Irr!BO3&lt;&gt;"."),s_dir!T3/((1/1000)*(s_Irr!BO3)),IF(AND(s_Irr!S3=".",s_Irr!AQ3&lt;&gt;".",s_Irr!BO3="."),s_dir!T3/((1/1000)*(s_Irr!AQ3)),IF(AND(s_Irr!S3&lt;&gt;".",s_Irr!AQ3=".",s_Irr!BO3="."),s_dir!T3/((1/1000)*(s_Irr!S3)),IF(AND(s_Irr!S3=".",s_Irr!AQ3=".",s_Irr!BO3="."),s_dir!T3*1000)))))))),".")</f>
        <v>318.88500166154716</v>
      </c>
      <c r="U3" s="48">
        <f>IFERROR(IF(AND(s_Irr!T3&lt;&gt;".",s_Irr!AR3&lt;&gt;".",s_Irr!BP3&lt;&gt;"."),s_dir!U3/((1/1000)*(s_Irr!T3+s_Irr!AR3+s_Irr!BP3)),IF(AND(s_Irr!T3&lt;&gt;".",s_Irr!AR3&lt;&gt;".",s_Irr!BP3="."),s_dir!U3/((1/1000)*(s_Irr!T3+s_Irr!AR3)),IF(AND(s_Irr!T3&lt;&gt;".",s_Irr!AR3=".",s_Irr!BP3&lt;&gt;"."),s_dir!U3/((1/1000)*(s_Irr!T3+s_Irr!BP3)),IF(AND(s_Irr!T3=".",s_Irr!AR3&lt;&gt;".",s_Irr!BP3&lt;&gt;"."),s_dir!U3/((1/1000)*(s_Irr!AR3+s_Irr!BP3)),IF(AND(s_Irr!T3=".",s_Irr!AR3=".",s_Irr!BP3&lt;&gt;"."),s_dir!U3/((1/1000)*(s_Irr!BP3)),IF(AND(s_Irr!T3=".",s_Irr!AR3&lt;&gt;".",s_Irr!BP3="."),s_dir!U3/((1/1000)*(s_Irr!AR3)),IF(AND(s_Irr!T3&lt;&gt;".",s_Irr!AR3=".",s_Irr!BP3="."),s_dir!U3/((1/1000)*(s_Irr!T3)),IF(AND(s_Irr!T3=".",s_Irr!AR3=".",s_Irr!BP3="."),s_dir!U3*1000)))))))),".")</f>
        <v>319.80263368598327</v>
      </c>
      <c r="V3" s="48">
        <f>IFERROR(IF(AND(s_Irr!U3&lt;&gt;".",s_Irr!AS3&lt;&gt;".",s_Irr!BQ3&lt;&gt;"."),s_dir!V3/((1/1000)*(s_Irr!U3+s_Irr!AS3+s_Irr!BQ3)),IF(AND(s_Irr!U3&lt;&gt;".",s_Irr!AS3&lt;&gt;".",s_Irr!BQ3="."),s_dir!V3/((1/1000)*(s_Irr!U3+s_Irr!AS3)),IF(AND(s_Irr!U3&lt;&gt;".",s_Irr!AS3=".",s_Irr!BQ3&lt;&gt;"."),s_dir!V3/((1/1000)*(s_Irr!U3+s_Irr!BQ3)),IF(AND(s_Irr!U3=".",s_Irr!AS3&lt;&gt;".",s_Irr!BQ3&lt;&gt;"."),s_dir!V3/((1/1000)*(s_Irr!AS3+s_Irr!BQ3)),IF(AND(s_Irr!U3=".",s_Irr!AS3=".",s_Irr!BQ3&lt;&gt;"."),s_dir!V3/((1/1000)*(s_Irr!BQ3)),IF(AND(s_Irr!U3=".",s_Irr!AS3&lt;&gt;".",s_Irr!BQ3="."),s_dir!V3/((1/1000)*(s_Irr!AS3)),IF(AND(s_Irr!U3&lt;&gt;".",s_Irr!AS3=".",s_Irr!BQ3="."),s_dir!V3/((1/1000)*(s_Irr!U3)),IF(AND(s_Irr!U3=".",s_Irr!AS3=".",s_Irr!BQ3="."),s_dir!V3*1000)))))))),".")</f>
        <v>318.9926849535459</v>
      </c>
      <c r="W3" s="48">
        <f>IFERROR(IF(AND(s_Irr!V3&lt;&gt;".",s_Irr!AT3&lt;&gt;".",s_Irr!BR3&lt;&gt;"."),s_dir!W3/((1/1000)*(s_Irr!V3+s_Irr!AT3+s_Irr!BR3)),IF(AND(s_Irr!V3&lt;&gt;".",s_Irr!AT3&lt;&gt;".",s_Irr!BR3="."),s_dir!W3/((1/1000)*(s_Irr!V3+s_Irr!AT3)),IF(AND(s_Irr!V3&lt;&gt;".",s_Irr!AT3=".",s_Irr!BR3&lt;&gt;"."),s_dir!W3/((1/1000)*(s_Irr!V3+s_Irr!BR3)),IF(AND(s_Irr!V3=".",s_Irr!AT3&lt;&gt;".",s_Irr!BR3&lt;&gt;"."),s_dir!W3/((1/1000)*(s_Irr!AT3+s_Irr!BR3)),IF(AND(s_Irr!V3=".",s_Irr!AT3=".",s_Irr!BR3&lt;&gt;"."),s_dir!W3/((1/1000)*(s_Irr!BR3)),IF(AND(s_Irr!V3=".",s_Irr!AT3&lt;&gt;".",s_Irr!BR3="."),s_dir!W3/((1/1000)*(s_Irr!AT3)),IF(AND(s_Irr!V3&lt;&gt;".",s_Irr!AT3=".",s_Irr!BR3="."),s_dir!W3/((1/1000)*(s_Irr!V3)),IF(AND(s_Irr!V3=".",s_Irr!AT3=".",s_Irr!BR3="."),s_dir!W3*1000)))))))),".")</f>
        <v>318.88500166154716</v>
      </c>
      <c r="X3" s="48">
        <f>IFERROR(IF(AND(s_Irr!W3&lt;&gt;".",s_Irr!AU3&lt;&gt;".",s_Irr!BS3&lt;&gt;"."),s_dir!X3/((1/1000)*(s_Irr!W3+s_Irr!AU3+s_Irr!BS3)),IF(AND(s_Irr!W3&lt;&gt;".",s_Irr!AU3&lt;&gt;".",s_Irr!BS3="."),s_dir!X3/((1/1000)*(s_Irr!W3+s_Irr!AU3)),IF(AND(s_Irr!W3&lt;&gt;".",s_Irr!AU3=".",s_Irr!BS3&lt;&gt;"."),s_dir!X3/((1/1000)*(s_Irr!W3+s_Irr!BS3)),IF(AND(s_Irr!W3=".",s_Irr!AU3&lt;&gt;".",s_Irr!BS3&lt;&gt;"."),s_dir!X3/((1/1000)*(s_Irr!AU3+s_Irr!BS3)),IF(AND(s_Irr!W3=".",s_Irr!AU3=".",s_Irr!BS3&lt;&gt;"."),s_dir!X3/((1/1000)*(s_Irr!BS3)),IF(AND(s_Irr!W3=".",s_Irr!AU3&lt;&gt;".",s_Irr!BS3="."),s_dir!X3/((1/1000)*(s_Irr!AU3)),IF(AND(s_Irr!W3&lt;&gt;".",s_Irr!AU3=".",s_Irr!BS3="."),s_dir!X3/((1/1000)*(s_Irr!W3)),IF(AND(s_Irr!W3=".",s_Irr!AU3=".",s_Irr!BS3="."),s_dir!X3*1000)))))))),".")</f>
        <v>320.34488841166677</v>
      </c>
      <c r="Y3" s="48">
        <f>IFERROR(IF(AND(s_Irr!X3&lt;&gt;".",s_Irr!AV3&lt;&gt;".",s_Irr!BT3&lt;&gt;"."),s_dir!Y3/((1/1000)*(s_Irr!X3+s_Irr!AV3+s_Irr!BT3)),IF(AND(s_Irr!X3&lt;&gt;".",s_Irr!AV3&lt;&gt;".",s_Irr!BT3="."),s_dir!Y3/((1/1000)*(s_Irr!X3+s_Irr!AV3)),IF(AND(s_Irr!X3&lt;&gt;".",s_Irr!AV3=".",s_Irr!BT3&lt;&gt;"."),s_dir!Y3/((1/1000)*(s_Irr!X3+s_Irr!BT3)),IF(AND(s_Irr!X3=".",s_Irr!AV3&lt;&gt;".",s_Irr!BT3&lt;&gt;"."),s_dir!Y3/((1/1000)*(s_Irr!AV3+s_Irr!BT3)),IF(AND(s_Irr!X3=".",s_Irr!AV3=".",s_Irr!BT3&lt;&gt;"."),s_dir!Y3/((1/1000)*(s_Irr!BT3)),IF(AND(s_Irr!X3=".",s_Irr!AV3&lt;&gt;".",s_Irr!BT3="."),s_dir!Y3/((1/1000)*(s_Irr!AV3)),IF(AND(s_Irr!X3&lt;&gt;".",s_Irr!AV3=".",s_Irr!BT3="."),s_dir!Y3/((1/1000)*(s_Irr!X3)),IF(AND(s_Irr!X3=".",s_Irr!AV3=".",s_Irr!BT3="."),s_dir!Y3*1000)))))))),".")</f>
        <v>318.9926849535459</v>
      </c>
      <c r="Z3" s="48">
        <f>IFERROR(IF(AND(s_Irr!Y3&lt;&gt;".",s_Irr!AW3&lt;&gt;".",s_Irr!BU3&lt;&gt;"."),s_dir!Z3/((1/1000)*(s_Irr!Y3+s_Irr!AW3+s_Irr!BU3)),IF(AND(s_Irr!Y3&lt;&gt;".",s_Irr!AW3&lt;&gt;".",s_Irr!BU3="."),s_dir!Z3/((1/1000)*(s_Irr!Y3+s_Irr!AW3)),IF(AND(s_Irr!Y3&lt;&gt;".",s_Irr!AW3=".",s_Irr!BU3&lt;&gt;"."),s_dir!Z3/((1/1000)*(s_Irr!Y3+s_Irr!BU3)),IF(AND(s_Irr!Y3=".",s_Irr!AW3&lt;&gt;".",s_Irr!BU3&lt;&gt;"."),s_dir!Z3/((1/1000)*(s_Irr!AW3+s_Irr!BU3)),IF(AND(s_Irr!Y3=".",s_Irr!AW3=".",s_Irr!BU3&lt;&gt;"."),s_dir!Z3/((1/1000)*(s_Irr!BU3)),IF(AND(s_Irr!Y3=".",s_Irr!AW3&lt;&gt;".",s_Irr!BU3="."),s_dir!Z3/((1/1000)*(s_Irr!AW3)),IF(AND(s_Irr!Y3&lt;&gt;".",s_Irr!AW3=".",s_Irr!BU3="."),s_dir!Z3/((1/1000)*(s_Irr!Y3)),IF(AND(s_Irr!Y3=".",s_Irr!AW3=".",s_Irr!BU3="."),s_dir!Z3*1000)))))))),".")</f>
        <v>315.58250631235398</v>
      </c>
      <c r="AA3" s="48">
        <f>IFERROR(IF(AND(s_Irr!Z3&lt;&gt;".",s_Irr!AX3&lt;&gt;".",s_Irr!BV3&lt;&gt;"."),s_dir!AA3/((1/1000)*(s_Irr!Z3+s_Irr!AX3+s_Irr!BV3)),IF(AND(s_Irr!Z3&lt;&gt;".",s_Irr!AX3&lt;&gt;".",s_Irr!BV3="."),s_dir!AA3/((1/1000)*(s_Irr!Z3+s_Irr!AX3)),IF(AND(s_Irr!Z3&lt;&gt;".",s_Irr!AX3=".",s_Irr!BV3&lt;&gt;"."),s_dir!AA3/((1/1000)*(s_Irr!Z3+s_Irr!BV3)),IF(AND(s_Irr!Z3=".",s_Irr!AX3&lt;&gt;".",s_Irr!BV3&lt;&gt;"."),s_dir!AA3/((1/1000)*(s_Irr!AX3+s_Irr!BV3)),IF(AND(s_Irr!Z3=".",s_Irr!AX3=".",s_Irr!BV3&lt;&gt;"."),s_dir!AA3/((1/1000)*(s_Irr!BV3)),IF(AND(s_Irr!Z3=".",s_Irr!AX3&lt;&gt;".",s_Irr!BV3="."),s_dir!AA3/((1/1000)*(s_Irr!AX3)),IF(AND(s_Irr!Z3&lt;&gt;".",s_Irr!AX3=".",s_Irr!BV3="."),s_dir!AA3/((1/1000)*(s_Irr!Z3)),IF(AND(s_Irr!Z3=".",s_Irr!AX3=".",s_Irr!BV3="."),s_dir!AA3*1000)))))))),".")</f>
        <v>320.82359596931764</v>
      </c>
      <c r="AB3" s="62">
        <f t="shared" ref="AB3:AB30" si="3">SUM(AC3,AY3:AZ3)</f>
        <v>266.95364689102081</v>
      </c>
      <c r="AC3" s="62">
        <f>IFERROR(s_C*s_IFAP_res_adj*s_CF_apple*0.001*(s_Irr!C3+s_Irr!AA3+s_Irr!AY3),".")</f>
        <v>88.503693210123544</v>
      </c>
      <c r="AD3" s="62">
        <f>IFERROR(s_C*s_IFAS_res_adj*s_CF_asparagus*0.001*(s_Irr!D3+s_Irr!AB3+s_Irr!AZ3),".")</f>
        <v>88.862832351056241</v>
      </c>
      <c r="AE3" s="62">
        <f>IFERROR(s_C*s_IFBT_res_adj*s_CF_beet*0.001*(s_Irr!E3+s_Irr!AC3+s_Irr!BA3),".")</f>
        <v>89.463902042993809</v>
      </c>
      <c r="AF3" s="62">
        <f>IFERROR(s_C*s_IFBE_res_adj*s_CF_berries*0.001*(s_Irr!F3+s_Irr!AD3+s_Irr!BB3),".")</f>
        <v>89.65924969287353</v>
      </c>
      <c r="AG3" s="62">
        <f>IFERROR(s_C*s_IFBR_res_adj*s_CF_broccoli*0.001*(s_Irr!G3+s_Irr!AE3+s_Irr!BC3),".")</f>
        <v>88.998073031742194</v>
      </c>
      <c r="AH3" s="62">
        <f>IFERROR(s_C*s_IFCB_res_adj*s_CF_cabbage*0.001*(s_Irr!H3+s_Irr!AF3+s_Irr!BD3),".")</f>
        <v>88.862832351056241</v>
      </c>
      <c r="AI3" s="62">
        <f>IFERROR(s_C*s_IFCR_res_adj*s_CF_carrot*0.001*(s_Irr!I3+s_Irr!AG3+s_Irr!BE3),".")</f>
        <v>89.463902042993809</v>
      </c>
      <c r="AJ3" s="62">
        <f>IFERROR(s_C*s_IFCI_res_adj*s_CF_citrus*0.001*(s_Irr!J3+s_Irr!AH3+s_Irr!BF3),".")</f>
        <v>88.503693210123544</v>
      </c>
      <c r="AK3" s="62">
        <f>IFERROR(s_C*s_IFCO_res_adj*s_CF_corn*0.001*(s_Irr!K3+s_Irr!AI3+s_Irr!BG3),".")</f>
        <v>88.532244020490566</v>
      </c>
      <c r="AL3" s="62">
        <f>IFERROR(s_C*s_IFCU_res_adj*s_CF_cucumber*0.001*(s_Irr!L3+s_Irr!AJ3+s_Irr!BH3),".")</f>
        <v>88.998073031742194</v>
      </c>
      <c r="AM3" s="62">
        <f>IFERROR(s_C*s_IFLE_res_adj*s_CF_lettuce*0.001*(s_Irr!M3+s_Irr!AK3+s_Irr!BI3),".")</f>
        <v>88.862832351056241</v>
      </c>
      <c r="AN3" s="62">
        <f>IFERROR(s_C*s_IFLI_res_adj*s_CF_lima_bean*0.001*(s_Irr!N3+s_Irr!AL3+s_Irr!BJ3),".")</f>
        <v>89.028126516339057</v>
      </c>
      <c r="AO3" s="62">
        <f>IFERROR(s_C*s_IFOK_res_adj*s_CF_okra*0.001*(s_Irr!O3+s_Irr!AM3+s_Irr!BK3),".")</f>
        <v>88.998073031742194</v>
      </c>
      <c r="AP3" s="62">
        <f>IFERROR(s_C*s_IFON_res_adj*s_CF_onion*0.001*(s_Irr!P3+s_Irr!AN3+s_Irr!BL3),".")</f>
        <v>88.998073031742194</v>
      </c>
      <c r="AQ3" s="62">
        <f>IFERROR(s_C*s_IFPC_res_adj*s_CF_peach*0.001*(s_Irr!Q3+s_Irr!AO3+s_Irr!BM3),".")</f>
        <v>88.503693210123544</v>
      </c>
      <c r="AR3" s="62">
        <f>IFERROR(s_C*s_IFPR_res_adj*s_CF_pear*0.001*(s_Irr!R3+s_Irr!AP3+s_Irr!BN3),".")</f>
        <v>88.503693210123544</v>
      </c>
      <c r="AS3" s="62">
        <f>IFERROR(s_C*s_IFPE_res_adj*s_CF_peas*0.001*(s_Irr!S3+s_Irr!AQ3+s_Irr!BO3),".")</f>
        <v>89.028126516339057</v>
      </c>
      <c r="AT3" s="62">
        <f>IFERROR(s_C*s_IFPT_res_adj*s_CF_potato*0.001*(s_Irr!T3+s_Irr!AR3+s_Irr!BP3),".")</f>
        <v>88.772671897265596</v>
      </c>
      <c r="AU3" s="62">
        <f>IFERROR(s_C*s_IFPU_res_adj*s_CF_pumpkin*0.001*(s_Irr!U3+s_Irr!AS3+s_Irr!BQ3),".")</f>
        <v>88.998073031742194</v>
      </c>
      <c r="AV3" s="62">
        <f>IFERROR(s_C*s_IFSN_res_adj*s_CF_snap_bean*0.001*(s_Irr!V3+s_Irr!AT3+s_Irr!BR3),".")</f>
        <v>89.028126516339057</v>
      </c>
      <c r="AW3" s="62">
        <f>IFERROR(s_C*s_IFST_res_adj*s_CF_strawberry*0.001*(s_Irr!W3+s_Irr!AU3+s_Irr!BS3),".")</f>
        <v>88.622404474281197</v>
      </c>
      <c r="AX3" s="62">
        <f>IFERROR(s_C*s_IFTO_res_adj*s_CF_tomato*0.001*(s_Irr!X3+s_Irr!AV3+s_Irr!BT3),".")</f>
        <v>88.998073031742194</v>
      </c>
      <c r="AY3" s="62">
        <f>IFERROR(s_C*s_IFRI_res_adj*s_CF_rice*0.001*(s_Irr!Y3+s_Irr!AW3+s_Irr!BU3),".")</f>
        <v>89.959784538842314</v>
      </c>
      <c r="AZ3" s="62">
        <f>IFERROR(s_C*s_IFCG_res_adj*s_CF_cereal*0.001*(s_Irr!Z3+s_Irr!AX3+s_Irr!BV3),".")</f>
        <v>88.490169142054938</v>
      </c>
      <c r="BA3" s="48">
        <f t="shared" si="0"/>
        <v>106.34705538852155</v>
      </c>
      <c r="BB3" s="48">
        <f>IFERROR(IF(AND(s_Irr!C3&lt;&gt;".",s_Irr!AA3&lt;&gt;".",s_Irr!AY3&lt;&gt;"."),s_dir!AC3/((1/1000)*(s_Irr!C3+s_Irr!AA3+s_Irr!AY3)),IF(AND(s_Irr!C3&lt;&gt;".",s_Irr!AA3&lt;&gt;".",s_Irr!AY3="."),s_dir!AC3/((1/1000)*(s_Irr!C3+s_Irr!AA3)),IF(AND(s_Irr!C3&lt;&gt;".",s_Irr!AA3=".",s_Irr!AY3&lt;&gt;"."),s_dir!AC3/((1/1000)*(s_Irr!C3+s_Irr!AY3)),IF(AND(s_Irr!C3=".",s_Irr!AA3&lt;&gt;".",s_Irr!AY3&lt;&gt;"."),s_dir!AC3/((1/1000)*(s_Irr!AA3+s_Irr!AY3)),IF(AND(s_Irr!C3=".",s_Irr!AA3=".",s_Irr!AY3&lt;&gt;"."),s_dir!AC3/((1/1000)*(s_Irr!AY3)),IF(AND(s_Irr!C3=".",s_Irr!AA3&lt;&gt;".",s_Irr!AY3="."),s_dir!AC3/((1/1000)*(s_Irr!AA3)),IF(AND(s_Irr!C3&lt;&gt;".",s_Irr!AA3=".",s_Irr!AY3="."),s_dir!AC3/((1/1000)*(s_Irr!C3)),IF(AND(s_Irr!C3=".",s_Irr!AA3=".",s_Irr!AY3="."),s_dir!AC3*1000)))))))),".")</f>
        <v>320.77457157279218</v>
      </c>
      <c r="BC3" s="48">
        <f>IFERROR(IF(AND(s_Irr!D3&lt;&gt;".",s_Irr!AB3&lt;&gt;".",s_Irr!AZ3&lt;&gt;"."),s_dir!AD3/((1/1000)*(s_Irr!D3+s_Irr!AB3+s_Irr!AZ3)),IF(AND(s_Irr!D3&lt;&gt;".",s_Irr!AB3&lt;&gt;".",s_Irr!AZ3="."),s_dir!AD3/((1/1000)*(s_Irr!D3+s_Irr!AB3)),IF(AND(s_Irr!D3&lt;&gt;".",s_Irr!AB3=".",s_Irr!AZ3&lt;&gt;"."),s_dir!AD3/((1/1000)*(s_Irr!D3+s_Irr!AZ3)),IF(AND(s_Irr!D3=".",s_Irr!AB3&lt;&gt;".",s_Irr!AZ3&lt;&gt;"."),s_dir!AD3/((1/1000)*(s_Irr!AB3+s_Irr!AZ3)),IF(AND(s_Irr!D3=".",s_Irr!AB3=".",s_Irr!AZ3&lt;&gt;"."),s_dir!AD3/((1/1000)*(s_Irr!AZ3)),IF(AND(s_Irr!D3=".",s_Irr!AB3&lt;&gt;".",s_Irr!AZ3="."),s_dir!AD3/((1/1000)*(s_Irr!AB3)),IF(AND(s_Irr!D3&lt;&gt;".",s_Irr!AB3=".",s_Irr!AZ3="."),s_dir!AD3/((1/1000)*(s_Irr!D3)),IF(AND(s_Irr!D3=".",s_Irr!AB3=".",s_Irr!AZ3="."),s_dir!AD3*1000)))))))),".")</f>
        <v>319.47816112739247</v>
      </c>
      <c r="BD3" s="48">
        <f>IFERROR(IF(AND(s_Irr!E3&lt;&gt;".",s_Irr!AC3&lt;&gt;".",s_Irr!BA3&lt;&gt;"."),s_dir!AE3/((1/1000)*(s_Irr!E3+s_Irr!AC3+s_Irr!BA3)),IF(AND(s_Irr!E3&lt;&gt;".",s_Irr!AC3&lt;&gt;".",s_Irr!BA3="."),s_dir!AE3/((1/1000)*(s_Irr!E3+s_Irr!AC3)),IF(AND(s_Irr!E3&lt;&gt;".",s_Irr!AC3=".",s_Irr!BA3&lt;&gt;"."),s_dir!AE3/((1/1000)*(s_Irr!E3+s_Irr!BA3)),IF(AND(s_Irr!E3=".",s_Irr!AC3&lt;&gt;".",s_Irr!BA3&lt;&gt;"."),s_dir!AE3/((1/1000)*(s_Irr!AC3+s_Irr!BA3)),IF(AND(s_Irr!E3=".",s_Irr!AC3=".",s_Irr!BA3&lt;&gt;"."),s_dir!AE3/((1/1000)*(s_Irr!BA3)),IF(AND(s_Irr!E3=".",s_Irr!AC3&lt;&gt;".",s_Irr!BA3="."),s_dir!AE3/((1/1000)*(s_Irr!AC3)),IF(AND(s_Irr!E3&lt;&gt;".",s_Irr!AC3=".",s_Irr!BA3="."),s_dir!AE3/((1/1000)*(s_Irr!E3)),IF(AND(s_Irr!E3=".",s_Irr!AC3=".",s_Irr!BA3="."),s_dir!AE3*1000)))))))),".")</f>
        <v>317.33172401136619</v>
      </c>
      <c r="BE3" s="48">
        <f>IFERROR(IF(AND(s_Irr!F3&lt;&gt;".",s_Irr!AD3&lt;&gt;".",s_Irr!BB3&lt;&gt;"."),s_dir!AF3/((1/1000)*(s_Irr!F3+s_Irr!AD3+s_Irr!BB3)),IF(AND(s_Irr!F3&lt;&gt;".",s_Irr!AD3&lt;&gt;".",s_Irr!BB3="."),s_dir!AF3/((1/1000)*(s_Irr!F3+s_Irr!AD3)),IF(AND(s_Irr!F3&lt;&gt;".",s_Irr!AD3=".",s_Irr!BB3&lt;&gt;"."),s_dir!AF3/((1/1000)*(s_Irr!F3+s_Irr!BB3)),IF(AND(s_Irr!F3=".",s_Irr!AD3&lt;&gt;".",s_Irr!BB3&lt;&gt;"."),s_dir!AF3/((1/1000)*(s_Irr!AD3+s_Irr!BB3)),IF(AND(s_Irr!F3=".",s_Irr!AD3=".",s_Irr!BB3&lt;&gt;"."),s_dir!AF3/((1/1000)*(s_Irr!BB3)),IF(AND(s_Irr!F3=".",s_Irr!AD3&lt;&gt;".",s_Irr!BB3="."),s_dir!AF3/((1/1000)*(s_Irr!AD3)),IF(AND(s_Irr!F3&lt;&gt;".",s_Irr!AD3=".",s_Irr!BB3="."),s_dir!AF3/((1/1000)*(s_Irr!F3)),IF(AND(s_Irr!F3=".",s_Irr!AD3=".",s_Irr!BB3="."),s_dir!AF3*1000)))))))),".")</f>
        <v>316.64032845842269</v>
      </c>
      <c r="BF3" s="48">
        <f>IFERROR(IF(AND(s_Irr!G3&lt;&gt;".",s_Irr!AE3&lt;&gt;".",s_Irr!BC3&lt;&gt;"."),s_dir!AG3/((1/1000)*(s_Irr!G3+s_Irr!AE3+s_Irr!BC3)),IF(AND(s_Irr!G3&lt;&gt;".",s_Irr!AE3&lt;&gt;".",s_Irr!BC3="."),s_dir!AG3/((1/1000)*(s_Irr!G3+s_Irr!AE3)),IF(AND(s_Irr!G3&lt;&gt;".",s_Irr!AE3=".",s_Irr!BC3&lt;&gt;"."),s_dir!AG3/((1/1000)*(s_Irr!G3+s_Irr!BC3)),IF(AND(s_Irr!G3=".",s_Irr!AE3&lt;&gt;".",s_Irr!BC3&lt;&gt;"."),s_dir!AG3/((1/1000)*(s_Irr!AE3+s_Irr!BC3)),IF(AND(s_Irr!G3=".",s_Irr!AE3=".",s_Irr!BC3&lt;&gt;"."),s_dir!AG3/((1/1000)*(s_Irr!BC3)),IF(AND(s_Irr!G3=".",s_Irr!AE3&lt;&gt;".",s_Irr!BC3="."),s_dir!AG3/((1/1000)*(s_Irr!AE3)),IF(AND(s_Irr!G3&lt;&gt;".",s_Irr!AE3=".",s_Irr!BC3="."),s_dir!AG3/((1/1000)*(s_Irr!G3)),IF(AND(s_Irr!G3=".",s_Irr!AE3=".",s_Irr!BC3="."),s_dir!AG3*1000)))))))),".")</f>
        <v>318.9926849535459</v>
      </c>
      <c r="BG3" s="48">
        <f>IFERROR(IF(AND(s_Irr!H3&lt;&gt;".",s_Irr!AF3&lt;&gt;".",s_Irr!BD3&lt;&gt;"."),s_dir!AH3/((1/1000)*(s_Irr!H3+s_Irr!AF3+s_Irr!BD3)),IF(AND(s_Irr!H3&lt;&gt;".",s_Irr!AF3&lt;&gt;".",s_Irr!BD3="."),s_dir!AH3/((1/1000)*(s_Irr!H3+s_Irr!AF3)),IF(AND(s_Irr!H3&lt;&gt;".",s_Irr!AF3=".",s_Irr!BD3&lt;&gt;"."),s_dir!AH3/((1/1000)*(s_Irr!H3+s_Irr!BD3)),IF(AND(s_Irr!H3=".",s_Irr!AF3&lt;&gt;".",s_Irr!BD3&lt;&gt;"."),s_dir!AH3/((1/1000)*(s_Irr!AF3+s_Irr!BD3)),IF(AND(s_Irr!H3=".",s_Irr!AF3=".",s_Irr!BD3&lt;&gt;"."),s_dir!AH3/((1/1000)*(s_Irr!BD3)),IF(AND(s_Irr!H3=".",s_Irr!AF3&lt;&gt;".",s_Irr!BD3="."),s_dir!AH3/((1/1000)*(s_Irr!AF3)),IF(AND(s_Irr!H3&lt;&gt;".",s_Irr!AF3=".",s_Irr!BD3="."),s_dir!AH3/((1/1000)*(s_Irr!H3)),IF(AND(s_Irr!H3=".",s_Irr!AF3=".",s_Irr!BD3="."),s_dir!AH3*1000)))))))),".")</f>
        <v>319.47816112739247</v>
      </c>
      <c r="BH3" s="48">
        <f>IFERROR(IF(AND(s_Irr!I3&lt;&gt;".",s_Irr!AG3&lt;&gt;".",s_Irr!BE3&lt;&gt;"."),s_dir!AI3/((1/1000)*(s_Irr!I3+s_Irr!AG3+s_Irr!BE3)),IF(AND(s_Irr!I3&lt;&gt;".",s_Irr!AG3&lt;&gt;".",s_Irr!BE3="."),s_dir!AI3/((1/1000)*(s_Irr!I3+s_Irr!AG3)),IF(AND(s_Irr!I3&lt;&gt;".",s_Irr!AG3=".",s_Irr!BE3&lt;&gt;"."),s_dir!AI3/((1/1000)*(s_Irr!I3+s_Irr!BE3)),IF(AND(s_Irr!I3=".",s_Irr!AG3&lt;&gt;".",s_Irr!BE3&lt;&gt;"."),s_dir!AI3/((1/1000)*(s_Irr!AG3+s_Irr!BE3)),IF(AND(s_Irr!I3=".",s_Irr!AG3=".",s_Irr!BE3&lt;&gt;"."),s_dir!AI3/((1/1000)*(s_Irr!BE3)),IF(AND(s_Irr!I3=".",s_Irr!AG3&lt;&gt;".",s_Irr!BE3="."),s_dir!AI3/((1/1000)*(s_Irr!AG3)),IF(AND(s_Irr!I3&lt;&gt;".",s_Irr!AG3=".",s_Irr!BE3="."),s_dir!AI3/((1/1000)*(s_Irr!I3)),IF(AND(s_Irr!I3=".",s_Irr!AG3=".",s_Irr!BE3="."),s_dir!AI3*1000)))))))),".")</f>
        <v>317.33172401136619</v>
      </c>
      <c r="BI3" s="48">
        <f>IFERROR(IF(AND(s_Irr!J3&lt;&gt;".",s_Irr!AH3&lt;&gt;".",s_Irr!BF3&lt;&gt;"."),s_dir!AJ3/((1/1000)*(s_Irr!J3+s_Irr!AH3+s_Irr!BF3)),IF(AND(s_Irr!J3&lt;&gt;".",s_Irr!AH3&lt;&gt;".",s_Irr!BF3="."),s_dir!AJ3/((1/1000)*(s_Irr!J3+s_Irr!AH3)),IF(AND(s_Irr!J3&lt;&gt;".",s_Irr!AH3=".",s_Irr!BF3&lt;&gt;"."),s_dir!AJ3/((1/1000)*(s_Irr!J3+s_Irr!BF3)),IF(AND(s_Irr!J3=".",s_Irr!AH3&lt;&gt;".",s_Irr!BF3&lt;&gt;"."),s_dir!AJ3/((1/1000)*(s_Irr!AH3+s_Irr!BF3)),IF(AND(s_Irr!J3=".",s_Irr!AH3=".",s_Irr!BF3&lt;&gt;"."),s_dir!AJ3/((1/1000)*(s_Irr!BF3)),IF(AND(s_Irr!J3=".",s_Irr!AH3&lt;&gt;".",s_Irr!BF3="."),s_dir!AJ3/((1/1000)*(s_Irr!AH3)),IF(AND(s_Irr!J3&lt;&gt;".",s_Irr!AH3=".",s_Irr!BF3="."),s_dir!AJ3/((1/1000)*(s_Irr!J3)),IF(AND(s_Irr!J3=".",s_Irr!AH3=".",s_Irr!BF3="."),s_dir!AJ3*1000)))))))),".")</f>
        <v>320.77457157279218</v>
      </c>
      <c r="BJ3" s="48">
        <f>IFERROR(IF(AND(s_Irr!K3&lt;&gt;".",s_Irr!AI3&lt;&gt;".",s_Irr!BG3&lt;&gt;"."),s_dir!AK3/((1/1000)*(s_Irr!K3+s_Irr!AI3+s_Irr!BG3)),IF(AND(s_Irr!K3&lt;&gt;".",s_Irr!AI3&lt;&gt;".",s_Irr!BG3="."),s_dir!AK3/((1/1000)*(s_Irr!K3+s_Irr!AI3)),IF(AND(s_Irr!K3&lt;&gt;".",s_Irr!AI3=".",s_Irr!BG3&lt;&gt;"."),s_dir!AK3/((1/1000)*(s_Irr!K3+s_Irr!BG3)),IF(AND(s_Irr!K3=".",s_Irr!AI3&lt;&gt;".",s_Irr!BG3&lt;&gt;"."),s_dir!AK3/((1/1000)*(s_Irr!AI3+s_Irr!BG3)),IF(AND(s_Irr!K3=".",s_Irr!AI3=".",s_Irr!BG3&lt;&gt;"."),s_dir!AK3/((1/1000)*(s_Irr!BG3)),IF(AND(s_Irr!K3=".",s_Irr!AI3&lt;&gt;".",s_Irr!BG3="."),s_dir!AK3/((1/1000)*(s_Irr!AI3)),IF(AND(s_Irr!K3&lt;&gt;".",s_Irr!AI3=".",s_Irr!BG3="."),s_dir!AK3/((1/1000)*(s_Irr!K3)),IF(AND(s_Irr!K3=".",s_Irr!AI3=".",s_Irr!BG3="."),s_dir!AK3*1000)))))))),".")</f>
        <v>320.67112481093869</v>
      </c>
      <c r="BK3" s="48">
        <f>IFERROR(IF(AND(s_Irr!L3&lt;&gt;".",s_Irr!AJ3&lt;&gt;".",s_Irr!BH3&lt;&gt;"."),s_dir!AL3/((1/1000)*(s_Irr!L3+s_Irr!AJ3+s_Irr!BH3)),IF(AND(s_Irr!L3&lt;&gt;".",s_Irr!AJ3&lt;&gt;".",s_Irr!BH3="."),s_dir!AL3/((1/1000)*(s_Irr!L3+s_Irr!AJ3)),IF(AND(s_Irr!L3&lt;&gt;".",s_Irr!AJ3=".",s_Irr!BH3&lt;&gt;"."),s_dir!AL3/((1/1000)*(s_Irr!L3+s_Irr!BH3)),IF(AND(s_Irr!L3=".",s_Irr!AJ3&lt;&gt;".",s_Irr!BH3&lt;&gt;"."),s_dir!AL3/((1/1000)*(s_Irr!AJ3+s_Irr!BH3)),IF(AND(s_Irr!L3=".",s_Irr!AJ3=".",s_Irr!BH3&lt;&gt;"."),s_dir!AL3/((1/1000)*(s_Irr!BH3)),IF(AND(s_Irr!L3=".",s_Irr!AJ3&lt;&gt;".",s_Irr!BH3="."),s_dir!AL3/((1/1000)*(s_Irr!AJ3)),IF(AND(s_Irr!L3&lt;&gt;".",s_Irr!AJ3=".",s_Irr!BH3="."),s_dir!AL3/((1/1000)*(s_Irr!L3)),IF(AND(s_Irr!L3=".",s_Irr!AJ3=".",s_Irr!BH3="."),s_dir!AL3*1000)))))))),".")</f>
        <v>318.9926849535459</v>
      </c>
      <c r="BL3" s="48">
        <f>IFERROR(IF(AND(s_Irr!M3&lt;&gt;".",s_Irr!AK3&lt;&gt;".",s_Irr!BI3&lt;&gt;"."),s_dir!AM3/((1/1000)*(s_Irr!M3+s_Irr!AK3+s_Irr!BI3)),IF(AND(s_Irr!M3&lt;&gt;".",s_Irr!AK3&lt;&gt;".",s_Irr!BI3="."),s_dir!AM3/((1/1000)*(s_Irr!M3+s_Irr!AK3)),IF(AND(s_Irr!M3&lt;&gt;".",s_Irr!AK3=".",s_Irr!BI3&lt;&gt;"."),s_dir!AM3/((1/1000)*(s_Irr!M3+s_Irr!BI3)),IF(AND(s_Irr!M3=".",s_Irr!AK3&lt;&gt;".",s_Irr!BI3&lt;&gt;"."),s_dir!AM3/((1/1000)*(s_Irr!AK3+s_Irr!BI3)),IF(AND(s_Irr!M3=".",s_Irr!AK3=".",s_Irr!BI3&lt;&gt;"."),s_dir!AM3/((1/1000)*(s_Irr!BI3)),IF(AND(s_Irr!M3=".",s_Irr!AK3&lt;&gt;".",s_Irr!BI3="."),s_dir!AM3/((1/1000)*(s_Irr!AK3)),IF(AND(s_Irr!M3&lt;&gt;".",s_Irr!AK3=".",s_Irr!BI3="."),s_dir!AM3/((1/1000)*(s_Irr!M3)),IF(AND(s_Irr!M3=".",s_Irr!AK3=".",s_Irr!BI3="."),s_dir!AM3*1000)))))))),".")</f>
        <v>319.47816112739247</v>
      </c>
      <c r="BM3" s="48">
        <f>IFERROR(IF(AND(s_Irr!N3&lt;&gt;".",s_Irr!AL3&lt;&gt;".",s_Irr!BJ3&lt;&gt;"."),s_dir!AN3/((1/1000)*(s_Irr!N3+s_Irr!AL3+s_Irr!BJ3)),IF(AND(s_Irr!N3&lt;&gt;".",s_Irr!AL3&lt;&gt;".",s_Irr!BJ3="."),s_dir!AN3/((1/1000)*(s_Irr!N3+s_Irr!AL3)),IF(AND(s_Irr!N3&lt;&gt;".",s_Irr!AL3=".",s_Irr!BJ3&lt;&gt;"."),s_dir!AN3/((1/1000)*(s_Irr!N3+s_Irr!BJ3)),IF(AND(s_Irr!N3=".",s_Irr!AL3&lt;&gt;".",s_Irr!BJ3&lt;&gt;"."),s_dir!AN3/((1/1000)*(s_Irr!AL3+s_Irr!BJ3)),IF(AND(s_Irr!N3=".",s_Irr!AL3=".",s_Irr!BJ3&lt;&gt;"."),s_dir!AN3/((1/1000)*(s_Irr!BJ3)),IF(AND(s_Irr!N3=".",s_Irr!AL3&lt;&gt;".",s_Irr!BJ3="."),s_dir!AN3/((1/1000)*(s_Irr!AL3)),IF(AND(s_Irr!N3&lt;&gt;".",s_Irr!AL3=".",s_Irr!BJ3="."),s_dir!AN3/((1/1000)*(s_Irr!N3)),IF(AND(s_Irr!N3=".",s_Irr!AL3=".",s_Irr!BJ3="."),s_dir!AN3*1000)))))))),".")</f>
        <v>318.88500166154716</v>
      </c>
      <c r="BN3" s="48">
        <f>IFERROR(IF(AND(s_Irr!O3&lt;&gt;".",s_Irr!AM3&lt;&gt;".",s_Irr!BK3&lt;&gt;"."),s_dir!AO3/((1/1000)*(s_Irr!O3+s_Irr!AM3+s_Irr!BK3)),IF(AND(s_Irr!O3&lt;&gt;".",s_Irr!AM3&lt;&gt;".",s_Irr!BK3="."),s_dir!AO3/((1/1000)*(s_Irr!O3+s_Irr!AM3)),IF(AND(s_Irr!O3&lt;&gt;".",s_Irr!AM3=".",s_Irr!BK3&lt;&gt;"."),s_dir!AO3/((1/1000)*(s_Irr!O3+s_Irr!BK3)),IF(AND(s_Irr!O3=".",s_Irr!AM3&lt;&gt;".",s_Irr!BK3&lt;&gt;"."),s_dir!AO3/((1/1000)*(s_Irr!AM3+s_Irr!BK3)),IF(AND(s_Irr!O3=".",s_Irr!AM3=".",s_Irr!BK3&lt;&gt;"."),s_dir!AO3/((1/1000)*(s_Irr!BK3)),IF(AND(s_Irr!O3=".",s_Irr!AM3&lt;&gt;".",s_Irr!BK3="."),s_dir!AO3/((1/1000)*(s_Irr!AM3)),IF(AND(s_Irr!O3&lt;&gt;".",s_Irr!AM3=".",s_Irr!BK3="."),s_dir!AO3/((1/1000)*(s_Irr!O3)),IF(AND(s_Irr!O3=".",s_Irr!AM3=".",s_Irr!BK3="."),s_dir!AO3*1000)))))))),".")</f>
        <v>318.9926849535459</v>
      </c>
      <c r="BO3" s="48">
        <f>IFERROR(IF(AND(s_Irr!P3&lt;&gt;".",s_Irr!AN3&lt;&gt;".",s_Irr!BL3&lt;&gt;"."),s_dir!AP3/((1/1000)*(s_Irr!P3+s_Irr!AN3+s_Irr!BL3)),IF(AND(s_Irr!P3&lt;&gt;".",s_Irr!AN3&lt;&gt;".",s_Irr!BL3="."),s_dir!AP3/((1/1000)*(s_Irr!P3+s_Irr!AN3)),IF(AND(s_Irr!P3&lt;&gt;".",s_Irr!AN3=".",s_Irr!BL3&lt;&gt;"."),s_dir!AP3/((1/1000)*(s_Irr!P3+s_Irr!BL3)),IF(AND(s_Irr!P3=".",s_Irr!AN3&lt;&gt;".",s_Irr!BL3&lt;&gt;"."),s_dir!AP3/((1/1000)*(s_Irr!AN3+s_Irr!BL3)),IF(AND(s_Irr!P3=".",s_Irr!AN3=".",s_Irr!BL3&lt;&gt;"."),s_dir!AP3/((1/1000)*(s_Irr!BL3)),IF(AND(s_Irr!P3=".",s_Irr!AN3&lt;&gt;".",s_Irr!BL3="."),s_dir!AP3/((1/1000)*(s_Irr!AN3)),IF(AND(s_Irr!P3&lt;&gt;".",s_Irr!AN3=".",s_Irr!BL3="."),s_dir!AP3/((1/1000)*(s_Irr!P3)),IF(AND(s_Irr!P3=".",s_Irr!AN3=".",s_Irr!BL3="."),s_dir!AP3*1000)))))))),".")</f>
        <v>318.9926849535459</v>
      </c>
      <c r="BP3" s="48">
        <f>IFERROR(IF(AND(s_Irr!Q3&lt;&gt;".",s_Irr!AO3&lt;&gt;".",s_Irr!BM3&lt;&gt;"."),s_dir!AQ3/((1/1000)*(s_Irr!Q3+s_Irr!AO3+s_Irr!BM3)),IF(AND(s_Irr!Q3&lt;&gt;".",s_Irr!AO3&lt;&gt;".",s_Irr!BM3="."),s_dir!AQ3/((1/1000)*(s_Irr!Q3+s_Irr!AO3)),IF(AND(s_Irr!Q3&lt;&gt;".",s_Irr!AO3=".",s_Irr!BM3&lt;&gt;"."),s_dir!AQ3/((1/1000)*(s_Irr!Q3+s_Irr!BM3)),IF(AND(s_Irr!Q3=".",s_Irr!AO3&lt;&gt;".",s_Irr!BM3&lt;&gt;"."),s_dir!AQ3/((1/1000)*(s_Irr!AO3+s_Irr!BM3)),IF(AND(s_Irr!Q3=".",s_Irr!AO3=".",s_Irr!BM3&lt;&gt;"."),s_dir!AQ3/((1/1000)*(s_Irr!BM3)),IF(AND(s_Irr!Q3=".",s_Irr!AO3&lt;&gt;".",s_Irr!BM3="."),s_dir!AQ3/((1/1000)*(s_Irr!AO3)),IF(AND(s_Irr!Q3&lt;&gt;".",s_Irr!AO3=".",s_Irr!BM3="."),s_dir!AQ3/((1/1000)*(s_Irr!Q3)),IF(AND(s_Irr!Q3=".",s_Irr!AO3=".",s_Irr!BM3="."),s_dir!AQ3*1000)))))))),".")</f>
        <v>320.77457157279218</v>
      </c>
      <c r="BQ3" s="48">
        <f>IFERROR(IF(AND(s_Irr!R3&lt;&gt;".",s_Irr!AP3&lt;&gt;".",s_Irr!BN3&lt;&gt;"."),s_dir!AR3/((1/1000)*(s_Irr!R3+s_Irr!AP3+s_Irr!BN3)),IF(AND(s_Irr!R3&lt;&gt;".",s_Irr!AP3&lt;&gt;".",s_Irr!BN3="."),s_dir!AR3/((1/1000)*(s_Irr!R3+s_Irr!AP3)),IF(AND(s_Irr!R3&lt;&gt;".",s_Irr!AP3=".",s_Irr!BN3&lt;&gt;"."),s_dir!AR3/((1/1000)*(s_Irr!R3+s_Irr!BN3)),IF(AND(s_Irr!R3=".",s_Irr!AP3&lt;&gt;".",s_Irr!BN3&lt;&gt;"."),s_dir!AR3/((1/1000)*(s_Irr!AP3+s_Irr!BN3)),IF(AND(s_Irr!R3=".",s_Irr!AP3=".",s_Irr!BN3&lt;&gt;"."),s_dir!AR3/((1/1000)*(s_Irr!BN3)),IF(AND(s_Irr!R3=".",s_Irr!AP3&lt;&gt;".",s_Irr!BN3="."),s_dir!AR3/((1/1000)*(s_Irr!AP3)),IF(AND(s_Irr!R3&lt;&gt;".",s_Irr!AP3=".",s_Irr!BN3="."),s_dir!AR3/((1/1000)*(s_Irr!R3)),IF(AND(s_Irr!R3=".",s_Irr!AP3=".",s_Irr!BN3="."),s_dir!AR3*1000)))))))),".")</f>
        <v>320.77457157279218</v>
      </c>
      <c r="BR3" s="48">
        <f>IFERROR(IF(AND(s_Irr!S3&lt;&gt;".",s_Irr!AQ3&lt;&gt;".",s_Irr!BO3&lt;&gt;"."),s_dir!AS3/((1/1000)*(s_Irr!S3+s_Irr!AQ3+s_Irr!BO3)),IF(AND(s_Irr!S3&lt;&gt;".",s_Irr!AQ3&lt;&gt;".",s_Irr!BO3="."),s_dir!AS3/((1/1000)*(s_Irr!S3+s_Irr!AQ3)),IF(AND(s_Irr!S3&lt;&gt;".",s_Irr!AQ3=".",s_Irr!BO3&lt;&gt;"."),s_dir!AS3/((1/1000)*(s_Irr!S3+s_Irr!BO3)),IF(AND(s_Irr!S3=".",s_Irr!AQ3&lt;&gt;".",s_Irr!BO3&lt;&gt;"."),s_dir!AS3/((1/1000)*(s_Irr!AQ3+s_Irr!BO3)),IF(AND(s_Irr!S3=".",s_Irr!AQ3=".",s_Irr!BO3&lt;&gt;"."),s_dir!AS3/((1/1000)*(s_Irr!BO3)),IF(AND(s_Irr!S3=".",s_Irr!AQ3&lt;&gt;".",s_Irr!BO3="."),s_dir!AS3/((1/1000)*(s_Irr!AQ3)),IF(AND(s_Irr!S3&lt;&gt;".",s_Irr!AQ3=".",s_Irr!BO3="."),s_dir!AS3/((1/1000)*(s_Irr!S3)),IF(AND(s_Irr!S3=".",s_Irr!AQ3=".",s_Irr!BO3="."),s_dir!AS3*1000)))))))),".")</f>
        <v>318.88500166154716</v>
      </c>
      <c r="BS3" s="48">
        <f>IFERROR(IF(AND(s_Irr!T3&lt;&gt;".",s_Irr!AR3&lt;&gt;".",s_Irr!BP3&lt;&gt;"."),s_dir!AT3/((1/1000)*(s_Irr!T3+s_Irr!AR3+s_Irr!BP3)),IF(AND(s_Irr!T3&lt;&gt;".",s_Irr!AR3&lt;&gt;".",s_Irr!BP3="."),s_dir!AT3/((1/1000)*(s_Irr!T3+s_Irr!AR3)),IF(AND(s_Irr!T3&lt;&gt;".",s_Irr!AR3=".",s_Irr!BP3&lt;&gt;"."),s_dir!AT3/((1/1000)*(s_Irr!T3+s_Irr!BP3)),IF(AND(s_Irr!T3=".",s_Irr!AR3&lt;&gt;".",s_Irr!BP3&lt;&gt;"."),s_dir!AT3/((1/1000)*(s_Irr!AR3+s_Irr!BP3)),IF(AND(s_Irr!T3=".",s_Irr!AR3=".",s_Irr!BP3&lt;&gt;"."),s_dir!AT3/((1/1000)*(s_Irr!BP3)),IF(AND(s_Irr!T3=".",s_Irr!AR3&lt;&gt;".",s_Irr!BP3="."),s_dir!AT3/((1/1000)*(s_Irr!AR3)),IF(AND(s_Irr!T3&lt;&gt;".",s_Irr!AR3=".",s_Irr!BP3="."),s_dir!AT3/((1/1000)*(s_Irr!T3)),IF(AND(s_Irr!T3=".",s_Irr!AR3=".",s_Irr!BP3="."),s_dir!AT3*1000)))))))),".")</f>
        <v>319.80263368598327</v>
      </c>
      <c r="BT3" s="48">
        <f>IFERROR(IF(AND(s_Irr!U3&lt;&gt;".",s_Irr!AS3&lt;&gt;".",s_Irr!BQ3&lt;&gt;"."),s_dir!AU3/((1/1000)*(s_Irr!U3+s_Irr!AS3+s_Irr!BQ3)),IF(AND(s_Irr!U3&lt;&gt;".",s_Irr!AS3&lt;&gt;".",s_Irr!BQ3="."),s_dir!AU3/((1/1000)*(s_Irr!U3+s_Irr!AS3)),IF(AND(s_Irr!U3&lt;&gt;".",s_Irr!AS3=".",s_Irr!BQ3&lt;&gt;"."),s_dir!AU3/((1/1000)*(s_Irr!U3+s_Irr!BQ3)),IF(AND(s_Irr!U3=".",s_Irr!AS3&lt;&gt;".",s_Irr!BQ3&lt;&gt;"."),s_dir!AU3/((1/1000)*(s_Irr!AS3+s_Irr!BQ3)),IF(AND(s_Irr!U3=".",s_Irr!AS3=".",s_Irr!BQ3&lt;&gt;"."),s_dir!AU3/((1/1000)*(s_Irr!BQ3)),IF(AND(s_Irr!U3=".",s_Irr!AS3&lt;&gt;".",s_Irr!BQ3="."),s_dir!AU3/((1/1000)*(s_Irr!AS3)),IF(AND(s_Irr!U3&lt;&gt;".",s_Irr!AS3=".",s_Irr!BQ3="."),s_dir!AU3/((1/1000)*(s_Irr!U3)),IF(AND(s_Irr!U3=".",s_Irr!AS3=".",s_Irr!BQ3="."),s_dir!AU3*1000)))))))),".")</f>
        <v>318.9926849535459</v>
      </c>
      <c r="BU3" s="48">
        <f>IFERROR(IF(AND(s_Irr!V3&lt;&gt;".",s_Irr!AT3&lt;&gt;".",s_Irr!BR3&lt;&gt;"."),s_dir!AV3/((1/1000)*(s_Irr!V3+s_Irr!AT3+s_Irr!BR3)),IF(AND(s_Irr!V3&lt;&gt;".",s_Irr!AT3&lt;&gt;".",s_Irr!BR3="."),s_dir!AV3/((1/1000)*(s_Irr!V3+s_Irr!AT3)),IF(AND(s_Irr!V3&lt;&gt;".",s_Irr!AT3=".",s_Irr!BR3&lt;&gt;"."),s_dir!AV3/((1/1000)*(s_Irr!V3+s_Irr!BR3)),IF(AND(s_Irr!V3=".",s_Irr!AT3&lt;&gt;".",s_Irr!BR3&lt;&gt;"."),s_dir!AV3/((1/1000)*(s_Irr!AT3+s_Irr!BR3)),IF(AND(s_Irr!V3=".",s_Irr!AT3=".",s_Irr!BR3&lt;&gt;"."),s_dir!AV3/((1/1000)*(s_Irr!BR3)),IF(AND(s_Irr!V3=".",s_Irr!AT3&lt;&gt;".",s_Irr!BR3="."),s_dir!AV3/((1/1000)*(s_Irr!AT3)),IF(AND(s_Irr!V3&lt;&gt;".",s_Irr!AT3=".",s_Irr!BR3="."),s_dir!AV3/((1/1000)*(s_Irr!V3)),IF(AND(s_Irr!V3=".",s_Irr!AT3=".",s_Irr!BR3="."),s_dir!AV3*1000)))))))),".")</f>
        <v>318.88500166154716</v>
      </c>
      <c r="BV3" s="48">
        <f>IFERROR(IF(AND(s_Irr!W3&lt;&gt;".",s_Irr!AU3&lt;&gt;".",s_Irr!BS3&lt;&gt;"."),s_dir!AW3/((1/1000)*(s_Irr!W3+s_Irr!AU3+s_Irr!BS3)),IF(AND(s_Irr!W3&lt;&gt;".",s_Irr!AU3&lt;&gt;".",s_Irr!BS3="."),s_dir!AW3/((1/1000)*(s_Irr!W3+s_Irr!AU3)),IF(AND(s_Irr!W3&lt;&gt;".",s_Irr!AU3=".",s_Irr!BS3&lt;&gt;"."),s_dir!AW3/((1/1000)*(s_Irr!W3+s_Irr!BS3)),IF(AND(s_Irr!W3=".",s_Irr!AU3&lt;&gt;".",s_Irr!BS3&lt;&gt;"."),s_dir!AW3/((1/1000)*(s_Irr!AU3+s_Irr!BS3)),IF(AND(s_Irr!W3=".",s_Irr!AU3=".",s_Irr!BS3&lt;&gt;"."),s_dir!AW3/((1/1000)*(s_Irr!BS3)),IF(AND(s_Irr!W3=".",s_Irr!AU3&lt;&gt;".",s_Irr!BS3="."),s_dir!AW3/((1/1000)*(s_Irr!AU3)),IF(AND(s_Irr!W3&lt;&gt;".",s_Irr!AU3=".",s_Irr!BS3="."),s_dir!AW3/((1/1000)*(s_Irr!W3)),IF(AND(s_Irr!W3=".",s_Irr!AU3=".",s_Irr!BS3="."),s_dir!AW3*1000)))))))),".")</f>
        <v>320.34488841166677</v>
      </c>
      <c r="BW3" s="48">
        <f>IFERROR(IF(AND(s_Irr!X3&lt;&gt;".",s_Irr!AV3&lt;&gt;".",s_Irr!BT3&lt;&gt;"."),s_dir!AX3/((1/1000)*(s_Irr!X3+s_Irr!AV3+s_Irr!BT3)),IF(AND(s_Irr!X3&lt;&gt;".",s_Irr!AV3&lt;&gt;".",s_Irr!BT3="."),s_dir!AX3/((1/1000)*(s_Irr!X3+s_Irr!AV3)),IF(AND(s_Irr!X3&lt;&gt;".",s_Irr!AV3=".",s_Irr!BT3&lt;&gt;"."),s_dir!AX3/((1/1000)*(s_Irr!X3+s_Irr!BT3)),IF(AND(s_Irr!X3=".",s_Irr!AV3&lt;&gt;".",s_Irr!BT3&lt;&gt;"."),s_dir!AX3/((1/1000)*(s_Irr!AV3+s_Irr!BT3)),IF(AND(s_Irr!X3=".",s_Irr!AV3=".",s_Irr!BT3&lt;&gt;"."),s_dir!AX3/((1/1000)*(s_Irr!BT3)),IF(AND(s_Irr!X3=".",s_Irr!AV3&lt;&gt;".",s_Irr!BT3="."),s_dir!AX3/((1/1000)*(s_Irr!AV3)),IF(AND(s_Irr!X3&lt;&gt;".",s_Irr!AV3=".",s_Irr!BT3="."),s_dir!AX3/((1/1000)*(s_Irr!X3)),IF(AND(s_Irr!X3=".",s_Irr!AV3=".",s_Irr!BT3="."),s_dir!AX3*1000)))))))),".")</f>
        <v>318.9926849535459</v>
      </c>
      <c r="BX3" s="48">
        <f>IFERROR(IF(AND(s_Irr!Y3&lt;&gt;".",s_Irr!AW3&lt;&gt;".",s_Irr!BU3&lt;&gt;"."),s_dir!AY3/((1/1000)*(s_Irr!Y3+s_Irr!AW3+s_Irr!BU3)),IF(AND(s_Irr!Y3&lt;&gt;".",s_Irr!AW3&lt;&gt;".",s_Irr!BU3="."),s_dir!AY3/((1/1000)*(s_Irr!Y3+s_Irr!AW3)),IF(AND(s_Irr!Y3&lt;&gt;".",s_Irr!AW3=".",s_Irr!BU3&lt;&gt;"."),s_dir!AY3/((1/1000)*(s_Irr!Y3+s_Irr!BU3)),IF(AND(s_Irr!Y3=".",s_Irr!AW3&lt;&gt;".",s_Irr!BU3&lt;&gt;"."),s_dir!AY3/((1/1000)*(s_Irr!AW3+s_Irr!BU3)),IF(AND(s_Irr!Y3=".",s_Irr!AW3=".",s_Irr!BU3&lt;&gt;"."),s_dir!AY3/((1/1000)*(s_Irr!BU3)),IF(AND(s_Irr!Y3=".",s_Irr!AW3&lt;&gt;".",s_Irr!BU3="."),s_dir!AY3/((1/1000)*(s_Irr!AW3)),IF(AND(s_Irr!Y3&lt;&gt;".",s_Irr!AW3=".",s_Irr!BU3="."),s_dir!AY3/((1/1000)*(s_Irr!Y3)),IF(AND(s_Irr!Y3=".",s_Irr!AW3=".",s_Irr!BU3="."),s_dir!AY3*1000)))))))),".")</f>
        <v>315.58250631235398</v>
      </c>
      <c r="BY3" s="48">
        <f>IFERROR(IF(AND(s_Irr!Z3&lt;&gt;".",s_Irr!AX3&lt;&gt;".",s_Irr!BV3&lt;&gt;"."),s_dir!AZ3/((1/1000)*(s_Irr!Z3+s_Irr!AX3+s_Irr!BV3)),IF(AND(s_Irr!Z3&lt;&gt;".",s_Irr!AX3&lt;&gt;".",s_Irr!BV3="."),s_dir!AZ3/((1/1000)*(s_Irr!Z3+s_Irr!AX3)),IF(AND(s_Irr!Z3&lt;&gt;".",s_Irr!AX3=".",s_Irr!BV3&lt;&gt;"."),s_dir!AZ3/((1/1000)*(s_Irr!Z3+s_Irr!BV3)),IF(AND(s_Irr!Z3=".",s_Irr!AX3&lt;&gt;".",s_Irr!BV3&lt;&gt;"."),s_dir!AZ3/((1/1000)*(s_Irr!AX3+s_Irr!BV3)),IF(AND(s_Irr!Z3=".",s_Irr!AX3=".",s_Irr!BV3&lt;&gt;"."),s_dir!AZ3/((1/1000)*(s_Irr!BV3)),IF(AND(s_Irr!Z3=".",s_Irr!AX3&lt;&gt;".",s_Irr!BV3="."),s_dir!AZ3/((1/1000)*(s_Irr!AX3)),IF(AND(s_Irr!Z3&lt;&gt;".",s_Irr!AX3=".",s_Irr!BV3="."),s_dir!AZ3/((1/1000)*(s_Irr!Z3)),IF(AND(s_Irr!Z3=".",s_Irr!AX3=".",s_Irr!BV3="."),s_dir!AZ3*1000)))))))),".")</f>
        <v>320.82359596931764</v>
      </c>
      <c r="BZ3" s="62">
        <f t="shared" si="1"/>
        <v>266.95364689102081</v>
      </c>
      <c r="CA3" s="62">
        <f>IFERROR(s_C*s_IFAP_far_adj*s_CF_apple*(1/1000)*(s_Irr!C3+s_Irr!AA3+s_Irr!AY3),".")</f>
        <v>88.503693210123544</v>
      </c>
      <c r="CB3" s="62">
        <f>IFERROR(s_C*s_IFAS_far_adj*s_CF_asparagus*(1/1000)*(s_Irr!D3+s_Irr!AB3+s_Irr!AZ3),".")</f>
        <v>88.862832351056241</v>
      </c>
      <c r="CC3" s="62">
        <f>IFERROR(s_C*s_IFBT_far_adj*s_CF_beet*(1/1000)*(s_Irr!E3+s_Irr!AC3+s_Irr!BA3),".")</f>
        <v>89.463902042993809</v>
      </c>
      <c r="CD3" s="62">
        <f>IFERROR(s_C*s_IFBE_far_adj*s_CF_berries*(1/1000)*(s_Irr!F3+s_Irr!AD3+s_Irr!BB3),".")</f>
        <v>89.65924969287353</v>
      </c>
      <c r="CE3" s="62">
        <f>IFERROR(s_C*s_IFBR_far_adj*s_CF_broccoli*(1/1000)*(s_Irr!G3+s_Irr!AE3+s_Irr!BC3),".")</f>
        <v>88.998073031742194</v>
      </c>
      <c r="CF3" s="62">
        <f>IFERROR(s_C*s_IFCB_far_adj*s_CF_cabbage*(1/1000)*(s_Irr!H3+s_Irr!AF3+s_Irr!BD3),".")</f>
        <v>88.862832351056241</v>
      </c>
      <c r="CG3" s="62">
        <f>IFERROR(s_C*s_IFCR_far_adj*s_CF_carrot*(1/1000)*(s_Irr!I3+s_Irr!AG3+s_Irr!BE3),".")</f>
        <v>89.463902042993809</v>
      </c>
      <c r="CH3" s="62">
        <f>IFERROR(s_C*s_IFCI_far_adj*s_CF_citrus*(1/1000)*(s_Irr!J3+s_Irr!AH3+s_Irr!BF3),".")</f>
        <v>88.503693210123544</v>
      </c>
      <c r="CI3" s="62">
        <f>IFERROR(s_C*s_IFCO_far_adj*s_CF_corn*(1/1000)*(s_Irr!K3+s_Irr!AI3+s_Irr!BG3),".")</f>
        <v>88.532244020490566</v>
      </c>
      <c r="CJ3" s="62">
        <f>IFERROR(s_C*s_IFCU_far_adj*s_CF_cucumber*(1/1000)*(s_Irr!L3+s_Irr!AJ3+s_Irr!BH3),".")</f>
        <v>88.998073031742194</v>
      </c>
      <c r="CK3" s="62">
        <f>IFERROR(s_C*s_IFLE_far_adj*s_CF_lettuce*(1/1000)*(s_Irr!M3+s_Irr!AK3+s_Irr!BI3),".")</f>
        <v>88.862832351056241</v>
      </c>
      <c r="CL3" s="62">
        <f>IFERROR(s_C*s_IFLI_far_adj*s_CF_lima_bean*(1/1000)*(s_Irr!N3+s_Irr!AL3+s_Irr!BJ3),".")</f>
        <v>89.028126516339057</v>
      </c>
      <c r="CM3" s="62">
        <f>IFERROR(s_C*s_IFOK_far_adj*s_CF_okra*(1/1000)*(s_Irr!O3+s_Irr!AM3+s_Irr!BK3),".")</f>
        <v>88.998073031742194</v>
      </c>
      <c r="CN3" s="62">
        <f>IFERROR(s_C*s_IFON_far_adj*s_CF_onion*(1/1000)*(s_Irr!P3+s_Irr!AN3+s_Irr!BL3),".")</f>
        <v>88.998073031742194</v>
      </c>
      <c r="CO3" s="62">
        <f>IFERROR(s_C*s_IFPC_far_adj*s_CF_peach*(1/1000)*(s_Irr!Q3+s_Irr!AO3+s_Irr!BM3),".")</f>
        <v>88.503693210123544</v>
      </c>
      <c r="CP3" s="62">
        <f>IFERROR(s_C*s_IFPR_far_adj*s_CF_pear*(1/1000)*(s_Irr!R3+s_Irr!AP3+s_Irr!BN3),".")</f>
        <v>88.503693210123544</v>
      </c>
      <c r="CQ3" s="62">
        <f>IFERROR(s_C*s_IFPE_far_adj*s_CF_peas*(1/1000)*(s_Irr!S3+s_Irr!AQ3+s_Irr!BO3),".")</f>
        <v>89.028126516339057</v>
      </c>
      <c r="CR3" s="62">
        <f>IFERROR(s_C*s_IFPT_far_adj*s_CF_potato*(1/1000)*(s_Irr!T3+s_Irr!AR3+s_Irr!BP3),".")</f>
        <v>88.772671897265596</v>
      </c>
      <c r="CS3" s="62">
        <f>IFERROR(s_C*s_IFPU_far_adj*s_CF_pumpkin*(1/1000)*(s_Irr!U3+s_Irr!AS3+s_Irr!BQ3),".")</f>
        <v>88.998073031742194</v>
      </c>
      <c r="CT3" s="62">
        <f>IFERROR(s_C*s_IFSN_far_adj*s_CF_snap_bean*(1/1000)*(s_Irr!V3+s_Irr!AT3+s_Irr!BR3),".")</f>
        <v>89.028126516339057</v>
      </c>
      <c r="CU3" s="62">
        <f>IFERROR(s_C*s_IFST_far_adj*s_CF_strawberry*(1/1000)*(s_Irr!W3+s_Irr!AU3+s_Irr!BS3),".")</f>
        <v>88.622404474281197</v>
      </c>
      <c r="CV3" s="62">
        <f>IFERROR(s_C*s_IFTO_far_adj*s_CF_tomato*(1/1000)*(s_Irr!X3+s_Irr!AV3+s_Irr!BT3),".")</f>
        <v>88.998073031742194</v>
      </c>
      <c r="CW3" s="62">
        <f>IFERROR(s_C*s_IFRI_far_adj*s_CF_rice*(1/1000)*(s_Irr!Y3+s_Irr!AW3+s_Irr!BU3),".")</f>
        <v>89.959784538842314</v>
      </c>
      <c r="CX3" s="62">
        <f>IFERROR(s_C*s_IFCG_far_adj*s_CF_cereal*(1/1000)*(s_Irr!Z3+s_Irr!AX3+s_Irr!BV3),".")</f>
        <v>88.490169142054938</v>
      </c>
    </row>
    <row r="4" spans="1:102" ht="15" customHeight="1" x14ac:dyDescent="0.25">
      <c r="A4" s="61" t="s">
        <v>2</v>
      </c>
      <c r="B4" s="49" t="s">
        <v>1059</v>
      </c>
      <c r="C4" s="48" t="str">
        <f t="shared" si="2"/>
        <v>.</v>
      </c>
      <c r="D4" s="48" t="str">
        <f>IFERROR(IF(AND(s_Irr!C4&lt;&gt;".",s_Irr!AA4&lt;&gt;".",s_Irr!AY4&lt;&gt;"."),s_dir!D4/((1/1000)*(s_Irr!C4+s_Irr!AA4+s_Irr!AY4)),IF(AND(s_Irr!C4&lt;&gt;".",s_Irr!AA4&lt;&gt;".",s_Irr!AY4="."),s_dir!D4/((1/1000)*(s_Irr!C4+s_Irr!AA4)),IF(AND(s_Irr!C4&lt;&gt;".",s_Irr!AA4=".",s_Irr!AY4&lt;&gt;"."),s_dir!D4/((1/1000)*(s_Irr!C4+s_Irr!AY4)),IF(AND(s_Irr!C4=".",s_Irr!AA4&lt;&gt;".",s_Irr!AY4&lt;&gt;"."),s_dir!D4/((1/1000)*(s_Irr!AA4+s_Irr!AY4)),IF(AND(s_Irr!C4=".",s_Irr!AA4=".",s_Irr!AY4&lt;&gt;"."),s_dir!D4/((1/1000)*(s_Irr!AY4)),IF(AND(s_Irr!C4=".",s_Irr!AA4&lt;&gt;".",s_Irr!AY4="."),s_dir!D4/((1/1000)*(s_Irr!AA4)),IF(AND(s_Irr!C4&lt;&gt;".",s_Irr!AA4=".",s_Irr!AY4="."),s_dir!D4/((1/1000)*(s_Irr!C4)),IF(AND(s_Irr!C4=".",s_Irr!AA4=".",s_Irr!AY4="."),s_dir!D4*1000)))))))),".")</f>
        <v>.</v>
      </c>
      <c r="E4" s="48" t="str">
        <f>IFERROR(IF(AND(s_Irr!D4&lt;&gt;".",s_Irr!AB4&lt;&gt;".",s_Irr!AZ4&lt;&gt;"."),s_dir!E4/((1/1000)*(s_Irr!D4+s_Irr!AB4+s_Irr!AZ4)),IF(AND(s_Irr!D4&lt;&gt;".",s_Irr!AB4&lt;&gt;".",s_Irr!AZ4="."),s_dir!E4/((1/1000)*(s_Irr!D4+s_Irr!AB4)),IF(AND(s_Irr!D4&lt;&gt;".",s_Irr!AB4=".",s_Irr!AZ4&lt;&gt;"."),s_dir!E4/((1/1000)*(s_Irr!D4+s_Irr!AZ4)),IF(AND(s_Irr!D4=".",s_Irr!AB4&lt;&gt;".",s_Irr!AZ4&lt;&gt;"."),s_dir!E4/((1/1000)*(s_Irr!AB4+s_Irr!AZ4)),IF(AND(s_Irr!D4=".",s_Irr!AB4=".",s_Irr!AZ4&lt;&gt;"."),s_dir!E4/((1/1000)*(s_Irr!AZ4)),IF(AND(s_Irr!D4=".",s_Irr!AB4&lt;&gt;".",s_Irr!AZ4="."),s_dir!E4/((1/1000)*(s_Irr!AB4)),IF(AND(s_Irr!D4&lt;&gt;".",s_Irr!AB4=".",s_Irr!AZ4="."),s_dir!E4/((1/1000)*(s_Irr!D4)),IF(AND(s_Irr!D4=".",s_Irr!AB4=".",s_Irr!AZ4="."),s_dir!E4*1000)))))))),".")</f>
        <v>.</v>
      </c>
      <c r="F4" s="48" t="str">
        <f>IFERROR(IF(AND(s_Irr!E4&lt;&gt;".",s_Irr!AC4&lt;&gt;".",s_Irr!BA4&lt;&gt;"."),s_dir!F4/((1/1000)*(s_Irr!E4+s_Irr!AC4+s_Irr!BA4)),IF(AND(s_Irr!E4&lt;&gt;".",s_Irr!AC4&lt;&gt;".",s_Irr!BA4="."),s_dir!F4/((1/1000)*(s_Irr!E4+s_Irr!AC4)),IF(AND(s_Irr!E4&lt;&gt;".",s_Irr!AC4=".",s_Irr!BA4&lt;&gt;"."),s_dir!F4/((1/1000)*(s_Irr!E4+s_Irr!BA4)),IF(AND(s_Irr!E4=".",s_Irr!AC4&lt;&gt;".",s_Irr!BA4&lt;&gt;"."),s_dir!F4/((1/1000)*(s_Irr!AC4+s_Irr!BA4)),IF(AND(s_Irr!E4=".",s_Irr!AC4=".",s_Irr!BA4&lt;&gt;"."),s_dir!F4/((1/1000)*(s_Irr!BA4)),IF(AND(s_Irr!E4=".",s_Irr!AC4&lt;&gt;".",s_Irr!BA4="."),s_dir!F4/((1/1000)*(s_Irr!AC4)),IF(AND(s_Irr!E4&lt;&gt;".",s_Irr!AC4=".",s_Irr!BA4="."),s_dir!F4/((1/1000)*(s_Irr!E4)),IF(AND(s_Irr!E4=".",s_Irr!AC4=".",s_Irr!BA4="."),s_dir!F4*1000)))))))),".")</f>
        <v>.</v>
      </c>
      <c r="G4" s="48" t="str">
        <f>IFERROR(IF(AND(s_Irr!F4&lt;&gt;".",s_Irr!AD4&lt;&gt;".",s_Irr!BB4&lt;&gt;"."),s_dir!G4/((1/1000)*(s_Irr!F4+s_Irr!AD4+s_Irr!BB4)),IF(AND(s_Irr!F4&lt;&gt;".",s_Irr!AD4&lt;&gt;".",s_Irr!BB4="."),s_dir!G4/((1/1000)*(s_Irr!F4+s_Irr!AD4)),IF(AND(s_Irr!F4&lt;&gt;".",s_Irr!AD4=".",s_Irr!BB4&lt;&gt;"."),s_dir!G4/((1/1000)*(s_Irr!F4+s_Irr!BB4)),IF(AND(s_Irr!F4=".",s_Irr!AD4&lt;&gt;".",s_Irr!BB4&lt;&gt;"."),s_dir!G4/((1/1000)*(s_Irr!AD4+s_Irr!BB4)),IF(AND(s_Irr!F4=".",s_Irr!AD4=".",s_Irr!BB4&lt;&gt;"."),s_dir!G4/((1/1000)*(s_Irr!BB4)),IF(AND(s_Irr!F4=".",s_Irr!AD4&lt;&gt;".",s_Irr!BB4="."),s_dir!G4/((1/1000)*(s_Irr!AD4)),IF(AND(s_Irr!F4&lt;&gt;".",s_Irr!AD4=".",s_Irr!BB4="."),s_dir!G4/((1/1000)*(s_Irr!F4)),IF(AND(s_Irr!F4=".",s_Irr!AD4=".",s_Irr!BB4="."),s_dir!G4*1000)))))))),".")</f>
        <v>.</v>
      </c>
      <c r="H4" s="48" t="str">
        <f>IFERROR(IF(AND(s_Irr!G4&lt;&gt;".",s_Irr!AE4&lt;&gt;".",s_Irr!BC4&lt;&gt;"."),s_dir!H4/((1/1000)*(s_Irr!G4+s_Irr!AE4+s_Irr!BC4)),IF(AND(s_Irr!G4&lt;&gt;".",s_Irr!AE4&lt;&gt;".",s_Irr!BC4="."),s_dir!H4/((1/1000)*(s_Irr!G4+s_Irr!AE4)),IF(AND(s_Irr!G4&lt;&gt;".",s_Irr!AE4=".",s_Irr!BC4&lt;&gt;"."),s_dir!H4/((1/1000)*(s_Irr!G4+s_Irr!BC4)),IF(AND(s_Irr!G4=".",s_Irr!AE4&lt;&gt;".",s_Irr!BC4&lt;&gt;"."),s_dir!H4/((1/1000)*(s_Irr!AE4+s_Irr!BC4)),IF(AND(s_Irr!G4=".",s_Irr!AE4=".",s_Irr!BC4&lt;&gt;"."),s_dir!H4/((1/1000)*(s_Irr!BC4)),IF(AND(s_Irr!G4=".",s_Irr!AE4&lt;&gt;".",s_Irr!BC4="."),s_dir!H4/((1/1000)*(s_Irr!AE4)),IF(AND(s_Irr!G4&lt;&gt;".",s_Irr!AE4=".",s_Irr!BC4="."),s_dir!H4/((1/1000)*(s_Irr!G4)),IF(AND(s_Irr!G4=".",s_Irr!AE4=".",s_Irr!BC4="."),s_dir!H4*1000)))))))),".")</f>
        <v>.</v>
      </c>
      <c r="I4" s="48" t="str">
        <f>IFERROR(IF(AND(s_Irr!H4&lt;&gt;".",s_Irr!AF4&lt;&gt;".",s_Irr!BD4&lt;&gt;"."),s_dir!I4/((1/1000)*(s_Irr!H4+s_Irr!AF4+s_Irr!BD4)),IF(AND(s_Irr!H4&lt;&gt;".",s_Irr!AF4&lt;&gt;".",s_Irr!BD4="."),s_dir!I4/((1/1000)*(s_Irr!H4+s_Irr!AF4)),IF(AND(s_Irr!H4&lt;&gt;".",s_Irr!AF4=".",s_Irr!BD4&lt;&gt;"."),s_dir!I4/((1/1000)*(s_Irr!H4+s_Irr!BD4)),IF(AND(s_Irr!H4=".",s_Irr!AF4&lt;&gt;".",s_Irr!BD4&lt;&gt;"."),s_dir!I4/((1/1000)*(s_Irr!AF4+s_Irr!BD4)),IF(AND(s_Irr!H4=".",s_Irr!AF4=".",s_Irr!BD4&lt;&gt;"."),s_dir!I4/((1/1000)*(s_Irr!BD4)),IF(AND(s_Irr!H4=".",s_Irr!AF4&lt;&gt;".",s_Irr!BD4="."),s_dir!I4/((1/1000)*(s_Irr!AF4)),IF(AND(s_Irr!H4&lt;&gt;".",s_Irr!AF4=".",s_Irr!BD4="."),s_dir!I4/((1/1000)*(s_Irr!H4)),IF(AND(s_Irr!H4=".",s_Irr!AF4=".",s_Irr!BD4="."),s_dir!I4*1000)))))))),".")</f>
        <v>.</v>
      </c>
      <c r="J4" s="48" t="str">
        <f>IFERROR(IF(AND(s_Irr!I4&lt;&gt;".",s_Irr!AG4&lt;&gt;".",s_Irr!BE4&lt;&gt;"."),s_dir!J4/((1/1000)*(s_Irr!I4+s_Irr!AG4+s_Irr!BE4)),IF(AND(s_Irr!I4&lt;&gt;".",s_Irr!AG4&lt;&gt;".",s_Irr!BE4="."),s_dir!J4/((1/1000)*(s_Irr!I4+s_Irr!AG4)),IF(AND(s_Irr!I4&lt;&gt;".",s_Irr!AG4=".",s_Irr!BE4&lt;&gt;"."),s_dir!J4/((1/1000)*(s_Irr!I4+s_Irr!BE4)),IF(AND(s_Irr!I4=".",s_Irr!AG4&lt;&gt;".",s_Irr!BE4&lt;&gt;"."),s_dir!J4/((1/1000)*(s_Irr!AG4+s_Irr!BE4)),IF(AND(s_Irr!I4=".",s_Irr!AG4=".",s_Irr!BE4&lt;&gt;"."),s_dir!J4/((1/1000)*(s_Irr!BE4)),IF(AND(s_Irr!I4=".",s_Irr!AG4&lt;&gt;".",s_Irr!BE4="."),s_dir!J4/((1/1000)*(s_Irr!AG4)),IF(AND(s_Irr!I4&lt;&gt;".",s_Irr!AG4=".",s_Irr!BE4="."),s_dir!J4/((1/1000)*(s_Irr!I4)),IF(AND(s_Irr!I4=".",s_Irr!AG4=".",s_Irr!BE4="."),s_dir!J4*1000)))))))),".")</f>
        <v>.</v>
      </c>
      <c r="K4" s="48" t="str">
        <f>IFERROR(IF(AND(s_Irr!J4&lt;&gt;".",s_Irr!AH4&lt;&gt;".",s_Irr!BF4&lt;&gt;"."),s_dir!K4/((1/1000)*(s_Irr!J4+s_Irr!AH4+s_Irr!BF4)),IF(AND(s_Irr!J4&lt;&gt;".",s_Irr!AH4&lt;&gt;".",s_Irr!BF4="."),s_dir!K4/((1/1000)*(s_Irr!J4+s_Irr!AH4)),IF(AND(s_Irr!J4&lt;&gt;".",s_Irr!AH4=".",s_Irr!BF4&lt;&gt;"."),s_dir!K4/((1/1000)*(s_Irr!J4+s_Irr!BF4)),IF(AND(s_Irr!J4=".",s_Irr!AH4&lt;&gt;".",s_Irr!BF4&lt;&gt;"."),s_dir!K4/((1/1000)*(s_Irr!AH4+s_Irr!BF4)),IF(AND(s_Irr!J4=".",s_Irr!AH4=".",s_Irr!BF4&lt;&gt;"."),s_dir!K4/((1/1000)*(s_Irr!BF4)),IF(AND(s_Irr!J4=".",s_Irr!AH4&lt;&gt;".",s_Irr!BF4="."),s_dir!K4/((1/1000)*(s_Irr!AH4)),IF(AND(s_Irr!J4&lt;&gt;".",s_Irr!AH4=".",s_Irr!BF4="."),s_dir!K4/((1/1000)*(s_Irr!J4)),IF(AND(s_Irr!J4=".",s_Irr!AH4=".",s_Irr!BF4="."),s_dir!K4*1000)))))))),".")</f>
        <v>.</v>
      </c>
      <c r="L4" s="48" t="str">
        <f>IFERROR(IF(AND(s_Irr!K4&lt;&gt;".",s_Irr!AI4&lt;&gt;".",s_Irr!BG4&lt;&gt;"."),s_dir!L4/((1/1000)*(s_Irr!K4+s_Irr!AI4+s_Irr!BG4)),IF(AND(s_Irr!K4&lt;&gt;".",s_Irr!AI4&lt;&gt;".",s_Irr!BG4="."),s_dir!L4/((1/1000)*(s_Irr!K4+s_Irr!AI4)),IF(AND(s_Irr!K4&lt;&gt;".",s_Irr!AI4=".",s_Irr!BG4&lt;&gt;"."),s_dir!L4/((1/1000)*(s_Irr!K4+s_Irr!BG4)),IF(AND(s_Irr!K4=".",s_Irr!AI4&lt;&gt;".",s_Irr!BG4&lt;&gt;"."),s_dir!L4/((1/1000)*(s_Irr!AI4+s_Irr!BG4)),IF(AND(s_Irr!K4=".",s_Irr!AI4=".",s_Irr!BG4&lt;&gt;"."),s_dir!L4/((1/1000)*(s_Irr!BG4)),IF(AND(s_Irr!K4=".",s_Irr!AI4&lt;&gt;".",s_Irr!BG4="."),s_dir!L4/((1/1000)*(s_Irr!AI4)),IF(AND(s_Irr!K4&lt;&gt;".",s_Irr!AI4=".",s_Irr!BG4="."),s_dir!L4/((1/1000)*(s_Irr!K4)),IF(AND(s_Irr!K4=".",s_Irr!AI4=".",s_Irr!BG4="."),s_dir!L4*1000)))))))),".")</f>
        <v>.</v>
      </c>
      <c r="M4" s="48" t="str">
        <f>IFERROR(IF(AND(s_Irr!L4&lt;&gt;".",s_Irr!AJ4&lt;&gt;".",s_Irr!BH4&lt;&gt;"."),s_dir!M4/((1/1000)*(s_Irr!L4+s_Irr!AJ4+s_Irr!BH4)),IF(AND(s_Irr!L4&lt;&gt;".",s_Irr!AJ4&lt;&gt;".",s_Irr!BH4="."),s_dir!M4/((1/1000)*(s_Irr!L4+s_Irr!AJ4)),IF(AND(s_Irr!L4&lt;&gt;".",s_Irr!AJ4=".",s_Irr!BH4&lt;&gt;"."),s_dir!M4/((1/1000)*(s_Irr!L4+s_Irr!BH4)),IF(AND(s_Irr!L4=".",s_Irr!AJ4&lt;&gt;".",s_Irr!BH4&lt;&gt;"."),s_dir!M4/((1/1000)*(s_Irr!AJ4+s_Irr!BH4)),IF(AND(s_Irr!L4=".",s_Irr!AJ4=".",s_Irr!BH4&lt;&gt;"."),s_dir!M4/((1/1000)*(s_Irr!BH4)),IF(AND(s_Irr!L4=".",s_Irr!AJ4&lt;&gt;".",s_Irr!BH4="."),s_dir!M4/((1/1000)*(s_Irr!AJ4)),IF(AND(s_Irr!L4&lt;&gt;".",s_Irr!AJ4=".",s_Irr!BH4="."),s_dir!M4/((1/1000)*(s_Irr!L4)),IF(AND(s_Irr!L4=".",s_Irr!AJ4=".",s_Irr!BH4="."),s_dir!M4*1000)))))))),".")</f>
        <v>.</v>
      </c>
      <c r="N4" s="48" t="str">
        <f>IFERROR(IF(AND(s_Irr!M4&lt;&gt;".",s_Irr!AK4&lt;&gt;".",s_Irr!BI4&lt;&gt;"."),s_dir!N4/((1/1000)*(s_Irr!M4+s_Irr!AK4+s_Irr!BI4)),IF(AND(s_Irr!M4&lt;&gt;".",s_Irr!AK4&lt;&gt;".",s_Irr!BI4="."),s_dir!N4/((1/1000)*(s_Irr!M4+s_Irr!AK4)),IF(AND(s_Irr!M4&lt;&gt;".",s_Irr!AK4=".",s_Irr!BI4&lt;&gt;"."),s_dir!N4/((1/1000)*(s_Irr!M4+s_Irr!BI4)),IF(AND(s_Irr!M4=".",s_Irr!AK4&lt;&gt;".",s_Irr!BI4&lt;&gt;"."),s_dir!N4/((1/1000)*(s_Irr!AK4+s_Irr!BI4)),IF(AND(s_Irr!M4=".",s_Irr!AK4=".",s_Irr!BI4&lt;&gt;"."),s_dir!N4/((1/1000)*(s_Irr!BI4)),IF(AND(s_Irr!M4=".",s_Irr!AK4&lt;&gt;".",s_Irr!BI4="."),s_dir!N4/((1/1000)*(s_Irr!AK4)),IF(AND(s_Irr!M4&lt;&gt;".",s_Irr!AK4=".",s_Irr!BI4="."),s_dir!N4/((1/1000)*(s_Irr!M4)),IF(AND(s_Irr!M4=".",s_Irr!AK4=".",s_Irr!BI4="."),s_dir!N4*1000)))))))),".")</f>
        <v>.</v>
      </c>
      <c r="O4" s="48" t="str">
        <f>IFERROR(IF(AND(s_Irr!N4&lt;&gt;".",s_Irr!AL4&lt;&gt;".",s_Irr!BJ4&lt;&gt;"."),s_dir!O4/((1/1000)*(s_Irr!N4+s_Irr!AL4+s_Irr!BJ4)),IF(AND(s_Irr!N4&lt;&gt;".",s_Irr!AL4&lt;&gt;".",s_Irr!BJ4="."),s_dir!O4/((1/1000)*(s_Irr!N4+s_Irr!AL4)),IF(AND(s_Irr!N4&lt;&gt;".",s_Irr!AL4=".",s_Irr!BJ4&lt;&gt;"."),s_dir!O4/((1/1000)*(s_Irr!N4+s_Irr!BJ4)),IF(AND(s_Irr!N4=".",s_Irr!AL4&lt;&gt;".",s_Irr!BJ4&lt;&gt;"."),s_dir!O4/((1/1000)*(s_Irr!AL4+s_Irr!BJ4)),IF(AND(s_Irr!N4=".",s_Irr!AL4=".",s_Irr!BJ4&lt;&gt;"."),s_dir!O4/((1/1000)*(s_Irr!BJ4)),IF(AND(s_Irr!N4=".",s_Irr!AL4&lt;&gt;".",s_Irr!BJ4="."),s_dir!O4/((1/1000)*(s_Irr!AL4)),IF(AND(s_Irr!N4&lt;&gt;".",s_Irr!AL4=".",s_Irr!BJ4="."),s_dir!O4/((1/1000)*(s_Irr!N4)),IF(AND(s_Irr!N4=".",s_Irr!AL4=".",s_Irr!BJ4="."),s_dir!O4*1000)))))))),".")</f>
        <v>.</v>
      </c>
      <c r="P4" s="48" t="str">
        <f>IFERROR(IF(AND(s_Irr!O4&lt;&gt;".",s_Irr!AM4&lt;&gt;".",s_Irr!BK4&lt;&gt;"."),s_dir!P4/((1/1000)*(s_Irr!O4+s_Irr!AM4+s_Irr!BK4)),IF(AND(s_Irr!O4&lt;&gt;".",s_Irr!AM4&lt;&gt;".",s_Irr!BK4="."),s_dir!P4/((1/1000)*(s_Irr!O4+s_Irr!AM4)),IF(AND(s_Irr!O4&lt;&gt;".",s_Irr!AM4=".",s_Irr!BK4&lt;&gt;"."),s_dir!P4/((1/1000)*(s_Irr!O4+s_Irr!BK4)),IF(AND(s_Irr!O4=".",s_Irr!AM4&lt;&gt;".",s_Irr!BK4&lt;&gt;"."),s_dir!P4/((1/1000)*(s_Irr!AM4+s_Irr!BK4)),IF(AND(s_Irr!O4=".",s_Irr!AM4=".",s_Irr!BK4&lt;&gt;"."),s_dir!P4/((1/1000)*(s_Irr!BK4)),IF(AND(s_Irr!O4=".",s_Irr!AM4&lt;&gt;".",s_Irr!BK4="."),s_dir!P4/((1/1000)*(s_Irr!AM4)),IF(AND(s_Irr!O4&lt;&gt;".",s_Irr!AM4=".",s_Irr!BK4="."),s_dir!P4/((1/1000)*(s_Irr!O4)),IF(AND(s_Irr!O4=".",s_Irr!AM4=".",s_Irr!BK4="."),s_dir!P4*1000)))))))),".")</f>
        <v>.</v>
      </c>
      <c r="Q4" s="48" t="str">
        <f>IFERROR(IF(AND(s_Irr!P4&lt;&gt;".",s_Irr!AN4&lt;&gt;".",s_Irr!BL4&lt;&gt;"."),s_dir!Q4/((1/1000)*(s_Irr!P4+s_Irr!AN4+s_Irr!BL4)),IF(AND(s_Irr!P4&lt;&gt;".",s_Irr!AN4&lt;&gt;".",s_Irr!BL4="."),s_dir!Q4/((1/1000)*(s_Irr!P4+s_Irr!AN4)),IF(AND(s_Irr!P4&lt;&gt;".",s_Irr!AN4=".",s_Irr!BL4&lt;&gt;"."),s_dir!Q4/((1/1000)*(s_Irr!P4+s_Irr!BL4)),IF(AND(s_Irr!P4=".",s_Irr!AN4&lt;&gt;".",s_Irr!BL4&lt;&gt;"."),s_dir!Q4/((1/1000)*(s_Irr!AN4+s_Irr!BL4)),IF(AND(s_Irr!P4=".",s_Irr!AN4=".",s_Irr!BL4&lt;&gt;"."),s_dir!Q4/((1/1000)*(s_Irr!BL4)),IF(AND(s_Irr!P4=".",s_Irr!AN4&lt;&gt;".",s_Irr!BL4="."),s_dir!Q4/((1/1000)*(s_Irr!AN4)),IF(AND(s_Irr!P4&lt;&gt;".",s_Irr!AN4=".",s_Irr!BL4="."),s_dir!Q4/((1/1000)*(s_Irr!P4)),IF(AND(s_Irr!P4=".",s_Irr!AN4=".",s_Irr!BL4="."),s_dir!Q4*1000)))))))),".")</f>
        <v>.</v>
      </c>
      <c r="R4" s="48" t="str">
        <f>IFERROR(IF(AND(s_Irr!Q4&lt;&gt;".",s_Irr!AO4&lt;&gt;".",s_Irr!BM4&lt;&gt;"."),s_dir!R4/((1/1000)*(s_Irr!Q4+s_Irr!AO4+s_Irr!BM4)),IF(AND(s_Irr!Q4&lt;&gt;".",s_Irr!AO4&lt;&gt;".",s_Irr!BM4="."),s_dir!R4/((1/1000)*(s_Irr!Q4+s_Irr!AO4)),IF(AND(s_Irr!Q4&lt;&gt;".",s_Irr!AO4=".",s_Irr!BM4&lt;&gt;"."),s_dir!R4/((1/1000)*(s_Irr!Q4+s_Irr!BM4)),IF(AND(s_Irr!Q4=".",s_Irr!AO4&lt;&gt;".",s_Irr!BM4&lt;&gt;"."),s_dir!R4/((1/1000)*(s_Irr!AO4+s_Irr!BM4)),IF(AND(s_Irr!Q4=".",s_Irr!AO4=".",s_Irr!BM4&lt;&gt;"."),s_dir!R4/((1/1000)*(s_Irr!BM4)),IF(AND(s_Irr!Q4=".",s_Irr!AO4&lt;&gt;".",s_Irr!BM4="."),s_dir!R4/((1/1000)*(s_Irr!AO4)),IF(AND(s_Irr!Q4&lt;&gt;".",s_Irr!AO4=".",s_Irr!BM4="."),s_dir!R4/((1/1000)*(s_Irr!Q4)),IF(AND(s_Irr!Q4=".",s_Irr!AO4=".",s_Irr!BM4="."),s_dir!R4*1000)))))))),".")</f>
        <v>.</v>
      </c>
      <c r="S4" s="48" t="str">
        <f>IFERROR(IF(AND(s_Irr!R4&lt;&gt;".",s_Irr!AP4&lt;&gt;".",s_Irr!BN4&lt;&gt;"."),s_dir!S4/((1/1000)*(s_Irr!R4+s_Irr!AP4+s_Irr!BN4)),IF(AND(s_Irr!R4&lt;&gt;".",s_Irr!AP4&lt;&gt;".",s_Irr!BN4="."),s_dir!S4/((1/1000)*(s_Irr!R4+s_Irr!AP4)),IF(AND(s_Irr!R4&lt;&gt;".",s_Irr!AP4=".",s_Irr!BN4&lt;&gt;"."),s_dir!S4/((1/1000)*(s_Irr!R4+s_Irr!BN4)),IF(AND(s_Irr!R4=".",s_Irr!AP4&lt;&gt;".",s_Irr!BN4&lt;&gt;"."),s_dir!S4/((1/1000)*(s_Irr!AP4+s_Irr!BN4)),IF(AND(s_Irr!R4=".",s_Irr!AP4=".",s_Irr!BN4&lt;&gt;"."),s_dir!S4/((1/1000)*(s_Irr!BN4)),IF(AND(s_Irr!R4=".",s_Irr!AP4&lt;&gt;".",s_Irr!BN4="."),s_dir!S4/((1/1000)*(s_Irr!AP4)),IF(AND(s_Irr!R4&lt;&gt;".",s_Irr!AP4=".",s_Irr!BN4="."),s_dir!S4/((1/1000)*(s_Irr!R4)),IF(AND(s_Irr!R4=".",s_Irr!AP4=".",s_Irr!BN4="."),s_dir!S4*1000)))))))),".")</f>
        <v>.</v>
      </c>
      <c r="T4" s="48" t="str">
        <f>IFERROR(IF(AND(s_Irr!S4&lt;&gt;".",s_Irr!AQ4&lt;&gt;".",s_Irr!BO4&lt;&gt;"."),s_dir!T4/((1/1000)*(s_Irr!S4+s_Irr!AQ4+s_Irr!BO4)),IF(AND(s_Irr!S4&lt;&gt;".",s_Irr!AQ4&lt;&gt;".",s_Irr!BO4="."),s_dir!T4/((1/1000)*(s_Irr!S4+s_Irr!AQ4)),IF(AND(s_Irr!S4&lt;&gt;".",s_Irr!AQ4=".",s_Irr!BO4&lt;&gt;"."),s_dir!T4/((1/1000)*(s_Irr!S4+s_Irr!BO4)),IF(AND(s_Irr!S4=".",s_Irr!AQ4&lt;&gt;".",s_Irr!BO4&lt;&gt;"."),s_dir!T4/((1/1000)*(s_Irr!AQ4+s_Irr!BO4)),IF(AND(s_Irr!S4=".",s_Irr!AQ4=".",s_Irr!BO4&lt;&gt;"."),s_dir!T4/((1/1000)*(s_Irr!BO4)),IF(AND(s_Irr!S4=".",s_Irr!AQ4&lt;&gt;".",s_Irr!BO4="."),s_dir!T4/((1/1000)*(s_Irr!AQ4)),IF(AND(s_Irr!S4&lt;&gt;".",s_Irr!AQ4=".",s_Irr!BO4="."),s_dir!T4/((1/1000)*(s_Irr!S4)),IF(AND(s_Irr!S4=".",s_Irr!AQ4=".",s_Irr!BO4="."),s_dir!T4*1000)))))))),".")</f>
        <v>.</v>
      </c>
      <c r="U4" s="48" t="str">
        <f>IFERROR(IF(AND(s_Irr!T4&lt;&gt;".",s_Irr!AR4&lt;&gt;".",s_Irr!BP4&lt;&gt;"."),s_dir!U4/((1/1000)*(s_Irr!T4+s_Irr!AR4+s_Irr!BP4)),IF(AND(s_Irr!T4&lt;&gt;".",s_Irr!AR4&lt;&gt;".",s_Irr!BP4="."),s_dir!U4/((1/1000)*(s_Irr!T4+s_Irr!AR4)),IF(AND(s_Irr!T4&lt;&gt;".",s_Irr!AR4=".",s_Irr!BP4&lt;&gt;"."),s_dir!U4/((1/1000)*(s_Irr!T4+s_Irr!BP4)),IF(AND(s_Irr!T4=".",s_Irr!AR4&lt;&gt;".",s_Irr!BP4&lt;&gt;"."),s_dir!U4/((1/1000)*(s_Irr!AR4+s_Irr!BP4)),IF(AND(s_Irr!T4=".",s_Irr!AR4=".",s_Irr!BP4&lt;&gt;"."),s_dir!U4/((1/1000)*(s_Irr!BP4)),IF(AND(s_Irr!T4=".",s_Irr!AR4&lt;&gt;".",s_Irr!BP4="."),s_dir!U4/((1/1000)*(s_Irr!AR4)),IF(AND(s_Irr!T4&lt;&gt;".",s_Irr!AR4=".",s_Irr!BP4="."),s_dir!U4/((1/1000)*(s_Irr!T4)),IF(AND(s_Irr!T4=".",s_Irr!AR4=".",s_Irr!BP4="."),s_dir!U4*1000)))))))),".")</f>
        <v>.</v>
      </c>
      <c r="V4" s="48" t="str">
        <f>IFERROR(IF(AND(s_Irr!U4&lt;&gt;".",s_Irr!AS4&lt;&gt;".",s_Irr!BQ4&lt;&gt;"."),s_dir!V4/((1/1000)*(s_Irr!U4+s_Irr!AS4+s_Irr!BQ4)),IF(AND(s_Irr!U4&lt;&gt;".",s_Irr!AS4&lt;&gt;".",s_Irr!BQ4="."),s_dir!V4/((1/1000)*(s_Irr!U4+s_Irr!AS4)),IF(AND(s_Irr!U4&lt;&gt;".",s_Irr!AS4=".",s_Irr!BQ4&lt;&gt;"."),s_dir!V4/((1/1000)*(s_Irr!U4+s_Irr!BQ4)),IF(AND(s_Irr!U4=".",s_Irr!AS4&lt;&gt;".",s_Irr!BQ4&lt;&gt;"."),s_dir!V4/((1/1000)*(s_Irr!AS4+s_Irr!BQ4)),IF(AND(s_Irr!U4=".",s_Irr!AS4=".",s_Irr!BQ4&lt;&gt;"."),s_dir!V4/((1/1000)*(s_Irr!BQ4)),IF(AND(s_Irr!U4=".",s_Irr!AS4&lt;&gt;".",s_Irr!BQ4="."),s_dir!V4/((1/1000)*(s_Irr!AS4)),IF(AND(s_Irr!U4&lt;&gt;".",s_Irr!AS4=".",s_Irr!BQ4="."),s_dir!V4/((1/1000)*(s_Irr!U4)),IF(AND(s_Irr!U4=".",s_Irr!AS4=".",s_Irr!BQ4="."),s_dir!V4*1000)))))))),".")</f>
        <v>.</v>
      </c>
      <c r="W4" s="48" t="str">
        <f>IFERROR(IF(AND(s_Irr!V4&lt;&gt;".",s_Irr!AT4&lt;&gt;".",s_Irr!BR4&lt;&gt;"."),s_dir!W4/((1/1000)*(s_Irr!V4+s_Irr!AT4+s_Irr!BR4)),IF(AND(s_Irr!V4&lt;&gt;".",s_Irr!AT4&lt;&gt;".",s_Irr!BR4="."),s_dir!W4/((1/1000)*(s_Irr!V4+s_Irr!AT4)),IF(AND(s_Irr!V4&lt;&gt;".",s_Irr!AT4=".",s_Irr!BR4&lt;&gt;"."),s_dir!W4/((1/1000)*(s_Irr!V4+s_Irr!BR4)),IF(AND(s_Irr!V4=".",s_Irr!AT4&lt;&gt;".",s_Irr!BR4&lt;&gt;"."),s_dir!W4/((1/1000)*(s_Irr!AT4+s_Irr!BR4)),IF(AND(s_Irr!V4=".",s_Irr!AT4=".",s_Irr!BR4&lt;&gt;"."),s_dir!W4/((1/1000)*(s_Irr!BR4)),IF(AND(s_Irr!V4=".",s_Irr!AT4&lt;&gt;".",s_Irr!BR4="."),s_dir!W4/((1/1000)*(s_Irr!AT4)),IF(AND(s_Irr!V4&lt;&gt;".",s_Irr!AT4=".",s_Irr!BR4="."),s_dir!W4/((1/1000)*(s_Irr!V4)),IF(AND(s_Irr!V4=".",s_Irr!AT4=".",s_Irr!BR4="."),s_dir!W4*1000)))))))),".")</f>
        <v>.</v>
      </c>
      <c r="X4" s="48" t="str">
        <f>IFERROR(IF(AND(s_Irr!W4&lt;&gt;".",s_Irr!AU4&lt;&gt;".",s_Irr!BS4&lt;&gt;"."),s_dir!X4/((1/1000)*(s_Irr!W4+s_Irr!AU4+s_Irr!BS4)),IF(AND(s_Irr!W4&lt;&gt;".",s_Irr!AU4&lt;&gt;".",s_Irr!BS4="."),s_dir!X4/((1/1000)*(s_Irr!W4+s_Irr!AU4)),IF(AND(s_Irr!W4&lt;&gt;".",s_Irr!AU4=".",s_Irr!BS4&lt;&gt;"."),s_dir!X4/((1/1000)*(s_Irr!W4+s_Irr!BS4)),IF(AND(s_Irr!W4=".",s_Irr!AU4&lt;&gt;".",s_Irr!BS4&lt;&gt;"."),s_dir!X4/((1/1000)*(s_Irr!AU4+s_Irr!BS4)),IF(AND(s_Irr!W4=".",s_Irr!AU4=".",s_Irr!BS4&lt;&gt;"."),s_dir!X4/((1/1000)*(s_Irr!BS4)),IF(AND(s_Irr!W4=".",s_Irr!AU4&lt;&gt;".",s_Irr!BS4="."),s_dir!X4/((1/1000)*(s_Irr!AU4)),IF(AND(s_Irr!W4&lt;&gt;".",s_Irr!AU4=".",s_Irr!BS4="."),s_dir!X4/((1/1000)*(s_Irr!W4)),IF(AND(s_Irr!W4=".",s_Irr!AU4=".",s_Irr!BS4="."),s_dir!X4*1000)))))))),".")</f>
        <v>.</v>
      </c>
      <c r="Y4" s="48" t="str">
        <f>IFERROR(IF(AND(s_Irr!X4&lt;&gt;".",s_Irr!AV4&lt;&gt;".",s_Irr!BT4&lt;&gt;"."),s_dir!Y4/((1/1000)*(s_Irr!X4+s_Irr!AV4+s_Irr!BT4)),IF(AND(s_Irr!X4&lt;&gt;".",s_Irr!AV4&lt;&gt;".",s_Irr!BT4="."),s_dir!Y4/((1/1000)*(s_Irr!X4+s_Irr!AV4)),IF(AND(s_Irr!X4&lt;&gt;".",s_Irr!AV4=".",s_Irr!BT4&lt;&gt;"."),s_dir!Y4/((1/1000)*(s_Irr!X4+s_Irr!BT4)),IF(AND(s_Irr!X4=".",s_Irr!AV4&lt;&gt;".",s_Irr!BT4&lt;&gt;"."),s_dir!Y4/((1/1000)*(s_Irr!AV4+s_Irr!BT4)),IF(AND(s_Irr!X4=".",s_Irr!AV4=".",s_Irr!BT4&lt;&gt;"."),s_dir!Y4/((1/1000)*(s_Irr!BT4)),IF(AND(s_Irr!X4=".",s_Irr!AV4&lt;&gt;".",s_Irr!BT4="."),s_dir!Y4/((1/1000)*(s_Irr!AV4)),IF(AND(s_Irr!X4&lt;&gt;".",s_Irr!AV4=".",s_Irr!BT4="."),s_dir!Y4/((1/1000)*(s_Irr!X4)),IF(AND(s_Irr!X4=".",s_Irr!AV4=".",s_Irr!BT4="."),s_dir!Y4*1000)))))))),".")</f>
        <v>.</v>
      </c>
      <c r="Z4" s="48" t="str">
        <f>IFERROR(IF(AND(s_Irr!Y4&lt;&gt;".",s_Irr!AW4&lt;&gt;".",s_Irr!BU4&lt;&gt;"."),s_dir!Z4/((1/1000)*(s_Irr!Y4+s_Irr!AW4+s_Irr!BU4)),IF(AND(s_Irr!Y4&lt;&gt;".",s_Irr!AW4&lt;&gt;".",s_Irr!BU4="."),s_dir!Z4/((1/1000)*(s_Irr!Y4+s_Irr!AW4)),IF(AND(s_Irr!Y4&lt;&gt;".",s_Irr!AW4=".",s_Irr!BU4&lt;&gt;"."),s_dir!Z4/((1/1000)*(s_Irr!Y4+s_Irr!BU4)),IF(AND(s_Irr!Y4=".",s_Irr!AW4&lt;&gt;".",s_Irr!BU4&lt;&gt;"."),s_dir!Z4/((1/1000)*(s_Irr!AW4+s_Irr!BU4)),IF(AND(s_Irr!Y4=".",s_Irr!AW4=".",s_Irr!BU4&lt;&gt;"."),s_dir!Z4/((1/1000)*(s_Irr!BU4)),IF(AND(s_Irr!Y4=".",s_Irr!AW4&lt;&gt;".",s_Irr!BU4="."),s_dir!Z4/((1/1000)*(s_Irr!AW4)),IF(AND(s_Irr!Y4&lt;&gt;".",s_Irr!AW4=".",s_Irr!BU4="."),s_dir!Z4/((1/1000)*(s_Irr!Y4)),IF(AND(s_Irr!Y4=".",s_Irr!AW4=".",s_Irr!BU4="."),s_dir!Z4*1000)))))))),".")</f>
        <v>.</v>
      </c>
      <c r="AA4" s="48" t="str">
        <f>IFERROR(IF(AND(s_Irr!Z4&lt;&gt;".",s_Irr!AX4&lt;&gt;".",s_Irr!BV4&lt;&gt;"."),s_dir!AA4/((1/1000)*(s_Irr!Z4+s_Irr!AX4+s_Irr!BV4)),IF(AND(s_Irr!Z4&lt;&gt;".",s_Irr!AX4&lt;&gt;".",s_Irr!BV4="."),s_dir!AA4/((1/1000)*(s_Irr!Z4+s_Irr!AX4)),IF(AND(s_Irr!Z4&lt;&gt;".",s_Irr!AX4=".",s_Irr!BV4&lt;&gt;"."),s_dir!AA4/((1/1000)*(s_Irr!Z4+s_Irr!BV4)),IF(AND(s_Irr!Z4=".",s_Irr!AX4&lt;&gt;".",s_Irr!BV4&lt;&gt;"."),s_dir!AA4/((1/1000)*(s_Irr!AX4+s_Irr!BV4)),IF(AND(s_Irr!Z4=".",s_Irr!AX4=".",s_Irr!BV4&lt;&gt;"."),s_dir!AA4/((1/1000)*(s_Irr!BV4)),IF(AND(s_Irr!Z4=".",s_Irr!AX4&lt;&gt;".",s_Irr!BV4="."),s_dir!AA4/((1/1000)*(s_Irr!AX4)),IF(AND(s_Irr!Z4&lt;&gt;".",s_Irr!AX4=".",s_Irr!BV4="."),s_dir!AA4/((1/1000)*(s_Irr!Z4)),IF(AND(s_Irr!Z4=".",s_Irr!AX4=".",s_Irr!BV4="."),s_dir!AA4*1000)))))))),".")</f>
        <v>.</v>
      </c>
      <c r="AB4" s="62">
        <f t="shared" si="3"/>
        <v>1166.9758688333634</v>
      </c>
      <c r="AC4" s="62">
        <f>IFERROR(s_C*s_IFAP_res_adj*s_CF_apple*0.001*(s_Irr!C4+s_Irr!AA4+s_Irr!AY4),".")</f>
        <v>388.99195627778778</v>
      </c>
      <c r="AD4" s="62">
        <f>IFERROR(s_C*s_IFAS_res_adj*s_CF_asparagus*0.001*(s_Irr!D4+s_Irr!AB4+s_Irr!AZ4),".")</f>
        <v>388.99195627778778</v>
      </c>
      <c r="AE4" s="62">
        <f>IFERROR(s_C*s_IFBT_res_adj*s_CF_beet*0.001*(s_Irr!E4+s_Irr!AC4+s_Irr!BA4),".")</f>
        <v>388.99195627778778</v>
      </c>
      <c r="AF4" s="62">
        <f>IFERROR(s_C*s_IFBE_res_adj*s_CF_berries*0.001*(s_Irr!F4+s_Irr!AD4+s_Irr!BB4),".")</f>
        <v>388.99195627778778</v>
      </c>
      <c r="AG4" s="62">
        <f>IFERROR(s_C*s_IFBR_res_adj*s_CF_broccoli*0.001*(s_Irr!G4+s_Irr!AE4+s_Irr!BC4),".")</f>
        <v>388.99195627778778</v>
      </c>
      <c r="AH4" s="62">
        <f>IFERROR(s_C*s_IFCB_res_adj*s_CF_cabbage*0.001*(s_Irr!H4+s_Irr!AF4+s_Irr!BD4),".")</f>
        <v>388.99195627778778</v>
      </c>
      <c r="AI4" s="62">
        <f>IFERROR(s_C*s_IFCR_res_adj*s_CF_carrot*0.001*(s_Irr!I4+s_Irr!AG4+s_Irr!BE4),".")</f>
        <v>388.99195627778778</v>
      </c>
      <c r="AJ4" s="62">
        <f>IFERROR(s_C*s_IFCI_res_adj*s_CF_citrus*0.001*(s_Irr!J4+s_Irr!AH4+s_Irr!BF4),".")</f>
        <v>388.99195627778778</v>
      </c>
      <c r="AK4" s="62">
        <f>IFERROR(s_C*s_IFCO_res_adj*s_CF_corn*0.001*(s_Irr!K4+s_Irr!AI4+s_Irr!BG4),".")</f>
        <v>388.99195627778778</v>
      </c>
      <c r="AL4" s="62">
        <f>IFERROR(s_C*s_IFCU_res_adj*s_CF_cucumber*0.001*(s_Irr!L4+s_Irr!AJ4+s_Irr!BH4),".")</f>
        <v>388.99195627778778</v>
      </c>
      <c r="AM4" s="62">
        <f>IFERROR(s_C*s_IFLE_res_adj*s_CF_lettuce*0.001*(s_Irr!M4+s_Irr!AK4+s_Irr!BI4),".")</f>
        <v>388.99195627778778</v>
      </c>
      <c r="AN4" s="62">
        <f>IFERROR(s_C*s_IFLI_res_adj*s_CF_lima_bean*0.001*(s_Irr!N4+s_Irr!AL4+s_Irr!BJ4),".")</f>
        <v>388.99195627778778</v>
      </c>
      <c r="AO4" s="62">
        <f>IFERROR(s_C*s_IFOK_res_adj*s_CF_okra*0.001*(s_Irr!O4+s_Irr!AM4+s_Irr!BK4),".")</f>
        <v>388.99195627778778</v>
      </c>
      <c r="AP4" s="62">
        <f>IFERROR(s_C*s_IFON_res_adj*s_CF_onion*0.001*(s_Irr!P4+s_Irr!AN4+s_Irr!BL4),".")</f>
        <v>388.99195627778778</v>
      </c>
      <c r="AQ4" s="62">
        <f>IFERROR(s_C*s_IFPC_res_adj*s_CF_peach*0.001*(s_Irr!Q4+s_Irr!AO4+s_Irr!BM4),".")</f>
        <v>388.99195627778778</v>
      </c>
      <c r="AR4" s="62">
        <f>IFERROR(s_C*s_IFPR_res_adj*s_CF_pear*0.001*(s_Irr!R4+s_Irr!AP4+s_Irr!BN4),".")</f>
        <v>388.99195627778778</v>
      </c>
      <c r="AS4" s="62">
        <f>IFERROR(s_C*s_IFPE_res_adj*s_CF_peas*0.001*(s_Irr!S4+s_Irr!AQ4+s_Irr!BO4),".")</f>
        <v>388.99195627778778</v>
      </c>
      <c r="AT4" s="62">
        <f>IFERROR(s_C*s_IFPT_res_adj*s_CF_potato*0.001*(s_Irr!T4+s_Irr!AR4+s_Irr!BP4),".")</f>
        <v>388.99195627778778</v>
      </c>
      <c r="AU4" s="62">
        <f>IFERROR(s_C*s_IFPU_res_adj*s_CF_pumpkin*0.001*(s_Irr!U4+s_Irr!AS4+s_Irr!BQ4),".")</f>
        <v>388.99195627778778</v>
      </c>
      <c r="AV4" s="62">
        <f>IFERROR(s_C*s_IFSN_res_adj*s_CF_snap_bean*0.001*(s_Irr!V4+s_Irr!AT4+s_Irr!BR4),".")</f>
        <v>388.99195627778778</v>
      </c>
      <c r="AW4" s="62">
        <f>IFERROR(s_C*s_IFST_res_adj*s_CF_strawberry*0.001*(s_Irr!W4+s_Irr!AU4+s_Irr!BS4),".")</f>
        <v>388.99195627778778</v>
      </c>
      <c r="AX4" s="62">
        <f>IFERROR(s_C*s_IFTO_res_adj*s_CF_tomato*0.001*(s_Irr!X4+s_Irr!AV4+s_Irr!BT4),".")</f>
        <v>388.99195627778778</v>
      </c>
      <c r="AY4" s="62">
        <f>IFERROR(s_C*s_IFRI_res_adj*s_CF_rice*0.001*(s_Irr!Y4+s_Irr!AW4+s_Irr!BU4),".")</f>
        <v>388.99195627778778</v>
      </c>
      <c r="AZ4" s="62">
        <f>IFERROR(s_C*s_IFCG_res_adj*s_CF_cereal*0.001*(s_Irr!Z4+s_Irr!AX4+s_Irr!BV4),".")</f>
        <v>388.99195627778778</v>
      </c>
      <c r="BA4" s="48" t="str">
        <f t="shared" si="0"/>
        <v>.</v>
      </c>
      <c r="BB4" s="48" t="str">
        <f>IFERROR(IF(AND(s_Irr!C4&lt;&gt;".",s_Irr!AA4&lt;&gt;".",s_Irr!AY4&lt;&gt;"."),s_dir!AC4/((1/1000)*(s_Irr!C4+s_Irr!AA4+s_Irr!AY4)),IF(AND(s_Irr!C4&lt;&gt;".",s_Irr!AA4&lt;&gt;".",s_Irr!AY4="."),s_dir!AC4/((1/1000)*(s_Irr!C4+s_Irr!AA4)),IF(AND(s_Irr!C4&lt;&gt;".",s_Irr!AA4=".",s_Irr!AY4&lt;&gt;"."),s_dir!AC4/((1/1000)*(s_Irr!C4+s_Irr!AY4)),IF(AND(s_Irr!C4=".",s_Irr!AA4&lt;&gt;".",s_Irr!AY4&lt;&gt;"."),s_dir!AC4/((1/1000)*(s_Irr!AA4+s_Irr!AY4)),IF(AND(s_Irr!C4=".",s_Irr!AA4=".",s_Irr!AY4&lt;&gt;"."),s_dir!AC4/((1/1000)*(s_Irr!AY4)),IF(AND(s_Irr!C4=".",s_Irr!AA4&lt;&gt;".",s_Irr!AY4="."),s_dir!AC4/((1/1000)*(s_Irr!AA4)),IF(AND(s_Irr!C4&lt;&gt;".",s_Irr!AA4=".",s_Irr!AY4="."),s_dir!AC4/((1/1000)*(s_Irr!C4)),IF(AND(s_Irr!C4=".",s_Irr!AA4=".",s_Irr!AY4="."),s_dir!AC4*1000)))))))),".")</f>
        <v>.</v>
      </c>
      <c r="BC4" s="48" t="str">
        <f>IFERROR(IF(AND(s_Irr!D4&lt;&gt;".",s_Irr!AB4&lt;&gt;".",s_Irr!AZ4&lt;&gt;"."),s_dir!AD4/((1/1000)*(s_Irr!D4+s_Irr!AB4+s_Irr!AZ4)),IF(AND(s_Irr!D4&lt;&gt;".",s_Irr!AB4&lt;&gt;".",s_Irr!AZ4="."),s_dir!AD4/((1/1000)*(s_Irr!D4+s_Irr!AB4)),IF(AND(s_Irr!D4&lt;&gt;".",s_Irr!AB4=".",s_Irr!AZ4&lt;&gt;"."),s_dir!AD4/((1/1000)*(s_Irr!D4+s_Irr!AZ4)),IF(AND(s_Irr!D4=".",s_Irr!AB4&lt;&gt;".",s_Irr!AZ4&lt;&gt;"."),s_dir!AD4/((1/1000)*(s_Irr!AB4+s_Irr!AZ4)),IF(AND(s_Irr!D4=".",s_Irr!AB4=".",s_Irr!AZ4&lt;&gt;"."),s_dir!AD4/((1/1000)*(s_Irr!AZ4)),IF(AND(s_Irr!D4=".",s_Irr!AB4&lt;&gt;".",s_Irr!AZ4="."),s_dir!AD4/((1/1000)*(s_Irr!AB4)),IF(AND(s_Irr!D4&lt;&gt;".",s_Irr!AB4=".",s_Irr!AZ4="."),s_dir!AD4/((1/1000)*(s_Irr!D4)),IF(AND(s_Irr!D4=".",s_Irr!AB4=".",s_Irr!AZ4="."),s_dir!AD4*1000)))))))),".")</f>
        <v>.</v>
      </c>
      <c r="BD4" s="48" t="str">
        <f>IFERROR(IF(AND(s_Irr!E4&lt;&gt;".",s_Irr!AC4&lt;&gt;".",s_Irr!BA4&lt;&gt;"."),s_dir!AE4/((1/1000)*(s_Irr!E4+s_Irr!AC4+s_Irr!BA4)),IF(AND(s_Irr!E4&lt;&gt;".",s_Irr!AC4&lt;&gt;".",s_Irr!BA4="."),s_dir!AE4/((1/1000)*(s_Irr!E4+s_Irr!AC4)),IF(AND(s_Irr!E4&lt;&gt;".",s_Irr!AC4=".",s_Irr!BA4&lt;&gt;"."),s_dir!AE4/((1/1000)*(s_Irr!E4+s_Irr!BA4)),IF(AND(s_Irr!E4=".",s_Irr!AC4&lt;&gt;".",s_Irr!BA4&lt;&gt;"."),s_dir!AE4/((1/1000)*(s_Irr!AC4+s_Irr!BA4)),IF(AND(s_Irr!E4=".",s_Irr!AC4=".",s_Irr!BA4&lt;&gt;"."),s_dir!AE4/((1/1000)*(s_Irr!BA4)),IF(AND(s_Irr!E4=".",s_Irr!AC4&lt;&gt;".",s_Irr!BA4="."),s_dir!AE4/((1/1000)*(s_Irr!AC4)),IF(AND(s_Irr!E4&lt;&gt;".",s_Irr!AC4=".",s_Irr!BA4="."),s_dir!AE4/((1/1000)*(s_Irr!E4)),IF(AND(s_Irr!E4=".",s_Irr!AC4=".",s_Irr!BA4="."),s_dir!AE4*1000)))))))),".")</f>
        <v>.</v>
      </c>
      <c r="BE4" s="48" t="str">
        <f>IFERROR(IF(AND(s_Irr!F4&lt;&gt;".",s_Irr!AD4&lt;&gt;".",s_Irr!BB4&lt;&gt;"."),s_dir!AF4/((1/1000)*(s_Irr!F4+s_Irr!AD4+s_Irr!BB4)),IF(AND(s_Irr!F4&lt;&gt;".",s_Irr!AD4&lt;&gt;".",s_Irr!BB4="."),s_dir!AF4/((1/1000)*(s_Irr!F4+s_Irr!AD4)),IF(AND(s_Irr!F4&lt;&gt;".",s_Irr!AD4=".",s_Irr!BB4&lt;&gt;"."),s_dir!AF4/((1/1000)*(s_Irr!F4+s_Irr!BB4)),IF(AND(s_Irr!F4=".",s_Irr!AD4&lt;&gt;".",s_Irr!BB4&lt;&gt;"."),s_dir!AF4/((1/1000)*(s_Irr!AD4+s_Irr!BB4)),IF(AND(s_Irr!F4=".",s_Irr!AD4=".",s_Irr!BB4&lt;&gt;"."),s_dir!AF4/((1/1000)*(s_Irr!BB4)),IF(AND(s_Irr!F4=".",s_Irr!AD4&lt;&gt;".",s_Irr!BB4="."),s_dir!AF4/((1/1000)*(s_Irr!AD4)),IF(AND(s_Irr!F4&lt;&gt;".",s_Irr!AD4=".",s_Irr!BB4="."),s_dir!AF4/((1/1000)*(s_Irr!F4)),IF(AND(s_Irr!F4=".",s_Irr!AD4=".",s_Irr!BB4="."),s_dir!AF4*1000)))))))),".")</f>
        <v>.</v>
      </c>
      <c r="BF4" s="48" t="str">
        <f>IFERROR(IF(AND(s_Irr!G4&lt;&gt;".",s_Irr!AE4&lt;&gt;".",s_Irr!BC4&lt;&gt;"."),s_dir!AG4/((1/1000)*(s_Irr!G4+s_Irr!AE4+s_Irr!BC4)),IF(AND(s_Irr!G4&lt;&gt;".",s_Irr!AE4&lt;&gt;".",s_Irr!BC4="."),s_dir!AG4/((1/1000)*(s_Irr!G4+s_Irr!AE4)),IF(AND(s_Irr!G4&lt;&gt;".",s_Irr!AE4=".",s_Irr!BC4&lt;&gt;"."),s_dir!AG4/((1/1000)*(s_Irr!G4+s_Irr!BC4)),IF(AND(s_Irr!G4=".",s_Irr!AE4&lt;&gt;".",s_Irr!BC4&lt;&gt;"."),s_dir!AG4/((1/1000)*(s_Irr!AE4+s_Irr!BC4)),IF(AND(s_Irr!G4=".",s_Irr!AE4=".",s_Irr!BC4&lt;&gt;"."),s_dir!AG4/((1/1000)*(s_Irr!BC4)),IF(AND(s_Irr!G4=".",s_Irr!AE4&lt;&gt;".",s_Irr!BC4="."),s_dir!AG4/((1/1000)*(s_Irr!AE4)),IF(AND(s_Irr!G4&lt;&gt;".",s_Irr!AE4=".",s_Irr!BC4="."),s_dir!AG4/((1/1000)*(s_Irr!G4)),IF(AND(s_Irr!G4=".",s_Irr!AE4=".",s_Irr!BC4="."),s_dir!AG4*1000)))))))),".")</f>
        <v>.</v>
      </c>
      <c r="BG4" s="48" t="str">
        <f>IFERROR(IF(AND(s_Irr!H4&lt;&gt;".",s_Irr!AF4&lt;&gt;".",s_Irr!BD4&lt;&gt;"."),s_dir!AH4/((1/1000)*(s_Irr!H4+s_Irr!AF4+s_Irr!BD4)),IF(AND(s_Irr!H4&lt;&gt;".",s_Irr!AF4&lt;&gt;".",s_Irr!BD4="."),s_dir!AH4/((1/1000)*(s_Irr!H4+s_Irr!AF4)),IF(AND(s_Irr!H4&lt;&gt;".",s_Irr!AF4=".",s_Irr!BD4&lt;&gt;"."),s_dir!AH4/((1/1000)*(s_Irr!H4+s_Irr!BD4)),IF(AND(s_Irr!H4=".",s_Irr!AF4&lt;&gt;".",s_Irr!BD4&lt;&gt;"."),s_dir!AH4/((1/1000)*(s_Irr!AF4+s_Irr!BD4)),IF(AND(s_Irr!H4=".",s_Irr!AF4=".",s_Irr!BD4&lt;&gt;"."),s_dir!AH4/((1/1000)*(s_Irr!BD4)),IF(AND(s_Irr!H4=".",s_Irr!AF4&lt;&gt;".",s_Irr!BD4="."),s_dir!AH4/((1/1000)*(s_Irr!AF4)),IF(AND(s_Irr!H4&lt;&gt;".",s_Irr!AF4=".",s_Irr!BD4="."),s_dir!AH4/((1/1000)*(s_Irr!H4)),IF(AND(s_Irr!H4=".",s_Irr!AF4=".",s_Irr!BD4="."),s_dir!AH4*1000)))))))),".")</f>
        <v>.</v>
      </c>
      <c r="BH4" s="48" t="str">
        <f>IFERROR(IF(AND(s_Irr!I4&lt;&gt;".",s_Irr!AG4&lt;&gt;".",s_Irr!BE4&lt;&gt;"."),s_dir!AI4/((1/1000)*(s_Irr!I4+s_Irr!AG4+s_Irr!BE4)),IF(AND(s_Irr!I4&lt;&gt;".",s_Irr!AG4&lt;&gt;".",s_Irr!BE4="."),s_dir!AI4/((1/1000)*(s_Irr!I4+s_Irr!AG4)),IF(AND(s_Irr!I4&lt;&gt;".",s_Irr!AG4=".",s_Irr!BE4&lt;&gt;"."),s_dir!AI4/((1/1000)*(s_Irr!I4+s_Irr!BE4)),IF(AND(s_Irr!I4=".",s_Irr!AG4&lt;&gt;".",s_Irr!BE4&lt;&gt;"."),s_dir!AI4/((1/1000)*(s_Irr!AG4+s_Irr!BE4)),IF(AND(s_Irr!I4=".",s_Irr!AG4=".",s_Irr!BE4&lt;&gt;"."),s_dir!AI4/((1/1000)*(s_Irr!BE4)),IF(AND(s_Irr!I4=".",s_Irr!AG4&lt;&gt;".",s_Irr!BE4="."),s_dir!AI4/((1/1000)*(s_Irr!AG4)),IF(AND(s_Irr!I4&lt;&gt;".",s_Irr!AG4=".",s_Irr!BE4="."),s_dir!AI4/((1/1000)*(s_Irr!I4)),IF(AND(s_Irr!I4=".",s_Irr!AG4=".",s_Irr!BE4="."),s_dir!AI4*1000)))))))),".")</f>
        <v>.</v>
      </c>
      <c r="BI4" s="48" t="str">
        <f>IFERROR(IF(AND(s_Irr!J4&lt;&gt;".",s_Irr!AH4&lt;&gt;".",s_Irr!BF4&lt;&gt;"."),s_dir!AJ4/((1/1000)*(s_Irr!J4+s_Irr!AH4+s_Irr!BF4)),IF(AND(s_Irr!J4&lt;&gt;".",s_Irr!AH4&lt;&gt;".",s_Irr!BF4="."),s_dir!AJ4/((1/1000)*(s_Irr!J4+s_Irr!AH4)),IF(AND(s_Irr!J4&lt;&gt;".",s_Irr!AH4=".",s_Irr!BF4&lt;&gt;"."),s_dir!AJ4/((1/1000)*(s_Irr!J4+s_Irr!BF4)),IF(AND(s_Irr!J4=".",s_Irr!AH4&lt;&gt;".",s_Irr!BF4&lt;&gt;"."),s_dir!AJ4/((1/1000)*(s_Irr!AH4+s_Irr!BF4)),IF(AND(s_Irr!J4=".",s_Irr!AH4=".",s_Irr!BF4&lt;&gt;"."),s_dir!AJ4/((1/1000)*(s_Irr!BF4)),IF(AND(s_Irr!J4=".",s_Irr!AH4&lt;&gt;".",s_Irr!BF4="."),s_dir!AJ4/((1/1000)*(s_Irr!AH4)),IF(AND(s_Irr!J4&lt;&gt;".",s_Irr!AH4=".",s_Irr!BF4="."),s_dir!AJ4/((1/1000)*(s_Irr!J4)),IF(AND(s_Irr!J4=".",s_Irr!AH4=".",s_Irr!BF4="."),s_dir!AJ4*1000)))))))),".")</f>
        <v>.</v>
      </c>
      <c r="BJ4" s="48" t="str">
        <f>IFERROR(IF(AND(s_Irr!K4&lt;&gt;".",s_Irr!AI4&lt;&gt;".",s_Irr!BG4&lt;&gt;"."),s_dir!AK4/((1/1000)*(s_Irr!K4+s_Irr!AI4+s_Irr!BG4)),IF(AND(s_Irr!K4&lt;&gt;".",s_Irr!AI4&lt;&gt;".",s_Irr!BG4="."),s_dir!AK4/((1/1000)*(s_Irr!K4+s_Irr!AI4)),IF(AND(s_Irr!K4&lt;&gt;".",s_Irr!AI4=".",s_Irr!BG4&lt;&gt;"."),s_dir!AK4/((1/1000)*(s_Irr!K4+s_Irr!BG4)),IF(AND(s_Irr!K4=".",s_Irr!AI4&lt;&gt;".",s_Irr!BG4&lt;&gt;"."),s_dir!AK4/((1/1000)*(s_Irr!AI4+s_Irr!BG4)),IF(AND(s_Irr!K4=".",s_Irr!AI4=".",s_Irr!BG4&lt;&gt;"."),s_dir!AK4/((1/1000)*(s_Irr!BG4)),IF(AND(s_Irr!K4=".",s_Irr!AI4&lt;&gt;".",s_Irr!BG4="."),s_dir!AK4/((1/1000)*(s_Irr!AI4)),IF(AND(s_Irr!K4&lt;&gt;".",s_Irr!AI4=".",s_Irr!BG4="."),s_dir!AK4/((1/1000)*(s_Irr!K4)),IF(AND(s_Irr!K4=".",s_Irr!AI4=".",s_Irr!BG4="."),s_dir!AK4*1000)))))))),".")</f>
        <v>.</v>
      </c>
      <c r="BK4" s="48" t="str">
        <f>IFERROR(IF(AND(s_Irr!L4&lt;&gt;".",s_Irr!AJ4&lt;&gt;".",s_Irr!BH4&lt;&gt;"."),s_dir!AL4/((1/1000)*(s_Irr!L4+s_Irr!AJ4+s_Irr!BH4)),IF(AND(s_Irr!L4&lt;&gt;".",s_Irr!AJ4&lt;&gt;".",s_Irr!BH4="."),s_dir!AL4/((1/1000)*(s_Irr!L4+s_Irr!AJ4)),IF(AND(s_Irr!L4&lt;&gt;".",s_Irr!AJ4=".",s_Irr!BH4&lt;&gt;"."),s_dir!AL4/((1/1000)*(s_Irr!L4+s_Irr!BH4)),IF(AND(s_Irr!L4=".",s_Irr!AJ4&lt;&gt;".",s_Irr!BH4&lt;&gt;"."),s_dir!AL4/((1/1000)*(s_Irr!AJ4+s_Irr!BH4)),IF(AND(s_Irr!L4=".",s_Irr!AJ4=".",s_Irr!BH4&lt;&gt;"."),s_dir!AL4/((1/1000)*(s_Irr!BH4)),IF(AND(s_Irr!L4=".",s_Irr!AJ4&lt;&gt;".",s_Irr!BH4="."),s_dir!AL4/((1/1000)*(s_Irr!AJ4)),IF(AND(s_Irr!L4&lt;&gt;".",s_Irr!AJ4=".",s_Irr!BH4="."),s_dir!AL4/((1/1000)*(s_Irr!L4)),IF(AND(s_Irr!L4=".",s_Irr!AJ4=".",s_Irr!BH4="."),s_dir!AL4*1000)))))))),".")</f>
        <v>.</v>
      </c>
      <c r="BL4" s="48" t="str">
        <f>IFERROR(IF(AND(s_Irr!M4&lt;&gt;".",s_Irr!AK4&lt;&gt;".",s_Irr!BI4&lt;&gt;"."),s_dir!AM4/((1/1000)*(s_Irr!M4+s_Irr!AK4+s_Irr!BI4)),IF(AND(s_Irr!M4&lt;&gt;".",s_Irr!AK4&lt;&gt;".",s_Irr!BI4="."),s_dir!AM4/((1/1000)*(s_Irr!M4+s_Irr!AK4)),IF(AND(s_Irr!M4&lt;&gt;".",s_Irr!AK4=".",s_Irr!BI4&lt;&gt;"."),s_dir!AM4/((1/1000)*(s_Irr!M4+s_Irr!BI4)),IF(AND(s_Irr!M4=".",s_Irr!AK4&lt;&gt;".",s_Irr!BI4&lt;&gt;"."),s_dir!AM4/((1/1000)*(s_Irr!AK4+s_Irr!BI4)),IF(AND(s_Irr!M4=".",s_Irr!AK4=".",s_Irr!BI4&lt;&gt;"."),s_dir!AM4/((1/1000)*(s_Irr!BI4)),IF(AND(s_Irr!M4=".",s_Irr!AK4&lt;&gt;".",s_Irr!BI4="."),s_dir!AM4/((1/1000)*(s_Irr!AK4)),IF(AND(s_Irr!M4&lt;&gt;".",s_Irr!AK4=".",s_Irr!BI4="."),s_dir!AM4/((1/1000)*(s_Irr!M4)),IF(AND(s_Irr!M4=".",s_Irr!AK4=".",s_Irr!BI4="."),s_dir!AM4*1000)))))))),".")</f>
        <v>.</v>
      </c>
      <c r="BM4" s="48" t="str">
        <f>IFERROR(IF(AND(s_Irr!N4&lt;&gt;".",s_Irr!AL4&lt;&gt;".",s_Irr!BJ4&lt;&gt;"."),s_dir!AN4/((1/1000)*(s_Irr!N4+s_Irr!AL4+s_Irr!BJ4)),IF(AND(s_Irr!N4&lt;&gt;".",s_Irr!AL4&lt;&gt;".",s_Irr!BJ4="."),s_dir!AN4/((1/1000)*(s_Irr!N4+s_Irr!AL4)),IF(AND(s_Irr!N4&lt;&gt;".",s_Irr!AL4=".",s_Irr!BJ4&lt;&gt;"."),s_dir!AN4/((1/1000)*(s_Irr!N4+s_Irr!BJ4)),IF(AND(s_Irr!N4=".",s_Irr!AL4&lt;&gt;".",s_Irr!BJ4&lt;&gt;"."),s_dir!AN4/((1/1000)*(s_Irr!AL4+s_Irr!BJ4)),IF(AND(s_Irr!N4=".",s_Irr!AL4=".",s_Irr!BJ4&lt;&gt;"."),s_dir!AN4/((1/1000)*(s_Irr!BJ4)),IF(AND(s_Irr!N4=".",s_Irr!AL4&lt;&gt;".",s_Irr!BJ4="."),s_dir!AN4/((1/1000)*(s_Irr!AL4)),IF(AND(s_Irr!N4&lt;&gt;".",s_Irr!AL4=".",s_Irr!BJ4="."),s_dir!AN4/((1/1000)*(s_Irr!N4)),IF(AND(s_Irr!N4=".",s_Irr!AL4=".",s_Irr!BJ4="."),s_dir!AN4*1000)))))))),".")</f>
        <v>.</v>
      </c>
      <c r="BN4" s="48" t="str">
        <f>IFERROR(IF(AND(s_Irr!O4&lt;&gt;".",s_Irr!AM4&lt;&gt;".",s_Irr!BK4&lt;&gt;"."),s_dir!AO4/((1/1000)*(s_Irr!O4+s_Irr!AM4+s_Irr!BK4)),IF(AND(s_Irr!O4&lt;&gt;".",s_Irr!AM4&lt;&gt;".",s_Irr!BK4="."),s_dir!AO4/((1/1000)*(s_Irr!O4+s_Irr!AM4)),IF(AND(s_Irr!O4&lt;&gt;".",s_Irr!AM4=".",s_Irr!BK4&lt;&gt;"."),s_dir!AO4/((1/1000)*(s_Irr!O4+s_Irr!BK4)),IF(AND(s_Irr!O4=".",s_Irr!AM4&lt;&gt;".",s_Irr!BK4&lt;&gt;"."),s_dir!AO4/((1/1000)*(s_Irr!AM4+s_Irr!BK4)),IF(AND(s_Irr!O4=".",s_Irr!AM4=".",s_Irr!BK4&lt;&gt;"."),s_dir!AO4/((1/1000)*(s_Irr!BK4)),IF(AND(s_Irr!O4=".",s_Irr!AM4&lt;&gt;".",s_Irr!BK4="."),s_dir!AO4/((1/1000)*(s_Irr!AM4)),IF(AND(s_Irr!O4&lt;&gt;".",s_Irr!AM4=".",s_Irr!BK4="."),s_dir!AO4/((1/1000)*(s_Irr!O4)),IF(AND(s_Irr!O4=".",s_Irr!AM4=".",s_Irr!BK4="."),s_dir!AO4*1000)))))))),".")</f>
        <v>.</v>
      </c>
      <c r="BO4" s="48" t="str">
        <f>IFERROR(IF(AND(s_Irr!P4&lt;&gt;".",s_Irr!AN4&lt;&gt;".",s_Irr!BL4&lt;&gt;"."),s_dir!AP4/((1/1000)*(s_Irr!P4+s_Irr!AN4+s_Irr!BL4)),IF(AND(s_Irr!P4&lt;&gt;".",s_Irr!AN4&lt;&gt;".",s_Irr!BL4="."),s_dir!AP4/((1/1000)*(s_Irr!P4+s_Irr!AN4)),IF(AND(s_Irr!P4&lt;&gt;".",s_Irr!AN4=".",s_Irr!BL4&lt;&gt;"."),s_dir!AP4/((1/1000)*(s_Irr!P4+s_Irr!BL4)),IF(AND(s_Irr!P4=".",s_Irr!AN4&lt;&gt;".",s_Irr!BL4&lt;&gt;"."),s_dir!AP4/((1/1000)*(s_Irr!AN4+s_Irr!BL4)),IF(AND(s_Irr!P4=".",s_Irr!AN4=".",s_Irr!BL4&lt;&gt;"."),s_dir!AP4/((1/1000)*(s_Irr!BL4)),IF(AND(s_Irr!P4=".",s_Irr!AN4&lt;&gt;".",s_Irr!BL4="."),s_dir!AP4/((1/1000)*(s_Irr!AN4)),IF(AND(s_Irr!P4&lt;&gt;".",s_Irr!AN4=".",s_Irr!BL4="."),s_dir!AP4/((1/1000)*(s_Irr!P4)),IF(AND(s_Irr!P4=".",s_Irr!AN4=".",s_Irr!BL4="."),s_dir!AP4*1000)))))))),".")</f>
        <v>.</v>
      </c>
      <c r="BP4" s="48" t="str">
        <f>IFERROR(IF(AND(s_Irr!Q4&lt;&gt;".",s_Irr!AO4&lt;&gt;".",s_Irr!BM4&lt;&gt;"."),s_dir!AQ4/((1/1000)*(s_Irr!Q4+s_Irr!AO4+s_Irr!BM4)),IF(AND(s_Irr!Q4&lt;&gt;".",s_Irr!AO4&lt;&gt;".",s_Irr!BM4="."),s_dir!AQ4/((1/1000)*(s_Irr!Q4+s_Irr!AO4)),IF(AND(s_Irr!Q4&lt;&gt;".",s_Irr!AO4=".",s_Irr!BM4&lt;&gt;"."),s_dir!AQ4/((1/1000)*(s_Irr!Q4+s_Irr!BM4)),IF(AND(s_Irr!Q4=".",s_Irr!AO4&lt;&gt;".",s_Irr!BM4&lt;&gt;"."),s_dir!AQ4/((1/1000)*(s_Irr!AO4+s_Irr!BM4)),IF(AND(s_Irr!Q4=".",s_Irr!AO4=".",s_Irr!BM4&lt;&gt;"."),s_dir!AQ4/((1/1000)*(s_Irr!BM4)),IF(AND(s_Irr!Q4=".",s_Irr!AO4&lt;&gt;".",s_Irr!BM4="."),s_dir!AQ4/((1/1000)*(s_Irr!AO4)),IF(AND(s_Irr!Q4&lt;&gt;".",s_Irr!AO4=".",s_Irr!BM4="."),s_dir!AQ4/((1/1000)*(s_Irr!Q4)),IF(AND(s_Irr!Q4=".",s_Irr!AO4=".",s_Irr!BM4="."),s_dir!AQ4*1000)))))))),".")</f>
        <v>.</v>
      </c>
      <c r="BQ4" s="48" t="str">
        <f>IFERROR(IF(AND(s_Irr!R4&lt;&gt;".",s_Irr!AP4&lt;&gt;".",s_Irr!BN4&lt;&gt;"."),s_dir!AR4/((1/1000)*(s_Irr!R4+s_Irr!AP4+s_Irr!BN4)),IF(AND(s_Irr!R4&lt;&gt;".",s_Irr!AP4&lt;&gt;".",s_Irr!BN4="."),s_dir!AR4/((1/1000)*(s_Irr!R4+s_Irr!AP4)),IF(AND(s_Irr!R4&lt;&gt;".",s_Irr!AP4=".",s_Irr!BN4&lt;&gt;"."),s_dir!AR4/((1/1000)*(s_Irr!R4+s_Irr!BN4)),IF(AND(s_Irr!R4=".",s_Irr!AP4&lt;&gt;".",s_Irr!BN4&lt;&gt;"."),s_dir!AR4/((1/1000)*(s_Irr!AP4+s_Irr!BN4)),IF(AND(s_Irr!R4=".",s_Irr!AP4=".",s_Irr!BN4&lt;&gt;"."),s_dir!AR4/((1/1000)*(s_Irr!BN4)),IF(AND(s_Irr!R4=".",s_Irr!AP4&lt;&gt;".",s_Irr!BN4="."),s_dir!AR4/((1/1000)*(s_Irr!AP4)),IF(AND(s_Irr!R4&lt;&gt;".",s_Irr!AP4=".",s_Irr!BN4="."),s_dir!AR4/((1/1000)*(s_Irr!R4)),IF(AND(s_Irr!R4=".",s_Irr!AP4=".",s_Irr!BN4="."),s_dir!AR4*1000)))))))),".")</f>
        <v>.</v>
      </c>
      <c r="BR4" s="48" t="str">
        <f>IFERROR(IF(AND(s_Irr!S4&lt;&gt;".",s_Irr!AQ4&lt;&gt;".",s_Irr!BO4&lt;&gt;"."),s_dir!AS4/((1/1000)*(s_Irr!S4+s_Irr!AQ4+s_Irr!BO4)),IF(AND(s_Irr!S4&lt;&gt;".",s_Irr!AQ4&lt;&gt;".",s_Irr!BO4="."),s_dir!AS4/((1/1000)*(s_Irr!S4+s_Irr!AQ4)),IF(AND(s_Irr!S4&lt;&gt;".",s_Irr!AQ4=".",s_Irr!BO4&lt;&gt;"."),s_dir!AS4/((1/1000)*(s_Irr!S4+s_Irr!BO4)),IF(AND(s_Irr!S4=".",s_Irr!AQ4&lt;&gt;".",s_Irr!BO4&lt;&gt;"."),s_dir!AS4/((1/1000)*(s_Irr!AQ4+s_Irr!BO4)),IF(AND(s_Irr!S4=".",s_Irr!AQ4=".",s_Irr!BO4&lt;&gt;"."),s_dir!AS4/((1/1000)*(s_Irr!BO4)),IF(AND(s_Irr!S4=".",s_Irr!AQ4&lt;&gt;".",s_Irr!BO4="."),s_dir!AS4/((1/1000)*(s_Irr!AQ4)),IF(AND(s_Irr!S4&lt;&gt;".",s_Irr!AQ4=".",s_Irr!BO4="."),s_dir!AS4/((1/1000)*(s_Irr!S4)),IF(AND(s_Irr!S4=".",s_Irr!AQ4=".",s_Irr!BO4="."),s_dir!AS4*1000)))))))),".")</f>
        <v>.</v>
      </c>
      <c r="BS4" s="48" t="str">
        <f>IFERROR(IF(AND(s_Irr!T4&lt;&gt;".",s_Irr!AR4&lt;&gt;".",s_Irr!BP4&lt;&gt;"."),s_dir!AT4/((1/1000)*(s_Irr!T4+s_Irr!AR4+s_Irr!BP4)),IF(AND(s_Irr!T4&lt;&gt;".",s_Irr!AR4&lt;&gt;".",s_Irr!BP4="."),s_dir!AT4/((1/1000)*(s_Irr!T4+s_Irr!AR4)),IF(AND(s_Irr!T4&lt;&gt;".",s_Irr!AR4=".",s_Irr!BP4&lt;&gt;"."),s_dir!AT4/((1/1000)*(s_Irr!T4+s_Irr!BP4)),IF(AND(s_Irr!T4=".",s_Irr!AR4&lt;&gt;".",s_Irr!BP4&lt;&gt;"."),s_dir!AT4/((1/1000)*(s_Irr!AR4+s_Irr!BP4)),IF(AND(s_Irr!T4=".",s_Irr!AR4=".",s_Irr!BP4&lt;&gt;"."),s_dir!AT4/((1/1000)*(s_Irr!BP4)),IF(AND(s_Irr!T4=".",s_Irr!AR4&lt;&gt;".",s_Irr!BP4="."),s_dir!AT4/((1/1000)*(s_Irr!AR4)),IF(AND(s_Irr!T4&lt;&gt;".",s_Irr!AR4=".",s_Irr!BP4="."),s_dir!AT4/((1/1000)*(s_Irr!T4)),IF(AND(s_Irr!T4=".",s_Irr!AR4=".",s_Irr!BP4="."),s_dir!AT4*1000)))))))),".")</f>
        <v>.</v>
      </c>
      <c r="BT4" s="48" t="str">
        <f>IFERROR(IF(AND(s_Irr!U4&lt;&gt;".",s_Irr!AS4&lt;&gt;".",s_Irr!BQ4&lt;&gt;"."),s_dir!AU4/((1/1000)*(s_Irr!U4+s_Irr!AS4+s_Irr!BQ4)),IF(AND(s_Irr!U4&lt;&gt;".",s_Irr!AS4&lt;&gt;".",s_Irr!BQ4="."),s_dir!AU4/((1/1000)*(s_Irr!U4+s_Irr!AS4)),IF(AND(s_Irr!U4&lt;&gt;".",s_Irr!AS4=".",s_Irr!BQ4&lt;&gt;"."),s_dir!AU4/((1/1000)*(s_Irr!U4+s_Irr!BQ4)),IF(AND(s_Irr!U4=".",s_Irr!AS4&lt;&gt;".",s_Irr!BQ4&lt;&gt;"."),s_dir!AU4/((1/1000)*(s_Irr!AS4+s_Irr!BQ4)),IF(AND(s_Irr!U4=".",s_Irr!AS4=".",s_Irr!BQ4&lt;&gt;"."),s_dir!AU4/((1/1000)*(s_Irr!BQ4)),IF(AND(s_Irr!U4=".",s_Irr!AS4&lt;&gt;".",s_Irr!BQ4="."),s_dir!AU4/((1/1000)*(s_Irr!AS4)),IF(AND(s_Irr!U4&lt;&gt;".",s_Irr!AS4=".",s_Irr!BQ4="."),s_dir!AU4/((1/1000)*(s_Irr!U4)),IF(AND(s_Irr!U4=".",s_Irr!AS4=".",s_Irr!BQ4="."),s_dir!AU4*1000)))))))),".")</f>
        <v>.</v>
      </c>
      <c r="BU4" s="48" t="str">
        <f>IFERROR(IF(AND(s_Irr!V4&lt;&gt;".",s_Irr!AT4&lt;&gt;".",s_Irr!BR4&lt;&gt;"."),s_dir!AV4/((1/1000)*(s_Irr!V4+s_Irr!AT4+s_Irr!BR4)),IF(AND(s_Irr!V4&lt;&gt;".",s_Irr!AT4&lt;&gt;".",s_Irr!BR4="."),s_dir!AV4/((1/1000)*(s_Irr!V4+s_Irr!AT4)),IF(AND(s_Irr!V4&lt;&gt;".",s_Irr!AT4=".",s_Irr!BR4&lt;&gt;"."),s_dir!AV4/((1/1000)*(s_Irr!V4+s_Irr!BR4)),IF(AND(s_Irr!V4=".",s_Irr!AT4&lt;&gt;".",s_Irr!BR4&lt;&gt;"."),s_dir!AV4/((1/1000)*(s_Irr!AT4+s_Irr!BR4)),IF(AND(s_Irr!V4=".",s_Irr!AT4=".",s_Irr!BR4&lt;&gt;"."),s_dir!AV4/((1/1000)*(s_Irr!BR4)),IF(AND(s_Irr!V4=".",s_Irr!AT4&lt;&gt;".",s_Irr!BR4="."),s_dir!AV4/((1/1000)*(s_Irr!AT4)),IF(AND(s_Irr!V4&lt;&gt;".",s_Irr!AT4=".",s_Irr!BR4="."),s_dir!AV4/((1/1000)*(s_Irr!V4)),IF(AND(s_Irr!V4=".",s_Irr!AT4=".",s_Irr!BR4="."),s_dir!AV4*1000)))))))),".")</f>
        <v>.</v>
      </c>
      <c r="BV4" s="48" t="str">
        <f>IFERROR(IF(AND(s_Irr!W4&lt;&gt;".",s_Irr!AU4&lt;&gt;".",s_Irr!BS4&lt;&gt;"."),s_dir!AW4/((1/1000)*(s_Irr!W4+s_Irr!AU4+s_Irr!BS4)),IF(AND(s_Irr!W4&lt;&gt;".",s_Irr!AU4&lt;&gt;".",s_Irr!BS4="."),s_dir!AW4/((1/1000)*(s_Irr!W4+s_Irr!AU4)),IF(AND(s_Irr!W4&lt;&gt;".",s_Irr!AU4=".",s_Irr!BS4&lt;&gt;"."),s_dir!AW4/((1/1000)*(s_Irr!W4+s_Irr!BS4)),IF(AND(s_Irr!W4=".",s_Irr!AU4&lt;&gt;".",s_Irr!BS4&lt;&gt;"."),s_dir!AW4/((1/1000)*(s_Irr!AU4+s_Irr!BS4)),IF(AND(s_Irr!W4=".",s_Irr!AU4=".",s_Irr!BS4&lt;&gt;"."),s_dir!AW4/((1/1000)*(s_Irr!BS4)),IF(AND(s_Irr!W4=".",s_Irr!AU4&lt;&gt;".",s_Irr!BS4="."),s_dir!AW4/((1/1000)*(s_Irr!AU4)),IF(AND(s_Irr!W4&lt;&gt;".",s_Irr!AU4=".",s_Irr!BS4="."),s_dir!AW4/((1/1000)*(s_Irr!W4)),IF(AND(s_Irr!W4=".",s_Irr!AU4=".",s_Irr!BS4="."),s_dir!AW4*1000)))))))),".")</f>
        <v>.</v>
      </c>
      <c r="BW4" s="48" t="str">
        <f>IFERROR(IF(AND(s_Irr!X4&lt;&gt;".",s_Irr!AV4&lt;&gt;".",s_Irr!BT4&lt;&gt;"."),s_dir!AX4/((1/1000)*(s_Irr!X4+s_Irr!AV4+s_Irr!BT4)),IF(AND(s_Irr!X4&lt;&gt;".",s_Irr!AV4&lt;&gt;".",s_Irr!BT4="."),s_dir!AX4/((1/1000)*(s_Irr!X4+s_Irr!AV4)),IF(AND(s_Irr!X4&lt;&gt;".",s_Irr!AV4=".",s_Irr!BT4&lt;&gt;"."),s_dir!AX4/((1/1000)*(s_Irr!X4+s_Irr!BT4)),IF(AND(s_Irr!X4=".",s_Irr!AV4&lt;&gt;".",s_Irr!BT4&lt;&gt;"."),s_dir!AX4/((1/1000)*(s_Irr!AV4+s_Irr!BT4)),IF(AND(s_Irr!X4=".",s_Irr!AV4=".",s_Irr!BT4&lt;&gt;"."),s_dir!AX4/((1/1000)*(s_Irr!BT4)),IF(AND(s_Irr!X4=".",s_Irr!AV4&lt;&gt;".",s_Irr!BT4="."),s_dir!AX4/((1/1000)*(s_Irr!AV4)),IF(AND(s_Irr!X4&lt;&gt;".",s_Irr!AV4=".",s_Irr!BT4="."),s_dir!AX4/((1/1000)*(s_Irr!X4)),IF(AND(s_Irr!X4=".",s_Irr!AV4=".",s_Irr!BT4="."),s_dir!AX4*1000)))))))),".")</f>
        <v>.</v>
      </c>
      <c r="BX4" s="48" t="str">
        <f>IFERROR(IF(AND(s_Irr!Y4&lt;&gt;".",s_Irr!AW4&lt;&gt;".",s_Irr!BU4&lt;&gt;"."),s_dir!AY4/((1/1000)*(s_Irr!Y4+s_Irr!AW4+s_Irr!BU4)),IF(AND(s_Irr!Y4&lt;&gt;".",s_Irr!AW4&lt;&gt;".",s_Irr!BU4="."),s_dir!AY4/((1/1000)*(s_Irr!Y4+s_Irr!AW4)),IF(AND(s_Irr!Y4&lt;&gt;".",s_Irr!AW4=".",s_Irr!BU4&lt;&gt;"."),s_dir!AY4/((1/1000)*(s_Irr!Y4+s_Irr!BU4)),IF(AND(s_Irr!Y4=".",s_Irr!AW4&lt;&gt;".",s_Irr!BU4&lt;&gt;"."),s_dir!AY4/((1/1000)*(s_Irr!AW4+s_Irr!BU4)),IF(AND(s_Irr!Y4=".",s_Irr!AW4=".",s_Irr!BU4&lt;&gt;"."),s_dir!AY4/((1/1000)*(s_Irr!BU4)),IF(AND(s_Irr!Y4=".",s_Irr!AW4&lt;&gt;".",s_Irr!BU4="."),s_dir!AY4/((1/1000)*(s_Irr!AW4)),IF(AND(s_Irr!Y4&lt;&gt;".",s_Irr!AW4=".",s_Irr!BU4="."),s_dir!AY4/((1/1000)*(s_Irr!Y4)),IF(AND(s_Irr!Y4=".",s_Irr!AW4=".",s_Irr!BU4="."),s_dir!AY4*1000)))))))),".")</f>
        <v>.</v>
      </c>
      <c r="BY4" s="48" t="str">
        <f>IFERROR(IF(AND(s_Irr!Z4&lt;&gt;".",s_Irr!AX4&lt;&gt;".",s_Irr!BV4&lt;&gt;"."),s_dir!AZ4/((1/1000)*(s_Irr!Z4+s_Irr!AX4+s_Irr!BV4)),IF(AND(s_Irr!Z4&lt;&gt;".",s_Irr!AX4&lt;&gt;".",s_Irr!BV4="."),s_dir!AZ4/((1/1000)*(s_Irr!Z4+s_Irr!AX4)),IF(AND(s_Irr!Z4&lt;&gt;".",s_Irr!AX4=".",s_Irr!BV4&lt;&gt;"."),s_dir!AZ4/((1/1000)*(s_Irr!Z4+s_Irr!BV4)),IF(AND(s_Irr!Z4=".",s_Irr!AX4&lt;&gt;".",s_Irr!BV4&lt;&gt;"."),s_dir!AZ4/((1/1000)*(s_Irr!AX4+s_Irr!BV4)),IF(AND(s_Irr!Z4=".",s_Irr!AX4=".",s_Irr!BV4&lt;&gt;"."),s_dir!AZ4/((1/1000)*(s_Irr!BV4)),IF(AND(s_Irr!Z4=".",s_Irr!AX4&lt;&gt;".",s_Irr!BV4="."),s_dir!AZ4/((1/1000)*(s_Irr!AX4)),IF(AND(s_Irr!Z4&lt;&gt;".",s_Irr!AX4=".",s_Irr!BV4="."),s_dir!AZ4/((1/1000)*(s_Irr!Z4)),IF(AND(s_Irr!Z4=".",s_Irr!AX4=".",s_Irr!BV4="."),s_dir!AZ4*1000)))))))),".")</f>
        <v>.</v>
      </c>
      <c r="BZ4" s="62">
        <f t="shared" si="1"/>
        <v>1166.9758688333634</v>
      </c>
      <c r="CA4" s="62">
        <f>IFERROR(s_C*s_IFAP_far_adj*s_CF_apple*(1/1000)*(s_Irr!C4+s_Irr!AA4+s_Irr!AY4),".")</f>
        <v>388.99195627778778</v>
      </c>
      <c r="CB4" s="62">
        <f>IFERROR(s_C*s_IFAS_far_adj*s_CF_asparagus*(1/1000)*(s_Irr!D4+s_Irr!AB4+s_Irr!AZ4),".")</f>
        <v>388.99195627778778</v>
      </c>
      <c r="CC4" s="62">
        <f>IFERROR(s_C*s_IFBT_far_adj*s_CF_beet*(1/1000)*(s_Irr!E4+s_Irr!AC4+s_Irr!BA4),".")</f>
        <v>388.99195627778778</v>
      </c>
      <c r="CD4" s="62">
        <f>IFERROR(s_C*s_IFBE_far_adj*s_CF_berries*(1/1000)*(s_Irr!F4+s_Irr!AD4+s_Irr!BB4),".")</f>
        <v>388.99195627778778</v>
      </c>
      <c r="CE4" s="62">
        <f>IFERROR(s_C*s_IFBR_far_adj*s_CF_broccoli*(1/1000)*(s_Irr!G4+s_Irr!AE4+s_Irr!BC4),".")</f>
        <v>388.99195627778778</v>
      </c>
      <c r="CF4" s="62">
        <f>IFERROR(s_C*s_IFCB_far_adj*s_CF_cabbage*(1/1000)*(s_Irr!H4+s_Irr!AF4+s_Irr!BD4),".")</f>
        <v>388.99195627778778</v>
      </c>
      <c r="CG4" s="62">
        <f>IFERROR(s_C*s_IFCR_far_adj*s_CF_carrot*(1/1000)*(s_Irr!I4+s_Irr!AG4+s_Irr!BE4),".")</f>
        <v>388.99195627778778</v>
      </c>
      <c r="CH4" s="62">
        <f>IFERROR(s_C*s_IFCI_far_adj*s_CF_citrus*(1/1000)*(s_Irr!J4+s_Irr!AH4+s_Irr!BF4),".")</f>
        <v>388.99195627778778</v>
      </c>
      <c r="CI4" s="62">
        <f>IFERROR(s_C*s_IFCO_far_adj*s_CF_corn*(1/1000)*(s_Irr!K4+s_Irr!AI4+s_Irr!BG4),".")</f>
        <v>388.99195627778778</v>
      </c>
      <c r="CJ4" s="62">
        <f>IFERROR(s_C*s_IFCU_far_adj*s_CF_cucumber*(1/1000)*(s_Irr!L4+s_Irr!AJ4+s_Irr!BH4),".")</f>
        <v>388.99195627778778</v>
      </c>
      <c r="CK4" s="62">
        <f>IFERROR(s_C*s_IFLE_far_adj*s_CF_lettuce*(1/1000)*(s_Irr!M4+s_Irr!AK4+s_Irr!BI4),".")</f>
        <v>388.99195627778778</v>
      </c>
      <c r="CL4" s="62">
        <f>IFERROR(s_C*s_IFLI_far_adj*s_CF_lima_bean*(1/1000)*(s_Irr!N4+s_Irr!AL4+s_Irr!BJ4),".")</f>
        <v>388.99195627778778</v>
      </c>
      <c r="CM4" s="62">
        <f>IFERROR(s_C*s_IFOK_far_adj*s_CF_okra*(1/1000)*(s_Irr!O4+s_Irr!AM4+s_Irr!BK4),".")</f>
        <v>388.99195627778778</v>
      </c>
      <c r="CN4" s="62">
        <f>IFERROR(s_C*s_IFON_far_adj*s_CF_onion*(1/1000)*(s_Irr!P4+s_Irr!AN4+s_Irr!BL4),".")</f>
        <v>388.99195627778778</v>
      </c>
      <c r="CO4" s="62">
        <f>IFERROR(s_C*s_IFPC_far_adj*s_CF_peach*(1/1000)*(s_Irr!Q4+s_Irr!AO4+s_Irr!BM4),".")</f>
        <v>388.99195627778778</v>
      </c>
      <c r="CP4" s="62">
        <f>IFERROR(s_C*s_IFPR_far_adj*s_CF_pear*(1/1000)*(s_Irr!R4+s_Irr!AP4+s_Irr!BN4),".")</f>
        <v>388.99195627778778</v>
      </c>
      <c r="CQ4" s="62">
        <f>IFERROR(s_C*s_IFPE_far_adj*s_CF_peas*(1/1000)*(s_Irr!S4+s_Irr!AQ4+s_Irr!BO4),".")</f>
        <v>388.99195627778778</v>
      </c>
      <c r="CR4" s="62">
        <f>IFERROR(s_C*s_IFPT_far_adj*s_CF_potato*(1/1000)*(s_Irr!T4+s_Irr!AR4+s_Irr!BP4),".")</f>
        <v>388.99195627778778</v>
      </c>
      <c r="CS4" s="62">
        <f>IFERROR(s_C*s_IFPU_far_adj*s_CF_pumpkin*(1/1000)*(s_Irr!U4+s_Irr!AS4+s_Irr!BQ4),".")</f>
        <v>388.99195627778778</v>
      </c>
      <c r="CT4" s="62">
        <f>IFERROR(s_C*s_IFSN_far_adj*s_CF_snap_bean*(1/1000)*(s_Irr!V4+s_Irr!AT4+s_Irr!BR4),".")</f>
        <v>388.99195627778778</v>
      </c>
      <c r="CU4" s="62">
        <f>IFERROR(s_C*s_IFST_far_adj*s_CF_strawberry*(1/1000)*(s_Irr!W4+s_Irr!AU4+s_Irr!BS4),".")</f>
        <v>388.99195627778778</v>
      </c>
      <c r="CV4" s="62">
        <f>IFERROR(s_C*s_IFTO_far_adj*s_CF_tomato*(1/1000)*(s_Irr!X4+s_Irr!AV4+s_Irr!BT4),".")</f>
        <v>388.99195627778778</v>
      </c>
      <c r="CW4" s="62">
        <f>IFERROR(s_C*s_IFRI_far_adj*s_CF_rice*(1/1000)*(s_Irr!Y4+s_Irr!AW4+s_Irr!BU4),".")</f>
        <v>388.99195627778778</v>
      </c>
      <c r="CX4" s="62">
        <f>IFERROR(s_C*s_IFCG_far_adj*s_CF_cereal*(1/1000)*(s_Irr!Z4+s_Irr!AX4+s_Irr!BV4),".")</f>
        <v>388.99195627778778</v>
      </c>
    </row>
    <row r="5" spans="1:102" ht="15" customHeight="1" x14ac:dyDescent="0.25">
      <c r="A5" s="61" t="s">
        <v>3</v>
      </c>
      <c r="B5" s="49" t="s">
        <v>1059</v>
      </c>
      <c r="C5" s="48" t="str">
        <f t="shared" si="2"/>
        <v>.</v>
      </c>
      <c r="D5" s="48" t="str">
        <f>IFERROR(IF(AND(s_Irr!C5&lt;&gt;".",s_Irr!AA5&lt;&gt;".",s_Irr!AY5&lt;&gt;"."),s_dir!D5/((1/1000)*(s_Irr!C5+s_Irr!AA5+s_Irr!AY5)),IF(AND(s_Irr!C5&lt;&gt;".",s_Irr!AA5&lt;&gt;".",s_Irr!AY5="."),s_dir!D5/((1/1000)*(s_Irr!C5+s_Irr!AA5)),IF(AND(s_Irr!C5&lt;&gt;".",s_Irr!AA5=".",s_Irr!AY5&lt;&gt;"."),s_dir!D5/((1/1000)*(s_Irr!C5+s_Irr!AY5)),IF(AND(s_Irr!C5=".",s_Irr!AA5&lt;&gt;".",s_Irr!AY5&lt;&gt;"."),s_dir!D5/((1/1000)*(s_Irr!AA5+s_Irr!AY5)),IF(AND(s_Irr!C5=".",s_Irr!AA5=".",s_Irr!AY5&lt;&gt;"."),s_dir!D5/((1/1000)*(s_Irr!AY5)),IF(AND(s_Irr!C5=".",s_Irr!AA5&lt;&gt;".",s_Irr!AY5="."),s_dir!D5/((1/1000)*(s_Irr!AA5)),IF(AND(s_Irr!C5&lt;&gt;".",s_Irr!AA5=".",s_Irr!AY5="."),s_dir!D5/((1/1000)*(s_Irr!C5)),IF(AND(s_Irr!C5=".",s_Irr!AA5=".",s_Irr!AY5="."),s_dir!D5*1000)))))))),".")</f>
        <v>.</v>
      </c>
      <c r="E5" s="48" t="str">
        <f>IFERROR(IF(AND(s_Irr!D5&lt;&gt;".",s_Irr!AB5&lt;&gt;".",s_Irr!AZ5&lt;&gt;"."),s_dir!E5/((1/1000)*(s_Irr!D5+s_Irr!AB5+s_Irr!AZ5)),IF(AND(s_Irr!D5&lt;&gt;".",s_Irr!AB5&lt;&gt;".",s_Irr!AZ5="."),s_dir!E5/((1/1000)*(s_Irr!D5+s_Irr!AB5)),IF(AND(s_Irr!D5&lt;&gt;".",s_Irr!AB5=".",s_Irr!AZ5&lt;&gt;"."),s_dir!E5/((1/1000)*(s_Irr!D5+s_Irr!AZ5)),IF(AND(s_Irr!D5=".",s_Irr!AB5&lt;&gt;".",s_Irr!AZ5&lt;&gt;"."),s_dir!E5/((1/1000)*(s_Irr!AB5+s_Irr!AZ5)),IF(AND(s_Irr!D5=".",s_Irr!AB5=".",s_Irr!AZ5&lt;&gt;"."),s_dir!E5/((1/1000)*(s_Irr!AZ5)),IF(AND(s_Irr!D5=".",s_Irr!AB5&lt;&gt;".",s_Irr!AZ5="."),s_dir!E5/((1/1000)*(s_Irr!AB5)),IF(AND(s_Irr!D5&lt;&gt;".",s_Irr!AB5=".",s_Irr!AZ5="."),s_dir!E5/((1/1000)*(s_Irr!D5)),IF(AND(s_Irr!D5=".",s_Irr!AB5=".",s_Irr!AZ5="."),s_dir!E5*1000)))))))),".")</f>
        <v>.</v>
      </c>
      <c r="F5" s="48" t="str">
        <f>IFERROR(IF(AND(s_Irr!E5&lt;&gt;".",s_Irr!AC5&lt;&gt;".",s_Irr!BA5&lt;&gt;"."),s_dir!F5/((1/1000)*(s_Irr!E5+s_Irr!AC5+s_Irr!BA5)),IF(AND(s_Irr!E5&lt;&gt;".",s_Irr!AC5&lt;&gt;".",s_Irr!BA5="."),s_dir!F5/((1/1000)*(s_Irr!E5+s_Irr!AC5)),IF(AND(s_Irr!E5&lt;&gt;".",s_Irr!AC5=".",s_Irr!BA5&lt;&gt;"."),s_dir!F5/((1/1000)*(s_Irr!E5+s_Irr!BA5)),IF(AND(s_Irr!E5=".",s_Irr!AC5&lt;&gt;".",s_Irr!BA5&lt;&gt;"."),s_dir!F5/((1/1000)*(s_Irr!AC5+s_Irr!BA5)),IF(AND(s_Irr!E5=".",s_Irr!AC5=".",s_Irr!BA5&lt;&gt;"."),s_dir!F5/((1/1000)*(s_Irr!BA5)),IF(AND(s_Irr!E5=".",s_Irr!AC5&lt;&gt;".",s_Irr!BA5="."),s_dir!F5/((1/1000)*(s_Irr!AC5)),IF(AND(s_Irr!E5&lt;&gt;".",s_Irr!AC5=".",s_Irr!BA5="."),s_dir!F5/((1/1000)*(s_Irr!E5)),IF(AND(s_Irr!E5=".",s_Irr!AC5=".",s_Irr!BA5="."),s_dir!F5*1000)))))))),".")</f>
        <v>.</v>
      </c>
      <c r="G5" s="48" t="str">
        <f>IFERROR(IF(AND(s_Irr!F5&lt;&gt;".",s_Irr!AD5&lt;&gt;".",s_Irr!BB5&lt;&gt;"."),s_dir!G5/((1/1000)*(s_Irr!F5+s_Irr!AD5+s_Irr!BB5)),IF(AND(s_Irr!F5&lt;&gt;".",s_Irr!AD5&lt;&gt;".",s_Irr!BB5="."),s_dir!G5/((1/1000)*(s_Irr!F5+s_Irr!AD5)),IF(AND(s_Irr!F5&lt;&gt;".",s_Irr!AD5=".",s_Irr!BB5&lt;&gt;"."),s_dir!G5/((1/1000)*(s_Irr!F5+s_Irr!BB5)),IF(AND(s_Irr!F5=".",s_Irr!AD5&lt;&gt;".",s_Irr!BB5&lt;&gt;"."),s_dir!G5/((1/1000)*(s_Irr!AD5+s_Irr!BB5)),IF(AND(s_Irr!F5=".",s_Irr!AD5=".",s_Irr!BB5&lt;&gt;"."),s_dir!G5/((1/1000)*(s_Irr!BB5)),IF(AND(s_Irr!F5=".",s_Irr!AD5&lt;&gt;".",s_Irr!BB5="."),s_dir!G5/((1/1000)*(s_Irr!AD5)),IF(AND(s_Irr!F5&lt;&gt;".",s_Irr!AD5=".",s_Irr!BB5="."),s_dir!G5/((1/1000)*(s_Irr!F5)),IF(AND(s_Irr!F5=".",s_Irr!AD5=".",s_Irr!BB5="."),s_dir!G5*1000)))))))),".")</f>
        <v>.</v>
      </c>
      <c r="H5" s="48" t="str">
        <f>IFERROR(IF(AND(s_Irr!G5&lt;&gt;".",s_Irr!AE5&lt;&gt;".",s_Irr!BC5&lt;&gt;"."),s_dir!H5/((1/1000)*(s_Irr!G5+s_Irr!AE5+s_Irr!BC5)),IF(AND(s_Irr!G5&lt;&gt;".",s_Irr!AE5&lt;&gt;".",s_Irr!BC5="."),s_dir!H5/((1/1000)*(s_Irr!G5+s_Irr!AE5)),IF(AND(s_Irr!G5&lt;&gt;".",s_Irr!AE5=".",s_Irr!BC5&lt;&gt;"."),s_dir!H5/((1/1000)*(s_Irr!G5+s_Irr!BC5)),IF(AND(s_Irr!G5=".",s_Irr!AE5&lt;&gt;".",s_Irr!BC5&lt;&gt;"."),s_dir!H5/((1/1000)*(s_Irr!AE5+s_Irr!BC5)),IF(AND(s_Irr!G5=".",s_Irr!AE5=".",s_Irr!BC5&lt;&gt;"."),s_dir!H5/((1/1000)*(s_Irr!BC5)),IF(AND(s_Irr!G5=".",s_Irr!AE5&lt;&gt;".",s_Irr!BC5="."),s_dir!H5/((1/1000)*(s_Irr!AE5)),IF(AND(s_Irr!G5&lt;&gt;".",s_Irr!AE5=".",s_Irr!BC5="."),s_dir!H5/((1/1000)*(s_Irr!G5)),IF(AND(s_Irr!G5=".",s_Irr!AE5=".",s_Irr!BC5="."),s_dir!H5*1000)))))))),".")</f>
        <v>.</v>
      </c>
      <c r="I5" s="48" t="str">
        <f>IFERROR(IF(AND(s_Irr!H5&lt;&gt;".",s_Irr!AF5&lt;&gt;".",s_Irr!BD5&lt;&gt;"."),s_dir!I5/((1/1000)*(s_Irr!H5+s_Irr!AF5+s_Irr!BD5)),IF(AND(s_Irr!H5&lt;&gt;".",s_Irr!AF5&lt;&gt;".",s_Irr!BD5="."),s_dir!I5/((1/1000)*(s_Irr!H5+s_Irr!AF5)),IF(AND(s_Irr!H5&lt;&gt;".",s_Irr!AF5=".",s_Irr!BD5&lt;&gt;"."),s_dir!I5/((1/1000)*(s_Irr!H5+s_Irr!BD5)),IF(AND(s_Irr!H5=".",s_Irr!AF5&lt;&gt;".",s_Irr!BD5&lt;&gt;"."),s_dir!I5/((1/1000)*(s_Irr!AF5+s_Irr!BD5)),IF(AND(s_Irr!H5=".",s_Irr!AF5=".",s_Irr!BD5&lt;&gt;"."),s_dir!I5/((1/1000)*(s_Irr!BD5)),IF(AND(s_Irr!H5=".",s_Irr!AF5&lt;&gt;".",s_Irr!BD5="."),s_dir!I5/((1/1000)*(s_Irr!AF5)),IF(AND(s_Irr!H5&lt;&gt;".",s_Irr!AF5=".",s_Irr!BD5="."),s_dir!I5/((1/1000)*(s_Irr!H5)),IF(AND(s_Irr!H5=".",s_Irr!AF5=".",s_Irr!BD5="."),s_dir!I5*1000)))))))),".")</f>
        <v>.</v>
      </c>
      <c r="J5" s="48" t="str">
        <f>IFERROR(IF(AND(s_Irr!I5&lt;&gt;".",s_Irr!AG5&lt;&gt;".",s_Irr!BE5&lt;&gt;"."),s_dir!J5/((1/1000)*(s_Irr!I5+s_Irr!AG5+s_Irr!BE5)),IF(AND(s_Irr!I5&lt;&gt;".",s_Irr!AG5&lt;&gt;".",s_Irr!BE5="."),s_dir!J5/((1/1000)*(s_Irr!I5+s_Irr!AG5)),IF(AND(s_Irr!I5&lt;&gt;".",s_Irr!AG5=".",s_Irr!BE5&lt;&gt;"."),s_dir!J5/((1/1000)*(s_Irr!I5+s_Irr!BE5)),IF(AND(s_Irr!I5=".",s_Irr!AG5&lt;&gt;".",s_Irr!BE5&lt;&gt;"."),s_dir!J5/((1/1000)*(s_Irr!AG5+s_Irr!BE5)),IF(AND(s_Irr!I5=".",s_Irr!AG5=".",s_Irr!BE5&lt;&gt;"."),s_dir!J5/((1/1000)*(s_Irr!BE5)),IF(AND(s_Irr!I5=".",s_Irr!AG5&lt;&gt;".",s_Irr!BE5="."),s_dir!J5/((1/1000)*(s_Irr!AG5)),IF(AND(s_Irr!I5&lt;&gt;".",s_Irr!AG5=".",s_Irr!BE5="."),s_dir!J5/((1/1000)*(s_Irr!I5)),IF(AND(s_Irr!I5=".",s_Irr!AG5=".",s_Irr!BE5="."),s_dir!J5*1000)))))))),".")</f>
        <v>.</v>
      </c>
      <c r="K5" s="48" t="str">
        <f>IFERROR(IF(AND(s_Irr!J5&lt;&gt;".",s_Irr!AH5&lt;&gt;".",s_Irr!BF5&lt;&gt;"."),s_dir!K5/((1/1000)*(s_Irr!J5+s_Irr!AH5+s_Irr!BF5)),IF(AND(s_Irr!J5&lt;&gt;".",s_Irr!AH5&lt;&gt;".",s_Irr!BF5="."),s_dir!K5/((1/1000)*(s_Irr!J5+s_Irr!AH5)),IF(AND(s_Irr!J5&lt;&gt;".",s_Irr!AH5=".",s_Irr!BF5&lt;&gt;"."),s_dir!K5/((1/1000)*(s_Irr!J5+s_Irr!BF5)),IF(AND(s_Irr!J5=".",s_Irr!AH5&lt;&gt;".",s_Irr!BF5&lt;&gt;"."),s_dir!K5/((1/1000)*(s_Irr!AH5+s_Irr!BF5)),IF(AND(s_Irr!J5=".",s_Irr!AH5=".",s_Irr!BF5&lt;&gt;"."),s_dir!K5/((1/1000)*(s_Irr!BF5)),IF(AND(s_Irr!J5=".",s_Irr!AH5&lt;&gt;".",s_Irr!BF5="."),s_dir!K5/((1/1000)*(s_Irr!AH5)),IF(AND(s_Irr!J5&lt;&gt;".",s_Irr!AH5=".",s_Irr!BF5="."),s_dir!K5/((1/1000)*(s_Irr!J5)),IF(AND(s_Irr!J5=".",s_Irr!AH5=".",s_Irr!BF5="."),s_dir!K5*1000)))))))),".")</f>
        <v>.</v>
      </c>
      <c r="L5" s="48" t="str">
        <f>IFERROR(IF(AND(s_Irr!K5&lt;&gt;".",s_Irr!AI5&lt;&gt;".",s_Irr!BG5&lt;&gt;"."),s_dir!L5/((1/1000)*(s_Irr!K5+s_Irr!AI5+s_Irr!BG5)),IF(AND(s_Irr!K5&lt;&gt;".",s_Irr!AI5&lt;&gt;".",s_Irr!BG5="."),s_dir!L5/((1/1000)*(s_Irr!K5+s_Irr!AI5)),IF(AND(s_Irr!K5&lt;&gt;".",s_Irr!AI5=".",s_Irr!BG5&lt;&gt;"."),s_dir!L5/((1/1000)*(s_Irr!K5+s_Irr!BG5)),IF(AND(s_Irr!K5=".",s_Irr!AI5&lt;&gt;".",s_Irr!BG5&lt;&gt;"."),s_dir!L5/((1/1000)*(s_Irr!AI5+s_Irr!BG5)),IF(AND(s_Irr!K5=".",s_Irr!AI5=".",s_Irr!BG5&lt;&gt;"."),s_dir!L5/((1/1000)*(s_Irr!BG5)),IF(AND(s_Irr!K5=".",s_Irr!AI5&lt;&gt;".",s_Irr!BG5="."),s_dir!L5/((1/1000)*(s_Irr!AI5)),IF(AND(s_Irr!K5&lt;&gt;".",s_Irr!AI5=".",s_Irr!BG5="."),s_dir!L5/((1/1000)*(s_Irr!K5)),IF(AND(s_Irr!K5=".",s_Irr!AI5=".",s_Irr!BG5="."),s_dir!L5*1000)))))))),".")</f>
        <v>.</v>
      </c>
      <c r="M5" s="48" t="str">
        <f>IFERROR(IF(AND(s_Irr!L5&lt;&gt;".",s_Irr!AJ5&lt;&gt;".",s_Irr!BH5&lt;&gt;"."),s_dir!M5/((1/1000)*(s_Irr!L5+s_Irr!AJ5+s_Irr!BH5)),IF(AND(s_Irr!L5&lt;&gt;".",s_Irr!AJ5&lt;&gt;".",s_Irr!BH5="."),s_dir!M5/((1/1000)*(s_Irr!L5+s_Irr!AJ5)),IF(AND(s_Irr!L5&lt;&gt;".",s_Irr!AJ5=".",s_Irr!BH5&lt;&gt;"."),s_dir!M5/((1/1000)*(s_Irr!L5+s_Irr!BH5)),IF(AND(s_Irr!L5=".",s_Irr!AJ5&lt;&gt;".",s_Irr!BH5&lt;&gt;"."),s_dir!M5/((1/1000)*(s_Irr!AJ5+s_Irr!BH5)),IF(AND(s_Irr!L5=".",s_Irr!AJ5=".",s_Irr!BH5&lt;&gt;"."),s_dir!M5/((1/1000)*(s_Irr!BH5)),IF(AND(s_Irr!L5=".",s_Irr!AJ5&lt;&gt;".",s_Irr!BH5="."),s_dir!M5/((1/1000)*(s_Irr!AJ5)),IF(AND(s_Irr!L5&lt;&gt;".",s_Irr!AJ5=".",s_Irr!BH5="."),s_dir!M5/((1/1000)*(s_Irr!L5)),IF(AND(s_Irr!L5=".",s_Irr!AJ5=".",s_Irr!BH5="."),s_dir!M5*1000)))))))),".")</f>
        <v>.</v>
      </c>
      <c r="N5" s="48" t="str">
        <f>IFERROR(IF(AND(s_Irr!M5&lt;&gt;".",s_Irr!AK5&lt;&gt;".",s_Irr!BI5&lt;&gt;"."),s_dir!N5/((1/1000)*(s_Irr!M5+s_Irr!AK5+s_Irr!BI5)),IF(AND(s_Irr!M5&lt;&gt;".",s_Irr!AK5&lt;&gt;".",s_Irr!BI5="."),s_dir!N5/((1/1000)*(s_Irr!M5+s_Irr!AK5)),IF(AND(s_Irr!M5&lt;&gt;".",s_Irr!AK5=".",s_Irr!BI5&lt;&gt;"."),s_dir!N5/((1/1000)*(s_Irr!M5+s_Irr!BI5)),IF(AND(s_Irr!M5=".",s_Irr!AK5&lt;&gt;".",s_Irr!BI5&lt;&gt;"."),s_dir!N5/((1/1000)*(s_Irr!AK5+s_Irr!BI5)),IF(AND(s_Irr!M5=".",s_Irr!AK5=".",s_Irr!BI5&lt;&gt;"."),s_dir!N5/((1/1000)*(s_Irr!BI5)),IF(AND(s_Irr!M5=".",s_Irr!AK5&lt;&gt;".",s_Irr!BI5="."),s_dir!N5/((1/1000)*(s_Irr!AK5)),IF(AND(s_Irr!M5&lt;&gt;".",s_Irr!AK5=".",s_Irr!BI5="."),s_dir!N5/((1/1000)*(s_Irr!M5)),IF(AND(s_Irr!M5=".",s_Irr!AK5=".",s_Irr!BI5="."),s_dir!N5*1000)))))))),".")</f>
        <v>.</v>
      </c>
      <c r="O5" s="48" t="str">
        <f>IFERROR(IF(AND(s_Irr!N5&lt;&gt;".",s_Irr!AL5&lt;&gt;".",s_Irr!BJ5&lt;&gt;"."),s_dir!O5/((1/1000)*(s_Irr!N5+s_Irr!AL5+s_Irr!BJ5)),IF(AND(s_Irr!N5&lt;&gt;".",s_Irr!AL5&lt;&gt;".",s_Irr!BJ5="."),s_dir!O5/((1/1000)*(s_Irr!N5+s_Irr!AL5)),IF(AND(s_Irr!N5&lt;&gt;".",s_Irr!AL5=".",s_Irr!BJ5&lt;&gt;"."),s_dir!O5/((1/1000)*(s_Irr!N5+s_Irr!BJ5)),IF(AND(s_Irr!N5=".",s_Irr!AL5&lt;&gt;".",s_Irr!BJ5&lt;&gt;"."),s_dir!O5/((1/1000)*(s_Irr!AL5+s_Irr!BJ5)),IF(AND(s_Irr!N5=".",s_Irr!AL5=".",s_Irr!BJ5&lt;&gt;"."),s_dir!O5/((1/1000)*(s_Irr!BJ5)),IF(AND(s_Irr!N5=".",s_Irr!AL5&lt;&gt;".",s_Irr!BJ5="."),s_dir!O5/((1/1000)*(s_Irr!AL5)),IF(AND(s_Irr!N5&lt;&gt;".",s_Irr!AL5=".",s_Irr!BJ5="."),s_dir!O5/((1/1000)*(s_Irr!N5)),IF(AND(s_Irr!N5=".",s_Irr!AL5=".",s_Irr!BJ5="."),s_dir!O5*1000)))))))),".")</f>
        <v>.</v>
      </c>
      <c r="P5" s="48" t="str">
        <f>IFERROR(IF(AND(s_Irr!O5&lt;&gt;".",s_Irr!AM5&lt;&gt;".",s_Irr!BK5&lt;&gt;"."),s_dir!P5/((1/1000)*(s_Irr!O5+s_Irr!AM5+s_Irr!BK5)),IF(AND(s_Irr!O5&lt;&gt;".",s_Irr!AM5&lt;&gt;".",s_Irr!BK5="."),s_dir!P5/((1/1000)*(s_Irr!O5+s_Irr!AM5)),IF(AND(s_Irr!O5&lt;&gt;".",s_Irr!AM5=".",s_Irr!BK5&lt;&gt;"."),s_dir!P5/((1/1000)*(s_Irr!O5+s_Irr!BK5)),IF(AND(s_Irr!O5=".",s_Irr!AM5&lt;&gt;".",s_Irr!BK5&lt;&gt;"."),s_dir!P5/((1/1000)*(s_Irr!AM5+s_Irr!BK5)),IF(AND(s_Irr!O5=".",s_Irr!AM5=".",s_Irr!BK5&lt;&gt;"."),s_dir!P5/((1/1000)*(s_Irr!BK5)),IF(AND(s_Irr!O5=".",s_Irr!AM5&lt;&gt;".",s_Irr!BK5="."),s_dir!P5/((1/1000)*(s_Irr!AM5)),IF(AND(s_Irr!O5&lt;&gt;".",s_Irr!AM5=".",s_Irr!BK5="."),s_dir!P5/((1/1000)*(s_Irr!O5)),IF(AND(s_Irr!O5=".",s_Irr!AM5=".",s_Irr!BK5="."),s_dir!P5*1000)))))))),".")</f>
        <v>.</v>
      </c>
      <c r="Q5" s="48" t="str">
        <f>IFERROR(IF(AND(s_Irr!P5&lt;&gt;".",s_Irr!AN5&lt;&gt;".",s_Irr!BL5&lt;&gt;"."),s_dir!Q5/((1/1000)*(s_Irr!P5+s_Irr!AN5+s_Irr!BL5)),IF(AND(s_Irr!P5&lt;&gt;".",s_Irr!AN5&lt;&gt;".",s_Irr!BL5="."),s_dir!Q5/((1/1000)*(s_Irr!P5+s_Irr!AN5)),IF(AND(s_Irr!P5&lt;&gt;".",s_Irr!AN5=".",s_Irr!BL5&lt;&gt;"."),s_dir!Q5/((1/1000)*(s_Irr!P5+s_Irr!BL5)),IF(AND(s_Irr!P5=".",s_Irr!AN5&lt;&gt;".",s_Irr!BL5&lt;&gt;"."),s_dir!Q5/((1/1000)*(s_Irr!AN5+s_Irr!BL5)),IF(AND(s_Irr!P5=".",s_Irr!AN5=".",s_Irr!BL5&lt;&gt;"."),s_dir!Q5/((1/1000)*(s_Irr!BL5)),IF(AND(s_Irr!P5=".",s_Irr!AN5&lt;&gt;".",s_Irr!BL5="."),s_dir!Q5/((1/1000)*(s_Irr!AN5)),IF(AND(s_Irr!P5&lt;&gt;".",s_Irr!AN5=".",s_Irr!BL5="."),s_dir!Q5/((1/1000)*(s_Irr!P5)),IF(AND(s_Irr!P5=".",s_Irr!AN5=".",s_Irr!BL5="."),s_dir!Q5*1000)))))))),".")</f>
        <v>.</v>
      </c>
      <c r="R5" s="48" t="str">
        <f>IFERROR(IF(AND(s_Irr!Q5&lt;&gt;".",s_Irr!AO5&lt;&gt;".",s_Irr!BM5&lt;&gt;"."),s_dir!R5/((1/1000)*(s_Irr!Q5+s_Irr!AO5+s_Irr!BM5)),IF(AND(s_Irr!Q5&lt;&gt;".",s_Irr!AO5&lt;&gt;".",s_Irr!BM5="."),s_dir!R5/((1/1000)*(s_Irr!Q5+s_Irr!AO5)),IF(AND(s_Irr!Q5&lt;&gt;".",s_Irr!AO5=".",s_Irr!BM5&lt;&gt;"."),s_dir!R5/((1/1000)*(s_Irr!Q5+s_Irr!BM5)),IF(AND(s_Irr!Q5=".",s_Irr!AO5&lt;&gt;".",s_Irr!BM5&lt;&gt;"."),s_dir!R5/((1/1000)*(s_Irr!AO5+s_Irr!BM5)),IF(AND(s_Irr!Q5=".",s_Irr!AO5=".",s_Irr!BM5&lt;&gt;"."),s_dir!R5/((1/1000)*(s_Irr!BM5)),IF(AND(s_Irr!Q5=".",s_Irr!AO5&lt;&gt;".",s_Irr!BM5="."),s_dir!R5/((1/1000)*(s_Irr!AO5)),IF(AND(s_Irr!Q5&lt;&gt;".",s_Irr!AO5=".",s_Irr!BM5="."),s_dir!R5/((1/1000)*(s_Irr!Q5)),IF(AND(s_Irr!Q5=".",s_Irr!AO5=".",s_Irr!BM5="."),s_dir!R5*1000)))))))),".")</f>
        <v>.</v>
      </c>
      <c r="S5" s="48" t="str">
        <f>IFERROR(IF(AND(s_Irr!R5&lt;&gt;".",s_Irr!AP5&lt;&gt;".",s_Irr!BN5&lt;&gt;"."),s_dir!S5/((1/1000)*(s_Irr!R5+s_Irr!AP5+s_Irr!BN5)),IF(AND(s_Irr!R5&lt;&gt;".",s_Irr!AP5&lt;&gt;".",s_Irr!BN5="."),s_dir!S5/((1/1000)*(s_Irr!R5+s_Irr!AP5)),IF(AND(s_Irr!R5&lt;&gt;".",s_Irr!AP5=".",s_Irr!BN5&lt;&gt;"."),s_dir!S5/((1/1000)*(s_Irr!R5+s_Irr!BN5)),IF(AND(s_Irr!R5=".",s_Irr!AP5&lt;&gt;".",s_Irr!BN5&lt;&gt;"."),s_dir!S5/((1/1000)*(s_Irr!AP5+s_Irr!BN5)),IF(AND(s_Irr!R5=".",s_Irr!AP5=".",s_Irr!BN5&lt;&gt;"."),s_dir!S5/((1/1000)*(s_Irr!BN5)),IF(AND(s_Irr!R5=".",s_Irr!AP5&lt;&gt;".",s_Irr!BN5="."),s_dir!S5/((1/1000)*(s_Irr!AP5)),IF(AND(s_Irr!R5&lt;&gt;".",s_Irr!AP5=".",s_Irr!BN5="."),s_dir!S5/((1/1000)*(s_Irr!R5)),IF(AND(s_Irr!R5=".",s_Irr!AP5=".",s_Irr!BN5="."),s_dir!S5*1000)))))))),".")</f>
        <v>.</v>
      </c>
      <c r="T5" s="48" t="str">
        <f>IFERROR(IF(AND(s_Irr!S5&lt;&gt;".",s_Irr!AQ5&lt;&gt;".",s_Irr!BO5&lt;&gt;"."),s_dir!T5/((1/1000)*(s_Irr!S5+s_Irr!AQ5+s_Irr!BO5)),IF(AND(s_Irr!S5&lt;&gt;".",s_Irr!AQ5&lt;&gt;".",s_Irr!BO5="."),s_dir!T5/((1/1000)*(s_Irr!S5+s_Irr!AQ5)),IF(AND(s_Irr!S5&lt;&gt;".",s_Irr!AQ5=".",s_Irr!BO5&lt;&gt;"."),s_dir!T5/((1/1000)*(s_Irr!S5+s_Irr!BO5)),IF(AND(s_Irr!S5=".",s_Irr!AQ5&lt;&gt;".",s_Irr!BO5&lt;&gt;"."),s_dir!T5/((1/1000)*(s_Irr!AQ5+s_Irr!BO5)),IF(AND(s_Irr!S5=".",s_Irr!AQ5=".",s_Irr!BO5&lt;&gt;"."),s_dir!T5/((1/1000)*(s_Irr!BO5)),IF(AND(s_Irr!S5=".",s_Irr!AQ5&lt;&gt;".",s_Irr!BO5="."),s_dir!T5/((1/1000)*(s_Irr!AQ5)),IF(AND(s_Irr!S5&lt;&gt;".",s_Irr!AQ5=".",s_Irr!BO5="."),s_dir!T5/((1/1000)*(s_Irr!S5)),IF(AND(s_Irr!S5=".",s_Irr!AQ5=".",s_Irr!BO5="."),s_dir!T5*1000)))))))),".")</f>
        <v>.</v>
      </c>
      <c r="U5" s="48" t="str">
        <f>IFERROR(IF(AND(s_Irr!T5&lt;&gt;".",s_Irr!AR5&lt;&gt;".",s_Irr!BP5&lt;&gt;"."),s_dir!U5/((1/1000)*(s_Irr!T5+s_Irr!AR5+s_Irr!BP5)),IF(AND(s_Irr!T5&lt;&gt;".",s_Irr!AR5&lt;&gt;".",s_Irr!BP5="."),s_dir!U5/((1/1000)*(s_Irr!T5+s_Irr!AR5)),IF(AND(s_Irr!T5&lt;&gt;".",s_Irr!AR5=".",s_Irr!BP5&lt;&gt;"."),s_dir!U5/((1/1000)*(s_Irr!T5+s_Irr!BP5)),IF(AND(s_Irr!T5=".",s_Irr!AR5&lt;&gt;".",s_Irr!BP5&lt;&gt;"."),s_dir!U5/((1/1000)*(s_Irr!AR5+s_Irr!BP5)),IF(AND(s_Irr!T5=".",s_Irr!AR5=".",s_Irr!BP5&lt;&gt;"."),s_dir!U5/((1/1000)*(s_Irr!BP5)),IF(AND(s_Irr!T5=".",s_Irr!AR5&lt;&gt;".",s_Irr!BP5="."),s_dir!U5/((1/1000)*(s_Irr!AR5)),IF(AND(s_Irr!T5&lt;&gt;".",s_Irr!AR5=".",s_Irr!BP5="."),s_dir!U5/((1/1000)*(s_Irr!T5)),IF(AND(s_Irr!T5=".",s_Irr!AR5=".",s_Irr!BP5="."),s_dir!U5*1000)))))))),".")</f>
        <v>.</v>
      </c>
      <c r="V5" s="48" t="str">
        <f>IFERROR(IF(AND(s_Irr!U5&lt;&gt;".",s_Irr!AS5&lt;&gt;".",s_Irr!BQ5&lt;&gt;"."),s_dir!V5/((1/1000)*(s_Irr!U5+s_Irr!AS5+s_Irr!BQ5)),IF(AND(s_Irr!U5&lt;&gt;".",s_Irr!AS5&lt;&gt;".",s_Irr!BQ5="."),s_dir!V5/((1/1000)*(s_Irr!U5+s_Irr!AS5)),IF(AND(s_Irr!U5&lt;&gt;".",s_Irr!AS5=".",s_Irr!BQ5&lt;&gt;"."),s_dir!V5/((1/1000)*(s_Irr!U5+s_Irr!BQ5)),IF(AND(s_Irr!U5=".",s_Irr!AS5&lt;&gt;".",s_Irr!BQ5&lt;&gt;"."),s_dir!V5/((1/1000)*(s_Irr!AS5+s_Irr!BQ5)),IF(AND(s_Irr!U5=".",s_Irr!AS5=".",s_Irr!BQ5&lt;&gt;"."),s_dir!V5/((1/1000)*(s_Irr!BQ5)),IF(AND(s_Irr!U5=".",s_Irr!AS5&lt;&gt;".",s_Irr!BQ5="."),s_dir!V5/((1/1000)*(s_Irr!AS5)),IF(AND(s_Irr!U5&lt;&gt;".",s_Irr!AS5=".",s_Irr!BQ5="."),s_dir!V5/((1/1000)*(s_Irr!U5)),IF(AND(s_Irr!U5=".",s_Irr!AS5=".",s_Irr!BQ5="."),s_dir!V5*1000)))))))),".")</f>
        <v>.</v>
      </c>
      <c r="W5" s="48" t="str">
        <f>IFERROR(IF(AND(s_Irr!V5&lt;&gt;".",s_Irr!AT5&lt;&gt;".",s_Irr!BR5&lt;&gt;"."),s_dir!W5/((1/1000)*(s_Irr!V5+s_Irr!AT5+s_Irr!BR5)),IF(AND(s_Irr!V5&lt;&gt;".",s_Irr!AT5&lt;&gt;".",s_Irr!BR5="."),s_dir!W5/((1/1000)*(s_Irr!V5+s_Irr!AT5)),IF(AND(s_Irr!V5&lt;&gt;".",s_Irr!AT5=".",s_Irr!BR5&lt;&gt;"."),s_dir!W5/((1/1000)*(s_Irr!V5+s_Irr!BR5)),IF(AND(s_Irr!V5=".",s_Irr!AT5&lt;&gt;".",s_Irr!BR5&lt;&gt;"."),s_dir!W5/((1/1000)*(s_Irr!AT5+s_Irr!BR5)),IF(AND(s_Irr!V5=".",s_Irr!AT5=".",s_Irr!BR5&lt;&gt;"."),s_dir!W5/((1/1000)*(s_Irr!BR5)),IF(AND(s_Irr!V5=".",s_Irr!AT5&lt;&gt;".",s_Irr!BR5="."),s_dir!W5/((1/1000)*(s_Irr!AT5)),IF(AND(s_Irr!V5&lt;&gt;".",s_Irr!AT5=".",s_Irr!BR5="."),s_dir!W5/((1/1000)*(s_Irr!V5)),IF(AND(s_Irr!V5=".",s_Irr!AT5=".",s_Irr!BR5="."),s_dir!W5*1000)))))))),".")</f>
        <v>.</v>
      </c>
      <c r="X5" s="48" t="str">
        <f>IFERROR(IF(AND(s_Irr!W5&lt;&gt;".",s_Irr!AU5&lt;&gt;".",s_Irr!BS5&lt;&gt;"."),s_dir!X5/((1/1000)*(s_Irr!W5+s_Irr!AU5+s_Irr!BS5)),IF(AND(s_Irr!W5&lt;&gt;".",s_Irr!AU5&lt;&gt;".",s_Irr!BS5="."),s_dir!X5/((1/1000)*(s_Irr!W5+s_Irr!AU5)),IF(AND(s_Irr!W5&lt;&gt;".",s_Irr!AU5=".",s_Irr!BS5&lt;&gt;"."),s_dir!X5/((1/1000)*(s_Irr!W5+s_Irr!BS5)),IF(AND(s_Irr!W5=".",s_Irr!AU5&lt;&gt;".",s_Irr!BS5&lt;&gt;"."),s_dir!X5/((1/1000)*(s_Irr!AU5+s_Irr!BS5)),IF(AND(s_Irr!W5=".",s_Irr!AU5=".",s_Irr!BS5&lt;&gt;"."),s_dir!X5/((1/1000)*(s_Irr!BS5)),IF(AND(s_Irr!W5=".",s_Irr!AU5&lt;&gt;".",s_Irr!BS5="."),s_dir!X5/((1/1000)*(s_Irr!AU5)),IF(AND(s_Irr!W5&lt;&gt;".",s_Irr!AU5=".",s_Irr!BS5="."),s_dir!X5/((1/1000)*(s_Irr!W5)),IF(AND(s_Irr!W5=".",s_Irr!AU5=".",s_Irr!BS5="."),s_dir!X5*1000)))))))),".")</f>
        <v>.</v>
      </c>
      <c r="Y5" s="48" t="str">
        <f>IFERROR(IF(AND(s_Irr!X5&lt;&gt;".",s_Irr!AV5&lt;&gt;".",s_Irr!BT5&lt;&gt;"."),s_dir!Y5/((1/1000)*(s_Irr!X5+s_Irr!AV5+s_Irr!BT5)),IF(AND(s_Irr!X5&lt;&gt;".",s_Irr!AV5&lt;&gt;".",s_Irr!BT5="."),s_dir!Y5/((1/1000)*(s_Irr!X5+s_Irr!AV5)),IF(AND(s_Irr!X5&lt;&gt;".",s_Irr!AV5=".",s_Irr!BT5&lt;&gt;"."),s_dir!Y5/((1/1000)*(s_Irr!X5+s_Irr!BT5)),IF(AND(s_Irr!X5=".",s_Irr!AV5&lt;&gt;".",s_Irr!BT5&lt;&gt;"."),s_dir!Y5/((1/1000)*(s_Irr!AV5+s_Irr!BT5)),IF(AND(s_Irr!X5=".",s_Irr!AV5=".",s_Irr!BT5&lt;&gt;"."),s_dir!Y5/((1/1000)*(s_Irr!BT5)),IF(AND(s_Irr!X5=".",s_Irr!AV5&lt;&gt;".",s_Irr!BT5="."),s_dir!Y5/((1/1000)*(s_Irr!AV5)),IF(AND(s_Irr!X5&lt;&gt;".",s_Irr!AV5=".",s_Irr!BT5="."),s_dir!Y5/((1/1000)*(s_Irr!X5)),IF(AND(s_Irr!X5=".",s_Irr!AV5=".",s_Irr!BT5="."),s_dir!Y5*1000)))))))),".")</f>
        <v>.</v>
      </c>
      <c r="Z5" s="48" t="str">
        <f>IFERROR(IF(AND(s_Irr!Y5&lt;&gt;".",s_Irr!AW5&lt;&gt;".",s_Irr!BU5&lt;&gt;"."),s_dir!Z5/((1/1000)*(s_Irr!Y5+s_Irr!AW5+s_Irr!BU5)),IF(AND(s_Irr!Y5&lt;&gt;".",s_Irr!AW5&lt;&gt;".",s_Irr!BU5="."),s_dir!Z5/((1/1000)*(s_Irr!Y5+s_Irr!AW5)),IF(AND(s_Irr!Y5&lt;&gt;".",s_Irr!AW5=".",s_Irr!BU5&lt;&gt;"."),s_dir!Z5/((1/1000)*(s_Irr!Y5+s_Irr!BU5)),IF(AND(s_Irr!Y5=".",s_Irr!AW5&lt;&gt;".",s_Irr!BU5&lt;&gt;"."),s_dir!Z5/((1/1000)*(s_Irr!AW5+s_Irr!BU5)),IF(AND(s_Irr!Y5=".",s_Irr!AW5=".",s_Irr!BU5&lt;&gt;"."),s_dir!Z5/((1/1000)*(s_Irr!BU5)),IF(AND(s_Irr!Y5=".",s_Irr!AW5&lt;&gt;".",s_Irr!BU5="."),s_dir!Z5/((1/1000)*(s_Irr!AW5)),IF(AND(s_Irr!Y5&lt;&gt;".",s_Irr!AW5=".",s_Irr!BU5="."),s_dir!Z5/((1/1000)*(s_Irr!Y5)),IF(AND(s_Irr!Y5=".",s_Irr!AW5=".",s_Irr!BU5="."),s_dir!Z5*1000)))))))),".")</f>
        <v>.</v>
      </c>
      <c r="AA5" s="48" t="str">
        <f>IFERROR(IF(AND(s_Irr!Z5&lt;&gt;".",s_Irr!AX5&lt;&gt;".",s_Irr!BV5&lt;&gt;"."),s_dir!AA5/((1/1000)*(s_Irr!Z5+s_Irr!AX5+s_Irr!BV5)),IF(AND(s_Irr!Z5&lt;&gt;".",s_Irr!AX5&lt;&gt;".",s_Irr!BV5="."),s_dir!AA5/((1/1000)*(s_Irr!Z5+s_Irr!AX5)),IF(AND(s_Irr!Z5&lt;&gt;".",s_Irr!AX5=".",s_Irr!BV5&lt;&gt;"."),s_dir!AA5/((1/1000)*(s_Irr!Z5+s_Irr!BV5)),IF(AND(s_Irr!Z5=".",s_Irr!AX5&lt;&gt;".",s_Irr!BV5&lt;&gt;"."),s_dir!AA5/((1/1000)*(s_Irr!AX5+s_Irr!BV5)),IF(AND(s_Irr!Z5=".",s_Irr!AX5=".",s_Irr!BV5&lt;&gt;"."),s_dir!AA5/((1/1000)*(s_Irr!BV5)),IF(AND(s_Irr!Z5=".",s_Irr!AX5&lt;&gt;".",s_Irr!BV5="."),s_dir!AA5/((1/1000)*(s_Irr!AX5)),IF(AND(s_Irr!Z5&lt;&gt;".",s_Irr!AX5=".",s_Irr!BV5="."),s_dir!AA5/((1/1000)*(s_Irr!Z5)),IF(AND(s_Irr!Z5=".",s_Irr!AX5=".",s_Irr!BV5="."),s_dir!AA5*1000)))))))),".")</f>
        <v>.</v>
      </c>
      <c r="AB5" s="62">
        <f t="shared" si="3"/>
        <v>1166.9758688333634</v>
      </c>
      <c r="AC5" s="62">
        <f>IFERROR(s_C*s_IFAP_res_adj*s_CF_apple*0.001*(s_Irr!C5+s_Irr!AA5+s_Irr!AY5),".")</f>
        <v>388.99195627778778</v>
      </c>
      <c r="AD5" s="62">
        <f>IFERROR(s_C*s_IFAS_res_adj*s_CF_asparagus*0.001*(s_Irr!D5+s_Irr!AB5+s_Irr!AZ5),".")</f>
        <v>388.99195627778778</v>
      </c>
      <c r="AE5" s="62">
        <f>IFERROR(s_C*s_IFBT_res_adj*s_CF_beet*0.001*(s_Irr!E5+s_Irr!AC5+s_Irr!BA5),".")</f>
        <v>388.99195627778778</v>
      </c>
      <c r="AF5" s="62">
        <f>IFERROR(s_C*s_IFBE_res_adj*s_CF_berries*0.001*(s_Irr!F5+s_Irr!AD5+s_Irr!BB5),".")</f>
        <v>388.99195627778778</v>
      </c>
      <c r="AG5" s="62">
        <f>IFERROR(s_C*s_IFBR_res_adj*s_CF_broccoli*0.001*(s_Irr!G5+s_Irr!AE5+s_Irr!BC5),".")</f>
        <v>388.99195627778778</v>
      </c>
      <c r="AH5" s="62">
        <f>IFERROR(s_C*s_IFCB_res_adj*s_CF_cabbage*0.001*(s_Irr!H5+s_Irr!AF5+s_Irr!BD5),".")</f>
        <v>388.99195627778778</v>
      </c>
      <c r="AI5" s="62">
        <f>IFERROR(s_C*s_IFCR_res_adj*s_CF_carrot*0.001*(s_Irr!I5+s_Irr!AG5+s_Irr!BE5),".")</f>
        <v>388.99195627778778</v>
      </c>
      <c r="AJ5" s="62">
        <f>IFERROR(s_C*s_IFCI_res_adj*s_CF_citrus*0.001*(s_Irr!J5+s_Irr!AH5+s_Irr!BF5),".")</f>
        <v>388.99195627778778</v>
      </c>
      <c r="AK5" s="62">
        <f>IFERROR(s_C*s_IFCO_res_adj*s_CF_corn*0.001*(s_Irr!K5+s_Irr!AI5+s_Irr!BG5),".")</f>
        <v>388.99195627778778</v>
      </c>
      <c r="AL5" s="62">
        <f>IFERROR(s_C*s_IFCU_res_adj*s_CF_cucumber*0.001*(s_Irr!L5+s_Irr!AJ5+s_Irr!BH5),".")</f>
        <v>388.99195627778778</v>
      </c>
      <c r="AM5" s="62">
        <f>IFERROR(s_C*s_IFLE_res_adj*s_CF_lettuce*0.001*(s_Irr!M5+s_Irr!AK5+s_Irr!BI5),".")</f>
        <v>388.99195627778778</v>
      </c>
      <c r="AN5" s="62">
        <f>IFERROR(s_C*s_IFLI_res_adj*s_CF_lima_bean*0.001*(s_Irr!N5+s_Irr!AL5+s_Irr!BJ5),".")</f>
        <v>388.99195627778778</v>
      </c>
      <c r="AO5" s="62">
        <f>IFERROR(s_C*s_IFOK_res_adj*s_CF_okra*0.001*(s_Irr!O5+s_Irr!AM5+s_Irr!BK5),".")</f>
        <v>388.99195627778778</v>
      </c>
      <c r="AP5" s="62">
        <f>IFERROR(s_C*s_IFON_res_adj*s_CF_onion*0.001*(s_Irr!P5+s_Irr!AN5+s_Irr!BL5),".")</f>
        <v>388.99195627778778</v>
      </c>
      <c r="AQ5" s="62">
        <f>IFERROR(s_C*s_IFPC_res_adj*s_CF_peach*0.001*(s_Irr!Q5+s_Irr!AO5+s_Irr!BM5),".")</f>
        <v>388.99195627778778</v>
      </c>
      <c r="AR5" s="62">
        <f>IFERROR(s_C*s_IFPR_res_adj*s_CF_pear*0.001*(s_Irr!R5+s_Irr!AP5+s_Irr!BN5),".")</f>
        <v>388.99195627778778</v>
      </c>
      <c r="AS5" s="62">
        <f>IFERROR(s_C*s_IFPE_res_adj*s_CF_peas*0.001*(s_Irr!S5+s_Irr!AQ5+s_Irr!BO5),".")</f>
        <v>388.99195627778778</v>
      </c>
      <c r="AT5" s="62">
        <f>IFERROR(s_C*s_IFPT_res_adj*s_CF_potato*0.001*(s_Irr!T5+s_Irr!AR5+s_Irr!BP5),".")</f>
        <v>388.99195627778778</v>
      </c>
      <c r="AU5" s="62">
        <f>IFERROR(s_C*s_IFPU_res_adj*s_CF_pumpkin*0.001*(s_Irr!U5+s_Irr!AS5+s_Irr!BQ5),".")</f>
        <v>388.99195627778778</v>
      </c>
      <c r="AV5" s="62">
        <f>IFERROR(s_C*s_IFSN_res_adj*s_CF_snap_bean*0.001*(s_Irr!V5+s_Irr!AT5+s_Irr!BR5),".")</f>
        <v>388.99195627778778</v>
      </c>
      <c r="AW5" s="62">
        <f>IFERROR(s_C*s_IFST_res_adj*s_CF_strawberry*0.001*(s_Irr!W5+s_Irr!AU5+s_Irr!BS5),".")</f>
        <v>388.99195627778778</v>
      </c>
      <c r="AX5" s="62">
        <f>IFERROR(s_C*s_IFTO_res_adj*s_CF_tomato*0.001*(s_Irr!X5+s_Irr!AV5+s_Irr!BT5),".")</f>
        <v>388.99195627778778</v>
      </c>
      <c r="AY5" s="62">
        <f>IFERROR(s_C*s_IFRI_res_adj*s_CF_rice*0.001*(s_Irr!Y5+s_Irr!AW5+s_Irr!BU5),".")</f>
        <v>388.99195627778778</v>
      </c>
      <c r="AZ5" s="62">
        <f>IFERROR(s_C*s_IFCG_res_adj*s_CF_cereal*0.001*(s_Irr!Z5+s_Irr!AX5+s_Irr!BV5),".")</f>
        <v>388.99195627778778</v>
      </c>
      <c r="BA5" s="48" t="str">
        <f t="shared" si="0"/>
        <v>.</v>
      </c>
      <c r="BB5" s="48" t="str">
        <f>IFERROR(IF(AND(s_Irr!C5&lt;&gt;".",s_Irr!AA5&lt;&gt;".",s_Irr!AY5&lt;&gt;"."),s_dir!AC5/((1/1000)*(s_Irr!C5+s_Irr!AA5+s_Irr!AY5)),IF(AND(s_Irr!C5&lt;&gt;".",s_Irr!AA5&lt;&gt;".",s_Irr!AY5="."),s_dir!AC5/((1/1000)*(s_Irr!C5+s_Irr!AA5)),IF(AND(s_Irr!C5&lt;&gt;".",s_Irr!AA5=".",s_Irr!AY5&lt;&gt;"."),s_dir!AC5/((1/1000)*(s_Irr!C5+s_Irr!AY5)),IF(AND(s_Irr!C5=".",s_Irr!AA5&lt;&gt;".",s_Irr!AY5&lt;&gt;"."),s_dir!AC5/((1/1000)*(s_Irr!AA5+s_Irr!AY5)),IF(AND(s_Irr!C5=".",s_Irr!AA5=".",s_Irr!AY5&lt;&gt;"."),s_dir!AC5/((1/1000)*(s_Irr!AY5)),IF(AND(s_Irr!C5=".",s_Irr!AA5&lt;&gt;".",s_Irr!AY5="."),s_dir!AC5/((1/1000)*(s_Irr!AA5)),IF(AND(s_Irr!C5&lt;&gt;".",s_Irr!AA5=".",s_Irr!AY5="."),s_dir!AC5/((1/1000)*(s_Irr!C5)),IF(AND(s_Irr!C5=".",s_Irr!AA5=".",s_Irr!AY5="."),s_dir!AC5*1000)))))))),".")</f>
        <v>.</v>
      </c>
      <c r="BC5" s="48" t="str">
        <f>IFERROR(IF(AND(s_Irr!D5&lt;&gt;".",s_Irr!AB5&lt;&gt;".",s_Irr!AZ5&lt;&gt;"."),s_dir!AD5/((1/1000)*(s_Irr!D5+s_Irr!AB5+s_Irr!AZ5)),IF(AND(s_Irr!D5&lt;&gt;".",s_Irr!AB5&lt;&gt;".",s_Irr!AZ5="."),s_dir!AD5/((1/1000)*(s_Irr!D5+s_Irr!AB5)),IF(AND(s_Irr!D5&lt;&gt;".",s_Irr!AB5=".",s_Irr!AZ5&lt;&gt;"."),s_dir!AD5/((1/1000)*(s_Irr!D5+s_Irr!AZ5)),IF(AND(s_Irr!D5=".",s_Irr!AB5&lt;&gt;".",s_Irr!AZ5&lt;&gt;"."),s_dir!AD5/((1/1000)*(s_Irr!AB5+s_Irr!AZ5)),IF(AND(s_Irr!D5=".",s_Irr!AB5=".",s_Irr!AZ5&lt;&gt;"."),s_dir!AD5/((1/1000)*(s_Irr!AZ5)),IF(AND(s_Irr!D5=".",s_Irr!AB5&lt;&gt;".",s_Irr!AZ5="."),s_dir!AD5/((1/1000)*(s_Irr!AB5)),IF(AND(s_Irr!D5&lt;&gt;".",s_Irr!AB5=".",s_Irr!AZ5="."),s_dir!AD5/((1/1000)*(s_Irr!D5)),IF(AND(s_Irr!D5=".",s_Irr!AB5=".",s_Irr!AZ5="."),s_dir!AD5*1000)))))))),".")</f>
        <v>.</v>
      </c>
      <c r="BD5" s="48" t="str">
        <f>IFERROR(IF(AND(s_Irr!E5&lt;&gt;".",s_Irr!AC5&lt;&gt;".",s_Irr!BA5&lt;&gt;"."),s_dir!AE5/((1/1000)*(s_Irr!E5+s_Irr!AC5+s_Irr!BA5)),IF(AND(s_Irr!E5&lt;&gt;".",s_Irr!AC5&lt;&gt;".",s_Irr!BA5="."),s_dir!AE5/((1/1000)*(s_Irr!E5+s_Irr!AC5)),IF(AND(s_Irr!E5&lt;&gt;".",s_Irr!AC5=".",s_Irr!BA5&lt;&gt;"."),s_dir!AE5/((1/1000)*(s_Irr!E5+s_Irr!BA5)),IF(AND(s_Irr!E5=".",s_Irr!AC5&lt;&gt;".",s_Irr!BA5&lt;&gt;"."),s_dir!AE5/((1/1000)*(s_Irr!AC5+s_Irr!BA5)),IF(AND(s_Irr!E5=".",s_Irr!AC5=".",s_Irr!BA5&lt;&gt;"."),s_dir!AE5/((1/1000)*(s_Irr!BA5)),IF(AND(s_Irr!E5=".",s_Irr!AC5&lt;&gt;".",s_Irr!BA5="."),s_dir!AE5/((1/1000)*(s_Irr!AC5)),IF(AND(s_Irr!E5&lt;&gt;".",s_Irr!AC5=".",s_Irr!BA5="."),s_dir!AE5/((1/1000)*(s_Irr!E5)),IF(AND(s_Irr!E5=".",s_Irr!AC5=".",s_Irr!BA5="."),s_dir!AE5*1000)))))))),".")</f>
        <v>.</v>
      </c>
      <c r="BE5" s="48" t="str">
        <f>IFERROR(IF(AND(s_Irr!F5&lt;&gt;".",s_Irr!AD5&lt;&gt;".",s_Irr!BB5&lt;&gt;"."),s_dir!AF5/((1/1000)*(s_Irr!F5+s_Irr!AD5+s_Irr!BB5)),IF(AND(s_Irr!F5&lt;&gt;".",s_Irr!AD5&lt;&gt;".",s_Irr!BB5="."),s_dir!AF5/((1/1000)*(s_Irr!F5+s_Irr!AD5)),IF(AND(s_Irr!F5&lt;&gt;".",s_Irr!AD5=".",s_Irr!BB5&lt;&gt;"."),s_dir!AF5/((1/1000)*(s_Irr!F5+s_Irr!BB5)),IF(AND(s_Irr!F5=".",s_Irr!AD5&lt;&gt;".",s_Irr!BB5&lt;&gt;"."),s_dir!AF5/((1/1000)*(s_Irr!AD5+s_Irr!BB5)),IF(AND(s_Irr!F5=".",s_Irr!AD5=".",s_Irr!BB5&lt;&gt;"."),s_dir!AF5/((1/1000)*(s_Irr!BB5)),IF(AND(s_Irr!F5=".",s_Irr!AD5&lt;&gt;".",s_Irr!BB5="."),s_dir!AF5/((1/1000)*(s_Irr!AD5)),IF(AND(s_Irr!F5&lt;&gt;".",s_Irr!AD5=".",s_Irr!BB5="."),s_dir!AF5/((1/1000)*(s_Irr!F5)),IF(AND(s_Irr!F5=".",s_Irr!AD5=".",s_Irr!BB5="."),s_dir!AF5*1000)))))))),".")</f>
        <v>.</v>
      </c>
      <c r="BF5" s="48" t="str">
        <f>IFERROR(IF(AND(s_Irr!G5&lt;&gt;".",s_Irr!AE5&lt;&gt;".",s_Irr!BC5&lt;&gt;"."),s_dir!AG5/((1/1000)*(s_Irr!G5+s_Irr!AE5+s_Irr!BC5)),IF(AND(s_Irr!G5&lt;&gt;".",s_Irr!AE5&lt;&gt;".",s_Irr!BC5="."),s_dir!AG5/((1/1000)*(s_Irr!G5+s_Irr!AE5)),IF(AND(s_Irr!G5&lt;&gt;".",s_Irr!AE5=".",s_Irr!BC5&lt;&gt;"."),s_dir!AG5/((1/1000)*(s_Irr!G5+s_Irr!BC5)),IF(AND(s_Irr!G5=".",s_Irr!AE5&lt;&gt;".",s_Irr!BC5&lt;&gt;"."),s_dir!AG5/((1/1000)*(s_Irr!AE5+s_Irr!BC5)),IF(AND(s_Irr!G5=".",s_Irr!AE5=".",s_Irr!BC5&lt;&gt;"."),s_dir!AG5/((1/1000)*(s_Irr!BC5)),IF(AND(s_Irr!G5=".",s_Irr!AE5&lt;&gt;".",s_Irr!BC5="."),s_dir!AG5/((1/1000)*(s_Irr!AE5)),IF(AND(s_Irr!G5&lt;&gt;".",s_Irr!AE5=".",s_Irr!BC5="."),s_dir!AG5/((1/1000)*(s_Irr!G5)),IF(AND(s_Irr!G5=".",s_Irr!AE5=".",s_Irr!BC5="."),s_dir!AG5*1000)))))))),".")</f>
        <v>.</v>
      </c>
      <c r="BG5" s="48" t="str">
        <f>IFERROR(IF(AND(s_Irr!H5&lt;&gt;".",s_Irr!AF5&lt;&gt;".",s_Irr!BD5&lt;&gt;"."),s_dir!AH5/((1/1000)*(s_Irr!H5+s_Irr!AF5+s_Irr!BD5)),IF(AND(s_Irr!H5&lt;&gt;".",s_Irr!AF5&lt;&gt;".",s_Irr!BD5="."),s_dir!AH5/((1/1000)*(s_Irr!H5+s_Irr!AF5)),IF(AND(s_Irr!H5&lt;&gt;".",s_Irr!AF5=".",s_Irr!BD5&lt;&gt;"."),s_dir!AH5/((1/1000)*(s_Irr!H5+s_Irr!BD5)),IF(AND(s_Irr!H5=".",s_Irr!AF5&lt;&gt;".",s_Irr!BD5&lt;&gt;"."),s_dir!AH5/((1/1000)*(s_Irr!AF5+s_Irr!BD5)),IF(AND(s_Irr!H5=".",s_Irr!AF5=".",s_Irr!BD5&lt;&gt;"."),s_dir!AH5/((1/1000)*(s_Irr!BD5)),IF(AND(s_Irr!H5=".",s_Irr!AF5&lt;&gt;".",s_Irr!BD5="."),s_dir!AH5/((1/1000)*(s_Irr!AF5)),IF(AND(s_Irr!H5&lt;&gt;".",s_Irr!AF5=".",s_Irr!BD5="."),s_dir!AH5/((1/1000)*(s_Irr!H5)),IF(AND(s_Irr!H5=".",s_Irr!AF5=".",s_Irr!BD5="."),s_dir!AH5*1000)))))))),".")</f>
        <v>.</v>
      </c>
      <c r="BH5" s="48" t="str">
        <f>IFERROR(IF(AND(s_Irr!I5&lt;&gt;".",s_Irr!AG5&lt;&gt;".",s_Irr!BE5&lt;&gt;"."),s_dir!AI5/((1/1000)*(s_Irr!I5+s_Irr!AG5+s_Irr!BE5)),IF(AND(s_Irr!I5&lt;&gt;".",s_Irr!AG5&lt;&gt;".",s_Irr!BE5="."),s_dir!AI5/((1/1000)*(s_Irr!I5+s_Irr!AG5)),IF(AND(s_Irr!I5&lt;&gt;".",s_Irr!AG5=".",s_Irr!BE5&lt;&gt;"."),s_dir!AI5/((1/1000)*(s_Irr!I5+s_Irr!BE5)),IF(AND(s_Irr!I5=".",s_Irr!AG5&lt;&gt;".",s_Irr!BE5&lt;&gt;"."),s_dir!AI5/((1/1000)*(s_Irr!AG5+s_Irr!BE5)),IF(AND(s_Irr!I5=".",s_Irr!AG5=".",s_Irr!BE5&lt;&gt;"."),s_dir!AI5/((1/1000)*(s_Irr!BE5)),IF(AND(s_Irr!I5=".",s_Irr!AG5&lt;&gt;".",s_Irr!BE5="."),s_dir!AI5/((1/1000)*(s_Irr!AG5)),IF(AND(s_Irr!I5&lt;&gt;".",s_Irr!AG5=".",s_Irr!BE5="."),s_dir!AI5/((1/1000)*(s_Irr!I5)),IF(AND(s_Irr!I5=".",s_Irr!AG5=".",s_Irr!BE5="."),s_dir!AI5*1000)))))))),".")</f>
        <v>.</v>
      </c>
      <c r="BI5" s="48" t="str">
        <f>IFERROR(IF(AND(s_Irr!J5&lt;&gt;".",s_Irr!AH5&lt;&gt;".",s_Irr!BF5&lt;&gt;"."),s_dir!AJ5/((1/1000)*(s_Irr!J5+s_Irr!AH5+s_Irr!BF5)),IF(AND(s_Irr!J5&lt;&gt;".",s_Irr!AH5&lt;&gt;".",s_Irr!BF5="."),s_dir!AJ5/((1/1000)*(s_Irr!J5+s_Irr!AH5)),IF(AND(s_Irr!J5&lt;&gt;".",s_Irr!AH5=".",s_Irr!BF5&lt;&gt;"."),s_dir!AJ5/((1/1000)*(s_Irr!J5+s_Irr!BF5)),IF(AND(s_Irr!J5=".",s_Irr!AH5&lt;&gt;".",s_Irr!BF5&lt;&gt;"."),s_dir!AJ5/((1/1000)*(s_Irr!AH5+s_Irr!BF5)),IF(AND(s_Irr!J5=".",s_Irr!AH5=".",s_Irr!BF5&lt;&gt;"."),s_dir!AJ5/((1/1000)*(s_Irr!BF5)),IF(AND(s_Irr!J5=".",s_Irr!AH5&lt;&gt;".",s_Irr!BF5="."),s_dir!AJ5/((1/1000)*(s_Irr!AH5)),IF(AND(s_Irr!J5&lt;&gt;".",s_Irr!AH5=".",s_Irr!BF5="."),s_dir!AJ5/((1/1000)*(s_Irr!J5)),IF(AND(s_Irr!J5=".",s_Irr!AH5=".",s_Irr!BF5="."),s_dir!AJ5*1000)))))))),".")</f>
        <v>.</v>
      </c>
      <c r="BJ5" s="48" t="str">
        <f>IFERROR(IF(AND(s_Irr!K5&lt;&gt;".",s_Irr!AI5&lt;&gt;".",s_Irr!BG5&lt;&gt;"."),s_dir!AK5/((1/1000)*(s_Irr!K5+s_Irr!AI5+s_Irr!BG5)),IF(AND(s_Irr!K5&lt;&gt;".",s_Irr!AI5&lt;&gt;".",s_Irr!BG5="."),s_dir!AK5/((1/1000)*(s_Irr!K5+s_Irr!AI5)),IF(AND(s_Irr!K5&lt;&gt;".",s_Irr!AI5=".",s_Irr!BG5&lt;&gt;"."),s_dir!AK5/((1/1000)*(s_Irr!K5+s_Irr!BG5)),IF(AND(s_Irr!K5=".",s_Irr!AI5&lt;&gt;".",s_Irr!BG5&lt;&gt;"."),s_dir!AK5/((1/1000)*(s_Irr!AI5+s_Irr!BG5)),IF(AND(s_Irr!K5=".",s_Irr!AI5=".",s_Irr!BG5&lt;&gt;"."),s_dir!AK5/((1/1000)*(s_Irr!BG5)),IF(AND(s_Irr!K5=".",s_Irr!AI5&lt;&gt;".",s_Irr!BG5="."),s_dir!AK5/((1/1000)*(s_Irr!AI5)),IF(AND(s_Irr!K5&lt;&gt;".",s_Irr!AI5=".",s_Irr!BG5="."),s_dir!AK5/((1/1000)*(s_Irr!K5)),IF(AND(s_Irr!K5=".",s_Irr!AI5=".",s_Irr!BG5="."),s_dir!AK5*1000)))))))),".")</f>
        <v>.</v>
      </c>
      <c r="BK5" s="48" t="str">
        <f>IFERROR(IF(AND(s_Irr!L5&lt;&gt;".",s_Irr!AJ5&lt;&gt;".",s_Irr!BH5&lt;&gt;"."),s_dir!AL5/((1/1000)*(s_Irr!L5+s_Irr!AJ5+s_Irr!BH5)),IF(AND(s_Irr!L5&lt;&gt;".",s_Irr!AJ5&lt;&gt;".",s_Irr!BH5="."),s_dir!AL5/((1/1000)*(s_Irr!L5+s_Irr!AJ5)),IF(AND(s_Irr!L5&lt;&gt;".",s_Irr!AJ5=".",s_Irr!BH5&lt;&gt;"."),s_dir!AL5/((1/1000)*(s_Irr!L5+s_Irr!BH5)),IF(AND(s_Irr!L5=".",s_Irr!AJ5&lt;&gt;".",s_Irr!BH5&lt;&gt;"."),s_dir!AL5/((1/1000)*(s_Irr!AJ5+s_Irr!BH5)),IF(AND(s_Irr!L5=".",s_Irr!AJ5=".",s_Irr!BH5&lt;&gt;"."),s_dir!AL5/((1/1000)*(s_Irr!BH5)),IF(AND(s_Irr!L5=".",s_Irr!AJ5&lt;&gt;".",s_Irr!BH5="."),s_dir!AL5/((1/1000)*(s_Irr!AJ5)),IF(AND(s_Irr!L5&lt;&gt;".",s_Irr!AJ5=".",s_Irr!BH5="."),s_dir!AL5/((1/1000)*(s_Irr!L5)),IF(AND(s_Irr!L5=".",s_Irr!AJ5=".",s_Irr!BH5="."),s_dir!AL5*1000)))))))),".")</f>
        <v>.</v>
      </c>
      <c r="BL5" s="48" t="str">
        <f>IFERROR(IF(AND(s_Irr!M5&lt;&gt;".",s_Irr!AK5&lt;&gt;".",s_Irr!BI5&lt;&gt;"."),s_dir!AM5/((1/1000)*(s_Irr!M5+s_Irr!AK5+s_Irr!BI5)),IF(AND(s_Irr!M5&lt;&gt;".",s_Irr!AK5&lt;&gt;".",s_Irr!BI5="."),s_dir!AM5/((1/1000)*(s_Irr!M5+s_Irr!AK5)),IF(AND(s_Irr!M5&lt;&gt;".",s_Irr!AK5=".",s_Irr!BI5&lt;&gt;"."),s_dir!AM5/((1/1000)*(s_Irr!M5+s_Irr!BI5)),IF(AND(s_Irr!M5=".",s_Irr!AK5&lt;&gt;".",s_Irr!BI5&lt;&gt;"."),s_dir!AM5/((1/1000)*(s_Irr!AK5+s_Irr!BI5)),IF(AND(s_Irr!M5=".",s_Irr!AK5=".",s_Irr!BI5&lt;&gt;"."),s_dir!AM5/((1/1000)*(s_Irr!BI5)),IF(AND(s_Irr!M5=".",s_Irr!AK5&lt;&gt;".",s_Irr!BI5="."),s_dir!AM5/((1/1000)*(s_Irr!AK5)),IF(AND(s_Irr!M5&lt;&gt;".",s_Irr!AK5=".",s_Irr!BI5="."),s_dir!AM5/((1/1000)*(s_Irr!M5)),IF(AND(s_Irr!M5=".",s_Irr!AK5=".",s_Irr!BI5="."),s_dir!AM5*1000)))))))),".")</f>
        <v>.</v>
      </c>
      <c r="BM5" s="48" t="str">
        <f>IFERROR(IF(AND(s_Irr!N5&lt;&gt;".",s_Irr!AL5&lt;&gt;".",s_Irr!BJ5&lt;&gt;"."),s_dir!AN5/((1/1000)*(s_Irr!N5+s_Irr!AL5+s_Irr!BJ5)),IF(AND(s_Irr!N5&lt;&gt;".",s_Irr!AL5&lt;&gt;".",s_Irr!BJ5="."),s_dir!AN5/((1/1000)*(s_Irr!N5+s_Irr!AL5)),IF(AND(s_Irr!N5&lt;&gt;".",s_Irr!AL5=".",s_Irr!BJ5&lt;&gt;"."),s_dir!AN5/((1/1000)*(s_Irr!N5+s_Irr!BJ5)),IF(AND(s_Irr!N5=".",s_Irr!AL5&lt;&gt;".",s_Irr!BJ5&lt;&gt;"."),s_dir!AN5/((1/1000)*(s_Irr!AL5+s_Irr!BJ5)),IF(AND(s_Irr!N5=".",s_Irr!AL5=".",s_Irr!BJ5&lt;&gt;"."),s_dir!AN5/((1/1000)*(s_Irr!BJ5)),IF(AND(s_Irr!N5=".",s_Irr!AL5&lt;&gt;".",s_Irr!BJ5="."),s_dir!AN5/((1/1000)*(s_Irr!AL5)),IF(AND(s_Irr!N5&lt;&gt;".",s_Irr!AL5=".",s_Irr!BJ5="."),s_dir!AN5/((1/1000)*(s_Irr!N5)),IF(AND(s_Irr!N5=".",s_Irr!AL5=".",s_Irr!BJ5="."),s_dir!AN5*1000)))))))),".")</f>
        <v>.</v>
      </c>
      <c r="BN5" s="48" t="str">
        <f>IFERROR(IF(AND(s_Irr!O5&lt;&gt;".",s_Irr!AM5&lt;&gt;".",s_Irr!BK5&lt;&gt;"."),s_dir!AO5/((1/1000)*(s_Irr!O5+s_Irr!AM5+s_Irr!BK5)),IF(AND(s_Irr!O5&lt;&gt;".",s_Irr!AM5&lt;&gt;".",s_Irr!BK5="."),s_dir!AO5/((1/1000)*(s_Irr!O5+s_Irr!AM5)),IF(AND(s_Irr!O5&lt;&gt;".",s_Irr!AM5=".",s_Irr!BK5&lt;&gt;"."),s_dir!AO5/((1/1000)*(s_Irr!O5+s_Irr!BK5)),IF(AND(s_Irr!O5=".",s_Irr!AM5&lt;&gt;".",s_Irr!BK5&lt;&gt;"."),s_dir!AO5/((1/1000)*(s_Irr!AM5+s_Irr!BK5)),IF(AND(s_Irr!O5=".",s_Irr!AM5=".",s_Irr!BK5&lt;&gt;"."),s_dir!AO5/((1/1000)*(s_Irr!BK5)),IF(AND(s_Irr!O5=".",s_Irr!AM5&lt;&gt;".",s_Irr!BK5="."),s_dir!AO5/((1/1000)*(s_Irr!AM5)),IF(AND(s_Irr!O5&lt;&gt;".",s_Irr!AM5=".",s_Irr!BK5="."),s_dir!AO5/((1/1000)*(s_Irr!O5)),IF(AND(s_Irr!O5=".",s_Irr!AM5=".",s_Irr!BK5="."),s_dir!AO5*1000)))))))),".")</f>
        <v>.</v>
      </c>
      <c r="BO5" s="48" t="str">
        <f>IFERROR(IF(AND(s_Irr!P5&lt;&gt;".",s_Irr!AN5&lt;&gt;".",s_Irr!BL5&lt;&gt;"."),s_dir!AP5/((1/1000)*(s_Irr!P5+s_Irr!AN5+s_Irr!BL5)),IF(AND(s_Irr!P5&lt;&gt;".",s_Irr!AN5&lt;&gt;".",s_Irr!BL5="."),s_dir!AP5/((1/1000)*(s_Irr!P5+s_Irr!AN5)),IF(AND(s_Irr!P5&lt;&gt;".",s_Irr!AN5=".",s_Irr!BL5&lt;&gt;"."),s_dir!AP5/((1/1000)*(s_Irr!P5+s_Irr!BL5)),IF(AND(s_Irr!P5=".",s_Irr!AN5&lt;&gt;".",s_Irr!BL5&lt;&gt;"."),s_dir!AP5/((1/1000)*(s_Irr!AN5+s_Irr!BL5)),IF(AND(s_Irr!P5=".",s_Irr!AN5=".",s_Irr!BL5&lt;&gt;"."),s_dir!AP5/((1/1000)*(s_Irr!BL5)),IF(AND(s_Irr!P5=".",s_Irr!AN5&lt;&gt;".",s_Irr!BL5="."),s_dir!AP5/((1/1000)*(s_Irr!AN5)),IF(AND(s_Irr!P5&lt;&gt;".",s_Irr!AN5=".",s_Irr!BL5="."),s_dir!AP5/((1/1000)*(s_Irr!P5)),IF(AND(s_Irr!P5=".",s_Irr!AN5=".",s_Irr!BL5="."),s_dir!AP5*1000)))))))),".")</f>
        <v>.</v>
      </c>
      <c r="BP5" s="48" t="str">
        <f>IFERROR(IF(AND(s_Irr!Q5&lt;&gt;".",s_Irr!AO5&lt;&gt;".",s_Irr!BM5&lt;&gt;"."),s_dir!AQ5/((1/1000)*(s_Irr!Q5+s_Irr!AO5+s_Irr!BM5)),IF(AND(s_Irr!Q5&lt;&gt;".",s_Irr!AO5&lt;&gt;".",s_Irr!BM5="."),s_dir!AQ5/((1/1000)*(s_Irr!Q5+s_Irr!AO5)),IF(AND(s_Irr!Q5&lt;&gt;".",s_Irr!AO5=".",s_Irr!BM5&lt;&gt;"."),s_dir!AQ5/((1/1000)*(s_Irr!Q5+s_Irr!BM5)),IF(AND(s_Irr!Q5=".",s_Irr!AO5&lt;&gt;".",s_Irr!BM5&lt;&gt;"."),s_dir!AQ5/((1/1000)*(s_Irr!AO5+s_Irr!BM5)),IF(AND(s_Irr!Q5=".",s_Irr!AO5=".",s_Irr!BM5&lt;&gt;"."),s_dir!AQ5/((1/1000)*(s_Irr!BM5)),IF(AND(s_Irr!Q5=".",s_Irr!AO5&lt;&gt;".",s_Irr!BM5="."),s_dir!AQ5/((1/1000)*(s_Irr!AO5)),IF(AND(s_Irr!Q5&lt;&gt;".",s_Irr!AO5=".",s_Irr!BM5="."),s_dir!AQ5/((1/1000)*(s_Irr!Q5)),IF(AND(s_Irr!Q5=".",s_Irr!AO5=".",s_Irr!BM5="."),s_dir!AQ5*1000)))))))),".")</f>
        <v>.</v>
      </c>
      <c r="BQ5" s="48" t="str">
        <f>IFERROR(IF(AND(s_Irr!R5&lt;&gt;".",s_Irr!AP5&lt;&gt;".",s_Irr!BN5&lt;&gt;"."),s_dir!AR5/((1/1000)*(s_Irr!R5+s_Irr!AP5+s_Irr!BN5)),IF(AND(s_Irr!R5&lt;&gt;".",s_Irr!AP5&lt;&gt;".",s_Irr!BN5="."),s_dir!AR5/((1/1000)*(s_Irr!R5+s_Irr!AP5)),IF(AND(s_Irr!R5&lt;&gt;".",s_Irr!AP5=".",s_Irr!BN5&lt;&gt;"."),s_dir!AR5/((1/1000)*(s_Irr!R5+s_Irr!BN5)),IF(AND(s_Irr!R5=".",s_Irr!AP5&lt;&gt;".",s_Irr!BN5&lt;&gt;"."),s_dir!AR5/((1/1000)*(s_Irr!AP5+s_Irr!BN5)),IF(AND(s_Irr!R5=".",s_Irr!AP5=".",s_Irr!BN5&lt;&gt;"."),s_dir!AR5/((1/1000)*(s_Irr!BN5)),IF(AND(s_Irr!R5=".",s_Irr!AP5&lt;&gt;".",s_Irr!BN5="."),s_dir!AR5/((1/1000)*(s_Irr!AP5)),IF(AND(s_Irr!R5&lt;&gt;".",s_Irr!AP5=".",s_Irr!BN5="."),s_dir!AR5/((1/1000)*(s_Irr!R5)),IF(AND(s_Irr!R5=".",s_Irr!AP5=".",s_Irr!BN5="."),s_dir!AR5*1000)))))))),".")</f>
        <v>.</v>
      </c>
      <c r="BR5" s="48" t="str">
        <f>IFERROR(IF(AND(s_Irr!S5&lt;&gt;".",s_Irr!AQ5&lt;&gt;".",s_Irr!BO5&lt;&gt;"."),s_dir!AS5/((1/1000)*(s_Irr!S5+s_Irr!AQ5+s_Irr!BO5)),IF(AND(s_Irr!S5&lt;&gt;".",s_Irr!AQ5&lt;&gt;".",s_Irr!BO5="."),s_dir!AS5/((1/1000)*(s_Irr!S5+s_Irr!AQ5)),IF(AND(s_Irr!S5&lt;&gt;".",s_Irr!AQ5=".",s_Irr!BO5&lt;&gt;"."),s_dir!AS5/((1/1000)*(s_Irr!S5+s_Irr!BO5)),IF(AND(s_Irr!S5=".",s_Irr!AQ5&lt;&gt;".",s_Irr!BO5&lt;&gt;"."),s_dir!AS5/((1/1000)*(s_Irr!AQ5+s_Irr!BO5)),IF(AND(s_Irr!S5=".",s_Irr!AQ5=".",s_Irr!BO5&lt;&gt;"."),s_dir!AS5/((1/1000)*(s_Irr!BO5)),IF(AND(s_Irr!S5=".",s_Irr!AQ5&lt;&gt;".",s_Irr!BO5="."),s_dir!AS5/((1/1000)*(s_Irr!AQ5)),IF(AND(s_Irr!S5&lt;&gt;".",s_Irr!AQ5=".",s_Irr!BO5="."),s_dir!AS5/((1/1000)*(s_Irr!S5)),IF(AND(s_Irr!S5=".",s_Irr!AQ5=".",s_Irr!BO5="."),s_dir!AS5*1000)))))))),".")</f>
        <v>.</v>
      </c>
      <c r="BS5" s="48" t="str">
        <f>IFERROR(IF(AND(s_Irr!T5&lt;&gt;".",s_Irr!AR5&lt;&gt;".",s_Irr!BP5&lt;&gt;"."),s_dir!AT5/((1/1000)*(s_Irr!T5+s_Irr!AR5+s_Irr!BP5)),IF(AND(s_Irr!T5&lt;&gt;".",s_Irr!AR5&lt;&gt;".",s_Irr!BP5="."),s_dir!AT5/((1/1000)*(s_Irr!T5+s_Irr!AR5)),IF(AND(s_Irr!T5&lt;&gt;".",s_Irr!AR5=".",s_Irr!BP5&lt;&gt;"."),s_dir!AT5/((1/1000)*(s_Irr!T5+s_Irr!BP5)),IF(AND(s_Irr!T5=".",s_Irr!AR5&lt;&gt;".",s_Irr!BP5&lt;&gt;"."),s_dir!AT5/((1/1000)*(s_Irr!AR5+s_Irr!BP5)),IF(AND(s_Irr!T5=".",s_Irr!AR5=".",s_Irr!BP5&lt;&gt;"."),s_dir!AT5/((1/1000)*(s_Irr!BP5)),IF(AND(s_Irr!T5=".",s_Irr!AR5&lt;&gt;".",s_Irr!BP5="."),s_dir!AT5/((1/1000)*(s_Irr!AR5)),IF(AND(s_Irr!T5&lt;&gt;".",s_Irr!AR5=".",s_Irr!BP5="."),s_dir!AT5/((1/1000)*(s_Irr!T5)),IF(AND(s_Irr!T5=".",s_Irr!AR5=".",s_Irr!BP5="."),s_dir!AT5*1000)))))))),".")</f>
        <v>.</v>
      </c>
      <c r="BT5" s="48" t="str">
        <f>IFERROR(IF(AND(s_Irr!U5&lt;&gt;".",s_Irr!AS5&lt;&gt;".",s_Irr!BQ5&lt;&gt;"."),s_dir!AU5/((1/1000)*(s_Irr!U5+s_Irr!AS5+s_Irr!BQ5)),IF(AND(s_Irr!U5&lt;&gt;".",s_Irr!AS5&lt;&gt;".",s_Irr!BQ5="."),s_dir!AU5/((1/1000)*(s_Irr!U5+s_Irr!AS5)),IF(AND(s_Irr!U5&lt;&gt;".",s_Irr!AS5=".",s_Irr!BQ5&lt;&gt;"."),s_dir!AU5/((1/1000)*(s_Irr!U5+s_Irr!BQ5)),IF(AND(s_Irr!U5=".",s_Irr!AS5&lt;&gt;".",s_Irr!BQ5&lt;&gt;"."),s_dir!AU5/((1/1000)*(s_Irr!AS5+s_Irr!BQ5)),IF(AND(s_Irr!U5=".",s_Irr!AS5=".",s_Irr!BQ5&lt;&gt;"."),s_dir!AU5/((1/1000)*(s_Irr!BQ5)),IF(AND(s_Irr!U5=".",s_Irr!AS5&lt;&gt;".",s_Irr!BQ5="."),s_dir!AU5/((1/1000)*(s_Irr!AS5)),IF(AND(s_Irr!U5&lt;&gt;".",s_Irr!AS5=".",s_Irr!BQ5="."),s_dir!AU5/((1/1000)*(s_Irr!U5)),IF(AND(s_Irr!U5=".",s_Irr!AS5=".",s_Irr!BQ5="."),s_dir!AU5*1000)))))))),".")</f>
        <v>.</v>
      </c>
      <c r="BU5" s="48" t="str">
        <f>IFERROR(IF(AND(s_Irr!V5&lt;&gt;".",s_Irr!AT5&lt;&gt;".",s_Irr!BR5&lt;&gt;"."),s_dir!AV5/((1/1000)*(s_Irr!V5+s_Irr!AT5+s_Irr!BR5)),IF(AND(s_Irr!V5&lt;&gt;".",s_Irr!AT5&lt;&gt;".",s_Irr!BR5="."),s_dir!AV5/((1/1000)*(s_Irr!V5+s_Irr!AT5)),IF(AND(s_Irr!V5&lt;&gt;".",s_Irr!AT5=".",s_Irr!BR5&lt;&gt;"."),s_dir!AV5/((1/1000)*(s_Irr!V5+s_Irr!BR5)),IF(AND(s_Irr!V5=".",s_Irr!AT5&lt;&gt;".",s_Irr!BR5&lt;&gt;"."),s_dir!AV5/((1/1000)*(s_Irr!AT5+s_Irr!BR5)),IF(AND(s_Irr!V5=".",s_Irr!AT5=".",s_Irr!BR5&lt;&gt;"."),s_dir!AV5/((1/1000)*(s_Irr!BR5)),IF(AND(s_Irr!V5=".",s_Irr!AT5&lt;&gt;".",s_Irr!BR5="."),s_dir!AV5/((1/1000)*(s_Irr!AT5)),IF(AND(s_Irr!V5&lt;&gt;".",s_Irr!AT5=".",s_Irr!BR5="."),s_dir!AV5/((1/1000)*(s_Irr!V5)),IF(AND(s_Irr!V5=".",s_Irr!AT5=".",s_Irr!BR5="."),s_dir!AV5*1000)))))))),".")</f>
        <v>.</v>
      </c>
      <c r="BV5" s="48" t="str">
        <f>IFERROR(IF(AND(s_Irr!W5&lt;&gt;".",s_Irr!AU5&lt;&gt;".",s_Irr!BS5&lt;&gt;"."),s_dir!AW5/((1/1000)*(s_Irr!W5+s_Irr!AU5+s_Irr!BS5)),IF(AND(s_Irr!W5&lt;&gt;".",s_Irr!AU5&lt;&gt;".",s_Irr!BS5="."),s_dir!AW5/((1/1000)*(s_Irr!W5+s_Irr!AU5)),IF(AND(s_Irr!W5&lt;&gt;".",s_Irr!AU5=".",s_Irr!BS5&lt;&gt;"."),s_dir!AW5/((1/1000)*(s_Irr!W5+s_Irr!BS5)),IF(AND(s_Irr!W5=".",s_Irr!AU5&lt;&gt;".",s_Irr!BS5&lt;&gt;"."),s_dir!AW5/((1/1000)*(s_Irr!AU5+s_Irr!BS5)),IF(AND(s_Irr!W5=".",s_Irr!AU5=".",s_Irr!BS5&lt;&gt;"."),s_dir!AW5/((1/1000)*(s_Irr!BS5)),IF(AND(s_Irr!W5=".",s_Irr!AU5&lt;&gt;".",s_Irr!BS5="."),s_dir!AW5/((1/1000)*(s_Irr!AU5)),IF(AND(s_Irr!W5&lt;&gt;".",s_Irr!AU5=".",s_Irr!BS5="."),s_dir!AW5/((1/1000)*(s_Irr!W5)),IF(AND(s_Irr!W5=".",s_Irr!AU5=".",s_Irr!BS5="."),s_dir!AW5*1000)))))))),".")</f>
        <v>.</v>
      </c>
      <c r="BW5" s="48" t="str">
        <f>IFERROR(IF(AND(s_Irr!X5&lt;&gt;".",s_Irr!AV5&lt;&gt;".",s_Irr!BT5&lt;&gt;"."),s_dir!AX5/((1/1000)*(s_Irr!X5+s_Irr!AV5+s_Irr!BT5)),IF(AND(s_Irr!X5&lt;&gt;".",s_Irr!AV5&lt;&gt;".",s_Irr!BT5="."),s_dir!AX5/((1/1000)*(s_Irr!X5+s_Irr!AV5)),IF(AND(s_Irr!X5&lt;&gt;".",s_Irr!AV5=".",s_Irr!BT5&lt;&gt;"."),s_dir!AX5/((1/1000)*(s_Irr!X5+s_Irr!BT5)),IF(AND(s_Irr!X5=".",s_Irr!AV5&lt;&gt;".",s_Irr!BT5&lt;&gt;"."),s_dir!AX5/((1/1000)*(s_Irr!AV5+s_Irr!BT5)),IF(AND(s_Irr!X5=".",s_Irr!AV5=".",s_Irr!BT5&lt;&gt;"."),s_dir!AX5/((1/1000)*(s_Irr!BT5)),IF(AND(s_Irr!X5=".",s_Irr!AV5&lt;&gt;".",s_Irr!BT5="."),s_dir!AX5/((1/1000)*(s_Irr!AV5)),IF(AND(s_Irr!X5&lt;&gt;".",s_Irr!AV5=".",s_Irr!BT5="."),s_dir!AX5/((1/1000)*(s_Irr!X5)),IF(AND(s_Irr!X5=".",s_Irr!AV5=".",s_Irr!BT5="."),s_dir!AX5*1000)))))))),".")</f>
        <v>.</v>
      </c>
      <c r="BX5" s="48" t="str">
        <f>IFERROR(IF(AND(s_Irr!Y5&lt;&gt;".",s_Irr!AW5&lt;&gt;".",s_Irr!BU5&lt;&gt;"."),s_dir!AY5/((1/1000)*(s_Irr!Y5+s_Irr!AW5+s_Irr!BU5)),IF(AND(s_Irr!Y5&lt;&gt;".",s_Irr!AW5&lt;&gt;".",s_Irr!BU5="."),s_dir!AY5/((1/1000)*(s_Irr!Y5+s_Irr!AW5)),IF(AND(s_Irr!Y5&lt;&gt;".",s_Irr!AW5=".",s_Irr!BU5&lt;&gt;"."),s_dir!AY5/((1/1000)*(s_Irr!Y5+s_Irr!BU5)),IF(AND(s_Irr!Y5=".",s_Irr!AW5&lt;&gt;".",s_Irr!BU5&lt;&gt;"."),s_dir!AY5/((1/1000)*(s_Irr!AW5+s_Irr!BU5)),IF(AND(s_Irr!Y5=".",s_Irr!AW5=".",s_Irr!BU5&lt;&gt;"."),s_dir!AY5/((1/1000)*(s_Irr!BU5)),IF(AND(s_Irr!Y5=".",s_Irr!AW5&lt;&gt;".",s_Irr!BU5="."),s_dir!AY5/((1/1000)*(s_Irr!AW5)),IF(AND(s_Irr!Y5&lt;&gt;".",s_Irr!AW5=".",s_Irr!BU5="."),s_dir!AY5/((1/1000)*(s_Irr!Y5)),IF(AND(s_Irr!Y5=".",s_Irr!AW5=".",s_Irr!BU5="."),s_dir!AY5*1000)))))))),".")</f>
        <v>.</v>
      </c>
      <c r="BY5" s="48" t="str">
        <f>IFERROR(IF(AND(s_Irr!Z5&lt;&gt;".",s_Irr!AX5&lt;&gt;".",s_Irr!BV5&lt;&gt;"."),s_dir!AZ5/((1/1000)*(s_Irr!Z5+s_Irr!AX5+s_Irr!BV5)),IF(AND(s_Irr!Z5&lt;&gt;".",s_Irr!AX5&lt;&gt;".",s_Irr!BV5="."),s_dir!AZ5/((1/1000)*(s_Irr!Z5+s_Irr!AX5)),IF(AND(s_Irr!Z5&lt;&gt;".",s_Irr!AX5=".",s_Irr!BV5&lt;&gt;"."),s_dir!AZ5/((1/1000)*(s_Irr!Z5+s_Irr!BV5)),IF(AND(s_Irr!Z5=".",s_Irr!AX5&lt;&gt;".",s_Irr!BV5&lt;&gt;"."),s_dir!AZ5/((1/1000)*(s_Irr!AX5+s_Irr!BV5)),IF(AND(s_Irr!Z5=".",s_Irr!AX5=".",s_Irr!BV5&lt;&gt;"."),s_dir!AZ5/((1/1000)*(s_Irr!BV5)),IF(AND(s_Irr!Z5=".",s_Irr!AX5&lt;&gt;".",s_Irr!BV5="."),s_dir!AZ5/((1/1000)*(s_Irr!AX5)),IF(AND(s_Irr!Z5&lt;&gt;".",s_Irr!AX5=".",s_Irr!BV5="."),s_dir!AZ5/((1/1000)*(s_Irr!Z5)),IF(AND(s_Irr!Z5=".",s_Irr!AX5=".",s_Irr!BV5="."),s_dir!AZ5*1000)))))))),".")</f>
        <v>.</v>
      </c>
      <c r="BZ5" s="62">
        <f t="shared" si="1"/>
        <v>1166.9758688333634</v>
      </c>
      <c r="CA5" s="62">
        <f>IFERROR(s_C*s_IFAP_far_adj*s_CF_apple*(1/1000)*(s_Irr!C5+s_Irr!AA5+s_Irr!AY5),".")</f>
        <v>388.99195627778778</v>
      </c>
      <c r="CB5" s="62">
        <f>IFERROR(s_C*s_IFAS_far_adj*s_CF_asparagus*(1/1000)*(s_Irr!D5+s_Irr!AB5+s_Irr!AZ5),".")</f>
        <v>388.99195627778778</v>
      </c>
      <c r="CC5" s="62">
        <f>IFERROR(s_C*s_IFBT_far_adj*s_CF_beet*(1/1000)*(s_Irr!E5+s_Irr!AC5+s_Irr!BA5),".")</f>
        <v>388.99195627778778</v>
      </c>
      <c r="CD5" s="62">
        <f>IFERROR(s_C*s_IFBE_far_adj*s_CF_berries*(1/1000)*(s_Irr!F5+s_Irr!AD5+s_Irr!BB5),".")</f>
        <v>388.99195627778778</v>
      </c>
      <c r="CE5" s="62">
        <f>IFERROR(s_C*s_IFBR_far_adj*s_CF_broccoli*(1/1000)*(s_Irr!G5+s_Irr!AE5+s_Irr!BC5),".")</f>
        <v>388.99195627778778</v>
      </c>
      <c r="CF5" s="62">
        <f>IFERROR(s_C*s_IFCB_far_adj*s_CF_cabbage*(1/1000)*(s_Irr!H5+s_Irr!AF5+s_Irr!BD5),".")</f>
        <v>388.99195627778778</v>
      </c>
      <c r="CG5" s="62">
        <f>IFERROR(s_C*s_IFCR_far_adj*s_CF_carrot*(1/1000)*(s_Irr!I5+s_Irr!AG5+s_Irr!BE5),".")</f>
        <v>388.99195627778778</v>
      </c>
      <c r="CH5" s="62">
        <f>IFERROR(s_C*s_IFCI_far_adj*s_CF_citrus*(1/1000)*(s_Irr!J5+s_Irr!AH5+s_Irr!BF5),".")</f>
        <v>388.99195627778778</v>
      </c>
      <c r="CI5" s="62">
        <f>IFERROR(s_C*s_IFCO_far_adj*s_CF_corn*(1/1000)*(s_Irr!K5+s_Irr!AI5+s_Irr!BG5),".")</f>
        <v>388.99195627778778</v>
      </c>
      <c r="CJ5" s="62">
        <f>IFERROR(s_C*s_IFCU_far_adj*s_CF_cucumber*(1/1000)*(s_Irr!L5+s_Irr!AJ5+s_Irr!BH5),".")</f>
        <v>388.99195627778778</v>
      </c>
      <c r="CK5" s="62">
        <f>IFERROR(s_C*s_IFLE_far_adj*s_CF_lettuce*(1/1000)*(s_Irr!M5+s_Irr!AK5+s_Irr!BI5),".")</f>
        <v>388.99195627778778</v>
      </c>
      <c r="CL5" s="62">
        <f>IFERROR(s_C*s_IFLI_far_adj*s_CF_lima_bean*(1/1000)*(s_Irr!N5+s_Irr!AL5+s_Irr!BJ5),".")</f>
        <v>388.99195627778778</v>
      </c>
      <c r="CM5" s="62">
        <f>IFERROR(s_C*s_IFOK_far_adj*s_CF_okra*(1/1000)*(s_Irr!O5+s_Irr!AM5+s_Irr!BK5),".")</f>
        <v>388.99195627778778</v>
      </c>
      <c r="CN5" s="62">
        <f>IFERROR(s_C*s_IFON_far_adj*s_CF_onion*(1/1000)*(s_Irr!P5+s_Irr!AN5+s_Irr!BL5),".")</f>
        <v>388.99195627778778</v>
      </c>
      <c r="CO5" s="62">
        <f>IFERROR(s_C*s_IFPC_far_adj*s_CF_peach*(1/1000)*(s_Irr!Q5+s_Irr!AO5+s_Irr!BM5),".")</f>
        <v>388.99195627778778</v>
      </c>
      <c r="CP5" s="62">
        <f>IFERROR(s_C*s_IFPR_far_adj*s_CF_pear*(1/1000)*(s_Irr!R5+s_Irr!AP5+s_Irr!BN5),".")</f>
        <v>388.99195627778778</v>
      </c>
      <c r="CQ5" s="62">
        <f>IFERROR(s_C*s_IFPE_far_adj*s_CF_peas*(1/1000)*(s_Irr!S5+s_Irr!AQ5+s_Irr!BO5),".")</f>
        <v>388.99195627778778</v>
      </c>
      <c r="CR5" s="62">
        <f>IFERROR(s_C*s_IFPT_far_adj*s_CF_potato*(1/1000)*(s_Irr!T5+s_Irr!AR5+s_Irr!BP5),".")</f>
        <v>388.99195627778778</v>
      </c>
      <c r="CS5" s="62">
        <f>IFERROR(s_C*s_IFPU_far_adj*s_CF_pumpkin*(1/1000)*(s_Irr!U5+s_Irr!AS5+s_Irr!BQ5),".")</f>
        <v>388.99195627778778</v>
      </c>
      <c r="CT5" s="62">
        <f>IFERROR(s_C*s_IFSN_far_adj*s_CF_snap_bean*(1/1000)*(s_Irr!V5+s_Irr!AT5+s_Irr!BR5),".")</f>
        <v>388.99195627778778</v>
      </c>
      <c r="CU5" s="62">
        <f>IFERROR(s_C*s_IFST_far_adj*s_CF_strawberry*(1/1000)*(s_Irr!W5+s_Irr!AU5+s_Irr!BS5),".")</f>
        <v>388.99195627778778</v>
      </c>
      <c r="CV5" s="62">
        <f>IFERROR(s_C*s_IFTO_far_adj*s_CF_tomato*(1/1000)*(s_Irr!X5+s_Irr!AV5+s_Irr!BT5),".")</f>
        <v>388.99195627778778</v>
      </c>
      <c r="CW5" s="62">
        <f>IFERROR(s_C*s_IFRI_far_adj*s_CF_rice*(1/1000)*(s_Irr!Y5+s_Irr!AW5+s_Irr!BU5),".")</f>
        <v>388.99195627778778</v>
      </c>
      <c r="CX5" s="62">
        <f>IFERROR(s_C*s_IFCG_far_adj*s_CF_cereal*(1/1000)*(s_Irr!Z5+s_Irr!AX5+s_Irr!BV5),".")</f>
        <v>388.99195627778778</v>
      </c>
    </row>
    <row r="6" spans="1:102" ht="15" customHeight="1" x14ac:dyDescent="0.25">
      <c r="A6" s="61" t="s">
        <v>4</v>
      </c>
      <c r="B6" s="49" t="s">
        <v>1059</v>
      </c>
      <c r="C6" s="48" t="str">
        <f t="shared" si="2"/>
        <v>.</v>
      </c>
      <c r="D6" s="48" t="str">
        <f>IFERROR(IF(AND(s_Irr!C6&lt;&gt;".",s_Irr!AA6&lt;&gt;".",s_Irr!AY6&lt;&gt;"."),s_dir!D6/((1/1000)*(s_Irr!C6+s_Irr!AA6+s_Irr!AY6)),IF(AND(s_Irr!C6&lt;&gt;".",s_Irr!AA6&lt;&gt;".",s_Irr!AY6="."),s_dir!D6/((1/1000)*(s_Irr!C6+s_Irr!AA6)),IF(AND(s_Irr!C6&lt;&gt;".",s_Irr!AA6=".",s_Irr!AY6&lt;&gt;"."),s_dir!D6/((1/1000)*(s_Irr!C6+s_Irr!AY6)),IF(AND(s_Irr!C6=".",s_Irr!AA6&lt;&gt;".",s_Irr!AY6&lt;&gt;"."),s_dir!D6/((1/1000)*(s_Irr!AA6+s_Irr!AY6)),IF(AND(s_Irr!C6=".",s_Irr!AA6=".",s_Irr!AY6&lt;&gt;"."),s_dir!D6/((1/1000)*(s_Irr!AY6)),IF(AND(s_Irr!C6=".",s_Irr!AA6&lt;&gt;".",s_Irr!AY6="."),s_dir!D6/((1/1000)*(s_Irr!AA6)),IF(AND(s_Irr!C6&lt;&gt;".",s_Irr!AA6=".",s_Irr!AY6="."),s_dir!D6/((1/1000)*(s_Irr!C6)),IF(AND(s_Irr!C6=".",s_Irr!AA6=".",s_Irr!AY6="."),s_dir!D6*1000)))))))),".")</f>
        <v>.</v>
      </c>
      <c r="E6" s="48" t="str">
        <f>IFERROR(IF(AND(s_Irr!D6&lt;&gt;".",s_Irr!AB6&lt;&gt;".",s_Irr!AZ6&lt;&gt;"."),s_dir!E6/((1/1000)*(s_Irr!D6+s_Irr!AB6+s_Irr!AZ6)),IF(AND(s_Irr!D6&lt;&gt;".",s_Irr!AB6&lt;&gt;".",s_Irr!AZ6="."),s_dir!E6/((1/1000)*(s_Irr!D6+s_Irr!AB6)),IF(AND(s_Irr!D6&lt;&gt;".",s_Irr!AB6=".",s_Irr!AZ6&lt;&gt;"."),s_dir!E6/((1/1000)*(s_Irr!D6+s_Irr!AZ6)),IF(AND(s_Irr!D6=".",s_Irr!AB6&lt;&gt;".",s_Irr!AZ6&lt;&gt;"."),s_dir!E6/((1/1000)*(s_Irr!AB6+s_Irr!AZ6)),IF(AND(s_Irr!D6=".",s_Irr!AB6=".",s_Irr!AZ6&lt;&gt;"."),s_dir!E6/((1/1000)*(s_Irr!AZ6)),IF(AND(s_Irr!D6=".",s_Irr!AB6&lt;&gt;".",s_Irr!AZ6="."),s_dir!E6/((1/1000)*(s_Irr!AB6)),IF(AND(s_Irr!D6&lt;&gt;".",s_Irr!AB6=".",s_Irr!AZ6="."),s_dir!E6/((1/1000)*(s_Irr!D6)),IF(AND(s_Irr!D6=".",s_Irr!AB6=".",s_Irr!AZ6="."),s_dir!E6*1000)))))))),".")</f>
        <v>.</v>
      </c>
      <c r="F6" s="48" t="str">
        <f>IFERROR(IF(AND(s_Irr!E6&lt;&gt;".",s_Irr!AC6&lt;&gt;".",s_Irr!BA6&lt;&gt;"."),s_dir!F6/((1/1000)*(s_Irr!E6+s_Irr!AC6+s_Irr!BA6)),IF(AND(s_Irr!E6&lt;&gt;".",s_Irr!AC6&lt;&gt;".",s_Irr!BA6="."),s_dir!F6/((1/1000)*(s_Irr!E6+s_Irr!AC6)),IF(AND(s_Irr!E6&lt;&gt;".",s_Irr!AC6=".",s_Irr!BA6&lt;&gt;"."),s_dir!F6/((1/1000)*(s_Irr!E6+s_Irr!BA6)),IF(AND(s_Irr!E6=".",s_Irr!AC6&lt;&gt;".",s_Irr!BA6&lt;&gt;"."),s_dir!F6/((1/1000)*(s_Irr!AC6+s_Irr!BA6)),IF(AND(s_Irr!E6=".",s_Irr!AC6=".",s_Irr!BA6&lt;&gt;"."),s_dir!F6/((1/1000)*(s_Irr!BA6)),IF(AND(s_Irr!E6=".",s_Irr!AC6&lt;&gt;".",s_Irr!BA6="."),s_dir!F6/((1/1000)*(s_Irr!AC6)),IF(AND(s_Irr!E6&lt;&gt;".",s_Irr!AC6=".",s_Irr!BA6="."),s_dir!F6/((1/1000)*(s_Irr!E6)),IF(AND(s_Irr!E6=".",s_Irr!AC6=".",s_Irr!BA6="."),s_dir!F6*1000)))))))),".")</f>
        <v>.</v>
      </c>
      <c r="G6" s="48" t="str">
        <f>IFERROR(IF(AND(s_Irr!F6&lt;&gt;".",s_Irr!AD6&lt;&gt;".",s_Irr!BB6&lt;&gt;"."),s_dir!G6/((1/1000)*(s_Irr!F6+s_Irr!AD6+s_Irr!BB6)),IF(AND(s_Irr!F6&lt;&gt;".",s_Irr!AD6&lt;&gt;".",s_Irr!BB6="."),s_dir!G6/((1/1000)*(s_Irr!F6+s_Irr!AD6)),IF(AND(s_Irr!F6&lt;&gt;".",s_Irr!AD6=".",s_Irr!BB6&lt;&gt;"."),s_dir!G6/((1/1000)*(s_Irr!F6+s_Irr!BB6)),IF(AND(s_Irr!F6=".",s_Irr!AD6&lt;&gt;".",s_Irr!BB6&lt;&gt;"."),s_dir!G6/((1/1000)*(s_Irr!AD6+s_Irr!BB6)),IF(AND(s_Irr!F6=".",s_Irr!AD6=".",s_Irr!BB6&lt;&gt;"."),s_dir!G6/((1/1000)*(s_Irr!BB6)),IF(AND(s_Irr!F6=".",s_Irr!AD6&lt;&gt;".",s_Irr!BB6="."),s_dir!G6/((1/1000)*(s_Irr!AD6)),IF(AND(s_Irr!F6&lt;&gt;".",s_Irr!AD6=".",s_Irr!BB6="."),s_dir!G6/((1/1000)*(s_Irr!F6)),IF(AND(s_Irr!F6=".",s_Irr!AD6=".",s_Irr!BB6="."),s_dir!G6*1000)))))))),".")</f>
        <v>.</v>
      </c>
      <c r="H6" s="48" t="str">
        <f>IFERROR(IF(AND(s_Irr!G6&lt;&gt;".",s_Irr!AE6&lt;&gt;".",s_Irr!BC6&lt;&gt;"."),s_dir!H6/((1/1000)*(s_Irr!G6+s_Irr!AE6+s_Irr!BC6)),IF(AND(s_Irr!G6&lt;&gt;".",s_Irr!AE6&lt;&gt;".",s_Irr!BC6="."),s_dir!H6/((1/1000)*(s_Irr!G6+s_Irr!AE6)),IF(AND(s_Irr!G6&lt;&gt;".",s_Irr!AE6=".",s_Irr!BC6&lt;&gt;"."),s_dir!H6/((1/1000)*(s_Irr!G6+s_Irr!BC6)),IF(AND(s_Irr!G6=".",s_Irr!AE6&lt;&gt;".",s_Irr!BC6&lt;&gt;"."),s_dir!H6/((1/1000)*(s_Irr!AE6+s_Irr!BC6)),IF(AND(s_Irr!G6=".",s_Irr!AE6=".",s_Irr!BC6&lt;&gt;"."),s_dir!H6/((1/1000)*(s_Irr!BC6)),IF(AND(s_Irr!G6=".",s_Irr!AE6&lt;&gt;".",s_Irr!BC6="."),s_dir!H6/((1/1000)*(s_Irr!AE6)),IF(AND(s_Irr!G6&lt;&gt;".",s_Irr!AE6=".",s_Irr!BC6="."),s_dir!H6/((1/1000)*(s_Irr!G6)),IF(AND(s_Irr!G6=".",s_Irr!AE6=".",s_Irr!BC6="."),s_dir!H6*1000)))))))),".")</f>
        <v>.</v>
      </c>
      <c r="I6" s="48" t="str">
        <f>IFERROR(IF(AND(s_Irr!H6&lt;&gt;".",s_Irr!AF6&lt;&gt;".",s_Irr!BD6&lt;&gt;"."),s_dir!I6/((1/1000)*(s_Irr!H6+s_Irr!AF6+s_Irr!BD6)),IF(AND(s_Irr!H6&lt;&gt;".",s_Irr!AF6&lt;&gt;".",s_Irr!BD6="."),s_dir!I6/((1/1000)*(s_Irr!H6+s_Irr!AF6)),IF(AND(s_Irr!H6&lt;&gt;".",s_Irr!AF6=".",s_Irr!BD6&lt;&gt;"."),s_dir!I6/((1/1000)*(s_Irr!H6+s_Irr!BD6)),IF(AND(s_Irr!H6=".",s_Irr!AF6&lt;&gt;".",s_Irr!BD6&lt;&gt;"."),s_dir!I6/((1/1000)*(s_Irr!AF6+s_Irr!BD6)),IF(AND(s_Irr!H6=".",s_Irr!AF6=".",s_Irr!BD6&lt;&gt;"."),s_dir!I6/((1/1000)*(s_Irr!BD6)),IF(AND(s_Irr!H6=".",s_Irr!AF6&lt;&gt;".",s_Irr!BD6="."),s_dir!I6/((1/1000)*(s_Irr!AF6)),IF(AND(s_Irr!H6&lt;&gt;".",s_Irr!AF6=".",s_Irr!BD6="."),s_dir!I6/((1/1000)*(s_Irr!H6)),IF(AND(s_Irr!H6=".",s_Irr!AF6=".",s_Irr!BD6="."),s_dir!I6*1000)))))))),".")</f>
        <v>.</v>
      </c>
      <c r="J6" s="48" t="str">
        <f>IFERROR(IF(AND(s_Irr!I6&lt;&gt;".",s_Irr!AG6&lt;&gt;".",s_Irr!BE6&lt;&gt;"."),s_dir!J6/((1/1000)*(s_Irr!I6+s_Irr!AG6+s_Irr!BE6)),IF(AND(s_Irr!I6&lt;&gt;".",s_Irr!AG6&lt;&gt;".",s_Irr!BE6="."),s_dir!J6/((1/1000)*(s_Irr!I6+s_Irr!AG6)),IF(AND(s_Irr!I6&lt;&gt;".",s_Irr!AG6=".",s_Irr!BE6&lt;&gt;"."),s_dir!J6/((1/1000)*(s_Irr!I6+s_Irr!BE6)),IF(AND(s_Irr!I6=".",s_Irr!AG6&lt;&gt;".",s_Irr!BE6&lt;&gt;"."),s_dir!J6/((1/1000)*(s_Irr!AG6+s_Irr!BE6)),IF(AND(s_Irr!I6=".",s_Irr!AG6=".",s_Irr!BE6&lt;&gt;"."),s_dir!J6/((1/1000)*(s_Irr!BE6)),IF(AND(s_Irr!I6=".",s_Irr!AG6&lt;&gt;".",s_Irr!BE6="."),s_dir!J6/((1/1000)*(s_Irr!AG6)),IF(AND(s_Irr!I6&lt;&gt;".",s_Irr!AG6=".",s_Irr!BE6="."),s_dir!J6/((1/1000)*(s_Irr!I6)),IF(AND(s_Irr!I6=".",s_Irr!AG6=".",s_Irr!BE6="."),s_dir!J6*1000)))))))),".")</f>
        <v>.</v>
      </c>
      <c r="K6" s="48" t="str">
        <f>IFERROR(IF(AND(s_Irr!J6&lt;&gt;".",s_Irr!AH6&lt;&gt;".",s_Irr!BF6&lt;&gt;"."),s_dir!K6/((1/1000)*(s_Irr!J6+s_Irr!AH6+s_Irr!BF6)),IF(AND(s_Irr!J6&lt;&gt;".",s_Irr!AH6&lt;&gt;".",s_Irr!BF6="."),s_dir!K6/((1/1000)*(s_Irr!J6+s_Irr!AH6)),IF(AND(s_Irr!J6&lt;&gt;".",s_Irr!AH6=".",s_Irr!BF6&lt;&gt;"."),s_dir!K6/((1/1000)*(s_Irr!J6+s_Irr!BF6)),IF(AND(s_Irr!J6=".",s_Irr!AH6&lt;&gt;".",s_Irr!BF6&lt;&gt;"."),s_dir!K6/((1/1000)*(s_Irr!AH6+s_Irr!BF6)),IF(AND(s_Irr!J6=".",s_Irr!AH6=".",s_Irr!BF6&lt;&gt;"."),s_dir!K6/((1/1000)*(s_Irr!BF6)),IF(AND(s_Irr!J6=".",s_Irr!AH6&lt;&gt;".",s_Irr!BF6="."),s_dir!K6/((1/1000)*(s_Irr!AH6)),IF(AND(s_Irr!J6&lt;&gt;".",s_Irr!AH6=".",s_Irr!BF6="."),s_dir!K6/((1/1000)*(s_Irr!J6)),IF(AND(s_Irr!J6=".",s_Irr!AH6=".",s_Irr!BF6="."),s_dir!K6*1000)))))))),".")</f>
        <v>.</v>
      </c>
      <c r="L6" s="48" t="str">
        <f>IFERROR(IF(AND(s_Irr!K6&lt;&gt;".",s_Irr!AI6&lt;&gt;".",s_Irr!BG6&lt;&gt;"."),s_dir!L6/((1/1000)*(s_Irr!K6+s_Irr!AI6+s_Irr!BG6)),IF(AND(s_Irr!K6&lt;&gt;".",s_Irr!AI6&lt;&gt;".",s_Irr!BG6="."),s_dir!L6/((1/1000)*(s_Irr!K6+s_Irr!AI6)),IF(AND(s_Irr!K6&lt;&gt;".",s_Irr!AI6=".",s_Irr!BG6&lt;&gt;"."),s_dir!L6/((1/1000)*(s_Irr!K6+s_Irr!BG6)),IF(AND(s_Irr!K6=".",s_Irr!AI6&lt;&gt;".",s_Irr!BG6&lt;&gt;"."),s_dir!L6/((1/1000)*(s_Irr!AI6+s_Irr!BG6)),IF(AND(s_Irr!K6=".",s_Irr!AI6=".",s_Irr!BG6&lt;&gt;"."),s_dir!L6/((1/1000)*(s_Irr!BG6)),IF(AND(s_Irr!K6=".",s_Irr!AI6&lt;&gt;".",s_Irr!BG6="."),s_dir!L6/((1/1000)*(s_Irr!AI6)),IF(AND(s_Irr!K6&lt;&gt;".",s_Irr!AI6=".",s_Irr!BG6="."),s_dir!L6/((1/1000)*(s_Irr!K6)),IF(AND(s_Irr!K6=".",s_Irr!AI6=".",s_Irr!BG6="."),s_dir!L6*1000)))))))),".")</f>
        <v>.</v>
      </c>
      <c r="M6" s="48" t="str">
        <f>IFERROR(IF(AND(s_Irr!L6&lt;&gt;".",s_Irr!AJ6&lt;&gt;".",s_Irr!BH6&lt;&gt;"."),s_dir!M6/((1/1000)*(s_Irr!L6+s_Irr!AJ6+s_Irr!BH6)),IF(AND(s_Irr!L6&lt;&gt;".",s_Irr!AJ6&lt;&gt;".",s_Irr!BH6="."),s_dir!M6/((1/1000)*(s_Irr!L6+s_Irr!AJ6)),IF(AND(s_Irr!L6&lt;&gt;".",s_Irr!AJ6=".",s_Irr!BH6&lt;&gt;"."),s_dir!M6/((1/1000)*(s_Irr!L6+s_Irr!BH6)),IF(AND(s_Irr!L6=".",s_Irr!AJ6&lt;&gt;".",s_Irr!BH6&lt;&gt;"."),s_dir!M6/((1/1000)*(s_Irr!AJ6+s_Irr!BH6)),IF(AND(s_Irr!L6=".",s_Irr!AJ6=".",s_Irr!BH6&lt;&gt;"."),s_dir!M6/((1/1000)*(s_Irr!BH6)),IF(AND(s_Irr!L6=".",s_Irr!AJ6&lt;&gt;".",s_Irr!BH6="."),s_dir!M6/((1/1000)*(s_Irr!AJ6)),IF(AND(s_Irr!L6&lt;&gt;".",s_Irr!AJ6=".",s_Irr!BH6="."),s_dir!M6/((1/1000)*(s_Irr!L6)),IF(AND(s_Irr!L6=".",s_Irr!AJ6=".",s_Irr!BH6="."),s_dir!M6*1000)))))))),".")</f>
        <v>.</v>
      </c>
      <c r="N6" s="48" t="str">
        <f>IFERROR(IF(AND(s_Irr!M6&lt;&gt;".",s_Irr!AK6&lt;&gt;".",s_Irr!BI6&lt;&gt;"."),s_dir!N6/((1/1000)*(s_Irr!M6+s_Irr!AK6+s_Irr!BI6)),IF(AND(s_Irr!M6&lt;&gt;".",s_Irr!AK6&lt;&gt;".",s_Irr!BI6="."),s_dir!N6/((1/1000)*(s_Irr!M6+s_Irr!AK6)),IF(AND(s_Irr!M6&lt;&gt;".",s_Irr!AK6=".",s_Irr!BI6&lt;&gt;"."),s_dir!N6/((1/1000)*(s_Irr!M6+s_Irr!BI6)),IF(AND(s_Irr!M6=".",s_Irr!AK6&lt;&gt;".",s_Irr!BI6&lt;&gt;"."),s_dir!N6/((1/1000)*(s_Irr!AK6+s_Irr!BI6)),IF(AND(s_Irr!M6=".",s_Irr!AK6=".",s_Irr!BI6&lt;&gt;"."),s_dir!N6/((1/1000)*(s_Irr!BI6)),IF(AND(s_Irr!M6=".",s_Irr!AK6&lt;&gt;".",s_Irr!BI6="."),s_dir!N6/((1/1000)*(s_Irr!AK6)),IF(AND(s_Irr!M6&lt;&gt;".",s_Irr!AK6=".",s_Irr!BI6="."),s_dir!N6/((1/1000)*(s_Irr!M6)),IF(AND(s_Irr!M6=".",s_Irr!AK6=".",s_Irr!BI6="."),s_dir!N6*1000)))))))),".")</f>
        <v>.</v>
      </c>
      <c r="O6" s="48" t="str">
        <f>IFERROR(IF(AND(s_Irr!N6&lt;&gt;".",s_Irr!AL6&lt;&gt;".",s_Irr!BJ6&lt;&gt;"."),s_dir!O6/((1/1000)*(s_Irr!N6+s_Irr!AL6+s_Irr!BJ6)),IF(AND(s_Irr!N6&lt;&gt;".",s_Irr!AL6&lt;&gt;".",s_Irr!BJ6="."),s_dir!O6/((1/1000)*(s_Irr!N6+s_Irr!AL6)),IF(AND(s_Irr!N6&lt;&gt;".",s_Irr!AL6=".",s_Irr!BJ6&lt;&gt;"."),s_dir!O6/((1/1000)*(s_Irr!N6+s_Irr!BJ6)),IF(AND(s_Irr!N6=".",s_Irr!AL6&lt;&gt;".",s_Irr!BJ6&lt;&gt;"."),s_dir!O6/((1/1000)*(s_Irr!AL6+s_Irr!BJ6)),IF(AND(s_Irr!N6=".",s_Irr!AL6=".",s_Irr!BJ6&lt;&gt;"."),s_dir!O6/((1/1000)*(s_Irr!BJ6)),IF(AND(s_Irr!N6=".",s_Irr!AL6&lt;&gt;".",s_Irr!BJ6="."),s_dir!O6/((1/1000)*(s_Irr!AL6)),IF(AND(s_Irr!N6&lt;&gt;".",s_Irr!AL6=".",s_Irr!BJ6="."),s_dir!O6/((1/1000)*(s_Irr!N6)),IF(AND(s_Irr!N6=".",s_Irr!AL6=".",s_Irr!BJ6="."),s_dir!O6*1000)))))))),".")</f>
        <v>.</v>
      </c>
      <c r="P6" s="48" t="str">
        <f>IFERROR(IF(AND(s_Irr!O6&lt;&gt;".",s_Irr!AM6&lt;&gt;".",s_Irr!BK6&lt;&gt;"."),s_dir!P6/((1/1000)*(s_Irr!O6+s_Irr!AM6+s_Irr!BK6)),IF(AND(s_Irr!O6&lt;&gt;".",s_Irr!AM6&lt;&gt;".",s_Irr!BK6="."),s_dir!P6/((1/1000)*(s_Irr!O6+s_Irr!AM6)),IF(AND(s_Irr!O6&lt;&gt;".",s_Irr!AM6=".",s_Irr!BK6&lt;&gt;"."),s_dir!P6/((1/1000)*(s_Irr!O6+s_Irr!BK6)),IF(AND(s_Irr!O6=".",s_Irr!AM6&lt;&gt;".",s_Irr!BK6&lt;&gt;"."),s_dir!P6/((1/1000)*(s_Irr!AM6+s_Irr!BK6)),IF(AND(s_Irr!O6=".",s_Irr!AM6=".",s_Irr!BK6&lt;&gt;"."),s_dir!P6/((1/1000)*(s_Irr!BK6)),IF(AND(s_Irr!O6=".",s_Irr!AM6&lt;&gt;".",s_Irr!BK6="."),s_dir!P6/((1/1000)*(s_Irr!AM6)),IF(AND(s_Irr!O6&lt;&gt;".",s_Irr!AM6=".",s_Irr!BK6="."),s_dir!P6/((1/1000)*(s_Irr!O6)),IF(AND(s_Irr!O6=".",s_Irr!AM6=".",s_Irr!BK6="."),s_dir!P6*1000)))))))),".")</f>
        <v>.</v>
      </c>
      <c r="Q6" s="48" t="str">
        <f>IFERROR(IF(AND(s_Irr!P6&lt;&gt;".",s_Irr!AN6&lt;&gt;".",s_Irr!BL6&lt;&gt;"."),s_dir!Q6/((1/1000)*(s_Irr!P6+s_Irr!AN6+s_Irr!BL6)),IF(AND(s_Irr!P6&lt;&gt;".",s_Irr!AN6&lt;&gt;".",s_Irr!BL6="."),s_dir!Q6/((1/1000)*(s_Irr!P6+s_Irr!AN6)),IF(AND(s_Irr!P6&lt;&gt;".",s_Irr!AN6=".",s_Irr!BL6&lt;&gt;"."),s_dir!Q6/((1/1000)*(s_Irr!P6+s_Irr!BL6)),IF(AND(s_Irr!P6=".",s_Irr!AN6&lt;&gt;".",s_Irr!BL6&lt;&gt;"."),s_dir!Q6/((1/1000)*(s_Irr!AN6+s_Irr!BL6)),IF(AND(s_Irr!P6=".",s_Irr!AN6=".",s_Irr!BL6&lt;&gt;"."),s_dir!Q6/((1/1000)*(s_Irr!BL6)),IF(AND(s_Irr!P6=".",s_Irr!AN6&lt;&gt;".",s_Irr!BL6="."),s_dir!Q6/((1/1000)*(s_Irr!AN6)),IF(AND(s_Irr!P6&lt;&gt;".",s_Irr!AN6=".",s_Irr!BL6="."),s_dir!Q6/((1/1000)*(s_Irr!P6)),IF(AND(s_Irr!P6=".",s_Irr!AN6=".",s_Irr!BL6="."),s_dir!Q6*1000)))))))),".")</f>
        <v>.</v>
      </c>
      <c r="R6" s="48" t="str">
        <f>IFERROR(IF(AND(s_Irr!Q6&lt;&gt;".",s_Irr!AO6&lt;&gt;".",s_Irr!BM6&lt;&gt;"."),s_dir!R6/((1/1000)*(s_Irr!Q6+s_Irr!AO6+s_Irr!BM6)),IF(AND(s_Irr!Q6&lt;&gt;".",s_Irr!AO6&lt;&gt;".",s_Irr!BM6="."),s_dir!R6/((1/1000)*(s_Irr!Q6+s_Irr!AO6)),IF(AND(s_Irr!Q6&lt;&gt;".",s_Irr!AO6=".",s_Irr!BM6&lt;&gt;"."),s_dir!R6/((1/1000)*(s_Irr!Q6+s_Irr!BM6)),IF(AND(s_Irr!Q6=".",s_Irr!AO6&lt;&gt;".",s_Irr!BM6&lt;&gt;"."),s_dir!R6/((1/1000)*(s_Irr!AO6+s_Irr!BM6)),IF(AND(s_Irr!Q6=".",s_Irr!AO6=".",s_Irr!BM6&lt;&gt;"."),s_dir!R6/((1/1000)*(s_Irr!BM6)),IF(AND(s_Irr!Q6=".",s_Irr!AO6&lt;&gt;".",s_Irr!BM6="."),s_dir!R6/((1/1000)*(s_Irr!AO6)),IF(AND(s_Irr!Q6&lt;&gt;".",s_Irr!AO6=".",s_Irr!BM6="."),s_dir!R6/((1/1000)*(s_Irr!Q6)),IF(AND(s_Irr!Q6=".",s_Irr!AO6=".",s_Irr!BM6="."),s_dir!R6*1000)))))))),".")</f>
        <v>.</v>
      </c>
      <c r="S6" s="48" t="str">
        <f>IFERROR(IF(AND(s_Irr!R6&lt;&gt;".",s_Irr!AP6&lt;&gt;".",s_Irr!BN6&lt;&gt;"."),s_dir!S6/((1/1000)*(s_Irr!R6+s_Irr!AP6+s_Irr!BN6)),IF(AND(s_Irr!R6&lt;&gt;".",s_Irr!AP6&lt;&gt;".",s_Irr!BN6="."),s_dir!S6/((1/1000)*(s_Irr!R6+s_Irr!AP6)),IF(AND(s_Irr!R6&lt;&gt;".",s_Irr!AP6=".",s_Irr!BN6&lt;&gt;"."),s_dir!S6/((1/1000)*(s_Irr!R6+s_Irr!BN6)),IF(AND(s_Irr!R6=".",s_Irr!AP6&lt;&gt;".",s_Irr!BN6&lt;&gt;"."),s_dir!S6/((1/1000)*(s_Irr!AP6+s_Irr!BN6)),IF(AND(s_Irr!R6=".",s_Irr!AP6=".",s_Irr!BN6&lt;&gt;"."),s_dir!S6/((1/1000)*(s_Irr!BN6)),IF(AND(s_Irr!R6=".",s_Irr!AP6&lt;&gt;".",s_Irr!BN6="."),s_dir!S6/((1/1000)*(s_Irr!AP6)),IF(AND(s_Irr!R6&lt;&gt;".",s_Irr!AP6=".",s_Irr!BN6="."),s_dir!S6/((1/1000)*(s_Irr!R6)),IF(AND(s_Irr!R6=".",s_Irr!AP6=".",s_Irr!BN6="."),s_dir!S6*1000)))))))),".")</f>
        <v>.</v>
      </c>
      <c r="T6" s="48" t="str">
        <f>IFERROR(IF(AND(s_Irr!S6&lt;&gt;".",s_Irr!AQ6&lt;&gt;".",s_Irr!BO6&lt;&gt;"."),s_dir!T6/((1/1000)*(s_Irr!S6+s_Irr!AQ6+s_Irr!BO6)),IF(AND(s_Irr!S6&lt;&gt;".",s_Irr!AQ6&lt;&gt;".",s_Irr!BO6="."),s_dir!T6/((1/1000)*(s_Irr!S6+s_Irr!AQ6)),IF(AND(s_Irr!S6&lt;&gt;".",s_Irr!AQ6=".",s_Irr!BO6&lt;&gt;"."),s_dir!T6/((1/1000)*(s_Irr!S6+s_Irr!BO6)),IF(AND(s_Irr!S6=".",s_Irr!AQ6&lt;&gt;".",s_Irr!BO6&lt;&gt;"."),s_dir!T6/((1/1000)*(s_Irr!AQ6+s_Irr!BO6)),IF(AND(s_Irr!S6=".",s_Irr!AQ6=".",s_Irr!BO6&lt;&gt;"."),s_dir!T6/((1/1000)*(s_Irr!BO6)),IF(AND(s_Irr!S6=".",s_Irr!AQ6&lt;&gt;".",s_Irr!BO6="."),s_dir!T6/((1/1000)*(s_Irr!AQ6)),IF(AND(s_Irr!S6&lt;&gt;".",s_Irr!AQ6=".",s_Irr!BO6="."),s_dir!T6/((1/1000)*(s_Irr!S6)),IF(AND(s_Irr!S6=".",s_Irr!AQ6=".",s_Irr!BO6="."),s_dir!T6*1000)))))))),".")</f>
        <v>.</v>
      </c>
      <c r="U6" s="48" t="str">
        <f>IFERROR(IF(AND(s_Irr!T6&lt;&gt;".",s_Irr!AR6&lt;&gt;".",s_Irr!BP6&lt;&gt;"."),s_dir!U6/((1/1000)*(s_Irr!T6+s_Irr!AR6+s_Irr!BP6)),IF(AND(s_Irr!T6&lt;&gt;".",s_Irr!AR6&lt;&gt;".",s_Irr!BP6="."),s_dir!U6/((1/1000)*(s_Irr!T6+s_Irr!AR6)),IF(AND(s_Irr!T6&lt;&gt;".",s_Irr!AR6=".",s_Irr!BP6&lt;&gt;"."),s_dir!U6/((1/1000)*(s_Irr!T6+s_Irr!BP6)),IF(AND(s_Irr!T6=".",s_Irr!AR6&lt;&gt;".",s_Irr!BP6&lt;&gt;"."),s_dir!U6/((1/1000)*(s_Irr!AR6+s_Irr!BP6)),IF(AND(s_Irr!T6=".",s_Irr!AR6=".",s_Irr!BP6&lt;&gt;"."),s_dir!U6/((1/1000)*(s_Irr!BP6)),IF(AND(s_Irr!T6=".",s_Irr!AR6&lt;&gt;".",s_Irr!BP6="."),s_dir!U6/((1/1000)*(s_Irr!AR6)),IF(AND(s_Irr!T6&lt;&gt;".",s_Irr!AR6=".",s_Irr!BP6="."),s_dir!U6/((1/1000)*(s_Irr!T6)),IF(AND(s_Irr!T6=".",s_Irr!AR6=".",s_Irr!BP6="."),s_dir!U6*1000)))))))),".")</f>
        <v>.</v>
      </c>
      <c r="V6" s="48" t="str">
        <f>IFERROR(IF(AND(s_Irr!U6&lt;&gt;".",s_Irr!AS6&lt;&gt;".",s_Irr!BQ6&lt;&gt;"."),s_dir!V6/((1/1000)*(s_Irr!U6+s_Irr!AS6+s_Irr!BQ6)),IF(AND(s_Irr!U6&lt;&gt;".",s_Irr!AS6&lt;&gt;".",s_Irr!BQ6="."),s_dir!V6/((1/1000)*(s_Irr!U6+s_Irr!AS6)),IF(AND(s_Irr!U6&lt;&gt;".",s_Irr!AS6=".",s_Irr!BQ6&lt;&gt;"."),s_dir!V6/((1/1000)*(s_Irr!U6+s_Irr!BQ6)),IF(AND(s_Irr!U6=".",s_Irr!AS6&lt;&gt;".",s_Irr!BQ6&lt;&gt;"."),s_dir!V6/((1/1000)*(s_Irr!AS6+s_Irr!BQ6)),IF(AND(s_Irr!U6=".",s_Irr!AS6=".",s_Irr!BQ6&lt;&gt;"."),s_dir!V6/((1/1000)*(s_Irr!BQ6)),IF(AND(s_Irr!U6=".",s_Irr!AS6&lt;&gt;".",s_Irr!BQ6="."),s_dir!V6/((1/1000)*(s_Irr!AS6)),IF(AND(s_Irr!U6&lt;&gt;".",s_Irr!AS6=".",s_Irr!BQ6="."),s_dir!V6/((1/1000)*(s_Irr!U6)),IF(AND(s_Irr!U6=".",s_Irr!AS6=".",s_Irr!BQ6="."),s_dir!V6*1000)))))))),".")</f>
        <v>.</v>
      </c>
      <c r="W6" s="48" t="str">
        <f>IFERROR(IF(AND(s_Irr!V6&lt;&gt;".",s_Irr!AT6&lt;&gt;".",s_Irr!BR6&lt;&gt;"."),s_dir!W6/((1/1000)*(s_Irr!V6+s_Irr!AT6+s_Irr!BR6)),IF(AND(s_Irr!V6&lt;&gt;".",s_Irr!AT6&lt;&gt;".",s_Irr!BR6="."),s_dir!W6/((1/1000)*(s_Irr!V6+s_Irr!AT6)),IF(AND(s_Irr!V6&lt;&gt;".",s_Irr!AT6=".",s_Irr!BR6&lt;&gt;"."),s_dir!W6/((1/1000)*(s_Irr!V6+s_Irr!BR6)),IF(AND(s_Irr!V6=".",s_Irr!AT6&lt;&gt;".",s_Irr!BR6&lt;&gt;"."),s_dir!W6/((1/1000)*(s_Irr!AT6+s_Irr!BR6)),IF(AND(s_Irr!V6=".",s_Irr!AT6=".",s_Irr!BR6&lt;&gt;"."),s_dir!W6/((1/1000)*(s_Irr!BR6)),IF(AND(s_Irr!V6=".",s_Irr!AT6&lt;&gt;".",s_Irr!BR6="."),s_dir!W6/((1/1000)*(s_Irr!AT6)),IF(AND(s_Irr!V6&lt;&gt;".",s_Irr!AT6=".",s_Irr!BR6="."),s_dir!W6/((1/1000)*(s_Irr!V6)),IF(AND(s_Irr!V6=".",s_Irr!AT6=".",s_Irr!BR6="."),s_dir!W6*1000)))))))),".")</f>
        <v>.</v>
      </c>
      <c r="X6" s="48" t="str">
        <f>IFERROR(IF(AND(s_Irr!W6&lt;&gt;".",s_Irr!AU6&lt;&gt;".",s_Irr!BS6&lt;&gt;"."),s_dir!X6/((1/1000)*(s_Irr!W6+s_Irr!AU6+s_Irr!BS6)),IF(AND(s_Irr!W6&lt;&gt;".",s_Irr!AU6&lt;&gt;".",s_Irr!BS6="."),s_dir!X6/((1/1000)*(s_Irr!W6+s_Irr!AU6)),IF(AND(s_Irr!W6&lt;&gt;".",s_Irr!AU6=".",s_Irr!BS6&lt;&gt;"."),s_dir!X6/((1/1000)*(s_Irr!W6+s_Irr!BS6)),IF(AND(s_Irr!W6=".",s_Irr!AU6&lt;&gt;".",s_Irr!BS6&lt;&gt;"."),s_dir!X6/((1/1000)*(s_Irr!AU6+s_Irr!BS6)),IF(AND(s_Irr!W6=".",s_Irr!AU6=".",s_Irr!BS6&lt;&gt;"."),s_dir!X6/((1/1000)*(s_Irr!BS6)),IF(AND(s_Irr!W6=".",s_Irr!AU6&lt;&gt;".",s_Irr!BS6="."),s_dir!X6/((1/1000)*(s_Irr!AU6)),IF(AND(s_Irr!W6&lt;&gt;".",s_Irr!AU6=".",s_Irr!BS6="."),s_dir!X6/((1/1000)*(s_Irr!W6)),IF(AND(s_Irr!W6=".",s_Irr!AU6=".",s_Irr!BS6="."),s_dir!X6*1000)))))))),".")</f>
        <v>.</v>
      </c>
      <c r="Y6" s="48" t="str">
        <f>IFERROR(IF(AND(s_Irr!X6&lt;&gt;".",s_Irr!AV6&lt;&gt;".",s_Irr!BT6&lt;&gt;"."),s_dir!Y6/((1/1000)*(s_Irr!X6+s_Irr!AV6+s_Irr!BT6)),IF(AND(s_Irr!X6&lt;&gt;".",s_Irr!AV6&lt;&gt;".",s_Irr!BT6="."),s_dir!Y6/((1/1000)*(s_Irr!X6+s_Irr!AV6)),IF(AND(s_Irr!X6&lt;&gt;".",s_Irr!AV6=".",s_Irr!BT6&lt;&gt;"."),s_dir!Y6/((1/1000)*(s_Irr!X6+s_Irr!BT6)),IF(AND(s_Irr!X6=".",s_Irr!AV6&lt;&gt;".",s_Irr!BT6&lt;&gt;"."),s_dir!Y6/((1/1000)*(s_Irr!AV6+s_Irr!BT6)),IF(AND(s_Irr!X6=".",s_Irr!AV6=".",s_Irr!BT6&lt;&gt;"."),s_dir!Y6/((1/1000)*(s_Irr!BT6)),IF(AND(s_Irr!X6=".",s_Irr!AV6&lt;&gt;".",s_Irr!BT6="."),s_dir!Y6/((1/1000)*(s_Irr!AV6)),IF(AND(s_Irr!X6&lt;&gt;".",s_Irr!AV6=".",s_Irr!BT6="."),s_dir!Y6/((1/1000)*(s_Irr!X6)),IF(AND(s_Irr!X6=".",s_Irr!AV6=".",s_Irr!BT6="."),s_dir!Y6*1000)))))))),".")</f>
        <v>.</v>
      </c>
      <c r="Z6" s="48" t="str">
        <f>IFERROR(IF(AND(s_Irr!Y6&lt;&gt;".",s_Irr!AW6&lt;&gt;".",s_Irr!BU6&lt;&gt;"."),s_dir!Z6/((1/1000)*(s_Irr!Y6+s_Irr!AW6+s_Irr!BU6)),IF(AND(s_Irr!Y6&lt;&gt;".",s_Irr!AW6&lt;&gt;".",s_Irr!BU6="."),s_dir!Z6/((1/1000)*(s_Irr!Y6+s_Irr!AW6)),IF(AND(s_Irr!Y6&lt;&gt;".",s_Irr!AW6=".",s_Irr!BU6&lt;&gt;"."),s_dir!Z6/((1/1000)*(s_Irr!Y6+s_Irr!BU6)),IF(AND(s_Irr!Y6=".",s_Irr!AW6&lt;&gt;".",s_Irr!BU6&lt;&gt;"."),s_dir!Z6/((1/1000)*(s_Irr!AW6+s_Irr!BU6)),IF(AND(s_Irr!Y6=".",s_Irr!AW6=".",s_Irr!BU6&lt;&gt;"."),s_dir!Z6/((1/1000)*(s_Irr!BU6)),IF(AND(s_Irr!Y6=".",s_Irr!AW6&lt;&gt;".",s_Irr!BU6="."),s_dir!Z6/((1/1000)*(s_Irr!AW6)),IF(AND(s_Irr!Y6&lt;&gt;".",s_Irr!AW6=".",s_Irr!BU6="."),s_dir!Z6/((1/1000)*(s_Irr!Y6)),IF(AND(s_Irr!Y6=".",s_Irr!AW6=".",s_Irr!BU6="."),s_dir!Z6*1000)))))))),".")</f>
        <v>.</v>
      </c>
      <c r="AA6" s="48" t="str">
        <f>IFERROR(IF(AND(s_Irr!Z6&lt;&gt;".",s_Irr!AX6&lt;&gt;".",s_Irr!BV6&lt;&gt;"."),s_dir!AA6/((1/1000)*(s_Irr!Z6+s_Irr!AX6+s_Irr!BV6)),IF(AND(s_Irr!Z6&lt;&gt;".",s_Irr!AX6&lt;&gt;".",s_Irr!BV6="."),s_dir!AA6/((1/1000)*(s_Irr!Z6+s_Irr!AX6)),IF(AND(s_Irr!Z6&lt;&gt;".",s_Irr!AX6=".",s_Irr!BV6&lt;&gt;"."),s_dir!AA6/((1/1000)*(s_Irr!Z6+s_Irr!BV6)),IF(AND(s_Irr!Z6=".",s_Irr!AX6&lt;&gt;".",s_Irr!BV6&lt;&gt;"."),s_dir!AA6/((1/1000)*(s_Irr!AX6+s_Irr!BV6)),IF(AND(s_Irr!Z6=".",s_Irr!AX6=".",s_Irr!BV6&lt;&gt;"."),s_dir!AA6/((1/1000)*(s_Irr!BV6)),IF(AND(s_Irr!Z6=".",s_Irr!AX6&lt;&gt;".",s_Irr!BV6="."),s_dir!AA6/((1/1000)*(s_Irr!AX6)),IF(AND(s_Irr!Z6&lt;&gt;".",s_Irr!AX6=".",s_Irr!BV6="."),s_dir!AA6/((1/1000)*(s_Irr!Z6)),IF(AND(s_Irr!Z6=".",s_Irr!AX6=".",s_Irr!BV6="."),s_dir!AA6*1000)))))))),".")</f>
        <v>.</v>
      </c>
      <c r="AB6" s="62">
        <f t="shared" si="3"/>
        <v>283.31326123133181</v>
      </c>
      <c r="AC6" s="62">
        <f>IFERROR(s_C*s_IFAP_res_adj*s_CF_apple*0.001*(s_Irr!C6+s_Irr!AA6+s_Irr!AY6),".")</f>
        <v>103.48385260743784</v>
      </c>
      <c r="AD6" s="62">
        <f>IFERROR(s_C*s_IFAS_res_adj*s_CF_asparagus*0.001*(s_Irr!D6+s_Irr!AB6+s_Irr!AZ6),".")</f>
        <v>95.970481458218103</v>
      </c>
      <c r="AE6" s="62">
        <f>IFERROR(s_C*s_IFBT_res_adj*s_CF_beet*0.001*(s_Irr!E6+s_Irr!AC6+s_Irr!BA6),".")</f>
        <v>95.970481458218103</v>
      </c>
      <c r="AF6" s="62">
        <f>IFERROR(s_C*s_IFBE_res_adj*s_CF_berries*0.001*(s_Irr!F6+s_Irr!AD6+s_Irr!BB6),".")</f>
        <v>103.48385260743784</v>
      </c>
      <c r="AG6" s="62">
        <f>IFERROR(s_C*s_IFBR_res_adj*s_CF_broccoli*0.001*(s_Irr!G6+s_Irr!AE6+s_Irr!BC6),".")</f>
        <v>103.48385260743784</v>
      </c>
      <c r="AH6" s="62">
        <f>IFERROR(s_C*s_IFCB_res_adj*s_CF_cabbage*0.001*(s_Irr!H6+s_Irr!AF6+s_Irr!BD6),".")</f>
        <v>95.970481458218103</v>
      </c>
      <c r="AI6" s="62">
        <f>IFERROR(s_C*s_IFCR_res_adj*s_CF_carrot*0.001*(s_Irr!I6+s_Irr!AG6+s_Irr!BE6),".")</f>
        <v>95.970481458218103</v>
      </c>
      <c r="AJ6" s="62">
        <f>IFERROR(s_C*s_IFCI_res_adj*s_CF_citrus*0.001*(s_Irr!J6+s_Irr!AH6+s_Irr!BF6),".")</f>
        <v>103.48385260743784</v>
      </c>
      <c r="AK6" s="62">
        <f>IFERROR(s_C*s_IFCO_res_adj*s_CF_corn*0.001*(s_Irr!K6+s_Irr!AI6+s_Irr!BG6),".")</f>
        <v>103.48385260743784</v>
      </c>
      <c r="AL6" s="62">
        <f>IFERROR(s_C*s_IFCU_res_adj*s_CF_cucumber*0.001*(s_Irr!L6+s_Irr!AJ6+s_Irr!BH6),".")</f>
        <v>103.48385260743784</v>
      </c>
      <c r="AM6" s="62">
        <f>IFERROR(s_C*s_IFLE_res_adj*s_CF_lettuce*0.001*(s_Irr!M6+s_Irr!AK6+s_Irr!BI6),".")</f>
        <v>95.970481458218103</v>
      </c>
      <c r="AN6" s="62">
        <f>IFERROR(s_C*s_IFLI_res_adj*s_CF_lima_bean*0.001*(s_Irr!N6+s_Irr!AL6+s_Irr!BJ6),".")</f>
        <v>103.48385260743784</v>
      </c>
      <c r="AO6" s="62">
        <f>IFERROR(s_C*s_IFOK_res_adj*s_CF_okra*0.001*(s_Irr!O6+s_Irr!AM6+s_Irr!BK6),".")</f>
        <v>103.48385260743784</v>
      </c>
      <c r="AP6" s="62">
        <f>IFERROR(s_C*s_IFON_res_adj*s_CF_onion*0.001*(s_Irr!P6+s_Irr!AN6+s_Irr!BL6),".")</f>
        <v>103.48385260743784</v>
      </c>
      <c r="AQ6" s="62">
        <f>IFERROR(s_C*s_IFPC_res_adj*s_CF_peach*0.001*(s_Irr!Q6+s_Irr!AO6+s_Irr!BM6),".")</f>
        <v>103.48385260743784</v>
      </c>
      <c r="AR6" s="62">
        <f>IFERROR(s_C*s_IFPR_res_adj*s_CF_pear*0.001*(s_Irr!R6+s_Irr!AP6+s_Irr!BN6),".")</f>
        <v>103.48385260743784</v>
      </c>
      <c r="AS6" s="62">
        <f>IFERROR(s_C*s_IFPE_res_adj*s_CF_peas*0.001*(s_Irr!S6+s_Irr!AQ6+s_Irr!BO6),".")</f>
        <v>103.48385260743784</v>
      </c>
      <c r="AT6" s="62">
        <f>IFERROR(s_C*s_IFPT_res_adj*s_CF_potato*0.001*(s_Irr!T6+s_Irr!AR6+s_Irr!BP6),".")</f>
        <v>95.970481458218103</v>
      </c>
      <c r="AU6" s="62">
        <f>IFERROR(s_C*s_IFPU_res_adj*s_CF_pumpkin*0.001*(s_Irr!U6+s_Irr!AS6+s_Irr!BQ6),".")</f>
        <v>103.48385260743784</v>
      </c>
      <c r="AV6" s="62">
        <f>IFERROR(s_C*s_IFSN_res_adj*s_CF_snap_bean*0.001*(s_Irr!V6+s_Irr!AT6+s_Irr!BR6),".")</f>
        <v>103.48385260743784</v>
      </c>
      <c r="AW6" s="62">
        <f>IFERROR(s_C*s_IFST_res_adj*s_CF_strawberry*0.001*(s_Irr!W6+s_Irr!AU6+s_Irr!BS6),".")</f>
        <v>103.48385260743784</v>
      </c>
      <c r="AX6" s="62">
        <f>IFERROR(s_C*s_IFTO_res_adj*s_CF_tomato*0.001*(s_Irr!X6+s_Irr!AV6+s_Irr!BT6),".")</f>
        <v>103.48385260743784</v>
      </c>
      <c r="AY6" s="62">
        <f>IFERROR(s_C*s_IFRI_res_adj*s_CF_rice*0.001*(s_Irr!Y6+s_Irr!AW6+s_Irr!BU6),".")</f>
        <v>89.869624085051683</v>
      </c>
      <c r="AZ6" s="62">
        <f>IFERROR(s_C*s_IFCG_res_adj*s_CF_cereal*0.001*(s_Irr!Z6+s_Irr!AX6+s_Irr!BV6),".")</f>
        <v>89.959784538842314</v>
      </c>
      <c r="BA6" s="48" t="str">
        <f t="shared" si="0"/>
        <v>.</v>
      </c>
      <c r="BB6" s="48" t="str">
        <f>IFERROR(IF(AND(s_Irr!C6&lt;&gt;".",s_Irr!AA6&lt;&gt;".",s_Irr!AY6&lt;&gt;"."),s_dir!AC6/((1/1000)*(s_Irr!C6+s_Irr!AA6+s_Irr!AY6)),IF(AND(s_Irr!C6&lt;&gt;".",s_Irr!AA6&lt;&gt;".",s_Irr!AY6="."),s_dir!AC6/((1/1000)*(s_Irr!C6+s_Irr!AA6)),IF(AND(s_Irr!C6&lt;&gt;".",s_Irr!AA6=".",s_Irr!AY6&lt;&gt;"."),s_dir!AC6/((1/1000)*(s_Irr!C6+s_Irr!AY6)),IF(AND(s_Irr!C6=".",s_Irr!AA6&lt;&gt;".",s_Irr!AY6&lt;&gt;"."),s_dir!AC6/((1/1000)*(s_Irr!AA6+s_Irr!AY6)),IF(AND(s_Irr!C6=".",s_Irr!AA6=".",s_Irr!AY6&lt;&gt;"."),s_dir!AC6/((1/1000)*(s_Irr!AY6)),IF(AND(s_Irr!C6=".",s_Irr!AA6&lt;&gt;".",s_Irr!AY6="."),s_dir!AC6/((1/1000)*(s_Irr!AA6)),IF(AND(s_Irr!C6&lt;&gt;".",s_Irr!AA6=".",s_Irr!AY6="."),s_dir!AC6/((1/1000)*(s_Irr!C6)),IF(AND(s_Irr!C6=".",s_Irr!AA6=".",s_Irr!AY6="."),s_dir!AC6*1000)))))))),".")</f>
        <v>.</v>
      </c>
      <c r="BC6" s="48" t="str">
        <f>IFERROR(IF(AND(s_Irr!D6&lt;&gt;".",s_Irr!AB6&lt;&gt;".",s_Irr!AZ6&lt;&gt;"."),s_dir!AD6/((1/1000)*(s_Irr!D6+s_Irr!AB6+s_Irr!AZ6)),IF(AND(s_Irr!D6&lt;&gt;".",s_Irr!AB6&lt;&gt;".",s_Irr!AZ6="."),s_dir!AD6/((1/1000)*(s_Irr!D6+s_Irr!AB6)),IF(AND(s_Irr!D6&lt;&gt;".",s_Irr!AB6=".",s_Irr!AZ6&lt;&gt;"."),s_dir!AD6/((1/1000)*(s_Irr!D6+s_Irr!AZ6)),IF(AND(s_Irr!D6=".",s_Irr!AB6&lt;&gt;".",s_Irr!AZ6&lt;&gt;"."),s_dir!AD6/((1/1000)*(s_Irr!AB6+s_Irr!AZ6)),IF(AND(s_Irr!D6=".",s_Irr!AB6=".",s_Irr!AZ6&lt;&gt;"."),s_dir!AD6/((1/1000)*(s_Irr!AZ6)),IF(AND(s_Irr!D6=".",s_Irr!AB6&lt;&gt;".",s_Irr!AZ6="."),s_dir!AD6/((1/1000)*(s_Irr!AB6)),IF(AND(s_Irr!D6&lt;&gt;".",s_Irr!AB6=".",s_Irr!AZ6="."),s_dir!AD6/((1/1000)*(s_Irr!D6)),IF(AND(s_Irr!D6=".",s_Irr!AB6=".",s_Irr!AZ6="."),s_dir!AD6*1000)))))))),".")</f>
        <v>.</v>
      </c>
      <c r="BD6" s="48" t="str">
        <f>IFERROR(IF(AND(s_Irr!E6&lt;&gt;".",s_Irr!AC6&lt;&gt;".",s_Irr!BA6&lt;&gt;"."),s_dir!AE6/((1/1000)*(s_Irr!E6+s_Irr!AC6+s_Irr!BA6)),IF(AND(s_Irr!E6&lt;&gt;".",s_Irr!AC6&lt;&gt;".",s_Irr!BA6="."),s_dir!AE6/((1/1000)*(s_Irr!E6+s_Irr!AC6)),IF(AND(s_Irr!E6&lt;&gt;".",s_Irr!AC6=".",s_Irr!BA6&lt;&gt;"."),s_dir!AE6/((1/1000)*(s_Irr!E6+s_Irr!BA6)),IF(AND(s_Irr!E6=".",s_Irr!AC6&lt;&gt;".",s_Irr!BA6&lt;&gt;"."),s_dir!AE6/((1/1000)*(s_Irr!AC6+s_Irr!BA6)),IF(AND(s_Irr!E6=".",s_Irr!AC6=".",s_Irr!BA6&lt;&gt;"."),s_dir!AE6/((1/1000)*(s_Irr!BA6)),IF(AND(s_Irr!E6=".",s_Irr!AC6&lt;&gt;".",s_Irr!BA6="."),s_dir!AE6/((1/1000)*(s_Irr!AC6)),IF(AND(s_Irr!E6&lt;&gt;".",s_Irr!AC6=".",s_Irr!BA6="."),s_dir!AE6/((1/1000)*(s_Irr!E6)),IF(AND(s_Irr!E6=".",s_Irr!AC6=".",s_Irr!BA6="."),s_dir!AE6*1000)))))))),".")</f>
        <v>.</v>
      </c>
      <c r="BE6" s="48" t="str">
        <f>IFERROR(IF(AND(s_Irr!F6&lt;&gt;".",s_Irr!AD6&lt;&gt;".",s_Irr!BB6&lt;&gt;"."),s_dir!AF6/((1/1000)*(s_Irr!F6+s_Irr!AD6+s_Irr!BB6)),IF(AND(s_Irr!F6&lt;&gt;".",s_Irr!AD6&lt;&gt;".",s_Irr!BB6="."),s_dir!AF6/((1/1000)*(s_Irr!F6+s_Irr!AD6)),IF(AND(s_Irr!F6&lt;&gt;".",s_Irr!AD6=".",s_Irr!BB6&lt;&gt;"."),s_dir!AF6/((1/1000)*(s_Irr!F6+s_Irr!BB6)),IF(AND(s_Irr!F6=".",s_Irr!AD6&lt;&gt;".",s_Irr!BB6&lt;&gt;"."),s_dir!AF6/((1/1000)*(s_Irr!AD6+s_Irr!BB6)),IF(AND(s_Irr!F6=".",s_Irr!AD6=".",s_Irr!BB6&lt;&gt;"."),s_dir!AF6/((1/1000)*(s_Irr!BB6)),IF(AND(s_Irr!F6=".",s_Irr!AD6&lt;&gt;".",s_Irr!BB6="."),s_dir!AF6/((1/1000)*(s_Irr!AD6)),IF(AND(s_Irr!F6&lt;&gt;".",s_Irr!AD6=".",s_Irr!BB6="."),s_dir!AF6/((1/1000)*(s_Irr!F6)),IF(AND(s_Irr!F6=".",s_Irr!AD6=".",s_Irr!BB6="."),s_dir!AF6*1000)))))))),".")</f>
        <v>.</v>
      </c>
      <c r="BF6" s="48" t="str">
        <f>IFERROR(IF(AND(s_Irr!G6&lt;&gt;".",s_Irr!AE6&lt;&gt;".",s_Irr!BC6&lt;&gt;"."),s_dir!AG6/((1/1000)*(s_Irr!G6+s_Irr!AE6+s_Irr!BC6)),IF(AND(s_Irr!G6&lt;&gt;".",s_Irr!AE6&lt;&gt;".",s_Irr!BC6="."),s_dir!AG6/((1/1000)*(s_Irr!G6+s_Irr!AE6)),IF(AND(s_Irr!G6&lt;&gt;".",s_Irr!AE6=".",s_Irr!BC6&lt;&gt;"."),s_dir!AG6/((1/1000)*(s_Irr!G6+s_Irr!BC6)),IF(AND(s_Irr!G6=".",s_Irr!AE6&lt;&gt;".",s_Irr!BC6&lt;&gt;"."),s_dir!AG6/((1/1000)*(s_Irr!AE6+s_Irr!BC6)),IF(AND(s_Irr!G6=".",s_Irr!AE6=".",s_Irr!BC6&lt;&gt;"."),s_dir!AG6/((1/1000)*(s_Irr!BC6)),IF(AND(s_Irr!G6=".",s_Irr!AE6&lt;&gt;".",s_Irr!BC6="."),s_dir!AG6/((1/1000)*(s_Irr!AE6)),IF(AND(s_Irr!G6&lt;&gt;".",s_Irr!AE6=".",s_Irr!BC6="."),s_dir!AG6/((1/1000)*(s_Irr!G6)),IF(AND(s_Irr!G6=".",s_Irr!AE6=".",s_Irr!BC6="."),s_dir!AG6*1000)))))))),".")</f>
        <v>.</v>
      </c>
      <c r="BG6" s="48" t="str">
        <f>IFERROR(IF(AND(s_Irr!H6&lt;&gt;".",s_Irr!AF6&lt;&gt;".",s_Irr!BD6&lt;&gt;"."),s_dir!AH6/((1/1000)*(s_Irr!H6+s_Irr!AF6+s_Irr!BD6)),IF(AND(s_Irr!H6&lt;&gt;".",s_Irr!AF6&lt;&gt;".",s_Irr!BD6="."),s_dir!AH6/((1/1000)*(s_Irr!H6+s_Irr!AF6)),IF(AND(s_Irr!H6&lt;&gt;".",s_Irr!AF6=".",s_Irr!BD6&lt;&gt;"."),s_dir!AH6/((1/1000)*(s_Irr!H6+s_Irr!BD6)),IF(AND(s_Irr!H6=".",s_Irr!AF6&lt;&gt;".",s_Irr!BD6&lt;&gt;"."),s_dir!AH6/((1/1000)*(s_Irr!AF6+s_Irr!BD6)),IF(AND(s_Irr!H6=".",s_Irr!AF6=".",s_Irr!BD6&lt;&gt;"."),s_dir!AH6/((1/1000)*(s_Irr!BD6)),IF(AND(s_Irr!H6=".",s_Irr!AF6&lt;&gt;".",s_Irr!BD6="."),s_dir!AH6/((1/1000)*(s_Irr!AF6)),IF(AND(s_Irr!H6&lt;&gt;".",s_Irr!AF6=".",s_Irr!BD6="."),s_dir!AH6/((1/1000)*(s_Irr!H6)),IF(AND(s_Irr!H6=".",s_Irr!AF6=".",s_Irr!BD6="."),s_dir!AH6*1000)))))))),".")</f>
        <v>.</v>
      </c>
      <c r="BH6" s="48" t="str">
        <f>IFERROR(IF(AND(s_Irr!I6&lt;&gt;".",s_Irr!AG6&lt;&gt;".",s_Irr!BE6&lt;&gt;"."),s_dir!AI6/((1/1000)*(s_Irr!I6+s_Irr!AG6+s_Irr!BE6)),IF(AND(s_Irr!I6&lt;&gt;".",s_Irr!AG6&lt;&gt;".",s_Irr!BE6="."),s_dir!AI6/((1/1000)*(s_Irr!I6+s_Irr!AG6)),IF(AND(s_Irr!I6&lt;&gt;".",s_Irr!AG6=".",s_Irr!BE6&lt;&gt;"."),s_dir!AI6/((1/1000)*(s_Irr!I6+s_Irr!BE6)),IF(AND(s_Irr!I6=".",s_Irr!AG6&lt;&gt;".",s_Irr!BE6&lt;&gt;"."),s_dir!AI6/((1/1000)*(s_Irr!AG6+s_Irr!BE6)),IF(AND(s_Irr!I6=".",s_Irr!AG6=".",s_Irr!BE6&lt;&gt;"."),s_dir!AI6/((1/1000)*(s_Irr!BE6)),IF(AND(s_Irr!I6=".",s_Irr!AG6&lt;&gt;".",s_Irr!BE6="."),s_dir!AI6/((1/1000)*(s_Irr!AG6)),IF(AND(s_Irr!I6&lt;&gt;".",s_Irr!AG6=".",s_Irr!BE6="."),s_dir!AI6/((1/1000)*(s_Irr!I6)),IF(AND(s_Irr!I6=".",s_Irr!AG6=".",s_Irr!BE6="."),s_dir!AI6*1000)))))))),".")</f>
        <v>.</v>
      </c>
      <c r="BI6" s="48" t="str">
        <f>IFERROR(IF(AND(s_Irr!J6&lt;&gt;".",s_Irr!AH6&lt;&gt;".",s_Irr!BF6&lt;&gt;"."),s_dir!AJ6/((1/1000)*(s_Irr!J6+s_Irr!AH6+s_Irr!BF6)),IF(AND(s_Irr!J6&lt;&gt;".",s_Irr!AH6&lt;&gt;".",s_Irr!BF6="."),s_dir!AJ6/((1/1000)*(s_Irr!J6+s_Irr!AH6)),IF(AND(s_Irr!J6&lt;&gt;".",s_Irr!AH6=".",s_Irr!BF6&lt;&gt;"."),s_dir!AJ6/((1/1000)*(s_Irr!J6+s_Irr!BF6)),IF(AND(s_Irr!J6=".",s_Irr!AH6&lt;&gt;".",s_Irr!BF6&lt;&gt;"."),s_dir!AJ6/((1/1000)*(s_Irr!AH6+s_Irr!BF6)),IF(AND(s_Irr!J6=".",s_Irr!AH6=".",s_Irr!BF6&lt;&gt;"."),s_dir!AJ6/((1/1000)*(s_Irr!BF6)),IF(AND(s_Irr!J6=".",s_Irr!AH6&lt;&gt;".",s_Irr!BF6="."),s_dir!AJ6/((1/1000)*(s_Irr!AH6)),IF(AND(s_Irr!J6&lt;&gt;".",s_Irr!AH6=".",s_Irr!BF6="."),s_dir!AJ6/((1/1000)*(s_Irr!J6)),IF(AND(s_Irr!J6=".",s_Irr!AH6=".",s_Irr!BF6="."),s_dir!AJ6*1000)))))))),".")</f>
        <v>.</v>
      </c>
      <c r="BJ6" s="48" t="str">
        <f>IFERROR(IF(AND(s_Irr!K6&lt;&gt;".",s_Irr!AI6&lt;&gt;".",s_Irr!BG6&lt;&gt;"."),s_dir!AK6/((1/1000)*(s_Irr!K6+s_Irr!AI6+s_Irr!BG6)),IF(AND(s_Irr!K6&lt;&gt;".",s_Irr!AI6&lt;&gt;".",s_Irr!BG6="."),s_dir!AK6/((1/1000)*(s_Irr!K6+s_Irr!AI6)),IF(AND(s_Irr!K6&lt;&gt;".",s_Irr!AI6=".",s_Irr!BG6&lt;&gt;"."),s_dir!AK6/((1/1000)*(s_Irr!K6+s_Irr!BG6)),IF(AND(s_Irr!K6=".",s_Irr!AI6&lt;&gt;".",s_Irr!BG6&lt;&gt;"."),s_dir!AK6/((1/1000)*(s_Irr!AI6+s_Irr!BG6)),IF(AND(s_Irr!K6=".",s_Irr!AI6=".",s_Irr!BG6&lt;&gt;"."),s_dir!AK6/((1/1000)*(s_Irr!BG6)),IF(AND(s_Irr!K6=".",s_Irr!AI6&lt;&gt;".",s_Irr!BG6="."),s_dir!AK6/((1/1000)*(s_Irr!AI6)),IF(AND(s_Irr!K6&lt;&gt;".",s_Irr!AI6=".",s_Irr!BG6="."),s_dir!AK6/((1/1000)*(s_Irr!K6)),IF(AND(s_Irr!K6=".",s_Irr!AI6=".",s_Irr!BG6="."),s_dir!AK6*1000)))))))),".")</f>
        <v>.</v>
      </c>
      <c r="BK6" s="48" t="str">
        <f>IFERROR(IF(AND(s_Irr!L6&lt;&gt;".",s_Irr!AJ6&lt;&gt;".",s_Irr!BH6&lt;&gt;"."),s_dir!AL6/((1/1000)*(s_Irr!L6+s_Irr!AJ6+s_Irr!BH6)),IF(AND(s_Irr!L6&lt;&gt;".",s_Irr!AJ6&lt;&gt;".",s_Irr!BH6="."),s_dir!AL6/((1/1000)*(s_Irr!L6+s_Irr!AJ6)),IF(AND(s_Irr!L6&lt;&gt;".",s_Irr!AJ6=".",s_Irr!BH6&lt;&gt;"."),s_dir!AL6/((1/1000)*(s_Irr!L6+s_Irr!BH6)),IF(AND(s_Irr!L6=".",s_Irr!AJ6&lt;&gt;".",s_Irr!BH6&lt;&gt;"."),s_dir!AL6/((1/1000)*(s_Irr!AJ6+s_Irr!BH6)),IF(AND(s_Irr!L6=".",s_Irr!AJ6=".",s_Irr!BH6&lt;&gt;"."),s_dir!AL6/((1/1000)*(s_Irr!BH6)),IF(AND(s_Irr!L6=".",s_Irr!AJ6&lt;&gt;".",s_Irr!BH6="."),s_dir!AL6/((1/1000)*(s_Irr!AJ6)),IF(AND(s_Irr!L6&lt;&gt;".",s_Irr!AJ6=".",s_Irr!BH6="."),s_dir!AL6/((1/1000)*(s_Irr!L6)),IF(AND(s_Irr!L6=".",s_Irr!AJ6=".",s_Irr!BH6="."),s_dir!AL6*1000)))))))),".")</f>
        <v>.</v>
      </c>
      <c r="BL6" s="48" t="str">
        <f>IFERROR(IF(AND(s_Irr!M6&lt;&gt;".",s_Irr!AK6&lt;&gt;".",s_Irr!BI6&lt;&gt;"."),s_dir!AM6/((1/1000)*(s_Irr!M6+s_Irr!AK6+s_Irr!BI6)),IF(AND(s_Irr!M6&lt;&gt;".",s_Irr!AK6&lt;&gt;".",s_Irr!BI6="."),s_dir!AM6/((1/1000)*(s_Irr!M6+s_Irr!AK6)),IF(AND(s_Irr!M6&lt;&gt;".",s_Irr!AK6=".",s_Irr!BI6&lt;&gt;"."),s_dir!AM6/((1/1000)*(s_Irr!M6+s_Irr!BI6)),IF(AND(s_Irr!M6=".",s_Irr!AK6&lt;&gt;".",s_Irr!BI6&lt;&gt;"."),s_dir!AM6/((1/1000)*(s_Irr!AK6+s_Irr!BI6)),IF(AND(s_Irr!M6=".",s_Irr!AK6=".",s_Irr!BI6&lt;&gt;"."),s_dir!AM6/((1/1000)*(s_Irr!BI6)),IF(AND(s_Irr!M6=".",s_Irr!AK6&lt;&gt;".",s_Irr!BI6="."),s_dir!AM6/((1/1000)*(s_Irr!AK6)),IF(AND(s_Irr!M6&lt;&gt;".",s_Irr!AK6=".",s_Irr!BI6="."),s_dir!AM6/((1/1000)*(s_Irr!M6)),IF(AND(s_Irr!M6=".",s_Irr!AK6=".",s_Irr!BI6="."),s_dir!AM6*1000)))))))),".")</f>
        <v>.</v>
      </c>
      <c r="BM6" s="48" t="str">
        <f>IFERROR(IF(AND(s_Irr!N6&lt;&gt;".",s_Irr!AL6&lt;&gt;".",s_Irr!BJ6&lt;&gt;"."),s_dir!AN6/((1/1000)*(s_Irr!N6+s_Irr!AL6+s_Irr!BJ6)),IF(AND(s_Irr!N6&lt;&gt;".",s_Irr!AL6&lt;&gt;".",s_Irr!BJ6="."),s_dir!AN6/((1/1000)*(s_Irr!N6+s_Irr!AL6)),IF(AND(s_Irr!N6&lt;&gt;".",s_Irr!AL6=".",s_Irr!BJ6&lt;&gt;"."),s_dir!AN6/((1/1000)*(s_Irr!N6+s_Irr!BJ6)),IF(AND(s_Irr!N6=".",s_Irr!AL6&lt;&gt;".",s_Irr!BJ6&lt;&gt;"."),s_dir!AN6/((1/1000)*(s_Irr!AL6+s_Irr!BJ6)),IF(AND(s_Irr!N6=".",s_Irr!AL6=".",s_Irr!BJ6&lt;&gt;"."),s_dir!AN6/((1/1000)*(s_Irr!BJ6)),IF(AND(s_Irr!N6=".",s_Irr!AL6&lt;&gt;".",s_Irr!BJ6="."),s_dir!AN6/((1/1000)*(s_Irr!AL6)),IF(AND(s_Irr!N6&lt;&gt;".",s_Irr!AL6=".",s_Irr!BJ6="."),s_dir!AN6/((1/1000)*(s_Irr!N6)),IF(AND(s_Irr!N6=".",s_Irr!AL6=".",s_Irr!BJ6="."),s_dir!AN6*1000)))))))),".")</f>
        <v>.</v>
      </c>
      <c r="BN6" s="48" t="str">
        <f>IFERROR(IF(AND(s_Irr!O6&lt;&gt;".",s_Irr!AM6&lt;&gt;".",s_Irr!BK6&lt;&gt;"."),s_dir!AO6/((1/1000)*(s_Irr!O6+s_Irr!AM6+s_Irr!BK6)),IF(AND(s_Irr!O6&lt;&gt;".",s_Irr!AM6&lt;&gt;".",s_Irr!BK6="."),s_dir!AO6/((1/1000)*(s_Irr!O6+s_Irr!AM6)),IF(AND(s_Irr!O6&lt;&gt;".",s_Irr!AM6=".",s_Irr!BK6&lt;&gt;"."),s_dir!AO6/((1/1000)*(s_Irr!O6+s_Irr!BK6)),IF(AND(s_Irr!O6=".",s_Irr!AM6&lt;&gt;".",s_Irr!BK6&lt;&gt;"."),s_dir!AO6/((1/1000)*(s_Irr!AM6+s_Irr!BK6)),IF(AND(s_Irr!O6=".",s_Irr!AM6=".",s_Irr!BK6&lt;&gt;"."),s_dir!AO6/((1/1000)*(s_Irr!BK6)),IF(AND(s_Irr!O6=".",s_Irr!AM6&lt;&gt;".",s_Irr!BK6="."),s_dir!AO6/((1/1000)*(s_Irr!AM6)),IF(AND(s_Irr!O6&lt;&gt;".",s_Irr!AM6=".",s_Irr!BK6="."),s_dir!AO6/((1/1000)*(s_Irr!O6)),IF(AND(s_Irr!O6=".",s_Irr!AM6=".",s_Irr!BK6="."),s_dir!AO6*1000)))))))),".")</f>
        <v>.</v>
      </c>
      <c r="BO6" s="48" t="str">
        <f>IFERROR(IF(AND(s_Irr!P6&lt;&gt;".",s_Irr!AN6&lt;&gt;".",s_Irr!BL6&lt;&gt;"."),s_dir!AP6/((1/1000)*(s_Irr!P6+s_Irr!AN6+s_Irr!BL6)),IF(AND(s_Irr!P6&lt;&gt;".",s_Irr!AN6&lt;&gt;".",s_Irr!BL6="."),s_dir!AP6/((1/1000)*(s_Irr!P6+s_Irr!AN6)),IF(AND(s_Irr!P6&lt;&gt;".",s_Irr!AN6=".",s_Irr!BL6&lt;&gt;"."),s_dir!AP6/((1/1000)*(s_Irr!P6+s_Irr!BL6)),IF(AND(s_Irr!P6=".",s_Irr!AN6&lt;&gt;".",s_Irr!BL6&lt;&gt;"."),s_dir!AP6/((1/1000)*(s_Irr!AN6+s_Irr!BL6)),IF(AND(s_Irr!P6=".",s_Irr!AN6=".",s_Irr!BL6&lt;&gt;"."),s_dir!AP6/((1/1000)*(s_Irr!BL6)),IF(AND(s_Irr!P6=".",s_Irr!AN6&lt;&gt;".",s_Irr!BL6="."),s_dir!AP6/((1/1000)*(s_Irr!AN6)),IF(AND(s_Irr!P6&lt;&gt;".",s_Irr!AN6=".",s_Irr!BL6="."),s_dir!AP6/((1/1000)*(s_Irr!P6)),IF(AND(s_Irr!P6=".",s_Irr!AN6=".",s_Irr!BL6="."),s_dir!AP6*1000)))))))),".")</f>
        <v>.</v>
      </c>
      <c r="BP6" s="48" t="str">
        <f>IFERROR(IF(AND(s_Irr!Q6&lt;&gt;".",s_Irr!AO6&lt;&gt;".",s_Irr!BM6&lt;&gt;"."),s_dir!AQ6/((1/1000)*(s_Irr!Q6+s_Irr!AO6+s_Irr!BM6)),IF(AND(s_Irr!Q6&lt;&gt;".",s_Irr!AO6&lt;&gt;".",s_Irr!BM6="."),s_dir!AQ6/((1/1000)*(s_Irr!Q6+s_Irr!AO6)),IF(AND(s_Irr!Q6&lt;&gt;".",s_Irr!AO6=".",s_Irr!BM6&lt;&gt;"."),s_dir!AQ6/((1/1000)*(s_Irr!Q6+s_Irr!BM6)),IF(AND(s_Irr!Q6=".",s_Irr!AO6&lt;&gt;".",s_Irr!BM6&lt;&gt;"."),s_dir!AQ6/((1/1000)*(s_Irr!AO6+s_Irr!BM6)),IF(AND(s_Irr!Q6=".",s_Irr!AO6=".",s_Irr!BM6&lt;&gt;"."),s_dir!AQ6/((1/1000)*(s_Irr!BM6)),IF(AND(s_Irr!Q6=".",s_Irr!AO6&lt;&gt;".",s_Irr!BM6="."),s_dir!AQ6/((1/1000)*(s_Irr!AO6)),IF(AND(s_Irr!Q6&lt;&gt;".",s_Irr!AO6=".",s_Irr!BM6="."),s_dir!AQ6/((1/1000)*(s_Irr!Q6)),IF(AND(s_Irr!Q6=".",s_Irr!AO6=".",s_Irr!BM6="."),s_dir!AQ6*1000)))))))),".")</f>
        <v>.</v>
      </c>
      <c r="BQ6" s="48" t="str">
        <f>IFERROR(IF(AND(s_Irr!R6&lt;&gt;".",s_Irr!AP6&lt;&gt;".",s_Irr!BN6&lt;&gt;"."),s_dir!AR6/((1/1000)*(s_Irr!R6+s_Irr!AP6+s_Irr!BN6)),IF(AND(s_Irr!R6&lt;&gt;".",s_Irr!AP6&lt;&gt;".",s_Irr!BN6="."),s_dir!AR6/((1/1000)*(s_Irr!R6+s_Irr!AP6)),IF(AND(s_Irr!R6&lt;&gt;".",s_Irr!AP6=".",s_Irr!BN6&lt;&gt;"."),s_dir!AR6/((1/1000)*(s_Irr!R6+s_Irr!BN6)),IF(AND(s_Irr!R6=".",s_Irr!AP6&lt;&gt;".",s_Irr!BN6&lt;&gt;"."),s_dir!AR6/((1/1000)*(s_Irr!AP6+s_Irr!BN6)),IF(AND(s_Irr!R6=".",s_Irr!AP6=".",s_Irr!BN6&lt;&gt;"."),s_dir!AR6/((1/1000)*(s_Irr!BN6)),IF(AND(s_Irr!R6=".",s_Irr!AP6&lt;&gt;".",s_Irr!BN6="."),s_dir!AR6/((1/1000)*(s_Irr!AP6)),IF(AND(s_Irr!R6&lt;&gt;".",s_Irr!AP6=".",s_Irr!BN6="."),s_dir!AR6/((1/1000)*(s_Irr!R6)),IF(AND(s_Irr!R6=".",s_Irr!AP6=".",s_Irr!BN6="."),s_dir!AR6*1000)))))))),".")</f>
        <v>.</v>
      </c>
      <c r="BR6" s="48" t="str">
        <f>IFERROR(IF(AND(s_Irr!S6&lt;&gt;".",s_Irr!AQ6&lt;&gt;".",s_Irr!BO6&lt;&gt;"."),s_dir!AS6/((1/1000)*(s_Irr!S6+s_Irr!AQ6+s_Irr!BO6)),IF(AND(s_Irr!S6&lt;&gt;".",s_Irr!AQ6&lt;&gt;".",s_Irr!BO6="."),s_dir!AS6/((1/1000)*(s_Irr!S6+s_Irr!AQ6)),IF(AND(s_Irr!S6&lt;&gt;".",s_Irr!AQ6=".",s_Irr!BO6&lt;&gt;"."),s_dir!AS6/((1/1000)*(s_Irr!S6+s_Irr!BO6)),IF(AND(s_Irr!S6=".",s_Irr!AQ6&lt;&gt;".",s_Irr!BO6&lt;&gt;"."),s_dir!AS6/((1/1000)*(s_Irr!AQ6+s_Irr!BO6)),IF(AND(s_Irr!S6=".",s_Irr!AQ6=".",s_Irr!BO6&lt;&gt;"."),s_dir!AS6/((1/1000)*(s_Irr!BO6)),IF(AND(s_Irr!S6=".",s_Irr!AQ6&lt;&gt;".",s_Irr!BO6="."),s_dir!AS6/((1/1000)*(s_Irr!AQ6)),IF(AND(s_Irr!S6&lt;&gt;".",s_Irr!AQ6=".",s_Irr!BO6="."),s_dir!AS6/((1/1000)*(s_Irr!S6)),IF(AND(s_Irr!S6=".",s_Irr!AQ6=".",s_Irr!BO6="."),s_dir!AS6*1000)))))))),".")</f>
        <v>.</v>
      </c>
      <c r="BS6" s="48" t="str">
        <f>IFERROR(IF(AND(s_Irr!T6&lt;&gt;".",s_Irr!AR6&lt;&gt;".",s_Irr!BP6&lt;&gt;"."),s_dir!AT6/((1/1000)*(s_Irr!T6+s_Irr!AR6+s_Irr!BP6)),IF(AND(s_Irr!T6&lt;&gt;".",s_Irr!AR6&lt;&gt;".",s_Irr!BP6="."),s_dir!AT6/((1/1000)*(s_Irr!T6+s_Irr!AR6)),IF(AND(s_Irr!T6&lt;&gt;".",s_Irr!AR6=".",s_Irr!BP6&lt;&gt;"."),s_dir!AT6/((1/1000)*(s_Irr!T6+s_Irr!BP6)),IF(AND(s_Irr!T6=".",s_Irr!AR6&lt;&gt;".",s_Irr!BP6&lt;&gt;"."),s_dir!AT6/((1/1000)*(s_Irr!AR6+s_Irr!BP6)),IF(AND(s_Irr!T6=".",s_Irr!AR6=".",s_Irr!BP6&lt;&gt;"."),s_dir!AT6/((1/1000)*(s_Irr!BP6)),IF(AND(s_Irr!T6=".",s_Irr!AR6&lt;&gt;".",s_Irr!BP6="."),s_dir!AT6/((1/1000)*(s_Irr!AR6)),IF(AND(s_Irr!T6&lt;&gt;".",s_Irr!AR6=".",s_Irr!BP6="."),s_dir!AT6/((1/1000)*(s_Irr!T6)),IF(AND(s_Irr!T6=".",s_Irr!AR6=".",s_Irr!BP6="."),s_dir!AT6*1000)))))))),".")</f>
        <v>.</v>
      </c>
      <c r="BT6" s="48" t="str">
        <f>IFERROR(IF(AND(s_Irr!U6&lt;&gt;".",s_Irr!AS6&lt;&gt;".",s_Irr!BQ6&lt;&gt;"."),s_dir!AU6/((1/1000)*(s_Irr!U6+s_Irr!AS6+s_Irr!BQ6)),IF(AND(s_Irr!U6&lt;&gt;".",s_Irr!AS6&lt;&gt;".",s_Irr!BQ6="."),s_dir!AU6/((1/1000)*(s_Irr!U6+s_Irr!AS6)),IF(AND(s_Irr!U6&lt;&gt;".",s_Irr!AS6=".",s_Irr!BQ6&lt;&gt;"."),s_dir!AU6/((1/1000)*(s_Irr!U6+s_Irr!BQ6)),IF(AND(s_Irr!U6=".",s_Irr!AS6&lt;&gt;".",s_Irr!BQ6&lt;&gt;"."),s_dir!AU6/((1/1000)*(s_Irr!AS6+s_Irr!BQ6)),IF(AND(s_Irr!U6=".",s_Irr!AS6=".",s_Irr!BQ6&lt;&gt;"."),s_dir!AU6/((1/1000)*(s_Irr!BQ6)),IF(AND(s_Irr!U6=".",s_Irr!AS6&lt;&gt;".",s_Irr!BQ6="."),s_dir!AU6/((1/1000)*(s_Irr!AS6)),IF(AND(s_Irr!U6&lt;&gt;".",s_Irr!AS6=".",s_Irr!BQ6="."),s_dir!AU6/((1/1000)*(s_Irr!U6)),IF(AND(s_Irr!U6=".",s_Irr!AS6=".",s_Irr!BQ6="."),s_dir!AU6*1000)))))))),".")</f>
        <v>.</v>
      </c>
      <c r="BU6" s="48" t="str">
        <f>IFERROR(IF(AND(s_Irr!V6&lt;&gt;".",s_Irr!AT6&lt;&gt;".",s_Irr!BR6&lt;&gt;"."),s_dir!AV6/((1/1000)*(s_Irr!V6+s_Irr!AT6+s_Irr!BR6)),IF(AND(s_Irr!V6&lt;&gt;".",s_Irr!AT6&lt;&gt;".",s_Irr!BR6="."),s_dir!AV6/((1/1000)*(s_Irr!V6+s_Irr!AT6)),IF(AND(s_Irr!V6&lt;&gt;".",s_Irr!AT6=".",s_Irr!BR6&lt;&gt;"."),s_dir!AV6/((1/1000)*(s_Irr!V6+s_Irr!BR6)),IF(AND(s_Irr!V6=".",s_Irr!AT6&lt;&gt;".",s_Irr!BR6&lt;&gt;"."),s_dir!AV6/((1/1000)*(s_Irr!AT6+s_Irr!BR6)),IF(AND(s_Irr!V6=".",s_Irr!AT6=".",s_Irr!BR6&lt;&gt;"."),s_dir!AV6/((1/1000)*(s_Irr!BR6)),IF(AND(s_Irr!V6=".",s_Irr!AT6&lt;&gt;".",s_Irr!BR6="."),s_dir!AV6/((1/1000)*(s_Irr!AT6)),IF(AND(s_Irr!V6&lt;&gt;".",s_Irr!AT6=".",s_Irr!BR6="."),s_dir!AV6/((1/1000)*(s_Irr!V6)),IF(AND(s_Irr!V6=".",s_Irr!AT6=".",s_Irr!BR6="."),s_dir!AV6*1000)))))))),".")</f>
        <v>.</v>
      </c>
      <c r="BV6" s="48" t="str">
        <f>IFERROR(IF(AND(s_Irr!W6&lt;&gt;".",s_Irr!AU6&lt;&gt;".",s_Irr!BS6&lt;&gt;"."),s_dir!AW6/((1/1000)*(s_Irr!W6+s_Irr!AU6+s_Irr!BS6)),IF(AND(s_Irr!W6&lt;&gt;".",s_Irr!AU6&lt;&gt;".",s_Irr!BS6="."),s_dir!AW6/((1/1000)*(s_Irr!W6+s_Irr!AU6)),IF(AND(s_Irr!W6&lt;&gt;".",s_Irr!AU6=".",s_Irr!BS6&lt;&gt;"."),s_dir!AW6/((1/1000)*(s_Irr!W6+s_Irr!BS6)),IF(AND(s_Irr!W6=".",s_Irr!AU6&lt;&gt;".",s_Irr!BS6&lt;&gt;"."),s_dir!AW6/((1/1000)*(s_Irr!AU6+s_Irr!BS6)),IF(AND(s_Irr!W6=".",s_Irr!AU6=".",s_Irr!BS6&lt;&gt;"."),s_dir!AW6/((1/1000)*(s_Irr!BS6)),IF(AND(s_Irr!W6=".",s_Irr!AU6&lt;&gt;".",s_Irr!BS6="."),s_dir!AW6/((1/1000)*(s_Irr!AU6)),IF(AND(s_Irr!W6&lt;&gt;".",s_Irr!AU6=".",s_Irr!BS6="."),s_dir!AW6/((1/1000)*(s_Irr!W6)),IF(AND(s_Irr!W6=".",s_Irr!AU6=".",s_Irr!BS6="."),s_dir!AW6*1000)))))))),".")</f>
        <v>.</v>
      </c>
      <c r="BW6" s="48" t="str">
        <f>IFERROR(IF(AND(s_Irr!X6&lt;&gt;".",s_Irr!AV6&lt;&gt;".",s_Irr!BT6&lt;&gt;"."),s_dir!AX6/((1/1000)*(s_Irr!X6+s_Irr!AV6+s_Irr!BT6)),IF(AND(s_Irr!X6&lt;&gt;".",s_Irr!AV6&lt;&gt;".",s_Irr!BT6="."),s_dir!AX6/((1/1000)*(s_Irr!X6+s_Irr!AV6)),IF(AND(s_Irr!X6&lt;&gt;".",s_Irr!AV6=".",s_Irr!BT6&lt;&gt;"."),s_dir!AX6/((1/1000)*(s_Irr!X6+s_Irr!BT6)),IF(AND(s_Irr!X6=".",s_Irr!AV6&lt;&gt;".",s_Irr!BT6&lt;&gt;"."),s_dir!AX6/((1/1000)*(s_Irr!AV6+s_Irr!BT6)),IF(AND(s_Irr!X6=".",s_Irr!AV6=".",s_Irr!BT6&lt;&gt;"."),s_dir!AX6/((1/1000)*(s_Irr!BT6)),IF(AND(s_Irr!X6=".",s_Irr!AV6&lt;&gt;".",s_Irr!BT6="."),s_dir!AX6/((1/1000)*(s_Irr!AV6)),IF(AND(s_Irr!X6&lt;&gt;".",s_Irr!AV6=".",s_Irr!BT6="."),s_dir!AX6/((1/1000)*(s_Irr!X6)),IF(AND(s_Irr!X6=".",s_Irr!AV6=".",s_Irr!BT6="."),s_dir!AX6*1000)))))))),".")</f>
        <v>.</v>
      </c>
      <c r="BX6" s="48" t="str">
        <f>IFERROR(IF(AND(s_Irr!Y6&lt;&gt;".",s_Irr!AW6&lt;&gt;".",s_Irr!BU6&lt;&gt;"."),s_dir!AY6/((1/1000)*(s_Irr!Y6+s_Irr!AW6+s_Irr!BU6)),IF(AND(s_Irr!Y6&lt;&gt;".",s_Irr!AW6&lt;&gt;".",s_Irr!BU6="."),s_dir!AY6/((1/1000)*(s_Irr!Y6+s_Irr!AW6)),IF(AND(s_Irr!Y6&lt;&gt;".",s_Irr!AW6=".",s_Irr!BU6&lt;&gt;"."),s_dir!AY6/((1/1000)*(s_Irr!Y6+s_Irr!BU6)),IF(AND(s_Irr!Y6=".",s_Irr!AW6&lt;&gt;".",s_Irr!BU6&lt;&gt;"."),s_dir!AY6/((1/1000)*(s_Irr!AW6+s_Irr!BU6)),IF(AND(s_Irr!Y6=".",s_Irr!AW6=".",s_Irr!BU6&lt;&gt;"."),s_dir!AY6/((1/1000)*(s_Irr!BU6)),IF(AND(s_Irr!Y6=".",s_Irr!AW6&lt;&gt;".",s_Irr!BU6="."),s_dir!AY6/((1/1000)*(s_Irr!AW6)),IF(AND(s_Irr!Y6&lt;&gt;".",s_Irr!AW6=".",s_Irr!BU6="."),s_dir!AY6/((1/1000)*(s_Irr!Y6)),IF(AND(s_Irr!Y6=".",s_Irr!AW6=".",s_Irr!BU6="."),s_dir!AY6*1000)))))))),".")</f>
        <v>.</v>
      </c>
      <c r="BY6" s="48" t="str">
        <f>IFERROR(IF(AND(s_Irr!Z6&lt;&gt;".",s_Irr!AX6&lt;&gt;".",s_Irr!BV6&lt;&gt;"."),s_dir!AZ6/((1/1000)*(s_Irr!Z6+s_Irr!AX6+s_Irr!BV6)),IF(AND(s_Irr!Z6&lt;&gt;".",s_Irr!AX6&lt;&gt;".",s_Irr!BV6="."),s_dir!AZ6/((1/1000)*(s_Irr!Z6+s_Irr!AX6)),IF(AND(s_Irr!Z6&lt;&gt;".",s_Irr!AX6=".",s_Irr!BV6&lt;&gt;"."),s_dir!AZ6/((1/1000)*(s_Irr!Z6+s_Irr!BV6)),IF(AND(s_Irr!Z6=".",s_Irr!AX6&lt;&gt;".",s_Irr!BV6&lt;&gt;"."),s_dir!AZ6/((1/1000)*(s_Irr!AX6+s_Irr!BV6)),IF(AND(s_Irr!Z6=".",s_Irr!AX6=".",s_Irr!BV6&lt;&gt;"."),s_dir!AZ6/((1/1000)*(s_Irr!BV6)),IF(AND(s_Irr!Z6=".",s_Irr!AX6&lt;&gt;".",s_Irr!BV6="."),s_dir!AZ6/((1/1000)*(s_Irr!AX6)),IF(AND(s_Irr!Z6&lt;&gt;".",s_Irr!AX6=".",s_Irr!BV6="."),s_dir!AZ6/((1/1000)*(s_Irr!Z6)),IF(AND(s_Irr!Z6=".",s_Irr!AX6=".",s_Irr!BV6="."),s_dir!AZ6*1000)))))))),".")</f>
        <v>.</v>
      </c>
      <c r="BZ6" s="62">
        <f t="shared" si="1"/>
        <v>283.31326123133181</v>
      </c>
      <c r="CA6" s="62">
        <f>IFERROR(s_C*s_IFAP_far_adj*s_CF_apple*(1/1000)*(s_Irr!C6+s_Irr!AA6+s_Irr!AY6),".")</f>
        <v>103.48385260743784</v>
      </c>
      <c r="CB6" s="62">
        <f>IFERROR(s_C*s_IFAS_far_adj*s_CF_asparagus*(1/1000)*(s_Irr!D6+s_Irr!AB6+s_Irr!AZ6),".")</f>
        <v>95.970481458218103</v>
      </c>
      <c r="CC6" s="62">
        <f>IFERROR(s_C*s_IFBT_far_adj*s_CF_beet*(1/1000)*(s_Irr!E6+s_Irr!AC6+s_Irr!BA6),".")</f>
        <v>95.970481458218103</v>
      </c>
      <c r="CD6" s="62">
        <f>IFERROR(s_C*s_IFBE_far_adj*s_CF_berries*(1/1000)*(s_Irr!F6+s_Irr!AD6+s_Irr!BB6),".")</f>
        <v>103.48385260743784</v>
      </c>
      <c r="CE6" s="62">
        <f>IFERROR(s_C*s_IFBR_far_adj*s_CF_broccoli*(1/1000)*(s_Irr!G6+s_Irr!AE6+s_Irr!BC6),".")</f>
        <v>103.48385260743784</v>
      </c>
      <c r="CF6" s="62">
        <f>IFERROR(s_C*s_IFCB_far_adj*s_CF_cabbage*(1/1000)*(s_Irr!H6+s_Irr!AF6+s_Irr!BD6),".")</f>
        <v>95.970481458218103</v>
      </c>
      <c r="CG6" s="62">
        <f>IFERROR(s_C*s_IFCR_far_adj*s_CF_carrot*(1/1000)*(s_Irr!I6+s_Irr!AG6+s_Irr!BE6),".")</f>
        <v>95.970481458218103</v>
      </c>
      <c r="CH6" s="62">
        <f>IFERROR(s_C*s_IFCI_far_adj*s_CF_citrus*(1/1000)*(s_Irr!J6+s_Irr!AH6+s_Irr!BF6),".")</f>
        <v>103.48385260743784</v>
      </c>
      <c r="CI6" s="62">
        <f>IFERROR(s_C*s_IFCO_far_adj*s_CF_corn*(1/1000)*(s_Irr!K6+s_Irr!AI6+s_Irr!BG6),".")</f>
        <v>103.48385260743784</v>
      </c>
      <c r="CJ6" s="62">
        <f>IFERROR(s_C*s_IFCU_far_adj*s_CF_cucumber*(1/1000)*(s_Irr!L6+s_Irr!AJ6+s_Irr!BH6),".")</f>
        <v>103.48385260743784</v>
      </c>
      <c r="CK6" s="62">
        <f>IFERROR(s_C*s_IFLE_far_adj*s_CF_lettuce*(1/1000)*(s_Irr!M6+s_Irr!AK6+s_Irr!BI6),".")</f>
        <v>95.970481458218103</v>
      </c>
      <c r="CL6" s="62">
        <f>IFERROR(s_C*s_IFLI_far_adj*s_CF_lima_bean*(1/1000)*(s_Irr!N6+s_Irr!AL6+s_Irr!BJ6),".")</f>
        <v>103.48385260743784</v>
      </c>
      <c r="CM6" s="62">
        <f>IFERROR(s_C*s_IFOK_far_adj*s_CF_okra*(1/1000)*(s_Irr!O6+s_Irr!AM6+s_Irr!BK6),".")</f>
        <v>103.48385260743784</v>
      </c>
      <c r="CN6" s="62">
        <f>IFERROR(s_C*s_IFON_far_adj*s_CF_onion*(1/1000)*(s_Irr!P6+s_Irr!AN6+s_Irr!BL6),".")</f>
        <v>103.48385260743784</v>
      </c>
      <c r="CO6" s="62">
        <f>IFERROR(s_C*s_IFPC_far_adj*s_CF_peach*(1/1000)*(s_Irr!Q6+s_Irr!AO6+s_Irr!BM6),".")</f>
        <v>103.48385260743784</v>
      </c>
      <c r="CP6" s="62">
        <f>IFERROR(s_C*s_IFPR_far_adj*s_CF_pear*(1/1000)*(s_Irr!R6+s_Irr!AP6+s_Irr!BN6),".")</f>
        <v>103.48385260743784</v>
      </c>
      <c r="CQ6" s="62">
        <f>IFERROR(s_C*s_IFPE_far_adj*s_CF_peas*(1/1000)*(s_Irr!S6+s_Irr!AQ6+s_Irr!BO6),".")</f>
        <v>103.48385260743784</v>
      </c>
      <c r="CR6" s="62">
        <f>IFERROR(s_C*s_IFPT_far_adj*s_CF_potato*(1/1000)*(s_Irr!T6+s_Irr!AR6+s_Irr!BP6),".")</f>
        <v>95.970481458218103</v>
      </c>
      <c r="CS6" s="62">
        <f>IFERROR(s_C*s_IFPU_far_adj*s_CF_pumpkin*(1/1000)*(s_Irr!U6+s_Irr!AS6+s_Irr!BQ6),".")</f>
        <v>103.48385260743784</v>
      </c>
      <c r="CT6" s="62">
        <f>IFERROR(s_C*s_IFSN_far_adj*s_CF_snap_bean*(1/1000)*(s_Irr!V6+s_Irr!AT6+s_Irr!BR6),".")</f>
        <v>103.48385260743784</v>
      </c>
      <c r="CU6" s="62">
        <f>IFERROR(s_C*s_IFST_far_adj*s_CF_strawberry*(1/1000)*(s_Irr!W6+s_Irr!AU6+s_Irr!BS6),".")</f>
        <v>103.48385260743784</v>
      </c>
      <c r="CV6" s="62">
        <f>IFERROR(s_C*s_IFTO_far_adj*s_CF_tomato*(1/1000)*(s_Irr!X6+s_Irr!AV6+s_Irr!BT6),".")</f>
        <v>103.48385260743784</v>
      </c>
      <c r="CW6" s="62">
        <f>IFERROR(s_C*s_IFRI_far_adj*s_CF_rice*(1/1000)*(s_Irr!Y6+s_Irr!AW6+s_Irr!BU6),".")</f>
        <v>89.869624085051683</v>
      </c>
      <c r="CX6" s="62">
        <f>IFERROR(s_C*s_IFCG_far_adj*s_CF_cereal*(1/1000)*(s_Irr!Z6+s_Irr!AX6+s_Irr!BV6),".")</f>
        <v>89.959784538842314</v>
      </c>
    </row>
    <row r="7" spans="1:102" ht="15" customHeight="1" x14ac:dyDescent="0.25">
      <c r="A7" s="61" t="s">
        <v>5</v>
      </c>
      <c r="B7" s="49" t="s">
        <v>1059</v>
      </c>
      <c r="C7" s="48">
        <f t="shared" si="2"/>
        <v>5241.4020209370792</v>
      </c>
      <c r="D7" s="48">
        <f>IFERROR(IF(AND(s_Irr!C7&lt;&gt;".",s_Irr!AA7&lt;&gt;".",s_Irr!AY7&lt;&gt;"."),s_dir!D7/((1/1000)*(s_Irr!C7+s_Irr!AA7+s_Irr!AY7)),IF(AND(s_Irr!C7&lt;&gt;".",s_Irr!AA7&lt;&gt;".",s_Irr!AY7="."),s_dir!D7/((1/1000)*(s_Irr!C7+s_Irr!AA7)),IF(AND(s_Irr!C7&lt;&gt;".",s_Irr!AA7=".",s_Irr!AY7&lt;&gt;"."),s_dir!D7/((1/1000)*(s_Irr!C7+s_Irr!AY7)),IF(AND(s_Irr!C7=".",s_Irr!AA7&lt;&gt;".",s_Irr!AY7&lt;&gt;"."),s_dir!D7/((1/1000)*(s_Irr!AA7+s_Irr!AY7)),IF(AND(s_Irr!C7=".",s_Irr!AA7=".",s_Irr!AY7&lt;&gt;"."),s_dir!D7/((1/1000)*(s_Irr!AY7)),IF(AND(s_Irr!C7=".",s_Irr!AA7&lt;&gt;".",s_Irr!AY7="."),s_dir!D7/((1/1000)*(s_Irr!AA7)),IF(AND(s_Irr!C7&lt;&gt;".",s_Irr!AA7=".",s_Irr!AY7="."),s_dir!D7/((1/1000)*(s_Irr!C7)),IF(AND(s_Irr!C7=".",s_Irr!AA7=".",s_Irr!AY7="."),s_dir!D7*1000)))))))),".")</f>
        <v>15724.206062811239</v>
      </c>
      <c r="E7" s="48">
        <f>IFERROR(IF(AND(s_Irr!D7&lt;&gt;".",s_Irr!AB7&lt;&gt;".",s_Irr!AZ7&lt;&gt;"."),s_dir!E7/((1/1000)*(s_Irr!D7+s_Irr!AB7+s_Irr!AZ7)),IF(AND(s_Irr!D7&lt;&gt;".",s_Irr!AB7&lt;&gt;".",s_Irr!AZ7="."),s_dir!E7/((1/1000)*(s_Irr!D7+s_Irr!AB7)),IF(AND(s_Irr!D7&lt;&gt;".",s_Irr!AB7=".",s_Irr!AZ7&lt;&gt;"."),s_dir!E7/((1/1000)*(s_Irr!D7+s_Irr!AZ7)),IF(AND(s_Irr!D7=".",s_Irr!AB7&lt;&gt;".",s_Irr!AZ7&lt;&gt;"."),s_dir!E7/((1/1000)*(s_Irr!AB7+s_Irr!AZ7)),IF(AND(s_Irr!D7=".",s_Irr!AB7=".",s_Irr!AZ7&lt;&gt;"."),s_dir!E7/((1/1000)*(s_Irr!AZ7)),IF(AND(s_Irr!D7=".",s_Irr!AB7&lt;&gt;".",s_Irr!AZ7="."),s_dir!E7/((1/1000)*(s_Irr!AB7)),IF(AND(s_Irr!D7&lt;&gt;".",s_Irr!AB7=".",s_Irr!AZ7="."),s_dir!E7/((1/1000)*(s_Irr!D7)),IF(AND(s_Irr!D7=".",s_Irr!AB7=".",s_Irr!AZ7="."),s_dir!E7*1000)))))))),".")</f>
        <v>15724.206062811239</v>
      </c>
      <c r="F7" s="48">
        <f>IFERROR(IF(AND(s_Irr!E7&lt;&gt;".",s_Irr!AC7&lt;&gt;".",s_Irr!BA7&lt;&gt;"."),s_dir!F7/((1/1000)*(s_Irr!E7+s_Irr!AC7+s_Irr!BA7)),IF(AND(s_Irr!E7&lt;&gt;".",s_Irr!AC7&lt;&gt;".",s_Irr!BA7="."),s_dir!F7/((1/1000)*(s_Irr!E7+s_Irr!AC7)),IF(AND(s_Irr!E7&lt;&gt;".",s_Irr!AC7=".",s_Irr!BA7&lt;&gt;"."),s_dir!F7/((1/1000)*(s_Irr!E7+s_Irr!BA7)),IF(AND(s_Irr!E7=".",s_Irr!AC7&lt;&gt;".",s_Irr!BA7&lt;&gt;"."),s_dir!F7/((1/1000)*(s_Irr!AC7+s_Irr!BA7)),IF(AND(s_Irr!E7=".",s_Irr!AC7=".",s_Irr!BA7&lt;&gt;"."),s_dir!F7/((1/1000)*(s_Irr!BA7)),IF(AND(s_Irr!E7=".",s_Irr!AC7&lt;&gt;".",s_Irr!BA7="."),s_dir!F7/((1/1000)*(s_Irr!AC7)),IF(AND(s_Irr!E7&lt;&gt;".",s_Irr!AC7=".",s_Irr!BA7="."),s_dir!F7/((1/1000)*(s_Irr!E7)),IF(AND(s_Irr!E7=".",s_Irr!AC7=".",s_Irr!BA7="."),s_dir!F7*1000)))))))),".")</f>
        <v>15724.206062811239</v>
      </c>
      <c r="G7" s="48">
        <f>IFERROR(IF(AND(s_Irr!F7&lt;&gt;".",s_Irr!AD7&lt;&gt;".",s_Irr!BB7&lt;&gt;"."),s_dir!G7/((1/1000)*(s_Irr!F7+s_Irr!AD7+s_Irr!BB7)),IF(AND(s_Irr!F7&lt;&gt;".",s_Irr!AD7&lt;&gt;".",s_Irr!BB7="."),s_dir!G7/((1/1000)*(s_Irr!F7+s_Irr!AD7)),IF(AND(s_Irr!F7&lt;&gt;".",s_Irr!AD7=".",s_Irr!BB7&lt;&gt;"."),s_dir!G7/((1/1000)*(s_Irr!F7+s_Irr!BB7)),IF(AND(s_Irr!F7=".",s_Irr!AD7&lt;&gt;".",s_Irr!BB7&lt;&gt;"."),s_dir!G7/((1/1000)*(s_Irr!AD7+s_Irr!BB7)),IF(AND(s_Irr!F7=".",s_Irr!AD7=".",s_Irr!BB7&lt;&gt;"."),s_dir!G7/((1/1000)*(s_Irr!BB7)),IF(AND(s_Irr!F7=".",s_Irr!AD7&lt;&gt;".",s_Irr!BB7="."),s_dir!G7/((1/1000)*(s_Irr!AD7)),IF(AND(s_Irr!F7&lt;&gt;".",s_Irr!AD7=".",s_Irr!BB7="."),s_dir!G7/((1/1000)*(s_Irr!F7)),IF(AND(s_Irr!F7=".",s_Irr!AD7=".",s_Irr!BB7="."),s_dir!G7*1000)))))))),".")</f>
        <v>15724.206062811239</v>
      </c>
      <c r="H7" s="48">
        <f>IFERROR(IF(AND(s_Irr!G7&lt;&gt;".",s_Irr!AE7&lt;&gt;".",s_Irr!BC7&lt;&gt;"."),s_dir!H7/((1/1000)*(s_Irr!G7+s_Irr!AE7+s_Irr!BC7)),IF(AND(s_Irr!G7&lt;&gt;".",s_Irr!AE7&lt;&gt;".",s_Irr!BC7="."),s_dir!H7/((1/1000)*(s_Irr!G7+s_Irr!AE7)),IF(AND(s_Irr!G7&lt;&gt;".",s_Irr!AE7=".",s_Irr!BC7&lt;&gt;"."),s_dir!H7/((1/1000)*(s_Irr!G7+s_Irr!BC7)),IF(AND(s_Irr!G7=".",s_Irr!AE7&lt;&gt;".",s_Irr!BC7&lt;&gt;"."),s_dir!H7/((1/1000)*(s_Irr!AE7+s_Irr!BC7)),IF(AND(s_Irr!G7=".",s_Irr!AE7=".",s_Irr!BC7&lt;&gt;"."),s_dir!H7/((1/1000)*(s_Irr!BC7)),IF(AND(s_Irr!G7=".",s_Irr!AE7&lt;&gt;".",s_Irr!BC7="."),s_dir!H7/((1/1000)*(s_Irr!AE7)),IF(AND(s_Irr!G7&lt;&gt;".",s_Irr!AE7=".",s_Irr!BC7="."),s_dir!H7/((1/1000)*(s_Irr!G7)),IF(AND(s_Irr!G7=".",s_Irr!AE7=".",s_Irr!BC7="."),s_dir!H7*1000)))))))),".")</f>
        <v>15724.206062811239</v>
      </c>
      <c r="I7" s="48">
        <f>IFERROR(IF(AND(s_Irr!H7&lt;&gt;".",s_Irr!AF7&lt;&gt;".",s_Irr!BD7&lt;&gt;"."),s_dir!I7/((1/1000)*(s_Irr!H7+s_Irr!AF7+s_Irr!BD7)),IF(AND(s_Irr!H7&lt;&gt;".",s_Irr!AF7&lt;&gt;".",s_Irr!BD7="."),s_dir!I7/((1/1000)*(s_Irr!H7+s_Irr!AF7)),IF(AND(s_Irr!H7&lt;&gt;".",s_Irr!AF7=".",s_Irr!BD7&lt;&gt;"."),s_dir!I7/((1/1000)*(s_Irr!H7+s_Irr!BD7)),IF(AND(s_Irr!H7=".",s_Irr!AF7&lt;&gt;".",s_Irr!BD7&lt;&gt;"."),s_dir!I7/((1/1000)*(s_Irr!AF7+s_Irr!BD7)),IF(AND(s_Irr!H7=".",s_Irr!AF7=".",s_Irr!BD7&lt;&gt;"."),s_dir!I7/((1/1000)*(s_Irr!BD7)),IF(AND(s_Irr!H7=".",s_Irr!AF7&lt;&gt;".",s_Irr!BD7="."),s_dir!I7/((1/1000)*(s_Irr!AF7)),IF(AND(s_Irr!H7&lt;&gt;".",s_Irr!AF7=".",s_Irr!BD7="."),s_dir!I7/((1/1000)*(s_Irr!H7)),IF(AND(s_Irr!H7=".",s_Irr!AF7=".",s_Irr!BD7="."),s_dir!I7*1000)))))))),".")</f>
        <v>15724.206062811239</v>
      </c>
      <c r="J7" s="48">
        <f>IFERROR(IF(AND(s_Irr!I7&lt;&gt;".",s_Irr!AG7&lt;&gt;".",s_Irr!BE7&lt;&gt;"."),s_dir!J7/((1/1000)*(s_Irr!I7+s_Irr!AG7+s_Irr!BE7)),IF(AND(s_Irr!I7&lt;&gt;".",s_Irr!AG7&lt;&gt;".",s_Irr!BE7="."),s_dir!J7/((1/1000)*(s_Irr!I7+s_Irr!AG7)),IF(AND(s_Irr!I7&lt;&gt;".",s_Irr!AG7=".",s_Irr!BE7&lt;&gt;"."),s_dir!J7/((1/1000)*(s_Irr!I7+s_Irr!BE7)),IF(AND(s_Irr!I7=".",s_Irr!AG7&lt;&gt;".",s_Irr!BE7&lt;&gt;"."),s_dir!J7/((1/1000)*(s_Irr!AG7+s_Irr!BE7)),IF(AND(s_Irr!I7=".",s_Irr!AG7=".",s_Irr!BE7&lt;&gt;"."),s_dir!J7/((1/1000)*(s_Irr!BE7)),IF(AND(s_Irr!I7=".",s_Irr!AG7&lt;&gt;".",s_Irr!BE7="."),s_dir!J7/((1/1000)*(s_Irr!AG7)),IF(AND(s_Irr!I7&lt;&gt;".",s_Irr!AG7=".",s_Irr!BE7="."),s_dir!J7/((1/1000)*(s_Irr!I7)),IF(AND(s_Irr!I7=".",s_Irr!AG7=".",s_Irr!BE7="."),s_dir!J7*1000)))))))),".")</f>
        <v>15724.206062811239</v>
      </c>
      <c r="K7" s="48">
        <f>IFERROR(IF(AND(s_Irr!J7&lt;&gt;".",s_Irr!AH7&lt;&gt;".",s_Irr!BF7&lt;&gt;"."),s_dir!K7/((1/1000)*(s_Irr!J7+s_Irr!AH7+s_Irr!BF7)),IF(AND(s_Irr!J7&lt;&gt;".",s_Irr!AH7&lt;&gt;".",s_Irr!BF7="."),s_dir!K7/((1/1000)*(s_Irr!J7+s_Irr!AH7)),IF(AND(s_Irr!J7&lt;&gt;".",s_Irr!AH7=".",s_Irr!BF7&lt;&gt;"."),s_dir!K7/((1/1000)*(s_Irr!J7+s_Irr!BF7)),IF(AND(s_Irr!J7=".",s_Irr!AH7&lt;&gt;".",s_Irr!BF7&lt;&gt;"."),s_dir!K7/((1/1000)*(s_Irr!AH7+s_Irr!BF7)),IF(AND(s_Irr!J7=".",s_Irr!AH7=".",s_Irr!BF7&lt;&gt;"."),s_dir!K7/((1/1000)*(s_Irr!BF7)),IF(AND(s_Irr!J7=".",s_Irr!AH7&lt;&gt;".",s_Irr!BF7="."),s_dir!K7/((1/1000)*(s_Irr!AH7)),IF(AND(s_Irr!J7&lt;&gt;".",s_Irr!AH7=".",s_Irr!BF7="."),s_dir!K7/((1/1000)*(s_Irr!J7)),IF(AND(s_Irr!J7=".",s_Irr!AH7=".",s_Irr!BF7="."),s_dir!K7*1000)))))))),".")</f>
        <v>15724.206062811239</v>
      </c>
      <c r="L7" s="48">
        <f>IFERROR(IF(AND(s_Irr!K7&lt;&gt;".",s_Irr!AI7&lt;&gt;".",s_Irr!BG7&lt;&gt;"."),s_dir!L7/((1/1000)*(s_Irr!K7+s_Irr!AI7+s_Irr!BG7)),IF(AND(s_Irr!K7&lt;&gt;".",s_Irr!AI7&lt;&gt;".",s_Irr!BG7="."),s_dir!L7/((1/1000)*(s_Irr!K7+s_Irr!AI7)),IF(AND(s_Irr!K7&lt;&gt;".",s_Irr!AI7=".",s_Irr!BG7&lt;&gt;"."),s_dir!L7/((1/1000)*(s_Irr!K7+s_Irr!BG7)),IF(AND(s_Irr!K7=".",s_Irr!AI7&lt;&gt;".",s_Irr!BG7&lt;&gt;"."),s_dir!L7/((1/1000)*(s_Irr!AI7+s_Irr!BG7)),IF(AND(s_Irr!K7=".",s_Irr!AI7=".",s_Irr!BG7&lt;&gt;"."),s_dir!L7/((1/1000)*(s_Irr!BG7)),IF(AND(s_Irr!K7=".",s_Irr!AI7&lt;&gt;".",s_Irr!BG7="."),s_dir!L7/((1/1000)*(s_Irr!AI7)),IF(AND(s_Irr!K7&lt;&gt;".",s_Irr!AI7=".",s_Irr!BG7="."),s_dir!L7/((1/1000)*(s_Irr!K7)),IF(AND(s_Irr!K7=".",s_Irr!AI7=".",s_Irr!BG7="."),s_dir!L7*1000)))))))),".")</f>
        <v>15724.206062811239</v>
      </c>
      <c r="M7" s="48">
        <f>IFERROR(IF(AND(s_Irr!L7&lt;&gt;".",s_Irr!AJ7&lt;&gt;".",s_Irr!BH7&lt;&gt;"."),s_dir!M7/((1/1000)*(s_Irr!L7+s_Irr!AJ7+s_Irr!BH7)),IF(AND(s_Irr!L7&lt;&gt;".",s_Irr!AJ7&lt;&gt;".",s_Irr!BH7="."),s_dir!M7/((1/1000)*(s_Irr!L7+s_Irr!AJ7)),IF(AND(s_Irr!L7&lt;&gt;".",s_Irr!AJ7=".",s_Irr!BH7&lt;&gt;"."),s_dir!M7/((1/1000)*(s_Irr!L7+s_Irr!BH7)),IF(AND(s_Irr!L7=".",s_Irr!AJ7&lt;&gt;".",s_Irr!BH7&lt;&gt;"."),s_dir!M7/((1/1000)*(s_Irr!AJ7+s_Irr!BH7)),IF(AND(s_Irr!L7=".",s_Irr!AJ7=".",s_Irr!BH7&lt;&gt;"."),s_dir!M7/((1/1000)*(s_Irr!BH7)),IF(AND(s_Irr!L7=".",s_Irr!AJ7&lt;&gt;".",s_Irr!BH7="."),s_dir!M7/((1/1000)*(s_Irr!AJ7)),IF(AND(s_Irr!L7&lt;&gt;".",s_Irr!AJ7=".",s_Irr!BH7="."),s_dir!M7/((1/1000)*(s_Irr!L7)),IF(AND(s_Irr!L7=".",s_Irr!AJ7=".",s_Irr!BH7="."),s_dir!M7*1000)))))))),".")</f>
        <v>15724.206062811239</v>
      </c>
      <c r="N7" s="48">
        <f>IFERROR(IF(AND(s_Irr!M7&lt;&gt;".",s_Irr!AK7&lt;&gt;".",s_Irr!BI7&lt;&gt;"."),s_dir!N7/((1/1000)*(s_Irr!M7+s_Irr!AK7+s_Irr!BI7)),IF(AND(s_Irr!M7&lt;&gt;".",s_Irr!AK7&lt;&gt;".",s_Irr!BI7="."),s_dir!N7/((1/1000)*(s_Irr!M7+s_Irr!AK7)),IF(AND(s_Irr!M7&lt;&gt;".",s_Irr!AK7=".",s_Irr!BI7&lt;&gt;"."),s_dir!N7/((1/1000)*(s_Irr!M7+s_Irr!BI7)),IF(AND(s_Irr!M7=".",s_Irr!AK7&lt;&gt;".",s_Irr!BI7&lt;&gt;"."),s_dir!N7/((1/1000)*(s_Irr!AK7+s_Irr!BI7)),IF(AND(s_Irr!M7=".",s_Irr!AK7=".",s_Irr!BI7&lt;&gt;"."),s_dir!N7/((1/1000)*(s_Irr!BI7)),IF(AND(s_Irr!M7=".",s_Irr!AK7&lt;&gt;".",s_Irr!BI7="."),s_dir!N7/((1/1000)*(s_Irr!AK7)),IF(AND(s_Irr!M7&lt;&gt;".",s_Irr!AK7=".",s_Irr!BI7="."),s_dir!N7/((1/1000)*(s_Irr!M7)),IF(AND(s_Irr!M7=".",s_Irr!AK7=".",s_Irr!BI7="."),s_dir!N7*1000)))))))),".")</f>
        <v>15724.206062811239</v>
      </c>
      <c r="O7" s="48">
        <f>IFERROR(IF(AND(s_Irr!N7&lt;&gt;".",s_Irr!AL7&lt;&gt;".",s_Irr!BJ7&lt;&gt;"."),s_dir!O7/((1/1000)*(s_Irr!N7+s_Irr!AL7+s_Irr!BJ7)),IF(AND(s_Irr!N7&lt;&gt;".",s_Irr!AL7&lt;&gt;".",s_Irr!BJ7="."),s_dir!O7/((1/1000)*(s_Irr!N7+s_Irr!AL7)),IF(AND(s_Irr!N7&lt;&gt;".",s_Irr!AL7=".",s_Irr!BJ7&lt;&gt;"."),s_dir!O7/((1/1000)*(s_Irr!N7+s_Irr!BJ7)),IF(AND(s_Irr!N7=".",s_Irr!AL7&lt;&gt;".",s_Irr!BJ7&lt;&gt;"."),s_dir!O7/((1/1000)*(s_Irr!AL7+s_Irr!BJ7)),IF(AND(s_Irr!N7=".",s_Irr!AL7=".",s_Irr!BJ7&lt;&gt;"."),s_dir!O7/((1/1000)*(s_Irr!BJ7)),IF(AND(s_Irr!N7=".",s_Irr!AL7&lt;&gt;".",s_Irr!BJ7="."),s_dir!O7/((1/1000)*(s_Irr!AL7)),IF(AND(s_Irr!N7&lt;&gt;".",s_Irr!AL7=".",s_Irr!BJ7="."),s_dir!O7/((1/1000)*(s_Irr!N7)),IF(AND(s_Irr!N7=".",s_Irr!AL7=".",s_Irr!BJ7="."),s_dir!O7*1000)))))))),".")</f>
        <v>15724.206062811239</v>
      </c>
      <c r="P7" s="48">
        <f>IFERROR(IF(AND(s_Irr!O7&lt;&gt;".",s_Irr!AM7&lt;&gt;".",s_Irr!BK7&lt;&gt;"."),s_dir!P7/((1/1000)*(s_Irr!O7+s_Irr!AM7+s_Irr!BK7)),IF(AND(s_Irr!O7&lt;&gt;".",s_Irr!AM7&lt;&gt;".",s_Irr!BK7="."),s_dir!P7/((1/1000)*(s_Irr!O7+s_Irr!AM7)),IF(AND(s_Irr!O7&lt;&gt;".",s_Irr!AM7=".",s_Irr!BK7&lt;&gt;"."),s_dir!P7/((1/1000)*(s_Irr!O7+s_Irr!BK7)),IF(AND(s_Irr!O7=".",s_Irr!AM7&lt;&gt;".",s_Irr!BK7&lt;&gt;"."),s_dir!P7/((1/1000)*(s_Irr!AM7+s_Irr!BK7)),IF(AND(s_Irr!O7=".",s_Irr!AM7=".",s_Irr!BK7&lt;&gt;"."),s_dir!P7/((1/1000)*(s_Irr!BK7)),IF(AND(s_Irr!O7=".",s_Irr!AM7&lt;&gt;".",s_Irr!BK7="."),s_dir!P7/((1/1000)*(s_Irr!AM7)),IF(AND(s_Irr!O7&lt;&gt;".",s_Irr!AM7=".",s_Irr!BK7="."),s_dir!P7/((1/1000)*(s_Irr!O7)),IF(AND(s_Irr!O7=".",s_Irr!AM7=".",s_Irr!BK7="."),s_dir!P7*1000)))))))),".")</f>
        <v>15724.206062811239</v>
      </c>
      <c r="Q7" s="48">
        <f>IFERROR(IF(AND(s_Irr!P7&lt;&gt;".",s_Irr!AN7&lt;&gt;".",s_Irr!BL7&lt;&gt;"."),s_dir!Q7/((1/1000)*(s_Irr!P7+s_Irr!AN7+s_Irr!BL7)),IF(AND(s_Irr!P7&lt;&gt;".",s_Irr!AN7&lt;&gt;".",s_Irr!BL7="."),s_dir!Q7/((1/1000)*(s_Irr!P7+s_Irr!AN7)),IF(AND(s_Irr!P7&lt;&gt;".",s_Irr!AN7=".",s_Irr!BL7&lt;&gt;"."),s_dir!Q7/((1/1000)*(s_Irr!P7+s_Irr!BL7)),IF(AND(s_Irr!P7=".",s_Irr!AN7&lt;&gt;".",s_Irr!BL7&lt;&gt;"."),s_dir!Q7/((1/1000)*(s_Irr!AN7+s_Irr!BL7)),IF(AND(s_Irr!P7=".",s_Irr!AN7=".",s_Irr!BL7&lt;&gt;"."),s_dir!Q7/((1/1000)*(s_Irr!BL7)),IF(AND(s_Irr!P7=".",s_Irr!AN7&lt;&gt;".",s_Irr!BL7="."),s_dir!Q7/((1/1000)*(s_Irr!AN7)),IF(AND(s_Irr!P7&lt;&gt;".",s_Irr!AN7=".",s_Irr!BL7="."),s_dir!Q7/((1/1000)*(s_Irr!P7)),IF(AND(s_Irr!P7=".",s_Irr!AN7=".",s_Irr!BL7="."),s_dir!Q7*1000)))))))),".")</f>
        <v>15724.206062811239</v>
      </c>
      <c r="R7" s="48">
        <f>IFERROR(IF(AND(s_Irr!Q7&lt;&gt;".",s_Irr!AO7&lt;&gt;".",s_Irr!BM7&lt;&gt;"."),s_dir!R7/((1/1000)*(s_Irr!Q7+s_Irr!AO7+s_Irr!BM7)),IF(AND(s_Irr!Q7&lt;&gt;".",s_Irr!AO7&lt;&gt;".",s_Irr!BM7="."),s_dir!R7/((1/1000)*(s_Irr!Q7+s_Irr!AO7)),IF(AND(s_Irr!Q7&lt;&gt;".",s_Irr!AO7=".",s_Irr!BM7&lt;&gt;"."),s_dir!R7/((1/1000)*(s_Irr!Q7+s_Irr!BM7)),IF(AND(s_Irr!Q7=".",s_Irr!AO7&lt;&gt;".",s_Irr!BM7&lt;&gt;"."),s_dir!R7/((1/1000)*(s_Irr!AO7+s_Irr!BM7)),IF(AND(s_Irr!Q7=".",s_Irr!AO7=".",s_Irr!BM7&lt;&gt;"."),s_dir!R7/((1/1000)*(s_Irr!BM7)),IF(AND(s_Irr!Q7=".",s_Irr!AO7&lt;&gt;".",s_Irr!BM7="."),s_dir!R7/((1/1000)*(s_Irr!AO7)),IF(AND(s_Irr!Q7&lt;&gt;".",s_Irr!AO7=".",s_Irr!BM7="."),s_dir!R7/((1/1000)*(s_Irr!Q7)),IF(AND(s_Irr!Q7=".",s_Irr!AO7=".",s_Irr!BM7="."),s_dir!R7*1000)))))))),".")</f>
        <v>15724.206062811239</v>
      </c>
      <c r="S7" s="48">
        <f>IFERROR(IF(AND(s_Irr!R7&lt;&gt;".",s_Irr!AP7&lt;&gt;".",s_Irr!BN7&lt;&gt;"."),s_dir!S7/((1/1000)*(s_Irr!R7+s_Irr!AP7+s_Irr!BN7)),IF(AND(s_Irr!R7&lt;&gt;".",s_Irr!AP7&lt;&gt;".",s_Irr!BN7="."),s_dir!S7/((1/1000)*(s_Irr!R7+s_Irr!AP7)),IF(AND(s_Irr!R7&lt;&gt;".",s_Irr!AP7=".",s_Irr!BN7&lt;&gt;"."),s_dir!S7/((1/1000)*(s_Irr!R7+s_Irr!BN7)),IF(AND(s_Irr!R7=".",s_Irr!AP7&lt;&gt;".",s_Irr!BN7&lt;&gt;"."),s_dir!S7/((1/1000)*(s_Irr!AP7+s_Irr!BN7)),IF(AND(s_Irr!R7=".",s_Irr!AP7=".",s_Irr!BN7&lt;&gt;"."),s_dir!S7/((1/1000)*(s_Irr!BN7)),IF(AND(s_Irr!R7=".",s_Irr!AP7&lt;&gt;".",s_Irr!BN7="."),s_dir!S7/((1/1000)*(s_Irr!AP7)),IF(AND(s_Irr!R7&lt;&gt;".",s_Irr!AP7=".",s_Irr!BN7="."),s_dir!S7/((1/1000)*(s_Irr!R7)),IF(AND(s_Irr!R7=".",s_Irr!AP7=".",s_Irr!BN7="."),s_dir!S7*1000)))))))),".")</f>
        <v>15724.206062811239</v>
      </c>
      <c r="T7" s="48">
        <f>IFERROR(IF(AND(s_Irr!S7&lt;&gt;".",s_Irr!AQ7&lt;&gt;".",s_Irr!BO7&lt;&gt;"."),s_dir!T7/((1/1000)*(s_Irr!S7+s_Irr!AQ7+s_Irr!BO7)),IF(AND(s_Irr!S7&lt;&gt;".",s_Irr!AQ7&lt;&gt;".",s_Irr!BO7="."),s_dir!T7/((1/1000)*(s_Irr!S7+s_Irr!AQ7)),IF(AND(s_Irr!S7&lt;&gt;".",s_Irr!AQ7=".",s_Irr!BO7&lt;&gt;"."),s_dir!T7/((1/1000)*(s_Irr!S7+s_Irr!BO7)),IF(AND(s_Irr!S7=".",s_Irr!AQ7&lt;&gt;".",s_Irr!BO7&lt;&gt;"."),s_dir!T7/((1/1000)*(s_Irr!AQ7+s_Irr!BO7)),IF(AND(s_Irr!S7=".",s_Irr!AQ7=".",s_Irr!BO7&lt;&gt;"."),s_dir!T7/((1/1000)*(s_Irr!BO7)),IF(AND(s_Irr!S7=".",s_Irr!AQ7&lt;&gt;".",s_Irr!BO7="."),s_dir!T7/((1/1000)*(s_Irr!AQ7)),IF(AND(s_Irr!S7&lt;&gt;".",s_Irr!AQ7=".",s_Irr!BO7="."),s_dir!T7/((1/1000)*(s_Irr!S7)),IF(AND(s_Irr!S7=".",s_Irr!AQ7=".",s_Irr!BO7="."),s_dir!T7*1000)))))))),".")</f>
        <v>15724.206062811239</v>
      </c>
      <c r="U7" s="48">
        <f>IFERROR(IF(AND(s_Irr!T7&lt;&gt;".",s_Irr!AR7&lt;&gt;".",s_Irr!BP7&lt;&gt;"."),s_dir!U7/((1/1000)*(s_Irr!T7+s_Irr!AR7+s_Irr!BP7)),IF(AND(s_Irr!T7&lt;&gt;".",s_Irr!AR7&lt;&gt;".",s_Irr!BP7="."),s_dir!U7/((1/1000)*(s_Irr!T7+s_Irr!AR7)),IF(AND(s_Irr!T7&lt;&gt;".",s_Irr!AR7=".",s_Irr!BP7&lt;&gt;"."),s_dir!U7/((1/1000)*(s_Irr!T7+s_Irr!BP7)),IF(AND(s_Irr!T7=".",s_Irr!AR7&lt;&gt;".",s_Irr!BP7&lt;&gt;"."),s_dir!U7/((1/1000)*(s_Irr!AR7+s_Irr!BP7)),IF(AND(s_Irr!T7=".",s_Irr!AR7=".",s_Irr!BP7&lt;&gt;"."),s_dir!U7/((1/1000)*(s_Irr!BP7)),IF(AND(s_Irr!T7=".",s_Irr!AR7&lt;&gt;".",s_Irr!BP7="."),s_dir!U7/((1/1000)*(s_Irr!AR7)),IF(AND(s_Irr!T7&lt;&gt;".",s_Irr!AR7=".",s_Irr!BP7="."),s_dir!U7/((1/1000)*(s_Irr!T7)),IF(AND(s_Irr!T7=".",s_Irr!AR7=".",s_Irr!BP7="."),s_dir!U7*1000)))))))),".")</f>
        <v>15724.206062811239</v>
      </c>
      <c r="V7" s="48">
        <f>IFERROR(IF(AND(s_Irr!U7&lt;&gt;".",s_Irr!AS7&lt;&gt;".",s_Irr!BQ7&lt;&gt;"."),s_dir!V7/((1/1000)*(s_Irr!U7+s_Irr!AS7+s_Irr!BQ7)),IF(AND(s_Irr!U7&lt;&gt;".",s_Irr!AS7&lt;&gt;".",s_Irr!BQ7="."),s_dir!V7/((1/1000)*(s_Irr!U7+s_Irr!AS7)),IF(AND(s_Irr!U7&lt;&gt;".",s_Irr!AS7=".",s_Irr!BQ7&lt;&gt;"."),s_dir!V7/((1/1000)*(s_Irr!U7+s_Irr!BQ7)),IF(AND(s_Irr!U7=".",s_Irr!AS7&lt;&gt;".",s_Irr!BQ7&lt;&gt;"."),s_dir!V7/((1/1000)*(s_Irr!AS7+s_Irr!BQ7)),IF(AND(s_Irr!U7=".",s_Irr!AS7=".",s_Irr!BQ7&lt;&gt;"."),s_dir!V7/((1/1000)*(s_Irr!BQ7)),IF(AND(s_Irr!U7=".",s_Irr!AS7&lt;&gt;".",s_Irr!BQ7="."),s_dir!V7/((1/1000)*(s_Irr!AS7)),IF(AND(s_Irr!U7&lt;&gt;".",s_Irr!AS7=".",s_Irr!BQ7="."),s_dir!V7/((1/1000)*(s_Irr!U7)),IF(AND(s_Irr!U7=".",s_Irr!AS7=".",s_Irr!BQ7="."),s_dir!V7*1000)))))))),".")</f>
        <v>15724.206062811239</v>
      </c>
      <c r="W7" s="48">
        <f>IFERROR(IF(AND(s_Irr!V7&lt;&gt;".",s_Irr!AT7&lt;&gt;".",s_Irr!BR7&lt;&gt;"."),s_dir!W7/((1/1000)*(s_Irr!V7+s_Irr!AT7+s_Irr!BR7)),IF(AND(s_Irr!V7&lt;&gt;".",s_Irr!AT7&lt;&gt;".",s_Irr!BR7="."),s_dir!W7/((1/1000)*(s_Irr!V7+s_Irr!AT7)),IF(AND(s_Irr!V7&lt;&gt;".",s_Irr!AT7=".",s_Irr!BR7&lt;&gt;"."),s_dir!W7/((1/1000)*(s_Irr!V7+s_Irr!BR7)),IF(AND(s_Irr!V7=".",s_Irr!AT7&lt;&gt;".",s_Irr!BR7&lt;&gt;"."),s_dir!W7/((1/1000)*(s_Irr!AT7+s_Irr!BR7)),IF(AND(s_Irr!V7=".",s_Irr!AT7=".",s_Irr!BR7&lt;&gt;"."),s_dir!W7/((1/1000)*(s_Irr!BR7)),IF(AND(s_Irr!V7=".",s_Irr!AT7&lt;&gt;".",s_Irr!BR7="."),s_dir!W7/((1/1000)*(s_Irr!AT7)),IF(AND(s_Irr!V7&lt;&gt;".",s_Irr!AT7=".",s_Irr!BR7="."),s_dir!W7/((1/1000)*(s_Irr!V7)),IF(AND(s_Irr!V7=".",s_Irr!AT7=".",s_Irr!BR7="."),s_dir!W7*1000)))))))),".")</f>
        <v>15724.206062811239</v>
      </c>
      <c r="X7" s="48">
        <f>IFERROR(IF(AND(s_Irr!W7&lt;&gt;".",s_Irr!AU7&lt;&gt;".",s_Irr!BS7&lt;&gt;"."),s_dir!X7/((1/1000)*(s_Irr!W7+s_Irr!AU7+s_Irr!BS7)),IF(AND(s_Irr!W7&lt;&gt;".",s_Irr!AU7&lt;&gt;".",s_Irr!BS7="."),s_dir!X7/((1/1000)*(s_Irr!W7+s_Irr!AU7)),IF(AND(s_Irr!W7&lt;&gt;".",s_Irr!AU7=".",s_Irr!BS7&lt;&gt;"."),s_dir!X7/((1/1000)*(s_Irr!W7+s_Irr!BS7)),IF(AND(s_Irr!W7=".",s_Irr!AU7&lt;&gt;".",s_Irr!BS7&lt;&gt;"."),s_dir!X7/((1/1000)*(s_Irr!AU7+s_Irr!BS7)),IF(AND(s_Irr!W7=".",s_Irr!AU7=".",s_Irr!BS7&lt;&gt;"."),s_dir!X7/((1/1000)*(s_Irr!BS7)),IF(AND(s_Irr!W7=".",s_Irr!AU7&lt;&gt;".",s_Irr!BS7="."),s_dir!X7/((1/1000)*(s_Irr!AU7)),IF(AND(s_Irr!W7&lt;&gt;".",s_Irr!AU7=".",s_Irr!BS7="."),s_dir!X7/((1/1000)*(s_Irr!W7)),IF(AND(s_Irr!W7=".",s_Irr!AU7=".",s_Irr!BS7="."),s_dir!X7*1000)))))))),".")</f>
        <v>15724.206062811239</v>
      </c>
      <c r="Y7" s="48">
        <f>IFERROR(IF(AND(s_Irr!X7&lt;&gt;".",s_Irr!AV7&lt;&gt;".",s_Irr!BT7&lt;&gt;"."),s_dir!Y7/((1/1000)*(s_Irr!X7+s_Irr!AV7+s_Irr!BT7)),IF(AND(s_Irr!X7&lt;&gt;".",s_Irr!AV7&lt;&gt;".",s_Irr!BT7="."),s_dir!Y7/((1/1000)*(s_Irr!X7+s_Irr!AV7)),IF(AND(s_Irr!X7&lt;&gt;".",s_Irr!AV7=".",s_Irr!BT7&lt;&gt;"."),s_dir!Y7/((1/1000)*(s_Irr!X7+s_Irr!BT7)),IF(AND(s_Irr!X7=".",s_Irr!AV7&lt;&gt;".",s_Irr!BT7&lt;&gt;"."),s_dir!Y7/((1/1000)*(s_Irr!AV7+s_Irr!BT7)),IF(AND(s_Irr!X7=".",s_Irr!AV7=".",s_Irr!BT7&lt;&gt;"."),s_dir!Y7/((1/1000)*(s_Irr!BT7)),IF(AND(s_Irr!X7=".",s_Irr!AV7&lt;&gt;".",s_Irr!BT7="."),s_dir!Y7/((1/1000)*(s_Irr!AV7)),IF(AND(s_Irr!X7&lt;&gt;".",s_Irr!AV7=".",s_Irr!BT7="."),s_dir!Y7/((1/1000)*(s_Irr!X7)),IF(AND(s_Irr!X7=".",s_Irr!AV7=".",s_Irr!BT7="."),s_dir!Y7*1000)))))))),".")</f>
        <v>15724.206062811239</v>
      </c>
      <c r="Z7" s="48">
        <f>IFERROR(IF(AND(s_Irr!Y7&lt;&gt;".",s_Irr!AW7&lt;&gt;".",s_Irr!BU7&lt;&gt;"."),s_dir!Z7/((1/1000)*(s_Irr!Y7+s_Irr!AW7+s_Irr!BU7)),IF(AND(s_Irr!Y7&lt;&gt;".",s_Irr!AW7&lt;&gt;".",s_Irr!BU7="."),s_dir!Z7/((1/1000)*(s_Irr!Y7+s_Irr!AW7)),IF(AND(s_Irr!Y7&lt;&gt;".",s_Irr!AW7=".",s_Irr!BU7&lt;&gt;"."),s_dir!Z7/((1/1000)*(s_Irr!Y7+s_Irr!BU7)),IF(AND(s_Irr!Y7=".",s_Irr!AW7&lt;&gt;".",s_Irr!BU7&lt;&gt;"."),s_dir!Z7/((1/1000)*(s_Irr!AW7+s_Irr!BU7)),IF(AND(s_Irr!Y7=".",s_Irr!AW7=".",s_Irr!BU7&lt;&gt;"."),s_dir!Z7/((1/1000)*(s_Irr!BU7)),IF(AND(s_Irr!Y7=".",s_Irr!AW7&lt;&gt;".",s_Irr!BU7="."),s_dir!Z7/((1/1000)*(s_Irr!AW7)),IF(AND(s_Irr!Y7&lt;&gt;".",s_Irr!AW7=".",s_Irr!BU7="."),s_dir!Z7/((1/1000)*(s_Irr!Y7)),IF(AND(s_Irr!Y7=".",s_Irr!AW7=".",s_Irr!BU7="."),s_dir!Z7*1000)))))))),".")</f>
        <v>15724.206062811239</v>
      </c>
      <c r="AA7" s="48">
        <f>IFERROR(IF(AND(s_Irr!Z7&lt;&gt;".",s_Irr!AX7&lt;&gt;".",s_Irr!BV7&lt;&gt;"."),s_dir!AA7/((1/1000)*(s_Irr!Z7+s_Irr!AX7+s_Irr!BV7)),IF(AND(s_Irr!Z7&lt;&gt;".",s_Irr!AX7&lt;&gt;".",s_Irr!BV7="."),s_dir!AA7/((1/1000)*(s_Irr!Z7+s_Irr!AX7)),IF(AND(s_Irr!Z7&lt;&gt;".",s_Irr!AX7=".",s_Irr!BV7&lt;&gt;"."),s_dir!AA7/((1/1000)*(s_Irr!Z7+s_Irr!BV7)),IF(AND(s_Irr!Z7=".",s_Irr!AX7&lt;&gt;".",s_Irr!BV7&lt;&gt;"."),s_dir!AA7/((1/1000)*(s_Irr!AX7+s_Irr!BV7)),IF(AND(s_Irr!Z7=".",s_Irr!AX7=".",s_Irr!BV7&lt;&gt;"."),s_dir!AA7/((1/1000)*(s_Irr!BV7)),IF(AND(s_Irr!Z7=".",s_Irr!AX7&lt;&gt;".",s_Irr!BV7="."),s_dir!AA7/((1/1000)*(s_Irr!AX7)),IF(AND(s_Irr!Z7&lt;&gt;".",s_Irr!AX7=".",s_Irr!BV7="."),s_dir!AA7/((1/1000)*(s_Irr!Z7)),IF(AND(s_Irr!Z7=".",s_Irr!AX7=".",s_Irr!BV7="."),s_dir!AA7*1000)))))))),".")</f>
        <v>15724.206062811239</v>
      </c>
      <c r="AB7" s="62">
        <f t="shared" si="3"/>
        <v>716.17359988017915</v>
      </c>
      <c r="AC7" s="62">
        <f>IFERROR(s_C*s_IFAP_res_adj*s_CF_apple*0.001*(s_Irr!C7+s_Irr!AA7+s_Irr!AY7),".")</f>
        <v>238.72453329339305</v>
      </c>
      <c r="AD7" s="62">
        <f>IFERROR(s_C*s_IFAS_res_adj*s_CF_asparagus*0.001*(s_Irr!D7+s_Irr!AB7+s_Irr!AZ7),".")</f>
        <v>238.72453329339305</v>
      </c>
      <c r="AE7" s="62">
        <f>IFERROR(s_C*s_IFBT_res_adj*s_CF_beet*0.001*(s_Irr!E7+s_Irr!AC7+s_Irr!BA7),".")</f>
        <v>238.72453329339305</v>
      </c>
      <c r="AF7" s="62">
        <f>IFERROR(s_C*s_IFBE_res_adj*s_CF_berries*0.001*(s_Irr!F7+s_Irr!AD7+s_Irr!BB7),".")</f>
        <v>238.72453329339305</v>
      </c>
      <c r="AG7" s="62">
        <f>IFERROR(s_C*s_IFBR_res_adj*s_CF_broccoli*0.001*(s_Irr!G7+s_Irr!AE7+s_Irr!BC7),".")</f>
        <v>238.72453329339305</v>
      </c>
      <c r="AH7" s="62">
        <f>IFERROR(s_C*s_IFCB_res_adj*s_CF_cabbage*0.001*(s_Irr!H7+s_Irr!AF7+s_Irr!BD7),".")</f>
        <v>238.72453329339305</v>
      </c>
      <c r="AI7" s="62">
        <f>IFERROR(s_C*s_IFCR_res_adj*s_CF_carrot*0.001*(s_Irr!I7+s_Irr!AG7+s_Irr!BE7),".")</f>
        <v>238.72453329339305</v>
      </c>
      <c r="AJ7" s="62">
        <f>IFERROR(s_C*s_IFCI_res_adj*s_CF_citrus*0.001*(s_Irr!J7+s_Irr!AH7+s_Irr!BF7),".")</f>
        <v>238.72453329339305</v>
      </c>
      <c r="AK7" s="62">
        <f>IFERROR(s_C*s_IFCO_res_adj*s_CF_corn*0.001*(s_Irr!K7+s_Irr!AI7+s_Irr!BG7),".")</f>
        <v>238.72453329339305</v>
      </c>
      <c r="AL7" s="62">
        <f>IFERROR(s_C*s_IFCU_res_adj*s_CF_cucumber*0.001*(s_Irr!L7+s_Irr!AJ7+s_Irr!BH7),".")</f>
        <v>238.72453329339305</v>
      </c>
      <c r="AM7" s="62">
        <f>IFERROR(s_C*s_IFLE_res_adj*s_CF_lettuce*0.001*(s_Irr!M7+s_Irr!AK7+s_Irr!BI7),".")</f>
        <v>238.72453329339305</v>
      </c>
      <c r="AN7" s="62">
        <f>IFERROR(s_C*s_IFLI_res_adj*s_CF_lima_bean*0.001*(s_Irr!N7+s_Irr!AL7+s_Irr!BJ7),".")</f>
        <v>238.72453329339305</v>
      </c>
      <c r="AO7" s="62">
        <f>IFERROR(s_C*s_IFOK_res_adj*s_CF_okra*0.001*(s_Irr!O7+s_Irr!AM7+s_Irr!BK7),".")</f>
        <v>238.72453329339305</v>
      </c>
      <c r="AP7" s="62">
        <f>IFERROR(s_C*s_IFON_res_adj*s_CF_onion*0.001*(s_Irr!P7+s_Irr!AN7+s_Irr!BL7),".")</f>
        <v>238.72453329339305</v>
      </c>
      <c r="AQ7" s="62">
        <f>IFERROR(s_C*s_IFPC_res_adj*s_CF_peach*0.001*(s_Irr!Q7+s_Irr!AO7+s_Irr!BM7),".")</f>
        <v>238.72453329339305</v>
      </c>
      <c r="AR7" s="62">
        <f>IFERROR(s_C*s_IFPR_res_adj*s_CF_pear*0.001*(s_Irr!R7+s_Irr!AP7+s_Irr!BN7),".")</f>
        <v>238.72453329339305</v>
      </c>
      <c r="AS7" s="62">
        <f>IFERROR(s_C*s_IFPE_res_adj*s_CF_peas*0.001*(s_Irr!S7+s_Irr!AQ7+s_Irr!BO7),".")</f>
        <v>238.72453329339305</v>
      </c>
      <c r="AT7" s="62">
        <f>IFERROR(s_C*s_IFPT_res_adj*s_CF_potato*0.001*(s_Irr!T7+s_Irr!AR7+s_Irr!BP7),".")</f>
        <v>238.72453329339305</v>
      </c>
      <c r="AU7" s="62">
        <f>IFERROR(s_C*s_IFPU_res_adj*s_CF_pumpkin*0.001*(s_Irr!U7+s_Irr!AS7+s_Irr!BQ7),".")</f>
        <v>238.72453329339305</v>
      </c>
      <c r="AV7" s="62">
        <f>IFERROR(s_C*s_IFSN_res_adj*s_CF_snap_bean*0.001*(s_Irr!V7+s_Irr!AT7+s_Irr!BR7),".")</f>
        <v>238.72453329339305</v>
      </c>
      <c r="AW7" s="62">
        <f>IFERROR(s_C*s_IFST_res_adj*s_CF_strawberry*0.001*(s_Irr!W7+s_Irr!AU7+s_Irr!BS7),".")</f>
        <v>238.72453329339305</v>
      </c>
      <c r="AX7" s="62">
        <f>IFERROR(s_C*s_IFTO_res_adj*s_CF_tomato*0.001*(s_Irr!X7+s_Irr!AV7+s_Irr!BT7),".")</f>
        <v>238.72453329339305</v>
      </c>
      <c r="AY7" s="62">
        <f>IFERROR(s_C*s_IFRI_res_adj*s_CF_rice*0.001*(s_Irr!Y7+s_Irr!AW7+s_Irr!BU7),".")</f>
        <v>238.72453329339305</v>
      </c>
      <c r="AZ7" s="62">
        <f>IFERROR(s_C*s_IFCG_res_adj*s_CF_cereal*0.001*(s_Irr!Z7+s_Irr!AX7+s_Irr!BV7),".")</f>
        <v>238.72453329339305</v>
      </c>
      <c r="BA7" s="48">
        <f t="shared" si="0"/>
        <v>5241.4020209370792</v>
      </c>
      <c r="BB7" s="48">
        <f>IFERROR(IF(AND(s_Irr!C7&lt;&gt;".",s_Irr!AA7&lt;&gt;".",s_Irr!AY7&lt;&gt;"."),s_dir!AC7/((1/1000)*(s_Irr!C7+s_Irr!AA7+s_Irr!AY7)),IF(AND(s_Irr!C7&lt;&gt;".",s_Irr!AA7&lt;&gt;".",s_Irr!AY7="."),s_dir!AC7/((1/1000)*(s_Irr!C7+s_Irr!AA7)),IF(AND(s_Irr!C7&lt;&gt;".",s_Irr!AA7=".",s_Irr!AY7&lt;&gt;"."),s_dir!AC7/((1/1000)*(s_Irr!C7+s_Irr!AY7)),IF(AND(s_Irr!C7=".",s_Irr!AA7&lt;&gt;".",s_Irr!AY7&lt;&gt;"."),s_dir!AC7/((1/1000)*(s_Irr!AA7+s_Irr!AY7)),IF(AND(s_Irr!C7=".",s_Irr!AA7=".",s_Irr!AY7&lt;&gt;"."),s_dir!AC7/((1/1000)*(s_Irr!AY7)),IF(AND(s_Irr!C7=".",s_Irr!AA7&lt;&gt;".",s_Irr!AY7="."),s_dir!AC7/((1/1000)*(s_Irr!AA7)),IF(AND(s_Irr!C7&lt;&gt;".",s_Irr!AA7=".",s_Irr!AY7="."),s_dir!AC7/((1/1000)*(s_Irr!C7)),IF(AND(s_Irr!C7=".",s_Irr!AA7=".",s_Irr!AY7="."),s_dir!AC7*1000)))))))),".")</f>
        <v>15724.206062811239</v>
      </c>
      <c r="BC7" s="48">
        <f>IFERROR(IF(AND(s_Irr!D7&lt;&gt;".",s_Irr!AB7&lt;&gt;".",s_Irr!AZ7&lt;&gt;"."),s_dir!AD7/((1/1000)*(s_Irr!D7+s_Irr!AB7+s_Irr!AZ7)),IF(AND(s_Irr!D7&lt;&gt;".",s_Irr!AB7&lt;&gt;".",s_Irr!AZ7="."),s_dir!AD7/((1/1000)*(s_Irr!D7+s_Irr!AB7)),IF(AND(s_Irr!D7&lt;&gt;".",s_Irr!AB7=".",s_Irr!AZ7&lt;&gt;"."),s_dir!AD7/((1/1000)*(s_Irr!D7+s_Irr!AZ7)),IF(AND(s_Irr!D7=".",s_Irr!AB7&lt;&gt;".",s_Irr!AZ7&lt;&gt;"."),s_dir!AD7/((1/1000)*(s_Irr!AB7+s_Irr!AZ7)),IF(AND(s_Irr!D7=".",s_Irr!AB7=".",s_Irr!AZ7&lt;&gt;"."),s_dir!AD7/((1/1000)*(s_Irr!AZ7)),IF(AND(s_Irr!D7=".",s_Irr!AB7&lt;&gt;".",s_Irr!AZ7="."),s_dir!AD7/((1/1000)*(s_Irr!AB7)),IF(AND(s_Irr!D7&lt;&gt;".",s_Irr!AB7=".",s_Irr!AZ7="."),s_dir!AD7/((1/1000)*(s_Irr!D7)),IF(AND(s_Irr!D7=".",s_Irr!AB7=".",s_Irr!AZ7="."),s_dir!AD7*1000)))))))),".")</f>
        <v>15724.206062811239</v>
      </c>
      <c r="BD7" s="48">
        <f>IFERROR(IF(AND(s_Irr!E7&lt;&gt;".",s_Irr!AC7&lt;&gt;".",s_Irr!BA7&lt;&gt;"."),s_dir!AE7/((1/1000)*(s_Irr!E7+s_Irr!AC7+s_Irr!BA7)),IF(AND(s_Irr!E7&lt;&gt;".",s_Irr!AC7&lt;&gt;".",s_Irr!BA7="."),s_dir!AE7/((1/1000)*(s_Irr!E7+s_Irr!AC7)),IF(AND(s_Irr!E7&lt;&gt;".",s_Irr!AC7=".",s_Irr!BA7&lt;&gt;"."),s_dir!AE7/((1/1000)*(s_Irr!E7+s_Irr!BA7)),IF(AND(s_Irr!E7=".",s_Irr!AC7&lt;&gt;".",s_Irr!BA7&lt;&gt;"."),s_dir!AE7/((1/1000)*(s_Irr!AC7+s_Irr!BA7)),IF(AND(s_Irr!E7=".",s_Irr!AC7=".",s_Irr!BA7&lt;&gt;"."),s_dir!AE7/((1/1000)*(s_Irr!BA7)),IF(AND(s_Irr!E7=".",s_Irr!AC7&lt;&gt;".",s_Irr!BA7="."),s_dir!AE7/((1/1000)*(s_Irr!AC7)),IF(AND(s_Irr!E7&lt;&gt;".",s_Irr!AC7=".",s_Irr!BA7="."),s_dir!AE7/((1/1000)*(s_Irr!E7)),IF(AND(s_Irr!E7=".",s_Irr!AC7=".",s_Irr!BA7="."),s_dir!AE7*1000)))))))),".")</f>
        <v>15724.206062811239</v>
      </c>
      <c r="BE7" s="48">
        <f>IFERROR(IF(AND(s_Irr!F7&lt;&gt;".",s_Irr!AD7&lt;&gt;".",s_Irr!BB7&lt;&gt;"."),s_dir!AF7/((1/1000)*(s_Irr!F7+s_Irr!AD7+s_Irr!BB7)),IF(AND(s_Irr!F7&lt;&gt;".",s_Irr!AD7&lt;&gt;".",s_Irr!BB7="."),s_dir!AF7/((1/1000)*(s_Irr!F7+s_Irr!AD7)),IF(AND(s_Irr!F7&lt;&gt;".",s_Irr!AD7=".",s_Irr!BB7&lt;&gt;"."),s_dir!AF7/((1/1000)*(s_Irr!F7+s_Irr!BB7)),IF(AND(s_Irr!F7=".",s_Irr!AD7&lt;&gt;".",s_Irr!BB7&lt;&gt;"."),s_dir!AF7/((1/1000)*(s_Irr!AD7+s_Irr!BB7)),IF(AND(s_Irr!F7=".",s_Irr!AD7=".",s_Irr!BB7&lt;&gt;"."),s_dir!AF7/((1/1000)*(s_Irr!BB7)),IF(AND(s_Irr!F7=".",s_Irr!AD7&lt;&gt;".",s_Irr!BB7="."),s_dir!AF7/((1/1000)*(s_Irr!AD7)),IF(AND(s_Irr!F7&lt;&gt;".",s_Irr!AD7=".",s_Irr!BB7="."),s_dir!AF7/((1/1000)*(s_Irr!F7)),IF(AND(s_Irr!F7=".",s_Irr!AD7=".",s_Irr!BB7="."),s_dir!AF7*1000)))))))),".")</f>
        <v>15724.206062811239</v>
      </c>
      <c r="BF7" s="48">
        <f>IFERROR(IF(AND(s_Irr!G7&lt;&gt;".",s_Irr!AE7&lt;&gt;".",s_Irr!BC7&lt;&gt;"."),s_dir!AG7/((1/1000)*(s_Irr!G7+s_Irr!AE7+s_Irr!BC7)),IF(AND(s_Irr!G7&lt;&gt;".",s_Irr!AE7&lt;&gt;".",s_Irr!BC7="."),s_dir!AG7/((1/1000)*(s_Irr!G7+s_Irr!AE7)),IF(AND(s_Irr!G7&lt;&gt;".",s_Irr!AE7=".",s_Irr!BC7&lt;&gt;"."),s_dir!AG7/((1/1000)*(s_Irr!G7+s_Irr!BC7)),IF(AND(s_Irr!G7=".",s_Irr!AE7&lt;&gt;".",s_Irr!BC7&lt;&gt;"."),s_dir!AG7/((1/1000)*(s_Irr!AE7+s_Irr!BC7)),IF(AND(s_Irr!G7=".",s_Irr!AE7=".",s_Irr!BC7&lt;&gt;"."),s_dir!AG7/((1/1000)*(s_Irr!BC7)),IF(AND(s_Irr!G7=".",s_Irr!AE7&lt;&gt;".",s_Irr!BC7="."),s_dir!AG7/((1/1000)*(s_Irr!AE7)),IF(AND(s_Irr!G7&lt;&gt;".",s_Irr!AE7=".",s_Irr!BC7="."),s_dir!AG7/((1/1000)*(s_Irr!G7)),IF(AND(s_Irr!G7=".",s_Irr!AE7=".",s_Irr!BC7="."),s_dir!AG7*1000)))))))),".")</f>
        <v>15724.206062811239</v>
      </c>
      <c r="BG7" s="48">
        <f>IFERROR(IF(AND(s_Irr!H7&lt;&gt;".",s_Irr!AF7&lt;&gt;".",s_Irr!BD7&lt;&gt;"."),s_dir!AH7/((1/1000)*(s_Irr!H7+s_Irr!AF7+s_Irr!BD7)),IF(AND(s_Irr!H7&lt;&gt;".",s_Irr!AF7&lt;&gt;".",s_Irr!BD7="."),s_dir!AH7/((1/1000)*(s_Irr!H7+s_Irr!AF7)),IF(AND(s_Irr!H7&lt;&gt;".",s_Irr!AF7=".",s_Irr!BD7&lt;&gt;"."),s_dir!AH7/((1/1000)*(s_Irr!H7+s_Irr!BD7)),IF(AND(s_Irr!H7=".",s_Irr!AF7&lt;&gt;".",s_Irr!BD7&lt;&gt;"."),s_dir!AH7/((1/1000)*(s_Irr!AF7+s_Irr!BD7)),IF(AND(s_Irr!H7=".",s_Irr!AF7=".",s_Irr!BD7&lt;&gt;"."),s_dir!AH7/((1/1000)*(s_Irr!BD7)),IF(AND(s_Irr!H7=".",s_Irr!AF7&lt;&gt;".",s_Irr!BD7="."),s_dir!AH7/((1/1000)*(s_Irr!AF7)),IF(AND(s_Irr!H7&lt;&gt;".",s_Irr!AF7=".",s_Irr!BD7="."),s_dir!AH7/((1/1000)*(s_Irr!H7)),IF(AND(s_Irr!H7=".",s_Irr!AF7=".",s_Irr!BD7="."),s_dir!AH7*1000)))))))),".")</f>
        <v>15724.206062811239</v>
      </c>
      <c r="BH7" s="48">
        <f>IFERROR(IF(AND(s_Irr!I7&lt;&gt;".",s_Irr!AG7&lt;&gt;".",s_Irr!BE7&lt;&gt;"."),s_dir!AI7/((1/1000)*(s_Irr!I7+s_Irr!AG7+s_Irr!BE7)),IF(AND(s_Irr!I7&lt;&gt;".",s_Irr!AG7&lt;&gt;".",s_Irr!BE7="."),s_dir!AI7/((1/1000)*(s_Irr!I7+s_Irr!AG7)),IF(AND(s_Irr!I7&lt;&gt;".",s_Irr!AG7=".",s_Irr!BE7&lt;&gt;"."),s_dir!AI7/((1/1000)*(s_Irr!I7+s_Irr!BE7)),IF(AND(s_Irr!I7=".",s_Irr!AG7&lt;&gt;".",s_Irr!BE7&lt;&gt;"."),s_dir!AI7/((1/1000)*(s_Irr!AG7+s_Irr!BE7)),IF(AND(s_Irr!I7=".",s_Irr!AG7=".",s_Irr!BE7&lt;&gt;"."),s_dir!AI7/((1/1000)*(s_Irr!BE7)),IF(AND(s_Irr!I7=".",s_Irr!AG7&lt;&gt;".",s_Irr!BE7="."),s_dir!AI7/((1/1000)*(s_Irr!AG7)),IF(AND(s_Irr!I7&lt;&gt;".",s_Irr!AG7=".",s_Irr!BE7="."),s_dir!AI7/((1/1000)*(s_Irr!I7)),IF(AND(s_Irr!I7=".",s_Irr!AG7=".",s_Irr!BE7="."),s_dir!AI7*1000)))))))),".")</f>
        <v>15724.206062811239</v>
      </c>
      <c r="BI7" s="48">
        <f>IFERROR(IF(AND(s_Irr!J7&lt;&gt;".",s_Irr!AH7&lt;&gt;".",s_Irr!BF7&lt;&gt;"."),s_dir!AJ7/((1/1000)*(s_Irr!J7+s_Irr!AH7+s_Irr!BF7)),IF(AND(s_Irr!J7&lt;&gt;".",s_Irr!AH7&lt;&gt;".",s_Irr!BF7="."),s_dir!AJ7/((1/1000)*(s_Irr!J7+s_Irr!AH7)),IF(AND(s_Irr!J7&lt;&gt;".",s_Irr!AH7=".",s_Irr!BF7&lt;&gt;"."),s_dir!AJ7/((1/1000)*(s_Irr!J7+s_Irr!BF7)),IF(AND(s_Irr!J7=".",s_Irr!AH7&lt;&gt;".",s_Irr!BF7&lt;&gt;"."),s_dir!AJ7/((1/1000)*(s_Irr!AH7+s_Irr!BF7)),IF(AND(s_Irr!J7=".",s_Irr!AH7=".",s_Irr!BF7&lt;&gt;"."),s_dir!AJ7/((1/1000)*(s_Irr!BF7)),IF(AND(s_Irr!J7=".",s_Irr!AH7&lt;&gt;".",s_Irr!BF7="."),s_dir!AJ7/((1/1000)*(s_Irr!AH7)),IF(AND(s_Irr!J7&lt;&gt;".",s_Irr!AH7=".",s_Irr!BF7="."),s_dir!AJ7/((1/1000)*(s_Irr!J7)),IF(AND(s_Irr!J7=".",s_Irr!AH7=".",s_Irr!BF7="."),s_dir!AJ7*1000)))))))),".")</f>
        <v>15724.206062811239</v>
      </c>
      <c r="BJ7" s="48">
        <f>IFERROR(IF(AND(s_Irr!K7&lt;&gt;".",s_Irr!AI7&lt;&gt;".",s_Irr!BG7&lt;&gt;"."),s_dir!AK7/((1/1000)*(s_Irr!K7+s_Irr!AI7+s_Irr!BG7)),IF(AND(s_Irr!K7&lt;&gt;".",s_Irr!AI7&lt;&gt;".",s_Irr!BG7="."),s_dir!AK7/((1/1000)*(s_Irr!K7+s_Irr!AI7)),IF(AND(s_Irr!K7&lt;&gt;".",s_Irr!AI7=".",s_Irr!BG7&lt;&gt;"."),s_dir!AK7/((1/1000)*(s_Irr!K7+s_Irr!BG7)),IF(AND(s_Irr!K7=".",s_Irr!AI7&lt;&gt;".",s_Irr!BG7&lt;&gt;"."),s_dir!AK7/((1/1000)*(s_Irr!AI7+s_Irr!BG7)),IF(AND(s_Irr!K7=".",s_Irr!AI7=".",s_Irr!BG7&lt;&gt;"."),s_dir!AK7/((1/1000)*(s_Irr!BG7)),IF(AND(s_Irr!K7=".",s_Irr!AI7&lt;&gt;".",s_Irr!BG7="."),s_dir!AK7/((1/1000)*(s_Irr!AI7)),IF(AND(s_Irr!K7&lt;&gt;".",s_Irr!AI7=".",s_Irr!BG7="."),s_dir!AK7/((1/1000)*(s_Irr!K7)),IF(AND(s_Irr!K7=".",s_Irr!AI7=".",s_Irr!BG7="."),s_dir!AK7*1000)))))))),".")</f>
        <v>15724.206062811239</v>
      </c>
      <c r="BK7" s="48">
        <f>IFERROR(IF(AND(s_Irr!L7&lt;&gt;".",s_Irr!AJ7&lt;&gt;".",s_Irr!BH7&lt;&gt;"."),s_dir!AL7/((1/1000)*(s_Irr!L7+s_Irr!AJ7+s_Irr!BH7)),IF(AND(s_Irr!L7&lt;&gt;".",s_Irr!AJ7&lt;&gt;".",s_Irr!BH7="."),s_dir!AL7/((1/1000)*(s_Irr!L7+s_Irr!AJ7)),IF(AND(s_Irr!L7&lt;&gt;".",s_Irr!AJ7=".",s_Irr!BH7&lt;&gt;"."),s_dir!AL7/((1/1000)*(s_Irr!L7+s_Irr!BH7)),IF(AND(s_Irr!L7=".",s_Irr!AJ7&lt;&gt;".",s_Irr!BH7&lt;&gt;"."),s_dir!AL7/((1/1000)*(s_Irr!AJ7+s_Irr!BH7)),IF(AND(s_Irr!L7=".",s_Irr!AJ7=".",s_Irr!BH7&lt;&gt;"."),s_dir!AL7/((1/1000)*(s_Irr!BH7)),IF(AND(s_Irr!L7=".",s_Irr!AJ7&lt;&gt;".",s_Irr!BH7="."),s_dir!AL7/((1/1000)*(s_Irr!AJ7)),IF(AND(s_Irr!L7&lt;&gt;".",s_Irr!AJ7=".",s_Irr!BH7="."),s_dir!AL7/((1/1000)*(s_Irr!L7)),IF(AND(s_Irr!L7=".",s_Irr!AJ7=".",s_Irr!BH7="."),s_dir!AL7*1000)))))))),".")</f>
        <v>15724.206062811239</v>
      </c>
      <c r="BL7" s="48">
        <f>IFERROR(IF(AND(s_Irr!M7&lt;&gt;".",s_Irr!AK7&lt;&gt;".",s_Irr!BI7&lt;&gt;"."),s_dir!AM7/((1/1000)*(s_Irr!M7+s_Irr!AK7+s_Irr!BI7)),IF(AND(s_Irr!M7&lt;&gt;".",s_Irr!AK7&lt;&gt;".",s_Irr!BI7="."),s_dir!AM7/((1/1000)*(s_Irr!M7+s_Irr!AK7)),IF(AND(s_Irr!M7&lt;&gt;".",s_Irr!AK7=".",s_Irr!BI7&lt;&gt;"."),s_dir!AM7/((1/1000)*(s_Irr!M7+s_Irr!BI7)),IF(AND(s_Irr!M7=".",s_Irr!AK7&lt;&gt;".",s_Irr!BI7&lt;&gt;"."),s_dir!AM7/((1/1000)*(s_Irr!AK7+s_Irr!BI7)),IF(AND(s_Irr!M7=".",s_Irr!AK7=".",s_Irr!BI7&lt;&gt;"."),s_dir!AM7/((1/1000)*(s_Irr!BI7)),IF(AND(s_Irr!M7=".",s_Irr!AK7&lt;&gt;".",s_Irr!BI7="."),s_dir!AM7/((1/1000)*(s_Irr!AK7)),IF(AND(s_Irr!M7&lt;&gt;".",s_Irr!AK7=".",s_Irr!BI7="."),s_dir!AM7/((1/1000)*(s_Irr!M7)),IF(AND(s_Irr!M7=".",s_Irr!AK7=".",s_Irr!BI7="."),s_dir!AM7*1000)))))))),".")</f>
        <v>15724.206062811239</v>
      </c>
      <c r="BM7" s="48">
        <f>IFERROR(IF(AND(s_Irr!N7&lt;&gt;".",s_Irr!AL7&lt;&gt;".",s_Irr!BJ7&lt;&gt;"."),s_dir!AN7/((1/1000)*(s_Irr!N7+s_Irr!AL7+s_Irr!BJ7)),IF(AND(s_Irr!N7&lt;&gt;".",s_Irr!AL7&lt;&gt;".",s_Irr!BJ7="."),s_dir!AN7/((1/1000)*(s_Irr!N7+s_Irr!AL7)),IF(AND(s_Irr!N7&lt;&gt;".",s_Irr!AL7=".",s_Irr!BJ7&lt;&gt;"."),s_dir!AN7/((1/1000)*(s_Irr!N7+s_Irr!BJ7)),IF(AND(s_Irr!N7=".",s_Irr!AL7&lt;&gt;".",s_Irr!BJ7&lt;&gt;"."),s_dir!AN7/((1/1000)*(s_Irr!AL7+s_Irr!BJ7)),IF(AND(s_Irr!N7=".",s_Irr!AL7=".",s_Irr!BJ7&lt;&gt;"."),s_dir!AN7/((1/1000)*(s_Irr!BJ7)),IF(AND(s_Irr!N7=".",s_Irr!AL7&lt;&gt;".",s_Irr!BJ7="."),s_dir!AN7/((1/1000)*(s_Irr!AL7)),IF(AND(s_Irr!N7&lt;&gt;".",s_Irr!AL7=".",s_Irr!BJ7="."),s_dir!AN7/((1/1000)*(s_Irr!N7)),IF(AND(s_Irr!N7=".",s_Irr!AL7=".",s_Irr!BJ7="."),s_dir!AN7*1000)))))))),".")</f>
        <v>15724.206062811239</v>
      </c>
      <c r="BN7" s="48">
        <f>IFERROR(IF(AND(s_Irr!O7&lt;&gt;".",s_Irr!AM7&lt;&gt;".",s_Irr!BK7&lt;&gt;"."),s_dir!AO7/((1/1000)*(s_Irr!O7+s_Irr!AM7+s_Irr!BK7)),IF(AND(s_Irr!O7&lt;&gt;".",s_Irr!AM7&lt;&gt;".",s_Irr!BK7="."),s_dir!AO7/((1/1000)*(s_Irr!O7+s_Irr!AM7)),IF(AND(s_Irr!O7&lt;&gt;".",s_Irr!AM7=".",s_Irr!BK7&lt;&gt;"."),s_dir!AO7/((1/1000)*(s_Irr!O7+s_Irr!BK7)),IF(AND(s_Irr!O7=".",s_Irr!AM7&lt;&gt;".",s_Irr!BK7&lt;&gt;"."),s_dir!AO7/((1/1000)*(s_Irr!AM7+s_Irr!BK7)),IF(AND(s_Irr!O7=".",s_Irr!AM7=".",s_Irr!BK7&lt;&gt;"."),s_dir!AO7/((1/1000)*(s_Irr!BK7)),IF(AND(s_Irr!O7=".",s_Irr!AM7&lt;&gt;".",s_Irr!BK7="."),s_dir!AO7/((1/1000)*(s_Irr!AM7)),IF(AND(s_Irr!O7&lt;&gt;".",s_Irr!AM7=".",s_Irr!BK7="."),s_dir!AO7/((1/1000)*(s_Irr!O7)),IF(AND(s_Irr!O7=".",s_Irr!AM7=".",s_Irr!BK7="."),s_dir!AO7*1000)))))))),".")</f>
        <v>15724.206062811239</v>
      </c>
      <c r="BO7" s="48">
        <f>IFERROR(IF(AND(s_Irr!P7&lt;&gt;".",s_Irr!AN7&lt;&gt;".",s_Irr!BL7&lt;&gt;"."),s_dir!AP7/((1/1000)*(s_Irr!P7+s_Irr!AN7+s_Irr!BL7)),IF(AND(s_Irr!P7&lt;&gt;".",s_Irr!AN7&lt;&gt;".",s_Irr!BL7="."),s_dir!AP7/((1/1000)*(s_Irr!P7+s_Irr!AN7)),IF(AND(s_Irr!P7&lt;&gt;".",s_Irr!AN7=".",s_Irr!BL7&lt;&gt;"."),s_dir!AP7/((1/1000)*(s_Irr!P7+s_Irr!BL7)),IF(AND(s_Irr!P7=".",s_Irr!AN7&lt;&gt;".",s_Irr!BL7&lt;&gt;"."),s_dir!AP7/((1/1000)*(s_Irr!AN7+s_Irr!BL7)),IF(AND(s_Irr!P7=".",s_Irr!AN7=".",s_Irr!BL7&lt;&gt;"."),s_dir!AP7/((1/1000)*(s_Irr!BL7)),IF(AND(s_Irr!P7=".",s_Irr!AN7&lt;&gt;".",s_Irr!BL7="."),s_dir!AP7/((1/1000)*(s_Irr!AN7)),IF(AND(s_Irr!P7&lt;&gt;".",s_Irr!AN7=".",s_Irr!BL7="."),s_dir!AP7/((1/1000)*(s_Irr!P7)),IF(AND(s_Irr!P7=".",s_Irr!AN7=".",s_Irr!BL7="."),s_dir!AP7*1000)))))))),".")</f>
        <v>15724.206062811239</v>
      </c>
      <c r="BP7" s="48">
        <f>IFERROR(IF(AND(s_Irr!Q7&lt;&gt;".",s_Irr!AO7&lt;&gt;".",s_Irr!BM7&lt;&gt;"."),s_dir!AQ7/((1/1000)*(s_Irr!Q7+s_Irr!AO7+s_Irr!BM7)),IF(AND(s_Irr!Q7&lt;&gt;".",s_Irr!AO7&lt;&gt;".",s_Irr!BM7="."),s_dir!AQ7/((1/1000)*(s_Irr!Q7+s_Irr!AO7)),IF(AND(s_Irr!Q7&lt;&gt;".",s_Irr!AO7=".",s_Irr!BM7&lt;&gt;"."),s_dir!AQ7/((1/1000)*(s_Irr!Q7+s_Irr!BM7)),IF(AND(s_Irr!Q7=".",s_Irr!AO7&lt;&gt;".",s_Irr!BM7&lt;&gt;"."),s_dir!AQ7/((1/1000)*(s_Irr!AO7+s_Irr!BM7)),IF(AND(s_Irr!Q7=".",s_Irr!AO7=".",s_Irr!BM7&lt;&gt;"."),s_dir!AQ7/((1/1000)*(s_Irr!BM7)),IF(AND(s_Irr!Q7=".",s_Irr!AO7&lt;&gt;".",s_Irr!BM7="."),s_dir!AQ7/((1/1000)*(s_Irr!AO7)),IF(AND(s_Irr!Q7&lt;&gt;".",s_Irr!AO7=".",s_Irr!BM7="."),s_dir!AQ7/((1/1000)*(s_Irr!Q7)),IF(AND(s_Irr!Q7=".",s_Irr!AO7=".",s_Irr!BM7="."),s_dir!AQ7*1000)))))))),".")</f>
        <v>15724.206062811239</v>
      </c>
      <c r="BQ7" s="48">
        <f>IFERROR(IF(AND(s_Irr!R7&lt;&gt;".",s_Irr!AP7&lt;&gt;".",s_Irr!BN7&lt;&gt;"."),s_dir!AR7/((1/1000)*(s_Irr!R7+s_Irr!AP7+s_Irr!BN7)),IF(AND(s_Irr!R7&lt;&gt;".",s_Irr!AP7&lt;&gt;".",s_Irr!BN7="."),s_dir!AR7/((1/1000)*(s_Irr!R7+s_Irr!AP7)),IF(AND(s_Irr!R7&lt;&gt;".",s_Irr!AP7=".",s_Irr!BN7&lt;&gt;"."),s_dir!AR7/((1/1000)*(s_Irr!R7+s_Irr!BN7)),IF(AND(s_Irr!R7=".",s_Irr!AP7&lt;&gt;".",s_Irr!BN7&lt;&gt;"."),s_dir!AR7/((1/1000)*(s_Irr!AP7+s_Irr!BN7)),IF(AND(s_Irr!R7=".",s_Irr!AP7=".",s_Irr!BN7&lt;&gt;"."),s_dir!AR7/((1/1000)*(s_Irr!BN7)),IF(AND(s_Irr!R7=".",s_Irr!AP7&lt;&gt;".",s_Irr!BN7="."),s_dir!AR7/((1/1000)*(s_Irr!AP7)),IF(AND(s_Irr!R7&lt;&gt;".",s_Irr!AP7=".",s_Irr!BN7="."),s_dir!AR7/((1/1000)*(s_Irr!R7)),IF(AND(s_Irr!R7=".",s_Irr!AP7=".",s_Irr!BN7="."),s_dir!AR7*1000)))))))),".")</f>
        <v>15724.206062811239</v>
      </c>
      <c r="BR7" s="48">
        <f>IFERROR(IF(AND(s_Irr!S7&lt;&gt;".",s_Irr!AQ7&lt;&gt;".",s_Irr!BO7&lt;&gt;"."),s_dir!AS7/((1/1000)*(s_Irr!S7+s_Irr!AQ7+s_Irr!BO7)),IF(AND(s_Irr!S7&lt;&gt;".",s_Irr!AQ7&lt;&gt;".",s_Irr!BO7="."),s_dir!AS7/((1/1000)*(s_Irr!S7+s_Irr!AQ7)),IF(AND(s_Irr!S7&lt;&gt;".",s_Irr!AQ7=".",s_Irr!BO7&lt;&gt;"."),s_dir!AS7/((1/1000)*(s_Irr!S7+s_Irr!BO7)),IF(AND(s_Irr!S7=".",s_Irr!AQ7&lt;&gt;".",s_Irr!BO7&lt;&gt;"."),s_dir!AS7/((1/1000)*(s_Irr!AQ7+s_Irr!BO7)),IF(AND(s_Irr!S7=".",s_Irr!AQ7=".",s_Irr!BO7&lt;&gt;"."),s_dir!AS7/((1/1000)*(s_Irr!BO7)),IF(AND(s_Irr!S7=".",s_Irr!AQ7&lt;&gt;".",s_Irr!BO7="."),s_dir!AS7/((1/1000)*(s_Irr!AQ7)),IF(AND(s_Irr!S7&lt;&gt;".",s_Irr!AQ7=".",s_Irr!BO7="."),s_dir!AS7/((1/1000)*(s_Irr!S7)),IF(AND(s_Irr!S7=".",s_Irr!AQ7=".",s_Irr!BO7="."),s_dir!AS7*1000)))))))),".")</f>
        <v>15724.206062811239</v>
      </c>
      <c r="BS7" s="48">
        <f>IFERROR(IF(AND(s_Irr!T7&lt;&gt;".",s_Irr!AR7&lt;&gt;".",s_Irr!BP7&lt;&gt;"."),s_dir!AT7/((1/1000)*(s_Irr!T7+s_Irr!AR7+s_Irr!BP7)),IF(AND(s_Irr!T7&lt;&gt;".",s_Irr!AR7&lt;&gt;".",s_Irr!BP7="."),s_dir!AT7/((1/1000)*(s_Irr!T7+s_Irr!AR7)),IF(AND(s_Irr!T7&lt;&gt;".",s_Irr!AR7=".",s_Irr!BP7&lt;&gt;"."),s_dir!AT7/((1/1000)*(s_Irr!T7+s_Irr!BP7)),IF(AND(s_Irr!T7=".",s_Irr!AR7&lt;&gt;".",s_Irr!BP7&lt;&gt;"."),s_dir!AT7/((1/1000)*(s_Irr!AR7+s_Irr!BP7)),IF(AND(s_Irr!T7=".",s_Irr!AR7=".",s_Irr!BP7&lt;&gt;"."),s_dir!AT7/((1/1000)*(s_Irr!BP7)),IF(AND(s_Irr!T7=".",s_Irr!AR7&lt;&gt;".",s_Irr!BP7="."),s_dir!AT7/((1/1000)*(s_Irr!AR7)),IF(AND(s_Irr!T7&lt;&gt;".",s_Irr!AR7=".",s_Irr!BP7="."),s_dir!AT7/((1/1000)*(s_Irr!T7)),IF(AND(s_Irr!T7=".",s_Irr!AR7=".",s_Irr!BP7="."),s_dir!AT7*1000)))))))),".")</f>
        <v>15724.206062811239</v>
      </c>
      <c r="BT7" s="48">
        <f>IFERROR(IF(AND(s_Irr!U7&lt;&gt;".",s_Irr!AS7&lt;&gt;".",s_Irr!BQ7&lt;&gt;"."),s_dir!AU7/((1/1000)*(s_Irr!U7+s_Irr!AS7+s_Irr!BQ7)),IF(AND(s_Irr!U7&lt;&gt;".",s_Irr!AS7&lt;&gt;".",s_Irr!BQ7="."),s_dir!AU7/((1/1000)*(s_Irr!U7+s_Irr!AS7)),IF(AND(s_Irr!U7&lt;&gt;".",s_Irr!AS7=".",s_Irr!BQ7&lt;&gt;"."),s_dir!AU7/((1/1000)*(s_Irr!U7+s_Irr!BQ7)),IF(AND(s_Irr!U7=".",s_Irr!AS7&lt;&gt;".",s_Irr!BQ7&lt;&gt;"."),s_dir!AU7/((1/1000)*(s_Irr!AS7+s_Irr!BQ7)),IF(AND(s_Irr!U7=".",s_Irr!AS7=".",s_Irr!BQ7&lt;&gt;"."),s_dir!AU7/((1/1000)*(s_Irr!BQ7)),IF(AND(s_Irr!U7=".",s_Irr!AS7&lt;&gt;".",s_Irr!BQ7="."),s_dir!AU7/((1/1000)*(s_Irr!AS7)),IF(AND(s_Irr!U7&lt;&gt;".",s_Irr!AS7=".",s_Irr!BQ7="."),s_dir!AU7/((1/1000)*(s_Irr!U7)),IF(AND(s_Irr!U7=".",s_Irr!AS7=".",s_Irr!BQ7="."),s_dir!AU7*1000)))))))),".")</f>
        <v>15724.206062811239</v>
      </c>
      <c r="BU7" s="48">
        <f>IFERROR(IF(AND(s_Irr!V7&lt;&gt;".",s_Irr!AT7&lt;&gt;".",s_Irr!BR7&lt;&gt;"."),s_dir!AV7/((1/1000)*(s_Irr!V7+s_Irr!AT7+s_Irr!BR7)),IF(AND(s_Irr!V7&lt;&gt;".",s_Irr!AT7&lt;&gt;".",s_Irr!BR7="."),s_dir!AV7/((1/1000)*(s_Irr!V7+s_Irr!AT7)),IF(AND(s_Irr!V7&lt;&gt;".",s_Irr!AT7=".",s_Irr!BR7&lt;&gt;"."),s_dir!AV7/((1/1000)*(s_Irr!V7+s_Irr!BR7)),IF(AND(s_Irr!V7=".",s_Irr!AT7&lt;&gt;".",s_Irr!BR7&lt;&gt;"."),s_dir!AV7/((1/1000)*(s_Irr!AT7+s_Irr!BR7)),IF(AND(s_Irr!V7=".",s_Irr!AT7=".",s_Irr!BR7&lt;&gt;"."),s_dir!AV7/((1/1000)*(s_Irr!BR7)),IF(AND(s_Irr!V7=".",s_Irr!AT7&lt;&gt;".",s_Irr!BR7="."),s_dir!AV7/((1/1000)*(s_Irr!AT7)),IF(AND(s_Irr!V7&lt;&gt;".",s_Irr!AT7=".",s_Irr!BR7="."),s_dir!AV7/((1/1000)*(s_Irr!V7)),IF(AND(s_Irr!V7=".",s_Irr!AT7=".",s_Irr!BR7="."),s_dir!AV7*1000)))))))),".")</f>
        <v>15724.206062811239</v>
      </c>
      <c r="BV7" s="48">
        <f>IFERROR(IF(AND(s_Irr!W7&lt;&gt;".",s_Irr!AU7&lt;&gt;".",s_Irr!BS7&lt;&gt;"."),s_dir!AW7/((1/1000)*(s_Irr!W7+s_Irr!AU7+s_Irr!BS7)),IF(AND(s_Irr!W7&lt;&gt;".",s_Irr!AU7&lt;&gt;".",s_Irr!BS7="."),s_dir!AW7/((1/1000)*(s_Irr!W7+s_Irr!AU7)),IF(AND(s_Irr!W7&lt;&gt;".",s_Irr!AU7=".",s_Irr!BS7&lt;&gt;"."),s_dir!AW7/((1/1000)*(s_Irr!W7+s_Irr!BS7)),IF(AND(s_Irr!W7=".",s_Irr!AU7&lt;&gt;".",s_Irr!BS7&lt;&gt;"."),s_dir!AW7/((1/1000)*(s_Irr!AU7+s_Irr!BS7)),IF(AND(s_Irr!W7=".",s_Irr!AU7=".",s_Irr!BS7&lt;&gt;"."),s_dir!AW7/((1/1000)*(s_Irr!BS7)),IF(AND(s_Irr!W7=".",s_Irr!AU7&lt;&gt;".",s_Irr!BS7="."),s_dir!AW7/((1/1000)*(s_Irr!AU7)),IF(AND(s_Irr!W7&lt;&gt;".",s_Irr!AU7=".",s_Irr!BS7="."),s_dir!AW7/((1/1000)*(s_Irr!W7)),IF(AND(s_Irr!W7=".",s_Irr!AU7=".",s_Irr!BS7="."),s_dir!AW7*1000)))))))),".")</f>
        <v>15724.206062811239</v>
      </c>
      <c r="BW7" s="48">
        <f>IFERROR(IF(AND(s_Irr!X7&lt;&gt;".",s_Irr!AV7&lt;&gt;".",s_Irr!BT7&lt;&gt;"."),s_dir!AX7/((1/1000)*(s_Irr!X7+s_Irr!AV7+s_Irr!BT7)),IF(AND(s_Irr!X7&lt;&gt;".",s_Irr!AV7&lt;&gt;".",s_Irr!BT7="."),s_dir!AX7/((1/1000)*(s_Irr!X7+s_Irr!AV7)),IF(AND(s_Irr!X7&lt;&gt;".",s_Irr!AV7=".",s_Irr!BT7&lt;&gt;"."),s_dir!AX7/((1/1000)*(s_Irr!X7+s_Irr!BT7)),IF(AND(s_Irr!X7=".",s_Irr!AV7&lt;&gt;".",s_Irr!BT7&lt;&gt;"."),s_dir!AX7/((1/1000)*(s_Irr!AV7+s_Irr!BT7)),IF(AND(s_Irr!X7=".",s_Irr!AV7=".",s_Irr!BT7&lt;&gt;"."),s_dir!AX7/((1/1000)*(s_Irr!BT7)),IF(AND(s_Irr!X7=".",s_Irr!AV7&lt;&gt;".",s_Irr!BT7="."),s_dir!AX7/((1/1000)*(s_Irr!AV7)),IF(AND(s_Irr!X7&lt;&gt;".",s_Irr!AV7=".",s_Irr!BT7="."),s_dir!AX7/((1/1000)*(s_Irr!X7)),IF(AND(s_Irr!X7=".",s_Irr!AV7=".",s_Irr!BT7="."),s_dir!AX7*1000)))))))),".")</f>
        <v>15724.206062811239</v>
      </c>
      <c r="BX7" s="48">
        <f>IFERROR(IF(AND(s_Irr!Y7&lt;&gt;".",s_Irr!AW7&lt;&gt;".",s_Irr!BU7&lt;&gt;"."),s_dir!AY7/((1/1000)*(s_Irr!Y7+s_Irr!AW7+s_Irr!BU7)),IF(AND(s_Irr!Y7&lt;&gt;".",s_Irr!AW7&lt;&gt;".",s_Irr!BU7="."),s_dir!AY7/((1/1000)*(s_Irr!Y7+s_Irr!AW7)),IF(AND(s_Irr!Y7&lt;&gt;".",s_Irr!AW7=".",s_Irr!BU7&lt;&gt;"."),s_dir!AY7/((1/1000)*(s_Irr!Y7+s_Irr!BU7)),IF(AND(s_Irr!Y7=".",s_Irr!AW7&lt;&gt;".",s_Irr!BU7&lt;&gt;"."),s_dir!AY7/((1/1000)*(s_Irr!AW7+s_Irr!BU7)),IF(AND(s_Irr!Y7=".",s_Irr!AW7=".",s_Irr!BU7&lt;&gt;"."),s_dir!AY7/((1/1000)*(s_Irr!BU7)),IF(AND(s_Irr!Y7=".",s_Irr!AW7&lt;&gt;".",s_Irr!BU7="."),s_dir!AY7/((1/1000)*(s_Irr!AW7)),IF(AND(s_Irr!Y7&lt;&gt;".",s_Irr!AW7=".",s_Irr!BU7="."),s_dir!AY7/((1/1000)*(s_Irr!Y7)),IF(AND(s_Irr!Y7=".",s_Irr!AW7=".",s_Irr!BU7="."),s_dir!AY7*1000)))))))),".")</f>
        <v>15724.206062811239</v>
      </c>
      <c r="BY7" s="48">
        <f>IFERROR(IF(AND(s_Irr!Z7&lt;&gt;".",s_Irr!AX7&lt;&gt;".",s_Irr!BV7&lt;&gt;"."),s_dir!AZ7/((1/1000)*(s_Irr!Z7+s_Irr!AX7+s_Irr!BV7)),IF(AND(s_Irr!Z7&lt;&gt;".",s_Irr!AX7&lt;&gt;".",s_Irr!BV7="."),s_dir!AZ7/((1/1000)*(s_Irr!Z7+s_Irr!AX7)),IF(AND(s_Irr!Z7&lt;&gt;".",s_Irr!AX7=".",s_Irr!BV7&lt;&gt;"."),s_dir!AZ7/((1/1000)*(s_Irr!Z7+s_Irr!BV7)),IF(AND(s_Irr!Z7=".",s_Irr!AX7&lt;&gt;".",s_Irr!BV7&lt;&gt;"."),s_dir!AZ7/((1/1000)*(s_Irr!AX7+s_Irr!BV7)),IF(AND(s_Irr!Z7=".",s_Irr!AX7=".",s_Irr!BV7&lt;&gt;"."),s_dir!AZ7/((1/1000)*(s_Irr!BV7)),IF(AND(s_Irr!Z7=".",s_Irr!AX7&lt;&gt;".",s_Irr!BV7="."),s_dir!AZ7/((1/1000)*(s_Irr!AX7)),IF(AND(s_Irr!Z7&lt;&gt;".",s_Irr!AX7=".",s_Irr!BV7="."),s_dir!AZ7/((1/1000)*(s_Irr!Z7)),IF(AND(s_Irr!Z7=".",s_Irr!AX7=".",s_Irr!BV7="."),s_dir!AZ7*1000)))))))),".")</f>
        <v>15724.206062811239</v>
      </c>
      <c r="BZ7" s="62">
        <f t="shared" si="1"/>
        <v>716.17359988017915</v>
      </c>
      <c r="CA7" s="62">
        <f>IFERROR(s_C*s_IFAP_far_adj*s_CF_apple*(1/1000)*(s_Irr!C7+s_Irr!AA7+s_Irr!AY7),".")</f>
        <v>238.72453329339305</v>
      </c>
      <c r="CB7" s="62">
        <f>IFERROR(s_C*s_IFAS_far_adj*s_CF_asparagus*(1/1000)*(s_Irr!D7+s_Irr!AB7+s_Irr!AZ7),".")</f>
        <v>238.72453329339305</v>
      </c>
      <c r="CC7" s="62">
        <f>IFERROR(s_C*s_IFBT_far_adj*s_CF_beet*(1/1000)*(s_Irr!E7+s_Irr!AC7+s_Irr!BA7),".")</f>
        <v>238.72453329339305</v>
      </c>
      <c r="CD7" s="62">
        <f>IFERROR(s_C*s_IFBE_far_adj*s_CF_berries*(1/1000)*(s_Irr!F7+s_Irr!AD7+s_Irr!BB7),".")</f>
        <v>238.72453329339305</v>
      </c>
      <c r="CE7" s="62">
        <f>IFERROR(s_C*s_IFBR_far_adj*s_CF_broccoli*(1/1000)*(s_Irr!G7+s_Irr!AE7+s_Irr!BC7),".")</f>
        <v>238.72453329339305</v>
      </c>
      <c r="CF7" s="62">
        <f>IFERROR(s_C*s_IFCB_far_adj*s_CF_cabbage*(1/1000)*(s_Irr!H7+s_Irr!AF7+s_Irr!BD7),".")</f>
        <v>238.72453329339305</v>
      </c>
      <c r="CG7" s="62">
        <f>IFERROR(s_C*s_IFCR_far_adj*s_CF_carrot*(1/1000)*(s_Irr!I7+s_Irr!AG7+s_Irr!BE7),".")</f>
        <v>238.72453329339305</v>
      </c>
      <c r="CH7" s="62">
        <f>IFERROR(s_C*s_IFCI_far_adj*s_CF_citrus*(1/1000)*(s_Irr!J7+s_Irr!AH7+s_Irr!BF7),".")</f>
        <v>238.72453329339305</v>
      </c>
      <c r="CI7" s="62">
        <f>IFERROR(s_C*s_IFCO_far_adj*s_CF_corn*(1/1000)*(s_Irr!K7+s_Irr!AI7+s_Irr!BG7),".")</f>
        <v>238.72453329339305</v>
      </c>
      <c r="CJ7" s="62">
        <f>IFERROR(s_C*s_IFCU_far_adj*s_CF_cucumber*(1/1000)*(s_Irr!L7+s_Irr!AJ7+s_Irr!BH7),".")</f>
        <v>238.72453329339305</v>
      </c>
      <c r="CK7" s="62">
        <f>IFERROR(s_C*s_IFLE_far_adj*s_CF_lettuce*(1/1000)*(s_Irr!M7+s_Irr!AK7+s_Irr!BI7),".")</f>
        <v>238.72453329339305</v>
      </c>
      <c r="CL7" s="62">
        <f>IFERROR(s_C*s_IFLI_far_adj*s_CF_lima_bean*(1/1000)*(s_Irr!N7+s_Irr!AL7+s_Irr!BJ7),".")</f>
        <v>238.72453329339305</v>
      </c>
      <c r="CM7" s="62">
        <f>IFERROR(s_C*s_IFOK_far_adj*s_CF_okra*(1/1000)*(s_Irr!O7+s_Irr!AM7+s_Irr!BK7),".")</f>
        <v>238.72453329339305</v>
      </c>
      <c r="CN7" s="62">
        <f>IFERROR(s_C*s_IFON_far_adj*s_CF_onion*(1/1000)*(s_Irr!P7+s_Irr!AN7+s_Irr!BL7),".")</f>
        <v>238.72453329339305</v>
      </c>
      <c r="CO7" s="62">
        <f>IFERROR(s_C*s_IFPC_far_adj*s_CF_peach*(1/1000)*(s_Irr!Q7+s_Irr!AO7+s_Irr!BM7),".")</f>
        <v>238.72453329339305</v>
      </c>
      <c r="CP7" s="62">
        <f>IFERROR(s_C*s_IFPR_far_adj*s_CF_pear*(1/1000)*(s_Irr!R7+s_Irr!AP7+s_Irr!BN7),".")</f>
        <v>238.72453329339305</v>
      </c>
      <c r="CQ7" s="62">
        <f>IFERROR(s_C*s_IFPE_far_adj*s_CF_peas*(1/1000)*(s_Irr!S7+s_Irr!AQ7+s_Irr!BO7),".")</f>
        <v>238.72453329339305</v>
      </c>
      <c r="CR7" s="62">
        <f>IFERROR(s_C*s_IFPT_far_adj*s_CF_potato*(1/1000)*(s_Irr!T7+s_Irr!AR7+s_Irr!BP7),".")</f>
        <v>238.72453329339305</v>
      </c>
      <c r="CS7" s="62">
        <f>IFERROR(s_C*s_IFPU_far_adj*s_CF_pumpkin*(1/1000)*(s_Irr!U7+s_Irr!AS7+s_Irr!BQ7),".")</f>
        <v>238.72453329339305</v>
      </c>
      <c r="CT7" s="62">
        <f>IFERROR(s_C*s_IFSN_far_adj*s_CF_snap_bean*(1/1000)*(s_Irr!V7+s_Irr!AT7+s_Irr!BR7),".")</f>
        <v>238.72453329339305</v>
      </c>
      <c r="CU7" s="62">
        <f>IFERROR(s_C*s_IFST_far_adj*s_CF_strawberry*(1/1000)*(s_Irr!W7+s_Irr!AU7+s_Irr!BS7),".")</f>
        <v>238.72453329339305</v>
      </c>
      <c r="CV7" s="62">
        <f>IFERROR(s_C*s_IFTO_far_adj*s_CF_tomato*(1/1000)*(s_Irr!X7+s_Irr!AV7+s_Irr!BT7),".")</f>
        <v>238.72453329339305</v>
      </c>
      <c r="CW7" s="62">
        <f>IFERROR(s_C*s_IFRI_far_adj*s_CF_rice*(1/1000)*(s_Irr!Y7+s_Irr!AW7+s_Irr!BU7),".")</f>
        <v>238.72453329339305</v>
      </c>
      <c r="CX7" s="62">
        <f>IFERROR(s_C*s_IFCG_far_adj*s_CF_cereal*(1/1000)*(s_Irr!Z7+s_Irr!AX7+s_Irr!BV7),".")</f>
        <v>238.72453329339305</v>
      </c>
    </row>
    <row r="8" spans="1:102" ht="15" customHeight="1" x14ac:dyDescent="0.25">
      <c r="A8" s="61" t="s">
        <v>6</v>
      </c>
      <c r="B8" s="49" t="s">
        <v>1059</v>
      </c>
      <c r="C8" s="48">
        <f t="shared" si="2"/>
        <v>35203.446409278891</v>
      </c>
      <c r="D8" s="48">
        <f>IFERROR(IF(AND(s_Irr!C8&lt;&gt;".",s_Irr!AA8&lt;&gt;".",s_Irr!AY8&lt;&gt;"."),s_dir!D8/((1/1000)*(s_Irr!C8+s_Irr!AA8+s_Irr!AY8)),IF(AND(s_Irr!C8&lt;&gt;".",s_Irr!AA8&lt;&gt;".",s_Irr!AY8="."),s_dir!D8/((1/1000)*(s_Irr!C8+s_Irr!AA8)),IF(AND(s_Irr!C8&lt;&gt;".",s_Irr!AA8=".",s_Irr!AY8&lt;&gt;"."),s_dir!D8/((1/1000)*(s_Irr!C8+s_Irr!AY8)),IF(AND(s_Irr!C8=".",s_Irr!AA8&lt;&gt;".",s_Irr!AY8&lt;&gt;"."),s_dir!D8/((1/1000)*(s_Irr!AA8+s_Irr!AY8)),IF(AND(s_Irr!C8=".",s_Irr!AA8=".",s_Irr!AY8&lt;&gt;"."),s_dir!D8/((1/1000)*(s_Irr!AY8)),IF(AND(s_Irr!C8=".",s_Irr!AA8&lt;&gt;".",s_Irr!AY8="."),s_dir!D8/((1/1000)*(s_Irr!AA8)),IF(AND(s_Irr!C8&lt;&gt;".",s_Irr!AA8=".",s_Irr!AY8="."),s_dir!D8/((1/1000)*(s_Irr!C8)),IF(AND(s_Irr!C8=".",s_Irr!AA8=".",s_Irr!AY8="."),s_dir!D8*1000)))))))),".")</f>
        <v>105610.33922783667</v>
      </c>
      <c r="E8" s="48">
        <f>IFERROR(IF(AND(s_Irr!D8&lt;&gt;".",s_Irr!AB8&lt;&gt;".",s_Irr!AZ8&lt;&gt;"."),s_dir!E8/((1/1000)*(s_Irr!D8+s_Irr!AB8+s_Irr!AZ8)),IF(AND(s_Irr!D8&lt;&gt;".",s_Irr!AB8&lt;&gt;".",s_Irr!AZ8="."),s_dir!E8/((1/1000)*(s_Irr!D8+s_Irr!AB8)),IF(AND(s_Irr!D8&lt;&gt;".",s_Irr!AB8=".",s_Irr!AZ8&lt;&gt;"."),s_dir!E8/((1/1000)*(s_Irr!D8+s_Irr!AZ8)),IF(AND(s_Irr!D8=".",s_Irr!AB8&lt;&gt;".",s_Irr!AZ8&lt;&gt;"."),s_dir!E8/((1/1000)*(s_Irr!AB8+s_Irr!AZ8)),IF(AND(s_Irr!D8=".",s_Irr!AB8=".",s_Irr!AZ8&lt;&gt;"."),s_dir!E8/((1/1000)*(s_Irr!AZ8)),IF(AND(s_Irr!D8=".",s_Irr!AB8&lt;&gt;".",s_Irr!AZ8="."),s_dir!E8/((1/1000)*(s_Irr!AB8)),IF(AND(s_Irr!D8&lt;&gt;".",s_Irr!AB8=".",s_Irr!AZ8="."),s_dir!E8/((1/1000)*(s_Irr!D8)),IF(AND(s_Irr!D8=".",s_Irr!AB8=".",s_Irr!AZ8="."),s_dir!E8*1000)))))))),".")</f>
        <v>105610.33922783667</v>
      </c>
      <c r="F8" s="48">
        <f>IFERROR(IF(AND(s_Irr!E8&lt;&gt;".",s_Irr!AC8&lt;&gt;".",s_Irr!BA8&lt;&gt;"."),s_dir!F8/((1/1000)*(s_Irr!E8+s_Irr!AC8+s_Irr!BA8)),IF(AND(s_Irr!E8&lt;&gt;".",s_Irr!AC8&lt;&gt;".",s_Irr!BA8="."),s_dir!F8/((1/1000)*(s_Irr!E8+s_Irr!AC8)),IF(AND(s_Irr!E8&lt;&gt;".",s_Irr!AC8=".",s_Irr!BA8&lt;&gt;"."),s_dir!F8/((1/1000)*(s_Irr!E8+s_Irr!BA8)),IF(AND(s_Irr!E8=".",s_Irr!AC8&lt;&gt;".",s_Irr!BA8&lt;&gt;"."),s_dir!F8/((1/1000)*(s_Irr!AC8+s_Irr!BA8)),IF(AND(s_Irr!E8=".",s_Irr!AC8=".",s_Irr!BA8&lt;&gt;"."),s_dir!F8/((1/1000)*(s_Irr!BA8)),IF(AND(s_Irr!E8=".",s_Irr!AC8&lt;&gt;".",s_Irr!BA8="."),s_dir!F8/((1/1000)*(s_Irr!AC8)),IF(AND(s_Irr!E8&lt;&gt;".",s_Irr!AC8=".",s_Irr!BA8="."),s_dir!F8/((1/1000)*(s_Irr!E8)),IF(AND(s_Irr!E8=".",s_Irr!AC8=".",s_Irr!BA8="."),s_dir!F8*1000)))))))),".")</f>
        <v>105610.33922783667</v>
      </c>
      <c r="G8" s="48">
        <f>IFERROR(IF(AND(s_Irr!F8&lt;&gt;".",s_Irr!AD8&lt;&gt;".",s_Irr!BB8&lt;&gt;"."),s_dir!G8/((1/1000)*(s_Irr!F8+s_Irr!AD8+s_Irr!BB8)),IF(AND(s_Irr!F8&lt;&gt;".",s_Irr!AD8&lt;&gt;".",s_Irr!BB8="."),s_dir!G8/((1/1000)*(s_Irr!F8+s_Irr!AD8)),IF(AND(s_Irr!F8&lt;&gt;".",s_Irr!AD8=".",s_Irr!BB8&lt;&gt;"."),s_dir!G8/((1/1000)*(s_Irr!F8+s_Irr!BB8)),IF(AND(s_Irr!F8=".",s_Irr!AD8&lt;&gt;".",s_Irr!BB8&lt;&gt;"."),s_dir!G8/((1/1000)*(s_Irr!AD8+s_Irr!BB8)),IF(AND(s_Irr!F8=".",s_Irr!AD8=".",s_Irr!BB8&lt;&gt;"."),s_dir!G8/((1/1000)*(s_Irr!BB8)),IF(AND(s_Irr!F8=".",s_Irr!AD8&lt;&gt;".",s_Irr!BB8="."),s_dir!G8/((1/1000)*(s_Irr!AD8)),IF(AND(s_Irr!F8&lt;&gt;".",s_Irr!AD8=".",s_Irr!BB8="."),s_dir!G8/((1/1000)*(s_Irr!F8)),IF(AND(s_Irr!F8=".",s_Irr!AD8=".",s_Irr!BB8="."),s_dir!G8*1000)))))))),".")</f>
        <v>105610.33922783667</v>
      </c>
      <c r="H8" s="48">
        <f>IFERROR(IF(AND(s_Irr!G8&lt;&gt;".",s_Irr!AE8&lt;&gt;".",s_Irr!BC8&lt;&gt;"."),s_dir!H8/((1/1000)*(s_Irr!G8+s_Irr!AE8+s_Irr!BC8)),IF(AND(s_Irr!G8&lt;&gt;".",s_Irr!AE8&lt;&gt;".",s_Irr!BC8="."),s_dir!H8/((1/1000)*(s_Irr!G8+s_Irr!AE8)),IF(AND(s_Irr!G8&lt;&gt;".",s_Irr!AE8=".",s_Irr!BC8&lt;&gt;"."),s_dir!H8/((1/1000)*(s_Irr!G8+s_Irr!BC8)),IF(AND(s_Irr!G8=".",s_Irr!AE8&lt;&gt;".",s_Irr!BC8&lt;&gt;"."),s_dir!H8/((1/1000)*(s_Irr!AE8+s_Irr!BC8)),IF(AND(s_Irr!G8=".",s_Irr!AE8=".",s_Irr!BC8&lt;&gt;"."),s_dir!H8/((1/1000)*(s_Irr!BC8)),IF(AND(s_Irr!G8=".",s_Irr!AE8&lt;&gt;".",s_Irr!BC8="."),s_dir!H8/((1/1000)*(s_Irr!AE8)),IF(AND(s_Irr!G8&lt;&gt;".",s_Irr!AE8=".",s_Irr!BC8="."),s_dir!H8/((1/1000)*(s_Irr!G8)),IF(AND(s_Irr!G8=".",s_Irr!AE8=".",s_Irr!BC8="."),s_dir!H8*1000)))))))),".")</f>
        <v>105610.33922783667</v>
      </c>
      <c r="I8" s="48">
        <f>IFERROR(IF(AND(s_Irr!H8&lt;&gt;".",s_Irr!AF8&lt;&gt;".",s_Irr!BD8&lt;&gt;"."),s_dir!I8/((1/1000)*(s_Irr!H8+s_Irr!AF8+s_Irr!BD8)),IF(AND(s_Irr!H8&lt;&gt;".",s_Irr!AF8&lt;&gt;".",s_Irr!BD8="."),s_dir!I8/((1/1000)*(s_Irr!H8+s_Irr!AF8)),IF(AND(s_Irr!H8&lt;&gt;".",s_Irr!AF8=".",s_Irr!BD8&lt;&gt;"."),s_dir!I8/((1/1000)*(s_Irr!H8+s_Irr!BD8)),IF(AND(s_Irr!H8=".",s_Irr!AF8&lt;&gt;".",s_Irr!BD8&lt;&gt;"."),s_dir!I8/((1/1000)*(s_Irr!AF8+s_Irr!BD8)),IF(AND(s_Irr!H8=".",s_Irr!AF8=".",s_Irr!BD8&lt;&gt;"."),s_dir!I8/((1/1000)*(s_Irr!BD8)),IF(AND(s_Irr!H8=".",s_Irr!AF8&lt;&gt;".",s_Irr!BD8="."),s_dir!I8/((1/1000)*(s_Irr!AF8)),IF(AND(s_Irr!H8&lt;&gt;".",s_Irr!AF8=".",s_Irr!BD8="."),s_dir!I8/((1/1000)*(s_Irr!H8)),IF(AND(s_Irr!H8=".",s_Irr!AF8=".",s_Irr!BD8="."),s_dir!I8*1000)))))))),".")</f>
        <v>105610.33922783667</v>
      </c>
      <c r="J8" s="48">
        <f>IFERROR(IF(AND(s_Irr!I8&lt;&gt;".",s_Irr!AG8&lt;&gt;".",s_Irr!BE8&lt;&gt;"."),s_dir!J8/((1/1000)*(s_Irr!I8+s_Irr!AG8+s_Irr!BE8)),IF(AND(s_Irr!I8&lt;&gt;".",s_Irr!AG8&lt;&gt;".",s_Irr!BE8="."),s_dir!J8/((1/1000)*(s_Irr!I8+s_Irr!AG8)),IF(AND(s_Irr!I8&lt;&gt;".",s_Irr!AG8=".",s_Irr!BE8&lt;&gt;"."),s_dir!J8/((1/1000)*(s_Irr!I8+s_Irr!BE8)),IF(AND(s_Irr!I8=".",s_Irr!AG8&lt;&gt;".",s_Irr!BE8&lt;&gt;"."),s_dir!J8/((1/1000)*(s_Irr!AG8+s_Irr!BE8)),IF(AND(s_Irr!I8=".",s_Irr!AG8=".",s_Irr!BE8&lt;&gt;"."),s_dir!J8/((1/1000)*(s_Irr!BE8)),IF(AND(s_Irr!I8=".",s_Irr!AG8&lt;&gt;".",s_Irr!BE8="."),s_dir!J8/((1/1000)*(s_Irr!AG8)),IF(AND(s_Irr!I8&lt;&gt;".",s_Irr!AG8=".",s_Irr!BE8="."),s_dir!J8/((1/1000)*(s_Irr!I8)),IF(AND(s_Irr!I8=".",s_Irr!AG8=".",s_Irr!BE8="."),s_dir!J8*1000)))))))),".")</f>
        <v>105610.33922783667</v>
      </c>
      <c r="K8" s="48">
        <f>IFERROR(IF(AND(s_Irr!J8&lt;&gt;".",s_Irr!AH8&lt;&gt;".",s_Irr!BF8&lt;&gt;"."),s_dir!K8/((1/1000)*(s_Irr!J8+s_Irr!AH8+s_Irr!BF8)),IF(AND(s_Irr!J8&lt;&gt;".",s_Irr!AH8&lt;&gt;".",s_Irr!BF8="."),s_dir!K8/((1/1000)*(s_Irr!J8+s_Irr!AH8)),IF(AND(s_Irr!J8&lt;&gt;".",s_Irr!AH8=".",s_Irr!BF8&lt;&gt;"."),s_dir!K8/((1/1000)*(s_Irr!J8+s_Irr!BF8)),IF(AND(s_Irr!J8=".",s_Irr!AH8&lt;&gt;".",s_Irr!BF8&lt;&gt;"."),s_dir!K8/((1/1000)*(s_Irr!AH8+s_Irr!BF8)),IF(AND(s_Irr!J8=".",s_Irr!AH8=".",s_Irr!BF8&lt;&gt;"."),s_dir!K8/((1/1000)*(s_Irr!BF8)),IF(AND(s_Irr!J8=".",s_Irr!AH8&lt;&gt;".",s_Irr!BF8="."),s_dir!K8/((1/1000)*(s_Irr!AH8)),IF(AND(s_Irr!J8&lt;&gt;".",s_Irr!AH8=".",s_Irr!BF8="."),s_dir!K8/((1/1000)*(s_Irr!J8)),IF(AND(s_Irr!J8=".",s_Irr!AH8=".",s_Irr!BF8="."),s_dir!K8*1000)))))))),".")</f>
        <v>105610.33922783667</v>
      </c>
      <c r="L8" s="48">
        <f>IFERROR(IF(AND(s_Irr!K8&lt;&gt;".",s_Irr!AI8&lt;&gt;".",s_Irr!BG8&lt;&gt;"."),s_dir!L8/((1/1000)*(s_Irr!K8+s_Irr!AI8+s_Irr!BG8)),IF(AND(s_Irr!K8&lt;&gt;".",s_Irr!AI8&lt;&gt;".",s_Irr!BG8="."),s_dir!L8/((1/1000)*(s_Irr!K8+s_Irr!AI8)),IF(AND(s_Irr!K8&lt;&gt;".",s_Irr!AI8=".",s_Irr!BG8&lt;&gt;"."),s_dir!L8/((1/1000)*(s_Irr!K8+s_Irr!BG8)),IF(AND(s_Irr!K8=".",s_Irr!AI8&lt;&gt;".",s_Irr!BG8&lt;&gt;"."),s_dir!L8/((1/1000)*(s_Irr!AI8+s_Irr!BG8)),IF(AND(s_Irr!K8=".",s_Irr!AI8=".",s_Irr!BG8&lt;&gt;"."),s_dir!L8/((1/1000)*(s_Irr!BG8)),IF(AND(s_Irr!K8=".",s_Irr!AI8&lt;&gt;".",s_Irr!BG8="."),s_dir!L8/((1/1000)*(s_Irr!AI8)),IF(AND(s_Irr!K8&lt;&gt;".",s_Irr!AI8=".",s_Irr!BG8="."),s_dir!L8/((1/1000)*(s_Irr!K8)),IF(AND(s_Irr!K8=".",s_Irr!AI8=".",s_Irr!BG8="."),s_dir!L8*1000)))))))),".")</f>
        <v>105610.33922783667</v>
      </c>
      <c r="M8" s="48">
        <f>IFERROR(IF(AND(s_Irr!L8&lt;&gt;".",s_Irr!AJ8&lt;&gt;".",s_Irr!BH8&lt;&gt;"."),s_dir!M8/((1/1000)*(s_Irr!L8+s_Irr!AJ8+s_Irr!BH8)),IF(AND(s_Irr!L8&lt;&gt;".",s_Irr!AJ8&lt;&gt;".",s_Irr!BH8="."),s_dir!M8/((1/1000)*(s_Irr!L8+s_Irr!AJ8)),IF(AND(s_Irr!L8&lt;&gt;".",s_Irr!AJ8=".",s_Irr!BH8&lt;&gt;"."),s_dir!M8/((1/1000)*(s_Irr!L8+s_Irr!BH8)),IF(AND(s_Irr!L8=".",s_Irr!AJ8&lt;&gt;".",s_Irr!BH8&lt;&gt;"."),s_dir!M8/((1/1000)*(s_Irr!AJ8+s_Irr!BH8)),IF(AND(s_Irr!L8=".",s_Irr!AJ8=".",s_Irr!BH8&lt;&gt;"."),s_dir!M8/((1/1000)*(s_Irr!BH8)),IF(AND(s_Irr!L8=".",s_Irr!AJ8&lt;&gt;".",s_Irr!BH8="."),s_dir!M8/((1/1000)*(s_Irr!AJ8)),IF(AND(s_Irr!L8&lt;&gt;".",s_Irr!AJ8=".",s_Irr!BH8="."),s_dir!M8/((1/1000)*(s_Irr!L8)),IF(AND(s_Irr!L8=".",s_Irr!AJ8=".",s_Irr!BH8="."),s_dir!M8*1000)))))))),".")</f>
        <v>105610.33922783667</v>
      </c>
      <c r="N8" s="48">
        <f>IFERROR(IF(AND(s_Irr!M8&lt;&gt;".",s_Irr!AK8&lt;&gt;".",s_Irr!BI8&lt;&gt;"."),s_dir!N8/((1/1000)*(s_Irr!M8+s_Irr!AK8+s_Irr!BI8)),IF(AND(s_Irr!M8&lt;&gt;".",s_Irr!AK8&lt;&gt;".",s_Irr!BI8="."),s_dir!N8/((1/1000)*(s_Irr!M8+s_Irr!AK8)),IF(AND(s_Irr!M8&lt;&gt;".",s_Irr!AK8=".",s_Irr!BI8&lt;&gt;"."),s_dir!N8/((1/1000)*(s_Irr!M8+s_Irr!BI8)),IF(AND(s_Irr!M8=".",s_Irr!AK8&lt;&gt;".",s_Irr!BI8&lt;&gt;"."),s_dir!N8/((1/1000)*(s_Irr!AK8+s_Irr!BI8)),IF(AND(s_Irr!M8=".",s_Irr!AK8=".",s_Irr!BI8&lt;&gt;"."),s_dir!N8/((1/1000)*(s_Irr!BI8)),IF(AND(s_Irr!M8=".",s_Irr!AK8&lt;&gt;".",s_Irr!BI8="."),s_dir!N8/((1/1000)*(s_Irr!AK8)),IF(AND(s_Irr!M8&lt;&gt;".",s_Irr!AK8=".",s_Irr!BI8="."),s_dir!N8/((1/1000)*(s_Irr!M8)),IF(AND(s_Irr!M8=".",s_Irr!AK8=".",s_Irr!BI8="."),s_dir!N8*1000)))))))),".")</f>
        <v>105610.33922783667</v>
      </c>
      <c r="O8" s="48">
        <f>IFERROR(IF(AND(s_Irr!N8&lt;&gt;".",s_Irr!AL8&lt;&gt;".",s_Irr!BJ8&lt;&gt;"."),s_dir!O8/((1/1000)*(s_Irr!N8+s_Irr!AL8+s_Irr!BJ8)),IF(AND(s_Irr!N8&lt;&gt;".",s_Irr!AL8&lt;&gt;".",s_Irr!BJ8="."),s_dir!O8/((1/1000)*(s_Irr!N8+s_Irr!AL8)),IF(AND(s_Irr!N8&lt;&gt;".",s_Irr!AL8=".",s_Irr!BJ8&lt;&gt;"."),s_dir!O8/((1/1000)*(s_Irr!N8+s_Irr!BJ8)),IF(AND(s_Irr!N8=".",s_Irr!AL8&lt;&gt;".",s_Irr!BJ8&lt;&gt;"."),s_dir!O8/((1/1000)*(s_Irr!AL8+s_Irr!BJ8)),IF(AND(s_Irr!N8=".",s_Irr!AL8=".",s_Irr!BJ8&lt;&gt;"."),s_dir!O8/((1/1000)*(s_Irr!BJ8)),IF(AND(s_Irr!N8=".",s_Irr!AL8&lt;&gt;".",s_Irr!BJ8="."),s_dir!O8/((1/1000)*(s_Irr!AL8)),IF(AND(s_Irr!N8&lt;&gt;".",s_Irr!AL8=".",s_Irr!BJ8="."),s_dir!O8/((1/1000)*(s_Irr!N8)),IF(AND(s_Irr!N8=".",s_Irr!AL8=".",s_Irr!BJ8="."),s_dir!O8*1000)))))))),".")</f>
        <v>105610.33922783667</v>
      </c>
      <c r="P8" s="48">
        <f>IFERROR(IF(AND(s_Irr!O8&lt;&gt;".",s_Irr!AM8&lt;&gt;".",s_Irr!BK8&lt;&gt;"."),s_dir!P8/((1/1000)*(s_Irr!O8+s_Irr!AM8+s_Irr!BK8)),IF(AND(s_Irr!O8&lt;&gt;".",s_Irr!AM8&lt;&gt;".",s_Irr!BK8="."),s_dir!P8/((1/1000)*(s_Irr!O8+s_Irr!AM8)),IF(AND(s_Irr!O8&lt;&gt;".",s_Irr!AM8=".",s_Irr!BK8&lt;&gt;"."),s_dir!P8/((1/1000)*(s_Irr!O8+s_Irr!BK8)),IF(AND(s_Irr!O8=".",s_Irr!AM8&lt;&gt;".",s_Irr!BK8&lt;&gt;"."),s_dir!P8/((1/1000)*(s_Irr!AM8+s_Irr!BK8)),IF(AND(s_Irr!O8=".",s_Irr!AM8=".",s_Irr!BK8&lt;&gt;"."),s_dir!P8/((1/1000)*(s_Irr!BK8)),IF(AND(s_Irr!O8=".",s_Irr!AM8&lt;&gt;".",s_Irr!BK8="."),s_dir!P8/((1/1000)*(s_Irr!AM8)),IF(AND(s_Irr!O8&lt;&gt;".",s_Irr!AM8=".",s_Irr!BK8="."),s_dir!P8/((1/1000)*(s_Irr!O8)),IF(AND(s_Irr!O8=".",s_Irr!AM8=".",s_Irr!BK8="."),s_dir!P8*1000)))))))),".")</f>
        <v>105610.33922783667</v>
      </c>
      <c r="Q8" s="48">
        <f>IFERROR(IF(AND(s_Irr!P8&lt;&gt;".",s_Irr!AN8&lt;&gt;".",s_Irr!BL8&lt;&gt;"."),s_dir!Q8/((1/1000)*(s_Irr!P8+s_Irr!AN8+s_Irr!BL8)),IF(AND(s_Irr!P8&lt;&gt;".",s_Irr!AN8&lt;&gt;".",s_Irr!BL8="."),s_dir!Q8/((1/1000)*(s_Irr!P8+s_Irr!AN8)),IF(AND(s_Irr!P8&lt;&gt;".",s_Irr!AN8=".",s_Irr!BL8&lt;&gt;"."),s_dir!Q8/((1/1000)*(s_Irr!P8+s_Irr!BL8)),IF(AND(s_Irr!P8=".",s_Irr!AN8&lt;&gt;".",s_Irr!BL8&lt;&gt;"."),s_dir!Q8/((1/1000)*(s_Irr!AN8+s_Irr!BL8)),IF(AND(s_Irr!P8=".",s_Irr!AN8=".",s_Irr!BL8&lt;&gt;"."),s_dir!Q8/((1/1000)*(s_Irr!BL8)),IF(AND(s_Irr!P8=".",s_Irr!AN8&lt;&gt;".",s_Irr!BL8="."),s_dir!Q8/((1/1000)*(s_Irr!AN8)),IF(AND(s_Irr!P8&lt;&gt;".",s_Irr!AN8=".",s_Irr!BL8="."),s_dir!Q8/((1/1000)*(s_Irr!P8)),IF(AND(s_Irr!P8=".",s_Irr!AN8=".",s_Irr!BL8="."),s_dir!Q8*1000)))))))),".")</f>
        <v>105610.33922783667</v>
      </c>
      <c r="R8" s="48">
        <f>IFERROR(IF(AND(s_Irr!Q8&lt;&gt;".",s_Irr!AO8&lt;&gt;".",s_Irr!BM8&lt;&gt;"."),s_dir!R8/((1/1000)*(s_Irr!Q8+s_Irr!AO8+s_Irr!BM8)),IF(AND(s_Irr!Q8&lt;&gt;".",s_Irr!AO8&lt;&gt;".",s_Irr!BM8="."),s_dir!R8/((1/1000)*(s_Irr!Q8+s_Irr!AO8)),IF(AND(s_Irr!Q8&lt;&gt;".",s_Irr!AO8=".",s_Irr!BM8&lt;&gt;"."),s_dir!R8/((1/1000)*(s_Irr!Q8+s_Irr!BM8)),IF(AND(s_Irr!Q8=".",s_Irr!AO8&lt;&gt;".",s_Irr!BM8&lt;&gt;"."),s_dir!R8/((1/1000)*(s_Irr!AO8+s_Irr!BM8)),IF(AND(s_Irr!Q8=".",s_Irr!AO8=".",s_Irr!BM8&lt;&gt;"."),s_dir!R8/((1/1000)*(s_Irr!BM8)),IF(AND(s_Irr!Q8=".",s_Irr!AO8&lt;&gt;".",s_Irr!BM8="."),s_dir!R8/((1/1000)*(s_Irr!AO8)),IF(AND(s_Irr!Q8&lt;&gt;".",s_Irr!AO8=".",s_Irr!BM8="."),s_dir!R8/((1/1000)*(s_Irr!Q8)),IF(AND(s_Irr!Q8=".",s_Irr!AO8=".",s_Irr!BM8="."),s_dir!R8*1000)))))))),".")</f>
        <v>105610.33922783667</v>
      </c>
      <c r="S8" s="48">
        <f>IFERROR(IF(AND(s_Irr!R8&lt;&gt;".",s_Irr!AP8&lt;&gt;".",s_Irr!BN8&lt;&gt;"."),s_dir!S8/((1/1000)*(s_Irr!R8+s_Irr!AP8+s_Irr!BN8)),IF(AND(s_Irr!R8&lt;&gt;".",s_Irr!AP8&lt;&gt;".",s_Irr!BN8="."),s_dir!S8/((1/1000)*(s_Irr!R8+s_Irr!AP8)),IF(AND(s_Irr!R8&lt;&gt;".",s_Irr!AP8=".",s_Irr!BN8&lt;&gt;"."),s_dir!S8/((1/1000)*(s_Irr!R8+s_Irr!BN8)),IF(AND(s_Irr!R8=".",s_Irr!AP8&lt;&gt;".",s_Irr!BN8&lt;&gt;"."),s_dir!S8/((1/1000)*(s_Irr!AP8+s_Irr!BN8)),IF(AND(s_Irr!R8=".",s_Irr!AP8=".",s_Irr!BN8&lt;&gt;"."),s_dir!S8/((1/1000)*(s_Irr!BN8)),IF(AND(s_Irr!R8=".",s_Irr!AP8&lt;&gt;".",s_Irr!BN8="."),s_dir!S8/((1/1000)*(s_Irr!AP8)),IF(AND(s_Irr!R8&lt;&gt;".",s_Irr!AP8=".",s_Irr!BN8="."),s_dir!S8/((1/1000)*(s_Irr!R8)),IF(AND(s_Irr!R8=".",s_Irr!AP8=".",s_Irr!BN8="."),s_dir!S8*1000)))))))),".")</f>
        <v>105610.33922783667</v>
      </c>
      <c r="T8" s="48">
        <f>IFERROR(IF(AND(s_Irr!S8&lt;&gt;".",s_Irr!AQ8&lt;&gt;".",s_Irr!BO8&lt;&gt;"."),s_dir!T8/((1/1000)*(s_Irr!S8+s_Irr!AQ8+s_Irr!BO8)),IF(AND(s_Irr!S8&lt;&gt;".",s_Irr!AQ8&lt;&gt;".",s_Irr!BO8="."),s_dir!T8/((1/1000)*(s_Irr!S8+s_Irr!AQ8)),IF(AND(s_Irr!S8&lt;&gt;".",s_Irr!AQ8=".",s_Irr!BO8&lt;&gt;"."),s_dir!T8/((1/1000)*(s_Irr!S8+s_Irr!BO8)),IF(AND(s_Irr!S8=".",s_Irr!AQ8&lt;&gt;".",s_Irr!BO8&lt;&gt;"."),s_dir!T8/((1/1000)*(s_Irr!AQ8+s_Irr!BO8)),IF(AND(s_Irr!S8=".",s_Irr!AQ8=".",s_Irr!BO8&lt;&gt;"."),s_dir!T8/((1/1000)*(s_Irr!BO8)),IF(AND(s_Irr!S8=".",s_Irr!AQ8&lt;&gt;".",s_Irr!BO8="."),s_dir!T8/((1/1000)*(s_Irr!AQ8)),IF(AND(s_Irr!S8&lt;&gt;".",s_Irr!AQ8=".",s_Irr!BO8="."),s_dir!T8/((1/1000)*(s_Irr!S8)),IF(AND(s_Irr!S8=".",s_Irr!AQ8=".",s_Irr!BO8="."),s_dir!T8*1000)))))))),".")</f>
        <v>105610.33922783667</v>
      </c>
      <c r="U8" s="48">
        <f>IFERROR(IF(AND(s_Irr!T8&lt;&gt;".",s_Irr!AR8&lt;&gt;".",s_Irr!BP8&lt;&gt;"."),s_dir!U8/((1/1000)*(s_Irr!T8+s_Irr!AR8+s_Irr!BP8)),IF(AND(s_Irr!T8&lt;&gt;".",s_Irr!AR8&lt;&gt;".",s_Irr!BP8="."),s_dir!U8/((1/1000)*(s_Irr!T8+s_Irr!AR8)),IF(AND(s_Irr!T8&lt;&gt;".",s_Irr!AR8=".",s_Irr!BP8&lt;&gt;"."),s_dir!U8/((1/1000)*(s_Irr!T8+s_Irr!BP8)),IF(AND(s_Irr!T8=".",s_Irr!AR8&lt;&gt;".",s_Irr!BP8&lt;&gt;"."),s_dir!U8/((1/1000)*(s_Irr!AR8+s_Irr!BP8)),IF(AND(s_Irr!T8=".",s_Irr!AR8=".",s_Irr!BP8&lt;&gt;"."),s_dir!U8/((1/1000)*(s_Irr!BP8)),IF(AND(s_Irr!T8=".",s_Irr!AR8&lt;&gt;".",s_Irr!BP8="."),s_dir!U8/((1/1000)*(s_Irr!AR8)),IF(AND(s_Irr!T8&lt;&gt;".",s_Irr!AR8=".",s_Irr!BP8="."),s_dir!U8/((1/1000)*(s_Irr!T8)),IF(AND(s_Irr!T8=".",s_Irr!AR8=".",s_Irr!BP8="."),s_dir!U8*1000)))))))),".")</f>
        <v>105610.33922783667</v>
      </c>
      <c r="V8" s="48">
        <f>IFERROR(IF(AND(s_Irr!U8&lt;&gt;".",s_Irr!AS8&lt;&gt;".",s_Irr!BQ8&lt;&gt;"."),s_dir!V8/((1/1000)*(s_Irr!U8+s_Irr!AS8+s_Irr!BQ8)),IF(AND(s_Irr!U8&lt;&gt;".",s_Irr!AS8&lt;&gt;".",s_Irr!BQ8="."),s_dir!V8/((1/1000)*(s_Irr!U8+s_Irr!AS8)),IF(AND(s_Irr!U8&lt;&gt;".",s_Irr!AS8=".",s_Irr!BQ8&lt;&gt;"."),s_dir!V8/((1/1000)*(s_Irr!U8+s_Irr!BQ8)),IF(AND(s_Irr!U8=".",s_Irr!AS8&lt;&gt;".",s_Irr!BQ8&lt;&gt;"."),s_dir!V8/((1/1000)*(s_Irr!AS8+s_Irr!BQ8)),IF(AND(s_Irr!U8=".",s_Irr!AS8=".",s_Irr!BQ8&lt;&gt;"."),s_dir!V8/((1/1000)*(s_Irr!BQ8)),IF(AND(s_Irr!U8=".",s_Irr!AS8&lt;&gt;".",s_Irr!BQ8="."),s_dir!V8/((1/1000)*(s_Irr!AS8)),IF(AND(s_Irr!U8&lt;&gt;".",s_Irr!AS8=".",s_Irr!BQ8="."),s_dir!V8/((1/1000)*(s_Irr!U8)),IF(AND(s_Irr!U8=".",s_Irr!AS8=".",s_Irr!BQ8="."),s_dir!V8*1000)))))))),".")</f>
        <v>105610.33922783667</v>
      </c>
      <c r="W8" s="48">
        <f>IFERROR(IF(AND(s_Irr!V8&lt;&gt;".",s_Irr!AT8&lt;&gt;".",s_Irr!BR8&lt;&gt;"."),s_dir!W8/((1/1000)*(s_Irr!V8+s_Irr!AT8+s_Irr!BR8)),IF(AND(s_Irr!V8&lt;&gt;".",s_Irr!AT8&lt;&gt;".",s_Irr!BR8="."),s_dir!W8/((1/1000)*(s_Irr!V8+s_Irr!AT8)),IF(AND(s_Irr!V8&lt;&gt;".",s_Irr!AT8=".",s_Irr!BR8&lt;&gt;"."),s_dir!W8/((1/1000)*(s_Irr!V8+s_Irr!BR8)),IF(AND(s_Irr!V8=".",s_Irr!AT8&lt;&gt;".",s_Irr!BR8&lt;&gt;"."),s_dir!W8/((1/1000)*(s_Irr!AT8+s_Irr!BR8)),IF(AND(s_Irr!V8=".",s_Irr!AT8=".",s_Irr!BR8&lt;&gt;"."),s_dir!W8/((1/1000)*(s_Irr!BR8)),IF(AND(s_Irr!V8=".",s_Irr!AT8&lt;&gt;".",s_Irr!BR8="."),s_dir!W8/((1/1000)*(s_Irr!AT8)),IF(AND(s_Irr!V8&lt;&gt;".",s_Irr!AT8=".",s_Irr!BR8="."),s_dir!W8/((1/1000)*(s_Irr!V8)),IF(AND(s_Irr!V8=".",s_Irr!AT8=".",s_Irr!BR8="."),s_dir!W8*1000)))))))),".")</f>
        <v>105610.33922783667</v>
      </c>
      <c r="X8" s="48">
        <f>IFERROR(IF(AND(s_Irr!W8&lt;&gt;".",s_Irr!AU8&lt;&gt;".",s_Irr!BS8&lt;&gt;"."),s_dir!X8/((1/1000)*(s_Irr!W8+s_Irr!AU8+s_Irr!BS8)),IF(AND(s_Irr!W8&lt;&gt;".",s_Irr!AU8&lt;&gt;".",s_Irr!BS8="."),s_dir!X8/((1/1000)*(s_Irr!W8+s_Irr!AU8)),IF(AND(s_Irr!W8&lt;&gt;".",s_Irr!AU8=".",s_Irr!BS8&lt;&gt;"."),s_dir!X8/((1/1000)*(s_Irr!W8+s_Irr!BS8)),IF(AND(s_Irr!W8=".",s_Irr!AU8&lt;&gt;".",s_Irr!BS8&lt;&gt;"."),s_dir!X8/((1/1000)*(s_Irr!AU8+s_Irr!BS8)),IF(AND(s_Irr!W8=".",s_Irr!AU8=".",s_Irr!BS8&lt;&gt;"."),s_dir!X8/((1/1000)*(s_Irr!BS8)),IF(AND(s_Irr!W8=".",s_Irr!AU8&lt;&gt;".",s_Irr!BS8="."),s_dir!X8/((1/1000)*(s_Irr!AU8)),IF(AND(s_Irr!W8&lt;&gt;".",s_Irr!AU8=".",s_Irr!BS8="."),s_dir!X8/((1/1000)*(s_Irr!W8)),IF(AND(s_Irr!W8=".",s_Irr!AU8=".",s_Irr!BS8="."),s_dir!X8*1000)))))))),".")</f>
        <v>105610.33922783667</v>
      </c>
      <c r="Y8" s="48">
        <f>IFERROR(IF(AND(s_Irr!X8&lt;&gt;".",s_Irr!AV8&lt;&gt;".",s_Irr!BT8&lt;&gt;"."),s_dir!Y8/((1/1000)*(s_Irr!X8+s_Irr!AV8+s_Irr!BT8)),IF(AND(s_Irr!X8&lt;&gt;".",s_Irr!AV8&lt;&gt;".",s_Irr!BT8="."),s_dir!Y8/((1/1000)*(s_Irr!X8+s_Irr!AV8)),IF(AND(s_Irr!X8&lt;&gt;".",s_Irr!AV8=".",s_Irr!BT8&lt;&gt;"."),s_dir!Y8/((1/1000)*(s_Irr!X8+s_Irr!BT8)),IF(AND(s_Irr!X8=".",s_Irr!AV8&lt;&gt;".",s_Irr!BT8&lt;&gt;"."),s_dir!Y8/((1/1000)*(s_Irr!AV8+s_Irr!BT8)),IF(AND(s_Irr!X8=".",s_Irr!AV8=".",s_Irr!BT8&lt;&gt;"."),s_dir!Y8/((1/1000)*(s_Irr!BT8)),IF(AND(s_Irr!X8=".",s_Irr!AV8&lt;&gt;".",s_Irr!BT8="."),s_dir!Y8/((1/1000)*(s_Irr!AV8)),IF(AND(s_Irr!X8&lt;&gt;".",s_Irr!AV8=".",s_Irr!BT8="."),s_dir!Y8/((1/1000)*(s_Irr!X8)),IF(AND(s_Irr!X8=".",s_Irr!AV8=".",s_Irr!BT8="."),s_dir!Y8*1000)))))))),".")</f>
        <v>105610.33922783667</v>
      </c>
      <c r="Z8" s="48">
        <f>IFERROR(IF(AND(s_Irr!Y8&lt;&gt;".",s_Irr!AW8&lt;&gt;".",s_Irr!BU8&lt;&gt;"."),s_dir!Z8/((1/1000)*(s_Irr!Y8+s_Irr!AW8+s_Irr!BU8)),IF(AND(s_Irr!Y8&lt;&gt;".",s_Irr!AW8&lt;&gt;".",s_Irr!BU8="."),s_dir!Z8/((1/1000)*(s_Irr!Y8+s_Irr!AW8)),IF(AND(s_Irr!Y8&lt;&gt;".",s_Irr!AW8=".",s_Irr!BU8&lt;&gt;"."),s_dir!Z8/((1/1000)*(s_Irr!Y8+s_Irr!BU8)),IF(AND(s_Irr!Y8=".",s_Irr!AW8&lt;&gt;".",s_Irr!BU8&lt;&gt;"."),s_dir!Z8/((1/1000)*(s_Irr!AW8+s_Irr!BU8)),IF(AND(s_Irr!Y8=".",s_Irr!AW8=".",s_Irr!BU8&lt;&gt;"."),s_dir!Z8/((1/1000)*(s_Irr!BU8)),IF(AND(s_Irr!Y8=".",s_Irr!AW8&lt;&gt;".",s_Irr!BU8="."),s_dir!Z8/((1/1000)*(s_Irr!AW8)),IF(AND(s_Irr!Y8&lt;&gt;".",s_Irr!AW8=".",s_Irr!BU8="."),s_dir!Z8/((1/1000)*(s_Irr!Y8)),IF(AND(s_Irr!Y8=".",s_Irr!AW8=".",s_Irr!BU8="."),s_dir!Z8*1000)))))))),".")</f>
        <v>105610.33922783667</v>
      </c>
      <c r="AA8" s="48">
        <f>IFERROR(IF(AND(s_Irr!Z8&lt;&gt;".",s_Irr!AX8&lt;&gt;".",s_Irr!BV8&lt;&gt;"."),s_dir!AA8/((1/1000)*(s_Irr!Z8+s_Irr!AX8+s_Irr!BV8)),IF(AND(s_Irr!Z8&lt;&gt;".",s_Irr!AX8&lt;&gt;".",s_Irr!BV8="."),s_dir!AA8/((1/1000)*(s_Irr!Z8+s_Irr!AX8)),IF(AND(s_Irr!Z8&lt;&gt;".",s_Irr!AX8=".",s_Irr!BV8&lt;&gt;"."),s_dir!AA8/((1/1000)*(s_Irr!Z8+s_Irr!BV8)),IF(AND(s_Irr!Z8=".",s_Irr!AX8&lt;&gt;".",s_Irr!BV8&lt;&gt;"."),s_dir!AA8/((1/1000)*(s_Irr!AX8+s_Irr!BV8)),IF(AND(s_Irr!Z8=".",s_Irr!AX8=".",s_Irr!BV8&lt;&gt;"."),s_dir!AA8/((1/1000)*(s_Irr!BV8)),IF(AND(s_Irr!Z8=".",s_Irr!AX8&lt;&gt;".",s_Irr!BV8="."),s_dir!AA8/((1/1000)*(s_Irr!AX8)),IF(AND(s_Irr!Z8&lt;&gt;".",s_Irr!AX8=".",s_Irr!BV8="."),s_dir!AA8/((1/1000)*(s_Irr!Z8)),IF(AND(s_Irr!Z8=".",s_Irr!AX8=".",s_Irr!BV8="."),s_dir!AA8*1000)))))))),".")</f>
        <v>105610.33922783667</v>
      </c>
      <c r="AB8" s="62">
        <f t="shared" si="3"/>
        <v>716.17359988017915</v>
      </c>
      <c r="AC8" s="62">
        <f>IFERROR(s_C*s_IFAP_res_adj*s_CF_apple*0.001*(s_Irr!C8+s_Irr!AA8+s_Irr!AY8),".")</f>
        <v>238.72453329339305</v>
      </c>
      <c r="AD8" s="62">
        <f>IFERROR(s_C*s_IFAS_res_adj*s_CF_asparagus*0.001*(s_Irr!D8+s_Irr!AB8+s_Irr!AZ8),".")</f>
        <v>238.72453329339305</v>
      </c>
      <c r="AE8" s="62">
        <f>IFERROR(s_C*s_IFBT_res_adj*s_CF_beet*0.001*(s_Irr!E8+s_Irr!AC8+s_Irr!BA8),".")</f>
        <v>238.72453329339305</v>
      </c>
      <c r="AF8" s="62">
        <f>IFERROR(s_C*s_IFBE_res_adj*s_CF_berries*0.001*(s_Irr!F8+s_Irr!AD8+s_Irr!BB8),".")</f>
        <v>238.72453329339305</v>
      </c>
      <c r="AG8" s="62">
        <f>IFERROR(s_C*s_IFBR_res_adj*s_CF_broccoli*0.001*(s_Irr!G8+s_Irr!AE8+s_Irr!BC8),".")</f>
        <v>238.72453329339305</v>
      </c>
      <c r="AH8" s="62">
        <f>IFERROR(s_C*s_IFCB_res_adj*s_CF_cabbage*0.001*(s_Irr!H8+s_Irr!AF8+s_Irr!BD8),".")</f>
        <v>238.72453329339305</v>
      </c>
      <c r="AI8" s="62">
        <f>IFERROR(s_C*s_IFCR_res_adj*s_CF_carrot*0.001*(s_Irr!I8+s_Irr!AG8+s_Irr!BE8),".")</f>
        <v>238.72453329339305</v>
      </c>
      <c r="AJ8" s="62">
        <f>IFERROR(s_C*s_IFCI_res_adj*s_CF_citrus*0.001*(s_Irr!J8+s_Irr!AH8+s_Irr!BF8),".")</f>
        <v>238.72453329339305</v>
      </c>
      <c r="AK8" s="62">
        <f>IFERROR(s_C*s_IFCO_res_adj*s_CF_corn*0.001*(s_Irr!K8+s_Irr!AI8+s_Irr!BG8),".")</f>
        <v>238.72453329339305</v>
      </c>
      <c r="AL8" s="62">
        <f>IFERROR(s_C*s_IFCU_res_adj*s_CF_cucumber*0.001*(s_Irr!L8+s_Irr!AJ8+s_Irr!BH8),".")</f>
        <v>238.72453329339305</v>
      </c>
      <c r="AM8" s="62">
        <f>IFERROR(s_C*s_IFLE_res_adj*s_CF_lettuce*0.001*(s_Irr!M8+s_Irr!AK8+s_Irr!BI8),".")</f>
        <v>238.72453329339305</v>
      </c>
      <c r="AN8" s="62">
        <f>IFERROR(s_C*s_IFLI_res_adj*s_CF_lima_bean*0.001*(s_Irr!N8+s_Irr!AL8+s_Irr!BJ8),".")</f>
        <v>238.72453329339305</v>
      </c>
      <c r="AO8" s="62">
        <f>IFERROR(s_C*s_IFOK_res_adj*s_CF_okra*0.001*(s_Irr!O8+s_Irr!AM8+s_Irr!BK8),".")</f>
        <v>238.72453329339305</v>
      </c>
      <c r="AP8" s="62">
        <f>IFERROR(s_C*s_IFON_res_adj*s_CF_onion*0.001*(s_Irr!P8+s_Irr!AN8+s_Irr!BL8),".")</f>
        <v>238.72453329339305</v>
      </c>
      <c r="AQ8" s="62">
        <f>IFERROR(s_C*s_IFPC_res_adj*s_CF_peach*0.001*(s_Irr!Q8+s_Irr!AO8+s_Irr!BM8),".")</f>
        <v>238.72453329339305</v>
      </c>
      <c r="AR8" s="62">
        <f>IFERROR(s_C*s_IFPR_res_adj*s_CF_pear*0.001*(s_Irr!R8+s_Irr!AP8+s_Irr!BN8),".")</f>
        <v>238.72453329339305</v>
      </c>
      <c r="AS8" s="62">
        <f>IFERROR(s_C*s_IFPE_res_adj*s_CF_peas*0.001*(s_Irr!S8+s_Irr!AQ8+s_Irr!BO8),".")</f>
        <v>238.72453329339305</v>
      </c>
      <c r="AT8" s="62">
        <f>IFERROR(s_C*s_IFPT_res_adj*s_CF_potato*0.001*(s_Irr!T8+s_Irr!AR8+s_Irr!BP8),".")</f>
        <v>238.72453329339305</v>
      </c>
      <c r="AU8" s="62">
        <f>IFERROR(s_C*s_IFPU_res_adj*s_CF_pumpkin*0.001*(s_Irr!U8+s_Irr!AS8+s_Irr!BQ8),".")</f>
        <v>238.72453329339305</v>
      </c>
      <c r="AV8" s="62">
        <f>IFERROR(s_C*s_IFSN_res_adj*s_CF_snap_bean*0.001*(s_Irr!V8+s_Irr!AT8+s_Irr!BR8),".")</f>
        <v>238.72453329339305</v>
      </c>
      <c r="AW8" s="62">
        <f>IFERROR(s_C*s_IFST_res_adj*s_CF_strawberry*0.001*(s_Irr!W8+s_Irr!AU8+s_Irr!BS8),".")</f>
        <v>238.72453329339305</v>
      </c>
      <c r="AX8" s="62">
        <f>IFERROR(s_C*s_IFTO_res_adj*s_CF_tomato*0.001*(s_Irr!X8+s_Irr!AV8+s_Irr!BT8),".")</f>
        <v>238.72453329339305</v>
      </c>
      <c r="AY8" s="62">
        <f>IFERROR(s_C*s_IFRI_res_adj*s_CF_rice*0.001*(s_Irr!Y8+s_Irr!AW8+s_Irr!BU8),".")</f>
        <v>238.72453329339305</v>
      </c>
      <c r="AZ8" s="62">
        <f>IFERROR(s_C*s_IFCG_res_adj*s_CF_cereal*0.001*(s_Irr!Z8+s_Irr!AX8+s_Irr!BV8),".")</f>
        <v>238.72453329339305</v>
      </c>
      <c r="BA8" s="48">
        <f t="shared" si="0"/>
        <v>35203.446409278891</v>
      </c>
      <c r="BB8" s="48">
        <f>IFERROR(IF(AND(s_Irr!C8&lt;&gt;".",s_Irr!AA8&lt;&gt;".",s_Irr!AY8&lt;&gt;"."),s_dir!AC8/((1/1000)*(s_Irr!C8+s_Irr!AA8+s_Irr!AY8)),IF(AND(s_Irr!C8&lt;&gt;".",s_Irr!AA8&lt;&gt;".",s_Irr!AY8="."),s_dir!AC8/((1/1000)*(s_Irr!C8+s_Irr!AA8)),IF(AND(s_Irr!C8&lt;&gt;".",s_Irr!AA8=".",s_Irr!AY8&lt;&gt;"."),s_dir!AC8/((1/1000)*(s_Irr!C8+s_Irr!AY8)),IF(AND(s_Irr!C8=".",s_Irr!AA8&lt;&gt;".",s_Irr!AY8&lt;&gt;"."),s_dir!AC8/((1/1000)*(s_Irr!AA8+s_Irr!AY8)),IF(AND(s_Irr!C8=".",s_Irr!AA8=".",s_Irr!AY8&lt;&gt;"."),s_dir!AC8/((1/1000)*(s_Irr!AY8)),IF(AND(s_Irr!C8=".",s_Irr!AA8&lt;&gt;".",s_Irr!AY8="."),s_dir!AC8/((1/1000)*(s_Irr!AA8)),IF(AND(s_Irr!C8&lt;&gt;".",s_Irr!AA8=".",s_Irr!AY8="."),s_dir!AC8/((1/1000)*(s_Irr!C8)),IF(AND(s_Irr!C8=".",s_Irr!AA8=".",s_Irr!AY8="."),s_dir!AC8*1000)))))))),".")</f>
        <v>105610.33922783667</v>
      </c>
      <c r="BC8" s="48">
        <f>IFERROR(IF(AND(s_Irr!D8&lt;&gt;".",s_Irr!AB8&lt;&gt;".",s_Irr!AZ8&lt;&gt;"."),s_dir!AD8/((1/1000)*(s_Irr!D8+s_Irr!AB8+s_Irr!AZ8)),IF(AND(s_Irr!D8&lt;&gt;".",s_Irr!AB8&lt;&gt;".",s_Irr!AZ8="."),s_dir!AD8/((1/1000)*(s_Irr!D8+s_Irr!AB8)),IF(AND(s_Irr!D8&lt;&gt;".",s_Irr!AB8=".",s_Irr!AZ8&lt;&gt;"."),s_dir!AD8/((1/1000)*(s_Irr!D8+s_Irr!AZ8)),IF(AND(s_Irr!D8=".",s_Irr!AB8&lt;&gt;".",s_Irr!AZ8&lt;&gt;"."),s_dir!AD8/((1/1000)*(s_Irr!AB8+s_Irr!AZ8)),IF(AND(s_Irr!D8=".",s_Irr!AB8=".",s_Irr!AZ8&lt;&gt;"."),s_dir!AD8/((1/1000)*(s_Irr!AZ8)),IF(AND(s_Irr!D8=".",s_Irr!AB8&lt;&gt;".",s_Irr!AZ8="."),s_dir!AD8/((1/1000)*(s_Irr!AB8)),IF(AND(s_Irr!D8&lt;&gt;".",s_Irr!AB8=".",s_Irr!AZ8="."),s_dir!AD8/((1/1000)*(s_Irr!D8)),IF(AND(s_Irr!D8=".",s_Irr!AB8=".",s_Irr!AZ8="."),s_dir!AD8*1000)))))))),".")</f>
        <v>105610.33922783667</v>
      </c>
      <c r="BD8" s="48">
        <f>IFERROR(IF(AND(s_Irr!E8&lt;&gt;".",s_Irr!AC8&lt;&gt;".",s_Irr!BA8&lt;&gt;"."),s_dir!AE8/((1/1000)*(s_Irr!E8+s_Irr!AC8+s_Irr!BA8)),IF(AND(s_Irr!E8&lt;&gt;".",s_Irr!AC8&lt;&gt;".",s_Irr!BA8="."),s_dir!AE8/((1/1000)*(s_Irr!E8+s_Irr!AC8)),IF(AND(s_Irr!E8&lt;&gt;".",s_Irr!AC8=".",s_Irr!BA8&lt;&gt;"."),s_dir!AE8/((1/1000)*(s_Irr!E8+s_Irr!BA8)),IF(AND(s_Irr!E8=".",s_Irr!AC8&lt;&gt;".",s_Irr!BA8&lt;&gt;"."),s_dir!AE8/((1/1000)*(s_Irr!AC8+s_Irr!BA8)),IF(AND(s_Irr!E8=".",s_Irr!AC8=".",s_Irr!BA8&lt;&gt;"."),s_dir!AE8/((1/1000)*(s_Irr!BA8)),IF(AND(s_Irr!E8=".",s_Irr!AC8&lt;&gt;".",s_Irr!BA8="."),s_dir!AE8/((1/1000)*(s_Irr!AC8)),IF(AND(s_Irr!E8&lt;&gt;".",s_Irr!AC8=".",s_Irr!BA8="."),s_dir!AE8/((1/1000)*(s_Irr!E8)),IF(AND(s_Irr!E8=".",s_Irr!AC8=".",s_Irr!BA8="."),s_dir!AE8*1000)))))))),".")</f>
        <v>105610.33922783667</v>
      </c>
      <c r="BE8" s="48">
        <f>IFERROR(IF(AND(s_Irr!F8&lt;&gt;".",s_Irr!AD8&lt;&gt;".",s_Irr!BB8&lt;&gt;"."),s_dir!AF8/((1/1000)*(s_Irr!F8+s_Irr!AD8+s_Irr!BB8)),IF(AND(s_Irr!F8&lt;&gt;".",s_Irr!AD8&lt;&gt;".",s_Irr!BB8="."),s_dir!AF8/((1/1000)*(s_Irr!F8+s_Irr!AD8)),IF(AND(s_Irr!F8&lt;&gt;".",s_Irr!AD8=".",s_Irr!BB8&lt;&gt;"."),s_dir!AF8/((1/1000)*(s_Irr!F8+s_Irr!BB8)),IF(AND(s_Irr!F8=".",s_Irr!AD8&lt;&gt;".",s_Irr!BB8&lt;&gt;"."),s_dir!AF8/((1/1000)*(s_Irr!AD8+s_Irr!BB8)),IF(AND(s_Irr!F8=".",s_Irr!AD8=".",s_Irr!BB8&lt;&gt;"."),s_dir!AF8/((1/1000)*(s_Irr!BB8)),IF(AND(s_Irr!F8=".",s_Irr!AD8&lt;&gt;".",s_Irr!BB8="."),s_dir!AF8/((1/1000)*(s_Irr!AD8)),IF(AND(s_Irr!F8&lt;&gt;".",s_Irr!AD8=".",s_Irr!BB8="."),s_dir!AF8/((1/1000)*(s_Irr!F8)),IF(AND(s_Irr!F8=".",s_Irr!AD8=".",s_Irr!BB8="."),s_dir!AF8*1000)))))))),".")</f>
        <v>105610.33922783667</v>
      </c>
      <c r="BF8" s="48">
        <f>IFERROR(IF(AND(s_Irr!G8&lt;&gt;".",s_Irr!AE8&lt;&gt;".",s_Irr!BC8&lt;&gt;"."),s_dir!AG8/((1/1000)*(s_Irr!G8+s_Irr!AE8+s_Irr!BC8)),IF(AND(s_Irr!G8&lt;&gt;".",s_Irr!AE8&lt;&gt;".",s_Irr!BC8="."),s_dir!AG8/((1/1000)*(s_Irr!G8+s_Irr!AE8)),IF(AND(s_Irr!G8&lt;&gt;".",s_Irr!AE8=".",s_Irr!BC8&lt;&gt;"."),s_dir!AG8/((1/1000)*(s_Irr!G8+s_Irr!BC8)),IF(AND(s_Irr!G8=".",s_Irr!AE8&lt;&gt;".",s_Irr!BC8&lt;&gt;"."),s_dir!AG8/((1/1000)*(s_Irr!AE8+s_Irr!BC8)),IF(AND(s_Irr!G8=".",s_Irr!AE8=".",s_Irr!BC8&lt;&gt;"."),s_dir!AG8/((1/1000)*(s_Irr!BC8)),IF(AND(s_Irr!G8=".",s_Irr!AE8&lt;&gt;".",s_Irr!BC8="."),s_dir!AG8/((1/1000)*(s_Irr!AE8)),IF(AND(s_Irr!G8&lt;&gt;".",s_Irr!AE8=".",s_Irr!BC8="."),s_dir!AG8/((1/1000)*(s_Irr!G8)),IF(AND(s_Irr!G8=".",s_Irr!AE8=".",s_Irr!BC8="."),s_dir!AG8*1000)))))))),".")</f>
        <v>105610.33922783667</v>
      </c>
      <c r="BG8" s="48">
        <f>IFERROR(IF(AND(s_Irr!H8&lt;&gt;".",s_Irr!AF8&lt;&gt;".",s_Irr!BD8&lt;&gt;"."),s_dir!AH8/((1/1000)*(s_Irr!H8+s_Irr!AF8+s_Irr!BD8)),IF(AND(s_Irr!H8&lt;&gt;".",s_Irr!AF8&lt;&gt;".",s_Irr!BD8="."),s_dir!AH8/((1/1000)*(s_Irr!H8+s_Irr!AF8)),IF(AND(s_Irr!H8&lt;&gt;".",s_Irr!AF8=".",s_Irr!BD8&lt;&gt;"."),s_dir!AH8/((1/1000)*(s_Irr!H8+s_Irr!BD8)),IF(AND(s_Irr!H8=".",s_Irr!AF8&lt;&gt;".",s_Irr!BD8&lt;&gt;"."),s_dir!AH8/((1/1000)*(s_Irr!AF8+s_Irr!BD8)),IF(AND(s_Irr!H8=".",s_Irr!AF8=".",s_Irr!BD8&lt;&gt;"."),s_dir!AH8/((1/1000)*(s_Irr!BD8)),IF(AND(s_Irr!H8=".",s_Irr!AF8&lt;&gt;".",s_Irr!BD8="."),s_dir!AH8/((1/1000)*(s_Irr!AF8)),IF(AND(s_Irr!H8&lt;&gt;".",s_Irr!AF8=".",s_Irr!BD8="."),s_dir!AH8/((1/1000)*(s_Irr!H8)),IF(AND(s_Irr!H8=".",s_Irr!AF8=".",s_Irr!BD8="."),s_dir!AH8*1000)))))))),".")</f>
        <v>105610.33922783667</v>
      </c>
      <c r="BH8" s="48">
        <f>IFERROR(IF(AND(s_Irr!I8&lt;&gt;".",s_Irr!AG8&lt;&gt;".",s_Irr!BE8&lt;&gt;"."),s_dir!AI8/((1/1000)*(s_Irr!I8+s_Irr!AG8+s_Irr!BE8)),IF(AND(s_Irr!I8&lt;&gt;".",s_Irr!AG8&lt;&gt;".",s_Irr!BE8="."),s_dir!AI8/((1/1000)*(s_Irr!I8+s_Irr!AG8)),IF(AND(s_Irr!I8&lt;&gt;".",s_Irr!AG8=".",s_Irr!BE8&lt;&gt;"."),s_dir!AI8/((1/1000)*(s_Irr!I8+s_Irr!BE8)),IF(AND(s_Irr!I8=".",s_Irr!AG8&lt;&gt;".",s_Irr!BE8&lt;&gt;"."),s_dir!AI8/((1/1000)*(s_Irr!AG8+s_Irr!BE8)),IF(AND(s_Irr!I8=".",s_Irr!AG8=".",s_Irr!BE8&lt;&gt;"."),s_dir!AI8/((1/1000)*(s_Irr!BE8)),IF(AND(s_Irr!I8=".",s_Irr!AG8&lt;&gt;".",s_Irr!BE8="."),s_dir!AI8/((1/1000)*(s_Irr!AG8)),IF(AND(s_Irr!I8&lt;&gt;".",s_Irr!AG8=".",s_Irr!BE8="."),s_dir!AI8/((1/1000)*(s_Irr!I8)),IF(AND(s_Irr!I8=".",s_Irr!AG8=".",s_Irr!BE8="."),s_dir!AI8*1000)))))))),".")</f>
        <v>105610.33922783667</v>
      </c>
      <c r="BI8" s="48">
        <f>IFERROR(IF(AND(s_Irr!J8&lt;&gt;".",s_Irr!AH8&lt;&gt;".",s_Irr!BF8&lt;&gt;"."),s_dir!AJ8/((1/1000)*(s_Irr!J8+s_Irr!AH8+s_Irr!BF8)),IF(AND(s_Irr!J8&lt;&gt;".",s_Irr!AH8&lt;&gt;".",s_Irr!BF8="."),s_dir!AJ8/((1/1000)*(s_Irr!J8+s_Irr!AH8)),IF(AND(s_Irr!J8&lt;&gt;".",s_Irr!AH8=".",s_Irr!BF8&lt;&gt;"."),s_dir!AJ8/((1/1000)*(s_Irr!J8+s_Irr!BF8)),IF(AND(s_Irr!J8=".",s_Irr!AH8&lt;&gt;".",s_Irr!BF8&lt;&gt;"."),s_dir!AJ8/((1/1000)*(s_Irr!AH8+s_Irr!BF8)),IF(AND(s_Irr!J8=".",s_Irr!AH8=".",s_Irr!BF8&lt;&gt;"."),s_dir!AJ8/((1/1000)*(s_Irr!BF8)),IF(AND(s_Irr!J8=".",s_Irr!AH8&lt;&gt;".",s_Irr!BF8="."),s_dir!AJ8/((1/1000)*(s_Irr!AH8)),IF(AND(s_Irr!J8&lt;&gt;".",s_Irr!AH8=".",s_Irr!BF8="."),s_dir!AJ8/((1/1000)*(s_Irr!J8)),IF(AND(s_Irr!J8=".",s_Irr!AH8=".",s_Irr!BF8="."),s_dir!AJ8*1000)))))))),".")</f>
        <v>105610.33922783667</v>
      </c>
      <c r="BJ8" s="48">
        <f>IFERROR(IF(AND(s_Irr!K8&lt;&gt;".",s_Irr!AI8&lt;&gt;".",s_Irr!BG8&lt;&gt;"."),s_dir!AK8/((1/1000)*(s_Irr!K8+s_Irr!AI8+s_Irr!BG8)),IF(AND(s_Irr!K8&lt;&gt;".",s_Irr!AI8&lt;&gt;".",s_Irr!BG8="."),s_dir!AK8/((1/1000)*(s_Irr!K8+s_Irr!AI8)),IF(AND(s_Irr!K8&lt;&gt;".",s_Irr!AI8=".",s_Irr!BG8&lt;&gt;"."),s_dir!AK8/((1/1000)*(s_Irr!K8+s_Irr!BG8)),IF(AND(s_Irr!K8=".",s_Irr!AI8&lt;&gt;".",s_Irr!BG8&lt;&gt;"."),s_dir!AK8/((1/1000)*(s_Irr!AI8+s_Irr!BG8)),IF(AND(s_Irr!K8=".",s_Irr!AI8=".",s_Irr!BG8&lt;&gt;"."),s_dir!AK8/((1/1000)*(s_Irr!BG8)),IF(AND(s_Irr!K8=".",s_Irr!AI8&lt;&gt;".",s_Irr!BG8="."),s_dir!AK8/((1/1000)*(s_Irr!AI8)),IF(AND(s_Irr!K8&lt;&gt;".",s_Irr!AI8=".",s_Irr!BG8="."),s_dir!AK8/((1/1000)*(s_Irr!K8)),IF(AND(s_Irr!K8=".",s_Irr!AI8=".",s_Irr!BG8="."),s_dir!AK8*1000)))))))),".")</f>
        <v>105610.33922783667</v>
      </c>
      <c r="BK8" s="48">
        <f>IFERROR(IF(AND(s_Irr!L8&lt;&gt;".",s_Irr!AJ8&lt;&gt;".",s_Irr!BH8&lt;&gt;"."),s_dir!AL8/((1/1000)*(s_Irr!L8+s_Irr!AJ8+s_Irr!BH8)),IF(AND(s_Irr!L8&lt;&gt;".",s_Irr!AJ8&lt;&gt;".",s_Irr!BH8="."),s_dir!AL8/((1/1000)*(s_Irr!L8+s_Irr!AJ8)),IF(AND(s_Irr!L8&lt;&gt;".",s_Irr!AJ8=".",s_Irr!BH8&lt;&gt;"."),s_dir!AL8/((1/1000)*(s_Irr!L8+s_Irr!BH8)),IF(AND(s_Irr!L8=".",s_Irr!AJ8&lt;&gt;".",s_Irr!BH8&lt;&gt;"."),s_dir!AL8/((1/1000)*(s_Irr!AJ8+s_Irr!BH8)),IF(AND(s_Irr!L8=".",s_Irr!AJ8=".",s_Irr!BH8&lt;&gt;"."),s_dir!AL8/((1/1000)*(s_Irr!BH8)),IF(AND(s_Irr!L8=".",s_Irr!AJ8&lt;&gt;".",s_Irr!BH8="."),s_dir!AL8/((1/1000)*(s_Irr!AJ8)),IF(AND(s_Irr!L8&lt;&gt;".",s_Irr!AJ8=".",s_Irr!BH8="."),s_dir!AL8/((1/1000)*(s_Irr!L8)),IF(AND(s_Irr!L8=".",s_Irr!AJ8=".",s_Irr!BH8="."),s_dir!AL8*1000)))))))),".")</f>
        <v>105610.33922783667</v>
      </c>
      <c r="BL8" s="48">
        <f>IFERROR(IF(AND(s_Irr!M8&lt;&gt;".",s_Irr!AK8&lt;&gt;".",s_Irr!BI8&lt;&gt;"."),s_dir!AM8/((1/1000)*(s_Irr!M8+s_Irr!AK8+s_Irr!BI8)),IF(AND(s_Irr!M8&lt;&gt;".",s_Irr!AK8&lt;&gt;".",s_Irr!BI8="."),s_dir!AM8/((1/1000)*(s_Irr!M8+s_Irr!AK8)),IF(AND(s_Irr!M8&lt;&gt;".",s_Irr!AK8=".",s_Irr!BI8&lt;&gt;"."),s_dir!AM8/((1/1000)*(s_Irr!M8+s_Irr!BI8)),IF(AND(s_Irr!M8=".",s_Irr!AK8&lt;&gt;".",s_Irr!BI8&lt;&gt;"."),s_dir!AM8/((1/1000)*(s_Irr!AK8+s_Irr!BI8)),IF(AND(s_Irr!M8=".",s_Irr!AK8=".",s_Irr!BI8&lt;&gt;"."),s_dir!AM8/((1/1000)*(s_Irr!BI8)),IF(AND(s_Irr!M8=".",s_Irr!AK8&lt;&gt;".",s_Irr!BI8="."),s_dir!AM8/((1/1000)*(s_Irr!AK8)),IF(AND(s_Irr!M8&lt;&gt;".",s_Irr!AK8=".",s_Irr!BI8="."),s_dir!AM8/((1/1000)*(s_Irr!M8)),IF(AND(s_Irr!M8=".",s_Irr!AK8=".",s_Irr!BI8="."),s_dir!AM8*1000)))))))),".")</f>
        <v>105610.33922783667</v>
      </c>
      <c r="BM8" s="48">
        <f>IFERROR(IF(AND(s_Irr!N8&lt;&gt;".",s_Irr!AL8&lt;&gt;".",s_Irr!BJ8&lt;&gt;"."),s_dir!AN8/((1/1000)*(s_Irr!N8+s_Irr!AL8+s_Irr!BJ8)),IF(AND(s_Irr!N8&lt;&gt;".",s_Irr!AL8&lt;&gt;".",s_Irr!BJ8="."),s_dir!AN8/((1/1000)*(s_Irr!N8+s_Irr!AL8)),IF(AND(s_Irr!N8&lt;&gt;".",s_Irr!AL8=".",s_Irr!BJ8&lt;&gt;"."),s_dir!AN8/((1/1000)*(s_Irr!N8+s_Irr!BJ8)),IF(AND(s_Irr!N8=".",s_Irr!AL8&lt;&gt;".",s_Irr!BJ8&lt;&gt;"."),s_dir!AN8/((1/1000)*(s_Irr!AL8+s_Irr!BJ8)),IF(AND(s_Irr!N8=".",s_Irr!AL8=".",s_Irr!BJ8&lt;&gt;"."),s_dir!AN8/((1/1000)*(s_Irr!BJ8)),IF(AND(s_Irr!N8=".",s_Irr!AL8&lt;&gt;".",s_Irr!BJ8="."),s_dir!AN8/((1/1000)*(s_Irr!AL8)),IF(AND(s_Irr!N8&lt;&gt;".",s_Irr!AL8=".",s_Irr!BJ8="."),s_dir!AN8/((1/1000)*(s_Irr!N8)),IF(AND(s_Irr!N8=".",s_Irr!AL8=".",s_Irr!BJ8="."),s_dir!AN8*1000)))))))),".")</f>
        <v>105610.33922783667</v>
      </c>
      <c r="BN8" s="48">
        <f>IFERROR(IF(AND(s_Irr!O8&lt;&gt;".",s_Irr!AM8&lt;&gt;".",s_Irr!BK8&lt;&gt;"."),s_dir!AO8/((1/1000)*(s_Irr!O8+s_Irr!AM8+s_Irr!BK8)),IF(AND(s_Irr!O8&lt;&gt;".",s_Irr!AM8&lt;&gt;".",s_Irr!BK8="."),s_dir!AO8/((1/1000)*(s_Irr!O8+s_Irr!AM8)),IF(AND(s_Irr!O8&lt;&gt;".",s_Irr!AM8=".",s_Irr!BK8&lt;&gt;"."),s_dir!AO8/((1/1000)*(s_Irr!O8+s_Irr!BK8)),IF(AND(s_Irr!O8=".",s_Irr!AM8&lt;&gt;".",s_Irr!BK8&lt;&gt;"."),s_dir!AO8/((1/1000)*(s_Irr!AM8+s_Irr!BK8)),IF(AND(s_Irr!O8=".",s_Irr!AM8=".",s_Irr!BK8&lt;&gt;"."),s_dir!AO8/((1/1000)*(s_Irr!BK8)),IF(AND(s_Irr!O8=".",s_Irr!AM8&lt;&gt;".",s_Irr!BK8="."),s_dir!AO8/((1/1000)*(s_Irr!AM8)),IF(AND(s_Irr!O8&lt;&gt;".",s_Irr!AM8=".",s_Irr!BK8="."),s_dir!AO8/((1/1000)*(s_Irr!O8)),IF(AND(s_Irr!O8=".",s_Irr!AM8=".",s_Irr!BK8="."),s_dir!AO8*1000)))))))),".")</f>
        <v>105610.33922783667</v>
      </c>
      <c r="BO8" s="48">
        <f>IFERROR(IF(AND(s_Irr!P8&lt;&gt;".",s_Irr!AN8&lt;&gt;".",s_Irr!BL8&lt;&gt;"."),s_dir!AP8/((1/1000)*(s_Irr!P8+s_Irr!AN8+s_Irr!BL8)),IF(AND(s_Irr!P8&lt;&gt;".",s_Irr!AN8&lt;&gt;".",s_Irr!BL8="."),s_dir!AP8/((1/1000)*(s_Irr!P8+s_Irr!AN8)),IF(AND(s_Irr!P8&lt;&gt;".",s_Irr!AN8=".",s_Irr!BL8&lt;&gt;"."),s_dir!AP8/((1/1000)*(s_Irr!P8+s_Irr!BL8)),IF(AND(s_Irr!P8=".",s_Irr!AN8&lt;&gt;".",s_Irr!BL8&lt;&gt;"."),s_dir!AP8/((1/1000)*(s_Irr!AN8+s_Irr!BL8)),IF(AND(s_Irr!P8=".",s_Irr!AN8=".",s_Irr!BL8&lt;&gt;"."),s_dir!AP8/((1/1000)*(s_Irr!BL8)),IF(AND(s_Irr!P8=".",s_Irr!AN8&lt;&gt;".",s_Irr!BL8="."),s_dir!AP8/((1/1000)*(s_Irr!AN8)),IF(AND(s_Irr!P8&lt;&gt;".",s_Irr!AN8=".",s_Irr!BL8="."),s_dir!AP8/((1/1000)*(s_Irr!P8)),IF(AND(s_Irr!P8=".",s_Irr!AN8=".",s_Irr!BL8="."),s_dir!AP8*1000)))))))),".")</f>
        <v>105610.33922783667</v>
      </c>
      <c r="BP8" s="48">
        <f>IFERROR(IF(AND(s_Irr!Q8&lt;&gt;".",s_Irr!AO8&lt;&gt;".",s_Irr!BM8&lt;&gt;"."),s_dir!AQ8/((1/1000)*(s_Irr!Q8+s_Irr!AO8+s_Irr!BM8)),IF(AND(s_Irr!Q8&lt;&gt;".",s_Irr!AO8&lt;&gt;".",s_Irr!BM8="."),s_dir!AQ8/((1/1000)*(s_Irr!Q8+s_Irr!AO8)),IF(AND(s_Irr!Q8&lt;&gt;".",s_Irr!AO8=".",s_Irr!BM8&lt;&gt;"."),s_dir!AQ8/((1/1000)*(s_Irr!Q8+s_Irr!BM8)),IF(AND(s_Irr!Q8=".",s_Irr!AO8&lt;&gt;".",s_Irr!BM8&lt;&gt;"."),s_dir!AQ8/((1/1000)*(s_Irr!AO8+s_Irr!BM8)),IF(AND(s_Irr!Q8=".",s_Irr!AO8=".",s_Irr!BM8&lt;&gt;"."),s_dir!AQ8/((1/1000)*(s_Irr!BM8)),IF(AND(s_Irr!Q8=".",s_Irr!AO8&lt;&gt;".",s_Irr!BM8="."),s_dir!AQ8/((1/1000)*(s_Irr!AO8)),IF(AND(s_Irr!Q8&lt;&gt;".",s_Irr!AO8=".",s_Irr!BM8="."),s_dir!AQ8/((1/1000)*(s_Irr!Q8)),IF(AND(s_Irr!Q8=".",s_Irr!AO8=".",s_Irr!BM8="."),s_dir!AQ8*1000)))))))),".")</f>
        <v>105610.33922783667</v>
      </c>
      <c r="BQ8" s="48">
        <f>IFERROR(IF(AND(s_Irr!R8&lt;&gt;".",s_Irr!AP8&lt;&gt;".",s_Irr!BN8&lt;&gt;"."),s_dir!AR8/((1/1000)*(s_Irr!R8+s_Irr!AP8+s_Irr!BN8)),IF(AND(s_Irr!R8&lt;&gt;".",s_Irr!AP8&lt;&gt;".",s_Irr!BN8="."),s_dir!AR8/((1/1000)*(s_Irr!R8+s_Irr!AP8)),IF(AND(s_Irr!R8&lt;&gt;".",s_Irr!AP8=".",s_Irr!BN8&lt;&gt;"."),s_dir!AR8/((1/1000)*(s_Irr!R8+s_Irr!BN8)),IF(AND(s_Irr!R8=".",s_Irr!AP8&lt;&gt;".",s_Irr!BN8&lt;&gt;"."),s_dir!AR8/((1/1000)*(s_Irr!AP8+s_Irr!BN8)),IF(AND(s_Irr!R8=".",s_Irr!AP8=".",s_Irr!BN8&lt;&gt;"."),s_dir!AR8/((1/1000)*(s_Irr!BN8)),IF(AND(s_Irr!R8=".",s_Irr!AP8&lt;&gt;".",s_Irr!BN8="."),s_dir!AR8/((1/1000)*(s_Irr!AP8)),IF(AND(s_Irr!R8&lt;&gt;".",s_Irr!AP8=".",s_Irr!BN8="."),s_dir!AR8/((1/1000)*(s_Irr!R8)),IF(AND(s_Irr!R8=".",s_Irr!AP8=".",s_Irr!BN8="."),s_dir!AR8*1000)))))))),".")</f>
        <v>105610.33922783667</v>
      </c>
      <c r="BR8" s="48">
        <f>IFERROR(IF(AND(s_Irr!S8&lt;&gt;".",s_Irr!AQ8&lt;&gt;".",s_Irr!BO8&lt;&gt;"."),s_dir!AS8/((1/1000)*(s_Irr!S8+s_Irr!AQ8+s_Irr!BO8)),IF(AND(s_Irr!S8&lt;&gt;".",s_Irr!AQ8&lt;&gt;".",s_Irr!BO8="."),s_dir!AS8/((1/1000)*(s_Irr!S8+s_Irr!AQ8)),IF(AND(s_Irr!S8&lt;&gt;".",s_Irr!AQ8=".",s_Irr!BO8&lt;&gt;"."),s_dir!AS8/((1/1000)*(s_Irr!S8+s_Irr!BO8)),IF(AND(s_Irr!S8=".",s_Irr!AQ8&lt;&gt;".",s_Irr!BO8&lt;&gt;"."),s_dir!AS8/((1/1000)*(s_Irr!AQ8+s_Irr!BO8)),IF(AND(s_Irr!S8=".",s_Irr!AQ8=".",s_Irr!BO8&lt;&gt;"."),s_dir!AS8/((1/1000)*(s_Irr!BO8)),IF(AND(s_Irr!S8=".",s_Irr!AQ8&lt;&gt;".",s_Irr!BO8="."),s_dir!AS8/((1/1000)*(s_Irr!AQ8)),IF(AND(s_Irr!S8&lt;&gt;".",s_Irr!AQ8=".",s_Irr!BO8="."),s_dir!AS8/((1/1000)*(s_Irr!S8)),IF(AND(s_Irr!S8=".",s_Irr!AQ8=".",s_Irr!BO8="."),s_dir!AS8*1000)))))))),".")</f>
        <v>105610.33922783667</v>
      </c>
      <c r="BS8" s="48">
        <f>IFERROR(IF(AND(s_Irr!T8&lt;&gt;".",s_Irr!AR8&lt;&gt;".",s_Irr!BP8&lt;&gt;"."),s_dir!AT8/((1/1000)*(s_Irr!T8+s_Irr!AR8+s_Irr!BP8)),IF(AND(s_Irr!T8&lt;&gt;".",s_Irr!AR8&lt;&gt;".",s_Irr!BP8="."),s_dir!AT8/((1/1000)*(s_Irr!T8+s_Irr!AR8)),IF(AND(s_Irr!T8&lt;&gt;".",s_Irr!AR8=".",s_Irr!BP8&lt;&gt;"."),s_dir!AT8/((1/1000)*(s_Irr!T8+s_Irr!BP8)),IF(AND(s_Irr!T8=".",s_Irr!AR8&lt;&gt;".",s_Irr!BP8&lt;&gt;"."),s_dir!AT8/((1/1000)*(s_Irr!AR8+s_Irr!BP8)),IF(AND(s_Irr!T8=".",s_Irr!AR8=".",s_Irr!BP8&lt;&gt;"."),s_dir!AT8/((1/1000)*(s_Irr!BP8)),IF(AND(s_Irr!T8=".",s_Irr!AR8&lt;&gt;".",s_Irr!BP8="."),s_dir!AT8/((1/1000)*(s_Irr!AR8)),IF(AND(s_Irr!T8&lt;&gt;".",s_Irr!AR8=".",s_Irr!BP8="."),s_dir!AT8/((1/1000)*(s_Irr!T8)),IF(AND(s_Irr!T8=".",s_Irr!AR8=".",s_Irr!BP8="."),s_dir!AT8*1000)))))))),".")</f>
        <v>105610.33922783667</v>
      </c>
      <c r="BT8" s="48">
        <f>IFERROR(IF(AND(s_Irr!U8&lt;&gt;".",s_Irr!AS8&lt;&gt;".",s_Irr!BQ8&lt;&gt;"."),s_dir!AU8/((1/1000)*(s_Irr!U8+s_Irr!AS8+s_Irr!BQ8)),IF(AND(s_Irr!U8&lt;&gt;".",s_Irr!AS8&lt;&gt;".",s_Irr!BQ8="."),s_dir!AU8/((1/1000)*(s_Irr!U8+s_Irr!AS8)),IF(AND(s_Irr!U8&lt;&gt;".",s_Irr!AS8=".",s_Irr!BQ8&lt;&gt;"."),s_dir!AU8/((1/1000)*(s_Irr!U8+s_Irr!BQ8)),IF(AND(s_Irr!U8=".",s_Irr!AS8&lt;&gt;".",s_Irr!BQ8&lt;&gt;"."),s_dir!AU8/((1/1000)*(s_Irr!AS8+s_Irr!BQ8)),IF(AND(s_Irr!U8=".",s_Irr!AS8=".",s_Irr!BQ8&lt;&gt;"."),s_dir!AU8/((1/1000)*(s_Irr!BQ8)),IF(AND(s_Irr!U8=".",s_Irr!AS8&lt;&gt;".",s_Irr!BQ8="."),s_dir!AU8/((1/1000)*(s_Irr!AS8)),IF(AND(s_Irr!U8&lt;&gt;".",s_Irr!AS8=".",s_Irr!BQ8="."),s_dir!AU8/((1/1000)*(s_Irr!U8)),IF(AND(s_Irr!U8=".",s_Irr!AS8=".",s_Irr!BQ8="."),s_dir!AU8*1000)))))))),".")</f>
        <v>105610.33922783667</v>
      </c>
      <c r="BU8" s="48">
        <f>IFERROR(IF(AND(s_Irr!V8&lt;&gt;".",s_Irr!AT8&lt;&gt;".",s_Irr!BR8&lt;&gt;"."),s_dir!AV8/((1/1000)*(s_Irr!V8+s_Irr!AT8+s_Irr!BR8)),IF(AND(s_Irr!V8&lt;&gt;".",s_Irr!AT8&lt;&gt;".",s_Irr!BR8="."),s_dir!AV8/((1/1000)*(s_Irr!V8+s_Irr!AT8)),IF(AND(s_Irr!V8&lt;&gt;".",s_Irr!AT8=".",s_Irr!BR8&lt;&gt;"."),s_dir!AV8/((1/1000)*(s_Irr!V8+s_Irr!BR8)),IF(AND(s_Irr!V8=".",s_Irr!AT8&lt;&gt;".",s_Irr!BR8&lt;&gt;"."),s_dir!AV8/((1/1000)*(s_Irr!AT8+s_Irr!BR8)),IF(AND(s_Irr!V8=".",s_Irr!AT8=".",s_Irr!BR8&lt;&gt;"."),s_dir!AV8/((1/1000)*(s_Irr!BR8)),IF(AND(s_Irr!V8=".",s_Irr!AT8&lt;&gt;".",s_Irr!BR8="."),s_dir!AV8/((1/1000)*(s_Irr!AT8)),IF(AND(s_Irr!V8&lt;&gt;".",s_Irr!AT8=".",s_Irr!BR8="."),s_dir!AV8/((1/1000)*(s_Irr!V8)),IF(AND(s_Irr!V8=".",s_Irr!AT8=".",s_Irr!BR8="."),s_dir!AV8*1000)))))))),".")</f>
        <v>105610.33922783667</v>
      </c>
      <c r="BV8" s="48">
        <f>IFERROR(IF(AND(s_Irr!W8&lt;&gt;".",s_Irr!AU8&lt;&gt;".",s_Irr!BS8&lt;&gt;"."),s_dir!AW8/((1/1000)*(s_Irr!W8+s_Irr!AU8+s_Irr!BS8)),IF(AND(s_Irr!W8&lt;&gt;".",s_Irr!AU8&lt;&gt;".",s_Irr!BS8="."),s_dir!AW8/((1/1000)*(s_Irr!W8+s_Irr!AU8)),IF(AND(s_Irr!W8&lt;&gt;".",s_Irr!AU8=".",s_Irr!BS8&lt;&gt;"."),s_dir!AW8/((1/1000)*(s_Irr!W8+s_Irr!BS8)),IF(AND(s_Irr!W8=".",s_Irr!AU8&lt;&gt;".",s_Irr!BS8&lt;&gt;"."),s_dir!AW8/((1/1000)*(s_Irr!AU8+s_Irr!BS8)),IF(AND(s_Irr!W8=".",s_Irr!AU8=".",s_Irr!BS8&lt;&gt;"."),s_dir!AW8/((1/1000)*(s_Irr!BS8)),IF(AND(s_Irr!W8=".",s_Irr!AU8&lt;&gt;".",s_Irr!BS8="."),s_dir!AW8/((1/1000)*(s_Irr!AU8)),IF(AND(s_Irr!W8&lt;&gt;".",s_Irr!AU8=".",s_Irr!BS8="."),s_dir!AW8/((1/1000)*(s_Irr!W8)),IF(AND(s_Irr!W8=".",s_Irr!AU8=".",s_Irr!BS8="."),s_dir!AW8*1000)))))))),".")</f>
        <v>105610.33922783667</v>
      </c>
      <c r="BW8" s="48">
        <f>IFERROR(IF(AND(s_Irr!X8&lt;&gt;".",s_Irr!AV8&lt;&gt;".",s_Irr!BT8&lt;&gt;"."),s_dir!AX8/((1/1000)*(s_Irr!X8+s_Irr!AV8+s_Irr!BT8)),IF(AND(s_Irr!X8&lt;&gt;".",s_Irr!AV8&lt;&gt;".",s_Irr!BT8="."),s_dir!AX8/((1/1000)*(s_Irr!X8+s_Irr!AV8)),IF(AND(s_Irr!X8&lt;&gt;".",s_Irr!AV8=".",s_Irr!BT8&lt;&gt;"."),s_dir!AX8/((1/1000)*(s_Irr!X8+s_Irr!BT8)),IF(AND(s_Irr!X8=".",s_Irr!AV8&lt;&gt;".",s_Irr!BT8&lt;&gt;"."),s_dir!AX8/((1/1000)*(s_Irr!AV8+s_Irr!BT8)),IF(AND(s_Irr!X8=".",s_Irr!AV8=".",s_Irr!BT8&lt;&gt;"."),s_dir!AX8/((1/1000)*(s_Irr!BT8)),IF(AND(s_Irr!X8=".",s_Irr!AV8&lt;&gt;".",s_Irr!BT8="."),s_dir!AX8/((1/1000)*(s_Irr!AV8)),IF(AND(s_Irr!X8&lt;&gt;".",s_Irr!AV8=".",s_Irr!BT8="."),s_dir!AX8/((1/1000)*(s_Irr!X8)),IF(AND(s_Irr!X8=".",s_Irr!AV8=".",s_Irr!BT8="."),s_dir!AX8*1000)))))))),".")</f>
        <v>105610.33922783667</v>
      </c>
      <c r="BX8" s="48">
        <f>IFERROR(IF(AND(s_Irr!Y8&lt;&gt;".",s_Irr!AW8&lt;&gt;".",s_Irr!BU8&lt;&gt;"."),s_dir!AY8/((1/1000)*(s_Irr!Y8+s_Irr!AW8+s_Irr!BU8)),IF(AND(s_Irr!Y8&lt;&gt;".",s_Irr!AW8&lt;&gt;".",s_Irr!BU8="."),s_dir!AY8/((1/1000)*(s_Irr!Y8+s_Irr!AW8)),IF(AND(s_Irr!Y8&lt;&gt;".",s_Irr!AW8=".",s_Irr!BU8&lt;&gt;"."),s_dir!AY8/((1/1000)*(s_Irr!Y8+s_Irr!BU8)),IF(AND(s_Irr!Y8=".",s_Irr!AW8&lt;&gt;".",s_Irr!BU8&lt;&gt;"."),s_dir!AY8/((1/1000)*(s_Irr!AW8+s_Irr!BU8)),IF(AND(s_Irr!Y8=".",s_Irr!AW8=".",s_Irr!BU8&lt;&gt;"."),s_dir!AY8/((1/1000)*(s_Irr!BU8)),IF(AND(s_Irr!Y8=".",s_Irr!AW8&lt;&gt;".",s_Irr!BU8="."),s_dir!AY8/((1/1000)*(s_Irr!AW8)),IF(AND(s_Irr!Y8&lt;&gt;".",s_Irr!AW8=".",s_Irr!BU8="."),s_dir!AY8/((1/1000)*(s_Irr!Y8)),IF(AND(s_Irr!Y8=".",s_Irr!AW8=".",s_Irr!BU8="."),s_dir!AY8*1000)))))))),".")</f>
        <v>105610.33922783667</v>
      </c>
      <c r="BY8" s="48">
        <f>IFERROR(IF(AND(s_Irr!Z8&lt;&gt;".",s_Irr!AX8&lt;&gt;".",s_Irr!BV8&lt;&gt;"."),s_dir!AZ8/((1/1000)*(s_Irr!Z8+s_Irr!AX8+s_Irr!BV8)),IF(AND(s_Irr!Z8&lt;&gt;".",s_Irr!AX8&lt;&gt;".",s_Irr!BV8="."),s_dir!AZ8/((1/1000)*(s_Irr!Z8+s_Irr!AX8)),IF(AND(s_Irr!Z8&lt;&gt;".",s_Irr!AX8=".",s_Irr!BV8&lt;&gt;"."),s_dir!AZ8/((1/1000)*(s_Irr!Z8+s_Irr!BV8)),IF(AND(s_Irr!Z8=".",s_Irr!AX8&lt;&gt;".",s_Irr!BV8&lt;&gt;"."),s_dir!AZ8/((1/1000)*(s_Irr!AX8+s_Irr!BV8)),IF(AND(s_Irr!Z8=".",s_Irr!AX8=".",s_Irr!BV8&lt;&gt;"."),s_dir!AZ8/((1/1000)*(s_Irr!BV8)),IF(AND(s_Irr!Z8=".",s_Irr!AX8&lt;&gt;".",s_Irr!BV8="."),s_dir!AZ8/((1/1000)*(s_Irr!AX8)),IF(AND(s_Irr!Z8&lt;&gt;".",s_Irr!AX8=".",s_Irr!BV8="."),s_dir!AZ8/((1/1000)*(s_Irr!Z8)),IF(AND(s_Irr!Z8=".",s_Irr!AX8=".",s_Irr!BV8="."),s_dir!AZ8*1000)))))))),".")</f>
        <v>105610.33922783667</v>
      </c>
      <c r="BZ8" s="62">
        <f t="shared" si="1"/>
        <v>716.17359988017915</v>
      </c>
      <c r="CA8" s="62">
        <f>IFERROR(s_C*s_IFAP_far_adj*s_CF_apple*(1/1000)*(s_Irr!C8+s_Irr!AA8+s_Irr!AY8),".")</f>
        <v>238.72453329339305</v>
      </c>
      <c r="CB8" s="62">
        <f>IFERROR(s_C*s_IFAS_far_adj*s_CF_asparagus*(1/1000)*(s_Irr!D8+s_Irr!AB8+s_Irr!AZ8),".")</f>
        <v>238.72453329339305</v>
      </c>
      <c r="CC8" s="62">
        <f>IFERROR(s_C*s_IFBT_far_adj*s_CF_beet*(1/1000)*(s_Irr!E8+s_Irr!AC8+s_Irr!BA8),".")</f>
        <v>238.72453329339305</v>
      </c>
      <c r="CD8" s="62">
        <f>IFERROR(s_C*s_IFBE_far_adj*s_CF_berries*(1/1000)*(s_Irr!F8+s_Irr!AD8+s_Irr!BB8),".")</f>
        <v>238.72453329339305</v>
      </c>
      <c r="CE8" s="62">
        <f>IFERROR(s_C*s_IFBR_far_adj*s_CF_broccoli*(1/1000)*(s_Irr!G8+s_Irr!AE8+s_Irr!BC8),".")</f>
        <v>238.72453329339305</v>
      </c>
      <c r="CF8" s="62">
        <f>IFERROR(s_C*s_IFCB_far_adj*s_CF_cabbage*(1/1000)*(s_Irr!H8+s_Irr!AF8+s_Irr!BD8),".")</f>
        <v>238.72453329339305</v>
      </c>
      <c r="CG8" s="62">
        <f>IFERROR(s_C*s_IFCR_far_adj*s_CF_carrot*(1/1000)*(s_Irr!I8+s_Irr!AG8+s_Irr!BE8),".")</f>
        <v>238.72453329339305</v>
      </c>
      <c r="CH8" s="62">
        <f>IFERROR(s_C*s_IFCI_far_adj*s_CF_citrus*(1/1000)*(s_Irr!J8+s_Irr!AH8+s_Irr!BF8),".")</f>
        <v>238.72453329339305</v>
      </c>
      <c r="CI8" s="62">
        <f>IFERROR(s_C*s_IFCO_far_adj*s_CF_corn*(1/1000)*(s_Irr!K8+s_Irr!AI8+s_Irr!BG8),".")</f>
        <v>238.72453329339305</v>
      </c>
      <c r="CJ8" s="62">
        <f>IFERROR(s_C*s_IFCU_far_adj*s_CF_cucumber*(1/1000)*(s_Irr!L8+s_Irr!AJ8+s_Irr!BH8),".")</f>
        <v>238.72453329339305</v>
      </c>
      <c r="CK8" s="62">
        <f>IFERROR(s_C*s_IFLE_far_adj*s_CF_lettuce*(1/1000)*(s_Irr!M8+s_Irr!AK8+s_Irr!BI8),".")</f>
        <v>238.72453329339305</v>
      </c>
      <c r="CL8" s="62">
        <f>IFERROR(s_C*s_IFLI_far_adj*s_CF_lima_bean*(1/1000)*(s_Irr!N8+s_Irr!AL8+s_Irr!BJ8),".")</f>
        <v>238.72453329339305</v>
      </c>
      <c r="CM8" s="62">
        <f>IFERROR(s_C*s_IFOK_far_adj*s_CF_okra*(1/1000)*(s_Irr!O8+s_Irr!AM8+s_Irr!BK8),".")</f>
        <v>238.72453329339305</v>
      </c>
      <c r="CN8" s="62">
        <f>IFERROR(s_C*s_IFON_far_adj*s_CF_onion*(1/1000)*(s_Irr!P8+s_Irr!AN8+s_Irr!BL8),".")</f>
        <v>238.72453329339305</v>
      </c>
      <c r="CO8" s="62">
        <f>IFERROR(s_C*s_IFPC_far_adj*s_CF_peach*(1/1000)*(s_Irr!Q8+s_Irr!AO8+s_Irr!BM8),".")</f>
        <v>238.72453329339305</v>
      </c>
      <c r="CP8" s="62">
        <f>IFERROR(s_C*s_IFPR_far_adj*s_CF_pear*(1/1000)*(s_Irr!R8+s_Irr!AP8+s_Irr!BN8),".")</f>
        <v>238.72453329339305</v>
      </c>
      <c r="CQ8" s="62">
        <f>IFERROR(s_C*s_IFPE_far_adj*s_CF_peas*(1/1000)*(s_Irr!S8+s_Irr!AQ8+s_Irr!BO8),".")</f>
        <v>238.72453329339305</v>
      </c>
      <c r="CR8" s="62">
        <f>IFERROR(s_C*s_IFPT_far_adj*s_CF_potato*(1/1000)*(s_Irr!T8+s_Irr!AR8+s_Irr!BP8),".")</f>
        <v>238.72453329339305</v>
      </c>
      <c r="CS8" s="62">
        <f>IFERROR(s_C*s_IFPU_far_adj*s_CF_pumpkin*(1/1000)*(s_Irr!U8+s_Irr!AS8+s_Irr!BQ8),".")</f>
        <v>238.72453329339305</v>
      </c>
      <c r="CT8" s="62">
        <f>IFERROR(s_C*s_IFSN_far_adj*s_CF_snap_bean*(1/1000)*(s_Irr!V8+s_Irr!AT8+s_Irr!BR8),".")</f>
        <v>238.72453329339305</v>
      </c>
      <c r="CU8" s="62">
        <f>IFERROR(s_C*s_IFST_far_adj*s_CF_strawberry*(1/1000)*(s_Irr!W8+s_Irr!AU8+s_Irr!BS8),".")</f>
        <v>238.72453329339305</v>
      </c>
      <c r="CV8" s="62">
        <f>IFERROR(s_C*s_IFTO_far_adj*s_CF_tomato*(1/1000)*(s_Irr!X8+s_Irr!AV8+s_Irr!BT8),".")</f>
        <v>238.72453329339305</v>
      </c>
      <c r="CW8" s="62">
        <f>IFERROR(s_C*s_IFRI_far_adj*s_CF_rice*(1/1000)*(s_Irr!Y8+s_Irr!AW8+s_Irr!BU8),".")</f>
        <v>238.72453329339305</v>
      </c>
      <c r="CX8" s="62">
        <f>IFERROR(s_C*s_IFCG_far_adj*s_CF_cereal*(1/1000)*(s_Irr!Z8+s_Irr!AX8+s_Irr!BV8),".")</f>
        <v>238.72453329339305</v>
      </c>
    </row>
    <row r="9" spans="1:102" ht="15" customHeight="1" x14ac:dyDescent="0.25">
      <c r="A9" s="61" t="s">
        <v>7</v>
      </c>
      <c r="B9" s="49" t="s">
        <v>1059</v>
      </c>
      <c r="C9" s="48">
        <f t="shared" si="2"/>
        <v>63318.950588501619</v>
      </c>
      <c r="D9" s="48">
        <f>IFERROR(IF(AND(s_Irr!C9&lt;&gt;".",s_Irr!AA9&lt;&gt;".",s_Irr!AY9&lt;&gt;"."),s_dir!D9/((1/1000)*(s_Irr!C9+s_Irr!AA9+s_Irr!AY9)),IF(AND(s_Irr!C9&lt;&gt;".",s_Irr!AA9&lt;&gt;".",s_Irr!AY9="."),s_dir!D9/((1/1000)*(s_Irr!C9+s_Irr!AA9)),IF(AND(s_Irr!C9&lt;&gt;".",s_Irr!AA9=".",s_Irr!AY9&lt;&gt;"."),s_dir!D9/((1/1000)*(s_Irr!C9+s_Irr!AY9)),IF(AND(s_Irr!C9=".",s_Irr!AA9&lt;&gt;".",s_Irr!AY9&lt;&gt;"."),s_dir!D9/((1/1000)*(s_Irr!AA9+s_Irr!AY9)),IF(AND(s_Irr!C9=".",s_Irr!AA9=".",s_Irr!AY9&lt;&gt;"."),s_dir!D9/((1/1000)*(s_Irr!AY9)),IF(AND(s_Irr!C9=".",s_Irr!AA9&lt;&gt;".",s_Irr!AY9="."),s_dir!D9/((1/1000)*(s_Irr!AA9)),IF(AND(s_Irr!C9&lt;&gt;".",s_Irr!AA9=".",s_Irr!AY9="."),s_dir!D9/((1/1000)*(s_Irr!C9)),IF(AND(s_Irr!C9=".",s_Irr!AA9=".",s_Irr!AY9="."),s_dir!D9*1000)))))))),".")</f>
        <v>189956.85176550486</v>
      </c>
      <c r="E9" s="48">
        <f>IFERROR(IF(AND(s_Irr!D9&lt;&gt;".",s_Irr!AB9&lt;&gt;".",s_Irr!AZ9&lt;&gt;"."),s_dir!E9/((1/1000)*(s_Irr!D9+s_Irr!AB9+s_Irr!AZ9)),IF(AND(s_Irr!D9&lt;&gt;".",s_Irr!AB9&lt;&gt;".",s_Irr!AZ9="."),s_dir!E9/((1/1000)*(s_Irr!D9+s_Irr!AB9)),IF(AND(s_Irr!D9&lt;&gt;".",s_Irr!AB9=".",s_Irr!AZ9&lt;&gt;"."),s_dir!E9/((1/1000)*(s_Irr!D9+s_Irr!AZ9)),IF(AND(s_Irr!D9=".",s_Irr!AB9&lt;&gt;".",s_Irr!AZ9&lt;&gt;"."),s_dir!E9/((1/1000)*(s_Irr!AB9+s_Irr!AZ9)),IF(AND(s_Irr!D9=".",s_Irr!AB9=".",s_Irr!AZ9&lt;&gt;"."),s_dir!E9/((1/1000)*(s_Irr!AZ9)),IF(AND(s_Irr!D9=".",s_Irr!AB9&lt;&gt;".",s_Irr!AZ9="."),s_dir!E9/((1/1000)*(s_Irr!AB9)),IF(AND(s_Irr!D9&lt;&gt;".",s_Irr!AB9=".",s_Irr!AZ9="."),s_dir!E9/((1/1000)*(s_Irr!D9)),IF(AND(s_Irr!D9=".",s_Irr!AB9=".",s_Irr!AZ9="."),s_dir!E9*1000)))))))),".")</f>
        <v>189956.85176550486</v>
      </c>
      <c r="F9" s="48">
        <f>IFERROR(IF(AND(s_Irr!E9&lt;&gt;".",s_Irr!AC9&lt;&gt;".",s_Irr!BA9&lt;&gt;"."),s_dir!F9/((1/1000)*(s_Irr!E9+s_Irr!AC9+s_Irr!BA9)),IF(AND(s_Irr!E9&lt;&gt;".",s_Irr!AC9&lt;&gt;".",s_Irr!BA9="."),s_dir!F9/((1/1000)*(s_Irr!E9+s_Irr!AC9)),IF(AND(s_Irr!E9&lt;&gt;".",s_Irr!AC9=".",s_Irr!BA9&lt;&gt;"."),s_dir!F9/((1/1000)*(s_Irr!E9+s_Irr!BA9)),IF(AND(s_Irr!E9=".",s_Irr!AC9&lt;&gt;".",s_Irr!BA9&lt;&gt;"."),s_dir!F9/((1/1000)*(s_Irr!AC9+s_Irr!BA9)),IF(AND(s_Irr!E9=".",s_Irr!AC9=".",s_Irr!BA9&lt;&gt;"."),s_dir!F9/((1/1000)*(s_Irr!BA9)),IF(AND(s_Irr!E9=".",s_Irr!AC9&lt;&gt;".",s_Irr!BA9="."),s_dir!F9/((1/1000)*(s_Irr!AC9)),IF(AND(s_Irr!E9&lt;&gt;".",s_Irr!AC9=".",s_Irr!BA9="."),s_dir!F9/((1/1000)*(s_Irr!E9)),IF(AND(s_Irr!E9=".",s_Irr!AC9=".",s_Irr!BA9="."),s_dir!F9*1000)))))))),".")</f>
        <v>189956.85176550486</v>
      </c>
      <c r="G9" s="48">
        <f>IFERROR(IF(AND(s_Irr!F9&lt;&gt;".",s_Irr!AD9&lt;&gt;".",s_Irr!BB9&lt;&gt;"."),s_dir!G9/((1/1000)*(s_Irr!F9+s_Irr!AD9+s_Irr!BB9)),IF(AND(s_Irr!F9&lt;&gt;".",s_Irr!AD9&lt;&gt;".",s_Irr!BB9="."),s_dir!G9/((1/1000)*(s_Irr!F9+s_Irr!AD9)),IF(AND(s_Irr!F9&lt;&gt;".",s_Irr!AD9=".",s_Irr!BB9&lt;&gt;"."),s_dir!G9/((1/1000)*(s_Irr!F9+s_Irr!BB9)),IF(AND(s_Irr!F9=".",s_Irr!AD9&lt;&gt;".",s_Irr!BB9&lt;&gt;"."),s_dir!G9/((1/1000)*(s_Irr!AD9+s_Irr!BB9)),IF(AND(s_Irr!F9=".",s_Irr!AD9=".",s_Irr!BB9&lt;&gt;"."),s_dir!G9/((1/1000)*(s_Irr!BB9)),IF(AND(s_Irr!F9=".",s_Irr!AD9&lt;&gt;".",s_Irr!BB9="."),s_dir!G9/((1/1000)*(s_Irr!AD9)),IF(AND(s_Irr!F9&lt;&gt;".",s_Irr!AD9=".",s_Irr!BB9="."),s_dir!G9/((1/1000)*(s_Irr!F9)),IF(AND(s_Irr!F9=".",s_Irr!AD9=".",s_Irr!BB9="."),s_dir!G9*1000)))))))),".")</f>
        <v>189956.85176550486</v>
      </c>
      <c r="H9" s="48">
        <f>IFERROR(IF(AND(s_Irr!G9&lt;&gt;".",s_Irr!AE9&lt;&gt;".",s_Irr!BC9&lt;&gt;"."),s_dir!H9/((1/1000)*(s_Irr!G9+s_Irr!AE9+s_Irr!BC9)),IF(AND(s_Irr!G9&lt;&gt;".",s_Irr!AE9&lt;&gt;".",s_Irr!BC9="."),s_dir!H9/((1/1000)*(s_Irr!G9+s_Irr!AE9)),IF(AND(s_Irr!G9&lt;&gt;".",s_Irr!AE9=".",s_Irr!BC9&lt;&gt;"."),s_dir!H9/((1/1000)*(s_Irr!G9+s_Irr!BC9)),IF(AND(s_Irr!G9=".",s_Irr!AE9&lt;&gt;".",s_Irr!BC9&lt;&gt;"."),s_dir!H9/((1/1000)*(s_Irr!AE9+s_Irr!BC9)),IF(AND(s_Irr!G9=".",s_Irr!AE9=".",s_Irr!BC9&lt;&gt;"."),s_dir!H9/((1/1000)*(s_Irr!BC9)),IF(AND(s_Irr!G9=".",s_Irr!AE9&lt;&gt;".",s_Irr!BC9="."),s_dir!H9/((1/1000)*(s_Irr!AE9)),IF(AND(s_Irr!G9&lt;&gt;".",s_Irr!AE9=".",s_Irr!BC9="."),s_dir!H9/((1/1000)*(s_Irr!G9)),IF(AND(s_Irr!G9=".",s_Irr!AE9=".",s_Irr!BC9="."),s_dir!H9*1000)))))))),".")</f>
        <v>189956.85176550486</v>
      </c>
      <c r="I9" s="48">
        <f>IFERROR(IF(AND(s_Irr!H9&lt;&gt;".",s_Irr!AF9&lt;&gt;".",s_Irr!BD9&lt;&gt;"."),s_dir!I9/((1/1000)*(s_Irr!H9+s_Irr!AF9+s_Irr!BD9)),IF(AND(s_Irr!H9&lt;&gt;".",s_Irr!AF9&lt;&gt;".",s_Irr!BD9="."),s_dir!I9/((1/1000)*(s_Irr!H9+s_Irr!AF9)),IF(AND(s_Irr!H9&lt;&gt;".",s_Irr!AF9=".",s_Irr!BD9&lt;&gt;"."),s_dir!I9/((1/1000)*(s_Irr!H9+s_Irr!BD9)),IF(AND(s_Irr!H9=".",s_Irr!AF9&lt;&gt;".",s_Irr!BD9&lt;&gt;"."),s_dir!I9/((1/1000)*(s_Irr!AF9+s_Irr!BD9)),IF(AND(s_Irr!H9=".",s_Irr!AF9=".",s_Irr!BD9&lt;&gt;"."),s_dir!I9/((1/1000)*(s_Irr!BD9)),IF(AND(s_Irr!H9=".",s_Irr!AF9&lt;&gt;".",s_Irr!BD9="."),s_dir!I9/((1/1000)*(s_Irr!AF9)),IF(AND(s_Irr!H9&lt;&gt;".",s_Irr!AF9=".",s_Irr!BD9="."),s_dir!I9/((1/1000)*(s_Irr!H9)),IF(AND(s_Irr!H9=".",s_Irr!AF9=".",s_Irr!BD9="."),s_dir!I9*1000)))))))),".")</f>
        <v>189956.85176550486</v>
      </c>
      <c r="J9" s="48">
        <f>IFERROR(IF(AND(s_Irr!I9&lt;&gt;".",s_Irr!AG9&lt;&gt;".",s_Irr!BE9&lt;&gt;"."),s_dir!J9/((1/1000)*(s_Irr!I9+s_Irr!AG9+s_Irr!BE9)),IF(AND(s_Irr!I9&lt;&gt;".",s_Irr!AG9&lt;&gt;".",s_Irr!BE9="."),s_dir!J9/((1/1000)*(s_Irr!I9+s_Irr!AG9)),IF(AND(s_Irr!I9&lt;&gt;".",s_Irr!AG9=".",s_Irr!BE9&lt;&gt;"."),s_dir!J9/((1/1000)*(s_Irr!I9+s_Irr!BE9)),IF(AND(s_Irr!I9=".",s_Irr!AG9&lt;&gt;".",s_Irr!BE9&lt;&gt;"."),s_dir!J9/((1/1000)*(s_Irr!AG9+s_Irr!BE9)),IF(AND(s_Irr!I9=".",s_Irr!AG9=".",s_Irr!BE9&lt;&gt;"."),s_dir!J9/((1/1000)*(s_Irr!BE9)),IF(AND(s_Irr!I9=".",s_Irr!AG9&lt;&gt;".",s_Irr!BE9="."),s_dir!J9/((1/1000)*(s_Irr!AG9)),IF(AND(s_Irr!I9&lt;&gt;".",s_Irr!AG9=".",s_Irr!BE9="."),s_dir!J9/((1/1000)*(s_Irr!I9)),IF(AND(s_Irr!I9=".",s_Irr!AG9=".",s_Irr!BE9="."),s_dir!J9*1000)))))))),".")</f>
        <v>189956.85176550486</v>
      </c>
      <c r="K9" s="48">
        <f>IFERROR(IF(AND(s_Irr!J9&lt;&gt;".",s_Irr!AH9&lt;&gt;".",s_Irr!BF9&lt;&gt;"."),s_dir!K9/((1/1000)*(s_Irr!J9+s_Irr!AH9+s_Irr!BF9)),IF(AND(s_Irr!J9&lt;&gt;".",s_Irr!AH9&lt;&gt;".",s_Irr!BF9="."),s_dir!K9/((1/1000)*(s_Irr!J9+s_Irr!AH9)),IF(AND(s_Irr!J9&lt;&gt;".",s_Irr!AH9=".",s_Irr!BF9&lt;&gt;"."),s_dir!K9/((1/1000)*(s_Irr!J9+s_Irr!BF9)),IF(AND(s_Irr!J9=".",s_Irr!AH9&lt;&gt;".",s_Irr!BF9&lt;&gt;"."),s_dir!K9/((1/1000)*(s_Irr!AH9+s_Irr!BF9)),IF(AND(s_Irr!J9=".",s_Irr!AH9=".",s_Irr!BF9&lt;&gt;"."),s_dir!K9/((1/1000)*(s_Irr!BF9)),IF(AND(s_Irr!J9=".",s_Irr!AH9&lt;&gt;".",s_Irr!BF9="."),s_dir!K9/((1/1000)*(s_Irr!AH9)),IF(AND(s_Irr!J9&lt;&gt;".",s_Irr!AH9=".",s_Irr!BF9="."),s_dir!K9/((1/1000)*(s_Irr!J9)),IF(AND(s_Irr!J9=".",s_Irr!AH9=".",s_Irr!BF9="."),s_dir!K9*1000)))))))),".")</f>
        <v>189956.85176550486</v>
      </c>
      <c r="L9" s="48">
        <f>IFERROR(IF(AND(s_Irr!K9&lt;&gt;".",s_Irr!AI9&lt;&gt;".",s_Irr!BG9&lt;&gt;"."),s_dir!L9/((1/1000)*(s_Irr!K9+s_Irr!AI9+s_Irr!BG9)),IF(AND(s_Irr!K9&lt;&gt;".",s_Irr!AI9&lt;&gt;".",s_Irr!BG9="."),s_dir!L9/((1/1000)*(s_Irr!K9+s_Irr!AI9)),IF(AND(s_Irr!K9&lt;&gt;".",s_Irr!AI9=".",s_Irr!BG9&lt;&gt;"."),s_dir!L9/((1/1000)*(s_Irr!K9+s_Irr!BG9)),IF(AND(s_Irr!K9=".",s_Irr!AI9&lt;&gt;".",s_Irr!BG9&lt;&gt;"."),s_dir!L9/((1/1000)*(s_Irr!AI9+s_Irr!BG9)),IF(AND(s_Irr!K9=".",s_Irr!AI9=".",s_Irr!BG9&lt;&gt;"."),s_dir!L9/((1/1000)*(s_Irr!BG9)),IF(AND(s_Irr!K9=".",s_Irr!AI9&lt;&gt;".",s_Irr!BG9="."),s_dir!L9/((1/1000)*(s_Irr!AI9)),IF(AND(s_Irr!K9&lt;&gt;".",s_Irr!AI9=".",s_Irr!BG9="."),s_dir!L9/((1/1000)*(s_Irr!K9)),IF(AND(s_Irr!K9=".",s_Irr!AI9=".",s_Irr!BG9="."),s_dir!L9*1000)))))))),".")</f>
        <v>189956.85176550486</v>
      </c>
      <c r="M9" s="48">
        <f>IFERROR(IF(AND(s_Irr!L9&lt;&gt;".",s_Irr!AJ9&lt;&gt;".",s_Irr!BH9&lt;&gt;"."),s_dir!M9/((1/1000)*(s_Irr!L9+s_Irr!AJ9+s_Irr!BH9)),IF(AND(s_Irr!L9&lt;&gt;".",s_Irr!AJ9&lt;&gt;".",s_Irr!BH9="."),s_dir!M9/((1/1000)*(s_Irr!L9+s_Irr!AJ9)),IF(AND(s_Irr!L9&lt;&gt;".",s_Irr!AJ9=".",s_Irr!BH9&lt;&gt;"."),s_dir!M9/((1/1000)*(s_Irr!L9+s_Irr!BH9)),IF(AND(s_Irr!L9=".",s_Irr!AJ9&lt;&gt;".",s_Irr!BH9&lt;&gt;"."),s_dir!M9/((1/1000)*(s_Irr!AJ9+s_Irr!BH9)),IF(AND(s_Irr!L9=".",s_Irr!AJ9=".",s_Irr!BH9&lt;&gt;"."),s_dir!M9/((1/1000)*(s_Irr!BH9)),IF(AND(s_Irr!L9=".",s_Irr!AJ9&lt;&gt;".",s_Irr!BH9="."),s_dir!M9/((1/1000)*(s_Irr!AJ9)),IF(AND(s_Irr!L9&lt;&gt;".",s_Irr!AJ9=".",s_Irr!BH9="."),s_dir!M9/((1/1000)*(s_Irr!L9)),IF(AND(s_Irr!L9=".",s_Irr!AJ9=".",s_Irr!BH9="."),s_dir!M9*1000)))))))),".")</f>
        <v>189956.85176550486</v>
      </c>
      <c r="N9" s="48">
        <f>IFERROR(IF(AND(s_Irr!M9&lt;&gt;".",s_Irr!AK9&lt;&gt;".",s_Irr!BI9&lt;&gt;"."),s_dir!N9/((1/1000)*(s_Irr!M9+s_Irr!AK9+s_Irr!BI9)),IF(AND(s_Irr!M9&lt;&gt;".",s_Irr!AK9&lt;&gt;".",s_Irr!BI9="."),s_dir!N9/((1/1000)*(s_Irr!M9+s_Irr!AK9)),IF(AND(s_Irr!M9&lt;&gt;".",s_Irr!AK9=".",s_Irr!BI9&lt;&gt;"."),s_dir!N9/((1/1000)*(s_Irr!M9+s_Irr!BI9)),IF(AND(s_Irr!M9=".",s_Irr!AK9&lt;&gt;".",s_Irr!BI9&lt;&gt;"."),s_dir!N9/((1/1000)*(s_Irr!AK9+s_Irr!BI9)),IF(AND(s_Irr!M9=".",s_Irr!AK9=".",s_Irr!BI9&lt;&gt;"."),s_dir!N9/((1/1000)*(s_Irr!BI9)),IF(AND(s_Irr!M9=".",s_Irr!AK9&lt;&gt;".",s_Irr!BI9="."),s_dir!N9/((1/1000)*(s_Irr!AK9)),IF(AND(s_Irr!M9&lt;&gt;".",s_Irr!AK9=".",s_Irr!BI9="."),s_dir!N9/((1/1000)*(s_Irr!M9)),IF(AND(s_Irr!M9=".",s_Irr!AK9=".",s_Irr!BI9="."),s_dir!N9*1000)))))))),".")</f>
        <v>189956.85176550486</v>
      </c>
      <c r="O9" s="48">
        <f>IFERROR(IF(AND(s_Irr!N9&lt;&gt;".",s_Irr!AL9&lt;&gt;".",s_Irr!BJ9&lt;&gt;"."),s_dir!O9/((1/1000)*(s_Irr!N9+s_Irr!AL9+s_Irr!BJ9)),IF(AND(s_Irr!N9&lt;&gt;".",s_Irr!AL9&lt;&gt;".",s_Irr!BJ9="."),s_dir!O9/((1/1000)*(s_Irr!N9+s_Irr!AL9)),IF(AND(s_Irr!N9&lt;&gt;".",s_Irr!AL9=".",s_Irr!BJ9&lt;&gt;"."),s_dir!O9/((1/1000)*(s_Irr!N9+s_Irr!BJ9)),IF(AND(s_Irr!N9=".",s_Irr!AL9&lt;&gt;".",s_Irr!BJ9&lt;&gt;"."),s_dir!O9/((1/1000)*(s_Irr!AL9+s_Irr!BJ9)),IF(AND(s_Irr!N9=".",s_Irr!AL9=".",s_Irr!BJ9&lt;&gt;"."),s_dir!O9/((1/1000)*(s_Irr!BJ9)),IF(AND(s_Irr!N9=".",s_Irr!AL9&lt;&gt;".",s_Irr!BJ9="."),s_dir!O9/((1/1000)*(s_Irr!AL9)),IF(AND(s_Irr!N9&lt;&gt;".",s_Irr!AL9=".",s_Irr!BJ9="."),s_dir!O9/((1/1000)*(s_Irr!N9)),IF(AND(s_Irr!N9=".",s_Irr!AL9=".",s_Irr!BJ9="."),s_dir!O9*1000)))))))),".")</f>
        <v>189956.85176550486</v>
      </c>
      <c r="P9" s="48">
        <f>IFERROR(IF(AND(s_Irr!O9&lt;&gt;".",s_Irr!AM9&lt;&gt;".",s_Irr!BK9&lt;&gt;"."),s_dir!P9/((1/1000)*(s_Irr!O9+s_Irr!AM9+s_Irr!BK9)),IF(AND(s_Irr!O9&lt;&gt;".",s_Irr!AM9&lt;&gt;".",s_Irr!BK9="."),s_dir!P9/((1/1000)*(s_Irr!O9+s_Irr!AM9)),IF(AND(s_Irr!O9&lt;&gt;".",s_Irr!AM9=".",s_Irr!BK9&lt;&gt;"."),s_dir!P9/((1/1000)*(s_Irr!O9+s_Irr!BK9)),IF(AND(s_Irr!O9=".",s_Irr!AM9&lt;&gt;".",s_Irr!BK9&lt;&gt;"."),s_dir!P9/((1/1000)*(s_Irr!AM9+s_Irr!BK9)),IF(AND(s_Irr!O9=".",s_Irr!AM9=".",s_Irr!BK9&lt;&gt;"."),s_dir!P9/((1/1000)*(s_Irr!BK9)),IF(AND(s_Irr!O9=".",s_Irr!AM9&lt;&gt;".",s_Irr!BK9="."),s_dir!P9/((1/1000)*(s_Irr!AM9)),IF(AND(s_Irr!O9&lt;&gt;".",s_Irr!AM9=".",s_Irr!BK9="."),s_dir!P9/((1/1000)*(s_Irr!O9)),IF(AND(s_Irr!O9=".",s_Irr!AM9=".",s_Irr!BK9="."),s_dir!P9*1000)))))))),".")</f>
        <v>189956.85176550486</v>
      </c>
      <c r="Q9" s="48">
        <f>IFERROR(IF(AND(s_Irr!P9&lt;&gt;".",s_Irr!AN9&lt;&gt;".",s_Irr!BL9&lt;&gt;"."),s_dir!Q9/((1/1000)*(s_Irr!P9+s_Irr!AN9+s_Irr!BL9)),IF(AND(s_Irr!P9&lt;&gt;".",s_Irr!AN9&lt;&gt;".",s_Irr!BL9="."),s_dir!Q9/((1/1000)*(s_Irr!P9+s_Irr!AN9)),IF(AND(s_Irr!P9&lt;&gt;".",s_Irr!AN9=".",s_Irr!BL9&lt;&gt;"."),s_dir!Q9/((1/1000)*(s_Irr!P9+s_Irr!BL9)),IF(AND(s_Irr!P9=".",s_Irr!AN9&lt;&gt;".",s_Irr!BL9&lt;&gt;"."),s_dir!Q9/((1/1000)*(s_Irr!AN9+s_Irr!BL9)),IF(AND(s_Irr!P9=".",s_Irr!AN9=".",s_Irr!BL9&lt;&gt;"."),s_dir!Q9/((1/1000)*(s_Irr!BL9)),IF(AND(s_Irr!P9=".",s_Irr!AN9&lt;&gt;".",s_Irr!BL9="."),s_dir!Q9/((1/1000)*(s_Irr!AN9)),IF(AND(s_Irr!P9&lt;&gt;".",s_Irr!AN9=".",s_Irr!BL9="."),s_dir!Q9/((1/1000)*(s_Irr!P9)),IF(AND(s_Irr!P9=".",s_Irr!AN9=".",s_Irr!BL9="."),s_dir!Q9*1000)))))))),".")</f>
        <v>189956.85176550486</v>
      </c>
      <c r="R9" s="48">
        <f>IFERROR(IF(AND(s_Irr!Q9&lt;&gt;".",s_Irr!AO9&lt;&gt;".",s_Irr!BM9&lt;&gt;"."),s_dir!R9/((1/1000)*(s_Irr!Q9+s_Irr!AO9+s_Irr!BM9)),IF(AND(s_Irr!Q9&lt;&gt;".",s_Irr!AO9&lt;&gt;".",s_Irr!BM9="."),s_dir!R9/((1/1000)*(s_Irr!Q9+s_Irr!AO9)),IF(AND(s_Irr!Q9&lt;&gt;".",s_Irr!AO9=".",s_Irr!BM9&lt;&gt;"."),s_dir!R9/((1/1000)*(s_Irr!Q9+s_Irr!BM9)),IF(AND(s_Irr!Q9=".",s_Irr!AO9&lt;&gt;".",s_Irr!BM9&lt;&gt;"."),s_dir!R9/((1/1000)*(s_Irr!AO9+s_Irr!BM9)),IF(AND(s_Irr!Q9=".",s_Irr!AO9=".",s_Irr!BM9&lt;&gt;"."),s_dir!R9/((1/1000)*(s_Irr!BM9)),IF(AND(s_Irr!Q9=".",s_Irr!AO9&lt;&gt;".",s_Irr!BM9="."),s_dir!R9/((1/1000)*(s_Irr!AO9)),IF(AND(s_Irr!Q9&lt;&gt;".",s_Irr!AO9=".",s_Irr!BM9="."),s_dir!R9/((1/1000)*(s_Irr!Q9)),IF(AND(s_Irr!Q9=".",s_Irr!AO9=".",s_Irr!BM9="."),s_dir!R9*1000)))))))),".")</f>
        <v>189956.85176550486</v>
      </c>
      <c r="S9" s="48">
        <f>IFERROR(IF(AND(s_Irr!R9&lt;&gt;".",s_Irr!AP9&lt;&gt;".",s_Irr!BN9&lt;&gt;"."),s_dir!S9/((1/1000)*(s_Irr!R9+s_Irr!AP9+s_Irr!BN9)),IF(AND(s_Irr!R9&lt;&gt;".",s_Irr!AP9&lt;&gt;".",s_Irr!BN9="."),s_dir!S9/((1/1000)*(s_Irr!R9+s_Irr!AP9)),IF(AND(s_Irr!R9&lt;&gt;".",s_Irr!AP9=".",s_Irr!BN9&lt;&gt;"."),s_dir!S9/((1/1000)*(s_Irr!R9+s_Irr!BN9)),IF(AND(s_Irr!R9=".",s_Irr!AP9&lt;&gt;".",s_Irr!BN9&lt;&gt;"."),s_dir!S9/((1/1000)*(s_Irr!AP9+s_Irr!BN9)),IF(AND(s_Irr!R9=".",s_Irr!AP9=".",s_Irr!BN9&lt;&gt;"."),s_dir!S9/((1/1000)*(s_Irr!BN9)),IF(AND(s_Irr!R9=".",s_Irr!AP9&lt;&gt;".",s_Irr!BN9="."),s_dir!S9/((1/1000)*(s_Irr!AP9)),IF(AND(s_Irr!R9&lt;&gt;".",s_Irr!AP9=".",s_Irr!BN9="."),s_dir!S9/((1/1000)*(s_Irr!R9)),IF(AND(s_Irr!R9=".",s_Irr!AP9=".",s_Irr!BN9="."),s_dir!S9*1000)))))))),".")</f>
        <v>189956.85176550486</v>
      </c>
      <c r="T9" s="48">
        <f>IFERROR(IF(AND(s_Irr!S9&lt;&gt;".",s_Irr!AQ9&lt;&gt;".",s_Irr!BO9&lt;&gt;"."),s_dir!T9/((1/1000)*(s_Irr!S9+s_Irr!AQ9+s_Irr!BO9)),IF(AND(s_Irr!S9&lt;&gt;".",s_Irr!AQ9&lt;&gt;".",s_Irr!BO9="."),s_dir!T9/((1/1000)*(s_Irr!S9+s_Irr!AQ9)),IF(AND(s_Irr!S9&lt;&gt;".",s_Irr!AQ9=".",s_Irr!BO9&lt;&gt;"."),s_dir!T9/((1/1000)*(s_Irr!S9+s_Irr!BO9)),IF(AND(s_Irr!S9=".",s_Irr!AQ9&lt;&gt;".",s_Irr!BO9&lt;&gt;"."),s_dir!T9/((1/1000)*(s_Irr!AQ9+s_Irr!BO9)),IF(AND(s_Irr!S9=".",s_Irr!AQ9=".",s_Irr!BO9&lt;&gt;"."),s_dir!T9/((1/1000)*(s_Irr!BO9)),IF(AND(s_Irr!S9=".",s_Irr!AQ9&lt;&gt;".",s_Irr!BO9="."),s_dir!T9/((1/1000)*(s_Irr!AQ9)),IF(AND(s_Irr!S9&lt;&gt;".",s_Irr!AQ9=".",s_Irr!BO9="."),s_dir!T9/((1/1000)*(s_Irr!S9)),IF(AND(s_Irr!S9=".",s_Irr!AQ9=".",s_Irr!BO9="."),s_dir!T9*1000)))))))),".")</f>
        <v>189956.85176550486</v>
      </c>
      <c r="U9" s="48">
        <f>IFERROR(IF(AND(s_Irr!T9&lt;&gt;".",s_Irr!AR9&lt;&gt;".",s_Irr!BP9&lt;&gt;"."),s_dir!U9/((1/1000)*(s_Irr!T9+s_Irr!AR9+s_Irr!BP9)),IF(AND(s_Irr!T9&lt;&gt;".",s_Irr!AR9&lt;&gt;".",s_Irr!BP9="."),s_dir!U9/((1/1000)*(s_Irr!T9+s_Irr!AR9)),IF(AND(s_Irr!T9&lt;&gt;".",s_Irr!AR9=".",s_Irr!BP9&lt;&gt;"."),s_dir!U9/((1/1000)*(s_Irr!T9+s_Irr!BP9)),IF(AND(s_Irr!T9=".",s_Irr!AR9&lt;&gt;".",s_Irr!BP9&lt;&gt;"."),s_dir!U9/((1/1000)*(s_Irr!AR9+s_Irr!BP9)),IF(AND(s_Irr!T9=".",s_Irr!AR9=".",s_Irr!BP9&lt;&gt;"."),s_dir!U9/((1/1000)*(s_Irr!BP9)),IF(AND(s_Irr!T9=".",s_Irr!AR9&lt;&gt;".",s_Irr!BP9="."),s_dir!U9/((1/1000)*(s_Irr!AR9)),IF(AND(s_Irr!T9&lt;&gt;".",s_Irr!AR9=".",s_Irr!BP9="."),s_dir!U9/((1/1000)*(s_Irr!T9)),IF(AND(s_Irr!T9=".",s_Irr!AR9=".",s_Irr!BP9="."),s_dir!U9*1000)))))))),".")</f>
        <v>189956.85176550486</v>
      </c>
      <c r="V9" s="48">
        <f>IFERROR(IF(AND(s_Irr!U9&lt;&gt;".",s_Irr!AS9&lt;&gt;".",s_Irr!BQ9&lt;&gt;"."),s_dir!V9/((1/1000)*(s_Irr!U9+s_Irr!AS9+s_Irr!BQ9)),IF(AND(s_Irr!U9&lt;&gt;".",s_Irr!AS9&lt;&gt;".",s_Irr!BQ9="."),s_dir!V9/((1/1000)*(s_Irr!U9+s_Irr!AS9)),IF(AND(s_Irr!U9&lt;&gt;".",s_Irr!AS9=".",s_Irr!BQ9&lt;&gt;"."),s_dir!V9/((1/1000)*(s_Irr!U9+s_Irr!BQ9)),IF(AND(s_Irr!U9=".",s_Irr!AS9&lt;&gt;".",s_Irr!BQ9&lt;&gt;"."),s_dir!V9/((1/1000)*(s_Irr!AS9+s_Irr!BQ9)),IF(AND(s_Irr!U9=".",s_Irr!AS9=".",s_Irr!BQ9&lt;&gt;"."),s_dir!V9/((1/1000)*(s_Irr!BQ9)),IF(AND(s_Irr!U9=".",s_Irr!AS9&lt;&gt;".",s_Irr!BQ9="."),s_dir!V9/((1/1000)*(s_Irr!AS9)),IF(AND(s_Irr!U9&lt;&gt;".",s_Irr!AS9=".",s_Irr!BQ9="."),s_dir!V9/((1/1000)*(s_Irr!U9)),IF(AND(s_Irr!U9=".",s_Irr!AS9=".",s_Irr!BQ9="."),s_dir!V9*1000)))))))),".")</f>
        <v>189956.85176550486</v>
      </c>
      <c r="W9" s="48">
        <f>IFERROR(IF(AND(s_Irr!V9&lt;&gt;".",s_Irr!AT9&lt;&gt;".",s_Irr!BR9&lt;&gt;"."),s_dir!W9/((1/1000)*(s_Irr!V9+s_Irr!AT9+s_Irr!BR9)),IF(AND(s_Irr!V9&lt;&gt;".",s_Irr!AT9&lt;&gt;".",s_Irr!BR9="."),s_dir!W9/((1/1000)*(s_Irr!V9+s_Irr!AT9)),IF(AND(s_Irr!V9&lt;&gt;".",s_Irr!AT9=".",s_Irr!BR9&lt;&gt;"."),s_dir!W9/((1/1000)*(s_Irr!V9+s_Irr!BR9)),IF(AND(s_Irr!V9=".",s_Irr!AT9&lt;&gt;".",s_Irr!BR9&lt;&gt;"."),s_dir!W9/((1/1000)*(s_Irr!AT9+s_Irr!BR9)),IF(AND(s_Irr!V9=".",s_Irr!AT9=".",s_Irr!BR9&lt;&gt;"."),s_dir!W9/((1/1000)*(s_Irr!BR9)),IF(AND(s_Irr!V9=".",s_Irr!AT9&lt;&gt;".",s_Irr!BR9="."),s_dir!W9/((1/1000)*(s_Irr!AT9)),IF(AND(s_Irr!V9&lt;&gt;".",s_Irr!AT9=".",s_Irr!BR9="."),s_dir!W9/((1/1000)*(s_Irr!V9)),IF(AND(s_Irr!V9=".",s_Irr!AT9=".",s_Irr!BR9="."),s_dir!W9*1000)))))))),".")</f>
        <v>189956.85176550486</v>
      </c>
      <c r="X9" s="48">
        <f>IFERROR(IF(AND(s_Irr!W9&lt;&gt;".",s_Irr!AU9&lt;&gt;".",s_Irr!BS9&lt;&gt;"."),s_dir!X9/((1/1000)*(s_Irr!W9+s_Irr!AU9+s_Irr!BS9)),IF(AND(s_Irr!W9&lt;&gt;".",s_Irr!AU9&lt;&gt;".",s_Irr!BS9="."),s_dir!X9/((1/1000)*(s_Irr!W9+s_Irr!AU9)),IF(AND(s_Irr!W9&lt;&gt;".",s_Irr!AU9=".",s_Irr!BS9&lt;&gt;"."),s_dir!X9/((1/1000)*(s_Irr!W9+s_Irr!BS9)),IF(AND(s_Irr!W9=".",s_Irr!AU9&lt;&gt;".",s_Irr!BS9&lt;&gt;"."),s_dir!X9/((1/1000)*(s_Irr!AU9+s_Irr!BS9)),IF(AND(s_Irr!W9=".",s_Irr!AU9=".",s_Irr!BS9&lt;&gt;"."),s_dir!X9/((1/1000)*(s_Irr!BS9)),IF(AND(s_Irr!W9=".",s_Irr!AU9&lt;&gt;".",s_Irr!BS9="."),s_dir!X9/((1/1000)*(s_Irr!AU9)),IF(AND(s_Irr!W9&lt;&gt;".",s_Irr!AU9=".",s_Irr!BS9="."),s_dir!X9/((1/1000)*(s_Irr!W9)),IF(AND(s_Irr!W9=".",s_Irr!AU9=".",s_Irr!BS9="."),s_dir!X9*1000)))))))),".")</f>
        <v>189956.85176550486</v>
      </c>
      <c r="Y9" s="48">
        <f>IFERROR(IF(AND(s_Irr!X9&lt;&gt;".",s_Irr!AV9&lt;&gt;".",s_Irr!BT9&lt;&gt;"."),s_dir!Y9/((1/1000)*(s_Irr!X9+s_Irr!AV9+s_Irr!BT9)),IF(AND(s_Irr!X9&lt;&gt;".",s_Irr!AV9&lt;&gt;".",s_Irr!BT9="."),s_dir!Y9/((1/1000)*(s_Irr!X9+s_Irr!AV9)),IF(AND(s_Irr!X9&lt;&gt;".",s_Irr!AV9=".",s_Irr!BT9&lt;&gt;"."),s_dir!Y9/((1/1000)*(s_Irr!X9+s_Irr!BT9)),IF(AND(s_Irr!X9=".",s_Irr!AV9&lt;&gt;".",s_Irr!BT9&lt;&gt;"."),s_dir!Y9/((1/1000)*(s_Irr!AV9+s_Irr!BT9)),IF(AND(s_Irr!X9=".",s_Irr!AV9=".",s_Irr!BT9&lt;&gt;"."),s_dir!Y9/((1/1000)*(s_Irr!BT9)),IF(AND(s_Irr!X9=".",s_Irr!AV9&lt;&gt;".",s_Irr!BT9="."),s_dir!Y9/((1/1000)*(s_Irr!AV9)),IF(AND(s_Irr!X9&lt;&gt;".",s_Irr!AV9=".",s_Irr!BT9="."),s_dir!Y9/((1/1000)*(s_Irr!X9)),IF(AND(s_Irr!X9=".",s_Irr!AV9=".",s_Irr!BT9="."),s_dir!Y9*1000)))))))),".")</f>
        <v>189956.85176550486</v>
      </c>
      <c r="Z9" s="48">
        <f>IFERROR(IF(AND(s_Irr!Y9&lt;&gt;".",s_Irr!AW9&lt;&gt;".",s_Irr!BU9&lt;&gt;"."),s_dir!Z9/((1/1000)*(s_Irr!Y9+s_Irr!AW9+s_Irr!BU9)),IF(AND(s_Irr!Y9&lt;&gt;".",s_Irr!AW9&lt;&gt;".",s_Irr!BU9="."),s_dir!Z9/((1/1000)*(s_Irr!Y9+s_Irr!AW9)),IF(AND(s_Irr!Y9&lt;&gt;".",s_Irr!AW9=".",s_Irr!BU9&lt;&gt;"."),s_dir!Z9/((1/1000)*(s_Irr!Y9+s_Irr!BU9)),IF(AND(s_Irr!Y9=".",s_Irr!AW9&lt;&gt;".",s_Irr!BU9&lt;&gt;"."),s_dir!Z9/((1/1000)*(s_Irr!AW9+s_Irr!BU9)),IF(AND(s_Irr!Y9=".",s_Irr!AW9=".",s_Irr!BU9&lt;&gt;"."),s_dir!Z9/((1/1000)*(s_Irr!BU9)),IF(AND(s_Irr!Y9=".",s_Irr!AW9&lt;&gt;".",s_Irr!BU9="."),s_dir!Z9/((1/1000)*(s_Irr!AW9)),IF(AND(s_Irr!Y9&lt;&gt;".",s_Irr!AW9=".",s_Irr!BU9="."),s_dir!Z9/((1/1000)*(s_Irr!Y9)),IF(AND(s_Irr!Y9=".",s_Irr!AW9=".",s_Irr!BU9="."),s_dir!Z9*1000)))))))),".")</f>
        <v>189956.85176550486</v>
      </c>
      <c r="AA9" s="48">
        <f>IFERROR(IF(AND(s_Irr!Z9&lt;&gt;".",s_Irr!AX9&lt;&gt;".",s_Irr!BV9&lt;&gt;"."),s_dir!AA9/((1/1000)*(s_Irr!Z9+s_Irr!AX9+s_Irr!BV9)),IF(AND(s_Irr!Z9&lt;&gt;".",s_Irr!AX9&lt;&gt;".",s_Irr!BV9="."),s_dir!AA9/((1/1000)*(s_Irr!Z9+s_Irr!AX9)),IF(AND(s_Irr!Z9&lt;&gt;".",s_Irr!AX9=".",s_Irr!BV9&lt;&gt;"."),s_dir!AA9/((1/1000)*(s_Irr!Z9+s_Irr!BV9)),IF(AND(s_Irr!Z9=".",s_Irr!AX9&lt;&gt;".",s_Irr!BV9&lt;&gt;"."),s_dir!AA9/((1/1000)*(s_Irr!AX9+s_Irr!BV9)),IF(AND(s_Irr!Z9=".",s_Irr!AX9=".",s_Irr!BV9&lt;&gt;"."),s_dir!AA9/((1/1000)*(s_Irr!BV9)),IF(AND(s_Irr!Z9=".",s_Irr!AX9&lt;&gt;".",s_Irr!BV9="."),s_dir!AA9/((1/1000)*(s_Irr!AX9)),IF(AND(s_Irr!Z9&lt;&gt;".",s_Irr!AX9=".",s_Irr!BV9="."),s_dir!AA9/((1/1000)*(s_Irr!Z9)),IF(AND(s_Irr!Z9=".",s_Irr!AX9=".",s_Irr!BV9="."),s_dir!AA9*1000)))))))),".")</f>
        <v>189956.85176550486</v>
      </c>
      <c r="AB9" s="62">
        <f t="shared" si="3"/>
        <v>716.17359988017915</v>
      </c>
      <c r="AC9" s="62">
        <f>IFERROR(s_C*s_IFAP_res_adj*s_CF_apple*0.001*(s_Irr!C9+s_Irr!AA9+s_Irr!AY9),".")</f>
        <v>238.72453329339305</v>
      </c>
      <c r="AD9" s="62">
        <f>IFERROR(s_C*s_IFAS_res_adj*s_CF_asparagus*0.001*(s_Irr!D9+s_Irr!AB9+s_Irr!AZ9),".")</f>
        <v>238.72453329339305</v>
      </c>
      <c r="AE9" s="62">
        <f>IFERROR(s_C*s_IFBT_res_adj*s_CF_beet*0.001*(s_Irr!E9+s_Irr!AC9+s_Irr!BA9),".")</f>
        <v>238.72453329339305</v>
      </c>
      <c r="AF9" s="62">
        <f>IFERROR(s_C*s_IFBE_res_adj*s_CF_berries*0.001*(s_Irr!F9+s_Irr!AD9+s_Irr!BB9),".")</f>
        <v>238.72453329339305</v>
      </c>
      <c r="AG9" s="62">
        <f>IFERROR(s_C*s_IFBR_res_adj*s_CF_broccoli*0.001*(s_Irr!G9+s_Irr!AE9+s_Irr!BC9),".")</f>
        <v>238.72453329339305</v>
      </c>
      <c r="AH9" s="62">
        <f>IFERROR(s_C*s_IFCB_res_adj*s_CF_cabbage*0.001*(s_Irr!H9+s_Irr!AF9+s_Irr!BD9),".")</f>
        <v>238.72453329339305</v>
      </c>
      <c r="AI9" s="62">
        <f>IFERROR(s_C*s_IFCR_res_adj*s_CF_carrot*0.001*(s_Irr!I9+s_Irr!AG9+s_Irr!BE9),".")</f>
        <v>238.72453329339305</v>
      </c>
      <c r="AJ9" s="62">
        <f>IFERROR(s_C*s_IFCI_res_adj*s_CF_citrus*0.001*(s_Irr!J9+s_Irr!AH9+s_Irr!BF9),".")</f>
        <v>238.72453329339305</v>
      </c>
      <c r="AK9" s="62">
        <f>IFERROR(s_C*s_IFCO_res_adj*s_CF_corn*0.001*(s_Irr!K9+s_Irr!AI9+s_Irr!BG9),".")</f>
        <v>238.72453329339305</v>
      </c>
      <c r="AL9" s="62">
        <f>IFERROR(s_C*s_IFCU_res_adj*s_CF_cucumber*0.001*(s_Irr!L9+s_Irr!AJ9+s_Irr!BH9),".")</f>
        <v>238.72453329339305</v>
      </c>
      <c r="AM9" s="62">
        <f>IFERROR(s_C*s_IFLE_res_adj*s_CF_lettuce*0.001*(s_Irr!M9+s_Irr!AK9+s_Irr!BI9),".")</f>
        <v>238.72453329339305</v>
      </c>
      <c r="AN9" s="62">
        <f>IFERROR(s_C*s_IFLI_res_adj*s_CF_lima_bean*0.001*(s_Irr!N9+s_Irr!AL9+s_Irr!BJ9),".")</f>
        <v>238.72453329339305</v>
      </c>
      <c r="AO9" s="62">
        <f>IFERROR(s_C*s_IFOK_res_adj*s_CF_okra*0.001*(s_Irr!O9+s_Irr!AM9+s_Irr!BK9),".")</f>
        <v>238.72453329339305</v>
      </c>
      <c r="AP9" s="62">
        <f>IFERROR(s_C*s_IFON_res_adj*s_CF_onion*0.001*(s_Irr!P9+s_Irr!AN9+s_Irr!BL9),".")</f>
        <v>238.72453329339305</v>
      </c>
      <c r="AQ9" s="62">
        <f>IFERROR(s_C*s_IFPC_res_adj*s_CF_peach*0.001*(s_Irr!Q9+s_Irr!AO9+s_Irr!BM9),".")</f>
        <v>238.72453329339305</v>
      </c>
      <c r="AR9" s="62">
        <f>IFERROR(s_C*s_IFPR_res_adj*s_CF_pear*0.001*(s_Irr!R9+s_Irr!AP9+s_Irr!BN9),".")</f>
        <v>238.72453329339305</v>
      </c>
      <c r="AS9" s="62">
        <f>IFERROR(s_C*s_IFPE_res_adj*s_CF_peas*0.001*(s_Irr!S9+s_Irr!AQ9+s_Irr!BO9),".")</f>
        <v>238.72453329339305</v>
      </c>
      <c r="AT9" s="62">
        <f>IFERROR(s_C*s_IFPT_res_adj*s_CF_potato*0.001*(s_Irr!T9+s_Irr!AR9+s_Irr!BP9),".")</f>
        <v>238.72453329339305</v>
      </c>
      <c r="AU9" s="62">
        <f>IFERROR(s_C*s_IFPU_res_adj*s_CF_pumpkin*0.001*(s_Irr!U9+s_Irr!AS9+s_Irr!BQ9),".")</f>
        <v>238.72453329339305</v>
      </c>
      <c r="AV9" s="62">
        <f>IFERROR(s_C*s_IFSN_res_adj*s_CF_snap_bean*0.001*(s_Irr!V9+s_Irr!AT9+s_Irr!BR9),".")</f>
        <v>238.72453329339305</v>
      </c>
      <c r="AW9" s="62">
        <f>IFERROR(s_C*s_IFST_res_adj*s_CF_strawberry*0.001*(s_Irr!W9+s_Irr!AU9+s_Irr!BS9),".")</f>
        <v>238.72453329339305</v>
      </c>
      <c r="AX9" s="62">
        <f>IFERROR(s_C*s_IFTO_res_adj*s_CF_tomato*0.001*(s_Irr!X9+s_Irr!AV9+s_Irr!BT9),".")</f>
        <v>238.72453329339305</v>
      </c>
      <c r="AY9" s="62">
        <f>IFERROR(s_C*s_IFRI_res_adj*s_CF_rice*0.001*(s_Irr!Y9+s_Irr!AW9+s_Irr!BU9),".")</f>
        <v>238.72453329339305</v>
      </c>
      <c r="AZ9" s="62">
        <f>IFERROR(s_C*s_IFCG_res_adj*s_CF_cereal*0.001*(s_Irr!Z9+s_Irr!AX9+s_Irr!BV9),".")</f>
        <v>238.72453329339305</v>
      </c>
      <c r="BA9" s="48">
        <f t="shared" si="0"/>
        <v>63318.950588501619</v>
      </c>
      <c r="BB9" s="48">
        <f>IFERROR(IF(AND(s_Irr!C9&lt;&gt;".",s_Irr!AA9&lt;&gt;".",s_Irr!AY9&lt;&gt;"."),s_dir!AC9/((1/1000)*(s_Irr!C9+s_Irr!AA9+s_Irr!AY9)),IF(AND(s_Irr!C9&lt;&gt;".",s_Irr!AA9&lt;&gt;".",s_Irr!AY9="."),s_dir!AC9/((1/1000)*(s_Irr!C9+s_Irr!AA9)),IF(AND(s_Irr!C9&lt;&gt;".",s_Irr!AA9=".",s_Irr!AY9&lt;&gt;"."),s_dir!AC9/((1/1000)*(s_Irr!C9+s_Irr!AY9)),IF(AND(s_Irr!C9=".",s_Irr!AA9&lt;&gt;".",s_Irr!AY9&lt;&gt;"."),s_dir!AC9/((1/1000)*(s_Irr!AA9+s_Irr!AY9)),IF(AND(s_Irr!C9=".",s_Irr!AA9=".",s_Irr!AY9&lt;&gt;"."),s_dir!AC9/((1/1000)*(s_Irr!AY9)),IF(AND(s_Irr!C9=".",s_Irr!AA9&lt;&gt;".",s_Irr!AY9="."),s_dir!AC9/((1/1000)*(s_Irr!AA9)),IF(AND(s_Irr!C9&lt;&gt;".",s_Irr!AA9=".",s_Irr!AY9="."),s_dir!AC9/((1/1000)*(s_Irr!C9)),IF(AND(s_Irr!C9=".",s_Irr!AA9=".",s_Irr!AY9="."),s_dir!AC9*1000)))))))),".")</f>
        <v>189956.85176550486</v>
      </c>
      <c r="BC9" s="48">
        <f>IFERROR(IF(AND(s_Irr!D9&lt;&gt;".",s_Irr!AB9&lt;&gt;".",s_Irr!AZ9&lt;&gt;"."),s_dir!AD9/((1/1000)*(s_Irr!D9+s_Irr!AB9+s_Irr!AZ9)),IF(AND(s_Irr!D9&lt;&gt;".",s_Irr!AB9&lt;&gt;".",s_Irr!AZ9="."),s_dir!AD9/((1/1000)*(s_Irr!D9+s_Irr!AB9)),IF(AND(s_Irr!D9&lt;&gt;".",s_Irr!AB9=".",s_Irr!AZ9&lt;&gt;"."),s_dir!AD9/((1/1000)*(s_Irr!D9+s_Irr!AZ9)),IF(AND(s_Irr!D9=".",s_Irr!AB9&lt;&gt;".",s_Irr!AZ9&lt;&gt;"."),s_dir!AD9/((1/1000)*(s_Irr!AB9+s_Irr!AZ9)),IF(AND(s_Irr!D9=".",s_Irr!AB9=".",s_Irr!AZ9&lt;&gt;"."),s_dir!AD9/((1/1000)*(s_Irr!AZ9)),IF(AND(s_Irr!D9=".",s_Irr!AB9&lt;&gt;".",s_Irr!AZ9="."),s_dir!AD9/((1/1000)*(s_Irr!AB9)),IF(AND(s_Irr!D9&lt;&gt;".",s_Irr!AB9=".",s_Irr!AZ9="."),s_dir!AD9/((1/1000)*(s_Irr!D9)),IF(AND(s_Irr!D9=".",s_Irr!AB9=".",s_Irr!AZ9="."),s_dir!AD9*1000)))))))),".")</f>
        <v>189956.85176550486</v>
      </c>
      <c r="BD9" s="48">
        <f>IFERROR(IF(AND(s_Irr!E9&lt;&gt;".",s_Irr!AC9&lt;&gt;".",s_Irr!BA9&lt;&gt;"."),s_dir!AE9/((1/1000)*(s_Irr!E9+s_Irr!AC9+s_Irr!BA9)),IF(AND(s_Irr!E9&lt;&gt;".",s_Irr!AC9&lt;&gt;".",s_Irr!BA9="."),s_dir!AE9/((1/1000)*(s_Irr!E9+s_Irr!AC9)),IF(AND(s_Irr!E9&lt;&gt;".",s_Irr!AC9=".",s_Irr!BA9&lt;&gt;"."),s_dir!AE9/((1/1000)*(s_Irr!E9+s_Irr!BA9)),IF(AND(s_Irr!E9=".",s_Irr!AC9&lt;&gt;".",s_Irr!BA9&lt;&gt;"."),s_dir!AE9/((1/1000)*(s_Irr!AC9+s_Irr!BA9)),IF(AND(s_Irr!E9=".",s_Irr!AC9=".",s_Irr!BA9&lt;&gt;"."),s_dir!AE9/((1/1000)*(s_Irr!BA9)),IF(AND(s_Irr!E9=".",s_Irr!AC9&lt;&gt;".",s_Irr!BA9="."),s_dir!AE9/((1/1000)*(s_Irr!AC9)),IF(AND(s_Irr!E9&lt;&gt;".",s_Irr!AC9=".",s_Irr!BA9="."),s_dir!AE9/((1/1000)*(s_Irr!E9)),IF(AND(s_Irr!E9=".",s_Irr!AC9=".",s_Irr!BA9="."),s_dir!AE9*1000)))))))),".")</f>
        <v>189956.85176550486</v>
      </c>
      <c r="BE9" s="48">
        <f>IFERROR(IF(AND(s_Irr!F9&lt;&gt;".",s_Irr!AD9&lt;&gt;".",s_Irr!BB9&lt;&gt;"."),s_dir!AF9/((1/1000)*(s_Irr!F9+s_Irr!AD9+s_Irr!BB9)),IF(AND(s_Irr!F9&lt;&gt;".",s_Irr!AD9&lt;&gt;".",s_Irr!BB9="."),s_dir!AF9/((1/1000)*(s_Irr!F9+s_Irr!AD9)),IF(AND(s_Irr!F9&lt;&gt;".",s_Irr!AD9=".",s_Irr!BB9&lt;&gt;"."),s_dir!AF9/((1/1000)*(s_Irr!F9+s_Irr!BB9)),IF(AND(s_Irr!F9=".",s_Irr!AD9&lt;&gt;".",s_Irr!BB9&lt;&gt;"."),s_dir!AF9/((1/1000)*(s_Irr!AD9+s_Irr!BB9)),IF(AND(s_Irr!F9=".",s_Irr!AD9=".",s_Irr!BB9&lt;&gt;"."),s_dir!AF9/((1/1000)*(s_Irr!BB9)),IF(AND(s_Irr!F9=".",s_Irr!AD9&lt;&gt;".",s_Irr!BB9="."),s_dir!AF9/((1/1000)*(s_Irr!AD9)),IF(AND(s_Irr!F9&lt;&gt;".",s_Irr!AD9=".",s_Irr!BB9="."),s_dir!AF9/((1/1000)*(s_Irr!F9)),IF(AND(s_Irr!F9=".",s_Irr!AD9=".",s_Irr!BB9="."),s_dir!AF9*1000)))))))),".")</f>
        <v>189956.85176550486</v>
      </c>
      <c r="BF9" s="48">
        <f>IFERROR(IF(AND(s_Irr!G9&lt;&gt;".",s_Irr!AE9&lt;&gt;".",s_Irr!BC9&lt;&gt;"."),s_dir!AG9/((1/1000)*(s_Irr!G9+s_Irr!AE9+s_Irr!BC9)),IF(AND(s_Irr!G9&lt;&gt;".",s_Irr!AE9&lt;&gt;".",s_Irr!BC9="."),s_dir!AG9/((1/1000)*(s_Irr!G9+s_Irr!AE9)),IF(AND(s_Irr!G9&lt;&gt;".",s_Irr!AE9=".",s_Irr!BC9&lt;&gt;"."),s_dir!AG9/((1/1000)*(s_Irr!G9+s_Irr!BC9)),IF(AND(s_Irr!G9=".",s_Irr!AE9&lt;&gt;".",s_Irr!BC9&lt;&gt;"."),s_dir!AG9/((1/1000)*(s_Irr!AE9+s_Irr!BC9)),IF(AND(s_Irr!G9=".",s_Irr!AE9=".",s_Irr!BC9&lt;&gt;"."),s_dir!AG9/((1/1000)*(s_Irr!BC9)),IF(AND(s_Irr!G9=".",s_Irr!AE9&lt;&gt;".",s_Irr!BC9="."),s_dir!AG9/((1/1000)*(s_Irr!AE9)),IF(AND(s_Irr!G9&lt;&gt;".",s_Irr!AE9=".",s_Irr!BC9="."),s_dir!AG9/((1/1000)*(s_Irr!G9)),IF(AND(s_Irr!G9=".",s_Irr!AE9=".",s_Irr!BC9="."),s_dir!AG9*1000)))))))),".")</f>
        <v>189956.85176550486</v>
      </c>
      <c r="BG9" s="48">
        <f>IFERROR(IF(AND(s_Irr!H9&lt;&gt;".",s_Irr!AF9&lt;&gt;".",s_Irr!BD9&lt;&gt;"."),s_dir!AH9/((1/1000)*(s_Irr!H9+s_Irr!AF9+s_Irr!BD9)),IF(AND(s_Irr!H9&lt;&gt;".",s_Irr!AF9&lt;&gt;".",s_Irr!BD9="."),s_dir!AH9/((1/1000)*(s_Irr!H9+s_Irr!AF9)),IF(AND(s_Irr!H9&lt;&gt;".",s_Irr!AF9=".",s_Irr!BD9&lt;&gt;"."),s_dir!AH9/((1/1000)*(s_Irr!H9+s_Irr!BD9)),IF(AND(s_Irr!H9=".",s_Irr!AF9&lt;&gt;".",s_Irr!BD9&lt;&gt;"."),s_dir!AH9/((1/1000)*(s_Irr!AF9+s_Irr!BD9)),IF(AND(s_Irr!H9=".",s_Irr!AF9=".",s_Irr!BD9&lt;&gt;"."),s_dir!AH9/((1/1000)*(s_Irr!BD9)),IF(AND(s_Irr!H9=".",s_Irr!AF9&lt;&gt;".",s_Irr!BD9="."),s_dir!AH9/((1/1000)*(s_Irr!AF9)),IF(AND(s_Irr!H9&lt;&gt;".",s_Irr!AF9=".",s_Irr!BD9="."),s_dir!AH9/((1/1000)*(s_Irr!H9)),IF(AND(s_Irr!H9=".",s_Irr!AF9=".",s_Irr!BD9="."),s_dir!AH9*1000)))))))),".")</f>
        <v>189956.85176550486</v>
      </c>
      <c r="BH9" s="48">
        <f>IFERROR(IF(AND(s_Irr!I9&lt;&gt;".",s_Irr!AG9&lt;&gt;".",s_Irr!BE9&lt;&gt;"."),s_dir!AI9/((1/1000)*(s_Irr!I9+s_Irr!AG9+s_Irr!BE9)),IF(AND(s_Irr!I9&lt;&gt;".",s_Irr!AG9&lt;&gt;".",s_Irr!BE9="."),s_dir!AI9/((1/1000)*(s_Irr!I9+s_Irr!AG9)),IF(AND(s_Irr!I9&lt;&gt;".",s_Irr!AG9=".",s_Irr!BE9&lt;&gt;"."),s_dir!AI9/((1/1000)*(s_Irr!I9+s_Irr!BE9)),IF(AND(s_Irr!I9=".",s_Irr!AG9&lt;&gt;".",s_Irr!BE9&lt;&gt;"."),s_dir!AI9/((1/1000)*(s_Irr!AG9+s_Irr!BE9)),IF(AND(s_Irr!I9=".",s_Irr!AG9=".",s_Irr!BE9&lt;&gt;"."),s_dir!AI9/((1/1000)*(s_Irr!BE9)),IF(AND(s_Irr!I9=".",s_Irr!AG9&lt;&gt;".",s_Irr!BE9="."),s_dir!AI9/((1/1000)*(s_Irr!AG9)),IF(AND(s_Irr!I9&lt;&gt;".",s_Irr!AG9=".",s_Irr!BE9="."),s_dir!AI9/((1/1000)*(s_Irr!I9)),IF(AND(s_Irr!I9=".",s_Irr!AG9=".",s_Irr!BE9="."),s_dir!AI9*1000)))))))),".")</f>
        <v>189956.85176550486</v>
      </c>
      <c r="BI9" s="48">
        <f>IFERROR(IF(AND(s_Irr!J9&lt;&gt;".",s_Irr!AH9&lt;&gt;".",s_Irr!BF9&lt;&gt;"."),s_dir!AJ9/((1/1000)*(s_Irr!J9+s_Irr!AH9+s_Irr!BF9)),IF(AND(s_Irr!J9&lt;&gt;".",s_Irr!AH9&lt;&gt;".",s_Irr!BF9="."),s_dir!AJ9/((1/1000)*(s_Irr!J9+s_Irr!AH9)),IF(AND(s_Irr!J9&lt;&gt;".",s_Irr!AH9=".",s_Irr!BF9&lt;&gt;"."),s_dir!AJ9/((1/1000)*(s_Irr!J9+s_Irr!BF9)),IF(AND(s_Irr!J9=".",s_Irr!AH9&lt;&gt;".",s_Irr!BF9&lt;&gt;"."),s_dir!AJ9/((1/1000)*(s_Irr!AH9+s_Irr!BF9)),IF(AND(s_Irr!J9=".",s_Irr!AH9=".",s_Irr!BF9&lt;&gt;"."),s_dir!AJ9/((1/1000)*(s_Irr!BF9)),IF(AND(s_Irr!J9=".",s_Irr!AH9&lt;&gt;".",s_Irr!BF9="."),s_dir!AJ9/((1/1000)*(s_Irr!AH9)),IF(AND(s_Irr!J9&lt;&gt;".",s_Irr!AH9=".",s_Irr!BF9="."),s_dir!AJ9/((1/1000)*(s_Irr!J9)),IF(AND(s_Irr!J9=".",s_Irr!AH9=".",s_Irr!BF9="."),s_dir!AJ9*1000)))))))),".")</f>
        <v>189956.85176550486</v>
      </c>
      <c r="BJ9" s="48">
        <f>IFERROR(IF(AND(s_Irr!K9&lt;&gt;".",s_Irr!AI9&lt;&gt;".",s_Irr!BG9&lt;&gt;"."),s_dir!AK9/((1/1000)*(s_Irr!K9+s_Irr!AI9+s_Irr!BG9)),IF(AND(s_Irr!K9&lt;&gt;".",s_Irr!AI9&lt;&gt;".",s_Irr!BG9="."),s_dir!AK9/((1/1000)*(s_Irr!K9+s_Irr!AI9)),IF(AND(s_Irr!K9&lt;&gt;".",s_Irr!AI9=".",s_Irr!BG9&lt;&gt;"."),s_dir!AK9/((1/1000)*(s_Irr!K9+s_Irr!BG9)),IF(AND(s_Irr!K9=".",s_Irr!AI9&lt;&gt;".",s_Irr!BG9&lt;&gt;"."),s_dir!AK9/((1/1000)*(s_Irr!AI9+s_Irr!BG9)),IF(AND(s_Irr!K9=".",s_Irr!AI9=".",s_Irr!BG9&lt;&gt;"."),s_dir!AK9/((1/1000)*(s_Irr!BG9)),IF(AND(s_Irr!K9=".",s_Irr!AI9&lt;&gt;".",s_Irr!BG9="."),s_dir!AK9/((1/1000)*(s_Irr!AI9)),IF(AND(s_Irr!K9&lt;&gt;".",s_Irr!AI9=".",s_Irr!BG9="."),s_dir!AK9/((1/1000)*(s_Irr!K9)),IF(AND(s_Irr!K9=".",s_Irr!AI9=".",s_Irr!BG9="."),s_dir!AK9*1000)))))))),".")</f>
        <v>189956.85176550486</v>
      </c>
      <c r="BK9" s="48">
        <f>IFERROR(IF(AND(s_Irr!L9&lt;&gt;".",s_Irr!AJ9&lt;&gt;".",s_Irr!BH9&lt;&gt;"."),s_dir!AL9/((1/1000)*(s_Irr!L9+s_Irr!AJ9+s_Irr!BH9)),IF(AND(s_Irr!L9&lt;&gt;".",s_Irr!AJ9&lt;&gt;".",s_Irr!BH9="."),s_dir!AL9/((1/1000)*(s_Irr!L9+s_Irr!AJ9)),IF(AND(s_Irr!L9&lt;&gt;".",s_Irr!AJ9=".",s_Irr!BH9&lt;&gt;"."),s_dir!AL9/((1/1000)*(s_Irr!L9+s_Irr!BH9)),IF(AND(s_Irr!L9=".",s_Irr!AJ9&lt;&gt;".",s_Irr!BH9&lt;&gt;"."),s_dir!AL9/((1/1000)*(s_Irr!AJ9+s_Irr!BH9)),IF(AND(s_Irr!L9=".",s_Irr!AJ9=".",s_Irr!BH9&lt;&gt;"."),s_dir!AL9/((1/1000)*(s_Irr!BH9)),IF(AND(s_Irr!L9=".",s_Irr!AJ9&lt;&gt;".",s_Irr!BH9="."),s_dir!AL9/((1/1000)*(s_Irr!AJ9)),IF(AND(s_Irr!L9&lt;&gt;".",s_Irr!AJ9=".",s_Irr!BH9="."),s_dir!AL9/((1/1000)*(s_Irr!L9)),IF(AND(s_Irr!L9=".",s_Irr!AJ9=".",s_Irr!BH9="."),s_dir!AL9*1000)))))))),".")</f>
        <v>189956.85176550486</v>
      </c>
      <c r="BL9" s="48">
        <f>IFERROR(IF(AND(s_Irr!M9&lt;&gt;".",s_Irr!AK9&lt;&gt;".",s_Irr!BI9&lt;&gt;"."),s_dir!AM9/((1/1000)*(s_Irr!M9+s_Irr!AK9+s_Irr!BI9)),IF(AND(s_Irr!M9&lt;&gt;".",s_Irr!AK9&lt;&gt;".",s_Irr!BI9="."),s_dir!AM9/((1/1000)*(s_Irr!M9+s_Irr!AK9)),IF(AND(s_Irr!M9&lt;&gt;".",s_Irr!AK9=".",s_Irr!BI9&lt;&gt;"."),s_dir!AM9/((1/1000)*(s_Irr!M9+s_Irr!BI9)),IF(AND(s_Irr!M9=".",s_Irr!AK9&lt;&gt;".",s_Irr!BI9&lt;&gt;"."),s_dir!AM9/((1/1000)*(s_Irr!AK9+s_Irr!BI9)),IF(AND(s_Irr!M9=".",s_Irr!AK9=".",s_Irr!BI9&lt;&gt;"."),s_dir!AM9/((1/1000)*(s_Irr!BI9)),IF(AND(s_Irr!M9=".",s_Irr!AK9&lt;&gt;".",s_Irr!BI9="."),s_dir!AM9/((1/1000)*(s_Irr!AK9)),IF(AND(s_Irr!M9&lt;&gt;".",s_Irr!AK9=".",s_Irr!BI9="."),s_dir!AM9/((1/1000)*(s_Irr!M9)),IF(AND(s_Irr!M9=".",s_Irr!AK9=".",s_Irr!BI9="."),s_dir!AM9*1000)))))))),".")</f>
        <v>189956.85176550486</v>
      </c>
      <c r="BM9" s="48">
        <f>IFERROR(IF(AND(s_Irr!N9&lt;&gt;".",s_Irr!AL9&lt;&gt;".",s_Irr!BJ9&lt;&gt;"."),s_dir!AN9/((1/1000)*(s_Irr!N9+s_Irr!AL9+s_Irr!BJ9)),IF(AND(s_Irr!N9&lt;&gt;".",s_Irr!AL9&lt;&gt;".",s_Irr!BJ9="."),s_dir!AN9/((1/1000)*(s_Irr!N9+s_Irr!AL9)),IF(AND(s_Irr!N9&lt;&gt;".",s_Irr!AL9=".",s_Irr!BJ9&lt;&gt;"."),s_dir!AN9/((1/1000)*(s_Irr!N9+s_Irr!BJ9)),IF(AND(s_Irr!N9=".",s_Irr!AL9&lt;&gt;".",s_Irr!BJ9&lt;&gt;"."),s_dir!AN9/((1/1000)*(s_Irr!AL9+s_Irr!BJ9)),IF(AND(s_Irr!N9=".",s_Irr!AL9=".",s_Irr!BJ9&lt;&gt;"."),s_dir!AN9/((1/1000)*(s_Irr!BJ9)),IF(AND(s_Irr!N9=".",s_Irr!AL9&lt;&gt;".",s_Irr!BJ9="."),s_dir!AN9/((1/1000)*(s_Irr!AL9)),IF(AND(s_Irr!N9&lt;&gt;".",s_Irr!AL9=".",s_Irr!BJ9="."),s_dir!AN9/((1/1000)*(s_Irr!N9)),IF(AND(s_Irr!N9=".",s_Irr!AL9=".",s_Irr!BJ9="."),s_dir!AN9*1000)))))))),".")</f>
        <v>189956.85176550486</v>
      </c>
      <c r="BN9" s="48">
        <f>IFERROR(IF(AND(s_Irr!O9&lt;&gt;".",s_Irr!AM9&lt;&gt;".",s_Irr!BK9&lt;&gt;"."),s_dir!AO9/((1/1000)*(s_Irr!O9+s_Irr!AM9+s_Irr!BK9)),IF(AND(s_Irr!O9&lt;&gt;".",s_Irr!AM9&lt;&gt;".",s_Irr!BK9="."),s_dir!AO9/((1/1000)*(s_Irr!O9+s_Irr!AM9)),IF(AND(s_Irr!O9&lt;&gt;".",s_Irr!AM9=".",s_Irr!BK9&lt;&gt;"."),s_dir!AO9/((1/1000)*(s_Irr!O9+s_Irr!BK9)),IF(AND(s_Irr!O9=".",s_Irr!AM9&lt;&gt;".",s_Irr!BK9&lt;&gt;"."),s_dir!AO9/((1/1000)*(s_Irr!AM9+s_Irr!BK9)),IF(AND(s_Irr!O9=".",s_Irr!AM9=".",s_Irr!BK9&lt;&gt;"."),s_dir!AO9/((1/1000)*(s_Irr!BK9)),IF(AND(s_Irr!O9=".",s_Irr!AM9&lt;&gt;".",s_Irr!BK9="."),s_dir!AO9/((1/1000)*(s_Irr!AM9)),IF(AND(s_Irr!O9&lt;&gt;".",s_Irr!AM9=".",s_Irr!BK9="."),s_dir!AO9/((1/1000)*(s_Irr!O9)),IF(AND(s_Irr!O9=".",s_Irr!AM9=".",s_Irr!BK9="."),s_dir!AO9*1000)))))))),".")</f>
        <v>189956.85176550486</v>
      </c>
      <c r="BO9" s="48">
        <f>IFERROR(IF(AND(s_Irr!P9&lt;&gt;".",s_Irr!AN9&lt;&gt;".",s_Irr!BL9&lt;&gt;"."),s_dir!AP9/((1/1000)*(s_Irr!P9+s_Irr!AN9+s_Irr!BL9)),IF(AND(s_Irr!P9&lt;&gt;".",s_Irr!AN9&lt;&gt;".",s_Irr!BL9="."),s_dir!AP9/((1/1000)*(s_Irr!P9+s_Irr!AN9)),IF(AND(s_Irr!P9&lt;&gt;".",s_Irr!AN9=".",s_Irr!BL9&lt;&gt;"."),s_dir!AP9/((1/1000)*(s_Irr!P9+s_Irr!BL9)),IF(AND(s_Irr!P9=".",s_Irr!AN9&lt;&gt;".",s_Irr!BL9&lt;&gt;"."),s_dir!AP9/((1/1000)*(s_Irr!AN9+s_Irr!BL9)),IF(AND(s_Irr!P9=".",s_Irr!AN9=".",s_Irr!BL9&lt;&gt;"."),s_dir!AP9/((1/1000)*(s_Irr!BL9)),IF(AND(s_Irr!P9=".",s_Irr!AN9&lt;&gt;".",s_Irr!BL9="."),s_dir!AP9/((1/1000)*(s_Irr!AN9)),IF(AND(s_Irr!P9&lt;&gt;".",s_Irr!AN9=".",s_Irr!BL9="."),s_dir!AP9/((1/1000)*(s_Irr!P9)),IF(AND(s_Irr!P9=".",s_Irr!AN9=".",s_Irr!BL9="."),s_dir!AP9*1000)))))))),".")</f>
        <v>189956.85176550486</v>
      </c>
      <c r="BP9" s="48">
        <f>IFERROR(IF(AND(s_Irr!Q9&lt;&gt;".",s_Irr!AO9&lt;&gt;".",s_Irr!BM9&lt;&gt;"."),s_dir!AQ9/((1/1000)*(s_Irr!Q9+s_Irr!AO9+s_Irr!BM9)),IF(AND(s_Irr!Q9&lt;&gt;".",s_Irr!AO9&lt;&gt;".",s_Irr!BM9="."),s_dir!AQ9/((1/1000)*(s_Irr!Q9+s_Irr!AO9)),IF(AND(s_Irr!Q9&lt;&gt;".",s_Irr!AO9=".",s_Irr!BM9&lt;&gt;"."),s_dir!AQ9/((1/1000)*(s_Irr!Q9+s_Irr!BM9)),IF(AND(s_Irr!Q9=".",s_Irr!AO9&lt;&gt;".",s_Irr!BM9&lt;&gt;"."),s_dir!AQ9/((1/1000)*(s_Irr!AO9+s_Irr!BM9)),IF(AND(s_Irr!Q9=".",s_Irr!AO9=".",s_Irr!BM9&lt;&gt;"."),s_dir!AQ9/((1/1000)*(s_Irr!BM9)),IF(AND(s_Irr!Q9=".",s_Irr!AO9&lt;&gt;".",s_Irr!BM9="."),s_dir!AQ9/((1/1000)*(s_Irr!AO9)),IF(AND(s_Irr!Q9&lt;&gt;".",s_Irr!AO9=".",s_Irr!BM9="."),s_dir!AQ9/((1/1000)*(s_Irr!Q9)),IF(AND(s_Irr!Q9=".",s_Irr!AO9=".",s_Irr!BM9="."),s_dir!AQ9*1000)))))))),".")</f>
        <v>189956.85176550486</v>
      </c>
      <c r="BQ9" s="48">
        <f>IFERROR(IF(AND(s_Irr!R9&lt;&gt;".",s_Irr!AP9&lt;&gt;".",s_Irr!BN9&lt;&gt;"."),s_dir!AR9/((1/1000)*(s_Irr!R9+s_Irr!AP9+s_Irr!BN9)),IF(AND(s_Irr!R9&lt;&gt;".",s_Irr!AP9&lt;&gt;".",s_Irr!BN9="."),s_dir!AR9/((1/1000)*(s_Irr!R9+s_Irr!AP9)),IF(AND(s_Irr!R9&lt;&gt;".",s_Irr!AP9=".",s_Irr!BN9&lt;&gt;"."),s_dir!AR9/((1/1000)*(s_Irr!R9+s_Irr!BN9)),IF(AND(s_Irr!R9=".",s_Irr!AP9&lt;&gt;".",s_Irr!BN9&lt;&gt;"."),s_dir!AR9/((1/1000)*(s_Irr!AP9+s_Irr!BN9)),IF(AND(s_Irr!R9=".",s_Irr!AP9=".",s_Irr!BN9&lt;&gt;"."),s_dir!AR9/((1/1000)*(s_Irr!BN9)),IF(AND(s_Irr!R9=".",s_Irr!AP9&lt;&gt;".",s_Irr!BN9="."),s_dir!AR9/((1/1000)*(s_Irr!AP9)),IF(AND(s_Irr!R9&lt;&gt;".",s_Irr!AP9=".",s_Irr!BN9="."),s_dir!AR9/((1/1000)*(s_Irr!R9)),IF(AND(s_Irr!R9=".",s_Irr!AP9=".",s_Irr!BN9="."),s_dir!AR9*1000)))))))),".")</f>
        <v>189956.85176550486</v>
      </c>
      <c r="BR9" s="48">
        <f>IFERROR(IF(AND(s_Irr!S9&lt;&gt;".",s_Irr!AQ9&lt;&gt;".",s_Irr!BO9&lt;&gt;"."),s_dir!AS9/((1/1000)*(s_Irr!S9+s_Irr!AQ9+s_Irr!BO9)),IF(AND(s_Irr!S9&lt;&gt;".",s_Irr!AQ9&lt;&gt;".",s_Irr!BO9="."),s_dir!AS9/((1/1000)*(s_Irr!S9+s_Irr!AQ9)),IF(AND(s_Irr!S9&lt;&gt;".",s_Irr!AQ9=".",s_Irr!BO9&lt;&gt;"."),s_dir!AS9/((1/1000)*(s_Irr!S9+s_Irr!BO9)),IF(AND(s_Irr!S9=".",s_Irr!AQ9&lt;&gt;".",s_Irr!BO9&lt;&gt;"."),s_dir!AS9/((1/1000)*(s_Irr!AQ9+s_Irr!BO9)),IF(AND(s_Irr!S9=".",s_Irr!AQ9=".",s_Irr!BO9&lt;&gt;"."),s_dir!AS9/((1/1000)*(s_Irr!BO9)),IF(AND(s_Irr!S9=".",s_Irr!AQ9&lt;&gt;".",s_Irr!BO9="."),s_dir!AS9/((1/1000)*(s_Irr!AQ9)),IF(AND(s_Irr!S9&lt;&gt;".",s_Irr!AQ9=".",s_Irr!BO9="."),s_dir!AS9/((1/1000)*(s_Irr!S9)),IF(AND(s_Irr!S9=".",s_Irr!AQ9=".",s_Irr!BO9="."),s_dir!AS9*1000)))))))),".")</f>
        <v>189956.85176550486</v>
      </c>
      <c r="BS9" s="48">
        <f>IFERROR(IF(AND(s_Irr!T9&lt;&gt;".",s_Irr!AR9&lt;&gt;".",s_Irr!BP9&lt;&gt;"."),s_dir!AT9/((1/1000)*(s_Irr!T9+s_Irr!AR9+s_Irr!BP9)),IF(AND(s_Irr!T9&lt;&gt;".",s_Irr!AR9&lt;&gt;".",s_Irr!BP9="."),s_dir!AT9/((1/1000)*(s_Irr!T9+s_Irr!AR9)),IF(AND(s_Irr!T9&lt;&gt;".",s_Irr!AR9=".",s_Irr!BP9&lt;&gt;"."),s_dir!AT9/((1/1000)*(s_Irr!T9+s_Irr!BP9)),IF(AND(s_Irr!T9=".",s_Irr!AR9&lt;&gt;".",s_Irr!BP9&lt;&gt;"."),s_dir!AT9/((1/1000)*(s_Irr!AR9+s_Irr!BP9)),IF(AND(s_Irr!T9=".",s_Irr!AR9=".",s_Irr!BP9&lt;&gt;"."),s_dir!AT9/((1/1000)*(s_Irr!BP9)),IF(AND(s_Irr!T9=".",s_Irr!AR9&lt;&gt;".",s_Irr!BP9="."),s_dir!AT9/((1/1000)*(s_Irr!AR9)),IF(AND(s_Irr!T9&lt;&gt;".",s_Irr!AR9=".",s_Irr!BP9="."),s_dir!AT9/((1/1000)*(s_Irr!T9)),IF(AND(s_Irr!T9=".",s_Irr!AR9=".",s_Irr!BP9="."),s_dir!AT9*1000)))))))),".")</f>
        <v>189956.85176550486</v>
      </c>
      <c r="BT9" s="48">
        <f>IFERROR(IF(AND(s_Irr!U9&lt;&gt;".",s_Irr!AS9&lt;&gt;".",s_Irr!BQ9&lt;&gt;"."),s_dir!AU9/((1/1000)*(s_Irr!U9+s_Irr!AS9+s_Irr!BQ9)),IF(AND(s_Irr!U9&lt;&gt;".",s_Irr!AS9&lt;&gt;".",s_Irr!BQ9="."),s_dir!AU9/((1/1000)*(s_Irr!U9+s_Irr!AS9)),IF(AND(s_Irr!U9&lt;&gt;".",s_Irr!AS9=".",s_Irr!BQ9&lt;&gt;"."),s_dir!AU9/((1/1000)*(s_Irr!U9+s_Irr!BQ9)),IF(AND(s_Irr!U9=".",s_Irr!AS9&lt;&gt;".",s_Irr!BQ9&lt;&gt;"."),s_dir!AU9/((1/1000)*(s_Irr!AS9+s_Irr!BQ9)),IF(AND(s_Irr!U9=".",s_Irr!AS9=".",s_Irr!BQ9&lt;&gt;"."),s_dir!AU9/((1/1000)*(s_Irr!BQ9)),IF(AND(s_Irr!U9=".",s_Irr!AS9&lt;&gt;".",s_Irr!BQ9="."),s_dir!AU9/((1/1000)*(s_Irr!AS9)),IF(AND(s_Irr!U9&lt;&gt;".",s_Irr!AS9=".",s_Irr!BQ9="."),s_dir!AU9/((1/1000)*(s_Irr!U9)),IF(AND(s_Irr!U9=".",s_Irr!AS9=".",s_Irr!BQ9="."),s_dir!AU9*1000)))))))),".")</f>
        <v>189956.85176550486</v>
      </c>
      <c r="BU9" s="48">
        <f>IFERROR(IF(AND(s_Irr!V9&lt;&gt;".",s_Irr!AT9&lt;&gt;".",s_Irr!BR9&lt;&gt;"."),s_dir!AV9/((1/1000)*(s_Irr!V9+s_Irr!AT9+s_Irr!BR9)),IF(AND(s_Irr!V9&lt;&gt;".",s_Irr!AT9&lt;&gt;".",s_Irr!BR9="."),s_dir!AV9/((1/1000)*(s_Irr!V9+s_Irr!AT9)),IF(AND(s_Irr!V9&lt;&gt;".",s_Irr!AT9=".",s_Irr!BR9&lt;&gt;"."),s_dir!AV9/((1/1000)*(s_Irr!V9+s_Irr!BR9)),IF(AND(s_Irr!V9=".",s_Irr!AT9&lt;&gt;".",s_Irr!BR9&lt;&gt;"."),s_dir!AV9/((1/1000)*(s_Irr!AT9+s_Irr!BR9)),IF(AND(s_Irr!V9=".",s_Irr!AT9=".",s_Irr!BR9&lt;&gt;"."),s_dir!AV9/((1/1000)*(s_Irr!BR9)),IF(AND(s_Irr!V9=".",s_Irr!AT9&lt;&gt;".",s_Irr!BR9="."),s_dir!AV9/((1/1000)*(s_Irr!AT9)),IF(AND(s_Irr!V9&lt;&gt;".",s_Irr!AT9=".",s_Irr!BR9="."),s_dir!AV9/((1/1000)*(s_Irr!V9)),IF(AND(s_Irr!V9=".",s_Irr!AT9=".",s_Irr!BR9="."),s_dir!AV9*1000)))))))),".")</f>
        <v>189956.85176550486</v>
      </c>
      <c r="BV9" s="48">
        <f>IFERROR(IF(AND(s_Irr!W9&lt;&gt;".",s_Irr!AU9&lt;&gt;".",s_Irr!BS9&lt;&gt;"."),s_dir!AW9/((1/1000)*(s_Irr!W9+s_Irr!AU9+s_Irr!BS9)),IF(AND(s_Irr!W9&lt;&gt;".",s_Irr!AU9&lt;&gt;".",s_Irr!BS9="."),s_dir!AW9/((1/1000)*(s_Irr!W9+s_Irr!AU9)),IF(AND(s_Irr!W9&lt;&gt;".",s_Irr!AU9=".",s_Irr!BS9&lt;&gt;"."),s_dir!AW9/((1/1000)*(s_Irr!W9+s_Irr!BS9)),IF(AND(s_Irr!W9=".",s_Irr!AU9&lt;&gt;".",s_Irr!BS9&lt;&gt;"."),s_dir!AW9/((1/1000)*(s_Irr!AU9+s_Irr!BS9)),IF(AND(s_Irr!W9=".",s_Irr!AU9=".",s_Irr!BS9&lt;&gt;"."),s_dir!AW9/((1/1000)*(s_Irr!BS9)),IF(AND(s_Irr!W9=".",s_Irr!AU9&lt;&gt;".",s_Irr!BS9="."),s_dir!AW9/((1/1000)*(s_Irr!AU9)),IF(AND(s_Irr!W9&lt;&gt;".",s_Irr!AU9=".",s_Irr!BS9="."),s_dir!AW9/((1/1000)*(s_Irr!W9)),IF(AND(s_Irr!W9=".",s_Irr!AU9=".",s_Irr!BS9="."),s_dir!AW9*1000)))))))),".")</f>
        <v>189956.85176550486</v>
      </c>
      <c r="BW9" s="48">
        <f>IFERROR(IF(AND(s_Irr!X9&lt;&gt;".",s_Irr!AV9&lt;&gt;".",s_Irr!BT9&lt;&gt;"."),s_dir!AX9/((1/1000)*(s_Irr!X9+s_Irr!AV9+s_Irr!BT9)),IF(AND(s_Irr!X9&lt;&gt;".",s_Irr!AV9&lt;&gt;".",s_Irr!BT9="."),s_dir!AX9/((1/1000)*(s_Irr!X9+s_Irr!AV9)),IF(AND(s_Irr!X9&lt;&gt;".",s_Irr!AV9=".",s_Irr!BT9&lt;&gt;"."),s_dir!AX9/((1/1000)*(s_Irr!X9+s_Irr!BT9)),IF(AND(s_Irr!X9=".",s_Irr!AV9&lt;&gt;".",s_Irr!BT9&lt;&gt;"."),s_dir!AX9/((1/1000)*(s_Irr!AV9+s_Irr!BT9)),IF(AND(s_Irr!X9=".",s_Irr!AV9=".",s_Irr!BT9&lt;&gt;"."),s_dir!AX9/((1/1000)*(s_Irr!BT9)),IF(AND(s_Irr!X9=".",s_Irr!AV9&lt;&gt;".",s_Irr!BT9="."),s_dir!AX9/((1/1000)*(s_Irr!AV9)),IF(AND(s_Irr!X9&lt;&gt;".",s_Irr!AV9=".",s_Irr!BT9="."),s_dir!AX9/((1/1000)*(s_Irr!X9)),IF(AND(s_Irr!X9=".",s_Irr!AV9=".",s_Irr!BT9="."),s_dir!AX9*1000)))))))),".")</f>
        <v>189956.85176550486</v>
      </c>
      <c r="BX9" s="48">
        <f>IFERROR(IF(AND(s_Irr!Y9&lt;&gt;".",s_Irr!AW9&lt;&gt;".",s_Irr!BU9&lt;&gt;"."),s_dir!AY9/((1/1000)*(s_Irr!Y9+s_Irr!AW9+s_Irr!BU9)),IF(AND(s_Irr!Y9&lt;&gt;".",s_Irr!AW9&lt;&gt;".",s_Irr!BU9="."),s_dir!AY9/((1/1000)*(s_Irr!Y9+s_Irr!AW9)),IF(AND(s_Irr!Y9&lt;&gt;".",s_Irr!AW9=".",s_Irr!BU9&lt;&gt;"."),s_dir!AY9/((1/1000)*(s_Irr!Y9+s_Irr!BU9)),IF(AND(s_Irr!Y9=".",s_Irr!AW9&lt;&gt;".",s_Irr!BU9&lt;&gt;"."),s_dir!AY9/((1/1000)*(s_Irr!AW9+s_Irr!BU9)),IF(AND(s_Irr!Y9=".",s_Irr!AW9=".",s_Irr!BU9&lt;&gt;"."),s_dir!AY9/((1/1000)*(s_Irr!BU9)),IF(AND(s_Irr!Y9=".",s_Irr!AW9&lt;&gt;".",s_Irr!BU9="."),s_dir!AY9/((1/1000)*(s_Irr!AW9)),IF(AND(s_Irr!Y9&lt;&gt;".",s_Irr!AW9=".",s_Irr!BU9="."),s_dir!AY9/((1/1000)*(s_Irr!Y9)),IF(AND(s_Irr!Y9=".",s_Irr!AW9=".",s_Irr!BU9="."),s_dir!AY9*1000)))))))),".")</f>
        <v>189956.85176550486</v>
      </c>
      <c r="BY9" s="48">
        <f>IFERROR(IF(AND(s_Irr!Z9&lt;&gt;".",s_Irr!AX9&lt;&gt;".",s_Irr!BV9&lt;&gt;"."),s_dir!AZ9/((1/1000)*(s_Irr!Z9+s_Irr!AX9+s_Irr!BV9)),IF(AND(s_Irr!Z9&lt;&gt;".",s_Irr!AX9&lt;&gt;".",s_Irr!BV9="."),s_dir!AZ9/((1/1000)*(s_Irr!Z9+s_Irr!AX9)),IF(AND(s_Irr!Z9&lt;&gt;".",s_Irr!AX9=".",s_Irr!BV9&lt;&gt;"."),s_dir!AZ9/((1/1000)*(s_Irr!Z9+s_Irr!BV9)),IF(AND(s_Irr!Z9=".",s_Irr!AX9&lt;&gt;".",s_Irr!BV9&lt;&gt;"."),s_dir!AZ9/((1/1000)*(s_Irr!AX9+s_Irr!BV9)),IF(AND(s_Irr!Z9=".",s_Irr!AX9=".",s_Irr!BV9&lt;&gt;"."),s_dir!AZ9/((1/1000)*(s_Irr!BV9)),IF(AND(s_Irr!Z9=".",s_Irr!AX9&lt;&gt;".",s_Irr!BV9="."),s_dir!AZ9/((1/1000)*(s_Irr!AX9)),IF(AND(s_Irr!Z9&lt;&gt;".",s_Irr!AX9=".",s_Irr!BV9="."),s_dir!AZ9/((1/1000)*(s_Irr!Z9)),IF(AND(s_Irr!Z9=".",s_Irr!AX9=".",s_Irr!BV9="."),s_dir!AZ9*1000)))))))),".")</f>
        <v>189956.85176550486</v>
      </c>
      <c r="BZ9" s="62">
        <f t="shared" si="1"/>
        <v>716.17359988017915</v>
      </c>
      <c r="CA9" s="62">
        <f>IFERROR(s_C*s_IFAP_far_adj*s_CF_apple*(1/1000)*(s_Irr!C9+s_Irr!AA9+s_Irr!AY9),".")</f>
        <v>238.72453329339305</v>
      </c>
      <c r="CB9" s="62">
        <f>IFERROR(s_C*s_IFAS_far_adj*s_CF_asparagus*(1/1000)*(s_Irr!D9+s_Irr!AB9+s_Irr!AZ9),".")</f>
        <v>238.72453329339305</v>
      </c>
      <c r="CC9" s="62">
        <f>IFERROR(s_C*s_IFBT_far_adj*s_CF_beet*(1/1000)*(s_Irr!E9+s_Irr!AC9+s_Irr!BA9),".")</f>
        <v>238.72453329339305</v>
      </c>
      <c r="CD9" s="62">
        <f>IFERROR(s_C*s_IFBE_far_adj*s_CF_berries*(1/1000)*(s_Irr!F9+s_Irr!AD9+s_Irr!BB9),".")</f>
        <v>238.72453329339305</v>
      </c>
      <c r="CE9" s="62">
        <f>IFERROR(s_C*s_IFBR_far_adj*s_CF_broccoli*(1/1000)*(s_Irr!G9+s_Irr!AE9+s_Irr!BC9),".")</f>
        <v>238.72453329339305</v>
      </c>
      <c r="CF9" s="62">
        <f>IFERROR(s_C*s_IFCB_far_adj*s_CF_cabbage*(1/1000)*(s_Irr!H9+s_Irr!AF9+s_Irr!BD9),".")</f>
        <v>238.72453329339305</v>
      </c>
      <c r="CG9" s="62">
        <f>IFERROR(s_C*s_IFCR_far_adj*s_CF_carrot*(1/1000)*(s_Irr!I9+s_Irr!AG9+s_Irr!BE9),".")</f>
        <v>238.72453329339305</v>
      </c>
      <c r="CH9" s="62">
        <f>IFERROR(s_C*s_IFCI_far_adj*s_CF_citrus*(1/1000)*(s_Irr!J9+s_Irr!AH9+s_Irr!BF9),".")</f>
        <v>238.72453329339305</v>
      </c>
      <c r="CI9" s="62">
        <f>IFERROR(s_C*s_IFCO_far_adj*s_CF_corn*(1/1000)*(s_Irr!K9+s_Irr!AI9+s_Irr!BG9),".")</f>
        <v>238.72453329339305</v>
      </c>
      <c r="CJ9" s="62">
        <f>IFERROR(s_C*s_IFCU_far_adj*s_CF_cucumber*(1/1000)*(s_Irr!L9+s_Irr!AJ9+s_Irr!BH9),".")</f>
        <v>238.72453329339305</v>
      </c>
      <c r="CK9" s="62">
        <f>IFERROR(s_C*s_IFLE_far_adj*s_CF_lettuce*(1/1000)*(s_Irr!M9+s_Irr!AK9+s_Irr!BI9),".")</f>
        <v>238.72453329339305</v>
      </c>
      <c r="CL9" s="62">
        <f>IFERROR(s_C*s_IFLI_far_adj*s_CF_lima_bean*(1/1000)*(s_Irr!N9+s_Irr!AL9+s_Irr!BJ9),".")</f>
        <v>238.72453329339305</v>
      </c>
      <c r="CM9" s="62">
        <f>IFERROR(s_C*s_IFOK_far_adj*s_CF_okra*(1/1000)*(s_Irr!O9+s_Irr!AM9+s_Irr!BK9),".")</f>
        <v>238.72453329339305</v>
      </c>
      <c r="CN9" s="62">
        <f>IFERROR(s_C*s_IFON_far_adj*s_CF_onion*(1/1000)*(s_Irr!P9+s_Irr!AN9+s_Irr!BL9),".")</f>
        <v>238.72453329339305</v>
      </c>
      <c r="CO9" s="62">
        <f>IFERROR(s_C*s_IFPC_far_adj*s_CF_peach*(1/1000)*(s_Irr!Q9+s_Irr!AO9+s_Irr!BM9),".")</f>
        <v>238.72453329339305</v>
      </c>
      <c r="CP9" s="62">
        <f>IFERROR(s_C*s_IFPR_far_adj*s_CF_pear*(1/1000)*(s_Irr!R9+s_Irr!AP9+s_Irr!BN9),".")</f>
        <v>238.72453329339305</v>
      </c>
      <c r="CQ9" s="62">
        <f>IFERROR(s_C*s_IFPE_far_adj*s_CF_peas*(1/1000)*(s_Irr!S9+s_Irr!AQ9+s_Irr!BO9),".")</f>
        <v>238.72453329339305</v>
      </c>
      <c r="CR9" s="62">
        <f>IFERROR(s_C*s_IFPT_far_adj*s_CF_potato*(1/1000)*(s_Irr!T9+s_Irr!AR9+s_Irr!BP9),".")</f>
        <v>238.72453329339305</v>
      </c>
      <c r="CS9" s="62">
        <f>IFERROR(s_C*s_IFPU_far_adj*s_CF_pumpkin*(1/1000)*(s_Irr!U9+s_Irr!AS9+s_Irr!BQ9),".")</f>
        <v>238.72453329339305</v>
      </c>
      <c r="CT9" s="62">
        <f>IFERROR(s_C*s_IFSN_far_adj*s_CF_snap_bean*(1/1000)*(s_Irr!V9+s_Irr!AT9+s_Irr!BR9),".")</f>
        <v>238.72453329339305</v>
      </c>
      <c r="CU9" s="62">
        <f>IFERROR(s_C*s_IFST_far_adj*s_CF_strawberry*(1/1000)*(s_Irr!W9+s_Irr!AU9+s_Irr!BS9),".")</f>
        <v>238.72453329339305</v>
      </c>
      <c r="CV9" s="62">
        <f>IFERROR(s_C*s_IFTO_far_adj*s_CF_tomato*(1/1000)*(s_Irr!X9+s_Irr!AV9+s_Irr!BT9),".")</f>
        <v>238.72453329339305</v>
      </c>
      <c r="CW9" s="62">
        <f>IFERROR(s_C*s_IFRI_far_adj*s_CF_rice*(1/1000)*(s_Irr!Y9+s_Irr!AW9+s_Irr!BU9),".")</f>
        <v>238.72453329339305</v>
      </c>
      <c r="CX9" s="62">
        <f>IFERROR(s_C*s_IFCG_far_adj*s_CF_cereal*(1/1000)*(s_Irr!Z9+s_Irr!AX9+s_Irr!BV9),".")</f>
        <v>238.72453329339305</v>
      </c>
    </row>
    <row r="10" spans="1:102" x14ac:dyDescent="0.25">
      <c r="A10" s="63" t="s">
        <v>8</v>
      </c>
      <c r="B10" s="49" t="s">
        <v>336</v>
      </c>
      <c r="C10" s="48">
        <f t="shared" si="2"/>
        <v>1593.7529116748494</v>
      </c>
      <c r="D10" s="48">
        <f>IFERROR(IF(AND(s_Irr!C10&lt;&gt;".",s_Irr!AA10&lt;&gt;".",s_Irr!AY10&lt;&gt;"."),s_dir!D10/((1/1000)*(s_Irr!C10+s_Irr!AA10+s_Irr!AY10)),IF(AND(s_Irr!C10&lt;&gt;".",s_Irr!AA10&lt;&gt;".",s_Irr!AY10="."),s_dir!D10/((1/1000)*(s_Irr!C10+s_Irr!AA10)),IF(AND(s_Irr!C10&lt;&gt;".",s_Irr!AA10=".",s_Irr!AY10&lt;&gt;"."),s_dir!D10/((1/1000)*(s_Irr!C10+s_Irr!AY10)),IF(AND(s_Irr!C10=".",s_Irr!AA10&lt;&gt;".",s_Irr!AY10&lt;&gt;"."),s_dir!D10/((1/1000)*(s_Irr!AA10+s_Irr!AY10)),IF(AND(s_Irr!C10=".",s_Irr!AA10=".",s_Irr!AY10&lt;&gt;"."),s_dir!D10/((1/1000)*(s_Irr!AY10)),IF(AND(s_Irr!C10=".",s_Irr!AA10&lt;&gt;".",s_Irr!AY10="."),s_dir!D10/((1/1000)*(s_Irr!AA10)),IF(AND(s_Irr!C10&lt;&gt;".",s_Irr!AA10=".",s_Irr!AY10="."),s_dir!D10/((1/1000)*(s_Irr!C10)),IF(AND(s_Irr!C10=".",s_Irr!AA10=".",s_Irr!AY10="."),s_dir!D10*1000)))))))),".")</f>
        <v>5228.0860535998863</v>
      </c>
      <c r="E10" s="48">
        <f>IFERROR(IF(AND(s_Irr!D10&lt;&gt;".",s_Irr!AB10&lt;&gt;".",s_Irr!AZ10&lt;&gt;"."),s_dir!E10/((1/1000)*(s_Irr!D10+s_Irr!AB10+s_Irr!AZ10)),IF(AND(s_Irr!D10&lt;&gt;".",s_Irr!AB10&lt;&gt;".",s_Irr!AZ10="."),s_dir!E10/((1/1000)*(s_Irr!D10+s_Irr!AB10)),IF(AND(s_Irr!D10&lt;&gt;".",s_Irr!AB10=".",s_Irr!AZ10&lt;&gt;"."),s_dir!E10/((1/1000)*(s_Irr!D10+s_Irr!AZ10)),IF(AND(s_Irr!D10=".",s_Irr!AB10&lt;&gt;".",s_Irr!AZ10&lt;&gt;"."),s_dir!E10/((1/1000)*(s_Irr!AB10+s_Irr!AZ10)),IF(AND(s_Irr!D10=".",s_Irr!AB10=".",s_Irr!AZ10&lt;&gt;"."),s_dir!E10/((1/1000)*(s_Irr!AZ10)),IF(AND(s_Irr!D10=".",s_Irr!AB10&lt;&gt;".",s_Irr!AZ10="."),s_dir!E10/((1/1000)*(s_Irr!AB10)),IF(AND(s_Irr!D10&lt;&gt;".",s_Irr!AB10=".",s_Irr!AZ10="."),s_dir!E10/((1/1000)*(s_Irr!D10)),IF(AND(s_Irr!D10=".",s_Irr!AB10=".",s_Irr!AZ10="."),s_dir!E10*1000)))))))),".")</f>
        <v>2844.2153848482308</v>
      </c>
      <c r="F10" s="48">
        <f>IFERROR(IF(AND(s_Irr!E10&lt;&gt;".",s_Irr!AC10&lt;&gt;".",s_Irr!BA10&lt;&gt;"."),s_dir!F10/((1/1000)*(s_Irr!E10+s_Irr!AC10+s_Irr!BA10)),IF(AND(s_Irr!E10&lt;&gt;".",s_Irr!AC10&lt;&gt;".",s_Irr!BA10="."),s_dir!F10/((1/1000)*(s_Irr!E10+s_Irr!AC10)),IF(AND(s_Irr!E10&lt;&gt;".",s_Irr!AC10=".",s_Irr!BA10&lt;&gt;"."),s_dir!F10/((1/1000)*(s_Irr!E10+s_Irr!BA10)),IF(AND(s_Irr!E10=".",s_Irr!AC10&lt;&gt;".",s_Irr!BA10&lt;&gt;"."),s_dir!F10/((1/1000)*(s_Irr!AC10+s_Irr!BA10)),IF(AND(s_Irr!E10=".",s_Irr!AC10=".",s_Irr!BA10&lt;&gt;"."),s_dir!F10/((1/1000)*(s_Irr!BA10)),IF(AND(s_Irr!E10=".",s_Irr!AC10&lt;&gt;".",s_Irr!BA10="."),s_dir!F10/((1/1000)*(s_Irr!AC10)),IF(AND(s_Irr!E10&lt;&gt;".",s_Irr!AC10=".",s_Irr!BA10="."),s_dir!F10/((1/1000)*(s_Irr!E10)),IF(AND(s_Irr!E10=".",s_Irr!AC10=".",s_Irr!BA10="."),s_dir!F10*1000)))))))),".")</f>
        <v>3351.776348606239</v>
      </c>
      <c r="G10" s="48">
        <f>IFERROR(IF(AND(s_Irr!F10&lt;&gt;".",s_Irr!AD10&lt;&gt;".",s_Irr!BB10&lt;&gt;"."),s_dir!G10/((1/1000)*(s_Irr!F10+s_Irr!AD10+s_Irr!BB10)),IF(AND(s_Irr!F10&lt;&gt;".",s_Irr!AD10&lt;&gt;".",s_Irr!BB10="."),s_dir!G10/((1/1000)*(s_Irr!F10+s_Irr!AD10)),IF(AND(s_Irr!F10&lt;&gt;".",s_Irr!AD10=".",s_Irr!BB10&lt;&gt;"."),s_dir!G10/((1/1000)*(s_Irr!F10+s_Irr!BB10)),IF(AND(s_Irr!F10=".",s_Irr!AD10&lt;&gt;".",s_Irr!BB10&lt;&gt;"."),s_dir!G10/((1/1000)*(s_Irr!AD10+s_Irr!BB10)),IF(AND(s_Irr!F10=".",s_Irr!AD10=".",s_Irr!BB10&lt;&gt;"."),s_dir!G10/((1/1000)*(s_Irr!BB10)),IF(AND(s_Irr!F10=".",s_Irr!AD10&lt;&gt;".",s_Irr!BB10="."),s_dir!G10/((1/1000)*(s_Irr!AD10)),IF(AND(s_Irr!F10&lt;&gt;".",s_Irr!AD10=".",s_Irr!BB10="."),s_dir!G10/((1/1000)*(s_Irr!F10)),IF(AND(s_Irr!F10=".",s_Irr!AD10=".",s_Irr!BB10="."),s_dir!G10*1000)))))))),".")</f>
        <v>5545.3739336761137</v>
      </c>
      <c r="H10" s="48">
        <f>IFERROR(IF(AND(s_Irr!G10&lt;&gt;".",s_Irr!AE10&lt;&gt;".",s_Irr!BC10&lt;&gt;"."),s_dir!H10/((1/1000)*(s_Irr!G10+s_Irr!AE10+s_Irr!BC10)),IF(AND(s_Irr!G10&lt;&gt;".",s_Irr!AE10&lt;&gt;".",s_Irr!BC10="."),s_dir!H10/((1/1000)*(s_Irr!G10+s_Irr!AE10)),IF(AND(s_Irr!G10&lt;&gt;".",s_Irr!AE10=".",s_Irr!BC10&lt;&gt;"."),s_dir!H10/((1/1000)*(s_Irr!G10+s_Irr!BC10)),IF(AND(s_Irr!G10=".",s_Irr!AE10&lt;&gt;".",s_Irr!BC10&lt;&gt;"."),s_dir!H10/((1/1000)*(s_Irr!AE10+s_Irr!BC10)),IF(AND(s_Irr!G10=".",s_Irr!AE10=".",s_Irr!BC10&lt;&gt;"."),s_dir!H10/((1/1000)*(s_Irr!BC10)),IF(AND(s_Irr!G10=".",s_Irr!AE10&lt;&gt;".",s_Irr!BC10="."),s_dir!H10/((1/1000)*(s_Irr!AE10)),IF(AND(s_Irr!G10&lt;&gt;".",s_Irr!AE10=".",s_Irr!BC10="."),s_dir!H10/((1/1000)*(s_Irr!G10)),IF(AND(s_Irr!G10=".",s_Irr!AE10=".",s_Irr!BC10="."),s_dir!H10*1000)))))))),".")</f>
        <v>4233.0887865555706</v>
      </c>
      <c r="I10" s="48">
        <f>IFERROR(IF(AND(s_Irr!H10&lt;&gt;".",s_Irr!AF10&lt;&gt;".",s_Irr!BD10&lt;&gt;"."),s_dir!I10/((1/1000)*(s_Irr!H10+s_Irr!AF10+s_Irr!BD10)),IF(AND(s_Irr!H10&lt;&gt;".",s_Irr!AF10&lt;&gt;".",s_Irr!BD10="."),s_dir!I10/((1/1000)*(s_Irr!H10+s_Irr!AF10)),IF(AND(s_Irr!H10&lt;&gt;".",s_Irr!AF10=".",s_Irr!BD10&lt;&gt;"."),s_dir!I10/((1/1000)*(s_Irr!H10+s_Irr!BD10)),IF(AND(s_Irr!H10=".",s_Irr!AF10&lt;&gt;".",s_Irr!BD10&lt;&gt;"."),s_dir!I10/((1/1000)*(s_Irr!AF10+s_Irr!BD10)),IF(AND(s_Irr!H10=".",s_Irr!AF10=".",s_Irr!BD10&lt;&gt;"."),s_dir!I10/((1/1000)*(s_Irr!BD10)),IF(AND(s_Irr!H10=".",s_Irr!AF10&lt;&gt;".",s_Irr!BD10="."),s_dir!I10/((1/1000)*(s_Irr!AF10)),IF(AND(s_Irr!H10&lt;&gt;".",s_Irr!AF10=".",s_Irr!BD10="."),s_dir!I10/((1/1000)*(s_Irr!H10)),IF(AND(s_Irr!H10=".",s_Irr!AF10=".",s_Irr!BD10="."),s_dir!I10*1000)))))))),".")</f>
        <v>2844.2153848482308</v>
      </c>
      <c r="J10" s="48">
        <f>IFERROR(IF(AND(s_Irr!I10&lt;&gt;".",s_Irr!AG10&lt;&gt;".",s_Irr!BE10&lt;&gt;"."),s_dir!J10/((1/1000)*(s_Irr!I10+s_Irr!AG10+s_Irr!BE10)),IF(AND(s_Irr!I10&lt;&gt;".",s_Irr!AG10&lt;&gt;".",s_Irr!BE10="."),s_dir!J10/((1/1000)*(s_Irr!I10+s_Irr!AG10)),IF(AND(s_Irr!I10&lt;&gt;".",s_Irr!AG10=".",s_Irr!BE10&lt;&gt;"."),s_dir!J10/((1/1000)*(s_Irr!I10+s_Irr!BE10)),IF(AND(s_Irr!I10=".",s_Irr!AG10&lt;&gt;".",s_Irr!BE10&lt;&gt;"."),s_dir!J10/((1/1000)*(s_Irr!AG10+s_Irr!BE10)),IF(AND(s_Irr!I10=".",s_Irr!AG10=".",s_Irr!BE10&lt;&gt;"."),s_dir!J10/((1/1000)*(s_Irr!BE10)),IF(AND(s_Irr!I10=".",s_Irr!AG10&lt;&gt;".",s_Irr!BE10="."),s_dir!J10/((1/1000)*(s_Irr!AG10)),IF(AND(s_Irr!I10&lt;&gt;".",s_Irr!AG10=".",s_Irr!BE10="."),s_dir!J10/((1/1000)*(s_Irr!I10)),IF(AND(s_Irr!I10=".",s_Irr!AG10=".",s_Irr!BE10="."),s_dir!J10*1000)))))))),".")</f>
        <v>3351.776348606239</v>
      </c>
      <c r="K10" s="48">
        <f>IFERROR(IF(AND(s_Irr!J10&lt;&gt;".",s_Irr!AH10&lt;&gt;".",s_Irr!BF10&lt;&gt;"."),s_dir!K10/((1/1000)*(s_Irr!J10+s_Irr!AH10+s_Irr!BF10)),IF(AND(s_Irr!J10&lt;&gt;".",s_Irr!AH10&lt;&gt;".",s_Irr!BF10="."),s_dir!K10/((1/1000)*(s_Irr!J10+s_Irr!AH10)),IF(AND(s_Irr!J10&lt;&gt;".",s_Irr!AH10=".",s_Irr!BF10&lt;&gt;"."),s_dir!K10/((1/1000)*(s_Irr!J10+s_Irr!BF10)),IF(AND(s_Irr!J10=".",s_Irr!AH10&lt;&gt;".",s_Irr!BF10&lt;&gt;"."),s_dir!K10/((1/1000)*(s_Irr!AH10+s_Irr!BF10)),IF(AND(s_Irr!J10=".",s_Irr!AH10=".",s_Irr!BF10&lt;&gt;"."),s_dir!K10/((1/1000)*(s_Irr!BF10)),IF(AND(s_Irr!J10=".",s_Irr!AH10&lt;&gt;".",s_Irr!BF10="."),s_dir!K10/((1/1000)*(s_Irr!AH10)),IF(AND(s_Irr!J10&lt;&gt;".",s_Irr!AH10=".",s_Irr!BF10="."),s_dir!K10/((1/1000)*(s_Irr!J10)),IF(AND(s_Irr!J10=".",s_Irr!AH10=".",s_Irr!BF10="."),s_dir!K10*1000)))))))),".")</f>
        <v>5228.0860535998863</v>
      </c>
      <c r="L10" s="48">
        <f>IFERROR(IF(AND(s_Irr!K10&lt;&gt;".",s_Irr!AI10&lt;&gt;".",s_Irr!BG10&lt;&gt;"."),s_dir!L10/((1/1000)*(s_Irr!K10+s_Irr!AI10+s_Irr!BG10)),IF(AND(s_Irr!K10&lt;&gt;".",s_Irr!AI10&lt;&gt;".",s_Irr!BG10="."),s_dir!L10/((1/1000)*(s_Irr!K10+s_Irr!AI10)),IF(AND(s_Irr!K10&lt;&gt;".",s_Irr!AI10=".",s_Irr!BG10&lt;&gt;"."),s_dir!L10/((1/1000)*(s_Irr!K10+s_Irr!BG10)),IF(AND(s_Irr!K10=".",s_Irr!AI10&lt;&gt;".",s_Irr!BG10&lt;&gt;"."),s_dir!L10/((1/1000)*(s_Irr!AI10+s_Irr!BG10)),IF(AND(s_Irr!K10=".",s_Irr!AI10=".",s_Irr!BG10&lt;&gt;"."),s_dir!L10/((1/1000)*(s_Irr!BG10)),IF(AND(s_Irr!K10=".",s_Irr!AI10&lt;&gt;".",s_Irr!BG10="."),s_dir!L10/((1/1000)*(s_Irr!AI10)),IF(AND(s_Irr!K10&lt;&gt;".",s_Irr!AI10=".",s_Irr!BG10="."),s_dir!L10/((1/1000)*(s_Irr!K10)),IF(AND(s_Irr!K10=".",s_Irr!AI10=".",s_Irr!BG10="."),s_dir!L10*1000)))))))),".")</f>
        <v>3680.1441512192068</v>
      </c>
      <c r="M10" s="48">
        <f>IFERROR(IF(AND(s_Irr!L10&lt;&gt;".",s_Irr!AJ10&lt;&gt;".",s_Irr!BH10&lt;&gt;"."),s_dir!M10/((1/1000)*(s_Irr!L10+s_Irr!AJ10+s_Irr!BH10)),IF(AND(s_Irr!L10&lt;&gt;".",s_Irr!AJ10&lt;&gt;".",s_Irr!BH10="."),s_dir!M10/((1/1000)*(s_Irr!L10+s_Irr!AJ10)),IF(AND(s_Irr!L10&lt;&gt;".",s_Irr!AJ10=".",s_Irr!BH10&lt;&gt;"."),s_dir!M10/((1/1000)*(s_Irr!L10+s_Irr!BH10)),IF(AND(s_Irr!L10=".",s_Irr!AJ10&lt;&gt;".",s_Irr!BH10&lt;&gt;"."),s_dir!M10/((1/1000)*(s_Irr!AJ10+s_Irr!BH10)),IF(AND(s_Irr!L10=".",s_Irr!AJ10=".",s_Irr!BH10&lt;&gt;"."),s_dir!M10/((1/1000)*(s_Irr!BH10)),IF(AND(s_Irr!L10=".",s_Irr!AJ10&lt;&gt;".",s_Irr!BH10="."),s_dir!M10/((1/1000)*(s_Irr!AJ10)),IF(AND(s_Irr!L10&lt;&gt;".",s_Irr!AJ10=".",s_Irr!BH10="."),s_dir!M10/((1/1000)*(s_Irr!L10)),IF(AND(s_Irr!L10=".",s_Irr!AJ10=".",s_Irr!BH10="."),s_dir!M10*1000)))))))),".")</f>
        <v>4233.0887865555706</v>
      </c>
      <c r="N10" s="48">
        <f>IFERROR(IF(AND(s_Irr!M10&lt;&gt;".",s_Irr!AK10&lt;&gt;".",s_Irr!BI10&lt;&gt;"."),s_dir!N10/((1/1000)*(s_Irr!M10+s_Irr!AK10+s_Irr!BI10)),IF(AND(s_Irr!M10&lt;&gt;".",s_Irr!AK10&lt;&gt;".",s_Irr!BI10="."),s_dir!N10/((1/1000)*(s_Irr!M10+s_Irr!AK10)),IF(AND(s_Irr!M10&lt;&gt;".",s_Irr!AK10=".",s_Irr!BI10&lt;&gt;"."),s_dir!N10/((1/1000)*(s_Irr!M10+s_Irr!BI10)),IF(AND(s_Irr!M10=".",s_Irr!AK10&lt;&gt;".",s_Irr!BI10&lt;&gt;"."),s_dir!N10/((1/1000)*(s_Irr!AK10+s_Irr!BI10)),IF(AND(s_Irr!M10=".",s_Irr!AK10=".",s_Irr!BI10&lt;&gt;"."),s_dir!N10/((1/1000)*(s_Irr!BI10)),IF(AND(s_Irr!M10=".",s_Irr!AK10&lt;&gt;".",s_Irr!BI10="."),s_dir!N10/((1/1000)*(s_Irr!AK10)),IF(AND(s_Irr!M10&lt;&gt;".",s_Irr!AK10=".",s_Irr!BI10="."),s_dir!N10/((1/1000)*(s_Irr!M10)),IF(AND(s_Irr!M10=".",s_Irr!AK10=".",s_Irr!BI10="."),s_dir!N10*1000)))))))),".")</f>
        <v>2844.2153848482308</v>
      </c>
      <c r="O10" s="48">
        <f>IFERROR(IF(AND(s_Irr!N10&lt;&gt;".",s_Irr!AL10&lt;&gt;".",s_Irr!BJ10&lt;&gt;"."),s_dir!O10/((1/1000)*(s_Irr!N10+s_Irr!AL10+s_Irr!BJ10)),IF(AND(s_Irr!N10&lt;&gt;".",s_Irr!AL10&lt;&gt;".",s_Irr!BJ10="."),s_dir!O10/((1/1000)*(s_Irr!N10+s_Irr!AL10)),IF(AND(s_Irr!N10&lt;&gt;".",s_Irr!AL10=".",s_Irr!BJ10&lt;&gt;"."),s_dir!O10/((1/1000)*(s_Irr!N10+s_Irr!BJ10)),IF(AND(s_Irr!N10=".",s_Irr!AL10&lt;&gt;".",s_Irr!BJ10&lt;&gt;"."),s_dir!O10/((1/1000)*(s_Irr!AL10+s_Irr!BJ10)),IF(AND(s_Irr!N10=".",s_Irr!AL10=".",s_Irr!BJ10&lt;&gt;"."),s_dir!O10/((1/1000)*(s_Irr!BJ10)),IF(AND(s_Irr!N10=".",s_Irr!AL10&lt;&gt;".",s_Irr!BJ10="."),s_dir!O10/((1/1000)*(s_Irr!AL10)),IF(AND(s_Irr!N10&lt;&gt;".",s_Irr!AL10=".",s_Irr!BJ10="."),s_dir!O10/((1/1000)*(s_Irr!N10)),IF(AND(s_Irr!N10=".",s_Irr!AL10=".",s_Irr!BJ10="."),s_dir!O10*1000)))))))),".")</f>
        <v>3419.5804633035277</v>
      </c>
      <c r="P10" s="48">
        <f>IFERROR(IF(AND(s_Irr!O10&lt;&gt;".",s_Irr!AM10&lt;&gt;".",s_Irr!BK10&lt;&gt;"."),s_dir!P10/((1/1000)*(s_Irr!O10+s_Irr!AM10+s_Irr!BK10)),IF(AND(s_Irr!O10&lt;&gt;".",s_Irr!AM10&lt;&gt;".",s_Irr!BK10="."),s_dir!P10/((1/1000)*(s_Irr!O10+s_Irr!AM10)),IF(AND(s_Irr!O10&lt;&gt;".",s_Irr!AM10=".",s_Irr!BK10&lt;&gt;"."),s_dir!P10/((1/1000)*(s_Irr!O10+s_Irr!BK10)),IF(AND(s_Irr!O10=".",s_Irr!AM10&lt;&gt;".",s_Irr!BK10&lt;&gt;"."),s_dir!P10/((1/1000)*(s_Irr!AM10+s_Irr!BK10)),IF(AND(s_Irr!O10=".",s_Irr!AM10=".",s_Irr!BK10&lt;&gt;"."),s_dir!P10/((1/1000)*(s_Irr!BK10)),IF(AND(s_Irr!O10=".",s_Irr!AM10&lt;&gt;".",s_Irr!BK10="."),s_dir!P10/((1/1000)*(s_Irr!AM10)),IF(AND(s_Irr!O10&lt;&gt;".",s_Irr!AM10=".",s_Irr!BK10="."),s_dir!P10/((1/1000)*(s_Irr!O10)),IF(AND(s_Irr!O10=".",s_Irr!AM10=".",s_Irr!BK10="."),s_dir!P10*1000)))))))),".")</f>
        <v>4233.0887865555706</v>
      </c>
      <c r="Q10" s="48">
        <f>IFERROR(IF(AND(s_Irr!P10&lt;&gt;".",s_Irr!AN10&lt;&gt;".",s_Irr!BL10&lt;&gt;"."),s_dir!Q10/((1/1000)*(s_Irr!P10+s_Irr!AN10+s_Irr!BL10)),IF(AND(s_Irr!P10&lt;&gt;".",s_Irr!AN10&lt;&gt;".",s_Irr!BL10="."),s_dir!Q10/((1/1000)*(s_Irr!P10+s_Irr!AN10)),IF(AND(s_Irr!P10&lt;&gt;".",s_Irr!AN10=".",s_Irr!BL10&lt;&gt;"."),s_dir!Q10/((1/1000)*(s_Irr!P10+s_Irr!BL10)),IF(AND(s_Irr!P10=".",s_Irr!AN10&lt;&gt;".",s_Irr!BL10&lt;&gt;"."),s_dir!Q10/((1/1000)*(s_Irr!AN10+s_Irr!BL10)),IF(AND(s_Irr!P10=".",s_Irr!AN10=".",s_Irr!BL10&lt;&gt;"."),s_dir!Q10/((1/1000)*(s_Irr!BL10)),IF(AND(s_Irr!P10=".",s_Irr!AN10&lt;&gt;".",s_Irr!BL10="."),s_dir!Q10/((1/1000)*(s_Irr!AN10)),IF(AND(s_Irr!P10&lt;&gt;".",s_Irr!AN10=".",s_Irr!BL10="."),s_dir!Q10/((1/1000)*(s_Irr!P10)),IF(AND(s_Irr!P10=".",s_Irr!AN10=".",s_Irr!BL10="."),s_dir!Q10*1000)))))))),".")</f>
        <v>4233.0887865555706</v>
      </c>
      <c r="R10" s="48">
        <f>IFERROR(IF(AND(s_Irr!Q10&lt;&gt;".",s_Irr!AO10&lt;&gt;".",s_Irr!BM10&lt;&gt;"."),s_dir!R10/((1/1000)*(s_Irr!Q10+s_Irr!AO10+s_Irr!BM10)),IF(AND(s_Irr!Q10&lt;&gt;".",s_Irr!AO10&lt;&gt;".",s_Irr!BM10="."),s_dir!R10/((1/1000)*(s_Irr!Q10+s_Irr!AO10)),IF(AND(s_Irr!Q10&lt;&gt;".",s_Irr!AO10=".",s_Irr!BM10&lt;&gt;"."),s_dir!R10/((1/1000)*(s_Irr!Q10+s_Irr!BM10)),IF(AND(s_Irr!Q10=".",s_Irr!AO10&lt;&gt;".",s_Irr!BM10&lt;&gt;"."),s_dir!R10/((1/1000)*(s_Irr!AO10+s_Irr!BM10)),IF(AND(s_Irr!Q10=".",s_Irr!AO10=".",s_Irr!BM10&lt;&gt;"."),s_dir!R10/((1/1000)*(s_Irr!BM10)),IF(AND(s_Irr!Q10=".",s_Irr!AO10&lt;&gt;".",s_Irr!BM10="."),s_dir!R10/((1/1000)*(s_Irr!AO10)),IF(AND(s_Irr!Q10&lt;&gt;".",s_Irr!AO10=".",s_Irr!BM10="."),s_dir!R10/((1/1000)*(s_Irr!Q10)),IF(AND(s_Irr!Q10=".",s_Irr!AO10=".",s_Irr!BM10="."),s_dir!R10*1000)))))))),".")</f>
        <v>5228.0860535998863</v>
      </c>
      <c r="S10" s="48">
        <f>IFERROR(IF(AND(s_Irr!R10&lt;&gt;".",s_Irr!AP10&lt;&gt;".",s_Irr!BN10&lt;&gt;"."),s_dir!S10/((1/1000)*(s_Irr!R10+s_Irr!AP10+s_Irr!BN10)),IF(AND(s_Irr!R10&lt;&gt;".",s_Irr!AP10&lt;&gt;".",s_Irr!BN10="."),s_dir!S10/((1/1000)*(s_Irr!R10+s_Irr!AP10)),IF(AND(s_Irr!R10&lt;&gt;".",s_Irr!AP10=".",s_Irr!BN10&lt;&gt;"."),s_dir!S10/((1/1000)*(s_Irr!R10+s_Irr!BN10)),IF(AND(s_Irr!R10=".",s_Irr!AP10&lt;&gt;".",s_Irr!BN10&lt;&gt;"."),s_dir!S10/((1/1000)*(s_Irr!AP10+s_Irr!BN10)),IF(AND(s_Irr!R10=".",s_Irr!AP10=".",s_Irr!BN10&lt;&gt;"."),s_dir!S10/((1/1000)*(s_Irr!BN10)),IF(AND(s_Irr!R10=".",s_Irr!AP10&lt;&gt;".",s_Irr!BN10="."),s_dir!S10/((1/1000)*(s_Irr!AP10)),IF(AND(s_Irr!R10&lt;&gt;".",s_Irr!AP10=".",s_Irr!BN10="."),s_dir!S10/((1/1000)*(s_Irr!R10)),IF(AND(s_Irr!R10=".",s_Irr!AP10=".",s_Irr!BN10="."),s_dir!S10*1000)))))))),".")</f>
        <v>5228.0860535998863</v>
      </c>
      <c r="T10" s="48">
        <f>IFERROR(IF(AND(s_Irr!S10&lt;&gt;".",s_Irr!AQ10&lt;&gt;".",s_Irr!BO10&lt;&gt;"."),s_dir!T10/((1/1000)*(s_Irr!S10+s_Irr!AQ10+s_Irr!BO10)),IF(AND(s_Irr!S10&lt;&gt;".",s_Irr!AQ10&lt;&gt;".",s_Irr!BO10="."),s_dir!T10/((1/1000)*(s_Irr!S10+s_Irr!AQ10)),IF(AND(s_Irr!S10&lt;&gt;".",s_Irr!AQ10=".",s_Irr!BO10&lt;&gt;"."),s_dir!T10/((1/1000)*(s_Irr!S10+s_Irr!BO10)),IF(AND(s_Irr!S10=".",s_Irr!AQ10&lt;&gt;".",s_Irr!BO10&lt;&gt;"."),s_dir!T10/((1/1000)*(s_Irr!AQ10+s_Irr!BO10)),IF(AND(s_Irr!S10=".",s_Irr!AQ10=".",s_Irr!BO10&lt;&gt;"."),s_dir!T10/((1/1000)*(s_Irr!BO10)),IF(AND(s_Irr!S10=".",s_Irr!AQ10&lt;&gt;".",s_Irr!BO10="."),s_dir!T10/((1/1000)*(s_Irr!AQ10)),IF(AND(s_Irr!S10&lt;&gt;".",s_Irr!AQ10=".",s_Irr!BO10="."),s_dir!T10/((1/1000)*(s_Irr!S10)),IF(AND(s_Irr!S10=".",s_Irr!AQ10=".",s_Irr!BO10="."),s_dir!T10*1000)))))))),".")</f>
        <v>3419.5804633035277</v>
      </c>
      <c r="U10" s="48">
        <f>IFERROR(IF(AND(s_Irr!T10&lt;&gt;".",s_Irr!AR10&lt;&gt;".",s_Irr!BP10&lt;&gt;"."),s_dir!U10/((1/1000)*(s_Irr!T10+s_Irr!AR10+s_Irr!BP10)),IF(AND(s_Irr!T10&lt;&gt;".",s_Irr!AR10&lt;&gt;".",s_Irr!BP10="."),s_dir!U10/((1/1000)*(s_Irr!T10+s_Irr!AR10)),IF(AND(s_Irr!T10&lt;&gt;".",s_Irr!AR10=".",s_Irr!BP10&lt;&gt;"."),s_dir!U10/((1/1000)*(s_Irr!T10+s_Irr!BP10)),IF(AND(s_Irr!T10=".",s_Irr!AR10&lt;&gt;".",s_Irr!BP10&lt;&gt;"."),s_dir!U10/((1/1000)*(s_Irr!AR10+s_Irr!BP10)),IF(AND(s_Irr!T10=".",s_Irr!AR10=".",s_Irr!BP10&lt;&gt;"."),s_dir!U10/((1/1000)*(s_Irr!BP10)),IF(AND(s_Irr!T10=".",s_Irr!AR10&lt;&gt;".",s_Irr!BP10="."),s_dir!U10/((1/1000)*(s_Irr!AR10)),IF(AND(s_Irr!T10&lt;&gt;".",s_Irr!AR10=".",s_Irr!BP10="."),s_dir!U10/((1/1000)*(s_Irr!T10)),IF(AND(s_Irr!T10=".",s_Irr!AR10=".",s_Irr!BP10="."),s_dir!U10*1000)))))))),".")</f>
        <v>2943.2596287478368</v>
      </c>
      <c r="V10" s="48">
        <f>IFERROR(IF(AND(s_Irr!U10&lt;&gt;".",s_Irr!AS10&lt;&gt;".",s_Irr!BQ10&lt;&gt;"."),s_dir!V10/((1/1000)*(s_Irr!U10+s_Irr!AS10+s_Irr!BQ10)),IF(AND(s_Irr!U10&lt;&gt;".",s_Irr!AS10&lt;&gt;".",s_Irr!BQ10="."),s_dir!V10/((1/1000)*(s_Irr!U10+s_Irr!AS10)),IF(AND(s_Irr!U10&lt;&gt;".",s_Irr!AS10=".",s_Irr!BQ10&lt;&gt;"."),s_dir!V10/((1/1000)*(s_Irr!U10+s_Irr!BQ10)),IF(AND(s_Irr!U10=".",s_Irr!AS10&lt;&gt;".",s_Irr!BQ10&lt;&gt;"."),s_dir!V10/((1/1000)*(s_Irr!AS10+s_Irr!BQ10)),IF(AND(s_Irr!U10=".",s_Irr!AS10=".",s_Irr!BQ10&lt;&gt;"."),s_dir!V10/((1/1000)*(s_Irr!BQ10)),IF(AND(s_Irr!U10=".",s_Irr!AS10&lt;&gt;".",s_Irr!BQ10="."),s_dir!V10/((1/1000)*(s_Irr!AS10)),IF(AND(s_Irr!U10&lt;&gt;".",s_Irr!AS10=".",s_Irr!BQ10="."),s_dir!V10/((1/1000)*(s_Irr!U10)),IF(AND(s_Irr!U10=".",s_Irr!AS10=".",s_Irr!BQ10="."),s_dir!V10*1000)))))))),".")</f>
        <v>4233.0887865555706</v>
      </c>
      <c r="W10" s="48">
        <f>IFERROR(IF(AND(s_Irr!V10&lt;&gt;".",s_Irr!AT10&lt;&gt;".",s_Irr!BR10&lt;&gt;"."),s_dir!W10/((1/1000)*(s_Irr!V10+s_Irr!AT10+s_Irr!BR10)),IF(AND(s_Irr!V10&lt;&gt;".",s_Irr!AT10&lt;&gt;".",s_Irr!BR10="."),s_dir!W10/((1/1000)*(s_Irr!V10+s_Irr!AT10)),IF(AND(s_Irr!V10&lt;&gt;".",s_Irr!AT10=".",s_Irr!BR10&lt;&gt;"."),s_dir!W10/((1/1000)*(s_Irr!V10+s_Irr!BR10)),IF(AND(s_Irr!V10=".",s_Irr!AT10&lt;&gt;".",s_Irr!BR10&lt;&gt;"."),s_dir!W10/((1/1000)*(s_Irr!AT10+s_Irr!BR10)),IF(AND(s_Irr!V10=".",s_Irr!AT10=".",s_Irr!BR10&lt;&gt;"."),s_dir!W10/((1/1000)*(s_Irr!BR10)),IF(AND(s_Irr!V10=".",s_Irr!AT10&lt;&gt;".",s_Irr!BR10="."),s_dir!W10/((1/1000)*(s_Irr!AT10)),IF(AND(s_Irr!V10&lt;&gt;".",s_Irr!AT10=".",s_Irr!BR10="."),s_dir!W10/((1/1000)*(s_Irr!V10)),IF(AND(s_Irr!V10=".",s_Irr!AT10=".",s_Irr!BR10="."),s_dir!W10*1000)))))))),".")</f>
        <v>3419.5804633035277</v>
      </c>
      <c r="X10" s="48">
        <f>IFERROR(IF(AND(s_Irr!W10&lt;&gt;".",s_Irr!AU10&lt;&gt;".",s_Irr!BS10&lt;&gt;"."),s_dir!X10/((1/1000)*(s_Irr!W10+s_Irr!AU10+s_Irr!BS10)),IF(AND(s_Irr!W10&lt;&gt;".",s_Irr!AU10&lt;&gt;".",s_Irr!BS10="."),s_dir!X10/((1/1000)*(s_Irr!W10+s_Irr!AU10)),IF(AND(s_Irr!W10&lt;&gt;".",s_Irr!AU10=".",s_Irr!BS10&lt;&gt;"."),s_dir!X10/((1/1000)*(s_Irr!W10+s_Irr!BS10)),IF(AND(s_Irr!W10=".",s_Irr!AU10&lt;&gt;".",s_Irr!BS10&lt;&gt;"."),s_dir!X10/((1/1000)*(s_Irr!AU10+s_Irr!BS10)),IF(AND(s_Irr!W10=".",s_Irr!AU10=".",s_Irr!BS10&lt;&gt;"."),s_dir!X10/((1/1000)*(s_Irr!BS10)),IF(AND(s_Irr!W10=".",s_Irr!AU10&lt;&gt;".",s_Irr!BS10="."),s_dir!X10/((1/1000)*(s_Irr!AU10)),IF(AND(s_Irr!W10&lt;&gt;".",s_Irr!AU10=".",s_Irr!BS10="."),s_dir!X10/((1/1000)*(s_Irr!W10)),IF(AND(s_Irr!W10=".",s_Irr!AU10=".",s_Irr!BS10="."),s_dir!X10*1000)))))))),".")</f>
        <v>5473.5501761061505</v>
      </c>
      <c r="Y10" s="48">
        <f>IFERROR(IF(AND(s_Irr!X10&lt;&gt;".",s_Irr!AV10&lt;&gt;".",s_Irr!BT10&lt;&gt;"."),s_dir!Y10/((1/1000)*(s_Irr!X10+s_Irr!AV10+s_Irr!BT10)),IF(AND(s_Irr!X10&lt;&gt;".",s_Irr!AV10&lt;&gt;".",s_Irr!BT10="."),s_dir!Y10/((1/1000)*(s_Irr!X10+s_Irr!AV10)),IF(AND(s_Irr!X10&lt;&gt;".",s_Irr!AV10=".",s_Irr!BT10&lt;&gt;"."),s_dir!Y10/((1/1000)*(s_Irr!X10+s_Irr!BT10)),IF(AND(s_Irr!X10=".",s_Irr!AV10&lt;&gt;".",s_Irr!BT10&lt;&gt;"."),s_dir!Y10/((1/1000)*(s_Irr!AV10+s_Irr!BT10)),IF(AND(s_Irr!X10=".",s_Irr!AV10=".",s_Irr!BT10&lt;&gt;"."),s_dir!Y10/((1/1000)*(s_Irr!BT10)),IF(AND(s_Irr!X10=".",s_Irr!AV10&lt;&gt;".",s_Irr!BT10="."),s_dir!Y10/((1/1000)*(s_Irr!AV10)),IF(AND(s_Irr!X10&lt;&gt;".",s_Irr!AV10=".",s_Irr!BT10="."),s_dir!Y10/((1/1000)*(s_Irr!X10)),IF(AND(s_Irr!X10=".",s_Irr!AV10=".",s_Irr!BT10="."),s_dir!Y10*1000)))))))),".")</f>
        <v>4233.0887865555706</v>
      </c>
      <c r="Z10" s="48">
        <f>IFERROR(IF(AND(s_Irr!Y10&lt;&gt;".",s_Irr!AW10&lt;&gt;".",s_Irr!BU10&lt;&gt;"."),s_dir!Z10/((1/1000)*(s_Irr!Y10+s_Irr!AW10+s_Irr!BU10)),IF(AND(s_Irr!Y10&lt;&gt;".",s_Irr!AW10&lt;&gt;".",s_Irr!BU10="."),s_dir!Z10/((1/1000)*(s_Irr!Y10+s_Irr!AW10)),IF(AND(s_Irr!Y10&lt;&gt;".",s_Irr!AW10=".",s_Irr!BU10&lt;&gt;"."),s_dir!Z10/((1/1000)*(s_Irr!Y10+s_Irr!BU10)),IF(AND(s_Irr!Y10=".",s_Irr!AW10&lt;&gt;".",s_Irr!BU10&lt;&gt;"."),s_dir!Z10/((1/1000)*(s_Irr!AW10+s_Irr!BU10)),IF(AND(s_Irr!Y10=".",s_Irr!AW10=".",s_Irr!BU10&lt;&gt;"."),s_dir!Z10/((1/1000)*(s_Irr!BU10)),IF(AND(s_Irr!Y10=".",s_Irr!AW10&lt;&gt;".",s_Irr!BU10="."),s_dir!Z10/((1/1000)*(s_Irr!AW10)),IF(AND(s_Irr!Y10&lt;&gt;".",s_Irr!AW10=".",s_Irr!BU10="."),s_dir!Z10/((1/1000)*(s_Irr!Y10)),IF(AND(s_Irr!Y10=".",s_Irr!AW10=".",s_Irr!BU10="."),s_dir!Z10*1000)))))))),".")</f>
        <v>5672.8506742453901</v>
      </c>
      <c r="AA10" s="48">
        <f>IFERROR(IF(AND(s_Irr!Z10&lt;&gt;".",s_Irr!AX10&lt;&gt;".",s_Irr!BV10&lt;&gt;"."),s_dir!AA10/((1/1000)*(s_Irr!Z10+s_Irr!AX10+s_Irr!BV10)),IF(AND(s_Irr!Z10&lt;&gt;".",s_Irr!AX10&lt;&gt;".",s_Irr!BV10="."),s_dir!AA10/((1/1000)*(s_Irr!Z10+s_Irr!AX10)),IF(AND(s_Irr!Z10&lt;&gt;".",s_Irr!AX10=".",s_Irr!BV10&lt;&gt;"."),s_dir!AA10/((1/1000)*(s_Irr!Z10+s_Irr!BV10)),IF(AND(s_Irr!Z10=".",s_Irr!AX10&lt;&gt;".",s_Irr!BV10&lt;&gt;"."),s_dir!AA10/((1/1000)*(s_Irr!AX10+s_Irr!BV10)),IF(AND(s_Irr!Z10=".",s_Irr!AX10=".",s_Irr!BV10&lt;&gt;"."),s_dir!AA10/((1/1000)*(s_Irr!BV10)),IF(AND(s_Irr!Z10=".",s_Irr!AX10&lt;&gt;".",s_Irr!BV10="."),s_dir!AA10/((1/1000)*(s_Irr!AX10)),IF(AND(s_Irr!Z10&lt;&gt;".",s_Irr!AX10=".",s_Irr!BV10="."),s_dir!AA10/((1/1000)*(s_Irr!Z10)),IF(AND(s_Irr!Z10=".",s_Irr!AX10=".",s_Irr!BV10="."),s_dir!AA10*1000)))))))),".")</f>
        <v>3847.6776656332872</v>
      </c>
      <c r="AB10" s="62">
        <f t="shared" si="3"/>
        <v>318.76134631335049</v>
      </c>
      <c r="AC10" s="62">
        <f>IFERROR(s_C*s_IFAP_res_adj*s_CF_apple*0.001*(s_Irr!C10+s_Irr!AA10+s_Irr!AY10),".")</f>
        <v>97.172620842093266</v>
      </c>
      <c r="AD10" s="62">
        <f>IFERROR(s_C*s_IFAS_res_adj*s_CF_asparagus*0.001*(s_Irr!D10+s_Irr!AB10+s_Irr!AZ10),".")</f>
        <v>178.61756409963522</v>
      </c>
      <c r="AE10" s="62">
        <f>IFERROR(s_C*s_IFBT_res_adj*s_CF_beet*0.001*(s_Irr!E10+s_Irr!AC10+s_Irr!BA10),".")</f>
        <v>151.56942796244414</v>
      </c>
      <c r="AF10" s="62">
        <f>IFERROR(s_C*s_IFBE_res_adj*s_CF_berries*0.001*(s_Irr!F10+s_Irr!AD10+s_Irr!BB10),".")</f>
        <v>91.61272619167066</v>
      </c>
      <c r="AG10" s="62">
        <f>IFERROR(s_C*s_IFBR_res_adj*s_CF_broccoli*0.001*(s_Irr!G10+s_Irr!AE10+s_Irr!BC10),".")</f>
        <v>120.01326913572126</v>
      </c>
      <c r="AH10" s="62">
        <f>IFERROR(s_C*s_IFCB_res_adj*s_CF_cabbage*0.001*(s_Irr!H10+s_Irr!AF10+s_Irr!BD10),".")</f>
        <v>178.61756409963522</v>
      </c>
      <c r="AI10" s="62">
        <f>IFERROR(s_C*s_IFCR_res_adj*s_CF_carrot*0.001*(s_Irr!I10+s_Irr!AG10+s_Irr!BE10),".")</f>
        <v>151.56942796244414</v>
      </c>
      <c r="AJ10" s="62">
        <f>IFERROR(s_C*s_IFCI_res_adj*s_CF_citrus*0.001*(s_Irr!J10+s_Irr!AH10+s_Irr!BF10),".")</f>
        <v>97.172620842093266</v>
      </c>
      <c r="AK10" s="62">
        <f>IFERROR(s_C*s_IFCO_res_adj*s_CF_corn*0.001*(s_Irr!K10+s_Irr!AI10+s_Irr!BG10),".")</f>
        <v>138.04535989384863</v>
      </c>
      <c r="AL10" s="62">
        <f>IFERROR(s_C*s_IFCU_res_adj*s_CF_cucumber*0.001*(s_Irr!L10+s_Irr!AJ10+s_Irr!BH10),".")</f>
        <v>120.01326913572126</v>
      </c>
      <c r="AM10" s="62">
        <f>IFERROR(s_C*s_IFLE_res_adj*s_CF_lettuce*0.001*(s_Irr!M10+s_Irr!AK10+s_Irr!BI10),".")</f>
        <v>178.61756409963522</v>
      </c>
      <c r="AN10" s="62">
        <f>IFERROR(s_C*s_IFLI_res_adj*s_CF_lima_bean*0.001*(s_Irr!N10+s_Irr!AL10+s_Irr!BJ10),".")</f>
        <v>148.56407950275627</v>
      </c>
      <c r="AO10" s="62">
        <f>IFERROR(s_C*s_IFOK_res_adj*s_CF_okra*0.001*(s_Irr!O10+s_Irr!AM10+s_Irr!BK10),".")</f>
        <v>120.01326913572126</v>
      </c>
      <c r="AP10" s="62">
        <f>IFERROR(s_C*s_IFON_res_adj*s_CF_onion*0.001*(s_Irr!P10+s_Irr!AN10+s_Irr!BL10),".")</f>
        <v>120.01326913572126</v>
      </c>
      <c r="AQ10" s="62">
        <f>IFERROR(s_C*s_IFPC_res_adj*s_CF_peach*0.001*(s_Irr!Q10+s_Irr!AO10+s_Irr!BM10),".")</f>
        <v>97.172620842093266</v>
      </c>
      <c r="AR10" s="62">
        <f>IFERROR(s_C*s_IFPR_res_adj*s_CF_pear*0.001*(s_Irr!R10+s_Irr!AP10+s_Irr!BN10),".")</f>
        <v>97.172620842093266</v>
      </c>
      <c r="AS10" s="62">
        <f>IFERROR(s_C*s_IFPE_res_adj*s_CF_peas*0.001*(s_Irr!S10+s_Irr!AQ10+s_Irr!BO10),".")</f>
        <v>148.56407950275627</v>
      </c>
      <c r="AT10" s="62">
        <f>IFERROR(s_C*s_IFPT_res_adj*s_CF_potato*0.001*(s_Irr!T10+s_Irr!AR10+s_Irr!BP10),".")</f>
        <v>172.6068671802594</v>
      </c>
      <c r="AU10" s="62">
        <f>IFERROR(s_C*s_IFPU_res_adj*s_CF_pumpkin*0.001*(s_Irr!U10+s_Irr!AS10+s_Irr!BQ10),".")</f>
        <v>120.01326913572126</v>
      </c>
      <c r="AV10" s="62">
        <f>IFERROR(s_C*s_IFSN_res_adj*s_CF_snap_bean*0.001*(s_Irr!V10+s_Irr!AT10+s_Irr!BR10),".")</f>
        <v>148.56407950275627</v>
      </c>
      <c r="AW10" s="62">
        <f>IFERROR(s_C*s_IFST_res_adj*s_CF_strawberry*0.001*(s_Irr!W10+s_Irr!AU10+s_Irr!BS10),".")</f>
        <v>92.814865575545824</v>
      </c>
      <c r="AX10" s="62">
        <f>IFERROR(s_C*s_IFTO_res_adj*s_CF_tomato*0.001*(s_Irr!X10+s_Irr!AV10+s_Irr!BT10),".")</f>
        <v>120.01326913572126</v>
      </c>
      <c r="AY10" s="62">
        <f>IFERROR(s_C*s_IFRI_res_adj*s_CF_rice*0.001*(s_Irr!Y10+s_Irr!AW10+s_Irr!BU10),".")</f>
        <v>89.554062496784454</v>
      </c>
      <c r="AZ10" s="62">
        <f>IFERROR(s_C*s_IFCG_res_adj*s_CF_cereal*0.001*(s_Irr!Z10+s_Irr!AX10+s_Irr!BV10),".")</f>
        <v>132.03466297447281</v>
      </c>
      <c r="BA10" s="48">
        <f t="shared" si="0"/>
        <v>1593.7529116748494</v>
      </c>
      <c r="BB10" s="48">
        <f>IFERROR(IF(AND(s_Irr!C10&lt;&gt;".",s_Irr!AA10&lt;&gt;".",s_Irr!AY10&lt;&gt;"."),s_dir!AC10/((1/1000)*(s_Irr!C10+s_Irr!AA10+s_Irr!AY10)),IF(AND(s_Irr!C10&lt;&gt;".",s_Irr!AA10&lt;&gt;".",s_Irr!AY10="."),s_dir!AC10/((1/1000)*(s_Irr!C10+s_Irr!AA10)),IF(AND(s_Irr!C10&lt;&gt;".",s_Irr!AA10=".",s_Irr!AY10&lt;&gt;"."),s_dir!AC10/((1/1000)*(s_Irr!C10+s_Irr!AY10)),IF(AND(s_Irr!C10=".",s_Irr!AA10&lt;&gt;".",s_Irr!AY10&lt;&gt;"."),s_dir!AC10/((1/1000)*(s_Irr!AA10+s_Irr!AY10)),IF(AND(s_Irr!C10=".",s_Irr!AA10=".",s_Irr!AY10&lt;&gt;"."),s_dir!AC10/((1/1000)*(s_Irr!AY10)),IF(AND(s_Irr!C10=".",s_Irr!AA10&lt;&gt;".",s_Irr!AY10="."),s_dir!AC10/((1/1000)*(s_Irr!AA10)),IF(AND(s_Irr!C10&lt;&gt;".",s_Irr!AA10=".",s_Irr!AY10="."),s_dir!AC10/((1/1000)*(s_Irr!C10)),IF(AND(s_Irr!C10=".",s_Irr!AA10=".",s_Irr!AY10="."),s_dir!AC10*1000)))))))),".")</f>
        <v>5228.0860535998863</v>
      </c>
      <c r="BC10" s="48">
        <f>IFERROR(IF(AND(s_Irr!D10&lt;&gt;".",s_Irr!AB10&lt;&gt;".",s_Irr!AZ10&lt;&gt;"."),s_dir!AD10/((1/1000)*(s_Irr!D10+s_Irr!AB10+s_Irr!AZ10)),IF(AND(s_Irr!D10&lt;&gt;".",s_Irr!AB10&lt;&gt;".",s_Irr!AZ10="."),s_dir!AD10/((1/1000)*(s_Irr!D10+s_Irr!AB10)),IF(AND(s_Irr!D10&lt;&gt;".",s_Irr!AB10=".",s_Irr!AZ10&lt;&gt;"."),s_dir!AD10/((1/1000)*(s_Irr!D10+s_Irr!AZ10)),IF(AND(s_Irr!D10=".",s_Irr!AB10&lt;&gt;".",s_Irr!AZ10&lt;&gt;"."),s_dir!AD10/((1/1000)*(s_Irr!AB10+s_Irr!AZ10)),IF(AND(s_Irr!D10=".",s_Irr!AB10=".",s_Irr!AZ10&lt;&gt;"."),s_dir!AD10/((1/1000)*(s_Irr!AZ10)),IF(AND(s_Irr!D10=".",s_Irr!AB10&lt;&gt;".",s_Irr!AZ10="."),s_dir!AD10/((1/1000)*(s_Irr!AB10)),IF(AND(s_Irr!D10&lt;&gt;".",s_Irr!AB10=".",s_Irr!AZ10="."),s_dir!AD10/((1/1000)*(s_Irr!D10)),IF(AND(s_Irr!D10=".",s_Irr!AB10=".",s_Irr!AZ10="."),s_dir!AD10*1000)))))))),".")</f>
        <v>2844.2153848482308</v>
      </c>
      <c r="BD10" s="48">
        <f>IFERROR(IF(AND(s_Irr!E10&lt;&gt;".",s_Irr!AC10&lt;&gt;".",s_Irr!BA10&lt;&gt;"."),s_dir!AE10/((1/1000)*(s_Irr!E10+s_Irr!AC10+s_Irr!BA10)),IF(AND(s_Irr!E10&lt;&gt;".",s_Irr!AC10&lt;&gt;".",s_Irr!BA10="."),s_dir!AE10/((1/1000)*(s_Irr!E10+s_Irr!AC10)),IF(AND(s_Irr!E10&lt;&gt;".",s_Irr!AC10=".",s_Irr!BA10&lt;&gt;"."),s_dir!AE10/((1/1000)*(s_Irr!E10+s_Irr!BA10)),IF(AND(s_Irr!E10=".",s_Irr!AC10&lt;&gt;".",s_Irr!BA10&lt;&gt;"."),s_dir!AE10/((1/1000)*(s_Irr!AC10+s_Irr!BA10)),IF(AND(s_Irr!E10=".",s_Irr!AC10=".",s_Irr!BA10&lt;&gt;"."),s_dir!AE10/((1/1000)*(s_Irr!BA10)),IF(AND(s_Irr!E10=".",s_Irr!AC10&lt;&gt;".",s_Irr!BA10="."),s_dir!AE10/((1/1000)*(s_Irr!AC10)),IF(AND(s_Irr!E10&lt;&gt;".",s_Irr!AC10=".",s_Irr!BA10="."),s_dir!AE10/((1/1000)*(s_Irr!E10)),IF(AND(s_Irr!E10=".",s_Irr!AC10=".",s_Irr!BA10="."),s_dir!AE10*1000)))))))),".")</f>
        <v>3351.776348606239</v>
      </c>
      <c r="BE10" s="48">
        <f>IFERROR(IF(AND(s_Irr!F10&lt;&gt;".",s_Irr!AD10&lt;&gt;".",s_Irr!BB10&lt;&gt;"."),s_dir!AF10/((1/1000)*(s_Irr!F10+s_Irr!AD10+s_Irr!BB10)),IF(AND(s_Irr!F10&lt;&gt;".",s_Irr!AD10&lt;&gt;".",s_Irr!BB10="."),s_dir!AF10/((1/1000)*(s_Irr!F10+s_Irr!AD10)),IF(AND(s_Irr!F10&lt;&gt;".",s_Irr!AD10=".",s_Irr!BB10&lt;&gt;"."),s_dir!AF10/((1/1000)*(s_Irr!F10+s_Irr!BB10)),IF(AND(s_Irr!F10=".",s_Irr!AD10&lt;&gt;".",s_Irr!BB10&lt;&gt;"."),s_dir!AF10/((1/1000)*(s_Irr!AD10+s_Irr!BB10)),IF(AND(s_Irr!F10=".",s_Irr!AD10=".",s_Irr!BB10&lt;&gt;"."),s_dir!AF10/((1/1000)*(s_Irr!BB10)),IF(AND(s_Irr!F10=".",s_Irr!AD10&lt;&gt;".",s_Irr!BB10="."),s_dir!AF10/((1/1000)*(s_Irr!AD10)),IF(AND(s_Irr!F10&lt;&gt;".",s_Irr!AD10=".",s_Irr!BB10="."),s_dir!AF10/((1/1000)*(s_Irr!F10)),IF(AND(s_Irr!F10=".",s_Irr!AD10=".",s_Irr!BB10="."),s_dir!AF10*1000)))))))),".")</f>
        <v>5545.3739336761137</v>
      </c>
      <c r="BF10" s="48">
        <f>IFERROR(IF(AND(s_Irr!G10&lt;&gt;".",s_Irr!AE10&lt;&gt;".",s_Irr!BC10&lt;&gt;"."),s_dir!AG10/((1/1000)*(s_Irr!G10+s_Irr!AE10+s_Irr!BC10)),IF(AND(s_Irr!G10&lt;&gt;".",s_Irr!AE10&lt;&gt;".",s_Irr!BC10="."),s_dir!AG10/((1/1000)*(s_Irr!G10+s_Irr!AE10)),IF(AND(s_Irr!G10&lt;&gt;".",s_Irr!AE10=".",s_Irr!BC10&lt;&gt;"."),s_dir!AG10/((1/1000)*(s_Irr!G10+s_Irr!BC10)),IF(AND(s_Irr!G10=".",s_Irr!AE10&lt;&gt;".",s_Irr!BC10&lt;&gt;"."),s_dir!AG10/((1/1000)*(s_Irr!AE10+s_Irr!BC10)),IF(AND(s_Irr!G10=".",s_Irr!AE10=".",s_Irr!BC10&lt;&gt;"."),s_dir!AG10/((1/1000)*(s_Irr!BC10)),IF(AND(s_Irr!G10=".",s_Irr!AE10&lt;&gt;".",s_Irr!BC10="."),s_dir!AG10/((1/1000)*(s_Irr!AE10)),IF(AND(s_Irr!G10&lt;&gt;".",s_Irr!AE10=".",s_Irr!BC10="."),s_dir!AG10/((1/1000)*(s_Irr!G10)),IF(AND(s_Irr!G10=".",s_Irr!AE10=".",s_Irr!BC10="."),s_dir!AG10*1000)))))))),".")</f>
        <v>4233.0887865555706</v>
      </c>
      <c r="BG10" s="48">
        <f>IFERROR(IF(AND(s_Irr!H10&lt;&gt;".",s_Irr!AF10&lt;&gt;".",s_Irr!BD10&lt;&gt;"."),s_dir!AH10/((1/1000)*(s_Irr!H10+s_Irr!AF10+s_Irr!BD10)),IF(AND(s_Irr!H10&lt;&gt;".",s_Irr!AF10&lt;&gt;".",s_Irr!BD10="."),s_dir!AH10/((1/1000)*(s_Irr!H10+s_Irr!AF10)),IF(AND(s_Irr!H10&lt;&gt;".",s_Irr!AF10=".",s_Irr!BD10&lt;&gt;"."),s_dir!AH10/((1/1000)*(s_Irr!H10+s_Irr!BD10)),IF(AND(s_Irr!H10=".",s_Irr!AF10&lt;&gt;".",s_Irr!BD10&lt;&gt;"."),s_dir!AH10/((1/1000)*(s_Irr!AF10+s_Irr!BD10)),IF(AND(s_Irr!H10=".",s_Irr!AF10=".",s_Irr!BD10&lt;&gt;"."),s_dir!AH10/((1/1000)*(s_Irr!BD10)),IF(AND(s_Irr!H10=".",s_Irr!AF10&lt;&gt;".",s_Irr!BD10="."),s_dir!AH10/((1/1000)*(s_Irr!AF10)),IF(AND(s_Irr!H10&lt;&gt;".",s_Irr!AF10=".",s_Irr!BD10="."),s_dir!AH10/((1/1000)*(s_Irr!H10)),IF(AND(s_Irr!H10=".",s_Irr!AF10=".",s_Irr!BD10="."),s_dir!AH10*1000)))))))),".")</f>
        <v>2844.2153848482308</v>
      </c>
      <c r="BH10" s="48">
        <f>IFERROR(IF(AND(s_Irr!I10&lt;&gt;".",s_Irr!AG10&lt;&gt;".",s_Irr!BE10&lt;&gt;"."),s_dir!AI10/((1/1000)*(s_Irr!I10+s_Irr!AG10+s_Irr!BE10)),IF(AND(s_Irr!I10&lt;&gt;".",s_Irr!AG10&lt;&gt;".",s_Irr!BE10="."),s_dir!AI10/((1/1000)*(s_Irr!I10+s_Irr!AG10)),IF(AND(s_Irr!I10&lt;&gt;".",s_Irr!AG10=".",s_Irr!BE10&lt;&gt;"."),s_dir!AI10/((1/1000)*(s_Irr!I10+s_Irr!BE10)),IF(AND(s_Irr!I10=".",s_Irr!AG10&lt;&gt;".",s_Irr!BE10&lt;&gt;"."),s_dir!AI10/((1/1000)*(s_Irr!AG10+s_Irr!BE10)),IF(AND(s_Irr!I10=".",s_Irr!AG10=".",s_Irr!BE10&lt;&gt;"."),s_dir!AI10/((1/1000)*(s_Irr!BE10)),IF(AND(s_Irr!I10=".",s_Irr!AG10&lt;&gt;".",s_Irr!BE10="."),s_dir!AI10/((1/1000)*(s_Irr!AG10)),IF(AND(s_Irr!I10&lt;&gt;".",s_Irr!AG10=".",s_Irr!BE10="."),s_dir!AI10/((1/1000)*(s_Irr!I10)),IF(AND(s_Irr!I10=".",s_Irr!AG10=".",s_Irr!BE10="."),s_dir!AI10*1000)))))))),".")</f>
        <v>3351.776348606239</v>
      </c>
      <c r="BI10" s="48">
        <f>IFERROR(IF(AND(s_Irr!J10&lt;&gt;".",s_Irr!AH10&lt;&gt;".",s_Irr!BF10&lt;&gt;"."),s_dir!AJ10/((1/1000)*(s_Irr!J10+s_Irr!AH10+s_Irr!BF10)),IF(AND(s_Irr!J10&lt;&gt;".",s_Irr!AH10&lt;&gt;".",s_Irr!BF10="."),s_dir!AJ10/((1/1000)*(s_Irr!J10+s_Irr!AH10)),IF(AND(s_Irr!J10&lt;&gt;".",s_Irr!AH10=".",s_Irr!BF10&lt;&gt;"."),s_dir!AJ10/((1/1000)*(s_Irr!J10+s_Irr!BF10)),IF(AND(s_Irr!J10=".",s_Irr!AH10&lt;&gt;".",s_Irr!BF10&lt;&gt;"."),s_dir!AJ10/((1/1000)*(s_Irr!AH10+s_Irr!BF10)),IF(AND(s_Irr!J10=".",s_Irr!AH10=".",s_Irr!BF10&lt;&gt;"."),s_dir!AJ10/((1/1000)*(s_Irr!BF10)),IF(AND(s_Irr!J10=".",s_Irr!AH10&lt;&gt;".",s_Irr!BF10="."),s_dir!AJ10/((1/1000)*(s_Irr!AH10)),IF(AND(s_Irr!J10&lt;&gt;".",s_Irr!AH10=".",s_Irr!BF10="."),s_dir!AJ10/((1/1000)*(s_Irr!J10)),IF(AND(s_Irr!J10=".",s_Irr!AH10=".",s_Irr!BF10="."),s_dir!AJ10*1000)))))))),".")</f>
        <v>5228.0860535998863</v>
      </c>
      <c r="BJ10" s="48">
        <f>IFERROR(IF(AND(s_Irr!K10&lt;&gt;".",s_Irr!AI10&lt;&gt;".",s_Irr!BG10&lt;&gt;"."),s_dir!AK10/((1/1000)*(s_Irr!K10+s_Irr!AI10+s_Irr!BG10)),IF(AND(s_Irr!K10&lt;&gt;".",s_Irr!AI10&lt;&gt;".",s_Irr!BG10="."),s_dir!AK10/((1/1000)*(s_Irr!K10+s_Irr!AI10)),IF(AND(s_Irr!K10&lt;&gt;".",s_Irr!AI10=".",s_Irr!BG10&lt;&gt;"."),s_dir!AK10/((1/1000)*(s_Irr!K10+s_Irr!BG10)),IF(AND(s_Irr!K10=".",s_Irr!AI10&lt;&gt;".",s_Irr!BG10&lt;&gt;"."),s_dir!AK10/((1/1000)*(s_Irr!AI10+s_Irr!BG10)),IF(AND(s_Irr!K10=".",s_Irr!AI10=".",s_Irr!BG10&lt;&gt;"."),s_dir!AK10/((1/1000)*(s_Irr!BG10)),IF(AND(s_Irr!K10=".",s_Irr!AI10&lt;&gt;".",s_Irr!BG10="."),s_dir!AK10/((1/1000)*(s_Irr!AI10)),IF(AND(s_Irr!K10&lt;&gt;".",s_Irr!AI10=".",s_Irr!BG10="."),s_dir!AK10/((1/1000)*(s_Irr!K10)),IF(AND(s_Irr!K10=".",s_Irr!AI10=".",s_Irr!BG10="."),s_dir!AK10*1000)))))))),".")</f>
        <v>3680.1441512192068</v>
      </c>
      <c r="BK10" s="48">
        <f>IFERROR(IF(AND(s_Irr!L10&lt;&gt;".",s_Irr!AJ10&lt;&gt;".",s_Irr!BH10&lt;&gt;"."),s_dir!AL10/((1/1000)*(s_Irr!L10+s_Irr!AJ10+s_Irr!BH10)),IF(AND(s_Irr!L10&lt;&gt;".",s_Irr!AJ10&lt;&gt;".",s_Irr!BH10="."),s_dir!AL10/((1/1000)*(s_Irr!L10+s_Irr!AJ10)),IF(AND(s_Irr!L10&lt;&gt;".",s_Irr!AJ10=".",s_Irr!BH10&lt;&gt;"."),s_dir!AL10/((1/1000)*(s_Irr!L10+s_Irr!BH10)),IF(AND(s_Irr!L10=".",s_Irr!AJ10&lt;&gt;".",s_Irr!BH10&lt;&gt;"."),s_dir!AL10/((1/1000)*(s_Irr!AJ10+s_Irr!BH10)),IF(AND(s_Irr!L10=".",s_Irr!AJ10=".",s_Irr!BH10&lt;&gt;"."),s_dir!AL10/((1/1000)*(s_Irr!BH10)),IF(AND(s_Irr!L10=".",s_Irr!AJ10&lt;&gt;".",s_Irr!BH10="."),s_dir!AL10/((1/1000)*(s_Irr!AJ10)),IF(AND(s_Irr!L10&lt;&gt;".",s_Irr!AJ10=".",s_Irr!BH10="."),s_dir!AL10/((1/1000)*(s_Irr!L10)),IF(AND(s_Irr!L10=".",s_Irr!AJ10=".",s_Irr!BH10="."),s_dir!AL10*1000)))))))),".")</f>
        <v>4233.0887865555706</v>
      </c>
      <c r="BL10" s="48">
        <f>IFERROR(IF(AND(s_Irr!M10&lt;&gt;".",s_Irr!AK10&lt;&gt;".",s_Irr!BI10&lt;&gt;"."),s_dir!AM10/((1/1000)*(s_Irr!M10+s_Irr!AK10+s_Irr!BI10)),IF(AND(s_Irr!M10&lt;&gt;".",s_Irr!AK10&lt;&gt;".",s_Irr!BI10="."),s_dir!AM10/((1/1000)*(s_Irr!M10+s_Irr!AK10)),IF(AND(s_Irr!M10&lt;&gt;".",s_Irr!AK10=".",s_Irr!BI10&lt;&gt;"."),s_dir!AM10/((1/1000)*(s_Irr!M10+s_Irr!BI10)),IF(AND(s_Irr!M10=".",s_Irr!AK10&lt;&gt;".",s_Irr!BI10&lt;&gt;"."),s_dir!AM10/((1/1000)*(s_Irr!AK10+s_Irr!BI10)),IF(AND(s_Irr!M10=".",s_Irr!AK10=".",s_Irr!BI10&lt;&gt;"."),s_dir!AM10/((1/1000)*(s_Irr!BI10)),IF(AND(s_Irr!M10=".",s_Irr!AK10&lt;&gt;".",s_Irr!BI10="."),s_dir!AM10/((1/1000)*(s_Irr!AK10)),IF(AND(s_Irr!M10&lt;&gt;".",s_Irr!AK10=".",s_Irr!BI10="."),s_dir!AM10/((1/1000)*(s_Irr!M10)),IF(AND(s_Irr!M10=".",s_Irr!AK10=".",s_Irr!BI10="."),s_dir!AM10*1000)))))))),".")</f>
        <v>2844.2153848482308</v>
      </c>
      <c r="BM10" s="48">
        <f>IFERROR(IF(AND(s_Irr!N10&lt;&gt;".",s_Irr!AL10&lt;&gt;".",s_Irr!BJ10&lt;&gt;"."),s_dir!AN10/((1/1000)*(s_Irr!N10+s_Irr!AL10+s_Irr!BJ10)),IF(AND(s_Irr!N10&lt;&gt;".",s_Irr!AL10&lt;&gt;".",s_Irr!BJ10="."),s_dir!AN10/((1/1000)*(s_Irr!N10+s_Irr!AL10)),IF(AND(s_Irr!N10&lt;&gt;".",s_Irr!AL10=".",s_Irr!BJ10&lt;&gt;"."),s_dir!AN10/((1/1000)*(s_Irr!N10+s_Irr!BJ10)),IF(AND(s_Irr!N10=".",s_Irr!AL10&lt;&gt;".",s_Irr!BJ10&lt;&gt;"."),s_dir!AN10/((1/1000)*(s_Irr!AL10+s_Irr!BJ10)),IF(AND(s_Irr!N10=".",s_Irr!AL10=".",s_Irr!BJ10&lt;&gt;"."),s_dir!AN10/((1/1000)*(s_Irr!BJ10)),IF(AND(s_Irr!N10=".",s_Irr!AL10&lt;&gt;".",s_Irr!BJ10="."),s_dir!AN10/((1/1000)*(s_Irr!AL10)),IF(AND(s_Irr!N10&lt;&gt;".",s_Irr!AL10=".",s_Irr!BJ10="."),s_dir!AN10/((1/1000)*(s_Irr!N10)),IF(AND(s_Irr!N10=".",s_Irr!AL10=".",s_Irr!BJ10="."),s_dir!AN10*1000)))))))),".")</f>
        <v>3419.5804633035277</v>
      </c>
      <c r="BN10" s="48">
        <f>IFERROR(IF(AND(s_Irr!O10&lt;&gt;".",s_Irr!AM10&lt;&gt;".",s_Irr!BK10&lt;&gt;"."),s_dir!AO10/((1/1000)*(s_Irr!O10+s_Irr!AM10+s_Irr!BK10)),IF(AND(s_Irr!O10&lt;&gt;".",s_Irr!AM10&lt;&gt;".",s_Irr!BK10="."),s_dir!AO10/((1/1000)*(s_Irr!O10+s_Irr!AM10)),IF(AND(s_Irr!O10&lt;&gt;".",s_Irr!AM10=".",s_Irr!BK10&lt;&gt;"."),s_dir!AO10/((1/1000)*(s_Irr!O10+s_Irr!BK10)),IF(AND(s_Irr!O10=".",s_Irr!AM10&lt;&gt;".",s_Irr!BK10&lt;&gt;"."),s_dir!AO10/((1/1000)*(s_Irr!AM10+s_Irr!BK10)),IF(AND(s_Irr!O10=".",s_Irr!AM10=".",s_Irr!BK10&lt;&gt;"."),s_dir!AO10/((1/1000)*(s_Irr!BK10)),IF(AND(s_Irr!O10=".",s_Irr!AM10&lt;&gt;".",s_Irr!BK10="."),s_dir!AO10/((1/1000)*(s_Irr!AM10)),IF(AND(s_Irr!O10&lt;&gt;".",s_Irr!AM10=".",s_Irr!BK10="."),s_dir!AO10/((1/1000)*(s_Irr!O10)),IF(AND(s_Irr!O10=".",s_Irr!AM10=".",s_Irr!BK10="."),s_dir!AO10*1000)))))))),".")</f>
        <v>4233.0887865555706</v>
      </c>
      <c r="BO10" s="48">
        <f>IFERROR(IF(AND(s_Irr!P10&lt;&gt;".",s_Irr!AN10&lt;&gt;".",s_Irr!BL10&lt;&gt;"."),s_dir!AP10/((1/1000)*(s_Irr!P10+s_Irr!AN10+s_Irr!BL10)),IF(AND(s_Irr!P10&lt;&gt;".",s_Irr!AN10&lt;&gt;".",s_Irr!BL10="."),s_dir!AP10/((1/1000)*(s_Irr!P10+s_Irr!AN10)),IF(AND(s_Irr!P10&lt;&gt;".",s_Irr!AN10=".",s_Irr!BL10&lt;&gt;"."),s_dir!AP10/((1/1000)*(s_Irr!P10+s_Irr!BL10)),IF(AND(s_Irr!P10=".",s_Irr!AN10&lt;&gt;".",s_Irr!BL10&lt;&gt;"."),s_dir!AP10/((1/1000)*(s_Irr!AN10+s_Irr!BL10)),IF(AND(s_Irr!P10=".",s_Irr!AN10=".",s_Irr!BL10&lt;&gt;"."),s_dir!AP10/((1/1000)*(s_Irr!BL10)),IF(AND(s_Irr!P10=".",s_Irr!AN10&lt;&gt;".",s_Irr!BL10="."),s_dir!AP10/((1/1000)*(s_Irr!AN10)),IF(AND(s_Irr!P10&lt;&gt;".",s_Irr!AN10=".",s_Irr!BL10="."),s_dir!AP10/((1/1000)*(s_Irr!P10)),IF(AND(s_Irr!P10=".",s_Irr!AN10=".",s_Irr!BL10="."),s_dir!AP10*1000)))))))),".")</f>
        <v>4233.0887865555706</v>
      </c>
      <c r="BP10" s="48">
        <f>IFERROR(IF(AND(s_Irr!Q10&lt;&gt;".",s_Irr!AO10&lt;&gt;".",s_Irr!BM10&lt;&gt;"."),s_dir!AQ10/((1/1000)*(s_Irr!Q10+s_Irr!AO10+s_Irr!BM10)),IF(AND(s_Irr!Q10&lt;&gt;".",s_Irr!AO10&lt;&gt;".",s_Irr!BM10="."),s_dir!AQ10/((1/1000)*(s_Irr!Q10+s_Irr!AO10)),IF(AND(s_Irr!Q10&lt;&gt;".",s_Irr!AO10=".",s_Irr!BM10&lt;&gt;"."),s_dir!AQ10/((1/1000)*(s_Irr!Q10+s_Irr!BM10)),IF(AND(s_Irr!Q10=".",s_Irr!AO10&lt;&gt;".",s_Irr!BM10&lt;&gt;"."),s_dir!AQ10/((1/1000)*(s_Irr!AO10+s_Irr!BM10)),IF(AND(s_Irr!Q10=".",s_Irr!AO10=".",s_Irr!BM10&lt;&gt;"."),s_dir!AQ10/((1/1000)*(s_Irr!BM10)),IF(AND(s_Irr!Q10=".",s_Irr!AO10&lt;&gt;".",s_Irr!BM10="."),s_dir!AQ10/((1/1000)*(s_Irr!AO10)),IF(AND(s_Irr!Q10&lt;&gt;".",s_Irr!AO10=".",s_Irr!BM10="."),s_dir!AQ10/((1/1000)*(s_Irr!Q10)),IF(AND(s_Irr!Q10=".",s_Irr!AO10=".",s_Irr!BM10="."),s_dir!AQ10*1000)))))))),".")</f>
        <v>5228.0860535998863</v>
      </c>
      <c r="BQ10" s="48">
        <f>IFERROR(IF(AND(s_Irr!R10&lt;&gt;".",s_Irr!AP10&lt;&gt;".",s_Irr!BN10&lt;&gt;"."),s_dir!AR10/((1/1000)*(s_Irr!R10+s_Irr!AP10+s_Irr!BN10)),IF(AND(s_Irr!R10&lt;&gt;".",s_Irr!AP10&lt;&gt;".",s_Irr!BN10="."),s_dir!AR10/((1/1000)*(s_Irr!R10+s_Irr!AP10)),IF(AND(s_Irr!R10&lt;&gt;".",s_Irr!AP10=".",s_Irr!BN10&lt;&gt;"."),s_dir!AR10/((1/1000)*(s_Irr!R10+s_Irr!BN10)),IF(AND(s_Irr!R10=".",s_Irr!AP10&lt;&gt;".",s_Irr!BN10&lt;&gt;"."),s_dir!AR10/((1/1000)*(s_Irr!AP10+s_Irr!BN10)),IF(AND(s_Irr!R10=".",s_Irr!AP10=".",s_Irr!BN10&lt;&gt;"."),s_dir!AR10/((1/1000)*(s_Irr!BN10)),IF(AND(s_Irr!R10=".",s_Irr!AP10&lt;&gt;".",s_Irr!BN10="."),s_dir!AR10/((1/1000)*(s_Irr!AP10)),IF(AND(s_Irr!R10&lt;&gt;".",s_Irr!AP10=".",s_Irr!BN10="."),s_dir!AR10/((1/1000)*(s_Irr!R10)),IF(AND(s_Irr!R10=".",s_Irr!AP10=".",s_Irr!BN10="."),s_dir!AR10*1000)))))))),".")</f>
        <v>5228.0860535998863</v>
      </c>
      <c r="BR10" s="48">
        <f>IFERROR(IF(AND(s_Irr!S10&lt;&gt;".",s_Irr!AQ10&lt;&gt;".",s_Irr!BO10&lt;&gt;"."),s_dir!AS10/((1/1000)*(s_Irr!S10+s_Irr!AQ10+s_Irr!BO10)),IF(AND(s_Irr!S10&lt;&gt;".",s_Irr!AQ10&lt;&gt;".",s_Irr!BO10="."),s_dir!AS10/((1/1000)*(s_Irr!S10+s_Irr!AQ10)),IF(AND(s_Irr!S10&lt;&gt;".",s_Irr!AQ10=".",s_Irr!BO10&lt;&gt;"."),s_dir!AS10/((1/1000)*(s_Irr!S10+s_Irr!BO10)),IF(AND(s_Irr!S10=".",s_Irr!AQ10&lt;&gt;".",s_Irr!BO10&lt;&gt;"."),s_dir!AS10/((1/1000)*(s_Irr!AQ10+s_Irr!BO10)),IF(AND(s_Irr!S10=".",s_Irr!AQ10=".",s_Irr!BO10&lt;&gt;"."),s_dir!AS10/((1/1000)*(s_Irr!BO10)),IF(AND(s_Irr!S10=".",s_Irr!AQ10&lt;&gt;".",s_Irr!BO10="."),s_dir!AS10/((1/1000)*(s_Irr!AQ10)),IF(AND(s_Irr!S10&lt;&gt;".",s_Irr!AQ10=".",s_Irr!BO10="."),s_dir!AS10/((1/1000)*(s_Irr!S10)),IF(AND(s_Irr!S10=".",s_Irr!AQ10=".",s_Irr!BO10="."),s_dir!AS10*1000)))))))),".")</f>
        <v>3419.5804633035277</v>
      </c>
      <c r="BS10" s="48">
        <f>IFERROR(IF(AND(s_Irr!T10&lt;&gt;".",s_Irr!AR10&lt;&gt;".",s_Irr!BP10&lt;&gt;"."),s_dir!AT10/((1/1000)*(s_Irr!T10+s_Irr!AR10+s_Irr!BP10)),IF(AND(s_Irr!T10&lt;&gt;".",s_Irr!AR10&lt;&gt;".",s_Irr!BP10="."),s_dir!AT10/((1/1000)*(s_Irr!T10+s_Irr!AR10)),IF(AND(s_Irr!T10&lt;&gt;".",s_Irr!AR10=".",s_Irr!BP10&lt;&gt;"."),s_dir!AT10/((1/1000)*(s_Irr!T10+s_Irr!BP10)),IF(AND(s_Irr!T10=".",s_Irr!AR10&lt;&gt;".",s_Irr!BP10&lt;&gt;"."),s_dir!AT10/((1/1000)*(s_Irr!AR10+s_Irr!BP10)),IF(AND(s_Irr!T10=".",s_Irr!AR10=".",s_Irr!BP10&lt;&gt;"."),s_dir!AT10/((1/1000)*(s_Irr!BP10)),IF(AND(s_Irr!T10=".",s_Irr!AR10&lt;&gt;".",s_Irr!BP10="."),s_dir!AT10/((1/1000)*(s_Irr!AR10)),IF(AND(s_Irr!T10&lt;&gt;".",s_Irr!AR10=".",s_Irr!BP10="."),s_dir!AT10/((1/1000)*(s_Irr!T10)),IF(AND(s_Irr!T10=".",s_Irr!AR10=".",s_Irr!BP10="."),s_dir!AT10*1000)))))))),".")</f>
        <v>2943.2596287478368</v>
      </c>
      <c r="BT10" s="48">
        <f>IFERROR(IF(AND(s_Irr!U10&lt;&gt;".",s_Irr!AS10&lt;&gt;".",s_Irr!BQ10&lt;&gt;"."),s_dir!AU10/((1/1000)*(s_Irr!U10+s_Irr!AS10+s_Irr!BQ10)),IF(AND(s_Irr!U10&lt;&gt;".",s_Irr!AS10&lt;&gt;".",s_Irr!BQ10="."),s_dir!AU10/((1/1000)*(s_Irr!U10+s_Irr!AS10)),IF(AND(s_Irr!U10&lt;&gt;".",s_Irr!AS10=".",s_Irr!BQ10&lt;&gt;"."),s_dir!AU10/((1/1000)*(s_Irr!U10+s_Irr!BQ10)),IF(AND(s_Irr!U10=".",s_Irr!AS10&lt;&gt;".",s_Irr!BQ10&lt;&gt;"."),s_dir!AU10/((1/1000)*(s_Irr!AS10+s_Irr!BQ10)),IF(AND(s_Irr!U10=".",s_Irr!AS10=".",s_Irr!BQ10&lt;&gt;"."),s_dir!AU10/((1/1000)*(s_Irr!BQ10)),IF(AND(s_Irr!U10=".",s_Irr!AS10&lt;&gt;".",s_Irr!BQ10="."),s_dir!AU10/((1/1000)*(s_Irr!AS10)),IF(AND(s_Irr!U10&lt;&gt;".",s_Irr!AS10=".",s_Irr!BQ10="."),s_dir!AU10/((1/1000)*(s_Irr!U10)),IF(AND(s_Irr!U10=".",s_Irr!AS10=".",s_Irr!BQ10="."),s_dir!AU10*1000)))))))),".")</f>
        <v>4233.0887865555706</v>
      </c>
      <c r="BU10" s="48">
        <f>IFERROR(IF(AND(s_Irr!V10&lt;&gt;".",s_Irr!AT10&lt;&gt;".",s_Irr!BR10&lt;&gt;"."),s_dir!AV10/((1/1000)*(s_Irr!V10+s_Irr!AT10+s_Irr!BR10)),IF(AND(s_Irr!V10&lt;&gt;".",s_Irr!AT10&lt;&gt;".",s_Irr!BR10="."),s_dir!AV10/((1/1000)*(s_Irr!V10+s_Irr!AT10)),IF(AND(s_Irr!V10&lt;&gt;".",s_Irr!AT10=".",s_Irr!BR10&lt;&gt;"."),s_dir!AV10/((1/1000)*(s_Irr!V10+s_Irr!BR10)),IF(AND(s_Irr!V10=".",s_Irr!AT10&lt;&gt;".",s_Irr!BR10&lt;&gt;"."),s_dir!AV10/((1/1000)*(s_Irr!AT10+s_Irr!BR10)),IF(AND(s_Irr!V10=".",s_Irr!AT10=".",s_Irr!BR10&lt;&gt;"."),s_dir!AV10/((1/1000)*(s_Irr!BR10)),IF(AND(s_Irr!V10=".",s_Irr!AT10&lt;&gt;".",s_Irr!BR10="."),s_dir!AV10/((1/1000)*(s_Irr!AT10)),IF(AND(s_Irr!V10&lt;&gt;".",s_Irr!AT10=".",s_Irr!BR10="."),s_dir!AV10/((1/1000)*(s_Irr!V10)),IF(AND(s_Irr!V10=".",s_Irr!AT10=".",s_Irr!BR10="."),s_dir!AV10*1000)))))))),".")</f>
        <v>3419.5804633035277</v>
      </c>
      <c r="BV10" s="48">
        <f>IFERROR(IF(AND(s_Irr!W10&lt;&gt;".",s_Irr!AU10&lt;&gt;".",s_Irr!BS10&lt;&gt;"."),s_dir!AW10/((1/1000)*(s_Irr!W10+s_Irr!AU10+s_Irr!BS10)),IF(AND(s_Irr!W10&lt;&gt;".",s_Irr!AU10&lt;&gt;".",s_Irr!BS10="."),s_dir!AW10/((1/1000)*(s_Irr!W10+s_Irr!AU10)),IF(AND(s_Irr!W10&lt;&gt;".",s_Irr!AU10=".",s_Irr!BS10&lt;&gt;"."),s_dir!AW10/((1/1000)*(s_Irr!W10+s_Irr!BS10)),IF(AND(s_Irr!W10=".",s_Irr!AU10&lt;&gt;".",s_Irr!BS10&lt;&gt;"."),s_dir!AW10/((1/1000)*(s_Irr!AU10+s_Irr!BS10)),IF(AND(s_Irr!W10=".",s_Irr!AU10=".",s_Irr!BS10&lt;&gt;"."),s_dir!AW10/((1/1000)*(s_Irr!BS10)),IF(AND(s_Irr!W10=".",s_Irr!AU10&lt;&gt;".",s_Irr!BS10="."),s_dir!AW10/((1/1000)*(s_Irr!AU10)),IF(AND(s_Irr!W10&lt;&gt;".",s_Irr!AU10=".",s_Irr!BS10="."),s_dir!AW10/((1/1000)*(s_Irr!W10)),IF(AND(s_Irr!W10=".",s_Irr!AU10=".",s_Irr!BS10="."),s_dir!AW10*1000)))))))),".")</f>
        <v>5473.5501761061505</v>
      </c>
      <c r="BW10" s="48">
        <f>IFERROR(IF(AND(s_Irr!X10&lt;&gt;".",s_Irr!AV10&lt;&gt;".",s_Irr!BT10&lt;&gt;"."),s_dir!AX10/((1/1000)*(s_Irr!X10+s_Irr!AV10+s_Irr!BT10)),IF(AND(s_Irr!X10&lt;&gt;".",s_Irr!AV10&lt;&gt;".",s_Irr!BT10="."),s_dir!AX10/((1/1000)*(s_Irr!X10+s_Irr!AV10)),IF(AND(s_Irr!X10&lt;&gt;".",s_Irr!AV10=".",s_Irr!BT10&lt;&gt;"."),s_dir!AX10/((1/1000)*(s_Irr!X10+s_Irr!BT10)),IF(AND(s_Irr!X10=".",s_Irr!AV10&lt;&gt;".",s_Irr!BT10&lt;&gt;"."),s_dir!AX10/((1/1000)*(s_Irr!AV10+s_Irr!BT10)),IF(AND(s_Irr!X10=".",s_Irr!AV10=".",s_Irr!BT10&lt;&gt;"."),s_dir!AX10/((1/1000)*(s_Irr!BT10)),IF(AND(s_Irr!X10=".",s_Irr!AV10&lt;&gt;".",s_Irr!BT10="."),s_dir!AX10/((1/1000)*(s_Irr!AV10)),IF(AND(s_Irr!X10&lt;&gt;".",s_Irr!AV10=".",s_Irr!BT10="."),s_dir!AX10/((1/1000)*(s_Irr!X10)),IF(AND(s_Irr!X10=".",s_Irr!AV10=".",s_Irr!BT10="."),s_dir!AX10*1000)))))))),".")</f>
        <v>4233.0887865555706</v>
      </c>
      <c r="BX10" s="48">
        <f>IFERROR(IF(AND(s_Irr!Y10&lt;&gt;".",s_Irr!AW10&lt;&gt;".",s_Irr!BU10&lt;&gt;"."),s_dir!AY10/((1/1000)*(s_Irr!Y10+s_Irr!AW10+s_Irr!BU10)),IF(AND(s_Irr!Y10&lt;&gt;".",s_Irr!AW10&lt;&gt;".",s_Irr!BU10="."),s_dir!AY10/((1/1000)*(s_Irr!Y10+s_Irr!AW10)),IF(AND(s_Irr!Y10&lt;&gt;".",s_Irr!AW10=".",s_Irr!BU10&lt;&gt;"."),s_dir!AY10/((1/1000)*(s_Irr!Y10+s_Irr!BU10)),IF(AND(s_Irr!Y10=".",s_Irr!AW10&lt;&gt;".",s_Irr!BU10&lt;&gt;"."),s_dir!AY10/((1/1000)*(s_Irr!AW10+s_Irr!BU10)),IF(AND(s_Irr!Y10=".",s_Irr!AW10=".",s_Irr!BU10&lt;&gt;"."),s_dir!AY10/((1/1000)*(s_Irr!BU10)),IF(AND(s_Irr!Y10=".",s_Irr!AW10&lt;&gt;".",s_Irr!BU10="."),s_dir!AY10/((1/1000)*(s_Irr!AW10)),IF(AND(s_Irr!Y10&lt;&gt;".",s_Irr!AW10=".",s_Irr!BU10="."),s_dir!AY10/((1/1000)*(s_Irr!Y10)),IF(AND(s_Irr!Y10=".",s_Irr!AW10=".",s_Irr!BU10="."),s_dir!AY10*1000)))))))),".")</f>
        <v>5672.8506742453901</v>
      </c>
      <c r="BY10" s="48">
        <f>IFERROR(IF(AND(s_Irr!Z10&lt;&gt;".",s_Irr!AX10&lt;&gt;".",s_Irr!BV10&lt;&gt;"."),s_dir!AZ10/((1/1000)*(s_Irr!Z10+s_Irr!AX10+s_Irr!BV10)),IF(AND(s_Irr!Z10&lt;&gt;".",s_Irr!AX10&lt;&gt;".",s_Irr!BV10="."),s_dir!AZ10/((1/1000)*(s_Irr!Z10+s_Irr!AX10)),IF(AND(s_Irr!Z10&lt;&gt;".",s_Irr!AX10=".",s_Irr!BV10&lt;&gt;"."),s_dir!AZ10/((1/1000)*(s_Irr!Z10+s_Irr!BV10)),IF(AND(s_Irr!Z10=".",s_Irr!AX10&lt;&gt;".",s_Irr!BV10&lt;&gt;"."),s_dir!AZ10/((1/1000)*(s_Irr!AX10+s_Irr!BV10)),IF(AND(s_Irr!Z10=".",s_Irr!AX10=".",s_Irr!BV10&lt;&gt;"."),s_dir!AZ10/((1/1000)*(s_Irr!BV10)),IF(AND(s_Irr!Z10=".",s_Irr!AX10&lt;&gt;".",s_Irr!BV10="."),s_dir!AZ10/((1/1000)*(s_Irr!AX10)),IF(AND(s_Irr!Z10&lt;&gt;".",s_Irr!AX10=".",s_Irr!BV10="."),s_dir!AZ10/((1/1000)*(s_Irr!Z10)),IF(AND(s_Irr!Z10=".",s_Irr!AX10=".",s_Irr!BV10="."),s_dir!AZ10*1000)))))))),".")</f>
        <v>3847.6776656332872</v>
      </c>
      <c r="BZ10" s="62">
        <f t="shared" si="1"/>
        <v>318.76134631335049</v>
      </c>
      <c r="CA10" s="62">
        <f>IFERROR(s_C*s_IFAP_far_adj*s_CF_apple*(1/1000)*(s_Irr!C10+s_Irr!AA10+s_Irr!AY10),".")</f>
        <v>97.172620842093266</v>
      </c>
      <c r="CB10" s="62">
        <f>IFERROR(s_C*s_IFAS_far_adj*s_CF_asparagus*(1/1000)*(s_Irr!D10+s_Irr!AB10+s_Irr!AZ10),".")</f>
        <v>178.61756409963522</v>
      </c>
      <c r="CC10" s="62">
        <f>IFERROR(s_C*s_IFBT_far_adj*s_CF_beet*(1/1000)*(s_Irr!E10+s_Irr!AC10+s_Irr!BA10),".")</f>
        <v>151.56942796244414</v>
      </c>
      <c r="CD10" s="62">
        <f>IFERROR(s_C*s_IFBE_far_adj*s_CF_berries*(1/1000)*(s_Irr!F10+s_Irr!AD10+s_Irr!BB10),".")</f>
        <v>91.61272619167066</v>
      </c>
      <c r="CE10" s="62">
        <f>IFERROR(s_C*s_IFBR_far_adj*s_CF_broccoli*(1/1000)*(s_Irr!G10+s_Irr!AE10+s_Irr!BC10),".")</f>
        <v>120.01326913572126</v>
      </c>
      <c r="CF10" s="62">
        <f>IFERROR(s_C*s_IFCB_far_adj*s_CF_cabbage*(1/1000)*(s_Irr!H10+s_Irr!AF10+s_Irr!BD10),".")</f>
        <v>178.61756409963522</v>
      </c>
      <c r="CG10" s="62">
        <f>IFERROR(s_C*s_IFCR_far_adj*s_CF_carrot*(1/1000)*(s_Irr!I10+s_Irr!AG10+s_Irr!BE10),".")</f>
        <v>151.56942796244414</v>
      </c>
      <c r="CH10" s="62">
        <f>IFERROR(s_C*s_IFCI_far_adj*s_CF_citrus*(1/1000)*(s_Irr!J10+s_Irr!AH10+s_Irr!BF10),".")</f>
        <v>97.172620842093266</v>
      </c>
      <c r="CI10" s="62">
        <f>IFERROR(s_C*s_IFCO_far_adj*s_CF_corn*(1/1000)*(s_Irr!K10+s_Irr!AI10+s_Irr!BG10),".")</f>
        <v>138.04535989384863</v>
      </c>
      <c r="CJ10" s="62">
        <f>IFERROR(s_C*s_IFCU_far_adj*s_CF_cucumber*(1/1000)*(s_Irr!L10+s_Irr!AJ10+s_Irr!BH10),".")</f>
        <v>120.01326913572126</v>
      </c>
      <c r="CK10" s="62">
        <f>IFERROR(s_C*s_IFLE_far_adj*s_CF_lettuce*(1/1000)*(s_Irr!M10+s_Irr!AK10+s_Irr!BI10),".")</f>
        <v>178.61756409963522</v>
      </c>
      <c r="CL10" s="62">
        <f>IFERROR(s_C*s_IFLI_far_adj*s_CF_lima_bean*(1/1000)*(s_Irr!N10+s_Irr!AL10+s_Irr!BJ10),".")</f>
        <v>148.56407950275627</v>
      </c>
      <c r="CM10" s="62">
        <f>IFERROR(s_C*s_IFOK_far_adj*s_CF_okra*(1/1000)*(s_Irr!O10+s_Irr!AM10+s_Irr!BK10),".")</f>
        <v>120.01326913572126</v>
      </c>
      <c r="CN10" s="62">
        <f>IFERROR(s_C*s_IFON_far_adj*s_CF_onion*(1/1000)*(s_Irr!P10+s_Irr!AN10+s_Irr!BL10),".")</f>
        <v>120.01326913572126</v>
      </c>
      <c r="CO10" s="62">
        <f>IFERROR(s_C*s_IFPC_far_adj*s_CF_peach*(1/1000)*(s_Irr!Q10+s_Irr!AO10+s_Irr!BM10),".")</f>
        <v>97.172620842093266</v>
      </c>
      <c r="CP10" s="62">
        <f>IFERROR(s_C*s_IFPR_far_adj*s_CF_pear*(1/1000)*(s_Irr!R10+s_Irr!AP10+s_Irr!BN10),".")</f>
        <v>97.172620842093266</v>
      </c>
      <c r="CQ10" s="62">
        <f>IFERROR(s_C*s_IFPE_far_adj*s_CF_peas*(1/1000)*(s_Irr!S10+s_Irr!AQ10+s_Irr!BO10),".")</f>
        <v>148.56407950275627</v>
      </c>
      <c r="CR10" s="62">
        <f>IFERROR(s_C*s_IFPT_far_adj*s_CF_potato*(1/1000)*(s_Irr!T10+s_Irr!AR10+s_Irr!BP10),".")</f>
        <v>172.6068671802594</v>
      </c>
      <c r="CS10" s="62">
        <f>IFERROR(s_C*s_IFPU_far_adj*s_CF_pumpkin*(1/1000)*(s_Irr!U10+s_Irr!AS10+s_Irr!BQ10),".")</f>
        <v>120.01326913572126</v>
      </c>
      <c r="CT10" s="62">
        <f>IFERROR(s_C*s_IFSN_far_adj*s_CF_snap_bean*(1/1000)*(s_Irr!V10+s_Irr!AT10+s_Irr!BR10),".")</f>
        <v>148.56407950275627</v>
      </c>
      <c r="CU10" s="62">
        <f>IFERROR(s_C*s_IFST_far_adj*s_CF_strawberry*(1/1000)*(s_Irr!W10+s_Irr!AU10+s_Irr!BS10),".")</f>
        <v>92.814865575545824</v>
      </c>
      <c r="CV10" s="62">
        <f>IFERROR(s_C*s_IFTO_far_adj*s_CF_tomato*(1/1000)*(s_Irr!X10+s_Irr!AV10+s_Irr!BT10),".")</f>
        <v>120.01326913572126</v>
      </c>
      <c r="CW10" s="62">
        <f>IFERROR(s_C*s_IFRI_far_adj*s_CF_rice*(1/1000)*(s_Irr!Y10+s_Irr!AW10+s_Irr!BU10),".")</f>
        <v>89.554062496784454</v>
      </c>
      <c r="CX10" s="62">
        <f>IFERROR(s_C*s_IFCG_far_adj*s_CF_cereal*(1/1000)*(s_Irr!Z10+s_Irr!AX10+s_Irr!BV10),".")</f>
        <v>132.03466297447281</v>
      </c>
    </row>
    <row r="11" spans="1:102" ht="15" customHeight="1" x14ac:dyDescent="0.25">
      <c r="A11" s="61" t="s">
        <v>9</v>
      </c>
      <c r="B11" s="49" t="s">
        <v>1059</v>
      </c>
      <c r="C11" s="48" t="str">
        <f t="shared" si="2"/>
        <v>.</v>
      </c>
      <c r="D11" s="48" t="str">
        <f>IFERROR(IF(AND(s_Irr!C11&lt;&gt;".",s_Irr!AA11&lt;&gt;".",s_Irr!AY11&lt;&gt;"."),s_dir!D11/((1/1000)*(s_Irr!C11+s_Irr!AA11+s_Irr!AY11)),IF(AND(s_Irr!C11&lt;&gt;".",s_Irr!AA11&lt;&gt;".",s_Irr!AY11="."),s_dir!D11/((1/1000)*(s_Irr!C11+s_Irr!AA11)),IF(AND(s_Irr!C11&lt;&gt;".",s_Irr!AA11=".",s_Irr!AY11&lt;&gt;"."),s_dir!D11/((1/1000)*(s_Irr!C11+s_Irr!AY11)),IF(AND(s_Irr!C11=".",s_Irr!AA11&lt;&gt;".",s_Irr!AY11&lt;&gt;"."),s_dir!D11/((1/1000)*(s_Irr!AA11+s_Irr!AY11)),IF(AND(s_Irr!C11=".",s_Irr!AA11=".",s_Irr!AY11&lt;&gt;"."),s_dir!D11/((1/1000)*(s_Irr!AY11)),IF(AND(s_Irr!C11=".",s_Irr!AA11&lt;&gt;".",s_Irr!AY11="."),s_dir!D11/((1/1000)*(s_Irr!AA11)),IF(AND(s_Irr!C11&lt;&gt;".",s_Irr!AA11=".",s_Irr!AY11="."),s_dir!D11/((1/1000)*(s_Irr!C11)),IF(AND(s_Irr!C11=".",s_Irr!AA11=".",s_Irr!AY11="."),s_dir!D11*1000)))))))),".")</f>
        <v>.</v>
      </c>
      <c r="E11" s="48" t="str">
        <f>IFERROR(IF(AND(s_Irr!D11&lt;&gt;".",s_Irr!AB11&lt;&gt;".",s_Irr!AZ11&lt;&gt;"."),s_dir!E11/((1/1000)*(s_Irr!D11+s_Irr!AB11+s_Irr!AZ11)),IF(AND(s_Irr!D11&lt;&gt;".",s_Irr!AB11&lt;&gt;".",s_Irr!AZ11="."),s_dir!E11/((1/1000)*(s_Irr!D11+s_Irr!AB11)),IF(AND(s_Irr!D11&lt;&gt;".",s_Irr!AB11=".",s_Irr!AZ11&lt;&gt;"."),s_dir!E11/((1/1000)*(s_Irr!D11+s_Irr!AZ11)),IF(AND(s_Irr!D11=".",s_Irr!AB11&lt;&gt;".",s_Irr!AZ11&lt;&gt;"."),s_dir!E11/((1/1000)*(s_Irr!AB11+s_Irr!AZ11)),IF(AND(s_Irr!D11=".",s_Irr!AB11=".",s_Irr!AZ11&lt;&gt;"."),s_dir!E11/((1/1000)*(s_Irr!AZ11)),IF(AND(s_Irr!D11=".",s_Irr!AB11&lt;&gt;".",s_Irr!AZ11="."),s_dir!E11/((1/1000)*(s_Irr!AB11)),IF(AND(s_Irr!D11&lt;&gt;".",s_Irr!AB11=".",s_Irr!AZ11="."),s_dir!E11/((1/1000)*(s_Irr!D11)),IF(AND(s_Irr!D11=".",s_Irr!AB11=".",s_Irr!AZ11="."),s_dir!E11*1000)))))))),".")</f>
        <v>.</v>
      </c>
      <c r="F11" s="48" t="str">
        <f>IFERROR(IF(AND(s_Irr!E11&lt;&gt;".",s_Irr!AC11&lt;&gt;".",s_Irr!BA11&lt;&gt;"."),s_dir!F11/((1/1000)*(s_Irr!E11+s_Irr!AC11+s_Irr!BA11)),IF(AND(s_Irr!E11&lt;&gt;".",s_Irr!AC11&lt;&gt;".",s_Irr!BA11="."),s_dir!F11/((1/1000)*(s_Irr!E11+s_Irr!AC11)),IF(AND(s_Irr!E11&lt;&gt;".",s_Irr!AC11=".",s_Irr!BA11&lt;&gt;"."),s_dir!F11/((1/1000)*(s_Irr!E11+s_Irr!BA11)),IF(AND(s_Irr!E11=".",s_Irr!AC11&lt;&gt;".",s_Irr!BA11&lt;&gt;"."),s_dir!F11/((1/1000)*(s_Irr!AC11+s_Irr!BA11)),IF(AND(s_Irr!E11=".",s_Irr!AC11=".",s_Irr!BA11&lt;&gt;"."),s_dir!F11/((1/1000)*(s_Irr!BA11)),IF(AND(s_Irr!E11=".",s_Irr!AC11&lt;&gt;".",s_Irr!BA11="."),s_dir!F11/((1/1000)*(s_Irr!AC11)),IF(AND(s_Irr!E11&lt;&gt;".",s_Irr!AC11=".",s_Irr!BA11="."),s_dir!F11/((1/1000)*(s_Irr!E11)),IF(AND(s_Irr!E11=".",s_Irr!AC11=".",s_Irr!BA11="."),s_dir!F11*1000)))))))),".")</f>
        <v>.</v>
      </c>
      <c r="G11" s="48" t="str">
        <f>IFERROR(IF(AND(s_Irr!F11&lt;&gt;".",s_Irr!AD11&lt;&gt;".",s_Irr!BB11&lt;&gt;"."),s_dir!G11/((1/1000)*(s_Irr!F11+s_Irr!AD11+s_Irr!BB11)),IF(AND(s_Irr!F11&lt;&gt;".",s_Irr!AD11&lt;&gt;".",s_Irr!BB11="."),s_dir!G11/((1/1000)*(s_Irr!F11+s_Irr!AD11)),IF(AND(s_Irr!F11&lt;&gt;".",s_Irr!AD11=".",s_Irr!BB11&lt;&gt;"."),s_dir!G11/((1/1000)*(s_Irr!F11+s_Irr!BB11)),IF(AND(s_Irr!F11=".",s_Irr!AD11&lt;&gt;".",s_Irr!BB11&lt;&gt;"."),s_dir!G11/((1/1000)*(s_Irr!AD11+s_Irr!BB11)),IF(AND(s_Irr!F11=".",s_Irr!AD11=".",s_Irr!BB11&lt;&gt;"."),s_dir!G11/((1/1000)*(s_Irr!BB11)),IF(AND(s_Irr!F11=".",s_Irr!AD11&lt;&gt;".",s_Irr!BB11="."),s_dir!G11/((1/1000)*(s_Irr!AD11)),IF(AND(s_Irr!F11&lt;&gt;".",s_Irr!AD11=".",s_Irr!BB11="."),s_dir!G11/((1/1000)*(s_Irr!F11)),IF(AND(s_Irr!F11=".",s_Irr!AD11=".",s_Irr!BB11="."),s_dir!G11*1000)))))))),".")</f>
        <v>.</v>
      </c>
      <c r="H11" s="48" t="str">
        <f>IFERROR(IF(AND(s_Irr!G11&lt;&gt;".",s_Irr!AE11&lt;&gt;".",s_Irr!BC11&lt;&gt;"."),s_dir!H11/((1/1000)*(s_Irr!G11+s_Irr!AE11+s_Irr!BC11)),IF(AND(s_Irr!G11&lt;&gt;".",s_Irr!AE11&lt;&gt;".",s_Irr!BC11="."),s_dir!H11/((1/1000)*(s_Irr!G11+s_Irr!AE11)),IF(AND(s_Irr!G11&lt;&gt;".",s_Irr!AE11=".",s_Irr!BC11&lt;&gt;"."),s_dir!H11/((1/1000)*(s_Irr!G11+s_Irr!BC11)),IF(AND(s_Irr!G11=".",s_Irr!AE11&lt;&gt;".",s_Irr!BC11&lt;&gt;"."),s_dir!H11/((1/1000)*(s_Irr!AE11+s_Irr!BC11)),IF(AND(s_Irr!G11=".",s_Irr!AE11=".",s_Irr!BC11&lt;&gt;"."),s_dir!H11/((1/1000)*(s_Irr!BC11)),IF(AND(s_Irr!G11=".",s_Irr!AE11&lt;&gt;".",s_Irr!BC11="."),s_dir!H11/((1/1000)*(s_Irr!AE11)),IF(AND(s_Irr!G11&lt;&gt;".",s_Irr!AE11=".",s_Irr!BC11="."),s_dir!H11/((1/1000)*(s_Irr!G11)),IF(AND(s_Irr!G11=".",s_Irr!AE11=".",s_Irr!BC11="."),s_dir!H11*1000)))))))),".")</f>
        <v>.</v>
      </c>
      <c r="I11" s="48" t="str">
        <f>IFERROR(IF(AND(s_Irr!H11&lt;&gt;".",s_Irr!AF11&lt;&gt;".",s_Irr!BD11&lt;&gt;"."),s_dir!I11/((1/1000)*(s_Irr!H11+s_Irr!AF11+s_Irr!BD11)),IF(AND(s_Irr!H11&lt;&gt;".",s_Irr!AF11&lt;&gt;".",s_Irr!BD11="."),s_dir!I11/((1/1000)*(s_Irr!H11+s_Irr!AF11)),IF(AND(s_Irr!H11&lt;&gt;".",s_Irr!AF11=".",s_Irr!BD11&lt;&gt;"."),s_dir!I11/((1/1000)*(s_Irr!H11+s_Irr!BD11)),IF(AND(s_Irr!H11=".",s_Irr!AF11&lt;&gt;".",s_Irr!BD11&lt;&gt;"."),s_dir!I11/((1/1000)*(s_Irr!AF11+s_Irr!BD11)),IF(AND(s_Irr!H11=".",s_Irr!AF11=".",s_Irr!BD11&lt;&gt;"."),s_dir!I11/((1/1000)*(s_Irr!BD11)),IF(AND(s_Irr!H11=".",s_Irr!AF11&lt;&gt;".",s_Irr!BD11="."),s_dir!I11/((1/1000)*(s_Irr!AF11)),IF(AND(s_Irr!H11&lt;&gt;".",s_Irr!AF11=".",s_Irr!BD11="."),s_dir!I11/((1/1000)*(s_Irr!H11)),IF(AND(s_Irr!H11=".",s_Irr!AF11=".",s_Irr!BD11="."),s_dir!I11*1000)))))))),".")</f>
        <v>.</v>
      </c>
      <c r="J11" s="48" t="str">
        <f>IFERROR(IF(AND(s_Irr!I11&lt;&gt;".",s_Irr!AG11&lt;&gt;".",s_Irr!BE11&lt;&gt;"."),s_dir!J11/((1/1000)*(s_Irr!I11+s_Irr!AG11+s_Irr!BE11)),IF(AND(s_Irr!I11&lt;&gt;".",s_Irr!AG11&lt;&gt;".",s_Irr!BE11="."),s_dir!J11/((1/1000)*(s_Irr!I11+s_Irr!AG11)),IF(AND(s_Irr!I11&lt;&gt;".",s_Irr!AG11=".",s_Irr!BE11&lt;&gt;"."),s_dir!J11/((1/1000)*(s_Irr!I11+s_Irr!BE11)),IF(AND(s_Irr!I11=".",s_Irr!AG11&lt;&gt;".",s_Irr!BE11&lt;&gt;"."),s_dir!J11/((1/1000)*(s_Irr!AG11+s_Irr!BE11)),IF(AND(s_Irr!I11=".",s_Irr!AG11=".",s_Irr!BE11&lt;&gt;"."),s_dir!J11/((1/1000)*(s_Irr!BE11)),IF(AND(s_Irr!I11=".",s_Irr!AG11&lt;&gt;".",s_Irr!BE11="."),s_dir!J11/((1/1000)*(s_Irr!AG11)),IF(AND(s_Irr!I11&lt;&gt;".",s_Irr!AG11=".",s_Irr!BE11="."),s_dir!J11/((1/1000)*(s_Irr!I11)),IF(AND(s_Irr!I11=".",s_Irr!AG11=".",s_Irr!BE11="."),s_dir!J11*1000)))))))),".")</f>
        <v>.</v>
      </c>
      <c r="K11" s="48" t="str">
        <f>IFERROR(IF(AND(s_Irr!J11&lt;&gt;".",s_Irr!AH11&lt;&gt;".",s_Irr!BF11&lt;&gt;"."),s_dir!K11/((1/1000)*(s_Irr!J11+s_Irr!AH11+s_Irr!BF11)),IF(AND(s_Irr!J11&lt;&gt;".",s_Irr!AH11&lt;&gt;".",s_Irr!BF11="."),s_dir!K11/((1/1000)*(s_Irr!J11+s_Irr!AH11)),IF(AND(s_Irr!J11&lt;&gt;".",s_Irr!AH11=".",s_Irr!BF11&lt;&gt;"."),s_dir!K11/((1/1000)*(s_Irr!J11+s_Irr!BF11)),IF(AND(s_Irr!J11=".",s_Irr!AH11&lt;&gt;".",s_Irr!BF11&lt;&gt;"."),s_dir!K11/((1/1000)*(s_Irr!AH11+s_Irr!BF11)),IF(AND(s_Irr!J11=".",s_Irr!AH11=".",s_Irr!BF11&lt;&gt;"."),s_dir!K11/((1/1000)*(s_Irr!BF11)),IF(AND(s_Irr!J11=".",s_Irr!AH11&lt;&gt;".",s_Irr!BF11="."),s_dir!K11/((1/1000)*(s_Irr!AH11)),IF(AND(s_Irr!J11&lt;&gt;".",s_Irr!AH11=".",s_Irr!BF11="."),s_dir!K11/((1/1000)*(s_Irr!J11)),IF(AND(s_Irr!J11=".",s_Irr!AH11=".",s_Irr!BF11="."),s_dir!K11*1000)))))))),".")</f>
        <v>.</v>
      </c>
      <c r="L11" s="48" t="str">
        <f>IFERROR(IF(AND(s_Irr!K11&lt;&gt;".",s_Irr!AI11&lt;&gt;".",s_Irr!BG11&lt;&gt;"."),s_dir!L11/((1/1000)*(s_Irr!K11+s_Irr!AI11+s_Irr!BG11)),IF(AND(s_Irr!K11&lt;&gt;".",s_Irr!AI11&lt;&gt;".",s_Irr!BG11="."),s_dir!L11/((1/1000)*(s_Irr!K11+s_Irr!AI11)),IF(AND(s_Irr!K11&lt;&gt;".",s_Irr!AI11=".",s_Irr!BG11&lt;&gt;"."),s_dir!L11/((1/1000)*(s_Irr!K11+s_Irr!BG11)),IF(AND(s_Irr!K11=".",s_Irr!AI11&lt;&gt;".",s_Irr!BG11&lt;&gt;"."),s_dir!L11/((1/1000)*(s_Irr!AI11+s_Irr!BG11)),IF(AND(s_Irr!K11=".",s_Irr!AI11=".",s_Irr!BG11&lt;&gt;"."),s_dir!L11/((1/1000)*(s_Irr!BG11)),IF(AND(s_Irr!K11=".",s_Irr!AI11&lt;&gt;".",s_Irr!BG11="."),s_dir!L11/((1/1000)*(s_Irr!AI11)),IF(AND(s_Irr!K11&lt;&gt;".",s_Irr!AI11=".",s_Irr!BG11="."),s_dir!L11/((1/1000)*(s_Irr!K11)),IF(AND(s_Irr!K11=".",s_Irr!AI11=".",s_Irr!BG11="."),s_dir!L11*1000)))))))),".")</f>
        <v>.</v>
      </c>
      <c r="M11" s="48" t="str">
        <f>IFERROR(IF(AND(s_Irr!L11&lt;&gt;".",s_Irr!AJ11&lt;&gt;".",s_Irr!BH11&lt;&gt;"."),s_dir!M11/((1/1000)*(s_Irr!L11+s_Irr!AJ11+s_Irr!BH11)),IF(AND(s_Irr!L11&lt;&gt;".",s_Irr!AJ11&lt;&gt;".",s_Irr!BH11="."),s_dir!M11/((1/1000)*(s_Irr!L11+s_Irr!AJ11)),IF(AND(s_Irr!L11&lt;&gt;".",s_Irr!AJ11=".",s_Irr!BH11&lt;&gt;"."),s_dir!M11/((1/1000)*(s_Irr!L11+s_Irr!BH11)),IF(AND(s_Irr!L11=".",s_Irr!AJ11&lt;&gt;".",s_Irr!BH11&lt;&gt;"."),s_dir!M11/((1/1000)*(s_Irr!AJ11+s_Irr!BH11)),IF(AND(s_Irr!L11=".",s_Irr!AJ11=".",s_Irr!BH11&lt;&gt;"."),s_dir!M11/((1/1000)*(s_Irr!BH11)),IF(AND(s_Irr!L11=".",s_Irr!AJ11&lt;&gt;".",s_Irr!BH11="."),s_dir!M11/((1/1000)*(s_Irr!AJ11)),IF(AND(s_Irr!L11&lt;&gt;".",s_Irr!AJ11=".",s_Irr!BH11="."),s_dir!M11/((1/1000)*(s_Irr!L11)),IF(AND(s_Irr!L11=".",s_Irr!AJ11=".",s_Irr!BH11="."),s_dir!M11*1000)))))))),".")</f>
        <v>.</v>
      </c>
      <c r="N11" s="48" t="str">
        <f>IFERROR(IF(AND(s_Irr!M11&lt;&gt;".",s_Irr!AK11&lt;&gt;".",s_Irr!BI11&lt;&gt;"."),s_dir!N11/((1/1000)*(s_Irr!M11+s_Irr!AK11+s_Irr!BI11)),IF(AND(s_Irr!M11&lt;&gt;".",s_Irr!AK11&lt;&gt;".",s_Irr!BI11="."),s_dir!N11/((1/1000)*(s_Irr!M11+s_Irr!AK11)),IF(AND(s_Irr!M11&lt;&gt;".",s_Irr!AK11=".",s_Irr!BI11&lt;&gt;"."),s_dir!N11/((1/1000)*(s_Irr!M11+s_Irr!BI11)),IF(AND(s_Irr!M11=".",s_Irr!AK11&lt;&gt;".",s_Irr!BI11&lt;&gt;"."),s_dir!N11/((1/1000)*(s_Irr!AK11+s_Irr!BI11)),IF(AND(s_Irr!M11=".",s_Irr!AK11=".",s_Irr!BI11&lt;&gt;"."),s_dir!N11/((1/1000)*(s_Irr!BI11)),IF(AND(s_Irr!M11=".",s_Irr!AK11&lt;&gt;".",s_Irr!BI11="."),s_dir!N11/((1/1000)*(s_Irr!AK11)),IF(AND(s_Irr!M11&lt;&gt;".",s_Irr!AK11=".",s_Irr!BI11="."),s_dir!N11/((1/1000)*(s_Irr!M11)),IF(AND(s_Irr!M11=".",s_Irr!AK11=".",s_Irr!BI11="."),s_dir!N11*1000)))))))),".")</f>
        <v>.</v>
      </c>
      <c r="O11" s="48" t="str">
        <f>IFERROR(IF(AND(s_Irr!N11&lt;&gt;".",s_Irr!AL11&lt;&gt;".",s_Irr!BJ11&lt;&gt;"."),s_dir!O11/((1/1000)*(s_Irr!N11+s_Irr!AL11+s_Irr!BJ11)),IF(AND(s_Irr!N11&lt;&gt;".",s_Irr!AL11&lt;&gt;".",s_Irr!BJ11="."),s_dir!O11/((1/1000)*(s_Irr!N11+s_Irr!AL11)),IF(AND(s_Irr!N11&lt;&gt;".",s_Irr!AL11=".",s_Irr!BJ11&lt;&gt;"."),s_dir!O11/((1/1000)*(s_Irr!N11+s_Irr!BJ11)),IF(AND(s_Irr!N11=".",s_Irr!AL11&lt;&gt;".",s_Irr!BJ11&lt;&gt;"."),s_dir!O11/((1/1000)*(s_Irr!AL11+s_Irr!BJ11)),IF(AND(s_Irr!N11=".",s_Irr!AL11=".",s_Irr!BJ11&lt;&gt;"."),s_dir!O11/((1/1000)*(s_Irr!BJ11)),IF(AND(s_Irr!N11=".",s_Irr!AL11&lt;&gt;".",s_Irr!BJ11="."),s_dir!O11/((1/1000)*(s_Irr!AL11)),IF(AND(s_Irr!N11&lt;&gt;".",s_Irr!AL11=".",s_Irr!BJ11="."),s_dir!O11/((1/1000)*(s_Irr!N11)),IF(AND(s_Irr!N11=".",s_Irr!AL11=".",s_Irr!BJ11="."),s_dir!O11*1000)))))))),".")</f>
        <v>.</v>
      </c>
      <c r="P11" s="48" t="str">
        <f>IFERROR(IF(AND(s_Irr!O11&lt;&gt;".",s_Irr!AM11&lt;&gt;".",s_Irr!BK11&lt;&gt;"."),s_dir!P11/((1/1000)*(s_Irr!O11+s_Irr!AM11+s_Irr!BK11)),IF(AND(s_Irr!O11&lt;&gt;".",s_Irr!AM11&lt;&gt;".",s_Irr!BK11="."),s_dir!P11/((1/1000)*(s_Irr!O11+s_Irr!AM11)),IF(AND(s_Irr!O11&lt;&gt;".",s_Irr!AM11=".",s_Irr!BK11&lt;&gt;"."),s_dir!P11/((1/1000)*(s_Irr!O11+s_Irr!BK11)),IF(AND(s_Irr!O11=".",s_Irr!AM11&lt;&gt;".",s_Irr!BK11&lt;&gt;"."),s_dir!P11/((1/1000)*(s_Irr!AM11+s_Irr!BK11)),IF(AND(s_Irr!O11=".",s_Irr!AM11=".",s_Irr!BK11&lt;&gt;"."),s_dir!P11/((1/1000)*(s_Irr!BK11)),IF(AND(s_Irr!O11=".",s_Irr!AM11&lt;&gt;".",s_Irr!BK11="."),s_dir!P11/((1/1000)*(s_Irr!AM11)),IF(AND(s_Irr!O11&lt;&gt;".",s_Irr!AM11=".",s_Irr!BK11="."),s_dir!P11/((1/1000)*(s_Irr!O11)),IF(AND(s_Irr!O11=".",s_Irr!AM11=".",s_Irr!BK11="."),s_dir!P11*1000)))))))),".")</f>
        <v>.</v>
      </c>
      <c r="Q11" s="48" t="str">
        <f>IFERROR(IF(AND(s_Irr!P11&lt;&gt;".",s_Irr!AN11&lt;&gt;".",s_Irr!BL11&lt;&gt;"."),s_dir!Q11/((1/1000)*(s_Irr!P11+s_Irr!AN11+s_Irr!BL11)),IF(AND(s_Irr!P11&lt;&gt;".",s_Irr!AN11&lt;&gt;".",s_Irr!BL11="."),s_dir!Q11/((1/1000)*(s_Irr!P11+s_Irr!AN11)),IF(AND(s_Irr!P11&lt;&gt;".",s_Irr!AN11=".",s_Irr!BL11&lt;&gt;"."),s_dir!Q11/((1/1000)*(s_Irr!P11+s_Irr!BL11)),IF(AND(s_Irr!P11=".",s_Irr!AN11&lt;&gt;".",s_Irr!BL11&lt;&gt;"."),s_dir!Q11/((1/1000)*(s_Irr!AN11+s_Irr!BL11)),IF(AND(s_Irr!P11=".",s_Irr!AN11=".",s_Irr!BL11&lt;&gt;"."),s_dir!Q11/((1/1000)*(s_Irr!BL11)),IF(AND(s_Irr!P11=".",s_Irr!AN11&lt;&gt;".",s_Irr!BL11="."),s_dir!Q11/((1/1000)*(s_Irr!AN11)),IF(AND(s_Irr!P11&lt;&gt;".",s_Irr!AN11=".",s_Irr!BL11="."),s_dir!Q11/((1/1000)*(s_Irr!P11)),IF(AND(s_Irr!P11=".",s_Irr!AN11=".",s_Irr!BL11="."),s_dir!Q11*1000)))))))),".")</f>
        <v>.</v>
      </c>
      <c r="R11" s="48" t="str">
        <f>IFERROR(IF(AND(s_Irr!Q11&lt;&gt;".",s_Irr!AO11&lt;&gt;".",s_Irr!BM11&lt;&gt;"."),s_dir!R11/((1/1000)*(s_Irr!Q11+s_Irr!AO11+s_Irr!BM11)),IF(AND(s_Irr!Q11&lt;&gt;".",s_Irr!AO11&lt;&gt;".",s_Irr!BM11="."),s_dir!R11/((1/1000)*(s_Irr!Q11+s_Irr!AO11)),IF(AND(s_Irr!Q11&lt;&gt;".",s_Irr!AO11=".",s_Irr!BM11&lt;&gt;"."),s_dir!R11/((1/1000)*(s_Irr!Q11+s_Irr!BM11)),IF(AND(s_Irr!Q11=".",s_Irr!AO11&lt;&gt;".",s_Irr!BM11&lt;&gt;"."),s_dir!R11/((1/1000)*(s_Irr!AO11+s_Irr!BM11)),IF(AND(s_Irr!Q11=".",s_Irr!AO11=".",s_Irr!BM11&lt;&gt;"."),s_dir!R11/((1/1000)*(s_Irr!BM11)),IF(AND(s_Irr!Q11=".",s_Irr!AO11&lt;&gt;".",s_Irr!BM11="."),s_dir!R11/((1/1000)*(s_Irr!AO11)),IF(AND(s_Irr!Q11&lt;&gt;".",s_Irr!AO11=".",s_Irr!BM11="."),s_dir!R11/((1/1000)*(s_Irr!Q11)),IF(AND(s_Irr!Q11=".",s_Irr!AO11=".",s_Irr!BM11="."),s_dir!R11*1000)))))))),".")</f>
        <v>.</v>
      </c>
      <c r="S11" s="48" t="str">
        <f>IFERROR(IF(AND(s_Irr!R11&lt;&gt;".",s_Irr!AP11&lt;&gt;".",s_Irr!BN11&lt;&gt;"."),s_dir!S11/((1/1000)*(s_Irr!R11+s_Irr!AP11+s_Irr!BN11)),IF(AND(s_Irr!R11&lt;&gt;".",s_Irr!AP11&lt;&gt;".",s_Irr!BN11="."),s_dir!S11/((1/1000)*(s_Irr!R11+s_Irr!AP11)),IF(AND(s_Irr!R11&lt;&gt;".",s_Irr!AP11=".",s_Irr!BN11&lt;&gt;"."),s_dir!S11/((1/1000)*(s_Irr!R11+s_Irr!BN11)),IF(AND(s_Irr!R11=".",s_Irr!AP11&lt;&gt;".",s_Irr!BN11&lt;&gt;"."),s_dir!S11/((1/1000)*(s_Irr!AP11+s_Irr!BN11)),IF(AND(s_Irr!R11=".",s_Irr!AP11=".",s_Irr!BN11&lt;&gt;"."),s_dir!S11/((1/1000)*(s_Irr!BN11)),IF(AND(s_Irr!R11=".",s_Irr!AP11&lt;&gt;".",s_Irr!BN11="."),s_dir!S11/((1/1000)*(s_Irr!AP11)),IF(AND(s_Irr!R11&lt;&gt;".",s_Irr!AP11=".",s_Irr!BN11="."),s_dir!S11/((1/1000)*(s_Irr!R11)),IF(AND(s_Irr!R11=".",s_Irr!AP11=".",s_Irr!BN11="."),s_dir!S11*1000)))))))),".")</f>
        <v>.</v>
      </c>
      <c r="T11" s="48" t="str">
        <f>IFERROR(IF(AND(s_Irr!S11&lt;&gt;".",s_Irr!AQ11&lt;&gt;".",s_Irr!BO11&lt;&gt;"."),s_dir!T11/((1/1000)*(s_Irr!S11+s_Irr!AQ11+s_Irr!BO11)),IF(AND(s_Irr!S11&lt;&gt;".",s_Irr!AQ11&lt;&gt;".",s_Irr!BO11="."),s_dir!T11/((1/1000)*(s_Irr!S11+s_Irr!AQ11)),IF(AND(s_Irr!S11&lt;&gt;".",s_Irr!AQ11=".",s_Irr!BO11&lt;&gt;"."),s_dir!T11/((1/1000)*(s_Irr!S11+s_Irr!BO11)),IF(AND(s_Irr!S11=".",s_Irr!AQ11&lt;&gt;".",s_Irr!BO11&lt;&gt;"."),s_dir!T11/((1/1000)*(s_Irr!AQ11+s_Irr!BO11)),IF(AND(s_Irr!S11=".",s_Irr!AQ11=".",s_Irr!BO11&lt;&gt;"."),s_dir!T11/((1/1000)*(s_Irr!BO11)),IF(AND(s_Irr!S11=".",s_Irr!AQ11&lt;&gt;".",s_Irr!BO11="."),s_dir!T11/((1/1000)*(s_Irr!AQ11)),IF(AND(s_Irr!S11&lt;&gt;".",s_Irr!AQ11=".",s_Irr!BO11="."),s_dir!T11/((1/1000)*(s_Irr!S11)),IF(AND(s_Irr!S11=".",s_Irr!AQ11=".",s_Irr!BO11="."),s_dir!T11*1000)))))))),".")</f>
        <v>.</v>
      </c>
      <c r="U11" s="48" t="str">
        <f>IFERROR(IF(AND(s_Irr!T11&lt;&gt;".",s_Irr!AR11&lt;&gt;".",s_Irr!BP11&lt;&gt;"."),s_dir!U11/((1/1000)*(s_Irr!T11+s_Irr!AR11+s_Irr!BP11)),IF(AND(s_Irr!T11&lt;&gt;".",s_Irr!AR11&lt;&gt;".",s_Irr!BP11="."),s_dir!U11/((1/1000)*(s_Irr!T11+s_Irr!AR11)),IF(AND(s_Irr!T11&lt;&gt;".",s_Irr!AR11=".",s_Irr!BP11&lt;&gt;"."),s_dir!U11/((1/1000)*(s_Irr!T11+s_Irr!BP11)),IF(AND(s_Irr!T11=".",s_Irr!AR11&lt;&gt;".",s_Irr!BP11&lt;&gt;"."),s_dir!U11/((1/1000)*(s_Irr!AR11+s_Irr!BP11)),IF(AND(s_Irr!T11=".",s_Irr!AR11=".",s_Irr!BP11&lt;&gt;"."),s_dir!U11/((1/1000)*(s_Irr!BP11)),IF(AND(s_Irr!T11=".",s_Irr!AR11&lt;&gt;".",s_Irr!BP11="."),s_dir!U11/((1/1000)*(s_Irr!AR11)),IF(AND(s_Irr!T11&lt;&gt;".",s_Irr!AR11=".",s_Irr!BP11="."),s_dir!U11/((1/1000)*(s_Irr!T11)),IF(AND(s_Irr!T11=".",s_Irr!AR11=".",s_Irr!BP11="."),s_dir!U11*1000)))))))),".")</f>
        <v>.</v>
      </c>
      <c r="V11" s="48" t="str">
        <f>IFERROR(IF(AND(s_Irr!U11&lt;&gt;".",s_Irr!AS11&lt;&gt;".",s_Irr!BQ11&lt;&gt;"."),s_dir!V11/((1/1000)*(s_Irr!U11+s_Irr!AS11+s_Irr!BQ11)),IF(AND(s_Irr!U11&lt;&gt;".",s_Irr!AS11&lt;&gt;".",s_Irr!BQ11="."),s_dir!V11/((1/1000)*(s_Irr!U11+s_Irr!AS11)),IF(AND(s_Irr!U11&lt;&gt;".",s_Irr!AS11=".",s_Irr!BQ11&lt;&gt;"."),s_dir!V11/((1/1000)*(s_Irr!U11+s_Irr!BQ11)),IF(AND(s_Irr!U11=".",s_Irr!AS11&lt;&gt;".",s_Irr!BQ11&lt;&gt;"."),s_dir!V11/((1/1000)*(s_Irr!AS11+s_Irr!BQ11)),IF(AND(s_Irr!U11=".",s_Irr!AS11=".",s_Irr!BQ11&lt;&gt;"."),s_dir!V11/((1/1000)*(s_Irr!BQ11)),IF(AND(s_Irr!U11=".",s_Irr!AS11&lt;&gt;".",s_Irr!BQ11="."),s_dir!V11/((1/1000)*(s_Irr!AS11)),IF(AND(s_Irr!U11&lt;&gt;".",s_Irr!AS11=".",s_Irr!BQ11="."),s_dir!V11/((1/1000)*(s_Irr!U11)),IF(AND(s_Irr!U11=".",s_Irr!AS11=".",s_Irr!BQ11="."),s_dir!V11*1000)))))))),".")</f>
        <v>.</v>
      </c>
      <c r="W11" s="48" t="str">
        <f>IFERROR(IF(AND(s_Irr!V11&lt;&gt;".",s_Irr!AT11&lt;&gt;".",s_Irr!BR11&lt;&gt;"."),s_dir!W11/((1/1000)*(s_Irr!V11+s_Irr!AT11+s_Irr!BR11)),IF(AND(s_Irr!V11&lt;&gt;".",s_Irr!AT11&lt;&gt;".",s_Irr!BR11="."),s_dir!W11/((1/1000)*(s_Irr!V11+s_Irr!AT11)),IF(AND(s_Irr!V11&lt;&gt;".",s_Irr!AT11=".",s_Irr!BR11&lt;&gt;"."),s_dir!W11/((1/1000)*(s_Irr!V11+s_Irr!BR11)),IF(AND(s_Irr!V11=".",s_Irr!AT11&lt;&gt;".",s_Irr!BR11&lt;&gt;"."),s_dir!W11/((1/1000)*(s_Irr!AT11+s_Irr!BR11)),IF(AND(s_Irr!V11=".",s_Irr!AT11=".",s_Irr!BR11&lt;&gt;"."),s_dir!W11/((1/1000)*(s_Irr!BR11)),IF(AND(s_Irr!V11=".",s_Irr!AT11&lt;&gt;".",s_Irr!BR11="."),s_dir!W11/((1/1000)*(s_Irr!AT11)),IF(AND(s_Irr!V11&lt;&gt;".",s_Irr!AT11=".",s_Irr!BR11="."),s_dir!W11/((1/1000)*(s_Irr!V11)),IF(AND(s_Irr!V11=".",s_Irr!AT11=".",s_Irr!BR11="."),s_dir!W11*1000)))))))),".")</f>
        <v>.</v>
      </c>
      <c r="X11" s="48" t="str">
        <f>IFERROR(IF(AND(s_Irr!W11&lt;&gt;".",s_Irr!AU11&lt;&gt;".",s_Irr!BS11&lt;&gt;"."),s_dir!X11/((1/1000)*(s_Irr!W11+s_Irr!AU11+s_Irr!BS11)),IF(AND(s_Irr!W11&lt;&gt;".",s_Irr!AU11&lt;&gt;".",s_Irr!BS11="."),s_dir!X11/((1/1000)*(s_Irr!W11+s_Irr!AU11)),IF(AND(s_Irr!W11&lt;&gt;".",s_Irr!AU11=".",s_Irr!BS11&lt;&gt;"."),s_dir!X11/((1/1000)*(s_Irr!W11+s_Irr!BS11)),IF(AND(s_Irr!W11=".",s_Irr!AU11&lt;&gt;".",s_Irr!BS11&lt;&gt;"."),s_dir!X11/((1/1000)*(s_Irr!AU11+s_Irr!BS11)),IF(AND(s_Irr!W11=".",s_Irr!AU11=".",s_Irr!BS11&lt;&gt;"."),s_dir!X11/((1/1000)*(s_Irr!BS11)),IF(AND(s_Irr!W11=".",s_Irr!AU11&lt;&gt;".",s_Irr!BS11="."),s_dir!X11/((1/1000)*(s_Irr!AU11)),IF(AND(s_Irr!W11&lt;&gt;".",s_Irr!AU11=".",s_Irr!BS11="."),s_dir!X11/((1/1000)*(s_Irr!W11)),IF(AND(s_Irr!W11=".",s_Irr!AU11=".",s_Irr!BS11="."),s_dir!X11*1000)))))))),".")</f>
        <v>.</v>
      </c>
      <c r="Y11" s="48" t="str">
        <f>IFERROR(IF(AND(s_Irr!X11&lt;&gt;".",s_Irr!AV11&lt;&gt;".",s_Irr!BT11&lt;&gt;"."),s_dir!Y11/((1/1000)*(s_Irr!X11+s_Irr!AV11+s_Irr!BT11)),IF(AND(s_Irr!X11&lt;&gt;".",s_Irr!AV11&lt;&gt;".",s_Irr!BT11="."),s_dir!Y11/((1/1000)*(s_Irr!X11+s_Irr!AV11)),IF(AND(s_Irr!X11&lt;&gt;".",s_Irr!AV11=".",s_Irr!BT11&lt;&gt;"."),s_dir!Y11/((1/1000)*(s_Irr!X11+s_Irr!BT11)),IF(AND(s_Irr!X11=".",s_Irr!AV11&lt;&gt;".",s_Irr!BT11&lt;&gt;"."),s_dir!Y11/((1/1000)*(s_Irr!AV11+s_Irr!BT11)),IF(AND(s_Irr!X11=".",s_Irr!AV11=".",s_Irr!BT11&lt;&gt;"."),s_dir!Y11/((1/1000)*(s_Irr!BT11)),IF(AND(s_Irr!X11=".",s_Irr!AV11&lt;&gt;".",s_Irr!BT11="."),s_dir!Y11/((1/1000)*(s_Irr!AV11)),IF(AND(s_Irr!X11&lt;&gt;".",s_Irr!AV11=".",s_Irr!BT11="."),s_dir!Y11/((1/1000)*(s_Irr!X11)),IF(AND(s_Irr!X11=".",s_Irr!AV11=".",s_Irr!BT11="."),s_dir!Y11*1000)))))))),".")</f>
        <v>.</v>
      </c>
      <c r="Z11" s="48" t="str">
        <f>IFERROR(IF(AND(s_Irr!Y11&lt;&gt;".",s_Irr!AW11&lt;&gt;".",s_Irr!BU11&lt;&gt;"."),s_dir!Z11/((1/1000)*(s_Irr!Y11+s_Irr!AW11+s_Irr!BU11)),IF(AND(s_Irr!Y11&lt;&gt;".",s_Irr!AW11&lt;&gt;".",s_Irr!BU11="."),s_dir!Z11/((1/1000)*(s_Irr!Y11+s_Irr!AW11)),IF(AND(s_Irr!Y11&lt;&gt;".",s_Irr!AW11=".",s_Irr!BU11&lt;&gt;"."),s_dir!Z11/((1/1000)*(s_Irr!Y11+s_Irr!BU11)),IF(AND(s_Irr!Y11=".",s_Irr!AW11&lt;&gt;".",s_Irr!BU11&lt;&gt;"."),s_dir!Z11/((1/1000)*(s_Irr!AW11+s_Irr!BU11)),IF(AND(s_Irr!Y11=".",s_Irr!AW11=".",s_Irr!BU11&lt;&gt;"."),s_dir!Z11/((1/1000)*(s_Irr!BU11)),IF(AND(s_Irr!Y11=".",s_Irr!AW11&lt;&gt;".",s_Irr!BU11="."),s_dir!Z11/((1/1000)*(s_Irr!AW11)),IF(AND(s_Irr!Y11&lt;&gt;".",s_Irr!AW11=".",s_Irr!BU11="."),s_dir!Z11/((1/1000)*(s_Irr!Y11)),IF(AND(s_Irr!Y11=".",s_Irr!AW11=".",s_Irr!BU11="."),s_dir!Z11*1000)))))))),".")</f>
        <v>.</v>
      </c>
      <c r="AA11" s="48" t="str">
        <f>IFERROR(IF(AND(s_Irr!Z11&lt;&gt;".",s_Irr!AX11&lt;&gt;".",s_Irr!BV11&lt;&gt;"."),s_dir!AA11/((1/1000)*(s_Irr!Z11+s_Irr!AX11+s_Irr!BV11)),IF(AND(s_Irr!Z11&lt;&gt;".",s_Irr!AX11&lt;&gt;".",s_Irr!BV11="."),s_dir!AA11/((1/1000)*(s_Irr!Z11+s_Irr!AX11)),IF(AND(s_Irr!Z11&lt;&gt;".",s_Irr!AX11=".",s_Irr!BV11&lt;&gt;"."),s_dir!AA11/((1/1000)*(s_Irr!Z11+s_Irr!BV11)),IF(AND(s_Irr!Z11=".",s_Irr!AX11&lt;&gt;".",s_Irr!BV11&lt;&gt;"."),s_dir!AA11/((1/1000)*(s_Irr!AX11+s_Irr!BV11)),IF(AND(s_Irr!Z11=".",s_Irr!AX11=".",s_Irr!BV11&lt;&gt;"."),s_dir!AA11/((1/1000)*(s_Irr!BV11)),IF(AND(s_Irr!Z11=".",s_Irr!AX11&lt;&gt;".",s_Irr!BV11="."),s_dir!AA11/((1/1000)*(s_Irr!AX11)),IF(AND(s_Irr!Z11&lt;&gt;".",s_Irr!AX11=".",s_Irr!BV11="."),s_dir!AA11/((1/1000)*(s_Irr!Z11)),IF(AND(s_Irr!Z11=".",s_Irr!AX11=".",s_Irr!BV11="."),s_dir!AA11*1000)))))))),".")</f>
        <v>.</v>
      </c>
      <c r="AB11" s="62">
        <f t="shared" si="3"/>
        <v>400.61201161295031</v>
      </c>
      <c r="AC11" s="62">
        <f>IFERROR(s_C*s_IFAP_res_adj*s_CF_apple*0.001*(s_Irr!C11+s_Irr!AA11+s_Irr!AY11),".")</f>
        <v>133.53733720431677</v>
      </c>
      <c r="AD11" s="62">
        <f>IFERROR(s_C*s_IFAS_res_adj*s_CF_asparagus*0.001*(s_Irr!D11+s_Irr!AB11+s_Irr!AZ11),".")</f>
        <v>133.53733720431677</v>
      </c>
      <c r="AE11" s="62">
        <f>IFERROR(s_C*s_IFBT_res_adj*s_CF_beet*0.001*(s_Irr!E11+s_Irr!AC11+s_Irr!BA11),".")</f>
        <v>133.53733720431677</v>
      </c>
      <c r="AF11" s="62">
        <f>IFERROR(s_C*s_IFBE_res_adj*s_CF_berries*0.001*(s_Irr!F11+s_Irr!AD11+s_Irr!BB11),".")</f>
        <v>133.53733720431677</v>
      </c>
      <c r="AG11" s="62">
        <f>IFERROR(s_C*s_IFBR_res_adj*s_CF_broccoli*0.001*(s_Irr!G11+s_Irr!AE11+s_Irr!BC11),".")</f>
        <v>133.53733720431677</v>
      </c>
      <c r="AH11" s="62">
        <f>IFERROR(s_C*s_IFCB_res_adj*s_CF_cabbage*0.001*(s_Irr!H11+s_Irr!AF11+s_Irr!BD11),".")</f>
        <v>133.53733720431677</v>
      </c>
      <c r="AI11" s="62">
        <f>IFERROR(s_C*s_IFCR_res_adj*s_CF_carrot*0.001*(s_Irr!I11+s_Irr!AG11+s_Irr!BE11),".")</f>
        <v>133.53733720431677</v>
      </c>
      <c r="AJ11" s="62">
        <f>IFERROR(s_C*s_IFCI_res_adj*s_CF_citrus*0.001*(s_Irr!J11+s_Irr!AH11+s_Irr!BF11),".")</f>
        <v>133.53733720431677</v>
      </c>
      <c r="AK11" s="62">
        <f>IFERROR(s_C*s_IFCO_res_adj*s_CF_corn*0.001*(s_Irr!K11+s_Irr!AI11+s_Irr!BG11),".")</f>
        <v>133.53733720431677</v>
      </c>
      <c r="AL11" s="62">
        <f>IFERROR(s_C*s_IFCU_res_adj*s_CF_cucumber*0.001*(s_Irr!L11+s_Irr!AJ11+s_Irr!BH11),".")</f>
        <v>133.53733720431677</v>
      </c>
      <c r="AM11" s="62">
        <f>IFERROR(s_C*s_IFLE_res_adj*s_CF_lettuce*0.001*(s_Irr!M11+s_Irr!AK11+s_Irr!BI11),".")</f>
        <v>133.53733720431677</v>
      </c>
      <c r="AN11" s="62">
        <f>IFERROR(s_C*s_IFLI_res_adj*s_CF_lima_bean*0.001*(s_Irr!N11+s_Irr!AL11+s_Irr!BJ11),".")</f>
        <v>133.53733720431677</v>
      </c>
      <c r="AO11" s="62">
        <f>IFERROR(s_C*s_IFOK_res_adj*s_CF_okra*0.001*(s_Irr!O11+s_Irr!AM11+s_Irr!BK11),".")</f>
        <v>133.53733720431677</v>
      </c>
      <c r="AP11" s="62">
        <f>IFERROR(s_C*s_IFON_res_adj*s_CF_onion*0.001*(s_Irr!P11+s_Irr!AN11+s_Irr!BL11),".")</f>
        <v>133.53733720431677</v>
      </c>
      <c r="AQ11" s="62">
        <f>IFERROR(s_C*s_IFPC_res_adj*s_CF_peach*0.001*(s_Irr!Q11+s_Irr!AO11+s_Irr!BM11),".")</f>
        <v>133.53733720431677</v>
      </c>
      <c r="AR11" s="62">
        <f>IFERROR(s_C*s_IFPR_res_adj*s_CF_pear*0.001*(s_Irr!R11+s_Irr!AP11+s_Irr!BN11),".")</f>
        <v>133.53733720431677</v>
      </c>
      <c r="AS11" s="62">
        <f>IFERROR(s_C*s_IFPE_res_adj*s_CF_peas*0.001*(s_Irr!S11+s_Irr!AQ11+s_Irr!BO11),".")</f>
        <v>133.53733720431677</v>
      </c>
      <c r="AT11" s="62">
        <f>IFERROR(s_C*s_IFPT_res_adj*s_CF_potato*0.001*(s_Irr!T11+s_Irr!AR11+s_Irr!BP11),".")</f>
        <v>133.53733720431677</v>
      </c>
      <c r="AU11" s="62">
        <f>IFERROR(s_C*s_IFPU_res_adj*s_CF_pumpkin*0.001*(s_Irr!U11+s_Irr!AS11+s_Irr!BQ11),".")</f>
        <v>133.53733720431677</v>
      </c>
      <c r="AV11" s="62">
        <f>IFERROR(s_C*s_IFSN_res_adj*s_CF_snap_bean*0.001*(s_Irr!V11+s_Irr!AT11+s_Irr!BR11),".")</f>
        <v>133.53733720431677</v>
      </c>
      <c r="AW11" s="62">
        <f>IFERROR(s_C*s_IFST_res_adj*s_CF_strawberry*0.001*(s_Irr!W11+s_Irr!AU11+s_Irr!BS11),".")</f>
        <v>133.53733720431677</v>
      </c>
      <c r="AX11" s="62">
        <f>IFERROR(s_C*s_IFTO_res_adj*s_CF_tomato*0.001*(s_Irr!X11+s_Irr!AV11+s_Irr!BT11),".")</f>
        <v>133.53733720431677</v>
      </c>
      <c r="AY11" s="62">
        <f>IFERROR(s_C*s_IFRI_res_adj*s_CF_rice*0.001*(s_Irr!Y11+s_Irr!AW11+s_Irr!BU11),".")</f>
        <v>133.53733720431677</v>
      </c>
      <c r="AZ11" s="62">
        <f>IFERROR(s_C*s_IFCG_res_adj*s_CF_cereal*0.001*(s_Irr!Z11+s_Irr!AX11+s_Irr!BV11),".")</f>
        <v>133.53733720431677</v>
      </c>
      <c r="BA11" s="48" t="str">
        <f t="shared" si="0"/>
        <v>.</v>
      </c>
      <c r="BB11" s="48" t="str">
        <f>IFERROR(IF(AND(s_Irr!C11&lt;&gt;".",s_Irr!AA11&lt;&gt;".",s_Irr!AY11&lt;&gt;"."),s_dir!AC11/((1/1000)*(s_Irr!C11+s_Irr!AA11+s_Irr!AY11)),IF(AND(s_Irr!C11&lt;&gt;".",s_Irr!AA11&lt;&gt;".",s_Irr!AY11="."),s_dir!AC11/((1/1000)*(s_Irr!C11+s_Irr!AA11)),IF(AND(s_Irr!C11&lt;&gt;".",s_Irr!AA11=".",s_Irr!AY11&lt;&gt;"."),s_dir!AC11/((1/1000)*(s_Irr!C11+s_Irr!AY11)),IF(AND(s_Irr!C11=".",s_Irr!AA11&lt;&gt;".",s_Irr!AY11&lt;&gt;"."),s_dir!AC11/((1/1000)*(s_Irr!AA11+s_Irr!AY11)),IF(AND(s_Irr!C11=".",s_Irr!AA11=".",s_Irr!AY11&lt;&gt;"."),s_dir!AC11/((1/1000)*(s_Irr!AY11)),IF(AND(s_Irr!C11=".",s_Irr!AA11&lt;&gt;".",s_Irr!AY11="."),s_dir!AC11/((1/1000)*(s_Irr!AA11)),IF(AND(s_Irr!C11&lt;&gt;".",s_Irr!AA11=".",s_Irr!AY11="."),s_dir!AC11/((1/1000)*(s_Irr!C11)),IF(AND(s_Irr!C11=".",s_Irr!AA11=".",s_Irr!AY11="."),s_dir!AC11*1000)))))))),".")</f>
        <v>.</v>
      </c>
      <c r="BC11" s="48" t="str">
        <f>IFERROR(IF(AND(s_Irr!D11&lt;&gt;".",s_Irr!AB11&lt;&gt;".",s_Irr!AZ11&lt;&gt;"."),s_dir!AD11/((1/1000)*(s_Irr!D11+s_Irr!AB11+s_Irr!AZ11)),IF(AND(s_Irr!D11&lt;&gt;".",s_Irr!AB11&lt;&gt;".",s_Irr!AZ11="."),s_dir!AD11/((1/1000)*(s_Irr!D11+s_Irr!AB11)),IF(AND(s_Irr!D11&lt;&gt;".",s_Irr!AB11=".",s_Irr!AZ11&lt;&gt;"."),s_dir!AD11/((1/1000)*(s_Irr!D11+s_Irr!AZ11)),IF(AND(s_Irr!D11=".",s_Irr!AB11&lt;&gt;".",s_Irr!AZ11&lt;&gt;"."),s_dir!AD11/((1/1000)*(s_Irr!AB11+s_Irr!AZ11)),IF(AND(s_Irr!D11=".",s_Irr!AB11=".",s_Irr!AZ11&lt;&gt;"."),s_dir!AD11/((1/1000)*(s_Irr!AZ11)),IF(AND(s_Irr!D11=".",s_Irr!AB11&lt;&gt;".",s_Irr!AZ11="."),s_dir!AD11/((1/1000)*(s_Irr!AB11)),IF(AND(s_Irr!D11&lt;&gt;".",s_Irr!AB11=".",s_Irr!AZ11="."),s_dir!AD11/((1/1000)*(s_Irr!D11)),IF(AND(s_Irr!D11=".",s_Irr!AB11=".",s_Irr!AZ11="."),s_dir!AD11*1000)))))))),".")</f>
        <v>.</v>
      </c>
      <c r="BD11" s="48" t="str">
        <f>IFERROR(IF(AND(s_Irr!E11&lt;&gt;".",s_Irr!AC11&lt;&gt;".",s_Irr!BA11&lt;&gt;"."),s_dir!AE11/((1/1000)*(s_Irr!E11+s_Irr!AC11+s_Irr!BA11)),IF(AND(s_Irr!E11&lt;&gt;".",s_Irr!AC11&lt;&gt;".",s_Irr!BA11="."),s_dir!AE11/((1/1000)*(s_Irr!E11+s_Irr!AC11)),IF(AND(s_Irr!E11&lt;&gt;".",s_Irr!AC11=".",s_Irr!BA11&lt;&gt;"."),s_dir!AE11/((1/1000)*(s_Irr!E11+s_Irr!BA11)),IF(AND(s_Irr!E11=".",s_Irr!AC11&lt;&gt;".",s_Irr!BA11&lt;&gt;"."),s_dir!AE11/((1/1000)*(s_Irr!AC11+s_Irr!BA11)),IF(AND(s_Irr!E11=".",s_Irr!AC11=".",s_Irr!BA11&lt;&gt;"."),s_dir!AE11/((1/1000)*(s_Irr!BA11)),IF(AND(s_Irr!E11=".",s_Irr!AC11&lt;&gt;".",s_Irr!BA11="."),s_dir!AE11/((1/1000)*(s_Irr!AC11)),IF(AND(s_Irr!E11&lt;&gt;".",s_Irr!AC11=".",s_Irr!BA11="."),s_dir!AE11/((1/1000)*(s_Irr!E11)),IF(AND(s_Irr!E11=".",s_Irr!AC11=".",s_Irr!BA11="."),s_dir!AE11*1000)))))))),".")</f>
        <v>.</v>
      </c>
      <c r="BE11" s="48" t="str">
        <f>IFERROR(IF(AND(s_Irr!F11&lt;&gt;".",s_Irr!AD11&lt;&gt;".",s_Irr!BB11&lt;&gt;"."),s_dir!AF11/((1/1000)*(s_Irr!F11+s_Irr!AD11+s_Irr!BB11)),IF(AND(s_Irr!F11&lt;&gt;".",s_Irr!AD11&lt;&gt;".",s_Irr!BB11="."),s_dir!AF11/((1/1000)*(s_Irr!F11+s_Irr!AD11)),IF(AND(s_Irr!F11&lt;&gt;".",s_Irr!AD11=".",s_Irr!BB11&lt;&gt;"."),s_dir!AF11/((1/1000)*(s_Irr!F11+s_Irr!BB11)),IF(AND(s_Irr!F11=".",s_Irr!AD11&lt;&gt;".",s_Irr!BB11&lt;&gt;"."),s_dir!AF11/((1/1000)*(s_Irr!AD11+s_Irr!BB11)),IF(AND(s_Irr!F11=".",s_Irr!AD11=".",s_Irr!BB11&lt;&gt;"."),s_dir!AF11/((1/1000)*(s_Irr!BB11)),IF(AND(s_Irr!F11=".",s_Irr!AD11&lt;&gt;".",s_Irr!BB11="."),s_dir!AF11/((1/1000)*(s_Irr!AD11)),IF(AND(s_Irr!F11&lt;&gt;".",s_Irr!AD11=".",s_Irr!BB11="."),s_dir!AF11/((1/1000)*(s_Irr!F11)),IF(AND(s_Irr!F11=".",s_Irr!AD11=".",s_Irr!BB11="."),s_dir!AF11*1000)))))))),".")</f>
        <v>.</v>
      </c>
      <c r="BF11" s="48" t="str">
        <f>IFERROR(IF(AND(s_Irr!G11&lt;&gt;".",s_Irr!AE11&lt;&gt;".",s_Irr!BC11&lt;&gt;"."),s_dir!AG11/((1/1000)*(s_Irr!G11+s_Irr!AE11+s_Irr!BC11)),IF(AND(s_Irr!G11&lt;&gt;".",s_Irr!AE11&lt;&gt;".",s_Irr!BC11="."),s_dir!AG11/((1/1000)*(s_Irr!G11+s_Irr!AE11)),IF(AND(s_Irr!G11&lt;&gt;".",s_Irr!AE11=".",s_Irr!BC11&lt;&gt;"."),s_dir!AG11/((1/1000)*(s_Irr!G11+s_Irr!BC11)),IF(AND(s_Irr!G11=".",s_Irr!AE11&lt;&gt;".",s_Irr!BC11&lt;&gt;"."),s_dir!AG11/((1/1000)*(s_Irr!AE11+s_Irr!BC11)),IF(AND(s_Irr!G11=".",s_Irr!AE11=".",s_Irr!BC11&lt;&gt;"."),s_dir!AG11/((1/1000)*(s_Irr!BC11)),IF(AND(s_Irr!G11=".",s_Irr!AE11&lt;&gt;".",s_Irr!BC11="."),s_dir!AG11/((1/1000)*(s_Irr!AE11)),IF(AND(s_Irr!G11&lt;&gt;".",s_Irr!AE11=".",s_Irr!BC11="."),s_dir!AG11/((1/1000)*(s_Irr!G11)),IF(AND(s_Irr!G11=".",s_Irr!AE11=".",s_Irr!BC11="."),s_dir!AG11*1000)))))))),".")</f>
        <v>.</v>
      </c>
      <c r="BG11" s="48" t="str">
        <f>IFERROR(IF(AND(s_Irr!H11&lt;&gt;".",s_Irr!AF11&lt;&gt;".",s_Irr!BD11&lt;&gt;"."),s_dir!AH11/((1/1000)*(s_Irr!H11+s_Irr!AF11+s_Irr!BD11)),IF(AND(s_Irr!H11&lt;&gt;".",s_Irr!AF11&lt;&gt;".",s_Irr!BD11="."),s_dir!AH11/((1/1000)*(s_Irr!H11+s_Irr!AF11)),IF(AND(s_Irr!H11&lt;&gt;".",s_Irr!AF11=".",s_Irr!BD11&lt;&gt;"."),s_dir!AH11/((1/1000)*(s_Irr!H11+s_Irr!BD11)),IF(AND(s_Irr!H11=".",s_Irr!AF11&lt;&gt;".",s_Irr!BD11&lt;&gt;"."),s_dir!AH11/((1/1000)*(s_Irr!AF11+s_Irr!BD11)),IF(AND(s_Irr!H11=".",s_Irr!AF11=".",s_Irr!BD11&lt;&gt;"."),s_dir!AH11/((1/1000)*(s_Irr!BD11)),IF(AND(s_Irr!H11=".",s_Irr!AF11&lt;&gt;".",s_Irr!BD11="."),s_dir!AH11/((1/1000)*(s_Irr!AF11)),IF(AND(s_Irr!H11&lt;&gt;".",s_Irr!AF11=".",s_Irr!BD11="."),s_dir!AH11/((1/1000)*(s_Irr!H11)),IF(AND(s_Irr!H11=".",s_Irr!AF11=".",s_Irr!BD11="."),s_dir!AH11*1000)))))))),".")</f>
        <v>.</v>
      </c>
      <c r="BH11" s="48" t="str">
        <f>IFERROR(IF(AND(s_Irr!I11&lt;&gt;".",s_Irr!AG11&lt;&gt;".",s_Irr!BE11&lt;&gt;"."),s_dir!AI11/((1/1000)*(s_Irr!I11+s_Irr!AG11+s_Irr!BE11)),IF(AND(s_Irr!I11&lt;&gt;".",s_Irr!AG11&lt;&gt;".",s_Irr!BE11="."),s_dir!AI11/((1/1000)*(s_Irr!I11+s_Irr!AG11)),IF(AND(s_Irr!I11&lt;&gt;".",s_Irr!AG11=".",s_Irr!BE11&lt;&gt;"."),s_dir!AI11/((1/1000)*(s_Irr!I11+s_Irr!BE11)),IF(AND(s_Irr!I11=".",s_Irr!AG11&lt;&gt;".",s_Irr!BE11&lt;&gt;"."),s_dir!AI11/((1/1000)*(s_Irr!AG11+s_Irr!BE11)),IF(AND(s_Irr!I11=".",s_Irr!AG11=".",s_Irr!BE11&lt;&gt;"."),s_dir!AI11/((1/1000)*(s_Irr!BE11)),IF(AND(s_Irr!I11=".",s_Irr!AG11&lt;&gt;".",s_Irr!BE11="."),s_dir!AI11/((1/1000)*(s_Irr!AG11)),IF(AND(s_Irr!I11&lt;&gt;".",s_Irr!AG11=".",s_Irr!BE11="."),s_dir!AI11/((1/1000)*(s_Irr!I11)),IF(AND(s_Irr!I11=".",s_Irr!AG11=".",s_Irr!BE11="."),s_dir!AI11*1000)))))))),".")</f>
        <v>.</v>
      </c>
      <c r="BI11" s="48" t="str">
        <f>IFERROR(IF(AND(s_Irr!J11&lt;&gt;".",s_Irr!AH11&lt;&gt;".",s_Irr!BF11&lt;&gt;"."),s_dir!AJ11/((1/1000)*(s_Irr!J11+s_Irr!AH11+s_Irr!BF11)),IF(AND(s_Irr!J11&lt;&gt;".",s_Irr!AH11&lt;&gt;".",s_Irr!BF11="."),s_dir!AJ11/((1/1000)*(s_Irr!J11+s_Irr!AH11)),IF(AND(s_Irr!J11&lt;&gt;".",s_Irr!AH11=".",s_Irr!BF11&lt;&gt;"."),s_dir!AJ11/((1/1000)*(s_Irr!J11+s_Irr!BF11)),IF(AND(s_Irr!J11=".",s_Irr!AH11&lt;&gt;".",s_Irr!BF11&lt;&gt;"."),s_dir!AJ11/((1/1000)*(s_Irr!AH11+s_Irr!BF11)),IF(AND(s_Irr!J11=".",s_Irr!AH11=".",s_Irr!BF11&lt;&gt;"."),s_dir!AJ11/((1/1000)*(s_Irr!BF11)),IF(AND(s_Irr!J11=".",s_Irr!AH11&lt;&gt;".",s_Irr!BF11="."),s_dir!AJ11/((1/1000)*(s_Irr!AH11)),IF(AND(s_Irr!J11&lt;&gt;".",s_Irr!AH11=".",s_Irr!BF11="."),s_dir!AJ11/((1/1000)*(s_Irr!J11)),IF(AND(s_Irr!J11=".",s_Irr!AH11=".",s_Irr!BF11="."),s_dir!AJ11*1000)))))))),".")</f>
        <v>.</v>
      </c>
      <c r="BJ11" s="48" t="str">
        <f>IFERROR(IF(AND(s_Irr!K11&lt;&gt;".",s_Irr!AI11&lt;&gt;".",s_Irr!BG11&lt;&gt;"."),s_dir!AK11/((1/1000)*(s_Irr!K11+s_Irr!AI11+s_Irr!BG11)),IF(AND(s_Irr!K11&lt;&gt;".",s_Irr!AI11&lt;&gt;".",s_Irr!BG11="."),s_dir!AK11/((1/1000)*(s_Irr!K11+s_Irr!AI11)),IF(AND(s_Irr!K11&lt;&gt;".",s_Irr!AI11=".",s_Irr!BG11&lt;&gt;"."),s_dir!AK11/((1/1000)*(s_Irr!K11+s_Irr!BG11)),IF(AND(s_Irr!K11=".",s_Irr!AI11&lt;&gt;".",s_Irr!BG11&lt;&gt;"."),s_dir!AK11/((1/1000)*(s_Irr!AI11+s_Irr!BG11)),IF(AND(s_Irr!K11=".",s_Irr!AI11=".",s_Irr!BG11&lt;&gt;"."),s_dir!AK11/((1/1000)*(s_Irr!BG11)),IF(AND(s_Irr!K11=".",s_Irr!AI11&lt;&gt;".",s_Irr!BG11="."),s_dir!AK11/((1/1000)*(s_Irr!AI11)),IF(AND(s_Irr!K11&lt;&gt;".",s_Irr!AI11=".",s_Irr!BG11="."),s_dir!AK11/((1/1000)*(s_Irr!K11)),IF(AND(s_Irr!K11=".",s_Irr!AI11=".",s_Irr!BG11="."),s_dir!AK11*1000)))))))),".")</f>
        <v>.</v>
      </c>
      <c r="BK11" s="48" t="str">
        <f>IFERROR(IF(AND(s_Irr!L11&lt;&gt;".",s_Irr!AJ11&lt;&gt;".",s_Irr!BH11&lt;&gt;"."),s_dir!AL11/((1/1000)*(s_Irr!L11+s_Irr!AJ11+s_Irr!BH11)),IF(AND(s_Irr!L11&lt;&gt;".",s_Irr!AJ11&lt;&gt;".",s_Irr!BH11="."),s_dir!AL11/((1/1000)*(s_Irr!L11+s_Irr!AJ11)),IF(AND(s_Irr!L11&lt;&gt;".",s_Irr!AJ11=".",s_Irr!BH11&lt;&gt;"."),s_dir!AL11/((1/1000)*(s_Irr!L11+s_Irr!BH11)),IF(AND(s_Irr!L11=".",s_Irr!AJ11&lt;&gt;".",s_Irr!BH11&lt;&gt;"."),s_dir!AL11/((1/1000)*(s_Irr!AJ11+s_Irr!BH11)),IF(AND(s_Irr!L11=".",s_Irr!AJ11=".",s_Irr!BH11&lt;&gt;"."),s_dir!AL11/((1/1000)*(s_Irr!BH11)),IF(AND(s_Irr!L11=".",s_Irr!AJ11&lt;&gt;".",s_Irr!BH11="."),s_dir!AL11/((1/1000)*(s_Irr!AJ11)),IF(AND(s_Irr!L11&lt;&gt;".",s_Irr!AJ11=".",s_Irr!BH11="."),s_dir!AL11/((1/1000)*(s_Irr!L11)),IF(AND(s_Irr!L11=".",s_Irr!AJ11=".",s_Irr!BH11="."),s_dir!AL11*1000)))))))),".")</f>
        <v>.</v>
      </c>
      <c r="BL11" s="48" t="str">
        <f>IFERROR(IF(AND(s_Irr!M11&lt;&gt;".",s_Irr!AK11&lt;&gt;".",s_Irr!BI11&lt;&gt;"."),s_dir!AM11/((1/1000)*(s_Irr!M11+s_Irr!AK11+s_Irr!BI11)),IF(AND(s_Irr!M11&lt;&gt;".",s_Irr!AK11&lt;&gt;".",s_Irr!BI11="."),s_dir!AM11/((1/1000)*(s_Irr!M11+s_Irr!AK11)),IF(AND(s_Irr!M11&lt;&gt;".",s_Irr!AK11=".",s_Irr!BI11&lt;&gt;"."),s_dir!AM11/((1/1000)*(s_Irr!M11+s_Irr!BI11)),IF(AND(s_Irr!M11=".",s_Irr!AK11&lt;&gt;".",s_Irr!BI11&lt;&gt;"."),s_dir!AM11/((1/1000)*(s_Irr!AK11+s_Irr!BI11)),IF(AND(s_Irr!M11=".",s_Irr!AK11=".",s_Irr!BI11&lt;&gt;"."),s_dir!AM11/((1/1000)*(s_Irr!BI11)),IF(AND(s_Irr!M11=".",s_Irr!AK11&lt;&gt;".",s_Irr!BI11="."),s_dir!AM11/((1/1000)*(s_Irr!AK11)),IF(AND(s_Irr!M11&lt;&gt;".",s_Irr!AK11=".",s_Irr!BI11="."),s_dir!AM11/((1/1000)*(s_Irr!M11)),IF(AND(s_Irr!M11=".",s_Irr!AK11=".",s_Irr!BI11="."),s_dir!AM11*1000)))))))),".")</f>
        <v>.</v>
      </c>
      <c r="BM11" s="48" t="str">
        <f>IFERROR(IF(AND(s_Irr!N11&lt;&gt;".",s_Irr!AL11&lt;&gt;".",s_Irr!BJ11&lt;&gt;"."),s_dir!AN11/((1/1000)*(s_Irr!N11+s_Irr!AL11+s_Irr!BJ11)),IF(AND(s_Irr!N11&lt;&gt;".",s_Irr!AL11&lt;&gt;".",s_Irr!BJ11="."),s_dir!AN11/((1/1000)*(s_Irr!N11+s_Irr!AL11)),IF(AND(s_Irr!N11&lt;&gt;".",s_Irr!AL11=".",s_Irr!BJ11&lt;&gt;"."),s_dir!AN11/((1/1000)*(s_Irr!N11+s_Irr!BJ11)),IF(AND(s_Irr!N11=".",s_Irr!AL11&lt;&gt;".",s_Irr!BJ11&lt;&gt;"."),s_dir!AN11/((1/1000)*(s_Irr!AL11+s_Irr!BJ11)),IF(AND(s_Irr!N11=".",s_Irr!AL11=".",s_Irr!BJ11&lt;&gt;"."),s_dir!AN11/((1/1000)*(s_Irr!BJ11)),IF(AND(s_Irr!N11=".",s_Irr!AL11&lt;&gt;".",s_Irr!BJ11="."),s_dir!AN11/((1/1000)*(s_Irr!AL11)),IF(AND(s_Irr!N11&lt;&gt;".",s_Irr!AL11=".",s_Irr!BJ11="."),s_dir!AN11/((1/1000)*(s_Irr!N11)),IF(AND(s_Irr!N11=".",s_Irr!AL11=".",s_Irr!BJ11="."),s_dir!AN11*1000)))))))),".")</f>
        <v>.</v>
      </c>
      <c r="BN11" s="48" t="str">
        <f>IFERROR(IF(AND(s_Irr!O11&lt;&gt;".",s_Irr!AM11&lt;&gt;".",s_Irr!BK11&lt;&gt;"."),s_dir!AO11/((1/1000)*(s_Irr!O11+s_Irr!AM11+s_Irr!BK11)),IF(AND(s_Irr!O11&lt;&gt;".",s_Irr!AM11&lt;&gt;".",s_Irr!BK11="."),s_dir!AO11/((1/1000)*(s_Irr!O11+s_Irr!AM11)),IF(AND(s_Irr!O11&lt;&gt;".",s_Irr!AM11=".",s_Irr!BK11&lt;&gt;"."),s_dir!AO11/((1/1000)*(s_Irr!O11+s_Irr!BK11)),IF(AND(s_Irr!O11=".",s_Irr!AM11&lt;&gt;".",s_Irr!BK11&lt;&gt;"."),s_dir!AO11/((1/1000)*(s_Irr!AM11+s_Irr!BK11)),IF(AND(s_Irr!O11=".",s_Irr!AM11=".",s_Irr!BK11&lt;&gt;"."),s_dir!AO11/((1/1000)*(s_Irr!BK11)),IF(AND(s_Irr!O11=".",s_Irr!AM11&lt;&gt;".",s_Irr!BK11="."),s_dir!AO11/((1/1000)*(s_Irr!AM11)),IF(AND(s_Irr!O11&lt;&gt;".",s_Irr!AM11=".",s_Irr!BK11="."),s_dir!AO11/((1/1000)*(s_Irr!O11)),IF(AND(s_Irr!O11=".",s_Irr!AM11=".",s_Irr!BK11="."),s_dir!AO11*1000)))))))),".")</f>
        <v>.</v>
      </c>
      <c r="BO11" s="48" t="str">
        <f>IFERROR(IF(AND(s_Irr!P11&lt;&gt;".",s_Irr!AN11&lt;&gt;".",s_Irr!BL11&lt;&gt;"."),s_dir!AP11/((1/1000)*(s_Irr!P11+s_Irr!AN11+s_Irr!BL11)),IF(AND(s_Irr!P11&lt;&gt;".",s_Irr!AN11&lt;&gt;".",s_Irr!BL11="."),s_dir!AP11/((1/1000)*(s_Irr!P11+s_Irr!AN11)),IF(AND(s_Irr!P11&lt;&gt;".",s_Irr!AN11=".",s_Irr!BL11&lt;&gt;"."),s_dir!AP11/((1/1000)*(s_Irr!P11+s_Irr!BL11)),IF(AND(s_Irr!P11=".",s_Irr!AN11&lt;&gt;".",s_Irr!BL11&lt;&gt;"."),s_dir!AP11/((1/1000)*(s_Irr!AN11+s_Irr!BL11)),IF(AND(s_Irr!P11=".",s_Irr!AN11=".",s_Irr!BL11&lt;&gt;"."),s_dir!AP11/((1/1000)*(s_Irr!BL11)),IF(AND(s_Irr!P11=".",s_Irr!AN11&lt;&gt;".",s_Irr!BL11="."),s_dir!AP11/((1/1000)*(s_Irr!AN11)),IF(AND(s_Irr!P11&lt;&gt;".",s_Irr!AN11=".",s_Irr!BL11="."),s_dir!AP11/((1/1000)*(s_Irr!P11)),IF(AND(s_Irr!P11=".",s_Irr!AN11=".",s_Irr!BL11="."),s_dir!AP11*1000)))))))),".")</f>
        <v>.</v>
      </c>
      <c r="BP11" s="48" t="str">
        <f>IFERROR(IF(AND(s_Irr!Q11&lt;&gt;".",s_Irr!AO11&lt;&gt;".",s_Irr!BM11&lt;&gt;"."),s_dir!AQ11/((1/1000)*(s_Irr!Q11+s_Irr!AO11+s_Irr!BM11)),IF(AND(s_Irr!Q11&lt;&gt;".",s_Irr!AO11&lt;&gt;".",s_Irr!BM11="."),s_dir!AQ11/((1/1000)*(s_Irr!Q11+s_Irr!AO11)),IF(AND(s_Irr!Q11&lt;&gt;".",s_Irr!AO11=".",s_Irr!BM11&lt;&gt;"."),s_dir!AQ11/((1/1000)*(s_Irr!Q11+s_Irr!BM11)),IF(AND(s_Irr!Q11=".",s_Irr!AO11&lt;&gt;".",s_Irr!BM11&lt;&gt;"."),s_dir!AQ11/((1/1000)*(s_Irr!AO11+s_Irr!BM11)),IF(AND(s_Irr!Q11=".",s_Irr!AO11=".",s_Irr!BM11&lt;&gt;"."),s_dir!AQ11/((1/1000)*(s_Irr!BM11)),IF(AND(s_Irr!Q11=".",s_Irr!AO11&lt;&gt;".",s_Irr!BM11="."),s_dir!AQ11/((1/1000)*(s_Irr!AO11)),IF(AND(s_Irr!Q11&lt;&gt;".",s_Irr!AO11=".",s_Irr!BM11="."),s_dir!AQ11/((1/1000)*(s_Irr!Q11)),IF(AND(s_Irr!Q11=".",s_Irr!AO11=".",s_Irr!BM11="."),s_dir!AQ11*1000)))))))),".")</f>
        <v>.</v>
      </c>
      <c r="BQ11" s="48" t="str">
        <f>IFERROR(IF(AND(s_Irr!R11&lt;&gt;".",s_Irr!AP11&lt;&gt;".",s_Irr!BN11&lt;&gt;"."),s_dir!AR11/((1/1000)*(s_Irr!R11+s_Irr!AP11+s_Irr!BN11)),IF(AND(s_Irr!R11&lt;&gt;".",s_Irr!AP11&lt;&gt;".",s_Irr!BN11="."),s_dir!AR11/((1/1000)*(s_Irr!R11+s_Irr!AP11)),IF(AND(s_Irr!R11&lt;&gt;".",s_Irr!AP11=".",s_Irr!BN11&lt;&gt;"."),s_dir!AR11/((1/1000)*(s_Irr!R11+s_Irr!BN11)),IF(AND(s_Irr!R11=".",s_Irr!AP11&lt;&gt;".",s_Irr!BN11&lt;&gt;"."),s_dir!AR11/((1/1000)*(s_Irr!AP11+s_Irr!BN11)),IF(AND(s_Irr!R11=".",s_Irr!AP11=".",s_Irr!BN11&lt;&gt;"."),s_dir!AR11/((1/1000)*(s_Irr!BN11)),IF(AND(s_Irr!R11=".",s_Irr!AP11&lt;&gt;".",s_Irr!BN11="."),s_dir!AR11/((1/1000)*(s_Irr!AP11)),IF(AND(s_Irr!R11&lt;&gt;".",s_Irr!AP11=".",s_Irr!BN11="."),s_dir!AR11/((1/1000)*(s_Irr!R11)),IF(AND(s_Irr!R11=".",s_Irr!AP11=".",s_Irr!BN11="."),s_dir!AR11*1000)))))))),".")</f>
        <v>.</v>
      </c>
      <c r="BR11" s="48" t="str">
        <f>IFERROR(IF(AND(s_Irr!S11&lt;&gt;".",s_Irr!AQ11&lt;&gt;".",s_Irr!BO11&lt;&gt;"."),s_dir!AS11/((1/1000)*(s_Irr!S11+s_Irr!AQ11+s_Irr!BO11)),IF(AND(s_Irr!S11&lt;&gt;".",s_Irr!AQ11&lt;&gt;".",s_Irr!BO11="."),s_dir!AS11/((1/1000)*(s_Irr!S11+s_Irr!AQ11)),IF(AND(s_Irr!S11&lt;&gt;".",s_Irr!AQ11=".",s_Irr!BO11&lt;&gt;"."),s_dir!AS11/((1/1000)*(s_Irr!S11+s_Irr!BO11)),IF(AND(s_Irr!S11=".",s_Irr!AQ11&lt;&gt;".",s_Irr!BO11&lt;&gt;"."),s_dir!AS11/((1/1000)*(s_Irr!AQ11+s_Irr!BO11)),IF(AND(s_Irr!S11=".",s_Irr!AQ11=".",s_Irr!BO11&lt;&gt;"."),s_dir!AS11/((1/1000)*(s_Irr!BO11)),IF(AND(s_Irr!S11=".",s_Irr!AQ11&lt;&gt;".",s_Irr!BO11="."),s_dir!AS11/((1/1000)*(s_Irr!AQ11)),IF(AND(s_Irr!S11&lt;&gt;".",s_Irr!AQ11=".",s_Irr!BO11="."),s_dir!AS11/((1/1000)*(s_Irr!S11)),IF(AND(s_Irr!S11=".",s_Irr!AQ11=".",s_Irr!BO11="."),s_dir!AS11*1000)))))))),".")</f>
        <v>.</v>
      </c>
      <c r="BS11" s="48" t="str">
        <f>IFERROR(IF(AND(s_Irr!T11&lt;&gt;".",s_Irr!AR11&lt;&gt;".",s_Irr!BP11&lt;&gt;"."),s_dir!AT11/((1/1000)*(s_Irr!T11+s_Irr!AR11+s_Irr!BP11)),IF(AND(s_Irr!T11&lt;&gt;".",s_Irr!AR11&lt;&gt;".",s_Irr!BP11="."),s_dir!AT11/((1/1000)*(s_Irr!T11+s_Irr!AR11)),IF(AND(s_Irr!T11&lt;&gt;".",s_Irr!AR11=".",s_Irr!BP11&lt;&gt;"."),s_dir!AT11/((1/1000)*(s_Irr!T11+s_Irr!BP11)),IF(AND(s_Irr!T11=".",s_Irr!AR11&lt;&gt;".",s_Irr!BP11&lt;&gt;"."),s_dir!AT11/((1/1000)*(s_Irr!AR11+s_Irr!BP11)),IF(AND(s_Irr!T11=".",s_Irr!AR11=".",s_Irr!BP11&lt;&gt;"."),s_dir!AT11/((1/1000)*(s_Irr!BP11)),IF(AND(s_Irr!T11=".",s_Irr!AR11&lt;&gt;".",s_Irr!BP11="."),s_dir!AT11/((1/1000)*(s_Irr!AR11)),IF(AND(s_Irr!T11&lt;&gt;".",s_Irr!AR11=".",s_Irr!BP11="."),s_dir!AT11/((1/1000)*(s_Irr!T11)),IF(AND(s_Irr!T11=".",s_Irr!AR11=".",s_Irr!BP11="."),s_dir!AT11*1000)))))))),".")</f>
        <v>.</v>
      </c>
      <c r="BT11" s="48" t="str">
        <f>IFERROR(IF(AND(s_Irr!U11&lt;&gt;".",s_Irr!AS11&lt;&gt;".",s_Irr!BQ11&lt;&gt;"."),s_dir!AU11/((1/1000)*(s_Irr!U11+s_Irr!AS11+s_Irr!BQ11)),IF(AND(s_Irr!U11&lt;&gt;".",s_Irr!AS11&lt;&gt;".",s_Irr!BQ11="."),s_dir!AU11/((1/1000)*(s_Irr!U11+s_Irr!AS11)),IF(AND(s_Irr!U11&lt;&gt;".",s_Irr!AS11=".",s_Irr!BQ11&lt;&gt;"."),s_dir!AU11/((1/1000)*(s_Irr!U11+s_Irr!BQ11)),IF(AND(s_Irr!U11=".",s_Irr!AS11&lt;&gt;".",s_Irr!BQ11&lt;&gt;"."),s_dir!AU11/((1/1000)*(s_Irr!AS11+s_Irr!BQ11)),IF(AND(s_Irr!U11=".",s_Irr!AS11=".",s_Irr!BQ11&lt;&gt;"."),s_dir!AU11/((1/1000)*(s_Irr!BQ11)),IF(AND(s_Irr!U11=".",s_Irr!AS11&lt;&gt;".",s_Irr!BQ11="."),s_dir!AU11/((1/1000)*(s_Irr!AS11)),IF(AND(s_Irr!U11&lt;&gt;".",s_Irr!AS11=".",s_Irr!BQ11="."),s_dir!AU11/((1/1000)*(s_Irr!U11)),IF(AND(s_Irr!U11=".",s_Irr!AS11=".",s_Irr!BQ11="."),s_dir!AU11*1000)))))))),".")</f>
        <v>.</v>
      </c>
      <c r="BU11" s="48" t="str">
        <f>IFERROR(IF(AND(s_Irr!V11&lt;&gt;".",s_Irr!AT11&lt;&gt;".",s_Irr!BR11&lt;&gt;"."),s_dir!AV11/((1/1000)*(s_Irr!V11+s_Irr!AT11+s_Irr!BR11)),IF(AND(s_Irr!V11&lt;&gt;".",s_Irr!AT11&lt;&gt;".",s_Irr!BR11="."),s_dir!AV11/((1/1000)*(s_Irr!V11+s_Irr!AT11)),IF(AND(s_Irr!V11&lt;&gt;".",s_Irr!AT11=".",s_Irr!BR11&lt;&gt;"."),s_dir!AV11/((1/1000)*(s_Irr!V11+s_Irr!BR11)),IF(AND(s_Irr!V11=".",s_Irr!AT11&lt;&gt;".",s_Irr!BR11&lt;&gt;"."),s_dir!AV11/((1/1000)*(s_Irr!AT11+s_Irr!BR11)),IF(AND(s_Irr!V11=".",s_Irr!AT11=".",s_Irr!BR11&lt;&gt;"."),s_dir!AV11/((1/1000)*(s_Irr!BR11)),IF(AND(s_Irr!V11=".",s_Irr!AT11&lt;&gt;".",s_Irr!BR11="."),s_dir!AV11/((1/1000)*(s_Irr!AT11)),IF(AND(s_Irr!V11&lt;&gt;".",s_Irr!AT11=".",s_Irr!BR11="."),s_dir!AV11/((1/1000)*(s_Irr!V11)),IF(AND(s_Irr!V11=".",s_Irr!AT11=".",s_Irr!BR11="."),s_dir!AV11*1000)))))))),".")</f>
        <v>.</v>
      </c>
      <c r="BV11" s="48" t="str">
        <f>IFERROR(IF(AND(s_Irr!W11&lt;&gt;".",s_Irr!AU11&lt;&gt;".",s_Irr!BS11&lt;&gt;"."),s_dir!AW11/((1/1000)*(s_Irr!W11+s_Irr!AU11+s_Irr!BS11)),IF(AND(s_Irr!W11&lt;&gt;".",s_Irr!AU11&lt;&gt;".",s_Irr!BS11="."),s_dir!AW11/((1/1000)*(s_Irr!W11+s_Irr!AU11)),IF(AND(s_Irr!W11&lt;&gt;".",s_Irr!AU11=".",s_Irr!BS11&lt;&gt;"."),s_dir!AW11/((1/1000)*(s_Irr!W11+s_Irr!BS11)),IF(AND(s_Irr!W11=".",s_Irr!AU11&lt;&gt;".",s_Irr!BS11&lt;&gt;"."),s_dir!AW11/((1/1000)*(s_Irr!AU11+s_Irr!BS11)),IF(AND(s_Irr!W11=".",s_Irr!AU11=".",s_Irr!BS11&lt;&gt;"."),s_dir!AW11/((1/1000)*(s_Irr!BS11)),IF(AND(s_Irr!W11=".",s_Irr!AU11&lt;&gt;".",s_Irr!BS11="."),s_dir!AW11/((1/1000)*(s_Irr!AU11)),IF(AND(s_Irr!W11&lt;&gt;".",s_Irr!AU11=".",s_Irr!BS11="."),s_dir!AW11/((1/1000)*(s_Irr!W11)),IF(AND(s_Irr!W11=".",s_Irr!AU11=".",s_Irr!BS11="."),s_dir!AW11*1000)))))))),".")</f>
        <v>.</v>
      </c>
      <c r="BW11" s="48" t="str">
        <f>IFERROR(IF(AND(s_Irr!X11&lt;&gt;".",s_Irr!AV11&lt;&gt;".",s_Irr!BT11&lt;&gt;"."),s_dir!AX11/((1/1000)*(s_Irr!X11+s_Irr!AV11+s_Irr!BT11)),IF(AND(s_Irr!X11&lt;&gt;".",s_Irr!AV11&lt;&gt;".",s_Irr!BT11="."),s_dir!AX11/((1/1000)*(s_Irr!X11+s_Irr!AV11)),IF(AND(s_Irr!X11&lt;&gt;".",s_Irr!AV11=".",s_Irr!BT11&lt;&gt;"."),s_dir!AX11/((1/1000)*(s_Irr!X11+s_Irr!BT11)),IF(AND(s_Irr!X11=".",s_Irr!AV11&lt;&gt;".",s_Irr!BT11&lt;&gt;"."),s_dir!AX11/((1/1000)*(s_Irr!AV11+s_Irr!BT11)),IF(AND(s_Irr!X11=".",s_Irr!AV11=".",s_Irr!BT11&lt;&gt;"."),s_dir!AX11/((1/1000)*(s_Irr!BT11)),IF(AND(s_Irr!X11=".",s_Irr!AV11&lt;&gt;".",s_Irr!BT11="."),s_dir!AX11/((1/1000)*(s_Irr!AV11)),IF(AND(s_Irr!X11&lt;&gt;".",s_Irr!AV11=".",s_Irr!BT11="."),s_dir!AX11/((1/1000)*(s_Irr!X11)),IF(AND(s_Irr!X11=".",s_Irr!AV11=".",s_Irr!BT11="."),s_dir!AX11*1000)))))))),".")</f>
        <v>.</v>
      </c>
      <c r="BX11" s="48" t="str">
        <f>IFERROR(IF(AND(s_Irr!Y11&lt;&gt;".",s_Irr!AW11&lt;&gt;".",s_Irr!BU11&lt;&gt;"."),s_dir!AY11/((1/1000)*(s_Irr!Y11+s_Irr!AW11+s_Irr!BU11)),IF(AND(s_Irr!Y11&lt;&gt;".",s_Irr!AW11&lt;&gt;".",s_Irr!BU11="."),s_dir!AY11/((1/1000)*(s_Irr!Y11+s_Irr!AW11)),IF(AND(s_Irr!Y11&lt;&gt;".",s_Irr!AW11=".",s_Irr!BU11&lt;&gt;"."),s_dir!AY11/((1/1000)*(s_Irr!Y11+s_Irr!BU11)),IF(AND(s_Irr!Y11=".",s_Irr!AW11&lt;&gt;".",s_Irr!BU11&lt;&gt;"."),s_dir!AY11/((1/1000)*(s_Irr!AW11+s_Irr!BU11)),IF(AND(s_Irr!Y11=".",s_Irr!AW11=".",s_Irr!BU11&lt;&gt;"."),s_dir!AY11/((1/1000)*(s_Irr!BU11)),IF(AND(s_Irr!Y11=".",s_Irr!AW11&lt;&gt;".",s_Irr!BU11="."),s_dir!AY11/((1/1000)*(s_Irr!AW11)),IF(AND(s_Irr!Y11&lt;&gt;".",s_Irr!AW11=".",s_Irr!BU11="."),s_dir!AY11/((1/1000)*(s_Irr!Y11)),IF(AND(s_Irr!Y11=".",s_Irr!AW11=".",s_Irr!BU11="."),s_dir!AY11*1000)))))))),".")</f>
        <v>.</v>
      </c>
      <c r="BY11" s="48" t="str">
        <f>IFERROR(IF(AND(s_Irr!Z11&lt;&gt;".",s_Irr!AX11&lt;&gt;".",s_Irr!BV11&lt;&gt;"."),s_dir!AZ11/((1/1000)*(s_Irr!Z11+s_Irr!AX11+s_Irr!BV11)),IF(AND(s_Irr!Z11&lt;&gt;".",s_Irr!AX11&lt;&gt;".",s_Irr!BV11="."),s_dir!AZ11/((1/1000)*(s_Irr!Z11+s_Irr!AX11)),IF(AND(s_Irr!Z11&lt;&gt;".",s_Irr!AX11=".",s_Irr!BV11&lt;&gt;"."),s_dir!AZ11/((1/1000)*(s_Irr!Z11+s_Irr!BV11)),IF(AND(s_Irr!Z11=".",s_Irr!AX11&lt;&gt;".",s_Irr!BV11&lt;&gt;"."),s_dir!AZ11/((1/1000)*(s_Irr!AX11+s_Irr!BV11)),IF(AND(s_Irr!Z11=".",s_Irr!AX11=".",s_Irr!BV11&lt;&gt;"."),s_dir!AZ11/((1/1000)*(s_Irr!BV11)),IF(AND(s_Irr!Z11=".",s_Irr!AX11&lt;&gt;".",s_Irr!BV11="."),s_dir!AZ11/((1/1000)*(s_Irr!AX11)),IF(AND(s_Irr!Z11&lt;&gt;".",s_Irr!AX11=".",s_Irr!BV11="."),s_dir!AZ11/((1/1000)*(s_Irr!Z11)),IF(AND(s_Irr!Z11=".",s_Irr!AX11=".",s_Irr!BV11="."),s_dir!AZ11*1000)))))))),".")</f>
        <v>.</v>
      </c>
      <c r="BZ11" s="62">
        <f t="shared" si="1"/>
        <v>400.61201161295031</v>
      </c>
      <c r="CA11" s="62">
        <f>IFERROR(s_C*s_IFAP_far_adj*s_CF_apple*(1/1000)*(s_Irr!C11+s_Irr!AA11+s_Irr!AY11),".")</f>
        <v>133.53733720431677</v>
      </c>
      <c r="CB11" s="62">
        <f>IFERROR(s_C*s_IFAS_far_adj*s_CF_asparagus*(1/1000)*(s_Irr!D11+s_Irr!AB11+s_Irr!AZ11),".")</f>
        <v>133.53733720431677</v>
      </c>
      <c r="CC11" s="62">
        <f>IFERROR(s_C*s_IFBT_far_adj*s_CF_beet*(1/1000)*(s_Irr!E11+s_Irr!AC11+s_Irr!BA11),".")</f>
        <v>133.53733720431677</v>
      </c>
      <c r="CD11" s="62">
        <f>IFERROR(s_C*s_IFBE_far_adj*s_CF_berries*(1/1000)*(s_Irr!F11+s_Irr!AD11+s_Irr!BB11),".")</f>
        <v>133.53733720431677</v>
      </c>
      <c r="CE11" s="62">
        <f>IFERROR(s_C*s_IFBR_far_adj*s_CF_broccoli*(1/1000)*(s_Irr!G11+s_Irr!AE11+s_Irr!BC11),".")</f>
        <v>133.53733720431677</v>
      </c>
      <c r="CF11" s="62">
        <f>IFERROR(s_C*s_IFCB_far_adj*s_CF_cabbage*(1/1000)*(s_Irr!H11+s_Irr!AF11+s_Irr!BD11),".")</f>
        <v>133.53733720431677</v>
      </c>
      <c r="CG11" s="62">
        <f>IFERROR(s_C*s_IFCR_far_adj*s_CF_carrot*(1/1000)*(s_Irr!I11+s_Irr!AG11+s_Irr!BE11),".")</f>
        <v>133.53733720431677</v>
      </c>
      <c r="CH11" s="62">
        <f>IFERROR(s_C*s_IFCI_far_adj*s_CF_citrus*(1/1000)*(s_Irr!J11+s_Irr!AH11+s_Irr!BF11),".")</f>
        <v>133.53733720431677</v>
      </c>
      <c r="CI11" s="62">
        <f>IFERROR(s_C*s_IFCO_far_adj*s_CF_corn*(1/1000)*(s_Irr!K11+s_Irr!AI11+s_Irr!BG11),".")</f>
        <v>133.53733720431677</v>
      </c>
      <c r="CJ11" s="62">
        <f>IFERROR(s_C*s_IFCU_far_adj*s_CF_cucumber*(1/1000)*(s_Irr!L11+s_Irr!AJ11+s_Irr!BH11),".")</f>
        <v>133.53733720431677</v>
      </c>
      <c r="CK11" s="62">
        <f>IFERROR(s_C*s_IFLE_far_adj*s_CF_lettuce*(1/1000)*(s_Irr!M11+s_Irr!AK11+s_Irr!BI11),".")</f>
        <v>133.53733720431677</v>
      </c>
      <c r="CL11" s="62">
        <f>IFERROR(s_C*s_IFLI_far_adj*s_CF_lima_bean*(1/1000)*(s_Irr!N11+s_Irr!AL11+s_Irr!BJ11),".")</f>
        <v>133.53733720431677</v>
      </c>
      <c r="CM11" s="62">
        <f>IFERROR(s_C*s_IFOK_far_adj*s_CF_okra*(1/1000)*(s_Irr!O11+s_Irr!AM11+s_Irr!BK11),".")</f>
        <v>133.53733720431677</v>
      </c>
      <c r="CN11" s="62">
        <f>IFERROR(s_C*s_IFON_far_adj*s_CF_onion*(1/1000)*(s_Irr!P11+s_Irr!AN11+s_Irr!BL11),".")</f>
        <v>133.53733720431677</v>
      </c>
      <c r="CO11" s="62">
        <f>IFERROR(s_C*s_IFPC_far_adj*s_CF_peach*(1/1000)*(s_Irr!Q11+s_Irr!AO11+s_Irr!BM11),".")</f>
        <v>133.53733720431677</v>
      </c>
      <c r="CP11" s="62">
        <f>IFERROR(s_C*s_IFPR_far_adj*s_CF_pear*(1/1000)*(s_Irr!R11+s_Irr!AP11+s_Irr!BN11),".")</f>
        <v>133.53733720431677</v>
      </c>
      <c r="CQ11" s="62">
        <f>IFERROR(s_C*s_IFPE_far_adj*s_CF_peas*(1/1000)*(s_Irr!S11+s_Irr!AQ11+s_Irr!BO11),".")</f>
        <v>133.53733720431677</v>
      </c>
      <c r="CR11" s="62">
        <f>IFERROR(s_C*s_IFPT_far_adj*s_CF_potato*(1/1000)*(s_Irr!T11+s_Irr!AR11+s_Irr!BP11),".")</f>
        <v>133.53733720431677</v>
      </c>
      <c r="CS11" s="62">
        <f>IFERROR(s_C*s_IFPU_far_adj*s_CF_pumpkin*(1/1000)*(s_Irr!U11+s_Irr!AS11+s_Irr!BQ11),".")</f>
        <v>133.53733720431677</v>
      </c>
      <c r="CT11" s="62">
        <f>IFERROR(s_C*s_IFSN_far_adj*s_CF_snap_bean*(1/1000)*(s_Irr!V11+s_Irr!AT11+s_Irr!BR11),".")</f>
        <v>133.53733720431677</v>
      </c>
      <c r="CU11" s="62">
        <f>IFERROR(s_C*s_IFST_far_adj*s_CF_strawberry*(1/1000)*(s_Irr!W11+s_Irr!AU11+s_Irr!BS11),".")</f>
        <v>133.53733720431677</v>
      </c>
      <c r="CV11" s="62">
        <f>IFERROR(s_C*s_IFTO_far_adj*s_CF_tomato*(1/1000)*(s_Irr!X11+s_Irr!AV11+s_Irr!BT11),".")</f>
        <v>133.53733720431677</v>
      </c>
      <c r="CW11" s="62">
        <f>IFERROR(s_C*s_IFRI_far_adj*s_CF_rice*(1/1000)*(s_Irr!Y11+s_Irr!AW11+s_Irr!BU11),".")</f>
        <v>133.53733720431677</v>
      </c>
      <c r="CX11" s="62">
        <f>IFERROR(s_C*s_IFCG_far_adj*s_CF_cereal*(1/1000)*(s_Irr!Z11+s_Irr!AX11+s_Irr!BV11),".")</f>
        <v>133.53733720431677</v>
      </c>
    </row>
    <row r="12" spans="1:102" ht="15" customHeight="1" x14ac:dyDescent="0.25">
      <c r="A12" s="61" t="s">
        <v>10</v>
      </c>
      <c r="B12" s="49" t="s">
        <v>1059</v>
      </c>
      <c r="C12" s="48" t="str">
        <f t="shared" si="2"/>
        <v>.</v>
      </c>
      <c r="D12" s="48" t="str">
        <f>IFERROR(IF(AND(s_Irr!C12&lt;&gt;".",s_Irr!AA12&lt;&gt;".",s_Irr!AY12&lt;&gt;"."),s_dir!D12/((1/1000)*(s_Irr!C12+s_Irr!AA12+s_Irr!AY12)),IF(AND(s_Irr!C12&lt;&gt;".",s_Irr!AA12&lt;&gt;".",s_Irr!AY12="."),s_dir!D12/((1/1000)*(s_Irr!C12+s_Irr!AA12)),IF(AND(s_Irr!C12&lt;&gt;".",s_Irr!AA12=".",s_Irr!AY12&lt;&gt;"."),s_dir!D12/((1/1000)*(s_Irr!C12+s_Irr!AY12)),IF(AND(s_Irr!C12=".",s_Irr!AA12&lt;&gt;".",s_Irr!AY12&lt;&gt;"."),s_dir!D12/((1/1000)*(s_Irr!AA12+s_Irr!AY12)),IF(AND(s_Irr!C12=".",s_Irr!AA12=".",s_Irr!AY12&lt;&gt;"."),s_dir!D12/((1/1000)*(s_Irr!AY12)),IF(AND(s_Irr!C12=".",s_Irr!AA12&lt;&gt;".",s_Irr!AY12="."),s_dir!D12/((1/1000)*(s_Irr!AA12)),IF(AND(s_Irr!C12&lt;&gt;".",s_Irr!AA12=".",s_Irr!AY12="."),s_dir!D12/((1/1000)*(s_Irr!C12)),IF(AND(s_Irr!C12=".",s_Irr!AA12=".",s_Irr!AY12="."),s_dir!D12*1000)))))))),".")</f>
        <v>.</v>
      </c>
      <c r="E12" s="48" t="str">
        <f>IFERROR(IF(AND(s_Irr!D12&lt;&gt;".",s_Irr!AB12&lt;&gt;".",s_Irr!AZ12&lt;&gt;"."),s_dir!E12/((1/1000)*(s_Irr!D12+s_Irr!AB12+s_Irr!AZ12)),IF(AND(s_Irr!D12&lt;&gt;".",s_Irr!AB12&lt;&gt;".",s_Irr!AZ12="."),s_dir!E12/((1/1000)*(s_Irr!D12+s_Irr!AB12)),IF(AND(s_Irr!D12&lt;&gt;".",s_Irr!AB12=".",s_Irr!AZ12&lt;&gt;"."),s_dir!E12/((1/1000)*(s_Irr!D12+s_Irr!AZ12)),IF(AND(s_Irr!D12=".",s_Irr!AB12&lt;&gt;".",s_Irr!AZ12&lt;&gt;"."),s_dir!E12/((1/1000)*(s_Irr!AB12+s_Irr!AZ12)),IF(AND(s_Irr!D12=".",s_Irr!AB12=".",s_Irr!AZ12&lt;&gt;"."),s_dir!E12/((1/1000)*(s_Irr!AZ12)),IF(AND(s_Irr!D12=".",s_Irr!AB12&lt;&gt;".",s_Irr!AZ12="."),s_dir!E12/((1/1000)*(s_Irr!AB12)),IF(AND(s_Irr!D12&lt;&gt;".",s_Irr!AB12=".",s_Irr!AZ12="."),s_dir!E12/((1/1000)*(s_Irr!D12)),IF(AND(s_Irr!D12=".",s_Irr!AB12=".",s_Irr!AZ12="."),s_dir!E12*1000)))))))),".")</f>
        <v>.</v>
      </c>
      <c r="F12" s="48" t="str">
        <f>IFERROR(IF(AND(s_Irr!E12&lt;&gt;".",s_Irr!AC12&lt;&gt;".",s_Irr!BA12&lt;&gt;"."),s_dir!F12/((1/1000)*(s_Irr!E12+s_Irr!AC12+s_Irr!BA12)),IF(AND(s_Irr!E12&lt;&gt;".",s_Irr!AC12&lt;&gt;".",s_Irr!BA12="."),s_dir!F12/((1/1000)*(s_Irr!E12+s_Irr!AC12)),IF(AND(s_Irr!E12&lt;&gt;".",s_Irr!AC12=".",s_Irr!BA12&lt;&gt;"."),s_dir!F12/((1/1000)*(s_Irr!E12+s_Irr!BA12)),IF(AND(s_Irr!E12=".",s_Irr!AC12&lt;&gt;".",s_Irr!BA12&lt;&gt;"."),s_dir!F12/((1/1000)*(s_Irr!AC12+s_Irr!BA12)),IF(AND(s_Irr!E12=".",s_Irr!AC12=".",s_Irr!BA12&lt;&gt;"."),s_dir!F12/((1/1000)*(s_Irr!BA12)),IF(AND(s_Irr!E12=".",s_Irr!AC12&lt;&gt;".",s_Irr!BA12="."),s_dir!F12/((1/1000)*(s_Irr!AC12)),IF(AND(s_Irr!E12&lt;&gt;".",s_Irr!AC12=".",s_Irr!BA12="."),s_dir!F12/((1/1000)*(s_Irr!E12)),IF(AND(s_Irr!E12=".",s_Irr!AC12=".",s_Irr!BA12="."),s_dir!F12*1000)))))))),".")</f>
        <v>.</v>
      </c>
      <c r="G12" s="48" t="str">
        <f>IFERROR(IF(AND(s_Irr!F12&lt;&gt;".",s_Irr!AD12&lt;&gt;".",s_Irr!BB12&lt;&gt;"."),s_dir!G12/((1/1000)*(s_Irr!F12+s_Irr!AD12+s_Irr!BB12)),IF(AND(s_Irr!F12&lt;&gt;".",s_Irr!AD12&lt;&gt;".",s_Irr!BB12="."),s_dir!G12/((1/1000)*(s_Irr!F12+s_Irr!AD12)),IF(AND(s_Irr!F12&lt;&gt;".",s_Irr!AD12=".",s_Irr!BB12&lt;&gt;"."),s_dir!G12/((1/1000)*(s_Irr!F12+s_Irr!BB12)),IF(AND(s_Irr!F12=".",s_Irr!AD12&lt;&gt;".",s_Irr!BB12&lt;&gt;"."),s_dir!G12/((1/1000)*(s_Irr!AD12+s_Irr!BB12)),IF(AND(s_Irr!F12=".",s_Irr!AD12=".",s_Irr!BB12&lt;&gt;"."),s_dir!G12/((1/1000)*(s_Irr!BB12)),IF(AND(s_Irr!F12=".",s_Irr!AD12&lt;&gt;".",s_Irr!BB12="."),s_dir!G12/((1/1000)*(s_Irr!AD12)),IF(AND(s_Irr!F12&lt;&gt;".",s_Irr!AD12=".",s_Irr!BB12="."),s_dir!G12/((1/1000)*(s_Irr!F12)),IF(AND(s_Irr!F12=".",s_Irr!AD12=".",s_Irr!BB12="."),s_dir!G12*1000)))))))),".")</f>
        <v>.</v>
      </c>
      <c r="H12" s="48" t="str">
        <f>IFERROR(IF(AND(s_Irr!G12&lt;&gt;".",s_Irr!AE12&lt;&gt;".",s_Irr!BC12&lt;&gt;"."),s_dir!H12/((1/1000)*(s_Irr!G12+s_Irr!AE12+s_Irr!BC12)),IF(AND(s_Irr!G12&lt;&gt;".",s_Irr!AE12&lt;&gt;".",s_Irr!BC12="."),s_dir!H12/((1/1000)*(s_Irr!G12+s_Irr!AE12)),IF(AND(s_Irr!G12&lt;&gt;".",s_Irr!AE12=".",s_Irr!BC12&lt;&gt;"."),s_dir!H12/((1/1000)*(s_Irr!G12+s_Irr!BC12)),IF(AND(s_Irr!G12=".",s_Irr!AE12&lt;&gt;".",s_Irr!BC12&lt;&gt;"."),s_dir!H12/((1/1000)*(s_Irr!AE12+s_Irr!BC12)),IF(AND(s_Irr!G12=".",s_Irr!AE12=".",s_Irr!BC12&lt;&gt;"."),s_dir!H12/((1/1000)*(s_Irr!BC12)),IF(AND(s_Irr!G12=".",s_Irr!AE12&lt;&gt;".",s_Irr!BC12="."),s_dir!H12/((1/1000)*(s_Irr!AE12)),IF(AND(s_Irr!G12&lt;&gt;".",s_Irr!AE12=".",s_Irr!BC12="."),s_dir!H12/((1/1000)*(s_Irr!G12)),IF(AND(s_Irr!G12=".",s_Irr!AE12=".",s_Irr!BC12="."),s_dir!H12*1000)))))))),".")</f>
        <v>.</v>
      </c>
      <c r="I12" s="48" t="str">
        <f>IFERROR(IF(AND(s_Irr!H12&lt;&gt;".",s_Irr!AF12&lt;&gt;".",s_Irr!BD12&lt;&gt;"."),s_dir!I12/((1/1000)*(s_Irr!H12+s_Irr!AF12+s_Irr!BD12)),IF(AND(s_Irr!H12&lt;&gt;".",s_Irr!AF12&lt;&gt;".",s_Irr!BD12="."),s_dir!I12/((1/1000)*(s_Irr!H12+s_Irr!AF12)),IF(AND(s_Irr!H12&lt;&gt;".",s_Irr!AF12=".",s_Irr!BD12&lt;&gt;"."),s_dir!I12/((1/1000)*(s_Irr!H12+s_Irr!BD12)),IF(AND(s_Irr!H12=".",s_Irr!AF12&lt;&gt;".",s_Irr!BD12&lt;&gt;"."),s_dir!I12/((1/1000)*(s_Irr!AF12+s_Irr!BD12)),IF(AND(s_Irr!H12=".",s_Irr!AF12=".",s_Irr!BD12&lt;&gt;"."),s_dir!I12/((1/1000)*(s_Irr!BD12)),IF(AND(s_Irr!H12=".",s_Irr!AF12&lt;&gt;".",s_Irr!BD12="."),s_dir!I12/((1/1000)*(s_Irr!AF12)),IF(AND(s_Irr!H12&lt;&gt;".",s_Irr!AF12=".",s_Irr!BD12="."),s_dir!I12/((1/1000)*(s_Irr!H12)),IF(AND(s_Irr!H12=".",s_Irr!AF12=".",s_Irr!BD12="."),s_dir!I12*1000)))))))),".")</f>
        <v>.</v>
      </c>
      <c r="J12" s="48" t="str">
        <f>IFERROR(IF(AND(s_Irr!I12&lt;&gt;".",s_Irr!AG12&lt;&gt;".",s_Irr!BE12&lt;&gt;"."),s_dir!J12/((1/1000)*(s_Irr!I12+s_Irr!AG12+s_Irr!BE12)),IF(AND(s_Irr!I12&lt;&gt;".",s_Irr!AG12&lt;&gt;".",s_Irr!BE12="."),s_dir!J12/((1/1000)*(s_Irr!I12+s_Irr!AG12)),IF(AND(s_Irr!I12&lt;&gt;".",s_Irr!AG12=".",s_Irr!BE12&lt;&gt;"."),s_dir!J12/((1/1000)*(s_Irr!I12+s_Irr!BE12)),IF(AND(s_Irr!I12=".",s_Irr!AG12&lt;&gt;".",s_Irr!BE12&lt;&gt;"."),s_dir!J12/((1/1000)*(s_Irr!AG12+s_Irr!BE12)),IF(AND(s_Irr!I12=".",s_Irr!AG12=".",s_Irr!BE12&lt;&gt;"."),s_dir!J12/((1/1000)*(s_Irr!BE12)),IF(AND(s_Irr!I12=".",s_Irr!AG12&lt;&gt;".",s_Irr!BE12="."),s_dir!J12/((1/1000)*(s_Irr!AG12)),IF(AND(s_Irr!I12&lt;&gt;".",s_Irr!AG12=".",s_Irr!BE12="."),s_dir!J12/((1/1000)*(s_Irr!I12)),IF(AND(s_Irr!I12=".",s_Irr!AG12=".",s_Irr!BE12="."),s_dir!J12*1000)))))))),".")</f>
        <v>.</v>
      </c>
      <c r="K12" s="48" t="str">
        <f>IFERROR(IF(AND(s_Irr!J12&lt;&gt;".",s_Irr!AH12&lt;&gt;".",s_Irr!BF12&lt;&gt;"."),s_dir!K12/((1/1000)*(s_Irr!J12+s_Irr!AH12+s_Irr!BF12)),IF(AND(s_Irr!J12&lt;&gt;".",s_Irr!AH12&lt;&gt;".",s_Irr!BF12="."),s_dir!K12/((1/1000)*(s_Irr!J12+s_Irr!AH12)),IF(AND(s_Irr!J12&lt;&gt;".",s_Irr!AH12=".",s_Irr!BF12&lt;&gt;"."),s_dir!K12/((1/1000)*(s_Irr!J12+s_Irr!BF12)),IF(AND(s_Irr!J12=".",s_Irr!AH12&lt;&gt;".",s_Irr!BF12&lt;&gt;"."),s_dir!K12/((1/1000)*(s_Irr!AH12+s_Irr!BF12)),IF(AND(s_Irr!J12=".",s_Irr!AH12=".",s_Irr!BF12&lt;&gt;"."),s_dir!K12/((1/1000)*(s_Irr!BF12)),IF(AND(s_Irr!J12=".",s_Irr!AH12&lt;&gt;".",s_Irr!BF12="."),s_dir!K12/((1/1000)*(s_Irr!AH12)),IF(AND(s_Irr!J12&lt;&gt;".",s_Irr!AH12=".",s_Irr!BF12="."),s_dir!K12/((1/1000)*(s_Irr!J12)),IF(AND(s_Irr!J12=".",s_Irr!AH12=".",s_Irr!BF12="."),s_dir!K12*1000)))))))),".")</f>
        <v>.</v>
      </c>
      <c r="L12" s="48" t="str">
        <f>IFERROR(IF(AND(s_Irr!K12&lt;&gt;".",s_Irr!AI12&lt;&gt;".",s_Irr!BG12&lt;&gt;"."),s_dir!L12/((1/1000)*(s_Irr!K12+s_Irr!AI12+s_Irr!BG12)),IF(AND(s_Irr!K12&lt;&gt;".",s_Irr!AI12&lt;&gt;".",s_Irr!BG12="."),s_dir!L12/((1/1000)*(s_Irr!K12+s_Irr!AI12)),IF(AND(s_Irr!K12&lt;&gt;".",s_Irr!AI12=".",s_Irr!BG12&lt;&gt;"."),s_dir!L12/((1/1000)*(s_Irr!K12+s_Irr!BG12)),IF(AND(s_Irr!K12=".",s_Irr!AI12&lt;&gt;".",s_Irr!BG12&lt;&gt;"."),s_dir!L12/((1/1000)*(s_Irr!AI12+s_Irr!BG12)),IF(AND(s_Irr!K12=".",s_Irr!AI12=".",s_Irr!BG12&lt;&gt;"."),s_dir!L12/((1/1000)*(s_Irr!BG12)),IF(AND(s_Irr!K12=".",s_Irr!AI12&lt;&gt;".",s_Irr!BG12="."),s_dir!L12/((1/1000)*(s_Irr!AI12)),IF(AND(s_Irr!K12&lt;&gt;".",s_Irr!AI12=".",s_Irr!BG12="."),s_dir!L12/((1/1000)*(s_Irr!K12)),IF(AND(s_Irr!K12=".",s_Irr!AI12=".",s_Irr!BG12="."),s_dir!L12*1000)))))))),".")</f>
        <v>.</v>
      </c>
      <c r="M12" s="48" t="str">
        <f>IFERROR(IF(AND(s_Irr!L12&lt;&gt;".",s_Irr!AJ12&lt;&gt;".",s_Irr!BH12&lt;&gt;"."),s_dir!M12/((1/1000)*(s_Irr!L12+s_Irr!AJ12+s_Irr!BH12)),IF(AND(s_Irr!L12&lt;&gt;".",s_Irr!AJ12&lt;&gt;".",s_Irr!BH12="."),s_dir!M12/((1/1000)*(s_Irr!L12+s_Irr!AJ12)),IF(AND(s_Irr!L12&lt;&gt;".",s_Irr!AJ12=".",s_Irr!BH12&lt;&gt;"."),s_dir!M12/((1/1000)*(s_Irr!L12+s_Irr!BH12)),IF(AND(s_Irr!L12=".",s_Irr!AJ12&lt;&gt;".",s_Irr!BH12&lt;&gt;"."),s_dir!M12/((1/1000)*(s_Irr!AJ12+s_Irr!BH12)),IF(AND(s_Irr!L12=".",s_Irr!AJ12=".",s_Irr!BH12&lt;&gt;"."),s_dir!M12/((1/1000)*(s_Irr!BH12)),IF(AND(s_Irr!L12=".",s_Irr!AJ12&lt;&gt;".",s_Irr!BH12="."),s_dir!M12/((1/1000)*(s_Irr!AJ12)),IF(AND(s_Irr!L12&lt;&gt;".",s_Irr!AJ12=".",s_Irr!BH12="."),s_dir!M12/((1/1000)*(s_Irr!L12)),IF(AND(s_Irr!L12=".",s_Irr!AJ12=".",s_Irr!BH12="."),s_dir!M12*1000)))))))),".")</f>
        <v>.</v>
      </c>
      <c r="N12" s="48" t="str">
        <f>IFERROR(IF(AND(s_Irr!M12&lt;&gt;".",s_Irr!AK12&lt;&gt;".",s_Irr!BI12&lt;&gt;"."),s_dir!N12/((1/1000)*(s_Irr!M12+s_Irr!AK12+s_Irr!BI12)),IF(AND(s_Irr!M12&lt;&gt;".",s_Irr!AK12&lt;&gt;".",s_Irr!BI12="."),s_dir!N12/((1/1000)*(s_Irr!M12+s_Irr!AK12)),IF(AND(s_Irr!M12&lt;&gt;".",s_Irr!AK12=".",s_Irr!BI12&lt;&gt;"."),s_dir!N12/((1/1000)*(s_Irr!M12+s_Irr!BI12)),IF(AND(s_Irr!M12=".",s_Irr!AK12&lt;&gt;".",s_Irr!BI12&lt;&gt;"."),s_dir!N12/((1/1000)*(s_Irr!AK12+s_Irr!BI12)),IF(AND(s_Irr!M12=".",s_Irr!AK12=".",s_Irr!BI12&lt;&gt;"."),s_dir!N12/((1/1000)*(s_Irr!BI12)),IF(AND(s_Irr!M12=".",s_Irr!AK12&lt;&gt;".",s_Irr!BI12="."),s_dir!N12/((1/1000)*(s_Irr!AK12)),IF(AND(s_Irr!M12&lt;&gt;".",s_Irr!AK12=".",s_Irr!BI12="."),s_dir!N12/((1/1000)*(s_Irr!M12)),IF(AND(s_Irr!M12=".",s_Irr!AK12=".",s_Irr!BI12="."),s_dir!N12*1000)))))))),".")</f>
        <v>.</v>
      </c>
      <c r="O12" s="48" t="str">
        <f>IFERROR(IF(AND(s_Irr!N12&lt;&gt;".",s_Irr!AL12&lt;&gt;".",s_Irr!BJ12&lt;&gt;"."),s_dir!O12/((1/1000)*(s_Irr!N12+s_Irr!AL12+s_Irr!BJ12)),IF(AND(s_Irr!N12&lt;&gt;".",s_Irr!AL12&lt;&gt;".",s_Irr!BJ12="."),s_dir!O12/((1/1000)*(s_Irr!N12+s_Irr!AL12)),IF(AND(s_Irr!N12&lt;&gt;".",s_Irr!AL12=".",s_Irr!BJ12&lt;&gt;"."),s_dir!O12/((1/1000)*(s_Irr!N12+s_Irr!BJ12)),IF(AND(s_Irr!N12=".",s_Irr!AL12&lt;&gt;".",s_Irr!BJ12&lt;&gt;"."),s_dir!O12/((1/1000)*(s_Irr!AL12+s_Irr!BJ12)),IF(AND(s_Irr!N12=".",s_Irr!AL12=".",s_Irr!BJ12&lt;&gt;"."),s_dir!O12/((1/1000)*(s_Irr!BJ12)),IF(AND(s_Irr!N12=".",s_Irr!AL12&lt;&gt;".",s_Irr!BJ12="."),s_dir!O12/((1/1000)*(s_Irr!AL12)),IF(AND(s_Irr!N12&lt;&gt;".",s_Irr!AL12=".",s_Irr!BJ12="."),s_dir!O12/((1/1000)*(s_Irr!N12)),IF(AND(s_Irr!N12=".",s_Irr!AL12=".",s_Irr!BJ12="."),s_dir!O12*1000)))))))),".")</f>
        <v>.</v>
      </c>
      <c r="P12" s="48" t="str">
        <f>IFERROR(IF(AND(s_Irr!O12&lt;&gt;".",s_Irr!AM12&lt;&gt;".",s_Irr!BK12&lt;&gt;"."),s_dir!P12/((1/1000)*(s_Irr!O12+s_Irr!AM12+s_Irr!BK12)),IF(AND(s_Irr!O12&lt;&gt;".",s_Irr!AM12&lt;&gt;".",s_Irr!BK12="."),s_dir!P12/((1/1000)*(s_Irr!O12+s_Irr!AM12)),IF(AND(s_Irr!O12&lt;&gt;".",s_Irr!AM12=".",s_Irr!BK12&lt;&gt;"."),s_dir!P12/((1/1000)*(s_Irr!O12+s_Irr!BK12)),IF(AND(s_Irr!O12=".",s_Irr!AM12&lt;&gt;".",s_Irr!BK12&lt;&gt;"."),s_dir!P12/((1/1000)*(s_Irr!AM12+s_Irr!BK12)),IF(AND(s_Irr!O12=".",s_Irr!AM12=".",s_Irr!BK12&lt;&gt;"."),s_dir!P12/((1/1000)*(s_Irr!BK12)),IF(AND(s_Irr!O12=".",s_Irr!AM12&lt;&gt;".",s_Irr!BK12="."),s_dir!P12/((1/1000)*(s_Irr!AM12)),IF(AND(s_Irr!O12&lt;&gt;".",s_Irr!AM12=".",s_Irr!BK12="."),s_dir!P12/((1/1000)*(s_Irr!O12)),IF(AND(s_Irr!O12=".",s_Irr!AM12=".",s_Irr!BK12="."),s_dir!P12*1000)))))))),".")</f>
        <v>.</v>
      </c>
      <c r="Q12" s="48" t="str">
        <f>IFERROR(IF(AND(s_Irr!P12&lt;&gt;".",s_Irr!AN12&lt;&gt;".",s_Irr!BL12&lt;&gt;"."),s_dir!Q12/((1/1000)*(s_Irr!P12+s_Irr!AN12+s_Irr!BL12)),IF(AND(s_Irr!P12&lt;&gt;".",s_Irr!AN12&lt;&gt;".",s_Irr!BL12="."),s_dir!Q12/((1/1000)*(s_Irr!P12+s_Irr!AN12)),IF(AND(s_Irr!P12&lt;&gt;".",s_Irr!AN12=".",s_Irr!BL12&lt;&gt;"."),s_dir!Q12/((1/1000)*(s_Irr!P12+s_Irr!BL12)),IF(AND(s_Irr!P12=".",s_Irr!AN12&lt;&gt;".",s_Irr!BL12&lt;&gt;"."),s_dir!Q12/((1/1000)*(s_Irr!AN12+s_Irr!BL12)),IF(AND(s_Irr!P12=".",s_Irr!AN12=".",s_Irr!BL12&lt;&gt;"."),s_dir!Q12/((1/1000)*(s_Irr!BL12)),IF(AND(s_Irr!P12=".",s_Irr!AN12&lt;&gt;".",s_Irr!BL12="."),s_dir!Q12/((1/1000)*(s_Irr!AN12)),IF(AND(s_Irr!P12&lt;&gt;".",s_Irr!AN12=".",s_Irr!BL12="."),s_dir!Q12/((1/1000)*(s_Irr!P12)),IF(AND(s_Irr!P12=".",s_Irr!AN12=".",s_Irr!BL12="."),s_dir!Q12*1000)))))))),".")</f>
        <v>.</v>
      </c>
      <c r="R12" s="48" t="str">
        <f>IFERROR(IF(AND(s_Irr!Q12&lt;&gt;".",s_Irr!AO12&lt;&gt;".",s_Irr!BM12&lt;&gt;"."),s_dir!R12/((1/1000)*(s_Irr!Q12+s_Irr!AO12+s_Irr!BM12)),IF(AND(s_Irr!Q12&lt;&gt;".",s_Irr!AO12&lt;&gt;".",s_Irr!BM12="."),s_dir!R12/((1/1000)*(s_Irr!Q12+s_Irr!AO12)),IF(AND(s_Irr!Q12&lt;&gt;".",s_Irr!AO12=".",s_Irr!BM12&lt;&gt;"."),s_dir!R12/((1/1000)*(s_Irr!Q12+s_Irr!BM12)),IF(AND(s_Irr!Q12=".",s_Irr!AO12&lt;&gt;".",s_Irr!BM12&lt;&gt;"."),s_dir!R12/((1/1000)*(s_Irr!AO12+s_Irr!BM12)),IF(AND(s_Irr!Q12=".",s_Irr!AO12=".",s_Irr!BM12&lt;&gt;"."),s_dir!R12/((1/1000)*(s_Irr!BM12)),IF(AND(s_Irr!Q12=".",s_Irr!AO12&lt;&gt;".",s_Irr!BM12="."),s_dir!R12/((1/1000)*(s_Irr!AO12)),IF(AND(s_Irr!Q12&lt;&gt;".",s_Irr!AO12=".",s_Irr!BM12="."),s_dir!R12/((1/1000)*(s_Irr!Q12)),IF(AND(s_Irr!Q12=".",s_Irr!AO12=".",s_Irr!BM12="."),s_dir!R12*1000)))))))),".")</f>
        <v>.</v>
      </c>
      <c r="S12" s="48" t="str">
        <f>IFERROR(IF(AND(s_Irr!R12&lt;&gt;".",s_Irr!AP12&lt;&gt;".",s_Irr!BN12&lt;&gt;"."),s_dir!S12/((1/1000)*(s_Irr!R12+s_Irr!AP12+s_Irr!BN12)),IF(AND(s_Irr!R12&lt;&gt;".",s_Irr!AP12&lt;&gt;".",s_Irr!BN12="."),s_dir!S12/((1/1000)*(s_Irr!R12+s_Irr!AP12)),IF(AND(s_Irr!R12&lt;&gt;".",s_Irr!AP12=".",s_Irr!BN12&lt;&gt;"."),s_dir!S12/((1/1000)*(s_Irr!R12+s_Irr!BN12)),IF(AND(s_Irr!R12=".",s_Irr!AP12&lt;&gt;".",s_Irr!BN12&lt;&gt;"."),s_dir!S12/((1/1000)*(s_Irr!AP12+s_Irr!BN12)),IF(AND(s_Irr!R12=".",s_Irr!AP12=".",s_Irr!BN12&lt;&gt;"."),s_dir!S12/((1/1000)*(s_Irr!BN12)),IF(AND(s_Irr!R12=".",s_Irr!AP12&lt;&gt;".",s_Irr!BN12="."),s_dir!S12/((1/1000)*(s_Irr!AP12)),IF(AND(s_Irr!R12&lt;&gt;".",s_Irr!AP12=".",s_Irr!BN12="."),s_dir!S12/((1/1000)*(s_Irr!R12)),IF(AND(s_Irr!R12=".",s_Irr!AP12=".",s_Irr!BN12="."),s_dir!S12*1000)))))))),".")</f>
        <v>.</v>
      </c>
      <c r="T12" s="48" t="str">
        <f>IFERROR(IF(AND(s_Irr!S12&lt;&gt;".",s_Irr!AQ12&lt;&gt;".",s_Irr!BO12&lt;&gt;"."),s_dir!T12/((1/1000)*(s_Irr!S12+s_Irr!AQ12+s_Irr!BO12)),IF(AND(s_Irr!S12&lt;&gt;".",s_Irr!AQ12&lt;&gt;".",s_Irr!BO12="."),s_dir!T12/((1/1000)*(s_Irr!S12+s_Irr!AQ12)),IF(AND(s_Irr!S12&lt;&gt;".",s_Irr!AQ12=".",s_Irr!BO12&lt;&gt;"."),s_dir!T12/((1/1000)*(s_Irr!S12+s_Irr!BO12)),IF(AND(s_Irr!S12=".",s_Irr!AQ12&lt;&gt;".",s_Irr!BO12&lt;&gt;"."),s_dir!T12/((1/1000)*(s_Irr!AQ12+s_Irr!BO12)),IF(AND(s_Irr!S12=".",s_Irr!AQ12=".",s_Irr!BO12&lt;&gt;"."),s_dir!T12/((1/1000)*(s_Irr!BO12)),IF(AND(s_Irr!S12=".",s_Irr!AQ12&lt;&gt;".",s_Irr!BO12="."),s_dir!T12/((1/1000)*(s_Irr!AQ12)),IF(AND(s_Irr!S12&lt;&gt;".",s_Irr!AQ12=".",s_Irr!BO12="."),s_dir!T12/((1/1000)*(s_Irr!S12)),IF(AND(s_Irr!S12=".",s_Irr!AQ12=".",s_Irr!BO12="."),s_dir!T12*1000)))))))),".")</f>
        <v>.</v>
      </c>
      <c r="U12" s="48" t="str">
        <f>IFERROR(IF(AND(s_Irr!T12&lt;&gt;".",s_Irr!AR12&lt;&gt;".",s_Irr!BP12&lt;&gt;"."),s_dir!U12/((1/1000)*(s_Irr!T12+s_Irr!AR12+s_Irr!BP12)),IF(AND(s_Irr!T12&lt;&gt;".",s_Irr!AR12&lt;&gt;".",s_Irr!BP12="."),s_dir!U12/((1/1000)*(s_Irr!T12+s_Irr!AR12)),IF(AND(s_Irr!T12&lt;&gt;".",s_Irr!AR12=".",s_Irr!BP12&lt;&gt;"."),s_dir!U12/((1/1000)*(s_Irr!T12+s_Irr!BP12)),IF(AND(s_Irr!T12=".",s_Irr!AR12&lt;&gt;".",s_Irr!BP12&lt;&gt;"."),s_dir!U12/((1/1000)*(s_Irr!AR12+s_Irr!BP12)),IF(AND(s_Irr!T12=".",s_Irr!AR12=".",s_Irr!BP12&lt;&gt;"."),s_dir!U12/((1/1000)*(s_Irr!BP12)),IF(AND(s_Irr!T12=".",s_Irr!AR12&lt;&gt;".",s_Irr!BP12="."),s_dir!U12/((1/1000)*(s_Irr!AR12)),IF(AND(s_Irr!T12&lt;&gt;".",s_Irr!AR12=".",s_Irr!BP12="."),s_dir!U12/((1/1000)*(s_Irr!T12)),IF(AND(s_Irr!T12=".",s_Irr!AR12=".",s_Irr!BP12="."),s_dir!U12*1000)))))))),".")</f>
        <v>.</v>
      </c>
      <c r="V12" s="48" t="str">
        <f>IFERROR(IF(AND(s_Irr!U12&lt;&gt;".",s_Irr!AS12&lt;&gt;".",s_Irr!BQ12&lt;&gt;"."),s_dir!V12/((1/1000)*(s_Irr!U12+s_Irr!AS12+s_Irr!BQ12)),IF(AND(s_Irr!U12&lt;&gt;".",s_Irr!AS12&lt;&gt;".",s_Irr!BQ12="."),s_dir!V12/((1/1000)*(s_Irr!U12+s_Irr!AS12)),IF(AND(s_Irr!U12&lt;&gt;".",s_Irr!AS12=".",s_Irr!BQ12&lt;&gt;"."),s_dir!V12/((1/1000)*(s_Irr!U12+s_Irr!BQ12)),IF(AND(s_Irr!U12=".",s_Irr!AS12&lt;&gt;".",s_Irr!BQ12&lt;&gt;"."),s_dir!V12/((1/1000)*(s_Irr!AS12+s_Irr!BQ12)),IF(AND(s_Irr!U12=".",s_Irr!AS12=".",s_Irr!BQ12&lt;&gt;"."),s_dir!V12/((1/1000)*(s_Irr!BQ12)),IF(AND(s_Irr!U12=".",s_Irr!AS12&lt;&gt;".",s_Irr!BQ12="."),s_dir!V12/((1/1000)*(s_Irr!AS12)),IF(AND(s_Irr!U12&lt;&gt;".",s_Irr!AS12=".",s_Irr!BQ12="."),s_dir!V12/((1/1000)*(s_Irr!U12)),IF(AND(s_Irr!U12=".",s_Irr!AS12=".",s_Irr!BQ12="."),s_dir!V12*1000)))))))),".")</f>
        <v>.</v>
      </c>
      <c r="W12" s="48" t="str">
        <f>IFERROR(IF(AND(s_Irr!V12&lt;&gt;".",s_Irr!AT12&lt;&gt;".",s_Irr!BR12&lt;&gt;"."),s_dir!W12/((1/1000)*(s_Irr!V12+s_Irr!AT12+s_Irr!BR12)),IF(AND(s_Irr!V12&lt;&gt;".",s_Irr!AT12&lt;&gt;".",s_Irr!BR12="."),s_dir!W12/((1/1000)*(s_Irr!V12+s_Irr!AT12)),IF(AND(s_Irr!V12&lt;&gt;".",s_Irr!AT12=".",s_Irr!BR12&lt;&gt;"."),s_dir!W12/((1/1000)*(s_Irr!V12+s_Irr!BR12)),IF(AND(s_Irr!V12=".",s_Irr!AT12&lt;&gt;".",s_Irr!BR12&lt;&gt;"."),s_dir!W12/((1/1000)*(s_Irr!AT12+s_Irr!BR12)),IF(AND(s_Irr!V12=".",s_Irr!AT12=".",s_Irr!BR12&lt;&gt;"."),s_dir!W12/((1/1000)*(s_Irr!BR12)),IF(AND(s_Irr!V12=".",s_Irr!AT12&lt;&gt;".",s_Irr!BR12="."),s_dir!W12/((1/1000)*(s_Irr!AT12)),IF(AND(s_Irr!V12&lt;&gt;".",s_Irr!AT12=".",s_Irr!BR12="."),s_dir!W12/((1/1000)*(s_Irr!V12)),IF(AND(s_Irr!V12=".",s_Irr!AT12=".",s_Irr!BR12="."),s_dir!W12*1000)))))))),".")</f>
        <v>.</v>
      </c>
      <c r="X12" s="48" t="str">
        <f>IFERROR(IF(AND(s_Irr!W12&lt;&gt;".",s_Irr!AU12&lt;&gt;".",s_Irr!BS12&lt;&gt;"."),s_dir!X12/((1/1000)*(s_Irr!W12+s_Irr!AU12+s_Irr!BS12)),IF(AND(s_Irr!W12&lt;&gt;".",s_Irr!AU12&lt;&gt;".",s_Irr!BS12="."),s_dir!X12/((1/1000)*(s_Irr!W12+s_Irr!AU12)),IF(AND(s_Irr!W12&lt;&gt;".",s_Irr!AU12=".",s_Irr!BS12&lt;&gt;"."),s_dir!X12/((1/1000)*(s_Irr!W12+s_Irr!BS12)),IF(AND(s_Irr!W12=".",s_Irr!AU12&lt;&gt;".",s_Irr!BS12&lt;&gt;"."),s_dir!X12/((1/1000)*(s_Irr!AU12+s_Irr!BS12)),IF(AND(s_Irr!W12=".",s_Irr!AU12=".",s_Irr!BS12&lt;&gt;"."),s_dir!X12/((1/1000)*(s_Irr!BS12)),IF(AND(s_Irr!W12=".",s_Irr!AU12&lt;&gt;".",s_Irr!BS12="."),s_dir!X12/((1/1000)*(s_Irr!AU12)),IF(AND(s_Irr!W12&lt;&gt;".",s_Irr!AU12=".",s_Irr!BS12="."),s_dir!X12/((1/1000)*(s_Irr!W12)),IF(AND(s_Irr!W12=".",s_Irr!AU12=".",s_Irr!BS12="."),s_dir!X12*1000)))))))),".")</f>
        <v>.</v>
      </c>
      <c r="Y12" s="48" t="str">
        <f>IFERROR(IF(AND(s_Irr!X12&lt;&gt;".",s_Irr!AV12&lt;&gt;".",s_Irr!BT12&lt;&gt;"."),s_dir!Y12/((1/1000)*(s_Irr!X12+s_Irr!AV12+s_Irr!BT12)),IF(AND(s_Irr!X12&lt;&gt;".",s_Irr!AV12&lt;&gt;".",s_Irr!BT12="."),s_dir!Y12/((1/1000)*(s_Irr!X12+s_Irr!AV12)),IF(AND(s_Irr!X12&lt;&gt;".",s_Irr!AV12=".",s_Irr!BT12&lt;&gt;"."),s_dir!Y12/((1/1000)*(s_Irr!X12+s_Irr!BT12)),IF(AND(s_Irr!X12=".",s_Irr!AV12&lt;&gt;".",s_Irr!BT12&lt;&gt;"."),s_dir!Y12/((1/1000)*(s_Irr!AV12+s_Irr!BT12)),IF(AND(s_Irr!X12=".",s_Irr!AV12=".",s_Irr!BT12&lt;&gt;"."),s_dir!Y12/((1/1000)*(s_Irr!BT12)),IF(AND(s_Irr!X12=".",s_Irr!AV12&lt;&gt;".",s_Irr!BT12="."),s_dir!Y12/((1/1000)*(s_Irr!AV12)),IF(AND(s_Irr!X12&lt;&gt;".",s_Irr!AV12=".",s_Irr!BT12="."),s_dir!Y12/((1/1000)*(s_Irr!X12)),IF(AND(s_Irr!X12=".",s_Irr!AV12=".",s_Irr!BT12="."),s_dir!Y12*1000)))))))),".")</f>
        <v>.</v>
      </c>
      <c r="Z12" s="48" t="str">
        <f>IFERROR(IF(AND(s_Irr!Y12&lt;&gt;".",s_Irr!AW12&lt;&gt;".",s_Irr!BU12&lt;&gt;"."),s_dir!Z12/((1/1000)*(s_Irr!Y12+s_Irr!AW12+s_Irr!BU12)),IF(AND(s_Irr!Y12&lt;&gt;".",s_Irr!AW12&lt;&gt;".",s_Irr!BU12="."),s_dir!Z12/((1/1000)*(s_Irr!Y12+s_Irr!AW12)),IF(AND(s_Irr!Y12&lt;&gt;".",s_Irr!AW12=".",s_Irr!BU12&lt;&gt;"."),s_dir!Z12/((1/1000)*(s_Irr!Y12+s_Irr!BU12)),IF(AND(s_Irr!Y12=".",s_Irr!AW12&lt;&gt;".",s_Irr!BU12&lt;&gt;"."),s_dir!Z12/((1/1000)*(s_Irr!AW12+s_Irr!BU12)),IF(AND(s_Irr!Y12=".",s_Irr!AW12=".",s_Irr!BU12&lt;&gt;"."),s_dir!Z12/((1/1000)*(s_Irr!BU12)),IF(AND(s_Irr!Y12=".",s_Irr!AW12&lt;&gt;".",s_Irr!BU12="."),s_dir!Z12/((1/1000)*(s_Irr!AW12)),IF(AND(s_Irr!Y12&lt;&gt;".",s_Irr!AW12=".",s_Irr!BU12="."),s_dir!Z12/((1/1000)*(s_Irr!Y12)),IF(AND(s_Irr!Y12=".",s_Irr!AW12=".",s_Irr!BU12="."),s_dir!Z12*1000)))))))),".")</f>
        <v>.</v>
      </c>
      <c r="AA12" s="48" t="str">
        <f>IFERROR(IF(AND(s_Irr!Z12&lt;&gt;".",s_Irr!AX12&lt;&gt;".",s_Irr!BV12&lt;&gt;"."),s_dir!AA12/((1/1000)*(s_Irr!Z12+s_Irr!AX12+s_Irr!BV12)),IF(AND(s_Irr!Z12&lt;&gt;".",s_Irr!AX12&lt;&gt;".",s_Irr!BV12="."),s_dir!AA12/((1/1000)*(s_Irr!Z12+s_Irr!AX12)),IF(AND(s_Irr!Z12&lt;&gt;".",s_Irr!AX12=".",s_Irr!BV12&lt;&gt;"."),s_dir!AA12/((1/1000)*(s_Irr!Z12+s_Irr!BV12)),IF(AND(s_Irr!Z12=".",s_Irr!AX12&lt;&gt;".",s_Irr!BV12&lt;&gt;"."),s_dir!AA12/((1/1000)*(s_Irr!AX12+s_Irr!BV12)),IF(AND(s_Irr!Z12=".",s_Irr!AX12=".",s_Irr!BV12&lt;&gt;"."),s_dir!AA12/((1/1000)*(s_Irr!BV12)),IF(AND(s_Irr!Z12=".",s_Irr!AX12&lt;&gt;".",s_Irr!BV12="."),s_dir!AA12/((1/1000)*(s_Irr!AX12)),IF(AND(s_Irr!Z12&lt;&gt;".",s_Irr!AX12=".",s_Irr!BV12="."),s_dir!AA12/((1/1000)*(s_Irr!Z12)),IF(AND(s_Irr!Z12=".",s_Irr!AX12=".",s_Irr!BV12="."),s_dir!AA12*1000)))))))),".")</f>
        <v>.</v>
      </c>
      <c r="AB12" s="62">
        <f t="shared" si="3"/>
        <v>1617.7781377865476</v>
      </c>
      <c r="AC12" s="62">
        <f>IFERROR(s_C*s_IFAP_res_adj*s_CF_apple*0.001*(s_Irr!C12+s_Irr!AA12+s_Irr!AY12),".")</f>
        <v>539.25937926218251</v>
      </c>
      <c r="AD12" s="62">
        <f>IFERROR(s_C*s_IFAS_res_adj*s_CF_asparagus*0.001*(s_Irr!D12+s_Irr!AB12+s_Irr!AZ12),".")</f>
        <v>539.25937926218251</v>
      </c>
      <c r="AE12" s="62">
        <f>IFERROR(s_C*s_IFBT_res_adj*s_CF_beet*0.001*(s_Irr!E12+s_Irr!AC12+s_Irr!BA12),".")</f>
        <v>539.25937926218251</v>
      </c>
      <c r="AF12" s="62">
        <f>IFERROR(s_C*s_IFBE_res_adj*s_CF_berries*0.001*(s_Irr!F12+s_Irr!AD12+s_Irr!BB12),".")</f>
        <v>539.25937926218251</v>
      </c>
      <c r="AG12" s="62">
        <f>IFERROR(s_C*s_IFBR_res_adj*s_CF_broccoli*0.001*(s_Irr!G12+s_Irr!AE12+s_Irr!BC12),".")</f>
        <v>539.25937926218251</v>
      </c>
      <c r="AH12" s="62">
        <f>IFERROR(s_C*s_IFCB_res_adj*s_CF_cabbage*0.001*(s_Irr!H12+s_Irr!AF12+s_Irr!BD12),".")</f>
        <v>539.25937926218251</v>
      </c>
      <c r="AI12" s="62">
        <f>IFERROR(s_C*s_IFCR_res_adj*s_CF_carrot*0.001*(s_Irr!I12+s_Irr!AG12+s_Irr!BE12),".")</f>
        <v>539.25937926218251</v>
      </c>
      <c r="AJ12" s="62">
        <f>IFERROR(s_C*s_IFCI_res_adj*s_CF_citrus*0.001*(s_Irr!J12+s_Irr!AH12+s_Irr!BF12),".")</f>
        <v>539.25937926218251</v>
      </c>
      <c r="AK12" s="62">
        <f>IFERROR(s_C*s_IFCO_res_adj*s_CF_corn*0.001*(s_Irr!K12+s_Irr!AI12+s_Irr!BG12),".")</f>
        <v>539.25937926218251</v>
      </c>
      <c r="AL12" s="62">
        <f>IFERROR(s_C*s_IFCU_res_adj*s_CF_cucumber*0.001*(s_Irr!L12+s_Irr!AJ12+s_Irr!BH12),".")</f>
        <v>539.25937926218251</v>
      </c>
      <c r="AM12" s="62">
        <f>IFERROR(s_C*s_IFLE_res_adj*s_CF_lettuce*0.001*(s_Irr!M12+s_Irr!AK12+s_Irr!BI12),".")</f>
        <v>539.25937926218251</v>
      </c>
      <c r="AN12" s="62">
        <f>IFERROR(s_C*s_IFLI_res_adj*s_CF_lima_bean*0.001*(s_Irr!N12+s_Irr!AL12+s_Irr!BJ12),".")</f>
        <v>539.25937926218251</v>
      </c>
      <c r="AO12" s="62">
        <f>IFERROR(s_C*s_IFOK_res_adj*s_CF_okra*0.001*(s_Irr!O12+s_Irr!AM12+s_Irr!BK12),".")</f>
        <v>539.25937926218251</v>
      </c>
      <c r="AP12" s="62">
        <f>IFERROR(s_C*s_IFON_res_adj*s_CF_onion*0.001*(s_Irr!P12+s_Irr!AN12+s_Irr!BL12),".")</f>
        <v>539.25937926218251</v>
      </c>
      <c r="AQ12" s="62">
        <f>IFERROR(s_C*s_IFPC_res_adj*s_CF_peach*0.001*(s_Irr!Q12+s_Irr!AO12+s_Irr!BM12),".")</f>
        <v>539.25937926218251</v>
      </c>
      <c r="AR12" s="62">
        <f>IFERROR(s_C*s_IFPR_res_adj*s_CF_pear*0.001*(s_Irr!R12+s_Irr!AP12+s_Irr!BN12),".")</f>
        <v>539.25937926218251</v>
      </c>
      <c r="AS12" s="62">
        <f>IFERROR(s_C*s_IFPE_res_adj*s_CF_peas*0.001*(s_Irr!S12+s_Irr!AQ12+s_Irr!BO12),".")</f>
        <v>539.25937926218251</v>
      </c>
      <c r="AT12" s="62">
        <f>IFERROR(s_C*s_IFPT_res_adj*s_CF_potato*0.001*(s_Irr!T12+s_Irr!AR12+s_Irr!BP12),".")</f>
        <v>539.25937926218251</v>
      </c>
      <c r="AU12" s="62">
        <f>IFERROR(s_C*s_IFPU_res_adj*s_CF_pumpkin*0.001*(s_Irr!U12+s_Irr!AS12+s_Irr!BQ12),".")</f>
        <v>539.25937926218251</v>
      </c>
      <c r="AV12" s="62">
        <f>IFERROR(s_C*s_IFSN_res_adj*s_CF_snap_bean*0.001*(s_Irr!V12+s_Irr!AT12+s_Irr!BR12),".")</f>
        <v>539.25937926218251</v>
      </c>
      <c r="AW12" s="62">
        <f>IFERROR(s_C*s_IFST_res_adj*s_CF_strawberry*0.001*(s_Irr!W12+s_Irr!AU12+s_Irr!BS12),".")</f>
        <v>539.25937926218251</v>
      </c>
      <c r="AX12" s="62">
        <f>IFERROR(s_C*s_IFTO_res_adj*s_CF_tomato*0.001*(s_Irr!X12+s_Irr!AV12+s_Irr!BT12),".")</f>
        <v>539.25937926218251</v>
      </c>
      <c r="AY12" s="62">
        <f>IFERROR(s_C*s_IFRI_res_adj*s_CF_rice*0.001*(s_Irr!Y12+s_Irr!AW12+s_Irr!BU12),".")</f>
        <v>539.25937926218251</v>
      </c>
      <c r="AZ12" s="62">
        <f>IFERROR(s_C*s_IFCG_res_adj*s_CF_cereal*0.001*(s_Irr!Z12+s_Irr!AX12+s_Irr!BV12),".")</f>
        <v>539.25937926218251</v>
      </c>
      <c r="BA12" s="48" t="str">
        <f t="shared" si="0"/>
        <v>.</v>
      </c>
      <c r="BB12" s="48" t="str">
        <f>IFERROR(IF(AND(s_Irr!C12&lt;&gt;".",s_Irr!AA12&lt;&gt;".",s_Irr!AY12&lt;&gt;"."),s_dir!AC12/((1/1000)*(s_Irr!C12+s_Irr!AA12+s_Irr!AY12)),IF(AND(s_Irr!C12&lt;&gt;".",s_Irr!AA12&lt;&gt;".",s_Irr!AY12="."),s_dir!AC12/((1/1000)*(s_Irr!C12+s_Irr!AA12)),IF(AND(s_Irr!C12&lt;&gt;".",s_Irr!AA12=".",s_Irr!AY12&lt;&gt;"."),s_dir!AC12/((1/1000)*(s_Irr!C12+s_Irr!AY12)),IF(AND(s_Irr!C12=".",s_Irr!AA12&lt;&gt;".",s_Irr!AY12&lt;&gt;"."),s_dir!AC12/((1/1000)*(s_Irr!AA12+s_Irr!AY12)),IF(AND(s_Irr!C12=".",s_Irr!AA12=".",s_Irr!AY12&lt;&gt;"."),s_dir!AC12/((1/1000)*(s_Irr!AY12)),IF(AND(s_Irr!C12=".",s_Irr!AA12&lt;&gt;".",s_Irr!AY12="."),s_dir!AC12/((1/1000)*(s_Irr!AA12)),IF(AND(s_Irr!C12&lt;&gt;".",s_Irr!AA12=".",s_Irr!AY12="."),s_dir!AC12/((1/1000)*(s_Irr!C12)),IF(AND(s_Irr!C12=".",s_Irr!AA12=".",s_Irr!AY12="."),s_dir!AC12*1000)))))))),".")</f>
        <v>.</v>
      </c>
      <c r="BC12" s="48" t="str">
        <f>IFERROR(IF(AND(s_Irr!D12&lt;&gt;".",s_Irr!AB12&lt;&gt;".",s_Irr!AZ12&lt;&gt;"."),s_dir!AD12/((1/1000)*(s_Irr!D12+s_Irr!AB12+s_Irr!AZ12)),IF(AND(s_Irr!D12&lt;&gt;".",s_Irr!AB12&lt;&gt;".",s_Irr!AZ12="."),s_dir!AD12/((1/1000)*(s_Irr!D12+s_Irr!AB12)),IF(AND(s_Irr!D12&lt;&gt;".",s_Irr!AB12=".",s_Irr!AZ12&lt;&gt;"."),s_dir!AD12/((1/1000)*(s_Irr!D12+s_Irr!AZ12)),IF(AND(s_Irr!D12=".",s_Irr!AB12&lt;&gt;".",s_Irr!AZ12&lt;&gt;"."),s_dir!AD12/((1/1000)*(s_Irr!AB12+s_Irr!AZ12)),IF(AND(s_Irr!D12=".",s_Irr!AB12=".",s_Irr!AZ12&lt;&gt;"."),s_dir!AD12/((1/1000)*(s_Irr!AZ12)),IF(AND(s_Irr!D12=".",s_Irr!AB12&lt;&gt;".",s_Irr!AZ12="."),s_dir!AD12/((1/1000)*(s_Irr!AB12)),IF(AND(s_Irr!D12&lt;&gt;".",s_Irr!AB12=".",s_Irr!AZ12="."),s_dir!AD12/((1/1000)*(s_Irr!D12)),IF(AND(s_Irr!D12=".",s_Irr!AB12=".",s_Irr!AZ12="."),s_dir!AD12*1000)))))))),".")</f>
        <v>.</v>
      </c>
      <c r="BD12" s="48" t="str">
        <f>IFERROR(IF(AND(s_Irr!E12&lt;&gt;".",s_Irr!AC12&lt;&gt;".",s_Irr!BA12&lt;&gt;"."),s_dir!AE12/((1/1000)*(s_Irr!E12+s_Irr!AC12+s_Irr!BA12)),IF(AND(s_Irr!E12&lt;&gt;".",s_Irr!AC12&lt;&gt;".",s_Irr!BA12="."),s_dir!AE12/((1/1000)*(s_Irr!E12+s_Irr!AC12)),IF(AND(s_Irr!E12&lt;&gt;".",s_Irr!AC12=".",s_Irr!BA12&lt;&gt;"."),s_dir!AE12/((1/1000)*(s_Irr!E12+s_Irr!BA12)),IF(AND(s_Irr!E12=".",s_Irr!AC12&lt;&gt;".",s_Irr!BA12&lt;&gt;"."),s_dir!AE12/((1/1000)*(s_Irr!AC12+s_Irr!BA12)),IF(AND(s_Irr!E12=".",s_Irr!AC12=".",s_Irr!BA12&lt;&gt;"."),s_dir!AE12/((1/1000)*(s_Irr!BA12)),IF(AND(s_Irr!E12=".",s_Irr!AC12&lt;&gt;".",s_Irr!BA12="."),s_dir!AE12/((1/1000)*(s_Irr!AC12)),IF(AND(s_Irr!E12&lt;&gt;".",s_Irr!AC12=".",s_Irr!BA12="."),s_dir!AE12/((1/1000)*(s_Irr!E12)),IF(AND(s_Irr!E12=".",s_Irr!AC12=".",s_Irr!BA12="."),s_dir!AE12*1000)))))))),".")</f>
        <v>.</v>
      </c>
      <c r="BE12" s="48" t="str">
        <f>IFERROR(IF(AND(s_Irr!F12&lt;&gt;".",s_Irr!AD12&lt;&gt;".",s_Irr!BB12&lt;&gt;"."),s_dir!AF12/((1/1000)*(s_Irr!F12+s_Irr!AD12+s_Irr!BB12)),IF(AND(s_Irr!F12&lt;&gt;".",s_Irr!AD12&lt;&gt;".",s_Irr!BB12="."),s_dir!AF12/((1/1000)*(s_Irr!F12+s_Irr!AD12)),IF(AND(s_Irr!F12&lt;&gt;".",s_Irr!AD12=".",s_Irr!BB12&lt;&gt;"."),s_dir!AF12/((1/1000)*(s_Irr!F12+s_Irr!BB12)),IF(AND(s_Irr!F12=".",s_Irr!AD12&lt;&gt;".",s_Irr!BB12&lt;&gt;"."),s_dir!AF12/((1/1000)*(s_Irr!AD12+s_Irr!BB12)),IF(AND(s_Irr!F12=".",s_Irr!AD12=".",s_Irr!BB12&lt;&gt;"."),s_dir!AF12/((1/1000)*(s_Irr!BB12)),IF(AND(s_Irr!F12=".",s_Irr!AD12&lt;&gt;".",s_Irr!BB12="."),s_dir!AF12/((1/1000)*(s_Irr!AD12)),IF(AND(s_Irr!F12&lt;&gt;".",s_Irr!AD12=".",s_Irr!BB12="."),s_dir!AF12/((1/1000)*(s_Irr!F12)),IF(AND(s_Irr!F12=".",s_Irr!AD12=".",s_Irr!BB12="."),s_dir!AF12*1000)))))))),".")</f>
        <v>.</v>
      </c>
      <c r="BF12" s="48" t="str">
        <f>IFERROR(IF(AND(s_Irr!G12&lt;&gt;".",s_Irr!AE12&lt;&gt;".",s_Irr!BC12&lt;&gt;"."),s_dir!AG12/((1/1000)*(s_Irr!G12+s_Irr!AE12+s_Irr!BC12)),IF(AND(s_Irr!G12&lt;&gt;".",s_Irr!AE12&lt;&gt;".",s_Irr!BC12="."),s_dir!AG12/((1/1000)*(s_Irr!G12+s_Irr!AE12)),IF(AND(s_Irr!G12&lt;&gt;".",s_Irr!AE12=".",s_Irr!BC12&lt;&gt;"."),s_dir!AG12/((1/1000)*(s_Irr!G12+s_Irr!BC12)),IF(AND(s_Irr!G12=".",s_Irr!AE12&lt;&gt;".",s_Irr!BC12&lt;&gt;"."),s_dir!AG12/((1/1000)*(s_Irr!AE12+s_Irr!BC12)),IF(AND(s_Irr!G12=".",s_Irr!AE12=".",s_Irr!BC12&lt;&gt;"."),s_dir!AG12/((1/1000)*(s_Irr!BC12)),IF(AND(s_Irr!G12=".",s_Irr!AE12&lt;&gt;".",s_Irr!BC12="."),s_dir!AG12/((1/1000)*(s_Irr!AE12)),IF(AND(s_Irr!G12&lt;&gt;".",s_Irr!AE12=".",s_Irr!BC12="."),s_dir!AG12/((1/1000)*(s_Irr!G12)),IF(AND(s_Irr!G12=".",s_Irr!AE12=".",s_Irr!BC12="."),s_dir!AG12*1000)))))))),".")</f>
        <v>.</v>
      </c>
      <c r="BG12" s="48" t="str">
        <f>IFERROR(IF(AND(s_Irr!H12&lt;&gt;".",s_Irr!AF12&lt;&gt;".",s_Irr!BD12&lt;&gt;"."),s_dir!AH12/((1/1000)*(s_Irr!H12+s_Irr!AF12+s_Irr!BD12)),IF(AND(s_Irr!H12&lt;&gt;".",s_Irr!AF12&lt;&gt;".",s_Irr!BD12="."),s_dir!AH12/((1/1000)*(s_Irr!H12+s_Irr!AF12)),IF(AND(s_Irr!H12&lt;&gt;".",s_Irr!AF12=".",s_Irr!BD12&lt;&gt;"."),s_dir!AH12/((1/1000)*(s_Irr!H12+s_Irr!BD12)),IF(AND(s_Irr!H12=".",s_Irr!AF12&lt;&gt;".",s_Irr!BD12&lt;&gt;"."),s_dir!AH12/((1/1000)*(s_Irr!AF12+s_Irr!BD12)),IF(AND(s_Irr!H12=".",s_Irr!AF12=".",s_Irr!BD12&lt;&gt;"."),s_dir!AH12/((1/1000)*(s_Irr!BD12)),IF(AND(s_Irr!H12=".",s_Irr!AF12&lt;&gt;".",s_Irr!BD12="."),s_dir!AH12/((1/1000)*(s_Irr!AF12)),IF(AND(s_Irr!H12&lt;&gt;".",s_Irr!AF12=".",s_Irr!BD12="."),s_dir!AH12/((1/1000)*(s_Irr!H12)),IF(AND(s_Irr!H12=".",s_Irr!AF12=".",s_Irr!BD12="."),s_dir!AH12*1000)))))))),".")</f>
        <v>.</v>
      </c>
      <c r="BH12" s="48" t="str">
        <f>IFERROR(IF(AND(s_Irr!I12&lt;&gt;".",s_Irr!AG12&lt;&gt;".",s_Irr!BE12&lt;&gt;"."),s_dir!AI12/((1/1000)*(s_Irr!I12+s_Irr!AG12+s_Irr!BE12)),IF(AND(s_Irr!I12&lt;&gt;".",s_Irr!AG12&lt;&gt;".",s_Irr!BE12="."),s_dir!AI12/((1/1000)*(s_Irr!I12+s_Irr!AG12)),IF(AND(s_Irr!I12&lt;&gt;".",s_Irr!AG12=".",s_Irr!BE12&lt;&gt;"."),s_dir!AI12/((1/1000)*(s_Irr!I12+s_Irr!BE12)),IF(AND(s_Irr!I12=".",s_Irr!AG12&lt;&gt;".",s_Irr!BE12&lt;&gt;"."),s_dir!AI12/((1/1000)*(s_Irr!AG12+s_Irr!BE12)),IF(AND(s_Irr!I12=".",s_Irr!AG12=".",s_Irr!BE12&lt;&gt;"."),s_dir!AI12/((1/1000)*(s_Irr!BE12)),IF(AND(s_Irr!I12=".",s_Irr!AG12&lt;&gt;".",s_Irr!BE12="."),s_dir!AI12/((1/1000)*(s_Irr!AG12)),IF(AND(s_Irr!I12&lt;&gt;".",s_Irr!AG12=".",s_Irr!BE12="."),s_dir!AI12/((1/1000)*(s_Irr!I12)),IF(AND(s_Irr!I12=".",s_Irr!AG12=".",s_Irr!BE12="."),s_dir!AI12*1000)))))))),".")</f>
        <v>.</v>
      </c>
      <c r="BI12" s="48" t="str">
        <f>IFERROR(IF(AND(s_Irr!J12&lt;&gt;".",s_Irr!AH12&lt;&gt;".",s_Irr!BF12&lt;&gt;"."),s_dir!AJ12/((1/1000)*(s_Irr!J12+s_Irr!AH12+s_Irr!BF12)),IF(AND(s_Irr!J12&lt;&gt;".",s_Irr!AH12&lt;&gt;".",s_Irr!BF12="."),s_dir!AJ12/((1/1000)*(s_Irr!J12+s_Irr!AH12)),IF(AND(s_Irr!J12&lt;&gt;".",s_Irr!AH12=".",s_Irr!BF12&lt;&gt;"."),s_dir!AJ12/((1/1000)*(s_Irr!J12+s_Irr!BF12)),IF(AND(s_Irr!J12=".",s_Irr!AH12&lt;&gt;".",s_Irr!BF12&lt;&gt;"."),s_dir!AJ12/((1/1000)*(s_Irr!AH12+s_Irr!BF12)),IF(AND(s_Irr!J12=".",s_Irr!AH12=".",s_Irr!BF12&lt;&gt;"."),s_dir!AJ12/((1/1000)*(s_Irr!BF12)),IF(AND(s_Irr!J12=".",s_Irr!AH12&lt;&gt;".",s_Irr!BF12="."),s_dir!AJ12/((1/1000)*(s_Irr!AH12)),IF(AND(s_Irr!J12&lt;&gt;".",s_Irr!AH12=".",s_Irr!BF12="."),s_dir!AJ12/((1/1000)*(s_Irr!J12)),IF(AND(s_Irr!J12=".",s_Irr!AH12=".",s_Irr!BF12="."),s_dir!AJ12*1000)))))))),".")</f>
        <v>.</v>
      </c>
      <c r="BJ12" s="48" t="str">
        <f>IFERROR(IF(AND(s_Irr!K12&lt;&gt;".",s_Irr!AI12&lt;&gt;".",s_Irr!BG12&lt;&gt;"."),s_dir!AK12/((1/1000)*(s_Irr!K12+s_Irr!AI12+s_Irr!BG12)),IF(AND(s_Irr!K12&lt;&gt;".",s_Irr!AI12&lt;&gt;".",s_Irr!BG12="."),s_dir!AK12/((1/1000)*(s_Irr!K12+s_Irr!AI12)),IF(AND(s_Irr!K12&lt;&gt;".",s_Irr!AI12=".",s_Irr!BG12&lt;&gt;"."),s_dir!AK12/((1/1000)*(s_Irr!K12+s_Irr!BG12)),IF(AND(s_Irr!K12=".",s_Irr!AI12&lt;&gt;".",s_Irr!BG12&lt;&gt;"."),s_dir!AK12/((1/1000)*(s_Irr!AI12+s_Irr!BG12)),IF(AND(s_Irr!K12=".",s_Irr!AI12=".",s_Irr!BG12&lt;&gt;"."),s_dir!AK12/((1/1000)*(s_Irr!BG12)),IF(AND(s_Irr!K12=".",s_Irr!AI12&lt;&gt;".",s_Irr!BG12="."),s_dir!AK12/((1/1000)*(s_Irr!AI12)),IF(AND(s_Irr!K12&lt;&gt;".",s_Irr!AI12=".",s_Irr!BG12="."),s_dir!AK12/((1/1000)*(s_Irr!K12)),IF(AND(s_Irr!K12=".",s_Irr!AI12=".",s_Irr!BG12="."),s_dir!AK12*1000)))))))),".")</f>
        <v>.</v>
      </c>
      <c r="BK12" s="48" t="str">
        <f>IFERROR(IF(AND(s_Irr!L12&lt;&gt;".",s_Irr!AJ12&lt;&gt;".",s_Irr!BH12&lt;&gt;"."),s_dir!AL12/((1/1000)*(s_Irr!L12+s_Irr!AJ12+s_Irr!BH12)),IF(AND(s_Irr!L12&lt;&gt;".",s_Irr!AJ12&lt;&gt;".",s_Irr!BH12="."),s_dir!AL12/((1/1000)*(s_Irr!L12+s_Irr!AJ12)),IF(AND(s_Irr!L12&lt;&gt;".",s_Irr!AJ12=".",s_Irr!BH12&lt;&gt;"."),s_dir!AL12/((1/1000)*(s_Irr!L12+s_Irr!BH12)),IF(AND(s_Irr!L12=".",s_Irr!AJ12&lt;&gt;".",s_Irr!BH12&lt;&gt;"."),s_dir!AL12/((1/1000)*(s_Irr!AJ12+s_Irr!BH12)),IF(AND(s_Irr!L12=".",s_Irr!AJ12=".",s_Irr!BH12&lt;&gt;"."),s_dir!AL12/((1/1000)*(s_Irr!BH12)),IF(AND(s_Irr!L12=".",s_Irr!AJ12&lt;&gt;".",s_Irr!BH12="."),s_dir!AL12/((1/1000)*(s_Irr!AJ12)),IF(AND(s_Irr!L12&lt;&gt;".",s_Irr!AJ12=".",s_Irr!BH12="."),s_dir!AL12/((1/1000)*(s_Irr!L12)),IF(AND(s_Irr!L12=".",s_Irr!AJ12=".",s_Irr!BH12="."),s_dir!AL12*1000)))))))),".")</f>
        <v>.</v>
      </c>
      <c r="BL12" s="48" t="str">
        <f>IFERROR(IF(AND(s_Irr!M12&lt;&gt;".",s_Irr!AK12&lt;&gt;".",s_Irr!BI12&lt;&gt;"."),s_dir!AM12/((1/1000)*(s_Irr!M12+s_Irr!AK12+s_Irr!BI12)),IF(AND(s_Irr!M12&lt;&gt;".",s_Irr!AK12&lt;&gt;".",s_Irr!BI12="."),s_dir!AM12/((1/1000)*(s_Irr!M12+s_Irr!AK12)),IF(AND(s_Irr!M12&lt;&gt;".",s_Irr!AK12=".",s_Irr!BI12&lt;&gt;"."),s_dir!AM12/((1/1000)*(s_Irr!M12+s_Irr!BI12)),IF(AND(s_Irr!M12=".",s_Irr!AK12&lt;&gt;".",s_Irr!BI12&lt;&gt;"."),s_dir!AM12/((1/1000)*(s_Irr!AK12+s_Irr!BI12)),IF(AND(s_Irr!M12=".",s_Irr!AK12=".",s_Irr!BI12&lt;&gt;"."),s_dir!AM12/((1/1000)*(s_Irr!BI12)),IF(AND(s_Irr!M12=".",s_Irr!AK12&lt;&gt;".",s_Irr!BI12="."),s_dir!AM12/((1/1000)*(s_Irr!AK12)),IF(AND(s_Irr!M12&lt;&gt;".",s_Irr!AK12=".",s_Irr!BI12="."),s_dir!AM12/((1/1000)*(s_Irr!M12)),IF(AND(s_Irr!M12=".",s_Irr!AK12=".",s_Irr!BI12="."),s_dir!AM12*1000)))))))),".")</f>
        <v>.</v>
      </c>
      <c r="BM12" s="48" t="str">
        <f>IFERROR(IF(AND(s_Irr!N12&lt;&gt;".",s_Irr!AL12&lt;&gt;".",s_Irr!BJ12&lt;&gt;"."),s_dir!AN12/((1/1000)*(s_Irr!N12+s_Irr!AL12+s_Irr!BJ12)),IF(AND(s_Irr!N12&lt;&gt;".",s_Irr!AL12&lt;&gt;".",s_Irr!BJ12="."),s_dir!AN12/((1/1000)*(s_Irr!N12+s_Irr!AL12)),IF(AND(s_Irr!N12&lt;&gt;".",s_Irr!AL12=".",s_Irr!BJ12&lt;&gt;"."),s_dir!AN12/((1/1000)*(s_Irr!N12+s_Irr!BJ12)),IF(AND(s_Irr!N12=".",s_Irr!AL12&lt;&gt;".",s_Irr!BJ12&lt;&gt;"."),s_dir!AN12/((1/1000)*(s_Irr!AL12+s_Irr!BJ12)),IF(AND(s_Irr!N12=".",s_Irr!AL12=".",s_Irr!BJ12&lt;&gt;"."),s_dir!AN12/((1/1000)*(s_Irr!BJ12)),IF(AND(s_Irr!N12=".",s_Irr!AL12&lt;&gt;".",s_Irr!BJ12="."),s_dir!AN12/((1/1000)*(s_Irr!AL12)),IF(AND(s_Irr!N12&lt;&gt;".",s_Irr!AL12=".",s_Irr!BJ12="."),s_dir!AN12/((1/1000)*(s_Irr!N12)),IF(AND(s_Irr!N12=".",s_Irr!AL12=".",s_Irr!BJ12="."),s_dir!AN12*1000)))))))),".")</f>
        <v>.</v>
      </c>
      <c r="BN12" s="48" t="str">
        <f>IFERROR(IF(AND(s_Irr!O12&lt;&gt;".",s_Irr!AM12&lt;&gt;".",s_Irr!BK12&lt;&gt;"."),s_dir!AO12/((1/1000)*(s_Irr!O12+s_Irr!AM12+s_Irr!BK12)),IF(AND(s_Irr!O12&lt;&gt;".",s_Irr!AM12&lt;&gt;".",s_Irr!BK12="."),s_dir!AO12/((1/1000)*(s_Irr!O12+s_Irr!AM12)),IF(AND(s_Irr!O12&lt;&gt;".",s_Irr!AM12=".",s_Irr!BK12&lt;&gt;"."),s_dir!AO12/((1/1000)*(s_Irr!O12+s_Irr!BK12)),IF(AND(s_Irr!O12=".",s_Irr!AM12&lt;&gt;".",s_Irr!BK12&lt;&gt;"."),s_dir!AO12/((1/1000)*(s_Irr!AM12+s_Irr!BK12)),IF(AND(s_Irr!O12=".",s_Irr!AM12=".",s_Irr!BK12&lt;&gt;"."),s_dir!AO12/((1/1000)*(s_Irr!BK12)),IF(AND(s_Irr!O12=".",s_Irr!AM12&lt;&gt;".",s_Irr!BK12="."),s_dir!AO12/((1/1000)*(s_Irr!AM12)),IF(AND(s_Irr!O12&lt;&gt;".",s_Irr!AM12=".",s_Irr!BK12="."),s_dir!AO12/((1/1000)*(s_Irr!O12)),IF(AND(s_Irr!O12=".",s_Irr!AM12=".",s_Irr!BK12="."),s_dir!AO12*1000)))))))),".")</f>
        <v>.</v>
      </c>
      <c r="BO12" s="48" t="str">
        <f>IFERROR(IF(AND(s_Irr!P12&lt;&gt;".",s_Irr!AN12&lt;&gt;".",s_Irr!BL12&lt;&gt;"."),s_dir!AP12/((1/1000)*(s_Irr!P12+s_Irr!AN12+s_Irr!BL12)),IF(AND(s_Irr!P12&lt;&gt;".",s_Irr!AN12&lt;&gt;".",s_Irr!BL12="."),s_dir!AP12/((1/1000)*(s_Irr!P12+s_Irr!AN12)),IF(AND(s_Irr!P12&lt;&gt;".",s_Irr!AN12=".",s_Irr!BL12&lt;&gt;"."),s_dir!AP12/((1/1000)*(s_Irr!P12+s_Irr!BL12)),IF(AND(s_Irr!P12=".",s_Irr!AN12&lt;&gt;".",s_Irr!BL12&lt;&gt;"."),s_dir!AP12/((1/1000)*(s_Irr!AN12+s_Irr!BL12)),IF(AND(s_Irr!P12=".",s_Irr!AN12=".",s_Irr!BL12&lt;&gt;"."),s_dir!AP12/((1/1000)*(s_Irr!BL12)),IF(AND(s_Irr!P12=".",s_Irr!AN12&lt;&gt;".",s_Irr!BL12="."),s_dir!AP12/((1/1000)*(s_Irr!AN12)),IF(AND(s_Irr!P12&lt;&gt;".",s_Irr!AN12=".",s_Irr!BL12="."),s_dir!AP12/((1/1000)*(s_Irr!P12)),IF(AND(s_Irr!P12=".",s_Irr!AN12=".",s_Irr!BL12="."),s_dir!AP12*1000)))))))),".")</f>
        <v>.</v>
      </c>
      <c r="BP12" s="48" t="str">
        <f>IFERROR(IF(AND(s_Irr!Q12&lt;&gt;".",s_Irr!AO12&lt;&gt;".",s_Irr!BM12&lt;&gt;"."),s_dir!AQ12/((1/1000)*(s_Irr!Q12+s_Irr!AO12+s_Irr!BM12)),IF(AND(s_Irr!Q12&lt;&gt;".",s_Irr!AO12&lt;&gt;".",s_Irr!BM12="."),s_dir!AQ12/((1/1000)*(s_Irr!Q12+s_Irr!AO12)),IF(AND(s_Irr!Q12&lt;&gt;".",s_Irr!AO12=".",s_Irr!BM12&lt;&gt;"."),s_dir!AQ12/((1/1000)*(s_Irr!Q12+s_Irr!BM12)),IF(AND(s_Irr!Q12=".",s_Irr!AO12&lt;&gt;".",s_Irr!BM12&lt;&gt;"."),s_dir!AQ12/((1/1000)*(s_Irr!AO12+s_Irr!BM12)),IF(AND(s_Irr!Q12=".",s_Irr!AO12=".",s_Irr!BM12&lt;&gt;"."),s_dir!AQ12/((1/1000)*(s_Irr!BM12)),IF(AND(s_Irr!Q12=".",s_Irr!AO12&lt;&gt;".",s_Irr!BM12="."),s_dir!AQ12/((1/1000)*(s_Irr!AO12)),IF(AND(s_Irr!Q12&lt;&gt;".",s_Irr!AO12=".",s_Irr!BM12="."),s_dir!AQ12/((1/1000)*(s_Irr!Q12)),IF(AND(s_Irr!Q12=".",s_Irr!AO12=".",s_Irr!BM12="."),s_dir!AQ12*1000)))))))),".")</f>
        <v>.</v>
      </c>
      <c r="BQ12" s="48" t="str">
        <f>IFERROR(IF(AND(s_Irr!R12&lt;&gt;".",s_Irr!AP12&lt;&gt;".",s_Irr!BN12&lt;&gt;"."),s_dir!AR12/((1/1000)*(s_Irr!R12+s_Irr!AP12+s_Irr!BN12)),IF(AND(s_Irr!R12&lt;&gt;".",s_Irr!AP12&lt;&gt;".",s_Irr!BN12="."),s_dir!AR12/((1/1000)*(s_Irr!R12+s_Irr!AP12)),IF(AND(s_Irr!R12&lt;&gt;".",s_Irr!AP12=".",s_Irr!BN12&lt;&gt;"."),s_dir!AR12/((1/1000)*(s_Irr!R12+s_Irr!BN12)),IF(AND(s_Irr!R12=".",s_Irr!AP12&lt;&gt;".",s_Irr!BN12&lt;&gt;"."),s_dir!AR12/((1/1000)*(s_Irr!AP12+s_Irr!BN12)),IF(AND(s_Irr!R12=".",s_Irr!AP12=".",s_Irr!BN12&lt;&gt;"."),s_dir!AR12/((1/1000)*(s_Irr!BN12)),IF(AND(s_Irr!R12=".",s_Irr!AP12&lt;&gt;".",s_Irr!BN12="."),s_dir!AR12/((1/1000)*(s_Irr!AP12)),IF(AND(s_Irr!R12&lt;&gt;".",s_Irr!AP12=".",s_Irr!BN12="."),s_dir!AR12/((1/1000)*(s_Irr!R12)),IF(AND(s_Irr!R12=".",s_Irr!AP12=".",s_Irr!BN12="."),s_dir!AR12*1000)))))))),".")</f>
        <v>.</v>
      </c>
      <c r="BR12" s="48" t="str">
        <f>IFERROR(IF(AND(s_Irr!S12&lt;&gt;".",s_Irr!AQ12&lt;&gt;".",s_Irr!BO12&lt;&gt;"."),s_dir!AS12/((1/1000)*(s_Irr!S12+s_Irr!AQ12+s_Irr!BO12)),IF(AND(s_Irr!S12&lt;&gt;".",s_Irr!AQ12&lt;&gt;".",s_Irr!BO12="."),s_dir!AS12/((1/1000)*(s_Irr!S12+s_Irr!AQ12)),IF(AND(s_Irr!S12&lt;&gt;".",s_Irr!AQ12=".",s_Irr!BO12&lt;&gt;"."),s_dir!AS12/((1/1000)*(s_Irr!S12+s_Irr!BO12)),IF(AND(s_Irr!S12=".",s_Irr!AQ12&lt;&gt;".",s_Irr!BO12&lt;&gt;"."),s_dir!AS12/((1/1000)*(s_Irr!AQ12+s_Irr!BO12)),IF(AND(s_Irr!S12=".",s_Irr!AQ12=".",s_Irr!BO12&lt;&gt;"."),s_dir!AS12/((1/1000)*(s_Irr!BO12)),IF(AND(s_Irr!S12=".",s_Irr!AQ12&lt;&gt;".",s_Irr!BO12="."),s_dir!AS12/((1/1000)*(s_Irr!AQ12)),IF(AND(s_Irr!S12&lt;&gt;".",s_Irr!AQ12=".",s_Irr!BO12="."),s_dir!AS12/((1/1000)*(s_Irr!S12)),IF(AND(s_Irr!S12=".",s_Irr!AQ12=".",s_Irr!BO12="."),s_dir!AS12*1000)))))))),".")</f>
        <v>.</v>
      </c>
      <c r="BS12" s="48" t="str">
        <f>IFERROR(IF(AND(s_Irr!T12&lt;&gt;".",s_Irr!AR12&lt;&gt;".",s_Irr!BP12&lt;&gt;"."),s_dir!AT12/((1/1000)*(s_Irr!T12+s_Irr!AR12+s_Irr!BP12)),IF(AND(s_Irr!T12&lt;&gt;".",s_Irr!AR12&lt;&gt;".",s_Irr!BP12="."),s_dir!AT12/((1/1000)*(s_Irr!T12+s_Irr!AR12)),IF(AND(s_Irr!T12&lt;&gt;".",s_Irr!AR12=".",s_Irr!BP12&lt;&gt;"."),s_dir!AT12/((1/1000)*(s_Irr!T12+s_Irr!BP12)),IF(AND(s_Irr!T12=".",s_Irr!AR12&lt;&gt;".",s_Irr!BP12&lt;&gt;"."),s_dir!AT12/((1/1000)*(s_Irr!AR12+s_Irr!BP12)),IF(AND(s_Irr!T12=".",s_Irr!AR12=".",s_Irr!BP12&lt;&gt;"."),s_dir!AT12/((1/1000)*(s_Irr!BP12)),IF(AND(s_Irr!T12=".",s_Irr!AR12&lt;&gt;".",s_Irr!BP12="."),s_dir!AT12/((1/1000)*(s_Irr!AR12)),IF(AND(s_Irr!T12&lt;&gt;".",s_Irr!AR12=".",s_Irr!BP12="."),s_dir!AT12/((1/1000)*(s_Irr!T12)),IF(AND(s_Irr!T12=".",s_Irr!AR12=".",s_Irr!BP12="."),s_dir!AT12*1000)))))))),".")</f>
        <v>.</v>
      </c>
      <c r="BT12" s="48" t="str">
        <f>IFERROR(IF(AND(s_Irr!U12&lt;&gt;".",s_Irr!AS12&lt;&gt;".",s_Irr!BQ12&lt;&gt;"."),s_dir!AU12/((1/1000)*(s_Irr!U12+s_Irr!AS12+s_Irr!BQ12)),IF(AND(s_Irr!U12&lt;&gt;".",s_Irr!AS12&lt;&gt;".",s_Irr!BQ12="."),s_dir!AU12/((1/1000)*(s_Irr!U12+s_Irr!AS12)),IF(AND(s_Irr!U12&lt;&gt;".",s_Irr!AS12=".",s_Irr!BQ12&lt;&gt;"."),s_dir!AU12/((1/1000)*(s_Irr!U12+s_Irr!BQ12)),IF(AND(s_Irr!U12=".",s_Irr!AS12&lt;&gt;".",s_Irr!BQ12&lt;&gt;"."),s_dir!AU12/((1/1000)*(s_Irr!AS12+s_Irr!BQ12)),IF(AND(s_Irr!U12=".",s_Irr!AS12=".",s_Irr!BQ12&lt;&gt;"."),s_dir!AU12/((1/1000)*(s_Irr!BQ12)),IF(AND(s_Irr!U12=".",s_Irr!AS12&lt;&gt;".",s_Irr!BQ12="."),s_dir!AU12/((1/1000)*(s_Irr!AS12)),IF(AND(s_Irr!U12&lt;&gt;".",s_Irr!AS12=".",s_Irr!BQ12="."),s_dir!AU12/((1/1000)*(s_Irr!U12)),IF(AND(s_Irr!U12=".",s_Irr!AS12=".",s_Irr!BQ12="."),s_dir!AU12*1000)))))))),".")</f>
        <v>.</v>
      </c>
      <c r="BU12" s="48" t="str">
        <f>IFERROR(IF(AND(s_Irr!V12&lt;&gt;".",s_Irr!AT12&lt;&gt;".",s_Irr!BR12&lt;&gt;"."),s_dir!AV12/((1/1000)*(s_Irr!V12+s_Irr!AT12+s_Irr!BR12)),IF(AND(s_Irr!V12&lt;&gt;".",s_Irr!AT12&lt;&gt;".",s_Irr!BR12="."),s_dir!AV12/((1/1000)*(s_Irr!V12+s_Irr!AT12)),IF(AND(s_Irr!V12&lt;&gt;".",s_Irr!AT12=".",s_Irr!BR12&lt;&gt;"."),s_dir!AV12/((1/1000)*(s_Irr!V12+s_Irr!BR12)),IF(AND(s_Irr!V12=".",s_Irr!AT12&lt;&gt;".",s_Irr!BR12&lt;&gt;"."),s_dir!AV12/((1/1000)*(s_Irr!AT12+s_Irr!BR12)),IF(AND(s_Irr!V12=".",s_Irr!AT12=".",s_Irr!BR12&lt;&gt;"."),s_dir!AV12/((1/1000)*(s_Irr!BR12)),IF(AND(s_Irr!V12=".",s_Irr!AT12&lt;&gt;".",s_Irr!BR12="."),s_dir!AV12/((1/1000)*(s_Irr!AT12)),IF(AND(s_Irr!V12&lt;&gt;".",s_Irr!AT12=".",s_Irr!BR12="."),s_dir!AV12/((1/1000)*(s_Irr!V12)),IF(AND(s_Irr!V12=".",s_Irr!AT12=".",s_Irr!BR12="."),s_dir!AV12*1000)))))))),".")</f>
        <v>.</v>
      </c>
      <c r="BV12" s="48" t="str">
        <f>IFERROR(IF(AND(s_Irr!W12&lt;&gt;".",s_Irr!AU12&lt;&gt;".",s_Irr!BS12&lt;&gt;"."),s_dir!AW12/((1/1000)*(s_Irr!W12+s_Irr!AU12+s_Irr!BS12)),IF(AND(s_Irr!W12&lt;&gt;".",s_Irr!AU12&lt;&gt;".",s_Irr!BS12="."),s_dir!AW12/((1/1000)*(s_Irr!W12+s_Irr!AU12)),IF(AND(s_Irr!W12&lt;&gt;".",s_Irr!AU12=".",s_Irr!BS12&lt;&gt;"."),s_dir!AW12/((1/1000)*(s_Irr!W12+s_Irr!BS12)),IF(AND(s_Irr!W12=".",s_Irr!AU12&lt;&gt;".",s_Irr!BS12&lt;&gt;"."),s_dir!AW12/((1/1000)*(s_Irr!AU12+s_Irr!BS12)),IF(AND(s_Irr!W12=".",s_Irr!AU12=".",s_Irr!BS12&lt;&gt;"."),s_dir!AW12/((1/1000)*(s_Irr!BS12)),IF(AND(s_Irr!W12=".",s_Irr!AU12&lt;&gt;".",s_Irr!BS12="."),s_dir!AW12/((1/1000)*(s_Irr!AU12)),IF(AND(s_Irr!W12&lt;&gt;".",s_Irr!AU12=".",s_Irr!BS12="."),s_dir!AW12/((1/1000)*(s_Irr!W12)),IF(AND(s_Irr!W12=".",s_Irr!AU12=".",s_Irr!BS12="."),s_dir!AW12*1000)))))))),".")</f>
        <v>.</v>
      </c>
      <c r="BW12" s="48" t="str">
        <f>IFERROR(IF(AND(s_Irr!X12&lt;&gt;".",s_Irr!AV12&lt;&gt;".",s_Irr!BT12&lt;&gt;"."),s_dir!AX12/((1/1000)*(s_Irr!X12+s_Irr!AV12+s_Irr!BT12)),IF(AND(s_Irr!X12&lt;&gt;".",s_Irr!AV12&lt;&gt;".",s_Irr!BT12="."),s_dir!AX12/((1/1000)*(s_Irr!X12+s_Irr!AV12)),IF(AND(s_Irr!X12&lt;&gt;".",s_Irr!AV12=".",s_Irr!BT12&lt;&gt;"."),s_dir!AX12/((1/1000)*(s_Irr!X12+s_Irr!BT12)),IF(AND(s_Irr!X12=".",s_Irr!AV12&lt;&gt;".",s_Irr!BT12&lt;&gt;"."),s_dir!AX12/((1/1000)*(s_Irr!AV12+s_Irr!BT12)),IF(AND(s_Irr!X12=".",s_Irr!AV12=".",s_Irr!BT12&lt;&gt;"."),s_dir!AX12/((1/1000)*(s_Irr!BT12)),IF(AND(s_Irr!X12=".",s_Irr!AV12&lt;&gt;".",s_Irr!BT12="."),s_dir!AX12/((1/1000)*(s_Irr!AV12)),IF(AND(s_Irr!X12&lt;&gt;".",s_Irr!AV12=".",s_Irr!BT12="."),s_dir!AX12/((1/1000)*(s_Irr!X12)),IF(AND(s_Irr!X12=".",s_Irr!AV12=".",s_Irr!BT12="."),s_dir!AX12*1000)))))))),".")</f>
        <v>.</v>
      </c>
      <c r="BX12" s="48" t="str">
        <f>IFERROR(IF(AND(s_Irr!Y12&lt;&gt;".",s_Irr!AW12&lt;&gt;".",s_Irr!BU12&lt;&gt;"."),s_dir!AY12/((1/1000)*(s_Irr!Y12+s_Irr!AW12+s_Irr!BU12)),IF(AND(s_Irr!Y12&lt;&gt;".",s_Irr!AW12&lt;&gt;".",s_Irr!BU12="."),s_dir!AY12/((1/1000)*(s_Irr!Y12+s_Irr!AW12)),IF(AND(s_Irr!Y12&lt;&gt;".",s_Irr!AW12=".",s_Irr!BU12&lt;&gt;"."),s_dir!AY12/((1/1000)*(s_Irr!Y12+s_Irr!BU12)),IF(AND(s_Irr!Y12=".",s_Irr!AW12&lt;&gt;".",s_Irr!BU12&lt;&gt;"."),s_dir!AY12/((1/1000)*(s_Irr!AW12+s_Irr!BU12)),IF(AND(s_Irr!Y12=".",s_Irr!AW12=".",s_Irr!BU12&lt;&gt;"."),s_dir!AY12/((1/1000)*(s_Irr!BU12)),IF(AND(s_Irr!Y12=".",s_Irr!AW12&lt;&gt;".",s_Irr!BU12="."),s_dir!AY12/((1/1000)*(s_Irr!AW12)),IF(AND(s_Irr!Y12&lt;&gt;".",s_Irr!AW12=".",s_Irr!BU12="."),s_dir!AY12/((1/1000)*(s_Irr!Y12)),IF(AND(s_Irr!Y12=".",s_Irr!AW12=".",s_Irr!BU12="."),s_dir!AY12*1000)))))))),".")</f>
        <v>.</v>
      </c>
      <c r="BY12" s="48" t="str">
        <f>IFERROR(IF(AND(s_Irr!Z12&lt;&gt;".",s_Irr!AX12&lt;&gt;".",s_Irr!BV12&lt;&gt;"."),s_dir!AZ12/((1/1000)*(s_Irr!Z12+s_Irr!AX12+s_Irr!BV12)),IF(AND(s_Irr!Z12&lt;&gt;".",s_Irr!AX12&lt;&gt;".",s_Irr!BV12="."),s_dir!AZ12/((1/1000)*(s_Irr!Z12+s_Irr!AX12)),IF(AND(s_Irr!Z12&lt;&gt;".",s_Irr!AX12=".",s_Irr!BV12&lt;&gt;"."),s_dir!AZ12/((1/1000)*(s_Irr!Z12+s_Irr!BV12)),IF(AND(s_Irr!Z12=".",s_Irr!AX12&lt;&gt;".",s_Irr!BV12&lt;&gt;"."),s_dir!AZ12/((1/1000)*(s_Irr!AX12+s_Irr!BV12)),IF(AND(s_Irr!Z12=".",s_Irr!AX12=".",s_Irr!BV12&lt;&gt;"."),s_dir!AZ12/((1/1000)*(s_Irr!BV12)),IF(AND(s_Irr!Z12=".",s_Irr!AX12&lt;&gt;".",s_Irr!BV12="."),s_dir!AZ12/((1/1000)*(s_Irr!AX12)),IF(AND(s_Irr!Z12&lt;&gt;".",s_Irr!AX12=".",s_Irr!BV12="."),s_dir!AZ12/((1/1000)*(s_Irr!Z12)),IF(AND(s_Irr!Z12=".",s_Irr!AX12=".",s_Irr!BV12="."),s_dir!AZ12*1000)))))))),".")</f>
        <v>.</v>
      </c>
      <c r="BZ12" s="62">
        <f t="shared" si="1"/>
        <v>1617.7781377865476</v>
      </c>
      <c r="CA12" s="62">
        <f>IFERROR(s_C*s_IFAP_far_adj*s_CF_apple*(1/1000)*(s_Irr!C12+s_Irr!AA12+s_Irr!AY12),".")</f>
        <v>539.25937926218251</v>
      </c>
      <c r="CB12" s="62">
        <f>IFERROR(s_C*s_IFAS_far_adj*s_CF_asparagus*(1/1000)*(s_Irr!D12+s_Irr!AB12+s_Irr!AZ12),".")</f>
        <v>539.25937926218251</v>
      </c>
      <c r="CC12" s="62">
        <f>IFERROR(s_C*s_IFBT_far_adj*s_CF_beet*(1/1000)*(s_Irr!E12+s_Irr!AC12+s_Irr!BA12),".")</f>
        <v>539.25937926218251</v>
      </c>
      <c r="CD12" s="62">
        <f>IFERROR(s_C*s_IFBE_far_adj*s_CF_berries*(1/1000)*(s_Irr!F12+s_Irr!AD12+s_Irr!BB12),".")</f>
        <v>539.25937926218251</v>
      </c>
      <c r="CE12" s="62">
        <f>IFERROR(s_C*s_IFBR_far_adj*s_CF_broccoli*(1/1000)*(s_Irr!G12+s_Irr!AE12+s_Irr!BC12),".")</f>
        <v>539.25937926218251</v>
      </c>
      <c r="CF12" s="62">
        <f>IFERROR(s_C*s_IFCB_far_adj*s_CF_cabbage*(1/1000)*(s_Irr!H12+s_Irr!AF12+s_Irr!BD12),".")</f>
        <v>539.25937926218251</v>
      </c>
      <c r="CG12" s="62">
        <f>IFERROR(s_C*s_IFCR_far_adj*s_CF_carrot*(1/1000)*(s_Irr!I12+s_Irr!AG12+s_Irr!BE12),".")</f>
        <v>539.25937926218251</v>
      </c>
      <c r="CH12" s="62">
        <f>IFERROR(s_C*s_IFCI_far_adj*s_CF_citrus*(1/1000)*(s_Irr!J12+s_Irr!AH12+s_Irr!BF12),".")</f>
        <v>539.25937926218251</v>
      </c>
      <c r="CI12" s="62">
        <f>IFERROR(s_C*s_IFCO_far_adj*s_CF_corn*(1/1000)*(s_Irr!K12+s_Irr!AI12+s_Irr!BG12),".")</f>
        <v>539.25937926218251</v>
      </c>
      <c r="CJ12" s="62">
        <f>IFERROR(s_C*s_IFCU_far_adj*s_CF_cucumber*(1/1000)*(s_Irr!L12+s_Irr!AJ12+s_Irr!BH12),".")</f>
        <v>539.25937926218251</v>
      </c>
      <c r="CK12" s="62">
        <f>IFERROR(s_C*s_IFLE_far_adj*s_CF_lettuce*(1/1000)*(s_Irr!M12+s_Irr!AK12+s_Irr!BI12),".")</f>
        <v>539.25937926218251</v>
      </c>
      <c r="CL12" s="62">
        <f>IFERROR(s_C*s_IFLI_far_adj*s_CF_lima_bean*(1/1000)*(s_Irr!N12+s_Irr!AL12+s_Irr!BJ12),".")</f>
        <v>539.25937926218251</v>
      </c>
      <c r="CM12" s="62">
        <f>IFERROR(s_C*s_IFOK_far_adj*s_CF_okra*(1/1000)*(s_Irr!O12+s_Irr!AM12+s_Irr!BK12),".")</f>
        <v>539.25937926218251</v>
      </c>
      <c r="CN12" s="62">
        <f>IFERROR(s_C*s_IFON_far_adj*s_CF_onion*(1/1000)*(s_Irr!P12+s_Irr!AN12+s_Irr!BL12),".")</f>
        <v>539.25937926218251</v>
      </c>
      <c r="CO12" s="62">
        <f>IFERROR(s_C*s_IFPC_far_adj*s_CF_peach*(1/1000)*(s_Irr!Q12+s_Irr!AO12+s_Irr!BM12),".")</f>
        <v>539.25937926218251</v>
      </c>
      <c r="CP12" s="62">
        <f>IFERROR(s_C*s_IFPR_far_adj*s_CF_pear*(1/1000)*(s_Irr!R12+s_Irr!AP12+s_Irr!BN12),".")</f>
        <v>539.25937926218251</v>
      </c>
      <c r="CQ12" s="62">
        <f>IFERROR(s_C*s_IFPE_far_adj*s_CF_peas*(1/1000)*(s_Irr!S12+s_Irr!AQ12+s_Irr!BO12),".")</f>
        <v>539.25937926218251</v>
      </c>
      <c r="CR12" s="62">
        <f>IFERROR(s_C*s_IFPT_far_adj*s_CF_potato*(1/1000)*(s_Irr!T12+s_Irr!AR12+s_Irr!BP12),".")</f>
        <v>539.25937926218251</v>
      </c>
      <c r="CS12" s="62">
        <f>IFERROR(s_C*s_IFPU_far_adj*s_CF_pumpkin*(1/1000)*(s_Irr!U12+s_Irr!AS12+s_Irr!BQ12),".")</f>
        <v>539.25937926218251</v>
      </c>
      <c r="CT12" s="62">
        <f>IFERROR(s_C*s_IFSN_far_adj*s_CF_snap_bean*(1/1000)*(s_Irr!V12+s_Irr!AT12+s_Irr!BR12),".")</f>
        <v>539.25937926218251</v>
      </c>
      <c r="CU12" s="62">
        <f>IFERROR(s_C*s_IFST_far_adj*s_CF_strawberry*(1/1000)*(s_Irr!W12+s_Irr!AU12+s_Irr!BS12),".")</f>
        <v>539.25937926218251</v>
      </c>
      <c r="CV12" s="62">
        <f>IFERROR(s_C*s_IFTO_far_adj*s_CF_tomato*(1/1000)*(s_Irr!X12+s_Irr!AV12+s_Irr!BT12),".")</f>
        <v>539.25937926218251</v>
      </c>
      <c r="CW12" s="62">
        <f>IFERROR(s_C*s_IFRI_far_adj*s_CF_rice*(1/1000)*(s_Irr!Y12+s_Irr!AW12+s_Irr!BU12),".")</f>
        <v>539.25937926218251</v>
      </c>
      <c r="CX12" s="62">
        <f>IFERROR(s_C*s_IFCG_far_adj*s_CF_cereal*(1/1000)*(s_Irr!Z12+s_Irr!AX12+s_Irr!BV12),".")</f>
        <v>539.25937926218251</v>
      </c>
    </row>
    <row r="13" spans="1:102" ht="15" customHeight="1" x14ac:dyDescent="0.25">
      <c r="A13" s="61" t="s">
        <v>11</v>
      </c>
      <c r="B13" s="49" t="s">
        <v>1059</v>
      </c>
      <c r="C13" s="48">
        <f t="shared" si="2"/>
        <v>180.0401251308069</v>
      </c>
      <c r="D13" s="48">
        <f>IFERROR(IF(AND(s_Irr!C13&lt;&gt;".",s_Irr!AA13&lt;&gt;".",s_Irr!AY13&lt;&gt;"."),s_dir!D13/((1/1000)*(s_Irr!C13+s_Irr!AA13+s_Irr!AY13)),IF(AND(s_Irr!C13&lt;&gt;".",s_Irr!AA13&lt;&gt;".",s_Irr!AY13="."),s_dir!D13/((1/1000)*(s_Irr!C13+s_Irr!AA13)),IF(AND(s_Irr!C13&lt;&gt;".",s_Irr!AA13=".",s_Irr!AY13&lt;&gt;"."),s_dir!D13/((1/1000)*(s_Irr!C13+s_Irr!AY13)),IF(AND(s_Irr!C13=".",s_Irr!AA13&lt;&gt;".",s_Irr!AY13&lt;&gt;"."),s_dir!D13/((1/1000)*(s_Irr!AA13+s_Irr!AY13)),IF(AND(s_Irr!C13=".",s_Irr!AA13=".",s_Irr!AY13&lt;&gt;"."),s_dir!D13/((1/1000)*(s_Irr!AY13)),IF(AND(s_Irr!C13=".",s_Irr!AA13&lt;&gt;".",s_Irr!AY13="."),s_dir!D13/((1/1000)*(s_Irr!AA13)),IF(AND(s_Irr!C13&lt;&gt;".",s_Irr!AA13=".",s_Irr!AY13="."),s_dir!D13/((1/1000)*(s_Irr!C13)),IF(AND(s_Irr!C13=".",s_Irr!AA13=".",s_Irr!AY13="."),s_dir!D13*1000)))))))),".")</f>
        <v>607.97799078525463</v>
      </c>
      <c r="E13" s="48">
        <f>IFERROR(IF(AND(s_Irr!D13&lt;&gt;".",s_Irr!AB13&lt;&gt;".",s_Irr!AZ13&lt;&gt;"."),s_dir!E13/((1/1000)*(s_Irr!D13+s_Irr!AB13+s_Irr!AZ13)),IF(AND(s_Irr!D13&lt;&gt;".",s_Irr!AB13&lt;&gt;".",s_Irr!AZ13="."),s_dir!E13/((1/1000)*(s_Irr!D13+s_Irr!AB13)),IF(AND(s_Irr!D13&lt;&gt;".",s_Irr!AB13=".",s_Irr!AZ13&lt;&gt;"."),s_dir!E13/((1/1000)*(s_Irr!D13+s_Irr!AZ13)),IF(AND(s_Irr!D13=".",s_Irr!AB13&lt;&gt;".",s_Irr!AZ13&lt;&gt;"."),s_dir!E13/((1/1000)*(s_Irr!AB13+s_Irr!AZ13)),IF(AND(s_Irr!D13=".",s_Irr!AB13=".",s_Irr!AZ13&lt;&gt;"."),s_dir!E13/((1/1000)*(s_Irr!AZ13)),IF(AND(s_Irr!D13=".",s_Irr!AB13&lt;&gt;".",s_Irr!AZ13="."),s_dir!E13/((1/1000)*(s_Irr!AB13)),IF(AND(s_Irr!D13&lt;&gt;".",s_Irr!AB13=".",s_Irr!AZ13="."),s_dir!E13/((1/1000)*(s_Irr!D13)),IF(AND(s_Irr!D13=".",s_Irr!AB13=".",s_Irr!AZ13="."),s_dir!E13*1000)))))))),".")</f>
        <v>418.92847572913536</v>
      </c>
      <c r="F13" s="48">
        <f>IFERROR(IF(AND(s_Irr!E13&lt;&gt;".",s_Irr!AC13&lt;&gt;".",s_Irr!BA13&lt;&gt;"."),s_dir!F13/((1/1000)*(s_Irr!E13+s_Irr!AC13+s_Irr!BA13)),IF(AND(s_Irr!E13&lt;&gt;".",s_Irr!AC13&lt;&gt;".",s_Irr!BA13="."),s_dir!F13/((1/1000)*(s_Irr!E13+s_Irr!AC13)),IF(AND(s_Irr!E13&lt;&gt;".",s_Irr!AC13=".",s_Irr!BA13&lt;&gt;"."),s_dir!F13/((1/1000)*(s_Irr!E13+s_Irr!BA13)),IF(AND(s_Irr!E13=".",s_Irr!AC13&lt;&gt;".",s_Irr!BA13&lt;&gt;"."),s_dir!F13/((1/1000)*(s_Irr!AC13+s_Irr!BA13)),IF(AND(s_Irr!E13=".",s_Irr!AC13=".",s_Irr!BA13&lt;&gt;"."),s_dir!F13/((1/1000)*(s_Irr!BA13)),IF(AND(s_Irr!E13=".",s_Irr!AC13&lt;&gt;".",s_Irr!BA13="."),s_dir!F13/((1/1000)*(s_Irr!AC13)),IF(AND(s_Irr!E13&lt;&gt;".",s_Irr!AC13=".",s_Irr!BA13="."),s_dir!F13/((1/1000)*(s_Irr!E13)),IF(AND(s_Irr!E13=".",s_Irr!AC13=".",s_Irr!BA13="."),s_dir!F13*1000)))))))),".")</f>
        <v>444.83096256298921</v>
      </c>
      <c r="G13" s="48">
        <f>IFERROR(IF(AND(s_Irr!F13&lt;&gt;".",s_Irr!AD13&lt;&gt;".",s_Irr!BB13&lt;&gt;"."),s_dir!G13/((1/1000)*(s_Irr!F13+s_Irr!AD13+s_Irr!BB13)),IF(AND(s_Irr!F13&lt;&gt;".",s_Irr!AD13&lt;&gt;".",s_Irr!BB13="."),s_dir!G13/((1/1000)*(s_Irr!F13+s_Irr!AD13)),IF(AND(s_Irr!F13&lt;&gt;".",s_Irr!AD13=".",s_Irr!BB13&lt;&gt;"."),s_dir!G13/((1/1000)*(s_Irr!F13+s_Irr!BB13)),IF(AND(s_Irr!F13=".",s_Irr!AD13&lt;&gt;".",s_Irr!BB13&lt;&gt;"."),s_dir!G13/((1/1000)*(s_Irr!AD13+s_Irr!BB13)),IF(AND(s_Irr!F13=".",s_Irr!AD13=".",s_Irr!BB13&lt;&gt;"."),s_dir!G13/((1/1000)*(s_Irr!BB13)),IF(AND(s_Irr!F13=".",s_Irr!AD13&lt;&gt;".",s_Irr!BB13="."),s_dir!G13/((1/1000)*(s_Irr!AD13)),IF(AND(s_Irr!F13&lt;&gt;".",s_Irr!AD13=".",s_Irr!BB13="."),s_dir!G13/((1/1000)*(s_Irr!F13)),IF(AND(s_Irr!F13=".",s_Irr!AD13=".",s_Irr!BB13="."),s_dir!G13*1000)))))))),".")</f>
        <v>607.97799078525463</v>
      </c>
      <c r="H13" s="48">
        <f>IFERROR(IF(AND(s_Irr!G13&lt;&gt;".",s_Irr!AE13&lt;&gt;".",s_Irr!BC13&lt;&gt;"."),s_dir!H13/((1/1000)*(s_Irr!G13+s_Irr!AE13+s_Irr!BC13)),IF(AND(s_Irr!G13&lt;&gt;".",s_Irr!AE13&lt;&gt;".",s_Irr!BC13="."),s_dir!H13/((1/1000)*(s_Irr!G13+s_Irr!AE13)),IF(AND(s_Irr!G13&lt;&gt;".",s_Irr!AE13=".",s_Irr!BC13&lt;&gt;"."),s_dir!H13/((1/1000)*(s_Irr!G13+s_Irr!BC13)),IF(AND(s_Irr!G13=".",s_Irr!AE13&lt;&gt;".",s_Irr!BC13&lt;&gt;"."),s_dir!H13/((1/1000)*(s_Irr!AE13+s_Irr!BC13)),IF(AND(s_Irr!G13=".",s_Irr!AE13=".",s_Irr!BC13&lt;&gt;"."),s_dir!H13/((1/1000)*(s_Irr!BC13)),IF(AND(s_Irr!G13=".",s_Irr!AE13&lt;&gt;".",s_Irr!BC13="."),s_dir!H13/((1/1000)*(s_Irr!AE13)),IF(AND(s_Irr!G13&lt;&gt;".",s_Irr!AE13=".",s_Irr!BC13="."),s_dir!H13/((1/1000)*(s_Irr!G13)),IF(AND(s_Irr!G13=".",s_Irr!AE13=".",s_Irr!BC13="."),s_dir!H13*1000)))))))),".")</f>
        <v>467.97921061738339</v>
      </c>
      <c r="I13" s="48">
        <f>IFERROR(IF(AND(s_Irr!H13&lt;&gt;".",s_Irr!AF13&lt;&gt;".",s_Irr!BD13&lt;&gt;"."),s_dir!I13/((1/1000)*(s_Irr!H13+s_Irr!AF13+s_Irr!BD13)),IF(AND(s_Irr!H13&lt;&gt;".",s_Irr!AF13&lt;&gt;".",s_Irr!BD13="."),s_dir!I13/((1/1000)*(s_Irr!H13+s_Irr!AF13)),IF(AND(s_Irr!H13&lt;&gt;".",s_Irr!AF13=".",s_Irr!BD13&lt;&gt;"."),s_dir!I13/((1/1000)*(s_Irr!H13+s_Irr!BD13)),IF(AND(s_Irr!H13=".",s_Irr!AF13&lt;&gt;".",s_Irr!BD13&lt;&gt;"."),s_dir!I13/((1/1000)*(s_Irr!AF13+s_Irr!BD13)),IF(AND(s_Irr!H13=".",s_Irr!AF13=".",s_Irr!BD13&lt;&gt;"."),s_dir!I13/((1/1000)*(s_Irr!BD13)),IF(AND(s_Irr!H13=".",s_Irr!AF13&lt;&gt;".",s_Irr!BD13="."),s_dir!I13/((1/1000)*(s_Irr!AF13)),IF(AND(s_Irr!H13&lt;&gt;".",s_Irr!AF13=".",s_Irr!BD13="."),s_dir!I13/((1/1000)*(s_Irr!H13)),IF(AND(s_Irr!H13=".",s_Irr!AF13=".",s_Irr!BD13="."),s_dir!I13*1000)))))))),".")</f>
        <v>418.92847572913536</v>
      </c>
      <c r="J13" s="48">
        <f>IFERROR(IF(AND(s_Irr!I13&lt;&gt;".",s_Irr!AG13&lt;&gt;".",s_Irr!BE13&lt;&gt;"."),s_dir!J13/((1/1000)*(s_Irr!I13+s_Irr!AG13+s_Irr!BE13)),IF(AND(s_Irr!I13&lt;&gt;".",s_Irr!AG13&lt;&gt;".",s_Irr!BE13="."),s_dir!J13/((1/1000)*(s_Irr!I13+s_Irr!AG13)),IF(AND(s_Irr!I13&lt;&gt;".",s_Irr!AG13=".",s_Irr!BE13&lt;&gt;"."),s_dir!J13/((1/1000)*(s_Irr!I13+s_Irr!BE13)),IF(AND(s_Irr!I13=".",s_Irr!AG13&lt;&gt;".",s_Irr!BE13&lt;&gt;"."),s_dir!J13/((1/1000)*(s_Irr!AG13+s_Irr!BE13)),IF(AND(s_Irr!I13=".",s_Irr!AG13=".",s_Irr!BE13&lt;&gt;"."),s_dir!J13/((1/1000)*(s_Irr!BE13)),IF(AND(s_Irr!I13=".",s_Irr!AG13&lt;&gt;".",s_Irr!BE13="."),s_dir!J13/((1/1000)*(s_Irr!AG13)),IF(AND(s_Irr!I13&lt;&gt;".",s_Irr!AG13=".",s_Irr!BE13="."),s_dir!J13/((1/1000)*(s_Irr!I13)),IF(AND(s_Irr!I13=".",s_Irr!AG13=".",s_Irr!BE13="."),s_dir!J13*1000)))))))),".")</f>
        <v>444.83096256298921</v>
      </c>
      <c r="K13" s="48">
        <f>IFERROR(IF(AND(s_Irr!J13&lt;&gt;".",s_Irr!AH13&lt;&gt;".",s_Irr!BF13&lt;&gt;"."),s_dir!K13/((1/1000)*(s_Irr!J13+s_Irr!AH13+s_Irr!BF13)),IF(AND(s_Irr!J13&lt;&gt;".",s_Irr!AH13&lt;&gt;".",s_Irr!BF13="."),s_dir!K13/((1/1000)*(s_Irr!J13+s_Irr!AH13)),IF(AND(s_Irr!J13&lt;&gt;".",s_Irr!AH13=".",s_Irr!BF13&lt;&gt;"."),s_dir!K13/((1/1000)*(s_Irr!J13+s_Irr!BF13)),IF(AND(s_Irr!J13=".",s_Irr!AH13&lt;&gt;".",s_Irr!BF13&lt;&gt;"."),s_dir!K13/((1/1000)*(s_Irr!AH13+s_Irr!BF13)),IF(AND(s_Irr!J13=".",s_Irr!AH13=".",s_Irr!BF13&lt;&gt;"."),s_dir!K13/((1/1000)*(s_Irr!BF13)),IF(AND(s_Irr!J13=".",s_Irr!AH13&lt;&gt;".",s_Irr!BF13="."),s_dir!K13/((1/1000)*(s_Irr!AH13)),IF(AND(s_Irr!J13&lt;&gt;".",s_Irr!AH13=".",s_Irr!BF13="."),s_dir!K13/((1/1000)*(s_Irr!J13)),IF(AND(s_Irr!J13=".",s_Irr!AH13=".",s_Irr!BF13="."),s_dir!K13*1000)))))))),".")</f>
        <v>607.97799078525463</v>
      </c>
      <c r="L13" s="48">
        <f>IFERROR(IF(AND(s_Irr!K13&lt;&gt;".",s_Irr!AI13&lt;&gt;".",s_Irr!BG13&lt;&gt;"."),s_dir!L13/((1/1000)*(s_Irr!K13+s_Irr!AI13+s_Irr!BG13)),IF(AND(s_Irr!K13&lt;&gt;".",s_Irr!AI13&lt;&gt;".",s_Irr!BG13="."),s_dir!L13/((1/1000)*(s_Irr!K13+s_Irr!AI13)),IF(AND(s_Irr!K13&lt;&gt;".",s_Irr!AI13=".",s_Irr!BG13&lt;&gt;"."),s_dir!L13/((1/1000)*(s_Irr!K13+s_Irr!BG13)),IF(AND(s_Irr!K13=".",s_Irr!AI13&lt;&gt;".",s_Irr!BG13&lt;&gt;"."),s_dir!L13/((1/1000)*(s_Irr!AI13+s_Irr!BG13)),IF(AND(s_Irr!K13=".",s_Irr!AI13=".",s_Irr!BG13&lt;&gt;"."),s_dir!L13/((1/1000)*(s_Irr!BG13)),IF(AND(s_Irr!K13=".",s_Irr!AI13&lt;&gt;".",s_Irr!BG13="."),s_dir!L13/((1/1000)*(s_Irr!AI13)),IF(AND(s_Irr!K13&lt;&gt;".",s_Irr!AI13=".",s_Irr!BG13="."),s_dir!L13/((1/1000)*(s_Irr!K13)),IF(AND(s_Irr!K13=".",s_Irr!AI13=".",s_Irr!BG13="."),s_dir!L13*1000)))))))),".")</f>
        <v>565.00558397022371</v>
      </c>
      <c r="M13" s="48">
        <f>IFERROR(IF(AND(s_Irr!L13&lt;&gt;".",s_Irr!AJ13&lt;&gt;".",s_Irr!BH13&lt;&gt;"."),s_dir!M13/((1/1000)*(s_Irr!L13+s_Irr!AJ13+s_Irr!BH13)),IF(AND(s_Irr!L13&lt;&gt;".",s_Irr!AJ13&lt;&gt;".",s_Irr!BH13="."),s_dir!M13/((1/1000)*(s_Irr!L13+s_Irr!AJ13)),IF(AND(s_Irr!L13&lt;&gt;".",s_Irr!AJ13=".",s_Irr!BH13&lt;&gt;"."),s_dir!M13/((1/1000)*(s_Irr!L13+s_Irr!BH13)),IF(AND(s_Irr!L13=".",s_Irr!AJ13&lt;&gt;".",s_Irr!BH13&lt;&gt;"."),s_dir!M13/((1/1000)*(s_Irr!AJ13+s_Irr!BH13)),IF(AND(s_Irr!L13=".",s_Irr!AJ13=".",s_Irr!BH13&lt;&gt;"."),s_dir!M13/((1/1000)*(s_Irr!BH13)),IF(AND(s_Irr!L13=".",s_Irr!AJ13&lt;&gt;".",s_Irr!BH13="."),s_dir!M13/((1/1000)*(s_Irr!AJ13)),IF(AND(s_Irr!L13&lt;&gt;".",s_Irr!AJ13=".",s_Irr!BH13="."),s_dir!M13/((1/1000)*(s_Irr!L13)),IF(AND(s_Irr!L13=".",s_Irr!AJ13=".",s_Irr!BH13="."),s_dir!M13*1000)))))))),".")</f>
        <v>467.97921061738339</v>
      </c>
      <c r="N13" s="48">
        <f>IFERROR(IF(AND(s_Irr!M13&lt;&gt;".",s_Irr!AK13&lt;&gt;".",s_Irr!BI13&lt;&gt;"."),s_dir!N13/((1/1000)*(s_Irr!M13+s_Irr!AK13+s_Irr!BI13)),IF(AND(s_Irr!M13&lt;&gt;".",s_Irr!AK13&lt;&gt;".",s_Irr!BI13="."),s_dir!N13/((1/1000)*(s_Irr!M13+s_Irr!AK13)),IF(AND(s_Irr!M13&lt;&gt;".",s_Irr!AK13=".",s_Irr!BI13&lt;&gt;"."),s_dir!N13/((1/1000)*(s_Irr!M13+s_Irr!BI13)),IF(AND(s_Irr!M13=".",s_Irr!AK13&lt;&gt;".",s_Irr!BI13&lt;&gt;"."),s_dir!N13/((1/1000)*(s_Irr!AK13+s_Irr!BI13)),IF(AND(s_Irr!M13=".",s_Irr!AK13=".",s_Irr!BI13&lt;&gt;"."),s_dir!N13/((1/1000)*(s_Irr!BI13)),IF(AND(s_Irr!M13=".",s_Irr!AK13&lt;&gt;".",s_Irr!BI13="."),s_dir!N13/((1/1000)*(s_Irr!AK13)),IF(AND(s_Irr!M13&lt;&gt;".",s_Irr!AK13=".",s_Irr!BI13="."),s_dir!N13/((1/1000)*(s_Irr!M13)),IF(AND(s_Irr!M13=".",s_Irr!AK13=".",s_Irr!BI13="."),s_dir!N13*1000)))))))),".")</f>
        <v>418.92847572913536</v>
      </c>
      <c r="O13" s="48">
        <f>IFERROR(IF(AND(s_Irr!N13&lt;&gt;".",s_Irr!AL13&lt;&gt;".",s_Irr!BJ13&lt;&gt;"."),s_dir!O13/((1/1000)*(s_Irr!N13+s_Irr!AL13+s_Irr!BJ13)),IF(AND(s_Irr!N13&lt;&gt;".",s_Irr!AL13&lt;&gt;".",s_Irr!BJ13="."),s_dir!O13/((1/1000)*(s_Irr!N13+s_Irr!AL13)),IF(AND(s_Irr!N13&lt;&gt;".",s_Irr!AL13=".",s_Irr!BJ13&lt;&gt;"."),s_dir!O13/((1/1000)*(s_Irr!N13+s_Irr!BJ13)),IF(AND(s_Irr!N13=".",s_Irr!AL13&lt;&gt;".",s_Irr!BJ13&lt;&gt;"."),s_dir!O13/((1/1000)*(s_Irr!AL13+s_Irr!BJ13)),IF(AND(s_Irr!N13=".",s_Irr!AL13=".",s_Irr!BJ13&lt;&gt;"."),s_dir!O13/((1/1000)*(s_Irr!BJ13)),IF(AND(s_Irr!N13=".",s_Irr!AL13&lt;&gt;".",s_Irr!BJ13="."),s_dir!O13/((1/1000)*(s_Irr!AL13)),IF(AND(s_Irr!N13&lt;&gt;".",s_Irr!AL13=".",s_Irr!BJ13="."),s_dir!O13/((1/1000)*(s_Irr!N13)),IF(AND(s_Irr!N13=".",s_Irr!AL13=".",s_Irr!BJ13="."),s_dir!O13*1000)))))))),".")</f>
        <v>474.14767055847085</v>
      </c>
      <c r="P13" s="48">
        <f>IFERROR(IF(AND(s_Irr!O13&lt;&gt;".",s_Irr!AM13&lt;&gt;".",s_Irr!BK13&lt;&gt;"."),s_dir!P13/((1/1000)*(s_Irr!O13+s_Irr!AM13+s_Irr!BK13)),IF(AND(s_Irr!O13&lt;&gt;".",s_Irr!AM13&lt;&gt;".",s_Irr!BK13="."),s_dir!P13/((1/1000)*(s_Irr!O13+s_Irr!AM13)),IF(AND(s_Irr!O13&lt;&gt;".",s_Irr!AM13=".",s_Irr!BK13&lt;&gt;"."),s_dir!P13/((1/1000)*(s_Irr!O13+s_Irr!BK13)),IF(AND(s_Irr!O13=".",s_Irr!AM13&lt;&gt;".",s_Irr!BK13&lt;&gt;"."),s_dir!P13/((1/1000)*(s_Irr!AM13+s_Irr!BK13)),IF(AND(s_Irr!O13=".",s_Irr!AM13=".",s_Irr!BK13&lt;&gt;"."),s_dir!P13/((1/1000)*(s_Irr!BK13)),IF(AND(s_Irr!O13=".",s_Irr!AM13&lt;&gt;".",s_Irr!BK13="."),s_dir!P13/((1/1000)*(s_Irr!AM13)),IF(AND(s_Irr!O13&lt;&gt;".",s_Irr!AM13=".",s_Irr!BK13="."),s_dir!P13/((1/1000)*(s_Irr!O13)),IF(AND(s_Irr!O13=".",s_Irr!AM13=".",s_Irr!BK13="."),s_dir!P13*1000)))))))),".")</f>
        <v>467.97921061738339</v>
      </c>
      <c r="Q13" s="48">
        <f>IFERROR(IF(AND(s_Irr!P13&lt;&gt;".",s_Irr!AN13&lt;&gt;".",s_Irr!BL13&lt;&gt;"."),s_dir!Q13/((1/1000)*(s_Irr!P13+s_Irr!AN13+s_Irr!BL13)),IF(AND(s_Irr!P13&lt;&gt;".",s_Irr!AN13&lt;&gt;".",s_Irr!BL13="."),s_dir!Q13/((1/1000)*(s_Irr!P13+s_Irr!AN13)),IF(AND(s_Irr!P13&lt;&gt;".",s_Irr!AN13=".",s_Irr!BL13&lt;&gt;"."),s_dir!Q13/((1/1000)*(s_Irr!P13+s_Irr!BL13)),IF(AND(s_Irr!P13=".",s_Irr!AN13&lt;&gt;".",s_Irr!BL13&lt;&gt;"."),s_dir!Q13/((1/1000)*(s_Irr!AN13+s_Irr!BL13)),IF(AND(s_Irr!P13=".",s_Irr!AN13=".",s_Irr!BL13&lt;&gt;"."),s_dir!Q13/((1/1000)*(s_Irr!BL13)),IF(AND(s_Irr!P13=".",s_Irr!AN13&lt;&gt;".",s_Irr!BL13="."),s_dir!Q13/((1/1000)*(s_Irr!AN13)),IF(AND(s_Irr!P13&lt;&gt;".",s_Irr!AN13=".",s_Irr!BL13="."),s_dir!Q13/((1/1000)*(s_Irr!P13)),IF(AND(s_Irr!P13=".",s_Irr!AN13=".",s_Irr!BL13="."),s_dir!Q13*1000)))))))),".")</f>
        <v>467.97921061738339</v>
      </c>
      <c r="R13" s="48">
        <f>IFERROR(IF(AND(s_Irr!Q13&lt;&gt;".",s_Irr!AO13&lt;&gt;".",s_Irr!BM13&lt;&gt;"."),s_dir!R13/((1/1000)*(s_Irr!Q13+s_Irr!AO13+s_Irr!BM13)),IF(AND(s_Irr!Q13&lt;&gt;".",s_Irr!AO13&lt;&gt;".",s_Irr!BM13="."),s_dir!R13/((1/1000)*(s_Irr!Q13+s_Irr!AO13)),IF(AND(s_Irr!Q13&lt;&gt;".",s_Irr!AO13=".",s_Irr!BM13&lt;&gt;"."),s_dir!R13/((1/1000)*(s_Irr!Q13+s_Irr!BM13)),IF(AND(s_Irr!Q13=".",s_Irr!AO13&lt;&gt;".",s_Irr!BM13&lt;&gt;"."),s_dir!R13/((1/1000)*(s_Irr!AO13+s_Irr!BM13)),IF(AND(s_Irr!Q13=".",s_Irr!AO13=".",s_Irr!BM13&lt;&gt;"."),s_dir!R13/((1/1000)*(s_Irr!BM13)),IF(AND(s_Irr!Q13=".",s_Irr!AO13&lt;&gt;".",s_Irr!BM13="."),s_dir!R13/((1/1000)*(s_Irr!AO13)),IF(AND(s_Irr!Q13&lt;&gt;".",s_Irr!AO13=".",s_Irr!BM13="."),s_dir!R13/((1/1000)*(s_Irr!Q13)),IF(AND(s_Irr!Q13=".",s_Irr!AO13=".",s_Irr!BM13="."),s_dir!R13*1000)))))))),".")</f>
        <v>607.97799078525463</v>
      </c>
      <c r="S13" s="48">
        <f>IFERROR(IF(AND(s_Irr!R13&lt;&gt;".",s_Irr!AP13&lt;&gt;".",s_Irr!BN13&lt;&gt;"."),s_dir!S13/((1/1000)*(s_Irr!R13+s_Irr!AP13+s_Irr!BN13)),IF(AND(s_Irr!R13&lt;&gt;".",s_Irr!AP13&lt;&gt;".",s_Irr!BN13="."),s_dir!S13/((1/1000)*(s_Irr!R13+s_Irr!AP13)),IF(AND(s_Irr!R13&lt;&gt;".",s_Irr!AP13=".",s_Irr!BN13&lt;&gt;"."),s_dir!S13/((1/1000)*(s_Irr!R13+s_Irr!BN13)),IF(AND(s_Irr!R13=".",s_Irr!AP13&lt;&gt;".",s_Irr!BN13&lt;&gt;"."),s_dir!S13/((1/1000)*(s_Irr!AP13+s_Irr!BN13)),IF(AND(s_Irr!R13=".",s_Irr!AP13=".",s_Irr!BN13&lt;&gt;"."),s_dir!S13/((1/1000)*(s_Irr!BN13)),IF(AND(s_Irr!R13=".",s_Irr!AP13&lt;&gt;".",s_Irr!BN13="."),s_dir!S13/((1/1000)*(s_Irr!AP13)),IF(AND(s_Irr!R13&lt;&gt;".",s_Irr!AP13=".",s_Irr!BN13="."),s_dir!S13/((1/1000)*(s_Irr!R13)),IF(AND(s_Irr!R13=".",s_Irr!AP13=".",s_Irr!BN13="."),s_dir!S13*1000)))))))),".")</f>
        <v>607.97799078525463</v>
      </c>
      <c r="T13" s="48">
        <f>IFERROR(IF(AND(s_Irr!S13&lt;&gt;".",s_Irr!AQ13&lt;&gt;".",s_Irr!BO13&lt;&gt;"."),s_dir!T13/((1/1000)*(s_Irr!S13+s_Irr!AQ13+s_Irr!BO13)),IF(AND(s_Irr!S13&lt;&gt;".",s_Irr!AQ13&lt;&gt;".",s_Irr!BO13="."),s_dir!T13/((1/1000)*(s_Irr!S13+s_Irr!AQ13)),IF(AND(s_Irr!S13&lt;&gt;".",s_Irr!AQ13=".",s_Irr!BO13&lt;&gt;"."),s_dir!T13/((1/1000)*(s_Irr!S13+s_Irr!BO13)),IF(AND(s_Irr!S13=".",s_Irr!AQ13&lt;&gt;".",s_Irr!BO13&lt;&gt;"."),s_dir!T13/((1/1000)*(s_Irr!AQ13+s_Irr!BO13)),IF(AND(s_Irr!S13=".",s_Irr!AQ13=".",s_Irr!BO13&lt;&gt;"."),s_dir!T13/((1/1000)*(s_Irr!BO13)),IF(AND(s_Irr!S13=".",s_Irr!AQ13&lt;&gt;".",s_Irr!BO13="."),s_dir!T13/((1/1000)*(s_Irr!AQ13)),IF(AND(s_Irr!S13&lt;&gt;".",s_Irr!AQ13=".",s_Irr!BO13="."),s_dir!T13/((1/1000)*(s_Irr!S13)),IF(AND(s_Irr!S13=".",s_Irr!AQ13=".",s_Irr!BO13="."),s_dir!T13*1000)))))))),".")</f>
        <v>474.14767055847085</v>
      </c>
      <c r="U13" s="48">
        <f>IFERROR(IF(AND(s_Irr!T13&lt;&gt;".",s_Irr!AR13&lt;&gt;".",s_Irr!BP13&lt;&gt;"."),s_dir!U13/((1/1000)*(s_Irr!T13+s_Irr!AR13+s_Irr!BP13)),IF(AND(s_Irr!T13&lt;&gt;".",s_Irr!AR13&lt;&gt;".",s_Irr!BP13="."),s_dir!U13/((1/1000)*(s_Irr!T13+s_Irr!AR13)),IF(AND(s_Irr!T13&lt;&gt;".",s_Irr!AR13=".",s_Irr!BP13&lt;&gt;"."),s_dir!U13/((1/1000)*(s_Irr!T13+s_Irr!BP13)),IF(AND(s_Irr!T13=".",s_Irr!AR13&lt;&gt;".",s_Irr!BP13&lt;&gt;"."),s_dir!U13/((1/1000)*(s_Irr!AR13+s_Irr!BP13)),IF(AND(s_Irr!T13=".",s_Irr!AR13=".",s_Irr!BP13&lt;&gt;"."),s_dir!U13/((1/1000)*(s_Irr!BP13)),IF(AND(s_Irr!T13=".",s_Irr!AR13&lt;&gt;".",s_Irr!BP13="."),s_dir!U13/((1/1000)*(s_Irr!AR13)),IF(AND(s_Irr!T13&lt;&gt;".",s_Irr!AR13=".",s_Irr!BP13="."),s_dir!U13/((1/1000)*(s_Irr!T13)),IF(AND(s_Irr!T13=".",s_Irr!AR13=".",s_Irr!BP13="."),s_dir!U13*1000)))))))),".")</f>
        <v>557.12989995775479</v>
      </c>
      <c r="V13" s="48">
        <f>IFERROR(IF(AND(s_Irr!U13&lt;&gt;".",s_Irr!AS13&lt;&gt;".",s_Irr!BQ13&lt;&gt;"."),s_dir!V13/((1/1000)*(s_Irr!U13+s_Irr!AS13+s_Irr!BQ13)),IF(AND(s_Irr!U13&lt;&gt;".",s_Irr!AS13&lt;&gt;".",s_Irr!BQ13="."),s_dir!V13/((1/1000)*(s_Irr!U13+s_Irr!AS13)),IF(AND(s_Irr!U13&lt;&gt;".",s_Irr!AS13=".",s_Irr!BQ13&lt;&gt;"."),s_dir!V13/((1/1000)*(s_Irr!U13+s_Irr!BQ13)),IF(AND(s_Irr!U13=".",s_Irr!AS13&lt;&gt;".",s_Irr!BQ13&lt;&gt;"."),s_dir!V13/((1/1000)*(s_Irr!AS13+s_Irr!BQ13)),IF(AND(s_Irr!U13=".",s_Irr!AS13=".",s_Irr!BQ13&lt;&gt;"."),s_dir!V13/((1/1000)*(s_Irr!BQ13)),IF(AND(s_Irr!U13=".",s_Irr!AS13&lt;&gt;".",s_Irr!BQ13="."),s_dir!V13/((1/1000)*(s_Irr!AS13)),IF(AND(s_Irr!U13&lt;&gt;".",s_Irr!AS13=".",s_Irr!BQ13="."),s_dir!V13/((1/1000)*(s_Irr!U13)),IF(AND(s_Irr!U13=".",s_Irr!AS13=".",s_Irr!BQ13="."),s_dir!V13*1000)))))))),".")</f>
        <v>467.97921061738339</v>
      </c>
      <c r="W13" s="48">
        <f>IFERROR(IF(AND(s_Irr!V13&lt;&gt;".",s_Irr!AT13&lt;&gt;".",s_Irr!BR13&lt;&gt;"."),s_dir!W13/((1/1000)*(s_Irr!V13+s_Irr!AT13+s_Irr!BR13)),IF(AND(s_Irr!V13&lt;&gt;".",s_Irr!AT13&lt;&gt;".",s_Irr!BR13="."),s_dir!W13/((1/1000)*(s_Irr!V13+s_Irr!AT13)),IF(AND(s_Irr!V13&lt;&gt;".",s_Irr!AT13=".",s_Irr!BR13&lt;&gt;"."),s_dir!W13/((1/1000)*(s_Irr!V13+s_Irr!BR13)),IF(AND(s_Irr!V13=".",s_Irr!AT13&lt;&gt;".",s_Irr!BR13&lt;&gt;"."),s_dir!W13/((1/1000)*(s_Irr!AT13+s_Irr!BR13)),IF(AND(s_Irr!V13=".",s_Irr!AT13=".",s_Irr!BR13&lt;&gt;"."),s_dir!W13/((1/1000)*(s_Irr!BR13)),IF(AND(s_Irr!V13=".",s_Irr!AT13&lt;&gt;".",s_Irr!BR13="."),s_dir!W13/((1/1000)*(s_Irr!AT13)),IF(AND(s_Irr!V13&lt;&gt;".",s_Irr!AT13=".",s_Irr!BR13="."),s_dir!W13/((1/1000)*(s_Irr!V13)),IF(AND(s_Irr!V13=".",s_Irr!AT13=".",s_Irr!BR13="."),s_dir!W13*1000)))))))),".")</f>
        <v>474.14767055847085</v>
      </c>
      <c r="X13" s="48">
        <f>IFERROR(IF(AND(s_Irr!W13&lt;&gt;".",s_Irr!AU13&lt;&gt;".",s_Irr!BS13&lt;&gt;"."),s_dir!X13/((1/1000)*(s_Irr!W13+s_Irr!AU13+s_Irr!BS13)),IF(AND(s_Irr!W13&lt;&gt;".",s_Irr!AU13&lt;&gt;".",s_Irr!BS13="."),s_dir!X13/((1/1000)*(s_Irr!W13+s_Irr!AU13)),IF(AND(s_Irr!W13&lt;&gt;".",s_Irr!AU13=".",s_Irr!BS13&lt;&gt;"."),s_dir!X13/((1/1000)*(s_Irr!W13+s_Irr!BS13)),IF(AND(s_Irr!W13=".",s_Irr!AU13&lt;&gt;".",s_Irr!BS13&lt;&gt;"."),s_dir!X13/((1/1000)*(s_Irr!AU13+s_Irr!BS13)),IF(AND(s_Irr!W13=".",s_Irr!AU13=".",s_Irr!BS13&lt;&gt;"."),s_dir!X13/((1/1000)*(s_Irr!BS13)),IF(AND(s_Irr!W13=".",s_Irr!AU13&lt;&gt;".",s_Irr!BS13="."),s_dir!X13/((1/1000)*(s_Irr!AU13)),IF(AND(s_Irr!W13&lt;&gt;".",s_Irr!AU13=".",s_Irr!BS13="."),s_dir!X13/((1/1000)*(s_Irr!W13)),IF(AND(s_Irr!W13=".",s_Irr!AU13=".",s_Irr!BS13="."),s_dir!X13*1000)))))))),".")</f>
        <v>607.97799078525463</v>
      </c>
      <c r="Y13" s="48">
        <f>IFERROR(IF(AND(s_Irr!X13&lt;&gt;".",s_Irr!AV13&lt;&gt;".",s_Irr!BT13&lt;&gt;"."),s_dir!Y13/((1/1000)*(s_Irr!X13+s_Irr!AV13+s_Irr!BT13)),IF(AND(s_Irr!X13&lt;&gt;".",s_Irr!AV13&lt;&gt;".",s_Irr!BT13="."),s_dir!Y13/((1/1000)*(s_Irr!X13+s_Irr!AV13)),IF(AND(s_Irr!X13&lt;&gt;".",s_Irr!AV13=".",s_Irr!BT13&lt;&gt;"."),s_dir!Y13/((1/1000)*(s_Irr!X13+s_Irr!BT13)),IF(AND(s_Irr!X13=".",s_Irr!AV13&lt;&gt;".",s_Irr!BT13&lt;&gt;"."),s_dir!Y13/((1/1000)*(s_Irr!AV13+s_Irr!BT13)),IF(AND(s_Irr!X13=".",s_Irr!AV13=".",s_Irr!BT13&lt;&gt;"."),s_dir!Y13/((1/1000)*(s_Irr!BT13)),IF(AND(s_Irr!X13=".",s_Irr!AV13&lt;&gt;".",s_Irr!BT13="."),s_dir!Y13/((1/1000)*(s_Irr!AV13)),IF(AND(s_Irr!X13&lt;&gt;".",s_Irr!AV13=".",s_Irr!BT13="."),s_dir!Y13/((1/1000)*(s_Irr!X13)),IF(AND(s_Irr!X13=".",s_Irr!AV13=".",s_Irr!BT13="."),s_dir!Y13*1000)))))))),".")</f>
        <v>467.97921061738339</v>
      </c>
      <c r="Z13" s="48">
        <f>IFERROR(IF(AND(s_Irr!Y13&lt;&gt;".",s_Irr!AW13&lt;&gt;".",s_Irr!BU13&lt;&gt;"."),s_dir!Z13/((1/1000)*(s_Irr!Y13+s_Irr!AW13+s_Irr!BU13)),IF(AND(s_Irr!Y13&lt;&gt;".",s_Irr!AW13&lt;&gt;".",s_Irr!BU13="."),s_dir!Z13/((1/1000)*(s_Irr!Y13+s_Irr!AW13)),IF(AND(s_Irr!Y13&lt;&gt;".",s_Irr!AW13=".",s_Irr!BU13&lt;&gt;"."),s_dir!Z13/((1/1000)*(s_Irr!Y13+s_Irr!BU13)),IF(AND(s_Irr!Y13=".",s_Irr!AW13&lt;&gt;".",s_Irr!BU13&lt;&gt;"."),s_dir!Z13/((1/1000)*(s_Irr!AW13+s_Irr!BU13)),IF(AND(s_Irr!Y13=".",s_Irr!AW13=".",s_Irr!BU13&lt;&gt;"."),s_dir!Z13/((1/1000)*(s_Irr!BU13)),IF(AND(s_Irr!Y13=".",s_Irr!AW13&lt;&gt;".",s_Irr!BU13="."),s_dir!Z13/((1/1000)*(s_Irr!AW13)),IF(AND(s_Irr!Y13&lt;&gt;".",s_Irr!AW13=".",s_Irr!BU13="."),s_dir!Z13/((1/1000)*(s_Irr!Y13)),IF(AND(s_Irr!Y13=".",s_Irr!AW13=".",s_Irr!BU13="."),s_dir!Z13*1000)))))))),".")</f>
        <v>456.11157464009437</v>
      </c>
      <c r="AA13" s="48">
        <f>IFERROR(IF(AND(s_Irr!Z13&lt;&gt;".",s_Irr!AX13&lt;&gt;".",s_Irr!BV13&lt;&gt;"."),s_dir!AA13/((1/1000)*(s_Irr!Z13+s_Irr!AX13+s_Irr!BV13)),IF(AND(s_Irr!Z13&lt;&gt;".",s_Irr!AX13&lt;&gt;".",s_Irr!BV13="."),s_dir!AA13/((1/1000)*(s_Irr!Z13+s_Irr!AX13)),IF(AND(s_Irr!Z13&lt;&gt;".",s_Irr!AX13=".",s_Irr!BV13&lt;&gt;"."),s_dir!AA13/((1/1000)*(s_Irr!Z13+s_Irr!BV13)),IF(AND(s_Irr!Z13=".",s_Irr!AX13&lt;&gt;".",s_Irr!BV13&lt;&gt;"."),s_dir!AA13/((1/1000)*(s_Irr!AX13+s_Irr!BV13)),IF(AND(s_Irr!Z13=".",s_Irr!AX13=".",s_Irr!BV13&lt;&gt;"."),s_dir!AA13/((1/1000)*(s_Irr!BV13)),IF(AND(s_Irr!Z13=".",s_Irr!AX13&lt;&gt;".",s_Irr!BV13="."),s_dir!AA13/((1/1000)*(s_Irr!AX13)),IF(AND(s_Irr!Z13&lt;&gt;".",s_Irr!AX13=".",s_Irr!BV13="."),s_dir!AA13/((1/1000)*(s_Irr!Z13)),IF(AND(s_Irr!Z13=".",s_Irr!AX13=".",s_Irr!BV13="."),s_dir!AA13*1000)))))))),".")</f>
        <v>582.3857387376944</v>
      </c>
      <c r="AB13" s="62">
        <f t="shared" si="3"/>
        <v>300.23337305937468</v>
      </c>
      <c r="AC13" s="62">
        <f>IFERROR(s_C*s_IFAP_res_adj*s_CF_apple*0.001*(s_Irr!C13+s_Irr!AA13+s_Irr!AY13),".")</f>
        <v>88.907912577951549</v>
      </c>
      <c r="AD13" s="62">
        <f>IFERROR(s_C*s_IFAS_res_adj*s_CF_asparagus*0.001*(s_Irr!D13+s_Irr!AB13+s_Irr!AZ13),".")</f>
        <v>129.02931451478494</v>
      </c>
      <c r="AE13" s="62">
        <f>IFERROR(s_C*s_IFBT_res_adj*s_CF_beet*0.001*(s_Irr!E13+s_Irr!AC13+s_Irr!BA13),".")</f>
        <v>121.51594336556522</v>
      </c>
      <c r="AF13" s="62">
        <f>IFERROR(s_C*s_IFBE_res_adj*s_CF_berries*0.001*(s_Irr!F13+s_Irr!AD13+s_Irr!BB13),".")</f>
        <v>88.907912577951549</v>
      </c>
      <c r="AG13" s="62">
        <f>IFERROR(s_C*s_IFBR_res_adj*s_CF_broccoli*0.001*(s_Irr!G13+s_Irr!AE13+s_Irr!BC13),".")</f>
        <v>115.50524644618942</v>
      </c>
      <c r="AH13" s="62">
        <f>IFERROR(s_C*s_IFCB_res_adj*s_CF_cabbage*0.001*(s_Irr!H13+s_Irr!AF13+s_Irr!BD13),".")</f>
        <v>129.02931451478494</v>
      </c>
      <c r="AI13" s="62">
        <f>IFERROR(s_C*s_IFCR_res_adj*s_CF_carrot*0.001*(s_Irr!I13+s_Irr!AG13+s_Irr!BE13),".")</f>
        <v>121.51594336556522</v>
      </c>
      <c r="AJ13" s="62">
        <f>IFERROR(s_C*s_IFCI_res_adj*s_CF_citrus*0.001*(s_Irr!J13+s_Irr!AH13+s_Irr!BF13),".")</f>
        <v>88.907912577951549</v>
      </c>
      <c r="AK13" s="62">
        <f>IFERROR(s_C*s_IFCO_res_adj*s_CF_corn*0.001*(s_Irr!K13+s_Irr!AI13+s_Irr!BG13),".")</f>
        <v>95.669946612249319</v>
      </c>
      <c r="AL13" s="62">
        <f>IFERROR(s_C*s_IFCU_res_adj*s_CF_cucumber*0.001*(s_Irr!L13+s_Irr!AJ13+s_Irr!BH13),".")</f>
        <v>115.50524644618942</v>
      </c>
      <c r="AM13" s="62">
        <f>IFERROR(s_C*s_IFLE_res_adj*s_CF_lettuce*0.001*(s_Irr!M13+s_Irr!AK13+s_Irr!BI13),".")</f>
        <v>129.02931451478494</v>
      </c>
      <c r="AN13" s="62">
        <f>IFERROR(s_C*s_IFLI_res_adj*s_CF_lima_bean*0.001*(s_Irr!N13+s_Irr!AL13+s_Irr!BJ13),".")</f>
        <v>114.00257221634547</v>
      </c>
      <c r="AO13" s="62">
        <f>IFERROR(s_C*s_IFOK_res_adj*s_CF_okra*0.001*(s_Irr!O13+s_Irr!AM13+s_Irr!BK13),".")</f>
        <v>115.50524644618942</v>
      </c>
      <c r="AP13" s="62">
        <f>IFERROR(s_C*s_IFON_res_adj*s_CF_onion*0.001*(s_Irr!P13+s_Irr!AN13+s_Irr!BL13),".")</f>
        <v>115.50524644618942</v>
      </c>
      <c r="AQ13" s="62">
        <f>IFERROR(s_C*s_IFPC_res_adj*s_CF_peach*0.001*(s_Irr!Q13+s_Irr!AO13+s_Irr!BM13),".")</f>
        <v>88.907912577951549</v>
      </c>
      <c r="AR13" s="62">
        <f>IFERROR(s_C*s_IFPR_res_adj*s_CF_pear*0.001*(s_Irr!R13+s_Irr!AP13+s_Irr!BN13),".")</f>
        <v>88.907912577951549</v>
      </c>
      <c r="AS13" s="62">
        <f>IFERROR(s_C*s_IFPE_res_adj*s_CF_peas*0.001*(s_Irr!S13+s_Irr!AQ13+s_Irr!BO13),".")</f>
        <v>114.00257221634547</v>
      </c>
      <c r="AT13" s="62">
        <f>IFERROR(s_C*s_IFPT_res_adj*s_CF_potato*0.001*(s_Irr!T13+s_Irr!AR13+s_Irr!BP13),".")</f>
        <v>97.022353419108867</v>
      </c>
      <c r="AU13" s="62">
        <f>IFERROR(s_C*s_IFPU_res_adj*s_CF_pumpkin*0.001*(s_Irr!U13+s_Irr!AS13+s_Irr!BQ13),".")</f>
        <v>115.50524644618942</v>
      </c>
      <c r="AV13" s="62">
        <f>IFERROR(s_C*s_IFSN_res_adj*s_CF_snap_bean*0.001*(s_Irr!V13+s_Irr!AT13+s_Irr!BR13),".")</f>
        <v>114.00257221634547</v>
      </c>
      <c r="AW13" s="62">
        <f>IFERROR(s_C*s_IFST_res_adj*s_CF_strawberry*0.001*(s_Irr!W13+s_Irr!AU13+s_Irr!BS13),".")</f>
        <v>88.907912577951549</v>
      </c>
      <c r="AX13" s="62">
        <f>IFERROR(s_C*s_IFTO_res_adj*s_CF_tomato*0.001*(s_Irr!X13+s_Irr!AV13+s_Irr!BT13),".")</f>
        <v>115.50524644618942</v>
      </c>
      <c r="AY13" s="62">
        <f>IFERROR(s_C*s_IFRI_res_adj*s_CF_rice*0.001*(s_Irr!Y13+s_Irr!AW13+s_Irr!BU13),".")</f>
        <v>118.51059490587731</v>
      </c>
      <c r="AZ13" s="62">
        <f>IFERROR(s_C*s_IFCG_res_adj*s_CF_cereal*0.001*(s_Irr!Z13+s_Irr!AX13+s_Irr!BV13),".")</f>
        <v>92.814865575545824</v>
      </c>
      <c r="BA13" s="48">
        <f t="shared" si="0"/>
        <v>180.0401251308069</v>
      </c>
      <c r="BB13" s="48">
        <f>IFERROR(IF(AND(s_Irr!C13&lt;&gt;".",s_Irr!AA13&lt;&gt;".",s_Irr!AY13&lt;&gt;"."),s_dir!AC13/((1/1000)*(s_Irr!C13+s_Irr!AA13+s_Irr!AY13)),IF(AND(s_Irr!C13&lt;&gt;".",s_Irr!AA13&lt;&gt;".",s_Irr!AY13="."),s_dir!AC13/((1/1000)*(s_Irr!C13+s_Irr!AA13)),IF(AND(s_Irr!C13&lt;&gt;".",s_Irr!AA13=".",s_Irr!AY13&lt;&gt;"."),s_dir!AC13/((1/1000)*(s_Irr!C13+s_Irr!AY13)),IF(AND(s_Irr!C13=".",s_Irr!AA13&lt;&gt;".",s_Irr!AY13&lt;&gt;"."),s_dir!AC13/((1/1000)*(s_Irr!AA13+s_Irr!AY13)),IF(AND(s_Irr!C13=".",s_Irr!AA13=".",s_Irr!AY13&lt;&gt;"."),s_dir!AC13/((1/1000)*(s_Irr!AY13)),IF(AND(s_Irr!C13=".",s_Irr!AA13&lt;&gt;".",s_Irr!AY13="."),s_dir!AC13/((1/1000)*(s_Irr!AA13)),IF(AND(s_Irr!C13&lt;&gt;".",s_Irr!AA13=".",s_Irr!AY13="."),s_dir!AC13/((1/1000)*(s_Irr!C13)),IF(AND(s_Irr!C13=".",s_Irr!AA13=".",s_Irr!AY13="."),s_dir!AC13*1000)))))))),".")</f>
        <v>607.97799078525463</v>
      </c>
      <c r="BC13" s="48">
        <f>IFERROR(IF(AND(s_Irr!D13&lt;&gt;".",s_Irr!AB13&lt;&gt;".",s_Irr!AZ13&lt;&gt;"."),s_dir!AD13/((1/1000)*(s_Irr!D13+s_Irr!AB13+s_Irr!AZ13)),IF(AND(s_Irr!D13&lt;&gt;".",s_Irr!AB13&lt;&gt;".",s_Irr!AZ13="."),s_dir!AD13/((1/1000)*(s_Irr!D13+s_Irr!AB13)),IF(AND(s_Irr!D13&lt;&gt;".",s_Irr!AB13=".",s_Irr!AZ13&lt;&gt;"."),s_dir!AD13/((1/1000)*(s_Irr!D13+s_Irr!AZ13)),IF(AND(s_Irr!D13=".",s_Irr!AB13&lt;&gt;".",s_Irr!AZ13&lt;&gt;"."),s_dir!AD13/((1/1000)*(s_Irr!AB13+s_Irr!AZ13)),IF(AND(s_Irr!D13=".",s_Irr!AB13=".",s_Irr!AZ13&lt;&gt;"."),s_dir!AD13/((1/1000)*(s_Irr!AZ13)),IF(AND(s_Irr!D13=".",s_Irr!AB13&lt;&gt;".",s_Irr!AZ13="."),s_dir!AD13/((1/1000)*(s_Irr!AB13)),IF(AND(s_Irr!D13&lt;&gt;".",s_Irr!AB13=".",s_Irr!AZ13="."),s_dir!AD13/((1/1000)*(s_Irr!D13)),IF(AND(s_Irr!D13=".",s_Irr!AB13=".",s_Irr!AZ13="."),s_dir!AD13*1000)))))))),".")</f>
        <v>418.92847572913536</v>
      </c>
      <c r="BD13" s="48">
        <f>IFERROR(IF(AND(s_Irr!E13&lt;&gt;".",s_Irr!AC13&lt;&gt;".",s_Irr!BA13&lt;&gt;"."),s_dir!AE13/((1/1000)*(s_Irr!E13+s_Irr!AC13+s_Irr!BA13)),IF(AND(s_Irr!E13&lt;&gt;".",s_Irr!AC13&lt;&gt;".",s_Irr!BA13="."),s_dir!AE13/((1/1000)*(s_Irr!E13+s_Irr!AC13)),IF(AND(s_Irr!E13&lt;&gt;".",s_Irr!AC13=".",s_Irr!BA13&lt;&gt;"."),s_dir!AE13/((1/1000)*(s_Irr!E13+s_Irr!BA13)),IF(AND(s_Irr!E13=".",s_Irr!AC13&lt;&gt;".",s_Irr!BA13&lt;&gt;"."),s_dir!AE13/((1/1000)*(s_Irr!AC13+s_Irr!BA13)),IF(AND(s_Irr!E13=".",s_Irr!AC13=".",s_Irr!BA13&lt;&gt;"."),s_dir!AE13/((1/1000)*(s_Irr!BA13)),IF(AND(s_Irr!E13=".",s_Irr!AC13&lt;&gt;".",s_Irr!BA13="."),s_dir!AE13/((1/1000)*(s_Irr!AC13)),IF(AND(s_Irr!E13&lt;&gt;".",s_Irr!AC13=".",s_Irr!BA13="."),s_dir!AE13/((1/1000)*(s_Irr!E13)),IF(AND(s_Irr!E13=".",s_Irr!AC13=".",s_Irr!BA13="."),s_dir!AE13*1000)))))))),".")</f>
        <v>444.83096256298921</v>
      </c>
      <c r="BE13" s="48">
        <f>IFERROR(IF(AND(s_Irr!F13&lt;&gt;".",s_Irr!AD13&lt;&gt;".",s_Irr!BB13&lt;&gt;"."),s_dir!AF13/((1/1000)*(s_Irr!F13+s_Irr!AD13+s_Irr!BB13)),IF(AND(s_Irr!F13&lt;&gt;".",s_Irr!AD13&lt;&gt;".",s_Irr!BB13="."),s_dir!AF13/((1/1000)*(s_Irr!F13+s_Irr!AD13)),IF(AND(s_Irr!F13&lt;&gt;".",s_Irr!AD13=".",s_Irr!BB13&lt;&gt;"."),s_dir!AF13/((1/1000)*(s_Irr!F13+s_Irr!BB13)),IF(AND(s_Irr!F13=".",s_Irr!AD13&lt;&gt;".",s_Irr!BB13&lt;&gt;"."),s_dir!AF13/((1/1000)*(s_Irr!AD13+s_Irr!BB13)),IF(AND(s_Irr!F13=".",s_Irr!AD13=".",s_Irr!BB13&lt;&gt;"."),s_dir!AF13/((1/1000)*(s_Irr!BB13)),IF(AND(s_Irr!F13=".",s_Irr!AD13&lt;&gt;".",s_Irr!BB13="."),s_dir!AF13/((1/1000)*(s_Irr!AD13)),IF(AND(s_Irr!F13&lt;&gt;".",s_Irr!AD13=".",s_Irr!BB13="."),s_dir!AF13/((1/1000)*(s_Irr!F13)),IF(AND(s_Irr!F13=".",s_Irr!AD13=".",s_Irr!BB13="."),s_dir!AF13*1000)))))))),".")</f>
        <v>607.97799078525463</v>
      </c>
      <c r="BF13" s="48">
        <f>IFERROR(IF(AND(s_Irr!G13&lt;&gt;".",s_Irr!AE13&lt;&gt;".",s_Irr!BC13&lt;&gt;"."),s_dir!AG13/((1/1000)*(s_Irr!G13+s_Irr!AE13+s_Irr!BC13)),IF(AND(s_Irr!G13&lt;&gt;".",s_Irr!AE13&lt;&gt;".",s_Irr!BC13="."),s_dir!AG13/((1/1000)*(s_Irr!G13+s_Irr!AE13)),IF(AND(s_Irr!G13&lt;&gt;".",s_Irr!AE13=".",s_Irr!BC13&lt;&gt;"."),s_dir!AG13/((1/1000)*(s_Irr!G13+s_Irr!BC13)),IF(AND(s_Irr!G13=".",s_Irr!AE13&lt;&gt;".",s_Irr!BC13&lt;&gt;"."),s_dir!AG13/((1/1000)*(s_Irr!AE13+s_Irr!BC13)),IF(AND(s_Irr!G13=".",s_Irr!AE13=".",s_Irr!BC13&lt;&gt;"."),s_dir!AG13/((1/1000)*(s_Irr!BC13)),IF(AND(s_Irr!G13=".",s_Irr!AE13&lt;&gt;".",s_Irr!BC13="."),s_dir!AG13/((1/1000)*(s_Irr!AE13)),IF(AND(s_Irr!G13&lt;&gt;".",s_Irr!AE13=".",s_Irr!BC13="."),s_dir!AG13/((1/1000)*(s_Irr!G13)),IF(AND(s_Irr!G13=".",s_Irr!AE13=".",s_Irr!BC13="."),s_dir!AG13*1000)))))))),".")</f>
        <v>467.97921061738339</v>
      </c>
      <c r="BG13" s="48">
        <f>IFERROR(IF(AND(s_Irr!H13&lt;&gt;".",s_Irr!AF13&lt;&gt;".",s_Irr!BD13&lt;&gt;"."),s_dir!AH13/((1/1000)*(s_Irr!H13+s_Irr!AF13+s_Irr!BD13)),IF(AND(s_Irr!H13&lt;&gt;".",s_Irr!AF13&lt;&gt;".",s_Irr!BD13="."),s_dir!AH13/((1/1000)*(s_Irr!H13+s_Irr!AF13)),IF(AND(s_Irr!H13&lt;&gt;".",s_Irr!AF13=".",s_Irr!BD13&lt;&gt;"."),s_dir!AH13/((1/1000)*(s_Irr!H13+s_Irr!BD13)),IF(AND(s_Irr!H13=".",s_Irr!AF13&lt;&gt;".",s_Irr!BD13&lt;&gt;"."),s_dir!AH13/((1/1000)*(s_Irr!AF13+s_Irr!BD13)),IF(AND(s_Irr!H13=".",s_Irr!AF13=".",s_Irr!BD13&lt;&gt;"."),s_dir!AH13/((1/1000)*(s_Irr!BD13)),IF(AND(s_Irr!H13=".",s_Irr!AF13&lt;&gt;".",s_Irr!BD13="."),s_dir!AH13/((1/1000)*(s_Irr!AF13)),IF(AND(s_Irr!H13&lt;&gt;".",s_Irr!AF13=".",s_Irr!BD13="."),s_dir!AH13/((1/1000)*(s_Irr!H13)),IF(AND(s_Irr!H13=".",s_Irr!AF13=".",s_Irr!BD13="."),s_dir!AH13*1000)))))))),".")</f>
        <v>418.92847572913536</v>
      </c>
      <c r="BH13" s="48">
        <f>IFERROR(IF(AND(s_Irr!I13&lt;&gt;".",s_Irr!AG13&lt;&gt;".",s_Irr!BE13&lt;&gt;"."),s_dir!AI13/((1/1000)*(s_Irr!I13+s_Irr!AG13+s_Irr!BE13)),IF(AND(s_Irr!I13&lt;&gt;".",s_Irr!AG13&lt;&gt;".",s_Irr!BE13="."),s_dir!AI13/((1/1000)*(s_Irr!I13+s_Irr!AG13)),IF(AND(s_Irr!I13&lt;&gt;".",s_Irr!AG13=".",s_Irr!BE13&lt;&gt;"."),s_dir!AI13/((1/1000)*(s_Irr!I13+s_Irr!BE13)),IF(AND(s_Irr!I13=".",s_Irr!AG13&lt;&gt;".",s_Irr!BE13&lt;&gt;"."),s_dir!AI13/((1/1000)*(s_Irr!AG13+s_Irr!BE13)),IF(AND(s_Irr!I13=".",s_Irr!AG13=".",s_Irr!BE13&lt;&gt;"."),s_dir!AI13/((1/1000)*(s_Irr!BE13)),IF(AND(s_Irr!I13=".",s_Irr!AG13&lt;&gt;".",s_Irr!BE13="."),s_dir!AI13/((1/1000)*(s_Irr!AG13)),IF(AND(s_Irr!I13&lt;&gt;".",s_Irr!AG13=".",s_Irr!BE13="."),s_dir!AI13/((1/1000)*(s_Irr!I13)),IF(AND(s_Irr!I13=".",s_Irr!AG13=".",s_Irr!BE13="."),s_dir!AI13*1000)))))))),".")</f>
        <v>444.83096256298921</v>
      </c>
      <c r="BI13" s="48">
        <f>IFERROR(IF(AND(s_Irr!J13&lt;&gt;".",s_Irr!AH13&lt;&gt;".",s_Irr!BF13&lt;&gt;"."),s_dir!AJ13/((1/1000)*(s_Irr!J13+s_Irr!AH13+s_Irr!BF13)),IF(AND(s_Irr!J13&lt;&gt;".",s_Irr!AH13&lt;&gt;".",s_Irr!BF13="."),s_dir!AJ13/((1/1000)*(s_Irr!J13+s_Irr!AH13)),IF(AND(s_Irr!J13&lt;&gt;".",s_Irr!AH13=".",s_Irr!BF13&lt;&gt;"."),s_dir!AJ13/((1/1000)*(s_Irr!J13+s_Irr!BF13)),IF(AND(s_Irr!J13=".",s_Irr!AH13&lt;&gt;".",s_Irr!BF13&lt;&gt;"."),s_dir!AJ13/((1/1000)*(s_Irr!AH13+s_Irr!BF13)),IF(AND(s_Irr!J13=".",s_Irr!AH13=".",s_Irr!BF13&lt;&gt;"."),s_dir!AJ13/((1/1000)*(s_Irr!BF13)),IF(AND(s_Irr!J13=".",s_Irr!AH13&lt;&gt;".",s_Irr!BF13="."),s_dir!AJ13/((1/1000)*(s_Irr!AH13)),IF(AND(s_Irr!J13&lt;&gt;".",s_Irr!AH13=".",s_Irr!BF13="."),s_dir!AJ13/((1/1000)*(s_Irr!J13)),IF(AND(s_Irr!J13=".",s_Irr!AH13=".",s_Irr!BF13="."),s_dir!AJ13*1000)))))))),".")</f>
        <v>607.97799078525463</v>
      </c>
      <c r="BJ13" s="48">
        <f>IFERROR(IF(AND(s_Irr!K13&lt;&gt;".",s_Irr!AI13&lt;&gt;".",s_Irr!BG13&lt;&gt;"."),s_dir!AK13/((1/1000)*(s_Irr!K13+s_Irr!AI13+s_Irr!BG13)),IF(AND(s_Irr!K13&lt;&gt;".",s_Irr!AI13&lt;&gt;".",s_Irr!BG13="."),s_dir!AK13/((1/1000)*(s_Irr!K13+s_Irr!AI13)),IF(AND(s_Irr!K13&lt;&gt;".",s_Irr!AI13=".",s_Irr!BG13&lt;&gt;"."),s_dir!AK13/((1/1000)*(s_Irr!K13+s_Irr!BG13)),IF(AND(s_Irr!K13=".",s_Irr!AI13&lt;&gt;".",s_Irr!BG13&lt;&gt;"."),s_dir!AK13/((1/1000)*(s_Irr!AI13+s_Irr!BG13)),IF(AND(s_Irr!K13=".",s_Irr!AI13=".",s_Irr!BG13&lt;&gt;"."),s_dir!AK13/((1/1000)*(s_Irr!BG13)),IF(AND(s_Irr!K13=".",s_Irr!AI13&lt;&gt;".",s_Irr!BG13="."),s_dir!AK13/((1/1000)*(s_Irr!AI13)),IF(AND(s_Irr!K13&lt;&gt;".",s_Irr!AI13=".",s_Irr!BG13="."),s_dir!AK13/((1/1000)*(s_Irr!K13)),IF(AND(s_Irr!K13=".",s_Irr!AI13=".",s_Irr!BG13="."),s_dir!AK13*1000)))))))),".")</f>
        <v>565.00558397022371</v>
      </c>
      <c r="BK13" s="48">
        <f>IFERROR(IF(AND(s_Irr!L13&lt;&gt;".",s_Irr!AJ13&lt;&gt;".",s_Irr!BH13&lt;&gt;"."),s_dir!AL13/((1/1000)*(s_Irr!L13+s_Irr!AJ13+s_Irr!BH13)),IF(AND(s_Irr!L13&lt;&gt;".",s_Irr!AJ13&lt;&gt;".",s_Irr!BH13="."),s_dir!AL13/((1/1000)*(s_Irr!L13+s_Irr!AJ13)),IF(AND(s_Irr!L13&lt;&gt;".",s_Irr!AJ13=".",s_Irr!BH13&lt;&gt;"."),s_dir!AL13/((1/1000)*(s_Irr!L13+s_Irr!BH13)),IF(AND(s_Irr!L13=".",s_Irr!AJ13&lt;&gt;".",s_Irr!BH13&lt;&gt;"."),s_dir!AL13/((1/1000)*(s_Irr!AJ13+s_Irr!BH13)),IF(AND(s_Irr!L13=".",s_Irr!AJ13=".",s_Irr!BH13&lt;&gt;"."),s_dir!AL13/((1/1000)*(s_Irr!BH13)),IF(AND(s_Irr!L13=".",s_Irr!AJ13&lt;&gt;".",s_Irr!BH13="."),s_dir!AL13/((1/1000)*(s_Irr!AJ13)),IF(AND(s_Irr!L13&lt;&gt;".",s_Irr!AJ13=".",s_Irr!BH13="."),s_dir!AL13/((1/1000)*(s_Irr!L13)),IF(AND(s_Irr!L13=".",s_Irr!AJ13=".",s_Irr!BH13="."),s_dir!AL13*1000)))))))),".")</f>
        <v>467.97921061738339</v>
      </c>
      <c r="BL13" s="48">
        <f>IFERROR(IF(AND(s_Irr!M13&lt;&gt;".",s_Irr!AK13&lt;&gt;".",s_Irr!BI13&lt;&gt;"."),s_dir!AM13/((1/1000)*(s_Irr!M13+s_Irr!AK13+s_Irr!BI13)),IF(AND(s_Irr!M13&lt;&gt;".",s_Irr!AK13&lt;&gt;".",s_Irr!BI13="."),s_dir!AM13/((1/1000)*(s_Irr!M13+s_Irr!AK13)),IF(AND(s_Irr!M13&lt;&gt;".",s_Irr!AK13=".",s_Irr!BI13&lt;&gt;"."),s_dir!AM13/((1/1000)*(s_Irr!M13+s_Irr!BI13)),IF(AND(s_Irr!M13=".",s_Irr!AK13&lt;&gt;".",s_Irr!BI13&lt;&gt;"."),s_dir!AM13/((1/1000)*(s_Irr!AK13+s_Irr!BI13)),IF(AND(s_Irr!M13=".",s_Irr!AK13=".",s_Irr!BI13&lt;&gt;"."),s_dir!AM13/((1/1000)*(s_Irr!BI13)),IF(AND(s_Irr!M13=".",s_Irr!AK13&lt;&gt;".",s_Irr!BI13="."),s_dir!AM13/((1/1000)*(s_Irr!AK13)),IF(AND(s_Irr!M13&lt;&gt;".",s_Irr!AK13=".",s_Irr!BI13="."),s_dir!AM13/((1/1000)*(s_Irr!M13)),IF(AND(s_Irr!M13=".",s_Irr!AK13=".",s_Irr!BI13="."),s_dir!AM13*1000)))))))),".")</f>
        <v>418.92847572913536</v>
      </c>
      <c r="BM13" s="48">
        <f>IFERROR(IF(AND(s_Irr!N13&lt;&gt;".",s_Irr!AL13&lt;&gt;".",s_Irr!BJ13&lt;&gt;"."),s_dir!AN13/((1/1000)*(s_Irr!N13+s_Irr!AL13+s_Irr!BJ13)),IF(AND(s_Irr!N13&lt;&gt;".",s_Irr!AL13&lt;&gt;".",s_Irr!BJ13="."),s_dir!AN13/((1/1000)*(s_Irr!N13+s_Irr!AL13)),IF(AND(s_Irr!N13&lt;&gt;".",s_Irr!AL13=".",s_Irr!BJ13&lt;&gt;"."),s_dir!AN13/((1/1000)*(s_Irr!N13+s_Irr!BJ13)),IF(AND(s_Irr!N13=".",s_Irr!AL13&lt;&gt;".",s_Irr!BJ13&lt;&gt;"."),s_dir!AN13/((1/1000)*(s_Irr!AL13+s_Irr!BJ13)),IF(AND(s_Irr!N13=".",s_Irr!AL13=".",s_Irr!BJ13&lt;&gt;"."),s_dir!AN13/((1/1000)*(s_Irr!BJ13)),IF(AND(s_Irr!N13=".",s_Irr!AL13&lt;&gt;".",s_Irr!BJ13="."),s_dir!AN13/((1/1000)*(s_Irr!AL13)),IF(AND(s_Irr!N13&lt;&gt;".",s_Irr!AL13=".",s_Irr!BJ13="."),s_dir!AN13/((1/1000)*(s_Irr!N13)),IF(AND(s_Irr!N13=".",s_Irr!AL13=".",s_Irr!BJ13="."),s_dir!AN13*1000)))))))),".")</f>
        <v>474.14767055847085</v>
      </c>
      <c r="BN13" s="48">
        <f>IFERROR(IF(AND(s_Irr!O13&lt;&gt;".",s_Irr!AM13&lt;&gt;".",s_Irr!BK13&lt;&gt;"."),s_dir!AO13/((1/1000)*(s_Irr!O13+s_Irr!AM13+s_Irr!BK13)),IF(AND(s_Irr!O13&lt;&gt;".",s_Irr!AM13&lt;&gt;".",s_Irr!BK13="."),s_dir!AO13/((1/1000)*(s_Irr!O13+s_Irr!AM13)),IF(AND(s_Irr!O13&lt;&gt;".",s_Irr!AM13=".",s_Irr!BK13&lt;&gt;"."),s_dir!AO13/((1/1000)*(s_Irr!O13+s_Irr!BK13)),IF(AND(s_Irr!O13=".",s_Irr!AM13&lt;&gt;".",s_Irr!BK13&lt;&gt;"."),s_dir!AO13/((1/1000)*(s_Irr!AM13+s_Irr!BK13)),IF(AND(s_Irr!O13=".",s_Irr!AM13=".",s_Irr!BK13&lt;&gt;"."),s_dir!AO13/((1/1000)*(s_Irr!BK13)),IF(AND(s_Irr!O13=".",s_Irr!AM13&lt;&gt;".",s_Irr!BK13="."),s_dir!AO13/((1/1000)*(s_Irr!AM13)),IF(AND(s_Irr!O13&lt;&gt;".",s_Irr!AM13=".",s_Irr!BK13="."),s_dir!AO13/((1/1000)*(s_Irr!O13)),IF(AND(s_Irr!O13=".",s_Irr!AM13=".",s_Irr!BK13="."),s_dir!AO13*1000)))))))),".")</f>
        <v>467.97921061738339</v>
      </c>
      <c r="BO13" s="48">
        <f>IFERROR(IF(AND(s_Irr!P13&lt;&gt;".",s_Irr!AN13&lt;&gt;".",s_Irr!BL13&lt;&gt;"."),s_dir!AP13/((1/1000)*(s_Irr!P13+s_Irr!AN13+s_Irr!BL13)),IF(AND(s_Irr!P13&lt;&gt;".",s_Irr!AN13&lt;&gt;".",s_Irr!BL13="."),s_dir!AP13/((1/1000)*(s_Irr!P13+s_Irr!AN13)),IF(AND(s_Irr!P13&lt;&gt;".",s_Irr!AN13=".",s_Irr!BL13&lt;&gt;"."),s_dir!AP13/((1/1000)*(s_Irr!P13+s_Irr!BL13)),IF(AND(s_Irr!P13=".",s_Irr!AN13&lt;&gt;".",s_Irr!BL13&lt;&gt;"."),s_dir!AP13/((1/1000)*(s_Irr!AN13+s_Irr!BL13)),IF(AND(s_Irr!P13=".",s_Irr!AN13=".",s_Irr!BL13&lt;&gt;"."),s_dir!AP13/((1/1000)*(s_Irr!BL13)),IF(AND(s_Irr!P13=".",s_Irr!AN13&lt;&gt;".",s_Irr!BL13="."),s_dir!AP13/((1/1000)*(s_Irr!AN13)),IF(AND(s_Irr!P13&lt;&gt;".",s_Irr!AN13=".",s_Irr!BL13="."),s_dir!AP13/((1/1000)*(s_Irr!P13)),IF(AND(s_Irr!P13=".",s_Irr!AN13=".",s_Irr!BL13="."),s_dir!AP13*1000)))))))),".")</f>
        <v>467.97921061738339</v>
      </c>
      <c r="BP13" s="48">
        <f>IFERROR(IF(AND(s_Irr!Q13&lt;&gt;".",s_Irr!AO13&lt;&gt;".",s_Irr!BM13&lt;&gt;"."),s_dir!AQ13/((1/1000)*(s_Irr!Q13+s_Irr!AO13+s_Irr!BM13)),IF(AND(s_Irr!Q13&lt;&gt;".",s_Irr!AO13&lt;&gt;".",s_Irr!BM13="."),s_dir!AQ13/((1/1000)*(s_Irr!Q13+s_Irr!AO13)),IF(AND(s_Irr!Q13&lt;&gt;".",s_Irr!AO13=".",s_Irr!BM13&lt;&gt;"."),s_dir!AQ13/((1/1000)*(s_Irr!Q13+s_Irr!BM13)),IF(AND(s_Irr!Q13=".",s_Irr!AO13&lt;&gt;".",s_Irr!BM13&lt;&gt;"."),s_dir!AQ13/((1/1000)*(s_Irr!AO13+s_Irr!BM13)),IF(AND(s_Irr!Q13=".",s_Irr!AO13=".",s_Irr!BM13&lt;&gt;"."),s_dir!AQ13/((1/1000)*(s_Irr!BM13)),IF(AND(s_Irr!Q13=".",s_Irr!AO13&lt;&gt;".",s_Irr!BM13="."),s_dir!AQ13/((1/1000)*(s_Irr!AO13)),IF(AND(s_Irr!Q13&lt;&gt;".",s_Irr!AO13=".",s_Irr!BM13="."),s_dir!AQ13/((1/1000)*(s_Irr!Q13)),IF(AND(s_Irr!Q13=".",s_Irr!AO13=".",s_Irr!BM13="."),s_dir!AQ13*1000)))))))),".")</f>
        <v>607.97799078525463</v>
      </c>
      <c r="BQ13" s="48">
        <f>IFERROR(IF(AND(s_Irr!R13&lt;&gt;".",s_Irr!AP13&lt;&gt;".",s_Irr!BN13&lt;&gt;"."),s_dir!AR13/((1/1000)*(s_Irr!R13+s_Irr!AP13+s_Irr!BN13)),IF(AND(s_Irr!R13&lt;&gt;".",s_Irr!AP13&lt;&gt;".",s_Irr!BN13="."),s_dir!AR13/((1/1000)*(s_Irr!R13+s_Irr!AP13)),IF(AND(s_Irr!R13&lt;&gt;".",s_Irr!AP13=".",s_Irr!BN13&lt;&gt;"."),s_dir!AR13/((1/1000)*(s_Irr!R13+s_Irr!BN13)),IF(AND(s_Irr!R13=".",s_Irr!AP13&lt;&gt;".",s_Irr!BN13&lt;&gt;"."),s_dir!AR13/((1/1000)*(s_Irr!AP13+s_Irr!BN13)),IF(AND(s_Irr!R13=".",s_Irr!AP13=".",s_Irr!BN13&lt;&gt;"."),s_dir!AR13/((1/1000)*(s_Irr!BN13)),IF(AND(s_Irr!R13=".",s_Irr!AP13&lt;&gt;".",s_Irr!BN13="."),s_dir!AR13/((1/1000)*(s_Irr!AP13)),IF(AND(s_Irr!R13&lt;&gt;".",s_Irr!AP13=".",s_Irr!BN13="."),s_dir!AR13/((1/1000)*(s_Irr!R13)),IF(AND(s_Irr!R13=".",s_Irr!AP13=".",s_Irr!BN13="."),s_dir!AR13*1000)))))))),".")</f>
        <v>607.97799078525463</v>
      </c>
      <c r="BR13" s="48">
        <f>IFERROR(IF(AND(s_Irr!S13&lt;&gt;".",s_Irr!AQ13&lt;&gt;".",s_Irr!BO13&lt;&gt;"."),s_dir!AS13/((1/1000)*(s_Irr!S13+s_Irr!AQ13+s_Irr!BO13)),IF(AND(s_Irr!S13&lt;&gt;".",s_Irr!AQ13&lt;&gt;".",s_Irr!BO13="."),s_dir!AS13/((1/1000)*(s_Irr!S13+s_Irr!AQ13)),IF(AND(s_Irr!S13&lt;&gt;".",s_Irr!AQ13=".",s_Irr!BO13&lt;&gt;"."),s_dir!AS13/((1/1000)*(s_Irr!S13+s_Irr!BO13)),IF(AND(s_Irr!S13=".",s_Irr!AQ13&lt;&gt;".",s_Irr!BO13&lt;&gt;"."),s_dir!AS13/((1/1000)*(s_Irr!AQ13+s_Irr!BO13)),IF(AND(s_Irr!S13=".",s_Irr!AQ13=".",s_Irr!BO13&lt;&gt;"."),s_dir!AS13/((1/1000)*(s_Irr!BO13)),IF(AND(s_Irr!S13=".",s_Irr!AQ13&lt;&gt;".",s_Irr!BO13="."),s_dir!AS13/((1/1000)*(s_Irr!AQ13)),IF(AND(s_Irr!S13&lt;&gt;".",s_Irr!AQ13=".",s_Irr!BO13="."),s_dir!AS13/((1/1000)*(s_Irr!S13)),IF(AND(s_Irr!S13=".",s_Irr!AQ13=".",s_Irr!BO13="."),s_dir!AS13*1000)))))))),".")</f>
        <v>474.14767055847085</v>
      </c>
      <c r="BS13" s="48">
        <f>IFERROR(IF(AND(s_Irr!T13&lt;&gt;".",s_Irr!AR13&lt;&gt;".",s_Irr!BP13&lt;&gt;"."),s_dir!AT13/((1/1000)*(s_Irr!T13+s_Irr!AR13+s_Irr!BP13)),IF(AND(s_Irr!T13&lt;&gt;".",s_Irr!AR13&lt;&gt;".",s_Irr!BP13="."),s_dir!AT13/((1/1000)*(s_Irr!T13+s_Irr!AR13)),IF(AND(s_Irr!T13&lt;&gt;".",s_Irr!AR13=".",s_Irr!BP13&lt;&gt;"."),s_dir!AT13/((1/1000)*(s_Irr!T13+s_Irr!BP13)),IF(AND(s_Irr!T13=".",s_Irr!AR13&lt;&gt;".",s_Irr!BP13&lt;&gt;"."),s_dir!AT13/((1/1000)*(s_Irr!AR13+s_Irr!BP13)),IF(AND(s_Irr!T13=".",s_Irr!AR13=".",s_Irr!BP13&lt;&gt;"."),s_dir!AT13/((1/1000)*(s_Irr!BP13)),IF(AND(s_Irr!T13=".",s_Irr!AR13&lt;&gt;".",s_Irr!BP13="."),s_dir!AT13/((1/1000)*(s_Irr!AR13)),IF(AND(s_Irr!T13&lt;&gt;".",s_Irr!AR13=".",s_Irr!BP13="."),s_dir!AT13/((1/1000)*(s_Irr!T13)),IF(AND(s_Irr!T13=".",s_Irr!AR13=".",s_Irr!BP13="."),s_dir!AT13*1000)))))))),".")</f>
        <v>557.12989995775479</v>
      </c>
      <c r="BT13" s="48">
        <f>IFERROR(IF(AND(s_Irr!U13&lt;&gt;".",s_Irr!AS13&lt;&gt;".",s_Irr!BQ13&lt;&gt;"."),s_dir!AU13/((1/1000)*(s_Irr!U13+s_Irr!AS13+s_Irr!BQ13)),IF(AND(s_Irr!U13&lt;&gt;".",s_Irr!AS13&lt;&gt;".",s_Irr!BQ13="."),s_dir!AU13/((1/1000)*(s_Irr!U13+s_Irr!AS13)),IF(AND(s_Irr!U13&lt;&gt;".",s_Irr!AS13=".",s_Irr!BQ13&lt;&gt;"."),s_dir!AU13/((1/1000)*(s_Irr!U13+s_Irr!BQ13)),IF(AND(s_Irr!U13=".",s_Irr!AS13&lt;&gt;".",s_Irr!BQ13&lt;&gt;"."),s_dir!AU13/((1/1000)*(s_Irr!AS13+s_Irr!BQ13)),IF(AND(s_Irr!U13=".",s_Irr!AS13=".",s_Irr!BQ13&lt;&gt;"."),s_dir!AU13/((1/1000)*(s_Irr!BQ13)),IF(AND(s_Irr!U13=".",s_Irr!AS13&lt;&gt;".",s_Irr!BQ13="."),s_dir!AU13/((1/1000)*(s_Irr!AS13)),IF(AND(s_Irr!U13&lt;&gt;".",s_Irr!AS13=".",s_Irr!BQ13="."),s_dir!AU13/((1/1000)*(s_Irr!U13)),IF(AND(s_Irr!U13=".",s_Irr!AS13=".",s_Irr!BQ13="."),s_dir!AU13*1000)))))))),".")</f>
        <v>467.97921061738339</v>
      </c>
      <c r="BU13" s="48">
        <f>IFERROR(IF(AND(s_Irr!V13&lt;&gt;".",s_Irr!AT13&lt;&gt;".",s_Irr!BR13&lt;&gt;"."),s_dir!AV13/((1/1000)*(s_Irr!V13+s_Irr!AT13+s_Irr!BR13)),IF(AND(s_Irr!V13&lt;&gt;".",s_Irr!AT13&lt;&gt;".",s_Irr!BR13="."),s_dir!AV13/((1/1000)*(s_Irr!V13+s_Irr!AT13)),IF(AND(s_Irr!V13&lt;&gt;".",s_Irr!AT13=".",s_Irr!BR13&lt;&gt;"."),s_dir!AV13/((1/1000)*(s_Irr!V13+s_Irr!BR13)),IF(AND(s_Irr!V13=".",s_Irr!AT13&lt;&gt;".",s_Irr!BR13&lt;&gt;"."),s_dir!AV13/((1/1000)*(s_Irr!AT13+s_Irr!BR13)),IF(AND(s_Irr!V13=".",s_Irr!AT13=".",s_Irr!BR13&lt;&gt;"."),s_dir!AV13/((1/1000)*(s_Irr!BR13)),IF(AND(s_Irr!V13=".",s_Irr!AT13&lt;&gt;".",s_Irr!BR13="."),s_dir!AV13/((1/1000)*(s_Irr!AT13)),IF(AND(s_Irr!V13&lt;&gt;".",s_Irr!AT13=".",s_Irr!BR13="."),s_dir!AV13/((1/1000)*(s_Irr!V13)),IF(AND(s_Irr!V13=".",s_Irr!AT13=".",s_Irr!BR13="."),s_dir!AV13*1000)))))))),".")</f>
        <v>474.14767055847085</v>
      </c>
      <c r="BV13" s="48">
        <f>IFERROR(IF(AND(s_Irr!W13&lt;&gt;".",s_Irr!AU13&lt;&gt;".",s_Irr!BS13&lt;&gt;"."),s_dir!AW13/((1/1000)*(s_Irr!W13+s_Irr!AU13+s_Irr!BS13)),IF(AND(s_Irr!W13&lt;&gt;".",s_Irr!AU13&lt;&gt;".",s_Irr!BS13="."),s_dir!AW13/((1/1000)*(s_Irr!W13+s_Irr!AU13)),IF(AND(s_Irr!W13&lt;&gt;".",s_Irr!AU13=".",s_Irr!BS13&lt;&gt;"."),s_dir!AW13/((1/1000)*(s_Irr!W13+s_Irr!BS13)),IF(AND(s_Irr!W13=".",s_Irr!AU13&lt;&gt;".",s_Irr!BS13&lt;&gt;"."),s_dir!AW13/((1/1000)*(s_Irr!AU13+s_Irr!BS13)),IF(AND(s_Irr!W13=".",s_Irr!AU13=".",s_Irr!BS13&lt;&gt;"."),s_dir!AW13/((1/1000)*(s_Irr!BS13)),IF(AND(s_Irr!W13=".",s_Irr!AU13&lt;&gt;".",s_Irr!BS13="."),s_dir!AW13/((1/1000)*(s_Irr!AU13)),IF(AND(s_Irr!W13&lt;&gt;".",s_Irr!AU13=".",s_Irr!BS13="."),s_dir!AW13/((1/1000)*(s_Irr!W13)),IF(AND(s_Irr!W13=".",s_Irr!AU13=".",s_Irr!BS13="."),s_dir!AW13*1000)))))))),".")</f>
        <v>607.97799078525463</v>
      </c>
      <c r="BW13" s="48">
        <f>IFERROR(IF(AND(s_Irr!X13&lt;&gt;".",s_Irr!AV13&lt;&gt;".",s_Irr!BT13&lt;&gt;"."),s_dir!AX13/((1/1000)*(s_Irr!X13+s_Irr!AV13+s_Irr!BT13)),IF(AND(s_Irr!X13&lt;&gt;".",s_Irr!AV13&lt;&gt;".",s_Irr!BT13="."),s_dir!AX13/((1/1000)*(s_Irr!X13+s_Irr!AV13)),IF(AND(s_Irr!X13&lt;&gt;".",s_Irr!AV13=".",s_Irr!BT13&lt;&gt;"."),s_dir!AX13/((1/1000)*(s_Irr!X13+s_Irr!BT13)),IF(AND(s_Irr!X13=".",s_Irr!AV13&lt;&gt;".",s_Irr!BT13&lt;&gt;"."),s_dir!AX13/((1/1000)*(s_Irr!AV13+s_Irr!BT13)),IF(AND(s_Irr!X13=".",s_Irr!AV13=".",s_Irr!BT13&lt;&gt;"."),s_dir!AX13/((1/1000)*(s_Irr!BT13)),IF(AND(s_Irr!X13=".",s_Irr!AV13&lt;&gt;".",s_Irr!BT13="."),s_dir!AX13/((1/1000)*(s_Irr!AV13)),IF(AND(s_Irr!X13&lt;&gt;".",s_Irr!AV13=".",s_Irr!BT13="."),s_dir!AX13/((1/1000)*(s_Irr!X13)),IF(AND(s_Irr!X13=".",s_Irr!AV13=".",s_Irr!BT13="."),s_dir!AX13*1000)))))))),".")</f>
        <v>467.97921061738339</v>
      </c>
      <c r="BX13" s="48">
        <f>IFERROR(IF(AND(s_Irr!Y13&lt;&gt;".",s_Irr!AW13&lt;&gt;".",s_Irr!BU13&lt;&gt;"."),s_dir!AY13/((1/1000)*(s_Irr!Y13+s_Irr!AW13+s_Irr!BU13)),IF(AND(s_Irr!Y13&lt;&gt;".",s_Irr!AW13&lt;&gt;".",s_Irr!BU13="."),s_dir!AY13/((1/1000)*(s_Irr!Y13+s_Irr!AW13)),IF(AND(s_Irr!Y13&lt;&gt;".",s_Irr!AW13=".",s_Irr!BU13&lt;&gt;"."),s_dir!AY13/((1/1000)*(s_Irr!Y13+s_Irr!BU13)),IF(AND(s_Irr!Y13=".",s_Irr!AW13&lt;&gt;".",s_Irr!BU13&lt;&gt;"."),s_dir!AY13/((1/1000)*(s_Irr!AW13+s_Irr!BU13)),IF(AND(s_Irr!Y13=".",s_Irr!AW13=".",s_Irr!BU13&lt;&gt;"."),s_dir!AY13/((1/1000)*(s_Irr!BU13)),IF(AND(s_Irr!Y13=".",s_Irr!AW13&lt;&gt;".",s_Irr!BU13="."),s_dir!AY13/((1/1000)*(s_Irr!AW13)),IF(AND(s_Irr!Y13&lt;&gt;".",s_Irr!AW13=".",s_Irr!BU13="."),s_dir!AY13/((1/1000)*(s_Irr!Y13)),IF(AND(s_Irr!Y13=".",s_Irr!AW13=".",s_Irr!BU13="."),s_dir!AY13*1000)))))))),".")</f>
        <v>456.11157464009437</v>
      </c>
      <c r="BY13" s="48">
        <f>IFERROR(IF(AND(s_Irr!Z13&lt;&gt;".",s_Irr!AX13&lt;&gt;".",s_Irr!BV13&lt;&gt;"."),s_dir!AZ13/((1/1000)*(s_Irr!Z13+s_Irr!AX13+s_Irr!BV13)),IF(AND(s_Irr!Z13&lt;&gt;".",s_Irr!AX13&lt;&gt;".",s_Irr!BV13="."),s_dir!AZ13/((1/1000)*(s_Irr!Z13+s_Irr!AX13)),IF(AND(s_Irr!Z13&lt;&gt;".",s_Irr!AX13=".",s_Irr!BV13&lt;&gt;"."),s_dir!AZ13/((1/1000)*(s_Irr!Z13+s_Irr!BV13)),IF(AND(s_Irr!Z13=".",s_Irr!AX13&lt;&gt;".",s_Irr!BV13&lt;&gt;"."),s_dir!AZ13/((1/1000)*(s_Irr!AX13+s_Irr!BV13)),IF(AND(s_Irr!Z13=".",s_Irr!AX13=".",s_Irr!BV13&lt;&gt;"."),s_dir!AZ13/((1/1000)*(s_Irr!BV13)),IF(AND(s_Irr!Z13=".",s_Irr!AX13&lt;&gt;".",s_Irr!BV13="."),s_dir!AZ13/((1/1000)*(s_Irr!AX13)),IF(AND(s_Irr!Z13&lt;&gt;".",s_Irr!AX13=".",s_Irr!BV13="."),s_dir!AZ13/((1/1000)*(s_Irr!Z13)),IF(AND(s_Irr!Z13=".",s_Irr!AX13=".",s_Irr!BV13="."),s_dir!AZ13*1000)))))))),".")</f>
        <v>582.3857387376944</v>
      </c>
      <c r="BZ13" s="62">
        <f t="shared" si="1"/>
        <v>300.23337305937468</v>
      </c>
      <c r="CA13" s="62">
        <f>IFERROR(s_C*s_IFAP_far_adj*s_CF_apple*(1/1000)*(s_Irr!C13+s_Irr!AA13+s_Irr!AY13),".")</f>
        <v>88.907912577951549</v>
      </c>
      <c r="CB13" s="62">
        <f>IFERROR(s_C*s_IFAS_far_adj*s_CF_asparagus*(1/1000)*(s_Irr!D13+s_Irr!AB13+s_Irr!AZ13),".")</f>
        <v>129.02931451478494</v>
      </c>
      <c r="CC13" s="62">
        <f>IFERROR(s_C*s_IFBT_far_adj*s_CF_beet*(1/1000)*(s_Irr!E13+s_Irr!AC13+s_Irr!BA13),".")</f>
        <v>121.51594336556522</v>
      </c>
      <c r="CD13" s="62">
        <f>IFERROR(s_C*s_IFBE_far_adj*s_CF_berries*(1/1000)*(s_Irr!F13+s_Irr!AD13+s_Irr!BB13),".")</f>
        <v>88.907912577951549</v>
      </c>
      <c r="CE13" s="62">
        <f>IFERROR(s_C*s_IFBR_far_adj*s_CF_broccoli*(1/1000)*(s_Irr!G13+s_Irr!AE13+s_Irr!BC13),".")</f>
        <v>115.50524644618942</v>
      </c>
      <c r="CF13" s="62">
        <f>IFERROR(s_C*s_IFCB_far_adj*s_CF_cabbage*(1/1000)*(s_Irr!H13+s_Irr!AF13+s_Irr!BD13),".")</f>
        <v>129.02931451478494</v>
      </c>
      <c r="CG13" s="62">
        <f>IFERROR(s_C*s_IFCR_far_adj*s_CF_carrot*(1/1000)*(s_Irr!I13+s_Irr!AG13+s_Irr!BE13),".")</f>
        <v>121.51594336556522</v>
      </c>
      <c r="CH13" s="62">
        <f>IFERROR(s_C*s_IFCI_far_adj*s_CF_citrus*(1/1000)*(s_Irr!J13+s_Irr!AH13+s_Irr!BF13),".")</f>
        <v>88.907912577951549</v>
      </c>
      <c r="CI13" s="62">
        <f>IFERROR(s_C*s_IFCO_far_adj*s_CF_corn*(1/1000)*(s_Irr!K13+s_Irr!AI13+s_Irr!BG13),".")</f>
        <v>95.669946612249319</v>
      </c>
      <c r="CJ13" s="62">
        <f>IFERROR(s_C*s_IFCU_far_adj*s_CF_cucumber*(1/1000)*(s_Irr!L13+s_Irr!AJ13+s_Irr!BH13),".")</f>
        <v>115.50524644618942</v>
      </c>
      <c r="CK13" s="62">
        <f>IFERROR(s_C*s_IFLE_far_adj*s_CF_lettuce*(1/1000)*(s_Irr!M13+s_Irr!AK13+s_Irr!BI13),".")</f>
        <v>129.02931451478494</v>
      </c>
      <c r="CL13" s="62">
        <f>IFERROR(s_C*s_IFLI_far_adj*s_CF_lima_bean*(1/1000)*(s_Irr!N13+s_Irr!AL13+s_Irr!BJ13),".")</f>
        <v>114.00257221634547</v>
      </c>
      <c r="CM13" s="62">
        <f>IFERROR(s_C*s_IFOK_far_adj*s_CF_okra*(1/1000)*(s_Irr!O13+s_Irr!AM13+s_Irr!BK13),".")</f>
        <v>115.50524644618942</v>
      </c>
      <c r="CN13" s="62">
        <f>IFERROR(s_C*s_IFON_far_adj*s_CF_onion*(1/1000)*(s_Irr!P13+s_Irr!AN13+s_Irr!BL13),".")</f>
        <v>115.50524644618942</v>
      </c>
      <c r="CO13" s="62">
        <f>IFERROR(s_C*s_IFPC_far_adj*s_CF_peach*(1/1000)*(s_Irr!Q13+s_Irr!AO13+s_Irr!BM13),".")</f>
        <v>88.907912577951549</v>
      </c>
      <c r="CP13" s="62">
        <f>IFERROR(s_C*s_IFPR_far_adj*s_CF_pear*(1/1000)*(s_Irr!R13+s_Irr!AP13+s_Irr!BN13),".")</f>
        <v>88.907912577951549</v>
      </c>
      <c r="CQ13" s="62">
        <f>IFERROR(s_C*s_IFPE_far_adj*s_CF_peas*(1/1000)*(s_Irr!S13+s_Irr!AQ13+s_Irr!BO13),".")</f>
        <v>114.00257221634547</v>
      </c>
      <c r="CR13" s="62">
        <f>IFERROR(s_C*s_IFPT_far_adj*s_CF_potato*(1/1000)*(s_Irr!T13+s_Irr!AR13+s_Irr!BP13),".")</f>
        <v>97.022353419108867</v>
      </c>
      <c r="CS13" s="62">
        <f>IFERROR(s_C*s_IFPU_far_adj*s_CF_pumpkin*(1/1000)*(s_Irr!U13+s_Irr!AS13+s_Irr!BQ13),".")</f>
        <v>115.50524644618942</v>
      </c>
      <c r="CT13" s="62">
        <f>IFERROR(s_C*s_IFSN_far_adj*s_CF_snap_bean*(1/1000)*(s_Irr!V13+s_Irr!AT13+s_Irr!BR13),".")</f>
        <v>114.00257221634547</v>
      </c>
      <c r="CU13" s="62">
        <f>IFERROR(s_C*s_IFST_far_adj*s_CF_strawberry*(1/1000)*(s_Irr!W13+s_Irr!AU13+s_Irr!BS13),".")</f>
        <v>88.907912577951549</v>
      </c>
      <c r="CV13" s="62">
        <f>IFERROR(s_C*s_IFTO_far_adj*s_CF_tomato*(1/1000)*(s_Irr!X13+s_Irr!AV13+s_Irr!BT13),".")</f>
        <v>115.50524644618942</v>
      </c>
      <c r="CW13" s="62">
        <f>IFERROR(s_C*s_IFRI_far_adj*s_CF_rice*(1/1000)*(s_Irr!Y13+s_Irr!AW13+s_Irr!BU13),".")</f>
        <v>118.51059490587731</v>
      </c>
      <c r="CX13" s="62">
        <f>IFERROR(s_C*s_IFCG_far_adj*s_CF_cereal*(1/1000)*(s_Irr!Z13+s_Irr!AX13+s_Irr!BV13),".")</f>
        <v>92.814865575545824</v>
      </c>
    </row>
    <row r="14" spans="1:102" ht="15" customHeight="1" x14ac:dyDescent="0.25">
      <c r="A14" s="61" t="s">
        <v>12</v>
      </c>
      <c r="B14" s="49" t="s">
        <v>1059</v>
      </c>
      <c r="C14" s="48">
        <f t="shared" si="2"/>
        <v>16488.096096734134</v>
      </c>
      <c r="D14" s="48">
        <f>IFERROR(IF(AND(s_Irr!C14&lt;&gt;".",s_Irr!AA14&lt;&gt;".",s_Irr!AY14&lt;&gt;"."),s_dir!D14/((1/1000)*(s_Irr!C14+s_Irr!AA14+s_Irr!AY14)),IF(AND(s_Irr!C14&lt;&gt;".",s_Irr!AA14&lt;&gt;".",s_Irr!AY14="."),s_dir!D14/((1/1000)*(s_Irr!C14+s_Irr!AA14)),IF(AND(s_Irr!C14&lt;&gt;".",s_Irr!AA14=".",s_Irr!AY14&lt;&gt;"."),s_dir!D14/((1/1000)*(s_Irr!C14+s_Irr!AY14)),IF(AND(s_Irr!C14=".",s_Irr!AA14&lt;&gt;".",s_Irr!AY14&lt;&gt;"."),s_dir!D14/((1/1000)*(s_Irr!AA14+s_Irr!AY14)),IF(AND(s_Irr!C14=".",s_Irr!AA14=".",s_Irr!AY14&lt;&gt;"."),s_dir!D14/((1/1000)*(s_Irr!AY14)),IF(AND(s_Irr!C14=".",s_Irr!AA14&lt;&gt;".",s_Irr!AY14="."),s_dir!D14/((1/1000)*(s_Irr!AA14)),IF(AND(s_Irr!C14&lt;&gt;".",s_Irr!AA14=".",s_Irr!AY14="."),s_dir!D14/((1/1000)*(s_Irr!C14)),IF(AND(s_Irr!C14=".",s_Irr!AA14=".",s_Irr!AY14="."),s_dir!D14*1000)))))))),".")</f>
        <v>49464.288290202407</v>
      </c>
      <c r="E14" s="48">
        <f>IFERROR(IF(AND(s_Irr!D14&lt;&gt;".",s_Irr!AB14&lt;&gt;".",s_Irr!AZ14&lt;&gt;"."),s_dir!E14/((1/1000)*(s_Irr!D14+s_Irr!AB14+s_Irr!AZ14)),IF(AND(s_Irr!D14&lt;&gt;".",s_Irr!AB14&lt;&gt;".",s_Irr!AZ14="."),s_dir!E14/((1/1000)*(s_Irr!D14+s_Irr!AB14)),IF(AND(s_Irr!D14&lt;&gt;".",s_Irr!AB14=".",s_Irr!AZ14&lt;&gt;"."),s_dir!E14/((1/1000)*(s_Irr!D14+s_Irr!AZ14)),IF(AND(s_Irr!D14=".",s_Irr!AB14&lt;&gt;".",s_Irr!AZ14&lt;&gt;"."),s_dir!E14/((1/1000)*(s_Irr!AB14+s_Irr!AZ14)),IF(AND(s_Irr!D14=".",s_Irr!AB14=".",s_Irr!AZ14&lt;&gt;"."),s_dir!E14/((1/1000)*(s_Irr!AZ14)),IF(AND(s_Irr!D14=".",s_Irr!AB14&lt;&gt;".",s_Irr!AZ14="."),s_dir!E14/((1/1000)*(s_Irr!AB14)),IF(AND(s_Irr!D14&lt;&gt;".",s_Irr!AB14=".",s_Irr!AZ14="."),s_dir!E14/((1/1000)*(s_Irr!D14)),IF(AND(s_Irr!D14=".",s_Irr!AB14=".",s_Irr!AZ14="."),s_dir!E14*1000)))))))),".")</f>
        <v>49464.288290202407</v>
      </c>
      <c r="F14" s="48">
        <f>IFERROR(IF(AND(s_Irr!E14&lt;&gt;".",s_Irr!AC14&lt;&gt;".",s_Irr!BA14&lt;&gt;"."),s_dir!F14/((1/1000)*(s_Irr!E14+s_Irr!AC14+s_Irr!BA14)),IF(AND(s_Irr!E14&lt;&gt;".",s_Irr!AC14&lt;&gt;".",s_Irr!BA14="."),s_dir!F14/((1/1000)*(s_Irr!E14+s_Irr!AC14)),IF(AND(s_Irr!E14&lt;&gt;".",s_Irr!AC14=".",s_Irr!BA14&lt;&gt;"."),s_dir!F14/((1/1000)*(s_Irr!E14+s_Irr!BA14)),IF(AND(s_Irr!E14=".",s_Irr!AC14&lt;&gt;".",s_Irr!BA14&lt;&gt;"."),s_dir!F14/((1/1000)*(s_Irr!AC14+s_Irr!BA14)),IF(AND(s_Irr!E14=".",s_Irr!AC14=".",s_Irr!BA14&lt;&gt;"."),s_dir!F14/((1/1000)*(s_Irr!BA14)),IF(AND(s_Irr!E14=".",s_Irr!AC14&lt;&gt;".",s_Irr!BA14="."),s_dir!F14/((1/1000)*(s_Irr!AC14)),IF(AND(s_Irr!E14&lt;&gt;".",s_Irr!AC14=".",s_Irr!BA14="."),s_dir!F14/((1/1000)*(s_Irr!E14)),IF(AND(s_Irr!E14=".",s_Irr!AC14=".",s_Irr!BA14="."),s_dir!F14*1000)))))))),".")</f>
        <v>49464.288290202407</v>
      </c>
      <c r="G14" s="48">
        <f>IFERROR(IF(AND(s_Irr!F14&lt;&gt;".",s_Irr!AD14&lt;&gt;".",s_Irr!BB14&lt;&gt;"."),s_dir!G14/((1/1000)*(s_Irr!F14+s_Irr!AD14+s_Irr!BB14)),IF(AND(s_Irr!F14&lt;&gt;".",s_Irr!AD14&lt;&gt;".",s_Irr!BB14="."),s_dir!G14/((1/1000)*(s_Irr!F14+s_Irr!AD14)),IF(AND(s_Irr!F14&lt;&gt;".",s_Irr!AD14=".",s_Irr!BB14&lt;&gt;"."),s_dir!G14/((1/1000)*(s_Irr!F14+s_Irr!BB14)),IF(AND(s_Irr!F14=".",s_Irr!AD14&lt;&gt;".",s_Irr!BB14&lt;&gt;"."),s_dir!G14/((1/1000)*(s_Irr!AD14+s_Irr!BB14)),IF(AND(s_Irr!F14=".",s_Irr!AD14=".",s_Irr!BB14&lt;&gt;"."),s_dir!G14/((1/1000)*(s_Irr!BB14)),IF(AND(s_Irr!F14=".",s_Irr!AD14&lt;&gt;".",s_Irr!BB14="."),s_dir!G14/((1/1000)*(s_Irr!AD14)),IF(AND(s_Irr!F14&lt;&gt;".",s_Irr!AD14=".",s_Irr!BB14="."),s_dir!G14/((1/1000)*(s_Irr!F14)),IF(AND(s_Irr!F14=".",s_Irr!AD14=".",s_Irr!BB14="."),s_dir!G14*1000)))))))),".")</f>
        <v>49464.288290202407</v>
      </c>
      <c r="H14" s="48">
        <f>IFERROR(IF(AND(s_Irr!G14&lt;&gt;".",s_Irr!AE14&lt;&gt;".",s_Irr!BC14&lt;&gt;"."),s_dir!H14/((1/1000)*(s_Irr!G14+s_Irr!AE14+s_Irr!BC14)),IF(AND(s_Irr!G14&lt;&gt;".",s_Irr!AE14&lt;&gt;".",s_Irr!BC14="."),s_dir!H14/((1/1000)*(s_Irr!G14+s_Irr!AE14)),IF(AND(s_Irr!G14&lt;&gt;".",s_Irr!AE14=".",s_Irr!BC14&lt;&gt;"."),s_dir!H14/((1/1000)*(s_Irr!G14+s_Irr!BC14)),IF(AND(s_Irr!G14=".",s_Irr!AE14&lt;&gt;".",s_Irr!BC14&lt;&gt;"."),s_dir!H14/((1/1000)*(s_Irr!AE14+s_Irr!BC14)),IF(AND(s_Irr!G14=".",s_Irr!AE14=".",s_Irr!BC14&lt;&gt;"."),s_dir!H14/((1/1000)*(s_Irr!BC14)),IF(AND(s_Irr!G14=".",s_Irr!AE14&lt;&gt;".",s_Irr!BC14="."),s_dir!H14/((1/1000)*(s_Irr!AE14)),IF(AND(s_Irr!G14&lt;&gt;".",s_Irr!AE14=".",s_Irr!BC14="."),s_dir!H14/((1/1000)*(s_Irr!G14)),IF(AND(s_Irr!G14=".",s_Irr!AE14=".",s_Irr!BC14="."),s_dir!H14*1000)))))))),".")</f>
        <v>49464.288290202407</v>
      </c>
      <c r="I14" s="48">
        <f>IFERROR(IF(AND(s_Irr!H14&lt;&gt;".",s_Irr!AF14&lt;&gt;".",s_Irr!BD14&lt;&gt;"."),s_dir!I14/((1/1000)*(s_Irr!H14+s_Irr!AF14+s_Irr!BD14)),IF(AND(s_Irr!H14&lt;&gt;".",s_Irr!AF14&lt;&gt;".",s_Irr!BD14="."),s_dir!I14/((1/1000)*(s_Irr!H14+s_Irr!AF14)),IF(AND(s_Irr!H14&lt;&gt;".",s_Irr!AF14=".",s_Irr!BD14&lt;&gt;"."),s_dir!I14/((1/1000)*(s_Irr!H14+s_Irr!BD14)),IF(AND(s_Irr!H14=".",s_Irr!AF14&lt;&gt;".",s_Irr!BD14&lt;&gt;"."),s_dir!I14/((1/1000)*(s_Irr!AF14+s_Irr!BD14)),IF(AND(s_Irr!H14=".",s_Irr!AF14=".",s_Irr!BD14&lt;&gt;"."),s_dir!I14/((1/1000)*(s_Irr!BD14)),IF(AND(s_Irr!H14=".",s_Irr!AF14&lt;&gt;".",s_Irr!BD14="."),s_dir!I14/((1/1000)*(s_Irr!AF14)),IF(AND(s_Irr!H14&lt;&gt;".",s_Irr!AF14=".",s_Irr!BD14="."),s_dir!I14/((1/1000)*(s_Irr!H14)),IF(AND(s_Irr!H14=".",s_Irr!AF14=".",s_Irr!BD14="."),s_dir!I14*1000)))))))),".")</f>
        <v>49464.288290202407</v>
      </c>
      <c r="J14" s="48">
        <f>IFERROR(IF(AND(s_Irr!I14&lt;&gt;".",s_Irr!AG14&lt;&gt;".",s_Irr!BE14&lt;&gt;"."),s_dir!J14/((1/1000)*(s_Irr!I14+s_Irr!AG14+s_Irr!BE14)),IF(AND(s_Irr!I14&lt;&gt;".",s_Irr!AG14&lt;&gt;".",s_Irr!BE14="."),s_dir!J14/((1/1000)*(s_Irr!I14+s_Irr!AG14)),IF(AND(s_Irr!I14&lt;&gt;".",s_Irr!AG14=".",s_Irr!BE14&lt;&gt;"."),s_dir!J14/((1/1000)*(s_Irr!I14+s_Irr!BE14)),IF(AND(s_Irr!I14=".",s_Irr!AG14&lt;&gt;".",s_Irr!BE14&lt;&gt;"."),s_dir!J14/((1/1000)*(s_Irr!AG14+s_Irr!BE14)),IF(AND(s_Irr!I14=".",s_Irr!AG14=".",s_Irr!BE14&lt;&gt;"."),s_dir!J14/((1/1000)*(s_Irr!BE14)),IF(AND(s_Irr!I14=".",s_Irr!AG14&lt;&gt;".",s_Irr!BE14="."),s_dir!J14/((1/1000)*(s_Irr!AG14)),IF(AND(s_Irr!I14&lt;&gt;".",s_Irr!AG14=".",s_Irr!BE14="."),s_dir!J14/((1/1000)*(s_Irr!I14)),IF(AND(s_Irr!I14=".",s_Irr!AG14=".",s_Irr!BE14="."),s_dir!J14*1000)))))))),".")</f>
        <v>49464.288290202407</v>
      </c>
      <c r="K14" s="48">
        <f>IFERROR(IF(AND(s_Irr!J14&lt;&gt;".",s_Irr!AH14&lt;&gt;".",s_Irr!BF14&lt;&gt;"."),s_dir!K14/((1/1000)*(s_Irr!J14+s_Irr!AH14+s_Irr!BF14)),IF(AND(s_Irr!J14&lt;&gt;".",s_Irr!AH14&lt;&gt;".",s_Irr!BF14="."),s_dir!K14/((1/1000)*(s_Irr!J14+s_Irr!AH14)),IF(AND(s_Irr!J14&lt;&gt;".",s_Irr!AH14=".",s_Irr!BF14&lt;&gt;"."),s_dir!K14/((1/1000)*(s_Irr!J14+s_Irr!BF14)),IF(AND(s_Irr!J14=".",s_Irr!AH14&lt;&gt;".",s_Irr!BF14&lt;&gt;"."),s_dir!K14/((1/1000)*(s_Irr!AH14+s_Irr!BF14)),IF(AND(s_Irr!J14=".",s_Irr!AH14=".",s_Irr!BF14&lt;&gt;"."),s_dir!K14/((1/1000)*(s_Irr!BF14)),IF(AND(s_Irr!J14=".",s_Irr!AH14&lt;&gt;".",s_Irr!BF14="."),s_dir!K14/((1/1000)*(s_Irr!AH14)),IF(AND(s_Irr!J14&lt;&gt;".",s_Irr!AH14=".",s_Irr!BF14="."),s_dir!K14/((1/1000)*(s_Irr!J14)),IF(AND(s_Irr!J14=".",s_Irr!AH14=".",s_Irr!BF14="."),s_dir!K14*1000)))))))),".")</f>
        <v>49464.288290202407</v>
      </c>
      <c r="L14" s="48">
        <f>IFERROR(IF(AND(s_Irr!K14&lt;&gt;".",s_Irr!AI14&lt;&gt;".",s_Irr!BG14&lt;&gt;"."),s_dir!L14/((1/1000)*(s_Irr!K14+s_Irr!AI14+s_Irr!BG14)),IF(AND(s_Irr!K14&lt;&gt;".",s_Irr!AI14&lt;&gt;".",s_Irr!BG14="."),s_dir!L14/((1/1000)*(s_Irr!K14+s_Irr!AI14)),IF(AND(s_Irr!K14&lt;&gt;".",s_Irr!AI14=".",s_Irr!BG14&lt;&gt;"."),s_dir!L14/((1/1000)*(s_Irr!K14+s_Irr!BG14)),IF(AND(s_Irr!K14=".",s_Irr!AI14&lt;&gt;".",s_Irr!BG14&lt;&gt;"."),s_dir!L14/((1/1000)*(s_Irr!AI14+s_Irr!BG14)),IF(AND(s_Irr!K14=".",s_Irr!AI14=".",s_Irr!BG14&lt;&gt;"."),s_dir!L14/((1/1000)*(s_Irr!BG14)),IF(AND(s_Irr!K14=".",s_Irr!AI14&lt;&gt;".",s_Irr!BG14="."),s_dir!L14/((1/1000)*(s_Irr!AI14)),IF(AND(s_Irr!K14&lt;&gt;".",s_Irr!AI14=".",s_Irr!BG14="."),s_dir!L14/((1/1000)*(s_Irr!K14)),IF(AND(s_Irr!K14=".",s_Irr!AI14=".",s_Irr!BG14="."),s_dir!L14*1000)))))))),".")</f>
        <v>49464.288290202407</v>
      </c>
      <c r="M14" s="48">
        <f>IFERROR(IF(AND(s_Irr!L14&lt;&gt;".",s_Irr!AJ14&lt;&gt;".",s_Irr!BH14&lt;&gt;"."),s_dir!M14/((1/1000)*(s_Irr!L14+s_Irr!AJ14+s_Irr!BH14)),IF(AND(s_Irr!L14&lt;&gt;".",s_Irr!AJ14&lt;&gt;".",s_Irr!BH14="."),s_dir!M14/((1/1000)*(s_Irr!L14+s_Irr!AJ14)),IF(AND(s_Irr!L14&lt;&gt;".",s_Irr!AJ14=".",s_Irr!BH14&lt;&gt;"."),s_dir!M14/((1/1000)*(s_Irr!L14+s_Irr!BH14)),IF(AND(s_Irr!L14=".",s_Irr!AJ14&lt;&gt;".",s_Irr!BH14&lt;&gt;"."),s_dir!M14/((1/1000)*(s_Irr!AJ14+s_Irr!BH14)),IF(AND(s_Irr!L14=".",s_Irr!AJ14=".",s_Irr!BH14&lt;&gt;"."),s_dir!M14/((1/1000)*(s_Irr!BH14)),IF(AND(s_Irr!L14=".",s_Irr!AJ14&lt;&gt;".",s_Irr!BH14="."),s_dir!M14/((1/1000)*(s_Irr!AJ14)),IF(AND(s_Irr!L14&lt;&gt;".",s_Irr!AJ14=".",s_Irr!BH14="."),s_dir!M14/((1/1000)*(s_Irr!L14)),IF(AND(s_Irr!L14=".",s_Irr!AJ14=".",s_Irr!BH14="."),s_dir!M14*1000)))))))),".")</f>
        <v>49464.288290202407</v>
      </c>
      <c r="N14" s="48">
        <f>IFERROR(IF(AND(s_Irr!M14&lt;&gt;".",s_Irr!AK14&lt;&gt;".",s_Irr!BI14&lt;&gt;"."),s_dir!N14/((1/1000)*(s_Irr!M14+s_Irr!AK14+s_Irr!BI14)),IF(AND(s_Irr!M14&lt;&gt;".",s_Irr!AK14&lt;&gt;".",s_Irr!BI14="."),s_dir!N14/((1/1000)*(s_Irr!M14+s_Irr!AK14)),IF(AND(s_Irr!M14&lt;&gt;".",s_Irr!AK14=".",s_Irr!BI14&lt;&gt;"."),s_dir!N14/((1/1000)*(s_Irr!M14+s_Irr!BI14)),IF(AND(s_Irr!M14=".",s_Irr!AK14&lt;&gt;".",s_Irr!BI14&lt;&gt;"."),s_dir!N14/((1/1000)*(s_Irr!AK14+s_Irr!BI14)),IF(AND(s_Irr!M14=".",s_Irr!AK14=".",s_Irr!BI14&lt;&gt;"."),s_dir!N14/((1/1000)*(s_Irr!BI14)),IF(AND(s_Irr!M14=".",s_Irr!AK14&lt;&gt;".",s_Irr!BI14="."),s_dir!N14/((1/1000)*(s_Irr!AK14)),IF(AND(s_Irr!M14&lt;&gt;".",s_Irr!AK14=".",s_Irr!BI14="."),s_dir!N14/((1/1000)*(s_Irr!M14)),IF(AND(s_Irr!M14=".",s_Irr!AK14=".",s_Irr!BI14="."),s_dir!N14*1000)))))))),".")</f>
        <v>49464.288290202407</v>
      </c>
      <c r="O14" s="48">
        <f>IFERROR(IF(AND(s_Irr!N14&lt;&gt;".",s_Irr!AL14&lt;&gt;".",s_Irr!BJ14&lt;&gt;"."),s_dir!O14/((1/1000)*(s_Irr!N14+s_Irr!AL14+s_Irr!BJ14)),IF(AND(s_Irr!N14&lt;&gt;".",s_Irr!AL14&lt;&gt;".",s_Irr!BJ14="."),s_dir!O14/((1/1000)*(s_Irr!N14+s_Irr!AL14)),IF(AND(s_Irr!N14&lt;&gt;".",s_Irr!AL14=".",s_Irr!BJ14&lt;&gt;"."),s_dir!O14/((1/1000)*(s_Irr!N14+s_Irr!BJ14)),IF(AND(s_Irr!N14=".",s_Irr!AL14&lt;&gt;".",s_Irr!BJ14&lt;&gt;"."),s_dir!O14/((1/1000)*(s_Irr!AL14+s_Irr!BJ14)),IF(AND(s_Irr!N14=".",s_Irr!AL14=".",s_Irr!BJ14&lt;&gt;"."),s_dir!O14/((1/1000)*(s_Irr!BJ14)),IF(AND(s_Irr!N14=".",s_Irr!AL14&lt;&gt;".",s_Irr!BJ14="."),s_dir!O14/((1/1000)*(s_Irr!AL14)),IF(AND(s_Irr!N14&lt;&gt;".",s_Irr!AL14=".",s_Irr!BJ14="."),s_dir!O14/((1/1000)*(s_Irr!N14)),IF(AND(s_Irr!N14=".",s_Irr!AL14=".",s_Irr!BJ14="."),s_dir!O14*1000)))))))),".")</f>
        <v>49464.288290202407</v>
      </c>
      <c r="P14" s="48">
        <f>IFERROR(IF(AND(s_Irr!O14&lt;&gt;".",s_Irr!AM14&lt;&gt;".",s_Irr!BK14&lt;&gt;"."),s_dir!P14/((1/1000)*(s_Irr!O14+s_Irr!AM14+s_Irr!BK14)),IF(AND(s_Irr!O14&lt;&gt;".",s_Irr!AM14&lt;&gt;".",s_Irr!BK14="."),s_dir!P14/((1/1000)*(s_Irr!O14+s_Irr!AM14)),IF(AND(s_Irr!O14&lt;&gt;".",s_Irr!AM14=".",s_Irr!BK14&lt;&gt;"."),s_dir!P14/((1/1000)*(s_Irr!O14+s_Irr!BK14)),IF(AND(s_Irr!O14=".",s_Irr!AM14&lt;&gt;".",s_Irr!BK14&lt;&gt;"."),s_dir!P14/((1/1000)*(s_Irr!AM14+s_Irr!BK14)),IF(AND(s_Irr!O14=".",s_Irr!AM14=".",s_Irr!BK14&lt;&gt;"."),s_dir!P14/((1/1000)*(s_Irr!BK14)),IF(AND(s_Irr!O14=".",s_Irr!AM14&lt;&gt;".",s_Irr!BK14="."),s_dir!P14/((1/1000)*(s_Irr!AM14)),IF(AND(s_Irr!O14&lt;&gt;".",s_Irr!AM14=".",s_Irr!BK14="."),s_dir!P14/((1/1000)*(s_Irr!O14)),IF(AND(s_Irr!O14=".",s_Irr!AM14=".",s_Irr!BK14="."),s_dir!P14*1000)))))))),".")</f>
        <v>49464.288290202407</v>
      </c>
      <c r="Q14" s="48">
        <f>IFERROR(IF(AND(s_Irr!P14&lt;&gt;".",s_Irr!AN14&lt;&gt;".",s_Irr!BL14&lt;&gt;"."),s_dir!Q14/((1/1000)*(s_Irr!P14+s_Irr!AN14+s_Irr!BL14)),IF(AND(s_Irr!P14&lt;&gt;".",s_Irr!AN14&lt;&gt;".",s_Irr!BL14="."),s_dir!Q14/((1/1000)*(s_Irr!P14+s_Irr!AN14)),IF(AND(s_Irr!P14&lt;&gt;".",s_Irr!AN14=".",s_Irr!BL14&lt;&gt;"."),s_dir!Q14/((1/1000)*(s_Irr!P14+s_Irr!BL14)),IF(AND(s_Irr!P14=".",s_Irr!AN14&lt;&gt;".",s_Irr!BL14&lt;&gt;"."),s_dir!Q14/((1/1000)*(s_Irr!AN14+s_Irr!BL14)),IF(AND(s_Irr!P14=".",s_Irr!AN14=".",s_Irr!BL14&lt;&gt;"."),s_dir!Q14/((1/1000)*(s_Irr!BL14)),IF(AND(s_Irr!P14=".",s_Irr!AN14&lt;&gt;".",s_Irr!BL14="."),s_dir!Q14/((1/1000)*(s_Irr!AN14)),IF(AND(s_Irr!P14&lt;&gt;".",s_Irr!AN14=".",s_Irr!BL14="."),s_dir!Q14/((1/1000)*(s_Irr!P14)),IF(AND(s_Irr!P14=".",s_Irr!AN14=".",s_Irr!BL14="."),s_dir!Q14*1000)))))))),".")</f>
        <v>49464.288290202407</v>
      </c>
      <c r="R14" s="48">
        <f>IFERROR(IF(AND(s_Irr!Q14&lt;&gt;".",s_Irr!AO14&lt;&gt;".",s_Irr!BM14&lt;&gt;"."),s_dir!R14/((1/1000)*(s_Irr!Q14+s_Irr!AO14+s_Irr!BM14)),IF(AND(s_Irr!Q14&lt;&gt;".",s_Irr!AO14&lt;&gt;".",s_Irr!BM14="."),s_dir!R14/((1/1000)*(s_Irr!Q14+s_Irr!AO14)),IF(AND(s_Irr!Q14&lt;&gt;".",s_Irr!AO14=".",s_Irr!BM14&lt;&gt;"."),s_dir!R14/((1/1000)*(s_Irr!Q14+s_Irr!BM14)),IF(AND(s_Irr!Q14=".",s_Irr!AO14&lt;&gt;".",s_Irr!BM14&lt;&gt;"."),s_dir!R14/((1/1000)*(s_Irr!AO14+s_Irr!BM14)),IF(AND(s_Irr!Q14=".",s_Irr!AO14=".",s_Irr!BM14&lt;&gt;"."),s_dir!R14/((1/1000)*(s_Irr!BM14)),IF(AND(s_Irr!Q14=".",s_Irr!AO14&lt;&gt;".",s_Irr!BM14="."),s_dir!R14/((1/1000)*(s_Irr!AO14)),IF(AND(s_Irr!Q14&lt;&gt;".",s_Irr!AO14=".",s_Irr!BM14="."),s_dir!R14/((1/1000)*(s_Irr!Q14)),IF(AND(s_Irr!Q14=".",s_Irr!AO14=".",s_Irr!BM14="."),s_dir!R14*1000)))))))),".")</f>
        <v>49464.288290202407</v>
      </c>
      <c r="S14" s="48">
        <f>IFERROR(IF(AND(s_Irr!R14&lt;&gt;".",s_Irr!AP14&lt;&gt;".",s_Irr!BN14&lt;&gt;"."),s_dir!S14/((1/1000)*(s_Irr!R14+s_Irr!AP14+s_Irr!BN14)),IF(AND(s_Irr!R14&lt;&gt;".",s_Irr!AP14&lt;&gt;".",s_Irr!BN14="."),s_dir!S14/((1/1000)*(s_Irr!R14+s_Irr!AP14)),IF(AND(s_Irr!R14&lt;&gt;".",s_Irr!AP14=".",s_Irr!BN14&lt;&gt;"."),s_dir!S14/((1/1000)*(s_Irr!R14+s_Irr!BN14)),IF(AND(s_Irr!R14=".",s_Irr!AP14&lt;&gt;".",s_Irr!BN14&lt;&gt;"."),s_dir!S14/((1/1000)*(s_Irr!AP14+s_Irr!BN14)),IF(AND(s_Irr!R14=".",s_Irr!AP14=".",s_Irr!BN14&lt;&gt;"."),s_dir!S14/((1/1000)*(s_Irr!BN14)),IF(AND(s_Irr!R14=".",s_Irr!AP14&lt;&gt;".",s_Irr!BN14="."),s_dir!S14/((1/1000)*(s_Irr!AP14)),IF(AND(s_Irr!R14&lt;&gt;".",s_Irr!AP14=".",s_Irr!BN14="."),s_dir!S14/((1/1000)*(s_Irr!R14)),IF(AND(s_Irr!R14=".",s_Irr!AP14=".",s_Irr!BN14="."),s_dir!S14*1000)))))))),".")</f>
        <v>49464.288290202407</v>
      </c>
      <c r="T14" s="48">
        <f>IFERROR(IF(AND(s_Irr!S14&lt;&gt;".",s_Irr!AQ14&lt;&gt;".",s_Irr!BO14&lt;&gt;"."),s_dir!T14/((1/1000)*(s_Irr!S14+s_Irr!AQ14+s_Irr!BO14)),IF(AND(s_Irr!S14&lt;&gt;".",s_Irr!AQ14&lt;&gt;".",s_Irr!BO14="."),s_dir!T14/((1/1000)*(s_Irr!S14+s_Irr!AQ14)),IF(AND(s_Irr!S14&lt;&gt;".",s_Irr!AQ14=".",s_Irr!BO14&lt;&gt;"."),s_dir!T14/((1/1000)*(s_Irr!S14+s_Irr!BO14)),IF(AND(s_Irr!S14=".",s_Irr!AQ14&lt;&gt;".",s_Irr!BO14&lt;&gt;"."),s_dir!T14/((1/1000)*(s_Irr!AQ14+s_Irr!BO14)),IF(AND(s_Irr!S14=".",s_Irr!AQ14=".",s_Irr!BO14&lt;&gt;"."),s_dir!T14/((1/1000)*(s_Irr!BO14)),IF(AND(s_Irr!S14=".",s_Irr!AQ14&lt;&gt;".",s_Irr!BO14="."),s_dir!T14/((1/1000)*(s_Irr!AQ14)),IF(AND(s_Irr!S14&lt;&gt;".",s_Irr!AQ14=".",s_Irr!BO14="."),s_dir!T14/((1/1000)*(s_Irr!S14)),IF(AND(s_Irr!S14=".",s_Irr!AQ14=".",s_Irr!BO14="."),s_dir!T14*1000)))))))),".")</f>
        <v>49464.288290202407</v>
      </c>
      <c r="U14" s="48">
        <f>IFERROR(IF(AND(s_Irr!T14&lt;&gt;".",s_Irr!AR14&lt;&gt;".",s_Irr!BP14&lt;&gt;"."),s_dir!U14/((1/1000)*(s_Irr!T14+s_Irr!AR14+s_Irr!BP14)),IF(AND(s_Irr!T14&lt;&gt;".",s_Irr!AR14&lt;&gt;".",s_Irr!BP14="."),s_dir!U14/((1/1000)*(s_Irr!T14+s_Irr!AR14)),IF(AND(s_Irr!T14&lt;&gt;".",s_Irr!AR14=".",s_Irr!BP14&lt;&gt;"."),s_dir!U14/((1/1000)*(s_Irr!T14+s_Irr!BP14)),IF(AND(s_Irr!T14=".",s_Irr!AR14&lt;&gt;".",s_Irr!BP14&lt;&gt;"."),s_dir!U14/((1/1000)*(s_Irr!AR14+s_Irr!BP14)),IF(AND(s_Irr!T14=".",s_Irr!AR14=".",s_Irr!BP14&lt;&gt;"."),s_dir!U14/((1/1000)*(s_Irr!BP14)),IF(AND(s_Irr!T14=".",s_Irr!AR14&lt;&gt;".",s_Irr!BP14="."),s_dir!U14/((1/1000)*(s_Irr!AR14)),IF(AND(s_Irr!T14&lt;&gt;".",s_Irr!AR14=".",s_Irr!BP14="."),s_dir!U14/((1/1000)*(s_Irr!T14)),IF(AND(s_Irr!T14=".",s_Irr!AR14=".",s_Irr!BP14="."),s_dir!U14*1000)))))))),".")</f>
        <v>49464.288290202407</v>
      </c>
      <c r="V14" s="48">
        <f>IFERROR(IF(AND(s_Irr!U14&lt;&gt;".",s_Irr!AS14&lt;&gt;".",s_Irr!BQ14&lt;&gt;"."),s_dir!V14/((1/1000)*(s_Irr!U14+s_Irr!AS14+s_Irr!BQ14)),IF(AND(s_Irr!U14&lt;&gt;".",s_Irr!AS14&lt;&gt;".",s_Irr!BQ14="."),s_dir!V14/((1/1000)*(s_Irr!U14+s_Irr!AS14)),IF(AND(s_Irr!U14&lt;&gt;".",s_Irr!AS14=".",s_Irr!BQ14&lt;&gt;"."),s_dir!V14/((1/1000)*(s_Irr!U14+s_Irr!BQ14)),IF(AND(s_Irr!U14=".",s_Irr!AS14&lt;&gt;".",s_Irr!BQ14&lt;&gt;"."),s_dir!V14/((1/1000)*(s_Irr!AS14+s_Irr!BQ14)),IF(AND(s_Irr!U14=".",s_Irr!AS14=".",s_Irr!BQ14&lt;&gt;"."),s_dir!V14/((1/1000)*(s_Irr!BQ14)),IF(AND(s_Irr!U14=".",s_Irr!AS14&lt;&gt;".",s_Irr!BQ14="."),s_dir!V14/((1/1000)*(s_Irr!AS14)),IF(AND(s_Irr!U14&lt;&gt;".",s_Irr!AS14=".",s_Irr!BQ14="."),s_dir!V14/((1/1000)*(s_Irr!U14)),IF(AND(s_Irr!U14=".",s_Irr!AS14=".",s_Irr!BQ14="."),s_dir!V14*1000)))))))),".")</f>
        <v>49464.288290202407</v>
      </c>
      <c r="W14" s="48">
        <f>IFERROR(IF(AND(s_Irr!V14&lt;&gt;".",s_Irr!AT14&lt;&gt;".",s_Irr!BR14&lt;&gt;"."),s_dir!W14/((1/1000)*(s_Irr!V14+s_Irr!AT14+s_Irr!BR14)),IF(AND(s_Irr!V14&lt;&gt;".",s_Irr!AT14&lt;&gt;".",s_Irr!BR14="."),s_dir!W14/((1/1000)*(s_Irr!V14+s_Irr!AT14)),IF(AND(s_Irr!V14&lt;&gt;".",s_Irr!AT14=".",s_Irr!BR14&lt;&gt;"."),s_dir!W14/((1/1000)*(s_Irr!V14+s_Irr!BR14)),IF(AND(s_Irr!V14=".",s_Irr!AT14&lt;&gt;".",s_Irr!BR14&lt;&gt;"."),s_dir!W14/((1/1000)*(s_Irr!AT14+s_Irr!BR14)),IF(AND(s_Irr!V14=".",s_Irr!AT14=".",s_Irr!BR14&lt;&gt;"."),s_dir!W14/((1/1000)*(s_Irr!BR14)),IF(AND(s_Irr!V14=".",s_Irr!AT14&lt;&gt;".",s_Irr!BR14="."),s_dir!W14/((1/1000)*(s_Irr!AT14)),IF(AND(s_Irr!V14&lt;&gt;".",s_Irr!AT14=".",s_Irr!BR14="."),s_dir!W14/((1/1000)*(s_Irr!V14)),IF(AND(s_Irr!V14=".",s_Irr!AT14=".",s_Irr!BR14="."),s_dir!W14*1000)))))))),".")</f>
        <v>49464.288290202407</v>
      </c>
      <c r="X14" s="48">
        <f>IFERROR(IF(AND(s_Irr!W14&lt;&gt;".",s_Irr!AU14&lt;&gt;".",s_Irr!BS14&lt;&gt;"."),s_dir!X14/((1/1000)*(s_Irr!W14+s_Irr!AU14+s_Irr!BS14)),IF(AND(s_Irr!W14&lt;&gt;".",s_Irr!AU14&lt;&gt;".",s_Irr!BS14="."),s_dir!X14/((1/1000)*(s_Irr!W14+s_Irr!AU14)),IF(AND(s_Irr!W14&lt;&gt;".",s_Irr!AU14=".",s_Irr!BS14&lt;&gt;"."),s_dir!X14/((1/1000)*(s_Irr!W14+s_Irr!BS14)),IF(AND(s_Irr!W14=".",s_Irr!AU14&lt;&gt;".",s_Irr!BS14&lt;&gt;"."),s_dir!X14/((1/1000)*(s_Irr!AU14+s_Irr!BS14)),IF(AND(s_Irr!W14=".",s_Irr!AU14=".",s_Irr!BS14&lt;&gt;"."),s_dir!X14/((1/1000)*(s_Irr!BS14)),IF(AND(s_Irr!W14=".",s_Irr!AU14&lt;&gt;".",s_Irr!BS14="."),s_dir!X14/((1/1000)*(s_Irr!AU14)),IF(AND(s_Irr!W14&lt;&gt;".",s_Irr!AU14=".",s_Irr!BS14="."),s_dir!X14/((1/1000)*(s_Irr!W14)),IF(AND(s_Irr!W14=".",s_Irr!AU14=".",s_Irr!BS14="."),s_dir!X14*1000)))))))),".")</f>
        <v>49464.288290202407</v>
      </c>
      <c r="Y14" s="48">
        <f>IFERROR(IF(AND(s_Irr!X14&lt;&gt;".",s_Irr!AV14&lt;&gt;".",s_Irr!BT14&lt;&gt;"."),s_dir!Y14/((1/1000)*(s_Irr!X14+s_Irr!AV14+s_Irr!BT14)),IF(AND(s_Irr!X14&lt;&gt;".",s_Irr!AV14&lt;&gt;".",s_Irr!BT14="."),s_dir!Y14/((1/1000)*(s_Irr!X14+s_Irr!AV14)),IF(AND(s_Irr!X14&lt;&gt;".",s_Irr!AV14=".",s_Irr!BT14&lt;&gt;"."),s_dir!Y14/((1/1000)*(s_Irr!X14+s_Irr!BT14)),IF(AND(s_Irr!X14=".",s_Irr!AV14&lt;&gt;".",s_Irr!BT14&lt;&gt;"."),s_dir!Y14/((1/1000)*(s_Irr!AV14+s_Irr!BT14)),IF(AND(s_Irr!X14=".",s_Irr!AV14=".",s_Irr!BT14&lt;&gt;"."),s_dir!Y14/((1/1000)*(s_Irr!BT14)),IF(AND(s_Irr!X14=".",s_Irr!AV14&lt;&gt;".",s_Irr!BT14="."),s_dir!Y14/((1/1000)*(s_Irr!AV14)),IF(AND(s_Irr!X14&lt;&gt;".",s_Irr!AV14=".",s_Irr!BT14="."),s_dir!Y14/((1/1000)*(s_Irr!X14)),IF(AND(s_Irr!X14=".",s_Irr!AV14=".",s_Irr!BT14="."),s_dir!Y14*1000)))))))),".")</f>
        <v>49464.288290202407</v>
      </c>
      <c r="Z14" s="48">
        <f>IFERROR(IF(AND(s_Irr!Y14&lt;&gt;".",s_Irr!AW14&lt;&gt;".",s_Irr!BU14&lt;&gt;"."),s_dir!Z14/((1/1000)*(s_Irr!Y14+s_Irr!AW14+s_Irr!BU14)),IF(AND(s_Irr!Y14&lt;&gt;".",s_Irr!AW14&lt;&gt;".",s_Irr!BU14="."),s_dir!Z14/((1/1000)*(s_Irr!Y14+s_Irr!AW14)),IF(AND(s_Irr!Y14&lt;&gt;".",s_Irr!AW14=".",s_Irr!BU14&lt;&gt;"."),s_dir!Z14/((1/1000)*(s_Irr!Y14+s_Irr!BU14)),IF(AND(s_Irr!Y14=".",s_Irr!AW14&lt;&gt;".",s_Irr!BU14&lt;&gt;"."),s_dir!Z14/((1/1000)*(s_Irr!AW14+s_Irr!BU14)),IF(AND(s_Irr!Y14=".",s_Irr!AW14=".",s_Irr!BU14&lt;&gt;"."),s_dir!Z14/((1/1000)*(s_Irr!BU14)),IF(AND(s_Irr!Y14=".",s_Irr!AW14&lt;&gt;".",s_Irr!BU14="."),s_dir!Z14/((1/1000)*(s_Irr!AW14)),IF(AND(s_Irr!Y14&lt;&gt;".",s_Irr!AW14=".",s_Irr!BU14="."),s_dir!Z14/((1/1000)*(s_Irr!Y14)),IF(AND(s_Irr!Y14=".",s_Irr!AW14=".",s_Irr!BU14="."),s_dir!Z14*1000)))))))),".")</f>
        <v>49464.288290202407</v>
      </c>
      <c r="AA14" s="48">
        <f>IFERROR(IF(AND(s_Irr!Z14&lt;&gt;".",s_Irr!AX14&lt;&gt;".",s_Irr!BV14&lt;&gt;"."),s_dir!AA14/((1/1000)*(s_Irr!Z14+s_Irr!AX14+s_Irr!BV14)),IF(AND(s_Irr!Z14&lt;&gt;".",s_Irr!AX14&lt;&gt;".",s_Irr!BV14="."),s_dir!AA14/((1/1000)*(s_Irr!Z14+s_Irr!AX14)),IF(AND(s_Irr!Z14&lt;&gt;".",s_Irr!AX14=".",s_Irr!BV14&lt;&gt;"."),s_dir!AA14/((1/1000)*(s_Irr!Z14+s_Irr!BV14)),IF(AND(s_Irr!Z14=".",s_Irr!AX14&lt;&gt;".",s_Irr!BV14&lt;&gt;"."),s_dir!AA14/((1/1000)*(s_Irr!AX14+s_Irr!BV14)),IF(AND(s_Irr!Z14=".",s_Irr!AX14=".",s_Irr!BV14&lt;&gt;"."),s_dir!AA14/((1/1000)*(s_Irr!BV14)),IF(AND(s_Irr!Z14=".",s_Irr!AX14&lt;&gt;".",s_Irr!BV14="."),s_dir!AA14/((1/1000)*(s_Irr!AX14)),IF(AND(s_Irr!Z14&lt;&gt;".",s_Irr!AX14=".",s_Irr!BV14="."),s_dir!AA14/((1/1000)*(s_Irr!Z14)),IF(AND(s_Irr!Z14=".",s_Irr!AX14=".",s_Irr!BV14="."),s_dir!AA14*1000)))))))),".")</f>
        <v>49464.288290202407</v>
      </c>
      <c r="AB14" s="62">
        <f t="shared" si="3"/>
        <v>310.45155782231353</v>
      </c>
      <c r="AC14" s="62">
        <f>IFERROR(s_C*s_IFAP_res_adj*s_CF_apple*0.001*(s_Irr!C14+s_Irr!AA14+s_Irr!AY14),".")</f>
        <v>103.48385260743784</v>
      </c>
      <c r="AD14" s="62">
        <f>IFERROR(s_C*s_IFAS_res_adj*s_CF_asparagus*0.001*(s_Irr!D14+s_Irr!AB14+s_Irr!AZ14),".")</f>
        <v>103.48385260743784</v>
      </c>
      <c r="AE14" s="62">
        <f>IFERROR(s_C*s_IFBT_res_adj*s_CF_beet*0.001*(s_Irr!E14+s_Irr!AC14+s_Irr!BA14),".")</f>
        <v>103.48385260743784</v>
      </c>
      <c r="AF14" s="62">
        <f>IFERROR(s_C*s_IFBE_res_adj*s_CF_berries*0.001*(s_Irr!F14+s_Irr!AD14+s_Irr!BB14),".")</f>
        <v>103.48385260743784</v>
      </c>
      <c r="AG14" s="62">
        <f>IFERROR(s_C*s_IFBR_res_adj*s_CF_broccoli*0.001*(s_Irr!G14+s_Irr!AE14+s_Irr!BC14),".")</f>
        <v>103.48385260743784</v>
      </c>
      <c r="AH14" s="62">
        <f>IFERROR(s_C*s_IFCB_res_adj*s_CF_cabbage*0.001*(s_Irr!H14+s_Irr!AF14+s_Irr!BD14),".")</f>
        <v>103.48385260743784</v>
      </c>
      <c r="AI14" s="62">
        <f>IFERROR(s_C*s_IFCR_res_adj*s_CF_carrot*0.001*(s_Irr!I14+s_Irr!AG14+s_Irr!BE14),".")</f>
        <v>103.48385260743784</v>
      </c>
      <c r="AJ14" s="62">
        <f>IFERROR(s_C*s_IFCI_res_adj*s_CF_citrus*0.001*(s_Irr!J14+s_Irr!AH14+s_Irr!BF14),".")</f>
        <v>103.48385260743784</v>
      </c>
      <c r="AK14" s="62">
        <f>IFERROR(s_C*s_IFCO_res_adj*s_CF_corn*0.001*(s_Irr!K14+s_Irr!AI14+s_Irr!BG14),".")</f>
        <v>103.48385260743784</v>
      </c>
      <c r="AL14" s="62">
        <f>IFERROR(s_C*s_IFCU_res_adj*s_CF_cucumber*0.001*(s_Irr!L14+s_Irr!AJ14+s_Irr!BH14),".")</f>
        <v>103.48385260743784</v>
      </c>
      <c r="AM14" s="62">
        <f>IFERROR(s_C*s_IFLE_res_adj*s_CF_lettuce*0.001*(s_Irr!M14+s_Irr!AK14+s_Irr!BI14),".")</f>
        <v>103.48385260743784</v>
      </c>
      <c r="AN14" s="62">
        <f>IFERROR(s_C*s_IFLI_res_adj*s_CF_lima_bean*0.001*(s_Irr!N14+s_Irr!AL14+s_Irr!BJ14),".")</f>
        <v>103.48385260743784</v>
      </c>
      <c r="AO14" s="62">
        <f>IFERROR(s_C*s_IFOK_res_adj*s_CF_okra*0.001*(s_Irr!O14+s_Irr!AM14+s_Irr!BK14),".")</f>
        <v>103.48385260743784</v>
      </c>
      <c r="AP14" s="62">
        <f>IFERROR(s_C*s_IFON_res_adj*s_CF_onion*0.001*(s_Irr!P14+s_Irr!AN14+s_Irr!BL14),".")</f>
        <v>103.48385260743784</v>
      </c>
      <c r="AQ14" s="62">
        <f>IFERROR(s_C*s_IFPC_res_adj*s_CF_peach*0.001*(s_Irr!Q14+s_Irr!AO14+s_Irr!BM14),".")</f>
        <v>103.48385260743784</v>
      </c>
      <c r="AR14" s="62">
        <f>IFERROR(s_C*s_IFPR_res_adj*s_CF_pear*0.001*(s_Irr!R14+s_Irr!AP14+s_Irr!BN14),".")</f>
        <v>103.48385260743784</v>
      </c>
      <c r="AS14" s="62">
        <f>IFERROR(s_C*s_IFPE_res_adj*s_CF_peas*0.001*(s_Irr!S14+s_Irr!AQ14+s_Irr!BO14),".")</f>
        <v>103.48385260743784</v>
      </c>
      <c r="AT14" s="62">
        <f>IFERROR(s_C*s_IFPT_res_adj*s_CF_potato*0.001*(s_Irr!T14+s_Irr!AR14+s_Irr!BP14),".")</f>
        <v>103.48385260743784</v>
      </c>
      <c r="AU14" s="62">
        <f>IFERROR(s_C*s_IFPU_res_adj*s_CF_pumpkin*0.001*(s_Irr!U14+s_Irr!AS14+s_Irr!BQ14),".")</f>
        <v>103.48385260743784</v>
      </c>
      <c r="AV14" s="62">
        <f>IFERROR(s_C*s_IFSN_res_adj*s_CF_snap_bean*0.001*(s_Irr!V14+s_Irr!AT14+s_Irr!BR14),".")</f>
        <v>103.48385260743784</v>
      </c>
      <c r="AW14" s="62">
        <f>IFERROR(s_C*s_IFST_res_adj*s_CF_strawberry*0.001*(s_Irr!W14+s_Irr!AU14+s_Irr!BS14),".")</f>
        <v>103.48385260743784</v>
      </c>
      <c r="AX14" s="62">
        <f>IFERROR(s_C*s_IFTO_res_adj*s_CF_tomato*0.001*(s_Irr!X14+s_Irr!AV14+s_Irr!BT14),".")</f>
        <v>103.48385260743784</v>
      </c>
      <c r="AY14" s="62">
        <f>IFERROR(s_C*s_IFRI_res_adj*s_CF_rice*0.001*(s_Irr!Y14+s_Irr!AW14+s_Irr!BU14),".")</f>
        <v>103.48385260743784</v>
      </c>
      <c r="AZ14" s="62">
        <f>IFERROR(s_C*s_IFCG_res_adj*s_CF_cereal*0.001*(s_Irr!Z14+s_Irr!AX14+s_Irr!BV14),".")</f>
        <v>103.48385260743784</v>
      </c>
      <c r="BA14" s="48">
        <f t="shared" si="0"/>
        <v>16488.096096734134</v>
      </c>
      <c r="BB14" s="48">
        <f>IFERROR(IF(AND(s_Irr!C14&lt;&gt;".",s_Irr!AA14&lt;&gt;".",s_Irr!AY14&lt;&gt;"."),s_dir!AC14/((1/1000)*(s_Irr!C14+s_Irr!AA14+s_Irr!AY14)),IF(AND(s_Irr!C14&lt;&gt;".",s_Irr!AA14&lt;&gt;".",s_Irr!AY14="."),s_dir!AC14/((1/1000)*(s_Irr!C14+s_Irr!AA14)),IF(AND(s_Irr!C14&lt;&gt;".",s_Irr!AA14=".",s_Irr!AY14&lt;&gt;"."),s_dir!AC14/((1/1000)*(s_Irr!C14+s_Irr!AY14)),IF(AND(s_Irr!C14=".",s_Irr!AA14&lt;&gt;".",s_Irr!AY14&lt;&gt;"."),s_dir!AC14/((1/1000)*(s_Irr!AA14+s_Irr!AY14)),IF(AND(s_Irr!C14=".",s_Irr!AA14=".",s_Irr!AY14&lt;&gt;"."),s_dir!AC14/((1/1000)*(s_Irr!AY14)),IF(AND(s_Irr!C14=".",s_Irr!AA14&lt;&gt;".",s_Irr!AY14="."),s_dir!AC14/((1/1000)*(s_Irr!AA14)),IF(AND(s_Irr!C14&lt;&gt;".",s_Irr!AA14=".",s_Irr!AY14="."),s_dir!AC14/((1/1000)*(s_Irr!C14)),IF(AND(s_Irr!C14=".",s_Irr!AA14=".",s_Irr!AY14="."),s_dir!AC14*1000)))))))),".")</f>
        <v>49464.288290202407</v>
      </c>
      <c r="BC14" s="48">
        <f>IFERROR(IF(AND(s_Irr!D14&lt;&gt;".",s_Irr!AB14&lt;&gt;".",s_Irr!AZ14&lt;&gt;"."),s_dir!AD14/((1/1000)*(s_Irr!D14+s_Irr!AB14+s_Irr!AZ14)),IF(AND(s_Irr!D14&lt;&gt;".",s_Irr!AB14&lt;&gt;".",s_Irr!AZ14="."),s_dir!AD14/((1/1000)*(s_Irr!D14+s_Irr!AB14)),IF(AND(s_Irr!D14&lt;&gt;".",s_Irr!AB14=".",s_Irr!AZ14&lt;&gt;"."),s_dir!AD14/((1/1000)*(s_Irr!D14+s_Irr!AZ14)),IF(AND(s_Irr!D14=".",s_Irr!AB14&lt;&gt;".",s_Irr!AZ14&lt;&gt;"."),s_dir!AD14/((1/1000)*(s_Irr!AB14+s_Irr!AZ14)),IF(AND(s_Irr!D14=".",s_Irr!AB14=".",s_Irr!AZ14&lt;&gt;"."),s_dir!AD14/((1/1000)*(s_Irr!AZ14)),IF(AND(s_Irr!D14=".",s_Irr!AB14&lt;&gt;".",s_Irr!AZ14="."),s_dir!AD14/((1/1000)*(s_Irr!AB14)),IF(AND(s_Irr!D14&lt;&gt;".",s_Irr!AB14=".",s_Irr!AZ14="."),s_dir!AD14/((1/1000)*(s_Irr!D14)),IF(AND(s_Irr!D14=".",s_Irr!AB14=".",s_Irr!AZ14="."),s_dir!AD14*1000)))))))),".")</f>
        <v>49464.288290202407</v>
      </c>
      <c r="BD14" s="48">
        <f>IFERROR(IF(AND(s_Irr!E14&lt;&gt;".",s_Irr!AC14&lt;&gt;".",s_Irr!BA14&lt;&gt;"."),s_dir!AE14/((1/1000)*(s_Irr!E14+s_Irr!AC14+s_Irr!BA14)),IF(AND(s_Irr!E14&lt;&gt;".",s_Irr!AC14&lt;&gt;".",s_Irr!BA14="."),s_dir!AE14/((1/1000)*(s_Irr!E14+s_Irr!AC14)),IF(AND(s_Irr!E14&lt;&gt;".",s_Irr!AC14=".",s_Irr!BA14&lt;&gt;"."),s_dir!AE14/((1/1000)*(s_Irr!E14+s_Irr!BA14)),IF(AND(s_Irr!E14=".",s_Irr!AC14&lt;&gt;".",s_Irr!BA14&lt;&gt;"."),s_dir!AE14/((1/1000)*(s_Irr!AC14+s_Irr!BA14)),IF(AND(s_Irr!E14=".",s_Irr!AC14=".",s_Irr!BA14&lt;&gt;"."),s_dir!AE14/((1/1000)*(s_Irr!BA14)),IF(AND(s_Irr!E14=".",s_Irr!AC14&lt;&gt;".",s_Irr!BA14="."),s_dir!AE14/((1/1000)*(s_Irr!AC14)),IF(AND(s_Irr!E14&lt;&gt;".",s_Irr!AC14=".",s_Irr!BA14="."),s_dir!AE14/((1/1000)*(s_Irr!E14)),IF(AND(s_Irr!E14=".",s_Irr!AC14=".",s_Irr!BA14="."),s_dir!AE14*1000)))))))),".")</f>
        <v>49464.288290202407</v>
      </c>
      <c r="BE14" s="48">
        <f>IFERROR(IF(AND(s_Irr!F14&lt;&gt;".",s_Irr!AD14&lt;&gt;".",s_Irr!BB14&lt;&gt;"."),s_dir!AF14/((1/1000)*(s_Irr!F14+s_Irr!AD14+s_Irr!BB14)),IF(AND(s_Irr!F14&lt;&gt;".",s_Irr!AD14&lt;&gt;".",s_Irr!BB14="."),s_dir!AF14/((1/1000)*(s_Irr!F14+s_Irr!AD14)),IF(AND(s_Irr!F14&lt;&gt;".",s_Irr!AD14=".",s_Irr!BB14&lt;&gt;"."),s_dir!AF14/((1/1000)*(s_Irr!F14+s_Irr!BB14)),IF(AND(s_Irr!F14=".",s_Irr!AD14&lt;&gt;".",s_Irr!BB14&lt;&gt;"."),s_dir!AF14/((1/1000)*(s_Irr!AD14+s_Irr!BB14)),IF(AND(s_Irr!F14=".",s_Irr!AD14=".",s_Irr!BB14&lt;&gt;"."),s_dir!AF14/((1/1000)*(s_Irr!BB14)),IF(AND(s_Irr!F14=".",s_Irr!AD14&lt;&gt;".",s_Irr!BB14="."),s_dir!AF14/((1/1000)*(s_Irr!AD14)),IF(AND(s_Irr!F14&lt;&gt;".",s_Irr!AD14=".",s_Irr!BB14="."),s_dir!AF14/((1/1000)*(s_Irr!F14)),IF(AND(s_Irr!F14=".",s_Irr!AD14=".",s_Irr!BB14="."),s_dir!AF14*1000)))))))),".")</f>
        <v>49464.288290202407</v>
      </c>
      <c r="BF14" s="48">
        <f>IFERROR(IF(AND(s_Irr!G14&lt;&gt;".",s_Irr!AE14&lt;&gt;".",s_Irr!BC14&lt;&gt;"."),s_dir!AG14/((1/1000)*(s_Irr!G14+s_Irr!AE14+s_Irr!BC14)),IF(AND(s_Irr!G14&lt;&gt;".",s_Irr!AE14&lt;&gt;".",s_Irr!BC14="."),s_dir!AG14/((1/1000)*(s_Irr!G14+s_Irr!AE14)),IF(AND(s_Irr!G14&lt;&gt;".",s_Irr!AE14=".",s_Irr!BC14&lt;&gt;"."),s_dir!AG14/((1/1000)*(s_Irr!G14+s_Irr!BC14)),IF(AND(s_Irr!G14=".",s_Irr!AE14&lt;&gt;".",s_Irr!BC14&lt;&gt;"."),s_dir!AG14/((1/1000)*(s_Irr!AE14+s_Irr!BC14)),IF(AND(s_Irr!G14=".",s_Irr!AE14=".",s_Irr!BC14&lt;&gt;"."),s_dir!AG14/((1/1000)*(s_Irr!BC14)),IF(AND(s_Irr!G14=".",s_Irr!AE14&lt;&gt;".",s_Irr!BC14="."),s_dir!AG14/((1/1000)*(s_Irr!AE14)),IF(AND(s_Irr!G14&lt;&gt;".",s_Irr!AE14=".",s_Irr!BC14="."),s_dir!AG14/((1/1000)*(s_Irr!G14)),IF(AND(s_Irr!G14=".",s_Irr!AE14=".",s_Irr!BC14="."),s_dir!AG14*1000)))))))),".")</f>
        <v>49464.288290202407</v>
      </c>
      <c r="BG14" s="48">
        <f>IFERROR(IF(AND(s_Irr!H14&lt;&gt;".",s_Irr!AF14&lt;&gt;".",s_Irr!BD14&lt;&gt;"."),s_dir!AH14/((1/1000)*(s_Irr!H14+s_Irr!AF14+s_Irr!BD14)),IF(AND(s_Irr!H14&lt;&gt;".",s_Irr!AF14&lt;&gt;".",s_Irr!BD14="."),s_dir!AH14/((1/1000)*(s_Irr!H14+s_Irr!AF14)),IF(AND(s_Irr!H14&lt;&gt;".",s_Irr!AF14=".",s_Irr!BD14&lt;&gt;"."),s_dir!AH14/((1/1000)*(s_Irr!H14+s_Irr!BD14)),IF(AND(s_Irr!H14=".",s_Irr!AF14&lt;&gt;".",s_Irr!BD14&lt;&gt;"."),s_dir!AH14/((1/1000)*(s_Irr!AF14+s_Irr!BD14)),IF(AND(s_Irr!H14=".",s_Irr!AF14=".",s_Irr!BD14&lt;&gt;"."),s_dir!AH14/((1/1000)*(s_Irr!BD14)),IF(AND(s_Irr!H14=".",s_Irr!AF14&lt;&gt;".",s_Irr!BD14="."),s_dir!AH14/((1/1000)*(s_Irr!AF14)),IF(AND(s_Irr!H14&lt;&gt;".",s_Irr!AF14=".",s_Irr!BD14="."),s_dir!AH14/((1/1000)*(s_Irr!H14)),IF(AND(s_Irr!H14=".",s_Irr!AF14=".",s_Irr!BD14="."),s_dir!AH14*1000)))))))),".")</f>
        <v>49464.288290202407</v>
      </c>
      <c r="BH14" s="48">
        <f>IFERROR(IF(AND(s_Irr!I14&lt;&gt;".",s_Irr!AG14&lt;&gt;".",s_Irr!BE14&lt;&gt;"."),s_dir!AI14/((1/1000)*(s_Irr!I14+s_Irr!AG14+s_Irr!BE14)),IF(AND(s_Irr!I14&lt;&gt;".",s_Irr!AG14&lt;&gt;".",s_Irr!BE14="."),s_dir!AI14/((1/1000)*(s_Irr!I14+s_Irr!AG14)),IF(AND(s_Irr!I14&lt;&gt;".",s_Irr!AG14=".",s_Irr!BE14&lt;&gt;"."),s_dir!AI14/((1/1000)*(s_Irr!I14+s_Irr!BE14)),IF(AND(s_Irr!I14=".",s_Irr!AG14&lt;&gt;".",s_Irr!BE14&lt;&gt;"."),s_dir!AI14/((1/1000)*(s_Irr!AG14+s_Irr!BE14)),IF(AND(s_Irr!I14=".",s_Irr!AG14=".",s_Irr!BE14&lt;&gt;"."),s_dir!AI14/((1/1000)*(s_Irr!BE14)),IF(AND(s_Irr!I14=".",s_Irr!AG14&lt;&gt;".",s_Irr!BE14="."),s_dir!AI14/((1/1000)*(s_Irr!AG14)),IF(AND(s_Irr!I14&lt;&gt;".",s_Irr!AG14=".",s_Irr!BE14="."),s_dir!AI14/((1/1000)*(s_Irr!I14)),IF(AND(s_Irr!I14=".",s_Irr!AG14=".",s_Irr!BE14="."),s_dir!AI14*1000)))))))),".")</f>
        <v>49464.288290202407</v>
      </c>
      <c r="BI14" s="48">
        <f>IFERROR(IF(AND(s_Irr!J14&lt;&gt;".",s_Irr!AH14&lt;&gt;".",s_Irr!BF14&lt;&gt;"."),s_dir!AJ14/((1/1000)*(s_Irr!J14+s_Irr!AH14+s_Irr!BF14)),IF(AND(s_Irr!J14&lt;&gt;".",s_Irr!AH14&lt;&gt;".",s_Irr!BF14="."),s_dir!AJ14/((1/1000)*(s_Irr!J14+s_Irr!AH14)),IF(AND(s_Irr!J14&lt;&gt;".",s_Irr!AH14=".",s_Irr!BF14&lt;&gt;"."),s_dir!AJ14/((1/1000)*(s_Irr!J14+s_Irr!BF14)),IF(AND(s_Irr!J14=".",s_Irr!AH14&lt;&gt;".",s_Irr!BF14&lt;&gt;"."),s_dir!AJ14/((1/1000)*(s_Irr!AH14+s_Irr!BF14)),IF(AND(s_Irr!J14=".",s_Irr!AH14=".",s_Irr!BF14&lt;&gt;"."),s_dir!AJ14/((1/1000)*(s_Irr!BF14)),IF(AND(s_Irr!J14=".",s_Irr!AH14&lt;&gt;".",s_Irr!BF14="."),s_dir!AJ14/((1/1000)*(s_Irr!AH14)),IF(AND(s_Irr!J14&lt;&gt;".",s_Irr!AH14=".",s_Irr!BF14="."),s_dir!AJ14/((1/1000)*(s_Irr!J14)),IF(AND(s_Irr!J14=".",s_Irr!AH14=".",s_Irr!BF14="."),s_dir!AJ14*1000)))))))),".")</f>
        <v>49464.288290202407</v>
      </c>
      <c r="BJ14" s="48">
        <f>IFERROR(IF(AND(s_Irr!K14&lt;&gt;".",s_Irr!AI14&lt;&gt;".",s_Irr!BG14&lt;&gt;"."),s_dir!AK14/((1/1000)*(s_Irr!K14+s_Irr!AI14+s_Irr!BG14)),IF(AND(s_Irr!K14&lt;&gt;".",s_Irr!AI14&lt;&gt;".",s_Irr!BG14="."),s_dir!AK14/((1/1000)*(s_Irr!K14+s_Irr!AI14)),IF(AND(s_Irr!K14&lt;&gt;".",s_Irr!AI14=".",s_Irr!BG14&lt;&gt;"."),s_dir!AK14/((1/1000)*(s_Irr!K14+s_Irr!BG14)),IF(AND(s_Irr!K14=".",s_Irr!AI14&lt;&gt;".",s_Irr!BG14&lt;&gt;"."),s_dir!AK14/((1/1000)*(s_Irr!AI14+s_Irr!BG14)),IF(AND(s_Irr!K14=".",s_Irr!AI14=".",s_Irr!BG14&lt;&gt;"."),s_dir!AK14/((1/1000)*(s_Irr!BG14)),IF(AND(s_Irr!K14=".",s_Irr!AI14&lt;&gt;".",s_Irr!BG14="."),s_dir!AK14/((1/1000)*(s_Irr!AI14)),IF(AND(s_Irr!K14&lt;&gt;".",s_Irr!AI14=".",s_Irr!BG14="."),s_dir!AK14/((1/1000)*(s_Irr!K14)),IF(AND(s_Irr!K14=".",s_Irr!AI14=".",s_Irr!BG14="."),s_dir!AK14*1000)))))))),".")</f>
        <v>49464.288290202407</v>
      </c>
      <c r="BK14" s="48">
        <f>IFERROR(IF(AND(s_Irr!L14&lt;&gt;".",s_Irr!AJ14&lt;&gt;".",s_Irr!BH14&lt;&gt;"."),s_dir!AL14/((1/1000)*(s_Irr!L14+s_Irr!AJ14+s_Irr!BH14)),IF(AND(s_Irr!L14&lt;&gt;".",s_Irr!AJ14&lt;&gt;".",s_Irr!BH14="."),s_dir!AL14/((1/1000)*(s_Irr!L14+s_Irr!AJ14)),IF(AND(s_Irr!L14&lt;&gt;".",s_Irr!AJ14=".",s_Irr!BH14&lt;&gt;"."),s_dir!AL14/((1/1000)*(s_Irr!L14+s_Irr!BH14)),IF(AND(s_Irr!L14=".",s_Irr!AJ14&lt;&gt;".",s_Irr!BH14&lt;&gt;"."),s_dir!AL14/((1/1000)*(s_Irr!AJ14+s_Irr!BH14)),IF(AND(s_Irr!L14=".",s_Irr!AJ14=".",s_Irr!BH14&lt;&gt;"."),s_dir!AL14/((1/1000)*(s_Irr!BH14)),IF(AND(s_Irr!L14=".",s_Irr!AJ14&lt;&gt;".",s_Irr!BH14="."),s_dir!AL14/((1/1000)*(s_Irr!AJ14)),IF(AND(s_Irr!L14&lt;&gt;".",s_Irr!AJ14=".",s_Irr!BH14="."),s_dir!AL14/((1/1000)*(s_Irr!L14)),IF(AND(s_Irr!L14=".",s_Irr!AJ14=".",s_Irr!BH14="."),s_dir!AL14*1000)))))))),".")</f>
        <v>49464.288290202407</v>
      </c>
      <c r="BL14" s="48">
        <f>IFERROR(IF(AND(s_Irr!M14&lt;&gt;".",s_Irr!AK14&lt;&gt;".",s_Irr!BI14&lt;&gt;"."),s_dir!AM14/((1/1000)*(s_Irr!M14+s_Irr!AK14+s_Irr!BI14)),IF(AND(s_Irr!M14&lt;&gt;".",s_Irr!AK14&lt;&gt;".",s_Irr!BI14="."),s_dir!AM14/((1/1000)*(s_Irr!M14+s_Irr!AK14)),IF(AND(s_Irr!M14&lt;&gt;".",s_Irr!AK14=".",s_Irr!BI14&lt;&gt;"."),s_dir!AM14/((1/1000)*(s_Irr!M14+s_Irr!BI14)),IF(AND(s_Irr!M14=".",s_Irr!AK14&lt;&gt;".",s_Irr!BI14&lt;&gt;"."),s_dir!AM14/((1/1000)*(s_Irr!AK14+s_Irr!BI14)),IF(AND(s_Irr!M14=".",s_Irr!AK14=".",s_Irr!BI14&lt;&gt;"."),s_dir!AM14/((1/1000)*(s_Irr!BI14)),IF(AND(s_Irr!M14=".",s_Irr!AK14&lt;&gt;".",s_Irr!BI14="."),s_dir!AM14/((1/1000)*(s_Irr!AK14)),IF(AND(s_Irr!M14&lt;&gt;".",s_Irr!AK14=".",s_Irr!BI14="."),s_dir!AM14/((1/1000)*(s_Irr!M14)),IF(AND(s_Irr!M14=".",s_Irr!AK14=".",s_Irr!BI14="."),s_dir!AM14*1000)))))))),".")</f>
        <v>49464.288290202407</v>
      </c>
      <c r="BM14" s="48">
        <f>IFERROR(IF(AND(s_Irr!N14&lt;&gt;".",s_Irr!AL14&lt;&gt;".",s_Irr!BJ14&lt;&gt;"."),s_dir!AN14/((1/1000)*(s_Irr!N14+s_Irr!AL14+s_Irr!BJ14)),IF(AND(s_Irr!N14&lt;&gt;".",s_Irr!AL14&lt;&gt;".",s_Irr!BJ14="."),s_dir!AN14/((1/1000)*(s_Irr!N14+s_Irr!AL14)),IF(AND(s_Irr!N14&lt;&gt;".",s_Irr!AL14=".",s_Irr!BJ14&lt;&gt;"."),s_dir!AN14/((1/1000)*(s_Irr!N14+s_Irr!BJ14)),IF(AND(s_Irr!N14=".",s_Irr!AL14&lt;&gt;".",s_Irr!BJ14&lt;&gt;"."),s_dir!AN14/((1/1000)*(s_Irr!AL14+s_Irr!BJ14)),IF(AND(s_Irr!N14=".",s_Irr!AL14=".",s_Irr!BJ14&lt;&gt;"."),s_dir!AN14/((1/1000)*(s_Irr!BJ14)),IF(AND(s_Irr!N14=".",s_Irr!AL14&lt;&gt;".",s_Irr!BJ14="."),s_dir!AN14/((1/1000)*(s_Irr!AL14)),IF(AND(s_Irr!N14&lt;&gt;".",s_Irr!AL14=".",s_Irr!BJ14="."),s_dir!AN14/((1/1000)*(s_Irr!N14)),IF(AND(s_Irr!N14=".",s_Irr!AL14=".",s_Irr!BJ14="."),s_dir!AN14*1000)))))))),".")</f>
        <v>49464.288290202407</v>
      </c>
      <c r="BN14" s="48">
        <f>IFERROR(IF(AND(s_Irr!O14&lt;&gt;".",s_Irr!AM14&lt;&gt;".",s_Irr!BK14&lt;&gt;"."),s_dir!AO14/((1/1000)*(s_Irr!O14+s_Irr!AM14+s_Irr!BK14)),IF(AND(s_Irr!O14&lt;&gt;".",s_Irr!AM14&lt;&gt;".",s_Irr!BK14="."),s_dir!AO14/((1/1000)*(s_Irr!O14+s_Irr!AM14)),IF(AND(s_Irr!O14&lt;&gt;".",s_Irr!AM14=".",s_Irr!BK14&lt;&gt;"."),s_dir!AO14/((1/1000)*(s_Irr!O14+s_Irr!BK14)),IF(AND(s_Irr!O14=".",s_Irr!AM14&lt;&gt;".",s_Irr!BK14&lt;&gt;"."),s_dir!AO14/((1/1000)*(s_Irr!AM14+s_Irr!BK14)),IF(AND(s_Irr!O14=".",s_Irr!AM14=".",s_Irr!BK14&lt;&gt;"."),s_dir!AO14/((1/1000)*(s_Irr!BK14)),IF(AND(s_Irr!O14=".",s_Irr!AM14&lt;&gt;".",s_Irr!BK14="."),s_dir!AO14/((1/1000)*(s_Irr!AM14)),IF(AND(s_Irr!O14&lt;&gt;".",s_Irr!AM14=".",s_Irr!BK14="."),s_dir!AO14/((1/1000)*(s_Irr!O14)),IF(AND(s_Irr!O14=".",s_Irr!AM14=".",s_Irr!BK14="."),s_dir!AO14*1000)))))))),".")</f>
        <v>49464.288290202407</v>
      </c>
      <c r="BO14" s="48">
        <f>IFERROR(IF(AND(s_Irr!P14&lt;&gt;".",s_Irr!AN14&lt;&gt;".",s_Irr!BL14&lt;&gt;"."),s_dir!AP14/((1/1000)*(s_Irr!P14+s_Irr!AN14+s_Irr!BL14)),IF(AND(s_Irr!P14&lt;&gt;".",s_Irr!AN14&lt;&gt;".",s_Irr!BL14="."),s_dir!AP14/((1/1000)*(s_Irr!P14+s_Irr!AN14)),IF(AND(s_Irr!P14&lt;&gt;".",s_Irr!AN14=".",s_Irr!BL14&lt;&gt;"."),s_dir!AP14/((1/1000)*(s_Irr!P14+s_Irr!BL14)),IF(AND(s_Irr!P14=".",s_Irr!AN14&lt;&gt;".",s_Irr!BL14&lt;&gt;"."),s_dir!AP14/((1/1000)*(s_Irr!AN14+s_Irr!BL14)),IF(AND(s_Irr!P14=".",s_Irr!AN14=".",s_Irr!BL14&lt;&gt;"."),s_dir!AP14/((1/1000)*(s_Irr!BL14)),IF(AND(s_Irr!P14=".",s_Irr!AN14&lt;&gt;".",s_Irr!BL14="."),s_dir!AP14/((1/1000)*(s_Irr!AN14)),IF(AND(s_Irr!P14&lt;&gt;".",s_Irr!AN14=".",s_Irr!BL14="."),s_dir!AP14/((1/1000)*(s_Irr!P14)),IF(AND(s_Irr!P14=".",s_Irr!AN14=".",s_Irr!BL14="."),s_dir!AP14*1000)))))))),".")</f>
        <v>49464.288290202407</v>
      </c>
      <c r="BP14" s="48">
        <f>IFERROR(IF(AND(s_Irr!Q14&lt;&gt;".",s_Irr!AO14&lt;&gt;".",s_Irr!BM14&lt;&gt;"."),s_dir!AQ14/((1/1000)*(s_Irr!Q14+s_Irr!AO14+s_Irr!BM14)),IF(AND(s_Irr!Q14&lt;&gt;".",s_Irr!AO14&lt;&gt;".",s_Irr!BM14="."),s_dir!AQ14/((1/1000)*(s_Irr!Q14+s_Irr!AO14)),IF(AND(s_Irr!Q14&lt;&gt;".",s_Irr!AO14=".",s_Irr!BM14&lt;&gt;"."),s_dir!AQ14/((1/1000)*(s_Irr!Q14+s_Irr!BM14)),IF(AND(s_Irr!Q14=".",s_Irr!AO14&lt;&gt;".",s_Irr!BM14&lt;&gt;"."),s_dir!AQ14/((1/1000)*(s_Irr!AO14+s_Irr!BM14)),IF(AND(s_Irr!Q14=".",s_Irr!AO14=".",s_Irr!BM14&lt;&gt;"."),s_dir!AQ14/((1/1000)*(s_Irr!BM14)),IF(AND(s_Irr!Q14=".",s_Irr!AO14&lt;&gt;".",s_Irr!BM14="."),s_dir!AQ14/((1/1000)*(s_Irr!AO14)),IF(AND(s_Irr!Q14&lt;&gt;".",s_Irr!AO14=".",s_Irr!BM14="."),s_dir!AQ14/((1/1000)*(s_Irr!Q14)),IF(AND(s_Irr!Q14=".",s_Irr!AO14=".",s_Irr!BM14="."),s_dir!AQ14*1000)))))))),".")</f>
        <v>49464.288290202407</v>
      </c>
      <c r="BQ14" s="48">
        <f>IFERROR(IF(AND(s_Irr!R14&lt;&gt;".",s_Irr!AP14&lt;&gt;".",s_Irr!BN14&lt;&gt;"."),s_dir!AR14/((1/1000)*(s_Irr!R14+s_Irr!AP14+s_Irr!BN14)),IF(AND(s_Irr!R14&lt;&gt;".",s_Irr!AP14&lt;&gt;".",s_Irr!BN14="."),s_dir!AR14/((1/1000)*(s_Irr!R14+s_Irr!AP14)),IF(AND(s_Irr!R14&lt;&gt;".",s_Irr!AP14=".",s_Irr!BN14&lt;&gt;"."),s_dir!AR14/((1/1000)*(s_Irr!R14+s_Irr!BN14)),IF(AND(s_Irr!R14=".",s_Irr!AP14&lt;&gt;".",s_Irr!BN14&lt;&gt;"."),s_dir!AR14/((1/1000)*(s_Irr!AP14+s_Irr!BN14)),IF(AND(s_Irr!R14=".",s_Irr!AP14=".",s_Irr!BN14&lt;&gt;"."),s_dir!AR14/((1/1000)*(s_Irr!BN14)),IF(AND(s_Irr!R14=".",s_Irr!AP14&lt;&gt;".",s_Irr!BN14="."),s_dir!AR14/((1/1000)*(s_Irr!AP14)),IF(AND(s_Irr!R14&lt;&gt;".",s_Irr!AP14=".",s_Irr!BN14="."),s_dir!AR14/((1/1000)*(s_Irr!R14)),IF(AND(s_Irr!R14=".",s_Irr!AP14=".",s_Irr!BN14="."),s_dir!AR14*1000)))))))),".")</f>
        <v>49464.288290202407</v>
      </c>
      <c r="BR14" s="48">
        <f>IFERROR(IF(AND(s_Irr!S14&lt;&gt;".",s_Irr!AQ14&lt;&gt;".",s_Irr!BO14&lt;&gt;"."),s_dir!AS14/((1/1000)*(s_Irr!S14+s_Irr!AQ14+s_Irr!BO14)),IF(AND(s_Irr!S14&lt;&gt;".",s_Irr!AQ14&lt;&gt;".",s_Irr!BO14="."),s_dir!AS14/((1/1000)*(s_Irr!S14+s_Irr!AQ14)),IF(AND(s_Irr!S14&lt;&gt;".",s_Irr!AQ14=".",s_Irr!BO14&lt;&gt;"."),s_dir!AS14/((1/1000)*(s_Irr!S14+s_Irr!BO14)),IF(AND(s_Irr!S14=".",s_Irr!AQ14&lt;&gt;".",s_Irr!BO14&lt;&gt;"."),s_dir!AS14/((1/1000)*(s_Irr!AQ14+s_Irr!BO14)),IF(AND(s_Irr!S14=".",s_Irr!AQ14=".",s_Irr!BO14&lt;&gt;"."),s_dir!AS14/((1/1000)*(s_Irr!BO14)),IF(AND(s_Irr!S14=".",s_Irr!AQ14&lt;&gt;".",s_Irr!BO14="."),s_dir!AS14/((1/1000)*(s_Irr!AQ14)),IF(AND(s_Irr!S14&lt;&gt;".",s_Irr!AQ14=".",s_Irr!BO14="."),s_dir!AS14/((1/1000)*(s_Irr!S14)),IF(AND(s_Irr!S14=".",s_Irr!AQ14=".",s_Irr!BO14="."),s_dir!AS14*1000)))))))),".")</f>
        <v>49464.288290202407</v>
      </c>
      <c r="BS14" s="48">
        <f>IFERROR(IF(AND(s_Irr!T14&lt;&gt;".",s_Irr!AR14&lt;&gt;".",s_Irr!BP14&lt;&gt;"."),s_dir!AT14/((1/1000)*(s_Irr!T14+s_Irr!AR14+s_Irr!BP14)),IF(AND(s_Irr!T14&lt;&gt;".",s_Irr!AR14&lt;&gt;".",s_Irr!BP14="."),s_dir!AT14/((1/1000)*(s_Irr!T14+s_Irr!AR14)),IF(AND(s_Irr!T14&lt;&gt;".",s_Irr!AR14=".",s_Irr!BP14&lt;&gt;"."),s_dir!AT14/((1/1000)*(s_Irr!T14+s_Irr!BP14)),IF(AND(s_Irr!T14=".",s_Irr!AR14&lt;&gt;".",s_Irr!BP14&lt;&gt;"."),s_dir!AT14/((1/1000)*(s_Irr!AR14+s_Irr!BP14)),IF(AND(s_Irr!T14=".",s_Irr!AR14=".",s_Irr!BP14&lt;&gt;"."),s_dir!AT14/((1/1000)*(s_Irr!BP14)),IF(AND(s_Irr!T14=".",s_Irr!AR14&lt;&gt;".",s_Irr!BP14="."),s_dir!AT14/((1/1000)*(s_Irr!AR14)),IF(AND(s_Irr!T14&lt;&gt;".",s_Irr!AR14=".",s_Irr!BP14="."),s_dir!AT14/((1/1000)*(s_Irr!T14)),IF(AND(s_Irr!T14=".",s_Irr!AR14=".",s_Irr!BP14="."),s_dir!AT14*1000)))))))),".")</f>
        <v>49464.288290202407</v>
      </c>
      <c r="BT14" s="48">
        <f>IFERROR(IF(AND(s_Irr!U14&lt;&gt;".",s_Irr!AS14&lt;&gt;".",s_Irr!BQ14&lt;&gt;"."),s_dir!AU14/((1/1000)*(s_Irr!U14+s_Irr!AS14+s_Irr!BQ14)),IF(AND(s_Irr!U14&lt;&gt;".",s_Irr!AS14&lt;&gt;".",s_Irr!BQ14="."),s_dir!AU14/((1/1000)*(s_Irr!U14+s_Irr!AS14)),IF(AND(s_Irr!U14&lt;&gt;".",s_Irr!AS14=".",s_Irr!BQ14&lt;&gt;"."),s_dir!AU14/((1/1000)*(s_Irr!U14+s_Irr!BQ14)),IF(AND(s_Irr!U14=".",s_Irr!AS14&lt;&gt;".",s_Irr!BQ14&lt;&gt;"."),s_dir!AU14/((1/1000)*(s_Irr!AS14+s_Irr!BQ14)),IF(AND(s_Irr!U14=".",s_Irr!AS14=".",s_Irr!BQ14&lt;&gt;"."),s_dir!AU14/((1/1000)*(s_Irr!BQ14)),IF(AND(s_Irr!U14=".",s_Irr!AS14&lt;&gt;".",s_Irr!BQ14="."),s_dir!AU14/((1/1000)*(s_Irr!AS14)),IF(AND(s_Irr!U14&lt;&gt;".",s_Irr!AS14=".",s_Irr!BQ14="."),s_dir!AU14/((1/1000)*(s_Irr!U14)),IF(AND(s_Irr!U14=".",s_Irr!AS14=".",s_Irr!BQ14="."),s_dir!AU14*1000)))))))),".")</f>
        <v>49464.288290202407</v>
      </c>
      <c r="BU14" s="48">
        <f>IFERROR(IF(AND(s_Irr!V14&lt;&gt;".",s_Irr!AT14&lt;&gt;".",s_Irr!BR14&lt;&gt;"."),s_dir!AV14/((1/1000)*(s_Irr!V14+s_Irr!AT14+s_Irr!BR14)),IF(AND(s_Irr!V14&lt;&gt;".",s_Irr!AT14&lt;&gt;".",s_Irr!BR14="."),s_dir!AV14/((1/1000)*(s_Irr!V14+s_Irr!AT14)),IF(AND(s_Irr!V14&lt;&gt;".",s_Irr!AT14=".",s_Irr!BR14&lt;&gt;"."),s_dir!AV14/((1/1000)*(s_Irr!V14+s_Irr!BR14)),IF(AND(s_Irr!V14=".",s_Irr!AT14&lt;&gt;".",s_Irr!BR14&lt;&gt;"."),s_dir!AV14/((1/1000)*(s_Irr!AT14+s_Irr!BR14)),IF(AND(s_Irr!V14=".",s_Irr!AT14=".",s_Irr!BR14&lt;&gt;"."),s_dir!AV14/((1/1000)*(s_Irr!BR14)),IF(AND(s_Irr!V14=".",s_Irr!AT14&lt;&gt;".",s_Irr!BR14="."),s_dir!AV14/((1/1000)*(s_Irr!AT14)),IF(AND(s_Irr!V14&lt;&gt;".",s_Irr!AT14=".",s_Irr!BR14="."),s_dir!AV14/((1/1000)*(s_Irr!V14)),IF(AND(s_Irr!V14=".",s_Irr!AT14=".",s_Irr!BR14="."),s_dir!AV14*1000)))))))),".")</f>
        <v>49464.288290202407</v>
      </c>
      <c r="BV14" s="48">
        <f>IFERROR(IF(AND(s_Irr!W14&lt;&gt;".",s_Irr!AU14&lt;&gt;".",s_Irr!BS14&lt;&gt;"."),s_dir!AW14/((1/1000)*(s_Irr!W14+s_Irr!AU14+s_Irr!BS14)),IF(AND(s_Irr!W14&lt;&gt;".",s_Irr!AU14&lt;&gt;".",s_Irr!BS14="."),s_dir!AW14/((1/1000)*(s_Irr!W14+s_Irr!AU14)),IF(AND(s_Irr!W14&lt;&gt;".",s_Irr!AU14=".",s_Irr!BS14&lt;&gt;"."),s_dir!AW14/((1/1000)*(s_Irr!W14+s_Irr!BS14)),IF(AND(s_Irr!W14=".",s_Irr!AU14&lt;&gt;".",s_Irr!BS14&lt;&gt;"."),s_dir!AW14/((1/1000)*(s_Irr!AU14+s_Irr!BS14)),IF(AND(s_Irr!W14=".",s_Irr!AU14=".",s_Irr!BS14&lt;&gt;"."),s_dir!AW14/((1/1000)*(s_Irr!BS14)),IF(AND(s_Irr!W14=".",s_Irr!AU14&lt;&gt;".",s_Irr!BS14="."),s_dir!AW14/((1/1000)*(s_Irr!AU14)),IF(AND(s_Irr!W14&lt;&gt;".",s_Irr!AU14=".",s_Irr!BS14="."),s_dir!AW14/((1/1000)*(s_Irr!W14)),IF(AND(s_Irr!W14=".",s_Irr!AU14=".",s_Irr!BS14="."),s_dir!AW14*1000)))))))),".")</f>
        <v>49464.288290202407</v>
      </c>
      <c r="BW14" s="48">
        <f>IFERROR(IF(AND(s_Irr!X14&lt;&gt;".",s_Irr!AV14&lt;&gt;".",s_Irr!BT14&lt;&gt;"."),s_dir!AX14/((1/1000)*(s_Irr!X14+s_Irr!AV14+s_Irr!BT14)),IF(AND(s_Irr!X14&lt;&gt;".",s_Irr!AV14&lt;&gt;".",s_Irr!BT14="."),s_dir!AX14/((1/1000)*(s_Irr!X14+s_Irr!AV14)),IF(AND(s_Irr!X14&lt;&gt;".",s_Irr!AV14=".",s_Irr!BT14&lt;&gt;"."),s_dir!AX14/((1/1000)*(s_Irr!X14+s_Irr!BT14)),IF(AND(s_Irr!X14=".",s_Irr!AV14&lt;&gt;".",s_Irr!BT14&lt;&gt;"."),s_dir!AX14/((1/1000)*(s_Irr!AV14+s_Irr!BT14)),IF(AND(s_Irr!X14=".",s_Irr!AV14=".",s_Irr!BT14&lt;&gt;"."),s_dir!AX14/((1/1000)*(s_Irr!BT14)),IF(AND(s_Irr!X14=".",s_Irr!AV14&lt;&gt;".",s_Irr!BT14="."),s_dir!AX14/((1/1000)*(s_Irr!AV14)),IF(AND(s_Irr!X14&lt;&gt;".",s_Irr!AV14=".",s_Irr!BT14="."),s_dir!AX14/((1/1000)*(s_Irr!X14)),IF(AND(s_Irr!X14=".",s_Irr!AV14=".",s_Irr!BT14="."),s_dir!AX14*1000)))))))),".")</f>
        <v>49464.288290202407</v>
      </c>
      <c r="BX14" s="48">
        <f>IFERROR(IF(AND(s_Irr!Y14&lt;&gt;".",s_Irr!AW14&lt;&gt;".",s_Irr!BU14&lt;&gt;"."),s_dir!AY14/((1/1000)*(s_Irr!Y14+s_Irr!AW14+s_Irr!BU14)),IF(AND(s_Irr!Y14&lt;&gt;".",s_Irr!AW14&lt;&gt;".",s_Irr!BU14="."),s_dir!AY14/((1/1000)*(s_Irr!Y14+s_Irr!AW14)),IF(AND(s_Irr!Y14&lt;&gt;".",s_Irr!AW14=".",s_Irr!BU14&lt;&gt;"."),s_dir!AY14/((1/1000)*(s_Irr!Y14+s_Irr!BU14)),IF(AND(s_Irr!Y14=".",s_Irr!AW14&lt;&gt;".",s_Irr!BU14&lt;&gt;"."),s_dir!AY14/((1/1000)*(s_Irr!AW14+s_Irr!BU14)),IF(AND(s_Irr!Y14=".",s_Irr!AW14=".",s_Irr!BU14&lt;&gt;"."),s_dir!AY14/((1/1000)*(s_Irr!BU14)),IF(AND(s_Irr!Y14=".",s_Irr!AW14&lt;&gt;".",s_Irr!BU14="."),s_dir!AY14/((1/1000)*(s_Irr!AW14)),IF(AND(s_Irr!Y14&lt;&gt;".",s_Irr!AW14=".",s_Irr!BU14="."),s_dir!AY14/((1/1000)*(s_Irr!Y14)),IF(AND(s_Irr!Y14=".",s_Irr!AW14=".",s_Irr!BU14="."),s_dir!AY14*1000)))))))),".")</f>
        <v>49464.288290202407</v>
      </c>
      <c r="BY14" s="48">
        <f>IFERROR(IF(AND(s_Irr!Z14&lt;&gt;".",s_Irr!AX14&lt;&gt;".",s_Irr!BV14&lt;&gt;"."),s_dir!AZ14/((1/1000)*(s_Irr!Z14+s_Irr!AX14+s_Irr!BV14)),IF(AND(s_Irr!Z14&lt;&gt;".",s_Irr!AX14&lt;&gt;".",s_Irr!BV14="."),s_dir!AZ14/((1/1000)*(s_Irr!Z14+s_Irr!AX14)),IF(AND(s_Irr!Z14&lt;&gt;".",s_Irr!AX14=".",s_Irr!BV14&lt;&gt;"."),s_dir!AZ14/((1/1000)*(s_Irr!Z14+s_Irr!BV14)),IF(AND(s_Irr!Z14=".",s_Irr!AX14&lt;&gt;".",s_Irr!BV14&lt;&gt;"."),s_dir!AZ14/((1/1000)*(s_Irr!AX14+s_Irr!BV14)),IF(AND(s_Irr!Z14=".",s_Irr!AX14=".",s_Irr!BV14&lt;&gt;"."),s_dir!AZ14/((1/1000)*(s_Irr!BV14)),IF(AND(s_Irr!Z14=".",s_Irr!AX14&lt;&gt;".",s_Irr!BV14="."),s_dir!AZ14/((1/1000)*(s_Irr!AX14)),IF(AND(s_Irr!Z14&lt;&gt;".",s_Irr!AX14=".",s_Irr!BV14="."),s_dir!AZ14/((1/1000)*(s_Irr!Z14)),IF(AND(s_Irr!Z14=".",s_Irr!AX14=".",s_Irr!BV14="."),s_dir!AZ14*1000)))))))),".")</f>
        <v>49464.288290202407</v>
      </c>
      <c r="BZ14" s="62">
        <f t="shared" si="1"/>
        <v>310.45155782231353</v>
      </c>
      <c r="CA14" s="62">
        <f>IFERROR(s_C*s_IFAP_far_adj*s_CF_apple*(1/1000)*(s_Irr!C14+s_Irr!AA14+s_Irr!AY14),".")</f>
        <v>103.48385260743784</v>
      </c>
      <c r="CB14" s="62">
        <f>IFERROR(s_C*s_IFAS_far_adj*s_CF_asparagus*(1/1000)*(s_Irr!D14+s_Irr!AB14+s_Irr!AZ14),".")</f>
        <v>103.48385260743784</v>
      </c>
      <c r="CC14" s="62">
        <f>IFERROR(s_C*s_IFBT_far_adj*s_CF_beet*(1/1000)*(s_Irr!E14+s_Irr!AC14+s_Irr!BA14),".")</f>
        <v>103.48385260743784</v>
      </c>
      <c r="CD14" s="62">
        <f>IFERROR(s_C*s_IFBE_far_adj*s_CF_berries*(1/1000)*(s_Irr!F14+s_Irr!AD14+s_Irr!BB14),".")</f>
        <v>103.48385260743784</v>
      </c>
      <c r="CE14" s="62">
        <f>IFERROR(s_C*s_IFBR_far_adj*s_CF_broccoli*(1/1000)*(s_Irr!G14+s_Irr!AE14+s_Irr!BC14),".")</f>
        <v>103.48385260743784</v>
      </c>
      <c r="CF14" s="62">
        <f>IFERROR(s_C*s_IFCB_far_adj*s_CF_cabbage*(1/1000)*(s_Irr!H14+s_Irr!AF14+s_Irr!BD14),".")</f>
        <v>103.48385260743784</v>
      </c>
      <c r="CG14" s="62">
        <f>IFERROR(s_C*s_IFCR_far_adj*s_CF_carrot*(1/1000)*(s_Irr!I14+s_Irr!AG14+s_Irr!BE14),".")</f>
        <v>103.48385260743784</v>
      </c>
      <c r="CH14" s="62">
        <f>IFERROR(s_C*s_IFCI_far_adj*s_CF_citrus*(1/1000)*(s_Irr!J14+s_Irr!AH14+s_Irr!BF14),".")</f>
        <v>103.48385260743784</v>
      </c>
      <c r="CI14" s="62">
        <f>IFERROR(s_C*s_IFCO_far_adj*s_CF_corn*(1/1000)*(s_Irr!K14+s_Irr!AI14+s_Irr!BG14),".")</f>
        <v>103.48385260743784</v>
      </c>
      <c r="CJ14" s="62">
        <f>IFERROR(s_C*s_IFCU_far_adj*s_CF_cucumber*(1/1000)*(s_Irr!L14+s_Irr!AJ14+s_Irr!BH14),".")</f>
        <v>103.48385260743784</v>
      </c>
      <c r="CK14" s="62">
        <f>IFERROR(s_C*s_IFLE_far_adj*s_CF_lettuce*(1/1000)*(s_Irr!M14+s_Irr!AK14+s_Irr!BI14),".")</f>
        <v>103.48385260743784</v>
      </c>
      <c r="CL14" s="62">
        <f>IFERROR(s_C*s_IFLI_far_adj*s_CF_lima_bean*(1/1000)*(s_Irr!N14+s_Irr!AL14+s_Irr!BJ14),".")</f>
        <v>103.48385260743784</v>
      </c>
      <c r="CM14" s="62">
        <f>IFERROR(s_C*s_IFOK_far_adj*s_CF_okra*(1/1000)*(s_Irr!O14+s_Irr!AM14+s_Irr!BK14),".")</f>
        <v>103.48385260743784</v>
      </c>
      <c r="CN14" s="62">
        <f>IFERROR(s_C*s_IFON_far_adj*s_CF_onion*(1/1000)*(s_Irr!P14+s_Irr!AN14+s_Irr!BL14),".")</f>
        <v>103.48385260743784</v>
      </c>
      <c r="CO14" s="62">
        <f>IFERROR(s_C*s_IFPC_far_adj*s_CF_peach*(1/1000)*(s_Irr!Q14+s_Irr!AO14+s_Irr!BM14),".")</f>
        <v>103.48385260743784</v>
      </c>
      <c r="CP14" s="62">
        <f>IFERROR(s_C*s_IFPR_far_adj*s_CF_pear*(1/1000)*(s_Irr!R14+s_Irr!AP14+s_Irr!BN14),".")</f>
        <v>103.48385260743784</v>
      </c>
      <c r="CQ14" s="62">
        <f>IFERROR(s_C*s_IFPE_far_adj*s_CF_peas*(1/1000)*(s_Irr!S14+s_Irr!AQ14+s_Irr!BO14),".")</f>
        <v>103.48385260743784</v>
      </c>
      <c r="CR14" s="62">
        <f>IFERROR(s_C*s_IFPT_far_adj*s_CF_potato*(1/1000)*(s_Irr!T14+s_Irr!AR14+s_Irr!BP14),".")</f>
        <v>103.48385260743784</v>
      </c>
      <c r="CS14" s="62">
        <f>IFERROR(s_C*s_IFPU_far_adj*s_CF_pumpkin*(1/1000)*(s_Irr!U14+s_Irr!AS14+s_Irr!BQ14),".")</f>
        <v>103.48385260743784</v>
      </c>
      <c r="CT14" s="62">
        <f>IFERROR(s_C*s_IFSN_far_adj*s_CF_snap_bean*(1/1000)*(s_Irr!V14+s_Irr!AT14+s_Irr!BR14),".")</f>
        <v>103.48385260743784</v>
      </c>
      <c r="CU14" s="62">
        <f>IFERROR(s_C*s_IFST_far_adj*s_CF_strawberry*(1/1000)*(s_Irr!W14+s_Irr!AU14+s_Irr!BS14),".")</f>
        <v>103.48385260743784</v>
      </c>
      <c r="CV14" s="62">
        <f>IFERROR(s_C*s_IFTO_far_adj*s_CF_tomato*(1/1000)*(s_Irr!X14+s_Irr!AV14+s_Irr!BT14),".")</f>
        <v>103.48385260743784</v>
      </c>
      <c r="CW14" s="62">
        <f>IFERROR(s_C*s_IFRI_far_adj*s_CF_rice*(1/1000)*(s_Irr!Y14+s_Irr!AW14+s_Irr!BU14),".")</f>
        <v>103.48385260743784</v>
      </c>
      <c r="CX14" s="62">
        <f>IFERROR(s_C*s_IFCG_far_adj*s_CF_cereal*(1/1000)*(s_Irr!Z14+s_Irr!AX14+s_Irr!BV14),".")</f>
        <v>103.48385260743784</v>
      </c>
    </row>
    <row r="15" spans="1:102" ht="15" customHeight="1" x14ac:dyDescent="0.25">
      <c r="A15" s="61" t="s">
        <v>13</v>
      </c>
      <c r="B15" s="49" t="s">
        <v>1059</v>
      </c>
      <c r="C15" s="48">
        <f t="shared" si="2"/>
        <v>304179.79704227962</v>
      </c>
      <c r="D15" s="48">
        <f>IFERROR(IF(AND(s_Irr!C15&lt;&gt;".",s_Irr!AA15&lt;&gt;".",s_Irr!AY15&lt;&gt;"."),s_dir!D15/((1/1000)*(s_Irr!C15+s_Irr!AA15+s_Irr!AY15)),IF(AND(s_Irr!C15&lt;&gt;".",s_Irr!AA15&lt;&gt;".",s_Irr!AY15="."),s_dir!D15/((1/1000)*(s_Irr!C15+s_Irr!AA15)),IF(AND(s_Irr!C15&lt;&gt;".",s_Irr!AA15=".",s_Irr!AY15&lt;&gt;"."),s_dir!D15/((1/1000)*(s_Irr!C15+s_Irr!AY15)),IF(AND(s_Irr!C15=".",s_Irr!AA15&lt;&gt;".",s_Irr!AY15&lt;&gt;"."),s_dir!D15/((1/1000)*(s_Irr!AA15+s_Irr!AY15)),IF(AND(s_Irr!C15=".",s_Irr!AA15=".",s_Irr!AY15&lt;&gt;"."),s_dir!D15/((1/1000)*(s_Irr!AY15)),IF(AND(s_Irr!C15=".",s_Irr!AA15&lt;&gt;".",s_Irr!AY15="."),s_dir!D15/((1/1000)*(s_Irr!AA15)),IF(AND(s_Irr!C15&lt;&gt;".",s_Irr!AA15=".",s_Irr!AY15="."),s_dir!D15/((1/1000)*(s_Irr!C15)),IF(AND(s_Irr!C15=".",s_Irr!AA15=".",s_Irr!AY15="."),s_dir!D15*1000)))))))),".")</f>
        <v>874067.74488711066</v>
      </c>
      <c r="E15" s="48">
        <f>IFERROR(IF(AND(s_Irr!D15&lt;&gt;".",s_Irr!AB15&lt;&gt;".",s_Irr!AZ15&lt;&gt;"."),s_dir!E15/((1/1000)*(s_Irr!D15+s_Irr!AB15+s_Irr!AZ15)),IF(AND(s_Irr!D15&lt;&gt;".",s_Irr!AB15&lt;&gt;".",s_Irr!AZ15="."),s_dir!E15/((1/1000)*(s_Irr!D15+s_Irr!AB15)),IF(AND(s_Irr!D15&lt;&gt;".",s_Irr!AB15=".",s_Irr!AZ15&lt;&gt;"."),s_dir!E15/((1/1000)*(s_Irr!D15+s_Irr!AZ15)),IF(AND(s_Irr!D15=".",s_Irr!AB15&lt;&gt;".",s_Irr!AZ15&lt;&gt;"."),s_dir!E15/((1/1000)*(s_Irr!AB15+s_Irr!AZ15)),IF(AND(s_Irr!D15=".",s_Irr!AB15=".",s_Irr!AZ15&lt;&gt;"."),s_dir!E15/((1/1000)*(s_Irr!AZ15)),IF(AND(s_Irr!D15=".",s_Irr!AB15&lt;&gt;".",s_Irr!AZ15="."),s_dir!E15/((1/1000)*(s_Irr!AB15)),IF(AND(s_Irr!D15&lt;&gt;".",s_Irr!AB15=".",s_Irr!AZ15="."),s_dir!E15/((1/1000)*(s_Irr!D15)),IF(AND(s_Irr!D15=".",s_Irr!AB15=".",s_Irr!AZ15="."),s_dir!E15*1000)))))))),".")</f>
        <v>433466.44513376785</v>
      </c>
      <c r="F15" s="48">
        <f>IFERROR(IF(AND(s_Irr!E15&lt;&gt;".",s_Irr!AC15&lt;&gt;".",s_Irr!BA15&lt;&gt;"."),s_dir!F15/((1/1000)*(s_Irr!E15+s_Irr!AC15+s_Irr!BA15)),IF(AND(s_Irr!E15&lt;&gt;".",s_Irr!AC15&lt;&gt;".",s_Irr!BA15="."),s_dir!F15/((1/1000)*(s_Irr!E15+s_Irr!AC15)),IF(AND(s_Irr!E15&lt;&gt;".",s_Irr!AC15=".",s_Irr!BA15&lt;&gt;"."),s_dir!F15/((1/1000)*(s_Irr!E15+s_Irr!BA15)),IF(AND(s_Irr!E15=".",s_Irr!AC15&lt;&gt;".",s_Irr!BA15&lt;&gt;"."),s_dir!F15/((1/1000)*(s_Irr!AC15+s_Irr!BA15)),IF(AND(s_Irr!E15=".",s_Irr!AC15=".",s_Irr!BA15&lt;&gt;"."),s_dir!F15/((1/1000)*(s_Irr!BA15)),IF(AND(s_Irr!E15=".",s_Irr!AC15&lt;&gt;".",s_Irr!BA15="."),s_dir!F15/((1/1000)*(s_Irr!AC15)),IF(AND(s_Irr!E15&lt;&gt;".",s_Irr!AC15=".",s_Irr!BA15="."),s_dir!F15/((1/1000)*(s_Irr!E15)),IF(AND(s_Irr!E15=".",s_Irr!AC15=".",s_Irr!BA15="."),s_dir!F15*1000)))))))),".")</f>
        <v>814902.3427749296</v>
      </c>
      <c r="G15" s="48">
        <f>IFERROR(IF(AND(s_Irr!F15&lt;&gt;".",s_Irr!AD15&lt;&gt;".",s_Irr!BB15&lt;&gt;"."),s_dir!G15/((1/1000)*(s_Irr!F15+s_Irr!AD15+s_Irr!BB15)),IF(AND(s_Irr!F15&lt;&gt;".",s_Irr!AD15&lt;&gt;".",s_Irr!BB15="."),s_dir!G15/((1/1000)*(s_Irr!F15+s_Irr!AD15)),IF(AND(s_Irr!F15&lt;&gt;".",s_Irr!AD15=".",s_Irr!BB15&lt;&gt;"."),s_dir!G15/((1/1000)*(s_Irr!F15+s_Irr!BB15)),IF(AND(s_Irr!F15=".",s_Irr!AD15&lt;&gt;".",s_Irr!BB15&lt;&gt;"."),s_dir!G15/((1/1000)*(s_Irr!AD15+s_Irr!BB15)),IF(AND(s_Irr!F15=".",s_Irr!AD15=".",s_Irr!BB15&lt;&gt;"."),s_dir!G15/((1/1000)*(s_Irr!BB15)),IF(AND(s_Irr!F15=".",s_Irr!AD15&lt;&gt;".",s_Irr!BB15="."),s_dir!G15/((1/1000)*(s_Irr!AD15)),IF(AND(s_Irr!F15&lt;&gt;".",s_Irr!AD15=".",s_Irr!BB15="."),s_dir!G15/((1/1000)*(s_Irr!F15)),IF(AND(s_Irr!F15=".",s_Irr!AD15=".",s_Irr!BB15="."),s_dir!G15*1000)))))))),".")</f>
        <v>874067.74488711066</v>
      </c>
      <c r="H15" s="48">
        <f>IFERROR(IF(AND(s_Irr!G15&lt;&gt;".",s_Irr!AE15&lt;&gt;".",s_Irr!BC15&lt;&gt;"."),s_dir!H15/((1/1000)*(s_Irr!G15+s_Irr!AE15+s_Irr!BC15)),IF(AND(s_Irr!G15&lt;&gt;".",s_Irr!AE15&lt;&gt;".",s_Irr!BC15="."),s_dir!H15/((1/1000)*(s_Irr!G15+s_Irr!AE15)),IF(AND(s_Irr!G15&lt;&gt;".",s_Irr!AE15=".",s_Irr!BC15&lt;&gt;"."),s_dir!H15/((1/1000)*(s_Irr!G15+s_Irr!BC15)),IF(AND(s_Irr!G15=".",s_Irr!AE15&lt;&gt;".",s_Irr!BC15&lt;&gt;"."),s_dir!H15/((1/1000)*(s_Irr!AE15+s_Irr!BC15)),IF(AND(s_Irr!G15=".",s_Irr!AE15=".",s_Irr!BC15&lt;&gt;"."),s_dir!H15/((1/1000)*(s_Irr!BC15)),IF(AND(s_Irr!G15=".",s_Irr!AE15&lt;&gt;".",s_Irr!BC15="."),s_dir!H15/((1/1000)*(s_Irr!AE15)),IF(AND(s_Irr!G15&lt;&gt;".",s_Irr!AE15=".",s_Irr!BC15="."),s_dir!H15/((1/1000)*(s_Irr!G15)),IF(AND(s_Irr!G15=".",s_Irr!AE15=".",s_Irr!BC15="."),s_dir!H15*1000)))))))),".")</f>
        <v>814902.3427749296</v>
      </c>
      <c r="I15" s="48">
        <f>IFERROR(IF(AND(s_Irr!H15&lt;&gt;".",s_Irr!AF15&lt;&gt;".",s_Irr!BD15&lt;&gt;"."),s_dir!I15/((1/1000)*(s_Irr!H15+s_Irr!AF15+s_Irr!BD15)),IF(AND(s_Irr!H15&lt;&gt;".",s_Irr!AF15&lt;&gt;".",s_Irr!BD15="."),s_dir!I15/((1/1000)*(s_Irr!H15+s_Irr!AF15)),IF(AND(s_Irr!H15&lt;&gt;".",s_Irr!AF15=".",s_Irr!BD15&lt;&gt;"."),s_dir!I15/((1/1000)*(s_Irr!H15+s_Irr!BD15)),IF(AND(s_Irr!H15=".",s_Irr!AF15&lt;&gt;".",s_Irr!BD15&lt;&gt;"."),s_dir!I15/((1/1000)*(s_Irr!AF15+s_Irr!BD15)),IF(AND(s_Irr!H15=".",s_Irr!AF15=".",s_Irr!BD15&lt;&gt;"."),s_dir!I15/((1/1000)*(s_Irr!BD15)),IF(AND(s_Irr!H15=".",s_Irr!AF15&lt;&gt;".",s_Irr!BD15="."),s_dir!I15/((1/1000)*(s_Irr!AF15)),IF(AND(s_Irr!H15&lt;&gt;".",s_Irr!AF15=".",s_Irr!BD15="."),s_dir!I15/((1/1000)*(s_Irr!H15)),IF(AND(s_Irr!H15=".",s_Irr!AF15=".",s_Irr!BD15="."),s_dir!I15*1000)))))))),".")</f>
        <v>433466.44513376785</v>
      </c>
      <c r="J15" s="48">
        <f>IFERROR(IF(AND(s_Irr!I15&lt;&gt;".",s_Irr!AG15&lt;&gt;".",s_Irr!BE15&lt;&gt;"."),s_dir!J15/((1/1000)*(s_Irr!I15+s_Irr!AG15+s_Irr!BE15)),IF(AND(s_Irr!I15&lt;&gt;".",s_Irr!AG15&lt;&gt;".",s_Irr!BE15="."),s_dir!J15/((1/1000)*(s_Irr!I15+s_Irr!AG15)),IF(AND(s_Irr!I15&lt;&gt;".",s_Irr!AG15=".",s_Irr!BE15&lt;&gt;"."),s_dir!J15/((1/1000)*(s_Irr!I15+s_Irr!BE15)),IF(AND(s_Irr!I15=".",s_Irr!AG15&lt;&gt;".",s_Irr!BE15&lt;&gt;"."),s_dir!J15/((1/1000)*(s_Irr!AG15+s_Irr!BE15)),IF(AND(s_Irr!I15=".",s_Irr!AG15=".",s_Irr!BE15&lt;&gt;"."),s_dir!J15/((1/1000)*(s_Irr!BE15)),IF(AND(s_Irr!I15=".",s_Irr!AG15&lt;&gt;".",s_Irr!BE15="."),s_dir!J15/((1/1000)*(s_Irr!AG15)),IF(AND(s_Irr!I15&lt;&gt;".",s_Irr!AG15=".",s_Irr!BE15="."),s_dir!J15/((1/1000)*(s_Irr!I15)),IF(AND(s_Irr!I15=".",s_Irr!AG15=".",s_Irr!BE15="."),s_dir!J15*1000)))))))),".")</f>
        <v>814902.3427749296</v>
      </c>
      <c r="K15" s="48">
        <f>IFERROR(IF(AND(s_Irr!J15&lt;&gt;".",s_Irr!AH15&lt;&gt;".",s_Irr!BF15&lt;&gt;"."),s_dir!K15/((1/1000)*(s_Irr!J15+s_Irr!AH15+s_Irr!BF15)),IF(AND(s_Irr!J15&lt;&gt;".",s_Irr!AH15&lt;&gt;".",s_Irr!BF15="."),s_dir!K15/((1/1000)*(s_Irr!J15+s_Irr!AH15)),IF(AND(s_Irr!J15&lt;&gt;".",s_Irr!AH15=".",s_Irr!BF15&lt;&gt;"."),s_dir!K15/((1/1000)*(s_Irr!J15+s_Irr!BF15)),IF(AND(s_Irr!J15=".",s_Irr!AH15&lt;&gt;".",s_Irr!BF15&lt;&gt;"."),s_dir!K15/((1/1000)*(s_Irr!AH15+s_Irr!BF15)),IF(AND(s_Irr!J15=".",s_Irr!AH15=".",s_Irr!BF15&lt;&gt;"."),s_dir!K15/((1/1000)*(s_Irr!BF15)),IF(AND(s_Irr!J15=".",s_Irr!AH15&lt;&gt;".",s_Irr!BF15="."),s_dir!K15/((1/1000)*(s_Irr!AH15)),IF(AND(s_Irr!J15&lt;&gt;".",s_Irr!AH15=".",s_Irr!BF15="."),s_dir!K15/((1/1000)*(s_Irr!J15)),IF(AND(s_Irr!J15=".",s_Irr!AH15=".",s_Irr!BF15="."),s_dir!K15*1000)))))))),".")</f>
        <v>874067.74488711066</v>
      </c>
      <c r="L15" s="48">
        <f>IFERROR(IF(AND(s_Irr!K15&lt;&gt;".",s_Irr!AI15&lt;&gt;".",s_Irr!BG15&lt;&gt;"."),s_dir!L15/((1/1000)*(s_Irr!K15+s_Irr!AI15+s_Irr!BG15)),IF(AND(s_Irr!K15&lt;&gt;".",s_Irr!AI15&lt;&gt;".",s_Irr!BG15="."),s_dir!L15/((1/1000)*(s_Irr!K15+s_Irr!AI15)),IF(AND(s_Irr!K15&lt;&gt;".",s_Irr!AI15=".",s_Irr!BG15&lt;&gt;"."),s_dir!L15/((1/1000)*(s_Irr!K15+s_Irr!BG15)),IF(AND(s_Irr!K15=".",s_Irr!AI15&lt;&gt;".",s_Irr!BG15&lt;&gt;"."),s_dir!L15/((1/1000)*(s_Irr!AI15+s_Irr!BG15)),IF(AND(s_Irr!K15=".",s_Irr!AI15=".",s_Irr!BG15&lt;&gt;"."),s_dir!L15/((1/1000)*(s_Irr!BG15)),IF(AND(s_Irr!K15=".",s_Irr!AI15&lt;&gt;".",s_Irr!BG15="."),s_dir!L15/((1/1000)*(s_Irr!AI15)),IF(AND(s_Irr!K15&lt;&gt;".",s_Irr!AI15=".",s_Irr!BG15="."),s_dir!L15/((1/1000)*(s_Irr!K15)),IF(AND(s_Irr!K15=".",s_Irr!AI15=".",s_Irr!BG15="."),s_dir!L15*1000)))))))),".")</f>
        <v>1002122.5085099186</v>
      </c>
      <c r="M15" s="48">
        <f>IFERROR(IF(AND(s_Irr!L15&lt;&gt;".",s_Irr!AJ15&lt;&gt;".",s_Irr!BH15&lt;&gt;"."),s_dir!M15/((1/1000)*(s_Irr!L15+s_Irr!AJ15+s_Irr!BH15)),IF(AND(s_Irr!L15&lt;&gt;".",s_Irr!AJ15&lt;&gt;".",s_Irr!BH15="."),s_dir!M15/((1/1000)*(s_Irr!L15+s_Irr!AJ15)),IF(AND(s_Irr!L15&lt;&gt;".",s_Irr!AJ15=".",s_Irr!BH15&lt;&gt;"."),s_dir!M15/((1/1000)*(s_Irr!L15+s_Irr!BH15)),IF(AND(s_Irr!L15=".",s_Irr!AJ15&lt;&gt;".",s_Irr!BH15&lt;&gt;"."),s_dir!M15/((1/1000)*(s_Irr!AJ15+s_Irr!BH15)),IF(AND(s_Irr!L15=".",s_Irr!AJ15=".",s_Irr!BH15&lt;&gt;"."),s_dir!M15/((1/1000)*(s_Irr!BH15)),IF(AND(s_Irr!L15=".",s_Irr!AJ15&lt;&gt;".",s_Irr!BH15="."),s_dir!M15/((1/1000)*(s_Irr!AJ15)),IF(AND(s_Irr!L15&lt;&gt;".",s_Irr!AJ15=".",s_Irr!BH15="."),s_dir!M15/((1/1000)*(s_Irr!L15)),IF(AND(s_Irr!L15=".",s_Irr!AJ15=".",s_Irr!BH15="."),s_dir!M15*1000)))))))),".")</f>
        <v>814902.3427749296</v>
      </c>
      <c r="N15" s="48">
        <f>IFERROR(IF(AND(s_Irr!M15&lt;&gt;".",s_Irr!AK15&lt;&gt;".",s_Irr!BI15&lt;&gt;"."),s_dir!N15/((1/1000)*(s_Irr!M15+s_Irr!AK15+s_Irr!BI15)),IF(AND(s_Irr!M15&lt;&gt;".",s_Irr!AK15&lt;&gt;".",s_Irr!BI15="."),s_dir!N15/((1/1000)*(s_Irr!M15+s_Irr!AK15)),IF(AND(s_Irr!M15&lt;&gt;".",s_Irr!AK15=".",s_Irr!BI15&lt;&gt;"."),s_dir!N15/((1/1000)*(s_Irr!M15+s_Irr!BI15)),IF(AND(s_Irr!M15=".",s_Irr!AK15&lt;&gt;".",s_Irr!BI15&lt;&gt;"."),s_dir!N15/((1/1000)*(s_Irr!AK15+s_Irr!BI15)),IF(AND(s_Irr!M15=".",s_Irr!AK15=".",s_Irr!BI15&lt;&gt;"."),s_dir!N15/((1/1000)*(s_Irr!BI15)),IF(AND(s_Irr!M15=".",s_Irr!AK15&lt;&gt;".",s_Irr!BI15="."),s_dir!N15/((1/1000)*(s_Irr!AK15)),IF(AND(s_Irr!M15&lt;&gt;".",s_Irr!AK15=".",s_Irr!BI15="."),s_dir!N15/((1/1000)*(s_Irr!M15)),IF(AND(s_Irr!M15=".",s_Irr!AK15=".",s_Irr!BI15="."),s_dir!N15*1000)))))))),".")</f>
        <v>433466.44513376785</v>
      </c>
      <c r="O15" s="48">
        <f>IFERROR(IF(AND(s_Irr!N15&lt;&gt;".",s_Irr!AL15&lt;&gt;".",s_Irr!BJ15&lt;&gt;"."),s_dir!O15/((1/1000)*(s_Irr!N15+s_Irr!AL15+s_Irr!BJ15)),IF(AND(s_Irr!N15&lt;&gt;".",s_Irr!AL15&lt;&gt;".",s_Irr!BJ15="."),s_dir!O15/((1/1000)*(s_Irr!N15+s_Irr!AL15)),IF(AND(s_Irr!N15&lt;&gt;".",s_Irr!AL15=".",s_Irr!BJ15&lt;&gt;"."),s_dir!O15/((1/1000)*(s_Irr!N15+s_Irr!BJ15)),IF(AND(s_Irr!N15=".",s_Irr!AL15&lt;&gt;".",s_Irr!BJ15&lt;&gt;"."),s_dir!O15/((1/1000)*(s_Irr!AL15+s_Irr!BJ15)),IF(AND(s_Irr!N15=".",s_Irr!AL15=".",s_Irr!BJ15&lt;&gt;"."),s_dir!O15/((1/1000)*(s_Irr!BJ15)),IF(AND(s_Irr!N15=".",s_Irr!AL15&lt;&gt;".",s_Irr!BJ15="."),s_dir!O15/((1/1000)*(s_Irr!AL15)),IF(AND(s_Irr!N15&lt;&gt;".",s_Irr!AL15=".",s_Irr!BJ15="."),s_dir!O15/((1/1000)*(s_Irr!N15)),IF(AND(s_Irr!N15=".",s_Irr!AL15=".",s_Irr!BJ15="."),s_dir!O15*1000)))))))),".")</f>
        <v>938090.57693891937</v>
      </c>
      <c r="P15" s="48">
        <f>IFERROR(IF(AND(s_Irr!O15&lt;&gt;".",s_Irr!AM15&lt;&gt;".",s_Irr!BK15&lt;&gt;"."),s_dir!P15/((1/1000)*(s_Irr!O15+s_Irr!AM15+s_Irr!BK15)),IF(AND(s_Irr!O15&lt;&gt;".",s_Irr!AM15&lt;&gt;".",s_Irr!BK15="."),s_dir!P15/((1/1000)*(s_Irr!O15+s_Irr!AM15)),IF(AND(s_Irr!O15&lt;&gt;".",s_Irr!AM15=".",s_Irr!BK15&lt;&gt;"."),s_dir!P15/((1/1000)*(s_Irr!O15+s_Irr!BK15)),IF(AND(s_Irr!O15=".",s_Irr!AM15&lt;&gt;".",s_Irr!BK15&lt;&gt;"."),s_dir!P15/((1/1000)*(s_Irr!AM15+s_Irr!BK15)),IF(AND(s_Irr!O15=".",s_Irr!AM15=".",s_Irr!BK15&lt;&gt;"."),s_dir!P15/((1/1000)*(s_Irr!BK15)),IF(AND(s_Irr!O15=".",s_Irr!AM15&lt;&gt;".",s_Irr!BK15="."),s_dir!P15/((1/1000)*(s_Irr!AM15)),IF(AND(s_Irr!O15&lt;&gt;".",s_Irr!AM15=".",s_Irr!BK15="."),s_dir!P15/((1/1000)*(s_Irr!O15)),IF(AND(s_Irr!O15=".",s_Irr!AM15=".",s_Irr!BK15="."),s_dir!P15*1000)))))))),".")</f>
        <v>814902.3427749296</v>
      </c>
      <c r="Q15" s="48">
        <f>IFERROR(IF(AND(s_Irr!P15&lt;&gt;".",s_Irr!AN15&lt;&gt;".",s_Irr!BL15&lt;&gt;"."),s_dir!Q15/((1/1000)*(s_Irr!P15+s_Irr!AN15+s_Irr!BL15)),IF(AND(s_Irr!P15&lt;&gt;".",s_Irr!AN15&lt;&gt;".",s_Irr!BL15="."),s_dir!Q15/((1/1000)*(s_Irr!P15+s_Irr!AN15)),IF(AND(s_Irr!P15&lt;&gt;".",s_Irr!AN15=".",s_Irr!BL15&lt;&gt;"."),s_dir!Q15/((1/1000)*(s_Irr!P15+s_Irr!BL15)),IF(AND(s_Irr!P15=".",s_Irr!AN15&lt;&gt;".",s_Irr!BL15&lt;&gt;"."),s_dir!Q15/((1/1000)*(s_Irr!AN15+s_Irr!BL15)),IF(AND(s_Irr!P15=".",s_Irr!AN15=".",s_Irr!BL15&lt;&gt;"."),s_dir!Q15/((1/1000)*(s_Irr!BL15)),IF(AND(s_Irr!P15=".",s_Irr!AN15&lt;&gt;".",s_Irr!BL15="."),s_dir!Q15/((1/1000)*(s_Irr!AN15)),IF(AND(s_Irr!P15&lt;&gt;".",s_Irr!AN15=".",s_Irr!BL15="."),s_dir!Q15/((1/1000)*(s_Irr!P15)),IF(AND(s_Irr!P15=".",s_Irr!AN15=".",s_Irr!BL15="."),s_dir!Q15*1000)))))))),".")</f>
        <v>814902.3427749296</v>
      </c>
      <c r="R15" s="48">
        <f>IFERROR(IF(AND(s_Irr!Q15&lt;&gt;".",s_Irr!AO15&lt;&gt;".",s_Irr!BM15&lt;&gt;"."),s_dir!R15/((1/1000)*(s_Irr!Q15+s_Irr!AO15+s_Irr!BM15)),IF(AND(s_Irr!Q15&lt;&gt;".",s_Irr!AO15&lt;&gt;".",s_Irr!BM15="."),s_dir!R15/((1/1000)*(s_Irr!Q15+s_Irr!AO15)),IF(AND(s_Irr!Q15&lt;&gt;".",s_Irr!AO15=".",s_Irr!BM15&lt;&gt;"."),s_dir!R15/((1/1000)*(s_Irr!Q15+s_Irr!BM15)),IF(AND(s_Irr!Q15=".",s_Irr!AO15&lt;&gt;".",s_Irr!BM15&lt;&gt;"."),s_dir!R15/((1/1000)*(s_Irr!AO15+s_Irr!BM15)),IF(AND(s_Irr!Q15=".",s_Irr!AO15=".",s_Irr!BM15&lt;&gt;"."),s_dir!R15/((1/1000)*(s_Irr!BM15)),IF(AND(s_Irr!Q15=".",s_Irr!AO15&lt;&gt;".",s_Irr!BM15="."),s_dir!R15/((1/1000)*(s_Irr!AO15)),IF(AND(s_Irr!Q15&lt;&gt;".",s_Irr!AO15=".",s_Irr!BM15="."),s_dir!R15/((1/1000)*(s_Irr!Q15)),IF(AND(s_Irr!Q15=".",s_Irr!AO15=".",s_Irr!BM15="."),s_dir!R15*1000)))))))),".")</f>
        <v>874067.74488711066</v>
      </c>
      <c r="S15" s="48">
        <f>IFERROR(IF(AND(s_Irr!R15&lt;&gt;".",s_Irr!AP15&lt;&gt;".",s_Irr!BN15&lt;&gt;"."),s_dir!S15/((1/1000)*(s_Irr!R15+s_Irr!AP15+s_Irr!BN15)),IF(AND(s_Irr!R15&lt;&gt;".",s_Irr!AP15&lt;&gt;".",s_Irr!BN15="."),s_dir!S15/((1/1000)*(s_Irr!R15+s_Irr!AP15)),IF(AND(s_Irr!R15&lt;&gt;".",s_Irr!AP15=".",s_Irr!BN15&lt;&gt;"."),s_dir!S15/((1/1000)*(s_Irr!R15+s_Irr!BN15)),IF(AND(s_Irr!R15=".",s_Irr!AP15&lt;&gt;".",s_Irr!BN15&lt;&gt;"."),s_dir!S15/((1/1000)*(s_Irr!AP15+s_Irr!BN15)),IF(AND(s_Irr!R15=".",s_Irr!AP15=".",s_Irr!BN15&lt;&gt;"."),s_dir!S15/((1/1000)*(s_Irr!BN15)),IF(AND(s_Irr!R15=".",s_Irr!AP15&lt;&gt;".",s_Irr!BN15="."),s_dir!S15/((1/1000)*(s_Irr!AP15)),IF(AND(s_Irr!R15&lt;&gt;".",s_Irr!AP15=".",s_Irr!BN15="."),s_dir!S15/((1/1000)*(s_Irr!R15)),IF(AND(s_Irr!R15=".",s_Irr!AP15=".",s_Irr!BN15="."),s_dir!S15*1000)))))))),".")</f>
        <v>874067.74488711066</v>
      </c>
      <c r="T15" s="48">
        <f>IFERROR(IF(AND(s_Irr!S15&lt;&gt;".",s_Irr!AQ15&lt;&gt;".",s_Irr!BO15&lt;&gt;"."),s_dir!T15/((1/1000)*(s_Irr!S15+s_Irr!AQ15+s_Irr!BO15)),IF(AND(s_Irr!S15&lt;&gt;".",s_Irr!AQ15&lt;&gt;".",s_Irr!BO15="."),s_dir!T15/((1/1000)*(s_Irr!S15+s_Irr!AQ15)),IF(AND(s_Irr!S15&lt;&gt;".",s_Irr!AQ15=".",s_Irr!BO15&lt;&gt;"."),s_dir!T15/((1/1000)*(s_Irr!S15+s_Irr!BO15)),IF(AND(s_Irr!S15=".",s_Irr!AQ15&lt;&gt;".",s_Irr!BO15&lt;&gt;"."),s_dir!T15/((1/1000)*(s_Irr!AQ15+s_Irr!BO15)),IF(AND(s_Irr!S15=".",s_Irr!AQ15=".",s_Irr!BO15&lt;&gt;"."),s_dir!T15/((1/1000)*(s_Irr!BO15)),IF(AND(s_Irr!S15=".",s_Irr!AQ15&lt;&gt;".",s_Irr!BO15="."),s_dir!T15/((1/1000)*(s_Irr!AQ15)),IF(AND(s_Irr!S15&lt;&gt;".",s_Irr!AQ15=".",s_Irr!BO15="."),s_dir!T15/((1/1000)*(s_Irr!S15)),IF(AND(s_Irr!S15=".",s_Irr!AQ15=".",s_Irr!BO15="."),s_dir!T15*1000)))))))),".")</f>
        <v>938090.57693891937</v>
      </c>
      <c r="U15" s="48">
        <f>IFERROR(IF(AND(s_Irr!T15&lt;&gt;".",s_Irr!AR15&lt;&gt;".",s_Irr!BP15&lt;&gt;"."),s_dir!U15/((1/1000)*(s_Irr!T15+s_Irr!AR15+s_Irr!BP15)),IF(AND(s_Irr!T15&lt;&gt;".",s_Irr!AR15&lt;&gt;".",s_Irr!BP15="."),s_dir!U15/((1/1000)*(s_Irr!T15+s_Irr!AR15)),IF(AND(s_Irr!T15&lt;&gt;".",s_Irr!AR15=".",s_Irr!BP15&lt;&gt;"."),s_dir!U15/((1/1000)*(s_Irr!T15+s_Irr!BP15)),IF(AND(s_Irr!T15=".",s_Irr!AR15&lt;&gt;".",s_Irr!BP15&lt;&gt;"."),s_dir!U15/((1/1000)*(s_Irr!AR15+s_Irr!BP15)),IF(AND(s_Irr!T15=".",s_Irr!AR15=".",s_Irr!BP15&lt;&gt;"."),s_dir!U15/((1/1000)*(s_Irr!BP15)),IF(AND(s_Irr!T15=".",s_Irr!AR15&lt;&gt;".",s_Irr!BP15="."),s_dir!U15/((1/1000)*(s_Irr!AR15)),IF(AND(s_Irr!T15&lt;&gt;".",s_Irr!AR15=".",s_Irr!BP15="."),s_dir!U15/((1/1000)*(s_Irr!T15)),IF(AND(s_Irr!T15=".",s_Irr!AR15=".",s_Irr!BP15="."),s_dir!U15*1000)))))))),".")</f>
        <v>997142.31322218257</v>
      </c>
      <c r="V15" s="48">
        <f>IFERROR(IF(AND(s_Irr!U15&lt;&gt;".",s_Irr!AS15&lt;&gt;".",s_Irr!BQ15&lt;&gt;"."),s_dir!V15/((1/1000)*(s_Irr!U15+s_Irr!AS15+s_Irr!BQ15)),IF(AND(s_Irr!U15&lt;&gt;".",s_Irr!AS15&lt;&gt;".",s_Irr!BQ15="."),s_dir!V15/((1/1000)*(s_Irr!U15+s_Irr!AS15)),IF(AND(s_Irr!U15&lt;&gt;".",s_Irr!AS15=".",s_Irr!BQ15&lt;&gt;"."),s_dir!V15/((1/1000)*(s_Irr!U15+s_Irr!BQ15)),IF(AND(s_Irr!U15=".",s_Irr!AS15&lt;&gt;".",s_Irr!BQ15&lt;&gt;"."),s_dir!V15/((1/1000)*(s_Irr!AS15+s_Irr!BQ15)),IF(AND(s_Irr!U15=".",s_Irr!AS15=".",s_Irr!BQ15&lt;&gt;"."),s_dir!V15/((1/1000)*(s_Irr!BQ15)),IF(AND(s_Irr!U15=".",s_Irr!AS15&lt;&gt;".",s_Irr!BQ15="."),s_dir!V15/((1/1000)*(s_Irr!AS15)),IF(AND(s_Irr!U15&lt;&gt;".",s_Irr!AS15=".",s_Irr!BQ15="."),s_dir!V15/((1/1000)*(s_Irr!U15)),IF(AND(s_Irr!U15=".",s_Irr!AS15=".",s_Irr!BQ15="."),s_dir!V15*1000)))))))),".")</f>
        <v>814902.3427749296</v>
      </c>
      <c r="W15" s="48">
        <f>IFERROR(IF(AND(s_Irr!V15&lt;&gt;".",s_Irr!AT15&lt;&gt;".",s_Irr!BR15&lt;&gt;"."),s_dir!W15/((1/1000)*(s_Irr!V15+s_Irr!AT15+s_Irr!BR15)),IF(AND(s_Irr!V15&lt;&gt;".",s_Irr!AT15&lt;&gt;".",s_Irr!BR15="."),s_dir!W15/((1/1000)*(s_Irr!V15+s_Irr!AT15)),IF(AND(s_Irr!V15&lt;&gt;".",s_Irr!AT15=".",s_Irr!BR15&lt;&gt;"."),s_dir!W15/((1/1000)*(s_Irr!V15+s_Irr!BR15)),IF(AND(s_Irr!V15=".",s_Irr!AT15&lt;&gt;".",s_Irr!BR15&lt;&gt;"."),s_dir!W15/((1/1000)*(s_Irr!AT15+s_Irr!BR15)),IF(AND(s_Irr!V15=".",s_Irr!AT15=".",s_Irr!BR15&lt;&gt;"."),s_dir!W15/((1/1000)*(s_Irr!BR15)),IF(AND(s_Irr!V15=".",s_Irr!AT15&lt;&gt;".",s_Irr!BR15="."),s_dir!W15/((1/1000)*(s_Irr!AT15)),IF(AND(s_Irr!V15&lt;&gt;".",s_Irr!AT15=".",s_Irr!BR15="."),s_dir!W15/((1/1000)*(s_Irr!V15)),IF(AND(s_Irr!V15=".",s_Irr!AT15=".",s_Irr!BR15="."),s_dir!W15*1000)))))))),".")</f>
        <v>938090.57693891937</v>
      </c>
      <c r="X15" s="48">
        <f>IFERROR(IF(AND(s_Irr!W15&lt;&gt;".",s_Irr!AU15&lt;&gt;".",s_Irr!BS15&lt;&gt;"."),s_dir!X15/((1/1000)*(s_Irr!W15+s_Irr!AU15+s_Irr!BS15)),IF(AND(s_Irr!W15&lt;&gt;".",s_Irr!AU15&lt;&gt;".",s_Irr!BS15="."),s_dir!X15/((1/1000)*(s_Irr!W15+s_Irr!AU15)),IF(AND(s_Irr!W15&lt;&gt;".",s_Irr!AU15=".",s_Irr!BS15&lt;&gt;"."),s_dir!X15/((1/1000)*(s_Irr!W15+s_Irr!BS15)),IF(AND(s_Irr!W15=".",s_Irr!AU15&lt;&gt;".",s_Irr!BS15&lt;&gt;"."),s_dir!X15/((1/1000)*(s_Irr!AU15+s_Irr!BS15)),IF(AND(s_Irr!W15=".",s_Irr!AU15=".",s_Irr!BS15&lt;&gt;"."),s_dir!X15/((1/1000)*(s_Irr!BS15)),IF(AND(s_Irr!W15=".",s_Irr!AU15&lt;&gt;".",s_Irr!BS15="."),s_dir!X15/((1/1000)*(s_Irr!AU15)),IF(AND(s_Irr!W15&lt;&gt;".",s_Irr!AU15=".",s_Irr!BS15="."),s_dir!X15/((1/1000)*(s_Irr!W15)),IF(AND(s_Irr!W15=".",s_Irr!AU15=".",s_Irr!BS15="."),s_dir!X15*1000)))))))),".")</f>
        <v>874067.74488711066</v>
      </c>
      <c r="Y15" s="48">
        <f>IFERROR(IF(AND(s_Irr!X15&lt;&gt;".",s_Irr!AV15&lt;&gt;".",s_Irr!BT15&lt;&gt;"."),s_dir!Y15/((1/1000)*(s_Irr!X15+s_Irr!AV15+s_Irr!BT15)),IF(AND(s_Irr!X15&lt;&gt;".",s_Irr!AV15&lt;&gt;".",s_Irr!BT15="."),s_dir!Y15/((1/1000)*(s_Irr!X15+s_Irr!AV15)),IF(AND(s_Irr!X15&lt;&gt;".",s_Irr!AV15=".",s_Irr!BT15&lt;&gt;"."),s_dir!Y15/((1/1000)*(s_Irr!X15+s_Irr!BT15)),IF(AND(s_Irr!X15=".",s_Irr!AV15&lt;&gt;".",s_Irr!BT15&lt;&gt;"."),s_dir!Y15/((1/1000)*(s_Irr!AV15+s_Irr!BT15)),IF(AND(s_Irr!X15=".",s_Irr!AV15=".",s_Irr!BT15&lt;&gt;"."),s_dir!Y15/((1/1000)*(s_Irr!BT15)),IF(AND(s_Irr!X15=".",s_Irr!AV15&lt;&gt;".",s_Irr!BT15="."),s_dir!Y15/((1/1000)*(s_Irr!AV15)),IF(AND(s_Irr!X15&lt;&gt;".",s_Irr!AV15=".",s_Irr!BT15="."),s_dir!Y15/((1/1000)*(s_Irr!X15)),IF(AND(s_Irr!X15=".",s_Irr!AV15=".",s_Irr!BT15="."),s_dir!Y15*1000)))))))),".")</f>
        <v>814902.3427749296</v>
      </c>
      <c r="Z15" s="48">
        <f>IFERROR(IF(AND(s_Irr!Y15&lt;&gt;".",s_Irr!AW15&lt;&gt;".",s_Irr!BU15&lt;&gt;"."),s_dir!Z15/((1/1000)*(s_Irr!Y15+s_Irr!AW15+s_Irr!BU15)),IF(AND(s_Irr!Y15&lt;&gt;".",s_Irr!AW15&lt;&gt;".",s_Irr!BU15="."),s_dir!Z15/((1/1000)*(s_Irr!Y15+s_Irr!AW15)),IF(AND(s_Irr!Y15&lt;&gt;".",s_Irr!AW15=".",s_Irr!BU15&lt;&gt;"."),s_dir!Z15/((1/1000)*(s_Irr!Y15+s_Irr!BU15)),IF(AND(s_Irr!Y15=".",s_Irr!AW15&lt;&gt;".",s_Irr!BU15&lt;&gt;"."),s_dir!Z15/((1/1000)*(s_Irr!AW15+s_Irr!BU15)),IF(AND(s_Irr!Y15=".",s_Irr!AW15=".",s_Irr!BU15&lt;&gt;"."),s_dir!Z15/((1/1000)*(s_Irr!BU15)),IF(AND(s_Irr!Y15=".",s_Irr!AW15&lt;&gt;".",s_Irr!BU15="."),s_dir!Z15/((1/1000)*(s_Irr!AW15)),IF(AND(s_Irr!Y15&lt;&gt;".",s_Irr!AW15=".",s_Irr!BU15="."),s_dir!Z15/((1/1000)*(s_Irr!Y15)),IF(AND(s_Irr!Y15=".",s_Irr!AW15=".",s_Irr!BU15="."),s_dir!Z15*1000)))))))),".")</f>
        <v>1017538.0946462078</v>
      </c>
      <c r="AA15" s="48">
        <f>IFERROR(IF(AND(s_Irr!Z15&lt;&gt;".",s_Irr!AX15&lt;&gt;".",s_Irr!BV15&lt;&gt;"."),s_dir!AA15/((1/1000)*(s_Irr!Z15+s_Irr!AX15+s_Irr!BV15)),IF(AND(s_Irr!Z15&lt;&gt;".",s_Irr!AX15&lt;&gt;".",s_Irr!BV15="."),s_dir!AA15/((1/1000)*(s_Irr!Z15+s_Irr!AX15)),IF(AND(s_Irr!Z15&lt;&gt;".",s_Irr!AX15=".",s_Irr!BV15&lt;&gt;"."),s_dir!AA15/((1/1000)*(s_Irr!Z15+s_Irr!BV15)),IF(AND(s_Irr!Z15=".",s_Irr!AX15&lt;&gt;".",s_Irr!BV15&lt;&gt;"."),s_dir!AA15/((1/1000)*(s_Irr!AX15+s_Irr!BV15)),IF(AND(s_Irr!Z15=".",s_Irr!AX15=".",s_Irr!BV15&lt;&gt;"."),s_dir!AA15/((1/1000)*(s_Irr!BV15)),IF(AND(s_Irr!Z15=".",s_Irr!AX15&lt;&gt;".",s_Irr!BV15="."),s_dir!AA15/((1/1000)*(s_Irr!AX15)),IF(AND(s_Irr!Z15&lt;&gt;".",s_Irr!AX15=".",s_Irr!BV15="."),s_dir!AA15/((1/1000)*(s_Irr!Z15)),IF(AND(s_Irr!Z15=".",s_Irr!AX15=".",s_Irr!BV15="."),s_dir!AA15*1000)))))))),".")</f>
        <v>861557.19601053547</v>
      </c>
      <c r="AB15" s="62">
        <f t="shared" si="3"/>
        <v>297.36326528037273</v>
      </c>
      <c r="AC15" s="62">
        <f>IFERROR(s_C*s_IFAP_res_adj*s_CF_apple*0.001*(s_Irr!C15+s_Irr!AA15+s_Irr!AY15),".")</f>
        <v>103.48385260743784</v>
      </c>
      <c r="AD15" s="62">
        <f>IFERROR(s_C*s_IFAS_res_adj*s_CF_asparagus*0.001*(s_Irr!D15+s_Irr!AB15+s_Irr!AZ15),".")</f>
        <v>208.67104869651413</v>
      </c>
      <c r="AE15" s="62">
        <f>IFERROR(s_C*s_IFBT_res_adj*s_CF_beet*0.001*(s_Irr!E15+s_Irr!AC15+s_Irr!BA15),".")</f>
        <v>110.99722375665758</v>
      </c>
      <c r="AF15" s="62">
        <f>IFERROR(s_C*s_IFBE_res_adj*s_CF_berries*0.001*(s_Irr!F15+s_Irr!AD15+s_Irr!BB15),".")</f>
        <v>103.48385260743784</v>
      </c>
      <c r="AG15" s="62">
        <f>IFERROR(s_C*s_IFBR_res_adj*s_CF_broccoli*0.001*(s_Irr!G15+s_Irr!AE15+s_Irr!BC15),".")</f>
        <v>110.99722375665758</v>
      </c>
      <c r="AH15" s="62">
        <f>IFERROR(s_C*s_IFCB_res_adj*s_CF_cabbage*0.001*(s_Irr!H15+s_Irr!AF15+s_Irr!BD15),".")</f>
        <v>208.67104869651413</v>
      </c>
      <c r="AI15" s="62">
        <f>IFERROR(s_C*s_IFCR_res_adj*s_CF_carrot*0.001*(s_Irr!I15+s_Irr!AG15+s_Irr!BE15),".")</f>
        <v>110.99722375665758</v>
      </c>
      <c r="AJ15" s="62">
        <f>IFERROR(s_C*s_IFCI_res_adj*s_CF_citrus*0.001*(s_Irr!J15+s_Irr!AH15+s_Irr!BF15),".")</f>
        <v>103.48385260743784</v>
      </c>
      <c r="AK15" s="62">
        <f>IFERROR(s_C*s_IFCO_res_adj*s_CF_corn*0.001*(s_Irr!K15+s_Irr!AI15+s_Irr!BG15),".")</f>
        <v>90.260319384811112</v>
      </c>
      <c r="AL15" s="62">
        <f>IFERROR(s_C*s_IFCU_res_adj*s_CF_cucumber*0.001*(s_Irr!L15+s_Irr!AJ15+s_Irr!BH15),".")</f>
        <v>110.99722375665758</v>
      </c>
      <c r="AM15" s="62">
        <f>IFERROR(s_C*s_IFLE_res_adj*s_CF_lettuce*0.001*(s_Irr!M15+s_Irr!AK15+s_Irr!BI15),".")</f>
        <v>208.67104869651413</v>
      </c>
      <c r="AN15" s="62">
        <f>IFERROR(s_C*s_IFLI_res_adj*s_CF_lima_bean*0.001*(s_Irr!N15+s_Irr!AL15+s_Irr!BJ15),".")</f>
        <v>96.421283727171286</v>
      </c>
      <c r="AO15" s="62">
        <f>IFERROR(s_C*s_IFOK_res_adj*s_CF_okra*0.001*(s_Irr!O15+s_Irr!AM15+s_Irr!BK15),".")</f>
        <v>110.99722375665758</v>
      </c>
      <c r="AP15" s="62">
        <f>IFERROR(s_C*s_IFON_res_adj*s_CF_onion*0.001*(s_Irr!P15+s_Irr!AN15+s_Irr!BL15),".")</f>
        <v>110.99722375665758</v>
      </c>
      <c r="AQ15" s="62">
        <f>IFERROR(s_C*s_IFPC_res_adj*s_CF_peach*0.001*(s_Irr!Q15+s_Irr!AO15+s_Irr!BM15),".")</f>
        <v>103.48385260743784</v>
      </c>
      <c r="AR15" s="62">
        <f>IFERROR(s_C*s_IFPR_res_adj*s_CF_pear*0.001*(s_Irr!R15+s_Irr!AP15+s_Irr!BN15),".")</f>
        <v>103.48385260743784</v>
      </c>
      <c r="AS15" s="62">
        <f>IFERROR(s_C*s_IFPE_res_adj*s_CF_peas*0.001*(s_Irr!S15+s_Irr!AQ15+s_Irr!BO15),".")</f>
        <v>96.421283727171286</v>
      </c>
      <c r="AT15" s="62">
        <f>IFERROR(s_C*s_IFPT_res_adj*s_CF_potato*0.001*(s_Irr!T15+s_Irr!AR15+s_Irr!BP15),".")</f>
        <v>90.711121653764295</v>
      </c>
      <c r="AU15" s="62">
        <f>IFERROR(s_C*s_IFPU_res_adj*s_CF_pumpkin*0.001*(s_Irr!U15+s_Irr!AS15+s_Irr!BQ15),".")</f>
        <v>110.99722375665758</v>
      </c>
      <c r="AV15" s="62">
        <f>IFERROR(s_C*s_IFSN_res_adj*s_CF_snap_bean*0.001*(s_Irr!V15+s_Irr!AT15+s_Irr!BR15),".")</f>
        <v>96.421283727171286</v>
      </c>
      <c r="AW15" s="62">
        <f>IFERROR(s_C*s_IFST_res_adj*s_CF_strawberry*0.001*(s_Irr!W15+s_Irr!AU15+s_Irr!BS15),".")</f>
        <v>103.48385260743784</v>
      </c>
      <c r="AX15" s="62">
        <f>IFERROR(s_C*s_IFTO_res_adj*s_CF_tomato*0.001*(s_Irr!X15+s_Irr!AV15+s_Irr!BT15),".")</f>
        <v>110.99722375665758</v>
      </c>
      <c r="AY15" s="62">
        <f>IFERROR(s_C*s_IFRI_res_adj*s_CF_rice*0.001*(s_Irr!Y15+s_Irr!AW15+s_Irr!BU15),".")</f>
        <v>88.892885835653118</v>
      </c>
      <c r="AZ15" s="62">
        <f>IFERROR(s_C*s_IFCG_res_adj*s_CF_cereal*0.001*(s_Irr!Z15+s_Irr!AX15+s_Irr!BV15),".")</f>
        <v>104.98652683728179</v>
      </c>
      <c r="BA15" s="48">
        <f t="shared" si="0"/>
        <v>304179.79704227962</v>
      </c>
      <c r="BB15" s="48">
        <f>IFERROR(IF(AND(s_Irr!C15&lt;&gt;".",s_Irr!AA15&lt;&gt;".",s_Irr!AY15&lt;&gt;"."),s_dir!AC15/((1/1000)*(s_Irr!C15+s_Irr!AA15+s_Irr!AY15)),IF(AND(s_Irr!C15&lt;&gt;".",s_Irr!AA15&lt;&gt;".",s_Irr!AY15="."),s_dir!AC15/((1/1000)*(s_Irr!C15+s_Irr!AA15)),IF(AND(s_Irr!C15&lt;&gt;".",s_Irr!AA15=".",s_Irr!AY15&lt;&gt;"."),s_dir!AC15/((1/1000)*(s_Irr!C15+s_Irr!AY15)),IF(AND(s_Irr!C15=".",s_Irr!AA15&lt;&gt;".",s_Irr!AY15&lt;&gt;"."),s_dir!AC15/((1/1000)*(s_Irr!AA15+s_Irr!AY15)),IF(AND(s_Irr!C15=".",s_Irr!AA15=".",s_Irr!AY15&lt;&gt;"."),s_dir!AC15/((1/1000)*(s_Irr!AY15)),IF(AND(s_Irr!C15=".",s_Irr!AA15&lt;&gt;".",s_Irr!AY15="."),s_dir!AC15/((1/1000)*(s_Irr!AA15)),IF(AND(s_Irr!C15&lt;&gt;".",s_Irr!AA15=".",s_Irr!AY15="."),s_dir!AC15/((1/1000)*(s_Irr!C15)),IF(AND(s_Irr!C15=".",s_Irr!AA15=".",s_Irr!AY15="."),s_dir!AC15*1000)))))))),".")</f>
        <v>874067.74488711066</v>
      </c>
      <c r="BC15" s="48">
        <f>IFERROR(IF(AND(s_Irr!D15&lt;&gt;".",s_Irr!AB15&lt;&gt;".",s_Irr!AZ15&lt;&gt;"."),s_dir!AD15/((1/1000)*(s_Irr!D15+s_Irr!AB15+s_Irr!AZ15)),IF(AND(s_Irr!D15&lt;&gt;".",s_Irr!AB15&lt;&gt;".",s_Irr!AZ15="."),s_dir!AD15/((1/1000)*(s_Irr!D15+s_Irr!AB15)),IF(AND(s_Irr!D15&lt;&gt;".",s_Irr!AB15=".",s_Irr!AZ15&lt;&gt;"."),s_dir!AD15/((1/1000)*(s_Irr!D15+s_Irr!AZ15)),IF(AND(s_Irr!D15=".",s_Irr!AB15&lt;&gt;".",s_Irr!AZ15&lt;&gt;"."),s_dir!AD15/((1/1000)*(s_Irr!AB15+s_Irr!AZ15)),IF(AND(s_Irr!D15=".",s_Irr!AB15=".",s_Irr!AZ15&lt;&gt;"."),s_dir!AD15/((1/1000)*(s_Irr!AZ15)),IF(AND(s_Irr!D15=".",s_Irr!AB15&lt;&gt;".",s_Irr!AZ15="."),s_dir!AD15/((1/1000)*(s_Irr!AB15)),IF(AND(s_Irr!D15&lt;&gt;".",s_Irr!AB15=".",s_Irr!AZ15="."),s_dir!AD15/((1/1000)*(s_Irr!D15)),IF(AND(s_Irr!D15=".",s_Irr!AB15=".",s_Irr!AZ15="."),s_dir!AD15*1000)))))))),".")</f>
        <v>433466.44513376785</v>
      </c>
      <c r="BD15" s="48">
        <f>IFERROR(IF(AND(s_Irr!E15&lt;&gt;".",s_Irr!AC15&lt;&gt;".",s_Irr!BA15&lt;&gt;"."),s_dir!AE15/((1/1000)*(s_Irr!E15+s_Irr!AC15+s_Irr!BA15)),IF(AND(s_Irr!E15&lt;&gt;".",s_Irr!AC15&lt;&gt;".",s_Irr!BA15="."),s_dir!AE15/((1/1000)*(s_Irr!E15+s_Irr!AC15)),IF(AND(s_Irr!E15&lt;&gt;".",s_Irr!AC15=".",s_Irr!BA15&lt;&gt;"."),s_dir!AE15/((1/1000)*(s_Irr!E15+s_Irr!BA15)),IF(AND(s_Irr!E15=".",s_Irr!AC15&lt;&gt;".",s_Irr!BA15&lt;&gt;"."),s_dir!AE15/((1/1000)*(s_Irr!AC15+s_Irr!BA15)),IF(AND(s_Irr!E15=".",s_Irr!AC15=".",s_Irr!BA15&lt;&gt;"."),s_dir!AE15/((1/1000)*(s_Irr!BA15)),IF(AND(s_Irr!E15=".",s_Irr!AC15&lt;&gt;".",s_Irr!BA15="."),s_dir!AE15/((1/1000)*(s_Irr!AC15)),IF(AND(s_Irr!E15&lt;&gt;".",s_Irr!AC15=".",s_Irr!BA15="."),s_dir!AE15/((1/1000)*(s_Irr!E15)),IF(AND(s_Irr!E15=".",s_Irr!AC15=".",s_Irr!BA15="."),s_dir!AE15*1000)))))))),".")</f>
        <v>814902.3427749296</v>
      </c>
      <c r="BE15" s="48">
        <f>IFERROR(IF(AND(s_Irr!F15&lt;&gt;".",s_Irr!AD15&lt;&gt;".",s_Irr!BB15&lt;&gt;"."),s_dir!AF15/((1/1000)*(s_Irr!F15+s_Irr!AD15+s_Irr!BB15)),IF(AND(s_Irr!F15&lt;&gt;".",s_Irr!AD15&lt;&gt;".",s_Irr!BB15="."),s_dir!AF15/((1/1000)*(s_Irr!F15+s_Irr!AD15)),IF(AND(s_Irr!F15&lt;&gt;".",s_Irr!AD15=".",s_Irr!BB15&lt;&gt;"."),s_dir!AF15/((1/1000)*(s_Irr!F15+s_Irr!BB15)),IF(AND(s_Irr!F15=".",s_Irr!AD15&lt;&gt;".",s_Irr!BB15&lt;&gt;"."),s_dir!AF15/((1/1000)*(s_Irr!AD15+s_Irr!BB15)),IF(AND(s_Irr!F15=".",s_Irr!AD15=".",s_Irr!BB15&lt;&gt;"."),s_dir!AF15/((1/1000)*(s_Irr!BB15)),IF(AND(s_Irr!F15=".",s_Irr!AD15&lt;&gt;".",s_Irr!BB15="."),s_dir!AF15/((1/1000)*(s_Irr!AD15)),IF(AND(s_Irr!F15&lt;&gt;".",s_Irr!AD15=".",s_Irr!BB15="."),s_dir!AF15/((1/1000)*(s_Irr!F15)),IF(AND(s_Irr!F15=".",s_Irr!AD15=".",s_Irr!BB15="."),s_dir!AF15*1000)))))))),".")</f>
        <v>874067.74488711066</v>
      </c>
      <c r="BF15" s="48">
        <f>IFERROR(IF(AND(s_Irr!G15&lt;&gt;".",s_Irr!AE15&lt;&gt;".",s_Irr!BC15&lt;&gt;"."),s_dir!AG15/((1/1000)*(s_Irr!G15+s_Irr!AE15+s_Irr!BC15)),IF(AND(s_Irr!G15&lt;&gt;".",s_Irr!AE15&lt;&gt;".",s_Irr!BC15="."),s_dir!AG15/((1/1000)*(s_Irr!G15+s_Irr!AE15)),IF(AND(s_Irr!G15&lt;&gt;".",s_Irr!AE15=".",s_Irr!BC15&lt;&gt;"."),s_dir!AG15/((1/1000)*(s_Irr!G15+s_Irr!BC15)),IF(AND(s_Irr!G15=".",s_Irr!AE15&lt;&gt;".",s_Irr!BC15&lt;&gt;"."),s_dir!AG15/((1/1000)*(s_Irr!AE15+s_Irr!BC15)),IF(AND(s_Irr!G15=".",s_Irr!AE15=".",s_Irr!BC15&lt;&gt;"."),s_dir!AG15/((1/1000)*(s_Irr!BC15)),IF(AND(s_Irr!G15=".",s_Irr!AE15&lt;&gt;".",s_Irr!BC15="."),s_dir!AG15/((1/1000)*(s_Irr!AE15)),IF(AND(s_Irr!G15&lt;&gt;".",s_Irr!AE15=".",s_Irr!BC15="."),s_dir!AG15/((1/1000)*(s_Irr!G15)),IF(AND(s_Irr!G15=".",s_Irr!AE15=".",s_Irr!BC15="."),s_dir!AG15*1000)))))))),".")</f>
        <v>814902.3427749296</v>
      </c>
      <c r="BG15" s="48">
        <f>IFERROR(IF(AND(s_Irr!H15&lt;&gt;".",s_Irr!AF15&lt;&gt;".",s_Irr!BD15&lt;&gt;"."),s_dir!AH15/((1/1000)*(s_Irr!H15+s_Irr!AF15+s_Irr!BD15)),IF(AND(s_Irr!H15&lt;&gt;".",s_Irr!AF15&lt;&gt;".",s_Irr!BD15="."),s_dir!AH15/((1/1000)*(s_Irr!H15+s_Irr!AF15)),IF(AND(s_Irr!H15&lt;&gt;".",s_Irr!AF15=".",s_Irr!BD15&lt;&gt;"."),s_dir!AH15/((1/1000)*(s_Irr!H15+s_Irr!BD15)),IF(AND(s_Irr!H15=".",s_Irr!AF15&lt;&gt;".",s_Irr!BD15&lt;&gt;"."),s_dir!AH15/((1/1000)*(s_Irr!AF15+s_Irr!BD15)),IF(AND(s_Irr!H15=".",s_Irr!AF15=".",s_Irr!BD15&lt;&gt;"."),s_dir!AH15/((1/1000)*(s_Irr!BD15)),IF(AND(s_Irr!H15=".",s_Irr!AF15&lt;&gt;".",s_Irr!BD15="."),s_dir!AH15/((1/1000)*(s_Irr!AF15)),IF(AND(s_Irr!H15&lt;&gt;".",s_Irr!AF15=".",s_Irr!BD15="."),s_dir!AH15/((1/1000)*(s_Irr!H15)),IF(AND(s_Irr!H15=".",s_Irr!AF15=".",s_Irr!BD15="."),s_dir!AH15*1000)))))))),".")</f>
        <v>433466.44513376785</v>
      </c>
      <c r="BH15" s="48">
        <f>IFERROR(IF(AND(s_Irr!I15&lt;&gt;".",s_Irr!AG15&lt;&gt;".",s_Irr!BE15&lt;&gt;"."),s_dir!AI15/((1/1000)*(s_Irr!I15+s_Irr!AG15+s_Irr!BE15)),IF(AND(s_Irr!I15&lt;&gt;".",s_Irr!AG15&lt;&gt;".",s_Irr!BE15="."),s_dir!AI15/((1/1000)*(s_Irr!I15+s_Irr!AG15)),IF(AND(s_Irr!I15&lt;&gt;".",s_Irr!AG15=".",s_Irr!BE15&lt;&gt;"."),s_dir!AI15/((1/1000)*(s_Irr!I15+s_Irr!BE15)),IF(AND(s_Irr!I15=".",s_Irr!AG15&lt;&gt;".",s_Irr!BE15&lt;&gt;"."),s_dir!AI15/((1/1000)*(s_Irr!AG15+s_Irr!BE15)),IF(AND(s_Irr!I15=".",s_Irr!AG15=".",s_Irr!BE15&lt;&gt;"."),s_dir!AI15/((1/1000)*(s_Irr!BE15)),IF(AND(s_Irr!I15=".",s_Irr!AG15&lt;&gt;".",s_Irr!BE15="."),s_dir!AI15/((1/1000)*(s_Irr!AG15)),IF(AND(s_Irr!I15&lt;&gt;".",s_Irr!AG15=".",s_Irr!BE15="."),s_dir!AI15/((1/1000)*(s_Irr!I15)),IF(AND(s_Irr!I15=".",s_Irr!AG15=".",s_Irr!BE15="."),s_dir!AI15*1000)))))))),".")</f>
        <v>814902.3427749296</v>
      </c>
      <c r="BI15" s="48">
        <f>IFERROR(IF(AND(s_Irr!J15&lt;&gt;".",s_Irr!AH15&lt;&gt;".",s_Irr!BF15&lt;&gt;"."),s_dir!AJ15/((1/1000)*(s_Irr!J15+s_Irr!AH15+s_Irr!BF15)),IF(AND(s_Irr!J15&lt;&gt;".",s_Irr!AH15&lt;&gt;".",s_Irr!BF15="."),s_dir!AJ15/((1/1000)*(s_Irr!J15+s_Irr!AH15)),IF(AND(s_Irr!J15&lt;&gt;".",s_Irr!AH15=".",s_Irr!BF15&lt;&gt;"."),s_dir!AJ15/((1/1000)*(s_Irr!J15+s_Irr!BF15)),IF(AND(s_Irr!J15=".",s_Irr!AH15&lt;&gt;".",s_Irr!BF15&lt;&gt;"."),s_dir!AJ15/((1/1000)*(s_Irr!AH15+s_Irr!BF15)),IF(AND(s_Irr!J15=".",s_Irr!AH15=".",s_Irr!BF15&lt;&gt;"."),s_dir!AJ15/((1/1000)*(s_Irr!BF15)),IF(AND(s_Irr!J15=".",s_Irr!AH15&lt;&gt;".",s_Irr!BF15="."),s_dir!AJ15/((1/1000)*(s_Irr!AH15)),IF(AND(s_Irr!J15&lt;&gt;".",s_Irr!AH15=".",s_Irr!BF15="."),s_dir!AJ15/((1/1000)*(s_Irr!J15)),IF(AND(s_Irr!J15=".",s_Irr!AH15=".",s_Irr!BF15="."),s_dir!AJ15*1000)))))))),".")</f>
        <v>874067.74488711066</v>
      </c>
      <c r="BJ15" s="48">
        <f>IFERROR(IF(AND(s_Irr!K15&lt;&gt;".",s_Irr!AI15&lt;&gt;".",s_Irr!BG15&lt;&gt;"."),s_dir!AK15/((1/1000)*(s_Irr!K15+s_Irr!AI15+s_Irr!BG15)),IF(AND(s_Irr!K15&lt;&gt;".",s_Irr!AI15&lt;&gt;".",s_Irr!BG15="."),s_dir!AK15/((1/1000)*(s_Irr!K15+s_Irr!AI15)),IF(AND(s_Irr!K15&lt;&gt;".",s_Irr!AI15=".",s_Irr!BG15&lt;&gt;"."),s_dir!AK15/((1/1000)*(s_Irr!K15+s_Irr!BG15)),IF(AND(s_Irr!K15=".",s_Irr!AI15&lt;&gt;".",s_Irr!BG15&lt;&gt;"."),s_dir!AK15/((1/1000)*(s_Irr!AI15+s_Irr!BG15)),IF(AND(s_Irr!K15=".",s_Irr!AI15=".",s_Irr!BG15&lt;&gt;"."),s_dir!AK15/((1/1000)*(s_Irr!BG15)),IF(AND(s_Irr!K15=".",s_Irr!AI15&lt;&gt;".",s_Irr!BG15="."),s_dir!AK15/((1/1000)*(s_Irr!AI15)),IF(AND(s_Irr!K15&lt;&gt;".",s_Irr!AI15=".",s_Irr!BG15="."),s_dir!AK15/((1/1000)*(s_Irr!K15)),IF(AND(s_Irr!K15=".",s_Irr!AI15=".",s_Irr!BG15="."),s_dir!AK15*1000)))))))),".")</f>
        <v>1002122.5085099186</v>
      </c>
      <c r="BK15" s="48">
        <f>IFERROR(IF(AND(s_Irr!L15&lt;&gt;".",s_Irr!AJ15&lt;&gt;".",s_Irr!BH15&lt;&gt;"."),s_dir!AL15/((1/1000)*(s_Irr!L15+s_Irr!AJ15+s_Irr!BH15)),IF(AND(s_Irr!L15&lt;&gt;".",s_Irr!AJ15&lt;&gt;".",s_Irr!BH15="."),s_dir!AL15/((1/1000)*(s_Irr!L15+s_Irr!AJ15)),IF(AND(s_Irr!L15&lt;&gt;".",s_Irr!AJ15=".",s_Irr!BH15&lt;&gt;"."),s_dir!AL15/((1/1000)*(s_Irr!L15+s_Irr!BH15)),IF(AND(s_Irr!L15=".",s_Irr!AJ15&lt;&gt;".",s_Irr!BH15&lt;&gt;"."),s_dir!AL15/((1/1000)*(s_Irr!AJ15+s_Irr!BH15)),IF(AND(s_Irr!L15=".",s_Irr!AJ15=".",s_Irr!BH15&lt;&gt;"."),s_dir!AL15/((1/1000)*(s_Irr!BH15)),IF(AND(s_Irr!L15=".",s_Irr!AJ15&lt;&gt;".",s_Irr!BH15="."),s_dir!AL15/((1/1000)*(s_Irr!AJ15)),IF(AND(s_Irr!L15&lt;&gt;".",s_Irr!AJ15=".",s_Irr!BH15="."),s_dir!AL15/((1/1000)*(s_Irr!L15)),IF(AND(s_Irr!L15=".",s_Irr!AJ15=".",s_Irr!BH15="."),s_dir!AL15*1000)))))))),".")</f>
        <v>814902.3427749296</v>
      </c>
      <c r="BL15" s="48">
        <f>IFERROR(IF(AND(s_Irr!M15&lt;&gt;".",s_Irr!AK15&lt;&gt;".",s_Irr!BI15&lt;&gt;"."),s_dir!AM15/((1/1000)*(s_Irr!M15+s_Irr!AK15+s_Irr!BI15)),IF(AND(s_Irr!M15&lt;&gt;".",s_Irr!AK15&lt;&gt;".",s_Irr!BI15="."),s_dir!AM15/((1/1000)*(s_Irr!M15+s_Irr!AK15)),IF(AND(s_Irr!M15&lt;&gt;".",s_Irr!AK15=".",s_Irr!BI15&lt;&gt;"."),s_dir!AM15/((1/1000)*(s_Irr!M15+s_Irr!BI15)),IF(AND(s_Irr!M15=".",s_Irr!AK15&lt;&gt;".",s_Irr!BI15&lt;&gt;"."),s_dir!AM15/((1/1000)*(s_Irr!AK15+s_Irr!BI15)),IF(AND(s_Irr!M15=".",s_Irr!AK15=".",s_Irr!BI15&lt;&gt;"."),s_dir!AM15/((1/1000)*(s_Irr!BI15)),IF(AND(s_Irr!M15=".",s_Irr!AK15&lt;&gt;".",s_Irr!BI15="."),s_dir!AM15/((1/1000)*(s_Irr!AK15)),IF(AND(s_Irr!M15&lt;&gt;".",s_Irr!AK15=".",s_Irr!BI15="."),s_dir!AM15/((1/1000)*(s_Irr!M15)),IF(AND(s_Irr!M15=".",s_Irr!AK15=".",s_Irr!BI15="."),s_dir!AM15*1000)))))))),".")</f>
        <v>433466.44513376785</v>
      </c>
      <c r="BM15" s="48">
        <f>IFERROR(IF(AND(s_Irr!N15&lt;&gt;".",s_Irr!AL15&lt;&gt;".",s_Irr!BJ15&lt;&gt;"."),s_dir!AN15/((1/1000)*(s_Irr!N15+s_Irr!AL15+s_Irr!BJ15)),IF(AND(s_Irr!N15&lt;&gt;".",s_Irr!AL15&lt;&gt;".",s_Irr!BJ15="."),s_dir!AN15/((1/1000)*(s_Irr!N15+s_Irr!AL15)),IF(AND(s_Irr!N15&lt;&gt;".",s_Irr!AL15=".",s_Irr!BJ15&lt;&gt;"."),s_dir!AN15/((1/1000)*(s_Irr!N15+s_Irr!BJ15)),IF(AND(s_Irr!N15=".",s_Irr!AL15&lt;&gt;".",s_Irr!BJ15&lt;&gt;"."),s_dir!AN15/((1/1000)*(s_Irr!AL15+s_Irr!BJ15)),IF(AND(s_Irr!N15=".",s_Irr!AL15=".",s_Irr!BJ15&lt;&gt;"."),s_dir!AN15/((1/1000)*(s_Irr!BJ15)),IF(AND(s_Irr!N15=".",s_Irr!AL15&lt;&gt;".",s_Irr!BJ15="."),s_dir!AN15/((1/1000)*(s_Irr!AL15)),IF(AND(s_Irr!N15&lt;&gt;".",s_Irr!AL15=".",s_Irr!BJ15="."),s_dir!AN15/((1/1000)*(s_Irr!N15)),IF(AND(s_Irr!N15=".",s_Irr!AL15=".",s_Irr!BJ15="."),s_dir!AN15*1000)))))))),".")</f>
        <v>938090.57693891937</v>
      </c>
      <c r="BN15" s="48">
        <f>IFERROR(IF(AND(s_Irr!O15&lt;&gt;".",s_Irr!AM15&lt;&gt;".",s_Irr!BK15&lt;&gt;"."),s_dir!AO15/((1/1000)*(s_Irr!O15+s_Irr!AM15+s_Irr!BK15)),IF(AND(s_Irr!O15&lt;&gt;".",s_Irr!AM15&lt;&gt;".",s_Irr!BK15="."),s_dir!AO15/((1/1000)*(s_Irr!O15+s_Irr!AM15)),IF(AND(s_Irr!O15&lt;&gt;".",s_Irr!AM15=".",s_Irr!BK15&lt;&gt;"."),s_dir!AO15/((1/1000)*(s_Irr!O15+s_Irr!BK15)),IF(AND(s_Irr!O15=".",s_Irr!AM15&lt;&gt;".",s_Irr!BK15&lt;&gt;"."),s_dir!AO15/((1/1000)*(s_Irr!AM15+s_Irr!BK15)),IF(AND(s_Irr!O15=".",s_Irr!AM15=".",s_Irr!BK15&lt;&gt;"."),s_dir!AO15/((1/1000)*(s_Irr!BK15)),IF(AND(s_Irr!O15=".",s_Irr!AM15&lt;&gt;".",s_Irr!BK15="."),s_dir!AO15/((1/1000)*(s_Irr!AM15)),IF(AND(s_Irr!O15&lt;&gt;".",s_Irr!AM15=".",s_Irr!BK15="."),s_dir!AO15/((1/1000)*(s_Irr!O15)),IF(AND(s_Irr!O15=".",s_Irr!AM15=".",s_Irr!BK15="."),s_dir!AO15*1000)))))))),".")</f>
        <v>814902.3427749296</v>
      </c>
      <c r="BO15" s="48">
        <f>IFERROR(IF(AND(s_Irr!P15&lt;&gt;".",s_Irr!AN15&lt;&gt;".",s_Irr!BL15&lt;&gt;"."),s_dir!AP15/((1/1000)*(s_Irr!P15+s_Irr!AN15+s_Irr!BL15)),IF(AND(s_Irr!P15&lt;&gt;".",s_Irr!AN15&lt;&gt;".",s_Irr!BL15="."),s_dir!AP15/((1/1000)*(s_Irr!P15+s_Irr!AN15)),IF(AND(s_Irr!P15&lt;&gt;".",s_Irr!AN15=".",s_Irr!BL15&lt;&gt;"."),s_dir!AP15/((1/1000)*(s_Irr!P15+s_Irr!BL15)),IF(AND(s_Irr!P15=".",s_Irr!AN15&lt;&gt;".",s_Irr!BL15&lt;&gt;"."),s_dir!AP15/((1/1000)*(s_Irr!AN15+s_Irr!BL15)),IF(AND(s_Irr!P15=".",s_Irr!AN15=".",s_Irr!BL15&lt;&gt;"."),s_dir!AP15/((1/1000)*(s_Irr!BL15)),IF(AND(s_Irr!P15=".",s_Irr!AN15&lt;&gt;".",s_Irr!BL15="."),s_dir!AP15/((1/1000)*(s_Irr!AN15)),IF(AND(s_Irr!P15&lt;&gt;".",s_Irr!AN15=".",s_Irr!BL15="."),s_dir!AP15/((1/1000)*(s_Irr!P15)),IF(AND(s_Irr!P15=".",s_Irr!AN15=".",s_Irr!BL15="."),s_dir!AP15*1000)))))))),".")</f>
        <v>814902.3427749296</v>
      </c>
      <c r="BP15" s="48">
        <f>IFERROR(IF(AND(s_Irr!Q15&lt;&gt;".",s_Irr!AO15&lt;&gt;".",s_Irr!BM15&lt;&gt;"."),s_dir!AQ15/((1/1000)*(s_Irr!Q15+s_Irr!AO15+s_Irr!BM15)),IF(AND(s_Irr!Q15&lt;&gt;".",s_Irr!AO15&lt;&gt;".",s_Irr!BM15="."),s_dir!AQ15/((1/1000)*(s_Irr!Q15+s_Irr!AO15)),IF(AND(s_Irr!Q15&lt;&gt;".",s_Irr!AO15=".",s_Irr!BM15&lt;&gt;"."),s_dir!AQ15/((1/1000)*(s_Irr!Q15+s_Irr!BM15)),IF(AND(s_Irr!Q15=".",s_Irr!AO15&lt;&gt;".",s_Irr!BM15&lt;&gt;"."),s_dir!AQ15/((1/1000)*(s_Irr!AO15+s_Irr!BM15)),IF(AND(s_Irr!Q15=".",s_Irr!AO15=".",s_Irr!BM15&lt;&gt;"."),s_dir!AQ15/((1/1000)*(s_Irr!BM15)),IF(AND(s_Irr!Q15=".",s_Irr!AO15&lt;&gt;".",s_Irr!BM15="."),s_dir!AQ15/((1/1000)*(s_Irr!AO15)),IF(AND(s_Irr!Q15&lt;&gt;".",s_Irr!AO15=".",s_Irr!BM15="."),s_dir!AQ15/((1/1000)*(s_Irr!Q15)),IF(AND(s_Irr!Q15=".",s_Irr!AO15=".",s_Irr!BM15="."),s_dir!AQ15*1000)))))))),".")</f>
        <v>874067.74488711066</v>
      </c>
      <c r="BQ15" s="48">
        <f>IFERROR(IF(AND(s_Irr!R15&lt;&gt;".",s_Irr!AP15&lt;&gt;".",s_Irr!BN15&lt;&gt;"."),s_dir!AR15/((1/1000)*(s_Irr!R15+s_Irr!AP15+s_Irr!BN15)),IF(AND(s_Irr!R15&lt;&gt;".",s_Irr!AP15&lt;&gt;".",s_Irr!BN15="."),s_dir!AR15/((1/1000)*(s_Irr!R15+s_Irr!AP15)),IF(AND(s_Irr!R15&lt;&gt;".",s_Irr!AP15=".",s_Irr!BN15&lt;&gt;"."),s_dir!AR15/((1/1000)*(s_Irr!R15+s_Irr!BN15)),IF(AND(s_Irr!R15=".",s_Irr!AP15&lt;&gt;".",s_Irr!BN15&lt;&gt;"."),s_dir!AR15/((1/1000)*(s_Irr!AP15+s_Irr!BN15)),IF(AND(s_Irr!R15=".",s_Irr!AP15=".",s_Irr!BN15&lt;&gt;"."),s_dir!AR15/((1/1000)*(s_Irr!BN15)),IF(AND(s_Irr!R15=".",s_Irr!AP15&lt;&gt;".",s_Irr!BN15="."),s_dir!AR15/((1/1000)*(s_Irr!AP15)),IF(AND(s_Irr!R15&lt;&gt;".",s_Irr!AP15=".",s_Irr!BN15="."),s_dir!AR15/((1/1000)*(s_Irr!R15)),IF(AND(s_Irr!R15=".",s_Irr!AP15=".",s_Irr!BN15="."),s_dir!AR15*1000)))))))),".")</f>
        <v>874067.74488711066</v>
      </c>
      <c r="BR15" s="48">
        <f>IFERROR(IF(AND(s_Irr!S15&lt;&gt;".",s_Irr!AQ15&lt;&gt;".",s_Irr!BO15&lt;&gt;"."),s_dir!AS15/((1/1000)*(s_Irr!S15+s_Irr!AQ15+s_Irr!BO15)),IF(AND(s_Irr!S15&lt;&gt;".",s_Irr!AQ15&lt;&gt;".",s_Irr!BO15="."),s_dir!AS15/((1/1000)*(s_Irr!S15+s_Irr!AQ15)),IF(AND(s_Irr!S15&lt;&gt;".",s_Irr!AQ15=".",s_Irr!BO15&lt;&gt;"."),s_dir!AS15/((1/1000)*(s_Irr!S15+s_Irr!BO15)),IF(AND(s_Irr!S15=".",s_Irr!AQ15&lt;&gt;".",s_Irr!BO15&lt;&gt;"."),s_dir!AS15/((1/1000)*(s_Irr!AQ15+s_Irr!BO15)),IF(AND(s_Irr!S15=".",s_Irr!AQ15=".",s_Irr!BO15&lt;&gt;"."),s_dir!AS15/((1/1000)*(s_Irr!BO15)),IF(AND(s_Irr!S15=".",s_Irr!AQ15&lt;&gt;".",s_Irr!BO15="."),s_dir!AS15/((1/1000)*(s_Irr!AQ15)),IF(AND(s_Irr!S15&lt;&gt;".",s_Irr!AQ15=".",s_Irr!BO15="."),s_dir!AS15/((1/1000)*(s_Irr!S15)),IF(AND(s_Irr!S15=".",s_Irr!AQ15=".",s_Irr!BO15="."),s_dir!AS15*1000)))))))),".")</f>
        <v>938090.57693891937</v>
      </c>
      <c r="BS15" s="48">
        <f>IFERROR(IF(AND(s_Irr!T15&lt;&gt;".",s_Irr!AR15&lt;&gt;".",s_Irr!BP15&lt;&gt;"."),s_dir!AT15/((1/1000)*(s_Irr!T15+s_Irr!AR15+s_Irr!BP15)),IF(AND(s_Irr!T15&lt;&gt;".",s_Irr!AR15&lt;&gt;".",s_Irr!BP15="."),s_dir!AT15/((1/1000)*(s_Irr!T15+s_Irr!AR15)),IF(AND(s_Irr!T15&lt;&gt;".",s_Irr!AR15=".",s_Irr!BP15&lt;&gt;"."),s_dir!AT15/((1/1000)*(s_Irr!T15+s_Irr!BP15)),IF(AND(s_Irr!T15=".",s_Irr!AR15&lt;&gt;".",s_Irr!BP15&lt;&gt;"."),s_dir!AT15/((1/1000)*(s_Irr!AR15+s_Irr!BP15)),IF(AND(s_Irr!T15=".",s_Irr!AR15=".",s_Irr!BP15&lt;&gt;"."),s_dir!AT15/((1/1000)*(s_Irr!BP15)),IF(AND(s_Irr!T15=".",s_Irr!AR15&lt;&gt;".",s_Irr!BP15="."),s_dir!AT15/((1/1000)*(s_Irr!AR15)),IF(AND(s_Irr!T15&lt;&gt;".",s_Irr!AR15=".",s_Irr!BP15="."),s_dir!AT15/((1/1000)*(s_Irr!T15)),IF(AND(s_Irr!T15=".",s_Irr!AR15=".",s_Irr!BP15="."),s_dir!AT15*1000)))))))),".")</f>
        <v>997142.31322218257</v>
      </c>
      <c r="BT15" s="48">
        <f>IFERROR(IF(AND(s_Irr!U15&lt;&gt;".",s_Irr!AS15&lt;&gt;".",s_Irr!BQ15&lt;&gt;"."),s_dir!AU15/((1/1000)*(s_Irr!U15+s_Irr!AS15+s_Irr!BQ15)),IF(AND(s_Irr!U15&lt;&gt;".",s_Irr!AS15&lt;&gt;".",s_Irr!BQ15="."),s_dir!AU15/((1/1000)*(s_Irr!U15+s_Irr!AS15)),IF(AND(s_Irr!U15&lt;&gt;".",s_Irr!AS15=".",s_Irr!BQ15&lt;&gt;"."),s_dir!AU15/((1/1000)*(s_Irr!U15+s_Irr!BQ15)),IF(AND(s_Irr!U15=".",s_Irr!AS15&lt;&gt;".",s_Irr!BQ15&lt;&gt;"."),s_dir!AU15/((1/1000)*(s_Irr!AS15+s_Irr!BQ15)),IF(AND(s_Irr!U15=".",s_Irr!AS15=".",s_Irr!BQ15&lt;&gt;"."),s_dir!AU15/((1/1000)*(s_Irr!BQ15)),IF(AND(s_Irr!U15=".",s_Irr!AS15&lt;&gt;".",s_Irr!BQ15="."),s_dir!AU15/((1/1000)*(s_Irr!AS15)),IF(AND(s_Irr!U15&lt;&gt;".",s_Irr!AS15=".",s_Irr!BQ15="."),s_dir!AU15/((1/1000)*(s_Irr!U15)),IF(AND(s_Irr!U15=".",s_Irr!AS15=".",s_Irr!BQ15="."),s_dir!AU15*1000)))))))),".")</f>
        <v>814902.3427749296</v>
      </c>
      <c r="BU15" s="48">
        <f>IFERROR(IF(AND(s_Irr!V15&lt;&gt;".",s_Irr!AT15&lt;&gt;".",s_Irr!BR15&lt;&gt;"."),s_dir!AV15/((1/1000)*(s_Irr!V15+s_Irr!AT15+s_Irr!BR15)),IF(AND(s_Irr!V15&lt;&gt;".",s_Irr!AT15&lt;&gt;".",s_Irr!BR15="."),s_dir!AV15/((1/1000)*(s_Irr!V15+s_Irr!AT15)),IF(AND(s_Irr!V15&lt;&gt;".",s_Irr!AT15=".",s_Irr!BR15&lt;&gt;"."),s_dir!AV15/((1/1000)*(s_Irr!V15+s_Irr!BR15)),IF(AND(s_Irr!V15=".",s_Irr!AT15&lt;&gt;".",s_Irr!BR15&lt;&gt;"."),s_dir!AV15/((1/1000)*(s_Irr!AT15+s_Irr!BR15)),IF(AND(s_Irr!V15=".",s_Irr!AT15=".",s_Irr!BR15&lt;&gt;"."),s_dir!AV15/((1/1000)*(s_Irr!BR15)),IF(AND(s_Irr!V15=".",s_Irr!AT15&lt;&gt;".",s_Irr!BR15="."),s_dir!AV15/((1/1000)*(s_Irr!AT15)),IF(AND(s_Irr!V15&lt;&gt;".",s_Irr!AT15=".",s_Irr!BR15="."),s_dir!AV15/((1/1000)*(s_Irr!V15)),IF(AND(s_Irr!V15=".",s_Irr!AT15=".",s_Irr!BR15="."),s_dir!AV15*1000)))))))),".")</f>
        <v>938090.57693891937</v>
      </c>
      <c r="BV15" s="48">
        <f>IFERROR(IF(AND(s_Irr!W15&lt;&gt;".",s_Irr!AU15&lt;&gt;".",s_Irr!BS15&lt;&gt;"."),s_dir!AW15/((1/1000)*(s_Irr!W15+s_Irr!AU15+s_Irr!BS15)),IF(AND(s_Irr!W15&lt;&gt;".",s_Irr!AU15&lt;&gt;".",s_Irr!BS15="."),s_dir!AW15/((1/1000)*(s_Irr!W15+s_Irr!AU15)),IF(AND(s_Irr!W15&lt;&gt;".",s_Irr!AU15=".",s_Irr!BS15&lt;&gt;"."),s_dir!AW15/((1/1000)*(s_Irr!W15+s_Irr!BS15)),IF(AND(s_Irr!W15=".",s_Irr!AU15&lt;&gt;".",s_Irr!BS15&lt;&gt;"."),s_dir!AW15/((1/1000)*(s_Irr!AU15+s_Irr!BS15)),IF(AND(s_Irr!W15=".",s_Irr!AU15=".",s_Irr!BS15&lt;&gt;"."),s_dir!AW15/((1/1000)*(s_Irr!BS15)),IF(AND(s_Irr!W15=".",s_Irr!AU15&lt;&gt;".",s_Irr!BS15="."),s_dir!AW15/((1/1000)*(s_Irr!AU15)),IF(AND(s_Irr!W15&lt;&gt;".",s_Irr!AU15=".",s_Irr!BS15="."),s_dir!AW15/((1/1000)*(s_Irr!W15)),IF(AND(s_Irr!W15=".",s_Irr!AU15=".",s_Irr!BS15="."),s_dir!AW15*1000)))))))),".")</f>
        <v>874067.74488711066</v>
      </c>
      <c r="BW15" s="48">
        <f>IFERROR(IF(AND(s_Irr!X15&lt;&gt;".",s_Irr!AV15&lt;&gt;".",s_Irr!BT15&lt;&gt;"."),s_dir!AX15/((1/1000)*(s_Irr!X15+s_Irr!AV15+s_Irr!BT15)),IF(AND(s_Irr!X15&lt;&gt;".",s_Irr!AV15&lt;&gt;".",s_Irr!BT15="."),s_dir!AX15/((1/1000)*(s_Irr!X15+s_Irr!AV15)),IF(AND(s_Irr!X15&lt;&gt;".",s_Irr!AV15=".",s_Irr!BT15&lt;&gt;"."),s_dir!AX15/((1/1000)*(s_Irr!X15+s_Irr!BT15)),IF(AND(s_Irr!X15=".",s_Irr!AV15&lt;&gt;".",s_Irr!BT15&lt;&gt;"."),s_dir!AX15/((1/1000)*(s_Irr!AV15+s_Irr!BT15)),IF(AND(s_Irr!X15=".",s_Irr!AV15=".",s_Irr!BT15&lt;&gt;"."),s_dir!AX15/((1/1000)*(s_Irr!BT15)),IF(AND(s_Irr!X15=".",s_Irr!AV15&lt;&gt;".",s_Irr!BT15="."),s_dir!AX15/((1/1000)*(s_Irr!AV15)),IF(AND(s_Irr!X15&lt;&gt;".",s_Irr!AV15=".",s_Irr!BT15="."),s_dir!AX15/((1/1000)*(s_Irr!X15)),IF(AND(s_Irr!X15=".",s_Irr!AV15=".",s_Irr!BT15="."),s_dir!AX15*1000)))))))),".")</f>
        <v>814902.3427749296</v>
      </c>
      <c r="BX15" s="48">
        <f>IFERROR(IF(AND(s_Irr!Y15&lt;&gt;".",s_Irr!AW15&lt;&gt;".",s_Irr!BU15&lt;&gt;"."),s_dir!AY15/((1/1000)*(s_Irr!Y15+s_Irr!AW15+s_Irr!BU15)),IF(AND(s_Irr!Y15&lt;&gt;".",s_Irr!AW15&lt;&gt;".",s_Irr!BU15="."),s_dir!AY15/((1/1000)*(s_Irr!Y15+s_Irr!AW15)),IF(AND(s_Irr!Y15&lt;&gt;".",s_Irr!AW15=".",s_Irr!BU15&lt;&gt;"."),s_dir!AY15/((1/1000)*(s_Irr!Y15+s_Irr!BU15)),IF(AND(s_Irr!Y15=".",s_Irr!AW15&lt;&gt;".",s_Irr!BU15&lt;&gt;"."),s_dir!AY15/((1/1000)*(s_Irr!AW15+s_Irr!BU15)),IF(AND(s_Irr!Y15=".",s_Irr!AW15=".",s_Irr!BU15&lt;&gt;"."),s_dir!AY15/((1/1000)*(s_Irr!BU15)),IF(AND(s_Irr!Y15=".",s_Irr!AW15&lt;&gt;".",s_Irr!BU15="."),s_dir!AY15/((1/1000)*(s_Irr!AW15)),IF(AND(s_Irr!Y15&lt;&gt;".",s_Irr!AW15=".",s_Irr!BU15="."),s_dir!AY15/((1/1000)*(s_Irr!Y15)),IF(AND(s_Irr!Y15=".",s_Irr!AW15=".",s_Irr!BU15="."),s_dir!AY15*1000)))))))),".")</f>
        <v>1017538.0946462078</v>
      </c>
      <c r="BY15" s="48">
        <f>IFERROR(IF(AND(s_Irr!Z15&lt;&gt;".",s_Irr!AX15&lt;&gt;".",s_Irr!BV15&lt;&gt;"."),s_dir!AZ15/((1/1000)*(s_Irr!Z15+s_Irr!AX15+s_Irr!BV15)),IF(AND(s_Irr!Z15&lt;&gt;".",s_Irr!AX15&lt;&gt;".",s_Irr!BV15="."),s_dir!AZ15/((1/1000)*(s_Irr!Z15+s_Irr!AX15)),IF(AND(s_Irr!Z15&lt;&gt;".",s_Irr!AX15=".",s_Irr!BV15&lt;&gt;"."),s_dir!AZ15/((1/1000)*(s_Irr!Z15+s_Irr!BV15)),IF(AND(s_Irr!Z15=".",s_Irr!AX15&lt;&gt;".",s_Irr!BV15&lt;&gt;"."),s_dir!AZ15/((1/1000)*(s_Irr!AX15+s_Irr!BV15)),IF(AND(s_Irr!Z15=".",s_Irr!AX15=".",s_Irr!BV15&lt;&gt;"."),s_dir!AZ15/((1/1000)*(s_Irr!BV15)),IF(AND(s_Irr!Z15=".",s_Irr!AX15&lt;&gt;".",s_Irr!BV15="."),s_dir!AZ15/((1/1000)*(s_Irr!AX15)),IF(AND(s_Irr!Z15&lt;&gt;".",s_Irr!AX15=".",s_Irr!BV15="."),s_dir!AZ15/((1/1000)*(s_Irr!Z15)),IF(AND(s_Irr!Z15=".",s_Irr!AX15=".",s_Irr!BV15="."),s_dir!AZ15*1000)))))))),".")</f>
        <v>861557.19601053547</v>
      </c>
      <c r="BZ15" s="62">
        <f t="shared" si="1"/>
        <v>297.36326528037273</v>
      </c>
      <c r="CA15" s="62">
        <f>IFERROR(s_C*s_IFAP_far_adj*s_CF_apple*(1/1000)*(s_Irr!C15+s_Irr!AA15+s_Irr!AY15),".")</f>
        <v>103.48385260743784</v>
      </c>
      <c r="CB15" s="62">
        <f>IFERROR(s_C*s_IFAS_far_adj*s_CF_asparagus*(1/1000)*(s_Irr!D15+s_Irr!AB15+s_Irr!AZ15),".")</f>
        <v>208.67104869651413</v>
      </c>
      <c r="CC15" s="62">
        <f>IFERROR(s_C*s_IFBT_far_adj*s_CF_beet*(1/1000)*(s_Irr!E15+s_Irr!AC15+s_Irr!BA15),".")</f>
        <v>110.99722375665758</v>
      </c>
      <c r="CD15" s="62">
        <f>IFERROR(s_C*s_IFBE_far_adj*s_CF_berries*(1/1000)*(s_Irr!F15+s_Irr!AD15+s_Irr!BB15),".")</f>
        <v>103.48385260743784</v>
      </c>
      <c r="CE15" s="62">
        <f>IFERROR(s_C*s_IFBR_far_adj*s_CF_broccoli*(1/1000)*(s_Irr!G15+s_Irr!AE15+s_Irr!BC15),".")</f>
        <v>110.99722375665758</v>
      </c>
      <c r="CF15" s="62">
        <f>IFERROR(s_C*s_IFCB_far_adj*s_CF_cabbage*(1/1000)*(s_Irr!H15+s_Irr!AF15+s_Irr!BD15),".")</f>
        <v>208.67104869651413</v>
      </c>
      <c r="CG15" s="62">
        <f>IFERROR(s_C*s_IFCR_far_adj*s_CF_carrot*(1/1000)*(s_Irr!I15+s_Irr!AG15+s_Irr!BE15),".")</f>
        <v>110.99722375665758</v>
      </c>
      <c r="CH15" s="62">
        <f>IFERROR(s_C*s_IFCI_far_adj*s_CF_citrus*(1/1000)*(s_Irr!J15+s_Irr!AH15+s_Irr!BF15),".")</f>
        <v>103.48385260743784</v>
      </c>
      <c r="CI15" s="62">
        <f>IFERROR(s_C*s_IFCO_far_adj*s_CF_corn*(1/1000)*(s_Irr!K15+s_Irr!AI15+s_Irr!BG15),".")</f>
        <v>90.260319384811112</v>
      </c>
      <c r="CJ15" s="62">
        <f>IFERROR(s_C*s_IFCU_far_adj*s_CF_cucumber*(1/1000)*(s_Irr!L15+s_Irr!AJ15+s_Irr!BH15),".")</f>
        <v>110.99722375665758</v>
      </c>
      <c r="CK15" s="62">
        <f>IFERROR(s_C*s_IFLE_far_adj*s_CF_lettuce*(1/1000)*(s_Irr!M15+s_Irr!AK15+s_Irr!BI15),".")</f>
        <v>208.67104869651413</v>
      </c>
      <c r="CL15" s="62">
        <f>IFERROR(s_C*s_IFLI_far_adj*s_CF_lima_bean*(1/1000)*(s_Irr!N15+s_Irr!AL15+s_Irr!BJ15),".")</f>
        <v>96.421283727171286</v>
      </c>
      <c r="CM15" s="62">
        <f>IFERROR(s_C*s_IFOK_far_adj*s_CF_okra*(1/1000)*(s_Irr!O15+s_Irr!AM15+s_Irr!BK15),".")</f>
        <v>110.99722375665758</v>
      </c>
      <c r="CN15" s="62">
        <f>IFERROR(s_C*s_IFON_far_adj*s_CF_onion*(1/1000)*(s_Irr!P15+s_Irr!AN15+s_Irr!BL15),".")</f>
        <v>110.99722375665758</v>
      </c>
      <c r="CO15" s="62">
        <f>IFERROR(s_C*s_IFPC_far_adj*s_CF_peach*(1/1000)*(s_Irr!Q15+s_Irr!AO15+s_Irr!BM15),".")</f>
        <v>103.48385260743784</v>
      </c>
      <c r="CP15" s="62">
        <f>IFERROR(s_C*s_IFPR_far_adj*s_CF_pear*(1/1000)*(s_Irr!R15+s_Irr!AP15+s_Irr!BN15),".")</f>
        <v>103.48385260743784</v>
      </c>
      <c r="CQ15" s="62">
        <f>IFERROR(s_C*s_IFPE_far_adj*s_CF_peas*(1/1000)*(s_Irr!S15+s_Irr!AQ15+s_Irr!BO15),".")</f>
        <v>96.421283727171286</v>
      </c>
      <c r="CR15" s="62">
        <f>IFERROR(s_C*s_IFPT_far_adj*s_CF_potato*(1/1000)*(s_Irr!T15+s_Irr!AR15+s_Irr!BP15),".")</f>
        <v>90.711121653764295</v>
      </c>
      <c r="CS15" s="62">
        <f>IFERROR(s_C*s_IFPU_far_adj*s_CF_pumpkin*(1/1000)*(s_Irr!U15+s_Irr!AS15+s_Irr!BQ15),".")</f>
        <v>110.99722375665758</v>
      </c>
      <c r="CT15" s="62">
        <f>IFERROR(s_C*s_IFSN_far_adj*s_CF_snap_bean*(1/1000)*(s_Irr!V15+s_Irr!AT15+s_Irr!BR15),".")</f>
        <v>96.421283727171286</v>
      </c>
      <c r="CU15" s="62">
        <f>IFERROR(s_C*s_IFST_far_adj*s_CF_strawberry*(1/1000)*(s_Irr!W15+s_Irr!AU15+s_Irr!BS15),".")</f>
        <v>103.48385260743784</v>
      </c>
      <c r="CV15" s="62">
        <f>IFERROR(s_C*s_IFTO_far_adj*s_CF_tomato*(1/1000)*(s_Irr!X15+s_Irr!AV15+s_Irr!BT15),".")</f>
        <v>110.99722375665758</v>
      </c>
      <c r="CW15" s="62">
        <f>IFERROR(s_C*s_IFRI_far_adj*s_CF_rice*(1/1000)*(s_Irr!Y15+s_Irr!AW15+s_Irr!BU15),".")</f>
        <v>88.892885835653118</v>
      </c>
      <c r="CX15" s="62">
        <f>IFERROR(s_C*s_IFCG_far_adj*s_CF_cereal*(1/1000)*(s_Irr!Z15+s_Irr!AX15+s_Irr!BV15),".")</f>
        <v>104.98652683728179</v>
      </c>
    </row>
    <row r="16" spans="1:102" ht="15" customHeight="1" x14ac:dyDescent="0.25">
      <c r="A16" s="61" t="s">
        <v>14</v>
      </c>
      <c r="B16" s="49" t="s">
        <v>1059</v>
      </c>
      <c r="C16" s="48">
        <f t="shared" si="2"/>
        <v>22.276696901037536</v>
      </c>
      <c r="D16" s="48">
        <f>IFERROR(IF(AND(s_Irr!C16&lt;&gt;".",s_Irr!AA16&lt;&gt;".",s_Irr!AY16&lt;&gt;"."),s_dir!D16/((1/1000)*(s_Irr!C16+s_Irr!AA16+s_Irr!AY16)),IF(AND(s_Irr!C16&lt;&gt;".",s_Irr!AA16&lt;&gt;".",s_Irr!AY16="."),s_dir!D16/((1/1000)*(s_Irr!C16+s_Irr!AA16)),IF(AND(s_Irr!C16&lt;&gt;".",s_Irr!AA16=".",s_Irr!AY16&lt;&gt;"."),s_dir!D16/((1/1000)*(s_Irr!C16+s_Irr!AY16)),IF(AND(s_Irr!C16=".",s_Irr!AA16&lt;&gt;".",s_Irr!AY16&lt;&gt;"."),s_dir!D16/((1/1000)*(s_Irr!AA16+s_Irr!AY16)),IF(AND(s_Irr!C16=".",s_Irr!AA16=".",s_Irr!AY16&lt;&gt;"."),s_dir!D16/((1/1000)*(s_Irr!AY16)),IF(AND(s_Irr!C16=".",s_Irr!AA16&lt;&gt;".",s_Irr!AY16="."),s_dir!D16/((1/1000)*(s_Irr!AA16)),IF(AND(s_Irr!C16&lt;&gt;".",s_Irr!AA16=".",s_Irr!AY16="."),s_dir!D16/((1/1000)*(s_Irr!C16)),IF(AND(s_Irr!C16=".",s_Irr!AA16=".",s_Irr!AY16="."),s_dir!D16*1000)))))))),".")</f>
        <v>64.012608375556056</v>
      </c>
      <c r="E16" s="48">
        <f>IFERROR(IF(AND(s_Irr!D16&lt;&gt;".",s_Irr!AB16&lt;&gt;".",s_Irr!AZ16&lt;&gt;"."),s_dir!E16/((1/1000)*(s_Irr!D16+s_Irr!AB16+s_Irr!AZ16)),IF(AND(s_Irr!D16&lt;&gt;".",s_Irr!AB16&lt;&gt;".",s_Irr!AZ16="."),s_dir!E16/((1/1000)*(s_Irr!D16+s_Irr!AB16)),IF(AND(s_Irr!D16&lt;&gt;".",s_Irr!AB16=".",s_Irr!AZ16&lt;&gt;"."),s_dir!E16/((1/1000)*(s_Irr!D16+s_Irr!AZ16)),IF(AND(s_Irr!D16=".",s_Irr!AB16&lt;&gt;".",s_Irr!AZ16&lt;&gt;"."),s_dir!E16/((1/1000)*(s_Irr!AB16+s_Irr!AZ16)),IF(AND(s_Irr!D16=".",s_Irr!AB16=".",s_Irr!AZ16&lt;&gt;"."),s_dir!E16/((1/1000)*(s_Irr!AZ16)),IF(AND(s_Irr!D16=".",s_Irr!AB16&lt;&gt;".",s_Irr!AZ16="."),s_dir!E16/((1/1000)*(s_Irr!AB16)),IF(AND(s_Irr!D16&lt;&gt;".",s_Irr!AB16=".",s_Irr!AZ16="."),s_dir!E16/((1/1000)*(s_Irr!D16)),IF(AND(s_Irr!D16=".",s_Irr!AB16=".",s_Irr!AZ16="."),s_dir!E16*1000)))))))),".")</f>
        <v>31.745042599502412</v>
      </c>
      <c r="F16" s="48">
        <f>IFERROR(IF(AND(s_Irr!E16&lt;&gt;".",s_Irr!AC16&lt;&gt;".",s_Irr!BA16&lt;&gt;"."),s_dir!F16/((1/1000)*(s_Irr!E16+s_Irr!AC16+s_Irr!BA16)),IF(AND(s_Irr!E16&lt;&gt;".",s_Irr!AC16&lt;&gt;".",s_Irr!BA16="."),s_dir!F16/((1/1000)*(s_Irr!E16+s_Irr!AC16)),IF(AND(s_Irr!E16&lt;&gt;".",s_Irr!AC16=".",s_Irr!BA16&lt;&gt;"."),s_dir!F16/((1/1000)*(s_Irr!E16+s_Irr!BA16)),IF(AND(s_Irr!E16=".",s_Irr!AC16&lt;&gt;".",s_Irr!BA16&lt;&gt;"."),s_dir!F16/((1/1000)*(s_Irr!AC16+s_Irr!BA16)),IF(AND(s_Irr!E16=".",s_Irr!AC16=".",s_Irr!BA16&lt;&gt;"."),s_dir!F16/((1/1000)*(s_Irr!BA16)),IF(AND(s_Irr!E16=".",s_Irr!AC16&lt;&gt;".",s_Irr!BA16="."),s_dir!F16/((1/1000)*(s_Irr!AC16)),IF(AND(s_Irr!E16&lt;&gt;".",s_Irr!AC16=".",s_Irr!BA16="."),s_dir!F16/((1/1000)*(s_Irr!E16)),IF(AND(s_Irr!E16=".",s_Irr!AC16=".",s_Irr!BA16="."),s_dir!F16*1000)))))))),".")</f>
        <v>59.67961275028162</v>
      </c>
      <c r="G16" s="48">
        <f>IFERROR(IF(AND(s_Irr!F16&lt;&gt;".",s_Irr!AD16&lt;&gt;".",s_Irr!BB16&lt;&gt;"."),s_dir!G16/((1/1000)*(s_Irr!F16+s_Irr!AD16+s_Irr!BB16)),IF(AND(s_Irr!F16&lt;&gt;".",s_Irr!AD16&lt;&gt;".",s_Irr!BB16="."),s_dir!G16/((1/1000)*(s_Irr!F16+s_Irr!AD16)),IF(AND(s_Irr!F16&lt;&gt;".",s_Irr!AD16=".",s_Irr!BB16&lt;&gt;"."),s_dir!G16/((1/1000)*(s_Irr!F16+s_Irr!BB16)),IF(AND(s_Irr!F16=".",s_Irr!AD16&lt;&gt;".",s_Irr!BB16&lt;&gt;"."),s_dir!G16/((1/1000)*(s_Irr!AD16+s_Irr!BB16)),IF(AND(s_Irr!F16=".",s_Irr!AD16=".",s_Irr!BB16&lt;&gt;"."),s_dir!G16/((1/1000)*(s_Irr!BB16)),IF(AND(s_Irr!F16=".",s_Irr!AD16&lt;&gt;".",s_Irr!BB16="."),s_dir!G16/((1/1000)*(s_Irr!AD16)),IF(AND(s_Irr!F16&lt;&gt;".",s_Irr!AD16=".",s_Irr!BB16="."),s_dir!G16/((1/1000)*(s_Irr!F16)),IF(AND(s_Irr!F16=".",s_Irr!AD16=".",s_Irr!BB16="."),s_dir!G16*1000)))))))),".")</f>
        <v>64.012608375556056</v>
      </c>
      <c r="H16" s="48">
        <f>IFERROR(IF(AND(s_Irr!G16&lt;&gt;".",s_Irr!AE16&lt;&gt;".",s_Irr!BC16&lt;&gt;"."),s_dir!H16/((1/1000)*(s_Irr!G16+s_Irr!AE16+s_Irr!BC16)),IF(AND(s_Irr!G16&lt;&gt;".",s_Irr!AE16&lt;&gt;".",s_Irr!BC16="."),s_dir!H16/((1/1000)*(s_Irr!G16+s_Irr!AE16)),IF(AND(s_Irr!G16&lt;&gt;".",s_Irr!AE16=".",s_Irr!BC16&lt;&gt;"."),s_dir!H16/((1/1000)*(s_Irr!G16+s_Irr!BC16)),IF(AND(s_Irr!G16=".",s_Irr!AE16&lt;&gt;".",s_Irr!BC16&lt;&gt;"."),s_dir!H16/((1/1000)*(s_Irr!AE16+s_Irr!BC16)),IF(AND(s_Irr!G16=".",s_Irr!AE16=".",s_Irr!BC16&lt;&gt;"."),s_dir!H16/((1/1000)*(s_Irr!BC16)),IF(AND(s_Irr!G16=".",s_Irr!AE16&lt;&gt;".",s_Irr!BC16="."),s_dir!H16/((1/1000)*(s_Irr!AE16)),IF(AND(s_Irr!G16&lt;&gt;".",s_Irr!AE16=".",s_Irr!BC16="."),s_dir!H16/((1/1000)*(s_Irr!G16)),IF(AND(s_Irr!G16=".",s_Irr!AE16=".",s_Irr!BC16="."),s_dir!H16*1000)))))))),".")</f>
        <v>59.67961275028162</v>
      </c>
      <c r="I16" s="48">
        <f>IFERROR(IF(AND(s_Irr!H16&lt;&gt;".",s_Irr!AF16&lt;&gt;".",s_Irr!BD16&lt;&gt;"."),s_dir!I16/((1/1000)*(s_Irr!H16+s_Irr!AF16+s_Irr!BD16)),IF(AND(s_Irr!H16&lt;&gt;".",s_Irr!AF16&lt;&gt;".",s_Irr!BD16="."),s_dir!I16/((1/1000)*(s_Irr!H16+s_Irr!AF16)),IF(AND(s_Irr!H16&lt;&gt;".",s_Irr!AF16=".",s_Irr!BD16&lt;&gt;"."),s_dir!I16/((1/1000)*(s_Irr!H16+s_Irr!BD16)),IF(AND(s_Irr!H16=".",s_Irr!AF16&lt;&gt;".",s_Irr!BD16&lt;&gt;"."),s_dir!I16/((1/1000)*(s_Irr!AF16+s_Irr!BD16)),IF(AND(s_Irr!H16=".",s_Irr!AF16=".",s_Irr!BD16&lt;&gt;"."),s_dir!I16/((1/1000)*(s_Irr!BD16)),IF(AND(s_Irr!H16=".",s_Irr!AF16&lt;&gt;".",s_Irr!BD16="."),s_dir!I16/((1/1000)*(s_Irr!AF16)),IF(AND(s_Irr!H16&lt;&gt;".",s_Irr!AF16=".",s_Irr!BD16="."),s_dir!I16/((1/1000)*(s_Irr!H16)),IF(AND(s_Irr!H16=".",s_Irr!AF16=".",s_Irr!BD16="."),s_dir!I16*1000)))))))),".")</f>
        <v>31.745042599502412</v>
      </c>
      <c r="J16" s="48">
        <f>IFERROR(IF(AND(s_Irr!I16&lt;&gt;".",s_Irr!AG16&lt;&gt;".",s_Irr!BE16&lt;&gt;"."),s_dir!J16/((1/1000)*(s_Irr!I16+s_Irr!AG16+s_Irr!BE16)),IF(AND(s_Irr!I16&lt;&gt;".",s_Irr!AG16&lt;&gt;".",s_Irr!BE16="."),s_dir!J16/((1/1000)*(s_Irr!I16+s_Irr!AG16)),IF(AND(s_Irr!I16&lt;&gt;".",s_Irr!AG16=".",s_Irr!BE16&lt;&gt;"."),s_dir!J16/((1/1000)*(s_Irr!I16+s_Irr!BE16)),IF(AND(s_Irr!I16=".",s_Irr!AG16&lt;&gt;".",s_Irr!BE16&lt;&gt;"."),s_dir!J16/((1/1000)*(s_Irr!AG16+s_Irr!BE16)),IF(AND(s_Irr!I16=".",s_Irr!AG16=".",s_Irr!BE16&lt;&gt;"."),s_dir!J16/((1/1000)*(s_Irr!BE16)),IF(AND(s_Irr!I16=".",s_Irr!AG16&lt;&gt;".",s_Irr!BE16="."),s_dir!J16/((1/1000)*(s_Irr!AG16)),IF(AND(s_Irr!I16&lt;&gt;".",s_Irr!AG16=".",s_Irr!BE16="."),s_dir!J16/((1/1000)*(s_Irr!I16)),IF(AND(s_Irr!I16=".",s_Irr!AG16=".",s_Irr!BE16="."),s_dir!J16*1000)))))))),".")</f>
        <v>59.67961275028162</v>
      </c>
      <c r="K16" s="48">
        <f>IFERROR(IF(AND(s_Irr!J16&lt;&gt;".",s_Irr!AH16&lt;&gt;".",s_Irr!BF16&lt;&gt;"."),s_dir!K16/((1/1000)*(s_Irr!J16+s_Irr!AH16+s_Irr!BF16)),IF(AND(s_Irr!J16&lt;&gt;".",s_Irr!AH16&lt;&gt;".",s_Irr!BF16="."),s_dir!K16/((1/1000)*(s_Irr!J16+s_Irr!AH16)),IF(AND(s_Irr!J16&lt;&gt;".",s_Irr!AH16=".",s_Irr!BF16&lt;&gt;"."),s_dir!K16/((1/1000)*(s_Irr!J16+s_Irr!BF16)),IF(AND(s_Irr!J16=".",s_Irr!AH16&lt;&gt;".",s_Irr!BF16&lt;&gt;"."),s_dir!K16/((1/1000)*(s_Irr!AH16+s_Irr!BF16)),IF(AND(s_Irr!J16=".",s_Irr!AH16=".",s_Irr!BF16&lt;&gt;"."),s_dir!K16/((1/1000)*(s_Irr!BF16)),IF(AND(s_Irr!J16=".",s_Irr!AH16&lt;&gt;".",s_Irr!BF16="."),s_dir!K16/((1/1000)*(s_Irr!AH16)),IF(AND(s_Irr!J16&lt;&gt;".",s_Irr!AH16=".",s_Irr!BF16="."),s_dir!K16/((1/1000)*(s_Irr!J16)),IF(AND(s_Irr!J16=".",s_Irr!AH16=".",s_Irr!BF16="."),s_dir!K16*1000)))))))),".")</f>
        <v>64.012608375556056</v>
      </c>
      <c r="L16" s="48">
        <f>IFERROR(IF(AND(s_Irr!K16&lt;&gt;".",s_Irr!AI16&lt;&gt;".",s_Irr!BG16&lt;&gt;"."),s_dir!L16/((1/1000)*(s_Irr!K16+s_Irr!AI16+s_Irr!BG16)),IF(AND(s_Irr!K16&lt;&gt;".",s_Irr!AI16&lt;&gt;".",s_Irr!BG16="."),s_dir!L16/((1/1000)*(s_Irr!K16+s_Irr!AI16)),IF(AND(s_Irr!K16&lt;&gt;".",s_Irr!AI16=".",s_Irr!BG16&lt;&gt;"."),s_dir!L16/((1/1000)*(s_Irr!K16+s_Irr!BG16)),IF(AND(s_Irr!K16=".",s_Irr!AI16&lt;&gt;".",s_Irr!BG16&lt;&gt;"."),s_dir!L16/((1/1000)*(s_Irr!AI16+s_Irr!BG16)),IF(AND(s_Irr!K16=".",s_Irr!AI16=".",s_Irr!BG16&lt;&gt;"."),s_dir!L16/((1/1000)*(s_Irr!BG16)),IF(AND(s_Irr!K16=".",s_Irr!AI16&lt;&gt;".",s_Irr!BG16="."),s_dir!L16/((1/1000)*(s_Irr!AI16)),IF(AND(s_Irr!K16&lt;&gt;".",s_Irr!AI16=".",s_Irr!BG16="."),s_dir!L16/((1/1000)*(s_Irr!K16)),IF(AND(s_Irr!K16=".",s_Irr!AI16=".",s_Irr!BG16="."),s_dir!L16*1000)))))))),".")</f>
        <v>73.390736652638168</v>
      </c>
      <c r="M16" s="48">
        <f>IFERROR(IF(AND(s_Irr!L16&lt;&gt;".",s_Irr!AJ16&lt;&gt;".",s_Irr!BH16&lt;&gt;"."),s_dir!M16/((1/1000)*(s_Irr!L16+s_Irr!AJ16+s_Irr!BH16)),IF(AND(s_Irr!L16&lt;&gt;".",s_Irr!AJ16&lt;&gt;".",s_Irr!BH16="."),s_dir!M16/((1/1000)*(s_Irr!L16+s_Irr!AJ16)),IF(AND(s_Irr!L16&lt;&gt;".",s_Irr!AJ16=".",s_Irr!BH16&lt;&gt;"."),s_dir!M16/((1/1000)*(s_Irr!L16+s_Irr!BH16)),IF(AND(s_Irr!L16=".",s_Irr!AJ16&lt;&gt;".",s_Irr!BH16&lt;&gt;"."),s_dir!M16/((1/1000)*(s_Irr!AJ16+s_Irr!BH16)),IF(AND(s_Irr!L16=".",s_Irr!AJ16=".",s_Irr!BH16&lt;&gt;"."),s_dir!M16/((1/1000)*(s_Irr!BH16)),IF(AND(s_Irr!L16=".",s_Irr!AJ16&lt;&gt;".",s_Irr!BH16="."),s_dir!M16/((1/1000)*(s_Irr!AJ16)),IF(AND(s_Irr!L16&lt;&gt;".",s_Irr!AJ16=".",s_Irr!BH16="."),s_dir!M16/((1/1000)*(s_Irr!L16)),IF(AND(s_Irr!L16=".",s_Irr!AJ16=".",s_Irr!BH16="."),s_dir!M16*1000)))))))),".")</f>
        <v>59.67961275028162</v>
      </c>
      <c r="N16" s="48">
        <f>IFERROR(IF(AND(s_Irr!M16&lt;&gt;".",s_Irr!AK16&lt;&gt;".",s_Irr!BI16&lt;&gt;"."),s_dir!N16/((1/1000)*(s_Irr!M16+s_Irr!AK16+s_Irr!BI16)),IF(AND(s_Irr!M16&lt;&gt;".",s_Irr!AK16&lt;&gt;".",s_Irr!BI16="."),s_dir!N16/((1/1000)*(s_Irr!M16+s_Irr!AK16)),IF(AND(s_Irr!M16&lt;&gt;".",s_Irr!AK16=".",s_Irr!BI16&lt;&gt;"."),s_dir!N16/((1/1000)*(s_Irr!M16+s_Irr!BI16)),IF(AND(s_Irr!M16=".",s_Irr!AK16&lt;&gt;".",s_Irr!BI16&lt;&gt;"."),s_dir!N16/((1/1000)*(s_Irr!AK16+s_Irr!BI16)),IF(AND(s_Irr!M16=".",s_Irr!AK16=".",s_Irr!BI16&lt;&gt;"."),s_dir!N16/((1/1000)*(s_Irr!BI16)),IF(AND(s_Irr!M16=".",s_Irr!AK16&lt;&gt;".",s_Irr!BI16="."),s_dir!N16/((1/1000)*(s_Irr!AK16)),IF(AND(s_Irr!M16&lt;&gt;".",s_Irr!AK16=".",s_Irr!BI16="."),s_dir!N16/((1/1000)*(s_Irr!M16)),IF(AND(s_Irr!M16=".",s_Irr!AK16=".",s_Irr!BI16="."),s_dir!N16*1000)))))))),".")</f>
        <v>31.745042599502412</v>
      </c>
      <c r="O16" s="48">
        <f>IFERROR(IF(AND(s_Irr!N16&lt;&gt;".",s_Irr!AL16&lt;&gt;".",s_Irr!BJ16&lt;&gt;"."),s_dir!O16/((1/1000)*(s_Irr!N16+s_Irr!AL16+s_Irr!BJ16)),IF(AND(s_Irr!N16&lt;&gt;".",s_Irr!AL16&lt;&gt;".",s_Irr!BJ16="."),s_dir!O16/((1/1000)*(s_Irr!N16+s_Irr!AL16)),IF(AND(s_Irr!N16&lt;&gt;".",s_Irr!AL16=".",s_Irr!BJ16&lt;&gt;"."),s_dir!O16/((1/1000)*(s_Irr!N16+s_Irr!BJ16)),IF(AND(s_Irr!N16=".",s_Irr!AL16&lt;&gt;".",s_Irr!BJ16&lt;&gt;"."),s_dir!O16/((1/1000)*(s_Irr!AL16+s_Irr!BJ16)),IF(AND(s_Irr!N16=".",s_Irr!AL16=".",s_Irr!BJ16&lt;&gt;"."),s_dir!O16/((1/1000)*(s_Irr!BJ16)),IF(AND(s_Irr!N16=".",s_Irr!AL16&lt;&gt;".",s_Irr!BJ16="."),s_dir!O16/((1/1000)*(s_Irr!AL16)),IF(AND(s_Irr!N16&lt;&gt;".",s_Irr!AL16=".",s_Irr!BJ16="."),s_dir!O16/((1/1000)*(s_Irr!N16)),IF(AND(s_Irr!N16=".",s_Irr!AL16=".",s_Irr!BJ16="."),s_dir!O16*1000)))))))),".")</f>
        <v>68.701339311114978</v>
      </c>
      <c r="P16" s="48">
        <f>IFERROR(IF(AND(s_Irr!O16&lt;&gt;".",s_Irr!AM16&lt;&gt;".",s_Irr!BK16&lt;&gt;"."),s_dir!P16/((1/1000)*(s_Irr!O16+s_Irr!AM16+s_Irr!BK16)),IF(AND(s_Irr!O16&lt;&gt;".",s_Irr!AM16&lt;&gt;".",s_Irr!BK16="."),s_dir!P16/((1/1000)*(s_Irr!O16+s_Irr!AM16)),IF(AND(s_Irr!O16&lt;&gt;".",s_Irr!AM16=".",s_Irr!BK16&lt;&gt;"."),s_dir!P16/((1/1000)*(s_Irr!O16+s_Irr!BK16)),IF(AND(s_Irr!O16=".",s_Irr!AM16&lt;&gt;".",s_Irr!BK16&lt;&gt;"."),s_dir!P16/((1/1000)*(s_Irr!AM16+s_Irr!BK16)),IF(AND(s_Irr!O16=".",s_Irr!AM16=".",s_Irr!BK16&lt;&gt;"."),s_dir!P16/((1/1000)*(s_Irr!BK16)),IF(AND(s_Irr!O16=".",s_Irr!AM16&lt;&gt;".",s_Irr!BK16="."),s_dir!P16/((1/1000)*(s_Irr!AM16)),IF(AND(s_Irr!O16&lt;&gt;".",s_Irr!AM16=".",s_Irr!BK16="."),s_dir!P16/((1/1000)*(s_Irr!O16)),IF(AND(s_Irr!O16=".",s_Irr!AM16=".",s_Irr!BK16="."),s_dir!P16*1000)))))))),".")</f>
        <v>59.67961275028162</v>
      </c>
      <c r="Q16" s="48">
        <f>IFERROR(IF(AND(s_Irr!P16&lt;&gt;".",s_Irr!AN16&lt;&gt;".",s_Irr!BL16&lt;&gt;"."),s_dir!Q16/((1/1000)*(s_Irr!P16+s_Irr!AN16+s_Irr!BL16)),IF(AND(s_Irr!P16&lt;&gt;".",s_Irr!AN16&lt;&gt;".",s_Irr!BL16="."),s_dir!Q16/((1/1000)*(s_Irr!P16+s_Irr!AN16)),IF(AND(s_Irr!P16&lt;&gt;".",s_Irr!AN16=".",s_Irr!BL16&lt;&gt;"."),s_dir!Q16/((1/1000)*(s_Irr!P16+s_Irr!BL16)),IF(AND(s_Irr!P16=".",s_Irr!AN16&lt;&gt;".",s_Irr!BL16&lt;&gt;"."),s_dir!Q16/((1/1000)*(s_Irr!AN16+s_Irr!BL16)),IF(AND(s_Irr!P16=".",s_Irr!AN16=".",s_Irr!BL16&lt;&gt;"."),s_dir!Q16/((1/1000)*(s_Irr!BL16)),IF(AND(s_Irr!P16=".",s_Irr!AN16&lt;&gt;".",s_Irr!BL16="."),s_dir!Q16/((1/1000)*(s_Irr!AN16)),IF(AND(s_Irr!P16&lt;&gt;".",s_Irr!AN16=".",s_Irr!BL16="."),s_dir!Q16/((1/1000)*(s_Irr!P16)),IF(AND(s_Irr!P16=".",s_Irr!AN16=".",s_Irr!BL16="."),s_dir!Q16*1000)))))))),".")</f>
        <v>59.67961275028162</v>
      </c>
      <c r="R16" s="48">
        <f>IFERROR(IF(AND(s_Irr!Q16&lt;&gt;".",s_Irr!AO16&lt;&gt;".",s_Irr!BM16&lt;&gt;"."),s_dir!R16/((1/1000)*(s_Irr!Q16+s_Irr!AO16+s_Irr!BM16)),IF(AND(s_Irr!Q16&lt;&gt;".",s_Irr!AO16&lt;&gt;".",s_Irr!BM16="."),s_dir!R16/((1/1000)*(s_Irr!Q16+s_Irr!AO16)),IF(AND(s_Irr!Q16&lt;&gt;".",s_Irr!AO16=".",s_Irr!BM16&lt;&gt;"."),s_dir!R16/((1/1000)*(s_Irr!Q16+s_Irr!BM16)),IF(AND(s_Irr!Q16=".",s_Irr!AO16&lt;&gt;".",s_Irr!BM16&lt;&gt;"."),s_dir!R16/((1/1000)*(s_Irr!AO16+s_Irr!BM16)),IF(AND(s_Irr!Q16=".",s_Irr!AO16=".",s_Irr!BM16&lt;&gt;"."),s_dir!R16/((1/1000)*(s_Irr!BM16)),IF(AND(s_Irr!Q16=".",s_Irr!AO16&lt;&gt;".",s_Irr!BM16="."),s_dir!R16/((1/1000)*(s_Irr!AO16)),IF(AND(s_Irr!Q16&lt;&gt;".",s_Irr!AO16=".",s_Irr!BM16="."),s_dir!R16/((1/1000)*(s_Irr!Q16)),IF(AND(s_Irr!Q16=".",s_Irr!AO16=".",s_Irr!BM16="."),s_dir!R16*1000)))))))),".")</f>
        <v>64.012608375556056</v>
      </c>
      <c r="S16" s="48">
        <f>IFERROR(IF(AND(s_Irr!R16&lt;&gt;".",s_Irr!AP16&lt;&gt;".",s_Irr!BN16&lt;&gt;"."),s_dir!S16/((1/1000)*(s_Irr!R16+s_Irr!AP16+s_Irr!BN16)),IF(AND(s_Irr!R16&lt;&gt;".",s_Irr!AP16&lt;&gt;".",s_Irr!BN16="."),s_dir!S16/((1/1000)*(s_Irr!R16+s_Irr!AP16)),IF(AND(s_Irr!R16&lt;&gt;".",s_Irr!AP16=".",s_Irr!BN16&lt;&gt;"."),s_dir!S16/((1/1000)*(s_Irr!R16+s_Irr!BN16)),IF(AND(s_Irr!R16=".",s_Irr!AP16&lt;&gt;".",s_Irr!BN16&lt;&gt;"."),s_dir!S16/((1/1000)*(s_Irr!AP16+s_Irr!BN16)),IF(AND(s_Irr!R16=".",s_Irr!AP16=".",s_Irr!BN16&lt;&gt;"."),s_dir!S16/((1/1000)*(s_Irr!BN16)),IF(AND(s_Irr!R16=".",s_Irr!AP16&lt;&gt;".",s_Irr!BN16="."),s_dir!S16/((1/1000)*(s_Irr!AP16)),IF(AND(s_Irr!R16&lt;&gt;".",s_Irr!AP16=".",s_Irr!BN16="."),s_dir!S16/((1/1000)*(s_Irr!R16)),IF(AND(s_Irr!R16=".",s_Irr!AP16=".",s_Irr!BN16="."),s_dir!S16*1000)))))))),".")</f>
        <v>64.012608375556056</v>
      </c>
      <c r="T16" s="48">
        <f>IFERROR(IF(AND(s_Irr!S16&lt;&gt;".",s_Irr!AQ16&lt;&gt;".",s_Irr!BO16&lt;&gt;"."),s_dir!T16/((1/1000)*(s_Irr!S16+s_Irr!AQ16+s_Irr!BO16)),IF(AND(s_Irr!S16&lt;&gt;".",s_Irr!AQ16&lt;&gt;".",s_Irr!BO16="."),s_dir!T16/((1/1000)*(s_Irr!S16+s_Irr!AQ16)),IF(AND(s_Irr!S16&lt;&gt;".",s_Irr!AQ16=".",s_Irr!BO16&lt;&gt;"."),s_dir!T16/((1/1000)*(s_Irr!S16+s_Irr!BO16)),IF(AND(s_Irr!S16=".",s_Irr!AQ16&lt;&gt;".",s_Irr!BO16&lt;&gt;"."),s_dir!T16/((1/1000)*(s_Irr!AQ16+s_Irr!BO16)),IF(AND(s_Irr!S16=".",s_Irr!AQ16=".",s_Irr!BO16&lt;&gt;"."),s_dir!T16/((1/1000)*(s_Irr!BO16)),IF(AND(s_Irr!S16=".",s_Irr!AQ16&lt;&gt;".",s_Irr!BO16="."),s_dir!T16/((1/1000)*(s_Irr!AQ16)),IF(AND(s_Irr!S16&lt;&gt;".",s_Irr!AQ16=".",s_Irr!BO16="."),s_dir!T16/((1/1000)*(s_Irr!S16)),IF(AND(s_Irr!S16=".",s_Irr!AQ16=".",s_Irr!BO16="."),s_dir!T16*1000)))))))),".")</f>
        <v>68.701339311114978</v>
      </c>
      <c r="U16" s="48">
        <f>IFERROR(IF(AND(s_Irr!T16&lt;&gt;".",s_Irr!AR16&lt;&gt;".",s_Irr!BP16&lt;&gt;"."),s_dir!U16/((1/1000)*(s_Irr!T16+s_Irr!AR16+s_Irr!BP16)),IF(AND(s_Irr!T16&lt;&gt;".",s_Irr!AR16&lt;&gt;".",s_Irr!BP16="."),s_dir!U16/((1/1000)*(s_Irr!T16+s_Irr!AR16)),IF(AND(s_Irr!T16&lt;&gt;".",s_Irr!AR16=".",s_Irr!BP16&lt;&gt;"."),s_dir!U16/((1/1000)*(s_Irr!T16+s_Irr!BP16)),IF(AND(s_Irr!T16=".",s_Irr!AR16&lt;&gt;".",s_Irr!BP16&lt;&gt;"."),s_dir!U16/((1/1000)*(s_Irr!AR16+s_Irr!BP16)),IF(AND(s_Irr!T16=".",s_Irr!AR16=".",s_Irr!BP16&lt;&gt;"."),s_dir!U16/((1/1000)*(s_Irr!BP16)),IF(AND(s_Irr!T16=".",s_Irr!AR16&lt;&gt;".",s_Irr!BP16="."),s_dir!U16/((1/1000)*(s_Irr!AR16)),IF(AND(s_Irr!T16&lt;&gt;".",s_Irr!AR16=".",s_Irr!BP16="."),s_dir!U16/((1/1000)*(s_Irr!T16)),IF(AND(s_Irr!T16=".",s_Irr!AR16=".",s_Irr!BP16="."),s_dir!U16*1000)))))))),".")</f>
        <v>73.026010585977502</v>
      </c>
      <c r="V16" s="48">
        <f>IFERROR(IF(AND(s_Irr!U16&lt;&gt;".",s_Irr!AS16&lt;&gt;".",s_Irr!BQ16&lt;&gt;"."),s_dir!V16/((1/1000)*(s_Irr!U16+s_Irr!AS16+s_Irr!BQ16)),IF(AND(s_Irr!U16&lt;&gt;".",s_Irr!AS16&lt;&gt;".",s_Irr!BQ16="."),s_dir!V16/((1/1000)*(s_Irr!U16+s_Irr!AS16)),IF(AND(s_Irr!U16&lt;&gt;".",s_Irr!AS16=".",s_Irr!BQ16&lt;&gt;"."),s_dir!V16/((1/1000)*(s_Irr!U16+s_Irr!BQ16)),IF(AND(s_Irr!U16=".",s_Irr!AS16&lt;&gt;".",s_Irr!BQ16&lt;&gt;"."),s_dir!V16/((1/1000)*(s_Irr!AS16+s_Irr!BQ16)),IF(AND(s_Irr!U16=".",s_Irr!AS16=".",s_Irr!BQ16&lt;&gt;"."),s_dir!V16/((1/1000)*(s_Irr!BQ16)),IF(AND(s_Irr!U16=".",s_Irr!AS16&lt;&gt;".",s_Irr!BQ16="."),s_dir!V16/((1/1000)*(s_Irr!AS16)),IF(AND(s_Irr!U16&lt;&gt;".",s_Irr!AS16=".",s_Irr!BQ16="."),s_dir!V16/((1/1000)*(s_Irr!U16)),IF(AND(s_Irr!U16=".",s_Irr!AS16=".",s_Irr!BQ16="."),s_dir!V16*1000)))))))),".")</f>
        <v>59.67961275028162</v>
      </c>
      <c r="W16" s="48">
        <f>IFERROR(IF(AND(s_Irr!V16&lt;&gt;".",s_Irr!AT16&lt;&gt;".",s_Irr!BR16&lt;&gt;"."),s_dir!W16/((1/1000)*(s_Irr!V16+s_Irr!AT16+s_Irr!BR16)),IF(AND(s_Irr!V16&lt;&gt;".",s_Irr!AT16&lt;&gt;".",s_Irr!BR16="."),s_dir!W16/((1/1000)*(s_Irr!V16+s_Irr!AT16)),IF(AND(s_Irr!V16&lt;&gt;".",s_Irr!AT16=".",s_Irr!BR16&lt;&gt;"."),s_dir!W16/((1/1000)*(s_Irr!V16+s_Irr!BR16)),IF(AND(s_Irr!V16=".",s_Irr!AT16&lt;&gt;".",s_Irr!BR16&lt;&gt;"."),s_dir!W16/((1/1000)*(s_Irr!AT16+s_Irr!BR16)),IF(AND(s_Irr!V16=".",s_Irr!AT16=".",s_Irr!BR16&lt;&gt;"."),s_dir!W16/((1/1000)*(s_Irr!BR16)),IF(AND(s_Irr!V16=".",s_Irr!AT16&lt;&gt;".",s_Irr!BR16="."),s_dir!W16/((1/1000)*(s_Irr!AT16)),IF(AND(s_Irr!V16&lt;&gt;".",s_Irr!AT16=".",s_Irr!BR16="."),s_dir!W16/((1/1000)*(s_Irr!V16)),IF(AND(s_Irr!V16=".",s_Irr!AT16=".",s_Irr!BR16="."),s_dir!W16*1000)))))))),".")</f>
        <v>68.701339311114978</v>
      </c>
      <c r="X16" s="48">
        <f>IFERROR(IF(AND(s_Irr!W16&lt;&gt;".",s_Irr!AU16&lt;&gt;".",s_Irr!BS16&lt;&gt;"."),s_dir!X16/((1/1000)*(s_Irr!W16+s_Irr!AU16+s_Irr!BS16)),IF(AND(s_Irr!W16&lt;&gt;".",s_Irr!AU16&lt;&gt;".",s_Irr!BS16="."),s_dir!X16/((1/1000)*(s_Irr!W16+s_Irr!AU16)),IF(AND(s_Irr!W16&lt;&gt;".",s_Irr!AU16=".",s_Irr!BS16&lt;&gt;"."),s_dir!X16/((1/1000)*(s_Irr!W16+s_Irr!BS16)),IF(AND(s_Irr!W16=".",s_Irr!AU16&lt;&gt;".",s_Irr!BS16&lt;&gt;"."),s_dir!X16/((1/1000)*(s_Irr!AU16+s_Irr!BS16)),IF(AND(s_Irr!W16=".",s_Irr!AU16=".",s_Irr!BS16&lt;&gt;"."),s_dir!X16/((1/1000)*(s_Irr!BS16)),IF(AND(s_Irr!W16=".",s_Irr!AU16&lt;&gt;".",s_Irr!BS16="."),s_dir!X16/((1/1000)*(s_Irr!AU16)),IF(AND(s_Irr!W16&lt;&gt;".",s_Irr!AU16=".",s_Irr!BS16="."),s_dir!X16/((1/1000)*(s_Irr!W16)),IF(AND(s_Irr!W16=".",s_Irr!AU16=".",s_Irr!BS16="."),s_dir!X16*1000)))))))),".")</f>
        <v>64.012608375556056</v>
      </c>
      <c r="Y16" s="48">
        <f>IFERROR(IF(AND(s_Irr!X16&lt;&gt;".",s_Irr!AV16&lt;&gt;".",s_Irr!BT16&lt;&gt;"."),s_dir!Y16/((1/1000)*(s_Irr!X16+s_Irr!AV16+s_Irr!BT16)),IF(AND(s_Irr!X16&lt;&gt;".",s_Irr!AV16&lt;&gt;".",s_Irr!BT16="."),s_dir!Y16/((1/1000)*(s_Irr!X16+s_Irr!AV16)),IF(AND(s_Irr!X16&lt;&gt;".",s_Irr!AV16=".",s_Irr!BT16&lt;&gt;"."),s_dir!Y16/((1/1000)*(s_Irr!X16+s_Irr!BT16)),IF(AND(s_Irr!X16=".",s_Irr!AV16&lt;&gt;".",s_Irr!BT16&lt;&gt;"."),s_dir!Y16/((1/1000)*(s_Irr!AV16+s_Irr!BT16)),IF(AND(s_Irr!X16=".",s_Irr!AV16=".",s_Irr!BT16&lt;&gt;"."),s_dir!Y16/((1/1000)*(s_Irr!BT16)),IF(AND(s_Irr!X16=".",s_Irr!AV16&lt;&gt;".",s_Irr!BT16="."),s_dir!Y16/((1/1000)*(s_Irr!AV16)),IF(AND(s_Irr!X16&lt;&gt;".",s_Irr!AV16=".",s_Irr!BT16="."),s_dir!Y16/((1/1000)*(s_Irr!X16)),IF(AND(s_Irr!X16=".",s_Irr!AV16=".",s_Irr!BT16="."),s_dir!Y16*1000)))))))),".")</f>
        <v>59.67961275028162</v>
      </c>
      <c r="Z16" s="48">
        <f>IFERROR(IF(AND(s_Irr!Y16&lt;&gt;".",s_Irr!AW16&lt;&gt;".",s_Irr!BU16&lt;&gt;"."),s_dir!Z16/((1/1000)*(s_Irr!Y16+s_Irr!AW16+s_Irr!BU16)),IF(AND(s_Irr!Y16&lt;&gt;".",s_Irr!AW16&lt;&gt;".",s_Irr!BU16="."),s_dir!Z16/((1/1000)*(s_Irr!Y16+s_Irr!AW16)),IF(AND(s_Irr!Y16&lt;&gt;".",s_Irr!AW16=".",s_Irr!BU16&lt;&gt;"."),s_dir!Z16/((1/1000)*(s_Irr!Y16+s_Irr!BU16)),IF(AND(s_Irr!Y16=".",s_Irr!AW16&lt;&gt;".",s_Irr!BU16&lt;&gt;"."),s_dir!Z16/((1/1000)*(s_Irr!AW16+s_Irr!BU16)),IF(AND(s_Irr!Y16=".",s_Irr!AW16=".",s_Irr!BU16&lt;&gt;"."),s_dir!Z16/((1/1000)*(s_Irr!BU16)),IF(AND(s_Irr!Y16=".",s_Irr!AW16&lt;&gt;".",s_Irr!BU16="."),s_dir!Z16/((1/1000)*(s_Irr!AW16)),IF(AND(s_Irr!Y16&lt;&gt;".",s_Irr!AW16=".",s_Irr!BU16="."),s_dir!Z16/((1/1000)*(s_Irr!Y16)),IF(AND(s_Irr!Y16=".",s_Irr!AW16=".",s_Irr!BU16="."),s_dir!Z16*1000)))))))),".")</f>
        <v>74.519701637325213</v>
      </c>
      <c r="AA16" s="48">
        <f>IFERROR(IF(AND(s_Irr!Z16&lt;&gt;".",s_Irr!AX16&lt;&gt;".",s_Irr!BV16&lt;&gt;"."),s_dir!AA16/((1/1000)*(s_Irr!Z16+s_Irr!AX16+s_Irr!BV16)),IF(AND(s_Irr!Z16&lt;&gt;".",s_Irr!AX16&lt;&gt;".",s_Irr!BV16="."),s_dir!AA16/((1/1000)*(s_Irr!Z16+s_Irr!AX16)),IF(AND(s_Irr!Z16&lt;&gt;".",s_Irr!AX16=".",s_Irr!BV16&lt;&gt;"."),s_dir!AA16/((1/1000)*(s_Irr!Z16+s_Irr!BV16)),IF(AND(s_Irr!Z16=".",s_Irr!AX16&lt;&gt;".",s_Irr!BV16&lt;&gt;"."),s_dir!AA16/((1/1000)*(s_Irr!AX16+s_Irr!BV16)),IF(AND(s_Irr!Z16=".",s_Irr!AX16=".",s_Irr!BV16&lt;&gt;"."),s_dir!AA16/((1/1000)*(s_Irr!BV16)),IF(AND(s_Irr!Z16=".",s_Irr!AX16&lt;&gt;".",s_Irr!BV16="."),s_dir!AA16/((1/1000)*(s_Irr!AX16)),IF(AND(s_Irr!Z16&lt;&gt;".",s_Irr!AX16=".",s_Irr!BV16="."),s_dir!AA16/((1/1000)*(s_Irr!Z16)),IF(AND(s_Irr!Z16=".",s_Irr!AX16=".",s_Irr!BV16="."),s_dir!AA16*1000)))))))),".")</f>
        <v>63.096394649006868</v>
      </c>
      <c r="AB16" s="62">
        <f t="shared" si="3"/>
        <v>297.36326528037273</v>
      </c>
      <c r="AC16" s="62">
        <f>IFERROR(s_C*s_IFAP_res_adj*s_CF_apple*0.001*(s_Irr!C16+s_Irr!AA16+s_Irr!AY16),".")</f>
        <v>103.48385260743784</v>
      </c>
      <c r="AD16" s="62">
        <f>IFERROR(s_C*s_IFAS_res_adj*s_CF_asparagus*0.001*(s_Irr!D16+s_Irr!AB16+s_Irr!AZ16),".")</f>
        <v>208.67104869651413</v>
      </c>
      <c r="AE16" s="62">
        <f>IFERROR(s_C*s_IFBT_res_adj*s_CF_beet*0.001*(s_Irr!E16+s_Irr!AC16+s_Irr!BA16),".")</f>
        <v>110.99722375665758</v>
      </c>
      <c r="AF16" s="62">
        <f>IFERROR(s_C*s_IFBE_res_adj*s_CF_berries*0.001*(s_Irr!F16+s_Irr!AD16+s_Irr!BB16),".")</f>
        <v>103.48385260743784</v>
      </c>
      <c r="AG16" s="62">
        <f>IFERROR(s_C*s_IFBR_res_adj*s_CF_broccoli*0.001*(s_Irr!G16+s_Irr!AE16+s_Irr!BC16),".")</f>
        <v>110.99722375665758</v>
      </c>
      <c r="AH16" s="62">
        <f>IFERROR(s_C*s_IFCB_res_adj*s_CF_cabbage*0.001*(s_Irr!H16+s_Irr!AF16+s_Irr!BD16),".")</f>
        <v>208.67104869651413</v>
      </c>
      <c r="AI16" s="62">
        <f>IFERROR(s_C*s_IFCR_res_adj*s_CF_carrot*0.001*(s_Irr!I16+s_Irr!AG16+s_Irr!BE16),".")</f>
        <v>110.99722375665758</v>
      </c>
      <c r="AJ16" s="62">
        <f>IFERROR(s_C*s_IFCI_res_adj*s_CF_citrus*0.001*(s_Irr!J16+s_Irr!AH16+s_Irr!BF16),".")</f>
        <v>103.48385260743784</v>
      </c>
      <c r="AK16" s="62">
        <f>IFERROR(s_C*s_IFCO_res_adj*s_CF_corn*0.001*(s_Irr!K16+s_Irr!AI16+s_Irr!BG16),".")</f>
        <v>90.260319384811112</v>
      </c>
      <c r="AL16" s="62">
        <f>IFERROR(s_C*s_IFCU_res_adj*s_CF_cucumber*0.001*(s_Irr!L16+s_Irr!AJ16+s_Irr!BH16),".")</f>
        <v>110.99722375665758</v>
      </c>
      <c r="AM16" s="62">
        <f>IFERROR(s_C*s_IFLE_res_adj*s_CF_lettuce*0.001*(s_Irr!M16+s_Irr!AK16+s_Irr!BI16),".")</f>
        <v>208.67104869651413</v>
      </c>
      <c r="AN16" s="62">
        <f>IFERROR(s_C*s_IFLI_res_adj*s_CF_lima_bean*0.001*(s_Irr!N16+s_Irr!AL16+s_Irr!BJ16),".")</f>
        <v>96.421283727171286</v>
      </c>
      <c r="AO16" s="62">
        <f>IFERROR(s_C*s_IFOK_res_adj*s_CF_okra*0.001*(s_Irr!O16+s_Irr!AM16+s_Irr!BK16),".")</f>
        <v>110.99722375665758</v>
      </c>
      <c r="AP16" s="62">
        <f>IFERROR(s_C*s_IFON_res_adj*s_CF_onion*0.001*(s_Irr!P16+s_Irr!AN16+s_Irr!BL16),".")</f>
        <v>110.99722375665758</v>
      </c>
      <c r="AQ16" s="62">
        <f>IFERROR(s_C*s_IFPC_res_adj*s_CF_peach*0.001*(s_Irr!Q16+s_Irr!AO16+s_Irr!BM16),".")</f>
        <v>103.48385260743784</v>
      </c>
      <c r="AR16" s="62">
        <f>IFERROR(s_C*s_IFPR_res_adj*s_CF_pear*0.001*(s_Irr!R16+s_Irr!AP16+s_Irr!BN16),".")</f>
        <v>103.48385260743784</v>
      </c>
      <c r="AS16" s="62">
        <f>IFERROR(s_C*s_IFPE_res_adj*s_CF_peas*0.001*(s_Irr!S16+s_Irr!AQ16+s_Irr!BO16),".")</f>
        <v>96.421283727171286</v>
      </c>
      <c r="AT16" s="62">
        <f>IFERROR(s_C*s_IFPT_res_adj*s_CF_potato*0.001*(s_Irr!T16+s_Irr!AR16+s_Irr!BP16),".")</f>
        <v>90.711121653764295</v>
      </c>
      <c r="AU16" s="62">
        <f>IFERROR(s_C*s_IFPU_res_adj*s_CF_pumpkin*0.001*(s_Irr!U16+s_Irr!AS16+s_Irr!BQ16),".")</f>
        <v>110.99722375665758</v>
      </c>
      <c r="AV16" s="62">
        <f>IFERROR(s_C*s_IFSN_res_adj*s_CF_snap_bean*0.001*(s_Irr!V16+s_Irr!AT16+s_Irr!BR16),".")</f>
        <v>96.421283727171286</v>
      </c>
      <c r="AW16" s="62">
        <f>IFERROR(s_C*s_IFST_res_adj*s_CF_strawberry*0.001*(s_Irr!W16+s_Irr!AU16+s_Irr!BS16),".")</f>
        <v>103.48385260743784</v>
      </c>
      <c r="AX16" s="62">
        <f>IFERROR(s_C*s_IFTO_res_adj*s_CF_tomato*0.001*(s_Irr!X16+s_Irr!AV16+s_Irr!BT16),".")</f>
        <v>110.99722375665758</v>
      </c>
      <c r="AY16" s="62">
        <f>IFERROR(s_C*s_IFRI_res_adj*s_CF_rice*0.001*(s_Irr!Y16+s_Irr!AW16+s_Irr!BU16),".")</f>
        <v>88.892885835653118</v>
      </c>
      <c r="AZ16" s="62">
        <f>IFERROR(s_C*s_IFCG_res_adj*s_CF_cereal*0.001*(s_Irr!Z16+s_Irr!AX16+s_Irr!BV16),".")</f>
        <v>104.98652683728179</v>
      </c>
      <c r="BA16" s="48">
        <f t="shared" si="0"/>
        <v>22.276696901037536</v>
      </c>
      <c r="BB16" s="48">
        <f>IFERROR(IF(AND(s_Irr!C16&lt;&gt;".",s_Irr!AA16&lt;&gt;".",s_Irr!AY16&lt;&gt;"."),s_dir!AC16/((1/1000)*(s_Irr!C16+s_Irr!AA16+s_Irr!AY16)),IF(AND(s_Irr!C16&lt;&gt;".",s_Irr!AA16&lt;&gt;".",s_Irr!AY16="."),s_dir!AC16/((1/1000)*(s_Irr!C16+s_Irr!AA16)),IF(AND(s_Irr!C16&lt;&gt;".",s_Irr!AA16=".",s_Irr!AY16&lt;&gt;"."),s_dir!AC16/((1/1000)*(s_Irr!C16+s_Irr!AY16)),IF(AND(s_Irr!C16=".",s_Irr!AA16&lt;&gt;".",s_Irr!AY16&lt;&gt;"."),s_dir!AC16/((1/1000)*(s_Irr!AA16+s_Irr!AY16)),IF(AND(s_Irr!C16=".",s_Irr!AA16=".",s_Irr!AY16&lt;&gt;"."),s_dir!AC16/((1/1000)*(s_Irr!AY16)),IF(AND(s_Irr!C16=".",s_Irr!AA16&lt;&gt;".",s_Irr!AY16="."),s_dir!AC16/((1/1000)*(s_Irr!AA16)),IF(AND(s_Irr!C16&lt;&gt;".",s_Irr!AA16=".",s_Irr!AY16="."),s_dir!AC16/((1/1000)*(s_Irr!C16)),IF(AND(s_Irr!C16=".",s_Irr!AA16=".",s_Irr!AY16="."),s_dir!AC16*1000)))))))),".")</f>
        <v>64.012608375556056</v>
      </c>
      <c r="BC16" s="48">
        <f>IFERROR(IF(AND(s_Irr!D16&lt;&gt;".",s_Irr!AB16&lt;&gt;".",s_Irr!AZ16&lt;&gt;"."),s_dir!AD16/((1/1000)*(s_Irr!D16+s_Irr!AB16+s_Irr!AZ16)),IF(AND(s_Irr!D16&lt;&gt;".",s_Irr!AB16&lt;&gt;".",s_Irr!AZ16="."),s_dir!AD16/((1/1000)*(s_Irr!D16+s_Irr!AB16)),IF(AND(s_Irr!D16&lt;&gt;".",s_Irr!AB16=".",s_Irr!AZ16&lt;&gt;"."),s_dir!AD16/((1/1000)*(s_Irr!D16+s_Irr!AZ16)),IF(AND(s_Irr!D16=".",s_Irr!AB16&lt;&gt;".",s_Irr!AZ16&lt;&gt;"."),s_dir!AD16/((1/1000)*(s_Irr!AB16+s_Irr!AZ16)),IF(AND(s_Irr!D16=".",s_Irr!AB16=".",s_Irr!AZ16&lt;&gt;"."),s_dir!AD16/((1/1000)*(s_Irr!AZ16)),IF(AND(s_Irr!D16=".",s_Irr!AB16&lt;&gt;".",s_Irr!AZ16="."),s_dir!AD16/((1/1000)*(s_Irr!AB16)),IF(AND(s_Irr!D16&lt;&gt;".",s_Irr!AB16=".",s_Irr!AZ16="."),s_dir!AD16/((1/1000)*(s_Irr!D16)),IF(AND(s_Irr!D16=".",s_Irr!AB16=".",s_Irr!AZ16="."),s_dir!AD16*1000)))))))),".")</f>
        <v>31.745042599502412</v>
      </c>
      <c r="BD16" s="48">
        <f>IFERROR(IF(AND(s_Irr!E16&lt;&gt;".",s_Irr!AC16&lt;&gt;".",s_Irr!BA16&lt;&gt;"."),s_dir!AE16/((1/1000)*(s_Irr!E16+s_Irr!AC16+s_Irr!BA16)),IF(AND(s_Irr!E16&lt;&gt;".",s_Irr!AC16&lt;&gt;".",s_Irr!BA16="."),s_dir!AE16/((1/1000)*(s_Irr!E16+s_Irr!AC16)),IF(AND(s_Irr!E16&lt;&gt;".",s_Irr!AC16=".",s_Irr!BA16&lt;&gt;"."),s_dir!AE16/((1/1000)*(s_Irr!E16+s_Irr!BA16)),IF(AND(s_Irr!E16=".",s_Irr!AC16&lt;&gt;".",s_Irr!BA16&lt;&gt;"."),s_dir!AE16/((1/1000)*(s_Irr!AC16+s_Irr!BA16)),IF(AND(s_Irr!E16=".",s_Irr!AC16=".",s_Irr!BA16&lt;&gt;"."),s_dir!AE16/((1/1000)*(s_Irr!BA16)),IF(AND(s_Irr!E16=".",s_Irr!AC16&lt;&gt;".",s_Irr!BA16="."),s_dir!AE16/((1/1000)*(s_Irr!AC16)),IF(AND(s_Irr!E16&lt;&gt;".",s_Irr!AC16=".",s_Irr!BA16="."),s_dir!AE16/((1/1000)*(s_Irr!E16)),IF(AND(s_Irr!E16=".",s_Irr!AC16=".",s_Irr!BA16="."),s_dir!AE16*1000)))))))),".")</f>
        <v>59.67961275028162</v>
      </c>
      <c r="BE16" s="48">
        <f>IFERROR(IF(AND(s_Irr!F16&lt;&gt;".",s_Irr!AD16&lt;&gt;".",s_Irr!BB16&lt;&gt;"."),s_dir!AF16/((1/1000)*(s_Irr!F16+s_Irr!AD16+s_Irr!BB16)),IF(AND(s_Irr!F16&lt;&gt;".",s_Irr!AD16&lt;&gt;".",s_Irr!BB16="."),s_dir!AF16/((1/1000)*(s_Irr!F16+s_Irr!AD16)),IF(AND(s_Irr!F16&lt;&gt;".",s_Irr!AD16=".",s_Irr!BB16&lt;&gt;"."),s_dir!AF16/((1/1000)*(s_Irr!F16+s_Irr!BB16)),IF(AND(s_Irr!F16=".",s_Irr!AD16&lt;&gt;".",s_Irr!BB16&lt;&gt;"."),s_dir!AF16/((1/1000)*(s_Irr!AD16+s_Irr!BB16)),IF(AND(s_Irr!F16=".",s_Irr!AD16=".",s_Irr!BB16&lt;&gt;"."),s_dir!AF16/((1/1000)*(s_Irr!BB16)),IF(AND(s_Irr!F16=".",s_Irr!AD16&lt;&gt;".",s_Irr!BB16="."),s_dir!AF16/((1/1000)*(s_Irr!AD16)),IF(AND(s_Irr!F16&lt;&gt;".",s_Irr!AD16=".",s_Irr!BB16="."),s_dir!AF16/((1/1000)*(s_Irr!F16)),IF(AND(s_Irr!F16=".",s_Irr!AD16=".",s_Irr!BB16="."),s_dir!AF16*1000)))))))),".")</f>
        <v>64.012608375556056</v>
      </c>
      <c r="BF16" s="48">
        <f>IFERROR(IF(AND(s_Irr!G16&lt;&gt;".",s_Irr!AE16&lt;&gt;".",s_Irr!BC16&lt;&gt;"."),s_dir!AG16/((1/1000)*(s_Irr!G16+s_Irr!AE16+s_Irr!BC16)),IF(AND(s_Irr!G16&lt;&gt;".",s_Irr!AE16&lt;&gt;".",s_Irr!BC16="."),s_dir!AG16/((1/1000)*(s_Irr!G16+s_Irr!AE16)),IF(AND(s_Irr!G16&lt;&gt;".",s_Irr!AE16=".",s_Irr!BC16&lt;&gt;"."),s_dir!AG16/((1/1000)*(s_Irr!G16+s_Irr!BC16)),IF(AND(s_Irr!G16=".",s_Irr!AE16&lt;&gt;".",s_Irr!BC16&lt;&gt;"."),s_dir!AG16/((1/1000)*(s_Irr!AE16+s_Irr!BC16)),IF(AND(s_Irr!G16=".",s_Irr!AE16=".",s_Irr!BC16&lt;&gt;"."),s_dir!AG16/((1/1000)*(s_Irr!BC16)),IF(AND(s_Irr!G16=".",s_Irr!AE16&lt;&gt;".",s_Irr!BC16="."),s_dir!AG16/((1/1000)*(s_Irr!AE16)),IF(AND(s_Irr!G16&lt;&gt;".",s_Irr!AE16=".",s_Irr!BC16="."),s_dir!AG16/((1/1000)*(s_Irr!G16)),IF(AND(s_Irr!G16=".",s_Irr!AE16=".",s_Irr!BC16="."),s_dir!AG16*1000)))))))),".")</f>
        <v>59.67961275028162</v>
      </c>
      <c r="BG16" s="48">
        <f>IFERROR(IF(AND(s_Irr!H16&lt;&gt;".",s_Irr!AF16&lt;&gt;".",s_Irr!BD16&lt;&gt;"."),s_dir!AH16/((1/1000)*(s_Irr!H16+s_Irr!AF16+s_Irr!BD16)),IF(AND(s_Irr!H16&lt;&gt;".",s_Irr!AF16&lt;&gt;".",s_Irr!BD16="."),s_dir!AH16/((1/1000)*(s_Irr!H16+s_Irr!AF16)),IF(AND(s_Irr!H16&lt;&gt;".",s_Irr!AF16=".",s_Irr!BD16&lt;&gt;"."),s_dir!AH16/((1/1000)*(s_Irr!H16+s_Irr!BD16)),IF(AND(s_Irr!H16=".",s_Irr!AF16&lt;&gt;".",s_Irr!BD16&lt;&gt;"."),s_dir!AH16/((1/1000)*(s_Irr!AF16+s_Irr!BD16)),IF(AND(s_Irr!H16=".",s_Irr!AF16=".",s_Irr!BD16&lt;&gt;"."),s_dir!AH16/((1/1000)*(s_Irr!BD16)),IF(AND(s_Irr!H16=".",s_Irr!AF16&lt;&gt;".",s_Irr!BD16="."),s_dir!AH16/((1/1000)*(s_Irr!AF16)),IF(AND(s_Irr!H16&lt;&gt;".",s_Irr!AF16=".",s_Irr!BD16="."),s_dir!AH16/((1/1000)*(s_Irr!H16)),IF(AND(s_Irr!H16=".",s_Irr!AF16=".",s_Irr!BD16="."),s_dir!AH16*1000)))))))),".")</f>
        <v>31.745042599502412</v>
      </c>
      <c r="BH16" s="48">
        <f>IFERROR(IF(AND(s_Irr!I16&lt;&gt;".",s_Irr!AG16&lt;&gt;".",s_Irr!BE16&lt;&gt;"."),s_dir!AI16/((1/1000)*(s_Irr!I16+s_Irr!AG16+s_Irr!BE16)),IF(AND(s_Irr!I16&lt;&gt;".",s_Irr!AG16&lt;&gt;".",s_Irr!BE16="."),s_dir!AI16/((1/1000)*(s_Irr!I16+s_Irr!AG16)),IF(AND(s_Irr!I16&lt;&gt;".",s_Irr!AG16=".",s_Irr!BE16&lt;&gt;"."),s_dir!AI16/((1/1000)*(s_Irr!I16+s_Irr!BE16)),IF(AND(s_Irr!I16=".",s_Irr!AG16&lt;&gt;".",s_Irr!BE16&lt;&gt;"."),s_dir!AI16/((1/1000)*(s_Irr!AG16+s_Irr!BE16)),IF(AND(s_Irr!I16=".",s_Irr!AG16=".",s_Irr!BE16&lt;&gt;"."),s_dir!AI16/((1/1000)*(s_Irr!BE16)),IF(AND(s_Irr!I16=".",s_Irr!AG16&lt;&gt;".",s_Irr!BE16="."),s_dir!AI16/((1/1000)*(s_Irr!AG16)),IF(AND(s_Irr!I16&lt;&gt;".",s_Irr!AG16=".",s_Irr!BE16="."),s_dir!AI16/((1/1000)*(s_Irr!I16)),IF(AND(s_Irr!I16=".",s_Irr!AG16=".",s_Irr!BE16="."),s_dir!AI16*1000)))))))),".")</f>
        <v>59.67961275028162</v>
      </c>
      <c r="BI16" s="48">
        <f>IFERROR(IF(AND(s_Irr!J16&lt;&gt;".",s_Irr!AH16&lt;&gt;".",s_Irr!BF16&lt;&gt;"."),s_dir!AJ16/((1/1000)*(s_Irr!J16+s_Irr!AH16+s_Irr!BF16)),IF(AND(s_Irr!J16&lt;&gt;".",s_Irr!AH16&lt;&gt;".",s_Irr!BF16="."),s_dir!AJ16/((1/1000)*(s_Irr!J16+s_Irr!AH16)),IF(AND(s_Irr!J16&lt;&gt;".",s_Irr!AH16=".",s_Irr!BF16&lt;&gt;"."),s_dir!AJ16/((1/1000)*(s_Irr!J16+s_Irr!BF16)),IF(AND(s_Irr!J16=".",s_Irr!AH16&lt;&gt;".",s_Irr!BF16&lt;&gt;"."),s_dir!AJ16/((1/1000)*(s_Irr!AH16+s_Irr!BF16)),IF(AND(s_Irr!J16=".",s_Irr!AH16=".",s_Irr!BF16&lt;&gt;"."),s_dir!AJ16/((1/1000)*(s_Irr!BF16)),IF(AND(s_Irr!J16=".",s_Irr!AH16&lt;&gt;".",s_Irr!BF16="."),s_dir!AJ16/((1/1000)*(s_Irr!AH16)),IF(AND(s_Irr!J16&lt;&gt;".",s_Irr!AH16=".",s_Irr!BF16="."),s_dir!AJ16/((1/1000)*(s_Irr!J16)),IF(AND(s_Irr!J16=".",s_Irr!AH16=".",s_Irr!BF16="."),s_dir!AJ16*1000)))))))),".")</f>
        <v>64.012608375556056</v>
      </c>
      <c r="BJ16" s="48">
        <f>IFERROR(IF(AND(s_Irr!K16&lt;&gt;".",s_Irr!AI16&lt;&gt;".",s_Irr!BG16&lt;&gt;"."),s_dir!AK16/((1/1000)*(s_Irr!K16+s_Irr!AI16+s_Irr!BG16)),IF(AND(s_Irr!K16&lt;&gt;".",s_Irr!AI16&lt;&gt;".",s_Irr!BG16="."),s_dir!AK16/((1/1000)*(s_Irr!K16+s_Irr!AI16)),IF(AND(s_Irr!K16&lt;&gt;".",s_Irr!AI16=".",s_Irr!BG16&lt;&gt;"."),s_dir!AK16/((1/1000)*(s_Irr!K16+s_Irr!BG16)),IF(AND(s_Irr!K16=".",s_Irr!AI16&lt;&gt;".",s_Irr!BG16&lt;&gt;"."),s_dir!AK16/((1/1000)*(s_Irr!AI16+s_Irr!BG16)),IF(AND(s_Irr!K16=".",s_Irr!AI16=".",s_Irr!BG16&lt;&gt;"."),s_dir!AK16/((1/1000)*(s_Irr!BG16)),IF(AND(s_Irr!K16=".",s_Irr!AI16&lt;&gt;".",s_Irr!BG16="."),s_dir!AK16/((1/1000)*(s_Irr!AI16)),IF(AND(s_Irr!K16&lt;&gt;".",s_Irr!AI16=".",s_Irr!BG16="."),s_dir!AK16/((1/1000)*(s_Irr!K16)),IF(AND(s_Irr!K16=".",s_Irr!AI16=".",s_Irr!BG16="."),s_dir!AK16*1000)))))))),".")</f>
        <v>73.390736652638168</v>
      </c>
      <c r="BK16" s="48">
        <f>IFERROR(IF(AND(s_Irr!L16&lt;&gt;".",s_Irr!AJ16&lt;&gt;".",s_Irr!BH16&lt;&gt;"."),s_dir!AL16/((1/1000)*(s_Irr!L16+s_Irr!AJ16+s_Irr!BH16)),IF(AND(s_Irr!L16&lt;&gt;".",s_Irr!AJ16&lt;&gt;".",s_Irr!BH16="."),s_dir!AL16/((1/1000)*(s_Irr!L16+s_Irr!AJ16)),IF(AND(s_Irr!L16&lt;&gt;".",s_Irr!AJ16=".",s_Irr!BH16&lt;&gt;"."),s_dir!AL16/((1/1000)*(s_Irr!L16+s_Irr!BH16)),IF(AND(s_Irr!L16=".",s_Irr!AJ16&lt;&gt;".",s_Irr!BH16&lt;&gt;"."),s_dir!AL16/((1/1000)*(s_Irr!AJ16+s_Irr!BH16)),IF(AND(s_Irr!L16=".",s_Irr!AJ16=".",s_Irr!BH16&lt;&gt;"."),s_dir!AL16/((1/1000)*(s_Irr!BH16)),IF(AND(s_Irr!L16=".",s_Irr!AJ16&lt;&gt;".",s_Irr!BH16="."),s_dir!AL16/((1/1000)*(s_Irr!AJ16)),IF(AND(s_Irr!L16&lt;&gt;".",s_Irr!AJ16=".",s_Irr!BH16="."),s_dir!AL16/((1/1000)*(s_Irr!L16)),IF(AND(s_Irr!L16=".",s_Irr!AJ16=".",s_Irr!BH16="."),s_dir!AL16*1000)))))))),".")</f>
        <v>59.67961275028162</v>
      </c>
      <c r="BL16" s="48">
        <f>IFERROR(IF(AND(s_Irr!M16&lt;&gt;".",s_Irr!AK16&lt;&gt;".",s_Irr!BI16&lt;&gt;"."),s_dir!AM16/((1/1000)*(s_Irr!M16+s_Irr!AK16+s_Irr!BI16)),IF(AND(s_Irr!M16&lt;&gt;".",s_Irr!AK16&lt;&gt;".",s_Irr!BI16="."),s_dir!AM16/((1/1000)*(s_Irr!M16+s_Irr!AK16)),IF(AND(s_Irr!M16&lt;&gt;".",s_Irr!AK16=".",s_Irr!BI16&lt;&gt;"."),s_dir!AM16/((1/1000)*(s_Irr!M16+s_Irr!BI16)),IF(AND(s_Irr!M16=".",s_Irr!AK16&lt;&gt;".",s_Irr!BI16&lt;&gt;"."),s_dir!AM16/((1/1000)*(s_Irr!AK16+s_Irr!BI16)),IF(AND(s_Irr!M16=".",s_Irr!AK16=".",s_Irr!BI16&lt;&gt;"."),s_dir!AM16/((1/1000)*(s_Irr!BI16)),IF(AND(s_Irr!M16=".",s_Irr!AK16&lt;&gt;".",s_Irr!BI16="."),s_dir!AM16/((1/1000)*(s_Irr!AK16)),IF(AND(s_Irr!M16&lt;&gt;".",s_Irr!AK16=".",s_Irr!BI16="."),s_dir!AM16/((1/1000)*(s_Irr!M16)),IF(AND(s_Irr!M16=".",s_Irr!AK16=".",s_Irr!BI16="."),s_dir!AM16*1000)))))))),".")</f>
        <v>31.745042599502412</v>
      </c>
      <c r="BM16" s="48">
        <f>IFERROR(IF(AND(s_Irr!N16&lt;&gt;".",s_Irr!AL16&lt;&gt;".",s_Irr!BJ16&lt;&gt;"."),s_dir!AN16/((1/1000)*(s_Irr!N16+s_Irr!AL16+s_Irr!BJ16)),IF(AND(s_Irr!N16&lt;&gt;".",s_Irr!AL16&lt;&gt;".",s_Irr!BJ16="."),s_dir!AN16/((1/1000)*(s_Irr!N16+s_Irr!AL16)),IF(AND(s_Irr!N16&lt;&gt;".",s_Irr!AL16=".",s_Irr!BJ16&lt;&gt;"."),s_dir!AN16/((1/1000)*(s_Irr!N16+s_Irr!BJ16)),IF(AND(s_Irr!N16=".",s_Irr!AL16&lt;&gt;".",s_Irr!BJ16&lt;&gt;"."),s_dir!AN16/((1/1000)*(s_Irr!AL16+s_Irr!BJ16)),IF(AND(s_Irr!N16=".",s_Irr!AL16=".",s_Irr!BJ16&lt;&gt;"."),s_dir!AN16/((1/1000)*(s_Irr!BJ16)),IF(AND(s_Irr!N16=".",s_Irr!AL16&lt;&gt;".",s_Irr!BJ16="."),s_dir!AN16/((1/1000)*(s_Irr!AL16)),IF(AND(s_Irr!N16&lt;&gt;".",s_Irr!AL16=".",s_Irr!BJ16="."),s_dir!AN16/((1/1000)*(s_Irr!N16)),IF(AND(s_Irr!N16=".",s_Irr!AL16=".",s_Irr!BJ16="."),s_dir!AN16*1000)))))))),".")</f>
        <v>68.701339311114978</v>
      </c>
      <c r="BN16" s="48">
        <f>IFERROR(IF(AND(s_Irr!O16&lt;&gt;".",s_Irr!AM16&lt;&gt;".",s_Irr!BK16&lt;&gt;"."),s_dir!AO16/((1/1000)*(s_Irr!O16+s_Irr!AM16+s_Irr!BK16)),IF(AND(s_Irr!O16&lt;&gt;".",s_Irr!AM16&lt;&gt;".",s_Irr!BK16="."),s_dir!AO16/((1/1000)*(s_Irr!O16+s_Irr!AM16)),IF(AND(s_Irr!O16&lt;&gt;".",s_Irr!AM16=".",s_Irr!BK16&lt;&gt;"."),s_dir!AO16/((1/1000)*(s_Irr!O16+s_Irr!BK16)),IF(AND(s_Irr!O16=".",s_Irr!AM16&lt;&gt;".",s_Irr!BK16&lt;&gt;"."),s_dir!AO16/((1/1000)*(s_Irr!AM16+s_Irr!BK16)),IF(AND(s_Irr!O16=".",s_Irr!AM16=".",s_Irr!BK16&lt;&gt;"."),s_dir!AO16/((1/1000)*(s_Irr!BK16)),IF(AND(s_Irr!O16=".",s_Irr!AM16&lt;&gt;".",s_Irr!BK16="."),s_dir!AO16/((1/1000)*(s_Irr!AM16)),IF(AND(s_Irr!O16&lt;&gt;".",s_Irr!AM16=".",s_Irr!BK16="."),s_dir!AO16/((1/1000)*(s_Irr!O16)),IF(AND(s_Irr!O16=".",s_Irr!AM16=".",s_Irr!BK16="."),s_dir!AO16*1000)))))))),".")</f>
        <v>59.67961275028162</v>
      </c>
      <c r="BO16" s="48">
        <f>IFERROR(IF(AND(s_Irr!P16&lt;&gt;".",s_Irr!AN16&lt;&gt;".",s_Irr!BL16&lt;&gt;"."),s_dir!AP16/((1/1000)*(s_Irr!P16+s_Irr!AN16+s_Irr!BL16)),IF(AND(s_Irr!P16&lt;&gt;".",s_Irr!AN16&lt;&gt;".",s_Irr!BL16="."),s_dir!AP16/((1/1000)*(s_Irr!P16+s_Irr!AN16)),IF(AND(s_Irr!P16&lt;&gt;".",s_Irr!AN16=".",s_Irr!BL16&lt;&gt;"."),s_dir!AP16/((1/1000)*(s_Irr!P16+s_Irr!BL16)),IF(AND(s_Irr!P16=".",s_Irr!AN16&lt;&gt;".",s_Irr!BL16&lt;&gt;"."),s_dir!AP16/((1/1000)*(s_Irr!AN16+s_Irr!BL16)),IF(AND(s_Irr!P16=".",s_Irr!AN16=".",s_Irr!BL16&lt;&gt;"."),s_dir!AP16/((1/1000)*(s_Irr!BL16)),IF(AND(s_Irr!P16=".",s_Irr!AN16&lt;&gt;".",s_Irr!BL16="."),s_dir!AP16/((1/1000)*(s_Irr!AN16)),IF(AND(s_Irr!P16&lt;&gt;".",s_Irr!AN16=".",s_Irr!BL16="."),s_dir!AP16/((1/1000)*(s_Irr!P16)),IF(AND(s_Irr!P16=".",s_Irr!AN16=".",s_Irr!BL16="."),s_dir!AP16*1000)))))))),".")</f>
        <v>59.67961275028162</v>
      </c>
      <c r="BP16" s="48">
        <f>IFERROR(IF(AND(s_Irr!Q16&lt;&gt;".",s_Irr!AO16&lt;&gt;".",s_Irr!BM16&lt;&gt;"."),s_dir!AQ16/((1/1000)*(s_Irr!Q16+s_Irr!AO16+s_Irr!BM16)),IF(AND(s_Irr!Q16&lt;&gt;".",s_Irr!AO16&lt;&gt;".",s_Irr!BM16="."),s_dir!AQ16/((1/1000)*(s_Irr!Q16+s_Irr!AO16)),IF(AND(s_Irr!Q16&lt;&gt;".",s_Irr!AO16=".",s_Irr!BM16&lt;&gt;"."),s_dir!AQ16/((1/1000)*(s_Irr!Q16+s_Irr!BM16)),IF(AND(s_Irr!Q16=".",s_Irr!AO16&lt;&gt;".",s_Irr!BM16&lt;&gt;"."),s_dir!AQ16/((1/1000)*(s_Irr!AO16+s_Irr!BM16)),IF(AND(s_Irr!Q16=".",s_Irr!AO16=".",s_Irr!BM16&lt;&gt;"."),s_dir!AQ16/((1/1000)*(s_Irr!BM16)),IF(AND(s_Irr!Q16=".",s_Irr!AO16&lt;&gt;".",s_Irr!BM16="."),s_dir!AQ16/((1/1000)*(s_Irr!AO16)),IF(AND(s_Irr!Q16&lt;&gt;".",s_Irr!AO16=".",s_Irr!BM16="."),s_dir!AQ16/((1/1000)*(s_Irr!Q16)),IF(AND(s_Irr!Q16=".",s_Irr!AO16=".",s_Irr!BM16="."),s_dir!AQ16*1000)))))))),".")</f>
        <v>64.012608375556056</v>
      </c>
      <c r="BQ16" s="48">
        <f>IFERROR(IF(AND(s_Irr!R16&lt;&gt;".",s_Irr!AP16&lt;&gt;".",s_Irr!BN16&lt;&gt;"."),s_dir!AR16/((1/1000)*(s_Irr!R16+s_Irr!AP16+s_Irr!BN16)),IF(AND(s_Irr!R16&lt;&gt;".",s_Irr!AP16&lt;&gt;".",s_Irr!BN16="."),s_dir!AR16/((1/1000)*(s_Irr!R16+s_Irr!AP16)),IF(AND(s_Irr!R16&lt;&gt;".",s_Irr!AP16=".",s_Irr!BN16&lt;&gt;"."),s_dir!AR16/((1/1000)*(s_Irr!R16+s_Irr!BN16)),IF(AND(s_Irr!R16=".",s_Irr!AP16&lt;&gt;".",s_Irr!BN16&lt;&gt;"."),s_dir!AR16/((1/1000)*(s_Irr!AP16+s_Irr!BN16)),IF(AND(s_Irr!R16=".",s_Irr!AP16=".",s_Irr!BN16&lt;&gt;"."),s_dir!AR16/((1/1000)*(s_Irr!BN16)),IF(AND(s_Irr!R16=".",s_Irr!AP16&lt;&gt;".",s_Irr!BN16="."),s_dir!AR16/((1/1000)*(s_Irr!AP16)),IF(AND(s_Irr!R16&lt;&gt;".",s_Irr!AP16=".",s_Irr!BN16="."),s_dir!AR16/((1/1000)*(s_Irr!R16)),IF(AND(s_Irr!R16=".",s_Irr!AP16=".",s_Irr!BN16="."),s_dir!AR16*1000)))))))),".")</f>
        <v>64.012608375556056</v>
      </c>
      <c r="BR16" s="48">
        <f>IFERROR(IF(AND(s_Irr!S16&lt;&gt;".",s_Irr!AQ16&lt;&gt;".",s_Irr!BO16&lt;&gt;"."),s_dir!AS16/((1/1000)*(s_Irr!S16+s_Irr!AQ16+s_Irr!BO16)),IF(AND(s_Irr!S16&lt;&gt;".",s_Irr!AQ16&lt;&gt;".",s_Irr!BO16="."),s_dir!AS16/((1/1000)*(s_Irr!S16+s_Irr!AQ16)),IF(AND(s_Irr!S16&lt;&gt;".",s_Irr!AQ16=".",s_Irr!BO16&lt;&gt;"."),s_dir!AS16/((1/1000)*(s_Irr!S16+s_Irr!BO16)),IF(AND(s_Irr!S16=".",s_Irr!AQ16&lt;&gt;".",s_Irr!BO16&lt;&gt;"."),s_dir!AS16/((1/1000)*(s_Irr!AQ16+s_Irr!BO16)),IF(AND(s_Irr!S16=".",s_Irr!AQ16=".",s_Irr!BO16&lt;&gt;"."),s_dir!AS16/((1/1000)*(s_Irr!BO16)),IF(AND(s_Irr!S16=".",s_Irr!AQ16&lt;&gt;".",s_Irr!BO16="."),s_dir!AS16/((1/1000)*(s_Irr!AQ16)),IF(AND(s_Irr!S16&lt;&gt;".",s_Irr!AQ16=".",s_Irr!BO16="."),s_dir!AS16/((1/1000)*(s_Irr!S16)),IF(AND(s_Irr!S16=".",s_Irr!AQ16=".",s_Irr!BO16="."),s_dir!AS16*1000)))))))),".")</f>
        <v>68.701339311114978</v>
      </c>
      <c r="BS16" s="48">
        <f>IFERROR(IF(AND(s_Irr!T16&lt;&gt;".",s_Irr!AR16&lt;&gt;".",s_Irr!BP16&lt;&gt;"."),s_dir!AT16/((1/1000)*(s_Irr!T16+s_Irr!AR16+s_Irr!BP16)),IF(AND(s_Irr!T16&lt;&gt;".",s_Irr!AR16&lt;&gt;".",s_Irr!BP16="."),s_dir!AT16/((1/1000)*(s_Irr!T16+s_Irr!AR16)),IF(AND(s_Irr!T16&lt;&gt;".",s_Irr!AR16=".",s_Irr!BP16&lt;&gt;"."),s_dir!AT16/((1/1000)*(s_Irr!T16+s_Irr!BP16)),IF(AND(s_Irr!T16=".",s_Irr!AR16&lt;&gt;".",s_Irr!BP16&lt;&gt;"."),s_dir!AT16/((1/1000)*(s_Irr!AR16+s_Irr!BP16)),IF(AND(s_Irr!T16=".",s_Irr!AR16=".",s_Irr!BP16&lt;&gt;"."),s_dir!AT16/((1/1000)*(s_Irr!BP16)),IF(AND(s_Irr!T16=".",s_Irr!AR16&lt;&gt;".",s_Irr!BP16="."),s_dir!AT16/((1/1000)*(s_Irr!AR16)),IF(AND(s_Irr!T16&lt;&gt;".",s_Irr!AR16=".",s_Irr!BP16="."),s_dir!AT16/((1/1000)*(s_Irr!T16)),IF(AND(s_Irr!T16=".",s_Irr!AR16=".",s_Irr!BP16="."),s_dir!AT16*1000)))))))),".")</f>
        <v>73.026010585977502</v>
      </c>
      <c r="BT16" s="48">
        <f>IFERROR(IF(AND(s_Irr!U16&lt;&gt;".",s_Irr!AS16&lt;&gt;".",s_Irr!BQ16&lt;&gt;"."),s_dir!AU16/((1/1000)*(s_Irr!U16+s_Irr!AS16+s_Irr!BQ16)),IF(AND(s_Irr!U16&lt;&gt;".",s_Irr!AS16&lt;&gt;".",s_Irr!BQ16="."),s_dir!AU16/((1/1000)*(s_Irr!U16+s_Irr!AS16)),IF(AND(s_Irr!U16&lt;&gt;".",s_Irr!AS16=".",s_Irr!BQ16&lt;&gt;"."),s_dir!AU16/((1/1000)*(s_Irr!U16+s_Irr!BQ16)),IF(AND(s_Irr!U16=".",s_Irr!AS16&lt;&gt;".",s_Irr!BQ16&lt;&gt;"."),s_dir!AU16/((1/1000)*(s_Irr!AS16+s_Irr!BQ16)),IF(AND(s_Irr!U16=".",s_Irr!AS16=".",s_Irr!BQ16&lt;&gt;"."),s_dir!AU16/((1/1000)*(s_Irr!BQ16)),IF(AND(s_Irr!U16=".",s_Irr!AS16&lt;&gt;".",s_Irr!BQ16="."),s_dir!AU16/((1/1000)*(s_Irr!AS16)),IF(AND(s_Irr!U16&lt;&gt;".",s_Irr!AS16=".",s_Irr!BQ16="."),s_dir!AU16/((1/1000)*(s_Irr!U16)),IF(AND(s_Irr!U16=".",s_Irr!AS16=".",s_Irr!BQ16="."),s_dir!AU16*1000)))))))),".")</f>
        <v>59.67961275028162</v>
      </c>
      <c r="BU16" s="48">
        <f>IFERROR(IF(AND(s_Irr!V16&lt;&gt;".",s_Irr!AT16&lt;&gt;".",s_Irr!BR16&lt;&gt;"."),s_dir!AV16/((1/1000)*(s_Irr!V16+s_Irr!AT16+s_Irr!BR16)),IF(AND(s_Irr!V16&lt;&gt;".",s_Irr!AT16&lt;&gt;".",s_Irr!BR16="."),s_dir!AV16/((1/1000)*(s_Irr!V16+s_Irr!AT16)),IF(AND(s_Irr!V16&lt;&gt;".",s_Irr!AT16=".",s_Irr!BR16&lt;&gt;"."),s_dir!AV16/((1/1000)*(s_Irr!V16+s_Irr!BR16)),IF(AND(s_Irr!V16=".",s_Irr!AT16&lt;&gt;".",s_Irr!BR16&lt;&gt;"."),s_dir!AV16/((1/1000)*(s_Irr!AT16+s_Irr!BR16)),IF(AND(s_Irr!V16=".",s_Irr!AT16=".",s_Irr!BR16&lt;&gt;"."),s_dir!AV16/((1/1000)*(s_Irr!BR16)),IF(AND(s_Irr!V16=".",s_Irr!AT16&lt;&gt;".",s_Irr!BR16="."),s_dir!AV16/((1/1000)*(s_Irr!AT16)),IF(AND(s_Irr!V16&lt;&gt;".",s_Irr!AT16=".",s_Irr!BR16="."),s_dir!AV16/((1/1000)*(s_Irr!V16)),IF(AND(s_Irr!V16=".",s_Irr!AT16=".",s_Irr!BR16="."),s_dir!AV16*1000)))))))),".")</f>
        <v>68.701339311114978</v>
      </c>
      <c r="BV16" s="48">
        <f>IFERROR(IF(AND(s_Irr!W16&lt;&gt;".",s_Irr!AU16&lt;&gt;".",s_Irr!BS16&lt;&gt;"."),s_dir!AW16/((1/1000)*(s_Irr!W16+s_Irr!AU16+s_Irr!BS16)),IF(AND(s_Irr!W16&lt;&gt;".",s_Irr!AU16&lt;&gt;".",s_Irr!BS16="."),s_dir!AW16/((1/1000)*(s_Irr!W16+s_Irr!AU16)),IF(AND(s_Irr!W16&lt;&gt;".",s_Irr!AU16=".",s_Irr!BS16&lt;&gt;"."),s_dir!AW16/((1/1000)*(s_Irr!W16+s_Irr!BS16)),IF(AND(s_Irr!W16=".",s_Irr!AU16&lt;&gt;".",s_Irr!BS16&lt;&gt;"."),s_dir!AW16/((1/1000)*(s_Irr!AU16+s_Irr!BS16)),IF(AND(s_Irr!W16=".",s_Irr!AU16=".",s_Irr!BS16&lt;&gt;"."),s_dir!AW16/((1/1000)*(s_Irr!BS16)),IF(AND(s_Irr!W16=".",s_Irr!AU16&lt;&gt;".",s_Irr!BS16="."),s_dir!AW16/((1/1000)*(s_Irr!AU16)),IF(AND(s_Irr!W16&lt;&gt;".",s_Irr!AU16=".",s_Irr!BS16="."),s_dir!AW16/((1/1000)*(s_Irr!W16)),IF(AND(s_Irr!W16=".",s_Irr!AU16=".",s_Irr!BS16="."),s_dir!AW16*1000)))))))),".")</f>
        <v>64.012608375556056</v>
      </c>
      <c r="BW16" s="48">
        <f>IFERROR(IF(AND(s_Irr!X16&lt;&gt;".",s_Irr!AV16&lt;&gt;".",s_Irr!BT16&lt;&gt;"."),s_dir!AX16/((1/1000)*(s_Irr!X16+s_Irr!AV16+s_Irr!BT16)),IF(AND(s_Irr!X16&lt;&gt;".",s_Irr!AV16&lt;&gt;".",s_Irr!BT16="."),s_dir!AX16/((1/1000)*(s_Irr!X16+s_Irr!AV16)),IF(AND(s_Irr!X16&lt;&gt;".",s_Irr!AV16=".",s_Irr!BT16&lt;&gt;"."),s_dir!AX16/((1/1000)*(s_Irr!X16+s_Irr!BT16)),IF(AND(s_Irr!X16=".",s_Irr!AV16&lt;&gt;".",s_Irr!BT16&lt;&gt;"."),s_dir!AX16/((1/1000)*(s_Irr!AV16+s_Irr!BT16)),IF(AND(s_Irr!X16=".",s_Irr!AV16=".",s_Irr!BT16&lt;&gt;"."),s_dir!AX16/((1/1000)*(s_Irr!BT16)),IF(AND(s_Irr!X16=".",s_Irr!AV16&lt;&gt;".",s_Irr!BT16="."),s_dir!AX16/((1/1000)*(s_Irr!AV16)),IF(AND(s_Irr!X16&lt;&gt;".",s_Irr!AV16=".",s_Irr!BT16="."),s_dir!AX16/((1/1000)*(s_Irr!X16)),IF(AND(s_Irr!X16=".",s_Irr!AV16=".",s_Irr!BT16="."),s_dir!AX16*1000)))))))),".")</f>
        <v>59.67961275028162</v>
      </c>
      <c r="BX16" s="48">
        <f>IFERROR(IF(AND(s_Irr!Y16&lt;&gt;".",s_Irr!AW16&lt;&gt;".",s_Irr!BU16&lt;&gt;"."),s_dir!AY16/((1/1000)*(s_Irr!Y16+s_Irr!AW16+s_Irr!BU16)),IF(AND(s_Irr!Y16&lt;&gt;".",s_Irr!AW16&lt;&gt;".",s_Irr!BU16="."),s_dir!AY16/((1/1000)*(s_Irr!Y16+s_Irr!AW16)),IF(AND(s_Irr!Y16&lt;&gt;".",s_Irr!AW16=".",s_Irr!BU16&lt;&gt;"."),s_dir!AY16/((1/1000)*(s_Irr!Y16+s_Irr!BU16)),IF(AND(s_Irr!Y16=".",s_Irr!AW16&lt;&gt;".",s_Irr!BU16&lt;&gt;"."),s_dir!AY16/((1/1000)*(s_Irr!AW16+s_Irr!BU16)),IF(AND(s_Irr!Y16=".",s_Irr!AW16=".",s_Irr!BU16&lt;&gt;"."),s_dir!AY16/((1/1000)*(s_Irr!BU16)),IF(AND(s_Irr!Y16=".",s_Irr!AW16&lt;&gt;".",s_Irr!BU16="."),s_dir!AY16/((1/1000)*(s_Irr!AW16)),IF(AND(s_Irr!Y16&lt;&gt;".",s_Irr!AW16=".",s_Irr!BU16="."),s_dir!AY16/((1/1000)*(s_Irr!Y16)),IF(AND(s_Irr!Y16=".",s_Irr!AW16=".",s_Irr!BU16="."),s_dir!AY16*1000)))))))),".")</f>
        <v>74.519701637325213</v>
      </c>
      <c r="BY16" s="48">
        <f>IFERROR(IF(AND(s_Irr!Z16&lt;&gt;".",s_Irr!AX16&lt;&gt;".",s_Irr!BV16&lt;&gt;"."),s_dir!AZ16/((1/1000)*(s_Irr!Z16+s_Irr!AX16+s_Irr!BV16)),IF(AND(s_Irr!Z16&lt;&gt;".",s_Irr!AX16&lt;&gt;".",s_Irr!BV16="."),s_dir!AZ16/((1/1000)*(s_Irr!Z16+s_Irr!AX16)),IF(AND(s_Irr!Z16&lt;&gt;".",s_Irr!AX16=".",s_Irr!BV16&lt;&gt;"."),s_dir!AZ16/((1/1000)*(s_Irr!Z16+s_Irr!BV16)),IF(AND(s_Irr!Z16=".",s_Irr!AX16&lt;&gt;".",s_Irr!BV16&lt;&gt;"."),s_dir!AZ16/((1/1000)*(s_Irr!AX16+s_Irr!BV16)),IF(AND(s_Irr!Z16=".",s_Irr!AX16=".",s_Irr!BV16&lt;&gt;"."),s_dir!AZ16/((1/1000)*(s_Irr!BV16)),IF(AND(s_Irr!Z16=".",s_Irr!AX16&lt;&gt;".",s_Irr!BV16="."),s_dir!AZ16/((1/1000)*(s_Irr!AX16)),IF(AND(s_Irr!Z16&lt;&gt;".",s_Irr!AX16=".",s_Irr!BV16="."),s_dir!AZ16/((1/1000)*(s_Irr!Z16)),IF(AND(s_Irr!Z16=".",s_Irr!AX16=".",s_Irr!BV16="."),s_dir!AZ16*1000)))))))),".")</f>
        <v>63.096394649006868</v>
      </c>
      <c r="BZ16" s="62">
        <f t="shared" si="1"/>
        <v>297.36326528037273</v>
      </c>
      <c r="CA16" s="62">
        <f>IFERROR(s_C*s_IFAP_far_adj*s_CF_apple*(1/1000)*(s_Irr!C16+s_Irr!AA16+s_Irr!AY16),".")</f>
        <v>103.48385260743784</v>
      </c>
      <c r="CB16" s="62">
        <f>IFERROR(s_C*s_IFAS_far_adj*s_CF_asparagus*(1/1000)*(s_Irr!D16+s_Irr!AB16+s_Irr!AZ16),".")</f>
        <v>208.67104869651413</v>
      </c>
      <c r="CC16" s="62">
        <f>IFERROR(s_C*s_IFBT_far_adj*s_CF_beet*(1/1000)*(s_Irr!E16+s_Irr!AC16+s_Irr!BA16),".")</f>
        <v>110.99722375665758</v>
      </c>
      <c r="CD16" s="62">
        <f>IFERROR(s_C*s_IFBE_far_adj*s_CF_berries*(1/1000)*(s_Irr!F16+s_Irr!AD16+s_Irr!BB16),".")</f>
        <v>103.48385260743784</v>
      </c>
      <c r="CE16" s="62">
        <f>IFERROR(s_C*s_IFBR_far_adj*s_CF_broccoli*(1/1000)*(s_Irr!G16+s_Irr!AE16+s_Irr!BC16),".")</f>
        <v>110.99722375665758</v>
      </c>
      <c r="CF16" s="62">
        <f>IFERROR(s_C*s_IFCB_far_adj*s_CF_cabbage*(1/1000)*(s_Irr!H16+s_Irr!AF16+s_Irr!BD16),".")</f>
        <v>208.67104869651413</v>
      </c>
      <c r="CG16" s="62">
        <f>IFERROR(s_C*s_IFCR_far_adj*s_CF_carrot*(1/1000)*(s_Irr!I16+s_Irr!AG16+s_Irr!BE16),".")</f>
        <v>110.99722375665758</v>
      </c>
      <c r="CH16" s="62">
        <f>IFERROR(s_C*s_IFCI_far_adj*s_CF_citrus*(1/1000)*(s_Irr!J16+s_Irr!AH16+s_Irr!BF16),".")</f>
        <v>103.48385260743784</v>
      </c>
      <c r="CI16" s="62">
        <f>IFERROR(s_C*s_IFCO_far_adj*s_CF_corn*(1/1000)*(s_Irr!K16+s_Irr!AI16+s_Irr!BG16),".")</f>
        <v>90.260319384811112</v>
      </c>
      <c r="CJ16" s="62">
        <f>IFERROR(s_C*s_IFCU_far_adj*s_CF_cucumber*(1/1000)*(s_Irr!L16+s_Irr!AJ16+s_Irr!BH16),".")</f>
        <v>110.99722375665758</v>
      </c>
      <c r="CK16" s="62">
        <f>IFERROR(s_C*s_IFLE_far_adj*s_CF_lettuce*(1/1000)*(s_Irr!M16+s_Irr!AK16+s_Irr!BI16),".")</f>
        <v>208.67104869651413</v>
      </c>
      <c r="CL16" s="62">
        <f>IFERROR(s_C*s_IFLI_far_adj*s_CF_lima_bean*(1/1000)*(s_Irr!N16+s_Irr!AL16+s_Irr!BJ16),".")</f>
        <v>96.421283727171286</v>
      </c>
      <c r="CM16" s="62">
        <f>IFERROR(s_C*s_IFOK_far_adj*s_CF_okra*(1/1000)*(s_Irr!O16+s_Irr!AM16+s_Irr!BK16),".")</f>
        <v>110.99722375665758</v>
      </c>
      <c r="CN16" s="62">
        <f>IFERROR(s_C*s_IFON_far_adj*s_CF_onion*(1/1000)*(s_Irr!P16+s_Irr!AN16+s_Irr!BL16),".")</f>
        <v>110.99722375665758</v>
      </c>
      <c r="CO16" s="62">
        <f>IFERROR(s_C*s_IFPC_far_adj*s_CF_peach*(1/1000)*(s_Irr!Q16+s_Irr!AO16+s_Irr!BM16),".")</f>
        <v>103.48385260743784</v>
      </c>
      <c r="CP16" s="62">
        <f>IFERROR(s_C*s_IFPR_far_adj*s_CF_pear*(1/1000)*(s_Irr!R16+s_Irr!AP16+s_Irr!BN16),".")</f>
        <v>103.48385260743784</v>
      </c>
      <c r="CQ16" s="62">
        <f>IFERROR(s_C*s_IFPE_far_adj*s_CF_peas*(1/1000)*(s_Irr!S16+s_Irr!AQ16+s_Irr!BO16),".")</f>
        <v>96.421283727171286</v>
      </c>
      <c r="CR16" s="62">
        <f>IFERROR(s_C*s_IFPT_far_adj*s_CF_potato*(1/1000)*(s_Irr!T16+s_Irr!AR16+s_Irr!BP16),".")</f>
        <v>90.711121653764295</v>
      </c>
      <c r="CS16" s="62">
        <f>IFERROR(s_C*s_IFPU_far_adj*s_CF_pumpkin*(1/1000)*(s_Irr!U16+s_Irr!AS16+s_Irr!BQ16),".")</f>
        <v>110.99722375665758</v>
      </c>
      <c r="CT16" s="62">
        <f>IFERROR(s_C*s_IFSN_far_adj*s_CF_snap_bean*(1/1000)*(s_Irr!V16+s_Irr!AT16+s_Irr!BR16),".")</f>
        <v>96.421283727171286</v>
      </c>
      <c r="CU16" s="62">
        <f>IFERROR(s_C*s_IFST_far_adj*s_CF_strawberry*(1/1000)*(s_Irr!W16+s_Irr!AU16+s_Irr!BS16),".")</f>
        <v>103.48385260743784</v>
      </c>
      <c r="CV16" s="62">
        <f>IFERROR(s_C*s_IFTO_far_adj*s_CF_tomato*(1/1000)*(s_Irr!X16+s_Irr!AV16+s_Irr!BT16),".")</f>
        <v>110.99722375665758</v>
      </c>
      <c r="CW16" s="62">
        <f>IFERROR(s_C*s_IFRI_far_adj*s_CF_rice*(1/1000)*(s_Irr!Y16+s_Irr!AW16+s_Irr!BU16),".")</f>
        <v>88.892885835653118</v>
      </c>
      <c r="CX16" s="62">
        <f>IFERROR(s_C*s_IFCG_far_adj*s_CF_cereal*(1/1000)*(s_Irr!Z16+s_Irr!AX16+s_Irr!BV16),".")</f>
        <v>104.98652683728179</v>
      </c>
    </row>
    <row r="17" spans="1:102" ht="15" customHeight="1" x14ac:dyDescent="0.25">
      <c r="A17" s="61" t="s">
        <v>15</v>
      </c>
      <c r="B17" s="49" t="s">
        <v>1059</v>
      </c>
      <c r="C17" s="48">
        <f t="shared" si="2"/>
        <v>114182.06451788083</v>
      </c>
      <c r="D17" s="48">
        <f>IFERROR(IF(AND(s_Irr!C17&lt;&gt;".",s_Irr!AA17&lt;&gt;".",s_Irr!AY17&lt;&gt;"."),s_dir!D17/((1/1000)*(s_Irr!C17+s_Irr!AA17+s_Irr!AY17)),IF(AND(s_Irr!C17&lt;&gt;".",s_Irr!AA17&lt;&gt;".",s_Irr!AY17="."),s_dir!D17/((1/1000)*(s_Irr!C17+s_Irr!AA17)),IF(AND(s_Irr!C17&lt;&gt;".",s_Irr!AA17=".",s_Irr!AY17&lt;&gt;"."),s_dir!D17/((1/1000)*(s_Irr!C17+s_Irr!AY17)),IF(AND(s_Irr!C17=".",s_Irr!AA17&lt;&gt;".",s_Irr!AY17&lt;&gt;"."),s_dir!D17/((1/1000)*(s_Irr!AA17+s_Irr!AY17)),IF(AND(s_Irr!C17=".",s_Irr!AA17=".",s_Irr!AY17&lt;&gt;"."),s_dir!D17/((1/1000)*(s_Irr!AY17)),IF(AND(s_Irr!C17=".",s_Irr!AA17&lt;&gt;".",s_Irr!AY17="."),s_dir!D17/((1/1000)*(s_Irr!AA17)),IF(AND(s_Irr!C17&lt;&gt;".",s_Irr!AA17=".",s_Irr!AY17="."),s_dir!D17/((1/1000)*(s_Irr!C17)),IF(AND(s_Irr!C17=".",s_Irr!AA17=".",s_Irr!AY17="."),s_dir!D17*1000)))))))),".")</f>
        <v>328104.82684958377</v>
      </c>
      <c r="E17" s="48">
        <f>IFERROR(IF(AND(s_Irr!D17&lt;&gt;".",s_Irr!AB17&lt;&gt;".",s_Irr!AZ17&lt;&gt;"."),s_dir!E17/((1/1000)*(s_Irr!D17+s_Irr!AB17+s_Irr!AZ17)),IF(AND(s_Irr!D17&lt;&gt;".",s_Irr!AB17&lt;&gt;".",s_Irr!AZ17="."),s_dir!E17/((1/1000)*(s_Irr!D17+s_Irr!AB17)),IF(AND(s_Irr!D17&lt;&gt;".",s_Irr!AB17=".",s_Irr!AZ17&lt;&gt;"."),s_dir!E17/((1/1000)*(s_Irr!D17+s_Irr!AZ17)),IF(AND(s_Irr!D17=".",s_Irr!AB17&lt;&gt;".",s_Irr!AZ17&lt;&gt;"."),s_dir!E17/((1/1000)*(s_Irr!AB17+s_Irr!AZ17)),IF(AND(s_Irr!D17=".",s_Irr!AB17=".",s_Irr!AZ17&lt;&gt;"."),s_dir!E17/((1/1000)*(s_Irr!AZ17)),IF(AND(s_Irr!D17=".",s_Irr!AB17&lt;&gt;".",s_Irr!AZ17="."),s_dir!E17/((1/1000)*(s_Irr!AB17)),IF(AND(s_Irr!D17&lt;&gt;".",s_Irr!AB17=".",s_Irr!AZ17="."),s_dir!E17/((1/1000)*(s_Irr!D17)),IF(AND(s_Irr!D17=".",s_Irr!AB17=".",s_Irr!AZ17="."),s_dir!E17*1000)))))))),".")</f>
        <v>162713.28367584149</v>
      </c>
      <c r="F17" s="48">
        <f>IFERROR(IF(AND(s_Irr!E17&lt;&gt;".",s_Irr!AC17&lt;&gt;".",s_Irr!BA17&lt;&gt;"."),s_dir!F17/((1/1000)*(s_Irr!E17+s_Irr!AC17+s_Irr!BA17)),IF(AND(s_Irr!E17&lt;&gt;".",s_Irr!AC17&lt;&gt;".",s_Irr!BA17="."),s_dir!F17/((1/1000)*(s_Irr!E17+s_Irr!AC17)),IF(AND(s_Irr!E17&lt;&gt;".",s_Irr!AC17=".",s_Irr!BA17&lt;&gt;"."),s_dir!F17/((1/1000)*(s_Irr!E17+s_Irr!BA17)),IF(AND(s_Irr!E17=".",s_Irr!AC17&lt;&gt;".",s_Irr!BA17&lt;&gt;"."),s_dir!F17/((1/1000)*(s_Irr!AC17+s_Irr!BA17)),IF(AND(s_Irr!E17=".",s_Irr!AC17=".",s_Irr!BA17&lt;&gt;"."),s_dir!F17/((1/1000)*(s_Irr!BA17)),IF(AND(s_Irr!E17=".",s_Irr!AC17&lt;&gt;".",s_Irr!BA17="."),s_dir!F17/((1/1000)*(s_Irr!AC17)),IF(AND(s_Irr!E17&lt;&gt;".",s_Irr!AC17=".",s_Irr!BA17="."),s_dir!F17/((1/1000)*(s_Irr!E17)),IF(AND(s_Irr!E17=".",s_Irr!AC17=".",s_Irr!BA17="."),s_dir!F17*1000)))))))),".")</f>
        <v>305895.50253913185</v>
      </c>
      <c r="G17" s="48">
        <f>IFERROR(IF(AND(s_Irr!F17&lt;&gt;".",s_Irr!AD17&lt;&gt;".",s_Irr!BB17&lt;&gt;"."),s_dir!G17/((1/1000)*(s_Irr!F17+s_Irr!AD17+s_Irr!BB17)),IF(AND(s_Irr!F17&lt;&gt;".",s_Irr!AD17&lt;&gt;".",s_Irr!BB17="."),s_dir!G17/((1/1000)*(s_Irr!F17+s_Irr!AD17)),IF(AND(s_Irr!F17&lt;&gt;".",s_Irr!AD17=".",s_Irr!BB17&lt;&gt;"."),s_dir!G17/((1/1000)*(s_Irr!F17+s_Irr!BB17)),IF(AND(s_Irr!F17=".",s_Irr!AD17&lt;&gt;".",s_Irr!BB17&lt;&gt;"."),s_dir!G17/((1/1000)*(s_Irr!AD17+s_Irr!BB17)),IF(AND(s_Irr!F17=".",s_Irr!AD17=".",s_Irr!BB17&lt;&gt;"."),s_dir!G17/((1/1000)*(s_Irr!BB17)),IF(AND(s_Irr!F17=".",s_Irr!AD17&lt;&gt;".",s_Irr!BB17="."),s_dir!G17/((1/1000)*(s_Irr!AD17)),IF(AND(s_Irr!F17&lt;&gt;".",s_Irr!AD17=".",s_Irr!BB17="."),s_dir!G17/((1/1000)*(s_Irr!F17)),IF(AND(s_Irr!F17=".",s_Irr!AD17=".",s_Irr!BB17="."),s_dir!G17*1000)))))))),".")</f>
        <v>328104.82684958377</v>
      </c>
      <c r="H17" s="48">
        <f>IFERROR(IF(AND(s_Irr!G17&lt;&gt;".",s_Irr!AE17&lt;&gt;".",s_Irr!BC17&lt;&gt;"."),s_dir!H17/((1/1000)*(s_Irr!G17+s_Irr!AE17+s_Irr!BC17)),IF(AND(s_Irr!G17&lt;&gt;".",s_Irr!AE17&lt;&gt;".",s_Irr!BC17="."),s_dir!H17/((1/1000)*(s_Irr!G17+s_Irr!AE17)),IF(AND(s_Irr!G17&lt;&gt;".",s_Irr!AE17=".",s_Irr!BC17&lt;&gt;"."),s_dir!H17/((1/1000)*(s_Irr!G17+s_Irr!BC17)),IF(AND(s_Irr!G17=".",s_Irr!AE17&lt;&gt;".",s_Irr!BC17&lt;&gt;"."),s_dir!H17/((1/1000)*(s_Irr!AE17+s_Irr!BC17)),IF(AND(s_Irr!G17=".",s_Irr!AE17=".",s_Irr!BC17&lt;&gt;"."),s_dir!H17/((1/1000)*(s_Irr!BC17)),IF(AND(s_Irr!G17=".",s_Irr!AE17&lt;&gt;".",s_Irr!BC17="."),s_dir!H17/((1/1000)*(s_Irr!AE17)),IF(AND(s_Irr!G17&lt;&gt;".",s_Irr!AE17=".",s_Irr!BC17="."),s_dir!H17/((1/1000)*(s_Irr!G17)),IF(AND(s_Irr!G17=".",s_Irr!AE17=".",s_Irr!BC17="."),s_dir!H17*1000)))))))),".")</f>
        <v>305895.50253913185</v>
      </c>
      <c r="I17" s="48">
        <f>IFERROR(IF(AND(s_Irr!H17&lt;&gt;".",s_Irr!AF17&lt;&gt;".",s_Irr!BD17&lt;&gt;"."),s_dir!I17/((1/1000)*(s_Irr!H17+s_Irr!AF17+s_Irr!BD17)),IF(AND(s_Irr!H17&lt;&gt;".",s_Irr!AF17&lt;&gt;".",s_Irr!BD17="."),s_dir!I17/((1/1000)*(s_Irr!H17+s_Irr!AF17)),IF(AND(s_Irr!H17&lt;&gt;".",s_Irr!AF17=".",s_Irr!BD17&lt;&gt;"."),s_dir!I17/((1/1000)*(s_Irr!H17+s_Irr!BD17)),IF(AND(s_Irr!H17=".",s_Irr!AF17&lt;&gt;".",s_Irr!BD17&lt;&gt;"."),s_dir!I17/((1/1000)*(s_Irr!AF17+s_Irr!BD17)),IF(AND(s_Irr!H17=".",s_Irr!AF17=".",s_Irr!BD17&lt;&gt;"."),s_dir!I17/((1/1000)*(s_Irr!BD17)),IF(AND(s_Irr!H17=".",s_Irr!AF17&lt;&gt;".",s_Irr!BD17="."),s_dir!I17/((1/1000)*(s_Irr!AF17)),IF(AND(s_Irr!H17&lt;&gt;".",s_Irr!AF17=".",s_Irr!BD17="."),s_dir!I17/((1/1000)*(s_Irr!H17)),IF(AND(s_Irr!H17=".",s_Irr!AF17=".",s_Irr!BD17="."),s_dir!I17*1000)))))))),".")</f>
        <v>162713.28367584149</v>
      </c>
      <c r="J17" s="48">
        <f>IFERROR(IF(AND(s_Irr!I17&lt;&gt;".",s_Irr!AG17&lt;&gt;".",s_Irr!BE17&lt;&gt;"."),s_dir!J17/((1/1000)*(s_Irr!I17+s_Irr!AG17+s_Irr!BE17)),IF(AND(s_Irr!I17&lt;&gt;".",s_Irr!AG17&lt;&gt;".",s_Irr!BE17="."),s_dir!J17/((1/1000)*(s_Irr!I17+s_Irr!AG17)),IF(AND(s_Irr!I17&lt;&gt;".",s_Irr!AG17=".",s_Irr!BE17&lt;&gt;"."),s_dir!J17/((1/1000)*(s_Irr!I17+s_Irr!BE17)),IF(AND(s_Irr!I17=".",s_Irr!AG17&lt;&gt;".",s_Irr!BE17&lt;&gt;"."),s_dir!J17/((1/1000)*(s_Irr!AG17+s_Irr!BE17)),IF(AND(s_Irr!I17=".",s_Irr!AG17=".",s_Irr!BE17&lt;&gt;"."),s_dir!J17/((1/1000)*(s_Irr!BE17)),IF(AND(s_Irr!I17=".",s_Irr!AG17&lt;&gt;".",s_Irr!BE17="."),s_dir!J17/((1/1000)*(s_Irr!AG17)),IF(AND(s_Irr!I17&lt;&gt;".",s_Irr!AG17=".",s_Irr!BE17="."),s_dir!J17/((1/1000)*(s_Irr!I17)),IF(AND(s_Irr!I17=".",s_Irr!AG17=".",s_Irr!BE17="."),s_dir!J17*1000)))))))),".")</f>
        <v>305895.50253913185</v>
      </c>
      <c r="K17" s="48">
        <f>IFERROR(IF(AND(s_Irr!J17&lt;&gt;".",s_Irr!AH17&lt;&gt;".",s_Irr!BF17&lt;&gt;"."),s_dir!K17/((1/1000)*(s_Irr!J17+s_Irr!AH17+s_Irr!BF17)),IF(AND(s_Irr!J17&lt;&gt;".",s_Irr!AH17&lt;&gt;".",s_Irr!BF17="."),s_dir!K17/((1/1000)*(s_Irr!J17+s_Irr!AH17)),IF(AND(s_Irr!J17&lt;&gt;".",s_Irr!AH17=".",s_Irr!BF17&lt;&gt;"."),s_dir!K17/((1/1000)*(s_Irr!J17+s_Irr!BF17)),IF(AND(s_Irr!J17=".",s_Irr!AH17&lt;&gt;".",s_Irr!BF17&lt;&gt;"."),s_dir!K17/((1/1000)*(s_Irr!AH17+s_Irr!BF17)),IF(AND(s_Irr!J17=".",s_Irr!AH17=".",s_Irr!BF17&lt;&gt;"."),s_dir!K17/((1/1000)*(s_Irr!BF17)),IF(AND(s_Irr!J17=".",s_Irr!AH17&lt;&gt;".",s_Irr!BF17="."),s_dir!K17/((1/1000)*(s_Irr!AH17)),IF(AND(s_Irr!J17&lt;&gt;".",s_Irr!AH17=".",s_Irr!BF17="."),s_dir!K17/((1/1000)*(s_Irr!J17)),IF(AND(s_Irr!J17=".",s_Irr!AH17=".",s_Irr!BF17="."),s_dir!K17*1000)))))))),".")</f>
        <v>328104.82684958377</v>
      </c>
      <c r="L17" s="48">
        <f>IFERROR(IF(AND(s_Irr!K17&lt;&gt;".",s_Irr!AI17&lt;&gt;".",s_Irr!BG17&lt;&gt;"."),s_dir!L17/((1/1000)*(s_Irr!K17+s_Irr!AI17+s_Irr!BG17)),IF(AND(s_Irr!K17&lt;&gt;".",s_Irr!AI17&lt;&gt;".",s_Irr!BG17="."),s_dir!L17/((1/1000)*(s_Irr!K17+s_Irr!AI17)),IF(AND(s_Irr!K17&lt;&gt;".",s_Irr!AI17=".",s_Irr!BG17&lt;&gt;"."),s_dir!L17/((1/1000)*(s_Irr!K17+s_Irr!BG17)),IF(AND(s_Irr!K17=".",s_Irr!AI17&lt;&gt;".",s_Irr!BG17&lt;&gt;"."),s_dir!L17/((1/1000)*(s_Irr!AI17+s_Irr!BG17)),IF(AND(s_Irr!K17=".",s_Irr!AI17=".",s_Irr!BG17&lt;&gt;"."),s_dir!L17/((1/1000)*(s_Irr!BG17)),IF(AND(s_Irr!K17=".",s_Irr!AI17&lt;&gt;".",s_Irr!BG17="."),s_dir!L17/((1/1000)*(s_Irr!AI17)),IF(AND(s_Irr!K17&lt;&gt;".",s_Irr!AI17=".",s_Irr!BG17="."),s_dir!L17/((1/1000)*(s_Irr!K17)),IF(AND(s_Irr!K17=".",s_Irr!AI17=".",s_Irr!BG17="."),s_dir!L17*1000)))))))),".")</f>
        <v>376173.62505372323</v>
      </c>
      <c r="M17" s="48">
        <f>IFERROR(IF(AND(s_Irr!L17&lt;&gt;".",s_Irr!AJ17&lt;&gt;".",s_Irr!BH17&lt;&gt;"."),s_dir!M17/((1/1000)*(s_Irr!L17+s_Irr!AJ17+s_Irr!BH17)),IF(AND(s_Irr!L17&lt;&gt;".",s_Irr!AJ17&lt;&gt;".",s_Irr!BH17="."),s_dir!M17/((1/1000)*(s_Irr!L17+s_Irr!AJ17)),IF(AND(s_Irr!L17&lt;&gt;".",s_Irr!AJ17=".",s_Irr!BH17&lt;&gt;"."),s_dir!M17/((1/1000)*(s_Irr!L17+s_Irr!BH17)),IF(AND(s_Irr!L17=".",s_Irr!AJ17&lt;&gt;".",s_Irr!BH17&lt;&gt;"."),s_dir!M17/((1/1000)*(s_Irr!AJ17+s_Irr!BH17)),IF(AND(s_Irr!L17=".",s_Irr!AJ17=".",s_Irr!BH17&lt;&gt;"."),s_dir!M17/((1/1000)*(s_Irr!BH17)),IF(AND(s_Irr!L17=".",s_Irr!AJ17&lt;&gt;".",s_Irr!BH17="."),s_dir!M17/((1/1000)*(s_Irr!AJ17)),IF(AND(s_Irr!L17&lt;&gt;".",s_Irr!AJ17=".",s_Irr!BH17="."),s_dir!M17/((1/1000)*(s_Irr!L17)),IF(AND(s_Irr!L17=".",s_Irr!AJ17=".",s_Irr!BH17="."),s_dir!M17*1000)))))))),".")</f>
        <v>305895.50253913185</v>
      </c>
      <c r="N17" s="48">
        <f>IFERROR(IF(AND(s_Irr!M17&lt;&gt;".",s_Irr!AK17&lt;&gt;".",s_Irr!BI17&lt;&gt;"."),s_dir!N17/((1/1000)*(s_Irr!M17+s_Irr!AK17+s_Irr!BI17)),IF(AND(s_Irr!M17&lt;&gt;".",s_Irr!AK17&lt;&gt;".",s_Irr!BI17="."),s_dir!N17/((1/1000)*(s_Irr!M17+s_Irr!AK17)),IF(AND(s_Irr!M17&lt;&gt;".",s_Irr!AK17=".",s_Irr!BI17&lt;&gt;"."),s_dir!N17/((1/1000)*(s_Irr!M17+s_Irr!BI17)),IF(AND(s_Irr!M17=".",s_Irr!AK17&lt;&gt;".",s_Irr!BI17&lt;&gt;"."),s_dir!N17/((1/1000)*(s_Irr!AK17+s_Irr!BI17)),IF(AND(s_Irr!M17=".",s_Irr!AK17=".",s_Irr!BI17&lt;&gt;"."),s_dir!N17/((1/1000)*(s_Irr!BI17)),IF(AND(s_Irr!M17=".",s_Irr!AK17&lt;&gt;".",s_Irr!BI17="."),s_dir!N17/((1/1000)*(s_Irr!AK17)),IF(AND(s_Irr!M17&lt;&gt;".",s_Irr!AK17=".",s_Irr!BI17="."),s_dir!N17/((1/1000)*(s_Irr!M17)),IF(AND(s_Irr!M17=".",s_Irr!AK17=".",s_Irr!BI17="."),s_dir!N17*1000)))))))),".")</f>
        <v>162713.28367584149</v>
      </c>
      <c r="O17" s="48">
        <f>IFERROR(IF(AND(s_Irr!N17&lt;&gt;".",s_Irr!AL17&lt;&gt;".",s_Irr!BJ17&lt;&gt;"."),s_dir!O17/((1/1000)*(s_Irr!N17+s_Irr!AL17+s_Irr!BJ17)),IF(AND(s_Irr!N17&lt;&gt;".",s_Irr!AL17&lt;&gt;".",s_Irr!BJ17="."),s_dir!O17/((1/1000)*(s_Irr!N17+s_Irr!AL17)),IF(AND(s_Irr!N17&lt;&gt;".",s_Irr!AL17=".",s_Irr!BJ17&lt;&gt;"."),s_dir!O17/((1/1000)*(s_Irr!N17+s_Irr!BJ17)),IF(AND(s_Irr!N17=".",s_Irr!AL17&lt;&gt;".",s_Irr!BJ17&lt;&gt;"."),s_dir!O17/((1/1000)*(s_Irr!AL17+s_Irr!BJ17)),IF(AND(s_Irr!N17=".",s_Irr!AL17=".",s_Irr!BJ17&lt;&gt;"."),s_dir!O17/((1/1000)*(s_Irr!BJ17)),IF(AND(s_Irr!N17=".",s_Irr!AL17&lt;&gt;".",s_Irr!BJ17="."),s_dir!O17/((1/1000)*(s_Irr!AL17)),IF(AND(s_Irr!N17&lt;&gt;".",s_Irr!AL17=".",s_Irr!BJ17="."),s_dir!O17/((1/1000)*(s_Irr!N17)),IF(AND(s_Irr!N17=".",s_Irr!AL17=".",s_Irr!BJ17="."),s_dir!O17*1000)))))))),".")</f>
        <v>352137.5180770717</v>
      </c>
      <c r="P17" s="48">
        <f>IFERROR(IF(AND(s_Irr!O17&lt;&gt;".",s_Irr!AM17&lt;&gt;".",s_Irr!BK17&lt;&gt;"."),s_dir!P17/((1/1000)*(s_Irr!O17+s_Irr!AM17+s_Irr!BK17)),IF(AND(s_Irr!O17&lt;&gt;".",s_Irr!AM17&lt;&gt;".",s_Irr!BK17="."),s_dir!P17/((1/1000)*(s_Irr!O17+s_Irr!AM17)),IF(AND(s_Irr!O17&lt;&gt;".",s_Irr!AM17=".",s_Irr!BK17&lt;&gt;"."),s_dir!P17/((1/1000)*(s_Irr!O17+s_Irr!BK17)),IF(AND(s_Irr!O17=".",s_Irr!AM17&lt;&gt;".",s_Irr!BK17&lt;&gt;"."),s_dir!P17/((1/1000)*(s_Irr!AM17+s_Irr!BK17)),IF(AND(s_Irr!O17=".",s_Irr!AM17=".",s_Irr!BK17&lt;&gt;"."),s_dir!P17/((1/1000)*(s_Irr!BK17)),IF(AND(s_Irr!O17=".",s_Irr!AM17&lt;&gt;".",s_Irr!BK17="."),s_dir!P17/((1/1000)*(s_Irr!AM17)),IF(AND(s_Irr!O17&lt;&gt;".",s_Irr!AM17=".",s_Irr!BK17="."),s_dir!P17/((1/1000)*(s_Irr!O17)),IF(AND(s_Irr!O17=".",s_Irr!AM17=".",s_Irr!BK17="."),s_dir!P17*1000)))))))),".")</f>
        <v>305895.50253913185</v>
      </c>
      <c r="Q17" s="48">
        <f>IFERROR(IF(AND(s_Irr!P17&lt;&gt;".",s_Irr!AN17&lt;&gt;".",s_Irr!BL17&lt;&gt;"."),s_dir!Q17/((1/1000)*(s_Irr!P17+s_Irr!AN17+s_Irr!BL17)),IF(AND(s_Irr!P17&lt;&gt;".",s_Irr!AN17&lt;&gt;".",s_Irr!BL17="."),s_dir!Q17/((1/1000)*(s_Irr!P17+s_Irr!AN17)),IF(AND(s_Irr!P17&lt;&gt;".",s_Irr!AN17=".",s_Irr!BL17&lt;&gt;"."),s_dir!Q17/((1/1000)*(s_Irr!P17+s_Irr!BL17)),IF(AND(s_Irr!P17=".",s_Irr!AN17&lt;&gt;".",s_Irr!BL17&lt;&gt;"."),s_dir!Q17/((1/1000)*(s_Irr!AN17+s_Irr!BL17)),IF(AND(s_Irr!P17=".",s_Irr!AN17=".",s_Irr!BL17&lt;&gt;"."),s_dir!Q17/((1/1000)*(s_Irr!BL17)),IF(AND(s_Irr!P17=".",s_Irr!AN17&lt;&gt;".",s_Irr!BL17="."),s_dir!Q17/((1/1000)*(s_Irr!AN17)),IF(AND(s_Irr!P17&lt;&gt;".",s_Irr!AN17=".",s_Irr!BL17="."),s_dir!Q17/((1/1000)*(s_Irr!P17)),IF(AND(s_Irr!P17=".",s_Irr!AN17=".",s_Irr!BL17="."),s_dir!Q17*1000)))))))),".")</f>
        <v>305895.50253913185</v>
      </c>
      <c r="R17" s="48">
        <f>IFERROR(IF(AND(s_Irr!Q17&lt;&gt;".",s_Irr!AO17&lt;&gt;".",s_Irr!BM17&lt;&gt;"."),s_dir!R17/((1/1000)*(s_Irr!Q17+s_Irr!AO17+s_Irr!BM17)),IF(AND(s_Irr!Q17&lt;&gt;".",s_Irr!AO17&lt;&gt;".",s_Irr!BM17="."),s_dir!R17/((1/1000)*(s_Irr!Q17+s_Irr!AO17)),IF(AND(s_Irr!Q17&lt;&gt;".",s_Irr!AO17=".",s_Irr!BM17&lt;&gt;"."),s_dir!R17/((1/1000)*(s_Irr!Q17+s_Irr!BM17)),IF(AND(s_Irr!Q17=".",s_Irr!AO17&lt;&gt;".",s_Irr!BM17&lt;&gt;"."),s_dir!R17/((1/1000)*(s_Irr!AO17+s_Irr!BM17)),IF(AND(s_Irr!Q17=".",s_Irr!AO17=".",s_Irr!BM17&lt;&gt;"."),s_dir!R17/((1/1000)*(s_Irr!BM17)),IF(AND(s_Irr!Q17=".",s_Irr!AO17&lt;&gt;".",s_Irr!BM17="."),s_dir!R17/((1/1000)*(s_Irr!AO17)),IF(AND(s_Irr!Q17&lt;&gt;".",s_Irr!AO17=".",s_Irr!BM17="."),s_dir!R17/((1/1000)*(s_Irr!Q17)),IF(AND(s_Irr!Q17=".",s_Irr!AO17=".",s_Irr!BM17="."),s_dir!R17*1000)))))))),".")</f>
        <v>328104.82684958377</v>
      </c>
      <c r="S17" s="48">
        <f>IFERROR(IF(AND(s_Irr!R17&lt;&gt;".",s_Irr!AP17&lt;&gt;".",s_Irr!BN17&lt;&gt;"."),s_dir!S17/((1/1000)*(s_Irr!R17+s_Irr!AP17+s_Irr!BN17)),IF(AND(s_Irr!R17&lt;&gt;".",s_Irr!AP17&lt;&gt;".",s_Irr!BN17="."),s_dir!S17/((1/1000)*(s_Irr!R17+s_Irr!AP17)),IF(AND(s_Irr!R17&lt;&gt;".",s_Irr!AP17=".",s_Irr!BN17&lt;&gt;"."),s_dir!S17/((1/1000)*(s_Irr!R17+s_Irr!BN17)),IF(AND(s_Irr!R17=".",s_Irr!AP17&lt;&gt;".",s_Irr!BN17&lt;&gt;"."),s_dir!S17/((1/1000)*(s_Irr!AP17+s_Irr!BN17)),IF(AND(s_Irr!R17=".",s_Irr!AP17=".",s_Irr!BN17&lt;&gt;"."),s_dir!S17/((1/1000)*(s_Irr!BN17)),IF(AND(s_Irr!R17=".",s_Irr!AP17&lt;&gt;".",s_Irr!BN17="."),s_dir!S17/((1/1000)*(s_Irr!AP17)),IF(AND(s_Irr!R17&lt;&gt;".",s_Irr!AP17=".",s_Irr!BN17="."),s_dir!S17/((1/1000)*(s_Irr!R17)),IF(AND(s_Irr!R17=".",s_Irr!AP17=".",s_Irr!BN17="."),s_dir!S17*1000)))))))),".")</f>
        <v>328104.82684958377</v>
      </c>
      <c r="T17" s="48">
        <f>IFERROR(IF(AND(s_Irr!S17&lt;&gt;".",s_Irr!AQ17&lt;&gt;".",s_Irr!BO17&lt;&gt;"."),s_dir!T17/((1/1000)*(s_Irr!S17+s_Irr!AQ17+s_Irr!BO17)),IF(AND(s_Irr!S17&lt;&gt;".",s_Irr!AQ17&lt;&gt;".",s_Irr!BO17="."),s_dir!T17/((1/1000)*(s_Irr!S17+s_Irr!AQ17)),IF(AND(s_Irr!S17&lt;&gt;".",s_Irr!AQ17=".",s_Irr!BO17&lt;&gt;"."),s_dir!T17/((1/1000)*(s_Irr!S17+s_Irr!BO17)),IF(AND(s_Irr!S17=".",s_Irr!AQ17&lt;&gt;".",s_Irr!BO17&lt;&gt;"."),s_dir!T17/((1/1000)*(s_Irr!AQ17+s_Irr!BO17)),IF(AND(s_Irr!S17=".",s_Irr!AQ17=".",s_Irr!BO17&lt;&gt;"."),s_dir!T17/((1/1000)*(s_Irr!BO17)),IF(AND(s_Irr!S17=".",s_Irr!AQ17&lt;&gt;".",s_Irr!BO17="."),s_dir!T17/((1/1000)*(s_Irr!AQ17)),IF(AND(s_Irr!S17&lt;&gt;".",s_Irr!AQ17=".",s_Irr!BO17="."),s_dir!T17/((1/1000)*(s_Irr!S17)),IF(AND(s_Irr!S17=".",s_Irr!AQ17=".",s_Irr!BO17="."),s_dir!T17*1000)))))))),".")</f>
        <v>352137.5180770717</v>
      </c>
      <c r="U17" s="48">
        <f>IFERROR(IF(AND(s_Irr!T17&lt;&gt;".",s_Irr!AR17&lt;&gt;".",s_Irr!BP17&lt;&gt;"."),s_dir!U17/((1/1000)*(s_Irr!T17+s_Irr!AR17+s_Irr!BP17)),IF(AND(s_Irr!T17&lt;&gt;".",s_Irr!AR17&lt;&gt;".",s_Irr!BP17="."),s_dir!U17/((1/1000)*(s_Irr!T17+s_Irr!AR17)),IF(AND(s_Irr!T17&lt;&gt;".",s_Irr!AR17=".",s_Irr!BP17&lt;&gt;"."),s_dir!U17/((1/1000)*(s_Irr!T17+s_Irr!BP17)),IF(AND(s_Irr!T17=".",s_Irr!AR17&lt;&gt;".",s_Irr!BP17&lt;&gt;"."),s_dir!U17/((1/1000)*(s_Irr!AR17+s_Irr!BP17)),IF(AND(s_Irr!T17=".",s_Irr!AR17=".",s_Irr!BP17&lt;&gt;"."),s_dir!U17/((1/1000)*(s_Irr!BP17)),IF(AND(s_Irr!T17=".",s_Irr!AR17&lt;&gt;".",s_Irr!BP17="."),s_dir!U17/((1/1000)*(s_Irr!AR17)),IF(AND(s_Irr!T17&lt;&gt;".",s_Irr!AR17=".",s_Irr!BP17="."),s_dir!U17/((1/1000)*(s_Irr!T17)),IF(AND(s_Irr!T17=".",s_Irr!AR17=".",s_Irr!BP17="."),s_dir!U17*1000)))))))),".")</f>
        <v>374304.17486279918</v>
      </c>
      <c r="V17" s="48">
        <f>IFERROR(IF(AND(s_Irr!U17&lt;&gt;".",s_Irr!AS17&lt;&gt;".",s_Irr!BQ17&lt;&gt;"."),s_dir!V17/((1/1000)*(s_Irr!U17+s_Irr!AS17+s_Irr!BQ17)),IF(AND(s_Irr!U17&lt;&gt;".",s_Irr!AS17&lt;&gt;".",s_Irr!BQ17="."),s_dir!V17/((1/1000)*(s_Irr!U17+s_Irr!AS17)),IF(AND(s_Irr!U17&lt;&gt;".",s_Irr!AS17=".",s_Irr!BQ17&lt;&gt;"."),s_dir!V17/((1/1000)*(s_Irr!U17+s_Irr!BQ17)),IF(AND(s_Irr!U17=".",s_Irr!AS17&lt;&gt;".",s_Irr!BQ17&lt;&gt;"."),s_dir!V17/((1/1000)*(s_Irr!AS17+s_Irr!BQ17)),IF(AND(s_Irr!U17=".",s_Irr!AS17=".",s_Irr!BQ17&lt;&gt;"."),s_dir!V17/((1/1000)*(s_Irr!BQ17)),IF(AND(s_Irr!U17=".",s_Irr!AS17&lt;&gt;".",s_Irr!BQ17="."),s_dir!V17/((1/1000)*(s_Irr!AS17)),IF(AND(s_Irr!U17&lt;&gt;".",s_Irr!AS17=".",s_Irr!BQ17="."),s_dir!V17/((1/1000)*(s_Irr!U17)),IF(AND(s_Irr!U17=".",s_Irr!AS17=".",s_Irr!BQ17="."),s_dir!V17*1000)))))))),".")</f>
        <v>305895.50253913185</v>
      </c>
      <c r="W17" s="48">
        <f>IFERROR(IF(AND(s_Irr!V17&lt;&gt;".",s_Irr!AT17&lt;&gt;".",s_Irr!BR17&lt;&gt;"."),s_dir!W17/((1/1000)*(s_Irr!V17+s_Irr!AT17+s_Irr!BR17)),IF(AND(s_Irr!V17&lt;&gt;".",s_Irr!AT17&lt;&gt;".",s_Irr!BR17="."),s_dir!W17/((1/1000)*(s_Irr!V17+s_Irr!AT17)),IF(AND(s_Irr!V17&lt;&gt;".",s_Irr!AT17=".",s_Irr!BR17&lt;&gt;"."),s_dir!W17/((1/1000)*(s_Irr!V17+s_Irr!BR17)),IF(AND(s_Irr!V17=".",s_Irr!AT17&lt;&gt;".",s_Irr!BR17&lt;&gt;"."),s_dir!W17/((1/1000)*(s_Irr!AT17+s_Irr!BR17)),IF(AND(s_Irr!V17=".",s_Irr!AT17=".",s_Irr!BR17&lt;&gt;"."),s_dir!W17/((1/1000)*(s_Irr!BR17)),IF(AND(s_Irr!V17=".",s_Irr!AT17&lt;&gt;".",s_Irr!BR17="."),s_dir!W17/((1/1000)*(s_Irr!AT17)),IF(AND(s_Irr!V17&lt;&gt;".",s_Irr!AT17=".",s_Irr!BR17="."),s_dir!W17/((1/1000)*(s_Irr!V17)),IF(AND(s_Irr!V17=".",s_Irr!AT17=".",s_Irr!BR17="."),s_dir!W17*1000)))))))),".")</f>
        <v>352137.5180770717</v>
      </c>
      <c r="X17" s="48">
        <f>IFERROR(IF(AND(s_Irr!W17&lt;&gt;".",s_Irr!AU17&lt;&gt;".",s_Irr!BS17&lt;&gt;"."),s_dir!X17/((1/1000)*(s_Irr!W17+s_Irr!AU17+s_Irr!BS17)),IF(AND(s_Irr!W17&lt;&gt;".",s_Irr!AU17&lt;&gt;".",s_Irr!BS17="."),s_dir!X17/((1/1000)*(s_Irr!W17+s_Irr!AU17)),IF(AND(s_Irr!W17&lt;&gt;".",s_Irr!AU17=".",s_Irr!BS17&lt;&gt;"."),s_dir!X17/((1/1000)*(s_Irr!W17+s_Irr!BS17)),IF(AND(s_Irr!W17=".",s_Irr!AU17&lt;&gt;".",s_Irr!BS17&lt;&gt;"."),s_dir!X17/((1/1000)*(s_Irr!AU17+s_Irr!BS17)),IF(AND(s_Irr!W17=".",s_Irr!AU17=".",s_Irr!BS17&lt;&gt;"."),s_dir!X17/((1/1000)*(s_Irr!BS17)),IF(AND(s_Irr!W17=".",s_Irr!AU17&lt;&gt;".",s_Irr!BS17="."),s_dir!X17/((1/1000)*(s_Irr!AU17)),IF(AND(s_Irr!W17&lt;&gt;".",s_Irr!AU17=".",s_Irr!BS17="."),s_dir!X17/((1/1000)*(s_Irr!W17)),IF(AND(s_Irr!W17=".",s_Irr!AU17=".",s_Irr!BS17="."),s_dir!X17*1000)))))))),".")</f>
        <v>328104.82684958377</v>
      </c>
      <c r="Y17" s="48">
        <f>IFERROR(IF(AND(s_Irr!X17&lt;&gt;".",s_Irr!AV17&lt;&gt;".",s_Irr!BT17&lt;&gt;"."),s_dir!Y17/((1/1000)*(s_Irr!X17+s_Irr!AV17+s_Irr!BT17)),IF(AND(s_Irr!X17&lt;&gt;".",s_Irr!AV17&lt;&gt;".",s_Irr!BT17="."),s_dir!Y17/((1/1000)*(s_Irr!X17+s_Irr!AV17)),IF(AND(s_Irr!X17&lt;&gt;".",s_Irr!AV17=".",s_Irr!BT17&lt;&gt;"."),s_dir!Y17/((1/1000)*(s_Irr!X17+s_Irr!BT17)),IF(AND(s_Irr!X17=".",s_Irr!AV17&lt;&gt;".",s_Irr!BT17&lt;&gt;"."),s_dir!Y17/((1/1000)*(s_Irr!AV17+s_Irr!BT17)),IF(AND(s_Irr!X17=".",s_Irr!AV17=".",s_Irr!BT17&lt;&gt;"."),s_dir!Y17/((1/1000)*(s_Irr!BT17)),IF(AND(s_Irr!X17=".",s_Irr!AV17&lt;&gt;".",s_Irr!BT17="."),s_dir!Y17/((1/1000)*(s_Irr!AV17)),IF(AND(s_Irr!X17&lt;&gt;".",s_Irr!AV17=".",s_Irr!BT17="."),s_dir!Y17/((1/1000)*(s_Irr!X17)),IF(AND(s_Irr!X17=".",s_Irr!AV17=".",s_Irr!BT17="."),s_dir!Y17*1000)))))))),".")</f>
        <v>305895.50253913185</v>
      </c>
      <c r="Z17" s="48">
        <f>IFERROR(IF(AND(s_Irr!Y17&lt;&gt;".",s_Irr!AW17&lt;&gt;".",s_Irr!BU17&lt;&gt;"."),s_dir!Z17/((1/1000)*(s_Irr!Y17+s_Irr!AW17+s_Irr!BU17)),IF(AND(s_Irr!Y17&lt;&gt;".",s_Irr!AW17&lt;&gt;".",s_Irr!BU17="."),s_dir!Z17/((1/1000)*(s_Irr!Y17+s_Irr!AW17)),IF(AND(s_Irr!Y17&lt;&gt;".",s_Irr!AW17=".",s_Irr!BU17&lt;&gt;"."),s_dir!Z17/((1/1000)*(s_Irr!Y17+s_Irr!BU17)),IF(AND(s_Irr!Y17=".",s_Irr!AW17&lt;&gt;".",s_Irr!BU17&lt;&gt;"."),s_dir!Z17/((1/1000)*(s_Irr!AW17+s_Irr!BU17)),IF(AND(s_Irr!Y17=".",s_Irr!AW17=".",s_Irr!BU17&lt;&gt;"."),s_dir!Z17/((1/1000)*(s_Irr!BU17)),IF(AND(s_Irr!Y17=".",s_Irr!AW17&lt;&gt;".",s_Irr!BU17="."),s_dir!Z17/((1/1000)*(s_Irr!AW17)),IF(AND(s_Irr!Y17&lt;&gt;".",s_Irr!AW17=".",s_Irr!BU17="."),s_dir!Z17/((1/1000)*(s_Irr!Y17)),IF(AND(s_Irr!Y17=".",s_Irr!AW17=".",s_Irr!BU17="."),s_dir!Z17*1000)))))))),".")</f>
        <v>381960.27974910411</v>
      </c>
      <c r="AA17" s="48">
        <f>IFERROR(IF(AND(s_Irr!Z17&lt;&gt;".",s_Irr!AX17&lt;&gt;".",s_Irr!BV17&lt;&gt;"."),s_dir!AA17/((1/1000)*(s_Irr!Z17+s_Irr!AX17+s_Irr!BV17)),IF(AND(s_Irr!Z17&lt;&gt;".",s_Irr!AX17&lt;&gt;".",s_Irr!BV17="."),s_dir!AA17/((1/1000)*(s_Irr!Z17+s_Irr!AX17)),IF(AND(s_Irr!Z17&lt;&gt;".",s_Irr!AX17=".",s_Irr!BV17&lt;&gt;"."),s_dir!AA17/((1/1000)*(s_Irr!Z17+s_Irr!BV17)),IF(AND(s_Irr!Z17=".",s_Irr!AX17&lt;&gt;".",s_Irr!BV17&lt;&gt;"."),s_dir!AA17/((1/1000)*(s_Irr!AX17+s_Irr!BV17)),IF(AND(s_Irr!Z17=".",s_Irr!AX17=".",s_Irr!BV17&lt;&gt;"."),s_dir!AA17/((1/1000)*(s_Irr!BV17)),IF(AND(s_Irr!Z17=".",s_Irr!AX17&lt;&gt;".",s_Irr!BV17="."),s_dir!AA17/((1/1000)*(s_Irr!AX17)),IF(AND(s_Irr!Z17&lt;&gt;".",s_Irr!AX17=".",s_Irr!BV17="."),s_dir!AA17/((1/1000)*(s_Irr!Z17)),IF(AND(s_Irr!Z17=".",s_Irr!AX17=".",s_Irr!BV17="."),s_dir!AA17*1000)))))))),".")</f>
        <v>323408.6559898844</v>
      </c>
      <c r="AB17" s="62">
        <f t="shared" si="3"/>
        <v>297.36326528037273</v>
      </c>
      <c r="AC17" s="62">
        <f>IFERROR(s_C*s_IFAP_res_adj*s_CF_apple*0.001*(s_Irr!C17+s_Irr!AA17+s_Irr!AY17),".")</f>
        <v>103.48385260743784</v>
      </c>
      <c r="AD17" s="62">
        <f>IFERROR(s_C*s_IFAS_res_adj*s_CF_asparagus*0.001*(s_Irr!D17+s_Irr!AB17+s_Irr!AZ17),".")</f>
        <v>208.67104869651413</v>
      </c>
      <c r="AE17" s="62">
        <f>IFERROR(s_C*s_IFBT_res_adj*s_CF_beet*0.001*(s_Irr!E17+s_Irr!AC17+s_Irr!BA17),".")</f>
        <v>110.99722375665758</v>
      </c>
      <c r="AF17" s="62">
        <f>IFERROR(s_C*s_IFBE_res_adj*s_CF_berries*0.001*(s_Irr!F17+s_Irr!AD17+s_Irr!BB17),".")</f>
        <v>103.48385260743784</v>
      </c>
      <c r="AG17" s="62">
        <f>IFERROR(s_C*s_IFBR_res_adj*s_CF_broccoli*0.001*(s_Irr!G17+s_Irr!AE17+s_Irr!BC17),".")</f>
        <v>110.99722375665758</v>
      </c>
      <c r="AH17" s="62">
        <f>IFERROR(s_C*s_IFCB_res_adj*s_CF_cabbage*0.001*(s_Irr!H17+s_Irr!AF17+s_Irr!BD17),".")</f>
        <v>208.67104869651413</v>
      </c>
      <c r="AI17" s="62">
        <f>IFERROR(s_C*s_IFCR_res_adj*s_CF_carrot*0.001*(s_Irr!I17+s_Irr!AG17+s_Irr!BE17),".")</f>
        <v>110.99722375665758</v>
      </c>
      <c r="AJ17" s="62">
        <f>IFERROR(s_C*s_IFCI_res_adj*s_CF_citrus*0.001*(s_Irr!J17+s_Irr!AH17+s_Irr!BF17),".")</f>
        <v>103.48385260743784</v>
      </c>
      <c r="AK17" s="62">
        <f>IFERROR(s_C*s_IFCO_res_adj*s_CF_corn*0.001*(s_Irr!K17+s_Irr!AI17+s_Irr!BG17),".")</f>
        <v>90.260319384811112</v>
      </c>
      <c r="AL17" s="62">
        <f>IFERROR(s_C*s_IFCU_res_adj*s_CF_cucumber*0.001*(s_Irr!L17+s_Irr!AJ17+s_Irr!BH17),".")</f>
        <v>110.99722375665758</v>
      </c>
      <c r="AM17" s="62">
        <f>IFERROR(s_C*s_IFLE_res_adj*s_CF_lettuce*0.001*(s_Irr!M17+s_Irr!AK17+s_Irr!BI17),".")</f>
        <v>208.67104869651413</v>
      </c>
      <c r="AN17" s="62">
        <f>IFERROR(s_C*s_IFLI_res_adj*s_CF_lima_bean*0.001*(s_Irr!N17+s_Irr!AL17+s_Irr!BJ17),".")</f>
        <v>96.421283727171286</v>
      </c>
      <c r="AO17" s="62">
        <f>IFERROR(s_C*s_IFOK_res_adj*s_CF_okra*0.001*(s_Irr!O17+s_Irr!AM17+s_Irr!BK17),".")</f>
        <v>110.99722375665758</v>
      </c>
      <c r="AP17" s="62">
        <f>IFERROR(s_C*s_IFON_res_adj*s_CF_onion*0.001*(s_Irr!P17+s_Irr!AN17+s_Irr!BL17),".")</f>
        <v>110.99722375665758</v>
      </c>
      <c r="AQ17" s="62">
        <f>IFERROR(s_C*s_IFPC_res_adj*s_CF_peach*0.001*(s_Irr!Q17+s_Irr!AO17+s_Irr!BM17),".")</f>
        <v>103.48385260743784</v>
      </c>
      <c r="AR17" s="62">
        <f>IFERROR(s_C*s_IFPR_res_adj*s_CF_pear*0.001*(s_Irr!R17+s_Irr!AP17+s_Irr!BN17),".")</f>
        <v>103.48385260743784</v>
      </c>
      <c r="AS17" s="62">
        <f>IFERROR(s_C*s_IFPE_res_adj*s_CF_peas*0.001*(s_Irr!S17+s_Irr!AQ17+s_Irr!BO17),".")</f>
        <v>96.421283727171286</v>
      </c>
      <c r="AT17" s="62">
        <f>IFERROR(s_C*s_IFPT_res_adj*s_CF_potato*0.001*(s_Irr!T17+s_Irr!AR17+s_Irr!BP17),".")</f>
        <v>90.711121653764295</v>
      </c>
      <c r="AU17" s="62">
        <f>IFERROR(s_C*s_IFPU_res_adj*s_CF_pumpkin*0.001*(s_Irr!U17+s_Irr!AS17+s_Irr!BQ17),".")</f>
        <v>110.99722375665758</v>
      </c>
      <c r="AV17" s="62">
        <f>IFERROR(s_C*s_IFSN_res_adj*s_CF_snap_bean*0.001*(s_Irr!V17+s_Irr!AT17+s_Irr!BR17),".")</f>
        <v>96.421283727171286</v>
      </c>
      <c r="AW17" s="62">
        <f>IFERROR(s_C*s_IFST_res_adj*s_CF_strawberry*0.001*(s_Irr!W17+s_Irr!AU17+s_Irr!BS17),".")</f>
        <v>103.48385260743784</v>
      </c>
      <c r="AX17" s="62">
        <f>IFERROR(s_C*s_IFTO_res_adj*s_CF_tomato*0.001*(s_Irr!X17+s_Irr!AV17+s_Irr!BT17),".")</f>
        <v>110.99722375665758</v>
      </c>
      <c r="AY17" s="62">
        <f>IFERROR(s_C*s_IFRI_res_adj*s_CF_rice*0.001*(s_Irr!Y17+s_Irr!AW17+s_Irr!BU17),".")</f>
        <v>88.892885835653118</v>
      </c>
      <c r="AZ17" s="62">
        <f>IFERROR(s_C*s_IFCG_res_adj*s_CF_cereal*0.001*(s_Irr!Z17+s_Irr!AX17+s_Irr!BV17),".")</f>
        <v>104.98652683728179</v>
      </c>
      <c r="BA17" s="48">
        <f t="shared" si="0"/>
        <v>114182.06451788083</v>
      </c>
      <c r="BB17" s="48">
        <f>IFERROR(IF(AND(s_Irr!C17&lt;&gt;".",s_Irr!AA17&lt;&gt;".",s_Irr!AY17&lt;&gt;"."),s_dir!AC17/((1/1000)*(s_Irr!C17+s_Irr!AA17+s_Irr!AY17)),IF(AND(s_Irr!C17&lt;&gt;".",s_Irr!AA17&lt;&gt;".",s_Irr!AY17="."),s_dir!AC17/((1/1000)*(s_Irr!C17+s_Irr!AA17)),IF(AND(s_Irr!C17&lt;&gt;".",s_Irr!AA17=".",s_Irr!AY17&lt;&gt;"."),s_dir!AC17/((1/1000)*(s_Irr!C17+s_Irr!AY17)),IF(AND(s_Irr!C17=".",s_Irr!AA17&lt;&gt;".",s_Irr!AY17&lt;&gt;"."),s_dir!AC17/((1/1000)*(s_Irr!AA17+s_Irr!AY17)),IF(AND(s_Irr!C17=".",s_Irr!AA17=".",s_Irr!AY17&lt;&gt;"."),s_dir!AC17/((1/1000)*(s_Irr!AY17)),IF(AND(s_Irr!C17=".",s_Irr!AA17&lt;&gt;".",s_Irr!AY17="."),s_dir!AC17/((1/1000)*(s_Irr!AA17)),IF(AND(s_Irr!C17&lt;&gt;".",s_Irr!AA17=".",s_Irr!AY17="."),s_dir!AC17/((1/1000)*(s_Irr!C17)),IF(AND(s_Irr!C17=".",s_Irr!AA17=".",s_Irr!AY17="."),s_dir!AC17*1000)))))))),".")</f>
        <v>328104.82684958377</v>
      </c>
      <c r="BC17" s="48">
        <f>IFERROR(IF(AND(s_Irr!D17&lt;&gt;".",s_Irr!AB17&lt;&gt;".",s_Irr!AZ17&lt;&gt;"."),s_dir!AD17/((1/1000)*(s_Irr!D17+s_Irr!AB17+s_Irr!AZ17)),IF(AND(s_Irr!D17&lt;&gt;".",s_Irr!AB17&lt;&gt;".",s_Irr!AZ17="."),s_dir!AD17/((1/1000)*(s_Irr!D17+s_Irr!AB17)),IF(AND(s_Irr!D17&lt;&gt;".",s_Irr!AB17=".",s_Irr!AZ17&lt;&gt;"."),s_dir!AD17/((1/1000)*(s_Irr!D17+s_Irr!AZ17)),IF(AND(s_Irr!D17=".",s_Irr!AB17&lt;&gt;".",s_Irr!AZ17&lt;&gt;"."),s_dir!AD17/((1/1000)*(s_Irr!AB17+s_Irr!AZ17)),IF(AND(s_Irr!D17=".",s_Irr!AB17=".",s_Irr!AZ17&lt;&gt;"."),s_dir!AD17/((1/1000)*(s_Irr!AZ17)),IF(AND(s_Irr!D17=".",s_Irr!AB17&lt;&gt;".",s_Irr!AZ17="."),s_dir!AD17/((1/1000)*(s_Irr!AB17)),IF(AND(s_Irr!D17&lt;&gt;".",s_Irr!AB17=".",s_Irr!AZ17="."),s_dir!AD17/((1/1000)*(s_Irr!D17)),IF(AND(s_Irr!D17=".",s_Irr!AB17=".",s_Irr!AZ17="."),s_dir!AD17*1000)))))))),".")</f>
        <v>162713.28367584149</v>
      </c>
      <c r="BD17" s="48">
        <f>IFERROR(IF(AND(s_Irr!E17&lt;&gt;".",s_Irr!AC17&lt;&gt;".",s_Irr!BA17&lt;&gt;"."),s_dir!AE17/((1/1000)*(s_Irr!E17+s_Irr!AC17+s_Irr!BA17)),IF(AND(s_Irr!E17&lt;&gt;".",s_Irr!AC17&lt;&gt;".",s_Irr!BA17="."),s_dir!AE17/((1/1000)*(s_Irr!E17+s_Irr!AC17)),IF(AND(s_Irr!E17&lt;&gt;".",s_Irr!AC17=".",s_Irr!BA17&lt;&gt;"."),s_dir!AE17/((1/1000)*(s_Irr!E17+s_Irr!BA17)),IF(AND(s_Irr!E17=".",s_Irr!AC17&lt;&gt;".",s_Irr!BA17&lt;&gt;"."),s_dir!AE17/((1/1000)*(s_Irr!AC17+s_Irr!BA17)),IF(AND(s_Irr!E17=".",s_Irr!AC17=".",s_Irr!BA17&lt;&gt;"."),s_dir!AE17/((1/1000)*(s_Irr!BA17)),IF(AND(s_Irr!E17=".",s_Irr!AC17&lt;&gt;".",s_Irr!BA17="."),s_dir!AE17/((1/1000)*(s_Irr!AC17)),IF(AND(s_Irr!E17&lt;&gt;".",s_Irr!AC17=".",s_Irr!BA17="."),s_dir!AE17/((1/1000)*(s_Irr!E17)),IF(AND(s_Irr!E17=".",s_Irr!AC17=".",s_Irr!BA17="."),s_dir!AE17*1000)))))))),".")</f>
        <v>305895.50253913185</v>
      </c>
      <c r="BE17" s="48">
        <f>IFERROR(IF(AND(s_Irr!F17&lt;&gt;".",s_Irr!AD17&lt;&gt;".",s_Irr!BB17&lt;&gt;"."),s_dir!AF17/((1/1000)*(s_Irr!F17+s_Irr!AD17+s_Irr!BB17)),IF(AND(s_Irr!F17&lt;&gt;".",s_Irr!AD17&lt;&gt;".",s_Irr!BB17="."),s_dir!AF17/((1/1000)*(s_Irr!F17+s_Irr!AD17)),IF(AND(s_Irr!F17&lt;&gt;".",s_Irr!AD17=".",s_Irr!BB17&lt;&gt;"."),s_dir!AF17/((1/1000)*(s_Irr!F17+s_Irr!BB17)),IF(AND(s_Irr!F17=".",s_Irr!AD17&lt;&gt;".",s_Irr!BB17&lt;&gt;"."),s_dir!AF17/((1/1000)*(s_Irr!AD17+s_Irr!BB17)),IF(AND(s_Irr!F17=".",s_Irr!AD17=".",s_Irr!BB17&lt;&gt;"."),s_dir!AF17/((1/1000)*(s_Irr!BB17)),IF(AND(s_Irr!F17=".",s_Irr!AD17&lt;&gt;".",s_Irr!BB17="."),s_dir!AF17/((1/1000)*(s_Irr!AD17)),IF(AND(s_Irr!F17&lt;&gt;".",s_Irr!AD17=".",s_Irr!BB17="."),s_dir!AF17/((1/1000)*(s_Irr!F17)),IF(AND(s_Irr!F17=".",s_Irr!AD17=".",s_Irr!BB17="."),s_dir!AF17*1000)))))))),".")</f>
        <v>328104.82684958377</v>
      </c>
      <c r="BF17" s="48">
        <f>IFERROR(IF(AND(s_Irr!G17&lt;&gt;".",s_Irr!AE17&lt;&gt;".",s_Irr!BC17&lt;&gt;"."),s_dir!AG17/((1/1000)*(s_Irr!G17+s_Irr!AE17+s_Irr!BC17)),IF(AND(s_Irr!G17&lt;&gt;".",s_Irr!AE17&lt;&gt;".",s_Irr!BC17="."),s_dir!AG17/((1/1000)*(s_Irr!G17+s_Irr!AE17)),IF(AND(s_Irr!G17&lt;&gt;".",s_Irr!AE17=".",s_Irr!BC17&lt;&gt;"."),s_dir!AG17/((1/1000)*(s_Irr!G17+s_Irr!BC17)),IF(AND(s_Irr!G17=".",s_Irr!AE17&lt;&gt;".",s_Irr!BC17&lt;&gt;"."),s_dir!AG17/((1/1000)*(s_Irr!AE17+s_Irr!BC17)),IF(AND(s_Irr!G17=".",s_Irr!AE17=".",s_Irr!BC17&lt;&gt;"."),s_dir!AG17/((1/1000)*(s_Irr!BC17)),IF(AND(s_Irr!G17=".",s_Irr!AE17&lt;&gt;".",s_Irr!BC17="."),s_dir!AG17/((1/1000)*(s_Irr!AE17)),IF(AND(s_Irr!G17&lt;&gt;".",s_Irr!AE17=".",s_Irr!BC17="."),s_dir!AG17/((1/1000)*(s_Irr!G17)),IF(AND(s_Irr!G17=".",s_Irr!AE17=".",s_Irr!BC17="."),s_dir!AG17*1000)))))))),".")</f>
        <v>305895.50253913185</v>
      </c>
      <c r="BG17" s="48">
        <f>IFERROR(IF(AND(s_Irr!H17&lt;&gt;".",s_Irr!AF17&lt;&gt;".",s_Irr!BD17&lt;&gt;"."),s_dir!AH17/((1/1000)*(s_Irr!H17+s_Irr!AF17+s_Irr!BD17)),IF(AND(s_Irr!H17&lt;&gt;".",s_Irr!AF17&lt;&gt;".",s_Irr!BD17="."),s_dir!AH17/((1/1000)*(s_Irr!H17+s_Irr!AF17)),IF(AND(s_Irr!H17&lt;&gt;".",s_Irr!AF17=".",s_Irr!BD17&lt;&gt;"."),s_dir!AH17/((1/1000)*(s_Irr!H17+s_Irr!BD17)),IF(AND(s_Irr!H17=".",s_Irr!AF17&lt;&gt;".",s_Irr!BD17&lt;&gt;"."),s_dir!AH17/((1/1000)*(s_Irr!AF17+s_Irr!BD17)),IF(AND(s_Irr!H17=".",s_Irr!AF17=".",s_Irr!BD17&lt;&gt;"."),s_dir!AH17/((1/1000)*(s_Irr!BD17)),IF(AND(s_Irr!H17=".",s_Irr!AF17&lt;&gt;".",s_Irr!BD17="."),s_dir!AH17/((1/1000)*(s_Irr!AF17)),IF(AND(s_Irr!H17&lt;&gt;".",s_Irr!AF17=".",s_Irr!BD17="."),s_dir!AH17/((1/1000)*(s_Irr!H17)),IF(AND(s_Irr!H17=".",s_Irr!AF17=".",s_Irr!BD17="."),s_dir!AH17*1000)))))))),".")</f>
        <v>162713.28367584149</v>
      </c>
      <c r="BH17" s="48">
        <f>IFERROR(IF(AND(s_Irr!I17&lt;&gt;".",s_Irr!AG17&lt;&gt;".",s_Irr!BE17&lt;&gt;"."),s_dir!AI17/((1/1000)*(s_Irr!I17+s_Irr!AG17+s_Irr!BE17)),IF(AND(s_Irr!I17&lt;&gt;".",s_Irr!AG17&lt;&gt;".",s_Irr!BE17="."),s_dir!AI17/((1/1000)*(s_Irr!I17+s_Irr!AG17)),IF(AND(s_Irr!I17&lt;&gt;".",s_Irr!AG17=".",s_Irr!BE17&lt;&gt;"."),s_dir!AI17/((1/1000)*(s_Irr!I17+s_Irr!BE17)),IF(AND(s_Irr!I17=".",s_Irr!AG17&lt;&gt;".",s_Irr!BE17&lt;&gt;"."),s_dir!AI17/((1/1000)*(s_Irr!AG17+s_Irr!BE17)),IF(AND(s_Irr!I17=".",s_Irr!AG17=".",s_Irr!BE17&lt;&gt;"."),s_dir!AI17/((1/1000)*(s_Irr!BE17)),IF(AND(s_Irr!I17=".",s_Irr!AG17&lt;&gt;".",s_Irr!BE17="."),s_dir!AI17/((1/1000)*(s_Irr!AG17)),IF(AND(s_Irr!I17&lt;&gt;".",s_Irr!AG17=".",s_Irr!BE17="."),s_dir!AI17/((1/1000)*(s_Irr!I17)),IF(AND(s_Irr!I17=".",s_Irr!AG17=".",s_Irr!BE17="."),s_dir!AI17*1000)))))))),".")</f>
        <v>305895.50253913185</v>
      </c>
      <c r="BI17" s="48">
        <f>IFERROR(IF(AND(s_Irr!J17&lt;&gt;".",s_Irr!AH17&lt;&gt;".",s_Irr!BF17&lt;&gt;"."),s_dir!AJ17/((1/1000)*(s_Irr!J17+s_Irr!AH17+s_Irr!BF17)),IF(AND(s_Irr!J17&lt;&gt;".",s_Irr!AH17&lt;&gt;".",s_Irr!BF17="."),s_dir!AJ17/((1/1000)*(s_Irr!J17+s_Irr!AH17)),IF(AND(s_Irr!J17&lt;&gt;".",s_Irr!AH17=".",s_Irr!BF17&lt;&gt;"."),s_dir!AJ17/((1/1000)*(s_Irr!J17+s_Irr!BF17)),IF(AND(s_Irr!J17=".",s_Irr!AH17&lt;&gt;".",s_Irr!BF17&lt;&gt;"."),s_dir!AJ17/((1/1000)*(s_Irr!AH17+s_Irr!BF17)),IF(AND(s_Irr!J17=".",s_Irr!AH17=".",s_Irr!BF17&lt;&gt;"."),s_dir!AJ17/((1/1000)*(s_Irr!BF17)),IF(AND(s_Irr!J17=".",s_Irr!AH17&lt;&gt;".",s_Irr!BF17="."),s_dir!AJ17/((1/1000)*(s_Irr!AH17)),IF(AND(s_Irr!J17&lt;&gt;".",s_Irr!AH17=".",s_Irr!BF17="."),s_dir!AJ17/((1/1000)*(s_Irr!J17)),IF(AND(s_Irr!J17=".",s_Irr!AH17=".",s_Irr!BF17="."),s_dir!AJ17*1000)))))))),".")</f>
        <v>328104.82684958377</v>
      </c>
      <c r="BJ17" s="48">
        <f>IFERROR(IF(AND(s_Irr!K17&lt;&gt;".",s_Irr!AI17&lt;&gt;".",s_Irr!BG17&lt;&gt;"."),s_dir!AK17/((1/1000)*(s_Irr!K17+s_Irr!AI17+s_Irr!BG17)),IF(AND(s_Irr!K17&lt;&gt;".",s_Irr!AI17&lt;&gt;".",s_Irr!BG17="."),s_dir!AK17/((1/1000)*(s_Irr!K17+s_Irr!AI17)),IF(AND(s_Irr!K17&lt;&gt;".",s_Irr!AI17=".",s_Irr!BG17&lt;&gt;"."),s_dir!AK17/((1/1000)*(s_Irr!K17+s_Irr!BG17)),IF(AND(s_Irr!K17=".",s_Irr!AI17&lt;&gt;".",s_Irr!BG17&lt;&gt;"."),s_dir!AK17/((1/1000)*(s_Irr!AI17+s_Irr!BG17)),IF(AND(s_Irr!K17=".",s_Irr!AI17=".",s_Irr!BG17&lt;&gt;"."),s_dir!AK17/((1/1000)*(s_Irr!BG17)),IF(AND(s_Irr!K17=".",s_Irr!AI17&lt;&gt;".",s_Irr!BG17="."),s_dir!AK17/((1/1000)*(s_Irr!AI17)),IF(AND(s_Irr!K17&lt;&gt;".",s_Irr!AI17=".",s_Irr!BG17="."),s_dir!AK17/((1/1000)*(s_Irr!K17)),IF(AND(s_Irr!K17=".",s_Irr!AI17=".",s_Irr!BG17="."),s_dir!AK17*1000)))))))),".")</f>
        <v>376173.62505372323</v>
      </c>
      <c r="BK17" s="48">
        <f>IFERROR(IF(AND(s_Irr!L17&lt;&gt;".",s_Irr!AJ17&lt;&gt;".",s_Irr!BH17&lt;&gt;"."),s_dir!AL17/((1/1000)*(s_Irr!L17+s_Irr!AJ17+s_Irr!BH17)),IF(AND(s_Irr!L17&lt;&gt;".",s_Irr!AJ17&lt;&gt;".",s_Irr!BH17="."),s_dir!AL17/((1/1000)*(s_Irr!L17+s_Irr!AJ17)),IF(AND(s_Irr!L17&lt;&gt;".",s_Irr!AJ17=".",s_Irr!BH17&lt;&gt;"."),s_dir!AL17/((1/1000)*(s_Irr!L17+s_Irr!BH17)),IF(AND(s_Irr!L17=".",s_Irr!AJ17&lt;&gt;".",s_Irr!BH17&lt;&gt;"."),s_dir!AL17/((1/1000)*(s_Irr!AJ17+s_Irr!BH17)),IF(AND(s_Irr!L17=".",s_Irr!AJ17=".",s_Irr!BH17&lt;&gt;"."),s_dir!AL17/((1/1000)*(s_Irr!BH17)),IF(AND(s_Irr!L17=".",s_Irr!AJ17&lt;&gt;".",s_Irr!BH17="."),s_dir!AL17/((1/1000)*(s_Irr!AJ17)),IF(AND(s_Irr!L17&lt;&gt;".",s_Irr!AJ17=".",s_Irr!BH17="."),s_dir!AL17/((1/1000)*(s_Irr!L17)),IF(AND(s_Irr!L17=".",s_Irr!AJ17=".",s_Irr!BH17="."),s_dir!AL17*1000)))))))),".")</f>
        <v>305895.50253913185</v>
      </c>
      <c r="BL17" s="48">
        <f>IFERROR(IF(AND(s_Irr!M17&lt;&gt;".",s_Irr!AK17&lt;&gt;".",s_Irr!BI17&lt;&gt;"."),s_dir!AM17/((1/1000)*(s_Irr!M17+s_Irr!AK17+s_Irr!BI17)),IF(AND(s_Irr!M17&lt;&gt;".",s_Irr!AK17&lt;&gt;".",s_Irr!BI17="."),s_dir!AM17/((1/1000)*(s_Irr!M17+s_Irr!AK17)),IF(AND(s_Irr!M17&lt;&gt;".",s_Irr!AK17=".",s_Irr!BI17&lt;&gt;"."),s_dir!AM17/((1/1000)*(s_Irr!M17+s_Irr!BI17)),IF(AND(s_Irr!M17=".",s_Irr!AK17&lt;&gt;".",s_Irr!BI17&lt;&gt;"."),s_dir!AM17/((1/1000)*(s_Irr!AK17+s_Irr!BI17)),IF(AND(s_Irr!M17=".",s_Irr!AK17=".",s_Irr!BI17&lt;&gt;"."),s_dir!AM17/((1/1000)*(s_Irr!BI17)),IF(AND(s_Irr!M17=".",s_Irr!AK17&lt;&gt;".",s_Irr!BI17="."),s_dir!AM17/((1/1000)*(s_Irr!AK17)),IF(AND(s_Irr!M17&lt;&gt;".",s_Irr!AK17=".",s_Irr!BI17="."),s_dir!AM17/((1/1000)*(s_Irr!M17)),IF(AND(s_Irr!M17=".",s_Irr!AK17=".",s_Irr!BI17="."),s_dir!AM17*1000)))))))),".")</f>
        <v>162713.28367584149</v>
      </c>
      <c r="BM17" s="48">
        <f>IFERROR(IF(AND(s_Irr!N17&lt;&gt;".",s_Irr!AL17&lt;&gt;".",s_Irr!BJ17&lt;&gt;"."),s_dir!AN17/((1/1000)*(s_Irr!N17+s_Irr!AL17+s_Irr!BJ17)),IF(AND(s_Irr!N17&lt;&gt;".",s_Irr!AL17&lt;&gt;".",s_Irr!BJ17="."),s_dir!AN17/((1/1000)*(s_Irr!N17+s_Irr!AL17)),IF(AND(s_Irr!N17&lt;&gt;".",s_Irr!AL17=".",s_Irr!BJ17&lt;&gt;"."),s_dir!AN17/((1/1000)*(s_Irr!N17+s_Irr!BJ17)),IF(AND(s_Irr!N17=".",s_Irr!AL17&lt;&gt;".",s_Irr!BJ17&lt;&gt;"."),s_dir!AN17/((1/1000)*(s_Irr!AL17+s_Irr!BJ17)),IF(AND(s_Irr!N17=".",s_Irr!AL17=".",s_Irr!BJ17&lt;&gt;"."),s_dir!AN17/((1/1000)*(s_Irr!BJ17)),IF(AND(s_Irr!N17=".",s_Irr!AL17&lt;&gt;".",s_Irr!BJ17="."),s_dir!AN17/((1/1000)*(s_Irr!AL17)),IF(AND(s_Irr!N17&lt;&gt;".",s_Irr!AL17=".",s_Irr!BJ17="."),s_dir!AN17/((1/1000)*(s_Irr!N17)),IF(AND(s_Irr!N17=".",s_Irr!AL17=".",s_Irr!BJ17="."),s_dir!AN17*1000)))))))),".")</f>
        <v>352137.5180770717</v>
      </c>
      <c r="BN17" s="48">
        <f>IFERROR(IF(AND(s_Irr!O17&lt;&gt;".",s_Irr!AM17&lt;&gt;".",s_Irr!BK17&lt;&gt;"."),s_dir!AO17/((1/1000)*(s_Irr!O17+s_Irr!AM17+s_Irr!BK17)),IF(AND(s_Irr!O17&lt;&gt;".",s_Irr!AM17&lt;&gt;".",s_Irr!BK17="."),s_dir!AO17/((1/1000)*(s_Irr!O17+s_Irr!AM17)),IF(AND(s_Irr!O17&lt;&gt;".",s_Irr!AM17=".",s_Irr!BK17&lt;&gt;"."),s_dir!AO17/((1/1000)*(s_Irr!O17+s_Irr!BK17)),IF(AND(s_Irr!O17=".",s_Irr!AM17&lt;&gt;".",s_Irr!BK17&lt;&gt;"."),s_dir!AO17/((1/1000)*(s_Irr!AM17+s_Irr!BK17)),IF(AND(s_Irr!O17=".",s_Irr!AM17=".",s_Irr!BK17&lt;&gt;"."),s_dir!AO17/((1/1000)*(s_Irr!BK17)),IF(AND(s_Irr!O17=".",s_Irr!AM17&lt;&gt;".",s_Irr!BK17="."),s_dir!AO17/((1/1000)*(s_Irr!AM17)),IF(AND(s_Irr!O17&lt;&gt;".",s_Irr!AM17=".",s_Irr!BK17="."),s_dir!AO17/((1/1000)*(s_Irr!O17)),IF(AND(s_Irr!O17=".",s_Irr!AM17=".",s_Irr!BK17="."),s_dir!AO17*1000)))))))),".")</f>
        <v>305895.50253913185</v>
      </c>
      <c r="BO17" s="48">
        <f>IFERROR(IF(AND(s_Irr!P17&lt;&gt;".",s_Irr!AN17&lt;&gt;".",s_Irr!BL17&lt;&gt;"."),s_dir!AP17/((1/1000)*(s_Irr!P17+s_Irr!AN17+s_Irr!BL17)),IF(AND(s_Irr!P17&lt;&gt;".",s_Irr!AN17&lt;&gt;".",s_Irr!BL17="."),s_dir!AP17/((1/1000)*(s_Irr!P17+s_Irr!AN17)),IF(AND(s_Irr!P17&lt;&gt;".",s_Irr!AN17=".",s_Irr!BL17&lt;&gt;"."),s_dir!AP17/((1/1000)*(s_Irr!P17+s_Irr!BL17)),IF(AND(s_Irr!P17=".",s_Irr!AN17&lt;&gt;".",s_Irr!BL17&lt;&gt;"."),s_dir!AP17/((1/1000)*(s_Irr!AN17+s_Irr!BL17)),IF(AND(s_Irr!P17=".",s_Irr!AN17=".",s_Irr!BL17&lt;&gt;"."),s_dir!AP17/((1/1000)*(s_Irr!BL17)),IF(AND(s_Irr!P17=".",s_Irr!AN17&lt;&gt;".",s_Irr!BL17="."),s_dir!AP17/((1/1000)*(s_Irr!AN17)),IF(AND(s_Irr!P17&lt;&gt;".",s_Irr!AN17=".",s_Irr!BL17="."),s_dir!AP17/((1/1000)*(s_Irr!P17)),IF(AND(s_Irr!P17=".",s_Irr!AN17=".",s_Irr!BL17="."),s_dir!AP17*1000)))))))),".")</f>
        <v>305895.50253913185</v>
      </c>
      <c r="BP17" s="48">
        <f>IFERROR(IF(AND(s_Irr!Q17&lt;&gt;".",s_Irr!AO17&lt;&gt;".",s_Irr!BM17&lt;&gt;"."),s_dir!AQ17/((1/1000)*(s_Irr!Q17+s_Irr!AO17+s_Irr!BM17)),IF(AND(s_Irr!Q17&lt;&gt;".",s_Irr!AO17&lt;&gt;".",s_Irr!BM17="."),s_dir!AQ17/((1/1000)*(s_Irr!Q17+s_Irr!AO17)),IF(AND(s_Irr!Q17&lt;&gt;".",s_Irr!AO17=".",s_Irr!BM17&lt;&gt;"."),s_dir!AQ17/((1/1000)*(s_Irr!Q17+s_Irr!BM17)),IF(AND(s_Irr!Q17=".",s_Irr!AO17&lt;&gt;".",s_Irr!BM17&lt;&gt;"."),s_dir!AQ17/((1/1000)*(s_Irr!AO17+s_Irr!BM17)),IF(AND(s_Irr!Q17=".",s_Irr!AO17=".",s_Irr!BM17&lt;&gt;"."),s_dir!AQ17/((1/1000)*(s_Irr!BM17)),IF(AND(s_Irr!Q17=".",s_Irr!AO17&lt;&gt;".",s_Irr!BM17="."),s_dir!AQ17/((1/1000)*(s_Irr!AO17)),IF(AND(s_Irr!Q17&lt;&gt;".",s_Irr!AO17=".",s_Irr!BM17="."),s_dir!AQ17/((1/1000)*(s_Irr!Q17)),IF(AND(s_Irr!Q17=".",s_Irr!AO17=".",s_Irr!BM17="."),s_dir!AQ17*1000)))))))),".")</f>
        <v>328104.82684958377</v>
      </c>
      <c r="BQ17" s="48">
        <f>IFERROR(IF(AND(s_Irr!R17&lt;&gt;".",s_Irr!AP17&lt;&gt;".",s_Irr!BN17&lt;&gt;"."),s_dir!AR17/((1/1000)*(s_Irr!R17+s_Irr!AP17+s_Irr!BN17)),IF(AND(s_Irr!R17&lt;&gt;".",s_Irr!AP17&lt;&gt;".",s_Irr!BN17="."),s_dir!AR17/((1/1000)*(s_Irr!R17+s_Irr!AP17)),IF(AND(s_Irr!R17&lt;&gt;".",s_Irr!AP17=".",s_Irr!BN17&lt;&gt;"."),s_dir!AR17/((1/1000)*(s_Irr!R17+s_Irr!BN17)),IF(AND(s_Irr!R17=".",s_Irr!AP17&lt;&gt;".",s_Irr!BN17&lt;&gt;"."),s_dir!AR17/((1/1000)*(s_Irr!AP17+s_Irr!BN17)),IF(AND(s_Irr!R17=".",s_Irr!AP17=".",s_Irr!BN17&lt;&gt;"."),s_dir!AR17/((1/1000)*(s_Irr!BN17)),IF(AND(s_Irr!R17=".",s_Irr!AP17&lt;&gt;".",s_Irr!BN17="."),s_dir!AR17/((1/1000)*(s_Irr!AP17)),IF(AND(s_Irr!R17&lt;&gt;".",s_Irr!AP17=".",s_Irr!BN17="."),s_dir!AR17/((1/1000)*(s_Irr!R17)),IF(AND(s_Irr!R17=".",s_Irr!AP17=".",s_Irr!BN17="."),s_dir!AR17*1000)))))))),".")</f>
        <v>328104.82684958377</v>
      </c>
      <c r="BR17" s="48">
        <f>IFERROR(IF(AND(s_Irr!S17&lt;&gt;".",s_Irr!AQ17&lt;&gt;".",s_Irr!BO17&lt;&gt;"."),s_dir!AS17/((1/1000)*(s_Irr!S17+s_Irr!AQ17+s_Irr!BO17)),IF(AND(s_Irr!S17&lt;&gt;".",s_Irr!AQ17&lt;&gt;".",s_Irr!BO17="."),s_dir!AS17/((1/1000)*(s_Irr!S17+s_Irr!AQ17)),IF(AND(s_Irr!S17&lt;&gt;".",s_Irr!AQ17=".",s_Irr!BO17&lt;&gt;"."),s_dir!AS17/((1/1000)*(s_Irr!S17+s_Irr!BO17)),IF(AND(s_Irr!S17=".",s_Irr!AQ17&lt;&gt;".",s_Irr!BO17&lt;&gt;"."),s_dir!AS17/((1/1000)*(s_Irr!AQ17+s_Irr!BO17)),IF(AND(s_Irr!S17=".",s_Irr!AQ17=".",s_Irr!BO17&lt;&gt;"."),s_dir!AS17/((1/1000)*(s_Irr!BO17)),IF(AND(s_Irr!S17=".",s_Irr!AQ17&lt;&gt;".",s_Irr!BO17="."),s_dir!AS17/((1/1000)*(s_Irr!AQ17)),IF(AND(s_Irr!S17&lt;&gt;".",s_Irr!AQ17=".",s_Irr!BO17="."),s_dir!AS17/((1/1000)*(s_Irr!S17)),IF(AND(s_Irr!S17=".",s_Irr!AQ17=".",s_Irr!BO17="."),s_dir!AS17*1000)))))))),".")</f>
        <v>352137.5180770717</v>
      </c>
      <c r="BS17" s="48">
        <f>IFERROR(IF(AND(s_Irr!T17&lt;&gt;".",s_Irr!AR17&lt;&gt;".",s_Irr!BP17&lt;&gt;"."),s_dir!AT17/((1/1000)*(s_Irr!T17+s_Irr!AR17+s_Irr!BP17)),IF(AND(s_Irr!T17&lt;&gt;".",s_Irr!AR17&lt;&gt;".",s_Irr!BP17="."),s_dir!AT17/((1/1000)*(s_Irr!T17+s_Irr!AR17)),IF(AND(s_Irr!T17&lt;&gt;".",s_Irr!AR17=".",s_Irr!BP17&lt;&gt;"."),s_dir!AT17/((1/1000)*(s_Irr!T17+s_Irr!BP17)),IF(AND(s_Irr!T17=".",s_Irr!AR17&lt;&gt;".",s_Irr!BP17&lt;&gt;"."),s_dir!AT17/((1/1000)*(s_Irr!AR17+s_Irr!BP17)),IF(AND(s_Irr!T17=".",s_Irr!AR17=".",s_Irr!BP17&lt;&gt;"."),s_dir!AT17/((1/1000)*(s_Irr!BP17)),IF(AND(s_Irr!T17=".",s_Irr!AR17&lt;&gt;".",s_Irr!BP17="."),s_dir!AT17/((1/1000)*(s_Irr!AR17)),IF(AND(s_Irr!T17&lt;&gt;".",s_Irr!AR17=".",s_Irr!BP17="."),s_dir!AT17/((1/1000)*(s_Irr!T17)),IF(AND(s_Irr!T17=".",s_Irr!AR17=".",s_Irr!BP17="."),s_dir!AT17*1000)))))))),".")</f>
        <v>374304.17486279918</v>
      </c>
      <c r="BT17" s="48">
        <f>IFERROR(IF(AND(s_Irr!U17&lt;&gt;".",s_Irr!AS17&lt;&gt;".",s_Irr!BQ17&lt;&gt;"."),s_dir!AU17/((1/1000)*(s_Irr!U17+s_Irr!AS17+s_Irr!BQ17)),IF(AND(s_Irr!U17&lt;&gt;".",s_Irr!AS17&lt;&gt;".",s_Irr!BQ17="."),s_dir!AU17/((1/1000)*(s_Irr!U17+s_Irr!AS17)),IF(AND(s_Irr!U17&lt;&gt;".",s_Irr!AS17=".",s_Irr!BQ17&lt;&gt;"."),s_dir!AU17/((1/1000)*(s_Irr!U17+s_Irr!BQ17)),IF(AND(s_Irr!U17=".",s_Irr!AS17&lt;&gt;".",s_Irr!BQ17&lt;&gt;"."),s_dir!AU17/((1/1000)*(s_Irr!AS17+s_Irr!BQ17)),IF(AND(s_Irr!U17=".",s_Irr!AS17=".",s_Irr!BQ17&lt;&gt;"."),s_dir!AU17/((1/1000)*(s_Irr!BQ17)),IF(AND(s_Irr!U17=".",s_Irr!AS17&lt;&gt;".",s_Irr!BQ17="."),s_dir!AU17/((1/1000)*(s_Irr!AS17)),IF(AND(s_Irr!U17&lt;&gt;".",s_Irr!AS17=".",s_Irr!BQ17="."),s_dir!AU17/((1/1000)*(s_Irr!U17)),IF(AND(s_Irr!U17=".",s_Irr!AS17=".",s_Irr!BQ17="."),s_dir!AU17*1000)))))))),".")</f>
        <v>305895.50253913185</v>
      </c>
      <c r="BU17" s="48">
        <f>IFERROR(IF(AND(s_Irr!V17&lt;&gt;".",s_Irr!AT17&lt;&gt;".",s_Irr!BR17&lt;&gt;"."),s_dir!AV17/((1/1000)*(s_Irr!V17+s_Irr!AT17+s_Irr!BR17)),IF(AND(s_Irr!V17&lt;&gt;".",s_Irr!AT17&lt;&gt;".",s_Irr!BR17="."),s_dir!AV17/((1/1000)*(s_Irr!V17+s_Irr!AT17)),IF(AND(s_Irr!V17&lt;&gt;".",s_Irr!AT17=".",s_Irr!BR17&lt;&gt;"."),s_dir!AV17/((1/1000)*(s_Irr!V17+s_Irr!BR17)),IF(AND(s_Irr!V17=".",s_Irr!AT17&lt;&gt;".",s_Irr!BR17&lt;&gt;"."),s_dir!AV17/((1/1000)*(s_Irr!AT17+s_Irr!BR17)),IF(AND(s_Irr!V17=".",s_Irr!AT17=".",s_Irr!BR17&lt;&gt;"."),s_dir!AV17/((1/1000)*(s_Irr!BR17)),IF(AND(s_Irr!V17=".",s_Irr!AT17&lt;&gt;".",s_Irr!BR17="."),s_dir!AV17/((1/1000)*(s_Irr!AT17)),IF(AND(s_Irr!V17&lt;&gt;".",s_Irr!AT17=".",s_Irr!BR17="."),s_dir!AV17/((1/1000)*(s_Irr!V17)),IF(AND(s_Irr!V17=".",s_Irr!AT17=".",s_Irr!BR17="."),s_dir!AV17*1000)))))))),".")</f>
        <v>352137.5180770717</v>
      </c>
      <c r="BV17" s="48">
        <f>IFERROR(IF(AND(s_Irr!W17&lt;&gt;".",s_Irr!AU17&lt;&gt;".",s_Irr!BS17&lt;&gt;"."),s_dir!AW17/((1/1000)*(s_Irr!W17+s_Irr!AU17+s_Irr!BS17)),IF(AND(s_Irr!W17&lt;&gt;".",s_Irr!AU17&lt;&gt;".",s_Irr!BS17="."),s_dir!AW17/((1/1000)*(s_Irr!W17+s_Irr!AU17)),IF(AND(s_Irr!W17&lt;&gt;".",s_Irr!AU17=".",s_Irr!BS17&lt;&gt;"."),s_dir!AW17/((1/1000)*(s_Irr!W17+s_Irr!BS17)),IF(AND(s_Irr!W17=".",s_Irr!AU17&lt;&gt;".",s_Irr!BS17&lt;&gt;"."),s_dir!AW17/((1/1000)*(s_Irr!AU17+s_Irr!BS17)),IF(AND(s_Irr!W17=".",s_Irr!AU17=".",s_Irr!BS17&lt;&gt;"."),s_dir!AW17/((1/1000)*(s_Irr!BS17)),IF(AND(s_Irr!W17=".",s_Irr!AU17&lt;&gt;".",s_Irr!BS17="."),s_dir!AW17/((1/1000)*(s_Irr!AU17)),IF(AND(s_Irr!W17&lt;&gt;".",s_Irr!AU17=".",s_Irr!BS17="."),s_dir!AW17/((1/1000)*(s_Irr!W17)),IF(AND(s_Irr!W17=".",s_Irr!AU17=".",s_Irr!BS17="."),s_dir!AW17*1000)))))))),".")</f>
        <v>328104.82684958377</v>
      </c>
      <c r="BW17" s="48">
        <f>IFERROR(IF(AND(s_Irr!X17&lt;&gt;".",s_Irr!AV17&lt;&gt;".",s_Irr!BT17&lt;&gt;"."),s_dir!AX17/((1/1000)*(s_Irr!X17+s_Irr!AV17+s_Irr!BT17)),IF(AND(s_Irr!X17&lt;&gt;".",s_Irr!AV17&lt;&gt;".",s_Irr!BT17="."),s_dir!AX17/((1/1000)*(s_Irr!X17+s_Irr!AV17)),IF(AND(s_Irr!X17&lt;&gt;".",s_Irr!AV17=".",s_Irr!BT17&lt;&gt;"."),s_dir!AX17/((1/1000)*(s_Irr!X17+s_Irr!BT17)),IF(AND(s_Irr!X17=".",s_Irr!AV17&lt;&gt;".",s_Irr!BT17&lt;&gt;"."),s_dir!AX17/((1/1000)*(s_Irr!AV17+s_Irr!BT17)),IF(AND(s_Irr!X17=".",s_Irr!AV17=".",s_Irr!BT17&lt;&gt;"."),s_dir!AX17/((1/1000)*(s_Irr!BT17)),IF(AND(s_Irr!X17=".",s_Irr!AV17&lt;&gt;".",s_Irr!BT17="."),s_dir!AX17/((1/1000)*(s_Irr!AV17)),IF(AND(s_Irr!X17&lt;&gt;".",s_Irr!AV17=".",s_Irr!BT17="."),s_dir!AX17/((1/1000)*(s_Irr!X17)),IF(AND(s_Irr!X17=".",s_Irr!AV17=".",s_Irr!BT17="."),s_dir!AX17*1000)))))))),".")</f>
        <v>305895.50253913185</v>
      </c>
      <c r="BX17" s="48">
        <f>IFERROR(IF(AND(s_Irr!Y17&lt;&gt;".",s_Irr!AW17&lt;&gt;".",s_Irr!BU17&lt;&gt;"."),s_dir!AY17/((1/1000)*(s_Irr!Y17+s_Irr!AW17+s_Irr!BU17)),IF(AND(s_Irr!Y17&lt;&gt;".",s_Irr!AW17&lt;&gt;".",s_Irr!BU17="."),s_dir!AY17/((1/1000)*(s_Irr!Y17+s_Irr!AW17)),IF(AND(s_Irr!Y17&lt;&gt;".",s_Irr!AW17=".",s_Irr!BU17&lt;&gt;"."),s_dir!AY17/((1/1000)*(s_Irr!Y17+s_Irr!BU17)),IF(AND(s_Irr!Y17=".",s_Irr!AW17&lt;&gt;".",s_Irr!BU17&lt;&gt;"."),s_dir!AY17/((1/1000)*(s_Irr!AW17+s_Irr!BU17)),IF(AND(s_Irr!Y17=".",s_Irr!AW17=".",s_Irr!BU17&lt;&gt;"."),s_dir!AY17/((1/1000)*(s_Irr!BU17)),IF(AND(s_Irr!Y17=".",s_Irr!AW17&lt;&gt;".",s_Irr!BU17="."),s_dir!AY17/((1/1000)*(s_Irr!AW17)),IF(AND(s_Irr!Y17&lt;&gt;".",s_Irr!AW17=".",s_Irr!BU17="."),s_dir!AY17/((1/1000)*(s_Irr!Y17)),IF(AND(s_Irr!Y17=".",s_Irr!AW17=".",s_Irr!BU17="."),s_dir!AY17*1000)))))))),".")</f>
        <v>381960.27974910411</v>
      </c>
      <c r="BY17" s="48">
        <f>IFERROR(IF(AND(s_Irr!Z17&lt;&gt;".",s_Irr!AX17&lt;&gt;".",s_Irr!BV17&lt;&gt;"."),s_dir!AZ17/((1/1000)*(s_Irr!Z17+s_Irr!AX17+s_Irr!BV17)),IF(AND(s_Irr!Z17&lt;&gt;".",s_Irr!AX17&lt;&gt;".",s_Irr!BV17="."),s_dir!AZ17/((1/1000)*(s_Irr!Z17+s_Irr!AX17)),IF(AND(s_Irr!Z17&lt;&gt;".",s_Irr!AX17=".",s_Irr!BV17&lt;&gt;"."),s_dir!AZ17/((1/1000)*(s_Irr!Z17+s_Irr!BV17)),IF(AND(s_Irr!Z17=".",s_Irr!AX17&lt;&gt;".",s_Irr!BV17&lt;&gt;"."),s_dir!AZ17/((1/1000)*(s_Irr!AX17+s_Irr!BV17)),IF(AND(s_Irr!Z17=".",s_Irr!AX17=".",s_Irr!BV17&lt;&gt;"."),s_dir!AZ17/((1/1000)*(s_Irr!BV17)),IF(AND(s_Irr!Z17=".",s_Irr!AX17&lt;&gt;".",s_Irr!BV17="."),s_dir!AZ17/((1/1000)*(s_Irr!AX17)),IF(AND(s_Irr!Z17&lt;&gt;".",s_Irr!AX17=".",s_Irr!BV17="."),s_dir!AZ17/((1/1000)*(s_Irr!Z17)),IF(AND(s_Irr!Z17=".",s_Irr!AX17=".",s_Irr!BV17="."),s_dir!AZ17*1000)))))))),".")</f>
        <v>323408.6559898844</v>
      </c>
      <c r="BZ17" s="62">
        <f t="shared" si="1"/>
        <v>297.36326528037273</v>
      </c>
      <c r="CA17" s="62">
        <f>IFERROR(s_C*s_IFAP_far_adj*s_CF_apple*(1/1000)*(s_Irr!C17+s_Irr!AA17+s_Irr!AY17),".")</f>
        <v>103.48385260743784</v>
      </c>
      <c r="CB17" s="62">
        <f>IFERROR(s_C*s_IFAS_far_adj*s_CF_asparagus*(1/1000)*(s_Irr!D17+s_Irr!AB17+s_Irr!AZ17),".")</f>
        <v>208.67104869651413</v>
      </c>
      <c r="CC17" s="62">
        <f>IFERROR(s_C*s_IFBT_far_adj*s_CF_beet*(1/1000)*(s_Irr!E17+s_Irr!AC17+s_Irr!BA17),".")</f>
        <v>110.99722375665758</v>
      </c>
      <c r="CD17" s="62">
        <f>IFERROR(s_C*s_IFBE_far_adj*s_CF_berries*(1/1000)*(s_Irr!F17+s_Irr!AD17+s_Irr!BB17),".")</f>
        <v>103.48385260743784</v>
      </c>
      <c r="CE17" s="62">
        <f>IFERROR(s_C*s_IFBR_far_adj*s_CF_broccoli*(1/1000)*(s_Irr!G17+s_Irr!AE17+s_Irr!BC17),".")</f>
        <v>110.99722375665758</v>
      </c>
      <c r="CF17" s="62">
        <f>IFERROR(s_C*s_IFCB_far_adj*s_CF_cabbage*(1/1000)*(s_Irr!H17+s_Irr!AF17+s_Irr!BD17),".")</f>
        <v>208.67104869651413</v>
      </c>
      <c r="CG17" s="62">
        <f>IFERROR(s_C*s_IFCR_far_adj*s_CF_carrot*(1/1000)*(s_Irr!I17+s_Irr!AG17+s_Irr!BE17),".")</f>
        <v>110.99722375665758</v>
      </c>
      <c r="CH17" s="62">
        <f>IFERROR(s_C*s_IFCI_far_adj*s_CF_citrus*(1/1000)*(s_Irr!J17+s_Irr!AH17+s_Irr!BF17),".")</f>
        <v>103.48385260743784</v>
      </c>
      <c r="CI17" s="62">
        <f>IFERROR(s_C*s_IFCO_far_adj*s_CF_corn*(1/1000)*(s_Irr!K17+s_Irr!AI17+s_Irr!BG17),".")</f>
        <v>90.260319384811112</v>
      </c>
      <c r="CJ17" s="62">
        <f>IFERROR(s_C*s_IFCU_far_adj*s_CF_cucumber*(1/1000)*(s_Irr!L17+s_Irr!AJ17+s_Irr!BH17),".")</f>
        <v>110.99722375665758</v>
      </c>
      <c r="CK17" s="62">
        <f>IFERROR(s_C*s_IFLE_far_adj*s_CF_lettuce*(1/1000)*(s_Irr!M17+s_Irr!AK17+s_Irr!BI17),".")</f>
        <v>208.67104869651413</v>
      </c>
      <c r="CL17" s="62">
        <f>IFERROR(s_C*s_IFLI_far_adj*s_CF_lima_bean*(1/1000)*(s_Irr!N17+s_Irr!AL17+s_Irr!BJ17),".")</f>
        <v>96.421283727171286</v>
      </c>
      <c r="CM17" s="62">
        <f>IFERROR(s_C*s_IFOK_far_adj*s_CF_okra*(1/1000)*(s_Irr!O17+s_Irr!AM17+s_Irr!BK17),".")</f>
        <v>110.99722375665758</v>
      </c>
      <c r="CN17" s="62">
        <f>IFERROR(s_C*s_IFON_far_adj*s_CF_onion*(1/1000)*(s_Irr!P17+s_Irr!AN17+s_Irr!BL17),".")</f>
        <v>110.99722375665758</v>
      </c>
      <c r="CO17" s="62">
        <f>IFERROR(s_C*s_IFPC_far_adj*s_CF_peach*(1/1000)*(s_Irr!Q17+s_Irr!AO17+s_Irr!BM17),".")</f>
        <v>103.48385260743784</v>
      </c>
      <c r="CP17" s="62">
        <f>IFERROR(s_C*s_IFPR_far_adj*s_CF_pear*(1/1000)*(s_Irr!R17+s_Irr!AP17+s_Irr!BN17),".")</f>
        <v>103.48385260743784</v>
      </c>
      <c r="CQ17" s="62">
        <f>IFERROR(s_C*s_IFPE_far_adj*s_CF_peas*(1/1000)*(s_Irr!S17+s_Irr!AQ17+s_Irr!BO17),".")</f>
        <v>96.421283727171286</v>
      </c>
      <c r="CR17" s="62">
        <f>IFERROR(s_C*s_IFPT_far_adj*s_CF_potato*(1/1000)*(s_Irr!T17+s_Irr!AR17+s_Irr!BP17),".")</f>
        <v>90.711121653764295</v>
      </c>
      <c r="CS17" s="62">
        <f>IFERROR(s_C*s_IFPU_far_adj*s_CF_pumpkin*(1/1000)*(s_Irr!U17+s_Irr!AS17+s_Irr!BQ17),".")</f>
        <v>110.99722375665758</v>
      </c>
      <c r="CT17" s="62">
        <f>IFERROR(s_C*s_IFSN_far_adj*s_CF_snap_bean*(1/1000)*(s_Irr!V17+s_Irr!AT17+s_Irr!BR17),".")</f>
        <v>96.421283727171286</v>
      </c>
      <c r="CU17" s="62">
        <f>IFERROR(s_C*s_IFST_far_adj*s_CF_strawberry*(1/1000)*(s_Irr!W17+s_Irr!AU17+s_Irr!BS17),".")</f>
        <v>103.48385260743784</v>
      </c>
      <c r="CV17" s="62">
        <f>IFERROR(s_C*s_IFTO_far_adj*s_CF_tomato*(1/1000)*(s_Irr!X17+s_Irr!AV17+s_Irr!BT17),".")</f>
        <v>110.99722375665758</v>
      </c>
      <c r="CW17" s="62">
        <f>IFERROR(s_C*s_IFRI_far_adj*s_CF_rice*(1/1000)*(s_Irr!Y17+s_Irr!AW17+s_Irr!BU17),".")</f>
        <v>88.892885835653118</v>
      </c>
      <c r="CX17" s="62">
        <f>IFERROR(s_C*s_IFCG_far_adj*s_CF_cereal*(1/1000)*(s_Irr!Z17+s_Irr!AX17+s_Irr!BV17),".")</f>
        <v>104.98652683728179</v>
      </c>
    </row>
    <row r="18" spans="1:102" ht="15" customHeight="1" x14ac:dyDescent="0.25">
      <c r="A18" s="61" t="s">
        <v>16</v>
      </c>
      <c r="B18" s="49" t="s">
        <v>1059</v>
      </c>
      <c r="C18" s="48">
        <f t="shared" si="2"/>
        <v>13.520470417263882</v>
      </c>
      <c r="D18" s="48">
        <f>IFERROR(IF(AND(s_Irr!C18&lt;&gt;".",s_Irr!AA18&lt;&gt;".",s_Irr!AY18&lt;&gt;"."),s_dir!D18/((1/1000)*(s_Irr!C18+s_Irr!AA18+s_Irr!AY18)),IF(AND(s_Irr!C18&lt;&gt;".",s_Irr!AA18&lt;&gt;".",s_Irr!AY18="."),s_dir!D18/((1/1000)*(s_Irr!C18+s_Irr!AA18)),IF(AND(s_Irr!C18&lt;&gt;".",s_Irr!AA18=".",s_Irr!AY18&lt;&gt;"."),s_dir!D18/((1/1000)*(s_Irr!C18+s_Irr!AY18)),IF(AND(s_Irr!C18=".",s_Irr!AA18&lt;&gt;".",s_Irr!AY18&lt;&gt;"."),s_dir!D18/((1/1000)*(s_Irr!AA18+s_Irr!AY18)),IF(AND(s_Irr!C18=".",s_Irr!AA18=".",s_Irr!AY18&lt;&gt;"."),s_dir!D18/((1/1000)*(s_Irr!AY18)),IF(AND(s_Irr!C18=".",s_Irr!AA18&lt;&gt;".",s_Irr!AY18="."),s_dir!D18/((1/1000)*(s_Irr!AA18)),IF(AND(s_Irr!C18&lt;&gt;".",s_Irr!AA18=".",s_Irr!AY18="."),s_dir!D18/((1/1000)*(s_Irr!C18)),IF(AND(s_Irr!C18=".",s_Irr!AA18=".",s_Irr!AY18="."),s_dir!D18*1000)))))))),".")</f>
        <v>43.500521608732512</v>
      </c>
      <c r="E18" s="48">
        <f>IFERROR(IF(AND(s_Irr!D18&lt;&gt;".",s_Irr!AB18&lt;&gt;".",s_Irr!AZ18&lt;&gt;"."),s_dir!E18/((1/1000)*(s_Irr!D18+s_Irr!AB18+s_Irr!AZ18)),IF(AND(s_Irr!D18&lt;&gt;".",s_Irr!AB18&lt;&gt;".",s_Irr!AZ18="."),s_dir!E18/((1/1000)*(s_Irr!D18+s_Irr!AB18)),IF(AND(s_Irr!D18&lt;&gt;".",s_Irr!AB18=".",s_Irr!AZ18&lt;&gt;"."),s_dir!E18/((1/1000)*(s_Irr!D18+s_Irr!AZ18)),IF(AND(s_Irr!D18=".",s_Irr!AB18&lt;&gt;".",s_Irr!AZ18&lt;&gt;"."),s_dir!E18/((1/1000)*(s_Irr!AB18+s_Irr!AZ18)),IF(AND(s_Irr!D18=".",s_Irr!AB18=".",s_Irr!AZ18&lt;&gt;"."),s_dir!E18/((1/1000)*(s_Irr!AZ18)),IF(AND(s_Irr!D18=".",s_Irr!AB18&lt;&gt;".",s_Irr!AZ18="."),s_dir!E18/((1/1000)*(s_Irr!AB18)),IF(AND(s_Irr!D18&lt;&gt;".",s_Irr!AB18=".",s_Irr!AZ18="."),s_dir!E18/((1/1000)*(s_Irr!D18)),IF(AND(s_Irr!D18=".",s_Irr!AB18=".",s_Irr!AZ18="."),s_dir!E18*1000)))))))),".")</f>
        <v>38.7740919443347</v>
      </c>
      <c r="F18" s="48">
        <f>IFERROR(IF(AND(s_Irr!E18&lt;&gt;".",s_Irr!AC18&lt;&gt;".",s_Irr!BA18&lt;&gt;"."),s_dir!F18/((1/1000)*(s_Irr!E18+s_Irr!AC18+s_Irr!BA18)),IF(AND(s_Irr!E18&lt;&gt;".",s_Irr!AC18&lt;&gt;".",s_Irr!BA18="."),s_dir!F18/((1/1000)*(s_Irr!E18+s_Irr!AC18)),IF(AND(s_Irr!E18&lt;&gt;".",s_Irr!AC18=".",s_Irr!BA18&lt;&gt;"."),s_dir!F18/((1/1000)*(s_Irr!E18+s_Irr!BA18)),IF(AND(s_Irr!E18=".",s_Irr!AC18&lt;&gt;".",s_Irr!BA18&lt;&gt;"."),s_dir!F18/((1/1000)*(s_Irr!AC18+s_Irr!BA18)),IF(AND(s_Irr!E18=".",s_Irr!AC18=".",s_Irr!BA18&lt;&gt;"."),s_dir!F18/((1/1000)*(s_Irr!BA18)),IF(AND(s_Irr!E18=".",s_Irr!AC18&lt;&gt;".",s_Irr!BA18="."),s_dir!F18/((1/1000)*(s_Irr!AC18)),IF(AND(s_Irr!E18&lt;&gt;".",s_Irr!AC18=".",s_Irr!BA18="."),s_dir!F18/((1/1000)*(s_Irr!E18)),IF(AND(s_Irr!E18=".",s_Irr!AC18=".",s_Irr!BA18="."),s_dir!F18*1000)))))))),".")</f>
        <v>39.733454007359143</v>
      </c>
      <c r="G18" s="48">
        <f>IFERROR(IF(AND(s_Irr!F18&lt;&gt;".",s_Irr!AD18&lt;&gt;".",s_Irr!BB18&lt;&gt;"."),s_dir!G18/((1/1000)*(s_Irr!F18+s_Irr!AD18+s_Irr!BB18)),IF(AND(s_Irr!F18&lt;&gt;".",s_Irr!AD18&lt;&gt;".",s_Irr!BB18="."),s_dir!G18/((1/1000)*(s_Irr!F18+s_Irr!AD18)),IF(AND(s_Irr!F18&lt;&gt;".",s_Irr!AD18=".",s_Irr!BB18&lt;&gt;"."),s_dir!G18/((1/1000)*(s_Irr!F18+s_Irr!BB18)),IF(AND(s_Irr!F18=".",s_Irr!AD18&lt;&gt;".",s_Irr!BB18&lt;&gt;"."),s_dir!G18/((1/1000)*(s_Irr!AD18+s_Irr!BB18)),IF(AND(s_Irr!F18=".",s_Irr!AD18=".",s_Irr!BB18&lt;&gt;"."),s_dir!G18/((1/1000)*(s_Irr!BB18)),IF(AND(s_Irr!F18=".",s_Irr!AD18&lt;&gt;".",s_Irr!BB18="."),s_dir!G18/((1/1000)*(s_Irr!AD18)),IF(AND(s_Irr!F18&lt;&gt;".",s_Irr!AD18=".",s_Irr!BB18="."),s_dir!G18/((1/1000)*(s_Irr!F18)),IF(AND(s_Irr!F18=".",s_Irr!AD18=".",s_Irr!BB18="."),s_dir!G18*1000)))))))),".")</f>
        <v>43.500521608732512</v>
      </c>
      <c r="H18" s="48">
        <f>IFERROR(IF(AND(s_Irr!G18&lt;&gt;".",s_Irr!AE18&lt;&gt;".",s_Irr!BC18&lt;&gt;"."),s_dir!H18/((1/1000)*(s_Irr!G18+s_Irr!AE18+s_Irr!BC18)),IF(AND(s_Irr!G18&lt;&gt;".",s_Irr!AE18&lt;&gt;".",s_Irr!BC18="."),s_dir!H18/((1/1000)*(s_Irr!G18+s_Irr!AE18)),IF(AND(s_Irr!G18&lt;&gt;".",s_Irr!AE18=".",s_Irr!BC18&lt;&gt;"."),s_dir!H18/((1/1000)*(s_Irr!G18+s_Irr!BC18)),IF(AND(s_Irr!G18=".",s_Irr!AE18&lt;&gt;".",s_Irr!BC18&lt;&gt;"."),s_dir!H18/((1/1000)*(s_Irr!AE18+s_Irr!BC18)),IF(AND(s_Irr!G18=".",s_Irr!AE18=".",s_Irr!BC18&lt;&gt;"."),s_dir!H18/((1/1000)*(s_Irr!BC18)),IF(AND(s_Irr!G18=".",s_Irr!AE18&lt;&gt;".",s_Irr!BC18="."),s_dir!H18/((1/1000)*(s_Irr!AE18)),IF(AND(s_Irr!G18&lt;&gt;".",s_Irr!AE18=".",s_Irr!BC18="."),s_dir!H18/((1/1000)*(s_Irr!G18)),IF(AND(s_Irr!G18=".",s_Irr!AE18=".",s_Irr!BC18="."),s_dir!H18*1000)))))))),".")</f>
        <v>43.500521608732512</v>
      </c>
      <c r="I18" s="48">
        <f>IFERROR(IF(AND(s_Irr!H18&lt;&gt;".",s_Irr!AF18&lt;&gt;".",s_Irr!BD18&lt;&gt;"."),s_dir!I18/((1/1000)*(s_Irr!H18+s_Irr!AF18+s_Irr!BD18)),IF(AND(s_Irr!H18&lt;&gt;".",s_Irr!AF18&lt;&gt;".",s_Irr!BD18="."),s_dir!I18/((1/1000)*(s_Irr!H18+s_Irr!AF18)),IF(AND(s_Irr!H18&lt;&gt;".",s_Irr!AF18=".",s_Irr!BD18&lt;&gt;"."),s_dir!I18/((1/1000)*(s_Irr!H18+s_Irr!BD18)),IF(AND(s_Irr!H18=".",s_Irr!AF18&lt;&gt;".",s_Irr!BD18&lt;&gt;"."),s_dir!I18/((1/1000)*(s_Irr!AF18+s_Irr!BD18)),IF(AND(s_Irr!H18=".",s_Irr!AF18=".",s_Irr!BD18&lt;&gt;"."),s_dir!I18/((1/1000)*(s_Irr!BD18)),IF(AND(s_Irr!H18=".",s_Irr!AF18&lt;&gt;".",s_Irr!BD18="."),s_dir!I18/((1/1000)*(s_Irr!AF18)),IF(AND(s_Irr!H18&lt;&gt;".",s_Irr!AF18=".",s_Irr!BD18="."),s_dir!I18/((1/1000)*(s_Irr!H18)),IF(AND(s_Irr!H18=".",s_Irr!AF18=".",s_Irr!BD18="."),s_dir!I18*1000)))))))),".")</f>
        <v>38.7740919443347</v>
      </c>
      <c r="J18" s="48">
        <f>IFERROR(IF(AND(s_Irr!I18&lt;&gt;".",s_Irr!AG18&lt;&gt;".",s_Irr!BE18&lt;&gt;"."),s_dir!J18/((1/1000)*(s_Irr!I18+s_Irr!AG18+s_Irr!BE18)),IF(AND(s_Irr!I18&lt;&gt;".",s_Irr!AG18&lt;&gt;".",s_Irr!BE18="."),s_dir!J18/((1/1000)*(s_Irr!I18+s_Irr!AG18)),IF(AND(s_Irr!I18&lt;&gt;".",s_Irr!AG18=".",s_Irr!BE18&lt;&gt;"."),s_dir!J18/((1/1000)*(s_Irr!I18+s_Irr!BE18)),IF(AND(s_Irr!I18=".",s_Irr!AG18&lt;&gt;".",s_Irr!BE18&lt;&gt;"."),s_dir!J18/((1/1000)*(s_Irr!AG18+s_Irr!BE18)),IF(AND(s_Irr!I18=".",s_Irr!AG18=".",s_Irr!BE18&lt;&gt;"."),s_dir!J18/((1/1000)*(s_Irr!BE18)),IF(AND(s_Irr!I18=".",s_Irr!AG18&lt;&gt;".",s_Irr!BE18="."),s_dir!J18/((1/1000)*(s_Irr!AG18)),IF(AND(s_Irr!I18&lt;&gt;".",s_Irr!AG18=".",s_Irr!BE18="."),s_dir!J18/((1/1000)*(s_Irr!I18)),IF(AND(s_Irr!I18=".",s_Irr!AG18=".",s_Irr!BE18="."),s_dir!J18*1000)))))))),".")</f>
        <v>39.733454007359143</v>
      </c>
      <c r="K18" s="48">
        <f>IFERROR(IF(AND(s_Irr!J18&lt;&gt;".",s_Irr!AH18&lt;&gt;".",s_Irr!BF18&lt;&gt;"."),s_dir!K18/((1/1000)*(s_Irr!J18+s_Irr!AH18+s_Irr!BF18)),IF(AND(s_Irr!J18&lt;&gt;".",s_Irr!AH18&lt;&gt;".",s_Irr!BF18="."),s_dir!K18/((1/1000)*(s_Irr!J18+s_Irr!AH18)),IF(AND(s_Irr!J18&lt;&gt;".",s_Irr!AH18=".",s_Irr!BF18&lt;&gt;"."),s_dir!K18/((1/1000)*(s_Irr!J18+s_Irr!BF18)),IF(AND(s_Irr!J18=".",s_Irr!AH18&lt;&gt;".",s_Irr!BF18&lt;&gt;"."),s_dir!K18/((1/1000)*(s_Irr!AH18+s_Irr!BF18)),IF(AND(s_Irr!J18=".",s_Irr!AH18=".",s_Irr!BF18&lt;&gt;"."),s_dir!K18/((1/1000)*(s_Irr!BF18)),IF(AND(s_Irr!J18=".",s_Irr!AH18&lt;&gt;".",s_Irr!BF18="."),s_dir!K18/((1/1000)*(s_Irr!AH18)),IF(AND(s_Irr!J18&lt;&gt;".",s_Irr!AH18=".",s_Irr!BF18="."),s_dir!K18/((1/1000)*(s_Irr!J18)),IF(AND(s_Irr!J18=".",s_Irr!AH18=".",s_Irr!BF18="."),s_dir!K18*1000)))))))),".")</f>
        <v>43.500521608732512</v>
      </c>
      <c r="L18" s="48">
        <f>IFERROR(IF(AND(s_Irr!K18&lt;&gt;".",s_Irr!AI18&lt;&gt;".",s_Irr!BG18&lt;&gt;"."),s_dir!L18/((1/1000)*(s_Irr!K18+s_Irr!AI18+s_Irr!BG18)),IF(AND(s_Irr!K18&lt;&gt;".",s_Irr!AI18&lt;&gt;".",s_Irr!BG18="."),s_dir!L18/((1/1000)*(s_Irr!K18+s_Irr!AI18)),IF(AND(s_Irr!K18&lt;&gt;".",s_Irr!AI18=".",s_Irr!BG18&lt;&gt;"."),s_dir!L18/((1/1000)*(s_Irr!K18+s_Irr!BG18)),IF(AND(s_Irr!K18=".",s_Irr!AI18&lt;&gt;".",s_Irr!BG18&lt;&gt;"."),s_dir!L18/((1/1000)*(s_Irr!AI18+s_Irr!BG18)),IF(AND(s_Irr!K18=".",s_Irr!AI18=".",s_Irr!BG18&lt;&gt;"."),s_dir!L18/((1/1000)*(s_Irr!BG18)),IF(AND(s_Irr!K18=".",s_Irr!AI18&lt;&gt;".",s_Irr!BG18="."),s_dir!L18/((1/1000)*(s_Irr!AI18)),IF(AND(s_Irr!K18&lt;&gt;".",s_Irr!AI18=".",s_Irr!BG18="."),s_dir!L18/((1/1000)*(s_Irr!K18)),IF(AND(s_Irr!K18=".",s_Irr!AI18=".",s_Irr!BG18="."),s_dir!L18*1000)))))))),".")</f>
        <v>43.471082848465379</v>
      </c>
      <c r="M18" s="48">
        <f>IFERROR(IF(AND(s_Irr!L18&lt;&gt;".",s_Irr!AJ18&lt;&gt;".",s_Irr!BH18&lt;&gt;"."),s_dir!M18/((1/1000)*(s_Irr!L18+s_Irr!AJ18+s_Irr!BH18)),IF(AND(s_Irr!L18&lt;&gt;".",s_Irr!AJ18&lt;&gt;".",s_Irr!BH18="."),s_dir!M18/((1/1000)*(s_Irr!L18+s_Irr!AJ18)),IF(AND(s_Irr!L18&lt;&gt;".",s_Irr!AJ18=".",s_Irr!BH18&lt;&gt;"."),s_dir!M18/((1/1000)*(s_Irr!L18+s_Irr!BH18)),IF(AND(s_Irr!L18=".",s_Irr!AJ18&lt;&gt;".",s_Irr!BH18&lt;&gt;"."),s_dir!M18/((1/1000)*(s_Irr!AJ18+s_Irr!BH18)),IF(AND(s_Irr!L18=".",s_Irr!AJ18=".",s_Irr!BH18&lt;&gt;"."),s_dir!M18/((1/1000)*(s_Irr!BH18)),IF(AND(s_Irr!L18=".",s_Irr!AJ18&lt;&gt;".",s_Irr!BH18="."),s_dir!M18/((1/1000)*(s_Irr!AJ18)),IF(AND(s_Irr!L18&lt;&gt;".",s_Irr!AJ18=".",s_Irr!BH18="."),s_dir!M18/((1/1000)*(s_Irr!L18)),IF(AND(s_Irr!L18=".",s_Irr!AJ18=".",s_Irr!BH18="."),s_dir!M18*1000)))))))),".")</f>
        <v>43.500521608732512</v>
      </c>
      <c r="N18" s="48">
        <f>IFERROR(IF(AND(s_Irr!M18&lt;&gt;".",s_Irr!AK18&lt;&gt;".",s_Irr!BI18&lt;&gt;"."),s_dir!N18/((1/1000)*(s_Irr!M18+s_Irr!AK18+s_Irr!BI18)),IF(AND(s_Irr!M18&lt;&gt;".",s_Irr!AK18&lt;&gt;".",s_Irr!BI18="."),s_dir!N18/((1/1000)*(s_Irr!M18+s_Irr!AK18)),IF(AND(s_Irr!M18&lt;&gt;".",s_Irr!AK18=".",s_Irr!BI18&lt;&gt;"."),s_dir!N18/((1/1000)*(s_Irr!M18+s_Irr!BI18)),IF(AND(s_Irr!M18=".",s_Irr!AK18&lt;&gt;".",s_Irr!BI18&lt;&gt;"."),s_dir!N18/((1/1000)*(s_Irr!AK18+s_Irr!BI18)),IF(AND(s_Irr!M18=".",s_Irr!AK18=".",s_Irr!BI18&lt;&gt;"."),s_dir!N18/((1/1000)*(s_Irr!BI18)),IF(AND(s_Irr!M18=".",s_Irr!AK18&lt;&gt;".",s_Irr!BI18="."),s_dir!N18/((1/1000)*(s_Irr!AK18)),IF(AND(s_Irr!M18&lt;&gt;".",s_Irr!AK18=".",s_Irr!BI18="."),s_dir!N18/((1/1000)*(s_Irr!M18)),IF(AND(s_Irr!M18=".",s_Irr!AK18=".",s_Irr!BI18="."),s_dir!N18*1000)))))))),".")</f>
        <v>38.7740919443347</v>
      </c>
      <c r="O18" s="48">
        <f>IFERROR(IF(AND(s_Irr!N18&lt;&gt;".",s_Irr!AL18&lt;&gt;".",s_Irr!BJ18&lt;&gt;"."),s_dir!O18/((1/1000)*(s_Irr!N18+s_Irr!AL18+s_Irr!BJ18)),IF(AND(s_Irr!N18&lt;&gt;".",s_Irr!AL18&lt;&gt;".",s_Irr!BJ18="."),s_dir!O18/((1/1000)*(s_Irr!N18+s_Irr!AL18)),IF(AND(s_Irr!N18&lt;&gt;".",s_Irr!AL18=".",s_Irr!BJ18&lt;&gt;"."),s_dir!O18/((1/1000)*(s_Irr!N18+s_Irr!BJ18)),IF(AND(s_Irr!N18=".",s_Irr!AL18&lt;&gt;".",s_Irr!BJ18&lt;&gt;"."),s_dir!O18/((1/1000)*(s_Irr!AL18+s_Irr!BJ18)),IF(AND(s_Irr!N18=".",s_Irr!AL18=".",s_Irr!BJ18&lt;&gt;"."),s_dir!O18/((1/1000)*(s_Irr!BJ18)),IF(AND(s_Irr!N18=".",s_Irr!AL18&lt;&gt;".",s_Irr!BJ18="."),s_dir!O18/((1/1000)*(s_Irr!AL18)),IF(AND(s_Irr!N18&lt;&gt;".",s_Irr!AL18=".",s_Irr!BJ18="."),s_dir!O18/((1/1000)*(s_Irr!N18)),IF(AND(s_Irr!N18=".",s_Irr!AL18=".",s_Irr!BJ18="."),s_dir!O18*1000)))))))),".")</f>
        <v>43.449029913325383</v>
      </c>
      <c r="P18" s="48">
        <f>IFERROR(IF(AND(s_Irr!O18&lt;&gt;".",s_Irr!AM18&lt;&gt;".",s_Irr!BK18&lt;&gt;"."),s_dir!P18/((1/1000)*(s_Irr!O18+s_Irr!AM18+s_Irr!BK18)),IF(AND(s_Irr!O18&lt;&gt;".",s_Irr!AM18&lt;&gt;".",s_Irr!BK18="."),s_dir!P18/((1/1000)*(s_Irr!O18+s_Irr!AM18)),IF(AND(s_Irr!O18&lt;&gt;".",s_Irr!AM18=".",s_Irr!BK18&lt;&gt;"."),s_dir!P18/((1/1000)*(s_Irr!O18+s_Irr!BK18)),IF(AND(s_Irr!O18=".",s_Irr!AM18&lt;&gt;".",s_Irr!BK18&lt;&gt;"."),s_dir!P18/((1/1000)*(s_Irr!AM18+s_Irr!BK18)),IF(AND(s_Irr!O18=".",s_Irr!AM18=".",s_Irr!BK18&lt;&gt;"."),s_dir!P18/((1/1000)*(s_Irr!BK18)),IF(AND(s_Irr!O18=".",s_Irr!AM18&lt;&gt;".",s_Irr!BK18="."),s_dir!P18/((1/1000)*(s_Irr!AM18)),IF(AND(s_Irr!O18&lt;&gt;".",s_Irr!AM18=".",s_Irr!BK18="."),s_dir!P18/((1/1000)*(s_Irr!O18)),IF(AND(s_Irr!O18=".",s_Irr!AM18=".",s_Irr!BK18="."),s_dir!P18*1000)))))))),".")</f>
        <v>43.500521608732512</v>
      </c>
      <c r="Q18" s="48">
        <f>IFERROR(IF(AND(s_Irr!P18&lt;&gt;".",s_Irr!AN18&lt;&gt;".",s_Irr!BL18&lt;&gt;"."),s_dir!Q18/((1/1000)*(s_Irr!P18+s_Irr!AN18+s_Irr!BL18)),IF(AND(s_Irr!P18&lt;&gt;".",s_Irr!AN18&lt;&gt;".",s_Irr!BL18="."),s_dir!Q18/((1/1000)*(s_Irr!P18+s_Irr!AN18)),IF(AND(s_Irr!P18&lt;&gt;".",s_Irr!AN18=".",s_Irr!BL18&lt;&gt;"."),s_dir!Q18/((1/1000)*(s_Irr!P18+s_Irr!BL18)),IF(AND(s_Irr!P18=".",s_Irr!AN18&lt;&gt;".",s_Irr!BL18&lt;&gt;"."),s_dir!Q18/((1/1000)*(s_Irr!AN18+s_Irr!BL18)),IF(AND(s_Irr!P18=".",s_Irr!AN18=".",s_Irr!BL18&lt;&gt;"."),s_dir!Q18/((1/1000)*(s_Irr!BL18)),IF(AND(s_Irr!P18=".",s_Irr!AN18&lt;&gt;".",s_Irr!BL18="."),s_dir!Q18/((1/1000)*(s_Irr!AN18)),IF(AND(s_Irr!P18&lt;&gt;".",s_Irr!AN18=".",s_Irr!BL18="."),s_dir!Q18/((1/1000)*(s_Irr!P18)),IF(AND(s_Irr!P18=".",s_Irr!AN18=".",s_Irr!BL18="."),s_dir!Q18*1000)))))))),".")</f>
        <v>43.500521608732512</v>
      </c>
      <c r="R18" s="48">
        <f>IFERROR(IF(AND(s_Irr!Q18&lt;&gt;".",s_Irr!AO18&lt;&gt;".",s_Irr!BM18&lt;&gt;"."),s_dir!R18/((1/1000)*(s_Irr!Q18+s_Irr!AO18+s_Irr!BM18)),IF(AND(s_Irr!Q18&lt;&gt;".",s_Irr!AO18&lt;&gt;".",s_Irr!BM18="."),s_dir!R18/((1/1000)*(s_Irr!Q18+s_Irr!AO18)),IF(AND(s_Irr!Q18&lt;&gt;".",s_Irr!AO18=".",s_Irr!BM18&lt;&gt;"."),s_dir!R18/((1/1000)*(s_Irr!Q18+s_Irr!BM18)),IF(AND(s_Irr!Q18=".",s_Irr!AO18&lt;&gt;".",s_Irr!BM18&lt;&gt;"."),s_dir!R18/((1/1000)*(s_Irr!AO18+s_Irr!BM18)),IF(AND(s_Irr!Q18=".",s_Irr!AO18=".",s_Irr!BM18&lt;&gt;"."),s_dir!R18/((1/1000)*(s_Irr!BM18)),IF(AND(s_Irr!Q18=".",s_Irr!AO18&lt;&gt;".",s_Irr!BM18="."),s_dir!R18/((1/1000)*(s_Irr!AO18)),IF(AND(s_Irr!Q18&lt;&gt;".",s_Irr!AO18=".",s_Irr!BM18="."),s_dir!R18/((1/1000)*(s_Irr!Q18)),IF(AND(s_Irr!Q18=".",s_Irr!AO18=".",s_Irr!BM18="."),s_dir!R18*1000)))))))),".")</f>
        <v>43.500521608732512</v>
      </c>
      <c r="S18" s="48">
        <f>IFERROR(IF(AND(s_Irr!R18&lt;&gt;".",s_Irr!AP18&lt;&gt;".",s_Irr!BN18&lt;&gt;"."),s_dir!S18/((1/1000)*(s_Irr!R18+s_Irr!AP18+s_Irr!BN18)),IF(AND(s_Irr!R18&lt;&gt;".",s_Irr!AP18&lt;&gt;".",s_Irr!BN18="."),s_dir!S18/((1/1000)*(s_Irr!R18+s_Irr!AP18)),IF(AND(s_Irr!R18&lt;&gt;".",s_Irr!AP18=".",s_Irr!BN18&lt;&gt;"."),s_dir!S18/((1/1000)*(s_Irr!R18+s_Irr!BN18)),IF(AND(s_Irr!R18=".",s_Irr!AP18&lt;&gt;".",s_Irr!BN18&lt;&gt;"."),s_dir!S18/((1/1000)*(s_Irr!AP18+s_Irr!BN18)),IF(AND(s_Irr!R18=".",s_Irr!AP18=".",s_Irr!BN18&lt;&gt;"."),s_dir!S18/((1/1000)*(s_Irr!BN18)),IF(AND(s_Irr!R18=".",s_Irr!AP18&lt;&gt;".",s_Irr!BN18="."),s_dir!S18/((1/1000)*(s_Irr!AP18)),IF(AND(s_Irr!R18&lt;&gt;".",s_Irr!AP18=".",s_Irr!BN18="."),s_dir!S18/((1/1000)*(s_Irr!R18)),IF(AND(s_Irr!R18=".",s_Irr!AP18=".",s_Irr!BN18="."),s_dir!S18*1000)))))))),".")</f>
        <v>43.500521608732512</v>
      </c>
      <c r="T18" s="48">
        <f>IFERROR(IF(AND(s_Irr!S18&lt;&gt;".",s_Irr!AQ18&lt;&gt;".",s_Irr!BO18&lt;&gt;"."),s_dir!T18/((1/1000)*(s_Irr!S18+s_Irr!AQ18+s_Irr!BO18)),IF(AND(s_Irr!S18&lt;&gt;".",s_Irr!AQ18&lt;&gt;".",s_Irr!BO18="."),s_dir!T18/((1/1000)*(s_Irr!S18+s_Irr!AQ18)),IF(AND(s_Irr!S18&lt;&gt;".",s_Irr!AQ18=".",s_Irr!BO18&lt;&gt;"."),s_dir!T18/((1/1000)*(s_Irr!S18+s_Irr!BO18)),IF(AND(s_Irr!S18=".",s_Irr!AQ18&lt;&gt;".",s_Irr!BO18&lt;&gt;"."),s_dir!T18/((1/1000)*(s_Irr!AQ18+s_Irr!BO18)),IF(AND(s_Irr!S18=".",s_Irr!AQ18=".",s_Irr!BO18&lt;&gt;"."),s_dir!T18/((1/1000)*(s_Irr!BO18)),IF(AND(s_Irr!S18=".",s_Irr!AQ18&lt;&gt;".",s_Irr!BO18="."),s_dir!T18/((1/1000)*(s_Irr!AQ18)),IF(AND(s_Irr!S18&lt;&gt;".",s_Irr!AQ18=".",s_Irr!BO18="."),s_dir!T18/((1/1000)*(s_Irr!S18)),IF(AND(s_Irr!S18=".",s_Irr!AQ18=".",s_Irr!BO18="."),s_dir!T18*1000)))))))),".")</f>
        <v>43.449029913325383</v>
      </c>
      <c r="U18" s="48">
        <f>IFERROR(IF(AND(s_Irr!T18&lt;&gt;".",s_Irr!AR18&lt;&gt;".",s_Irr!BP18&lt;&gt;"."),s_dir!U18/((1/1000)*(s_Irr!T18+s_Irr!AR18+s_Irr!BP18)),IF(AND(s_Irr!T18&lt;&gt;".",s_Irr!AR18&lt;&gt;".",s_Irr!BP18="."),s_dir!U18/((1/1000)*(s_Irr!T18+s_Irr!AR18)),IF(AND(s_Irr!T18&lt;&gt;".",s_Irr!AR18=".",s_Irr!BP18&lt;&gt;"."),s_dir!U18/((1/1000)*(s_Irr!T18+s_Irr!BP18)),IF(AND(s_Irr!T18=".",s_Irr!AR18&lt;&gt;".",s_Irr!BP18&lt;&gt;"."),s_dir!U18/((1/1000)*(s_Irr!AR18+s_Irr!BP18)),IF(AND(s_Irr!T18=".",s_Irr!AR18=".",s_Irr!BP18&lt;&gt;"."),s_dir!U18/((1/1000)*(s_Irr!BP18)),IF(AND(s_Irr!T18=".",s_Irr!AR18&lt;&gt;".",s_Irr!BP18="."),s_dir!U18/((1/1000)*(s_Irr!AR18)),IF(AND(s_Irr!T18&lt;&gt;".",s_Irr!AR18=".",s_Irr!BP18="."),s_dir!U18/((1/1000)*(s_Irr!T18)),IF(AND(s_Irr!T18=".",s_Irr!AR18=".",s_Irr!BP18="."),s_dir!U18*1000)))))))),".")</f>
        <v>41.734116547734914</v>
      </c>
      <c r="V18" s="48">
        <f>IFERROR(IF(AND(s_Irr!U18&lt;&gt;".",s_Irr!AS18&lt;&gt;".",s_Irr!BQ18&lt;&gt;"."),s_dir!V18/((1/1000)*(s_Irr!U18+s_Irr!AS18+s_Irr!BQ18)),IF(AND(s_Irr!U18&lt;&gt;".",s_Irr!AS18&lt;&gt;".",s_Irr!BQ18="."),s_dir!V18/((1/1000)*(s_Irr!U18+s_Irr!AS18)),IF(AND(s_Irr!U18&lt;&gt;".",s_Irr!AS18=".",s_Irr!BQ18&lt;&gt;"."),s_dir!V18/((1/1000)*(s_Irr!U18+s_Irr!BQ18)),IF(AND(s_Irr!U18=".",s_Irr!AS18&lt;&gt;".",s_Irr!BQ18&lt;&gt;"."),s_dir!V18/((1/1000)*(s_Irr!AS18+s_Irr!BQ18)),IF(AND(s_Irr!U18=".",s_Irr!AS18=".",s_Irr!BQ18&lt;&gt;"."),s_dir!V18/((1/1000)*(s_Irr!BQ18)),IF(AND(s_Irr!U18=".",s_Irr!AS18&lt;&gt;".",s_Irr!BQ18="."),s_dir!V18/((1/1000)*(s_Irr!AS18)),IF(AND(s_Irr!U18&lt;&gt;".",s_Irr!AS18=".",s_Irr!BQ18="."),s_dir!V18/((1/1000)*(s_Irr!U18)),IF(AND(s_Irr!U18=".",s_Irr!AS18=".",s_Irr!BQ18="."),s_dir!V18*1000)))))))),".")</f>
        <v>43.500521608732512</v>
      </c>
      <c r="W18" s="48">
        <f>IFERROR(IF(AND(s_Irr!V18&lt;&gt;".",s_Irr!AT18&lt;&gt;".",s_Irr!BR18&lt;&gt;"."),s_dir!W18/((1/1000)*(s_Irr!V18+s_Irr!AT18+s_Irr!BR18)),IF(AND(s_Irr!V18&lt;&gt;".",s_Irr!AT18&lt;&gt;".",s_Irr!BR18="."),s_dir!W18/((1/1000)*(s_Irr!V18+s_Irr!AT18)),IF(AND(s_Irr!V18&lt;&gt;".",s_Irr!AT18=".",s_Irr!BR18&lt;&gt;"."),s_dir!W18/((1/1000)*(s_Irr!V18+s_Irr!BR18)),IF(AND(s_Irr!V18=".",s_Irr!AT18&lt;&gt;".",s_Irr!BR18&lt;&gt;"."),s_dir!W18/((1/1000)*(s_Irr!AT18+s_Irr!BR18)),IF(AND(s_Irr!V18=".",s_Irr!AT18=".",s_Irr!BR18&lt;&gt;"."),s_dir!W18/((1/1000)*(s_Irr!BR18)),IF(AND(s_Irr!V18=".",s_Irr!AT18&lt;&gt;".",s_Irr!BR18="."),s_dir!W18/((1/1000)*(s_Irr!AT18)),IF(AND(s_Irr!V18&lt;&gt;".",s_Irr!AT18=".",s_Irr!BR18="."),s_dir!W18/((1/1000)*(s_Irr!V18)),IF(AND(s_Irr!V18=".",s_Irr!AT18=".",s_Irr!BR18="."),s_dir!W18*1000)))))))),".")</f>
        <v>43.449029913325383</v>
      </c>
      <c r="X18" s="48">
        <f>IFERROR(IF(AND(s_Irr!W18&lt;&gt;".",s_Irr!AU18&lt;&gt;".",s_Irr!BS18&lt;&gt;"."),s_dir!X18/((1/1000)*(s_Irr!W18+s_Irr!AU18+s_Irr!BS18)),IF(AND(s_Irr!W18&lt;&gt;".",s_Irr!AU18&lt;&gt;".",s_Irr!BS18="."),s_dir!X18/((1/1000)*(s_Irr!W18+s_Irr!AU18)),IF(AND(s_Irr!W18&lt;&gt;".",s_Irr!AU18=".",s_Irr!BS18&lt;&gt;"."),s_dir!X18/((1/1000)*(s_Irr!W18+s_Irr!BS18)),IF(AND(s_Irr!W18=".",s_Irr!AU18&lt;&gt;".",s_Irr!BS18&lt;&gt;"."),s_dir!X18/((1/1000)*(s_Irr!AU18+s_Irr!BS18)),IF(AND(s_Irr!W18=".",s_Irr!AU18=".",s_Irr!BS18&lt;&gt;"."),s_dir!X18/((1/1000)*(s_Irr!BS18)),IF(AND(s_Irr!W18=".",s_Irr!AU18&lt;&gt;".",s_Irr!BS18="."),s_dir!X18/((1/1000)*(s_Irr!AU18)),IF(AND(s_Irr!W18&lt;&gt;".",s_Irr!AU18=".",s_Irr!BS18="."),s_dir!X18/((1/1000)*(s_Irr!W18)),IF(AND(s_Irr!W18=".",s_Irr!AU18=".",s_Irr!BS18="."),s_dir!X18*1000)))))))),".")</f>
        <v>43.500521608732512</v>
      </c>
      <c r="Y18" s="48">
        <f>IFERROR(IF(AND(s_Irr!X18&lt;&gt;".",s_Irr!AV18&lt;&gt;".",s_Irr!BT18&lt;&gt;"."),s_dir!Y18/((1/1000)*(s_Irr!X18+s_Irr!AV18+s_Irr!BT18)),IF(AND(s_Irr!X18&lt;&gt;".",s_Irr!AV18&lt;&gt;".",s_Irr!BT18="."),s_dir!Y18/((1/1000)*(s_Irr!X18+s_Irr!AV18)),IF(AND(s_Irr!X18&lt;&gt;".",s_Irr!AV18=".",s_Irr!BT18&lt;&gt;"."),s_dir!Y18/((1/1000)*(s_Irr!X18+s_Irr!BT18)),IF(AND(s_Irr!X18=".",s_Irr!AV18&lt;&gt;".",s_Irr!BT18&lt;&gt;"."),s_dir!Y18/((1/1000)*(s_Irr!AV18+s_Irr!BT18)),IF(AND(s_Irr!X18=".",s_Irr!AV18=".",s_Irr!BT18&lt;&gt;"."),s_dir!Y18/((1/1000)*(s_Irr!BT18)),IF(AND(s_Irr!X18=".",s_Irr!AV18&lt;&gt;".",s_Irr!BT18="."),s_dir!Y18/((1/1000)*(s_Irr!AV18)),IF(AND(s_Irr!X18&lt;&gt;".",s_Irr!AV18=".",s_Irr!BT18="."),s_dir!Y18/((1/1000)*(s_Irr!X18)),IF(AND(s_Irr!X18=".",s_Irr!AV18=".",s_Irr!BT18="."),s_dir!Y18*1000)))))))),".")</f>
        <v>43.500521608732512</v>
      </c>
      <c r="Z18" s="48">
        <f>IFERROR(IF(AND(s_Irr!Y18&lt;&gt;".",s_Irr!AW18&lt;&gt;".",s_Irr!BU18&lt;&gt;"."),s_dir!Z18/((1/1000)*(s_Irr!Y18+s_Irr!AW18+s_Irr!BU18)),IF(AND(s_Irr!Y18&lt;&gt;".",s_Irr!AW18&lt;&gt;".",s_Irr!BU18="."),s_dir!Z18/((1/1000)*(s_Irr!Y18+s_Irr!AW18)),IF(AND(s_Irr!Y18&lt;&gt;".",s_Irr!AW18=".",s_Irr!BU18&lt;&gt;"."),s_dir!Z18/((1/1000)*(s_Irr!Y18+s_Irr!BU18)),IF(AND(s_Irr!Y18=".",s_Irr!AW18&lt;&gt;".",s_Irr!BU18&lt;&gt;"."),s_dir!Z18/((1/1000)*(s_Irr!AW18+s_Irr!BU18)),IF(AND(s_Irr!Y18=".",s_Irr!AW18=".",s_Irr!BU18&lt;&gt;"."),s_dir!Z18/((1/1000)*(s_Irr!BU18)),IF(AND(s_Irr!Y18=".",s_Irr!AW18&lt;&gt;".",s_Irr!BU18="."),s_dir!Z18/((1/1000)*(s_Irr!AW18)),IF(AND(s_Irr!Y18&lt;&gt;".",s_Irr!AW18=".",s_Irr!BU18="."),s_dir!Z18/((1/1000)*(s_Irr!Y18)),IF(AND(s_Irr!Y18=".",s_Irr!AW18=".",s_Irr!BU18="."),s_dir!Z18*1000)))))))),".")</f>
        <v>35.752725382223296</v>
      </c>
      <c r="AA18" s="48">
        <f>IFERROR(IF(AND(s_Irr!Z18&lt;&gt;".",s_Irr!AX18&lt;&gt;".",s_Irr!BV18&lt;&gt;"."),s_dir!AA18/((1/1000)*(s_Irr!Z18+s_Irr!AX18+s_Irr!BV18)),IF(AND(s_Irr!Z18&lt;&gt;".",s_Irr!AX18&lt;&gt;".",s_Irr!BV18="."),s_dir!AA18/((1/1000)*(s_Irr!Z18+s_Irr!AX18)),IF(AND(s_Irr!Z18&lt;&gt;".",s_Irr!AX18=".",s_Irr!BV18&lt;&gt;"."),s_dir!AA18/((1/1000)*(s_Irr!Z18+s_Irr!BV18)),IF(AND(s_Irr!Z18=".",s_Irr!AX18&lt;&gt;".",s_Irr!BV18&lt;&gt;"."),s_dir!AA18/((1/1000)*(s_Irr!AX18+s_Irr!BV18)),IF(AND(s_Irr!Z18=".",s_Irr!AX18=".",s_Irr!BV18&lt;&gt;"."),s_dir!AA18/((1/1000)*(s_Irr!BV18)),IF(AND(s_Irr!Z18=".",s_Irr!AX18&lt;&gt;".",s_Irr!BV18="."),s_dir!AA18/((1/1000)*(s_Irr!AX18)),IF(AND(s_Irr!Z18&lt;&gt;".",s_Irr!AX18=".",s_Irr!BV18="."),s_dir!AA18/((1/1000)*(s_Irr!Z18)),IF(AND(s_Irr!Z18=".",s_Irr!AX18=".",s_Irr!BV18="."),s_dir!AA18*1000)))))))),".")</f>
        <v>43.471082848465379</v>
      </c>
      <c r="AB18" s="62">
        <f t="shared" si="3"/>
        <v>285.56727257609776</v>
      </c>
      <c r="AC18" s="62">
        <f>IFERROR(s_C*s_IFAP_res_adj*s_CF_apple*0.001*(s_Irr!C18+s_Irr!AA18+s_Irr!AY18),".")</f>
        <v>88.757645154967165</v>
      </c>
      <c r="AD18" s="62">
        <f>IFERROR(s_C*s_IFAS_res_adj*s_CF_asparagus*0.001*(s_Irr!D18+s_Irr!AB18+s_Irr!AZ18),".")</f>
        <v>99.576899609843579</v>
      </c>
      <c r="AE18" s="62">
        <f>IFERROR(s_C*s_IFBT_res_adj*s_CF_beet*0.001*(s_Irr!E18+s_Irr!AC18+s_Irr!BA18),".")</f>
        <v>97.172620842093266</v>
      </c>
      <c r="AF18" s="62">
        <f>IFERROR(s_C*s_IFBE_res_adj*s_CF_berries*0.001*(s_Irr!F18+s_Irr!AD18+s_Irr!BB18),".")</f>
        <v>88.757645154967165</v>
      </c>
      <c r="AG18" s="62">
        <f>IFERROR(s_C*s_IFBR_res_adj*s_CF_broccoli*0.001*(s_Irr!G18+s_Irr!AE18+s_Irr!BC18),".")</f>
        <v>88.757645154967165</v>
      </c>
      <c r="AH18" s="62">
        <f>IFERROR(s_C*s_IFCB_res_adj*s_CF_cabbage*0.001*(s_Irr!H18+s_Irr!AF18+s_Irr!BD18),".")</f>
        <v>99.576899609843579</v>
      </c>
      <c r="AI18" s="62">
        <f>IFERROR(s_C*s_IFCR_res_adj*s_CF_carrot*0.001*(s_Irr!I18+s_Irr!AG18+s_Irr!BE18),".")</f>
        <v>97.172620842093266</v>
      </c>
      <c r="AJ18" s="62">
        <f>IFERROR(s_C*s_IFCI_res_adj*s_CF_citrus*0.001*(s_Irr!J18+s_Irr!AH18+s_Irr!BF18),".")</f>
        <v>88.757645154967165</v>
      </c>
      <c r="AK18" s="62">
        <f>IFERROR(s_C*s_IFCO_res_adj*s_CF_corn*0.001*(s_Irr!K18+s_Irr!AI18+s_Irr!BG18),".")</f>
        <v>88.817752124160918</v>
      </c>
      <c r="AL18" s="62">
        <f>IFERROR(s_C*s_IFCU_res_adj*s_CF_cucumber*0.001*(s_Irr!L18+s_Irr!AJ18+s_Irr!BH18),".")</f>
        <v>88.757645154967165</v>
      </c>
      <c r="AM18" s="62">
        <f>IFERROR(s_C*s_IFLE_res_adj*s_CF_lettuce*0.001*(s_Irr!M18+s_Irr!AK18+s_Irr!BI18),".")</f>
        <v>99.576899609843579</v>
      </c>
      <c r="AN18" s="62">
        <f>IFERROR(s_C*s_IFLI_res_adj*s_CF_lima_bean*0.001*(s_Irr!N18+s_Irr!AL18+s_Irr!BJ18),".")</f>
        <v>88.862832351056241</v>
      </c>
      <c r="AO18" s="62">
        <f>IFERROR(s_C*s_IFOK_res_adj*s_CF_okra*0.001*(s_Irr!O18+s_Irr!AM18+s_Irr!BK18),".")</f>
        <v>88.757645154967165</v>
      </c>
      <c r="AP18" s="62">
        <f>IFERROR(s_C*s_IFON_res_adj*s_CF_onion*0.001*(s_Irr!P18+s_Irr!AN18+s_Irr!BL18),".")</f>
        <v>88.757645154967165</v>
      </c>
      <c r="AQ18" s="62">
        <f>IFERROR(s_C*s_IFPC_res_adj*s_CF_peach*0.001*(s_Irr!Q18+s_Irr!AO18+s_Irr!BM18),".")</f>
        <v>88.757645154967165</v>
      </c>
      <c r="AR18" s="62">
        <f>IFERROR(s_C*s_IFPR_res_adj*s_CF_pear*0.001*(s_Irr!R18+s_Irr!AP18+s_Irr!BN18),".")</f>
        <v>88.757645154967165</v>
      </c>
      <c r="AS18" s="62">
        <f>IFERROR(s_C*s_IFPE_res_adj*s_CF_peas*0.001*(s_Irr!S18+s_Irr!AQ18+s_Irr!BO18),".")</f>
        <v>88.862832351056241</v>
      </c>
      <c r="AT18" s="62">
        <f>IFERROR(s_C*s_IFPT_res_adj*s_CF_potato*0.001*(s_Irr!T18+s_Irr!AR18+s_Irr!BP18),".")</f>
        <v>92.514330729577026</v>
      </c>
      <c r="AU18" s="62">
        <f>IFERROR(s_C*s_IFPU_res_adj*s_CF_pumpkin*0.001*(s_Irr!U18+s_Irr!AS18+s_Irr!BQ18),".")</f>
        <v>88.757645154967165</v>
      </c>
      <c r="AV18" s="62">
        <f>IFERROR(s_C*s_IFSN_res_adj*s_CF_snap_bean*0.001*(s_Irr!V18+s_Irr!AT18+s_Irr!BR18),".")</f>
        <v>88.862832351056241</v>
      </c>
      <c r="AW18" s="62">
        <f>IFERROR(s_C*s_IFST_res_adj*s_CF_strawberry*0.001*(s_Irr!W18+s_Irr!AU18+s_Irr!BS18),".")</f>
        <v>88.757645154967165</v>
      </c>
      <c r="AX18" s="62">
        <f>IFERROR(s_C*s_IFTO_res_adj*s_CF_tomato*0.001*(s_Irr!X18+s_Irr!AV18+s_Irr!BT18),".")</f>
        <v>88.757645154967165</v>
      </c>
      <c r="AY18" s="62">
        <f>IFERROR(s_C*s_IFRI_res_adj*s_CF_rice*0.001*(s_Irr!Y18+s_Irr!AW18+s_Irr!BU18),".")</f>
        <v>107.99187529696968</v>
      </c>
      <c r="AZ18" s="62">
        <f>IFERROR(s_C*s_IFCG_res_adj*s_CF_cereal*0.001*(s_Irr!Z18+s_Irr!AX18+s_Irr!BV18),".")</f>
        <v>88.817752124160918</v>
      </c>
      <c r="BA18" s="48">
        <f t="shared" si="0"/>
        <v>13.520470417263882</v>
      </c>
      <c r="BB18" s="48">
        <f>IFERROR(IF(AND(s_Irr!C18&lt;&gt;".",s_Irr!AA18&lt;&gt;".",s_Irr!AY18&lt;&gt;"."),s_dir!AC18/((1/1000)*(s_Irr!C18+s_Irr!AA18+s_Irr!AY18)),IF(AND(s_Irr!C18&lt;&gt;".",s_Irr!AA18&lt;&gt;".",s_Irr!AY18="."),s_dir!AC18/((1/1000)*(s_Irr!C18+s_Irr!AA18)),IF(AND(s_Irr!C18&lt;&gt;".",s_Irr!AA18=".",s_Irr!AY18&lt;&gt;"."),s_dir!AC18/((1/1000)*(s_Irr!C18+s_Irr!AY18)),IF(AND(s_Irr!C18=".",s_Irr!AA18&lt;&gt;".",s_Irr!AY18&lt;&gt;"."),s_dir!AC18/((1/1000)*(s_Irr!AA18+s_Irr!AY18)),IF(AND(s_Irr!C18=".",s_Irr!AA18=".",s_Irr!AY18&lt;&gt;"."),s_dir!AC18/((1/1000)*(s_Irr!AY18)),IF(AND(s_Irr!C18=".",s_Irr!AA18&lt;&gt;".",s_Irr!AY18="."),s_dir!AC18/((1/1000)*(s_Irr!AA18)),IF(AND(s_Irr!C18&lt;&gt;".",s_Irr!AA18=".",s_Irr!AY18="."),s_dir!AC18/((1/1000)*(s_Irr!C18)),IF(AND(s_Irr!C18=".",s_Irr!AA18=".",s_Irr!AY18="."),s_dir!AC18*1000)))))))),".")</f>
        <v>43.500521608732512</v>
      </c>
      <c r="BC18" s="48">
        <f>IFERROR(IF(AND(s_Irr!D18&lt;&gt;".",s_Irr!AB18&lt;&gt;".",s_Irr!AZ18&lt;&gt;"."),s_dir!AD18/((1/1000)*(s_Irr!D18+s_Irr!AB18+s_Irr!AZ18)),IF(AND(s_Irr!D18&lt;&gt;".",s_Irr!AB18&lt;&gt;".",s_Irr!AZ18="."),s_dir!AD18/((1/1000)*(s_Irr!D18+s_Irr!AB18)),IF(AND(s_Irr!D18&lt;&gt;".",s_Irr!AB18=".",s_Irr!AZ18&lt;&gt;"."),s_dir!AD18/((1/1000)*(s_Irr!D18+s_Irr!AZ18)),IF(AND(s_Irr!D18=".",s_Irr!AB18&lt;&gt;".",s_Irr!AZ18&lt;&gt;"."),s_dir!AD18/((1/1000)*(s_Irr!AB18+s_Irr!AZ18)),IF(AND(s_Irr!D18=".",s_Irr!AB18=".",s_Irr!AZ18&lt;&gt;"."),s_dir!AD18/((1/1000)*(s_Irr!AZ18)),IF(AND(s_Irr!D18=".",s_Irr!AB18&lt;&gt;".",s_Irr!AZ18="."),s_dir!AD18/((1/1000)*(s_Irr!AB18)),IF(AND(s_Irr!D18&lt;&gt;".",s_Irr!AB18=".",s_Irr!AZ18="."),s_dir!AD18/((1/1000)*(s_Irr!D18)),IF(AND(s_Irr!D18=".",s_Irr!AB18=".",s_Irr!AZ18="."),s_dir!AD18*1000)))))))),".")</f>
        <v>38.7740919443347</v>
      </c>
      <c r="BD18" s="48">
        <f>IFERROR(IF(AND(s_Irr!E18&lt;&gt;".",s_Irr!AC18&lt;&gt;".",s_Irr!BA18&lt;&gt;"."),s_dir!AE18/((1/1000)*(s_Irr!E18+s_Irr!AC18+s_Irr!BA18)),IF(AND(s_Irr!E18&lt;&gt;".",s_Irr!AC18&lt;&gt;".",s_Irr!BA18="."),s_dir!AE18/((1/1000)*(s_Irr!E18+s_Irr!AC18)),IF(AND(s_Irr!E18&lt;&gt;".",s_Irr!AC18=".",s_Irr!BA18&lt;&gt;"."),s_dir!AE18/((1/1000)*(s_Irr!E18+s_Irr!BA18)),IF(AND(s_Irr!E18=".",s_Irr!AC18&lt;&gt;".",s_Irr!BA18&lt;&gt;"."),s_dir!AE18/((1/1000)*(s_Irr!AC18+s_Irr!BA18)),IF(AND(s_Irr!E18=".",s_Irr!AC18=".",s_Irr!BA18&lt;&gt;"."),s_dir!AE18/((1/1000)*(s_Irr!BA18)),IF(AND(s_Irr!E18=".",s_Irr!AC18&lt;&gt;".",s_Irr!BA18="."),s_dir!AE18/((1/1000)*(s_Irr!AC18)),IF(AND(s_Irr!E18&lt;&gt;".",s_Irr!AC18=".",s_Irr!BA18="."),s_dir!AE18/((1/1000)*(s_Irr!E18)),IF(AND(s_Irr!E18=".",s_Irr!AC18=".",s_Irr!BA18="."),s_dir!AE18*1000)))))))),".")</f>
        <v>39.733454007359143</v>
      </c>
      <c r="BE18" s="48">
        <f>IFERROR(IF(AND(s_Irr!F18&lt;&gt;".",s_Irr!AD18&lt;&gt;".",s_Irr!BB18&lt;&gt;"."),s_dir!AF18/((1/1000)*(s_Irr!F18+s_Irr!AD18+s_Irr!BB18)),IF(AND(s_Irr!F18&lt;&gt;".",s_Irr!AD18&lt;&gt;".",s_Irr!BB18="."),s_dir!AF18/((1/1000)*(s_Irr!F18+s_Irr!AD18)),IF(AND(s_Irr!F18&lt;&gt;".",s_Irr!AD18=".",s_Irr!BB18&lt;&gt;"."),s_dir!AF18/((1/1000)*(s_Irr!F18+s_Irr!BB18)),IF(AND(s_Irr!F18=".",s_Irr!AD18&lt;&gt;".",s_Irr!BB18&lt;&gt;"."),s_dir!AF18/((1/1000)*(s_Irr!AD18+s_Irr!BB18)),IF(AND(s_Irr!F18=".",s_Irr!AD18=".",s_Irr!BB18&lt;&gt;"."),s_dir!AF18/((1/1000)*(s_Irr!BB18)),IF(AND(s_Irr!F18=".",s_Irr!AD18&lt;&gt;".",s_Irr!BB18="."),s_dir!AF18/((1/1000)*(s_Irr!AD18)),IF(AND(s_Irr!F18&lt;&gt;".",s_Irr!AD18=".",s_Irr!BB18="."),s_dir!AF18/((1/1000)*(s_Irr!F18)),IF(AND(s_Irr!F18=".",s_Irr!AD18=".",s_Irr!BB18="."),s_dir!AF18*1000)))))))),".")</f>
        <v>43.500521608732512</v>
      </c>
      <c r="BF18" s="48">
        <f>IFERROR(IF(AND(s_Irr!G18&lt;&gt;".",s_Irr!AE18&lt;&gt;".",s_Irr!BC18&lt;&gt;"."),s_dir!AG18/((1/1000)*(s_Irr!G18+s_Irr!AE18+s_Irr!BC18)),IF(AND(s_Irr!G18&lt;&gt;".",s_Irr!AE18&lt;&gt;".",s_Irr!BC18="."),s_dir!AG18/((1/1000)*(s_Irr!G18+s_Irr!AE18)),IF(AND(s_Irr!G18&lt;&gt;".",s_Irr!AE18=".",s_Irr!BC18&lt;&gt;"."),s_dir!AG18/((1/1000)*(s_Irr!G18+s_Irr!BC18)),IF(AND(s_Irr!G18=".",s_Irr!AE18&lt;&gt;".",s_Irr!BC18&lt;&gt;"."),s_dir!AG18/((1/1000)*(s_Irr!AE18+s_Irr!BC18)),IF(AND(s_Irr!G18=".",s_Irr!AE18=".",s_Irr!BC18&lt;&gt;"."),s_dir!AG18/((1/1000)*(s_Irr!BC18)),IF(AND(s_Irr!G18=".",s_Irr!AE18&lt;&gt;".",s_Irr!BC18="."),s_dir!AG18/((1/1000)*(s_Irr!AE18)),IF(AND(s_Irr!G18&lt;&gt;".",s_Irr!AE18=".",s_Irr!BC18="."),s_dir!AG18/((1/1000)*(s_Irr!G18)),IF(AND(s_Irr!G18=".",s_Irr!AE18=".",s_Irr!BC18="."),s_dir!AG18*1000)))))))),".")</f>
        <v>43.500521608732512</v>
      </c>
      <c r="BG18" s="48">
        <f>IFERROR(IF(AND(s_Irr!H18&lt;&gt;".",s_Irr!AF18&lt;&gt;".",s_Irr!BD18&lt;&gt;"."),s_dir!AH18/((1/1000)*(s_Irr!H18+s_Irr!AF18+s_Irr!BD18)),IF(AND(s_Irr!H18&lt;&gt;".",s_Irr!AF18&lt;&gt;".",s_Irr!BD18="."),s_dir!AH18/((1/1000)*(s_Irr!H18+s_Irr!AF18)),IF(AND(s_Irr!H18&lt;&gt;".",s_Irr!AF18=".",s_Irr!BD18&lt;&gt;"."),s_dir!AH18/((1/1000)*(s_Irr!H18+s_Irr!BD18)),IF(AND(s_Irr!H18=".",s_Irr!AF18&lt;&gt;".",s_Irr!BD18&lt;&gt;"."),s_dir!AH18/((1/1000)*(s_Irr!AF18+s_Irr!BD18)),IF(AND(s_Irr!H18=".",s_Irr!AF18=".",s_Irr!BD18&lt;&gt;"."),s_dir!AH18/((1/1000)*(s_Irr!BD18)),IF(AND(s_Irr!H18=".",s_Irr!AF18&lt;&gt;".",s_Irr!BD18="."),s_dir!AH18/((1/1000)*(s_Irr!AF18)),IF(AND(s_Irr!H18&lt;&gt;".",s_Irr!AF18=".",s_Irr!BD18="."),s_dir!AH18/((1/1000)*(s_Irr!H18)),IF(AND(s_Irr!H18=".",s_Irr!AF18=".",s_Irr!BD18="."),s_dir!AH18*1000)))))))),".")</f>
        <v>38.7740919443347</v>
      </c>
      <c r="BH18" s="48">
        <f>IFERROR(IF(AND(s_Irr!I18&lt;&gt;".",s_Irr!AG18&lt;&gt;".",s_Irr!BE18&lt;&gt;"."),s_dir!AI18/((1/1000)*(s_Irr!I18+s_Irr!AG18+s_Irr!BE18)),IF(AND(s_Irr!I18&lt;&gt;".",s_Irr!AG18&lt;&gt;".",s_Irr!BE18="."),s_dir!AI18/((1/1000)*(s_Irr!I18+s_Irr!AG18)),IF(AND(s_Irr!I18&lt;&gt;".",s_Irr!AG18=".",s_Irr!BE18&lt;&gt;"."),s_dir!AI18/((1/1000)*(s_Irr!I18+s_Irr!BE18)),IF(AND(s_Irr!I18=".",s_Irr!AG18&lt;&gt;".",s_Irr!BE18&lt;&gt;"."),s_dir!AI18/((1/1000)*(s_Irr!AG18+s_Irr!BE18)),IF(AND(s_Irr!I18=".",s_Irr!AG18=".",s_Irr!BE18&lt;&gt;"."),s_dir!AI18/((1/1000)*(s_Irr!BE18)),IF(AND(s_Irr!I18=".",s_Irr!AG18&lt;&gt;".",s_Irr!BE18="."),s_dir!AI18/((1/1000)*(s_Irr!AG18)),IF(AND(s_Irr!I18&lt;&gt;".",s_Irr!AG18=".",s_Irr!BE18="."),s_dir!AI18/((1/1000)*(s_Irr!I18)),IF(AND(s_Irr!I18=".",s_Irr!AG18=".",s_Irr!BE18="."),s_dir!AI18*1000)))))))),".")</f>
        <v>39.733454007359143</v>
      </c>
      <c r="BI18" s="48">
        <f>IFERROR(IF(AND(s_Irr!J18&lt;&gt;".",s_Irr!AH18&lt;&gt;".",s_Irr!BF18&lt;&gt;"."),s_dir!AJ18/((1/1000)*(s_Irr!J18+s_Irr!AH18+s_Irr!BF18)),IF(AND(s_Irr!J18&lt;&gt;".",s_Irr!AH18&lt;&gt;".",s_Irr!BF18="."),s_dir!AJ18/((1/1000)*(s_Irr!J18+s_Irr!AH18)),IF(AND(s_Irr!J18&lt;&gt;".",s_Irr!AH18=".",s_Irr!BF18&lt;&gt;"."),s_dir!AJ18/((1/1000)*(s_Irr!J18+s_Irr!BF18)),IF(AND(s_Irr!J18=".",s_Irr!AH18&lt;&gt;".",s_Irr!BF18&lt;&gt;"."),s_dir!AJ18/((1/1000)*(s_Irr!AH18+s_Irr!BF18)),IF(AND(s_Irr!J18=".",s_Irr!AH18=".",s_Irr!BF18&lt;&gt;"."),s_dir!AJ18/((1/1000)*(s_Irr!BF18)),IF(AND(s_Irr!J18=".",s_Irr!AH18&lt;&gt;".",s_Irr!BF18="."),s_dir!AJ18/((1/1000)*(s_Irr!AH18)),IF(AND(s_Irr!J18&lt;&gt;".",s_Irr!AH18=".",s_Irr!BF18="."),s_dir!AJ18/((1/1000)*(s_Irr!J18)),IF(AND(s_Irr!J18=".",s_Irr!AH18=".",s_Irr!BF18="."),s_dir!AJ18*1000)))))))),".")</f>
        <v>43.500521608732512</v>
      </c>
      <c r="BJ18" s="48">
        <f>IFERROR(IF(AND(s_Irr!K18&lt;&gt;".",s_Irr!AI18&lt;&gt;".",s_Irr!BG18&lt;&gt;"."),s_dir!AK18/((1/1000)*(s_Irr!K18+s_Irr!AI18+s_Irr!BG18)),IF(AND(s_Irr!K18&lt;&gt;".",s_Irr!AI18&lt;&gt;".",s_Irr!BG18="."),s_dir!AK18/((1/1000)*(s_Irr!K18+s_Irr!AI18)),IF(AND(s_Irr!K18&lt;&gt;".",s_Irr!AI18=".",s_Irr!BG18&lt;&gt;"."),s_dir!AK18/((1/1000)*(s_Irr!K18+s_Irr!BG18)),IF(AND(s_Irr!K18=".",s_Irr!AI18&lt;&gt;".",s_Irr!BG18&lt;&gt;"."),s_dir!AK18/((1/1000)*(s_Irr!AI18+s_Irr!BG18)),IF(AND(s_Irr!K18=".",s_Irr!AI18=".",s_Irr!BG18&lt;&gt;"."),s_dir!AK18/((1/1000)*(s_Irr!BG18)),IF(AND(s_Irr!K18=".",s_Irr!AI18&lt;&gt;".",s_Irr!BG18="."),s_dir!AK18/((1/1000)*(s_Irr!AI18)),IF(AND(s_Irr!K18&lt;&gt;".",s_Irr!AI18=".",s_Irr!BG18="."),s_dir!AK18/((1/1000)*(s_Irr!K18)),IF(AND(s_Irr!K18=".",s_Irr!AI18=".",s_Irr!BG18="."),s_dir!AK18*1000)))))))),".")</f>
        <v>43.471082848465379</v>
      </c>
      <c r="BK18" s="48">
        <f>IFERROR(IF(AND(s_Irr!L18&lt;&gt;".",s_Irr!AJ18&lt;&gt;".",s_Irr!BH18&lt;&gt;"."),s_dir!AL18/((1/1000)*(s_Irr!L18+s_Irr!AJ18+s_Irr!BH18)),IF(AND(s_Irr!L18&lt;&gt;".",s_Irr!AJ18&lt;&gt;".",s_Irr!BH18="."),s_dir!AL18/((1/1000)*(s_Irr!L18+s_Irr!AJ18)),IF(AND(s_Irr!L18&lt;&gt;".",s_Irr!AJ18=".",s_Irr!BH18&lt;&gt;"."),s_dir!AL18/((1/1000)*(s_Irr!L18+s_Irr!BH18)),IF(AND(s_Irr!L18=".",s_Irr!AJ18&lt;&gt;".",s_Irr!BH18&lt;&gt;"."),s_dir!AL18/((1/1000)*(s_Irr!AJ18+s_Irr!BH18)),IF(AND(s_Irr!L18=".",s_Irr!AJ18=".",s_Irr!BH18&lt;&gt;"."),s_dir!AL18/((1/1000)*(s_Irr!BH18)),IF(AND(s_Irr!L18=".",s_Irr!AJ18&lt;&gt;".",s_Irr!BH18="."),s_dir!AL18/((1/1000)*(s_Irr!AJ18)),IF(AND(s_Irr!L18&lt;&gt;".",s_Irr!AJ18=".",s_Irr!BH18="."),s_dir!AL18/((1/1000)*(s_Irr!L18)),IF(AND(s_Irr!L18=".",s_Irr!AJ18=".",s_Irr!BH18="."),s_dir!AL18*1000)))))))),".")</f>
        <v>43.500521608732512</v>
      </c>
      <c r="BL18" s="48">
        <f>IFERROR(IF(AND(s_Irr!M18&lt;&gt;".",s_Irr!AK18&lt;&gt;".",s_Irr!BI18&lt;&gt;"."),s_dir!AM18/((1/1000)*(s_Irr!M18+s_Irr!AK18+s_Irr!BI18)),IF(AND(s_Irr!M18&lt;&gt;".",s_Irr!AK18&lt;&gt;".",s_Irr!BI18="."),s_dir!AM18/((1/1000)*(s_Irr!M18+s_Irr!AK18)),IF(AND(s_Irr!M18&lt;&gt;".",s_Irr!AK18=".",s_Irr!BI18&lt;&gt;"."),s_dir!AM18/((1/1000)*(s_Irr!M18+s_Irr!BI18)),IF(AND(s_Irr!M18=".",s_Irr!AK18&lt;&gt;".",s_Irr!BI18&lt;&gt;"."),s_dir!AM18/((1/1000)*(s_Irr!AK18+s_Irr!BI18)),IF(AND(s_Irr!M18=".",s_Irr!AK18=".",s_Irr!BI18&lt;&gt;"."),s_dir!AM18/((1/1000)*(s_Irr!BI18)),IF(AND(s_Irr!M18=".",s_Irr!AK18&lt;&gt;".",s_Irr!BI18="."),s_dir!AM18/((1/1000)*(s_Irr!AK18)),IF(AND(s_Irr!M18&lt;&gt;".",s_Irr!AK18=".",s_Irr!BI18="."),s_dir!AM18/((1/1000)*(s_Irr!M18)),IF(AND(s_Irr!M18=".",s_Irr!AK18=".",s_Irr!BI18="."),s_dir!AM18*1000)))))))),".")</f>
        <v>38.7740919443347</v>
      </c>
      <c r="BM18" s="48">
        <f>IFERROR(IF(AND(s_Irr!N18&lt;&gt;".",s_Irr!AL18&lt;&gt;".",s_Irr!BJ18&lt;&gt;"."),s_dir!AN18/((1/1000)*(s_Irr!N18+s_Irr!AL18+s_Irr!BJ18)),IF(AND(s_Irr!N18&lt;&gt;".",s_Irr!AL18&lt;&gt;".",s_Irr!BJ18="."),s_dir!AN18/((1/1000)*(s_Irr!N18+s_Irr!AL18)),IF(AND(s_Irr!N18&lt;&gt;".",s_Irr!AL18=".",s_Irr!BJ18&lt;&gt;"."),s_dir!AN18/((1/1000)*(s_Irr!N18+s_Irr!BJ18)),IF(AND(s_Irr!N18=".",s_Irr!AL18&lt;&gt;".",s_Irr!BJ18&lt;&gt;"."),s_dir!AN18/((1/1000)*(s_Irr!AL18+s_Irr!BJ18)),IF(AND(s_Irr!N18=".",s_Irr!AL18=".",s_Irr!BJ18&lt;&gt;"."),s_dir!AN18/((1/1000)*(s_Irr!BJ18)),IF(AND(s_Irr!N18=".",s_Irr!AL18&lt;&gt;".",s_Irr!BJ18="."),s_dir!AN18/((1/1000)*(s_Irr!AL18)),IF(AND(s_Irr!N18&lt;&gt;".",s_Irr!AL18=".",s_Irr!BJ18="."),s_dir!AN18/((1/1000)*(s_Irr!N18)),IF(AND(s_Irr!N18=".",s_Irr!AL18=".",s_Irr!BJ18="."),s_dir!AN18*1000)))))))),".")</f>
        <v>43.449029913325383</v>
      </c>
      <c r="BN18" s="48">
        <f>IFERROR(IF(AND(s_Irr!O18&lt;&gt;".",s_Irr!AM18&lt;&gt;".",s_Irr!BK18&lt;&gt;"."),s_dir!AO18/((1/1000)*(s_Irr!O18+s_Irr!AM18+s_Irr!BK18)),IF(AND(s_Irr!O18&lt;&gt;".",s_Irr!AM18&lt;&gt;".",s_Irr!BK18="."),s_dir!AO18/((1/1000)*(s_Irr!O18+s_Irr!AM18)),IF(AND(s_Irr!O18&lt;&gt;".",s_Irr!AM18=".",s_Irr!BK18&lt;&gt;"."),s_dir!AO18/((1/1000)*(s_Irr!O18+s_Irr!BK18)),IF(AND(s_Irr!O18=".",s_Irr!AM18&lt;&gt;".",s_Irr!BK18&lt;&gt;"."),s_dir!AO18/((1/1000)*(s_Irr!AM18+s_Irr!BK18)),IF(AND(s_Irr!O18=".",s_Irr!AM18=".",s_Irr!BK18&lt;&gt;"."),s_dir!AO18/((1/1000)*(s_Irr!BK18)),IF(AND(s_Irr!O18=".",s_Irr!AM18&lt;&gt;".",s_Irr!BK18="."),s_dir!AO18/((1/1000)*(s_Irr!AM18)),IF(AND(s_Irr!O18&lt;&gt;".",s_Irr!AM18=".",s_Irr!BK18="."),s_dir!AO18/((1/1000)*(s_Irr!O18)),IF(AND(s_Irr!O18=".",s_Irr!AM18=".",s_Irr!BK18="."),s_dir!AO18*1000)))))))),".")</f>
        <v>43.500521608732512</v>
      </c>
      <c r="BO18" s="48">
        <f>IFERROR(IF(AND(s_Irr!P18&lt;&gt;".",s_Irr!AN18&lt;&gt;".",s_Irr!BL18&lt;&gt;"."),s_dir!AP18/((1/1000)*(s_Irr!P18+s_Irr!AN18+s_Irr!BL18)),IF(AND(s_Irr!P18&lt;&gt;".",s_Irr!AN18&lt;&gt;".",s_Irr!BL18="."),s_dir!AP18/((1/1000)*(s_Irr!P18+s_Irr!AN18)),IF(AND(s_Irr!P18&lt;&gt;".",s_Irr!AN18=".",s_Irr!BL18&lt;&gt;"."),s_dir!AP18/((1/1000)*(s_Irr!P18+s_Irr!BL18)),IF(AND(s_Irr!P18=".",s_Irr!AN18&lt;&gt;".",s_Irr!BL18&lt;&gt;"."),s_dir!AP18/((1/1000)*(s_Irr!AN18+s_Irr!BL18)),IF(AND(s_Irr!P18=".",s_Irr!AN18=".",s_Irr!BL18&lt;&gt;"."),s_dir!AP18/((1/1000)*(s_Irr!BL18)),IF(AND(s_Irr!P18=".",s_Irr!AN18&lt;&gt;".",s_Irr!BL18="."),s_dir!AP18/((1/1000)*(s_Irr!AN18)),IF(AND(s_Irr!P18&lt;&gt;".",s_Irr!AN18=".",s_Irr!BL18="."),s_dir!AP18/((1/1000)*(s_Irr!P18)),IF(AND(s_Irr!P18=".",s_Irr!AN18=".",s_Irr!BL18="."),s_dir!AP18*1000)))))))),".")</f>
        <v>43.500521608732512</v>
      </c>
      <c r="BP18" s="48">
        <f>IFERROR(IF(AND(s_Irr!Q18&lt;&gt;".",s_Irr!AO18&lt;&gt;".",s_Irr!BM18&lt;&gt;"."),s_dir!AQ18/((1/1000)*(s_Irr!Q18+s_Irr!AO18+s_Irr!BM18)),IF(AND(s_Irr!Q18&lt;&gt;".",s_Irr!AO18&lt;&gt;".",s_Irr!BM18="."),s_dir!AQ18/((1/1000)*(s_Irr!Q18+s_Irr!AO18)),IF(AND(s_Irr!Q18&lt;&gt;".",s_Irr!AO18=".",s_Irr!BM18&lt;&gt;"."),s_dir!AQ18/((1/1000)*(s_Irr!Q18+s_Irr!BM18)),IF(AND(s_Irr!Q18=".",s_Irr!AO18&lt;&gt;".",s_Irr!BM18&lt;&gt;"."),s_dir!AQ18/((1/1000)*(s_Irr!AO18+s_Irr!BM18)),IF(AND(s_Irr!Q18=".",s_Irr!AO18=".",s_Irr!BM18&lt;&gt;"."),s_dir!AQ18/((1/1000)*(s_Irr!BM18)),IF(AND(s_Irr!Q18=".",s_Irr!AO18&lt;&gt;".",s_Irr!BM18="."),s_dir!AQ18/((1/1000)*(s_Irr!AO18)),IF(AND(s_Irr!Q18&lt;&gt;".",s_Irr!AO18=".",s_Irr!BM18="."),s_dir!AQ18/((1/1000)*(s_Irr!Q18)),IF(AND(s_Irr!Q18=".",s_Irr!AO18=".",s_Irr!BM18="."),s_dir!AQ18*1000)))))))),".")</f>
        <v>43.500521608732512</v>
      </c>
      <c r="BQ18" s="48">
        <f>IFERROR(IF(AND(s_Irr!R18&lt;&gt;".",s_Irr!AP18&lt;&gt;".",s_Irr!BN18&lt;&gt;"."),s_dir!AR18/((1/1000)*(s_Irr!R18+s_Irr!AP18+s_Irr!BN18)),IF(AND(s_Irr!R18&lt;&gt;".",s_Irr!AP18&lt;&gt;".",s_Irr!BN18="."),s_dir!AR18/((1/1000)*(s_Irr!R18+s_Irr!AP18)),IF(AND(s_Irr!R18&lt;&gt;".",s_Irr!AP18=".",s_Irr!BN18&lt;&gt;"."),s_dir!AR18/((1/1000)*(s_Irr!R18+s_Irr!BN18)),IF(AND(s_Irr!R18=".",s_Irr!AP18&lt;&gt;".",s_Irr!BN18&lt;&gt;"."),s_dir!AR18/((1/1000)*(s_Irr!AP18+s_Irr!BN18)),IF(AND(s_Irr!R18=".",s_Irr!AP18=".",s_Irr!BN18&lt;&gt;"."),s_dir!AR18/((1/1000)*(s_Irr!BN18)),IF(AND(s_Irr!R18=".",s_Irr!AP18&lt;&gt;".",s_Irr!BN18="."),s_dir!AR18/((1/1000)*(s_Irr!AP18)),IF(AND(s_Irr!R18&lt;&gt;".",s_Irr!AP18=".",s_Irr!BN18="."),s_dir!AR18/((1/1000)*(s_Irr!R18)),IF(AND(s_Irr!R18=".",s_Irr!AP18=".",s_Irr!BN18="."),s_dir!AR18*1000)))))))),".")</f>
        <v>43.500521608732512</v>
      </c>
      <c r="BR18" s="48">
        <f>IFERROR(IF(AND(s_Irr!S18&lt;&gt;".",s_Irr!AQ18&lt;&gt;".",s_Irr!BO18&lt;&gt;"."),s_dir!AS18/((1/1000)*(s_Irr!S18+s_Irr!AQ18+s_Irr!BO18)),IF(AND(s_Irr!S18&lt;&gt;".",s_Irr!AQ18&lt;&gt;".",s_Irr!BO18="."),s_dir!AS18/((1/1000)*(s_Irr!S18+s_Irr!AQ18)),IF(AND(s_Irr!S18&lt;&gt;".",s_Irr!AQ18=".",s_Irr!BO18&lt;&gt;"."),s_dir!AS18/((1/1000)*(s_Irr!S18+s_Irr!BO18)),IF(AND(s_Irr!S18=".",s_Irr!AQ18&lt;&gt;".",s_Irr!BO18&lt;&gt;"."),s_dir!AS18/((1/1000)*(s_Irr!AQ18+s_Irr!BO18)),IF(AND(s_Irr!S18=".",s_Irr!AQ18=".",s_Irr!BO18&lt;&gt;"."),s_dir!AS18/((1/1000)*(s_Irr!BO18)),IF(AND(s_Irr!S18=".",s_Irr!AQ18&lt;&gt;".",s_Irr!BO18="."),s_dir!AS18/((1/1000)*(s_Irr!AQ18)),IF(AND(s_Irr!S18&lt;&gt;".",s_Irr!AQ18=".",s_Irr!BO18="."),s_dir!AS18/((1/1000)*(s_Irr!S18)),IF(AND(s_Irr!S18=".",s_Irr!AQ18=".",s_Irr!BO18="."),s_dir!AS18*1000)))))))),".")</f>
        <v>43.449029913325383</v>
      </c>
      <c r="BS18" s="48">
        <f>IFERROR(IF(AND(s_Irr!T18&lt;&gt;".",s_Irr!AR18&lt;&gt;".",s_Irr!BP18&lt;&gt;"."),s_dir!AT18/((1/1000)*(s_Irr!T18+s_Irr!AR18+s_Irr!BP18)),IF(AND(s_Irr!T18&lt;&gt;".",s_Irr!AR18&lt;&gt;".",s_Irr!BP18="."),s_dir!AT18/((1/1000)*(s_Irr!T18+s_Irr!AR18)),IF(AND(s_Irr!T18&lt;&gt;".",s_Irr!AR18=".",s_Irr!BP18&lt;&gt;"."),s_dir!AT18/((1/1000)*(s_Irr!T18+s_Irr!BP18)),IF(AND(s_Irr!T18=".",s_Irr!AR18&lt;&gt;".",s_Irr!BP18&lt;&gt;"."),s_dir!AT18/((1/1000)*(s_Irr!AR18+s_Irr!BP18)),IF(AND(s_Irr!T18=".",s_Irr!AR18=".",s_Irr!BP18&lt;&gt;"."),s_dir!AT18/((1/1000)*(s_Irr!BP18)),IF(AND(s_Irr!T18=".",s_Irr!AR18&lt;&gt;".",s_Irr!BP18="."),s_dir!AT18/((1/1000)*(s_Irr!AR18)),IF(AND(s_Irr!T18&lt;&gt;".",s_Irr!AR18=".",s_Irr!BP18="."),s_dir!AT18/((1/1000)*(s_Irr!T18)),IF(AND(s_Irr!T18=".",s_Irr!AR18=".",s_Irr!BP18="."),s_dir!AT18*1000)))))))),".")</f>
        <v>41.734116547734914</v>
      </c>
      <c r="BT18" s="48">
        <f>IFERROR(IF(AND(s_Irr!U18&lt;&gt;".",s_Irr!AS18&lt;&gt;".",s_Irr!BQ18&lt;&gt;"."),s_dir!AU18/((1/1000)*(s_Irr!U18+s_Irr!AS18+s_Irr!BQ18)),IF(AND(s_Irr!U18&lt;&gt;".",s_Irr!AS18&lt;&gt;".",s_Irr!BQ18="."),s_dir!AU18/((1/1000)*(s_Irr!U18+s_Irr!AS18)),IF(AND(s_Irr!U18&lt;&gt;".",s_Irr!AS18=".",s_Irr!BQ18&lt;&gt;"."),s_dir!AU18/((1/1000)*(s_Irr!U18+s_Irr!BQ18)),IF(AND(s_Irr!U18=".",s_Irr!AS18&lt;&gt;".",s_Irr!BQ18&lt;&gt;"."),s_dir!AU18/((1/1000)*(s_Irr!AS18+s_Irr!BQ18)),IF(AND(s_Irr!U18=".",s_Irr!AS18=".",s_Irr!BQ18&lt;&gt;"."),s_dir!AU18/((1/1000)*(s_Irr!BQ18)),IF(AND(s_Irr!U18=".",s_Irr!AS18&lt;&gt;".",s_Irr!BQ18="."),s_dir!AU18/((1/1000)*(s_Irr!AS18)),IF(AND(s_Irr!U18&lt;&gt;".",s_Irr!AS18=".",s_Irr!BQ18="."),s_dir!AU18/((1/1000)*(s_Irr!U18)),IF(AND(s_Irr!U18=".",s_Irr!AS18=".",s_Irr!BQ18="."),s_dir!AU18*1000)))))))),".")</f>
        <v>43.500521608732512</v>
      </c>
      <c r="BU18" s="48">
        <f>IFERROR(IF(AND(s_Irr!V18&lt;&gt;".",s_Irr!AT18&lt;&gt;".",s_Irr!BR18&lt;&gt;"."),s_dir!AV18/((1/1000)*(s_Irr!V18+s_Irr!AT18+s_Irr!BR18)),IF(AND(s_Irr!V18&lt;&gt;".",s_Irr!AT18&lt;&gt;".",s_Irr!BR18="."),s_dir!AV18/((1/1000)*(s_Irr!V18+s_Irr!AT18)),IF(AND(s_Irr!V18&lt;&gt;".",s_Irr!AT18=".",s_Irr!BR18&lt;&gt;"."),s_dir!AV18/((1/1000)*(s_Irr!V18+s_Irr!BR18)),IF(AND(s_Irr!V18=".",s_Irr!AT18&lt;&gt;".",s_Irr!BR18&lt;&gt;"."),s_dir!AV18/((1/1000)*(s_Irr!AT18+s_Irr!BR18)),IF(AND(s_Irr!V18=".",s_Irr!AT18=".",s_Irr!BR18&lt;&gt;"."),s_dir!AV18/((1/1000)*(s_Irr!BR18)),IF(AND(s_Irr!V18=".",s_Irr!AT18&lt;&gt;".",s_Irr!BR18="."),s_dir!AV18/((1/1000)*(s_Irr!AT18)),IF(AND(s_Irr!V18&lt;&gt;".",s_Irr!AT18=".",s_Irr!BR18="."),s_dir!AV18/((1/1000)*(s_Irr!V18)),IF(AND(s_Irr!V18=".",s_Irr!AT18=".",s_Irr!BR18="."),s_dir!AV18*1000)))))))),".")</f>
        <v>43.449029913325383</v>
      </c>
      <c r="BV18" s="48">
        <f>IFERROR(IF(AND(s_Irr!W18&lt;&gt;".",s_Irr!AU18&lt;&gt;".",s_Irr!BS18&lt;&gt;"."),s_dir!AW18/((1/1000)*(s_Irr!W18+s_Irr!AU18+s_Irr!BS18)),IF(AND(s_Irr!W18&lt;&gt;".",s_Irr!AU18&lt;&gt;".",s_Irr!BS18="."),s_dir!AW18/((1/1000)*(s_Irr!W18+s_Irr!AU18)),IF(AND(s_Irr!W18&lt;&gt;".",s_Irr!AU18=".",s_Irr!BS18&lt;&gt;"."),s_dir!AW18/((1/1000)*(s_Irr!W18+s_Irr!BS18)),IF(AND(s_Irr!W18=".",s_Irr!AU18&lt;&gt;".",s_Irr!BS18&lt;&gt;"."),s_dir!AW18/((1/1000)*(s_Irr!AU18+s_Irr!BS18)),IF(AND(s_Irr!W18=".",s_Irr!AU18=".",s_Irr!BS18&lt;&gt;"."),s_dir!AW18/((1/1000)*(s_Irr!BS18)),IF(AND(s_Irr!W18=".",s_Irr!AU18&lt;&gt;".",s_Irr!BS18="."),s_dir!AW18/((1/1000)*(s_Irr!AU18)),IF(AND(s_Irr!W18&lt;&gt;".",s_Irr!AU18=".",s_Irr!BS18="."),s_dir!AW18/((1/1000)*(s_Irr!W18)),IF(AND(s_Irr!W18=".",s_Irr!AU18=".",s_Irr!BS18="."),s_dir!AW18*1000)))))))),".")</f>
        <v>43.500521608732512</v>
      </c>
      <c r="BW18" s="48">
        <f>IFERROR(IF(AND(s_Irr!X18&lt;&gt;".",s_Irr!AV18&lt;&gt;".",s_Irr!BT18&lt;&gt;"."),s_dir!AX18/((1/1000)*(s_Irr!X18+s_Irr!AV18+s_Irr!BT18)),IF(AND(s_Irr!X18&lt;&gt;".",s_Irr!AV18&lt;&gt;".",s_Irr!BT18="."),s_dir!AX18/((1/1000)*(s_Irr!X18+s_Irr!AV18)),IF(AND(s_Irr!X18&lt;&gt;".",s_Irr!AV18=".",s_Irr!BT18&lt;&gt;"."),s_dir!AX18/((1/1000)*(s_Irr!X18+s_Irr!BT18)),IF(AND(s_Irr!X18=".",s_Irr!AV18&lt;&gt;".",s_Irr!BT18&lt;&gt;"."),s_dir!AX18/((1/1000)*(s_Irr!AV18+s_Irr!BT18)),IF(AND(s_Irr!X18=".",s_Irr!AV18=".",s_Irr!BT18&lt;&gt;"."),s_dir!AX18/((1/1000)*(s_Irr!BT18)),IF(AND(s_Irr!X18=".",s_Irr!AV18&lt;&gt;".",s_Irr!BT18="."),s_dir!AX18/((1/1000)*(s_Irr!AV18)),IF(AND(s_Irr!X18&lt;&gt;".",s_Irr!AV18=".",s_Irr!BT18="."),s_dir!AX18/((1/1000)*(s_Irr!X18)),IF(AND(s_Irr!X18=".",s_Irr!AV18=".",s_Irr!BT18="."),s_dir!AX18*1000)))))))),".")</f>
        <v>43.500521608732512</v>
      </c>
      <c r="BX18" s="48">
        <f>IFERROR(IF(AND(s_Irr!Y18&lt;&gt;".",s_Irr!AW18&lt;&gt;".",s_Irr!BU18&lt;&gt;"."),s_dir!AY18/((1/1000)*(s_Irr!Y18+s_Irr!AW18+s_Irr!BU18)),IF(AND(s_Irr!Y18&lt;&gt;".",s_Irr!AW18&lt;&gt;".",s_Irr!BU18="."),s_dir!AY18/((1/1000)*(s_Irr!Y18+s_Irr!AW18)),IF(AND(s_Irr!Y18&lt;&gt;".",s_Irr!AW18=".",s_Irr!BU18&lt;&gt;"."),s_dir!AY18/((1/1000)*(s_Irr!Y18+s_Irr!BU18)),IF(AND(s_Irr!Y18=".",s_Irr!AW18&lt;&gt;".",s_Irr!BU18&lt;&gt;"."),s_dir!AY18/((1/1000)*(s_Irr!AW18+s_Irr!BU18)),IF(AND(s_Irr!Y18=".",s_Irr!AW18=".",s_Irr!BU18&lt;&gt;"."),s_dir!AY18/((1/1000)*(s_Irr!BU18)),IF(AND(s_Irr!Y18=".",s_Irr!AW18&lt;&gt;".",s_Irr!BU18="."),s_dir!AY18/((1/1000)*(s_Irr!AW18)),IF(AND(s_Irr!Y18&lt;&gt;".",s_Irr!AW18=".",s_Irr!BU18="."),s_dir!AY18/((1/1000)*(s_Irr!Y18)),IF(AND(s_Irr!Y18=".",s_Irr!AW18=".",s_Irr!BU18="."),s_dir!AY18*1000)))))))),".")</f>
        <v>35.752725382223296</v>
      </c>
      <c r="BY18" s="48">
        <f>IFERROR(IF(AND(s_Irr!Z18&lt;&gt;".",s_Irr!AX18&lt;&gt;".",s_Irr!BV18&lt;&gt;"."),s_dir!AZ18/((1/1000)*(s_Irr!Z18+s_Irr!AX18+s_Irr!BV18)),IF(AND(s_Irr!Z18&lt;&gt;".",s_Irr!AX18&lt;&gt;".",s_Irr!BV18="."),s_dir!AZ18/((1/1000)*(s_Irr!Z18+s_Irr!AX18)),IF(AND(s_Irr!Z18&lt;&gt;".",s_Irr!AX18=".",s_Irr!BV18&lt;&gt;"."),s_dir!AZ18/((1/1000)*(s_Irr!Z18+s_Irr!BV18)),IF(AND(s_Irr!Z18=".",s_Irr!AX18&lt;&gt;".",s_Irr!BV18&lt;&gt;"."),s_dir!AZ18/((1/1000)*(s_Irr!AX18+s_Irr!BV18)),IF(AND(s_Irr!Z18=".",s_Irr!AX18=".",s_Irr!BV18&lt;&gt;"."),s_dir!AZ18/((1/1000)*(s_Irr!BV18)),IF(AND(s_Irr!Z18=".",s_Irr!AX18&lt;&gt;".",s_Irr!BV18="."),s_dir!AZ18/((1/1000)*(s_Irr!AX18)),IF(AND(s_Irr!Z18&lt;&gt;".",s_Irr!AX18=".",s_Irr!BV18="."),s_dir!AZ18/((1/1000)*(s_Irr!Z18)),IF(AND(s_Irr!Z18=".",s_Irr!AX18=".",s_Irr!BV18="."),s_dir!AZ18*1000)))))))),".")</f>
        <v>43.471082848465379</v>
      </c>
      <c r="BZ18" s="62">
        <f t="shared" si="1"/>
        <v>285.56727257609776</v>
      </c>
      <c r="CA18" s="62">
        <f>IFERROR(s_C*s_IFAP_far_adj*s_CF_apple*(1/1000)*(s_Irr!C18+s_Irr!AA18+s_Irr!AY18),".")</f>
        <v>88.757645154967165</v>
      </c>
      <c r="CB18" s="62">
        <f>IFERROR(s_C*s_IFAS_far_adj*s_CF_asparagus*(1/1000)*(s_Irr!D18+s_Irr!AB18+s_Irr!AZ18),".")</f>
        <v>99.576899609843579</v>
      </c>
      <c r="CC18" s="62">
        <f>IFERROR(s_C*s_IFBT_far_adj*s_CF_beet*(1/1000)*(s_Irr!E18+s_Irr!AC18+s_Irr!BA18),".")</f>
        <v>97.172620842093266</v>
      </c>
      <c r="CD18" s="62">
        <f>IFERROR(s_C*s_IFBE_far_adj*s_CF_berries*(1/1000)*(s_Irr!F18+s_Irr!AD18+s_Irr!BB18),".")</f>
        <v>88.757645154967165</v>
      </c>
      <c r="CE18" s="62">
        <f>IFERROR(s_C*s_IFBR_far_adj*s_CF_broccoli*(1/1000)*(s_Irr!G18+s_Irr!AE18+s_Irr!BC18),".")</f>
        <v>88.757645154967165</v>
      </c>
      <c r="CF18" s="62">
        <f>IFERROR(s_C*s_IFCB_far_adj*s_CF_cabbage*(1/1000)*(s_Irr!H18+s_Irr!AF18+s_Irr!BD18),".")</f>
        <v>99.576899609843579</v>
      </c>
      <c r="CG18" s="62">
        <f>IFERROR(s_C*s_IFCR_far_adj*s_CF_carrot*(1/1000)*(s_Irr!I18+s_Irr!AG18+s_Irr!BE18),".")</f>
        <v>97.172620842093266</v>
      </c>
      <c r="CH18" s="62">
        <f>IFERROR(s_C*s_IFCI_far_adj*s_CF_citrus*(1/1000)*(s_Irr!J18+s_Irr!AH18+s_Irr!BF18),".")</f>
        <v>88.757645154967165</v>
      </c>
      <c r="CI18" s="62">
        <f>IFERROR(s_C*s_IFCO_far_adj*s_CF_corn*(1/1000)*(s_Irr!K18+s_Irr!AI18+s_Irr!BG18),".")</f>
        <v>88.817752124160918</v>
      </c>
      <c r="CJ18" s="62">
        <f>IFERROR(s_C*s_IFCU_far_adj*s_CF_cucumber*(1/1000)*(s_Irr!L18+s_Irr!AJ18+s_Irr!BH18),".")</f>
        <v>88.757645154967165</v>
      </c>
      <c r="CK18" s="62">
        <f>IFERROR(s_C*s_IFLE_far_adj*s_CF_lettuce*(1/1000)*(s_Irr!M18+s_Irr!AK18+s_Irr!BI18),".")</f>
        <v>99.576899609843579</v>
      </c>
      <c r="CL18" s="62">
        <f>IFERROR(s_C*s_IFLI_far_adj*s_CF_lima_bean*(1/1000)*(s_Irr!N18+s_Irr!AL18+s_Irr!BJ18),".")</f>
        <v>88.862832351056241</v>
      </c>
      <c r="CM18" s="62">
        <f>IFERROR(s_C*s_IFOK_far_adj*s_CF_okra*(1/1000)*(s_Irr!O18+s_Irr!AM18+s_Irr!BK18),".")</f>
        <v>88.757645154967165</v>
      </c>
      <c r="CN18" s="62">
        <f>IFERROR(s_C*s_IFON_far_adj*s_CF_onion*(1/1000)*(s_Irr!P18+s_Irr!AN18+s_Irr!BL18),".")</f>
        <v>88.757645154967165</v>
      </c>
      <c r="CO18" s="62">
        <f>IFERROR(s_C*s_IFPC_far_adj*s_CF_peach*(1/1000)*(s_Irr!Q18+s_Irr!AO18+s_Irr!BM18),".")</f>
        <v>88.757645154967165</v>
      </c>
      <c r="CP18" s="62">
        <f>IFERROR(s_C*s_IFPR_far_adj*s_CF_pear*(1/1000)*(s_Irr!R18+s_Irr!AP18+s_Irr!BN18),".")</f>
        <v>88.757645154967165</v>
      </c>
      <c r="CQ18" s="62">
        <f>IFERROR(s_C*s_IFPE_far_adj*s_CF_peas*(1/1000)*(s_Irr!S18+s_Irr!AQ18+s_Irr!BO18),".")</f>
        <v>88.862832351056241</v>
      </c>
      <c r="CR18" s="62">
        <f>IFERROR(s_C*s_IFPT_far_adj*s_CF_potato*(1/1000)*(s_Irr!T18+s_Irr!AR18+s_Irr!BP18),".")</f>
        <v>92.514330729577026</v>
      </c>
      <c r="CS18" s="62">
        <f>IFERROR(s_C*s_IFPU_far_adj*s_CF_pumpkin*(1/1000)*(s_Irr!U18+s_Irr!AS18+s_Irr!BQ18),".")</f>
        <v>88.757645154967165</v>
      </c>
      <c r="CT18" s="62">
        <f>IFERROR(s_C*s_IFSN_far_adj*s_CF_snap_bean*(1/1000)*(s_Irr!V18+s_Irr!AT18+s_Irr!BR18),".")</f>
        <v>88.862832351056241</v>
      </c>
      <c r="CU18" s="62">
        <f>IFERROR(s_C*s_IFST_far_adj*s_CF_strawberry*(1/1000)*(s_Irr!W18+s_Irr!AU18+s_Irr!BS18),".")</f>
        <v>88.757645154967165</v>
      </c>
      <c r="CV18" s="62">
        <f>IFERROR(s_C*s_IFTO_far_adj*s_CF_tomato*(1/1000)*(s_Irr!X18+s_Irr!AV18+s_Irr!BT18),".")</f>
        <v>88.757645154967165</v>
      </c>
      <c r="CW18" s="62">
        <f>IFERROR(s_C*s_IFRI_far_adj*s_CF_rice*(1/1000)*(s_Irr!Y18+s_Irr!AW18+s_Irr!BU18),".")</f>
        <v>107.99187529696968</v>
      </c>
      <c r="CX18" s="62">
        <f>IFERROR(s_C*s_IFCG_far_adj*s_CF_cereal*(1/1000)*(s_Irr!Z18+s_Irr!AX18+s_Irr!BV18),".")</f>
        <v>88.817752124160918</v>
      </c>
    </row>
    <row r="19" spans="1:102" ht="15" customHeight="1" x14ac:dyDescent="0.25">
      <c r="A19" s="61" t="s">
        <v>17</v>
      </c>
      <c r="B19" s="49" t="s">
        <v>1059</v>
      </c>
      <c r="C19" s="48" t="str">
        <f t="shared" si="2"/>
        <v>.</v>
      </c>
      <c r="D19" s="48" t="str">
        <f>IFERROR(IF(AND(s_Irr!C19&lt;&gt;".",s_Irr!AA19&lt;&gt;".",s_Irr!AY19&lt;&gt;"."),s_dir!D19/((1/1000)*(s_Irr!C19+s_Irr!AA19+s_Irr!AY19)),IF(AND(s_Irr!C19&lt;&gt;".",s_Irr!AA19&lt;&gt;".",s_Irr!AY19="."),s_dir!D19/((1/1000)*(s_Irr!C19+s_Irr!AA19)),IF(AND(s_Irr!C19&lt;&gt;".",s_Irr!AA19=".",s_Irr!AY19&lt;&gt;"."),s_dir!D19/((1/1000)*(s_Irr!C19+s_Irr!AY19)),IF(AND(s_Irr!C19=".",s_Irr!AA19&lt;&gt;".",s_Irr!AY19&lt;&gt;"."),s_dir!D19/((1/1000)*(s_Irr!AA19+s_Irr!AY19)),IF(AND(s_Irr!C19=".",s_Irr!AA19=".",s_Irr!AY19&lt;&gt;"."),s_dir!D19/((1/1000)*(s_Irr!AY19)),IF(AND(s_Irr!C19=".",s_Irr!AA19&lt;&gt;".",s_Irr!AY19="."),s_dir!D19/((1/1000)*(s_Irr!AA19)),IF(AND(s_Irr!C19&lt;&gt;".",s_Irr!AA19=".",s_Irr!AY19="."),s_dir!D19/((1/1000)*(s_Irr!C19)),IF(AND(s_Irr!C19=".",s_Irr!AA19=".",s_Irr!AY19="."),s_dir!D19*1000)))))))),".")</f>
        <v>.</v>
      </c>
      <c r="E19" s="48" t="str">
        <f>IFERROR(IF(AND(s_Irr!D19&lt;&gt;".",s_Irr!AB19&lt;&gt;".",s_Irr!AZ19&lt;&gt;"."),s_dir!E19/((1/1000)*(s_Irr!D19+s_Irr!AB19+s_Irr!AZ19)),IF(AND(s_Irr!D19&lt;&gt;".",s_Irr!AB19&lt;&gt;".",s_Irr!AZ19="."),s_dir!E19/((1/1000)*(s_Irr!D19+s_Irr!AB19)),IF(AND(s_Irr!D19&lt;&gt;".",s_Irr!AB19=".",s_Irr!AZ19&lt;&gt;"."),s_dir!E19/((1/1000)*(s_Irr!D19+s_Irr!AZ19)),IF(AND(s_Irr!D19=".",s_Irr!AB19&lt;&gt;".",s_Irr!AZ19&lt;&gt;"."),s_dir!E19/((1/1000)*(s_Irr!AB19+s_Irr!AZ19)),IF(AND(s_Irr!D19=".",s_Irr!AB19=".",s_Irr!AZ19&lt;&gt;"."),s_dir!E19/((1/1000)*(s_Irr!AZ19)),IF(AND(s_Irr!D19=".",s_Irr!AB19&lt;&gt;".",s_Irr!AZ19="."),s_dir!E19/((1/1000)*(s_Irr!AB19)),IF(AND(s_Irr!D19&lt;&gt;".",s_Irr!AB19=".",s_Irr!AZ19="."),s_dir!E19/((1/1000)*(s_Irr!D19)),IF(AND(s_Irr!D19=".",s_Irr!AB19=".",s_Irr!AZ19="."),s_dir!E19*1000)))))))),".")</f>
        <v>.</v>
      </c>
      <c r="F19" s="48" t="str">
        <f>IFERROR(IF(AND(s_Irr!E19&lt;&gt;".",s_Irr!AC19&lt;&gt;".",s_Irr!BA19&lt;&gt;"."),s_dir!F19/((1/1000)*(s_Irr!E19+s_Irr!AC19+s_Irr!BA19)),IF(AND(s_Irr!E19&lt;&gt;".",s_Irr!AC19&lt;&gt;".",s_Irr!BA19="."),s_dir!F19/((1/1000)*(s_Irr!E19+s_Irr!AC19)),IF(AND(s_Irr!E19&lt;&gt;".",s_Irr!AC19=".",s_Irr!BA19&lt;&gt;"."),s_dir!F19/((1/1000)*(s_Irr!E19+s_Irr!BA19)),IF(AND(s_Irr!E19=".",s_Irr!AC19&lt;&gt;".",s_Irr!BA19&lt;&gt;"."),s_dir!F19/((1/1000)*(s_Irr!AC19+s_Irr!BA19)),IF(AND(s_Irr!E19=".",s_Irr!AC19=".",s_Irr!BA19&lt;&gt;"."),s_dir!F19/((1/1000)*(s_Irr!BA19)),IF(AND(s_Irr!E19=".",s_Irr!AC19&lt;&gt;".",s_Irr!BA19="."),s_dir!F19/((1/1000)*(s_Irr!AC19)),IF(AND(s_Irr!E19&lt;&gt;".",s_Irr!AC19=".",s_Irr!BA19="."),s_dir!F19/((1/1000)*(s_Irr!E19)),IF(AND(s_Irr!E19=".",s_Irr!AC19=".",s_Irr!BA19="."),s_dir!F19*1000)))))))),".")</f>
        <v>.</v>
      </c>
      <c r="G19" s="48" t="str">
        <f>IFERROR(IF(AND(s_Irr!F19&lt;&gt;".",s_Irr!AD19&lt;&gt;".",s_Irr!BB19&lt;&gt;"."),s_dir!G19/((1/1000)*(s_Irr!F19+s_Irr!AD19+s_Irr!BB19)),IF(AND(s_Irr!F19&lt;&gt;".",s_Irr!AD19&lt;&gt;".",s_Irr!BB19="."),s_dir!G19/((1/1000)*(s_Irr!F19+s_Irr!AD19)),IF(AND(s_Irr!F19&lt;&gt;".",s_Irr!AD19=".",s_Irr!BB19&lt;&gt;"."),s_dir!G19/((1/1000)*(s_Irr!F19+s_Irr!BB19)),IF(AND(s_Irr!F19=".",s_Irr!AD19&lt;&gt;".",s_Irr!BB19&lt;&gt;"."),s_dir!G19/((1/1000)*(s_Irr!AD19+s_Irr!BB19)),IF(AND(s_Irr!F19=".",s_Irr!AD19=".",s_Irr!BB19&lt;&gt;"."),s_dir!G19/((1/1000)*(s_Irr!BB19)),IF(AND(s_Irr!F19=".",s_Irr!AD19&lt;&gt;".",s_Irr!BB19="."),s_dir!G19/((1/1000)*(s_Irr!AD19)),IF(AND(s_Irr!F19&lt;&gt;".",s_Irr!AD19=".",s_Irr!BB19="."),s_dir!G19/((1/1000)*(s_Irr!F19)),IF(AND(s_Irr!F19=".",s_Irr!AD19=".",s_Irr!BB19="."),s_dir!G19*1000)))))))),".")</f>
        <v>.</v>
      </c>
      <c r="H19" s="48" t="str">
        <f>IFERROR(IF(AND(s_Irr!G19&lt;&gt;".",s_Irr!AE19&lt;&gt;".",s_Irr!BC19&lt;&gt;"."),s_dir!H19/((1/1000)*(s_Irr!G19+s_Irr!AE19+s_Irr!BC19)),IF(AND(s_Irr!G19&lt;&gt;".",s_Irr!AE19&lt;&gt;".",s_Irr!BC19="."),s_dir!H19/((1/1000)*(s_Irr!G19+s_Irr!AE19)),IF(AND(s_Irr!G19&lt;&gt;".",s_Irr!AE19=".",s_Irr!BC19&lt;&gt;"."),s_dir!H19/((1/1000)*(s_Irr!G19+s_Irr!BC19)),IF(AND(s_Irr!G19=".",s_Irr!AE19&lt;&gt;".",s_Irr!BC19&lt;&gt;"."),s_dir!H19/((1/1000)*(s_Irr!AE19+s_Irr!BC19)),IF(AND(s_Irr!G19=".",s_Irr!AE19=".",s_Irr!BC19&lt;&gt;"."),s_dir!H19/((1/1000)*(s_Irr!BC19)),IF(AND(s_Irr!G19=".",s_Irr!AE19&lt;&gt;".",s_Irr!BC19="."),s_dir!H19/((1/1000)*(s_Irr!AE19)),IF(AND(s_Irr!G19&lt;&gt;".",s_Irr!AE19=".",s_Irr!BC19="."),s_dir!H19/((1/1000)*(s_Irr!G19)),IF(AND(s_Irr!G19=".",s_Irr!AE19=".",s_Irr!BC19="."),s_dir!H19*1000)))))))),".")</f>
        <v>.</v>
      </c>
      <c r="I19" s="48" t="str">
        <f>IFERROR(IF(AND(s_Irr!H19&lt;&gt;".",s_Irr!AF19&lt;&gt;".",s_Irr!BD19&lt;&gt;"."),s_dir!I19/((1/1000)*(s_Irr!H19+s_Irr!AF19+s_Irr!BD19)),IF(AND(s_Irr!H19&lt;&gt;".",s_Irr!AF19&lt;&gt;".",s_Irr!BD19="."),s_dir!I19/((1/1000)*(s_Irr!H19+s_Irr!AF19)),IF(AND(s_Irr!H19&lt;&gt;".",s_Irr!AF19=".",s_Irr!BD19&lt;&gt;"."),s_dir!I19/((1/1000)*(s_Irr!H19+s_Irr!BD19)),IF(AND(s_Irr!H19=".",s_Irr!AF19&lt;&gt;".",s_Irr!BD19&lt;&gt;"."),s_dir!I19/((1/1000)*(s_Irr!AF19+s_Irr!BD19)),IF(AND(s_Irr!H19=".",s_Irr!AF19=".",s_Irr!BD19&lt;&gt;"."),s_dir!I19/((1/1000)*(s_Irr!BD19)),IF(AND(s_Irr!H19=".",s_Irr!AF19&lt;&gt;".",s_Irr!BD19="."),s_dir!I19/((1/1000)*(s_Irr!AF19)),IF(AND(s_Irr!H19&lt;&gt;".",s_Irr!AF19=".",s_Irr!BD19="."),s_dir!I19/((1/1000)*(s_Irr!H19)),IF(AND(s_Irr!H19=".",s_Irr!AF19=".",s_Irr!BD19="."),s_dir!I19*1000)))))))),".")</f>
        <v>.</v>
      </c>
      <c r="J19" s="48" t="str">
        <f>IFERROR(IF(AND(s_Irr!I19&lt;&gt;".",s_Irr!AG19&lt;&gt;".",s_Irr!BE19&lt;&gt;"."),s_dir!J19/((1/1000)*(s_Irr!I19+s_Irr!AG19+s_Irr!BE19)),IF(AND(s_Irr!I19&lt;&gt;".",s_Irr!AG19&lt;&gt;".",s_Irr!BE19="."),s_dir!J19/((1/1000)*(s_Irr!I19+s_Irr!AG19)),IF(AND(s_Irr!I19&lt;&gt;".",s_Irr!AG19=".",s_Irr!BE19&lt;&gt;"."),s_dir!J19/((1/1000)*(s_Irr!I19+s_Irr!BE19)),IF(AND(s_Irr!I19=".",s_Irr!AG19&lt;&gt;".",s_Irr!BE19&lt;&gt;"."),s_dir!J19/((1/1000)*(s_Irr!AG19+s_Irr!BE19)),IF(AND(s_Irr!I19=".",s_Irr!AG19=".",s_Irr!BE19&lt;&gt;"."),s_dir!J19/((1/1000)*(s_Irr!BE19)),IF(AND(s_Irr!I19=".",s_Irr!AG19&lt;&gt;".",s_Irr!BE19="."),s_dir!J19/((1/1000)*(s_Irr!AG19)),IF(AND(s_Irr!I19&lt;&gt;".",s_Irr!AG19=".",s_Irr!BE19="."),s_dir!J19/((1/1000)*(s_Irr!I19)),IF(AND(s_Irr!I19=".",s_Irr!AG19=".",s_Irr!BE19="."),s_dir!J19*1000)))))))),".")</f>
        <v>.</v>
      </c>
      <c r="K19" s="48" t="str">
        <f>IFERROR(IF(AND(s_Irr!J19&lt;&gt;".",s_Irr!AH19&lt;&gt;".",s_Irr!BF19&lt;&gt;"."),s_dir!K19/((1/1000)*(s_Irr!J19+s_Irr!AH19+s_Irr!BF19)),IF(AND(s_Irr!J19&lt;&gt;".",s_Irr!AH19&lt;&gt;".",s_Irr!BF19="."),s_dir!K19/((1/1000)*(s_Irr!J19+s_Irr!AH19)),IF(AND(s_Irr!J19&lt;&gt;".",s_Irr!AH19=".",s_Irr!BF19&lt;&gt;"."),s_dir!K19/((1/1000)*(s_Irr!J19+s_Irr!BF19)),IF(AND(s_Irr!J19=".",s_Irr!AH19&lt;&gt;".",s_Irr!BF19&lt;&gt;"."),s_dir!K19/((1/1000)*(s_Irr!AH19+s_Irr!BF19)),IF(AND(s_Irr!J19=".",s_Irr!AH19=".",s_Irr!BF19&lt;&gt;"."),s_dir!K19/((1/1000)*(s_Irr!BF19)),IF(AND(s_Irr!J19=".",s_Irr!AH19&lt;&gt;".",s_Irr!BF19="."),s_dir!K19/((1/1000)*(s_Irr!AH19)),IF(AND(s_Irr!J19&lt;&gt;".",s_Irr!AH19=".",s_Irr!BF19="."),s_dir!K19/((1/1000)*(s_Irr!J19)),IF(AND(s_Irr!J19=".",s_Irr!AH19=".",s_Irr!BF19="."),s_dir!K19*1000)))))))),".")</f>
        <v>.</v>
      </c>
      <c r="L19" s="48" t="str">
        <f>IFERROR(IF(AND(s_Irr!K19&lt;&gt;".",s_Irr!AI19&lt;&gt;".",s_Irr!BG19&lt;&gt;"."),s_dir!L19/((1/1000)*(s_Irr!K19+s_Irr!AI19+s_Irr!BG19)),IF(AND(s_Irr!K19&lt;&gt;".",s_Irr!AI19&lt;&gt;".",s_Irr!BG19="."),s_dir!L19/((1/1000)*(s_Irr!K19+s_Irr!AI19)),IF(AND(s_Irr!K19&lt;&gt;".",s_Irr!AI19=".",s_Irr!BG19&lt;&gt;"."),s_dir!L19/((1/1000)*(s_Irr!K19+s_Irr!BG19)),IF(AND(s_Irr!K19=".",s_Irr!AI19&lt;&gt;".",s_Irr!BG19&lt;&gt;"."),s_dir!L19/((1/1000)*(s_Irr!AI19+s_Irr!BG19)),IF(AND(s_Irr!K19=".",s_Irr!AI19=".",s_Irr!BG19&lt;&gt;"."),s_dir!L19/((1/1000)*(s_Irr!BG19)),IF(AND(s_Irr!K19=".",s_Irr!AI19&lt;&gt;".",s_Irr!BG19="."),s_dir!L19/((1/1000)*(s_Irr!AI19)),IF(AND(s_Irr!K19&lt;&gt;".",s_Irr!AI19=".",s_Irr!BG19="."),s_dir!L19/((1/1000)*(s_Irr!K19)),IF(AND(s_Irr!K19=".",s_Irr!AI19=".",s_Irr!BG19="."),s_dir!L19*1000)))))))),".")</f>
        <v>.</v>
      </c>
      <c r="M19" s="48" t="str">
        <f>IFERROR(IF(AND(s_Irr!L19&lt;&gt;".",s_Irr!AJ19&lt;&gt;".",s_Irr!BH19&lt;&gt;"."),s_dir!M19/((1/1000)*(s_Irr!L19+s_Irr!AJ19+s_Irr!BH19)),IF(AND(s_Irr!L19&lt;&gt;".",s_Irr!AJ19&lt;&gt;".",s_Irr!BH19="."),s_dir!M19/((1/1000)*(s_Irr!L19+s_Irr!AJ19)),IF(AND(s_Irr!L19&lt;&gt;".",s_Irr!AJ19=".",s_Irr!BH19&lt;&gt;"."),s_dir!M19/((1/1000)*(s_Irr!L19+s_Irr!BH19)),IF(AND(s_Irr!L19=".",s_Irr!AJ19&lt;&gt;".",s_Irr!BH19&lt;&gt;"."),s_dir!M19/((1/1000)*(s_Irr!AJ19+s_Irr!BH19)),IF(AND(s_Irr!L19=".",s_Irr!AJ19=".",s_Irr!BH19&lt;&gt;"."),s_dir!M19/((1/1000)*(s_Irr!BH19)),IF(AND(s_Irr!L19=".",s_Irr!AJ19&lt;&gt;".",s_Irr!BH19="."),s_dir!M19/((1/1000)*(s_Irr!AJ19)),IF(AND(s_Irr!L19&lt;&gt;".",s_Irr!AJ19=".",s_Irr!BH19="."),s_dir!M19/((1/1000)*(s_Irr!L19)),IF(AND(s_Irr!L19=".",s_Irr!AJ19=".",s_Irr!BH19="."),s_dir!M19*1000)))))))),".")</f>
        <v>.</v>
      </c>
      <c r="N19" s="48" t="str">
        <f>IFERROR(IF(AND(s_Irr!M19&lt;&gt;".",s_Irr!AK19&lt;&gt;".",s_Irr!BI19&lt;&gt;"."),s_dir!N19/((1/1000)*(s_Irr!M19+s_Irr!AK19+s_Irr!BI19)),IF(AND(s_Irr!M19&lt;&gt;".",s_Irr!AK19&lt;&gt;".",s_Irr!BI19="."),s_dir!N19/((1/1000)*(s_Irr!M19+s_Irr!AK19)),IF(AND(s_Irr!M19&lt;&gt;".",s_Irr!AK19=".",s_Irr!BI19&lt;&gt;"."),s_dir!N19/((1/1000)*(s_Irr!M19+s_Irr!BI19)),IF(AND(s_Irr!M19=".",s_Irr!AK19&lt;&gt;".",s_Irr!BI19&lt;&gt;"."),s_dir!N19/((1/1000)*(s_Irr!AK19+s_Irr!BI19)),IF(AND(s_Irr!M19=".",s_Irr!AK19=".",s_Irr!BI19&lt;&gt;"."),s_dir!N19/((1/1000)*(s_Irr!BI19)),IF(AND(s_Irr!M19=".",s_Irr!AK19&lt;&gt;".",s_Irr!BI19="."),s_dir!N19/((1/1000)*(s_Irr!AK19)),IF(AND(s_Irr!M19&lt;&gt;".",s_Irr!AK19=".",s_Irr!BI19="."),s_dir!N19/((1/1000)*(s_Irr!M19)),IF(AND(s_Irr!M19=".",s_Irr!AK19=".",s_Irr!BI19="."),s_dir!N19*1000)))))))),".")</f>
        <v>.</v>
      </c>
      <c r="O19" s="48" t="str">
        <f>IFERROR(IF(AND(s_Irr!N19&lt;&gt;".",s_Irr!AL19&lt;&gt;".",s_Irr!BJ19&lt;&gt;"."),s_dir!O19/((1/1000)*(s_Irr!N19+s_Irr!AL19+s_Irr!BJ19)),IF(AND(s_Irr!N19&lt;&gt;".",s_Irr!AL19&lt;&gt;".",s_Irr!BJ19="."),s_dir!O19/((1/1000)*(s_Irr!N19+s_Irr!AL19)),IF(AND(s_Irr!N19&lt;&gt;".",s_Irr!AL19=".",s_Irr!BJ19&lt;&gt;"."),s_dir!O19/((1/1000)*(s_Irr!N19+s_Irr!BJ19)),IF(AND(s_Irr!N19=".",s_Irr!AL19&lt;&gt;".",s_Irr!BJ19&lt;&gt;"."),s_dir!O19/((1/1000)*(s_Irr!AL19+s_Irr!BJ19)),IF(AND(s_Irr!N19=".",s_Irr!AL19=".",s_Irr!BJ19&lt;&gt;"."),s_dir!O19/((1/1000)*(s_Irr!BJ19)),IF(AND(s_Irr!N19=".",s_Irr!AL19&lt;&gt;".",s_Irr!BJ19="."),s_dir!O19/((1/1000)*(s_Irr!AL19)),IF(AND(s_Irr!N19&lt;&gt;".",s_Irr!AL19=".",s_Irr!BJ19="."),s_dir!O19/((1/1000)*(s_Irr!N19)),IF(AND(s_Irr!N19=".",s_Irr!AL19=".",s_Irr!BJ19="."),s_dir!O19*1000)))))))),".")</f>
        <v>.</v>
      </c>
      <c r="P19" s="48" t="str">
        <f>IFERROR(IF(AND(s_Irr!O19&lt;&gt;".",s_Irr!AM19&lt;&gt;".",s_Irr!BK19&lt;&gt;"."),s_dir!P19/((1/1000)*(s_Irr!O19+s_Irr!AM19+s_Irr!BK19)),IF(AND(s_Irr!O19&lt;&gt;".",s_Irr!AM19&lt;&gt;".",s_Irr!BK19="."),s_dir!P19/((1/1000)*(s_Irr!O19+s_Irr!AM19)),IF(AND(s_Irr!O19&lt;&gt;".",s_Irr!AM19=".",s_Irr!BK19&lt;&gt;"."),s_dir!P19/((1/1000)*(s_Irr!O19+s_Irr!BK19)),IF(AND(s_Irr!O19=".",s_Irr!AM19&lt;&gt;".",s_Irr!BK19&lt;&gt;"."),s_dir!P19/((1/1000)*(s_Irr!AM19+s_Irr!BK19)),IF(AND(s_Irr!O19=".",s_Irr!AM19=".",s_Irr!BK19&lt;&gt;"."),s_dir!P19/((1/1000)*(s_Irr!BK19)),IF(AND(s_Irr!O19=".",s_Irr!AM19&lt;&gt;".",s_Irr!BK19="."),s_dir!P19/((1/1000)*(s_Irr!AM19)),IF(AND(s_Irr!O19&lt;&gt;".",s_Irr!AM19=".",s_Irr!BK19="."),s_dir!P19/((1/1000)*(s_Irr!O19)),IF(AND(s_Irr!O19=".",s_Irr!AM19=".",s_Irr!BK19="."),s_dir!P19*1000)))))))),".")</f>
        <v>.</v>
      </c>
      <c r="Q19" s="48" t="str">
        <f>IFERROR(IF(AND(s_Irr!P19&lt;&gt;".",s_Irr!AN19&lt;&gt;".",s_Irr!BL19&lt;&gt;"."),s_dir!Q19/((1/1000)*(s_Irr!P19+s_Irr!AN19+s_Irr!BL19)),IF(AND(s_Irr!P19&lt;&gt;".",s_Irr!AN19&lt;&gt;".",s_Irr!BL19="."),s_dir!Q19/((1/1000)*(s_Irr!P19+s_Irr!AN19)),IF(AND(s_Irr!P19&lt;&gt;".",s_Irr!AN19=".",s_Irr!BL19&lt;&gt;"."),s_dir!Q19/((1/1000)*(s_Irr!P19+s_Irr!BL19)),IF(AND(s_Irr!P19=".",s_Irr!AN19&lt;&gt;".",s_Irr!BL19&lt;&gt;"."),s_dir!Q19/((1/1000)*(s_Irr!AN19+s_Irr!BL19)),IF(AND(s_Irr!P19=".",s_Irr!AN19=".",s_Irr!BL19&lt;&gt;"."),s_dir!Q19/((1/1000)*(s_Irr!BL19)),IF(AND(s_Irr!P19=".",s_Irr!AN19&lt;&gt;".",s_Irr!BL19="."),s_dir!Q19/((1/1000)*(s_Irr!AN19)),IF(AND(s_Irr!P19&lt;&gt;".",s_Irr!AN19=".",s_Irr!BL19="."),s_dir!Q19/((1/1000)*(s_Irr!P19)),IF(AND(s_Irr!P19=".",s_Irr!AN19=".",s_Irr!BL19="."),s_dir!Q19*1000)))))))),".")</f>
        <v>.</v>
      </c>
      <c r="R19" s="48" t="str">
        <f>IFERROR(IF(AND(s_Irr!Q19&lt;&gt;".",s_Irr!AO19&lt;&gt;".",s_Irr!BM19&lt;&gt;"."),s_dir!R19/((1/1000)*(s_Irr!Q19+s_Irr!AO19+s_Irr!BM19)),IF(AND(s_Irr!Q19&lt;&gt;".",s_Irr!AO19&lt;&gt;".",s_Irr!BM19="."),s_dir!R19/((1/1000)*(s_Irr!Q19+s_Irr!AO19)),IF(AND(s_Irr!Q19&lt;&gt;".",s_Irr!AO19=".",s_Irr!BM19&lt;&gt;"."),s_dir!R19/((1/1000)*(s_Irr!Q19+s_Irr!BM19)),IF(AND(s_Irr!Q19=".",s_Irr!AO19&lt;&gt;".",s_Irr!BM19&lt;&gt;"."),s_dir!R19/((1/1000)*(s_Irr!AO19+s_Irr!BM19)),IF(AND(s_Irr!Q19=".",s_Irr!AO19=".",s_Irr!BM19&lt;&gt;"."),s_dir!R19/((1/1000)*(s_Irr!BM19)),IF(AND(s_Irr!Q19=".",s_Irr!AO19&lt;&gt;".",s_Irr!BM19="."),s_dir!R19/((1/1000)*(s_Irr!AO19)),IF(AND(s_Irr!Q19&lt;&gt;".",s_Irr!AO19=".",s_Irr!BM19="."),s_dir!R19/((1/1000)*(s_Irr!Q19)),IF(AND(s_Irr!Q19=".",s_Irr!AO19=".",s_Irr!BM19="."),s_dir!R19*1000)))))))),".")</f>
        <v>.</v>
      </c>
      <c r="S19" s="48" t="str">
        <f>IFERROR(IF(AND(s_Irr!R19&lt;&gt;".",s_Irr!AP19&lt;&gt;".",s_Irr!BN19&lt;&gt;"."),s_dir!S19/((1/1000)*(s_Irr!R19+s_Irr!AP19+s_Irr!BN19)),IF(AND(s_Irr!R19&lt;&gt;".",s_Irr!AP19&lt;&gt;".",s_Irr!BN19="."),s_dir!S19/((1/1000)*(s_Irr!R19+s_Irr!AP19)),IF(AND(s_Irr!R19&lt;&gt;".",s_Irr!AP19=".",s_Irr!BN19&lt;&gt;"."),s_dir!S19/((1/1000)*(s_Irr!R19+s_Irr!BN19)),IF(AND(s_Irr!R19=".",s_Irr!AP19&lt;&gt;".",s_Irr!BN19&lt;&gt;"."),s_dir!S19/((1/1000)*(s_Irr!AP19+s_Irr!BN19)),IF(AND(s_Irr!R19=".",s_Irr!AP19=".",s_Irr!BN19&lt;&gt;"."),s_dir!S19/((1/1000)*(s_Irr!BN19)),IF(AND(s_Irr!R19=".",s_Irr!AP19&lt;&gt;".",s_Irr!BN19="."),s_dir!S19/((1/1000)*(s_Irr!AP19)),IF(AND(s_Irr!R19&lt;&gt;".",s_Irr!AP19=".",s_Irr!BN19="."),s_dir!S19/((1/1000)*(s_Irr!R19)),IF(AND(s_Irr!R19=".",s_Irr!AP19=".",s_Irr!BN19="."),s_dir!S19*1000)))))))),".")</f>
        <v>.</v>
      </c>
      <c r="T19" s="48" t="str">
        <f>IFERROR(IF(AND(s_Irr!S19&lt;&gt;".",s_Irr!AQ19&lt;&gt;".",s_Irr!BO19&lt;&gt;"."),s_dir!T19/((1/1000)*(s_Irr!S19+s_Irr!AQ19+s_Irr!BO19)),IF(AND(s_Irr!S19&lt;&gt;".",s_Irr!AQ19&lt;&gt;".",s_Irr!BO19="."),s_dir!T19/((1/1000)*(s_Irr!S19+s_Irr!AQ19)),IF(AND(s_Irr!S19&lt;&gt;".",s_Irr!AQ19=".",s_Irr!BO19&lt;&gt;"."),s_dir!T19/((1/1000)*(s_Irr!S19+s_Irr!BO19)),IF(AND(s_Irr!S19=".",s_Irr!AQ19&lt;&gt;".",s_Irr!BO19&lt;&gt;"."),s_dir!T19/((1/1000)*(s_Irr!AQ19+s_Irr!BO19)),IF(AND(s_Irr!S19=".",s_Irr!AQ19=".",s_Irr!BO19&lt;&gt;"."),s_dir!T19/((1/1000)*(s_Irr!BO19)),IF(AND(s_Irr!S19=".",s_Irr!AQ19&lt;&gt;".",s_Irr!BO19="."),s_dir!T19/((1/1000)*(s_Irr!AQ19)),IF(AND(s_Irr!S19&lt;&gt;".",s_Irr!AQ19=".",s_Irr!BO19="."),s_dir!T19/((1/1000)*(s_Irr!S19)),IF(AND(s_Irr!S19=".",s_Irr!AQ19=".",s_Irr!BO19="."),s_dir!T19*1000)))))))),".")</f>
        <v>.</v>
      </c>
      <c r="U19" s="48" t="str">
        <f>IFERROR(IF(AND(s_Irr!T19&lt;&gt;".",s_Irr!AR19&lt;&gt;".",s_Irr!BP19&lt;&gt;"."),s_dir!U19/((1/1000)*(s_Irr!T19+s_Irr!AR19+s_Irr!BP19)),IF(AND(s_Irr!T19&lt;&gt;".",s_Irr!AR19&lt;&gt;".",s_Irr!BP19="."),s_dir!U19/((1/1000)*(s_Irr!T19+s_Irr!AR19)),IF(AND(s_Irr!T19&lt;&gt;".",s_Irr!AR19=".",s_Irr!BP19&lt;&gt;"."),s_dir!U19/((1/1000)*(s_Irr!T19+s_Irr!BP19)),IF(AND(s_Irr!T19=".",s_Irr!AR19&lt;&gt;".",s_Irr!BP19&lt;&gt;"."),s_dir!U19/((1/1000)*(s_Irr!AR19+s_Irr!BP19)),IF(AND(s_Irr!T19=".",s_Irr!AR19=".",s_Irr!BP19&lt;&gt;"."),s_dir!U19/((1/1000)*(s_Irr!BP19)),IF(AND(s_Irr!T19=".",s_Irr!AR19&lt;&gt;".",s_Irr!BP19="."),s_dir!U19/((1/1000)*(s_Irr!AR19)),IF(AND(s_Irr!T19&lt;&gt;".",s_Irr!AR19=".",s_Irr!BP19="."),s_dir!U19/((1/1000)*(s_Irr!T19)),IF(AND(s_Irr!T19=".",s_Irr!AR19=".",s_Irr!BP19="."),s_dir!U19*1000)))))))),".")</f>
        <v>.</v>
      </c>
      <c r="V19" s="48" t="str">
        <f>IFERROR(IF(AND(s_Irr!U19&lt;&gt;".",s_Irr!AS19&lt;&gt;".",s_Irr!BQ19&lt;&gt;"."),s_dir!V19/((1/1000)*(s_Irr!U19+s_Irr!AS19+s_Irr!BQ19)),IF(AND(s_Irr!U19&lt;&gt;".",s_Irr!AS19&lt;&gt;".",s_Irr!BQ19="."),s_dir!V19/((1/1000)*(s_Irr!U19+s_Irr!AS19)),IF(AND(s_Irr!U19&lt;&gt;".",s_Irr!AS19=".",s_Irr!BQ19&lt;&gt;"."),s_dir!V19/((1/1000)*(s_Irr!U19+s_Irr!BQ19)),IF(AND(s_Irr!U19=".",s_Irr!AS19&lt;&gt;".",s_Irr!BQ19&lt;&gt;"."),s_dir!V19/((1/1000)*(s_Irr!AS19+s_Irr!BQ19)),IF(AND(s_Irr!U19=".",s_Irr!AS19=".",s_Irr!BQ19&lt;&gt;"."),s_dir!V19/((1/1000)*(s_Irr!BQ19)),IF(AND(s_Irr!U19=".",s_Irr!AS19&lt;&gt;".",s_Irr!BQ19="."),s_dir!V19/((1/1000)*(s_Irr!AS19)),IF(AND(s_Irr!U19&lt;&gt;".",s_Irr!AS19=".",s_Irr!BQ19="."),s_dir!V19/((1/1000)*(s_Irr!U19)),IF(AND(s_Irr!U19=".",s_Irr!AS19=".",s_Irr!BQ19="."),s_dir!V19*1000)))))))),".")</f>
        <v>.</v>
      </c>
      <c r="W19" s="48" t="str">
        <f>IFERROR(IF(AND(s_Irr!V19&lt;&gt;".",s_Irr!AT19&lt;&gt;".",s_Irr!BR19&lt;&gt;"."),s_dir!W19/((1/1000)*(s_Irr!V19+s_Irr!AT19+s_Irr!BR19)),IF(AND(s_Irr!V19&lt;&gt;".",s_Irr!AT19&lt;&gt;".",s_Irr!BR19="."),s_dir!W19/((1/1000)*(s_Irr!V19+s_Irr!AT19)),IF(AND(s_Irr!V19&lt;&gt;".",s_Irr!AT19=".",s_Irr!BR19&lt;&gt;"."),s_dir!W19/((1/1000)*(s_Irr!V19+s_Irr!BR19)),IF(AND(s_Irr!V19=".",s_Irr!AT19&lt;&gt;".",s_Irr!BR19&lt;&gt;"."),s_dir!W19/((1/1000)*(s_Irr!AT19+s_Irr!BR19)),IF(AND(s_Irr!V19=".",s_Irr!AT19=".",s_Irr!BR19&lt;&gt;"."),s_dir!W19/((1/1000)*(s_Irr!BR19)),IF(AND(s_Irr!V19=".",s_Irr!AT19&lt;&gt;".",s_Irr!BR19="."),s_dir!W19/((1/1000)*(s_Irr!AT19)),IF(AND(s_Irr!V19&lt;&gt;".",s_Irr!AT19=".",s_Irr!BR19="."),s_dir!W19/((1/1000)*(s_Irr!V19)),IF(AND(s_Irr!V19=".",s_Irr!AT19=".",s_Irr!BR19="."),s_dir!W19*1000)))))))),".")</f>
        <v>.</v>
      </c>
      <c r="X19" s="48" t="str">
        <f>IFERROR(IF(AND(s_Irr!W19&lt;&gt;".",s_Irr!AU19&lt;&gt;".",s_Irr!BS19&lt;&gt;"."),s_dir!X19/((1/1000)*(s_Irr!W19+s_Irr!AU19+s_Irr!BS19)),IF(AND(s_Irr!W19&lt;&gt;".",s_Irr!AU19&lt;&gt;".",s_Irr!BS19="."),s_dir!X19/((1/1000)*(s_Irr!W19+s_Irr!AU19)),IF(AND(s_Irr!W19&lt;&gt;".",s_Irr!AU19=".",s_Irr!BS19&lt;&gt;"."),s_dir!X19/((1/1000)*(s_Irr!W19+s_Irr!BS19)),IF(AND(s_Irr!W19=".",s_Irr!AU19&lt;&gt;".",s_Irr!BS19&lt;&gt;"."),s_dir!X19/((1/1000)*(s_Irr!AU19+s_Irr!BS19)),IF(AND(s_Irr!W19=".",s_Irr!AU19=".",s_Irr!BS19&lt;&gt;"."),s_dir!X19/((1/1000)*(s_Irr!BS19)),IF(AND(s_Irr!W19=".",s_Irr!AU19&lt;&gt;".",s_Irr!BS19="."),s_dir!X19/((1/1000)*(s_Irr!AU19)),IF(AND(s_Irr!W19&lt;&gt;".",s_Irr!AU19=".",s_Irr!BS19="."),s_dir!X19/((1/1000)*(s_Irr!W19)),IF(AND(s_Irr!W19=".",s_Irr!AU19=".",s_Irr!BS19="."),s_dir!X19*1000)))))))),".")</f>
        <v>.</v>
      </c>
      <c r="Y19" s="48" t="str">
        <f>IFERROR(IF(AND(s_Irr!X19&lt;&gt;".",s_Irr!AV19&lt;&gt;".",s_Irr!BT19&lt;&gt;"."),s_dir!Y19/((1/1000)*(s_Irr!X19+s_Irr!AV19+s_Irr!BT19)),IF(AND(s_Irr!X19&lt;&gt;".",s_Irr!AV19&lt;&gt;".",s_Irr!BT19="."),s_dir!Y19/((1/1000)*(s_Irr!X19+s_Irr!AV19)),IF(AND(s_Irr!X19&lt;&gt;".",s_Irr!AV19=".",s_Irr!BT19&lt;&gt;"."),s_dir!Y19/((1/1000)*(s_Irr!X19+s_Irr!BT19)),IF(AND(s_Irr!X19=".",s_Irr!AV19&lt;&gt;".",s_Irr!BT19&lt;&gt;"."),s_dir!Y19/((1/1000)*(s_Irr!AV19+s_Irr!BT19)),IF(AND(s_Irr!X19=".",s_Irr!AV19=".",s_Irr!BT19&lt;&gt;"."),s_dir!Y19/((1/1000)*(s_Irr!BT19)),IF(AND(s_Irr!X19=".",s_Irr!AV19&lt;&gt;".",s_Irr!BT19="."),s_dir!Y19/((1/1000)*(s_Irr!AV19)),IF(AND(s_Irr!X19&lt;&gt;".",s_Irr!AV19=".",s_Irr!BT19="."),s_dir!Y19/((1/1000)*(s_Irr!X19)),IF(AND(s_Irr!X19=".",s_Irr!AV19=".",s_Irr!BT19="."),s_dir!Y19*1000)))))))),".")</f>
        <v>.</v>
      </c>
      <c r="Z19" s="48" t="str">
        <f>IFERROR(IF(AND(s_Irr!Y19&lt;&gt;".",s_Irr!AW19&lt;&gt;".",s_Irr!BU19&lt;&gt;"."),s_dir!Z19/((1/1000)*(s_Irr!Y19+s_Irr!AW19+s_Irr!BU19)),IF(AND(s_Irr!Y19&lt;&gt;".",s_Irr!AW19&lt;&gt;".",s_Irr!BU19="."),s_dir!Z19/((1/1000)*(s_Irr!Y19+s_Irr!AW19)),IF(AND(s_Irr!Y19&lt;&gt;".",s_Irr!AW19=".",s_Irr!BU19&lt;&gt;"."),s_dir!Z19/((1/1000)*(s_Irr!Y19+s_Irr!BU19)),IF(AND(s_Irr!Y19=".",s_Irr!AW19&lt;&gt;".",s_Irr!BU19&lt;&gt;"."),s_dir!Z19/((1/1000)*(s_Irr!AW19+s_Irr!BU19)),IF(AND(s_Irr!Y19=".",s_Irr!AW19=".",s_Irr!BU19&lt;&gt;"."),s_dir!Z19/((1/1000)*(s_Irr!BU19)),IF(AND(s_Irr!Y19=".",s_Irr!AW19&lt;&gt;".",s_Irr!BU19="."),s_dir!Z19/((1/1000)*(s_Irr!AW19)),IF(AND(s_Irr!Y19&lt;&gt;".",s_Irr!AW19=".",s_Irr!BU19="."),s_dir!Z19/((1/1000)*(s_Irr!Y19)),IF(AND(s_Irr!Y19=".",s_Irr!AW19=".",s_Irr!BU19="."),s_dir!Z19*1000)))))))),".")</f>
        <v>.</v>
      </c>
      <c r="AA19" s="48" t="str">
        <f>IFERROR(IF(AND(s_Irr!Z19&lt;&gt;".",s_Irr!AX19&lt;&gt;".",s_Irr!BV19&lt;&gt;"."),s_dir!AA19/((1/1000)*(s_Irr!Z19+s_Irr!AX19+s_Irr!BV19)),IF(AND(s_Irr!Z19&lt;&gt;".",s_Irr!AX19&lt;&gt;".",s_Irr!BV19="."),s_dir!AA19/((1/1000)*(s_Irr!Z19+s_Irr!AX19)),IF(AND(s_Irr!Z19&lt;&gt;".",s_Irr!AX19=".",s_Irr!BV19&lt;&gt;"."),s_dir!AA19/((1/1000)*(s_Irr!Z19+s_Irr!BV19)),IF(AND(s_Irr!Z19=".",s_Irr!AX19&lt;&gt;".",s_Irr!BV19&lt;&gt;"."),s_dir!AA19/((1/1000)*(s_Irr!AX19+s_Irr!BV19)),IF(AND(s_Irr!Z19=".",s_Irr!AX19=".",s_Irr!BV19&lt;&gt;"."),s_dir!AA19/((1/1000)*(s_Irr!BV19)),IF(AND(s_Irr!Z19=".",s_Irr!AX19&lt;&gt;".",s_Irr!BV19="."),s_dir!AA19/((1/1000)*(s_Irr!AX19)),IF(AND(s_Irr!Z19&lt;&gt;".",s_Irr!AX19=".",s_Irr!BV19="."),s_dir!AA19/((1/1000)*(s_Irr!Z19)),IF(AND(s_Irr!Z19=".",s_Irr!AX19=".",s_Irr!BV19="."),s_dir!AA19*1000)))))))),".")</f>
        <v>.</v>
      </c>
      <c r="AB19" s="62">
        <f t="shared" si="3"/>
        <v>285.56727257609776</v>
      </c>
      <c r="AC19" s="62">
        <f>IFERROR(s_C*s_IFAP_res_adj*s_CF_apple*0.001*(s_Irr!C19+s_Irr!AA19+s_Irr!AY19),".")</f>
        <v>88.757645154967165</v>
      </c>
      <c r="AD19" s="62">
        <f>IFERROR(s_C*s_IFAS_res_adj*s_CF_asparagus*0.001*(s_Irr!D19+s_Irr!AB19+s_Irr!AZ19),".")</f>
        <v>99.576899609843579</v>
      </c>
      <c r="AE19" s="62">
        <f>IFERROR(s_C*s_IFBT_res_adj*s_CF_beet*0.001*(s_Irr!E19+s_Irr!AC19+s_Irr!BA19),".")</f>
        <v>97.172620842093266</v>
      </c>
      <c r="AF19" s="62">
        <f>IFERROR(s_C*s_IFBE_res_adj*s_CF_berries*0.001*(s_Irr!F19+s_Irr!AD19+s_Irr!BB19),".")</f>
        <v>88.757645154967165</v>
      </c>
      <c r="AG19" s="62">
        <f>IFERROR(s_C*s_IFBR_res_adj*s_CF_broccoli*0.001*(s_Irr!G19+s_Irr!AE19+s_Irr!BC19),".")</f>
        <v>88.757645154967165</v>
      </c>
      <c r="AH19" s="62">
        <f>IFERROR(s_C*s_IFCB_res_adj*s_CF_cabbage*0.001*(s_Irr!H19+s_Irr!AF19+s_Irr!BD19),".")</f>
        <v>99.576899609843579</v>
      </c>
      <c r="AI19" s="62">
        <f>IFERROR(s_C*s_IFCR_res_adj*s_CF_carrot*0.001*(s_Irr!I19+s_Irr!AG19+s_Irr!BE19),".")</f>
        <v>97.172620842093266</v>
      </c>
      <c r="AJ19" s="62">
        <f>IFERROR(s_C*s_IFCI_res_adj*s_CF_citrus*0.001*(s_Irr!J19+s_Irr!AH19+s_Irr!BF19),".")</f>
        <v>88.757645154967165</v>
      </c>
      <c r="AK19" s="62">
        <f>IFERROR(s_C*s_IFCO_res_adj*s_CF_corn*0.001*(s_Irr!K19+s_Irr!AI19+s_Irr!BG19),".")</f>
        <v>88.817752124160918</v>
      </c>
      <c r="AL19" s="62">
        <f>IFERROR(s_C*s_IFCU_res_adj*s_CF_cucumber*0.001*(s_Irr!L19+s_Irr!AJ19+s_Irr!BH19),".")</f>
        <v>88.757645154967165</v>
      </c>
      <c r="AM19" s="62">
        <f>IFERROR(s_C*s_IFLE_res_adj*s_CF_lettuce*0.001*(s_Irr!M19+s_Irr!AK19+s_Irr!BI19),".")</f>
        <v>99.576899609843579</v>
      </c>
      <c r="AN19" s="62">
        <f>IFERROR(s_C*s_IFLI_res_adj*s_CF_lima_bean*0.001*(s_Irr!N19+s_Irr!AL19+s_Irr!BJ19),".")</f>
        <v>88.862832351056241</v>
      </c>
      <c r="AO19" s="62">
        <f>IFERROR(s_C*s_IFOK_res_adj*s_CF_okra*0.001*(s_Irr!O19+s_Irr!AM19+s_Irr!BK19),".")</f>
        <v>88.757645154967165</v>
      </c>
      <c r="AP19" s="62">
        <f>IFERROR(s_C*s_IFON_res_adj*s_CF_onion*0.001*(s_Irr!P19+s_Irr!AN19+s_Irr!BL19),".")</f>
        <v>88.757645154967165</v>
      </c>
      <c r="AQ19" s="62">
        <f>IFERROR(s_C*s_IFPC_res_adj*s_CF_peach*0.001*(s_Irr!Q19+s_Irr!AO19+s_Irr!BM19),".")</f>
        <v>88.757645154967165</v>
      </c>
      <c r="AR19" s="62">
        <f>IFERROR(s_C*s_IFPR_res_adj*s_CF_pear*0.001*(s_Irr!R19+s_Irr!AP19+s_Irr!BN19),".")</f>
        <v>88.757645154967165</v>
      </c>
      <c r="AS19" s="62">
        <f>IFERROR(s_C*s_IFPE_res_adj*s_CF_peas*0.001*(s_Irr!S19+s_Irr!AQ19+s_Irr!BO19),".")</f>
        <v>88.862832351056241</v>
      </c>
      <c r="AT19" s="62">
        <f>IFERROR(s_C*s_IFPT_res_adj*s_CF_potato*0.001*(s_Irr!T19+s_Irr!AR19+s_Irr!BP19),".")</f>
        <v>92.514330729577026</v>
      </c>
      <c r="AU19" s="62">
        <f>IFERROR(s_C*s_IFPU_res_adj*s_CF_pumpkin*0.001*(s_Irr!U19+s_Irr!AS19+s_Irr!BQ19),".")</f>
        <v>88.757645154967165</v>
      </c>
      <c r="AV19" s="62">
        <f>IFERROR(s_C*s_IFSN_res_adj*s_CF_snap_bean*0.001*(s_Irr!V19+s_Irr!AT19+s_Irr!BR19),".")</f>
        <v>88.862832351056241</v>
      </c>
      <c r="AW19" s="62">
        <f>IFERROR(s_C*s_IFST_res_adj*s_CF_strawberry*0.001*(s_Irr!W19+s_Irr!AU19+s_Irr!BS19),".")</f>
        <v>88.757645154967165</v>
      </c>
      <c r="AX19" s="62">
        <f>IFERROR(s_C*s_IFTO_res_adj*s_CF_tomato*0.001*(s_Irr!X19+s_Irr!AV19+s_Irr!BT19),".")</f>
        <v>88.757645154967165</v>
      </c>
      <c r="AY19" s="62">
        <f>IFERROR(s_C*s_IFRI_res_adj*s_CF_rice*0.001*(s_Irr!Y19+s_Irr!AW19+s_Irr!BU19),".")</f>
        <v>107.99187529696968</v>
      </c>
      <c r="AZ19" s="62">
        <f>IFERROR(s_C*s_IFCG_res_adj*s_CF_cereal*0.001*(s_Irr!Z19+s_Irr!AX19+s_Irr!BV19),".")</f>
        <v>88.817752124160918</v>
      </c>
      <c r="BA19" s="48" t="str">
        <f t="shared" si="0"/>
        <v>.</v>
      </c>
      <c r="BB19" s="48" t="str">
        <f>IFERROR(IF(AND(s_Irr!C19&lt;&gt;".",s_Irr!AA19&lt;&gt;".",s_Irr!AY19&lt;&gt;"."),s_dir!AC19/((1/1000)*(s_Irr!C19+s_Irr!AA19+s_Irr!AY19)),IF(AND(s_Irr!C19&lt;&gt;".",s_Irr!AA19&lt;&gt;".",s_Irr!AY19="."),s_dir!AC19/((1/1000)*(s_Irr!C19+s_Irr!AA19)),IF(AND(s_Irr!C19&lt;&gt;".",s_Irr!AA19=".",s_Irr!AY19&lt;&gt;"."),s_dir!AC19/((1/1000)*(s_Irr!C19+s_Irr!AY19)),IF(AND(s_Irr!C19=".",s_Irr!AA19&lt;&gt;".",s_Irr!AY19&lt;&gt;"."),s_dir!AC19/((1/1000)*(s_Irr!AA19+s_Irr!AY19)),IF(AND(s_Irr!C19=".",s_Irr!AA19=".",s_Irr!AY19&lt;&gt;"."),s_dir!AC19/((1/1000)*(s_Irr!AY19)),IF(AND(s_Irr!C19=".",s_Irr!AA19&lt;&gt;".",s_Irr!AY19="."),s_dir!AC19/((1/1000)*(s_Irr!AA19)),IF(AND(s_Irr!C19&lt;&gt;".",s_Irr!AA19=".",s_Irr!AY19="."),s_dir!AC19/((1/1000)*(s_Irr!C19)),IF(AND(s_Irr!C19=".",s_Irr!AA19=".",s_Irr!AY19="."),s_dir!AC19*1000)))))))),".")</f>
        <v>.</v>
      </c>
      <c r="BC19" s="48" t="str">
        <f>IFERROR(IF(AND(s_Irr!D19&lt;&gt;".",s_Irr!AB19&lt;&gt;".",s_Irr!AZ19&lt;&gt;"."),s_dir!AD19/((1/1000)*(s_Irr!D19+s_Irr!AB19+s_Irr!AZ19)),IF(AND(s_Irr!D19&lt;&gt;".",s_Irr!AB19&lt;&gt;".",s_Irr!AZ19="."),s_dir!AD19/((1/1000)*(s_Irr!D19+s_Irr!AB19)),IF(AND(s_Irr!D19&lt;&gt;".",s_Irr!AB19=".",s_Irr!AZ19&lt;&gt;"."),s_dir!AD19/((1/1000)*(s_Irr!D19+s_Irr!AZ19)),IF(AND(s_Irr!D19=".",s_Irr!AB19&lt;&gt;".",s_Irr!AZ19&lt;&gt;"."),s_dir!AD19/((1/1000)*(s_Irr!AB19+s_Irr!AZ19)),IF(AND(s_Irr!D19=".",s_Irr!AB19=".",s_Irr!AZ19&lt;&gt;"."),s_dir!AD19/((1/1000)*(s_Irr!AZ19)),IF(AND(s_Irr!D19=".",s_Irr!AB19&lt;&gt;".",s_Irr!AZ19="."),s_dir!AD19/((1/1000)*(s_Irr!AB19)),IF(AND(s_Irr!D19&lt;&gt;".",s_Irr!AB19=".",s_Irr!AZ19="."),s_dir!AD19/((1/1000)*(s_Irr!D19)),IF(AND(s_Irr!D19=".",s_Irr!AB19=".",s_Irr!AZ19="."),s_dir!AD19*1000)))))))),".")</f>
        <v>.</v>
      </c>
      <c r="BD19" s="48" t="str">
        <f>IFERROR(IF(AND(s_Irr!E19&lt;&gt;".",s_Irr!AC19&lt;&gt;".",s_Irr!BA19&lt;&gt;"."),s_dir!AE19/((1/1000)*(s_Irr!E19+s_Irr!AC19+s_Irr!BA19)),IF(AND(s_Irr!E19&lt;&gt;".",s_Irr!AC19&lt;&gt;".",s_Irr!BA19="."),s_dir!AE19/((1/1000)*(s_Irr!E19+s_Irr!AC19)),IF(AND(s_Irr!E19&lt;&gt;".",s_Irr!AC19=".",s_Irr!BA19&lt;&gt;"."),s_dir!AE19/((1/1000)*(s_Irr!E19+s_Irr!BA19)),IF(AND(s_Irr!E19=".",s_Irr!AC19&lt;&gt;".",s_Irr!BA19&lt;&gt;"."),s_dir!AE19/((1/1000)*(s_Irr!AC19+s_Irr!BA19)),IF(AND(s_Irr!E19=".",s_Irr!AC19=".",s_Irr!BA19&lt;&gt;"."),s_dir!AE19/((1/1000)*(s_Irr!BA19)),IF(AND(s_Irr!E19=".",s_Irr!AC19&lt;&gt;".",s_Irr!BA19="."),s_dir!AE19/((1/1000)*(s_Irr!AC19)),IF(AND(s_Irr!E19&lt;&gt;".",s_Irr!AC19=".",s_Irr!BA19="."),s_dir!AE19/((1/1000)*(s_Irr!E19)),IF(AND(s_Irr!E19=".",s_Irr!AC19=".",s_Irr!BA19="."),s_dir!AE19*1000)))))))),".")</f>
        <v>.</v>
      </c>
      <c r="BE19" s="48" t="str">
        <f>IFERROR(IF(AND(s_Irr!F19&lt;&gt;".",s_Irr!AD19&lt;&gt;".",s_Irr!BB19&lt;&gt;"."),s_dir!AF19/((1/1000)*(s_Irr!F19+s_Irr!AD19+s_Irr!BB19)),IF(AND(s_Irr!F19&lt;&gt;".",s_Irr!AD19&lt;&gt;".",s_Irr!BB19="."),s_dir!AF19/((1/1000)*(s_Irr!F19+s_Irr!AD19)),IF(AND(s_Irr!F19&lt;&gt;".",s_Irr!AD19=".",s_Irr!BB19&lt;&gt;"."),s_dir!AF19/((1/1000)*(s_Irr!F19+s_Irr!BB19)),IF(AND(s_Irr!F19=".",s_Irr!AD19&lt;&gt;".",s_Irr!BB19&lt;&gt;"."),s_dir!AF19/((1/1000)*(s_Irr!AD19+s_Irr!BB19)),IF(AND(s_Irr!F19=".",s_Irr!AD19=".",s_Irr!BB19&lt;&gt;"."),s_dir!AF19/((1/1000)*(s_Irr!BB19)),IF(AND(s_Irr!F19=".",s_Irr!AD19&lt;&gt;".",s_Irr!BB19="."),s_dir!AF19/((1/1000)*(s_Irr!AD19)),IF(AND(s_Irr!F19&lt;&gt;".",s_Irr!AD19=".",s_Irr!BB19="."),s_dir!AF19/((1/1000)*(s_Irr!F19)),IF(AND(s_Irr!F19=".",s_Irr!AD19=".",s_Irr!BB19="."),s_dir!AF19*1000)))))))),".")</f>
        <v>.</v>
      </c>
      <c r="BF19" s="48" t="str">
        <f>IFERROR(IF(AND(s_Irr!G19&lt;&gt;".",s_Irr!AE19&lt;&gt;".",s_Irr!BC19&lt;&gt;"."),s_dir!AG19/((1/1000)*(s_Irr!G19+s_Irr!AE19+s_Irr!BC19)),IF(AND(s_Irr!G19&lt;&gt;".",s_Irr!AE19&lt;&gt;".",s_Irr!BC19="."),s_dir!AG19/((1/1000)*(s_Irr!G19+s_Irr!AE19)),IF(AND(s_Irr!G19&lt;&gt;".",s_Irr!AE19=".",s_Irr!BC19&lt;&gt;"."),s_dir!AG19/((1/1000)*(s_Irr!G19+s_Irr!BC19)),IF(AND(s_Irr!G19=".",s_Irr!AE19&lt;&gt;".",s_Irr!BC19&lt;&gt;"."),s_dir!AG19/((1/1000)*(s_Irr!AE19+s_Irr!BC19)),IF(AND(s_Irr!G19=".",s_Irr!AE19=".",s_Irr!BC19&lt;&gt;"."),s_dir!AG19/((1/1000)*(s_Irr!BC19)),IF(AND(s_Irr!G19=".",s_Irr!AE19&lt;&gt;".",s_Irr!BC19="."),s_dir!AG19/((1/1000)*(s_Irr!AE19)),IF(AND(s_Irr!G19&lt;&gt;".",s_Irr!AE19=".",s_Irr!BC19="."),s_dir!AG19/((1/1000)*(s_Irr!G19)),IF(AND(s_Irr!G19=".",s_Irr!AE19=".",s_Irr!BC19="."),s_dir!AG19*1000)))))))),".")</f>
        <v>.</v>
      </c>
      <c r="BG19" s="48" t="str">
        <f>IFERROR(IF(AND(s_Irr!H19&lt;&gt;".",s_Irr!AF19&lt;&gt;".",s_Irr!BD19&lt;&gt;"."),s_dir!AH19/((1/1000)*(s_Irr!H19+s_Irr!AF19+s_Irr!BD19)),IF(AND(s_Irr!H19&lt;&gt;".",s_Irr!AF19&lt;&gt;".",s_Irr!BD19="."),s_dir!AH19/((1/1000)*(s_Irr!H19+s_Irr!AF19)),IF(AND(s_Irr!H19&lt;&gt;".",s_Irr!AF19=".",s_Irr!BD19&lt;&gt;"."),s_dir!AH19/((1/1000)*(s_Irr!H19+s_Irr!BD19)),IF(AND(s_Irr!H19=".",s_Irr!AF19&lt;&gt;".",s_Irr!BD19&lt;&gt;"."),s_dir!AH19/((1/1000)*(s_Irr!AF19+s_Irr!BD19)),IF(AND(s_Irr!H19=".",s_Irr!AF19=".",s_Irr!BD19&lt;&gt;"."),s_dir!AH19/((1/1000)*(s_Irr!BD19)),IF(AND(s_Irr!H19=".",s_Irr!AF19&lt;&gt;".",s_Irr!BD19="."),s_dir!AH19/((1/1000)*(s_Irr!AF19)),IF(AND(s_Irr!H19&lt;&gt;".",s_Irr!AF19=".",s_Irr!BD19="."),s_dir!AH19/((1/1000)*(s_Irr!H19)),IF(AND(s_Irr!H19=".",s_Irr!AF19=".",s_Irr!BD19="."),s_dir!AH19*1000)))))))),".")</f>
        <v>.</v>
      </c>
      <c r="BH19" s="48" t="str">
        <f>IFERROR(IF(AND(s_Irr!I19&lt;&gt;".",s_Irr!AG19&lt;&gt;".",s_Irr!BE19&lt;&gt;"."),s_dir!AI19/((1/1000)*(s_Irr!I19+s_Irr!AG19+s_Irr!BE19)),IF(AND(s_Irr!I19&lt;&gt;".",s_Irr!AG19&lt;&gt;".",s_Irr!BE19="."),s_dir!AI19/((1/1000)*(s_Irr!I19+s_Irr!AG19)),IF(AND(s_Irr!I19&lt;&gt;".",s_Irr!AG19=".",s_Irr!BE19&lt;&gt;"."),s_dir!AI19/((1/1000)*(s_Irr!I19+s_Irr!BE19)),IF(AND(s_Irr!I19=".",s_Irr!AG19&lt;&gt;".",s_Irr!BE19&lt;&gt;"."),s_dir!AI19/((1/1000)*(s_Irr!AG19+s_Irr!BE19)),IF(AND(s_Irr!I19=".",s_Irr!AG19=".",s_Irr!BE19&lt;&gt;"."),s_dir!AI19/((1/1000)*(s_Irr!BE19)),IF(AND(s_Irr!I19=".",s_Irr!AG19&lt;&gt;".",s_Irr!BE19="."),s_dir!AI19/((1/1000)*(s_Irr!AG19)),IF(AND(s_Irr!I19&lt;&gt;".",s_Irr!AG19=".",s_Irr!BE19="."),s_dir!AI19/((1/1000)*(s_Irr!I19)),IF(AND(s_Irr!I19=".",s_Irr!AG19=".",s_Irr!BE19="."),s_dir!AI19*1000)))))))),".")</f>
        <v>.</v>
      </c>
      <c r="BI19" s="48" t="str">
        <f>IFERROR(IF(AND(s_Irr!J19&lt;&gt;".",s_Irr!AH19&lt;&gt;".",s_Irr!BF19&lt;&gt;"."),s_dir!AJ19/((1/1000)*(s_Irr!J19+s_Irr!AH19+s_Irr!BF19)),IF(AND(s_Irr!J19&lt;&gt;".",s_Irr!AH19&lt;&gt;".",s_Irr!BF19="."),s_dir!AJ19/((1/1000)*(s_Irr!J19+s_Irr!AH19)),IF(AND(s_Irr!J19&lt;&gt;".",s_Irr!AH19=".",s_Irr!BF19&lt;&gt;"."),s_dir!AJ19/((1/1000)*(s_Irr!J19+s_Irr!BF19)),IF(AND(s_Irr!J19=".",s_Irr!AH19&lt;&gt;".",s_Irr!BF19&lt;&gt;"."),s_dir!AJ19/((1/1000)*(s_Irr!AH19+s_Irr!BF19)),IF(AND(s_Irr!J19=".",s_Irr!AH19=".",s_Irr!BF19&lt;&gt;"."),s_dir!AJ19/((1/1000)*(s_Irr!BF19)),IF(AND(s_Irr!J19=".",s_Irr!AH19&lt;&gt;".",s_Irr!BF19="."),s_dir!AJ19/((1/1000)*(s_Irr!AH19)),IF(AND(s_Irr!J19&lt;&gt;".",s_Irr!AH19=".",s_Irr!BF19="."),s_dir!AJ19/((1/1000)*(s_Irr!J19)),IF(AND(s_Irr!J19=".",s_Irr!AH19=".",s_Irr!BF19="."),s_dir!AJ19*1000)))))))),".")</f>
        <v>.</v>
      </c>
      <c r="BJ19" s="48" t="str">
        <f>IFERROR(IF(AND(s_Irr!K19&lt;&gt;".",s_Irr!AI19&lt;&gt;".",s_Irr!BG19&lt;&gt;"."),s_dir!AK19/((1/1000)*(s_Irr!K19+s_Irr!AI19+s_Irr!BG19)),IF(AND(s_Irr!K19&lt;&gt;".",s_Irr!AI19&lt;&gt;".",s_Irr!BG19="."),s_dir!AK19/((1/1000)*(s_Irr!K19+s_Irr!AI19)),IF(AND(s_Irr!K19&lt;&gt;".",s_Irr!AI19=".",s_Irr!BG19&lt;&gt;"."),s_dir!AK19/((1/1000)*(s_Irr!K19+s_Irr!BG19)),IF(AND(s_Irr!K19=".",s_Irr!AI19&lt;&gt;".",s_Irr!BG19&lt;&gt;"."),s_dir!AK19/((1/1000)*(s_Irr!AI19+s_Irr!BG19)),IF(AND(s_Irr!K19=".",s_Irr!AI19=".",s_Irr!BG19&lt;&gt;"."),s_dir!AK19/((1/1000)*(s_Irr!BG19)),IF(AND(s_Irr!K19=".",s_Irr!AI19&lt;&gt;".",s_Irr!BG19="."),s_dir!AK19/((1/1000)*(s_Irr!AI19)),IF(AND(s_Irr!K19&lt;&gt;".",s_Irr!AI19=".",s_Irr!BG19="."),s_dir!AK19/((1/1000)*(s_Irr!K19)),IF(AND(s_Irr!K19=".",s_Irr!AI19=".",s_Irr!BG19="."),s_dir!AK19*1000)))))))),".")</f>
        <v>.</v>
      </c>
      <c r="BK19" s="48" t="str">
        <f>IFERROR(IF(AND(s_Irr!L19&lt;&gt;".",s_Irr!AJ19&lt;&gt;".",s_Irr!BH19&lt;&gt;"."),s_dir!AL19/((1/1000)*(s_Irr!L19+s_Irr!AJ19+s_Irr!BH19)),IF(AND(s_Irr!L19&lt;&gt;".",s_Irr!AJ19&lt;&gt;".",s_Irr!BH19="."),s_dir!AL19/((1/1000)*(s_Irr!L19+s_Irr!AJ19)),IF(AND(s_Irr!L19&lt;&gt;".",s_Irr!AJ19=".",s_Irr!BH19&lt;&gt;"."),s_dir!AL19/((1/1000)*(s_Irr!L19+s_Irr!BH19)),IF(AND(s_Irr!L19=".",s_Irr!AJ19&lt;&gt;".",s_Irr!BH19&lt;&gt;"."),s_dir!AL19/((1/1000)*(s_Irr!AJ19+s_Irr!BH19)),IF(AND(s_Irr!L19=".",s_Irr!AJ19=".",s_Irr!BH19&lt;&gt;"."),s_dir!AL19/((1/1000)*(s_Irr!BH19)),IF(AND(s_Irr!L19=".",s_Irr!AJ19&lt;&gt;".",s_Irr!BH19="."),s_dir!AL19/((1/1000)*(s_Irr!AJ19)),IF(AND(s_Irr!L19&lt;&gt;".",s_Irr!AJ19=".",s_Irr!BH19="."),s_dir!AL19/((1/1000)*(s_Irr!L19)),IF(AND(s_Irr!L19=".",s_Irr!AJ19=".",s_Irr!BH19="."),s_dir!AL19*1000)))))))),".")</f>
        <v>.</v>
      </c>
      <c r="BL19" s="48" t="str">
        <f>IFERROR(IF(AND(s_Irr!M19&lt;&gt;".",s_Irr!AK19&lt;&gt;".",s_Irr!BI19&lt;&gt;"."),s_dir!AM19/((1/1000)*(s_Irr!M19+s_Irr!AK19+s_Irr!BI19)),IF(AND(s_Irr!M19&lt;&gt;".",s_Irr!AK19&lt;&gt;".",s_Irr!BI19="."),s_dir!AM19/((1/1000)*(s_Irr!M19+s_Irr!AK19)),IF(AND(s_Irr!M19&lt;&gt;".",s_Irr!AK19=".",s_Irr!BI19&lt;&gt;"."),s_dir!AM19/((1/1000)*(s_Irr!M19+s_Irr!BI19)),IF(AND(s_Irr!M19=".",s_Irr!AK19&lt;&gt;".",s_Irr!BI19&lt;&gt;"."),s_dir!AM19/((1/1000)*(s_Irr!AK19+s_Irr!BI19)),IF(AND(s_Irr!M19=".",s_Irr!AK19=".",s_Irr!BI19&lt;&gt;"."),s_dir!AM19/((1/1000)*(s_Irr!BI19)),IF(AND(s_Irr!M19=".",s_Irr!AK19&lt;&gt;".",s_Irr!BI19="."),s_dir!AM19/((1/1000)*(s_Irr!AK19)),IF(AND(s_Irr!M19&lt;&gt;".",s_Irr!AK19=".",s_Irr!BI19="."),s_dir!AM19/((1/1000)*(s_Irr!M19)),IF(AND(s_Irr!M19=".",s_Irr!AK19=".",s_Irr!BI19="."),s_dir!AM19*1000)))))))),".")</f>
        <v>.</v>
      </c>
      <c r="BM19" s="48" t="str">
        <f>IFERROR(IF(AND(s_Irr!N19&lt;&gt;".",s_Irr!AL19&lt;&gt;".",s_Irr!BJ19&lt;&gt;"."),s_dir!AN19/((1/1000)*(s_Irr!N19+s_Irr!AL19+s_Irr!BJ19)),IF(AND(s_Irr!N19&lt;&gt;".",s_Irr!AL19&lt;&gt;".",s_Irr!BJ19="."),s_dir!AN19/((1/1000)*(s_Irr!N19+s_Irr!AL19)),IF(AND(s_Irr!N19&lt;&gt;".",s_Irr!AL19=".",s_Irr!BJ19&lt;&gt;"."),s_dir!AN19/((1/1000)*(s_Irr!N19+s_Irr!BJ19)),IF(AND(s_Irr!N19=".",s_Irr!AL19&lt;&gt;".",s_Irr!BJ19&lt;&gt;"."),s_dir!AN19/((1/1000)*(s_Irr!AL19+s_Irr!BJ19)),IF(AND(s_Irr!N19=".",s_Irr!AL19=".",s_Irr!BJ19&lt;&gt;"."),s_dir!AN19/((1/1000)*(s_Irr!BJ19)),IF(AND(s_Irr!N19=".",s_Irr!AL19&lt;&gt;".",s_Irr!BJ19="."),s_dir!AN19/((1/1000)*(s_Irr!AL19)),IF(AND(s_Irr!N19&lt;&gt;".",s_Irr!AL19=".",s_Irr!BJ19="."),s_dir!AN19/((1/1000)*(s_Irr!N19)),IF(AND(s_Irr!N19=".",s_Irr!AL19=".",s_Irr!BJ19="."),s_dir!AN19*1000)))))))),".")</f>
        <v>.</v>
      </c>
      <c r="BN19" s="48" t="str">
        <f>IFERROR(IF(AND(s_Irr!O19&lt;&gt;".",s_Irr!AM19&lt;&gt;".",s_Irr!BK19&lt;&gt;"."),s_dir!AO19/((1/1000)*(s_Irr!O19+s_Irr!AM19+s_Irr!BK19)),IF(AND(s_Irr!O19&lt;&gt;".",s_Irr!AM19&lt;&gt;".",s_Irr!BK19="."),s_dir!AO19/((1/1000)*(s_Irr!O19+s_Irr!AM19)),IF(AND(s_Irr!O19&lt;&gt;".",s_Irr!AM19=".",s_Irr!BK19&lt;&gt;"."),s_dir!AO19/((1/1000)*(s_Irr!O19+s_Irr!BK19)),IF(AND(s_Irr!O19=".",s_Irr!AM19&lt;&gt;".",s_Irr!BK19&lt;&gt;"."),s_dir!AO19/((1/1000)*(s_Irr!AM19+s_Irr!BK19)),IF(AND(s_Irr!O19=".",s_Irr!AM19=".",s_Irr!BK19&lt;&gt;"."),s_dir!AO19/((1/1000)*(s_Irr!BK19)),IF(AND(s_Irr!O19=".",s_Irr!AM19&lt;&gt;".",s_Irr!BK19="."),s_dir!AO19/((1/1000)*(s_Irr!AM19)),IF(AND(s_Irr!O19&lt;&gt;".",s_Irr!AM19=".",s_Irr!BK19="."),s_dir!AO19/((1/1000)*(s_Irr!O19)),IF(AND(s_Irr!O19=".",s_Irr!AM19=".",s_Irr!BK19="."),s_dir!AO19*1000)))))))),".")</f>
        <v>.</v>
      </c>
      <c r="BO19" s="48" t="str">
        <f>IFERROR(IF(AND(s_Irr!P19&lt;&gt;".",s_Irr!AN19&lt;&gt;".",s_Irr!BL19&lt;&gt;"."),s_dir!AP19/((1/1000)*(s_Irr!P19+s_Irr!AN19+s_Irr!BL19)),IF(AND(s_Irr!P19&lt;&gt;".",s_Irr!AN19&lt;&gt;".",s_Irr!BL19="."),s_dir!AP19/((1/1000)*(s_Irr!P19+s_Irr!AN19)),IF(AND(s_Irr!P19&lt;&gt;".",s_Irr!AN19=".",s_Irr!BL19&lt;&gt;"."),s_dir!AP19/((1/1000)*(s_Irr!P19+s_Irr!BL19)),IF(AND(s_Irr!P19=".",s_Irr!AN19&lt;&gt;".",s_Irr!BL19&lt;&gt;"."),s_dir!AP19/((1/1000)*(s_Irr!AN19+s_Irr!BL19)),IF(AND(s_Irr!P19=".",s_Irr!AN19=".",s_Irr!BL19&lt;&gt;"."),s_dir!AP19/((1/1000)*(s_Irr!BL19)),IF(AND(s_Irr!P19=".",s_Irr!AN19&lt;&gt;".",s_Irr!BL19="."),s_dir!AP19/((1/1000)*(s_Irr!AN19)),IF(AND(s_Irr!P19&lt;&gt;".",s_Irr!AN19=".",s_Irr!BL19="."),s_dir!AP19/((1/1000)*(s_Irr!P19)),IF(AND(s_Irr!P19=".",s_Irr!AN19=".",s_Irr!BL19="."),s_dir!AP19*1000)))))))),".")</f>
        <v>.</v>
      </c>
      <c r="BP19" s="48" t="str">
        <f>IFERROR(IF(AND(s_Irr!Q19&lt;&gt;".",s_Irr!AO19&lt;&gt;".",s_Irr!BM19&lt;&gt;"."),s_dir!AQ19/((1/1000)*(s_Irr!Q19+s_Irr!AO19+s_Irr!BM19)),IF(AND(s_Irr!Q19&lt;&gt;".",s_Irr!AO19&lt;&gt;".",s_Irr!BM19="."),s_dir!AQ19/((1/1000)*(s_Irr!Q19+s_Irr!AO19)),IF(AND(s_Irr!Q19&lt;&gt;".",s_Irr!AO19=".",s_Irr!BM19&lt;&gt;"."),s_dir!AQ19/((1/1000)*(s_Irr!Q19+s_Irr!BM19)),IF(AND(s_Irr!Q19=".",s_Irr!AO19&lt;&gt;".",s_Irr!BM19&lt;&gt;"."),s_dir!AQ19/((1/1000)*(s_Irr!AO19+s_Irr!BM19)),IF(AND(s_Irr!Q19=".",s_Irr!AO19=".",s_Irr!BM19&lt;&gt;"."),s_dir!AQ19/((1/1000)*(s_Irr!BM19)),IF(AND(s_Irr!Q19=".",s_Irr!AO19&lt;&gt;".",s_Irr!BM19="."),s_dir!AQ19/((1/1000)*(s_Irr!AO19)),IF(AND(s_Irr!Q19&lt;&gt;".",s_Irr!AO19=".",s_Irr!BM19="."),s_dir!AQ19/((1/1000)*(s_Irr!Q19)),IF(AND(s_Irr!Q19=".",s_Irr!AO19=".",s_Irr!BM19="."),s_dir!AQ19*1000)))))))),".")</f>
        <v>.</v>
      </c>
      <c r="BQ19" s="48" t="str">
        <f>IFERROR(IF(AND(s_Irr!R19&lt;&gt;".",s_Irr!AP19&lt;&gt;".",s_Irr!BN19&lt;&gt;"."),s_dir!AR19/((1/1000)*(s_Irr!R19+s_Irr!AP19+s_Irr!BN19)),IF(AND(s_Irr!R19&lt;&gt;".",s_Irr!AP19&lt;&gt;".",s_Irr!BN19="."),s_dir!AR19/((1/1000)*(s_Irr!R19+s_Irr!AP19)),IF(AND(s_Irr!R19&lt;&gt;".",s_Irr!AP19=".",s_Irr!BN19&lt;&gt;"."),s_dir!AR19/((1/1000)*(s_Irr!R19+s_Irr!BN19)),IF(AND(s_Irr!R19=".",s_Irr!AP19&lt;&gt;".",s_Irr!BN19&lt;&gt;"."),s_dir!AR19/((1/1000)*(s_Irr!AP19+s_Irr!BN19)),IF(AND(s_Irr!R19=".",s_Irr!AP19=".",s_Irr!BN19&lt;&gt;"."),s_dir!AR19/((1/1000)*(s_Irr!BN19)),IF(AND(s_Irr!R19=".",s_Irr!AP19&lt;&gt;".",s_Irr!BN19="."),s_dir!AR19/((1/1000)*(s_Irr!AP19)),IF(AND(s_Irr!R19&lt;&gt;".",s_Irr!AP19=".",s_Irr!BN19="."),s_dir!AR19/((1/1000)*(s_Irr!R19)),IF(AND(s_Irr!R19=".",s_Irr!AP19=".",s_Irr!BN19="."),s_dir!AR19*1000)))))))),".")</f>
        <v>.</v>
      </c>
      <c r="BR19" s="48" t="str">
        <f>IFERROR(IF(AND(s_Irr!S19&lt;&gt;".",s_Irr!AQ19&lt;&gt;".",s_Irr!BO19&lt;&gt;"."),s_dir!AS19/((1/1000)*(s_Irr!S19+s_Irr!AQ19+s_Irr!BO19)),IF(AND(s_Irr!S19&lt;&gt;".",s_Irr!AQ19&lt;&gt;".",s_Irr!BO19="."),s_dir!AS19/((1/1000)*(s_Irr!S19+s_Irr!AQ19)),IF(AND(s_Irr!S19&lt;&gt;".",s_Irr!AQ19=".",s_Irr!BO19&lt;&gt;"."),s_dir!AS19/((1/1000)*(s_Irr!S19+s_Irr!BO19)),IF(AND(s_Irr!S19=".",s_Irr!AQ19&lt;&gt;".",s_Irr!BO19&lt;&gt;"."),s_dir!AS19/((1/1000)*(s_Irr!AQ19+s_Irr!BO19)),IF(AND(s_Irr!S19=".",s_Irr!AQ19=".",s_Irr!BO19&lt;&gt;"."),s_dir!AS19/((1/1000)*(s_Irr!BO19)),IF(AND(s_Irr!S19=".",s_Irr!AQ19&lt;&gt;".",s_Irr!BO19="."),s_dir!AS19/((1/1000)*(s_Irr!AQ19)),IF(AND(s_Irr!S19&lt;&gt;".",s_Irr!AQ19=".",s_Irr!BO19="."),s_dir!AS19/((1/1000)*(s_Irr!S19)),IF(AND(s_Irr!S19=".",s_Irr!AQ19=".",s_Irr!BO19="."),s_dir!AS19*1000)))))))),".")</f>
        <v>.</v>
      </c>
      <c r="BS19" s="48" t="str">
        <f>IFERROR(IF(AND(s_Irr!T19&lt;&gt;".",s_Irr!AR19&lt;&gt;".",s_Irr!BP19&lt;&gt;"."),s_dir!AT19/((1/1000)*(s_Irr!T19+s_Irr!AR19+s_Irr!BP19)),IF(AND(s_Irr!T19&lt;&gt;".",s_Irr!AR19&lt;&gt;".",s_Irr!BP19="."),s_dir!AT19/((1/1000)*(s_Irr!T19+s_Irr!AR19)),IF(AND(s_Irr!T19&lt;&gt;".",s_Irr!AR19=".",s_Irr!BP19&lt;&gt;"."),s_dir!AT19/((1/1000)*(s_Irr!T19+s_Irr!BP19)),IF(AND(s_Irr!T19=".",s_Irr!AR19&lt;&gt;".",s_Irr!BP19&lt;&gt;"."),s_dir!AT19/((1/1000)*(s_Irr!AR19+s_Irr!BP19)),IF(AND(s_Irr!T19=".",s_Irr!AR19=".",s_Irr!BP19&lt;&gt;"."),s_dir!AT19/((1/1000)*(s_Irr!BP19)),IF(AND(s_Irr!T19=".",s_Irr!AR19&lt;&gt;".",s_Irr!BP19="."),s_dir!AT19/((1/1000)*(s_Irr!AR19)),IF(AND(s_Irr!T19&lt;&gt;".",s_Irr!AR19=".",s_Irr!BP19="."),s_dir!AT19/((1/1000)*(s_Irr!T19)),IF(AND(s_Irr!T19=".",s_Irr!AR19=".",s_Irr!BP19="."),s_dir!AT19*1000)))))))),".")</f>
        <v>.</v>
      </c>
      <c r="BT19" s="48" t="str">
        <f>IFERROR(IF(AND(s_Irr!U19&lt;&gt;".",s_Irr!AS19&lt;&gt;".",s_Irr!BQ19&lt;&gt;"."),s_dir!AU19/((1/1000)*(s_Irr!U19+s_Irr!AS19+s_Irr!BQ19)),IF(AND(s_Irr!U19&lt;&gt;".",s_Irr!AS19&lt;&gt;".",s_Irr!BQ19="."),s_dir!AU19/((1/1000)*(s_Irr!U19+s_Irr!AS19)),IF(AND(s_Irr!U19&lt;&gt;".",s_Irr!AS19=".",s_Irr!BQ19&lt;&gt;"."),s_dir!AU19/((1/1000)*(s_Irr!U19+s_Irr!BQ19)),IF(AND(s_Irr!U19=".",s_Irr!AS19&lt;&gt;".",s_Irr!BQ19&lt;&gt;"."),s_dir!AU19/((1/1000)*(s_Irr!AS19+s_Irr!BQ19)),IF(AND(s_Irr!U19=".",s_Irr!AS19=".",s_Irr!BQ19&lt;&gt;"."),s_dir!AU19/((1/1000)*(s_Irr!BQ19)),IF(AND(s_Irr!U19=".",s_Irr!AS19&lt;&gt;".",s_Irr!BQ19="."),s_dir!AU19/((1/1000)*(s_Irr!AS19)),IF(AND(s_Irr!U19&lt;&gt;".",s_Irr!AS19=".",s_Irr!BQ19="."),s_dir!AU19/((1/1000)*(s_Irr!U19)),IF(AND(s_Irr!U19=".",s_Irr!AS19=".",s_Irr!BQ19="."),s_dir!AU19*1000)))))))),".")</f>
        <v>.</v>
      </c>
      <c r="BU19" s="48" t="str">
        <f>IFERROR(IF(AND(s_Irr!V19&lt;&gt;".",s_Irr!AT19&lt;&gt;".",s_Irr!BR19&lt;&gt;"."),s_dir!AV19/((1/1000)*(s_Irr!V19+s_Irr!AT19+s_Irr!BR19)),IF(AND(s_Irr!V19&lt;&gt;".",s_Irr!AT19&lt;&gt;".",s_Irr!BR19="."),s_dir!AV19/((1/1000)*(s_Irr!V19+s_Irr!AT19)),IF(AND(s_Irr!V19&lt;&gt;".",s_Irr!AT19=".",s_Irr!BR19&lt;&gt;"."),s_dir!AV19/((1/1000)*(s_Irr!V19+s_Irr!BR19)),IF(AND(s_Irr!V19=".",s_Irr!AT19&lt;&gt;".",s_Irr!BR19&lt;&gt;"."),s_dir!AV19/((1/1000)*(s_Irr!AT19+s_Irr!BR19)),IF(AND(s_Irr!V19=".",s_Irr!AT19=".",s_Irr!BR19&lt;&gt;"."),s_dir!AV19/((1/1000)*(s_Irr!BR19)),IF(AND(s_Irr!V19=".",s_Irr!AT19&lt;&gt;".",s_Irr!BR19="."),s_dir!AV19/((1/1000)*(s_Irr!AT19)),IF(AND(s_Irr!V19&lt;&gt;".",s_Irr!AT19=".",s_Irr!BR19="."),s_dir!AV19/((1/1000)*(s_Irr!V19)),IF(AND(s_Irr!V19=".",s_Irr!AT19=".",s_Irr!BR19="."),s_dir!AV19*1000)))))))),".")</f>
        <v>.</v>
      </c>
      <c r="BV19" s="48" t="str">
        <f>IFERROR(IF(AND(s_Irr!W19&lt;&gt;".",s_Irr!AU19&lt;&gt;".",s_Irr!BS19&lt;&gt;"."),s_dir!AW19/((1/1000)*(s_Irr!W19+s_Irr!AU19+s_Irr!BS19)),IF(AND(s_Irr!W19&lt;&gt;".",s_Irr!AU19&lt;&gt;".",s_Irr!BS19="."),s_dir!AW19/((1/1000)*(s_Irr!W19+s_Irr!AU19)),IF(AND(s_Irr!W19&lt;&gt;".",s_Irr!AU19=".",s_Irr!BS19&lt;&gt;"."),s_dir!AW19/((1/1000)*(s_Irr!W19+s_Irr!BS19)),IF(AND(s_Irr!W19=".",s_Irr!AU19&lt;&gt;".",s_Irr!BS19&lt;&gt;"."),s_dir!AW19/((1/1000)*(s_Irr!AU19+s_Irr!BS19)),IF(AND(s_Irr!W19=".",s_Irr!AU19=".",s_Irr!BS19&lt;&gt;"."),s_dir!AW19/((1/1000)*(s_Irr!BS19)),IF(AND(s_Irr!W19=".",s_Irr!AU19&lt;&gt;".",s_Irr!BS19="."),s_dir!AW19/((1/1000)*(s_Irr!AU19)),IF(AND(s_Irr!W19&lt;&gt;".",s_Irr!AU19=".",s_Irr!BS19="."),s_dir!AW19/((1/1000)*(s_Irr!W19)),IF(AND(s_Irr!W19=".",s_Irr!AU19=".",s_Irr!BS19="."),s_dir!AW19*1000)))))))),".")</f>
        <v>.</v>
      </c>
      <c r="BW19" s="48" t="str">
        <f>IFERROR(IF(AND(s_Irr!X19&lt;&gt;".",s_Irr!AV19&lt;&gt;".",s_Irr!BT19&lt;&gt;"."),s_dir!AX19/((1/1000)*(s_Irr!X19+s_Irr!AV19+s_Irr!BT19)),IF(AND(s_Irr!X19&lt;&gt;".",s_Irr!AV19&lt;&gt;".",s_Irr!BT19="."),s_dir!AX19/((1/1000)*(s_Irr!X19+s_Irr!AV19)),IF(AND(s_Irr!X19&lt;&gt;".",s_Irr!AV19=".",s_Irr!BT19&lt;&gt;"."),s_dir!AX19/((1/1000)*(s_Irr!X19+s_Irr!BT19)),IF(AND(s_Irr!X19=".",s_Irr!AV19&lt;&gt;".",s_Irr!BT19&lt;&gt;"."),s_dir!AX19/((1/1000)*(s_Irr!AV19+s_Irr!BT19)),IF(AND(s_Irr!X19=".",s_Irr!AV19=".",s_Irr!BT19&lt;&gt;"."),s_dir!AX19/((1/1000)*(s_Irr!BT19)),IF(AND(s_Irr!X19=".",s_Irr!AV19&lt;&gt;".",s_Irr!BT19="."),s_dir!AX19/((1/1000)*(s_Irr!AV19)),IF(AND(s_Irr!X19&lt;&gt;".",s_Irr!AV19=".",s_Irr!BT19="."),s_dir!AX19/((1/1000)*(s_Irr!X19)),IF(AND(s_Irr!X19=".",s_Irr!AV19=".",s_Irr!BT19="."),s_dir!AX19*1000)))))))),".")</f>
        <v>.</v>
      </c>
      <c r="BX19" s="48" t="str">
        <f>IFERROR(IF(AND(s_Irr!Y19&lt;&gt;".",s_Irr!AW19&lt;&gt;".",s_Irr!BU19&lt;&gt;"."),s_dir!AY19/((1/1000)*(s_Irr!Y19+s_Irr!AW19+s_Irr!BU19)),IF(AND(s_Irr!Y19&lt;&gt;".",s_Irr!AW19&lt;&gt;".",s_Irr!BU19="."),s_dir!AY19/((1/1000)*(s_Irr!Y19+s_Irr!AW19)),IF(AND(s_Irr!Y19&lt;&gt;".",s_Irr!AW19=".",s_Irr!BU19&lt;&gt;"."),s_dir!AY19/((1/1000)*(s_Irr!Y19+s_Irr!BU19)),IF(AND(s_Irr!Y19=".",s_Irr!AW19&lt;&gt;".",s_Irr!BU19&lt;&gt;"."),s_dir!AY19/((1/1000)*(s_Irr!AW19+s_Irr!BU19)),IF(AND(s_Irr!Y19=".",s_Irr!AW19=".",s_Irr!BU19&lt;&gt;"."),s_dir!AY19/((1/1000)*(s_Irr!BU19)),IF(AND(s_Irr!Y19=".",s_Irr!AW19&lt;&gt;".",s_Irr!BU19="."),s_dir!AY19/((1/1000)*(s_Irr!AW19)),IF(AND(s_Irr!Y19&lt;&gt;".",s_Irr!AW19=".",s_Irr!BU19="."),s_dir!AY19/((1/1000)*(s_Irr!Y19)),IF(AND(s_Irr!Y19=".",s_Irr!AW19=".",s_Irr!BU19="."),s_dir!AY19*1000)))))))),".")</f>
        <v>.</v>
      </c>
      <c r="BY19" s="48" t="str">
        <f>IFERROR(IF(AND(s_Irr!Z19&lt;&gt;".",s_Irr!AX19&lt;&gt;".",s_Irr!BV19&lt;&gt;"."),s_dir!AZ19/((1/1000)*(s_Irr!Z19+s_Irr!AX19+s_Irr!BV19)),IF(AND(s_Irr!Z19&lt;&gt;".",s_Irr!AX19&lt;&gt;".",s_Irr!BV19="."),s_dir!AZ19/((1/1000)*(s_Irr!Z19+s_Irr!AX19)),IF(AND(s_Irr!Z19&lt;&gt;".",s_Irr!AX19=".",s_Irr!BV19&lt;&gt;"."),s_dir!AZ19/((1/1000)*(s_Irr!Z19+s_Irr!BV19)),IF(AND(s_Irr!Z19=".",s_Irr!AX19&lt;&gt;".",s_Irr!BV19&lt;&gt;"."),s_dir!AZ19/((1/1000)*(s_Irr!AX19+s_Irr!BV19)),IF(AND(s_Irr!Z19=".",s_Irr!AX19=".",s_Irr!BV19&lt;&gt;"."),s_dir!AZ19/((1/1000)*(s_Irr!BV19)),IF(AND(s_Irr!Z19=".",s_Irr!AX19&lt;&gt;".",s_Irr!BV19="."),s_dir!AZ19/((1/1000)*(s_Irr!AX19)),IF(AND(s_Irr!Z19&lt;&gt;".",s_Irr!AX19=".",s_Irr!BV19="."),s_dir!AZ19/((1/1000)*(s_Irr!Z19)),IF(AND(s_Irr!Z19=".",s_Irr!AX19=".",s_Irr!BV19="."),s_dir!AZ19*1000)))))))),".")</f>
        <v>.</v>
      </c>
      <c r="BZ19" s="62">
        <f t="shared" si="1"/>
        <v>285.56727257609776</v>
      </c>
      <c r="CA19" s="62">
        <f>IFERROR(s_C*s_IFAP_far_adj*s_CF_apple*(1/1000)*(s_Irr!C19+s_Irr!AA19+s_Irr!AY19),".")</f>
        <v>88.757645154967165</v>
      </c>
      <c r="CB19" s="62">
        <f>IFERROR(s_C*s_IFAS_far_adj*s_CF_asparagus*(1/1000)*(s_Irr!D19+s_Irr!AB19+s_Irr!AZ19),".")</f>
        <v>99.576899609843579</v>
      </c>
      <c r="CC19" s="62">
        <f>IFERROR(s_C*s_IFBT_far_adj*s_CF_beet*(1/1000)*(s_Irr!E19+s_Irr!AC19+s_Irr!BA19),".")</f>
        <v>97.172620842093266</v>
      </c>
      <c r="CD19" s="62">
        <f>IFERROR(s_C*s_IFBE_far_adj*s_CF_berries*(1/1000)*(s_Irr!F19+s_Irr!AD19+s_Irr!BB19),".")</f>
        <v>88.757645154967165</v>
      </c>
      <c r="CE19" s="62">
        <f>IFERROR(s_C*s_IFBR_far_adj*s_CF_broccoli*(1/1000)*(s_Irr!G19+s_Irr!AE19+s_Irr!BC19),".")</f>
        <v>88.757645154967165</v>
      </c>
      <c r="CF19" s="62">
        <f>IFERROR(s_C*s_IFCB_far_adj*s_CF_cabbage*(1/1000)*(s_Irr!H19+s_Irr!AF19+s_Irr!BD19),".")</f>
        <v>99.576899609843579</v>
      </c>
      <c r="CG19" s="62">
        <f>IFERROR(s_C*s_IFCR_far_adj*s_CF_carrot*(1/1000)*(s_Irr!I19+s_Irr!AG19+s_Irr!BE19),".")</f>
        <v>97.172620842093266</v>
      </c>
      <c r="CH19" s="62">
        <f>IFERROR(s_C*s_IFCI_far_adj*s_CF_citrus*(1/1000)*(s_Irr!J19+s_Irr!AH19+s_Irr!BF19),".")</f>
        <v>88.757645154967165</v>
      </c>
      <c r="CI19" s="62">
        <f>IFERROR(s_C*s_IFCO_far_adj*s_CF_corn*(1/1000)*(s_Irr!K19+s_Irr!AI19+s_Irr!BG19),".")</f>
        <v>88.817752124160918</v>
      </c>
      <c r="CJ19" s="62">
        <f>IFERROR(s_C*s_IFCU_far_adj*s_CF_cucumber*(1/1000)*(s_Irr!L19+s_Irr!AJ19+s_Irr!BH19),".")</f>
        <v>88.757645154967165</v>
      </c>
      <c r="CK19" s="62">
        <f>IFERROR(s_C*s_IFLE_far_adj*s_CF_lettuce*(1/1000)*(s_Irr!M19+s_Irr!AK19+s_Irr!BI19),".")</f>
        <v>99.576899609843579</v>
      </c>
      <c r="CL19" s="62">
        <f>IFERROR(s_C*s_IFLI_far_adj*s_CF_lima_bean*(1/1000)*(s_Irr!N19+s_Irr!AL19+s_Irr!BJ19),".")</f>
        <v>88.862832351056241</v>
      </c>
      <c r="CM19" s="62">
        <f>IFERROR(s_C*s_IFOK_far_adj*s_CF_okra*(1/1000)*(s_Irr!O19+s_Irr!AM19+s_Irr!BK19),".")</f>
        <v>88.757645154967165</v>
      </c>
      <c r="CN19" s="62">
        <f>IFERROR(s_C*s_IFON_far_adj*s_CF_onion*(1/1000)*(s_Irr!P19+s_Irr!AN19+s_Irr!BL19),".")</f>
        <v>88.757645154967165</v>
      </c>
      <c r="CO19" s="62">
        <f>IFERROR(s_C*s_IFPC_far_adj*s_CF_peach*(1/1000)*(s_Irr!Q19+s_Irr!AO19+s_Irr!BM19),".")</f>
        <v>88.757645154967165</v>
      </c>
      <c r="CP19" s="62">
        <f>IFERROR(s_C*s_IFPR_far_adj*s_CF_pear*(1/1000)*(s_Irr!R19+s_Irr!AP19+s_Irr!BN19),".")</f>
        <v>88.757645154967165</v>
      </c>
      <c r="CQ19" s="62">
        <f>IFERROR(s_C*s_IFPE_far_adj*s_CF_peas*(1/1000)*(s_Irr!S19+s_Irr!AQ19+s_Irr!BO19),".")</f>
        <v>88.862832351056241</v>
      </c>
      <c r="CR19" s="62">
        <f>IFERROR(s_C*s_IFPT_far_adj*s_CF_potato*(1/1000)*(s_Irr!T19+s_Irr!AR19+s_Irr!BP19),".")</f>
        <v>92.514330729577026</v>
      </c>
      <c r="CS19" s="62">
        <f>IFERROR(s_C*s_IFPU_far_adj*s_CF_pumpkin*(1/1000)*(s_Irr!U19+s_Irr!AS19+s_Irr!BQ19),".")</f>
        <v>88.757645154967165</v>
      </c>
      <c r="CT19" s="62">
        <f>IFERROR(s_C*s_IFSN_far_adj*s_CF_snap_bean*(1/1000)*(s_Irr!V19+s_Irr!AT19+s_Irr!BR19),".")</f>
        <v>88.862832351056241</v>
      </c>
      <c r="CU19" s="62">
        <f>IFERROR(s_C*s_IFST_far_adj*s_CF_strawberry*(1/1000)*(s_Irr!W19+s_Irr!AU19+s_Irr!BS19),".")</f>
        <v>88.757645154967165</v>
      </c>
      <c r="CV19" s="62">
        <f>IFERROR(s_C*s_IFTO_far_adj*s_CF_tomato*(1/1000)*(s_Irr!X19+s_Irr!AV19+s_Irr!BT19),".")</f>
        <v>88.757645154967165</v>
      </c>
      <c r="CW19" s="62">
        <f>IFERROR(s_C*s_IFRI_far_adj*s_CF_rice*(1/1000)*(s_Irr!Y19+s_Irr!AW19+s_Irr!BU19),".")</f>
        <v>107.99187529696968</v>
      </c>
      <c r="CX19" s="62">
        <f>IFERROR(s_C*s_IFCG_far_adj*s_CF_cereal*(1/1000)*(s_Irr!Z19+s_Irr!AX19+s_Irr!BV19),".")</f>
        <v>88.817752124160918</v>
      </c>
    </row>
    <row r="20" spans="1:102" ht="15" customHeight="1" x14ac:dyDescent="0.25">
      <c r="A20" s="61" t="s">
        <v>18</v>
      </c>
      <c r="B20" s="49" t="s">
        <v>1059</v>
      </c>
      <c r="C20" s="48" t="str">
        <f t="shared" si="2"/>
        <v>.</v>
      </c>
      <c r="D20" s="48" t="str">
        <f>IFERROR(IF(AND(s_Irr!C20&lt;&gt;".",s_Irr!AA20&lt;&gt;".",s_Irr!AY20&lt;&gt;"."),s_dir!D20/((1/1000)*(s_Irr!C20+s_Irr!AA20+s_Irr!AY20)),IF(AND(s_Irr!C20&lt;&gt;".",s_Irr!AA20&lt;&gt;".",s_Irr!AY20="."),s_dir!D20/((1/1000)*(s_Irr!C20+s_Irr!AA20)),IF(AND(s_Irr!C20&lt;&gt;".",s_Irr!AA20=".",s_Irr!AY20&lt;&gt;"."),s_dir!D20/((1/1000)*(s_Irr!C20+s_Irr!AY20)),IF(AND(s_Irr!C20=".",s_Irr!AA20&lt;&gt;".",s_Irr!AY20&lt;&gt;"."),s_dir!D20/((1/1000)*(s_Irr!AA20+s_Irr!AY20)),IF(AND(s_Irr!C20=".",s_Irr!AA20=".",s_Irr!AY20&lt;&gt;"."),s_dir!D20/((1/1000)*(s_Irr!AY20)),IF(AND(s_Irr!C20=".",s_Irr!AA20&lt;&gt;".",s_Irr!AY20="."),s_dir!D20/((1/1000)*(s_Irr!AA20)),IF(AND(s_Irr!C20&lt;&gt;".",s_Irr!AA20=".",s_Irr!AY20="."),s_dir!D20/((1/1000)*(s_Irr!C20)),IF(AND(s_Irr!C20=".",s_Irr!AA20=".",s_Irr!AY20="."),s_dir!D20*1000)))))))),".")</f>
        <v>.</v>
      </c>
      <c r="E20" s="48" t="str">
        <f>IFERROR(IF(AND(s_Irr!D20&lt;&gt;".",s_Irr!AB20&lt;&gt;".",s_Irr!AZ20&lt;&gt;"."),s_dir!E20/((1/1000)*(s_Irr!D20+s_Irr!AB20+s_Irr!AZ20)),IF(AND(s_Irr!D20&lt;&gt;".",s_Irr!AB20&lt;&gt;".",s_Irr!AZ20="."),s_dir!E20/((1/1000)*(s_Irr!D20+s_Irr!AB20)),IF(AND(s_Irr!D20&lt;&gt;".",s_Irr!AB20=".",s_Irr!AZ20&lt;&gt;"."),s_dir!E20/((1/1000)*(s_Irr!D20+s_Irr!AZ20)),IF(AND(s_Irr!D20=".",s_Irr!AB20&lt;&gt;".",s_Irr!AZ20&lt;&gt;"."),s_dir!E20/((1/1000)*(s_Irr!AB20+s_Irr!AZ20)),IF(AND(s_Irr!D20=".",s_Irr!AB20=".",s_Irr!AZ20&lt;&gt;"."),s_dir!E20/((1/1000)*(s_Irr!AZ20)),IF(AND(s_Irr!D20=".",s_Irr!AB20&lt;&gt;".",s_Irr!AZ20="."),s_dir!E20/((1/1000)*(s_Irr!AB20)),IF(AND(s_Irr!D20&lt;&gt;".",s_Irr!AB20=".",s_Irr!AZ20="."),s_dir!E20/((1/1000)*(s_Irr!D20)),IF(AND(s_Irr!D20=".",s_Irr!AB20=".",s_Irr!AZ20="."),s_dir!E20*1000)))))))),".")</f>
        <v>.</v>
      </c>
      <c r="F20" s="48" t="str">
        <f>IFERROR(IF(AND(s_Irr!E20&lt;&gt;".",s_Irr!AC20&lt;&gt;".",s_Irr!BA20&lt;&gt;"."),s_dir!F20/((1/1000)*(s_Irr!E20+s_Irr!AC20+s_Irr!BA20)),IF(AND(s_Irr!E20&lt;&gt;".",s_Irr!AC20&lt;&gt;".",s_Irr!BA20="."),s_dir!F20/((1/1000)*(s_Irr!E20+s_Irr!AC20)),IF(AND(s_Irr!E20&lt;&gt;".",s_Irr!AC20=".",s_Irr!BA20&lt;&gt;"."),s_dir!F20/((1/1000)*(s_Irr!E20+s_Irr!BA20)),IF(AND(s_Irr!E20=".",s_Irr!AC20&lt;&gt;".",s_Irr!BA20&lt;&gt;"."),s_dir!F20/((1/1000)*(s_Irr!AC20+s_Irr!BA20)),IF(AND(s_Irr!E20=".",s_Irr!AC20=".",s_Irr!BA20&lt;&gt;"."),s_dir!F20/((1/1000)*(s_Irr!BA20)),IF(AND(s_Irr!E20=".",s_Irr!AC20&lt;&gt;".",s_Irr!BA20="."),s_dir!F20/((1/1000)*(s_Irr!AC20)),IF(AND(s_Irr!E20&lt;&gt;".",s_Irr!AC20=".",s_Irr!BA20="."),s_dir!F20/((1/1000)*(s_Irr!E20)),IF(AND(s_Irr!E20=".",s_Irr!AC20=".",s_Irr!BA20="."),s_dir!F20*1000)))))))),".")</f>
        <v>.</v>
      </c>
      <c r="G20" s="48" t="str">
        <f>IFERROR(IF(AND(s_Irr!F20&lt;&gt;".",s_Irr!AD20&lt;&gt;".",s_Irr!BB20&lt;&gt;"."),s_dir!G20/((1/1000)*(s_Irr!F20+s_Irr!AD20+s_Irr!BB20)),IF(AND(s_Irr!F20&lt;&gt;".",s_Irr!AD20&lt;&gt;".",s_Irr!BB20="."),s_dir!G20/((1/1000)*(s_Irr!F20+s_Irr!AD20)),IF(AND(s_Irr!F20&lt;&gt;".",s_Irr!AD20=".",s_Irr!BB20&lt;&gt;"."),s_dir!G20/((1/1000)*(s_Irr!F20+s_Irr!BB20)),IF(AND(s_Irr!F20=".",s_Irr!AD20&lt;&gt;".",s_Irr!BB20&lt;&gt;"."),s_dir!G20/((1/1000)*(s_Irr!AD20+s_Irr!BB20)),IF(AND(s_Irr!F20=".",s_Irr!AD20=".",s_Irr!BB20&lt;&gt;"."),s_dir!G20/((1/1000)*(s_Irr!BB20)),IF(AND(s_Irr!F20=".",s_Irr!AD20&lt;&gt;".",s_Irr!BB20="."),s_dir!G20/((1/1000)*(s_Irr!AD20)),IF(AND(s_Irr!F20&lt;&gt;".",s_Irr!AD20=".",s_Irr!BB20="."),s_dir!G20/((1/1000)*(s_Irr!F20)),IF(AND(s_Irr!F20=".",s_Irr!AD20=".",s_Irr!BB20="."),s_dir!G20*1000)))))))),".")</f>
        <v>.</v>
      </c>
      <c r="H20" s="48" t="str">
        <f>IFERROR(IF(AND(s_Irr!G20&lt;&gt;".",s_Irr!AE20&lt;&gt;".",s_Irr!BC20&lt;&gt;"."),s_dir!H20/((1/1000)*(s_Irr!G20+s_Irr!AE20+s_Irr!BC20)),IF(AND(s_Irr!G20&lt;&gt;".",s_Irr!AE20&lt;&gt;".",s_Irr!BC20="."),s_dir!H20/((1/1000)*(s_Irr!G20+s_Irr!AE20)),IF(AND(s_Irr!G20&lt;&gt;".",s_Irr!AE20=".",s_Irr!BC20&lt;&gt;"."),s_dir!H20/((1/1000)*(s_Irr!G20+s_Irr!BC20)),IF(AND(s_Irr!G20=".",s_Irr!AE20&lt;&gt;".",s_Irr!BC20&lt;&gt;"."),s_dir!H20/((1/1000)*(s_Irr!AE20+s_Irr!BC20)),IF(AND(s_Irr!G20=".",s_Irr!AE20=".",s_Irr!BC20&lt;&gt;"."),s_dir!H20/((1/1000)*(s_Irr!BC20)),IF(AND(s_Irr!G20=".",s_Irr!AE20&lt;&gt;".",s_Irr!BC20="."),s_dir!H20/((1/1000)*(s_Irr!AE20)),IF(AND(s_Irr!G20&lt;&gt;".",s_Irr!AE20=".",s_Irr!BC20="."),s_dir!H20/((1/1000)*(s_Irr!G20)),IF(AND(s_Irr!G20=".",s_Irr!AE20=".",s_Irr!BC20="."),s_dir!H20*1000)))))))),".")</f>
        <v>.</v>
      </c>
      <c r="I20" s="48" t="str">
        <f>IFERROR(IF(AND(s_Irr!H20&lt;&gt;".",s_Irr!AF20&lt;&gt;".",s_Irr!BD20&lt;&gt;"."),s_dir!I20/((1/1000)*(s_Irr!H20+s_Irr!AF20+s_Irr!BD20)),IF(AND(s_Irr!H20&lt;&gt;".",s_Irr!AF20&lt;&gt;".",s_Irr!BD20="."),s_dir!I20/((1/1000)*(s_Irr!H20+s_Irr!AF20)),IF(AND(s_Irr!H20&lt;&gt;".",s_Irr!AF20=".",s_Irr!BD20&lt;&gt;"."),s_dir!I20/((1/1000)*(s_Irr!H20+s_Irr!BD20)),IF(AND(s_Irr!H20=".",s_Irr!AF20&lt;&gt;".",s_Irr!BD20&lt;&gt;"."),s_dir!I20/((1/1000)*(s_Irr!AF20+s_Irr!BD20)),IF(AND(s_Irr!H20=".",s_Irr!AF20=".",s_Irr!BD20&lt;&gt;"."),s_dir!I20/((1/1000)*(s_Irr!BD20)),IF(AND(s_Irr!H20=".",s_Irr!AF20&lt;&gt;".",s_Irr!BD20="."),s_dir!I20/((1/1000)*(s_Irr!AF20)),IF(AND(s_Irr!H20&lt;&gt;".",s_Irr!AF20=".",s_Irr!BD20="."),s_dir!I20/((1/1000)*(s_Irr!H20)),IF(AND(s_Irr!H20=".",s_Irr!AF20=".",s_Irr!BD20="."),s_dir!I20*1000)))))))),".")</f>
        <v>.</v>
      </c>
      <c r="J20" s="48" t="str">
        <f>IFERROR(IF(AND(s_Irr!I20&lt;&gt;".",s_Irr!AG20&lt;&gt;".",s_Irr!BE20&lt;&gt;"."),s_dir!J20/((1/1000)*(s_Irr!I20+s_Irr!AG20+s_Irr!BE20)),IF(AND(s_Irr!I20&lt;&gt;".",s_Irr!AG20&lt;&gt;".",s_Irr!BE20="."),s_dir!J20/((1/1000)*(s_Irr!I20+s_Irr!AG20)),IF(AND(s_Irr!I20&lt;&gt;".",s_Irr!AG20=".",s_Irr!BE20&lt;&gt;"."),s_dir!J20/((1/1000)*(s_Irr!I20+s_Irr!BE20)),IF(AND(s_Irr!I20=".",s_Irr!AG20&lt;&gt;".",s_Irr!BE20&lt;&gt;"."),s_dir!J20/((1/1000)*(s_Irr!AG20+s_Irr!BE20)),IF(AND(s_Irr!I20=".",s_Irr!AG20=".",s_Irr!BE20&lt;&gt;"."),s_dir!J20/((1/1000)*(s_Irr!BE20)),IF(AND(s_Irr!I20=".",s_Irr!AG20&lt;&gt;".",s_Irr!BE20="."),s_dir!J20/((1/1000)*(s_Irr!AG20)),IF(AND(s_Irr!I20&lt;&gt;".",s_Irr!AG20=".",s_Irr!BE20="."),s_dir!J20/((1/1000)*(s_Irr!I20)),IF(AND(s_Irr!I20=".",s_Irr!AG20=".",s_Irr!BE20="."),s_dir!J20*1000)))))))),".")</f>
        <v>.</v>
      </c>
      <c r="K20" s="48" t="str">
        <f>IFERROR(IF(AND(s_Irr!J20&lt;&gt;".",s_Irr!AH20&lt;&gt;".",s_Irr!BF20&lt;&gt;"."),s_dir!K20/((1/1000)*(s_Irr!J20+s_Irr!AH20+s_Irr!BF20)),IF(AND(s_Irr!J20&lt;&gt;".",s_Irr!AH20&lt;&gt;".",s_Irr!BF20="."),s_dir!K20/((1/1000)*(s_Irr!J20+s_Irr!AH20)),IF(AND(s_Irr!J20&lt;&gt;".",s_Irr!AH20=".",s_Irr!BF20&lt;&gt;"."),s_dir!K20/((1/1000)*(s_Irr!J20+s_Irr!BF20)),IF(AND(s_Irr!J20=".",s_Irr!AH20&lt;&gt;".",s_Irr!BF20&lt;&gt;"."),s_dir!K20/((1/1000)*(s_Irr!AH20+s_Irr!BF20)),IF(AND(s_Irr!J20=".",s_Irr!AH20=".",s_Irr!BF20&lt;&gt;"."),s_dir!K20/((1/1000)*(s_Irr!BF20)),IF(AND(s_Irr!J20=".",s_Irr!AH20&lt;&gt;".",s_Irr!BF20="."),s_dir!K20/((1/1000)*(s_Irr!AH20)),IF(AND(s_Irr!J20&lt;&gt;".",s_Irr!AH20=".",s_Irr!BF20="."),s_dir!K20/((1/1000)*(s_Irr!J20)),IF(AND(s_Irr!J20=".",s_Irr!AH20=".",s_Irr!BF20="."),s_dir!K20*1000)))))))),".")</f>
        <v>.</v>
      </c>
      <c r="L20" s="48" t="str">
        <f>IFERROR(IF(AND(s_Irr!K20&lt;&gt;".",s_Irr!AI20&lt;&gt;".",s_Irr!BG20&lt;&gt;"."),s_dir!L20/((1/1000)*(s_Irr!K20+s_Irr!AI20+s_Irr!BG20)),IF(AND(s_Irr!K20&lt;&gt;".",s_Irr!AI20&lt;&gt;".",s_Irr!BG20="."),s_dir!L20/((1/1000)*(s_Irr!K20+s_Irr!AI20)),IF(AND(s_Irr!K20&lt;&gt;".",s_Irr!AI20=".",s_Irr!BG20&lt;&gt;"."),s_dir!L20/((1/1000)*(s_Irr!K20+s_Irr!BG20)),IF(AND(s_Irr!K20=".",s_Irr!AI20&lt;&gt;".",s_Irr!BG20&lt;&gt;"."),s_dir!L20/((1/1000)*(s_Irr!AI20+s_Irr!BG20)),IF(AND(s_Irr!K20=".",s_Irr!AI20=".",s_Irr!BG20&lt;&gt;"."),s_dir!L20/((1/1000)*(s_Irr!BG20)),IF(AND(s_Irr!K20=".",s_Irr!AI20&lt;&gt;".",s_Irr!BG20="."),s_dir!L20/((1/1000)*(s_Irr!AI20)),IF(AND(s_Irr!K20&lt;&gt;".",s_Irr!AI20=".",s_Irr!BG20="."),s_dir!L20/((1/1000)*(s_Irr!K20)),IF(AND(s_Irr!K20=".",s_Irr!AI20=".",s_Irr!BG20="."),s_dir!L20*1000)))))))),".")</f>
        <v>.</v>
      </c>
      <c r="M20" s="48" t="str">
        <f>IFERROR(IF(AND(s_Irr!L20&lt;&gt;".",s_Irr!AJ20&lt;&gt;".",s_Irr!BH20&lt;&gt;"."),s_dir!M20/((1/1000)*(s_Irr!L20+s_Irr!AJ20+s_Irr!BH20)),IF(AND(s_Irr!L20&lt;&gt;".",s_Irr!AJ20&lt;&gt;".",s_Irr!BH20="."),s_dir!M20/((1/1000)*(s_Irr!L20+s_Irr!AJ20)),IF(AND(s_Irr!L20&lt;&gt;".",s_Irr!AJ20=".",s_Irr!BH20&lt;&gt;"."),s_dir!M20/((1/1000)*(s_Irr!L20+s_Irr!BH20)),IF(AND(s_Irr!L20=".",s_Irr!AJ20&lt;&gt;".",s_Irr!BH20&lt;&gt;"."),s_dir!M20/((1/1000)*(s_Irr!AJ20+s_Irr!BH20)),IF(AND(s_Irr!L20=".",s_Irr!AJ20=".",s_Irr!BH20&lt;&gt;"."),s_dir!M20/((1/1000)*(s_Irr!BH20)),IF(AND(s_Irr!L20=".",s_Irr!AJ20&lt;&gt;".",s_Irr!BH20="."),s_dir!M20/((1/1000)*(s_Irr!AJ20)),IF(AND(s_Irr!L20&lt;&gt;".",s_Irr!AJ20=".",s_Irr!BH20="."),s_dir!M20/((1/1000)*(s_Irr!L20)),IF(AND(s_Irr!L20=".",s_Irr!AJ20=".",s_Irr!BH20="."),s_dir!M20*1000)))))))),".")</f>
        <v>.</v>
      </c>
      <c r="N20" s="48" t="str">
        <f>IFERROR(IF(AND(s_Irr!M20&lt;&gt;".",s_Irr!AK20&lt;&gt;".",s_Irr!BI20&lt;&gt;"."),s_dir!N20/((1/1000)*(s_Irr!M20+s_Irr!AK20+s_Irr!BI20)),IF(AND(s_Irr!M20&lt;&gt;".",s_Irr!AK20&lt;&gt;".",s_Irr!BI20="."),s_dir!N20/((1/1000)*(s_Irr!M20+s_Irr!AK20)),IF(AND(s_Irr!M20&lt;&gt;".",s_Irr!AK20=".",s_Irr!BI20&lt;&gt;"."),s_dir!N20/((1/1000)*(s_Irr!M20+s_Irr!BI20)),IF(AND(s_Irr!M20=".",s_Irr!AK20&lt;&gt;".",s_Irr!BI20&lt;&gt;"."),s_dir!N20/((1/1000)*(s_Irr!AK20+s_Irr!BI20)),IF(AND(s_Irr!M20=".",s_Irr!AK20=".",s_Irr!BI20&lt;&gt;"."),s_dir!N20/((1/1000)*(s_Irr!BI20)),IF(AND(s_Irr!M20=".",s_Irr!AK20&lt;&gt;".",s_Irr!BI20="."),s_dir!N20/((1/1000)*(s_Irr!AK20)),IF(AND(s_Irr!M20&lt;&gt;".",s_Irr!AK20=".",s_Irr!BI20="."),s_dir!N20/((1/1000)*(s_Irr!M20)),IF(AND(s_Irr!M20=".",s_Irr!AK20=".",s_Irr!BI20="."),s_dir!N20*1000)))))))),".")</f>
        <v>.</v>
      </c>
      <c r="O20" s="48" t="str">
        <f>IFERROR(IF(AND(s_Irr!N20&lt;&gt;".",s_Irr!AL20&lt;&gt;".",s_Irr!BJ20&lt;&gt;"."),s_dir!O20/((1/1000)*(s_Irr!N20+s_Irr!AL20+s_Irr!BJ20)),IF(AND(s_Irr!N20&lt;&gt;".",s_Irr!AL20&lt;&gt;".",s_Irr!BJ20="."),s_dir!O20/((1/1000)*(s_Irr!N20+s_Irr!AL20)),IF(AND(s_Irr!N20&lt;&gt;".",s_Irr!AL20=".",s_Irr!BJ20&lt;&gt;"."),s_dir!O20/((1/1000)*(s_Irr!N20+s_Irr!BJ20)),IF(AND(s_Irr!N20=".",s_Irr!AL20&lt;&gt;".",s_Irr!BJ20&lt;&gt;"."),s_dir!O20/((1/1000)*(s_Irr!AL20+s_Irr!BJ20)),IF(AND(s_Irr!N20=".",s_Irr!AL20=".",s_Irr!BJ20&lt;&gt;"."),s_dir!O20/((1/1000)*(s_Irr!BJ20)),IF(AND(s_Irr!N20=".",s_Irr!AL20&lt;&gt;".",s_Irr!BJ20="."),s_dir!O20/((1/1000)*(s_Irr!AL20)),IF(AND(s_Irr!N20&lt;&gt;".",s_Irr!AL20=".",s_Irr!BJ20="."),s_dir!O20/((1/1000)*(s_Irr!N20)),IF(AND(s_Irr!N20=".",s_Irr!AL20=".",s_Irr!BJ20="."),s_dir!O20*1000)))))))),".")</f>
        <v>.</v>
      </c>
      <c r="P20" s="48" t="str">
        <f>IFERROR(IF(AND(s_Irr!O20&lt;&gt;".",s_Irr!AM20&lt;&gt;".",s_Irr!BK20&lt;&gt;"."),s_dir!P20/((1/1000)*(s_Irr!O20+s_Irr!AM20+s_Irr!BK20)),IF(AND(s_Irr!O20&lt;&gt;".",s_Irr!AM20&lt;&gt;".",s_Irr!BK20="."),s_dir!P20/((1/1000)*(s_Irr!O20+s_Irr!AM20)),IF(AND(s_Irr!O20&lt;&gt;".",s_Irr!AM20=".",s_Irr!BK20&lt;&gt;"."),s_dir!P20/((1/1000)*(s_Irr!O20+s_Irr!BK20)),IF(AND(s_Irr!O20=".",s_Irr!AM20&lt;&gt;".",s_Irr!BK20&lt;&gt;"."),s_dir!P20/((1/1000)*(s_Irr!AM20+s_Irr!BK20)),IF(AND(s_Irr!O20=".",s_Irr!AM20=".",s_Irr!BK20&lt;&gt;"."),s_dir!P20/((1/1000)*(s_Irr!BK20)),IF(AND(s_Irr!O20=".",s_Irr!AM20&lt;&gt;".",s_Irr!BK20="."),s_dir!P20/((1/1000)*(s_Irr!AM20)),IF(AND(s_Irr!O20&lt;&gt;".",s_Irr!AM20=".",s_Irr!BK20="."),s_dir!P20/((1/1000)*(s_Irr!O20)),IF(AND(s_Irr!O20=".",s_Irr!AM20=".",s_Irr!BK20="."),s_dir!P20*1000)))))))),".")</f>
        <v>.</v>
      </c>
      <c r="Q20" s="48" t="str">
        <f>IFERROR(IF(AND(s_Irr!P20&lt;&gt;".",s_Irr!AN20&lt;&gt;".",s_Irr!BL20&lt;&gt;"."),s_dir!Q20/((1/1000)*(s_Irr!P20+s_Irr!AN20+s_Irr!BL20)),IF(AND(s_Irr!P20&lt;&gt;".",s_Irr!AN20&lt;&gt;".",s_Irr!BL20="."),s_dir!Q20/((1/1000)*(s_Irr!P20+s_Irr!AN20)),IF(AND(s_Irr!P20&lt;&gt;".",s_Irr!AN20=".",s_Irr!BL20&lt;&gt;"."),s_dir!Q20/((1/1000)*(s_Irr!P20+s_Irr!BL20)),IF(AND(s_Irr!P20=".",s_Irr!AN20&lt;&gt;".",s_Irr!BL20&lt;&gt;"."),s_dir!Q20/((1/1000)*(s_Irr!AN20+s_Irr!BL20)),IF(AND(s_Irr!P20=".",s_Irr!AN20=".",s_Irr!BL20&lt;&gt;"."),s_dir!Q20/((1/1000)*(s_Irr!BL20)),IF(AND(s_Irr!P20=".",s_Irr!AN20&lt;&gt;".",s_Irr!BL20="."),s_dir!Q20/((1/1000)*(s_Irr!AN20)),IF(AND(s_Irr!P20&lt;&gt;".",s_Irr!AN20=".",s_Irr!BL20="."),s_dir!Q20/((1/1000)*(s_Irr!P20)),IF(AND(s_Irr!P20=".",s_Irr!AN20=".",s_Irr!BL20="."),s_dir!Q20*1000)))))))),".")</f>
        <v>.</v>
      </c>
      <c r="R20" s="48" t="str">
        <f>IFERROR(IF(AND(s_Irr!Q20&lt;&gt;".",s_Irr!AO20&lt;&gt;".",s_Irr!BM20&lt;&gt;"."),s_dir!R20/((1/1000)*(s_Irr!Q20+s_Irr!AO20+s_Irr!BM20)),IF(AND(s_Irr!Q20&lt;&gt;".",s_Irr!AO20&lt;&gt;".",s_Irr!BM20="."),s_dir!R20/((1/1000)*(s_Irr!Q20+s_Irr!AO20)),IF(AND(s_Irr!Q20&lt;&gt;".",s_Irr!AO20=".",s_Irr!BM20&lt;&gt;"."),s_dir!R20/((1/1000)*(s_Irr!Q20+s_Irr!BM20)),IF(AND(s_Irr!Q20=".",s_Irr!AO20&lt;&gt;".",s_Irr!BM20&lt;&gt;"."),s_dir!R20/((1/1000)*(s_Irr!AO20+s_Irr!BM20)),IF(AND(s_Irr!Q20=".",s_Irr!AO20=".",s_Irr!BM20&lt;&gt;"."),s_dir!R20/((1/1000)*(s_Irr!BM20)),IF(AND(s_Irr!Q20=".",s_Irr!AO20&lt;&gt;".",s_Irr!BM20="."),s_dir!R20/((1/1000)*(s_Irr!AO20)),IF(AND(s_Irr!Q20&lt;&gt;".",s_Irr!AO20=".",s_Irr!BM20="."),s_dir!R20/((1/1000)*(s_Irr!Q20)),IF(AND(s_Irr!Q20=".",s_Irr!AO20=".",s_Irr!BM20="."),s_dir!R20*1000)))))))),".")</f>
        <v>.</v>
      </c>
      <c r="S20" s="48" t="str">
        <f>IFERROR(IF(AND(s_Irr!R20&lt;&gt;".",s_Irr!AP20&lt;&gt;".",s_Irr!BN20&lt;&gt;"."),s_dir!S20/((1/1000)*(s_Irr!R20+s_Irr!AP20+s_Irr!BN20)),IF(AND(s_Irr!R20&lt;&gt;".",s_Irr!AP20&lt;&gt;".",s_Irr!BN20="."),s_dir!S20/((1/1000)*(s_Irr!R20+s_Irr!AP20)),IF(AND(s_Irr!R20&lt;&gt;".",s_Irr!AP20=".",s_Irr!BN20&lt;&gt;"."),s_dir!S20/((1/1000)*(s_Irr!R20+s_Irr!BN20)),IF(AND(s_Irr!R20=".",s_Irr!AP20&lt;&gt;".",s_Irr!BN20&lt;&gt;"."),s_dir!S20/((1/1000)*(s_Irr!AP20+s_Irr!BN20)),IF(AND(s_Irr!R20=".",s_Irr!AP20=".",s_Irr!BN20&lt;&gt;"."),s_dir!S20/((1/1000)*(s_Irr!BN20)),IF(AND(s_Irr!R20=".",s_Irr!AP20&lt;&gt;".",s_Irr!BN20="."),s_dir!S20/((1/1000)*(s_Irr!AP20)),IF(AND(s_Irr!R20&lt;&gt;".",s_Irr!AP20=".",s_Irr!BN20="."),s_dir!S20/((1/1000)*(s_Irr!R20)),IF(AND(s_Irr!R20=".",s_Irr!AP20=".",s_Irr!BN20="."),s_dir!S20*1000)))))))),".")</f>
        <v>.</v>
      </c>
      <c r="T20" s="48" t="str">
        <f>IFERROR(IF(AND(s_Irr!S20&lt;&gt;".",s_Irr!AQ20&lt;&gt;".",s_Irr!BO20&lt;&gt;"."),s_dir!T20/((1/1000)*(s_Irr!S20+s_Irr!AQ20+s_Irr!BO20)),IF(AND(s_Irr!S20&lt;&gt;".",s_Irr!AQ20&lt;&gt;".",s_Irr!BO20="."),s_dir!T20/((1/1000)*(s_Irr!S20+s_Irr!AQ20)),IF(AND(s_Irr!S20&lt;&gt;".",s_Irr!AQ20=".",s_Irr!BO20&lt;&gt;"."),s_dir!T20/((1/1000)*(s_Irr!S20+s_Irr!BO20)),IF(AND(s_Irr!S20=".",s_Irr!AQ20&lt;&gt;".",s_Irr!BO20&lt;&gt;"."),s_dir!T20/((1/1000)*(s_Irr!AQ20+s_Irr!BO20)),IF(AND(s_Irr!S20=".",s_Irr!AQ20=".",s_Irr!BO20&lt;&gt;"."),s_dir!T20/((1/1000)*(s_Irr!BO20)),IF(AND(s_Irr!S20=".",s_Irr!AQ20&lt;&gt;".",s_Irr!BO20="."),s_dir!T20/((1/1000)*(s_Irr!AQ20)),IF(AND(s_Irr!S20&lt;&gt;".",s_Irr!AQ20=".",s_Irr!BO20="."),s_dir!T20/((1/1000)*(s_Irr!S20)),IF(AND(s_Irr!S20=".",s_Irr!AQ20=".",s_Irr!BO20="."),s_dir!T20*1000)))))))),".")</f>
        <v>.</v>
      </c>
      <c r="U20" s="48" t="str">
        <f>IFERROR(IF(AND(s_Irr!T20&lt;&gt;".",s_Irr!AR20&lt;&gt;".",s_Irr!BP20&lt;&gt;"."),s_dir!U20/((1/1000)*(s_Irr!T20+s_Irr!AR20+s_Irr!BP20)),IF(AND(s_Irr!T20&lt;&gt;".",s_Irr!AR20&lt;&gt;".",s_Irr!BP20="."),s_dir!U20/((1/1000)*(s_Irr!T20+s_Irr!AR20)),IF(AND(s_Irr!T20&lt;&gt;".",s_Irr!AR20=".",s_Irr!BP20&lt;&gt;"."),s_dir!U20/((1/1000)*(s_Irr!T20+s_Irr!BP20)),IF(AND(s_Irr!T20=".",s_Irr!AR20&lt;&gt;".",s_Irr!BP20&lt;&gt;"."),s_dir!U20/((1/1000)*(s_Irr!AR20+s_Irr!BP20)),IF(AND(s_Irr!T20=".",s_Irr!AR20=".",s_Irr!BP20&lt;&gt;"."),s_dir!U20/((1/1000)*(s_Irr!BP20)),IF(AND(s_Irr!T20=".",s_Irr!AR20&lt;&gt;".",s_Irr!BP20="."),s_dir!U20/((1/1000)*(s_Irr!AR20)),IF(AND(s_Irr!T20&lt;&gt;".",s_Irr!AR20=".",s_Irr!BP20="."),s_dir!U20/((1/1000)*(s_Irr!T20)),IF(AND(s_Irr!T20=".",s_Irr!AR20=".",s_Irr!BP20="."),s_dir!U20*1000)))))))),".")</f>
        <v>.</v>
      </c>
      <c r="V20" s="48" t="str">
        <f>IFERROR(IF(AND(s_Irr!U20&lt;&gt;".",s_Irr!AS20&lt;&gt;".",s_Irr!BQ20&lt;&gt;"."),s_dir!V20/((1/1000)*(s_Irr!U20+s_Irr!AS20+s_Irr!BQ20)),IF(AND(s_Irr!U20&lt;&gt;".",s_Irr!AS20&lt;&gt;".",s_Irr!BQ20="."),s_dir!V20/((1/1000)*(s_Irr!U20+s_Irr!AS20)),IF(AND(s_Irr!U20&lt;&gt;".",s_Irr!AS20=".",s_Irr!BQ20&lt;&gt;"."),s_dir!V20/((1/1000)*(s_Irr!U20+s_Irr!BQ20)),IF(AND(s_Irr!U20=".",s_Irr!AS20&lt;&gt;".",s_Irr!BQ20&lt;&gt;"."),s_dir!V20/((1/1000)*(s_Irr!AS20+s_Irr!BQ20)),IF(AND(s_Irr!U20=".",s_Irr!AS20=".",s_Irr!BQ20&lt;&gt;"."),s_dir!V20/((1/1000)*(s_Irr!BQ20)),IF(AND(s_Irr!U20=".",s_Irr!AS20&lt;&gt;".",s_Irr!BQ20="."),s_dir!V20/((1/1000)*(s_Irr!AS20)),IF(AND(s_Irr!U20&lt;&gt;".",s_Irr!AS20=".",s_Irr!BQ20="."),s_dir!V20/((1/1000)*(s_Irr!U20)),IF(AND(s_Irr!U20=".",s_Irr!AS20=".",s_Irr!BQ20="."),s_dir!V20*1000)))))))),".")</f>
        <v>.</v>
      </c>
      <c r="W20" s="48" t="str">
        <f>IFERROR(IF(AND(s_Irr!V20&lt;&gt;".",s_Irr!AT20&lt;&gt;".",s_Irr!BR20&lt;&gt;"."),s_dir!W20/((1/1000)*(s_Irr!V20+s_Irr!AT20+s_Irr!BR20)),IF(AND(s_Irr!V20&lt;&gt;".",s_Irr!AT20&lt;&gt;".",s_Irr!BR20="."),s_dir!W20/((1/1000)*(s_Irr!V20+s_Irr!AT20)),IF(AND(s_Irr!V20&lt;&gt;".",s_Irr!AT20=".",s_Irr!BR20&lt;&gt;"."),s_dir!W20/((1/1000)*(s_Irr!V20+s_Irr!BR20)),IF(AND(s_Irr!V20=".",s_Irr!AT20&lt;&gt;".",s_Irr!BR20&lt;&gt;"."),s_dir!W20/((1/1000)*(s_Irr!AT20+s_Irr!BR20)),IF(AND(s_Irr!V20=".",s_Irr!AT20=".",s_Irr!BR20&lt;&gt;"."),s_dir!W20/((1/1000)*(s_Irr!BR20)),IF(AND(s_Irr!V20=".",s_Irr!AT20&lt;&gt;".",s_Irr!BR20="."),s_dir!W20/((1/1000)*(s_Irr!AT20)),IF(AND(s_Irr!V20&lt;&gt;".",s_Irr!AT20=".",s_Irr!BR20="."),s_dir!W20/((1/1000)*(s_Irr!V20)),IF(AND(s_Irr!V20=".",s_Irr!AT20=".",s_Irr!BR20="."),s_dir!W20*1000)))))))),".")</f>
        <v>.</v>
      </c>
      <c r="X20" s="48" t="str">
        <f>IFERROR(IF(AND(s_Irr!W20&lt;&gt;".",s_Irr!AU20&lt;&gt;".",s_Irr!BS20&lt;&gt;"."),s_dir!X20/((1/1000)*(s_Irr!W20+s_Irr!AU20+s_Irr!BS20)),IF(AND(s_Irr!W20&lt;&gt;".",s_Irr!AU20&lt;&gt;".",s_Irr!BS20="."),s_dir!X20/((1/1000)*(s_Irr!W20+s_Irr!AU20)),IF(AND(s_Irr!W20&lt;&gt;".",s_Irr!AU20=".",s_Irr!BS20&lt;&gt;"."),s_dir!X20/((1/1000)*(s_Irr!W20+s_Irr!BS20)),IF(AND(s_Irr!W20=".",s_Irr!AU20&lt;&gt;".",s_Irr!BS20&lt;&gt;"."),s_dir!X20/((1/1000)*(s_Irr!AU20+s_Irr!BS20)),IF(AND(s_Irr!W20=".",s_Irr!AU20=".",s_Irr!BS20&lt;&gt;"."),s_dir!X20/((1/1000)*(s_Irr!BS20)),IF(AND(s_Irr!W20=".",s_Irr!AU20&lt;&gt;".",s_Irr!BS20="."),s_dir!X20/((1/1000)*(s_Irr!AU20)),IF(AND(s_Irr!W20&lt;&gt;".",s_Irr!AU20=".",s_Irr!BS20="."),s_dir!X20/((1/1000)*(s_Irr!W20)),IF(AND(s_Irr!W20=".",s_Irr!AU20=".",s_Irr!BS20="."),s_dir!X20*1000)))))))),".")</f>
        <v>.</v>
      </c>
      <c r="Y20" s="48" t="str">
        <f>IFERROR(IF(AND(s_Irr!X20&lt;&gt;".",s_Irr!AV20&lt;&gt;".",s_Irr!BT20&lt;&gt;"."),s_dir!Y20/((1/1000)*(s_Irr!X20+s_Irr!AV20+s_Irr!BT20)),IF(AND(s_Irr!X20&lt;&gt;".",s_Irr!AV20&lt;&gt;".",s_Irr!BT20="."),s_dir!Y20/((1/1000)*(s_Irr!X20+s_Irr!AV20)),IF(AND(s_Irr!X20&lt;&gt;".",s_Irr!AV20=".",s_Irr!BT20&lt;&gt;"."),s_dir!Y20/((1/1000)*(s_Irr!X20+s_Irr!BT20)),IF(AND(s_Irr!X20=".",s_Irr!AV20&lt;&gt;".",s_Irr!BT20&lt;&gt;"."),s_dir!Y20/((1/1000)*(s_Irr!AV20+s_Irr!BT20)),IF(AND(s_Irr!X20=".",s_Irr!AV20=".",s_Irr!BT20&lt;&gt;"."),s_dir!Y20/((1/1000)*(s_Irr!BT20)),IF(AND(s_Irr!X20=".",s_Irr!AV20&lt;&gt;".",s_Irr!BT20="."),s_dir!Y20/((1/1000)*(s_Irr!AV20)),IF(AND(s_Irr!X20&lt;&gt;".",s_Irr!AV20=".",s_Irr!BT20="."),s_dir!Y20/((1/1000)*(s_Irr!X20)),IF(AND(s_Irr!X20=".",s_Irr!AV20=".",s_Irr!BT20="."),s_dir!Y20*1000)))))))),".")</f>
        <v>.</v>
      </c>
      <c r="Z20" s="48" t="str">
        <f>IFERROR(IF(AND(s_Irr!Y20&lt;&gt;".",s_Irr!AW20&lt;&gt;".",s_Irr!BU20&lt;&gt;"."),s_dir!Z20/((1/1000)*(s_Irr!Y20+s_Irr!AW20+s_Irr!BU20)),IF(AND(s_Irr!Y20&lt;&gt;".",s_Irr!AW20&lt;&gt;".",s_Irr!BU20="."),s_dir!Z20/((1/1000)*(s_Irr!Y20+s_Irr!AW20)),IF(AND(s_Irr!Y20&lt;&gt;".",s_Irr!AW20=".",s_Irr!BU20&lt;&gt;"."),s_dir!Z20/((1/1000)*(s_Irr!Y20+s_Irr!BU20)),IF(AND(s_Irr!Y20=".",s_Irr!AW20&lt;&gt;".",s_Irr!BU20&lt;&gt;"."),s_dir!Z20/((1/1000)*(s_Irr!AW20+s_Irr!BU20)),IF(AND(s_Irr!Y20=".",s_Irr!AW20=".",s_Irr!BU20&lt;&gt;"."),s_dir!Z20/((1/1000)*(s_Irr!BU20)),IF(AND(s_Irr!Y20=".",s_Irr!AW20&lt;&gt;".",s_Irr!BU20="."),s_dir!Z20/((1/1000)*(s_Irr!AW20)),IF(AND(s_Irr!Y20&lt;&gt;".",s_Irr!AW20=".",s_Irr!BU20="."),s_dir!Z20/((1/1000)*(s_Irr!Y20)),IF(AND(s_Irr!Y20=".",s_Irr!AW20=".",s_Irr!BU20="."),s_dir!Z20*1000)))))))),".")</f>
        <v>.</v>
      </c>
      <c r="AA20" s="48" t="str">
        <f>IFERROR(IF(AND(s_Irr!Z20&lt;&gt;".",s_Irr!AX20&lt;&gt;".",s_Irr!BV20&lt;&gt;"."),s_dir!AA20/((1/1000)*(s_Irr!Z20+s_Irr!AX20+s_Irr!BV20)),IF(AND(s_Irr!Z20&lt;&gt;".",s_Irr!AX20&lt;&gt;".",s_Irr!BV20="."),s_dir!AA20/((1/1000)*(s_Irr!Z20+s_Irr!AX20)),IF(AND(s_Irr!Z20&lt;&gt;".",s_Irr!AX20=".",s_Irr!BV20&lt;&gt;"."),s_dir!AA20/((1/1000)*(s_Irr!Z20+s_Irr!BV20)),IF(AND(s_Irr!Z20=".",s_Irr!AX20&lt;&gt;".",s_Irr!BV20&lt;&gt;"."),s_dir!AA20/((1/1000)*(s_Irr!AX20+s_Irr!BV20)),IF(AND(s_Irr!Z20=".",s_Irr!AX20=".",s_Irr!BV20&lt;&gt;"."),s_dir!AA20/((1/1000)*(s_Irr!BV20)),IF(AND(s_Irr!Z20=".",s_Irr!AX20&lt;&gt;".",s_Irr!BV20="."),s_dir!AA20/((1/1000)*(s_Irr!AX20)),IF(AND(s_Irr!Z20&lt;&gt;".",s_Irr!AX20=".",s_Irr!BV20="."),s_dir!AA20/((1/1000)*(s_Irr!Z20)),IF(AND(s_Irr!Z20=".",s_Irr!AX20=".",s_Irr!BV20="."),s_dir!AA20*1000)))))))),".")</f>
        <v>.</v>
      </c>
      <c r="AB20" s="62">
        <f t="shared" si="3"/>
        <v>285.56727257609776</v>
      </c>
      <c r="AC20" s="62">
        <f>IFERROR(s_C*s_IFAP_res_adj*s_CF_apple*0.001*(s_Irr!C20+s_Irr!AA20+s_Irr!AY20),".")</f>
        <v>88.757645154967165</v>
      </c>
      <c r="AD20" s="62">
        <f>IFERROR(s_C*s_IFAS_res_adj*s_CF_asparagus*0.001*(s_Irr!D20+s_Irr!AB20+s_Irr!AZ20),".")</f>
        <v>99.576899609843579</v>
      </c>
      <c r="AE20" s="62">
        <f>IFERROR(s_C*s_IFBT_res_adj*s_CF_beet*0.001*(s_Irr!E20+s_Irr!AC20+s_Irr!BA20),".")</f>
        <v>97.172620842093266</v>
      </c>
      <c r="AF20" s="62">
        <f>IFERROR(s_C*s_IFBE_res_adj*s_CF_berries*0.001*(s_Irr!F20+s_Irr!AD20+s_Irr!BB20),".")</f>
        <v>88.757645154967165</v>
      </c>
      <c r="AG20" s="62">
        <f>IFERROR(s_C*s_IFBR_res_adj*s_CF_broccoli*0.001*(s_Irr!G20+s_Irr!AE20+s_Irr!BC20),".")</f>
        <v>88.757645154967165</v>
      </c>
      <c r="AH20" s="62">
        <f>IFERROR(s_C*s_IFCB_res_adj*s_CF_cabbage*0.001*(s_Irr!H20+s_Irr!AF20+s_Irr!BD20),".")</f>
        <v>99.576899609843579</v>
      </c>
      <c r="AI20" s="62">
        <f>IFERROR(s_C*s_IFCR_res_adj*s_CF_carrot*0.001*(s_Irr!I20+s_Irr!AG20+s_Irr!BE20),".")</f>
        <v>97.172620842093266</v>
      </c>
      <c r="AJ20" s="62">
        <f>IFERROR(s_C*s_IFCI_res_adj*s_CF_citrus*0.001*(s_Irr!J20+s_Irr!AH20+s_Irr!BF20),".")</f>
        <v>88.757645154967165</v>
      </c>
      <c r="AK20" s="62">
        <f>IFERROR(s_C*s_IFCO_res_adj*s_CF_corn*0.001*(s_Irr!K20+s_Irr!AI20+s_Irr!BG20),".")</f>
        <v>88.817752124160918</v>
      </c>
      <c r="AL20" s="62">
        <f>IFERROR(s_C*s_IFCU_res_adj*s_CF_cucumber*0.001*(s_Irr!L20+s_Irr!AJ20+s_Irr!BH20),".")</f>
        <v>88.757645154967165</v>
      </c>
      <c r="AM20" s="62">
        <f>IFERROR(s_C*s_IFLE_res_adj*s_CF_lettuce*0.001*(s_Irr!M20+s_Irr!AK20+s_Irr!BI20),".")</f>
        <v>99.576899609843579</v>
      </c>
      <c r="AN20" s="62">
        <f>IFERROR(s_C*s_IFLI_res_adj*s_CF_lima_bean*0.001*(s_Irr!N20+s_Irr!AL20+s_Irr!BJ20),".")</f>
        <v>88.862832351056241</v>
      </c>
      <c r="AO20" s="62">
        <f>IFERROR(s_C*s_IFOK_res_adj*s_CF_okra*0.001*(s_Irr!O20+s_Irr!AM20+s_Irr!BK20),".")</f>
        <v>88.757645154967165</v>
      </c>
      <c r="AP20" s="62">
        <f>IFERROR(s_C*s_IFON_res_adj*s_CF_onion*0.001*(s_Irr!P20+s_Irr!AN20+s_Irr!BL20),".")</f>
        <v>88.757645154967165</v>
      </c>
      <c r="AQ20" s="62">
        <f>IFERROR(s_C*s_IFPC_res_adj*s_CF_peach*0.001*(s_Irr!Q20+s_Irr!AO20+s_Irr!BM20),".")</f>
        <v>88.757645154967165</v>
      </c>
      <c r="AR20" s="62">
        <f>IFERROR(s_C*s_IFPR_res_adj*s_CF_pear*0.001*(s_Irr!R20+s_Irr!AP20+s_Irr!BN20),".")</f>
        <v>88.757645154967165</v>
      </c>
      <c r="AS20" s="62">
        <f>IFERROR(s_C*s_IFPE_res_adj*s_CF_peas*0.001*(s_Irr!S20+s_Irr!AQ20+s_Irr!BO20),".")</f>
        <v>88.862832351056241</v>
      </c>
      <c r="AT20" s="62">
        <f>IFERROR(s_C*s_IFPT_res_adj*s_CF_potato*0.001*(s_Irr!T20+s_Irr!AR20+s_Irr!BP20),".")</f>
        <v>92.514330729577026</v>
      </c>
      <c r="AU20" s="62">
        <f>IFERROR(s_C*s_IFPU_res_adj*s_CF_pumpkin*0.001*(s_Irr!U20+s_Irr!AS20+s_Irr!BQ20),".")</f>
        <v>88.757645154967165</v>
      </c>
      <c r="AV20" s="62">
        <f>IFERROR(s_C*s_IFSN_res_adj*s_CF_snap_bean*0.001*(s_Irr!V20+s_Irr!AT20+s_Irr!BR20),".")</f>
        <v>88.862832351056241</v>
      </c>
      <c r="AW20" s="62">
        <f>IFERROR(s_C*s_IFST_res_adj*s_CF_strawberry*0.001*(s_Irr!W20+s_Irr!AU20+s_Irr!BS20),".")</f>
        <v>88.757645154967165</v>
      </c>
      <c r="AX20" s="62">
        <f>IFERROR(s_C*s_IFTO_res_adj*s_CF_tomato*0.001*(s_Irr!X20+s_Irr!AV20+s_Irr!BT20),".")</f>
        <v>88.757645154967165</v>
      </c>
      <c r="AY20" s="62">
        <f>IFERROR(s_C*s_IFRI_res_adj*s_CF_rice*0.001*(s_Irr!Y20+s_Irr!AW20+s_Irr!BU20),".")</f>
        <v>107.99187529696968</v>
      </c>
      <c r="AZ20" s="62">
        <f>IFERROR(s_C*s_IFCG_res_adj*s_CF_cereal*0.001*(s_Irr!Z20+s_Irr!AX20+s_Irr!BV20),".")</f>
        <v>88.817752124160918</v>
      </c>
      <c r="BA20" s="48" t="str">
        <f t="shared" si="0"/>
        <v>.</v>
      </c>
      <c r="BB20" s="48" t="str">
        <f>IFERROR(IF(AND(s_Irr!C20&lt;&gt;".",s_Irr!AA20&lt;&gt;".",s_Irr!AY20&lt;&gt;"."),s_dir!AC20/((1/1000)*(s_Irr!C20+s_Irr!AA20+s_Irr!AY20)),IF(AND(s_Irr!C20&lt;&gt;".",s_Irr!AA20&lt;&gt;".",s_Irr!AY20="."),s_dir!AC20/((1/1000)*(s_Irr!C20+s_Irr!AA20)),IF(AND(s_Irr!C20&lt;&gt;".",s_Irr!AA20=".",s_Irr!AY20&lt;&gt;"."),s_dir!AC20/((1/1000)*(s_Irr!C20+s_Irr!AY20)),IF(AND(s_Irr!C20=".",s_Irr!AA20&lt;&gt;".",s_Irr!AY20&lt;&gt;"."),s_dir!AC20/((1/1000)*(s_Irr!AA20+s_Irr!AY20)),IF(AND(s_Irr!C20=".",s_Irr!AA20=".",s_Irr!AY20&lt;&gt;"."),s_dir!AC20/((1/1000)*(s_Irr!AY20)),IF(AND(s_Irr!C20=".",s_Irr!AA20&lt;&gt;".",s_Irr!AY20="."),s_dir!AC20/((1/1000)*(s_Irr!AA20)),IF(AND(s_Irr!C20&lt;&gt;".",s_Irr!AA20=".",s_Irr!AY20="."),s_dir!AC20/((1/1000)*(s_Irr!C20)),IF(AND(s_Irr!C20=".",s_Irr!AA20=".",s_Irr!AY20="."),s_dir!AC20*1000)))))))),".")</f>
        <v>.</v>
      </c>
      <c r="BC20" s="48" t="str">
        <f>IFERROR(IF(AND(s_Irr!D20&lt;&gt;".",s_Irr!AB20&lt;&gt;".",s_Irr!AZ20&lt;&gt;"."),s_dir!AD20/((1/1000)*(s_Irr!D20+s_Irr!AB20+s_Irr!AZ20)),IF(AND(s_Irr!D20&lt;&gt;".",s_Irr!AB20&lt;&gt;".",s_Irr!AZ20="."),s_dir!AD20/((1/1000)*(s_Irr!D20+s_Irr!AB20)),IF(AND(s_Irr!D20&lt;&gt;".",s_Irr!AB20=".",s_Irr!AZ20&lt;&gt;"."),s_dir!AD20/((1/1000)*(s_Irr!D20+s_Irr!AZ20)),IF(AND(s_Irr!D20=".",s_Irr!AB20&lt;&gt;".",s_Irr!AZ20&lt;&gt;"."),s_dir!AD20/((1/1000)*(s_Irr!AB20+s_Irr!AZ20)),IF(AND(s_Irr!D20=".",s_Irr!AB20=".",s_Irr!AZ20&lt;&gt;"."),s_dir!AD20/((1/1000)*(s_Irr!AZ20)),IF(AND(s_Irr!D20=".",s_Irr!AB20&lt;&gt;".",s_Irr!AZ20="."),s_dir!AD20/((1/1000)*(s_Irr!AB20)),IF(AND(s_Irr!D20&lt;&gt;".",s_Irr!AB20=".",s_Irr!AZ20="."),s_dir!AD20/((1/1000)*(s_Irr!D20)),IF(AND(s_Irr!D20=".",s_Irr!AB20=".",s_Irr!AZ20="."),s_dir!AD20*1000)))))))),".")</f>
        <v>.</v>
      </c>
      <c r="BD20" s="48" t="str">
        <f>IFERROR(IF(AND(s_Irr!E20&lt;&gt;".",s_Irr!AC20&lt;&gt;".",s_Irr!BA20&lt;&gt;"."),s_dir!AE20/((1/1000)*(s_Irr!E20+s_Irr!AC20+s_Irr!BA20)),IF(AND(s_Irr!E20&lt;&gt;".",s_Irr!AC20&lt;&gt;".",s_Irr!BA20="."),s_dir!AE20/((1/1000)*(s_Irr!E20+s_Irr!AC20)),IF(AND(s_Irr!E20&lt;&gt;".",s_Irr!AC20=".",s_Irr!BA20&lt;&gt;"."),s_dir!AE20/((1/1000)*(s_Irr!E20+s_Irr!BA20)),IF(AND(s_Irr!E20=".",s_Irr!AC20&lt;&gt;".",s_Irr!BA20&lt;&gt;"."),s_dir!AE20/((1/1000)*(s_Irr!AC20+s_Irr!BA20)),IF(AND(s_Irr!E20=".",s_Irr!AC20=".",s_Irr!BA20&lt;&gt;"."),s_dir!AE20/((1/1000)*(s_Irr!BA20)),IF(AND(s_Irr!E20=".",s_Irr!AC20&lt;&gt;".",s_Irr!BA20="."),s_dir!AE20/((1/1000)*(s_Irr!AC20)),IF(AND(s_Irr!E20&lt;&gt;".",s_Irr!AC20=".",s_Irr!BA20="."),s_dir!AE20/((1/1000)*(s_Irr!E20)),IF(AND(s_Irr!E20=".",s_Irr!AC20=".",s_Irr!BA20="."),s_dir!AE20*1000)))))))),".")</f>
        <v>.</v>
      </c>
      <c r="BE20" s="48" t="str">
        <f>IFERROR(IF(AND(s_Irr!F20&lt;&gt;".",s_Irr!AD20&lt;&gt;".",s_Irr!BB20&lt;&gt;"."),s_dir!AF20/((1/1000)*(s_Irr!F20+s_Irr!AD20+s_Irr!BB20)),IF(AND(s_Irr!F20&lt;&gt;".",s_Irr!AD20&lt;&gt;".",s_Irr!BB20="."),s_dir!AF20/((1/1000)*(s_Irr!F20+s_Irr!AD20)),IF(AND(s_Irr!F20&lt;&gt;".",s_Irr!AD20=".",s_Irr!BB20&lt;&gt;"."),s_dir!AF20/((1/1000)*(s_Irr!F20+s_Irr!BB20)),IF(AND(s_Irr!F20=".",s_Irr!AD20&lt;&gt;".",s_Irr!BB20&lt;&gt;"."),s_dir!AF20/((1/1000)*(s_Irr!AD20+s_Irr!BB20)),IF(AND(s_Irr!F20=".",s_Irr!AD20=".",s_Irr!BB20&lt;&gt;"."),s_dir!AF20/((1/1000)*(s_Irr!BB20)),IF(AND(s_Irr!F20=".",s_Irr!AD20&lt;&gt;".",s_Irr!BB20="."),s_dir!AF20/((1/1000)*(s_Irr!AD20)),IF(AND(s_Irr!F20&lt;&gt;".",s_Irr!AD20=".",s_Irr!BB20="."),s_dir!AF20/((1/1000)*(s_Irr!F20)),IF(AND(s_Irr!F20=".",s_Irr!AD20=".",s_Irr!BB20="."),s_dir!AF20*1000)))))))),".")</f>
        <v>.</v>
      </c>
      <c r="BF20" s="48" t="str">
        <f>IFERROR(IF(AND(s_Irr!G20&lt;&gt;".",s_Irr!AE20&lt;&gt;".",s_Irr!BC20&lt;&gt;"."),s_dir!AG20/((1/1000)*(s_Irr!G20+s_Irr!AE20+s_Irr!BC20)),IF(AND(s_Irr!G20&lt;&gt;".",s_Irr!AE20&lt;&gt;".",s_Irr!BC20="."),s_dir!AG20/((1/1000)*(s_Irr!G20+s_Irr!AE20)),IF(AND(s_Irr!G20&lt;&gt;".",s_Irr!AE20=".",s_Irr!BC20&lt;&gt;"."),s_dir!AG20/((1/1000)*(s_Irr!G20+s_Irr!BC20)),IF(AND(s_Irr!G20=".",s_Irr!AE20&lt;&gt;".",s_Irr!BC20&lt;&gt;"."),s_dir!AG20/((1/1000)*(s_Irr!AE20+s_Irr!BC20)),IF(AND(s_Irr!G20=".",s_Irr!AE20=".",s_Irr!BC20&lt;&gt;"."),s_dir!AG20/((1/1000)*(s_Irr!BC20)),IF(AND(s_Irr!G20=".",s_Irr!AE20&lt;&gt;".",s_Irr!BC20="."),s_dir!AG20/((1/1000)*(s_Irr!AE20)),IF(AND(s_Irr!G20&lt;&gt;".",s_Irr!AE20=".",s_Irr!BC20="."),s_dir!AG20/((1/1000)*(s_Irr!G20)),IF(AND(s_Irr!G20=".",s_Irr!AE20=".",s_Irr!BC20="."),s_dir!AG20*1000)))))))),".")</f>
        <v>.</v>
      </c>
      <c r="BG20" s="48" t="str">
        <f>IFERROR(IF(AND(s_Irr!H20&lt;&gt;".",s_Irr!AF20&lt;&gt;".",s_Irr!BD20&lt;&gt;"."),s_dir!AH20/((1/1000)*(s_Irr!H20+s_Irr!AF20+s_Irr!BD20)),IF(AND(s_Irr!H20&lt;&gt;".",s_Irr!AF20&lt;&gt;".",s_Irr!BD20="."),s_dir!AH20/((1/1000)*(s_Irr!H20+s_Irr!AF20)),IF(AND(s_Irr!H20&lt;&gt;".",s_Irr!AF20=".",s_Irr!BD20&lt;&gt;"."),s_dir!AH20/((1/1000)*(s_Irr!H20+s_Irr!BD20)),IF(AND(s_Irr!H20=".",s_Irr!AF20&lt;&gt;".",s_Irr!BD20&lt;&gt;"."),s_dir!AH20/((1/1000)*(s_Irr!AF20+s_Irr!BD20)),IF(AND(s_Irr!H20=".",s_Irr!AF20=".",s_Irr!BD20&lt;&gt;"."),s_dir!AH20/((1/1000)*(s_Irr!BD20)),IF(AND(s_Irr!H20=".",s_Irr!AF20&lt;&gt;".",s_Irr!BD20="."),s_dir!AH20/((1/1000)*(s_Irr!AF20)),IF(AND(s_Irr!H20&lt;&gt;".",s_Irr!AF20=".",s_Irr!BD20="."),s_dir!AH20/((1/1000)*(s_Irr!H20)),IF(AND(s_Irr!H20=".",s_Irr!AF20=".",s_Irr!BD20="."),s_dir!AH20*1000)))))))),".")</f>
        <v>.</v>
      </c>
      <c r="BH20" s="48" t="str">
        <f>IFERROR(IF(AND(s_Irr!I20&lt;&gt;".",s_Irr!AG20&lt;&gt;".",s_Irr!BE20&lt;&gt;"."),s_dir!AI20/((1/1000)*(s_Irr!I20+s_Irr!AG20+s_Irr!BE20)),IF(AND(s_Irr!I20&lt;&gt;".",s_Irr!AG20&lt;&gt;".",s_Irr!BE20="."),s_dir!AI20/((1/1000)*(s_Irr!I20+s_Irr!AG20)),IF(AND(s_Irr!I20&lt;&gt;".",s_Irr!AG20=".",s_Irr!BE20&lt;&gt;"."),s_dir!AI20/((1/1000)*(s_Irr!I20+s_Irr!BE20)),IF(AND(s_Irr!I20=".",s_Irr!AG20&lt;&gt;".",s_Irr!BE20&lt;&gt;"."),s_dir!AI20/((1/1000)*(s_Irr!AG20+s_Irr!BE20)),IF(AND(s_Irr!I20=".",s_Irr!AG20=".",s_Irr!BE20&lt;&gt;"."),s_dir!AI20/((1/1000)*(s_Irr!BE20)),IF(AND(s_Irr!I20=".",s_Irr!AG20&lt;&gt;".",s_Irr!BE20="."),s_dir!AI20/((1/1000)*(s_Irr!AG20)),IF(AND(s_Irr!I20&lt;&gt;".",s_Irr!AG20=".",s_Irr!BE20="."),s_dir!AI20/((1/1000)*(s_Irr!I20)),IF(AND(s_Irr!I20=".",s_Irr!AG20=".",s_Irr!BE20="."),s_dir!AI20*1000)))))))),".")</f>
        <v>.</v>
      </c>
      <c r="BI20" s="48" t="str">
        <f>IFERROR(IF(AND(s_Irr!J20&lt;&gt;".",s_Irr!AH20&lt;&gt;".",s_Irr!BF20&lt;&gt;"."),s_dir!AJ20/((1/1000)*(s_Irr!J20+s_Irr!AH20+s_Irr!BF20)),IF(AND(s_Irr!J20&lt;&gt;".",s_Irr!AH20&lt;&gt;".",s_Irr!BF20="."),s_dir!AJ20/((1/1000)*(s_Irr!J20+s_Irr!AH20)),IF(AND(s_Irr!J20&lt;&gt;".",s_Irr!AH20=".",s_Irr!BF20&lt;&gt;"."),s_dir!AJ20/((1/1000)*(s_Irr!J20+s_Irr!BF20)),IF(AND(s_Irr!J20=".",s_Irr!AH20&lt;&gt;".",s_Irr!BF20&lt;&gt;"."),s_dir!AJ20/((1/1000)*(s_Irr!AH20+s_Irr!BF20)),IF(AND(s_Irr!J20=".",s_Irr!AH20=".",s_Irr!BF20&lt;&gt;"."),s_dir!AJ20/((1/1000)*(s_Irr!BF20)),IF(AND(s_Irr!J20=".",s_Irr!AH20&lt;&gt;".",s_Irr!BF20="."),s_dir!AJ20/((1/1000)*(s_Irr!AH20)),IF(AND(s_Irr!J20&lt;&gt;".",s_Irr!AH20=".",s_Irr!BF20="."),s_dir!AJ20/((1/1000)*(s_Irr!J20)),IF(AND(s_Irr!J20=".",s_Irr!AH20=".",s_Irr!BF20="."),s_dir!AJ20*1000)))))))),".")</f>
        <v>.</v>
      </c>
      <c r="BJ20" s="48" t="str">
        <f>IFERROR(IF(AND(s_Irr!K20&lt;&gt;".",s_Irr!AI20&lt;&gt;".",s_Irr!BG20&lt;&gt;"."),s_dir!AK20/((1/1000)*(s_Irr!K20+s_Irr!AI20+s_Irr!BG20)),IF(AND(s_Irr!K20&lt;&gt;".",s_Irr!AI20&lt;&gt;".",s_Irr!BG20="."),s_dir!AK20/((1/1000)*(s_Irr!K20+s_Irr!AI20)),IF(AND(s_Irr!K20&lt;&gt;".",s_Irr!AI20=".",s_Irr!BG20&lt;&gt;"."),s_dir!AK20/((1/1000)*(s_Irr!K20+s_Irr!BG20)),IF(AND(s_Irr!K20=".",s_Irr!AI20&lt;&gt;".",s_Irr!BG20&lt;&gt;"."),s_dir!AK20/((1/1000)*(s_Irr!AI20+s_Irr!BG20)),IF(AND(s_Irr!K20=".",s_Irr!AI20=".",s_Irr!BG20&lt;&gt;"."),s_dir!AK20/((1/1000)*(s_Irr!BG20)),IF(AND(s_Irr!K20=".",s_Irr!AI20&lt;&gt;".",s_Irr!BG20="."),s_dir!AK20/((1/1000)*(s_Irr!AI20)),IF(AND(s_Irr!K20&lt;&gt;".",s_Irr!AI20=".",s_Irr!BG20="."),s_dir!AK20/((1/1000)*(s_Irr!K20)),IF(AND(s_Irr!K20=".",s_Irr!AI20=".",s_Irr!BG20="."),s_dir!AK20*1000)))))))),".")</f>
        <v>.</v>
      </c>
      <c r="BK20" s="48" t="str">
        <f>IFERROR(IF(AND(s_Irr!L20&lt;&gt;".",s_Irr!AJ20&lt;&gt;".",s_Irr!BH20&lt;&gt;"."),s_dir!AL20/((1/1000)*(s_Irr!L20+s_Irr!AJ20+s_Irr!BH20)),IF(AND(s_Irr!L20&lt;&gt;".",s_Irr!AJ20&lt;&gt;".",s_Irr!BH20="."),s_dir!AL20/((1/1000)*(s_Irr!L20+s_Irr!AJ20)),IF(AND(s_Irr!L20&lt;&gt;".",s_Irr!AJ20=".",s_Irr!BH20&lt;&gt;"."),s_dir!AL20/((1/1000)*(s_Irr!L20+s_Irr!BH20)),IF(AND(s_Irr!L20=".",s_Irr!AJ20&lt;&gt;".",s_Irr!BH20&lt;&gt;"."),s_dir!AL20/((1/1000)*(s_Irr!AJ20+s_Irr!BH20)),IF(AND(s_Irr!L20=".",s_Irr!AJ20=".",s_Irr!BH20&lt;&gt;"."),s_dir!AL20/((1/1000)*(s_Irr!BH20)),IF(AND(s_Irr!L20=".",s_Irr!AJ20&lt;&gt;".",s_Irr!BH20="."),s_dir!AL20/((1/1000)*(s_Irr!AJ20)),IF(AND(s_Irr!L20&lt;&gt;".",s_Irr!AJ20=".",s_Irr!BH20="."),s_dir!AL20/((1/1000)*(s_Irr!L20)),IF(AND(s_Irr!L20=".",s_Irr!AJ20=".",s_Irr!BH20="."),s_dir!AL20*1000)))))))),".")</f>
        <v>.</v>
      </c>
      <c r="BL20" s="48" t="str">
        <f>IFERROR(IF(AND(s_Irr!M20&lt;&gt;".",s_Irr!AK20&lt;&gt;".",s_Irr!BI20&lt;&gt;"."),s_dir!AM20/((1/1000)*(s_Irr!M20+s_Irr!AK20+s_Irr!BI20)),IF(AND(s_Irr!M20&lt;&gt;".",s_Irr!AK20&lt;&gt;".",s_Irr!BI20="."),s_dir!AM20/((1/1000)*(s_Irr!M20+s_Irr!AK20)),IF(AND(s_Irr!M20&lt;&gt;".",s_Irr!AK20=".",s_Irr!BI20&lt;&gt;"."),s_dir!AM20/((1/1000)*(s_Irr!M20+s_Irr!BI20)),IF(AND(s_Irr!M20=".",s_Irr!AK20&lt;&gt;".",s_Irr!BI20&lt;&gt;"."),s_dir!AM20/((1/1000)*(s_Irr!AK20+s_Irr!BI20)),IF(AND(s_Irr!M20=".",s_Irr!AK20=".",s_Irr!BI20&lt;&gt;"."),s_dir!AM20/((1/1000)*(s_Irr!BI20)),IF(AND(s_Irr!M20=".",s_Irr!AK20&lt;&gt;".",s_Irr!BI20="."),s_dir!AM20/((1/1000)*(s_Irr!AK20)),IF(AND(s_Irr!M20&lt;&gt;".",s_Irr!AK20=".",s_Irr!BI20="."),s_dir!AM20/((1/1000)*(s_Irr!M20)),IF(AND(s_Irr!M20=".",s_Irr!AK20=".",s_Irr!BI20="."),s_dir!AM20*1000)))))))),".")</f>
        <v>.</v>
      </c>
      <c r="BM20" s="48" t="str">
        <f>IFERROR(IF(AND(s_Irr!N20&lt;&gt;".",s_Irr!AL20&lt;&gt;".",s_Irr!BJ20&lt;&gt;"."),s_dir!AN20/((1/1000)*(s_Irr!N20+s_Irr!AL20+s_Irr!BJ20)),IF(AND(s_Irr!N20&lt;&gt;".",s_Irr!AL20&lt;&gt;".",s_Irr!BJ20="."),s_dir!AN20/((1/1000)*(s_Irr!N20+s_Irr!AL20)),IF(AND(s_Irr!N20&lt;&gt;".",s_Irr!AL20=".",s_Irr!BJ20&lt;&gt;"."),s_dir!AN20/((1/1000)*(s_Irr!N20+s_Irr!BJ20)),IF(AND(s_Irr!N20=".",s_Irr!AL20&lt;&gt;".",s_Irr!BJ20&lt;&gt;"."),s_dir!AN20/((1/1000)*(s_Irr!AL20+s_Irr!BJ20)),IF(AND(s_Irr!N20=".",s_Irr!AL20=".",s_Irr!BJ20&lt;&gt;"."),s_dir!AN20/((1/1000)*(s_Irr!BJ20)),IF(AND(s_Irr!N20=".",s_Irr!AL20&lt;&gt;".",s_Irr!BJ20="."),s_dir!AN20/((1/1000)*(s_Irr!AL20)),IF(AND(s_Irr!N20&lt;&gt;".",s_Irr!AL20=".",s_Irr!BJ20="."),s_dir!AN20/((1/1000)*(s_Irr!N20)),IF(AND(s_Irr!N20=".",s_Irr!AL20=".",s_Irr!BJ20="."),s_dir!AN20*1000)))))))),".")</f>
        <v>.</v>
      </c>
      <c r="BN20" s="48" t="str">
        <f>IFERROR(IF(AND(s_Irr!O20&lt;&gt;".",s_Irr!AM20&lt;&gt;".",s_Irr!BK20&lt;&gt;"."),s_dir!AO20/((1/1000)*(s_Irr!O20+s_Irr!AM20+s_Irr!BK20)),IF(AND(s_Irr!O20&lt;&gt;".",s_Irr!AM20&lt;&gt;".",s_Irr!BK20="."),s_dir!AO20/((1/1000)*(s_Irr!O20+s_Irr!AM20)),IF(AND(s_Irr!O20&lt;&gt;".",s_Irr!AM20=".",s_Irr!BK20&lt;&gt;"."),s_dir!AO20/((1/1000)*(s_Irr!O20+s_Irr!BK20)),IF(AND(s_Irr!O20=".",s_Irr!AM20&lt;&gt;".",s_Irr!BK20&lt;&gt;"."),s_dir!AO20/((1/1000)*(s_Irr!AM20+s_Irr!BK20)),IF(AND(s_Irr!O20=".",s_Irr!AM20=".",s_Irr!BK20&lt;&gt;"."),s_dir!AO20/((1/1000)*(s_Irr!BK20)),IF(AND(s_Irr!O20=".",s_Irr!AM20&lt;&gt;".",s_Irr!BK20="."),s_dir!AO20/((1/1000)*(s_Irr!AM20)),IF(AND(s_Irr!O20&lt;&gt;".",s_Irr!AM20=".",s_Irr!BK20="."),s_dir!AO20/((1/1000)*(s_Irr!O20)),IF(AND(s_Irr!O20=".",s_Irr!AM20=".",s_Irr!BK20="."),s_dir!AO20*1000)))))))),".")</f>
        <v>.</v>
      </c>
      <c r="BO20" s="48" t="str">
        <f>IFERROR(IF(AND(s_Irr!P20&lt;&gt;".",s_Irr!AN20&lt;&gt;".",s_Irr!BL20&lt;&gt;"."),s_dir!AP20/((1/1000)*(s_Irr!P20+s_Irr!AN20+s_Irr!BL20)),IF(AND(s_Irr!P20&lt;&gt;".",s_Irr!AN20&lt;&gt;".",s_Irr!BL20="."),s_dir!AP20/((1/1000)*(s_Irr!P20+s_Irr!AN20)),IF(AND(s_Irr!P20&lt;&gt;".",s_Irr!AN20=".",s_Irr!BL20&lt;&gt;"."),s_dir!AP20/((1/1000)*(s_Irr!P20+s_Irr!BL20)),IF(AND(s_Irr!P20=".",s_Irr!AN20&lt;&gt;".",s_Irr!BL20&lt;&gt;"."),s_dir!AP20/((1/1000)*(s_Irr!AN20+s_Irr!BL20)),IF(AND(s_Irr!P20=".",s_Irr!AN20=".",s_Irr!BL20&lt;&gt;"."),s_dir!AP20/((1/1000)*(s_Irr!BL20)),IF(AND(s_Irr!P20=".",s_Irr!AN20&lt;&gt;".",s_Irr!BL20="."),s_dir!AP20/((1/1000)*(s_Irr!AN20)),IF(AND(s_Irr!P20&lt;&gt;".",s_Irr!AN20=".",s_Irr!BL20="."),s_dir!AP20/((1/1000)*(s_Irr!P20)),IF(AND(s_Irr!P20=".",s_Irr!AN20=".",s_Irr!BL20="."),s_dir!AP20*1000)))))))),".")</f>
        <v>.</v>
      </c>
      <c r="BP20" s="48" t="str">
        <f>IFERROR(IF(AND(s_Irr!Q20&lt;&gt;".",s_Irr!AO20&lt;&gt;".",s_Irr!BM20&lt;&gt;"."),s_dir!AQ20/((1/1000)*(s_Irr!Q20+s_Irr!AO20+s_Irr!BM20)),IF(AND(s_Irr!Q20&lt;&gt;".",s_Irr!AO20&lt;&gt;".",s_Irr!BM20="."),s_dir!AQ20/((1/1000)*(s_Irr!Q20+s_Irr!AO20)),IF(AND(s_Irr!Q20&lt;&gt;".",s_Irr!AO20=".",s_Irr!BM20&lt;&gt;"."),s_dir!AQ20/((1/1000)*(s_Irr!Q20+s_Irr!BM20)),IF(AND(s_Irr!Q20=".",s_Irr!AO20&lt;&gt;".",s_Irr!BM20&lt;&gt;"."),s_dir!AQ20/((1/1000)*(s_Irr!AO20+s_Irr!BM20)),IF(AND(s_Irr!Q20=".",s_Irr!AO20=".",s_Irr!BM20&lt;&gt;"."),s_dir!AQ20/((1/1000)*(s_Irr!BM20)),IF(AND(s_Irr!Q20=".",s_Irr!AO20&lt;&gt;".",s_Irr!BM20="."),s_dir!AQ20/((1/1000)*(s_Irr!AO20)),IF(AND(s_Irr!Q20&lt;&gt;".",s_Irr!AO20=".",s_Irr!BM20="."),s_dir!AQ20/((1/1000)*(s_Irr!Q20)),IF(AND(s_Irr!Q20=".",s_Irr!AO20=".",s_Irr!BM20="."),s_dir!AQ20*1000)))))))),".")</f>
        <v>.</v>
      </c>
      <c r="BQ20" s="48" t="str">
        <f>IFERROR(IF(AND(s_Irr!R20&lt;&gt;".",s_Irr!AP20&lt;&gt;".",s_Irr!BN20&lt;&gt;"."),s_dir!AR20/((1/1000)*(s_Irr!R20+s_Irr!AP20+s_Irr!BN20)),IF(AND(s_Irr!R20&lt;&gt;".",s_Irr!AP20&lt;&gt;".",s_Irr!BN20="."),s_dir!AR20/((1/1000)*(s_Irr!R20+s_Irr!AP20)),IF(AND(s_Irr!R20&lt;&gt;".",s_Irr!AP20=".",s_Irr!BN20&lt;&gt;"."),s_dir!AR20/((1/1000)*(s_Irr!R20+s_Irr!BN20)),IF(AND(s_Irr!R20=".",s_Irr!AP20&lt;&gt;".",s_Irr!BN20&lt;&gt;"."),s_dir!AR20/((1/1000)*(s_Irr!AP20+s_Irr!BN20)),IF(AND(s_Irr!R20=".",s_Irr!AP20=".",s_Irr!BN20&lt;&gt;"."),s_dir!AR20/((1/1000)*(s_Irr!BN20)),IF(AND(s_Irr!R20=".",s_Irr!AP20&lt;&gt;".",s_Irr!BN20="."),s_dir!AR20/((1/1000)*(s_Irr!AP20)),IF(AND(s_Irr!R20&lt;&gt;".",s_Irr!AP20=".",s_Irr!BN20="."),s_dir!AR20/((1/1000)*(s_Irr!R20)),IF(AND(s_Irr!R20=".",s_Irr!AP20=".",s_Irr!BN20="."),s_dir!AR20*1000)))))))),".")</f>
        <v>.</v>
      </c>
      <c r="BR20" s="48" t="str">
        <f>IFERROR(IF(AND(s_Irr!S20&lt;&gt;".",s_Irr!AQ20&lt;&gt;".",s_Irr!BO20&lt;&gt;"."),s_dir!AS20/((1/1000)*(s_Irr!S20+s_Irr!AQ20+s_Irr!BO20)),IF(AND(s_Irr!S20&lt;&gt;".",s_Irr!AQ20&lt;&gt;".",s_Irr!BO20="."),s_dir!AS20/((1/1000)*(s_Irr!S20+s_Irr!AQ20)),IF(AND(s_Irr!S20&lt;&gt;".",s_Irr!AQ20=".",s_Irr!BO20&lt;&gt;"."),s_dir!AS20/((1/1000)*(s_Irr!S20+s_Irr!BO20)),IF(AND(s_Irr!S20=".",s_Irr!AQ20&lt;&gt;".",s_Irr!BO20&lt;&gt;"."),s_dir!AS20/((1/1000)*(s_Irr!AQ20+s_Irr!BO20)),IF(AND(s_Irr!S20=".",s_Irr!AQ20=".",s_Irr!BO20&lt;&gt;"."),s_dir!AS20/((1/1000)*(s_Irr!BO20)),IF(AND(s_Irr!S20=".",s_Irr!AQ20&lt;&gt;".",s_Irr!BO20="."),s_dir!AS20/((1/1000)*(s_Irr!AQ20)),IF(AND(s_Irr!S20&lt;&gt;".",s_Irr!AQ20=".",s_Irr!BO20="."),s_dir!AS20/((1/1000)*(s_Irr!S20)),IF(AND(s_Irr!S20=".",s_Irr!AQ20=".",s_Irr!BO20="."),s_dir!AS20*1000)))))))),".")</f>
        <v>.</v>
      </c>
      <c r="BS20" s="48" t="str">
        <f>IFERROR(IF(AND(s_Irr!T20&lt;&gt;".",s_Irr!AR20&lt;&gt;".",s_Irr!BP20&lt;&gt;"."),s_dir!AT20/((1/1000)*(s_Irr!T20+s_Irr!AR20+s_Irr!BP20)),IF(AND(s_Irr!T20&lt;&gt;".",s_Irr!AR20&lt;&gt;".",s_Irr!BP20="."),s_dir!AT20/((1/1000)*(s_Irr!T20+s_Irr!AR20)),IF(AND(s_Irr!T20&lt;&gt;".",s_Irr!AR20=".",s_Irr!BP20&lt;&gt;"."),s_dir!AT20/((1/1000)*(s_Irr!T20+s_Irr!BP20)),IF(AND(s_Irr!T20=".",s_Irr!AR20&lt;&gt;".",s_Irr!BP20&lt;&gt;"."),s_dir!AT20/((1/1000)*(s_Irr!AR20+s_Irr!BP20)),IF(AND(s_Irr!T20=".",s_Irr!AR20=".",s_Irr!BP20&lt;&gt;"."),s_dir!AT20/((1/1000)*(s_Irr!BP20)),IF(AND(s_Irr!T20=".",s_Irr!AR20&lt;&gt;".",s_Irr!BP20="."),s_dir!AT20/((1/1000)*(s_Irr!AR20)),IF(AND(s_Irr!T20&lt;&gt;".",s_Irr!AR20=".",s_Irr!BP20="."),s_dir!AT20/((1/1000)*(s_Irr!T20)),IF(AND(s_Irr!T20=".",s_Irr!AR20=".",s_Irr!BP20="."),s_dir!AT20*1000)))))))),".")</f>
        <v>.</v>
      </c>
      <c r="BT20" s="48" t="str">
        <f>IFERROR(IF(AND(s_Irr!U20&lt;&gt;".",s_Irr!AS20&lt;&gt;".",s_Irr!BQ20&lt;&gt;"."),s_dir!AU20/((1/1000)*(s_Irr!U20+s_Irr!AS20+s_Irr!BQ20)),IF(AND(s_Irr!U20&lt;&gt;".",s_Irr!AS20&lt;&gt;".",s_Irr!BQ20="."),s_dir!AU20/((1/1000)*(s_Irr!U20+s_Irr!AS20)),IF(AND(s_Irr!U20&lt;&gt;".",s_Irr!AS20=".",s_Irr!BQ20&lt;&gt;"."),s_dir!AU20/((1/1000)*(s_Irr!U20+s_Irr!BQ20)),IF(AND(s_Irr!U20=".",s_Irr!AS20&lt;&gt;".",s_Irr!BQ20&lt;&gt;"."),s_dir!AU20/((1/1000)*(s_Irr!AS20+s_Irr!BQ20)),IF(AND(s_Irr!U20=".",s_Irr!AS20=".",s_Irr!BQ20&lt;&gt;"."),s_dir!AU20/((1/1000)*(s_Irr!BQ20)),IF(AND(s_Irr!U20=".",s_Irr!AS20&lt;&gt;".",s_Irr!BQ20="."),s_dir!AU20/((1/1000)*(s_Irr!AS20)),IF(AND(s_Irr!U20&lt;&gt;".",s_Irr!AS20=".",s_Irr!BQ20="."),s_dir!AU20/((1/1000)*(s_Irr!U20)),IF(AND(s_Irr!U20=".",s_Irr!AS20=".",s_Irr!BQ20="."),s_dir!AU20*1000)))))))),".")</f>
        <v>.</v>
      </c>
      <c r="BU20" s="48" t="str">
        <f>IFERROR(IF(AND(s_Irr!V20&lt;&gt;".",s_Irr!AT20&lt;&gt;".",s_Irr!BR20&lt;&gt;"."),s_dir!AV20/((1/1000)*(s_Irr!V20+s_Irr!AT20+s_Irr!BR20)),IF(AND(s_Irr!V20&lt;&gt;".",s_Irr!AT20&lt;&gt;".",s_Irr!BR20="."),s_dir!AV20/((1/1000)*(s_Irr!V20+s_Irr!AT20)),IF(AND(s_Irr!V20&lt;&gt;".",s_Irr!AT20=".",s_Irr!BR20&lt;&gt;"."),s_dir!AV20/((1/1000)*(s_Irr!V20+s_Irr!BR20)),IF(AND(s_Irr!V20=".",s_Irr!AT20&lt;&gt;".",s_Irr!BR20&lt;&gt;"."),s_dir!AV20/((1/1000)*(s_Irr!AT20+s_Irr!BR20)),IF(AND(s_Irr!V20=".",s_Irr!AT20=".",s_Irr!BR20&lt;&gt;"."),s_dir!AV20/((1/1000)*(s_Irr!BR20)),IF(AND(s_Irr!V20=".",s_Irr!AT20&lt;&gt;".",s_Irr!BR20="."),s_dir!AV20/((1/1000)*(s_Irr!AT20)),IF(AND(s_Irr!V20&lt;&gt;".",s_Irr!AT20=".",s_Irr!BR20="."),s_dir!AV20/((1/1000)*(s_Irr!V20)),IF(AND(s_Irr!V20=".",s_Irr!AT20=".",s_Irr!BR20="."),s_dir!AV20*1000)))))))),".")</f>
        <v>.</v>
      </c>
      <c r="BV20" s="48" t="str">
        <f>IFERROR(IF(AND(s_Irr!W20&lt;&gt;".",s_Irr!AU20&lt;&gt;".",s_Irr!BS20&lt;&gt;"."),s_dir!AW20/((1/1000)*(s_Irr!W20+s_Irr!AU20+s_Irr!BS20)),IF(AND(s_Irr!W20&lt;&gt;".",s_Irr!AU20&lt;&gt;".",s_Irr!BS20="."),s_dir!AW20/((1/1000)*(s_Irr!W20+s_Irr!AU20)),IF(AND(s_Irr!W20&lt;&gt;".",s_Irr!AU20=".",s_Irr!BS20&lt;&gt;"."),s_dir!AW20/((1/1000)*(s_Irr!W20+s_Irr!BS20)),IF(AND(s_Irr!W20=".",s_Irr!AU20&lt;&gt;".",s_Irr!BS20&lt;&gt;"."),s_dir!AW20/((1/1000)*(s_Irr!AU20+s_Irr!BS20)),IF(AND(s_Irr!W20=".",s_Irr!AU20=".",s_Irr!BS20&lt;&gt;"."),s_dir!AW20/((1/1000)*(s_Irr!BS20)),IF(AND(s_Irr!W20=".",s_Irr!AU20&lt;&gt;".",s_Irr!BS20="."),s_dir!AW20/((1/1000)*(s_Irr!AU20)),IF(AND(s_Irr!W20&lt;&gt;".",s_Irr!AU20=".",s_Irr!BS20="."),s_dir!AW20/((1/1000)*(s_Irr!W20)),IF(AND(s_Irr!W20=".",s_Irr!AU20=".",s_Irr!BS20="."),s_dir!AW20*1000)))))))),".")</f>
        <v>.</v>
      </c>
      <c r="BW20" s="48" t="str">
        <f>IFERROR(IF(AND(s_Irr!X20&lt;&gt;".",s_Irr!AV20&lt;&gt;".",s_Irr!BT20&lt;&gt;"."),s_dir!AX20/((1/1000)*(s_Irr!X20+s_Irr!AV20+s_Irr!BT20)),IF(AND(s_Irr!X20&lt;&gt;".",s_Irr!AV20&lt;&gt;".",s_Irr!BT20="."),s_dir!AX20/((1/1000)*(s_Irr!X20+s_Irr!AV20)),IF(AND(s_Irr!X20&lt;&gt;".",s_Irr!AV20=".",s_Irr!BT20&lt;&gt;"."),s_dir!AX20/((1/1000)*(s_Irr!X20+s_Irr!BT20)),IF(AND(s_Irr!X20=".",s_Irr!AV20&lt;&gt;".",s_Irr!BT20&lt;&gt;"."),s_dir!AX20/((1/1000)*(s_Irr!AV20+s_Irr!BT20)),IF(AND(s_Irr!X20=".",s_Irr!AV20=".",s_Irr!BT20&lt;&gt;"."),s_dir!AX20/((1/1000)*(s_Irr!BT20)),IF(AND(s_Irr!X20=".",s_Irr!AV20&lt;&gt;".",s_Irr!BT20="."),s_dir!AX20/((1/1000)*(s_Irr!AV20)),IF(AND(s_Irr!X20&lt;&gt;".",s_Irr!AV20=".",s_Irr!BT20="."),s_dir!AX20/((1/1000)*(s_Irr!X20)),IF(AND(s_Irr!X20=".",s_Irr!AV20=".",s_Irr!BT20="."),s_dir!AX20*1000)))))))),".")</f>
        <v>.</v>
      </c>
      <c r="BX20" s="48" t="str">
        <f>IFERROR(IF(AND(s_Irr!Y20&lt;&gt;".",s_Irr!AW20&lt;&gt;".",s_Irr!BU20&lt;&gt;"."),s_dir!AY20/((1/1000)*(s_Irr!Y20+s_Irr!AW20+s_Irr!BU20)),IF(AND(s_Irr!Y20&lt;&gt;".",s_Irr!AW20&lt;&gt;".",s_Irr!BU20="."),s_dir!AY20/((1/1000)*(s_Irr!Y20+s_Irr!AW20)),IF(AND(s_Irr!Y20&lt;&gt;".",s_Irr!AW20=".",s_Irr!BU20&lt;&gt;"."),s_dir!AY20/((1/1000)*(s_Irr!Y20+s_Irr!BU20)),IF(AND(s_Irr!Y20=".",s_Irr!AW20&lt;&gt;".",s_Irr!BU20&lt;&gt;"."),s_dir!AY20/((1/1000)*(s_Irr!AW20+s_Irr!BU20)),IF(AND(s_Irr!Y20=".",s_Irr!AW20=".",s_Irr!BU20&lt;&gt;"."),s_dir!AY20/((1/1000)*(s_Irr!BU20)),IF(AND(s_Irr!Y20=".",s_Irr!AW20&lt;&gt;".",s_Irr!BU20="."),s_dir!AY20/((1/1000)*(s_Irr!AW20)),IF(AND(s_Irr!Y20&lt;&gt;".",s_Irr!AW20=".",s_Irr!BU20="."),s_dir!AY20/((1/1000)*(s_Irr!Y20)),IF(AND(s_Irr!Y20=".",s_Irr!AW20=".",s_Irr!BU20="."),s_dir!AY20*1000)))))))),".")</f>
        <v>.</v>
      </c>
      <c r="BY20" s="48" t="str">
        <f>IFERROR(IF(AND(s_Irr!Z20&lt;&gt;".",s_Irr!AX20&lt;&gt;".",s_Irr!BV20&lt;&gt;"."),s_dir!AZ20/((1/1000)*(s_Irr!Z20+s_Irr!AX20+s_Irr!BV20)),IF(AND(s_Irr!Z20&lt;&gt;".",s_Irr!AX20&lt;&gt;".",s_Irr!BV20="."),s_dir!AZ20/((1/1000)*(s_Irr!Z20+s_Irr!AX20)),IF(AND(s_Irr!Z20&lt;&gt;".",s_Irr!AX20=".",s_Irr!BV20&lt;&gt;"."),s_dir!AZ20/((1/1000)*(s_Irr!Z20+s_Irr!BV20)),IF(AND(s_Irr!Z20=".",s_Irr!AX20&lt;&gt;".",s_Irr!BV20&lt;&gt;"."),s_dir!AZ20/((1/1000)*(s_Irr!AX20+s_Irr!BV20)),IF(AND(s_Irr!Z20=".",s_Irr!AX20=".",s_Irr!BV20&lt;&gt;"."),s_dir!AZ20/((1/1000)*(s_Irr!BV20)),IF(AND(s_Irr!Z20=".",s_Irr!AX20&lt;&gt;".",s_Irr!BV20="."),s_dir!AZ20/((1/1000)*(s_Irr!AX20)),IF(AND(s_Irr!Z20&lt;&gt;".",s_Irr!AX20=".",s_Irr!BV20="."),s_dir!AZ20/((1/1000)*(s_Irr!Z20)),IF(AND(s_Irr!Z20=".",s_Irr!AX20=".",s_Irr!BV20="."),s_dir!AZ20*1000)))))))),".")</f>
        <v>.</v>
      </c>
      <c r="BZ20" s="62">
        <f t="shared" si="1"/>
        <v>285.56727257609776</v>
      </c>
      <c r="CA20" s="62">
        <f>IFERROR(s_C*s_IFAP_far_adj*s_CF_apple*(1/1000)*(s_Irr!C20+s_Irr!AA20+s_Irr!AY20),".")</f>
        <v>88.757645154967165</v>
      </c>
      <c r="CB20" s="62">
        <f>IFERROR(s_C*s_IFAS_far_adj*s_CF_asparagus*(1/1000)*(s_Irr!D20+s_Irr!AB20+s_Irr!AZ20),".")</f>
        <v>99.576899609843579</v>
      </c>
      <c r="CC20" s="62">
        <f>IFERROR(s_C*s_IFBT_far_adj*s_CF_beet*(1/1000)*(s_Irr!E20+s_Irr!AC20+s_Irr!BA20),".")</f>
        <v>97.172620842093266</v>
      </c>
      <c r="CD20" s="62">
        <f>IFERROR(s_C*s_IFBE_far_adj*s_CF_berries*(1/1000)*(s_Irr!F20+s_Irr!AD20+s_Irr!BB20),".")</f>
        <v>88.757645154967165</v>
      </c>
      <c r="CE20" s="62">
        <f>IFERROR(s_C*s_IFBR_far_adj*s_CF_broccoli*(1/1000)*(s_Irr!G20+s_Irr!AE20+s_Irr!BC20),".")</f>
        <v>88.757645154967165</v>
      </c>
      <c r="CF20" s="62">
        <f>IFERROR(s_C*s_IFCB_far_adj*s_CF_cabbage*(1/1000)*(s_Irr!H20+s_Irr!AF20+s_Irr!BD20),".")</f>
        <v>99.576899609843579</v>
      </c>
      <c r="CG20" s="62">
        <f>IFERROR(s_C*s_IFCR_far_adj*s_CF_carrot*(1/1000)*(s_Irr!I20+s_Irr!AG20+s_Irr!BE20),".")</f>
        <v>97.172620842093266</v>
      </c>
      <c r="CH20" s="62">
        <f>IFERROR(s_C*s_IFCI_far_adj*s_CF_citrus*(1/1000)*(s_Irr!J20+s_Irr!AH20+s_Irr!BF20),".")</f>
        <v>88.757645154967165</v>
      </c>
      <c r="CI20" s="62">
        <f>IFERROR(s_C*s_IFCO_far_adj*s_CF_corn*(1/1000)*(s_Irr!K20+s_Irr!AI20+s_Irr!BG20),".")</f>
        <v>88.817752124160918</v>
      </c>
      <c r="CJ20" s="62">
        <f>IFERROR(s_C*s_IFCU_far_adj*s_CF_cucumber*(1/1000)*(s_Irr!L20+s_Irr!AJ20+s_Irr!BH20),".")</f>
        <v>88.757645154967165</v>
      </c>
      <c r="CK20" s="62">
        <f>IFERROR(s_C*s_IFLE_far_adj*s_CF_lettuce*(1/1000)*(s_Irr!M20+s_Irr!AK20+s_Irr!BI20),".")</f>
        <v>99.576899609843579</v>
      </c>
      <c r="CL20" s="62">
        <f>IFERROR(s_C*s_IFLI_far_adj*s_CF_lima_bean*(1/1000)*(s_Irr!N20+s_Irr!AL20+s_Irr!BJ20),".")</f>
        <v>88.862832351056241</v>
      </c>
      <c r="CM20" s="62">
        <f>IFERROR(s_C*s_IFOK_far_adj*s_CF_okra*(1/1000)*(s_Irr!O20+s_Irr!AM20+s_Irr!BK20),".")</f>
        <v>88.757645154967165</v>
      </c>
      <c r="CN20" s="62">
        <f>IFERROR(s_C*s_IFON_far_adj*s_CF_onion*(1/1000)*(s_Irr!P20+s_Irr!AN20+s_Irr!BL20),".")</f>
        <v>88.757645154967165</v>
      </c>
      <c r="CO20" s="62">
        <f>IFERROR(s_C*s_IFPC_far_adj*s_CF_peach*(1/1000)*(s_Irr!Q20+s_Irr!AO20+s_Irr!BM20),".")</f>
        <v>88.757645154967165</v>
      </c>
      <c r="CP20" s="62">
        <f>IFERROR(s_C*s_IFPR_far_adj*s_CF_pear*(1/1000)*(s_Irr!R20+s_Irr!AP20+s_Irr!BN20),".")</f>
        <v>88.757645154967165</v>
      </c>
      <c r="CQ20" s="62">
        <f>IFERROR(s_C*s_IFPE_far_adj*s_CF_peas*(1/1000)*(s_Irr!S20+s_Irr!AQ20+s_Irr!BO20),".")</f>
        <v>88.862832351056241</v>
      </c>
      <c r="CR20" s="62">
        <f>IFERROR(s_C*s_IFPT_far_adj*s_CF_potato*(1/1000)*(s_Irr!T20+s_Irr!AR20+s_Irr!BP20),".")</f>
        <v>92.514330729577026</v>
      </c>
      <c r="CS20" s="62">
        <f>IFERROR(s_C*s_IFPU_far_adj*s_CF_pumpkin*(1/1000)*(s_Irr!U20+s_Irr!AS20+s_Irr!BQ20),".")</f>
        <v>88.757645154967165</v>
      </c>
      <c r="CT20" s="62">
        <f>IFERROR(s_C*s_IFSN_far_adj*s_CF_snap_bean*(1/1000)*(s_Irr!V20+s_Irr!AT20+s_Irr!BR20),".")</f>
        <v>88.862832351056241</v>
      </c>
      <c r="CU20" s="62">
        <f>IFERROR(s_C*s_IFST_far_adj*s_CF_strawberry*(1/1000)*(s_Irr!W20+s_Irr!AU20+s_Irr!BS20),".")</f>
        <v>88.757645154967165</v>
      </c>
      <c r="CV20" s="62">
        <f>IFERROR(s_C*s_IFTO_far_adj*s_CF_tomato*(1/1000)*(s_Irr!X20+s_Irr!AV20+s_Irr!BT20),".")</f>
        <v>88.757645154967165</v>
      </c>
      <c r="CW20" s="62">
        <f>IFERROR(s_C*s_IFRI_far_adj*s_CF_rice*(1/1000)*(s_Irr!Y20+s_Irr!AW20+s_Irr!BU20),".")</f>
        <v>107.99187529696968</v>
      </c>
      <c r="CX20" s="62">
        <f>IFERROR(s_C*s_IFCG_far_adj*s_CF_cereal*(1/1000)*(s_Irr!Z20+s_Irr!AX20+s_Irr!BV20),".")</f>
        <v>88.817752124160918</v>
      </c>
    </row>
    <row r="21" spans="1:102" ht="15" customHeight="1" x14ac:dyDescent="0.25">
      <c r="A21" s="61" t="s">
        <v>19</v>
      </c>
      <c r="B21" s="49" t="s">
        <v>1059</v>
      </c>
      <c r="C21" s="48" t="str">
        <f t="shared" si="2"/>
        <v>.</v>
      </c>
      <c r="D21" s="48" t="str">
        <f>IFERROR(IF(AND(s_Irr!C21&lt;&gt;".",s_Irr!AA21&lt;&gt;".",s_Irr!AY21&lt;&gt;"."),s_dir!D21/((1/1000)*(s_Irr!C21+s_Irr!AA21+s_Irr!AY21)),IF(AND(s_Irr!C21&lt;&gt;".",s_Irr!AA21&lt;&gt;".",s_Irr!AY21="."),s_dir!D21/((1/1000)*(s_Irr!C21+s_Irr!AA21)),IF(AND(s_Irr!C21&lt;&gt;".",s_Irr!AA21=".",s_Irr!AY21&lt;&gt;"."),s_dir!D21/((1/1000)*(s_Irr!C21+s_Irr!AY21)),IF(AND(s_Irr!C21=".",s_Irr!AA21&lt;&gt;".",s_Irr!AY21&lt;&gt;"."),s_dir!D21/((1/1000)*(s_Irr!AA21+s_Irr!AY21)),IF(AND(s_Irr!C21=".",s_Irr!AA21=".",s_Irr!AY21&lt;&gt;"."),s_dir!D21/((1/1000)*(s_Irr!AY21)),IF(AND(s_Irr!C21=".",s_Irr!AA21&lt;&gt;".",s_Irr!AY21="."),s_dir!D21/((1/1000)*(s_Irr!AA21)),IF(AND(s_Irr!C21&lt;&gt;".",s_Irr!AA21=".",s_Irr!AY21="."),s_dir!D21/((1/1000)*(s_Irr!C21)),IF(AND(s_Irr!C21=".",s_Irr!AA21=".",s_Irr!AY21="."),s_dir!D21*1000)))))))),".")</f>
        <v>.</v>
      </c>
      <c r="E21" s="48" t="str">
        <f>IFERROR(IF(AND(s_Irr!D21&lt;&gt;".",s_Irr!AB21&lt;&gt;".",s_Irr!AZ21&lt;&gt;"."),s_dir!E21/((1/1000)*(s_Irr!D21+s_Irr!AB21+s_Irr!AZ21)),IF(AND(s_Irr!D21&lt;&gt;".",s_Irr!AB21&lt;&gt;".",s_Irr!AZ21="."),s_dir!E21/((1/1000)*(s_Irr!D21+s_Irr!AB21)),IF(AND(s_Irr!D21&lt;&gt;".",s_Irr!AB21=".",s_Irr!AZ21&lt;&gt;"."),s_dir!E21/((1/1000)*(s_Irr!D21+s_Irr!AZ21)),IF(AND(s_Irr!D21=".",s_Irr!AB21&lt;&gt;".",s_Irr!AZ21&lt;&gt;"."),s_dir!E21/((1/1000)*(s_Irr!AB21+s_Irr!AZ21)),IF(AND(s_Irr!D21=".",s_Irr!AB21=".",s_Irr!AZ21&lt;&gt;"."),s_dir!E21/((1/1000)*(s_Irr!AZ21)),IF(AND(s_Irr!D21=".",s_Irr!AB21&lt;&gt;".",s_Irr!AZ21="."),s_dir!E21/((1/1000)*(s_Irr!AB21)),IF(AND(s_Irr!D21&lt;&gt;".",s_Irr!AB21=".",s_Irr!AZ21="."),s_dir!E21/((1/1000)*(s_Irr!D21)),IF(AND(s_Irr!D21=".",s_Irr!AB21=".",s_Irr!AZ21="."),s_dir!E21*1000)))))))),".")</f>
        <v>.</v>
      </c>
      <c r="F21" s="48" t="str">
        <f>IFERROR(IF(AND(s_Irr!E21&lt;&gt;".",s_Irr!AC21&lt;&gt;".",s_Irr!BA21&lt;&gt;"."),s_dir!F21/((1/1000)*(s_Irr!E21+s_Irr!AC21+s_Irr!BA21)),IF(AND(s_Irr!E21&lt;&gt;".",s_Irr!AC21&lt;&gt;".",s_Irr!BA21="."),s_dir!F21/((1/1000)*(s_Irr!E21+s_Irr!AC21)),IF(AND(s_Irr!E21&lt;&gt;".",s_Irr!AC21=".",s_Irr!BA21&lt;&gt;"."),s_dir!F21/((1/1000)*(s_Irr!E21+s_Irr!BA21)),IF(AND(s_Irr!E21=".",s_Irr!AC21&lt;&gt;".",s_Irr!BA21&lt;&gt;"."),s_dir!F21/((1/1000)*(s_Irr!AC21+s_Irr!BA21)),IF(AND(s_Irr!E21=".",s_Irr!AC21=".",s_Irr!BA21&lt;&gt;"."),s_dir!F21/((1/1000)*(s_Irr!BA21)),IF(AND(s_Irr!E21=".",s_Irr!AC21&lt;&gt;".",s_Irr!BA21="."),s_dir!F21/((1/1000)*(s_Irr!AC21)),IF(AND(s_Irr!E21&lt;&gt;".",s_Irr!AC21=".",s_Irr!BA21="."),s_dir!F21/((1/1000)*(s_Irr!E21)),IF(AND(s_Irr!E21=".",s_Irr!AC21=".",s_Irr!BA21="."),s_dir!F21*1000)))))))),".")</f>
        <v>.</v>
      </c>
      <c r="G21" s="48" t="str">
        <f>IFERROR(IF(AND(s_Irr!F21&lt;&gt;".",s_Irr!AD21&lt;&gt;".",s_Irr!BB21&lt;&gt;"."),s_dir!G21/((1/1000)*(s_Irr!F21+s_Irr!AD21+s_Irr!BB21)),IF(AND(s_Irr!F21&lt;&gt;".",s_Irr!AD21&lt;&gt;".",s_Irr!BB21="."),s_dir!G21/((1/1000)*(s_Irr!F21+s_Irr!AD21)),IF(AND(s_Irr!F21&lt;&gt;".",s_Irr!AD21=".",s_Irr!BB21&lt;&gt;"."),s_dir!G21/((1/1000)*(s_Irr!F21+s_Irr!BB21)),IF(AND(s_Irr!F21=".",s_Irr!AD21&lt;&gt;".",s_Irr!BB21&lt;&gt;"."),s_dir!G21/((1/1000)*(s_Irr!AD21+s_Irr!BB21)),IF(AND(s_Irr!F21=".",s_Irr!AD21=".",s_Irr!BB21&lt;&gt;"."),s_dir!G21/((1/1000)*(s_Irr!BB21)),IF(AND(s_Irr!F21=".",s_Irr!AD21&lt;&gt;".",s_Irr!BB21="."),s_dir!G21/((1/1000)*(s_Irr!AD21)),IF(AND(s_Irr!F21&lt;&gt;".",s_Irr!AD21=".",s_Irr!BB21="."),s_dir!G21/((1/1000)*(s_Irr!F21)),IF(AND(s_Irr!F21=".",s_Irr!AD21=".",s_Irr!BB21="."),s_dir!G21*1000)))))))),".")</f>
        <v>.</v>
      </c>
      <c r="H21" s="48" t="str">
        <f>IFERROR(IF(AND(s_Irr!G21&lt;&gt;".",s_Irr!AE21&lt;&gt;".",s_Irr!BC21&lt;&gt;"."),s_dir!H21/((1/1000)*(s_Irr!G21+s_Irr!AE21+s_Irr!BC21)),IF(AND(s_Irr!G21&lt;&gt;".",s_Irr!AE21&lt;&gt;".",s_Irr!BC21="."),s_dir!H21/((1/1000)*(s_Irr!G21+s_Irr!AE21)),IF(AND(s_Irr!G21&lt;&gt;".",s_Irr!AE21=".",s_Irr!BC21&lt;&gt;"."),s_dir!H21/((1/1000)*(s_Irr!G21+s_Irr!BC21)),IF(AND(s_Irr!G21=".",s_Irr!AE21&lt;&gt;".",s_Irr!BC21&lt;&gt;"."),s_dir!H21/((1/1000)*(s_Irr!AE21+s_Irr!BC21)),IF(AND(s_Irr!G21=".",s_Irr!AE21=".",s_Irr!BC21&lt;&gt;"."),s_dir!H21/((1/1000)*(s_Irr!BC21)),IF(AND(s_Irr!G21=".",s_Irr!AE21&lt;&gt;".",s_Irr!BC21="."),s_dir!H21/((1/1000)*(s_Irr!AE21)),IF(AND(s_Irr!G21&lt;&gt;".",s_Irr!AE21=".",s_Irr!BC21="."),s_dir!H21/((1/1000)*(s_Irr!G21)),IF(AND(s_Irr!G21=".",s_Irr!AE21=".",s_Irr!BC21="."),s_dir!H21*1000)))))))),".")</f>
        <v>.</v>
      </c>
      <c r="I21" s="48" t="str">
        <f>IFERROR(IF(AND(s_Irr!H21&lt;&gt;".",s_Irr!AF21&lt;&gt;".",s_Irr!BD21&lt;&gt;"."),s_dir!I21/((1/1000)*(s_Irr!H21+s_Irr!AF21+s_Irr!BD21)),IF(AND(s_Irr!H21&lt;&gt;".",s_Irr!AF21&lt;&gt;".",s_Irr!BD21="."),s_dir!I21/((1/1000)*(s_Irr!H21+s_Irr!AF21)),IF(AND(s_Irr!H21&lt;&gt;".",s_Irr!AF21=".",s_Irr!BD21&lt;&gt;"."),s_dir!I21/((1/1000)*(s_Irr!H21+s_Irr!BD21)),IF(AND(s_Irr!H21=".",s_Irr!AF21&lt;&gt;".",s_Irr!BD21&lt;&gt;"."),s_dir!I21/((1/1000)*(s_Irr!AF21+s_Irr!BD21)),IF(AND(s_Irr!H21=".",s_Irr!AF21=".",s_Irr!BD21&lt;&gt;"."),s_dir!I21/((1/1000)*(s_Irr!BD21)),IF(AND(s_Irr!H21=".",s_Irr!AF21&lt;&gt;".",s_Irr!BD21="."),s_dir!I21/((1/1000)*(s_Irr!AF21)),IF(AND(s_Irr!H21&lt;&gt;".",s_Irr!AF21=".",s_Irr!BD21="."),s_dir!I21/((1/1000)*(s_Irr!H21)),IF(AND(s_Irr!H21=".",s_Irr!AF21=".",s_Irr!BD21="."),s_dir!I21*1000)))))))),".")</f>
        <v>.</v>
      </c>
      <c r="J21" s="48" t="str">
        <f>IFERROR(IF(AND(s_Irr!I21&lt;&gt;".",s_Irr!AG21&lt;&gt;".",s_Irr!BE21&lt;&gt;"."),s_dir!J21/((1/1000)*(s_Irr!I21+s_Irr!AG21+s_Irr!BE21)),IF(AND(s_Irr!I21&lt;&gt;".",s_Irr!AG21&lt;&gt;".",s_Irr!BE21="."),s_dir!J21/((1/1000)*(s_Irr!I21+s_Irr!AG21)),IF(AND(s_Irr!I21&lt;&gt;".",s_Irr!AG21=".",s_Irr!BE21&lt;&gt;"."),s_dir!J21/((1/1000)*(s_Irr!I21+s_Irr!BE21)),IF(AND(s_Irr!I21=".",s_Irr!AG21&lt;&gt;".",s_Irr!BE21&lt;&gt;"."),s_dir!J21/((1/1000)*(s_Irr!AG21+s_Irr!BE21)),IF(AND(s_Irr!I21=".",s_Irr!AG21=".",s_Irr!BE21&lt;&gt;"."),s_dir!J21/((1/1000)*(s_Irr!BE21)),IF(AND(s_Irr!I21=".",s_Irr!AG21&lt;&gt;".",s_Irr!BE21="."),s_dir!J21/((1/1000)*(s_Irr!AG21)),IF(AND(s_Irr!I21&lt;&gt;".",s_Irr!AG21=".",s_Irr!BE21="."),s_dir!J21/((1/1000)*(s_Irr!I21)),IF(AND(s_Irr!I21=".",s_Irr!AG21=".",s_Irr!BE21="."),s_dir!J21*1000)))))))),".")</f>
        <v>.</v>
      </c>
      <c r="K21" s="48" t="str">
        <f>IFERROR(IF(AND(s_Irr!J21&lt;&gt;".",s_Irr!AH21&lt;&gt;".",s_Irr!BF21&lt;&gt;"."),s_dir!K21/((1/1000)*(s_Irr!J21+s_Irr!AH21+s_Irr!BF21)),IF(AND(s_Irr!J21&lt;&gt;".",s_Irr!AH21&lt;&gt;".",s_Irr!BF21="."),s_dir!K21/((1/1000)*(s_Irr!J21+s_Irr!AH21)),IF(AND(s_Irr!J21&lt;&gt;".",s_Irr!AH21=".",s_Irr!BF21&lt;&gt;"."),s_dir!K21/((1/1000)*(s_Irr!J21+s_Irr!BF21)),IF(AND(s_Irr!J21=".",s_Irr!AH21&lt;&gt;".",s_Irr!BF21&lt;&gt;"."),s_dir!K21/((1/1000)*(s_Irr!AH21+s_Irr!BF21)),IF(AND(s_Irr!J21=".",s_Irr!AH21=".",s_Irr!BF21&lt;&gt;"."),s_dir!K21/((1/1000)*(s_Irr!BF21)),IF(AND(s_Irr!J21=".",s_Irr!AH21&lt;&gt;".",s_Irr!BF21="."),s_dir!K21/((1/1000)*(s_Irr!AH21)),IF(AND(s_Irr!J21&lt;&gt;".",s_Irr!AH21=".",s_Irr!BF21="."),s_dir!K21/((1/1000)*(s_Irr!J21)),IF(AND(s_Irr!J21=".",s_Irr!AH21=".",s_Irr!BF21="."),s_dir!K21*1000)))))))),".")</f>
        <v>.</v>
      </c>
      <c r="L21" s="48" t="str">
        <f>IFERROR(IF(AND(s_Irr!K21&lt;&gt;".",s_Irr!AI21&lt;&gt;".",s_Irr!BG21&lt;&gt;"."),s_dir!L21/((1/1000)*(s_Irr!K21+s_Irr!AI21+s_Irr!BG21)),IF(AND(s_Irr!K21&lt;&gt;".",s_Irr!AI21&lt;&gt;".",s_Irr!BG21="."),s_dir!L21/((1/1000)*(s_Irr!K21+s_Irr!AI21)),IF(AND(s_Irr!K21&lt;&gt;".",s_Irr!AI21=".",s_Irr!BG21&lt;&gt;"."),s_dir!L21/((1/1000)*(s_Irr!K21+s_Irr!BG21)),IF(AND(s_Irr!K21=".",s_Irr!AI21&lt;&gt;".",s_Irr!BG21&lt;&gt;"."),s_dir!L21/((1/1000)*(s_Irr!AI21+s_Irr!BG21)),IF(AND(s_Irr!K21=".",s_Irr!AI21=".",s_Irr!BG21&lt;&gt;"."),s_dir!L21/((1/1000)*(s_Irr!BG21)),IF(AND(s_Irr!K21=".",s_Irr!AI21&lt;&gt;".",s_Irr!BG21="."),s_dir!L21/((1/1000)*(s_Irr!AI21)),IF(AND(s_Irr!K21&lt;&gt;".",s_Irr!AI21=".",s_Irr!BG21="."),s_dir!L21/((1/1000)*(s_Irr!K21)),IF(AND(s_Irr!K21=".",s_Irr!AI21=".",s_Irr!BG21="."),s_dir!L21*1000)))))))),".")</f>
        <v>.</v>
      </c>
      <c r="M21" s="48" t="str">
        <f>IFERROR(IF(AND(s_Irr!L21&lt;&gt;".",s_Irr!AJ21&lt;&gt;".",s_Irr!BH21&lt;&gt;"."),s_dir!M21/((1/1000)*(s_Irr!L21+s_Irr!AJ21+s_Irr!BH21)),IF(AND(s_Irr!L21&lt;&gt;".",s_Irr!AJ21&lt;&gt;".",s_Irr!BH21="."),s_dir!M21/((1/1000)*(s_Irr!L21+s_Irr!AJ21)),IF(AND(s_Irr!L21&lt;&gt;".",s_Irr!AJ21=".",s_Irr!BH21&lt;&gt;"."),s_dir!M21/((1/1000)*(s_Irr!L21+s_Irr!BH21)),IF(AND(s_Irr!L21=".",s_Irr!AJ21&lt;&gt;".",s_Irr!BH21&lt;&gt;"."),s_dir!M21/((1/1000)*(s_Irr!AJ21+s_Irr!BH21)),IF(AND(s_Irr!L21=".",s_Irr!AJ21=".",s_Irr!BH21&lt;&gt;"."),s_dir!M21/((1/1000)*(s_Irr!BH21)),IF(AND(s_Irr!L21=".",s_Irr!AJ21&lt;&gt;".",s_Irr!BH21="."),s_dir!M21/((1/1000)*(s_Irr!AJ21)),IF(AND(s_Irr!L21&lt;&gt;".",s_Irr!AJ21=".",s_Irr!BH21="."),s_dir!M21/((1/1000)*(s_Irr!L21)),IF(AND(s_Irr!L21=".",s_Irr!AJ21=".",s_Irr!BH21="."),s_dir!M21*1000)))))))),".")</f>
        <v>.</v>
      </c>
      <c r="N21" s="48" t="str">
        <f>IFERROR(IF(AND(s_Irr!M21&lt;&gt;".",s_Irr!AK21&lt;&gt;".",s_Irr!BI21&lt;&gt;"."),s_dir!N21/((1/1000)*(s_Irr!M21+s_Irr!AK21+s_Irr!BI21)),IF(AND(s_Irr!M21&lt;&gt;".",s_Irr!AK21&lt;&gt;".",s_Irr!BI21="."),s_dir!N21/((1/1000)*(s_Irr!M21+s_Irr!AK21)),IF(AND(s_Irr!M21&lt;&gt;".",s_Irr!AK21=".",s_Irr!BI21&lt;&gt;"."),s_dir!N21/((1/1000)*(s_Irr!M21+s_Irr!BI21)),IF(AND(s_Irr!M21=".",s_Irr!AK21&lt;&gt;".",s_Irr!BI21&lt;&gt;"."),s_dir!N21/((1/1000)*(s_Irr!AK21+s_Irr!BI21)),IF(AND(s_Irr!M21=".",s_Irr!AK21=".",s_Irr!BI21&lt;&gt;"."),s_dir!N21/((1/1000)*(s_Irr!BI21)),IF(AND(s_Irr!M21=".",s_Irr!AK21&lt;&gt;".",s_Irr!BI21="."),s_dir!N21/((1/1000)*(s_Irr!AK21)),IF(AND(s_Irr!M21&lt;&gt;".",s_Irr!AK21=".",s_Irr!BI21="."),s_dir!N21/((1/1000)*(s_Irr!M21)),IF(AND(s_Irr!M21=".",s_Irr!AK21=".",s_Irr!BI21="."),s_dir!N21*1000)))))))),".")</f>
        <v>.</v>
      </c>
      <c r="O21" s="48" t="str">
        <f>IFERROR(IF(AND(s_Irr!N21&lt;&gt;".",s_Irr!AL21&lt;&gt;".",s_Irr!BJ21&lt;&gt;"."),s_dir!O21/((1/1000)*(s_Irr!N21+s_Irr!AL21+s_Irr!BJ21)),IF(AND(s_Irr!N21&lt;&gt;".",s_Irr!AL21&lt;&gt;".",s_Irr!BJ21="."),s_dir!O21/((1/1000)*(s_Irr!N21+s_Irr!AL21)),IF(AND(s_Irr!N21&lt;&gt;".",s_Irr!AL21=".",s_Irr!BJ21&lt;&gt;"."),s_dir!O21/((1/1000)*(s_Irr!N21+s_Irr!BJ21)),IF(AND(s_Irr!N21=".",s_Irr!AL21&lt;&gt;".",s_Irr!BJ21&lt;&gt;"."),s_dir!O21/((1/1000)*(s_Irr!AL21+s_Irr!BJ21)),IF(AND(s_Irr!N21=".",s_Irr!AL21=".",s_Irr!BJ21&lt;&gt;"."),s_dir!O21/((1/1000)*(s_Irr!BJ21)),IF(AND(s_Irr!N21=".",s_Irr!AL21&lt;&gt;".",s_Irr!BJ21="."),s_dir!O21/((1/1000)*(s_Irr!AL21)),IF(AND(s_Irr!N21&lt;&gt;".",s_Irr!AL21=".",s_Irr!BJ21="."),s_dir!O21/((1/1000)*(s_Irr!N21)),IF(AND(s_Irr!N21=".",s_Irr!AL21=".",s_Irr!BJ21="."),s_dir!O21*1000)))))))),".")</f>
        <v>.</v>
      </c>
      <c r="P21" s="48" t="str">
        <f>IFERROR(IF(AND(s_Irr!O21&lt;&gt;".",s_Irr!AM21&lt;&gt;".",s_Irr!BK21&lt;&gt;"."),s_dir!P21/((1/1000)*(s_Irr!O21+s_Irr!AM21+s_Irr!BK21)),IF(AND(s_Irr!O21&lt;&gt;".",s_Irr!AM21&lt;&gt;".",s_Irr!BK21="."),s_dir!P21/((1/1000)*(s_Irr!O21+s_Irr!AM21)),IF(AND(s_Irr!O21&lt;&gt;".",s_Irr!AM21=".",s_Irr!BK21&lt;&gt;"."),s_dir!P21/((1/1000)*(s_Irr!O21+s_Irr!BK21)),IF(AND(s_Irr!O21=".",s_Irr!AM21&lt;&gt;".",s_Irr!BK21&lt;&gt;"."),s_dir!P21/((1/1000)*(s_Irr!AM21+s_Irr!BK21)),IF(AND(s_Irr!O21=".",s_Irr!AM21=".",s_Irr!BK21&lt;&gt;"."),s_dir!P21/((1/1000)*(s_Irr!BK21)),IF(AND(s_Irr!O21=".",s_Irr!AM21&lt;&gt;".",s_Irr!BK21="."),s_dir!P21/((1/1000)*(s_Irr!AM21)),IF(AND(s_Irr!O21&lt;&gt;".",s_Irr!AM21=".",s_Irr!BK21="."),s_dir!P21/((1/1000)*(s_Irr!O21)),IF(AND(s_Irr!O21=".",s_Irr!AM21=".",s_Irr!BK21="."),s_dir!P21*1000)))))))),".")</f>
        <v>.</v>
      </c>
      <c r="Q21" s="48" t="str">
        <f>IFERROR(IF(AND(s_Irr!P21&lt;&gt;".",s_Irr!AN21&lt;&gt;".",s_Irr!BL21&lt;&gt;"."),s_dir!Q21/((1/1000)*(s_Irr!P21+s_Irr!AN21+s_Irr!BL21)),IF(AND(s_Irr!P21&lt;&gt;".",s_Irr!AN21&lt;&gt;".",s_Irr!BL21="."),s_dir!Q21/((1/1000)*(s_Irr!P21+s_Irr!AN21)),IF(AND(s_Irr!P21&lt;&gt;".",s_Irr!AN21=".",s_Irr!BL21&lt;&gt;"."),s_dir!Q21/((1/1000)*(s_Irr!P21+s_Irr!BL21)),IF(AND(s_Irr!P21=".",s_Irr!AN21&lt;&gt;".",s_Irr!BL21&lt;&gt;"."),s_dir!Q21/((1/1000)*(s_Irr!AN21+s_Irr!BL21)),IF(AND(s_Irr!P21=".",s_Irr!AN21=".",s_Irr!BL21&lt;&gt;"."),s_dir!Q21/((1/1000)*(s_Irr!BL21)),IF(AND(s_Irr!P21=".",s_Irr!AN21&lt;&gt;".",s_Irr!BL21="."),s_dir!Q21/((1/1000)*(s_Irr!AN21)),IF(AND(s_Irr!P21&lt;&gt;".",s_Irr!AN21=".",s_Irr!BL21="."),s_dir!Q21/((1/1000)*(s_Irr!P21)),IF(AND(s_Irr!P21=".",s_Irr!AN21=".",s_Irr!BL21="."),s_dir!Q21*1000)))))))),".")</f>
        <v>.</v>
      </c>
      <c r="R21" s="48" t="str">
        <f>IFERROR(IF(AND(s_Irr!Q21&lt;&gt;".",s_Irr!AO21&lt;&gt;".",s_Irr!BM21&lt;&gt;"."),s_dir!R21/((1/1000)*(s_Irr!Q21+s_Irr!AO21+s_Irr!BM21)),IF(AND(s_Irr!Q21&lt;&gt;".",s_Irr!AO21&lt;&gt;".",s_Irr!BM21="."),s_dir!R21/((1/1000)*(s_Irr!Q21+s_Irr!AO21)),IF(AND(s_Irr!Q21&lt;&gt;".",s_Irr!AO21=".",s_Irr!BM21&lt;&gt;"."),s_dir!R21/((1/1000)*(s_Irr!Q21+s_Irr!BM21)),IF(AND(s_Irr!Q21=".",s_Irr!AO21&lt;&gt;".",s_Irr!BM21&lt;&gt;"."),s_dir!R21/((1/1000)*(s_Irr!AO21+s_Irr!BM21)),IF(AND(s_Irr!Q21=".",s_Irr!AO21=".",s_Irr!BM21&lt;&gt;"."),s_dir!R21/((1/1000)*(s_Irr!BM21)),IF(AND(s_Irr!Q21=".",s_Irr!AO21&lt;&gt;".",s_Irr!BM21="."),s_dir!R21/((1/1000)*(s_Irr!AO21)),IF(AND(s_Irr!Q21&lt;&gt;".",s_Irr!AO21=".",s_Irr!BM21="."),s_dir!R21/((1/1000)*(s_Irr!Q21)),IF(AND(s_Irr!Q21=".",s_Irr!AO21=".",s_Irr!BM21="."),s_dir!R21*1000)))))))),".")</f>
        <v>.</v>
      </c>
      <c r="S21" s="48" t="str">
        <f>IFERROR(IF(AND(s_Irr!R21&lt;&gt;".",s_Irr!AP21&lt;&gt;".",s_Irr!BN21&lt;&gt;"."),s_dir!S21/((1/1000)*(s_Irr!R21+s_Irr!AP21+s_Irr!BN21)),IF(AND(s_Irr!R21&lt;&gt;".",s_Irr!AP21&lt;&gt;".",s_Irr!BN21="."),s_dir!S21/((1/1000)*(s_Irr!R21+s_Irr!AP21)),IF(AND(s_Irr!R21&lt;&gt;".",s_Irr!AP21=".",s_Irr!BN21&lt;&gt;"."),s_dir!S21/((1/1000)*(s_Irr!R21+s_Irr!BN21)),IF(AND(s_Irr!R21=".",s_Irr!AP21&lt;&gt;".",s_Irr!BN21&lt;&gt;"."),s_dir!S21/((1/1000)*(s_Irr!AP21+s_Irr!BN21)),IF(AND(s_Irr!R21=".",s_Irr!AP21=".",s_Irr!BN21&lt;&gt;"."),s_dir!S21/((1/1000)*(s_Irr!BN21)),IF(AND(s_Irr!R21=".",s_Irr!AP21&lt;&gt;".",s_Irr!BN21="."),s_dir!S21/((1/1000)*(s_Irr!AP21)),IF(AND(s_Irr!R21&lt;&gt;".",s_Irr!AP21=".",s_Irr!BN21="."),s_dir!S21/((1/1000)*(s_Irr!R21)),IF(AND(s_Irr!R21=".",s_Irr!AP21=".",s_Irr!BN21="."),s_dir!S21*1000)))))))),".")</f>
        <v>.</v>
      </c>
      <c r="T21" s="48" t="str">
        <f>IFERROR(IF(AND(s_Irr!S21&lt;&gt;".",s_Irr!AQ21&lt;&gt;".",s_Irr!BO21&lt;&gt;"."),s_dir!T21/((1/1000)*(s_Irr!S21+s_Irr!AQ21+s_Irr!BO21)),IF(AND(s_Irr!S21&lt;&gt;".",s_Irr!AQ21&lt;&gt;".",s_Irr!BO21="."),s_dir!T21/((1/1000)*(s_Irr!S21+s_Irr!AQ21)),IF(AND(s_Irr!S21&lt;&gt;".",s_Irr!AQ21=".",s_Irr!BO21&lt;&gt;"."),s_dir!T21/((1/1000)*(s_Irr!S21+s_Irr!BO21)),IF(AND(s_Irr!S21=".",s_Irr!AQ21&lt;&gt;".",s_Irr!BO21&lt;&gt;"."),s_dir!T21/((1/1000)*(s_Irr!AQ21+s_Irr!BO21)),IF(AND(s_Irr!S21=".",s_Irr!AQ21=".",s_Irr!BO21&lt;&gt;"."),s_dir!T21/((1/1000)*(s_Irr!BO21)),IF(AND(s_Irr!S21=".",s_Irr!AQ21&lt;&gt;".",s_Irr!BO21="."),s_dir!T21/((1/1000)*(s_Irr!AQ21)),IF(AND(s_Irr!S21&lt;&gt;".",s_Irr!AQ21=".",s_Irr!BO21="."),s_dir!T21/((1/1000)*(s_Irr!S21)),IF(AND(s_Irr!S21=".",s_Irr!AQ21=".",s_Irr!BO21="."),s_dir!T21*1000)))))))),".")</f>
        <v>.</v>
      </c>
      <c r="U21" s="48" t="str">
        <f>IFERROR(IF(AND(s_Irr!T21&lt;&gt;".",s_Irr!AR21&lt;&gt;".",s_Irr!BP21&lt;&gt;"."),s_dir!U21/((1/1000)*(s_Irr!T21+s_Irr!AR21+s_Irr!BP21)),IF(AND(s_Irr!T21&lt;&gt;".",s_Irr!AR21&lt;&gt;".",s_Irr!BP21="."),s_dir!U21/((1/1000)*(s_Irr!T21+s_Irr!AR21)),IF(AND(s_Irr!T21&lt;&gt;".",s_Irr!AR21=".",s_Irr!BP21&lt;&gt;"."),s_dir!U21/((1/1000)*(s_Irr!T21+s_Irr!BP21)),IF(AND(s_Irr!T21=".",s_Irr!AR21&lt;&gt;".",s_Irr!BP21&lt;&gt;"."),s_dir!U21/((1/1000)*(s_Irr!AR21+s_Irr!BP21)),IF(AND(s_Irr!T21=".",s_Irr!AR21=".",s_Irr!BP21&lt;&gt;"."),s_dir!U21/((1/1000)*(s_Irr!BP21)),IF(AND(s_Irr!T21=".",s_Irr!AR21&lt;&gt;".",s_Irr!BP21="."),s_dir!U21/((1/1000)*(s_Irr!AR21)),IF(AND(s_Irr!T21&lt;&gt;".",s_Irr!AR21=".",s_Irr!BP21="."),s_dir!U21/((1/1000)*(s_Irr!T21)),IF(AND(s_Irr!T21=".",s_Irr!AR21=".",s_Irr!BP21="."),s_dir!U21*1000)))))))),".")</f>
        <v>.</v>
      </c>
      <c r="V21" s="48" t="str">
        <f>IFERROR(IF(AND(s_Irr!U21&lt;&gt;".",s_Irr!AS21&lt;&gt;".",s_Irr!BQ21&lt;&gt;"."),s_dir!V21/((1/1000)*(s_Irr!U21+s_Irr!AS21+s_Irr!BQ21)),IF(AND(s_Irr!U21&lt;&gt;".",s_Irr!AS21&lt;&gt;".",s_Irr!BQ21="."),s_dir!V21/((1/1000)*(s_Irr!U21+s_Irr!AS21)),IF(AND(s_Irr!U21&lt;&gt;".",s_Irr!AS21=".",s_Irr!BQ21&lt;&gt;"."),s_dir!V21/((1/1000)*(s_Irr!U21+s_Irr!BQ21)),IF(AND(s_Irr!U21=".",s_Irr!AS21&lt;&gt;".",s_Irr!BQ21&lt;&gt;"."),s_dir!V21/((1/1000)*(s_Irr!AS21+s_Irr!BQ21)),IF(AND(s_Irr!U21=".",s_Irr!AS21=".",s_Irr!BQ21&lt;&gt;"."),s_dir!V21/((1/1000)*(s_Irr!BQ21)),IF(AND(s_Irr!U21=".",s_Irr!AS21&lt;&gt;".",s_Irr!BQ21="."),s_dir!V21/((1/1000)*(s_Irr!AS21)),IF(AND(s_Irr!U21&lt;&gt;".",s_Irr!AS21=".",s_Irr!BQ21="."),s_dir!V21/((1/1000)*(s_Irr!U21)),IF(AND(s_Irr!U21=".",s_Irr!AS21=".",s_Irr!BQ21="."),s_dir!V21*1000)))))))),".")</f>
        <v>.</v>
      </c>
      <c r="W21" s="48" t="str">
        <f>IFERROR(IF(AND(s_Irr!V21&lt;&gt;".",s_Irr!AT21&lt;&gt;".",s_Irr!BR21&lt;&gt;"."),s_dir!W21/((1/1000)*(s_Irr!V21+s_Irr!AT21+s_Irr!BR21)),IF(AND(s_Irr!V21&lt;&gt;".",s_Irr!AT21&lt;&gt;".",s_Irr!BR21="."),s_dir!W21/((1/1000)*(s_Irr!V21+s_Irr!AT21)),IF(AND(s_Irr!V21&lt;&gt;".",s_Irr!AT21=".",s_Irr!BR21&lt;&gt;"."),s_dir!W21/((1/1000)*(s_Irr!V21+s_Irr!BR21)),IF(AND(s_Irr!V21=".",s_Irr!AT21&lt;&gt;".",s_Irr!BR21&lt;&gt;"."),s_dir!W21/((1/1000)*(s_Irr!AT21+s_Irr!BR21)),IF(AND(s_Irr!V21=".",s_Irr!AT21=".",s_Irr!BR21&lt;&gt;"."),s_dir!W21/((1/1000)*(s_Irr!BR21)),IF(AND(s_Irr!V21=".",s_Irr!AT21&lt;&gt;".",s_Irr!BR21="."),s_dir!W21/((1/1000)*(s_Irr!AT21)),IF(AND(s_Irr!V21&lt;&gt;".",s_Irr!AT21=".",s_Irr!BR21="."),s_dir!W21/((1/1000)*(s_Irr!V21)),IF(AND(s_Irr!V21=".",s_Irr!AT21=".",s_Irr!BR21="."),s_dir!W21*1000)))))))),".")</f>
        <v>.</v>
      </c>
      <c r="X21" s="48" t="str">
        <f>IFERROR(IF(AND(s_Irr!W21&lt;&gt;".",s_Irr!AU21&lt;&gt;".",s_Irr!BS21&lt;&gt;"."),s_dir!X21/((1/1000)*(s_Irr!W21+s_Irr!AU21+s_Irr!BS21)),IF(AND(s_Irr!W21&lt;&gt;".",s_Irr!AU21&lt;&gt;".",s_Irr!BS21="."),s_dir!X21/((1/1000)*(s_Irr!W21+s_Irr!AU21)),IF(AND(s_Irr!W21&lt;&gt;".",s_Irr!AU21=".",s_Irr!BS21&lt;&gt;"."),s_dir!X21/((1/1000)*(s_Irr!W21+s_Irr!BS21)),IF(AND(s_Irr!W21=".",s_Irr!AU21&lt;&gt;".",s_Irr!BS21&lt;&gt;"."),s_dir!X21/((1/1000)*(s_Irr!AU21+s_Irr!BS21)),IF(AND(s_Irr!W21=".",s_Irr!AU21=".",s_Irr!BS21&lt;&gt;"."),s_dir!X21/((1/1000)*(s_Irr!BS21)),IF(AND(s_Irr!W21=".",s_Irr!AU21&lt;&gt;".",s_Irr!BS21="."),s_dir!X21/((1/1000)*(s_Irr!AU21)),IF(AND(s_Irr!W21&lt;&gt;".",s_Irr!AU21=".",s_Irr!BS21="."),s_dir!X21/((1/1000)*(s_Irr!W21)),IF(AND(s_Irr!W21=".",s_Irr!AU21=".",s_Irr!BS21="."),s_dir!X21*1000)))))))),".")</f>
        <v>.</v>
      </c>
      <c r="Y21" s="48" t="str">
        <f>IFERROR(IF(AND(s_Irr!X21&lt;&gt;".",s_Irr!AV21&lt;&gt;".",s_Irr!BT21&lt;&gt;"."),s_dir!Y21/((1/1000)*(s_Irr!X21+s_Irr!AV21+s_Irr!BT21)),IF(AND(s_Irr!X21&lt;&gt;".",s_Irr!AV21&lt;&gt;".",s_Irr!BT21="."),s_dir!Y21/((1/1000)*(s_Irr!X21+s_Irr!AV21)),IF(AND(s_Irr!X21&lt;&gt;".",s_Irr!AV21=".",s_Irr!BT21&lt;&gt;"."),s_dir!Y21/((1/1000)*(s_Irr!X21+s_Irr!BT21)),IF(AND(s_Irr!X21=".",s_Irr!AV21&lt;&gt;".",s_Irr!BT21&lt;&gt;"."),s_dir!Y21/((1/1000)*(s_Irr!AV21+s_Irr!BT21)),IF(AND(s_Irr!X21=".",s_Irr!AV21=".",s_Irr!BT21&lt;&gt;"."),s_dir!Y21/((1/1000)*(s_Irr!BT21)),IF(AND(s_Irr!X21=".",s_Irr!AV21&lt;&gt;".",s_Irr!BT21="."),s_dir!Y21/((1/1000)*(s_Irr!AV21)),IF(AND(s_Irr!X21&lt;&gt;".",s_Irr!AV21=".",s_Irr!BT21="."),s_dir!Y21/((1/1000)*(s_Irr!X21)),IF(AND(s_Irr!X21=".",s_Irr!AV21=".",s_Irr!BT21="."),s_dir!Y21*1000)))))))),".")</f>
        <v>.</v>
      </c>
      <c r="Z21" s="48" t="str">
        <f>IFERROR(IF(AND(s_Irr!Y21&lt;&gt;".",s_Irr!AW21&lt;&gt;".",s_Irr!BU21&lt;&gt;"."),s_dir!Z21/((1/1000)*(s_Irr!Y21+s_Irr!AW21+s_Irr!BU21)),IF(AND(s_Irr!Y21&lt;&gt;".",s_Irr!AW21&lt;&gt;".",s_Irr!BU21="."),s_dir!Z21/((1/1000)*(s_Irr!Y21+s_Irr!AW21)),IF(AND(s_Irr!Y21&lt;&gt;".",s_Irr!AW21=".",s_Irr!BU21&lt;&gt;"."),s_dir!Z21/((1/1000)*(s_Irr!Y21+s_Irr!BU21)),IF(AND(s_Irr!Y21=".",s_Irr!AW21&lt;&gt;".",s_Irr!BU21&lt;&gt;"."),s_dir!Z21/((1/1000)*(s_Irr!AW21+s_Irr!BU21)),IF(AND(s_Irr!Y21=".",s_Irr!AW21=".",s_Irr!BU21&lt;&gt;"."),s_dir!Z21/((1/1000)*(s_Irr!BU21)),IF(AND(s_Irr!Y21=".",s_Irr!AW21&lt;&gt;".",s_Irr!BU21="."),s_dir!Z21/((1/1000)*(s_Irr!AW21)),IF(AND(s_Irr!Y21&lt;&gt;".",s_Irr!AW21=".",s_Irr!BU21="."),s_dir!Z21/((1/1000)*(s_Irr!Y21)),IF(AND(s_Irr!Y21=".",s_Irr!AW21=".",s_Irr!BU21="."),s_dir!Z21*1000)))))))),".")</f>
        <v>.</v>
      </c>
      <c r="AA21" s="48" t="str">
        <f>IFERROR(IF(AND(s_Irr!Z21&lt;&gt;".",s_Irr!AX21&lt;&gt;".",s_Irr!BV21&lt;&gt;"."),s_dir!AA21/((1/1000)*(s_Irr!Z21+s_Irr!AX21+s_Irr!BV21)),IF(AND(s_Irr!Z21&lt;&gt;".",s_Irr!AX21&lt;&gt;".",s_Irr!BV21="."),s_dir!AA21/((1/1000)*(s_Irr!Z21+s_Irr!AX21)),IF(AND(s_Irr!Z21&lt;&gt;".",s_Irr!AX21=".",s_Irr!BV21&lt;&gt;"."),s_dir!AA21/((1/1000)*(s_Irr!Z21+s_Irr!BV21)),IF(AND(s_Irr!Z21=".",s_Irr!AX21&lt;&gt;".",s_Irr!BV21&lt;&gt;"."),s_dir!AA21/((1/1000)*(s_Irr!AX21+s_Irr!BV21)),IF(AND(s_Irr!Z21=".",s_Irr!AX21=".",s_Irr!BV21&lt;&gt;"."),s_dir!AA21/((1/1000)*(s_Irr!BV21)),IF(AND(s_Irr!Z21=".",s_Irr!AX21&lt;&gt;".",s_Irr!BV21="."),s_dir!AA21/((1/1000)*(s_Irr!AX21)),IF(AND(s_Irr!Z21&lt;&gt;".",s_Irr!AX21=".",s_Irr!BV21="."),s_dir!AA21/((1/1000)*(s_Irr!Z21)),IF(AND(s_Irr!Z21=".",s_Irr!AX21=".",s_Irr!BV21="."),s_dir!AA21*1000)))))))),".")</f>
        <v>.</v>
      </c>
      <c r="AB21" s="62">
        <f t="shared" si="3"/>
        <v>285.56727257609776</v>
      </c>
      <c r="AC21" s="62">
        <f>IFERROR(s_C*s_IFAP_res_adj*s_CF_apple*0.001*(s_Irr!C21+s_Irr!AA21+s_Irr!AY21),".")</f>
        <v>88.757645154967165</v>
      </c>
      <c r="AD21" s="62">
        <f>IFERROR(s_C*s_IFAS_res_adj*s_CF_asparagus*0.001*(s_Irr!D21+s_Irr!AB21+s_Irr!AZ21),".")</f>
        <v>99.576899609843579</v>
      </c>
      <c r="AE21" s="62">
        <f>IFERROR(s_C*s_IFBT_res_adj*s_CF_beet*0.001*(s_Irr!E21+s_Irr!AC21+s_Irr!BA21),".")</f>
        <v>97.172620842093266</v>
      </c>
      <c r="AF21" s="62">
        <f>IFERROR(s_C*s_IFBE_res_adj*s_CF_berries*0.001*(s_Irr!F21+s_Irr!AD21+s_Irr!BB21),".")</f>
        <v>88.757645154967165</v>
      </c>
      <c r="AG21" s="62">
        <f>IFERROR(s_C*s_IFBR_res_adj*s_CF_broccoli*0.001*(s_Irr!G21+s_Irr!AE21+s_Irr!BC21),".")</f>
        <v>88.757645154967165</v>
      </c>
      <c r="AH21" s="62">
        <f>IFERROR(s_C*s_IFCB_res_adj*s_CF_cabbage*0.001*(s_Irr!H21+s_Irr!AF21+s_Irr!BD21),".")</f>
        <v>99.576899609843579</v>
      </c>
      <c r="AI21" s="62">
        <f>IFERROR(s_C*s_IFCR_res_adj*s_CF_carrot*0.001*(s_Irr!I21+s_Irr!AG21+s_Irr!BE21),".")</f>
        <v>97.172620842093266</v>
      </c>
      <c r="AJ21" s="62">
        <f>IFERROR(s_C*s_IFCI_res_adj*s_CF_citrus*0.001*(s_Irr!J21+s_Irr!AH21+s_Irr!BF21),".")</f>
        <v>88.757645154967165</v>
      </c>
      <c r="AK21" s="62">
        <f>IFERROR(s_C*s_IFCO_res_adj*s_CF_corn*0.001*(s_Irr!K21+s_Irr!AI21+s_Irr!BG21),".")</f>
        <v>88.817752124160918</v>
      </c>
      <c r="AL21" s="62">
        <f>IFERROR(s_C*s_IFCU_res_adj*s_CF_cucumber*0.001*(s_Irr!L21+s_Irr!AJ21+s_Irr!BH21),".")</f>
        <v>88.757645154967165</v>
      </c>
      <c r="AM21" s="62">
        <f>IFERROR(s_C*s_IFLE_res_adj*s_CF_lettuce*0.001*(s_Irr!M21+s_Irr!AK21+s_Irr!BI21),".")</f>
        <v>99.576899609843579</v>
      </c>
      <c r="AN21" s="62">
        <f>IFERROR(s_C*s_IFLI_res_adj*s_CF_lima_bean*0.001*(s_Irr!N21+s_Irr!AL21+s_Irr!BJ21),".")</f>
        <v>88.862832351056241</v>
      </c>
      <c r="AO21" s="62">
        <f>IFERROR(s_C*s_IFOK_res_adj*s_CF_okra*0.001*(s_Irr!O21+s_Irr!AM21+s_Irr!BK21),".")</f>
        <v>88.757645154967165</v>
      </c>
      <c r="AP21" s="62">
        <f>IFERROR(s_C*s_IFON_res_adj*s_CF_onion*0.001*(s_Irr!P21+s_Irr!AN21+s_Irr!BL21),".")</f>
        <v>88.757645154967165</v>
      </c>
      <c r="AQ21" s="62">
        <f>IFERROR(s_C*s_IFPC_res_adj*s_CF_peach*0.001*(s_Irr!Q21+s_Irr!AO21+s_Irr!BM21),".")</f>
        <v>88.757645154967165</v>
      </c>
      <c r="AR21" s="62">
        <f>IFERROR(s_C*s_IFPR_res_adj*s_CF_pear*0.001*(s_Irr!R21+s_Irr!AP21+s_Irr!BN21),".")</f>
        <v>88.757645154967165</v>
      </c>
      <c r="AS21" s="62">
        <f>IFERROR(s_C*s_IFPE_res_adj*s_CF_peas*0.001*(s_Irr!S21+s_Irr!AQ21+s_Irr!BO21),".")</f>
        <v>88.862832351056241</v>
      </c>
      <c r="AT21" s="62">
        <f>IFERROR(s_C*s_IFPT_res_adj*s_CF_potato*0.001*(s_Irr!T21+s_Irr!AR21+s_Irr!BP21),".")</f>
        <v>92.514330729577026</v>
      </c>
      <c r="AU21" s="62">
        <f>IFERROR(s_C*s_IFPU_res_adj*s_CF_pumpkin*0.001*(s_Irr!U21+s_Irr!AS21+s_Irr!BQ21),".")</f>
        <v>88.757645154967165</v>
      </c>
      <c r="AV21" s="62">
        <f>IFERROR(s_C*s_IFSN_res_adj*s_CF_snap_bean*0.001*(s_Irr!V21+s_Irr!AT21+s_Irr!BR21),".")</f>
        <v>88.862832351056241</v>
      </c>
      <c r="AW21" s="62">
        <f>IFERROR(s_C*s_IFST_res_adj*s_CF_strawberry*0.001*(s_Irr!W21+s_Irr!AU21+s_Irr!BS21),".")</f>
        <v>88.757645154967165</v>
      </c>
      <c r="AX21" s="62">
        <f>IFERROR(s_C*s_IFTO_res_adj*s_CF_tomato*0.001*(s_Irr!X21+s_Irr!AV21+s_Irr!BT21),".")</f>
        <v>88.757645154967165</v>
      </c>
      <c r="AY21" s="62">
        <f>IFERROR(s_C*s_IFRI_res_adj*s_CF_rice*0.001*(s_Irr!Y21+s_Irr!AW21+s_Irr!BU21),".")</f>
        <v>107.99187529696968</v>
      </c>
      <c r="AZ21" s="62">
        <f>IFERROR(s_C*s_IFCG_res_adj*s_CF_cereal*0.001*(s_Irr!Z21+s_Irr!AX21+s_Irr!BV21),".")</f>
        <v>88.817752124160918</v>
      </c>
      <c r="BA21" s="48" t="str">
        <f t="shared" si="0"/>
        <v>.</v>
      </c>
      <c r="BB21" s="48" t="str">
        <f>IFERROR(IF(AND(s_Irr!C21&lt;&gt;".",s_Irr!AA21&lt;&gt;".",s_Irr!AY21&lt;&gt;"."),s_dir!AC21/((1/1000)*(s_Irr!C21+s_Irr!AA21+s_Irr!AY21)),IF(AND(s_Irr!C21&lt;&gt;".",s_Irr!AA21&lt;&gt;".",s_Irr!AY21="."),s_dir!AC21/((1/1000)*(s_Irr!C21+s_Irr!AA21)),IF(AND(s_Irr!C21&lt;&gt;".",s_Irr!AA21=".",s_Irr!AY21&lt;&gt;"."),s_dir!AC21/((1/1000)*(s_Irr!C21+s_Irr!AY21)),IF(AND(s_Irr!C21=".",s_Irr!AA21&lt;&gt;".",s_Irr!AY21&lt;&gt;"."),s_dir!AC21/((1/1000)*(s_Irr!AA21+s_Irr!AY21)),IF(AND(s_Irr!C21=".",s_Irr!AA21=".",s_Irr!AY21&lt;&gt;"."),s_dir!AC21/((1/1000)*(s_Irr!AY21)),IF(AND(s_Irr!C21=".",s_Irr!AA21&lt;&gt;".",s_Irr!AY21="."),s_dir!AC21/((1/1000)*(s_Irr!AA21)),IF(AND(s_Irr!C21&lt;&gt;".",s_Irr!AA21=".",s_Irr!AY21="."),s_dir!AC21/((1/1000)*(s_Irr!C21)),IF(AND(s_Irr!C21=".",s_Irr!AA21=".",s_Irr!AY21="."),s_dir!AC21*1000)))))))),".")</f>
        <v>.</v>
      </c>
      <c r="BC21" s="48" t="str">
        <f>IFERROR(IF(AND(s_Irr!D21&lt;&gt;".",s_Irr!AB21&lt;&gt;".",s_Irr!AZ21&lt;&gt;"."),s_dir!AD21/((1/1000)*(s_Irr!D21+s_Irr!AB21+s_Irr!AZ21)),IF(AND(s_Irr!D21&lt;&gt;".",s_Irr!AB21&lt;&gt;".",s_Irr!AZ21="."),s_dir!AD21/((1/1000)*(s_Irr!D21+s_Irr!AB21)),IF(AND(s_Irr!D21&lt;&gt;".",s_Irr!AB21=".",s_Irr!AZ21&lt;&gt;"."),s_dir!AD21/((1/1000)*(s_Irr!D21+s_Irr!AZ21)),IF(AND(s_Irr!D21=".",s_Irr!AB21&lt;&gt;".",s_Irr!AZ21&lt;&gt;"."),s_dir!AD21/((1/1000)*(s_Irr!AB21+s_Irr!AZ21)),IF(AND(s_Irr!D21=".",s_Irr!AB21=".",s_Irr!AZ21&lt;&gt;"."),s_dir!AD21/((1/1000)*(s_Irr!AZ21)),IF(AND(s_Irr!D21=".",s_Irr!AB21&lt;&gt;".",s_Irr!AZ21="."),s_dir!AD21/((1/1000)*(s_Irr!AB21)),IF(AND(s_Irr!D21&lt;&gt;".",s_Irr!AB21=".",s_Irr!AZ21="."),s_dir!AD21/((1/1000)*(s_Irr!D21)),IF(AND(s_Irr!D21=".",s_Irr!AB21=".",s_Irr!AZ21="."),s_dir!AD21*1000)))))))),".")</f>
        <v>.</v>
      </c>
      <c r="BD21" s="48" t="str">
        <f>IFERROR(IF(AND(s_Irr!E21&lt;&gt;".",s_Irr!AC21&lt;&gt;".",s_Irr!BA21&lt;&gt;"."),s_dir!AE21/((1/1000)*(s_Irr!E21+s_Irr!AC21+s_Irr!BA21)),IF(AND(s_Irr!E21&lt;&gt;".",s_Irr!AC21&lt;&gt;".",s_Irr!BA21="."),s_dir!AE21/((1/1000)*(s_Irr!E21+s_Irr!AC21)),IF(AND(s_Irr!E21&lt;&gt;".",s_Irr!AC21=".",s_Irr!BA21&lt;&gt;"."),s_dir!AE21/((1/1000)*(s_Irr!E21+s_Irr!BA21)),IF(AND(s_Irr!E21=".",s_Irr!AC21&lt;&gt;".",s_Irr!BA21&lt;&gt;"."),s_dir!AE21/((1/1000)*(s_Irr!AC21+s_Irr!BA21)),IF(AND(s_Irr!E21=".",s_Irr!AC21=".",s_Irr!BA21&lt;&gt;"."),s_dir!AE21/((1/1000)*(s_Irr!BA21)),IF(AND(s_Irr!E21=".",s_Irr!AC21&lt;&gt;".",s_Irr!BA21="."),s_dir!AE21/((1/1000)*(s_Irr!AC21)),IF(AND(s_Irr!E21&lt;&gt;".",s_Irr!AC21=".",s_Irr!BA21="."),s_dir!AE21/((1/1000)*(s_Irr!E21)),IF(AND(s_Irr!E21=".",s_Irr!AC21=".",s_Irr!BA21="."),s_dir!AE21*1000)))))))),".")</f>
        <v>.</v>
      </c>
      <c r="BE21" s="48" t="str">
        <f>IFERROR(IF(AND(s_Irr!F21&lt;&gt;".",s_Irr!AD21&lt;&gt;".",s_Irr!BB21&lt;&gt;"."),s_dir!AF21/((1/1000)*(s_Irr!F21+s_Irr!AD21+s_Irr!BB21)),IF(AND(s_Irr!F21&lt;&gt;".",s_Irr!AD21&lt;&gt;".",s_Irr!BB21="."),s_dir!AF21/((1/1000)*(s_Irr!F21+s_Irr!AD21)),IF(AND(s_Irr!F21&lt;&gt;".",s_Irr!AD21=".",s_Irr!BB21&lt;&gt;"."),s_dir!AF21/((1/1000)*(s_Irr!F21+s_Irr!BB21)),IF(AND(s_Irr!F21=".",s_Irr!AD21&lt;&gt;".",s_Irr!BB21&lt;&gt;"."),s_dir!AF21/((1/1000)*(s_Irr!AD21+s_Irr!BB21)),IF(AND(s_Irr!F21=".",s_Irr!AD21=".",s_Irr!BB21&lt;&gt;"."),s_dir!AF21/((1/1000)*(s_Irr!BB21)),IF(AND(s_Irr!F21=".",s_Irr!AD21&lt;&gt;".",s_Irr!BB21="."),s_dir!AF21/((1/1000)*(s_Irr!AD21)),IF(AND(s_Irr!F21&lt;&gt;".",s_Irr!AD21=".",s_Irr!BB21="."),s_dir!AF21/((1/1000)*(s_Irr!F21)),IF(AND(s_Irr!F21=".",s_Irr!AD21=".",s_Irr!BB21="."),s_dir!AF21*1000)))))))),".")</f>
        <v>.</v>
      </c>
      <c r="BF21" s="48" t="str">
        <f>IFERROR(IF(AND(s_Irr!G21&lt;&gt;".",s_Irr!AE21&lt;&gt;".",s_Irr!BC21&lt;&gt;"."),s_dir!AG21/((1/1000)*(s_Irr!G21+s_Irr!AE21+s_Irr!BC21)),IF(AND(s_Irr!G21&lt;&gt;".",s_Irr!AE21&lt;&gt;".",s_Irr!BC21="."),s_dir!AG21/((1/1000)*(s_Irr!G21+s_Irr!AE21)),IF(AND(s_Irr!G21&lt;&gt;".",s_Irr!AE21=".",s_Irr!BC21&lt;&gt;"."),s_dir!AG21/((1/1000)*(s_Irr!G21+s_Irr!BC21)),IF(AND(s_Irr!G21=".",s_Irr!AE21&lt;&gt;".",s_Irr!BC21&lt;&gt;"."),s_dir!AG21/((1/1000)*(s_Irr!AE21+s_Irr!BC21)),IF(AND(s_Irr!G21=".",s_Irr!AE21=".",s_Irr!BC21&lt;&gt;"."),s_dir!AG21/((1/1000)*(s_Irr!BC21)),IF(AND(s_Irr!G21=".",s_Irr!AE21&lt;&gt;".",s_Irr!BC21="."),s_dir!AG21/((1/1000)*(s_Irr!AE21)),IF(AND(s_Irr!G21&lt;&gt;".",s_Irr!AE21=".",s_Irr!BC21="."),s_dir!AG21/((1/1000)*(s_Irr!G21)),IF(AND(s_Irr!G21=".",s_Irr!AE21=".",s_Irr!BC21="."),s_dir!AG21*1000)))))))),".")</f>
        <v>.</v>
      </c>
      <c r="BG21" s="48" t="str">
        <f>IFERROR(IF(AND(s_Irr!H21&lt;&gt;".",s_Irr!AF21&lt;&gt;".",s_Irr!BD21&lt;&gt;"."),s_dir!AH21/((1/1000)*(s_Irr!H21+s_Irr!AF21+s_Irr!BD21)),IF(AND(s_Irr!H21&lt;&gt;".",s_Irr!AF21&lt;&gt;".",s_Irr!BD21="."),s_dir!AH21/((1/1000)*(s_Irr!H21+s_Irr!AF21)),IF(AND(s_Irr!H21&lt;&gt;".",s_Irr!AF21=".",s_Irr!BD21&lt;&gt;"."),s_dir!AH21/((1/1000)*(s_Irr!H21+s_Irr!BD21)),IF(AND(s_Irr!H21=".",s_Irr!AF21&lt;&gt;".",s_Irr!BD21&lt;&gt;"."),s_dir!AH21/((1/1000)*(s_Irr!AF21+s_Irr!BD21)),IF(AND(s_Irr!H21=".",s_Irr!AF21=".",s_Irr!BD21&lt;&gt;"."),s_dir!AH21/((1/1000)*(s_Irr!BD21)),IF(AND(s_Irr!H21=".",s_Irr!AF21&lt;&gt;".",s_Irr!BD21="."),s_dir!AH21/((1/1000)*(s_Irr!AF21)),IF(AND(s_Irr!H21&lt;&gt;".",s_Irr!AF21=".",s_Irr!BD21="."),s_dir!AH21/((1/1000)*(s_Irr!H21)),IF(AND(s_Irr!H21=".",s_Irr!AF21=".",s_Irr!BD21="."),s_dir!AH21*1000)))))))),".")</f>
        <v>.</v>
      </c>
      <c r="BH21" s="48" t="str">
        <f>IFERROR(IF(AND(s_Irr!I21&lt;&gt;".",s_Irr!AG21&lt;&gt;".",s_Irr!BE21&lt;&gt;"."),s_dir!AI21/((1/1000)*(s_Irr!I21+s_Irr!AG21+s_Irr!BE21)),IF(AND(s_Irr!I21&lt;&gt;".",s_Irr!AG21&lt;&gt;".",s_Irr!BE21="."),s_dir!AI21/((1/1000)*(s_Irr!I21+s_Irr!AG21)),IF(AND(s_Irr!I21&lt;&gt;".",s_Irr!AG21=".",s_Irr!BE21&lt;&gt;"."),s_dir!AI21/((1/1000)*(s_Irr!I21+s_Irr!BE21)),IF(AND(s_Irr!I21=".",s_Irr!AG21&lt;&gt;".",s_Irr!BE21&lt;&gt;"."),s_dir!AI21/((1/1000)*(s_Irr!AG21+s_Irr!BE21)),IF(AND(s_Irr!I21=".",s_Irr!AG21=".",s_Irr!BE21&lt;&gt;"."),s_dir!AI21/((1/1000)*(s_Irr!BE21)),IF(AND(s_Irr!I21=".",s_Irr!AG21&lt;&gt;".",s_Irr!BE21="."),s_dir!AI21/((1/1000)*(s_Irr!AG21)),IF(AND(s_Irr!I21&lt;&gt;".",s_Irr!AG21=".",s_Irr!BE21="."),s_dir!AI21/((1/1000)*(s_Irr!I21)),IF(AND(s_Irr!I21=".",s_Irr!AG21=".",s_Irr!BE21="."),s_dir!AI21*1000)))))))),".")</f>
        <v>.</v>
      </c>
      <c r="BI21" s="48" t="str">
        <f>IFERROR(IF(AND(s_Irr!J21&lt;&gt;".",s_Irr!AH21&lt;&gt;".",s_Irr!BF21&lt;&gt;"."),s_dir!AJ21/((1/1000)*(s_Irr!J21+s_Irr!AH21+s_Irr!BF21)),IF(AND(s_Irr!J21&lt;&gt;".",s_Irr!AH21&lt;&gt;".",s_Irr!BF21="."),s_dir!AJ21/((1/1000)*(s_Irr!J21+s_Irr!AH21)),IF(AND(s_Irr!J21&lt;&gt;".",s_Irr!AH21=".",s_Irr!BF21&lt;&gt;"."),s_dir!AJ21/((1/1000)*(s_Irr!J21+s_Irr!BF21)),IF(AND(s_Irr!J21=".",s_Irr!AH21&lt;&gt;".",s_Irr!BF21&lt;&gt;"."),s_dir!AJ21/((1/1000)*(s_Irr!AH21+s_Irr!BF21)),IF(AND(s_Irr!J21=".",s_Irr!AH21=".",s_Irr!BF21&lt;&gt;"."),s_dir!AJ21/((1/1000)*(s_Irr!BF21)),IF(AND(s_Irr!J21=".",s_Irr!AH21&lt;&gt;".",s_Irr!BF21="."),s_dir!AJ21/((1/1000)*(s_Irr!AH21)),IF(AND(s_Irr!J21&lt;&gt;".",s_Irr!AH21=".",s_Irr!BF21="."),s_dir!AJ21/((1/1000)*(s_Irr!J21)),IF(AND(s_Irr!J21=".",s_Irr!AH21=".",s_Irr!BF21="."),s_dir!AJ21*1000)))))))),".")</f>
        <v>.</v>
      </c>
      <c r="BJ21" s="48" t="str">
        <f>IFERROR(IF(AND(s_Irr!K21&lt;&gt;".",s_Irr!AI21&lt;&gt;".",s_Irr!BG21&lt;&gt;"."),s_dir!AK21/((1/1000)*(s_Irr!K21+s_Irr!AI21+s_Irr!BG21)),IF(AND(s_Irr!K21&lt;&gt;".",s_Irr!AI21&lt;&gt;".",s_Irr!BG21="."),s_dir!AK21/((1/1000)*(s_Irr!K21+s_Irr!AI21)),IF(AND(s_Irr!K21&lt;&gt;".",s_Irr!AI21=".",s_Irr!BG21&lt;&gt;"."),s_dir!AK21/((1/1000)*(s_Irr!K21+s_Irr!BG21)),IF(AND(s_Irr!K21=".",s_Irr!AI21&lt;&gt;".",s_Irr!BG21&lt;&gt;"."),s_dir!AK21/((1/1000)*(s_Irr!AI21+s_Irr!BG21)),IF(AND(s_Irr!K21=".",s_Irr!AI21=".",s_Irr!BG21&lt;&gt;"."),s_dir!AK21/((1/1000)*(s_Irr!BG21)),IF(AND(s_Irr!K21=".",s_Irr!AI21&lt;&gt;".",s_Irr!BG21="."),s_dir!AK21/((1/1000)*(s_Irr!AI21)),IF(AND(s_Irr!K21&lt;&gt;".",s_Irr!AI21=".",s_Irr!BG21="."),s_dir!AK21/((1/1000)*(s_Irr!K21)),IF(AND(s_Irr!K21=".",s_Irr!AI21=".",s_Irr!BG21="."),s_dir!AK21*1000)))))))),".")</f>
        <v>.</v>
      </c>
      <c r="BK21" s="48" t="str">
        <f>IFERROR(IF(AND(s_Irr!L21&lt;&gt;".",s_Irr!AJ21&lt;&gt;".",s_Irr!BH21&lt;&gt;"."),s_dir!AL21/((1/1000)*(s_Irr!L21+s_Irr!AJ21+s_Irr!BH21)),IF(AND(s_Irr!L21&lt;&gt;".",s_Irr!AJ21&lt;&gt;".",s_Irr!BH21="."),s_dir!AL21/((1/1000)*(s_Irr!L21+s_Irr!AJ21)),IF(AND(s_Irr!L21&lt;&gt;".",s_Irr!AJ21=".",s_Irr!BH21&lt;&gt;"."),s_dir!AL21/((1/1000)*(s_Irr!L21+s_Irr!BH21)),IF(AND(s_Irr!L21=".",s_Irr!AJ21&lt;&gt;".",s_Irr!BH21&lt;&gt;"."),s_dir!AL21/((1/1000)*(s_Irr!AJ21+s_Irr!BH21)),IF(AND(s_Irr!L21=".",s_Irr!AJ21=".",s_Irr!BH21&lt;&gt;"."),s_dir!AL21/((1/1000)*(s_Irr!BH21)),IF(AND(s_Irr!L21=".",s_Irr!AJ21&lt;&gt;".",s_Irr!BH21="."),s_dir!AL21/((1/1000)*(s_Irr!AJ21)),IF(AND(s_Irr!L21&lt;&gt;".",s_Irr!AJ21=".",s_Irr!BH21="."),s_dir!AL21/((1/1000)*(s_Irr!L21)),IF(AND(s_Irr!L21=".",s_Irr!AJ21=".",s_Irr!BH21="."),s_dir!AL21*1000)))))))),".")</f>
        <v>.</v>
      </c>
      <c r="BL21" s="48" t="str">
        <f>IFERROR(IF(AND(s_Irr!M21&lt;&gt;".",s_Irr!AK21&lt;&gt;".",s_Irr!BI21&lt;&gt;"."),s_dir!AM21/((1/1000)*(s_Irr!M21+s_Irr!AK21+s_Irr!BI21)),IF(AND(s_Irr!M21&lt;&gt;".",s_Irr!AK21&lt;&gt;".",s_Irr!BI21="."),s_dir!AM21/((1/1000)*(s_Irr!M21+s_Irr!AK21)),IF(AND(s_Irr!M21&lt;&gt;".",s_Irr!AK21=".",s_Irr!BI21&lt;&gt;"."),s_dir!AM21/((1/1000)*(s_Irr!M21+s_Irr!BI21)),IF(AND(s_Irr!M21=".",s_Irr!AK21&lt;&gt;".",s_Irr!BI21&lt;&gt;"."),s_dir!AM21/((1/1000)*(s_Irr!AK21+s_Irr!BI21)),IF(AND(s_Irr!M21=".",s_Irr!AK21=".",s_Irr!BI21&lt;&gt;"."),s_dir!AM21/((1/1000)*(s_Irr!BI21)),IF(AND(s_Irr!M21=".",s_Irr!AK21&lt;&gt;".",s_Irr!BI21="."),s_dir!AM21/((1/1000)*(s_Irr!AK21)),IF(AND(s_Irr!M21&lt;&gt;".",s_Irr!AK21=".",s_Irr!BI21="."),s_dir!AM21/((1/1000)*(s_Irr!M21)),IF(AND(s_Irr!M21=".",s_Irr!AK21=".",s_Irr!BI21="."),s_dir!AM21*1000)))))))),".")</f>
        <v>.</v>
      </c>
      <c r="BM21" s="48" t="str">
        <f>IFERROR(IF(AND(s_Irr!N21&lt;&gt;".",s_Irr!AL21&lt;&gt;".",s_Irr!BJ21&lt;&gt;"."),s_dir!AN21/((1/1000)*(s_Irr!N21+s_Irr!AL21+s_Irr!BJ21)),IF(AND(s_Irr!N21&lt;&gt;".",s_Irr!AL21&lt;&gt;".",s_Irr!BJ21="."),s_dir!AN21/((1/1000)*(s_Irr!N21+s_Irr!AL21)),IF(AND(s_Irr!N21&lt;&gt;".",s_Irr!AL21=".",s_Irr!BJ21&lt;&gt;"."),s_dir!AN21/((1/1000)*(s_Irr!N21+s_Irr!BJ21)),IF(AND(s_Irr!N21=".",s_Irr!AL21&lt;&gt;".",s_Irr!BJ21&lt;&gt;"."),s_dir!AN21/((1/1000)*(s_Irr!AL21+s_Irr!BJ21)),IF(AND(s_Irr!N21=".",s_Irr!AL21=".",s_Irr!BJ21&lt;&gt;"."),s_dir!AN21/((1/1000)*(s_Irr!BJ21)),IF(AND(s_Irr!N21=".",s_Irr!AL21&lt;&gt;".",s_Irr!BJ21="."),s_dir!AN21/((1/1000)*(s_Irr!AL21)),IF(AND(s_Irr!N21&lt;&gt;".",s_Irr!AL21=".",s_Irr!BJ21="."),s_dir!AN21/((1/1000)*(s_Irr!N21)),IF(AND(s_Irr!N21=".",s_Irr!AL21=".",s_Irr!BJ21="."),s_dir!AN21*1000)))))))),".")</f>
        <v>.</v>
      </c>
      <c r="BN21" s="48" t="str">
        <f>IFERROR(IF(AND(s_Irr!O21&lt;&gt;".",s_Irr!AM21&lt;&gt;".",s_Irr!BK21&lt;&gt;"."),s_dir!AO21/((1/1000)*(s_Irr!O21+s_Irr!AM21+s_Irr!BK21)),IF(AND(s_Irr!O21&lt;&gt;".",s_Irr!AM21&lt;&gt;".",s_Irr!BK21="."),s_dir!AO21/((1/1000)*(s_Irr!O21+s_Irr!AM21)),IF(AND(s_Irr!O21&lt;&gt;".",s_Irr!AM21=".",s_Irr!BK21&lt;&gt;"."),s_dir!AO21/((1/1000)*(s_Irr!O21+s_Irr!BK21)),IF(AND(s_Irr!O21=".",s_Irr!AM21&lt;&gt;".",s_Irr!BK21&lt;&gt;"."),s_dir!AO21/((1/1000)*(s_Irr!AM21+s_Irr!BK21)),IF(AND(s_Irr!O21=".",s_Irr!AM21=".",s_Irr!BK21&lt;&gt;"."),s_dir!AO21/((1/1000)*(s_Irr!BK21)),IF(AND(s_Irr!O21=".",s_Irr!AM21&lt;&gt;".",s_Irr!BK21="."),s_dir!AO21/((1/1000)*(s_Irr!AM21)),IF(AND(s_Irr!O21&lt;&gt;".",s_Irr!AM21=".",s_Irr!BK21="."),s_dir!AO21/((1/1000)*(s_Irr!O21)),IF(AND(s_Irr!O21=".",s_Irr!AM21=".",s_Irr!BK21="."),s_dir!AO21*1000)))))))),".")</f>
        <v>.</v>
      </c>
      <c r="BO21" s="48" t="str">
        <f>IFERROR(IF(AND(s_Irr!P21&lt;&gt;".",s_Irr!AN21&lt;&gt;".",s_Irr!BL21&lt;&gt;"."),s_dir!AP21/((1/1000)*(s_Irr!P21+s_Irr!AN21+s_Irr!BL21)),IF(AND(s_Irr!P21&lt;&gt;".",s_Irr!AN21&lt;&gt;".",s_Irr!BL21="."),s_dir!AP21/((1/1000)*(s_Irr!P21+s_Irr!AN21)),IF(AND(s_Irr!P21&lt;&gt;".",s_Irr!AN21=".",s_Irr!BL21&lt;&gt;"."),s_dir!AP21/((1/1000)*(s_Irr!P21+s_Irr!BL21)),IF(AND(s_Irr!P21=".",s_Irr!AN21&lt;&gt;".",s_Irr!BL21&lt;&gt;"."),s_dir!AP21/((1/1000)*(s_Irr!AN21+s_Irr!BL21)),IF(AND(s_Irr!P21=".",s_Irr!AN21=".",s_Irr!BL21&lt;&gt;"."),s_dir!AP21/((1/1000)*(s_Irr!BL21)),IF(AND(s_Irr!P21=".",s_Irr!AN21&lt;&gt;".",s_Irr!BL21="."),s_dir!AP21/((1/1000)*(s_Irr!AN21)),IF(AND(s_Irr!P21&lt;&gt;".",s_Irr!AN21=".",s_Irr!BL21="."),s_dir!AP21/((1/1000)*(s_Irr!P21)),IF(AND(s_Irr!P21=".",s_Irr!AN21=".",s_Irr!BL21="."),s_dir!AP21*1000)))))))),".")</f>
        <v>.</v>
      </c>
      <c r="BP21" s="48" t="str">
        <f>IFERROR(IF(AND(s_Irr!Q21&lt;&gt;".",s_Irr!AO21&lt;&gt;".",s_Irr!BM21&lt;&gt;"."),s_dir!AQ21/((1/1000)*(s_Irr!Q21+s_Irr!AO21+s_Irr!BM21)),IF(AND(s_Irr!Q21&lt;&gt;".",s_Irr!AO21&lt;&gt;".",s_Irr!BM21="."),s_dir!AQ21/((1/1000)*(s_Irr!Q21+s_Irr!AO21)),IF(AND(s_Irr!Q21&lt;&gt;".",s_Irr!AO21=".",s_Irr!BM21&lt;&gt;"."),s_dir!AQ21/((1/1000)*(s_Irr!Q21+s_Irr!BM21)),IF(AND(s_Irr!Q21=".",s_Irr!AO21&lt;&gt;".",s_Irr!BM21&lt;&gt;"."),s_dir!AQ21/((1/1000)*(s_Irr!AO21+s_Irr!BM21)),IF(AND(s_Irr!Q21=".",s_Irr!AO21=".",s_Irr!BM21&lt;&gt;"."),s_dir!AQ21/((1/1000)*(s_Irr!BM21)),IF(AND(s_Irr!Q21=".",s_Irr!AO21&lt;&gt;".",s_Irr!BM21="."),s_dir!AQ21/((1/1000)*(s_Irr!AO21)),IF(AND(s_Irr!Q21&lt;&gt;".",s_Irr!AO21=".",s_Irr!BM21="."),s_dir!AQ21/((1/1000)*(s_Irr!Q21)),IF(AND(s_Irr!Q21=".",s_Irr!AO21=".",s_Irr!BM21="."),s_dir!AQ21*1000)))))))),".")</f>
        <v>.</v>
      </c>
      <c r="BQ21" s="48" t="str">
        <f>IFERROR(IF(AND(s_Irr!R21&lt;&gt;".",s_Irr!AP21&lt;&gt;".",s_Irr!BN21&lt;&gt;"."),s_dir!AR21/((1/1000)*(s_Irr!R21+s_Irr!AP21+s_Irr!BN21)),IF(AND(s_Irr!R21&lt;&gt;".",s_Irr!AP21&lt;&gt;".",s_Irr!BN21="."),s_dir!AR21/((1/1000)*(s_Irr!R21+s_Irr!AP21)),IF(AND(s_Irr!R21&lt;&gt;".",s_Irr!AP21=".",s_Irr!BN21&lt;&gt;"."),s_dir!AR21/((1/1000)*(s_Irr!R21+s_Irr!BN21)),IF(AND(s_Irr!R21=".",s_Irr!AP21&lt;&gt;".",s_Irr!BN21&lt;&gt;"."),s_dir!AR21/((1/1000)*(s_Irr!AP21+s_Irr!BN21)),IF(AND(s_Irr!R21=".",s_Irr!AP21=".",s_Irr!BN21&lt;&gt;"."),s_dir!AR21/((1/1000)*(s_Irr!BN21)),IF(AND(s_Irr!R21=".",s_Irr!AP21&lt;&gt;".",s_Irr!BN21="."),s_dir!AR21/((1/1000)*(s_Irr!AP21)),IF(AND(s_Irr!R21&lt;&gt;".",s_Irr!AP21=".",s_Irr!BN21="."),s_dir!AR21/((1/1000)*(s_Irr!R21)),IF(AND(s_Irr!R21=".",s_Irr!AP21=".",s_Irr!BN21="."),s_dir!AR21*1000)))))))),".")</f>
        <v>.</v>
      </c>
      <c r="BR21" s="48" t="str">
        <f>IFERROR(IF(AND(s_Irr!S21&lt;&gt;".",s_Irr!AQ21&lt;&gt;".",s_Irr!BO21&lt;&gt;"."),s_dir!AS21/((1/1000)*(s_Irr!S21+s_Irr!AQ21+s_Irr!BO21)),IF(AND(s_Irr!S21&lt;&gt;".",s_Irr!AQ21&lt;&gt;".",s_Irr!BO21="."),s_dir!AS21/((1/1000)*(s_Irr!S21+s_Irr!AQ21)),IF(AND(s_Irr!S21&lt;&gt;".",s_Irr!AQ21=".",s_Irr!BO21&lt;&gt;"."),s_dir!AS21/((1/1000)*(s_Irr!S21+s_Irr!BO21)),IF(AND(s_Irr!S21=".",s_Irr!AQ21&lt;&gt;".",s_Irr!BO21&lt;&gt;"."),s_dir!AS21/((1/1000)*(s_Irr!AQ21+s_Irr!BO21)),IF(AND(s_Irr!S21=".",s_Irr!AQ21=".",s_Irr!BO21&lt;&gt;"."),s_dir!AS21/((1/1000)*(s_Irr!BO21)),IF(AND(s_Irr!S21=".",s_Irr!AQ21&lt;&gt;".",s_Irr!BO21="."),s_dir!AS21/((1/1000)*(s_Irr!AQ21)),IF(AND(s_Irr!S21&lt;&gt;".",s_Irr!AQ21=".",s_Irr!BO21="."),s_dir!AS21/((1/1000)*(s_Irr!S21)),IF(AND(s_Irr!S21=".",s_Irr!AQ21=".",s_Irr!BO21="."),s_dir!AS21*1000)))))))),".")</f>
        <v>.</v>
      </c>
      <c r="BS21" s="48" t="str">
        <f>IFERROR(IF(AND(s_Irr!T21&lt;&gt;".",s_Irr!AR21&lt;&gt;".",s_Irr!BP21&lt;&gt;"."),s_dir!AT21/((1/1000)*(s_Irr!T21+s_Irr!AR21+s_Irr!BP21)),IF(AND(s_Irr!T21&lt;&gt;".",s_Irr!AR21&lt;&gt;".",s_Irr!BP21="."),s_dir!AT21/((1/1000)*(s_Irr!T21+s_Irr!AR21)),IF(AND(s_Irr!T21&lt;&gt;".",s_Irr!AR21=".",s_Irr!BP21&lt;&gt;"."),s_dir!AT21/((1/1000)*(s_Irr!T21+s_Irr!BP21)),IF(AND(s_Irr!T21=".",s_Irr!AR21&lt;&gt;".",s_Irr!BP21&lt;&gt;"."),s_dir!AT21/((1/1000)*(s_Irr!AR21+s_Irr!BP21)),IF(AND(s_Irr!T21=".",s_Irr!AR21=".",s_Irr!BP21&lt;&gt;"."),s_dir!AT21/((1/1000)*(s_Irr!BP21)),IF(AND(s_Irr!T21=".",s_Irr!AR21&lt;&gt;".",s_Irr!BP21="."),s_dir!AT21/((1/1000)*(s_Irr!AR21)),IF(AND(s_Irr!T21&lt;&gt;".",s_Irr!AR21=".",s_Irr!BP21="."),s_dir!AT21/((1/1000)*(s_Irr!T21)),IF(AND(s_Irr!T21=".",s_Irr!AR21=".",s_Irr!BP21="."),s_dir!AT21*1000)))))))),".")</f>
        <v>.</v>
      </c>
      <c r="BT21" s="48" t="str">
        <f>IFERROR(IF(AND(s_Irr!U21&lt;&gt;".",s_Irr!AS21&lt;&gt;".",s_Irr!BQ21&lt;&gt;"."),s_dir!AU21/((1/1000)*(s_Irr!U21+s_Irr!AS21+s_Irr!BQ21)),IF(AND(s_Irr!U21&lt;&gt;".",s_Irr!AS21&lt;&gt;".",s_Irr!BQ21="."),s_dir!AU21/((1/1000)*(s_Irr!U21+s_Irr!AS21)),IF(AND(s_Irr!U21&lt;&gt;".",s_Irr!AS21=".",s_Irr!BQ21&lt;&gt;"."),s_dir!AU21/((1/1000)*(s_Irr!U21+s_Irr!BQ21)),IF(AND(s_Irr!U21=".",s_Irr!AS21&lt;&gt;".",s_Irr!BQ21&lt;&gt;"."),s_dir!AU21/((1/1000)*(s_Irr!AS21+s_Irr!BQ21)),IF(AND(s_Irr!U21=".",s_Irr!AS21=".",s_Irr!BQ21&lt;&gt;"."),s_dir!AU21/((1/1000)*(s_Irr!BQ21)),IF(AND(s_Irr!U21=".",s_Irr!AS21&lt;&gt;".",s_Irr!BQ21="."),s_dir!AU21/((1/1000)*(s_Irr!AS21)),IF(AND(s_Irr!U21&lt;&gt;".",s_Irr!AS21=".",s_Irr!BQ21="."),s_dir!AU21/((1/1000)*(s_Irr!U21)),IF(AND(s_Irr!U21=".",s_Irr!AS21=".",s_Irr!BQ21="."),s_dir!AU21*1000)))))))),".")</f>
        <v>.</v>
      </c>
      <c r="BU21" s="48" t="str">
        <f>IFERROR(IF(AND(s_Irr!V21&lt;&gt;".",s_Irr!AT21&lt;&gt;".",s_Irr!BR21&lt;&gt;"."),s_dir!AV21/((1/1000)*(s_Irr!V21+s_Irr!AT21+s_Irr!BR21)),IF(AND(s_Irr!V21&lt;&gt;".",s_Irr!AT21&lt;&gt;".",s_Irr!BR21="."),s_dir!AV21/((1/1000)*(s_Irr!V21+s_Irr!AT21)),IF(AND(s_Irr!V21&lt;&gt;".",s_Irr!AT21=".",s_Irr!BR21&lt;&gt;"."),s_dir!AV21/((1/1000)*(s_Irr!V21+s_Irr!BR21)),IF(AND(s_Irr!V21=".",s_Irr!AT21&lt;&gt;".",s_Irr!BR21&lt;&gt;"."),s_dir!AV21/((1/1000)*(s_Irr!AT21+s_Irr!BR21)),IF(AND(s_Irr!V21=".",s_Irr!AT21=".",s_Irr!BR21&lt;&gt;"."),s_dir!AV21/((1/1000)*(s_Irr!BR21)),IF(AND(s_Irr!V21=".",s_Irr!AT21&lt;&gt;".",s_Irr!BR21="."),s_dir!AV21/((1/1000)*(s_Irr!AT21)),IF(AND(s_Irr!V21&lt;&gt;".",s_Irr!AT21=".",s_Irr!BR21="."),s_dir!AV21/((1/1000)*(s_Irr!V21)),IF(AND(s_Irr!V21=".",s_Irr!AT21=".",s_Irr!BR21="."),s_dir!AV21*1000)))))))),".")</f>
        <v>.</v>
      </c>
      <c r="BV21" s="48" t="str">
        <f>IFERROR(IF(AND(s_Irr!W21&lt;&gt;".",s_Irr!AU21&lt;&gt;".",s_Irr!BS21&lt;&gt;"."),s_dir!AW21/((1/1000)*(s_Irr!W21+s_Irr!AU21+s_Irr!BS21)),IF(AND(s_Irr!W21&lt;&gt;".",s_Irr!AU21&lt;&gt;".",s_Irr!BS21="."),s_dir!AW21/((1/1000)*(s_Irr!W21+s_Irr!AU21)),IF(AND(s_Irr!W21&lt;&gt;".",s_Irr!AU21=".",s_Irr!BS21&lt;&gt;"."),s_dir!AW21/((1/1000)*(s_Irr!W21+s_Irr!BS21)),IF(AND(s_Irr!W21=".",s_Irr!AU21&lt;&gt;".",s_Irr!BS21&lt;&gt;"."),s_dir!AW21/((1/1000)*(s_Irr!AU21+s_Irr!BS21)),IF(AND(s_Irr!W21=".",s_Irr!AU21=".",s_Irr!BS21&lt;&gt;"."),s_dir!AW21/((1/1000)*(s_Irr!BS21)),IF(AND(s_Irr!W21=".",s_Irr!AU21&lt;&gt;".",s_Irr!BS21="."),s_dir!AW21/((1/1000)*(s_Irr!AU21)),IF(AND(s_Irr!W21&lt;&gt;".",s_Irr!AU21=".",s_Irr!BS21="."),s_dir!AW21/((1/1000)*(s_Irr!W21)),IF(AND(s_Irr!W21=".",s_Irr!AU21=".",s_Irr!BS21="."),s_dir!AW21*1000)))))))),".")</f>
        <v>.</v>
      </c>
      <c r="BW21" s="48" t="str">
        <f>IFERROR(IF(AND(s_Irr!X21&lt;&gt;".",s_Irr!AV21&lt;&gt;".",s_Irr!BT21&lt;&gt;"."),s_dir!AX21/((1/1000)*(s_Irr!X21+s_Irr!AV21+s_Irr!BT21)),IF(AND(s_Irr!X21&lt;&gt;".",s_Irr!AV21&lt;&gt;".",s_Irr!BT21="."),s_dir!AX21/((1/1000)*(s_Irr!X21+s_Irr!AV21)),IF(AND(s_Irr!X21&lt;&gt;".",s_Irr!AV21=".",s_Irr!BT21&lt;&gt;"."),s_dir!AX21/((1/1000)*(s_Irr!X21+s_Irr!BT21)),IF(AND(s_Irr!X21=".",s_Irr!AV21&lt;&gt;".",s_Irr!BT21&lt;&gt;"."),s_dir!AX21/((1/1000)*(s_Irr!AV21+s_Irr!BT21)),IF(AND(s_Irr!X21=".",s_Irr!AV21=".",s_Irr!BT21&lt;&gt;"."),s_dir!AX21/((1/1000)*(s_Irr!BT21)),IF(AND(s_Irr!X21=".",s_Irr!AV21&lt;&gt;".",s_Irr!BT21="."),s_dir!AX21/((1/1000)*(s_Irr!AV21)),IF(AND(s_Irr!X21&lt;&gt;".",s_Irr!AV21=".",s_Irr!BT21="."),s_dir!AX21/((1/1000)*(s_Irr!X21)),IF(AND(s_Irr!X21=".",s_Irr!AV21=".",s_Irr!BT21="."),s_dir!AX21*1000)))))))),".")</f>
        <v>.</v>
      </c>
      <c r="BX21" s="48" t="str">
        <f>IFERROR(IF(AND(s_Irr!Y21&lt;&gt;".",s_Irr!AW21&lt;&gt;".",s_Irr!BU21&lt;&gt;"."),s_dir!AY21/((1/1000)*(s_Irr!Y21+s_Irr!AW21+s_Irr!BU21)),IF(AND(s_Irr!Y21&lt;&gt;".",s_Irr!AW21&lt;&gt;".",s_Irr!BU21="."),s_dir!AY21/((1/1000)*(s_Irr!Y21+s_Irr!AW21)),IF(AND(s_Irr!Y21&lt;&gt;".",s_Irr!AW21=".",s_Irr!BU21&lt;&gt;"."),s_dir!AY21/((1/1000)*(s_Irr!Y21+s_Irr!BU21)),IF(AND(s_Irr!Y21=".",s_Irr!AW21&lt;&gt;".",s_Irr!BU21&lt;&gt;"."),s_dir!AY21/((1/1000)*(s_Irr!AW21+s_Irr!BU21)),IF(AND(s_Irr!Y21=".",s_Irr!AW21=".",s_Irr!BU21&lt;&gt;"."),s_dir!AY21/((1/1000)*(s_Irr!BU21)),IF(AND(s_Irr!Y21=".",s_Irr!AW21&lt;&gt;".",s_Irr!BU21="."),s_dir!AY21/((1/1000)*(s_Irr!AW21)),IF(AND(s_Irr!Y21&lt;&gt;".",s_Irr!AW21=".",s_Irr!BU21="."),s_dir!AY21/((1/1000)*(s_Irr!Y21)),IF(AND(s_Irr!Y21=".",s_Irr!AW21=".",s_Irr!BU21="."),s_dir!AY21*1000)))))))),".")</f>
        <v>.</v>
      </c>
      <c r="BY21" s="48" t="str">
        <f>IFERROR(IF(AND(s_Irr!Z21&lt;&gt;".",s_Irr!AX21&lt;&gt;".",s_Irr!BV21&lt;&gt;"."),s_dir!AZ21/((1/1000)*(s_Irr!Z21+s_Irr!AX21+s_Irr!BV21)),IF(AND(s_Irr!Z21&lt;&gt;".",s_Irr!AX21&lt;&gt;".",s_Irr!BV21="."),s_dir!AZ21/((1/1000)*(s_Irr!Z21+s_Irr!AX21)),IF(AND(s_Irr!Z21&lt;&gt;".",s_Irr!AX21=".",s_Irr!BV21&lt;&gt;"."),s_dir!AZ21/((1/1000)*(s_Irr!Z21+s_Irr!BV21)),IF(AND(s_Irr!Z21=".",s_Irr!AX21&lt;&gt;".",s_Irr!BV21&lt;&gt;"."),s_dir!AZ21/((1/1000)*(s_Irr!AX21+s_Irr!BV21)),IF(AND(s_Irr!Z21=".",s_Irr!AX21=".",s_Irr!BV21&lt;&gt;"."),s_dir!AZ21/((1/1000)*(s_Irr!BV21)),IF(AND(s_Irr!Z21=".",s_Irr!AX21&lt;&gt;".",s_Irr!BV21="."),s_dir!AZ21/((1/1000)*(s_Irr!AX21)),IF(AND(s_Irr!Z21&lt;&gt;".",s_Irr!AX21=".",s_Irr!BV21="."),s_dir!AZ21/((1/1000)*(s_Irr!Z21)),IF(AND(s_Irr!Z21=".",s_Irr!AX21=".",s_Irr!BV21="."),s_dir!AZ21*1000)))))))),".")</f>
        <v>.</v>
      </c>
      <c r="BZ21" s="62">
        <f t="shared" si="1"/>
        <v>285.56727257609776</v>
      </c>
      <c r="CA21" s="62">
        <f>IFERROR(s_C*s_IFAP_far_adj*s_CF_apple*(1/1000)*(s_Irr!C21+s_Irr!AA21+s_Irr!AY21),".")</f>
        <v>88.757645154967165</v>
      </c>
      <c r="CB21" s="62">
        <f>IFERROR(s_C*s_IFAS_far_adj*s_CF_asparagus*(1/1000)*(s_Irr!D21+s_Irr!AB21+s_Irr!AZ21),".")</f>
        <v>99.576899609843579</v>
      </c>
      <c r="CC21" s="62">
        <f>IFERROR(s_C*s_IFBT_far_adj*s_CF_beet*(1/1000)*(s_Irr!E21+s_Irr!AC21+s_Irr!BA21),".")</f>
        <v>97.172620842093266</v>
      </c>
      <c r="CD21" s="62">
        <f>IFERROR(s_C*s_IFBE_far_adj*s_CF_berries*(1/1000)*(s_Irr!F21+s_Irr!AD21+s_Irr!BB21),".")</f>
        <v>88.757645154967165</v>
      </c>
      <c r="CE21" s="62">
        <f>IFERROR(s_C*s_IFBR_far_adj*s_CF_broccoli*(1/1000)*(s_Irr!G21+s_Irr!AE21+s_Irr!BC21),".")</f>
        <v>88.757645154967165</v>
      </c>
      <c r="CF21" s="62">
        <f>IFERROR(s_C*s_IFCB_far_adj*s_CF_cabbage*(1/1000)*(s_Irr!H21+s_Irr!AF21+s_Irr!BD21),".")</f>
        <v>99.576899609843579</v>
      </c>
      <c r="CG21" s="62">
        <f>IFERROR(s_C*s_IFCR_far_adj*s_CF_carrot*(1/1000)*(s_Irr!I21+s_Irr!AG21+s_Irr!BE21),".")</f>
        <v>97.172620842093266</v>
      </c>
      <c r="CH21" s="62">
        <f>IFERROR(s_C*s_IFCI_far_adj*s_CF_citrus*(1/1000)*(s_Irr!J21+s_Irr!AH21+s_Irr!BF21),".")</f>
        <v>88.757645154967165</v>
      </c>
      <c r="CI21" s="62">
        <f>IFERROR(s_C*s_IFCO_far_adj*s_CF_corn*(1/1000)*(s_Irr!K21+s_Irr!AI21+s_Irr!BG21),".")</f>
        <v>88.817752124160918</v>
      </c>
      <c r="CJ21" s="62">
        <f>IFERROR(s_C*s_IFCU_far_adj*s_CF_cucumber*(1/1000)*(s_Irr!L21+s_Irr!AJ21+s_Irr!BH21),".")</f>
        <v>88.757645154967165</v>
      </c>
      <c r="CK21" s="62">
        <f>IFERROR(s_C*s_IFLE_far_adj*s_CF_lettuce*(1/1000)*(s_Irr!M21+s_Irr!AK21+s_Irr!BI21),".")</f>
        <v>99.576899609843579</v>
      </c>
      <c r="CL21" s="62">
        <f>IFERROR(s_C*s_IFLI_far_adj*s_CF_lima_bean*(1/1000)*(s_Irr!N21+s_Irr!AL21+s_Irr!BJ21),".")</f>
        <v>88.862832351056241</v>
      </c>
      <c r="CM21" s="62">
        <f>IFERROR(s_C*s_IFOK_far_adj*s_CF_okra*(1/1000)*(s_Irr!O21+s_Irr!AM21+s_Irr!BK21),".")</f>
        <v>88.757645154967165</v>
      </c>
      <c r="CN21" s="62">
        <f>IFERROR(s_C*s_IFON_far_adj*s_CF_onion*(1/1000)*(s_Irr!P21+s_Irr!AN21+s_Irr!BL21),".")</f>
        <v>88.757645154967165</v>
      </c>
      <c r="CO21" s="62">
        <f>IFERROR(s_C*s_IFPC_far_adj*s_CF_peach*(1/1000)*(s_Irr!Q21+s_Irr!AO21+s_Irr!BM21),".")</f>
        <v>88.757645154967165</v>
      </c>
      <c r="CP21" s="62">
        <f>IFERROR(s_C*s_IFPR_far_adj*s_CF_pear*(1/1000)*(s_Irr!R21+s_Irr!AP21+s_Irr!BN21),".")</f>
        <v>88.757645154967165</v>
      </c>
      <c r="CQ21" s="62">
        <f>IFERROR(s_C*s_IFPE_far_adj*s_CF_peas*(1/1000)*(s_Irr!S21+s_Irr!AQ21+s_Irr!BO21),".")</f>
        <v>88.862832351056241</v>
      </c>
      <c r="CR21" s="62">
        <f>IFERROR(s_C*s_IFPT_far_adj*s_CF_potato*(1/1000)*(s_Irr!T21+s_Irr!AR21+s_Irr!BP21),".")</f>
        <v>92.514330729577026</v>
      </c>
      <c r="CS21" s="62">
        <f>IFERROR(s_C*s_IFPU_far_adj*s_CF_pumpkin*(1/1000)*(s_Irr!U21+s_Irr!AS21+s_Irr!BQ21),".")</f>
        <v>88.757645154967165</v>
      </c>
      <c r="CT21" s="62">
        <f>IFERROR(s_C*s_IFSN_far_adj*s_CF_snap_bean*(1/1000)*(s_Irr!V21+s_Irr!AT21+s_Irr!BR21),".")</f>
        <v>88.862832351056241</v>
      </c>
      <c r="CU21" s="62">
        <f>IFERROR(s_C*s_IFST_far_adj*s_CF_strawberry*(1/1000)*(s_Irr!W21+s_Irr!AU21+s_Irr!BS21),".")</f>
        <v>88.757645154967165</v>
      </c>
      <c r="CV21" s="62">
        <f>IFERROR(s_C*s_IFTO_far_adj*s_CF_tomato*(1/1000)*(s_Irr!X21+s_Irr!AV21+s_Irr!BT21),".")</f>
        <v>88.757645154967165</v>
      </c>
      <c r="CW21" s="62">
        <f>IFERROR(s_C*s_IFRI_far_adj*s_CF_rice*(1/1000)*(s_Irr!Y21+s_Irr!AW21+s_Irr!BU21),".")</f>
        <v>107.99187529696968</v>
      </c>
      <c r="CX21" s="62">
        <f>IFERROR(s_C*s_IFCG_far_adj*s_CF_cereal*(1/1000)*(s_Irr!Z21+s_Irr!AX21+s_Irr!BV21),".")</f>
        <v>88.817752124160918</v>
      </c>
    </row>
    <row r="22" spans="1:102" ht="15" customHeight="1" x14ac:dyDescent="0.25">
      <c r="A22" s="61" t="s">
        <v>20</v>
      </c>
      <c r="B22" s="49" t="s">
        <v>1059</v>
      </c>
      <c r="C22" s="48">
        <f t="shared" si="2"/>
        <v>92.399201466289966</v>
      </c>
      <c r="D22" s="48">
        <f>IFERROR(IF(AND(s_Irr!C22&lt;&gt;".",s_Irr!AA22&lt;&gt;".",s_Irr!AY22&lt;&gt;"."),s_dir!D22/((1/1000)*(s_Irr!C22+s_Irr!AA22+s_Irr!AY22)),IF(AND(s_Irr!C22&lt;&gt;".",s_Irr!AA22&lt;&gt;".",s_Irr!AY22="."),s_dir!D22/((1/1000)*(s_Irr!C22+s_Irr!AA22)),IF(AND(s_Irr!C22&lt;&gt;".",s_Irr!AA22=".",s_Irr!AY22&lt;&gt;"."),s_dir!D22/((1/1000)*(s_Irr!C22+s_Irr!AY22)),IF(AND(s_Irr!C22=".",s_Irr!AA22&lt;&gt;".",s_Irr!AY22&lt;&gt;"."),s_dir!D22/((1/1000)*(s_Irr!AA22+s_Irr!AY22)),IF(AND(s_Irr!C22=".",s_Irr!AA22=".",s_Irr!AY22&lt;&gt;"."),s_dir!D22/((1/1000)*(s_Irr!AY22)),IF(AND(s_Irr!C22=".",s_Irr!AA22&lt;&gt;".",s_Irr!AY22="."),s_dir!D22/((1/1000)*(s_Irr!AA22)),IF(AND(s_Irr!C22&lt;&gt;".",s_Irr!AA22=".",s_Irr!AY22="."),s_dir!D22/((1/1000)*(s_Irr!C22)),IF(AND(s_Irr!C22=".",s_Irr!AA22=".",s_Irr!AY22="."),s_dir!D22*1000)))))))),".")</f>
        <v>274.33975018095447</v>
      </c>
      <c r="E22" s="48">
        <f>IFERROR(IF(AND(s_Irr!D22&lt;&gt;".",s_Irr!AB22&lt;&gt;".",s_Irr!AZ22&lt;&gt;"."),s_dir!E22/((1/1000)*(s_Irr!D22+s_Irr!AB22+s_Irr!AZ22)),IF(AND(s_Irr!D22&lt;&gt;".",s_Irr!AB22&lt;&gt;".",s_Irr!AZ22="."),s_dir!E22/((1/1000)*(s_Irr!D22+s_Irr!AB22)),IF(AND(s_Irr!D22&lt;&gt;".",s_Irr!AB22=".",s_Irr!AZ22&lt;&gt;"."),s_dir!E22/((1/1000)*(s_Irr!D22+s_Irr!AZ22)),IF(AND(s_Irr!D22=".",s_Irr!AB22&lt;&gt;".",s_Irr!AZ22&lt;&gt;"."),s_dir!E22/((1/1000)*(s_Irr!AB22+s_Irr!AZ22)),IF(AND(s_Irr!D22=".",s_Irr!AB22=".",s_Irr!AZ22&lt;&gt;"."),s_dir!E22/((1/1000)*(s_Irr!AZ22)),IF(AND(s_Irr!D22=".",s_Irr!AB22&lt;&gt;".",s_Irr!AZ22="."),s_dir!E22/((1/1000)*(s_Irr!AB22)),IF(AND(s_Irr!D22&lt;&gt;".",s_Irr!AB22=".",s_Irr!AZ22="."),s_dir!E22/((1/1000)*(s_Irr!D22)),IF(AND(s_Irr!D22=".",s_Irr!AB22=".",s_Irr!AZ22="."),s_dir!E22*1000)))))))),".")</f>
        <v>126.06427896917651</v>
      </c>
      <c r="F22" s="48">
        <f>IFERROR(IF(AND(s_Irr!E22&lt;&gt;".",s_Irr!AC22&lt;&gt;".",s_Irr!BA22&lt;&gt;"."),s_dir!F22/((1/1000)*(s_Irr!E22+s_Irr!AC22+s_Irr!BA22)),IF(AND(s_Irr!E22&lt;&gt;".",s_Irr!AC22&lt;&gt;".",s_Irr!BA22="."),s_dir!F22/((1/1000)*(s_Irr!E22+s_Irr!AC22)),IF(AND(s_Irr!E22&lt;&gt;".",s_Irr!AC22=".",s_Irr!BA22&lt;&gt;"."),s_dir!F22/((1/1000)*(s_Irr!E22+s_Irr!BA22)),IF(AND(s_Irr!E22=".",s_Irr!AC22&lt;&gt;".",s_Irr!BA22&lt;&gt;"."),s_dir!F22/((1/1000)*(s_Irr!AC22+s_Irr!BA22)),IF(AND(s_Irr!E22=".",s_Irr!AC22=".",s_Irr!BA22&lt;&gt;"."),s_dir!F22/((1/1000)*(s_Irr!BA22)),IF(AND(s_Irr!E22=".",s_Irr!AC22&lt;&gt;".",s_Irr!BA22="."),s_dir!F22/((1/1000)*(s_Irr!AC22)),IF(AND(s_Irr!E22&lt;&gt;".",s_Irr!AC22=".",s_Irr!BA22="."),s_dir!F22/((1/1000)*(s_Irr!E22)),IF(AND(s_Irr!E22=".",s_Irr!AC22=".",s_Irr!BA22="."),s_dir!F22*1000)))))))),".")</f>
        <v>146.60763747799754</v>
      </c>
      <c r="G22" s="48">
        <f>IFERROR(IF(AND(s_Irr!F22&lt;&gt;".",s_Irr!AD22&lt;&gt;".",s_Irr!BB22&lt;&gt;"."),s_dir!G22/((1/1000)*(s_Irr!F22+s_Irr!AD22+s_Irr!BB22)),IF(AND(s_Irr!F22&lt;&gt;".",s_Irr!AD22&lt;&gt;".",s_Irr!BB22="."),s_dir!G22/((1/1000)*(s_Irr!F22+s_Irr!AD22)),IF(AND(s_Irr!F22&lt;&gt;".",s_Irr!AD22=".",s_Irr!BB22&lt;&gt;"."),s_dir!G22/((1/1000)*(s_Irr!F22+s_Irr!BB22)),IF(AND(s_Irr!F22=".",s_Irr!AD22&lt;&gt;".",s_Irr!BB22&lt;&gt;"."),s_dir!G22/((1/1000)*(s_Irr!AD22+s_Irr!BB22)),IF(AND(s_Irr!F22=".",s_Irr!AD22=".",s_Irr!BB22&lt;&gt;"."),s_dir!G22/((1/1000)*(s_Irr!BB22)),IF(AND(s_Irr!F22=".",s_Irr!AD22&lt;&gt;".",s_Irr!BB22="."),s_dir!G22/((1/1000)*(s_Irr!AD22)),IF(AND(s_Irr!F22&lt;&gt;".",s_Irr!AD22=".",s_Irr!BB22="."),s_dir!G22/((1/1000)*(s_Irr!F22)),IF(AND(s_Irr!F22=".",s_Irr!AD22=".",s_Irr!BB22="."),s_dir!G22*1000)))))))),".")</f>
        <v>274.33975018095447</v>
      </c>
      <c r="H22" s="48">
        <f>IFERROR(IF(AND(s_Irr!G22&lt;&gt;".",s_Irr!AE22&lt;&gt;".",s_Irr!BC22&lt;&gt;"."),s_dir!H22/((1/1000)*(s_Irr!G22+s_Irr!AE22+s_Irr!BC22)),IF(AND(s_Irr!G22&lt;&gt;".",s_Irr!AE22&lt;&gt;".",s_Irr!BC22="."),s_dir!H22/((1/1000)*(s_Irr!G22+s_Irr!AE22)),IF(AND(s_Irr!G22&lt;&gt;".",s_Irr!AE22=".",s_Irr!BC22&lt;&gt;"."),s_dir!H22/((1/1000)*(s_Irr!G22+s_Irr!BC22)),IF(AND(s_Irr!G22=".",s_Irr!AE22&lt;&gt;".",s_Irr!BC22&lt;&gt;"."),s_dir!H22/((1/1000)*(s_Irr!AE22+s_Irr!BC22)),IF(AND(s_Irr!G22=".",s_Irr!AE22=".",s_Irr!BC22&lt;&gt;"."),s_dir!H22/((1/1000)*(s_Irr!BC22)),IF(AND(s_Irr!G22=".",s_Irr!AE22&lt;&gt;".",s_Irr!BC22="."),s_dir!H22/((1/1000)*(s_Irr!AE22)),IF(AND(s_Irr!G22&lt;&gt;".",s_Irr!AE22=".",s_Irr!BC22="."),s_dir!H22/((1/1000)*(s_Irr!G22)),IF(AND(s_Irr!G22=".",s_Irr!AE22=".",s_Irr!BC22="."),s_dir!H22*1000)))))))),".")</f>
        <v>249.02713789835653</v>
      </c>
      <c r="I22" s="48">
        <f>IFERROR(IF(AND(s_Irr!H22&lt;&gt;".",s_Irr!AF22&lt;&gt;".",s_Irr!BD22&lt;&gt;"."),s_dir!I22/((1/1000)*(s_Irr!H22+s_Irr!AF22+s_Irr!BD22)),IF(AND(s_Irr!H22&lt;&gt;".",s_Irr!AF22&lt;&gt;".",s_Irr!BD22="."),s_dir!I22/((1/1000)*(s_Irr!H22+s_Irr!AF22)),IF(AND(s_Irr!H22&lt;&gt;".",s_Irr!AF22=".",s_Irr!BD22&lt;&gt;"."),s_dir!I22/((1/1000)*(s_Irr!H22+s_Irr!BD22)),IF(AND(s_Irr!H22=".",s_Irr!AF22&lt;&gt;".",s_Irr!BD22&lt;&gt;"."),s_dir!I22/((1/1000)*(s_Irr!AF22+s_Irr!BD22)),IF(AND(s_Irr!H22=".",s_Irr!AF22=".",s_Irr!BD22&lt;&gt;"."),s_dir!I22/((1/1000)*(s_Irr!BD22)),IF(AND(s_Irr!H22=".",s_Irr!AF22&lt;&gt;".",s_Irr!BD22="."),s_dir!I22/((1/1000)*(s_Irr!AF22)),IF(AND(s_Irr!H22&lt;&gt;".",s_Irr!AF22=".",s_Irr!BD22="."),s_dir!I22/((1/1000)*(s_Irr!H22)),IF(AND(s_Irr!H22=".",s_Irr!AF22=".",s_Irr!BD22="."),s_dir!I22*1000)))))))),".")</f>
        <v>126.06427896917651</v>
      </c>
      <c r="J22" s="48">
        <f>IFERROR(IF(AND(s_Irr!I22&lt;&gt;".",s_Irr!AG22&lt;&gt;".",s_Irr!BE22&lt;&gt;"."),s_dir!J22/((1/1000)*(s_Irr!I22+s_Irr!AG22+s_Irr!BE22)),IF(AND(s_Irr!I22&lt;&gt;".",s_Irr!AG22&lt;&gt;".",s_Irr!BE22="."),s_dir!J22/((1/1000)*(s_Irr!I22+s_Irr!AG22)),IF(AND(s_Irr!I22&lt;&gt;".",s_Irr!AG22=".",s_Irr!BE22&lt;&gt;"."),s_dir!J22/((1/1000)*(s_Irr!I22+s_Irr!BE22)),IF(AND(s_Irr!I22=".",s_Irr!AG22&lt;&gt;".",s_Irr!BE22&lt;&gt;"."),s_dir!J22/((1/1000)*(s_Irr!AG22+s_Irr!BE22)),IF(AND(s_Irr!I22=".",s_Irr!AG22=".",s_Irr!BE22&lt;&gt;"."),s_dir!J22/((1/1000)*(s_Irr!BE22)),IF(AND(s_Irr!I22=".",s_Irr!AG22&lt;&gt;".",s_Irr!BE22="."),s_dir!J22/((1/1000)*(s_Irr!AG22)),IF(AND(s_Irr!I22&lt;&gt;".",s_Irr!AG22=".",s_Irr!BE22="."),s_dir!J22/((1/1000)*(s_Irr!I22)),IF(AND(s_Irr!I22=".",s_Irr!AG22=".",s_Irr!BE22="."),s_dir!J22*1000)))))))),".")</f>
        <v>146.60763747799754</v>
      </c>
      <c r="K22" s="48">
        <f>IFERROR(IF(AND(s_Irr!J22&lt;&gt;".",s_Irr!AH22&lt;&gt;".",s_Irr!BF22&lt;&gt;"."),s_dir!K22/((1/1000)*(s_Irr!J22+s_Irr!AH22+s_Irr!BF22)),IF(AND(s_Irr!J22&lt;&gt;".",s_Irr!AH22&lt;&gt;".",s_Irr!BF22="."),s_dir!K22/((1/1000)*(s_Irr!J22+s_Irr!AH22)),IF(AND(s_Irr!J22&lt;&gt;".",s_Irr!AH22=".",s_Irr!BF22&lt;&gt;"."),s_dir!K22/((1/1000)*(s_Irr!J22+s_Irr!BF22)),IF(AND(s_Irr!J22=".",s_Irr!AH22&lt;&gt;".",s_Irr!BF22&lt;&gt;"."),s_dir!K22/((1/1000)*(s_Irr!AH22+s_Irr!BF22)),IF(AND(s_Irr!J22=".",s_Irr!AH22=".",s_Irr!BF22&lt;&gt;"."),s_dir!K22/((1/1000)*(s_Irr!BF22)),IF(AND(s_Irr!J22=".",s_Irr!AH22&lt;&gt;".",s_Irr!BF22="."),s_dir!K22/((1/1000)*(s_Irr!AH22)),IF(AND(s_Irr!J22&lt;&gt;".",s_Irr!AH22=".",s_Irr!BF22="."),s_dir!K22/((1/1000)*(s_Irr!J22)),IF(AND(s_Irr!J22=".",s_Irr!AH22=".",s_Irr!BF22="."),s_dir!K22*1000)))))))),".")</f>
        <v>274.33975018095447</v>
      </c>
      <c r="L22" s="48">
        <f>IFERROR(IF(AND(s_Irr!K22&lt;&gt;".",s_Irr!AI22&lt;&gt;".",s_Irr!BG22&lt;&gt;"."),s_dir!L22/((1/1000)*(s_Irr!K22+s_Irr!AI22+s_Irr!BG22)),IF(AND(s_Irr!K22&lt;&gt;".",s_Irr!AI22&lt;&gt;".",s_Irr!BG22="."),s_dir!L22/((1/1000)*(s_Irr!K22+s_Irr!AI22)),IF(AND(s_Irr!K22&lt;&gt;".",s_Irr!AI22=".",s_Irr!BG22&lt;&gt;"."),s_dir!L22/((1/1000)*(s_Irr!K22+s_Irr!BG22)),IF(AND(s_Irr!K22=".",s_Irr!AI22&lt;&gt;".",s_Irr!BG22&lt;&gt;"."),s_dir!L22/((1/1000)*(s_Irr!AI22+s_Irr!BG22)),IF(AND(s_Irr!K22=".",s_Irr!AI22=".",s_Irr!BG22&lt;&gt;"."),s_dir!L22/((1/1000)*(s_Irr!BG22)),IF(AND(s_Irr!K22=".",s_Irr!AI22&lt;&gt;".",s_Irr!BG22="."),s_dir!L22/((1/1000)*(s_Irr!AI22)),IF(AND(s_Irr!K22&lt;&gt;".",s_Irr!AI22=".",s_Irr!BG22="."),s_dir!L22/((1/1000)*(s_Irr!K22)),IF(AND(s_Irr!K22=".",s_Irr!AI22=".",s_Irr!BG22="."),s_dir!L22*1000)))))))),".")</f>
        <v>308.37112966216239</v>
      </c>
      <c r="M22" s="48">
        <f>IFERROR(IF(AND(s_Irr!L22&lt;&gt;".",s_Irr!AJ22&lt;&gt;".",s_Irr!BH22&lt;&gt;"."),s_dir!M22/((1/1000)*(s_Irr!L22+s_Irr!AJ22+s_Irr!BH22)),IF(AND(s_Irr!L22&lt;&gt;".",s_Irr!AJ22&lt;&gt;".",s_Irr!BH22="."),s_dir!M22/((1/1000)*(s_Irr!L22+s_Irr!AJ22)),IF(AND(s_Irr!L22&lt;&gt;".",s_Irr!AJ22=".",s_Irr!BH22&lt;&gt;"."),s_dir!M22/((1/1000)*(s_Irr!L22+s_Irr!BH22)),IF(AND(s_Irr!L22=".",s_Irr!AJ22&lt;&gt;".",s_Irr!BH22&lt;&gt;"."),s_dir!M22/((1/1000)*(s_Irr!AJ22+s_Irr!BH22)),IF(AND(s_Irr!L22=".",s_Irr!AJ22=".",s_Irr!BH22&lt;&gt;"."),s_dir!M22/((1/1000)*(s_Irr!BH22)),IF(AND(s_Irr!L22=".",s_Irr!AJ22&lt;&gt;".",s_Irr!BH22="."),s_dir!M22/((1/1000)*(s_Irr!AJ22)),IF(AND(s_Irr!L22&lt;&gt;".",s_Irr!AJ22=".",s_Irr!BH22="."),s_dir!M22/((1/1000)*(s_Irr!L22)),IF(AND(s_Irr!L22=".",s_Irr!AJ22=".",s_Irr!BH22="."),s_dir!M22*1000)))))))),".")</f>
        <v>249.02713789835653</v>
      </c>
      <c r="N22" s="48">
        <f>IFERROR(IF(AND(s_Irr!M22&lt;&gt;".",s_Irr!AK22&lt;&gt;".",s_Irr!BI22&lt;&gt;"."),s_dir!N22/((1/1000)*(s_Irr!M22+s_Irr!AK22+s_Irr!BI22)),IF(AND(s_Irr!M22&lt;&gt;".",s_Irr!AK22&lt;&gt;".",s_Irr!BI22="."),s_dir!N22/((1/1000)*(s_Irr!M22+s_Irr!AK22)),IF(AND(s_Irr!M22&lt;&gt;".",s_Irr!AK22=".",s_Irr!BI22&lt;&gt;"."),s_dir!N22/((1/1000)*(s_Irr!M22+s_Irr!BI22)),IF(AND(s_Irr!M22=".",s_Irr!AK22&lt;&gt;".",s_Irr!BI22&lt;&gt;"."),s_dir!N22/((1/1000)*(s_Irr!AK22+s_Irr!BI22)),IF(AND(s_Irr!M22=".",s_Irr!AK22=".",s_Irr!BI22&lt;&gt;"."),s_dir!N22/((1/1000)*(s_Irr!BI22)),IF(AND(s_Irr!M22=".",s_Irr!AK22&lt;&gt;".",s_Irr!BI22="."),s_dir!N22/((1/1000)*(s_Irr!AK22)),IF(AND(s_Irr!M22&lt;&gt;".",s_Irr!AK22=".",s_Irr!BI22="."),s_dir!N22/((1/1000)*(s_Irr!M22)),IF(AND(s_Irr!M22=".",s_Irr!AK22=".",s_Irr!BI22="."),s_dir!N22*1000)))))))),".")</f>
        <v>126.06427896917651</v>
      </c>
      <c r="O22" s="48">
        <f>IFERROR(IF(AND(s_Irr!N22&lt;&gt;".",s_Irr!AL22&lt;&gt;".",s_Irr!BJ22&lt;&gt;"."),s_dir!O22/((1/1000)*(s_Irr!N22+s_Irr!AL22+s_Irr!BJ22)),IF(AND(s_Irr!N22&lt;&gt;".",s_Irr!AL22&lt;&gt;".",s_Irr!BJ22="."),s_dir!O22/((1/1000)*(s_Irr!N22+s_Irr!AL22)),IF(AND(s_Irr!N22&lt;&gt;".",s_Irr!AL22=".",s_Irr!BJ22&lt;&gt;"."),s_dir!O22/((1/1000)*(s_Irr!N22+s_Irr!BJ22)),IF(AND(s_Irr!N22=".",s_Irr!AL22&lt;&gt;".",s_Irr!BJ22&lt;&gt;"."),s_dir!O22/((1/1000)*(s_Irr!AL22+s_Irr!BJ22)),IF(AND(s_Irr!N22=".",s_Irr!AL22=".",s_Irr!BJ22&lt;&gt;"."),s_dir!O22/((1/1000)*(s_Irr!BJ22)),IF(AND(s_Irr!N22=".",s_Irr!AL22&lt;&gt;".",s_Irr!BJ22="."),s_dir!O22/((1/1000)*(s_Irr!AL22)),IF(AND(s_Irr!N22&lt;&gt;".",s_Irr!AL22=".",s_Irr!BJ22="."),s_dir!O22/((1/1000)*(s_Irr!N22)),IF(AND(s_Irr!N22=".",s_Irr!AL22=".",s_Irr!BJ22="."),s_dir!O22*1000)))))))),".")</f>
        <v>259.27988557215792</v>
      </c>
      <c r="P22" s="48">
        <f>IFERROR(IF(AND(s_Irr!O22&lt;&gt;".",s_Irr!AM22&lt;&gt;".",s_Irr!BK22&lt;&gt;"."),s_dir!P22/((1/1000)*(s_Irr!O22+s_Irr!AM22+s_Irr!BK22)),IF(AND(s_Irr!O22&lt;&gt;".",s_Irr!AM22&lt;&gt;".",s_Irr!BK22="."),s_dir!P22/((1/1000)*(s_Irr!O22+s_Irr!AM22)),IF(AND(s_Irr!O22&lt;&gt;".",s_Irr!AM22=".",s_Irr!BK22&lt;&gt;"."),s_dir!P22/((1/1000)*(s_Irr!O22+s_Irr!BK22)),IF(AND(s_Irr!O22=".",s_Irr!AM22&lt;&gt;".",s_Irr!BK22&lt;&gt;"."),s_dir!P22/((1/1000)*(s_Irr!AM22+s_Irr!BK22)),IF(AND(s_Irr!O22=".",s_Irr!AM22=".",s_Irr!BK22&lt;&gt;"."),s_dir!P22/((1/1000)*(s_Irr!BK22)),IF(AND(s_Irr!O22=".",s_Irr!AM22&lt;&gt;".",s_Irr!BK22="."),s_dir!P22/((1/1000)*(s_Irr!AM22)),IF(AND(s_Irr!O22&lt;&gt;".",s_Irr!AM22=".",s_Irr!BK22="."),s_dir!P22/((1/1000)*(s_Irr!O22)),IF(AND(s_Irr!O22=".",s_Irr!AM22=".",s_Irr!BK22="."),s_dir!P22*1000)))))))),".")</f>
        <v>249.02713789835653</v>
      </c>
      <c r="Q22" s="48">
        <f>IFERROR(IF(AND(s_Irr!P22&lt;&gt;".",s_Irr!AN22&lt;&gt;".",s_Irr!BL22&lt;&gt;"."),s_dir!Q22/((1/1000)*(s_Irr!P22+s_Irr!AN22+s_Irr!BL22)),IF(AND(s_Irr!P22&lt;&gt;".",s_Irr!AN22&lt;&gt;".",s_Irr!BL22="."),s_dir!Q22/((1/1000)*(s_Irr!P22+s_Irr!AN22)),IF(AND(s_Irr!P22&lt;&gt;".",s_Irr!AN22=".",s_Irr!BL22&lt;&gt;"."),s_dir!Q22/((1/1000)*(s_Irr!P22+s_Irr!BL22)),IF(AND(s_Irr!P22=".",s_Irr!AN22&lt;&gt;".",s_Irr!BL22&lt;&gt;"."),s_dir!Q22/((1/1000)*(s_Irr!AN22+s_Irr!BL22)),IF(AND(s_Irr!P22=".",s_Irr!AN22=".",s_Irr!BL22&lt;&gt;"."),s_dir!Q22/((1/1000)*(s_Irr!BL22)),IF(AND(s_Irr!P22=".",s_Irr!AN22&lt;&gt;".",s_Irr!BL22="."),s_dir!Q22/((1/1000)*(s_Irr!AN22)),IF(AND(s_Irr!P22&lt;&gt;".",s_Irr!AN22=".",s_Irr!BL22="."),s_dir!Q22/((1/1000)*(s_Irr!P22)),IF(AND(s_Irr!P22=".",s_Irr!AN22=".",s_Irr!BL22="."),s_dir!Q22*1000)))))))),".")</f>
        <v>249.02713789835653</v>
      </c>
      <c r="R22" s="48">
        <f>IFERROR(IF(AND(s_Irr!Q22&lt;&gt;".",s_Irr!AO22&lt;&gt;".",s_Irr!BM22&lt;&gt;"."),s_dir!R22/((1/1000)*(s_Irr!Q22+s_Irr!AO22+s_Irr!BM22)),IF(AND(s_Irr!Q22&lt;&gt;".",s_Irr!AO22&lt;&gt;".",s_Irr!BM22="."),s_dir!R22/((1/1000)*(s_Irr!Q22+s_Irr!AO22)),IF(AND(s_Irr!Q22&lt;&gt;".",s_Irr!AO22=".",s_Irr!BM22&lt;&gt;"."),s_dir!R22/((1/1000)*(s_Irr!Q22+s_Irr!BM22)),IF(AND(s_Irr!Q22=".",s_Irr!AO22&lt;&gt;".",s_Irr!BM22&lt;&gt;"."),s_dir!R22/((1/1000)*(s_Irr!AO22+s_Irr!BM22)),IF(AND(s_Irr!Q22=".",s_Irr!AO22=".",s_Irr!BM22&lt;&gt;"."),s_dir!R22/((1/1000)*(s_Irr!BM22)),IF(AND(s_Irr!Q22=".",s_Irr!AO22&lt;&gt;".",s_Irr!BM22="."),s_dir!R22/((1/1000)*(s_Irr!AO22)),IF(AND(s_Irr!Q22&lt;&gt;".",s_Irr!AO22=".",s_Irr!BM22="."),s_dir!R22/((1/1000)*(s_Irr!Q22)),IF(AND(s_Irr!Q22=".",s_Irr!AO22=".",s_Irr!BM22="."),s_dir!R22*1000)))))))),".")</f>
        <v>274.33975018095447</v>
      </c>
      <c r="S22" s="48">
        <f>IFERROR(IF(AND(s_Irr!R22&lt;&gt;".",s_Irr!AP22&lt;&gt;".",s_Irr!BN22&lt;&gt;"."),s_dir!S22/((1/1000)*(s_Irr!R22+s_Irr!AP22+s_Irr!BN22)),IF(AND(s_Irr!R22&lt;&gt;".",s_Irr!AP22&lt;&gt;".",s_Irr!BN22="."),s_dir!S22/((1/1000)*(s_Irr!R22+s_Irr!AP22)),IF(AND(s_Irr!R22&lt;&gt;".",s_Irr!AP22=".",s_Irr!BN22&lt;&gt;"."),s_dir!S22/((1/1000)*(s_Irr!R22+s_Irr!BN22)),IF(AND(s_Irr!R22=".",s_Irr!AP22&lt;&gt;".",s_Irr!BN22&lt;&gt;"."),s_dir!S22/((1/1000)*(s_Irr!AP22+s_Irr!BN22)),IF(AND(s_Irr!R22=".",s_Irr!AP22=".",s_Irr!BN22&lt;&gt;"."),s_dir!S22/((1/1000)*(s_Irr!BN22)),IF(AND(s_Irr!R22=".",s_Irr!AP22&lt;&gt;".",s_Irr!BN22="."),s_dir!S22/((1/1000)*(s_Irr!AP22)),IF(AND(s_Irr!R22&lt;&gt;".",s_Irr!AP22=".",s_Irr!BN22="."),s_dir!S22/((1/1000)*(s_Irr!R22)),IF(AND(s_Irr!R22=".",s_Irr!AP22=".",s_Irr!BN22="."),s_dir!S22*1000)))))))),".")</f>
        <v>274.33975018095447</v>
      </c>
      <c r="T22" s="48">
        <f>IFERROR(IF(AND(s_Irr!S22&lt;&gt;".",s_Irr!AQ22&lt;&gt;".",s_Irr!BO22&lt;&gt;"."),s_dir!T22/((1/1000)*(s_Irr!S22+s_Irr!AQ22+s_Irr!BO22)),IF(AND(s_Irr!S22&lt;&gt;".",s_Irr!AQ22&lt;&gt;".",s_Irr!BO22="."),s_dir!T22/((1/1000)*(s_Irr!S22+s_Irr!AQ22)),IF(AND(s_Irr!S22&lt;&gt;".",s_Irr!AQ22=".",s_Irr!BO22&lt;&gt;"."),s_dir!T22/((1/1000)*(s_Irr!S22+s_Irr!BO22)),IF(AND(s_Irr!S22=".",s_Irr!AQ22&lt;&gt;".",s_Irr!BO22&lt;&gt;"."),s_dir!T22/((1/1000)*(s_Irr!AQ22+s_Irr!BO22)),IF(AND(s_Irr!S22=".",s_Irr!AQ22=".",s_Irr!BO22&lt;&gt;"."),s_dir!T22/((1/1000)*(s_Irr!BO22)),IF(AND(s_Irr!S22=".",s_Irr!AQ22&lt;&gt;".",s_Irr!BO22="."),s_dir!T22/((1/1000)*(s_Irr!AQ22)),IF(AND(s_Irr!S22&lt;&gt;".",s_Irr!AQ22=".",s_Irr!BO22="."),s_dir!T22/((1/1000)*(s_Irr!S22)),IF(AND(s_Irr!S22=".",s_Irr!AQ22=".",s_Irr!BO22="."),s_dir!T22*1000)))))))),".")</f>
        <v>259.27988557215792</v>
      </c>
      <c r="U22" s="48">
        <f>IFERROR(IF(AND(s_Irr!T22&lt;&gt;".",s_Irr!AR22&lt;&gt;".",s_Irr!BP22&lt;&gt;"."),s_dir!U22/((1/1000)*(s_Irr!T22+s_Irr!AR22+s_Irr!BP22)),IF(AND(s_Irr!T22&lt;&gt;".",s_Irr!AR22&lt;&gt;".",s_Irr!BP22="."),s_dir!U22/((1/1000)*(s_Irr!T22+s_Irr!AR22)),IF(AND(s_Irr!T22&lt;&gt;".",s_Irr!AR22=".",s_Irr!BP22&lt;&gt;"."),s_dir!U22/((1/1000)*(s_Irr!T22+s_Irr!BP22)),IF(AND(s_Irr!T22=".",s_Irr!AR22&lt;&gt;".",s_Irr!BP22&lt;&gt;"."),s_dir!U22/((1/1000)*(s_Irr!AR22+s_Irr!BP22)),IF(AND(s_Irr!T22=".",s_Irr!AR22=".",s_Irr!BP22&lt;&gt;"."),s_dir!U22/((1/1000)*(s_Irr!BP22)),IF(AND(s_Irr!T22=".",s_Irr!AR22&lt;&gt;".",s_Irr!BP22="."),s_dir!U22/((1/1000)*(s_Irr!AR22)),IF(AND(s_Irr!T22&lt;&gt;".",s_Irr!AR22=".",s_Irr!BP22="."),s_dir!U22/((1/1000)*(s_Irr!T22)),IF(AND(s_Irr!T22=".",s_Irr!AR22=".",s_Irr!BP22="."),s_dir!U22*1000)))))))),".")</f>
        <v>270.41311992431514</v>
      </c>
      <c r="V22" s="48">
        <f>IFERROR(IF(AND(s_Irr!U22&lt;&gt;".",s_Irr!AS22&lt;&gt;".",s_Irr!BQ22&lt;&gt;"."),s_dir!V22/((1/1000)*(s_Irr!U22+s_Irr!AS22+s_Irr!BQ22)),IF(AND(s_Irr!U22&lt;&gt;".",s_Irr!AS22&lt;&gt;".",s_Irr!BQ22="."),s_dir!V22/((1/1000)*(s_Irr!U22+s_Irr!AS22)),IF(AND(s_Irr!U22&lt;&gt;".",s_Irr!AS22=".",s_Irr!BQ22&lt;&gt;"."),s_dir!V22/((1/1000)*(s_Irr!U22+s_Irr!BQ22)),IF(AND(s_Irr!U22=".",s_Irr!AS22&lt;&gt;".",s_Irr!BQ22&lt;&gt;"."),s_dir!V22/((1/1000)*(s_Irr!AS22+s_Irr!BQ22)),IF(AND(s_Irr!U22=".",s_Irr!AS22=".",s_Irr!BQ22&lt;&gt;"."),s_dir!V22/((1/1000)*(s_Irr!BQ22)),IF(AND(s_Irr!U22=".",s_Irr!AS22&lt;&gt;".",s_Irr!BQ22="."),s_dir!V22/((1/1000)*(s_Irr!AS22)),IF(AND(s_Irr!U22&lt;&gt;".",s_Irr!AS22=".",s_Irr!BQ22="."),s_dir!V22/((1/1000)*(s_Irr!U22)),IF(AND(s_Irr!U22=".",s_Irr!AS22=".",s_Irr!BQ22="."),s_dir!V22*1000)))))))),".")</f>
        <v>249.02713789835653</v>
      </c>
      <c r="W22" s="48">
        <f>IFERROR(IF(AND(s_Irr!V22&lt;&gt;".",s_Irr!AT22&lt;&gt;".",s_Irr!BR22&lt;&gt;"."),s_dir!W22/((1/1000)*(s_Irr!V22+s_Irr!AT22+s_Irr!BR22)),IF(AND(s_Irr!V22&lt;&gt;".",s_Irr!AT22&lt;&gt;".",s_Irr!BR22="."),s_dir!W22/((1/1000)*(s_Irr!V22+s_Irr!AT22)),IF(AND(s_Irr!V22&lt;&gt;".",s_Irr!AT22=".",s_Irr!BR22&lt;&gt;"."),s_dir!W22/((1/1000)*(s_Irr!V22+s_Irr!BR22)),IF(AND(s_Irr!V22=".",s_Irr!AT22&lt;&gt;".",s_Irr!BR22&lt;&gt;"."),s_dir!W22/((1/1000)*(s_Irr!AT22+s_Irr!BR22)),IF(AND(s_Irr!V22=".",s_Irr!AT22=".",s_Irr!BR22&lt;&gt;"."),s_dir!W22/((1/1000)*(s_Irr!BR22)),IF(AND(s_Irr!V22=".",s_Irr!AT22&lt;&gt;".",s_Irr!BR22="."),s_dir!W22/((1/1000)*(s_Irr!AT22)),IF(AND(s_Irr!V22&lt;&gt;".",s_Irr!AT22=".",s_Irr!BR22="."),s_dir!W22/((1/1000)*(s_Irr!V22)),IF(AND(s_Irr!V22=".",s_Irr!AT22=".",s_Irr!BR22="."),s_dir!W22*1000)))))))),".")</f>
        <v>259.27988557215792</v>
      </c>
      <c r="X22" s="48">
        <f>IFERROR(IF(AND(s_Irr!W22&lt;&gt;".",s_Irr!AU22&lt;&gt;".",s_Irr!BS22&lt;&gt;"."),s_dir!X22/((1/1000)*(s_Irr!W22+s_Irr!AU22+s_Irr!BS22)),IF(AND(s_Irr!W22&lt;&gt;".",s_Irr!AU22&lt;&gt;".",s_Irr!BS22="."),s_dir!X22/((1/1000)*(s_Irr!W22+s_Irr!AU22)),IF(AND(s_Irr!W22&lt;&gt;".",s_Irr!AU22=".",s_Irr!BS22&lt;&gt;"."),s_dir!X22/((1/1000)*(s_Irr!W22+s_Irr!BS22)),IF(AND(s_Irr!W22=".",s_Irr!AU22&lt;&gt;".",s_Irr!BS22&lt;&gt;"."),s_dir!X22/((1/1000)*(s_Irr!AU22+s_Irr!BS22)),IF(AND(s_Irr!W22=".",s_Irr!AU22=".",s_Irr!BS22&lt;&gt;"."),s_dir!X22/((1/1000)*(s_Irr!BS22)),IF(AND(s_Irr!W22=".",s_Irr!AU22&lt;&gt;".",s_Irr!BS22="."),s_dir!X22/((1/1000)*(s_Irr!AU22)),IF(AND(s_Irr!W22&lt;&gt;".",s_Irr!AU22=".",s_Irr!BS22="."),s_dir!X22/((1/1000)*(s_Irr!W22)),IF(AND(s_Irr!W22=".",s_Irr!AU22=".",s_Irr!BS22="."),s_dir!X22*1000)))))))),".")</f>
        <v>274.33975018095447</v>
      </c>
      <c r="Y22" s="48">
        <f>IFERROR(IF(AND(s_Irr!X22&lt;&gt;".",s_Irr!AV22&lt;&gt;".",s_Irr!BT22&lt;&gt;"."),s_dir!Y22/((1/1000)*(s_Irr!X22+s_Irr!AV22+s_Irr!BT22)),IF(AND(s_Irr!X22&lt;&gt;".",s_Irr!AV22&lt;&gt;".",s_Irr!BT22="."),s_dir!Y22/((1/1000)*(s_Irr!X22+s_Irr!AV22)),IF(AND(s_Irr!X22&lt;&gt;".",s_Irr!AV22=".",s_Irr!BT22&lt;&gt;"."),s_dir!Y22/((1/1000)*(s_Irr!X22+s_Irr!BT22)),IF(AND(s_Irr!X22=".",s_Irr!AV22&lt;&gt;".",s_Irr!BT22&lt;&gt;"."),s_dir!Y22/((1/1000)*(s_Irr!AV22+s_Irr!BT22)),IF(AND(s_Irr!X22=".",s_Irr!AV22=".",s_Irr!BT22&lt;&gt;"."),s_dir!Y22/((1/1000)*(s_Irr!BT22)),IF(AND(s_Irr!X22=".",s_Irr!AV22&lt;&gt;".",s_Irr!BT22="."),s_dir!Y22/((1/1000)*(s_Irr!AV22)),IF(AND(s_Irr!X22&lt;&gt;".",s_Irr!AV22=".",s_Irr!BT22="."),s_dir!Y22/((1/1000)*(s_Irr!X22)),IF(AND(s_Irr!X22=".",s_Irr!AV22=".",s_Irr!BT22="."),s_dir!Y22*1000)))))))),".")</f>
        <v>249.02713789835653</v>
      </c>
      <c r="Z22" s="48">
        <f>IFERROR(IF(AND(s_Irr!Y22&lt;&gt;".",s_Irr!AW22&lt;&gt;".",s_Irr!BU22&lt;&gt;"."),s_dir!Z22/((1/1000)*(s_Irr!Y22+s_Irr!AW22+s_Irr!BU22)),IF(AND(s_Irr!Y22&lt;&gt;".",s_Irr!AW22&lt;&gt;".",s_Irr!BU22="."),s_dir!Z22/((1/1000)*(s_Irr!Y22+s_Irr!AW22)),IF(AND(s_Irr!Y22&lt;&gt;".",s_Irr!AW22=".",s_Irr!BU22&lt;&gt;"."),s_dir!Z22/((1/1000)*(s_Irr!Y22+s_Irr!BU22)),IF(AND(s_Irr!Y22=".",s_Irr!AW22&lt;&gt;".",s_Irr!BU22&lt;&gt;"."),s_dir!Z22/((1/1000)*(s_Irr!AW22+s_Irr!BU22)),IF(AND(s_Irr!Y22=".",s_Irr!AW22=".",s_Irr!BU22&lt;&gt;"."),s_dir!Z22/((1/1000)*(s_Irr!BU22)),IF(AND(s_Irr!Y22=".",s_Irr!AW22&lt;&gt;".",s_Irr!BU22="."),s_dir!Z22/((1/1000)*(s_Irr!AW22)),IF(AND(s_Irr!Y22&lt;&gt;".",s_Irr!AW22=".",s_Irr!BU22="."),s_dir!Z22/((1/1000)*(s_Irr!Y22)),IF(AND(s_Irr!Y22=".",s_Irr!AW22=".",s_Irr!BU22="."),s_dir!Z22*1000)))))))),".")</f>
        <v>316.26928498649107</v>
      </c>
      <c r="AA22" s="48">
        <f>IFERROR(IF(AND(s_Irr!Z22&lt;&gt;".",s_Irr!AX22&lt;&gt;".",s_Irr!BV22&lt;&gt;"."),s_dir!AA22/((1/1000)*(s_Irr!Z22+s_Irr!AX22+s_Irr!BV22)),IF(AND(s_Irr!Z22&lt;&gt;".",s_Irr!AX22&lt;&gt;".",s_Irr!BV22="."),s_dir!AA22/((1/1000)*(s_Irr!Z22+s_Irr!AX22)),IF(AND(s_Irr!Z22&lt;&gt;".",s_Irr!AX22=".",s_Irr!BV22&lt;&gt;"."),s_dir!AA22/((1/1000)*(s_Irr!Z22+s_Irr!BV22)),IF(AND(s_Irr!Z22=".",s_Irr!AX22&lt;&gt;".",s_Irr!BV22&lt;&gt;"."),s_dir!AA22/((1/1000)*(s_Irr!AX22+s_Irr!BV22)),IF(AND(s_Irr!Z22=".",s_Irr!AX22=".",s_Irr!BV22&lt;&gt;"."),s_dir!AA22/((1/1000)*(s_Irr!BV22)),IF(AND(s_Irr!Z22=".",s_Irr!AX22&lt;&gt;".",s_Irr!BV22="."),s_dir!AA22/((1/1000)*(s_Irr!AX22)),IF(AND(s_Irr!Z22&lt;&gt;".",s_Irr!AX22=".",s_Irr!BV22="."),s_dir!AA22/((1/1000)*(s_Irr!Z22)),IF(AND(s_Irr!Z22=".",s_Irr!AX22=".",s_Irr!BV22="."),s_dir!AA22*1000)))))))),".")</f>
        <v>249.02713789835653</v>
      </c>
      <c r="AB22" s="62">
        <f t="shared" si="3"/>
        <v>307.25086171274592</v>
      </c>
      <c r="AC22" s="62">
        <f>IFERROR(s_C*s_IFAP_res_adj*s_CF_apple*0.001*(s_Irr!C22+s_Irr!AA22+s_Irr!AY22),".")</f>
        <v>103.48385260743784</v>
      </c>
      <c r="AD22" s="62">
        <f>IFERROR(s_C*s_IFAS_res_adj*s_CF_asparagus*0.001*(s_Irr!D22+s_Irr!AB22+s_Irr!AZ22),".")</f>
        <v>225.20046522479754</v>
      </c>
      <c r="AE22" s="62">
        <f>IFERROR(s_C*s_IFBT_res_adj*s_CF_beet*0.001*(s_Irr!E22+s_Irr!AC22+s_Irr!BA22),".")</f>
        <v>193.64430639807466</v>
      </c>
      <c r="AF22" s="62">
        <f>IFERROR(s_C*s_IFBE_res_adj*s_CF_berries*0.001*(s_Irr!F22+s_Irr!AD22+s_Irr!BB22),".")</f>
        <v>103.48385260743784</v>
      </c>
      <c r="AG22" s="62">
        <f>IFERROR(s_C*s_IFBR_res_adj*s_CF_broccoli*0.001*(s_Irr!G22+s_Irr!AE22+s_Irr!BC22),".")</f>
        <v>114.00257221634547</v>
      </c>
      <c r="AH22" s="62">
        <f>IFERROR(s_C*s_IFCB_res_adj*s_CF_cabbage*0.001*(s_Irr!H22+s_Irr!AF22+s_Irr!BD22),".")</f>
        <v>225.20046522479754</v>
      </c>
      <c r="AI22" s="62">
        <f>IFERROR(s_C*s_IFCR_res_adj*s_CF_carrot*0.001*(s_Irr!I22+s_Irr!AG22+s_Irr!BE22),".")</f>
        <v>193.64430639807466</v>
      </c>
      <c r="AJ22" s="62">
        <f>IFERROR(s_C*s_IFCI_res_adj*s_CF_citrus*0.001*(s_Irr!J22+s_Irr!AH22+s_Irr!BF22),".")</f>
        <v>103.48385260743784</v>
      </c>
      <c r="AK22" s="62">
        <f>IFERROR(s_C*s_IFCO_res_adj*s_CF_corn*0.001*(s_Irr!K22+s_Irr!AI22+s_Irr!BG22),".")</f>
        <v>92.063528460623843</v>
      </c>
      <c r="AL22" s="62">
        <f>IFERROR(s_C*s_IFCU_res_adj*s_CF_cucumber*0.001*(s_Irr!L22+s_Irr!AJ22+s_Irr!BH22),".")</f>
        <v>114.00257221634547</v>
      </c>
      <c r="AM22" s="62">
        <f>IFERROR(s_C*s_IFLE_res_adj*s_CF_lettuce*0.001*(s_Irr!M22+s_Irr!AK22+s_Irr!BI22),".")</f>
        <v>225.20046522479754</v>
      </c>
      <c r="AN22" s="62">
        <f>IFERROR(s_C*s_IFLI_res_adj*s_CF_lima_bean*0.001*(s_Irr!N22+s_Irr!AL22+s_Irr!BJ22),".")</f>
        <v>109.49454952681363</v>
      </c>
      <c r="AO22" s="62">
        <f>IFERROR(s_C*s_IFOK_res_adj*s_CF_okra*0.001*(s_Irr!O22+s_Irr!AM22+s_Irr!BK22),".")</f>
        <v>114.00257221634547</v>
      </c>
      <c r="AP22" s="62">
        <f>IFERROR(s_C*s_IFON_res_adj*s_CF_onion*0.001*(s_Irr!P22+s_Irr!AN22+s_Irr!BL22),".")</f>
        <v>114.00257221634547</v>
      </c>
      <c r="AQ22" s="62">
        <f>IFERROR(s_C*s_IFPC_res_adj*s_CF_peach*0.001*(s_Irr!Q22+s_Irr!AO22+s_Irr!BM22),".")</f>
        <v>103.48385260743784</v>
      </c>
      <c r="AR22" s="62">
        <f>IFERROR(s_C*s_IFPR_res_adj*s_CF_pear*0.001*(s_Irr!R22+s_Irr!AP22+s_Irr!BN22),".")</f>
        <v>103.48385260743784</v>
      </c>
      <c r="AS22" s="62">
        <f>IFERROR(s_C*s_IFPE_res_adj*s_CF_peas*0.001*(s_Irr!S22+s_Irr!AQ22+s_Irr!BO22),".")</f>
        <v>109.49454952681363</v>
      </c>
      <c r="AT22" s="62">
        <f>IFERROR(s_C*s_IFPT_res_adj*s_CF_potato*0.001*(s_Irr!T22+s_Irr!AR22+s_Irr!BP22),".")</f>
        <v>104.98652683728179</v>
      </c>
      <c r="AU22" s="62">
        <f>IFERROR(s_C*s_IFPU_res_adj*s_CF_pumpkin*0.001*(s_Irr!U22+s_Irr!AS22+s_Irr!BQ22),".")</f>
        <v>114.00257221634547</v>
      </c>
      <c r="AV22" s="62">
        <f>IFERROR(s_C*s_IFSN_res_adj*s_CF_snap_bean*0.001*(s_Irr!V22+s_Irr!AT22+s_Irr!BR22),".")</f>
        <v>109.49454952681363</v>
      </c>
      <c r="AW22" s="62">
        <f>IFERROR(s_C*s_IFST_res_adj*s_CF_strawberry*0.001*(s_Irr!W22+s_Irr!AU22+s_Irr!BS22),".")</f>
        <v>103.48385260743784</v>
      </c>
      <c r="AX22" s="62">
        <f>IFERROR(s_C*s_IFTO_res_adj*s_CF_tomato*0.001*(s_Irr!X22+s_Irr!AV22+s_Irr!BT22),".")</f>
        <v>114.00257221634547</v>
      </c>
      <c r="AY22" s="62">
        <f>IFERROR(s_C*s_IFRI_res_adj*s_CF_rice*0.001*(s_Irr!Y22+s_Irr!AW22+s_Irr!BU22),".")</f>
        <v>89.764436888962607</v>
      </c>
      <c r="AZ22" s="62">
        <f>IFERROR(s_C*s_IFCG_res_adj*s_CF_cereal*0.001*(s_Irr!Z22+s_Irr!AX22+s_Irr!BV22),".")</f>
        <v>114.00257221634547</v>
      </c>
      <c r="BA22" s="48">
        <f t="shared" si="0"/>
        <v>92.399201466289966</v>
      </c>
      <c r="BB22" s="48">
        <f>IFERROR(IF(AND(s_Irr!C22&lt;&gt;".",s_Irr!AA22&lt;&gt;".",s_Irr!AY22&lt;&gt;"."),s_dir!AC22/((1/1000)*(s_Irr!C22+s_Irr!AA22+s_Irr!AY22)),IF(AND(s_Irr!C22&lt;&gt;".",s_Irr!AA22&lt;&gt;".",s_Irr!AY22="."),s_dir!AC22/((1/1000)*(s_Irr!C22+s_Irr!AA22)),IF(AND(s_Irr!C22&lt;&gt;".",s_Irr!AA22=".",s_Irr!AY22&lt;&gt;"."),s_dir!AC22/((1/1000)*(s_Irr!C22+s_Irr!AY22)),IF(AND(s_Irr!C22=".",s_Irr!AA22&lt;&gt;".",s_Irr!AY22&lt;&gt;"."),s_dir!AC22/((1/1000)*(s_Irr!AA22+s_Irr!AY22)),IF(AND(s_Irr!C22=".",s_Irr!AA22=".",s_Irr!AY22&lt;&gt;"."),s_dir!AC22/((1/1000)*(s_Irr!AY22)),IF(AND(s_Irr!C22=".",s_Irr!AA22&lt;&gt;".",s_Irr!AY22="."),s_dir!AC22/((1/1000)*(s_Irr!AA22)),IF(AND(s_Irr!C22&lt;&gt;".",s_Irr!AA22=".",s_Irr!AY22="."),s_dir!AC22/((1/1000)*(s_Irr!C22)),IF(AND(s_Irr!C22=".",s_Irr!AA22=".",s_Irr!AY22="."),s_dir!AC22*1000)))))))),".")</f>
        <v>274.33975018095447</v>
      </c>
      <c r="BC22" s="48">
        <f>IFERROR(IF(AND(s_Irr!D22&lt;&gt;".",s_Irr!AB22&lt;&gt;".",s_Irr!AZ22&lt;&gt;"."),s_dir!AD22/((1/1000)*(s_Irr!D22+s_Irr!AB22+s_Irr!AZ22)),IF(AND(s_Irr!D22&lt;&gt;".",s_Irr!AB22&lt;&gt;".",s_Irr!AZ22="."),s_dir!AD22/((1/1000)*(s_Irr!D22+s_Irr!AB22)),IF(AND(s_Irr!D22&lt;&gt;".",s_Irr!AB22=".",s_Irr!AZ22&lt;&gt;"."),s_dir!AD22/((1/1000)*(s_Irr!D22+s_Irr!AZ22)),IF(AND(s_Irr!D22=".",s_Irr!AB22&lt;&gt;".",s_Irr!AZ22&lt;&gt;"."),s_dir!AD22/((1/1000)*(s_Irr!AB22+s_Irr!AZ22)),IF(AND(s_Irr!D22=".",s_Irr!AB22=".",s_Irr!AZ22&lt;&gt;"."),s_dir!AD22/((1/1000)*(s_Irr!AZ22)),IF(AND(s_Irr!D22=".",s_Irr!AB22&lt;&gt;".",s_Irr!AZ22="."),s_dir!AD22/((1/1000)*(s_Irr!AB22)),IF(AND(s_Irr!D22&lt;&gt;".",s_Irr!AB22=".",s_Irr!AZ22="."),s_dir!AD22/((1/1000)*(s_Irr!D22)),IF(AND(s_Irr!D22=".",s_Irr!AB22=".",s_Irr!AZ22="."),s_dir!AD22*1000)))))))),".")</f>
        <v>126.06427896917651</v>
      </c>
      <c r="BD22" s="48">
        <f>IFERROR(IF(AND(s_Irr!E22&lt;&gt;".",s_Irr!AC22&lt;&gt;".",s_Irr!BA22&lt;&gt;"."),s_dir!AE22/((1/1000)*(s_Irr!E22+s_Irr!AC22+s_Irr!BA22)),IF(AND(s_Irr!E22&lt;&gt;".",s_Irr!AC22&lt;&gt;".",s_Irr!BA22="."),s_dir!AE22/((1/1000)*(s_Irr!E22+s_Irr!AC22)),IF(AND(s_Irr!E22&lt;&gt;".",s_Irr!AC22=".",s_Irr!BA22&lt;&gt;"."),s_dir!AE22/((1/1000)*(s_Irr!E22+s_Irr!BA22)),IF(AND(s_Irr!E22=".",s_Irr!AC22&lt;&gt;".",s_Irr!BA22&lt;&gt;"."),s_dir!AE22/((1/1000)*(s_Irr!AC22+s_Irr!BA22)),IF(AND(s_Irr!E22=".",s_Irr!AC22=".",s_Irr!BA22&lt;&gt;"."),s_dir!AE22/((1/1000)*(s_Irr!BA22)),IF(AND(s_Irr!E22=".",s_Irr!AC22&lt;&gt;".",s_Irr!BA22="."),s_dir!AE22/((1/1000)*(s_Irr!AC22)),IF(AND(s_Irr!E22&lt;&gt;".",s_Irr!AC22=".",s_Irr!BA22="."),s_dir!AE22/((1/1000)*(s_Irr!E22)),IF(AND(s_Irr!E22=".",s_Irr!AC22=".",s_Irr!BA22="."),s_dir!AE22*1000)))))))),".")</f>
        <v>146.60763747799754</v>
      </c>
      <c r="BE22" s="48">
        <f>IFERROR(IF(AND(s_Irr!F22&lt;&gt;".",s_Irr!AD22&lt;&gt;".",s_Irr!BB22&lt;&gt;"."),s_dir!AF22/((1/1000)*(s_Irr!F22+s_Irr!AD22+s_Irr!BB22)),IF(AND(s_Irr!F22&lt;&gt;".",s_Irr!AD22&lt;&gt;".",s_Irr!BB22="."),s_dir!AF22/((1/1000)*(s_Irr!F22+s_Irr!AD22)),IF(AND(s_Irr!F22&lt;&gt;".",s_Irr!AD22=".",s_Irr!BB22&lt;&gt;"."),s_dir!AF22/((1/1000)*(s_Irr!F22+s_Irr!BB22)),IF(AND(s_Irr!F22=".",s_Irr!AD22&lt;&gt;".",s_Irr!BB22&lt;&gt;"."),s_dir!AF22/((1/1000)*(s_Irr!AD22+s_Irr!BB22)),IF(AND(s_Irr!F22=".",s_Irr!AD22=".",s_Irr!BB22&lt;&gt;"."),s_dir!AF22/((1/1000)*(s_Irr!BB22)),IF(AND(s_Irr!F22=".",s_Irr!AD22&lt;&gt;".",s_Irr!BB22="."),s_dir!AF22/((1/1000)*(s_Irr!AD22)),IF(AND(s_Irr!F22&lt;&gt;".",s_Irr!AD22=".",s_Irr!BB22="."),s_dir!AF22/((1/1000)*(s_Irr!F22)),IF(AND(s_Irr!F22=".",s_Irr!AD22=".",s_Irr!BB22="."),s_dir!AF22*1000)))))))),".")</f>
        <v>274.33975018095447</v>
      </c>
      <c r="BF22" s="48">
        <f>IFERROR(IF(AND(s_Irr!G22&lt;&gt;".",s_Irr!AE22&lt;&gt;".",s_Irr!BC22&lt;&gt;"."),s_dir!AG22/((1/1000)*(s_Irr!G22+s_Irr!AE22+s_Irr!BC22)),IF(AND(s_Irr!G22&lt;&gt;".",s_Irr!AE22&lt;&gt;".",s_Irr!BC22="."),s_dir!AG22/((1/1000)*(s_Irr!G22+s_Irr!AE22)),IF(AND(s_Irr!G22&lt;&gt;".",s_Irr!AE22=".",s_Irr!BC22&lt;&gt;"."),s_dir!AG22/((1/1000)*(s_Irr!G22+s_Irr!BC22)),IF(AND(s_Irr!G22=".",s_Irr!AE22&lt;&gt;".",s_Irr!BC22&lt;&gt;"."),s_dir!AG22/((1/1000)*(s_Irr!AE22+s_Irr!BC22)),IF(AND(s_Irr!G22=".",s_Irr!AE22=".",s_Irr!BC22&lt;&gt;"."),s_dir!AG22/((1/1000)*(s_Irr!BC22)),IF(AND(s_Irr!G22=".",s_Irr!AE22&lt;&gt;".",s_Irr!BC22="."),s_dir!AG22/((1/1000)*(s_Irr!AE22)),IF(AND(s_Irr!G22&lt;&gt;".",s_Irr!AE22=".",s_Irr!BC22="."),s_dir!AG22/((1/1000)*(s_Irr!G22)),IF(AND(s_Irr!G22=".",s_Irr!AE22=".",s_Irr!BC22="."),s_dir!AG22*1000)))))))),".")</f>
        <v>249.02713789835653</v>
      </c>
      <c r="BG22" s="48">
        <f>IFERROR(IF(AND(s_Irr!H22&lt;&gt;".",s_Irr!AF22&lt;&gt;".",s_Irr!BD22&lt;&gt;"."),s_dir!AH22/((1/1000)*(s_Irr!H22+s_Irr!AF22+s_Irr!BD22)),IF(AND(s_Irr!H22&lt;&gt;".",s_Irr!AF22&lt;&gt;".",s_Irr!BD22="."),s_dir!AH22/((1/1000)*(s_Irr!H22+s_Irr!AF22)),IF(AND(s_Irr!H22&lt;&gt;".",s_Irr!AF22=".",s_Irr!BD22&lt;&gt;"."),s_dir!AH22/((1/1000)*(s_Irr!H22+s_Irr!BD22)),IF(AND(s_Irr!H22=".",s_Irr!AF22&lt;&gt;".",s_Irr!BD22&lt;&gt;"."),s_dir!AH22/((1/1000)*(s_Irr!AF22+s_Irr!BD22)),IF(AND(s_Irr!H22=".",s_Irr!AF22=".",s_Irr!BD22&lt;&gt;"."),s_dir!AH22/((1/1000)*(s_Irr!BD22)),IF(AND(s_Irr!H22=".",s_Irr!AF22&lt;&gt;".",s_Irr!BD22="."),s_dir!AH22/((1/1000)*(s_Irr!AF22)),IF(AND(s_Irr!H22&lt;&gt;".",s_Irr!AF22=".",s_Irr!BD22="."),s_dir!AH22/((1/1000)*(s_Irr!H22)),IF(AND(s_Irr!H22=".",s_Irr!AF22=".",s_Irr!BD22="."),s_dir!AH22*1000)))))))),".")</f>
        <v>126.06427896917651</v>
      </c>
      <c r="BH22" s="48">
        <f>IFERROR(IF(AND(s_Irr!I22&lt;&gt;".",s_Irr!AG22&lt;&gt;".",s_Irr!BE22&lt;&gt;"."),s_dir!AI22/((1/1000)*(s_Irr!I22+s_Irr!AG22+s_Irr!BE22)),IF(AND(s_Irr!I22&lt;&gt;".",s_Irr!AG22&lt;&gt;".",s_Irr!BE22="."),s_dir!AI22/((1/1000)*(s_Irr!I22+s_Irr!AG22)),IF(AND(s_Irr!I22&lt;&gt;".",s_Irr!AG22=".",s_Irr!BE22&lt;&gt;"."),s_dir!AI22/((1/1000)*(s_Irr!I22+s_Irr!BE22)),IF(AND(s_Irr!I22=".",s_Irr!AG22&lt;&gt;".",s_Irr!BE22&lt;&gt;"."),s_dir!AI22/((1/1000)*(s_Irr!AG22+s_Irr!BE22)),IF(AND(s_Irr!I22=".",s_Irr!AG22=".",s_Irr!BE22&lt;&gt;"."),s_dir!AI22/((1/1000)*(s_Irr!BE22)),IF(AND(s_Irr!I22=".",s_Irr!AG22&lt;&gt;".",s_Irr!BE22="."),s_dir!AI22/((1/1000)*(s_Irr!AG22)),IF(AND(s_Irr!I22&lt;&gt;".",s_Irr!AG22=".",s_Irr!BE22="."),s_dir!AI22/((1/1000)*(s_Irr!I22)),IF(AND(s_Irr!I22=".",s_Irr!AG22=".",s_Irr!BE22="."),s_dir!AI22*1000)))))))),".")</f>
        <v>146.60763747799754</v>
      </c>
      <c r="BI22" s="48">
        <f>IFERROR(IF(AND(s_Irr!J22&lt;&gt;".",s_Irr!AH22&lt;&gt;".",s_Irr!BF22&lt;&gt;"."),s_dir!AJ22/((1/1000)*(s_Irr!J22+s_Irr!AH22+s_Irr!BF22)),IF(AND(s_Irr!J22&lt;&gt;".",s_Irr!AH22&lt;&gt;".",s_Irr!BF22="."),s_dir!AJ22/((1/1000)*(s_Irr!J22+s_Irr!AH22)),IF(AND(s_Irr!J22&lt;&gt;".",s_Irr!AH22=".",s_Irr!BF22&lt;&gt;"."),s_dir!AJ22/((1/1000)*(s_Irr!J22+s_Irr!BF22)),IF(AND(s_Irr!J22=".",s_Irr!AH22&lt;&gt;".",s_Irr!BF22&lt;&gt;"."),s_dir!AJ22/((1/1000)*(s_Irr!AH22+s_Irr!BF22)),IF(AND(s_Irr!J22=".",s_Irr!AH22=".",s_Irr!BF22&lt;&gt;"."),s_dir!AJ22/((1/1000)*(s_Irr!BF22)),IF(AND(s_Irr!J22=".",s_Irr!AH22&lt;&gt;".",s_Irr!BF22="."),s_dir!AJ22/((1/1000)*(s_Irr!AH22)),IF(AND(s_Irr!J22&lt;&gt;".",s_Irr!AH22=".",s_Irr!BF22="."),s_dir!AJ22/((1/1000)*(s_Irr!J22)),IF(AND(s_Irr!J22=".",s_Irr!AH22=".",s_Irr!BF22="."),s_dir!AJ22*1000)))))))),".")</f>
        <v>274.33975018095447</v>
      </c>
      <c r="BJ22" s="48">
        <f>IFERROR(IF(AND(s_Irr!K22&lt;&gt;".",s_Irr!AI22&lt;&gt;".",s_Irr!BG22&lt;&gt;"."),s_dir!AK22/((1/1000)*(s_Irr!K22+s_Irr!AI22+s_Irr!BG22)),IF(AND(s_Irr!K22&lt;&gt;".",s_Irr!AI22&lt;&gt;".",s_Irr!BG22="."),s_dir!AK22/((1/1000)*(s_Irr!K22+s_Irr!AI22)),IF(AND(s_Irr!K22&lt;&gt;".",s_Irr!AI22=".",s_Irr!BG22&lt;&gt;"."),s_dir!AK22/((1/1000)*(s_Irr!K22+s_Irr!BG22)),IF(AND(s_Irr!K22=".",s_Irr!AI22&lt;&gt;".",s_Irr!BG22&lt;&gt;"."),s_dir!AK22/((1/1000)*(s_Irr!AI22+s_Irr!BG22)),IF(AND(s_Irr!K22=".",s_Irr!AI22=".",s_Irr!BG22&lt;&gt;"."),s_dir!AK22/((1/1000)*(s_Irr!BG22)),IF(AND(s_Irr!K22=".",s_Irr!AI22&lt;&gt;".",s_Irr!BG22="."),s_dir!AK22/((1/1000)*(s_Irr!AI22)),IF(AND(s_Irr!K22&lt;&gt;".",s_Irr!AI22=".",s_Irr!BG22="."),s_dir!AK22/((1/1000)*(s_Irr!K22)),IF(AND(s_Irr!K22=".",s_Irr!AI22=".",s_Irr!BG22="."),s_dir!AK22*1000)))))))),".")</f>
        <v>308.37112966216239</v>
      </c>
      <c r="BK22" s="48">
        <f>IFERROR(IF(AND(s_Irr!L22&lt;&gt;".",s_Irr!AJ22&lt;&gt;".",s_Irr!BH22&lt;&gt;"."),s_dir!AL22/((1/1000)*(s_Irr!L22+s_Irr!AJ22+s_Irr!BH22)),IF(AND(s_Irr!L22&lt;&gt;".",s_Irr!AJ22&lt;&gt;".",s_Irr!BH22="."),s_dir!AL22/((1/1000)*(s_Irr!L22+s_Irr!AJ22)),IF(AND(s_Irr!L22&lt;&gt;".",s_Irr!AJ22=".",s_Irr!BH22&lt;&gt;"."),s_dir!AL22/((1/1000)*(s_Irr!L22+s_Irr!BH22)),IF(AND(s_Irr!L22=".",s_Irr!AJ22&lt;&gt;".",s_Irr!BH22&lt;&gt;"."),s_dir!AL22/((1/1000)*(s_Irr!AJ22+s_Irr!BH22)),IF(AND(s_Irr!L22=".",s_Irr!AJ22=".",s_Irr!BH22&lt;&gt;"."),s_dir!AL22/((1/1000)*(s_Irr!BH22)),IF(AND(s_Irr!L22=".",s_Irr!AJ22&lt;&gt;".",s_Irr!BH22="."),s_dir!AL22/((1/1000)*(s_Irr!AJ22)),IF(AND(s_Irr!L22&lt;&gt;".",s_Irr!AJ22=".",s_Irr!BH22="."),s_dir!AL22/((1/1000)*(s_Irr!L22)),IF(AND(s_Irr!L22=".",s_Irr!AJ22=".",s_Irr!BH22="."),s_dir!AL22*1000)))))))),".")</f>
        <v>249.02713789835653</v>
      </c>
      <c r="BL22" s="48">
        <f>IFERROR(IF(AND(s_Irr!M22&lt;&gt;".",s_Irr!AK22&lt;&gt;".",s_Irr!BI22&lt;&gt;"."),s_dir!AM22/((1/1000)*(s_Irr!M22+s_Irr!AK22+s_Irr!BI22)),IF(AND(s_Irr!M22&lt;&gt;".",s_Irr!AK22&lt;&gt;".",s_Irr!BI22="."),s_dir!AM22/((1/1000)*(s_Irr!M22+s_Irr!AK22)),IF(AND(s_Irr!M22&lt;&gt;".",s_Irr!AK22=".",s_Irr!BI22&lt;&gt;"."),s_dir!AM22/((1/1000)*(s_Irr!M22+s_Irr!BI22)),IF(AND(s_Irr!M22=".",s_Irr!AK22&lt;&gt;".",s_Irr!BI22&lt;&gt;"."),s_dir!AM22/((1/1000)*(s_Irr!AK22+s_Irr!BI22)),IF(AND(s_Irr!M22=".",s_Irr!AK22=".",s_Irr!BI22&lt;&gt;"."),s_dir!AM22/((1/1000)*(s_Irr!BI22)),IF(AND(s_Irr!M22=".",s_Irr!AK22&lt;&gt;".",s_Irr!BI22="."),s_dir!AM22/((1/1000)*(s_Irr!AK22)),IF(AND(s_Irr!M22&lt;&gt;".",s_Irr!AK22=".",s_Irr!BI22="."),s_dir!AM22/((1/1000)*(s_Irr!M22)),IF(AND(s_Irr!M22=".",s_Irr!AK22=".",s_Irr!BI22="."),s_dir!AM22*1000)))))))),".")</f>
        <v>126.06427896917651</v>
      </c>
      <c r="BM22" s="48">
        <f>IFERROR(IF(AND(s_Irr!N22&lt;&gt;".",s_Irr!AL22&lt;&gt;".",s_Irr!BJ22&lt;&gt;"."),s_dir!AN22/((1/1000)*(s_Irr!N22+s_Irr!AL22+s_Irr!BJ22)),IF(AND(s_Irr!N22&lt;&gt;".",s_Irr!AL22&lt;&gt;".",s_Irr!BJ22="."),s_dir!AN22/((1/1000)*(s_Irr!N22+s_Irr!AL22)),IF(AND(s_Irr!N22&lt;&gt;".",s_Irr!AL22=".",s_Irr!BJ22&lt;&gt;"."),s_dir!AN22/((1/1000)*(s_Irr!N22+s_Irr!BJ22)),IF(AND(s_Irr!N22=".",s_Irr!AL22&lt;&gt;".",s_Irr!BJ22&lt;&gt;"."),s_dir!AN22/((1/1000)*(s_Irr!AL22+s_Irr!BJ22)),IF(AND(s_Irr!N22=".",s_Irr!AL22=".",s_Irr!BJ22&lt;&gt;"."),s_dir!AN22/((1/1000)*(s_Irr!BJ22)),IF(AND(s_Irr!N22=".",s_Irr!AL22&lt;&gt;".",s_Irr!BJ22="."),s_dir!AN22/((1/1000)*(s_Irr!AL22)),IF(AND(s_Irr!N22&lt;&gt;".",s_Irr!AL22=".",s_Irr!BJ22="."),s_dir!AN22/((1/1000)*(s_Irr!N22)),IF(AND(s_Irr!N22=".",s_Irr!AL22=".",s_Irr!BJ22="."),s_dir!AN22*1000)))))))),".")</f>
        <v>259.27988557215792</v>
      </c>
      <c r="BN22" s="48">
        <f>IFERROR(IF(AND(s_Irr!O22&lt;&gt;".",s_Irr!AM22&lt;&gt;".",s_Irr!BK22&lt;&gt;"."),s_dir!AO22/((1/1000)*(s_Irr!O22+s_Irr!AM22+s_Irr!BK22)),IF(AND(s_Irr!O22&lt;&gt;".",s_Irr!AM22&lt;&gt;".",s_Irr!BK22="."),s_dir!AO22/((1/1000)*(s_Irr!O22+s_Irr!AM22)),IF(AND(s_Irr!O22&lt;&gt;".",s_Irr!AM22=".",s_Irr!BK22&lt;&gt;"."),s_dir!AO22/((1/1000)*(s_Irr!O22+s_Irr!BK22)),IF(AND(s_Irr!O22=".",s_Irr!AM22&lt;&gt;".",s_Irr!BK22&lt;&gt;"."),s_dir!AO22/((1/1000)*(s_Irr!AM22+s_Irr!BK22)),IF(AND(s_Irr!O22=".",s_Irr!AM22=".",s_Irr!BK22&lt;&gt;"."),s_dir!AO22/((1/1000)*(s_Irr!BK22)),IF(AND(s_Irr!O22=".",s_Irr!AM22&lt;&gt;".",s_Irr!BK22="."),s_dir!AO22/((1/1000)*(s_Irr!AM22)),IF(AND(s_Irr!O22&lt;&gt;".",s_Irr!AM22=".",s_Irr!BK22="."),s_dir!AO22/((1/1000)*(s_Irr!O22)),IF(AND(s_Irr!O22=".",s_Irr!AM22=".",s_Irr!BK22="."),s_dir!AO22*1000)))))))),".")</f>
        <v>249.02713789835653</v>
      </c>
      <c r="BO22" s="48">
        <f>IFERROR(IF(AND(s_Irr!P22&lt;&gt;".",s_Irr!AN22&lt;&gt;".",s_Irr!BL22&lt;&gt;"."),s_dir!AP22/((1/1000)*(s_Irr!P22+s_Irr!AN22+s_Irr!BL22)),IF(AND(s_Irr!P22&lt;&gt;".",s_Irr!AN22&lt;&gt;".",s_Irr!BL22="."),s_dir!AP22/((1/1000)*(s_Irr!P22+s_Irr!AN22)),IF(AND(s_Irr!P22&lt;&gt;".",s_Irr!AN22=".",s_Irr!BL22&lt;&gt;"."),s_dir!AP22/((1/1000)*(s_Irr!P22+s_Irr!BL22)),IF(AND(s_Irr!P22=".",s_Irr!AN22&lt;&gt;".",s_Irr!BL22&lt;&gt;"."),s_dir!AP22/((1/1000)*(s_Irr!AN22+s_Irr!BL22)),IF(AND(s_Irr!P22=".",s_Irr!AN22=".",s_Irr!BL22&lt;&gt;"."),s_dir!AP22/((1/1000)*(s_Irr!BL22)),IF(AND(s_Irr!P22=".",s_Irr!AN22&lt;&gt;".",s_Irr!BL22="."),s_dir!AP22/((1/1000)*(s_Irr!AN22)),IF(AND(s_Irr!P22&lt;&gt;".",s_Irr!AN22=".",s_Irr!BL22="."),s_dir!AP22/((1/1000)*(s_Irr!P22)),IF(AND(s_Irr!P22=".",s_Irr!AN22=".",s_Irr!BL22="."),s_dir!AP22*1000)))))))),".")</f>
        <v>249.02713789835653</v>
      </c>
      <c r="BP22" s="48">
        <f>IFERROR(IF(AND(s_Irr!Q22&lt;&gt;".",s_Irr!AO22&lt;&gt;".",s_Irr!BM22&lt;&gt;"."),s_dir!AQ22/((1/1000)*(s_Irr!Q22+s_Irr!AO22+s_Irr!BM22)),IF(AND(s_Irr!Q22&lt;&gt;".",s_Irr!AO22&lt;&gt;".",s_Irr!BM22="."),s_dir!AQ22/((1/1000)*(s_Irr!Q22+s_Irr!AO22)),IF(AND(s_Irr!Q22&lt;&gt;".",s_Irr!AO22=".",s_Irr!BM22&lt;&gt;"."),s_dir!AQ22/((1/1000)*(s_Irr!Q22+s_Irr!BM22)),IF(AND(s_Irr!Q22=".",s_Irr!AO22&lt;&gt;".",s_Irr!BM22&lt;&gt;"."),s_dir!AQ22/((1/1000)*(s_Irr!AO22+s_Irr!BM22)),IF(AND(s_Irr!Q22=".",s_Irr!AO22=".",s_Irr!BM22&lt;&gt;"."),s_dir!AQ22/((1/1000)*(s_Irr!BM22)),IF(AND(s_Irr!Q22=".",s_Irr!AO22&lt;&gt;".",s_Irr!BM22="."),s_dir!AQ22/((1/1000)*(s_Irr!AO22)),IF(AND(s_Irr!Q22&lt;&gt;".",s_Irr!AO22=".",s_Irr!BM22="."),s_dir!AQ22/((1/1000)*(s_Irr!Q22)),IF(AND(s_Irr!Q22=".",s_Irr!AO22=".",s_Irr!BM22="."),s_dir!AQ22*1000)))))))),".")</f>
        <v>274.33975018095447</v>
      </c>
      <c r="BQ22" s="48">
        <f>IFERROR(IF(AND(s_Irr!R22&lt;&gt;".",s_Irr!AP22&lt;&gt;".",s_Irr!BN22&lt;&gt;"."),s_dir!AR22/((1/1000)*(s_Irr!R22+s_Irr!AP22+s_Irr!BN22)),IF(AND(s_Irr!R22&lt;&gt;".",s_Irr!AP22&lt;&gt;".",s_Irr!BN22="."),s_dir!AR22/((1/1000)*(s_Irr!R22+s_Irr!AP22)),IF(AND(s_Irr!R22&lt;&gt;".",s_Irr!AP22=".",s_Irr!BN22&lt;&gt;"."),s_dir!AR22/((1/1000)*(s_Irr!R22+s_Irr!BN22)),IF(AND(s_Irr!R22=".",s_Irr!AP22&lt;&gt;".",s_Irr!BN22&lt;&gt;"."),s_dir!AR22/((1/1000)*(s_Irr!AP22+s_Irr!BN22)),IF(AND(s_Irr!R22=".",s_Irr!AP22=".",s_Irr!BN22&lt;&gt;"."),s_dir!AR22/((1/1000)*(s_Irr!BN22)),IF(AND(s_Irr!R22=".",s_Irr!AP22&lt;&gt;".",s_Irr!BN22="."),s_dir!AR22/((1/1000)*(s_Irr!AP22)),IF(AND(s_Irr!R22&lt;&gt;".",s_Irr!AP22=".",s_Irr!BN22="."),s_dir!AR22/((1/1000)*(s_Irr!R22)),IF(AND(s_Irr!R22=".",s_Irr!AP22=".",s_Irr!BN22="."),s_dir!AR22*1000)))))))),".")</f>
        <v>274.33975018095447</v>
      </c>
      <c r="BR22" s="48">
        <f>IFERROR(IF(AND(s_Irr!S22&lt;&gt;".",s_Irr!AQ22&lt;&gt;".",s_Irr!BO22&lt;&gt;"."),s_dir!AS22/((1/1000)*(s_Irr!S22+s_Irr!AQ22+s_Irr!BO22)),IF(AND(s_Irr!S22&lt;&gt;".",s_Irr!AQ22&lt;&gt;".",s_Irr!BO22="."),s_dir!AS22/((1/1000)*(s_Irr!S22+s_Irr!AQ22)),IF(AND(s_Irr!S22&lt;&gt;".",s_Irr!AQ22=".",s_Irr!BO22&lt;&gt;"."),s_dir!AS22/((1/1000)*(s_Irr!S22+s_Irr!BO22)),IF(AND(s_Irr!S22=".",s_Irr!AQ22&lt;&gt;".",s_Irr!BO22&lt;&gt;"."),s_dir!AS22/((1/1000)*(s_Irr!AQ22+s_Irr!BO22)),IF(AND(s_Irr!S22=".",s_Irr!AQ22=".",s_Irr!BO22&lt;&gt;"."),s_dir!AS22/((1/1000)*(s_Irr!BO22)),IF(AND(s_Irr!S22=".",s_Irr!AQ22&lt;&gt;".",s_Irr!BO22="."),s_dir!AS22/((1/1000)*(s_Irr!AQ22)),IF(AND(s_Irr!S22&lt;&gt;".",s_Irr!AQ22=".",s_Irr!BO22="."),s_dir!AS22/((1/1000)*(s_Irr!S22)),IF(AND(s_Irr!S22=".",s_Irr!AQ22=".",s_Irr!BO22="."),s_dir!AS22*1000)))))))),".")</f>
        <v>259.27988557215792</v>
      </c>
      <c r="BS22" s="48">
        <f>IFERROR(IF(AND(s_Irr!T22&lt;&gt;".",s_Irr!AR22&lt;&gt;".",s_Irr!BP22&lt;&gt;"."),s_dir!AT22/((1/1000)*(s_Irr!T22+s_Irr!AR22+s_Irr!BP22)),IF(AND(s_Irr!T22&lt;&gt;".",s_Irr!AR22&lt;&gt;".",s_Irr!BP22="."),s_dir!AT22/((1/1000)*(s_Irr!T22+s_Irr!AR22)),IF(AND(s_Irr!T22&lt;&gt;".",s_Irr!AR22=".",s_Irr!BP22&lt;&gt;"."),s_dir!AT22/((1/1000)*(s_Irr!T22+s_Irr!BP22)),IF(AND(s_Irr!T22=".",s_Irr!AR22&lt;&gt;".",s_Irr!BP22&lt;&gt;"."),s_dir!AT22/((1/1000)*(s_Irr!AR22+s_Irr!BP22)),IF(AND(s_Irr!T22=".",s_Irr!AR22=".",s_Irr!BP22&lt;&gt;"."),s_dir!AT22/((1/1000)*(s_Irr!BP22)),IF(AND(s_Irr!T22=".",s_Irr!AR22&lt;&gt;".",s_Irr!BP22="."),s_dir!AT22/((1/1000)*(s_Irr!AR22)),IF(AND(s_Irr!T22&lt;&gt;".",s_Irr!AR22=".",s_Irr!BP22="."),s_dir!AT22/((1/1000)*(s_Irr!T22)),IF(AND(s_Irr!T22=".",s_Irr!AR22=".",s_Irr!BP22="."),s_dir!AT22*1000)))))))),".")</f>
        <v>270.41311992431514</v>
      </c>
      <c r="BT22" s="48">
        <f>IFERROR(IF(AND(s_Irr!U22&lt;&gt;".",s_Irr!AS22&lt;&gt;".",s_Irr!BQ22&lt;&gt;"."),s_dir!AU22/((1/1000)*(s_Irr!U22+s_Irr!AS22+s_Irr!BQ22)),IF(AND(s_Irr!U22&lt;&gt;".",s_Irr!AS22&lt;&gt;".",s_Irr!BQ22="."),s_dir!AU22/((1/1000)*(s_Irr!U22+s_Irr!AS22)),IF(AND(s_Irr!U22&lt;&gt;".",s_Irr!AS22=".",s_Irr!BQ22&lt;&gt;"."),s_dir!AU22/((1/1000)*(s_Irr!U22+s_Irr!BQ22)),IF(AND(s_Irr!U22=".",s_Irr!AS22&lt;&gt;".",s_Irr!BQ22&lt;&gt;"."),s_dir!AU22/((1/1000)*(s_Irr!AS22+s_Irr!BQ22)),IF(AND(s_Irr!U22=".",s_Irr!AS22=".",s_Irr!BQ22&lt;&gt;"."),s_dir!AU22/((1/1000)*(s_Irr!BQ22)),IF(AND(s_Irr!U22=".",s_Irr!AS22&lt;&gt;".",s_Irr!BQ22="."),s_dir!AU22/((1/1000)*(s_Irr!AS22)),IF(AND(s_Irr!U22&lt;&gt;".",s_Irr!AS22=".",s_Irr!BQ22="."),s_dir!AU22/((1/1000)*(s_Irr!U22)),IF(AND(s_Irr!U22=".",s_Irr!AS22=".",s_Irr!BQ22="."),s_dir!AU22*1000)))))))),".")</f>
        <v>249.02713789835653</v>
      </c>
      <c r="BU22" s="48">
        <f>IFERROR(IF(AND(s_Irr!V22&lt;&gt;".",s_Irr!AT22&lt;&gt;".",s_Irr!BR22&lt;&gt;"."),s_dir!AV22/((1/1000)*(s_Irr!V22+s_Irr!AT22+s_Irr!BR22)),IF(AND(s_Irr!V22&lt;&gt;".",s_Irr!AT22&lt;&gt;".",s_Irr!BR22="."),s_dir!AV22/((1/1000)*(s_Irr!V22+s_Irr!AT22)),IF(AND(s_Irr!V22&lt;&gt;".",s_Irr!AT22=".",s_Irr!BR22&lt;&gt;"."),s_dir!AV22/((1/1000)*(s_Irr!V22+s_Irr!BR22)),IF(AND(s_Irr!V22=".",s_Irr!AT22&lt;&gt;".",s_Irr!BR22&lt;&gt;"."),s_dir!AV22/((1/1000)*(s_Irr!AT22+s_Irr!BR22)),IF(AND(s_Irr!V22=".",s_Irr!AT22=".",s_Irr!BR22&lt;&gt;"."),s_dir!AV22/((1/1000)*(s_Irr!BR22)),IF(AND(s_Irr!V22=".",s_Irr!AT22&lt;&gt;".",s_Irr!BR22="."),s_dir!AV22/((1/1000)*(s_Irr!AT22)),IF(AND(s_Irr!V22&lt;&gt;".",s_Irr!AT22=".",s_Irr!BR22="."),s_dir!AV22/((1/1000)*(s_Irr!V22)),IF(AND(s_Irr!V22=".",s_Irr!AT22=".",s_Irr!BR22="."),s_dir!AV22*1000)))))))),".")</f>
        <v>259.27988557215792</v>
      </c>
      <c r="BV22" s="48">
        <f>IFERROR(IF(AND(s_Irr!W22&lt;&gt;".",s_Irr!AU22&lt;&gt;".",s_Irr!BS22&lt;&gt;"."),s_dir!AW22/((1/1000)*(s_Irr!W22+s_Irr!AU22+s_Irr!BS22)),IF(AND(s_Irr!W22&lt;&gt;".",s_Irr!AU22&lt;&gt;".",s_Irr!BS22="."),s_dir!AW22/((1/1000)*(s_Irr!W22+s_Irr!AU22)),IF(AND(s_Irr!W22&lt;&gt;".",s_Irr!AU22=".",s_Irr!BS22&lt;&gt;"."),s_dir!AW22/((1/1000)*(s_Irr!W22+s_Irr!BS22)),IF(AND(s_Irr!W22=".",s_Irr!AU22&lt;&gt;".",s_Irr!BS22&lt;&gt;"."),s_dir!AW22/((1/1000)*(s_Irr!AU22+s_Irr!BS22)),IF(AND(s_Irr!W22=".",s_Irr!AU22=".",s_Irr!BS22&lt;&gt;"."),s_dir!AW22/((1/1000)*(s_Irr!BS22)),IF(AND(s_Irr!W22=".",s_Irr!AU22&lt;&gt;".",s_Irr!BS22="."),s_dir!AW22/((1/1000)*(s_Irr!AU22)),IF(AND(s_Irr!W22&lt;&gt;".",s_Irr!AU22=".",s_Irr!BS22="."),s_dir!AW22/((1/1000)*(s_Irr!W22)),IF(AND(s_Irr!W22=".",s_Irr!AU22=".",s_Irr!BS22="."),s_dir!AW22*1000)))))))),".")</f>
        <v>274.33975018095447</v>
      </c>
      <c r="BW22" s="48">
        <f>IFERROR(IF(AND(s_Irr!X22&lt;&gt;".",s_Irr!AV22&lt;&gt;".",s_Irr!BT22&lt;&gt;"."),s_dir!AX22/((1/1000)*(s_Irr!X22+s_Irr!AV22+s_Irr!BT22)),IF(AND(s_Irr!X22&lt;&gt;".",s_Irr!AV22&lt;&gt;".",s_Irr!BT22="."),s_dir!AX22/((1/1000)*(s_Irr!X22+s_Irr!AV22)),IF(AND(s_Irr!X22&lt;&gt;".",s_Irr!AV22=".",s_Irr!BT22&lt;&gt;"."),s_dir!AX22/((1/1000)*(s_Irr!X22+s_Irr!BT22)),IF(AND(s_Irr!X22=".",s_Irr!AV22&lt;&gt;".",s_Irr!BT22&lt;&gt;"."),s_dir!AX22/((1/1000)*(s_Irr!AV22+s_Irr!BT22)),IF(AND(s_Irr!X22=".",s_Irr!AV22=".",s_Irr!BT22&lt;&gt;"."),s_dir!AX22/((1/1000)*(s_Irr!BT22)),IF(AND(s_Irr!X22=".",s_Irr!AV22&lt;&gt;".",s_Irr!BT22="."),s_dir!AX22/((1/1000)*(s_Irr!AV22)),IF(AND(s_Irr!X22&lt;&gt;".",s_Irr!AV22=".",s_Irr!BT22="."),s_dir!AX22/((1/1000)*(s_Irr!X22)),IF(AND(s_Irr!X22=".",s_Irr!AV22=".",s_Irr!BT22="."),s_dir!AX22*1000)))))))),".")</f>
        <v>249.02713789835653</v>
      </c>
      <c r="BX22" s="48">
        <f>IFERROR(IF(AND(s_Irr!Y22&lt;&gt;".",s_Irr!AW22&lt;&gt;".",s_Irr!BU22&lt;&gt;"."),s_dir!AY22/((1/1000)*(s_Irr!Y22+s_Irr!AW22+s_Irr!BU22)),IF(AND(s_Irr!Y22&lt;&gt;".",s_Irr!AW22&lt;&gt;".",s_Irr!BU22="."),s_dir!AY22/((1/1000)*(s_Irr!Y22+s_Irr!AW22)),IF(AND(s_Irr!Y22&lt;&gt;".",s_Irr!AW22=".",s_Irr!BU22&lt;&gt;"."),s_dir!AY22/((1/1000)*(s_Irr!Y22+s_Irr!BU22)),IF(AND(s_Irr!Y22=".",s_Irr!AW22&lt;&gt;".",s_Irr!BU22&lt;&gt;"."),s_dir!AY22/((1/1000)*(s_Irr!AW22+s_Irr!BU22)),IF(AND(s_Irr!Y22=".",s_Irr!AW22=".",s_Irr!BU22&lt;&gt;"."),s_dir!AY22/((1/1000)*(s_Irr!BU22)),IF(AND(s_Irr!Y22=".",s_Irr!AW22&lt;&gt;".",s_Irr!BU22="."),s_dir!AY22/((1/1000)*(s_Irr!AW22)),IF(AND(s_Irr!Y22&lt;&gt;".",s_Irr!AW22=".",s_Irr!BU22="."),s_dir!AY22/((1/1000)*(s_Irr!Y22)),IF(AND(s_Irr!Y22=".",s_Irr!AW22=".",s_Irr!BU22="."),s_dir!AY22*1000)))))))),".")</f>
        <v>316.26928498649107</v>
      </c>
      <c r="BY22" s="48">
        <f>IFERROR(IF(AND(s_Irr!Z22&lt;&gt;".",s_Irr!AX22&lt;&gt;".",s_Irr!BV22&lt;&gt;"."),s_dir!AZ22/((1/1000)*(s_Irr!Z22+s_Irr!AX22+s_Irr!BV22)),IF(AND(s_Irr!Z22&lt;&gt;".",s_Irr!AX22&lt;&gt;".",s_Irr!BV22="."),s_dir!AZ22/((1/1000)*(s_Irr!Z22+s_Irr!AX22)),IF(AND(s_Irr!Z22&lt;&gt;".",s_Irr!AX22=".",s_Irr!BV22&lt;&gt;"."),s_dir!AZ22/((1/1000)*(s_Irr!Z22+s_Irr!BV22)),IF(AND(s_Irr!Z22=".",s_Irr!AX22&lt;&gt;".",s_Irr!BV22&lt;&gt;"."),s_dir!AZ22/((1/1000)*(s_Irr!AX22+s_Irr!BV22)),IF(AND(s_Irr!Z22=".",s_Irr!AX22=".",s_Irr!BV22&lt;&gt;"."),s_dir!AZ22/((1/1000)*(s_Irr!BV22)),IF(AND(s_Irr!Z22=".",s_Irr!AX22&lt;&gt;".",s_Irr!BV22="."),s_dir!AZ22/((1/1000)*(s_Irr!AX22)),IF(AND(s_Irr!Z22&lt;&gt;".",s_Irr!AX22=".",s_Irr!BV22="."),s_dir!AZ22/((1/1000)*(s_Irr!Z22)),IF(AND(s_Irr!Z22=".",s_Irr!AX22=".",s_Irr!BV22="."),s_dir!AZ22*1000)))))))),".")</f>
        <v>249.02713789835653</v>
      </c>
      <c r="BZ22" s="62">
        <f t="shared" si="1"/>
        <v>307.25086171274592</v>
      </c>
      <c r="CA22" s="62">
        <f>IFERROR(s_C*s_IFAP_far_adj*s_CF_apple*(1/1000)*(s_Irr!C22+s_Irr!AA22+s_Irr!AY22),".")</f>
        <v>103.48385260743784</v>
      </c>
      <c r="CB22" s="62">
        <f>IFERROR(s_C*s_IFAS_far_adj*s_CF_asparagus*(1/1000)*(s_Irr!D22+s_Irr!AB22+s_Irr!AZ22),".")</f>
        <v>225.20046522479754</v>
      </c>
      <c r="CC22" s="62">
        <f>IFERROR(s_C*s_IFBT_far_adj*s_CF_beet*(1/1000)*(s_Irr!E22+s_Irr!AC22+s_Irr!BA22),".")</f>
        <v>193.64430639807466</v>
      </c>
      <c r="CD22" s="62">
        <f>IFERROR(s_C*s_IFBE_far_adj*s_CF_berries*(1/1000)*(s_Irr!F22+s_Irr!AD22+s_Irr!BB22),".")</f>
        <v>103.48385260743784</v>
      </c>
      <c r="CE22" s="62">
        <f>IFERROR(s_C*s_IFBR_far_adj*s_CF_broccoli*(1/1000)*(s_Irr!G22+s_Irr!AE22+s_Irr!BC22),".")</f>
        <v>114.00257221634547</v>
      </c>
      <c r="CF22" s="62">
        <f>IFERROR(s_C*s_IFCB_far_adj*s_CF_cabbage*(1/1000)*(s_Irr!H22+s_Irr!AF22+s_Irr!BD22),".")</f>
        <v>225.20046522479754</v>
      </c>
      <c r="CG22" s="62">
        <f>IFERROR(s_C*s_IFCR_far_adj*s_CF_carrot*(1/1000)*(s_Irr!I22+s_Irr!AG22+s_Irr!BE22),".")</f>
        <v>193.64430639807466</v>
      </c>
      <c r="CH22" s="62">
        <f>IFERROR(s_C*s_IFCI_far_adj*s_CF_citrus*(1/1000)*(s_Irr!J22+s_Irr!AH22+s_Irr!BF22),".")</f>
        <v>103.48385260743784</v>
      </c>
      <c r="CI22" s="62">
        <f>IFERROR(s_C*s_IFCO_far_adj*s_CF_corn*(1/1000)*(s_Irr!K22+s_Irr!AI22+s_Irr!BG22),".")</f>
        <v>92.063528460623843</v>
      </c>
      <c r="CJ22" s="62">
        <f>IFERROR(s_C*s_IFCU_far_adj*s_CF_cucumber*(1/1000)*(s_Irr!L22+s_Irr!AJ22+s_Irr!BH22),".")</f>
        <v>114.00257221634547</v>
      </c>
      <c r="CK22" s="62">
        <f>IFERROR(s_C*s_IFLE_far_adj*s_CF_lettuce*(1/1000)*(s_Irr!M22+s_Irr!AK22+s_Irr!BI22),".")</f>
        <v>225.20046522479754</v>
      </c>
      <c r="CL22" s="62">
        <f>IFERROR(s_C*s_IFLI_far_adj*s_CF_lima_bean*(1/1000)*(s_Irr!N22+s_Irr!AL22+s_Irr!BJ22),".")</f>
        <v>109.49454952681363</v>
      </c>
      <c r="CM22" s="62">
        <f>IFERROR(s_C*s_IFOK_far_adj*s_CF_okra*(1/1000)*(s_Irr!O22+s_Irr!AM22+s_Irr!BK22),".")</f>
        <v>114.00257221634547</v>
      </c>
      <c r="CN22" s="62">
        <f>IFERROR(s_C*s_IFON_far_adj*s_CF_onion*(1/1000)*(s_Irr!P22+s_Irr!AN22+s_Irr!BL22),".")</f>
        <v>114.00257221634547</v>
      </c>
      <c r="CO22" s="62">
        <f>IFERROR(s_C*s_IFPC_far_adj*s_CF_peach*(1/1000)*(s_Irr!Q22+s_Irr!AO22+s_Irr!BM22),".")</f>
        <v>103.48385260743784</v>
      </c>
      <c r="CP22" s="62">
        <f>IFERROR(s_C*s_IFPR_far_adj*s_CF_pear*(1/1000)*(s_Irr!R22+s_Irr!AP22+s_Irr!BN22),".")</f>
        <v>103.48385260743784</v>
      </c>
      <c r="CQ22" s="62">
        <f>IFERROR(s_C*s_IFPE_far_adj*s_CF_peas*(1/1000)*(s_Irr!S22+s_Irr!AQ22+s_Irr!BO22),".")</f>
        <v>109.49454952681363</v>
      </c>
      <c r="CR22" s="62">
        <f>IFERROR(s_C*s_IFPT_far_adj*s_CF_potato*(1/1000)*(s_Irr!T22+s_Irr!AR22+s_Irr!BP22),".")</f>
        <v>104.98652683728179</v>
      </c>
      <c r="CS22" s="62">
        <f>IFERROR(s_C*s_IFPU_far_adj*s_CF_pumpkin*(1/1000)*(s_Irr!U22+s_Irr!AS22+s_Irr!BQ22),".")</f>
        <v>114.00257221634547</v>
      </c>
      <c r="CT22" s="62">
        <f>IFERROR(s_C*s_IFSN_far_adj*s_CF_snap_bean*(1/1000)*(s_Irr!V22+s_Irr!AT22+s_Irr!BR22),".")</f>
        <v>109.49454952681363</v>
      </c>
      <c r="CU22" s="62">
        <f>IFERROR(s_C*s_IFST_far_adj*s_CF_strawberry*(1/1000)*(s_Irr!W22+s_Irr!AU22+s_Irr!BS22),".")</f>
        <v>103.48385260743784</v>
      </c>
      <c r="CV22" s="62">
        <f>IFERROR(s_C*s_IFTO_far_adj*s_CF_tomato*(1/1000)*(s_Irr!X22+s_Irr!AV22+s_Irr!BT22),".")</f>
        <v>114.00257221634547</v>
      </c>
      <c r="CW22" s="62">
        <f>IFERROR(s_C*s_IFRI_far_adj*s_CF_rice*(1/1000)*(s_Irr!Y22+s_Irr!AW22+s_Irr!BU22),".")</f>
        <v>89.764436888962607</v>
      </c>
      <c r="CX22" s="62">
        <f>IFERROR(s_C*s_IFCG_far_adj*s_CF_cereal*(1/1000)*(s_Irr!Z22+s_Irr!AX22+s_Irr!BV22),".")</f>
        <v>114.00257221634547</v>
      </c>
    </row>
    <row r="23" spans="1:102" x14ac:dyDescent="0.25">
      <c r="A23" s="63" t="s">
        <v>21</v>
      </c>
      <c r="B23" s="49" t="s">
        <v>336</v>
      </c>
      <c r="C23" s="48">
        <f t="shared" si="2"/>
        <v>48.545275825556324</v>
      </c>
      <c r="D23" s="48">
        <f>IFERROR(IF(AND(s_Irr!C23&lt;&gt;".",s_Irr!AA23&lt;&gt;".",s_Irr!AY23&lt;&gt;"."),s_dir!D23/((1/1000)*(s_Irr!C23+s_Irr!AA23+s_Irr!AY23)),IF(AND(s_Irr!C23&lt;&gt;".",s_Irr!AA23&lt;&gt;".",s_Irr!AY23="."),s_dir!D23/((1/1000)*(s_Irr!C23+s_Irr!AA23)),IF(AND(s_Irr!C23&lt;&gt;".",s_Irr!AA23=".",s_Irr!AY23&lt;&gt;"."),s_dir!D23/((1/1000)*(s_Irr!C23+s_Irr!AY23)),IF(AND(s_Irr!C23=".",s_Irr!AA23&lt;&gt;".",s_Irr!AY23&lt;&gt;"."),s_dir!D23/((1/1000)*(s_Irr!AA23+s_Irr!AY23)),IF(AND(s_Irr!C23=".",s_Irr!AA23=".",s_Irr!AY23&lt;&gt;"."),s_dir!D23/((1/1000)*(s_Irr!AY23)),IF(AND(s_Irr!C23=".",s_Irr!AA23&lt;&gt;".",s_Irr!AY23="."),s_dir!D23/((1/1000)*(s_Irr!AA23)),IF(AND(s_Irr!C23&lt;&gt;".",s_Irr!AA23=".",s_Irr!AY23="."),s_dir!D23/((1/1000)*(s_Irr!C23)),IF(AND(s_Irr!C23=".",s_Irr!AA23=".",s_Irr!AY23="."),s_dir!D23*1000)))))))),".")</f>
        <v>144.13434998469575</v>
      </c>
      <c r="E23" s="48">
        <f>IFERROR(IF(AND(s_Irr!D23&lt;&gt;".",s_Irr!AB23&lt;&gt;".",s_Irr!AZ23&lt;&gt;"."),s_dir!E23/((1/1000)*(s_Irr!D23+s_Irr!AB23+s_Irr!AZ23)),IF(AND(s_Irr!D23&lt;&gt;".",s_Irr!AB23&lt;&gt;".",s_Irr!AZ23="."),s_dir!E23/((1/1000)*(s_Irr!D23+s_Irr!AB23)),IF(AND(s_Irr!D23&lt;&gt;".",s_Irr!AB23=".",s_Irr!AZ23&lt;&gt;"."),s_dir!E23/((1/1000)*(s_Irr!D23+s_Irr!AZ23)),IF(AND(s_Irr!D23=".",s_Irr!AB23&lt;&gt;".",s_Irr!AZ23&lt;&gt;"."),s_dir!E23/((1/1000)*(s_Irr!AB23+s_Irr!AZ23)),IF(AND(s_Irr!D23=".",s_Irr!AB23=".",s_Irr!AZ23&lt;&gt;"."),s_dir!E23/((1/1000)*(s_Irr!AZ23)),IF(AND(s_Irr!D23=".",s_Irr!AB23&lt;&gt;".",s_Irr!AZ23="."),s_dir!E23/((1/1000)*(s_Irr!AB23)),IF(AND(s_Irr!D23&lt;&gt;".",s_Irr!AB23=".",s_Irr!AZ23="."),s_dir!E23/((1/1000)*(s_Irr!D23)),IF(AND(s_Irr!D23=".",s_Irr!AB23=".",s_Irr!AZ23="."),s_dir!E23*1000)))))))),".")</f>
        <v>66.232446787337778</v>
      </c>
      <c r="F23" s="48">
        <f>IFERROR(IF(AND(s_Irr!E23&lt;&gt;".",s_Irr!AC23&lt;&gt;".",s_Irr!BA23&lt;&gt;"."),s_dir!F23/((1/1000)*(s_Irr!E23+s_Irr!AC23+s_Irr!BA23)),IF(AND(s_Irr!E23&lt;&gt;".",s_Irr!AC23&lt;&gt;".",s_Irr!BA23="."),s_dir!F23/((1/1000)*(s_Irr!E23+s_Irr!AC23)),IF(AND(s_Irr!E23&lt;&gt;".",s_Irr!AC23=".",s_Irr!BA23&lt;&gt;"."),s_dir!F23/((1/1000)*(s_Irr!E23+s_Irr!BA23)),IF(AND(s_Irr!E23=".",s_Irr!AC23&lt;&gt;".",s_Irr!BA23&lt;&gt;"."),s_dir!F23/((1/1000)*(s_Irr!AC23+s_Irr!BA23)),IF(AND(s_Irr!E23=".",s_Irr!AC23=".",s_Irr!BA23&lt;&gt;"."),s_dir!F23/((1/1000)*(s_Irr!BA23)),IF(AND(s_Irr!E23=".",s_Irr!AC23&lt;&gt;".",s_Irr!BA23="."),s_dir!F23/((1/1000)*(s_Irr!AC23)),IF(AND(s_Irr!E23&lt;&gt;".",s_Irr!AC23=".",s_Irr!BA23="."),s_dir!F23/((1/1000)*(s_Irr!E23)),IF(AND(s_Irr!E23=".",s_Irr!AC23=".",s_Irr!BA23="."),s_dir!F23*1000)))))))),".")</f>
        <v>77.025646180493197</v>
      </c>
      <c r="G23" s="48">
        <f>IFERROR(IF(AND(s_Irr!F23&lt;&gt;".",s_Irr!AD23&lt;&gt;".",s_Irr!BB23&lt;&gt;"."),s_dir!G23/((1/1000)*(s_Irr!F23+s_Irr!AD23+s_Irr!BB23)),IF(AND(s_Irr!F23&lt;&gt;".",s_Irr!AD23&lt;&gt;".",s_Irr!BB23="."),s_dir!G23/((1/1000)*(s_Irr!F23+s_Irr!AD23)),IF(AND(s_Irr!F23&lt;&gt;".",s_Irr!AD23=".",s_Irr!BB23&lt;&gt;"."),s_dir!G23/((1/1000)*(s_Irr!F23+s_Irr!BB23)),IF(AND(s_Irr!F23=".",s_Irr!AD23&lt;&gt;".",s_Irr!BB23&lt;&gt;"."),s_dir!G23/((1/1000)*(s_Irr!AD23+s_Irr!BB23)),IF(AND(s_Irr!F23=".",s_Irr!AD23=".",s_Irr!BB23&lt;&gt;"."),s_dir!G23/((1/1000)*(s_Irr!BB23)),IF(AND(s_Irr!F23=".",s_Irr!AD23&lt;&gt;".",s_Irr!BB23="."),s_dir!G23/((1/1000)*(s_Irr!AD23)),IF(AND(s_Irr!F23&lt;&gt;".",s_Irr!AD23=".",s_Irr!BB23="."),s_dir!G23/((1/1000)*(s_Irr!F23)),IF(AND(s_Irr!F23=".",s_Irr!AD23=".",s_Irr!BB23="."),s_dir!G23*1000)))))))),".")</f>
        <v>144.13434998469575</v>
      </c>
      <c r="H23" s="48">
        <f>IFERROR(IF(AND(s_Irr!G23&lt;&gt;".",s_Irr!AE23&lt;&gt;".",s_Irr!BC23&lt;&gt;"."),s_dir!H23/((1/1000)*(s_Irr!G23+s_Irr!AE23+s_Irr!BC23)),IF(AND(s_Irr!G23&lt;&gt;".",s_Irr!AE23&lt;&gt;".",s_Irr!BC23="."),s_dir!H23/((1/1000)*(s_Irr!G23+s_Irr!AE23)),IF(AND(s_Irr!G23&lt;&gt;".",s_Irr!AE23=".",s_Irr!BC23&lt;&gt;"."),s_dir!H23/((1/1000)*(s_Irr!G23+s_Irr!BC23)),IF(AND(s_Irr!G23=".",s_Irr!AE23&lt;&gt;".",s_Irr!BC23&lt;&gt;"."),s_dir!H23/((1/1000)*(s_Irr!AE23+s_Irr!BC23)),IF(AND(s_Irr!G23=".",s_Irr!AE23=".",s_Irr!BC23&lt;&gt;"."),s_dir!H23/((1/1000)*(s_Irr!BC23)),IF(AND(s_Irr!G23=".",s_Irr!AE23&lt;&gt;".",s_Irr!BC23="."),s_dir!H23/((1/1000)*(s_Irr!AE23)),IF(AND(s_Irr!G23&lt;&gt;".",s_Irr!AE23=".",s_Irr!BC23="."),s_dir!H23/((1/1000)*(s_Irr!G23)),IF(AND(s_Irr!G23=".",s_Irr!AE23=".",s_Irr!BC23="."),s_dir!H23*1000)))))))),".")</f>
        <v>130.83544993335289</v>
      </c>
      <c r="I23" s="48">
        <f>IFERROR(IF(AND(s_Irr!H23&lt;&gt;".",s_Irr!AF23&lt;&gt;".",s_Irr!BD23&lt;&gt;"."),s_dir!I23/((1/1000)*(s_Irr!H23+s_Irr!AF23+s_Irr!BD23)),IF(AND(s_Irr!H23&lt;&gt;".",s_Irr!AF23&lt;&gt;".",s_Irr!BD23="."),s_dir!I23/((1/1000)*(s_Irr!H23+s_Irr!AF23)),IF(AND(s_Irr!H23&lt;&gt;".",s_Irr!AF23=".",s_Irr!BD23&lt;&gt;"."),s_dir!I23/((1/1000)*(s_Irr!H23+s_Irr!BD23)),IF(AND(s_Irr!H23=".",s_Irr!AF23&lt;&gt;".",s_Irr!BD23&lt;&gt;"."),s_dir!I23/((1/1000)*(s_Irr!AF23+s_Irr!BD23)),IF(AND(s_Irr!H23=".",s_Irr!AF23=".",s_Irr!BD23&lt;&gt;"."),s_dir!I23/((1/1000)*(s_Irr!BD23)),IF(AND(s_Irr!H23=".",s_Irr!AF23&lt;&gt;".",s_Irr!BD23="."),s_dir!I23/((1/1000)*(s_Irr!AF23)),IF(AND(s_Irr!H23&lt;&gt;".",s_Irr!AF23=".",s_Irr!BD23="."),s_dir!I23/((1/1000)*(s_Irr!H23)),IF(AND(s_Irr!H23=".",s_Irr!AF23=".",s_Irr!BD23="."),s_dir!I23*1000)))))))),".")</f>
        <v>66.232446787337778</v>
      </c>
      <c r="J23" s="48">
        <f>IFERROR(IF(AND(s_Irr!I23&lt;&gt;".",s_Irr!AG23&lt;&gt;".",s_Irr!BE23&lt;&gt;"."),s_dir!J23/((1/1000)*(s_Irr!I23+s_Irr!AG23+s_Irr!BE23)),IF(AND(s_Irr!I23&lt;&gt;".",s_Irr!AG23&lt;&gt;".",s_Irr!BE23="."),s_dir!J23/((1/1000)*(s_Irr!I23+s_Irr!AG23)),IF(AND(s_Irr!I23&lt;&gt;".",s_Irr!AG23=".",s_Irr!BE23&lt;&gt;"."),s_dir!J23/((1/1000)*(s_Irr!I23+s_Irr!BE23)),IF(AND(s_Irr!I23=".",s_Irr!AG23&lt;&gt;".",s_Irr!BE23&lt;&gt;"."),s_dir!J23/((1/1000)*(s_Irr!AG23+s_Irr!BE23)),IF(AND(s_Irr!I23=".",s_Irr!AG23=".",s_Irr!BE23&lt;&gt;"."),s_dir!J23/((1/1000)*(s_Irr!BE23)),IF(AND(s_Irr!I23=".",s_Irr!AG23&lt;&gt;".",s_Irr!BE23="."),s_dir!J23/((1/1000)*(s_Irr!AG23)),IF(AND(s_Irr!I23&lt;&gt;".",s_Irr!AG23=".",s_Irr!BE23="."),s_dir!J23/((1/1000)*(s_Irr!I23)),IF(AND(s_Irr!I23=".",s_Irr!AG23=".",s_Irr!BE23="."),s_dir!J23*1000)))))))),".")</f>
        <v>77.025646180493197</v>
      </c>
      <c r="K23" s="48">
        <f>IFERROR(IF(AND(s_Irr!J23&lt;&gt;".",s_Irr!AH23&lt;&gt;".",s_Irr!BF23&lt;&gt;"."),s_dir!K23/((1/1000)*(s_Irr!J23+s_Irr!AH23+s_Irr!BF23)),IF(AND(s_Irr!J23&lt;&gt;".",s_Irr!AH23&lt;&gt;".",s_Irr!BF23="."),s_dir!K23/((1/1000)*(s_Irr!J23+s_Irr!AH23)),IF(AND(s_Irr!J23&lt;&gt;".",s_Irr!AH23=".",s_Irr!BF23&lt;&gt;"."),s_dir!K23/((1/1000)*(s_Irr!J23+s_Irr!BF23)),IF(AND(s_Irr!J23=".",s_Irr!AH23&lt;&gt;".",s_Irr!BF23&lt;&gt;"."),s_dir!K23/((1/1000)*(s_Irr!AH23+s_Irr!BF23)),IF(AND(s_Irr!J23=".",s_Irr!AH23=".",s_Irr!BF23&lt;&gt;"."),s_dir!K23/((1/1000)*(s_Irr!BF23)),IF(AND(s_Irr!J23=".",s_Irr!AH23&lt;&gt;".",s_Irr!BF23="."),s_dir!K23/((1/1000)*(s_Irr!AH23)),IF(AND(s_Irr!J23&lt;&gt;".",s_Irr!AH23=".",s_Irr!BF23="."),s_dir!K23/((1/1000)*(s_Irr!J23)),IF(AND(s_Irr!J23=".",s_Irr!AH23=".",s_Irr!BF23="."),s_dir!K23*1000)))))))),".")</f>
        <v>144.13434998469575</v>
      </c>
      <c r="L23" s="48">
        <f>IFERROR(IF(AND(s_Irr!K23&lt;&gt;".",s_Irr!AI23&lt;&gt;".",s_Irr!BG23&lt;&gt;"."),s_dir!L23/((1/1000)*(s_Irr!K23+s_Irr!AI23+s_Irr!BG23)),IF(AND(s_Irr!K23&lt;&gt;".",s_Irr!AI23&lt;&gt;".",s_Irr!BG23="."),s_dir!L23/((1/1000)*(s_Irr!K23+s_Irr!AI23)),IF(AND(s_Irr!K23&lt;&gt;".",s_Irr!AI23=".",s_Irr!BG23&lt;&gt;"."),s_dir!L23/((1/1000)*(s_Irr!K23+s_Irr!BG23)),IF(AND(s_Irr!K23=".",s_Irr!AI23&lt;&gt;".",s_Irr!BG23&lt;&gt;"."),s_dir!L23/((1/1000)*(s_Irr!AI23+s_Irr!BG23)),IF(AND(s_Irr!K23=".",s_Irr!AI23=".",s_Irr!BG23&lt;&gt;"."),s_dir!L23/((1/1000)*(s_Irr!BG23)),IF(AND(s_Irr!K23=".",s_Irr!AI23&lt;&gt;".",s_Irr!BG23="."),s_dir!L23/((1/1000)*(s_Irr!AI23)),IF(AND(s_Irr!K23&lt;&gt;".",s_Irr!AI23=".",s_Irr!BG23="."),s_dir!L23/((1/1000)*(s_Irr!K23)),IF(AND(s_Irr!K23=".",s_Irr!AI23=".",s_Irr!BG23="."),s_dir!L23*1000)))))))),".")</f>
        <v>162.01397099248268</v>
      </c>
      <c r="M23" s="48">
        <f>IFERROR(IF(AND(s_Irr!L23&lt;&gt;".",s_Irr!AJ23&lt;&gt;".",s_Irr!BH23&lt;&gt;"."),s_dir!M23/((1/1000)*(s_Irr!L23+s_Irr!AJ23+s_Irr!BH23)),IF(AND(s_Irr!L23&lt;&gt;".",s_Irr!AJ23&lt;&gt;".",s_Irr!BH23="."),s_dir!M23/((1/1000)*(s_Irr!L23+s_Irr!AJ23)),IF(AND(s_Irr!L23&lt;&gt;".",s_Irr!AJ23=".",s_Irr!BH23&lt;&gt;"."),s_dir!M23/((1/1000)*(s_Irr!L23+s_Irr!BH23)),IF(AND(s_Irr!L23=".",s_Irr!AJ23&lt;&gt;".",s_Irr!BH23&lt;&gt;"."),s_dir!M23/((1/1000)*(s_Irr!AJ23+s_Irr!BH23)),IF(AND(s_Irr!L23=".",s_Irr!AJ23=".",s_Irr!BH23&lt;&gt;"."),s_dir!M23/((1/1000)*(s_Irr!BH23)),IF(AND(s_Irr!L23=".",s_Irr!AJ23&lt;&gt;".",s_Irr!BH23="."),s_dir!M23/((1/1000)*(s_Irr!AJ23)),IF(AND(s_Irr!L23&lt;&gt;".",s_Irr!AJ23=".",s_Irr!BH23="."),s_dir!M23/((1/1000)*(s_Irr!L23)),IF(AND(s_Irr!L23=".",s_Irr!AJ23=".",s_Irr!BH23="."),s_dir!M23*1000)))))))),".")</f>
        <v>130.83544993335289</v>
      </c>
      <c r="N23" s="48">
        <f>IFERROR(IF(AND(s_Irr!M23&lt;&gt;".",s_Irr!AK23&lt;&gt;".",s_Irr!BI23&lt;&gt;"."),s_dir!N23/((1/1000)*(s_Irr!M23+s_Irr!AK23+s_Irr!BI23)),IF(AND(s_Irr!M23&lt;&gt;".",s_Irr!AK23&lt;&gt;".",s_Irr!BI23="."),s_dir!N23/((1/1000)*(s_Irr!M23+s_Irr!AK23)),IF(AND(s_Irr!M23&lt;&gt;".",s_Irr!AK23=".",s_Irr!BI23&lt;&gt;"."),s_dir!N23/((1/1000)*(s_Irr!M23+s_Irr!BI23)),IF(AND(s_Irr!M23=".",s_Irr!AK23&lt;&gt;".",s_Irr!BI23&lt;&gt;"."),s_dir!N23/((1/1000)*(s_Irr!AK23+s_Irr!BI23)),IF(AND(s_Irr!M23=".",s_Irr!AK23=".",s_Irr!BI23&lt;&gt;"."),s_dir!N23/((1/1000)*(s_Irr!BI23)),IF(AND(s_Irr!M23=".",s_Irr!AK23&lt;&gt;".",s_Irr!BI23="."),s_dir!N23/((1/1000)*(s_Irr!AK23)),IF(AND(s_Irr!M23&lt;&gt;".",s_Irr!AK23=".",s_Irr!BI23="."),s_dir!N23/((1/1000)*(s_Irr!M23)),IF(AND(s_Irr!M23=".",s_Irr!AK23=".",s_Irr!BI23="."),s_dir!N23*1000)))))))),".")</f>
        <v>66.232446787337778</v>
      </c>
      <c r="O23" s="48">
        <f>IFERROR(IF(AND(s_Irr!N23&lt;&gt;".",s_Irr!AL23&lt;&gt;".",s_Irr!BJ23&lt;&gt;"."),s_dir!O23/((1/1000)*(s_Irr!N23+s_Irr!AL23+s_Irr!BJ23)),IF(AND(s_Irr!N23&lt;&gt;".",s_Irr!AL23&lt;&gt;".",s_Irr!BJ23="."),s_dir!O23/((1/1000)*(s_Irr!N23+s_Irr!AL23)),IF(AND(s_Irr!N23&lt;&gt;".",s_Irr!AL23=".",s_Irr!BJ23&lt;&gt;"."),s_dir!O23/((1/1000)*(s_Irr!N23+s_Irr!BJ23)),IF(AND(s_Irr!N23=".",s_Irr!AL23&lt;&gt;".",s_Irr!BJ23&lt;&gt;"."),s_dir!O23/((1/1000)*(s_Irr!AL23+s_Irr!BJ23)),IF(AND(s_Irr!N23=".",s_Irr!AL23=".",s_Irr!BJ23&lt;&gt;"."),s_dir!O23/((1/1000)*(s_Irr!BJ23)),IF(AND(s_Irr!N23=".",s_Irr!AL23&lt;&gt;".",s_Irr!BJ23="."),s_dir!O23/((1/1000)*(s_Irr!AL23)),IF(AND(s_Irr!N23&lt;&gt;".",s_Irr!AL23=".",s_Irr!BJ23="."),s_dir!O23/((1/1000)*(s_Irr!N23)),IF(AND(s_Irr!N23=".",s_Irr!AL23=".",s_Irr!BJ23="."),s_dir!O23*1000)))))))),".")</f>
        <v>136.22210323658629</v>
      </c>
      <c r="P23" s="48">
        <f>IFERROR(IF(AND(s_Irr!O23&lt;&gt;".",s_Irr!AM23&lt;&gt;".",s_Irr!BK23&lt;&gt;"."),s_dir!P23/((1/1000)*(s_Irr!O23+s_Irr!AM23+s_Irr!BK23)),IF(AND(s_Irr!O23&lt;&gt;".",s_Irr!AM23&lt;&gt;".",s_Irr!BK23="."),s_dir!P23/((1/1000)*(s_Irr!O23+s_Irr!AM23)),IF(AND(s_Irr!O23&lt;&gt;".",s_Irr!AM23=".",s_Irr!BK23&lt;&gt;"."),s_dir!P23/((1/1000)*(s_Irr!O23+s_Irr!BK23)),IF(AND(s_Irr!O23=".",s_Irr!AM23&lt;&gt;".",s_Irr!BK23&lt;&gt;"."),s_dir!P23/((1/1000)*(s_Irr!AM23+s_Irr!BK23)),IF(AND(s_Irr!O23=".",s_Irr!AM23=".",s_Irr!BK23&lt;&gt;"."),s_dir!P23/((1/1000)*(s_Irr!BK23)),IF(AND(s_Irr!O23=".",s_Irr!AM23&lt;&gt;".",s_Irr!BK23="."),s_dir!P23/((1/1000)*(s_Irr!AM23)),IF(AND(s_Irr!O23&lt;&gt;".",s_Irr!AM23=".",s_Irr!BK23="."),s_dir!P23/((1/1000)*(s_Irr!O23)),IF(AND(s_Irr!O23=".",s_Irr!AM23=".",s_Irr!BK23="."),s_dir!P23*1000)))))))),".")</f>
        <v>130.83544993335289</v>
      </c>
      <c r="Q23" s="48">
        <f>IFERROR(IF(AND(s_Irr!P23&lt;&gt;".",s_Irr!AN23&lt;&gt;".",s_Irr!BL23&lt;&gt;"."),s_dir!Q23/((1/1000)*(s_Irr!P23+s_Irr!AN23+s_Irr!BL23)),IF(AND(s_Irr!P23&lt;&gt;".",s_Irr!AN23&lt;&gt;".",s_Irr!BL23="."),s_dir!Q23/((1/1000)*(s_Irr!P23+s_Irr!AN23)),IF(AND(s_Irr!P23&lt;&gt;".",s_Irr!AN23=".",s_Irr!BL23&lt;&gt;"."),s_dir!Q23/((1/1000)*(s_Irr!P23+s_Irr!BL23)),IF(AND(s_Irr!P23=".",s_Irr!AN23&lt;&gt;".",s_Irr!BL23&lt;&gt;"."),s_dir!Q23/((1/1000)*(s_Irr!AN23+s_Irr!BL23)),IF(AND(s_Irr!P23=".",s_Irr!AN23=".",s_Irr!BL23&lt;&gt;"."),s_dir!Q23/((1/1000)*(s_Irr!BL23)),IF(AND(s_Irr!P23=".",s_Irr!AN23&lt;&gt;".",s_Irr!BL23="."),s_dir!Q23/((1/1000)*(s_Irr!AN23)),IF(AND(s_Irr!P23&lt;&gt;".",s_Irr!AN23=".",s_Irr!BL23="."),s_dir!Q23/((1/1000)*(s_Irr!P23)),IF(AND(s_Irr!P23=".",s_Irr!AN23=".",s_Irr!BL23="."),s_dir!Q23*1000)))))))),".")</f>
        <v>130.83544993335289</v>
      </c>
      <c r="R23" s="48">
        <f>IFERROR(IF(AND(s_Irr!Q23&lt;&gt;".",s_Irr!AO23&lt;&gt;".",s_Irr!BM23&lt;&gt;"."),s_dir!R23/((1/1000)*(s_Irr!Q23+s_Irr!AO23+s_Irr!BM23)),IF(AND(s_Irr!Q23&lt;&gt;".",s_Irr!AO23&lt;&gt;".",s_Irr!BM23="."),s_dir!R23/((1/1000)*(s_Irr!Q23+s_Irr!AO23)),IF(AND(s_Irr!Q23&lt;&gt;".",s_Irr!AO23=".",s_Irr!BM23&lt;&gt;"."),s_dir!R23/((1/1000)*(s_Irr!Q23+s_Irr!BM23)),IF(AND(s_Irr!Q23=".",s_Irr!AO23&lt;&gt;".",s_Irr!BM23&lt;&gt;"."),s_dir!R23/((1/1000)*(s_Irr!AO23+s_Irr!BM23)),IF(AND(s_Irr!Q23=".",s_Irr!AO23=".",s_Irr!BM23&lt;&gt;"."),s_dir!R23/((1/1000)*(s_Irr!BM23)),IF(AND(s_Irr!Q23=".",s_Irr!AO23&lt;&gt;".",s_Irr!BM23="."),s_dir!R23/((1/1000)*(s_Irr!AO23)),IF(AND(s_Irr!Q23&lt;&gt;".",s_Irr!AO23=".",s_Irr!BM23="."),s_dir!R23/((1/1000)*(s_Irr!Q23)),IF(AND(s_Irr!Q23=".",s_Irr!AO23=".",s_Irr!BM23="."),s_dir!R23*1000)))))))),".")</f>
        <v>144.13434998469575</v>
      </c>
      <c r="S23" s="48">
        <f>IFERROR(IF(AND(s_Irr!R23&lt;&gt;".",s_Irr!AP23&lt;&gt;".",s_Irr!BN23&lt;&gt;"."),s_dir!S23/((1/1000)*(s_Irr!R23+s_Irr!AP23+s_Irr!BN23)),IF(AND(s_Irr!R23&lt;&gt;".",s_Irr!AP23&lt;&gt;".",s_Irr!BN23="."),s_dir!S23/((1/1000)*(s_Irr!R23+s_Irr!AP23)),IF(AND(s_Irr!R23&lt;&gt;".",s_Irr!AP23=".",s_Irr!BN23&lt;&gt;"."),s_dir!S23/((1/1000)*(s_Irr!R23+s_Irr!BN23)),IF(AND(s_Irr!R23=".",s_Irr!AP23&lt;&gt;".",s_Irr!BN23&lt;&gt;"."),s_dir!S23/((1/1000)*(s_Irr!AP23+s_Irr!BN23)),IF(AND(s_Irr!R23=".",s_Irr!AP23=".",s_Irr!BN23&lt;&gt;"."),s_dir!S23/((1/1000)*(s_Irr!BN23)),IF(AND(s_Irr!R23=".",s_Irr!AP23&lt;&gt;".",s_Irr!BN23="."),s_dir!S23/((1/1000)*(s_Irr!AP23)),IF(AND(s_Irr!R23&lt;&gt;".",s_Irr!AP23=".",s_Irr!BN23="."),s_dir!S23/((1/1000)*(s_Irr!R23)),IF(AND(s_Irr!R23=".",s_Irr!AP23=".",s_Irr!BN23="."),s_dir!S23*1000)))))))),".")</f>
        <v>144.13434998469575</v>
      </c>
      <c r="T23" s="48">
        <f>IFERROR(IF(AND(s_Irr!S23&lt;&gt;".",s_Irr!AQ23&lt;&gt;".",s_Irr!BO23&lt;&gt;"."),s_dir!T23/((1/1000)*(s_Irr!S23+s_Irr!AQ23+s_Irr!BO23)),IF(AND(s_Irr!S23&lt;&gt;".",s_Irr!AQ23&lt;&gt;".",s_Irr!BO23="."),s_dir!T23/((1/1000)*(s_Irr!S23+s_Irr!AQ23)),IF(AND(s_Irr!S23&lt;&gt;".",s_Irr!AQ23=".",s_Irr!BO23&lt;&gt;"."),s_dir!T23/((1/1000)*(s_Irr!S23+s_Irr!BO23)),IF(AND(s_Irr!S23=".",s_Irr!AQ23&lt;&gt;".",s_Irr!BO23&lt;&gt;"."),s_dir!T23/((1/1000)*(s_Irr!AQ23+s_Irr!BO23)),IF(AND(s_Irr!S23=".",s_Irr!AQ23=".",s_Irr!BO23&lt;&gt;"."),s_dir!T23/((1/1000)*(s_Irr!BO23)),IF(AND(s_Irr!S23=".",s_Irr!AQ23&lt;&gt;".",s_Irr!BO23="."),s_dir!T23/((1/1000)*(s_Irr!AQ23)),IF(AND(s_Irr!S23&lt;&gt;".",s_Irr!AQ23=".",s_Irr!BO23="."),s_dir!T23/((1/1000)*(s_Irr!S23)),IF(AND(s_Irr!S23=".",s_Irr!AQ23=".",s_Irr!BO23="."),s_dir!T23*1000)))))))),".")</f>
        <v>136.22210323658629</v>
      </c>
      <c r="U23" s="48">
        <f>IFERROR(IF(AND(s_Irr!T23&lt;&gt;".",s_Irr!AR23&lt;&gt;".",s_Irr!BP23&lt;&gt;"."),s_dir!U23/((1/1000)*(s_Irr!T23+s_Irr!AR23+s_Irr!BP23)),IF(AND(s_Irr!T23&lt;&gt;".",s_Irr!AR23&lt;&gt;".",s_Irr!BP23="."),s_dir!U23/((1/1000)*(s_Irr!T23+s_Irr!AR23)),IF(AND(s_Irr!T23&lt;&gt;".",s_Irr!AR23=".",s_Irr!BP23&lt;&gt;"."),s_dir!U23/((1/1000)*(s_Irr!T23+s_Irr!BP23)),IF(AND(s_Irr!T23=".",s_Irr!AR23&lt;&gt;".",s_Irr!BP23&lt;&gt;"."),s_dir!U23/((1/1000)*(s_Irr!AR23+s_Irr!BP23)),IF(AND(s_Irr!T23=".",s_Irr!AR23=".",s_Irr!BP23&lt;&gt;"."),s_dir!U23/((1/1000)*(s_Irr!BP23)),IF(AND(s_Irr!T23=".",s_Irr!AR23&lt;&gt;".",s_Irr!BP23="."),s_dir!U23/((1/1000)*(s_Irr!AR23)),IF(AND(s_Irr!T23&lt;&gt;".",s_Irr!AR23=".",s_Irr!BP23="."),s_dir!U23/((1/1000)*(s_Irr!T23)),IF(AND(s_Irr!T23=".",s_Irr!AR23=".",s_Irr!BP23="."),s_dir!U23*1000)))))))),".")</f>
        <v>142.07135218981679</v>
      </c>
      <c r="V23" s="48">
        <f>IFERROR(IF(AND(s_Irr!U23&lt;&gt;".",s_Irr!AS23&lt;&gt;".",s_Irr!BQ23&lt;&gt;"."),s_dir!V23/((1/1000)*(s_Irr!U23+s_Irr!AS23+s_Irr!BQ23)),IF(AND(s_Irr!U23&lt;&gt;".",s_Irr!AS23&lt;&gt;".",s_Irr!BQ23="."),s_dir!V23/((1/1000)*(s_Irr!U23+s_Irr!AS23)),IF(AND(s_Irr!U23&lt;&gt;".",s_Irr!AS23=".",s_Irr!BQ23&lt;&gt;"."),s_dir!V23/((1/1000)*(s_Irr!U23+s_Irr!BQ23)),IF(AND(s_Irr!U23=".",s_Irr!AS23&lt;&gt;".",s_Irr!BQ23&lt;&gt;"."),s_dir!V23/((1/1000)*(s_Irr!AS23+s_Irr!BQ23)),IF(AND(s_Irr!U23=".",s_Irr!AS23=".",s_Irr!BQ23&lt;&gt;"."),s_dir!V23/((1/1000)*(s_Irr!BQ23)),IF(AND(s_Irr!U23=".",s_Irr!AS23&lt;&gt;".",s_Irr!BQ23="."),s_dir!V23/((1/1000)*(s_Irr!AS23)),IF(AND(s_Irr!U23&lt;&gt;".",s_Irr!AS23=".",s_Irr!BQ23="."),s_dir!V23/((1/1000)*(s_Irr!U23)),IF(AND(s_Irr!U23=".",s_Irr!AS23=".",s_Irr!BQ23="."),s_dir!V23*1000)))))))),".")</f>
        <v>130.83544993335289</v>
      </c>
      <c r="W23" s="48">
        <f>IFERROR(IF(AND(s_Irr!V23&lt;&gt;".",s_Irr!AT23&lt;&gt;".",s_Irr!BR23&lt;&gt;"."),s_dir!W23/((1/1000)*(s_Irr!V23+s_Irr!AT23+s_Irr!BR23)),IF(AND(s_Irr!V23&lt;&gt;".",s_Irr!AT23&lt;&gt;".",s_Irr!BR23="."),s_dir!W23/((1/1000)*(s_Irr!V23+s_Irr!AT23)),IF(AND(s_Irr!V23&lt;&gt;".",s_Irr!AT23=".",s_Irr!BR23&lt;&gt;"."),s_dir!W23/((1/1000)*(s_Irr!V23+s_Irr!BR23)),IF(AND(s_Irr!V23=".",s_Irr!AT23&lt;&gt;".",s_Irr!BR23&lt;&gt;"."),s_dir!W23/((1/1000)*(s_Irr!AT23+s_Irr!BR23)),IF(AND(s_Irr!V23=".",s_Irr!AT23=".",s_Irr!BR23&lt;&gt;"."),s_dir!W23/((1/1000)*(s_Irr!BR23)),IF(AND(s_Irr!V23=".",s_Irr!AT23&lt;&gt;".",s_Irr!BR23="."),s_dir!W23/((1/1000)*(s_Irr!AT23)),IF(AND(s_Irr!V23&lt;&gt;".",s_Irr!AT23=".",s_Irr!BR23="."),s_dir!W23/((1/1000)*(s_Irr!V23)),IF(AND(s_Irr!V23=".",s_Irr!AT23=".",s_Irr!BR23="."),s_dir!W23*1000)))))))),".")</f>
        <v>136.22210323658629</v>
      </c>
      <c r="X23" s="48">
        <f>IFERROR(IF(AND(s_Irr!W23&lt;&gt;".",s_Irr!AU23&lt;&gt;".",s_Irr!BS23&lt;&gt;"."),s_dir!X23/((1/1000)*(s_Irr!W23+s_Irr!AU23+s_Irr!BS23)),IF(AND(s_Irr!W23&lt;&gt;".",s_Irr!AU23&lt;&gt;".",s_Irr!BS23="."),s_dir!X23/((1/1000)*(s_Irr!W23+s_Irr!AU23)),IF(AND(s_Irr!W23&lt;&gt;".",s_Irr!AU23=".",s_Irr!BS23&lt;&gt;"."),s_dir!X23/((1/1000)*(s_Irr!W23+s_Irr!BS23)),IF(AND(s_Irr!W23=".",s_Irr!AU23&lt;&gt;".",s_Irr!BS23&lt;&gt;"."),s_dir!X23/((1/1000)*(s_Irr!AU23+s_Irr!BS23)),IF(AND(s_Irr!W23=".",s_Irr!AU23=".",s_Irr!BS23&lt;&gt;"."),s_dir!X23/((1/1000)*(s_Irr!BS23)),IF(AND(s_Irr!W23=".",s_Irr!AU23&lt;&gt;".",s_Irr!BS23="."),s_dir!X23/((1/1000)*(s_Irr!AU23)),IF(AND(s_Irr!W23&lt;&gt;".",s_Irr!AU23=".",s_Irr!BS23="."),s_dir!X23/((1/1000)*(s_Irr!W23)),IF(AND(s_Irr!W23=".",s_Irr!AU23=".",s_Irr!BS23="."),s_dir!X23*1000)))))))),".")</f>
        <v>144.13434998469575</v>
      </c>
      <c r="Y23" s="48">
        <f>IFERROR(IF(AND(s_Irr!X23&lt;&gt;".",s_Irr!AV23&lt;&gt;".",s_Irr!BT23&lt;&gt;"."),s_dir!Y23/((1/1000)*(s_Irr!X23+s_Irr!AV23+s_Irr!BT23)),IF(AND(s_Irr!X23&lt;&gt;".",s_Irr!AV23&lt;&gt;".",s_Irr!BT23="."),s_dir!Y23/((1/1000)*(s_Irr!X23+s_Irr!AV23)),IF(AND(s_Irr!X23&lt;&gt;".",s_Irr!AV23=".",s_Irr!BT23&lt;&gt;"."),s_dir!Y23/((1/1000)*(s_Irr!X23+s_Irr!BT23)),IF(AND(s_Irr!X23=".",s_Irr!AV23&lt;&gt;".",s_Irr!BT23&lt;&gt;"."),s_dir!Y23/((1/1000)*(s_Irr!AV23+s_Irr!BT23)),IF(AND(s_Irr!X23=".",s_Irr!AV23=".",s_Irr!BT23&lt;&gt;"."),s_dir!Y23/((1/1000)*(s_Irr!BT23)),IF(AND(s_Irr!X23=".",s_Irr!AV23&lt;&gt;".",s_Irr!BT23="."),s_dir!Y23/((1/1000)*(s_Irr!AV23)),IF(AND(s_Irr!X23&lt;&gt;".",s_Irr!AV23=".",s_Irr!BT23="."),s_dir!Y23/((1/1000)*(s_Irr!X23)),IF(AND(s_Irr!X23=".",s_Irr!AV23=".",s_Irr!BT23="."),s_dir!Y23*1000)))))))),".")</f>
        <v>130.83544993335289</v>
      </c>
      <c r="Z23" s="48">
        <f>IFERROR(IF(AND(s_Irr!Y23&lt;&gt;".",s_Irr!AW23&lt;&gt;".",s_Irr!BU23&lt;&gt;"."),s_dir!Z23/((1/1000)*(s_Irr!Y23+s_Irr!AW23+s_Irr!BU23)),IF(AND(s_Irr!Y23&lt;&gt;".",s_Irr!AW23&lt;&gt;".",s_Irr!BU23="."),s_dir!Z23/((1/1000)*(s_Irr!Y23+s_Irr!AW23)),IF(AND(s_Irr!Y23&lt;&gt;".",s_Irr!AW23=".",s_Irr!BU23&lt;&gt;"."),s_dir!Z23/((1/1000)*(s_Irr!Y23+s_Irr!BU23)),IF(AND(s_Irr!Y23=".",s_Irr!AW23&lt;&gt;".",s_Irr!BU23&lt;&gt;"."),s_dir!Z23/((1/1000)*(s_Irr!AW23+s_Irr!BU23)),IF(AND(s_Irr!Y23=".",s_Irr!AW23=".",s_Irr!BU23&lt;&gt;"."),s_dir!Z23/((1/1000)*(s_Irr!BU23)),IF(AND(s_Irr!Y23=".",s_Irr!AW23&lt;&gt;".",s_Irr!BU23="."),s_dir!Z23/((1/1000)*(s_Irr!AW23)),IF(AND(s_Irr!Y23&lt;&gt;".",s_Irr!AW23=".",s_Irr!BU23="."),s_dir!Z23/((1/1000)*(s_Irr!Y23)),IF(AND(s_Irr!Y23=".",s_Irr!AW23=".",s_Irr!BU23="."),s_dir!Z23*1000)))))))),".")</f>
        <v>166.16355370151189</v>
      </c>
      <c r="AA23" s="48">
        <f>IFERROR(IF(AND(s_Irr!Z23&lt;&gt;".",s_Irr!AX23&lt;&gt;".",s_Irr!BV23&lt;&gt;"."),s_dir!AA23/((1/1000)*(s_Irr!Z23+s_Irr!AX23+s_Irr!BV23)),IF(AND(s_Irr!Z23&lt;&gt;".",s_Irr!AX23&lt;&gt;".",s_Irr!BV23="."),s_dir!AA23/((1/1000)*(s_Irr!Z23+s_Irr!AX23)),IF(AND(s_Irr!Z23&lt;&gt;".",s_Irr!AX23=".",s_Irr!BV23&lt;&gt;"."),s_dir!AA23/((1/1000)*(s_Irr!Z23+s_Irr!BV23)),IF(AND(s_Irr!Z23=".",s_Irr!AX23&lt;&gt;".",s_Irr!BV23&lt;&gt;"."),s_dir!AA23/((1/1000)*(s_Irr!AX23+s_Irr!BV23)),IF(AND(s_Irr!Z23=".",s_Irr!AX23=".",s_Irr!BV23&lt;&gt;"."),s_dir!AA23/((1/1000)*(s_Irr!BV23)),IF(AND(s_Irr!Z23=".",s_Irr!AX23&lt;&gt;".",s_Irr!BV23="."),s_dir!AA23/((1/1000)*(s_Irr!AX23)),IF(AND(s_Irr!Z23&lt;&gt;".",s_Irr!AX23=".",s_Irr!BV23="."),s_dir!AA23/((1/1000)*(s_Irr!Z23)),IF(AND(s_Irr!Z23=".",s_Irr!AX23=".",s_Irr!BV23="."),s_dir!AA23*1000)))))))),".")</f>
        <v>130.83544993335289</v>
      </c>
      <c r="AB23" s="62">
        <f t="shared" si="3"/>
        <v>307.25086171274592</v>
      </c>
      <c r="AC23" s="62">
        <f>IFERROR(s_C*s_IFAP_res_adj*s_CF_apple*0.001*(s_Irr!C23+s_Irr!AA23+s_Irr!AY23),".")</f>
        <v>103.48385260743784</v>
      </c>
      <c r="AD23" s="62">
        <f>IFERROR(s_C*s_IFAS_res_adj*s_CF_asparagus*0.001*(s_Irr!D23+s_Irr!AB23+s_Irr!AZ23),".")</f>
        <v>225.20046522479754</v>
      </c>
      <c r="AE23" s="62">
        <f>IFERROR(s_C*s_IFBT_res_adj*s_CF_beet*0.001*(s_Irr!E23+s_Irr!AC23+s_Irr!BA23),".")</f>
        <v>193.64430639807466</v>
      </c>
      <c r="AF23" s="62">
        <f>IFERROR(s_C*s_IFBE_res_adj*s_CF_berries*0.001*(s_Irr!F23+s_Irr!AD23+s_Irr!BB23),".")</f>
        <v>103.48385260743784</v>
      </c>
      <c r="AG23" s="62">
        <f>IFERROR(s_C*s_IFBR_res_adj*s_CF_broccoli*0.001*(s_Irr!G23+s_Irr!AE23+s_Irr!BC23),".")</f>
        <v>114.00257221634547</v>
      </c>
      <c r="AH23" s="62">
        <f>IFERROR(s_C*s_IFCB_res_adj*s_CF_cabbage*0.001*(s_Irr!H23+s_Irr!AF23+s_Irr!BD23),".")</f>
        <v>225.20046522479754</v>
      </c>
      <c r="AI23" s="62">
        <f>IFERROR(s_C*s_IFCR_res_adj*s_CF_carrot*0.001*(s_Irr!I23+s_Irr!AG23+s_Irr!BE23),".")</f>
        <v>193.64430639807466</v>
      </c>
      <c r="AJ23" s="62">
        <f>IFERROR(s_C*s_IFCI_res_adj*s_CF_citrus*0.001*(s_Irr!J23+s_Irr!AH23+s_Irr!BF23),".")</f>
        <v>103.48385260743784</v>
      </c>
      <c r="AK23" s="62">
        <f>IFERROR(s_C*s_IFCO_res_adj*s_CF_corn*0.001*(s_Irr!K23+s_Irr!AI23+s_Irr!BG23),".")</f>
        <v>92.063528460623843</v>
      </c>
      <c r="AL23" s="62">
        <f>IFERROR(s_C*s_IFCU_res_adj*s_CF_cucumber*0.001*(s_Irr!L23+s_Irr!AJ23+s_Irr!BH23),".")</f>
        <v>114.00257221634547</v>
      </c>
      <c r="AM23" s="62">
        <f>IFERROR(s_C*s_IFLE_res_adj*s_CF_lettuce*0.001*(s_Irr!M23+s_Irr!AK23+s_Irr!BI23),".")</f>
        <v>225.20046522479754</v>
      </c>
      <c r="AN23" s="62">
        <f>IFERROR(s_C*s_IFLI_res_adj*s_CF_lima_bean*0.001*(s_Irr!N23+s_Irr!AL23+s_Irr!BJ23),".")</f>
        <v>109.49454952681363</v>
      </c>
      <c r="AO23" s="62">
        <f>IFERROR(s_C*s_IFOK_res_adj*s_CF_okra*0.001*(s_Irr!O23+s_Irr!AM23+s_Irr!BK23),".")</f>
        <v>114.00257221634547</v>
      </c>
      <c r="AP23" s="62">
        <f>IFERROR(s_C*s_IFON_res_adj*s_CF_onion*0.001*(s_Irr!P23+s_Irr!AN23+s_Irr!BL23),".")</f>
        <v>114.00257221634547</v>
      </c>
      <c r="AQ23" s="62">
        <f>IFERROR(s_C*s_IFPC_res_adj*s_CF_peach*0.001*(s_Irr!Q23+s_Irr!AO23+s_Irr!BM23),".")</f>
        <v>103.48385260743784</v>
      </c>
      <c r="AR23" s="62">
        <f>IFERROR(s_C*s_IFPR_res_adj*s_CF_pear*0.001*(s_Irr!R23+s_Irr!AP23+s_Irr!BN23),".")</f>
        <v>103.48385260743784</v>
      </c>
      <c r="AS23" s="62">
        <f>IFERROR(s_C*s_IFPE_res_adj*s_CF_peas*0.001*(s_Irr!S23+s_Irr!AQ23+s_Irr!BO23),".")</f>
        <v>109.49454952681363</v>
      </c>
      <c r="AT23" s="62">
        <f>IFERROR(s_C*s_IFPT_res_adj*s_CF_potato*0.001*(s_Irr!T23+s_Irr!AR23+s_Irr!BP23),".")</f>
        <v>104.98652683728179</v>
      </c>
      <c r="AU23" s="62">
        <f>IFERROR(s_C*s_IFPU_res_adj*s_CF_pumpkin*0.001*(s_Irr!U23+s_Irr!AS23+s_Irr!BQ23),".")</f>
        <v>114.00257221634547</v>
      </c>
      <c r="AV23" s="62">
        <f>IFERROR(s_C*s_IFSN_res_adj*s_CF_snap_bean*0.001*(s_Irr!V23+s_Irr!AT23+s_Irr!BR23),".")</f>
        <v>109.49454952681363</v>
      </c>
      <c r="AW23" s="62">
        <f>IFERROR(s_C*s_IFST_res_adj*s_CF_strawberry*0.001*(s_Irr!W23+s_Irr!AU23+s_Irr!BS23),".")</f>
        <v>103.48385260743784</v>
      </c>
      <c r="AX23" s="62">
        <f>IFERROR(s_C*s_IFTO_res_adj*s_CF_tomato*0.001*(s_Irr!X23+s_Irr!AV23+s_Irr!BT23),".")</f>
        <v>114.00257221634547</v>
      </c>
      <c r="AY23" s="62">
        <f>IFERROR(s_C*s_IFRI_res_adj*s_CF_rice*0.001*(s_Irr!Y23+s_Irr!AW23+s_Irr!BU23),".")</f>
        <v>89.764436888962607</v>
      </c>
      <c r="AZ23" s="62">
        <f>IFERROR(s_C*s_IFCG_res_adj*s_CF_cereal*0.001*(s_Irr!Z23+s_Irr!AX23+s_Irr!BV23),".")</f>
        <v>114.00257221634547</v>
      </c>
      <c r="BA23" s="48">
        <f t="shared" si="0"/>
        <v>48.545275825556324</v>
      </c>
      <c r="BB23" s="48">
        <f>IFERROR(IF(AND(s_Irr!C23&lt;&gt;".",s_Irr!AA23&lt;&gt;".",s_Irr!AY23&lt;&gt;"."),s_dir!AC23/((1/1000)*(s_Irr!C23+s_Irr!AA23+s_Irr!AY23)),IF(AND(s_Irr!C23&lt;&gt;".",s_Irr!AA23&lt;&gt;".",s_Irr!AY23="."),s_dir!AC23/((1/1000)*(s_Irr!C23+s_Irr!AA23)),IF(AND(s_Irr!C23&lt;&gt;".",s_Irr!AA23=".",s_Irr!AY23&lt;&gt;"."),s_dir!AC23/((1/1000)*(s_Irr!C23+s_Irr!AY23)),IF(AND(s_Irr!C23=".",s_Irr!AA23&lt;&gt;".",s_Irr!AY23&lt;&gt;"."),s_dir!AC23/((1/1000)*(s_Irr!AA23+s_Irr!AY23)),IF(AND(s_Irr!C23=".",s_Irr!AA23=".",s_Irr!AY23&lt;&gt;"."),s_dir!AC23/((1/1000)*(s_Irr!AY23)),IF(AND(s_Irr!C23=".",s_Irr!AA23&lt;&gt;".",s_Irr!AY23="."),s_dir!AC23/((1/1000)*(s_Irr!AA23)),IF(AND(s_Irr!C23&lt;&gt;".",s_Irr!AA23=".",s_Irr!AY23="."),s_dir!AC23/((1/1000)*(s_Irr!C23)),IF(AND(s_Irr!C23=".",s_Irr!AA23=".",s_Irr!AY23="."),s_dir!AC23*1000)))))))),".")</f>
        <v>144.13434998469575</v>
      </c>
      <c r="BC23" s="48">
        <f>IFERROR(IF(AND(s_Irr!D23&lt;&gt;".",s_Irr!AB23&lt;&gt;".",s_Irr!AZ23&lt;&gt;"."),s_dir!AD23/((1/1000)*(s_Irr!D23+s_Irr!AB23+s_Irr!AZ23)),IF(AND(s_Irr!D23&lt;&gt;".",s_Irr!AB23&lt;&gt;".",s_Irr!AZ23="."),s_dir!AD23/((1/1000)*(s_Irr!D23+s_Irr!AB23)),IF(AND(s_Irr!D23&lt;&gt;".",s_Irr!AB23=".",s_Irr!AZ23&lt;&gt;"."),s_dir!AD23/((1/1000)*(s_Irr!D23+s_Irr!AZ23)),IF(AND(s_Irr!D23=".",s_Irr!AB23&lt;&gt;".",s_Irr!AZ23&lt;&gt;"."),s_dir!AD23/((1/1000)*(s_Irr!AB23+s_Irr!AZ23)),IF(AND(s_Irr!D23=".",s_Irr!AB23=".",s_Irr!AZ23&lt;&gt;"."),s_dir!AD23/((1/1000)*(s_Irr!AZ23)),IF(AND(s_Irr!D23=".",s_Irr!AB23&lt;&gt;".",s_Irr!AZ23="."),s_dir!AD23/((1/1000)*(s_Irr!AB23)),IF(AND(s_Irr!D23&lt;&gt;".",s_Irr!AB23=".",s_Irr!AZ23="."),s_dir!AD23/((1/1000)*(s_Irr!D23)),IF(AND(s_Irr!D23=".",s_Irr!AB23=".",s_Irr!AZ23="."),s_dir!AD23*1000)))))))),".")</f>
        <v>66.232446787337778</v>
      </c>
      <c r="BD23" s="48">
        <f>IFERROR(IF(AND(s_Irr!E23&lt;&gt;".",s_Irr!AC23&lt;&gt;".",s_Irr!BA23&lt;&gt;"."),s_dir!AE23/((1/1000)*(s_Irr!E23+s_Irr!AC23+s_Irr!BA23)),IF(AND(s_Irr!E23&lt;&gt;".",s_Irr!AC23&lt;&gt;".",s_Irr!BA23="."),s_dir!AE23/((1/1000)*(s_Irr!E23+s_Irr!AC23)),IF(AND(s_Irr!E23&lt;&gt;".",s_Irr!AC23=".",s_Irr!BA23&lt;&gt;"."),s_dir!AE23/((1/1000)*(s_Irr!E23+s_Irr!BA23)),IF(AND(s_Irr!E23=".",s_Irr!AC23&lt;&gt;".",s_Irr!BA23&lt;&gt;"."),s_dir!AE23/((1/1000)*(s_Irr!AC23+s_Irr!BA23)),IF(AND(s_Irr!E23=".",s_Irr!AC23=".",s_Irr!BA23&lt;&gt;"."),s_dir!AE23/((1/1000)*(s_Irr!BA23)),IF(AND(s_Irr!E23=".",s_Irr!AC23&lt;&gt;".",s_Irr!BA23="."),s_dir!AE23/((1/1000)*(s_Irr!AC23)),IF(AND(s_Irr!E23&lt;&gt;".",s_Irr!AC23=".",s_Irr!BA23="."),s_dir!AE23/((1/1000)*(s_Irr!E23)),IF(AND(s_Irr!E23=".",s_Irr!AC23=".",s_Irr!BA23="."),s_dir!AE23*1000)))))))),".")</f>
        <v>77.025646180493197</v>
      </c>
      <c r="BE23" s="48">
        <f>IFERROR(IF(AND(s_Irr!F23&lt;&gt;".",s_Irr!AD23&lt;&gt;".",s_Irr!BB23&lt;&gt;"."),s_dir!AF23/((1/1000)*(s_Irr!F23+s_Irr!AD23+s_Irr!BB23)),IF(AND(s_Irr!F23&lt;&gt;".",s_Irr!AD23&lt;&gt;".",s_Irr!BB23="."),s_dir!AF23/((1/1000)*(s_Irr!F23+s_Irr!AD23)),IF(AND(s_Irr!F23&lt;&gt;".",s_Irr!AD23=".",s_Irr!BB23&lt;&gt;"."),s_dir!AF23/((1/1000)*(s_Irr!F23+s_Irr!BB23)),IF(AND(s_Irr!F23=".",s_Irr!AD23&lt;&gt;".",s_Irr!BB23&lt;&gt;"."),s_dir!AF23/((1/1000)*(s_Irr!AD23+s_Irr!BB23)),IF(AND(s_Irr!F23=".",s_Irr!AD23=".",s_Irr!BB23&lt;&gt;"."),s_dir!AF23/((1/1000)*(s_Irr!BB23)),IF(AND(s_Irr!F23=".",s_Irr!AD23&lt;&gt;".",s_Irr!BB23="."),s_dir!AF23/((1/1000)*(s_Irr!AD23)),IF(AND(s_Irr!F23&lt;&gt;".",s_Irr!AD23=".",s_Irr!BB23="."),s_dir!AF23/((1/1000)*(s_Irr!F23)),IF(AND(s_Irr!F23=".",s_Irr!AD23=".",s_Irr!BB23="."),s_dir!AF23*1000)))))))),".")</f>
        <v>144.13434998469575</v>
      </c>
      <c r="BF23" s="48">
        <f>IFERROR(IF(AND(s_Irr!G23&lt;&gt;".",s_Irr!AE23&lt;&gt;".",s_Irr!BC23&lt;&gt;"."),s_dir!AG23/((1/1000)*(s_Irr!G23+s_Irr!AE23+s_Irr!BC23)),IF(AND(s_Irr!G23&lt;&gt;".",s_Irr!AE23&lt;&gt;".",s_Irr!BC23="."),s_dir!AG23/((1/1000)*(s_Irr!G23+s_Irr!AE23)),IF(AND(s_Irr!G23&lt;&gt;".",s_Irr!AE23=".",s_Irr!BC23&lt;&gt;"."),s_dir!AG23/((1/1000)*(s_Irr!G23+s_Irr!BC23)),IF(AND(s_Irr!G23=".",s_Irr!AE23&lt;&gt;".",s_Irr!BC23&lt;&gt;"."),s_dir!AG23/((1/1000)*(s_Irr!AE23+s_Irr!BC23)),IF(AND(s_Irr!G23=".",s_Irr!AE23=".",s_Irr!BC23&lt;&gt;"."),s_dir!AG23/((1/1000)*(s_Irr!BC23)),IF(AND(s_Irr!G23=".",s_Irr!AE23&lt;&gt;".",s_Irr!BC23="."),s_dir!AG23/((1/1000)*(s_Irr!AE23)),IF(AND(s_Irr!G23&lt;&gt;".",s_Irr!AE23=".",s_Irr!BC23="."),s_dir!AG23/((1/1000)*(s_Irr!G23)),IF(AND(s_Irr!G23=".",s_Irr!AE23=".",s_Irr!BC23="."),s_dir!AG23*1000)))))))),".")</f>
        <v>130.83544993335289</v>
      </c>
      <c r="BG23" s="48">
        <f>IFERROR(IF(AND(s_Irr!H23&lt;&gt;".",s_Irr!AF23&lt;&gt;".",s_Irr!BD23&lt;&gt;"."),s_dir!AH23/((1/1000)*(s_Irr!H23+s_Irr!AF23+s_Irr!BD23)),IF(AND(s_Irr!H23&lt;&gt;".",s_Irr!AF23&lt;&gt;".",s_Irr!BD23="."),s_dir!AH23/((1/1000)*(s_Irr!H23+s_Irr!AF23)),IF(AND(s_Irr!H23&lt;&gt;".",s_Irr!AF23=".",s_Irr!BD23&lt;&gt;"."),s_dir!AH23/((1/1000)*(s_Irr!H23+s_Irr!BD23)),IF(AND(s_Irr!H23=".",s_Irr!AF23&lt;&gt;".",s_Irr!BD23&lt;&gt;"."),s_dir!AH23/((1/1000)*(s_Irr!AF23+s_Irr!BD23)),IF(AND(s_Irr!H23=".",s_Irr!AF23=".",s_Irr!BD23&lt;&gt;"."),s_dir!AH23/((1/1000)*(s_Irr!BD23)),IF(AND(s_Irr!H23=".",s_Irr!AF23&lt;&gt;".",s_Irr!BD23="."),s_dir!AH23/((1/1000)*(s_Irr!AF23)),IF(AND(s_Irr!H23&lt;&gt;".",s_Irr!AF23=".",s_Irr!BD23="."),s_dir!AH23/((1/1000)*(s_Irr!H23)),IF(AND(s_Irr!H23=".",s_Irr!AF23=".",s_Irr!BD23="."),s_dir!AH23*1000)))))))),".")</f>
        <v>66.232446787337778</v>
      </c>
      <c r="BH23" s="48">
        <f>IFERROR(IF(AND(s_Irr!I23&lt;&gt;".",s_Irr!AG23&lt;&gt;".",s_Irr!BE23&lt;&gt;"."),s_dir!AI23/((1/1000)*(s_Irr!I23+s_Irr!AG23+s_Irr!BE23)),IF(AND(s_Irr!I23&lt;&gt;".",s_Irr!AG23&lt;&gt;".",s_Irr!BE23="."),s_dir!AI23/((1/1000)*(s_Irr!I23+s_Irr!AG23)),IF(AND(s_Irr!I23&lt;&gt;".",s_Irr!AG23=".",s_Irr!BE23&lt;&gt;"."),s_dir!AI23/((1/1000)*(s_Irr!I23+s_Irr!BE23)),IF(AND(s_Irr!I23=".",s_Irr!AG23&lt;&gt;".",s_Irr!BE23&lt;&gt;"."),s_dir!AI23/((1/1000)*(s_Irr!AG23+s_Irr!BE23)),IF(AND(s_Irr!I23=".",s_Irr!AG23=".",s_Irr!BE23&lt;&gt;"."),s_dir!AI23/((1/1000)*(s_Irr!BE23)),IF(AND(s_Irr!I23=".",s_Irr!AG23&lt;&gt;".",s_Irr!BE23="."),s_dir!AI23/((1/1000)*(s_Irr!AG23)),IF(AND(s_Irr!I23&lt;&gt;".",s_Irr!AG23=".",s_Irr!BE23="."),s_dir!AI23/((1/1000)*(s_Irr!I23)),IF(AND(s_Irr!I23=".",s_Irr!AG23=".",s_Irr!BE23="."),s_dir!AI23*1000)))))))),".")</f>
        <v>77.025646180493197</v>
      </c>
      <c r="BI23" s="48">
        <f>IFERROR(IF(AND(s_Irr!J23&lt;&gt;".",s_Irr!AH23&lt;&gt;".",s_Irr!BF23&lt;&gt;"."),s_dir!AJ23/((1/1000)*(s_Irr!J23+s_Irr!AH23+s_Irr!BF23)),IF(AND(s_Irr!J23&lt;&gt;".",s_Irr!AH23&lt;&gt;".",s_Irr!BF23="."),s_dir!AJ23/((1/1000)*(s_Irr!J23+s_Irr!AH23)),IF(AND(s_Irr!J23&lt;&gt;".",s_Irr!AH23=".",s_Irr!BF23&lt;&gt;"."),s_dir!AJ23/((1/1000)*(s_Irr!J23+s_Irr!BF23)),IF(AND(s_Irr!J23=".",s_Irr!AH23&lt;&gt;".",s_Irr!BF23&lt;&gt;"."),s_dir!AJ23/((1/1000)*(s_Irr!AH23+s_Irr!BF23)),IF(AND(s_Irr!J23=".",s_Irr!AH23=".",s_Irr!BF23&lt;&gt;"."),s_dir!AJ23/((1/1000)*(s_Irr!BF23)),IF(AND(s_Irr!J23=".",s_Irr!AH23&lt;&gt;".",s_Irr!BF23="."),s_dir!AJ23/((1/1000)*(s_Irr!AH23)),IF(AND(s_Irr!J23&lt;&gt;".",s_Irr!AH23=".",s_Irr!BF23="."),s_dir!AJ23/((1/1000)*(s_Irr!J23)),IF(AND(s_Irr!J23=".",s_Irr!AH23=".",s_Irr!BF23="."),s_dir!AJ23*1000)))))))),".")</f>
        <v>144.13434998469575</v>
      </c>
      <c r="BJ23" s="48">
        <f>IFERROR(IF(AND(s_Irr!K23&lt;&gt;".",s_Irr!AI23&lt;&gt;".",s_Irr!BG23&lt;&gt;"."),s_dir!AK23/((1/1000)*(s_Irr!K23+s_Irr!AI23+s_Irr!BG23)),IF(AND(s_Irr!K23&lt;&gt;".",s_Irr!AI23&lt;&gt;".",s_Irr!BG23="."),s_dir!AK23/((1/1000)*(s_Irr!K23+s_Irr!AI23)),IF(AND(s_Irr!K23&lt;&gt;".",s_Irr!AI23=".",s_Irr!BG23&lt;&gt;"."),s_dir!AK23/((1/1000)*(s_Irr!K23+s_Irr!BG23)),IF(AND(s_Irr!K23=".",s_Irr!AI23&lt;&gt;".",s_Irr!BG23&lt;&gt;"."),s_dir!AK23/((1/1000)*(s_Irr!AI23+s_Irr!BG23)),IF(AND(s_Irr!K23=".",s_Irr!AI23=".",s_Irr!BG23&lt;&gt;"."),s_dir!AK23/((1/1000)*(s_Irr!BG23)),IF(AND(s_Irr!K23=".",s_Irr!AI23&lt;&gt;".",s_Irr!BG23="."),s_dir!AK23/((1/1000)*(s_Irr!AI23)),IF(AND(s_Irr!K23&lt;&gt;".",s_Irr!AI23=".",s_Irr!BG23="."),s_dir!AK23/((1/1000)*(s_Irr!K23)),IF(AND(s_Irr!K23=".",s_Irr!AI23=".",s_Irr!BG23="."),s_dir!AK23*1000)))))))),".")</f>
        <v>162.01397099248268</v>
      </c>
      <c r="BK23" s="48">
        <f>IFERROR(IF(AND(s_Irr!L23&lt;&gt;".",s_Irr!AJ23&lt;&gt;".",s_Irr!BH23&lt;&gt;"."),s_dir!AL23/((1/1000)*(s_Irr!L23+s_Irr!AJ23+s_Irr!BH23)),IF(AND(s_Irr!L23&lt;&gt;".",s_Irr!AJ23&lt;&gt;".",s_Irr!BH23="."),s_dir!AL23/((1/1000)*(s_Irr!L23+s_Irr!AJ23)),IF(AND(s_Irr!L23&lt;&gt;".",s_Irr!AJ23=".",s_Irr!BH23&lt;&gt;"."),s_dir!AL23/((1/1000)*(s_Irr!L23+s_Irr!BH23)),IF(AND(s_Irr!L23=".",s_Irr!AJ23&lt;&gt;".",s_Irr!BH23&lt;&gt;"."),s_dir!AL23/((1/1000)*(s_Irr!AJ23+s_Irr!BH23)),IF(AND(s_Irr!L23=".",s_Irr!AJ23=".",s_Irr!BH23&lt;&gt;"."),s_dir!AL23/((1/1000)*(s_Irr!BH23)),IF(AND(s_Irr!L23=".",s_Irr!AJ23&lt;&gt;".",s_Irr!BH23="."),s_dir!AL23/((1/1000)*(s_Irr!AJ23)),IF(AND(s_Irr!L23&lt;&gt;".",s_Irr!AJ23=".",s_Irr!BH23="."),s_dir!AL23/((1/1000)*(s_Irr!L23)),IF(AND(s_Irr!L23=".",s_Irr!AJ23=".",s_Irr!BH23="."),s_dir!AL23*1000)))))))),".")</f>
        <v>130.83544993335289</v>
      </c>
      <c r="BL23" s="48">
        <f>IFERROR(IF(AND(s_Irr!M23&lt;&gt;".",s_Irr!AK23&lt;&gt;".",s_Irr!BI23&lt;&gt;"."),s_dir!AM23/((1/1000)*(s_Irr!M23+s_Irr!AK23+s_Irr!BI23)),IF(AND(s_Irr!M23&lt;&gt;".",s_Irr!AK23&lt;&gt;".",s_Irr!BI23="."),s_dir!AM23/((1/1000)*(s_Irr!M23+s_Irr!AK23)),IF(AND(s_Irr!M23&lt;&gt;".",s_Irr!AK23=".",s_Irr!BI23&lt;&gt;"."),s_dir!AM23/((1/1000)*(s_Irr!M23+s_Irr!BI23)),IF(AND(s_Irr!M23=".",s_Irr!AK23&lt;&gt;".",s_Irr!BI23&lt;&gt;"."),s_dir!AM23/((1/1000)*(s_Irr!AK23+s_Irr!BI23)),IF(AND(s_Irr!M23=".",s_Irr!AK23=".",s_Irr!BI23&lt;&gt;"."),s_dir!AM23/((1/1000)*(s_Irr!BI23)),IF(AND(s_Irr!M23=".",s_Irr!AK23&lt;&gt;".",s_Irr!BI23="."),s_dir!AM23/((1/1000)*(s_Irr!AK23)),IF(AND(s_Irr!M23&lt;&gt;".",s_Irr!AK23=".",s_Irr!BI23="."),s_dir!AM23/((1/1000)*(s_Irr!M23)),IF(AND(s_Irr!M23=".",s_Irr!AK23=".",s_Irr!BI23="."),s_dir!AM23*1000)))))))),".")</f>
        <v>66.232446787337778</v>
      </c>
      <c r="BM23" s="48">
        <f>IFERROR(IF(AND(s_Irr!N23&lt;&gt;".",s_Irr!AL23&lt;&gt;".",s_Irr!BJ23&lt;&gt;"."),s_dir!AN23/((1/1000)*(s_Irr!N23+s_Irr!AL23+s_Irr!BJ23)),IF(AND(s_Irr!N23&lt;&gt;".",s_Irr!AL23&lt;&gt;".",s_Irr!BJ23="."),s_dir!AN23/((1/1000)*(s_Irr!N23+s_Irr!AL23)),IF(AND(s_Irr!N23&lt;&gt;".",s_Irr!AL23=".",s_Irr!BJ23&lt;&gt;"."),s_dir!AN23/((1/1000)*(s_Irr!N23+s_Irr!BJ23)),IF(AND(s_Irr!N23=".",s_Irr!AL23&lt;&gt;".",s_Irr!BJ23&lt;&gt;"."),s_dir!AN23/((1/1000)*(s_Irr!AL23+s_Irr!BJ23)),IF(AND(s_Irr!N23=".",s_Irr!AL23=".",s_Irr!BJ23&lt;&gt;"."),s_dir!AN23/((1/1000)*(s_Irr!BJ23)),IF(AND(s_Irr!N23=".",s_Irr!AL23&lt;&gt;".",s_Irr!BJ23="."),s_dir!AN23/((1/1000)*(s_Irr!AL23)),IF(AND(s_Irr!N23&lt;&gt;".",s_Irr!AL23=".",s_Irr!BJ23="."),s_dir!AN23/((1/1000)*(s_Irr!N23)),IF(AND(s_Irr!N23=".",s_Irr!AL23=".",s_Irr!BJ23="."),s_dir!AN23*1000)))))))),".")</f>
        <v>136.22210323658629</v>
      </c>
      <c r="BN23" s="48">
        <f>IFERROR(IF(AND(s_Irr!O23&lt;&gt;".",s_Irr!AM23&lt;&gt;".",s_Irr!BK23&lt;&gt;"."),s_dir!AO23/((1/1000)*(s_Irr!O23+s_Irr!AM23+s_Irr!BK23)),IF(AND(s_Irr!O23&lt;&gt;".",s_Irr!AM23&lt;&gt;".",s_Irr!BK23="."),s_dir!AO23/((1/1000)*(s_Irr!O23+s_Irr!AM23)),IF(AND(s_Irr!O23&lt;&gt;".",s_Irr!AM23=".",s_Irr!BK23&lt;&gt;"."),s_dir!AO23/((1/1000)*(s_Irr!O23+s_Irr!BK23)),IF(AND(s_Irr!O23=".",s_Irr!AM23&lt;&gt;".",s_Irr!BK23&lt;&gt;"."),s_dir!AO23/((1/1000)*(s_Irr!AM23+s_Irr!BK23)),IF(AND(s_Irr!O23=".",s_Irr!AM23=".",s_Irr!BK23&lt;&gt;"."),s_dir!AO23/((1/1000)*(s_Irr!BK23)),IF(AND(s_Irr!O23=".",s_Irr!AM23&lt;&gt;".",s_Irr!BK23="."),s_dir!AO23/((1/1000)*(s_Irr!AM23)),IF(AND(s_Irr!O23&lt;&gt;".",s_Irr!AM23=".",s_Irr!BK23="."),s_dir!AO23/((1/1000)*(s_Irr!O23)),IF(AND(s_Irr!O23=".",s_Irr!AM23=".",s_Irr!BK23="."),s_dir!AO23*1000)))))))),".")</f>
        <v>130.83544993335289</v>
      </c>
      <c r="BO23" s="48">
        <f>IFERROR(IF(AND(s_Irr!P23&lt;&gt;".",s_Irr!AN23&lt;&gt;".",s_Irr!BL23&lt;&gt;"."),s_dir!AP23/((1/1000)*(s_Irr!P23+s_Irr!AN23+s_Irr!BL23)),IF(AND(s_Irr!P23&lt;&gt;".",s_Irr!AN23&lt;&gt;".",s_Irr!BL23="."),s_dir!AP23/((1/1000)*(s_Irr!P23+s_Irr!AN23)),IF(AND(s_Irr!P23&lt;&gt;".",s_Irr!AN23=".",s_Irr!BL23&lt;&gt;"."),s_dir!AP23/((1/1000)*(s_Irr!P23+s_Irr!BL23)),IF(AND(s_Irr!P23=".",s_Irr!AN23&lt;&gt;".",s_Irr!BL23&lt;&gt;"."),s_dir!AP23/((1/1000)*(s_Irr!AN23+s_Irr!BL23)),IF(AND(s_Irr!P23=".",s_Irr!AN23=".",s_Irr!BL23&lt;&gt;"."),s_dir!AP23/((1/1000)*(s_Irr!BL23)),IF(AND(s_Irr!P23=".",s_Irr!AN23&lt;&gt;".",s_Irr!BL23="."),s_dir!AP23/((1/1000)*(s_Irr!AN23)),IF(AND(s_Irr!P23&lt;&gt;".",s_Irr!AN23=".",s_Irr!BL23="."),s_dir!AP23/((1/1000)*(s_Irr!P23)),IF(AND(s_Irr!P23=".",s_Irr!AN23=".",s_Irr!BL23="."),s_dir!AP23*1000)))))))),".")</f>
        <v>130.83544993335289</v>
      </c>
      <c r="BP23" s="48">
        <f>IFERROR(IF(AND(s_Irr!Q23&lt;&gt;".",s_Irr!AO23&lt;&gt;".",s_Irr!BM23&lt;&gt;"."),s_dir!AQ23/((1/1000)*(s_Irr!Q23+s_Irr!AO23+s_Irr!BM23)),IF(AND(s_Irr!Q23&lt;&gt;".",s_Irr!AO23&lt;&gt;".",s_Irr!BM23="."),s_dir!AQ23/((1/1000)*(s_Irr!Q23+s_Irr!AO23)),IF(AND(s_Irr!Q23&lt;&gt;".",s_Irr!AO23=".",s_Irr!BM23&lt;&gt;"."),s_dir!AQ23/((1/1000)*(s_Irr!Q23+s_Irr!BM23)),IF(AND(s_Irr!Q23=".",s_Irr!AO23&lt;&gt;".",s_Irr!BM23&lt;&gt;"."),s_dir!AQ23/((1/1000)*(s_Irr!AO23+s_Irr!BM23)),IF(AND(s_Irr!Q23=".",s_Irr!AO23=".",s_Irr!BM23&lt;&gt;"."),s_dir!AQ23/((1/1000)*(s_Irr!BM23)),IF(AND(s_Irr!Q23=".",s_Irr!AO23&lt;&gt;".",s_Irr!BM23="."),s_dir!AQ23/((1/1000)*(s_Irr!AO23)),IF(AND(s_Irr!Q23&lt;&gt;".",s_Irr!AO23=".",s_Irr!BM23="."),s_dir!AQ23/((1/1000)*(s_Irr!Q23)),IF(AND(s_Irr!Q23=".",s_Irr!AO23=".",s_Irr!BM23="."),s_dir!AQ23*1000)))))))),".")</f>
        <v>144.13434998469575</v>
      </c>
      <c r="BQ23" s="48">
        <f>IFERROR(IF(AND(s_Irr!R23&lt;&gt;".",s_Irr!AP23&lt;&gt;".",s_Irr!BN23&lt;&gt;"."),s_dir!AR23/((1/1000)*(s_Irr!R23+s_Irr!AP23+s_Irr!BN23)),IF(AND(s_Irr!R23&lt;&gt;".",s_Irr!AP23&lt;&gt;".",s_Irr!BN23="."),s_dir!AR23/((1/1000)*(s_Irr!R23+s_Irr!AP23)),IF(AND(s_Irr!R23&lt;&gt;".",s_Irr!AP23=".",s_Irr!BN23&lt;&gt;"."),s_dir!AR23/((1/1000)*(s_Irr!R23+s_Irr!BN23)),IF(AND(s_Irr!R23=".",s_Irr!AP23&lt;&gt;".",s_Irr!BN23&lt;&gt;"."),s_dir!AR23/((1/1000)*(s_Irr!AP23+s_Irr!BN23)),IF(AND(s_Irr!R23=".",s_Irr!AP23=".",s_Irr!BN23&lt;&gt;"."),s_dir!AR23/((1/1000)*(s_Irr!BN23)),IF(AND(s_Irr!R23=".",s_Irr!AP23&lt;&gt;".",s_Irr!BN23="."),s_dir!AR23/((1/1000)*(s_Irr!AP23)),IF(AND(s_Irr!R23&lt;&gt;".",s_Irr!AP23=".",s_Irr!BN23="."),s_dir!AR23/((1/1000)*(s_Irr!R23)),IF(AND(s_Irr!R23=".",s_Irr!AP23=".",s_Irr!BN23="."),s_dir!AR23*1000)))))))),".")</f>
        <v>144.13434998469575</v>
      </c>
      <c r="BR23" s="48">
        <f>IFERROR(IF(AND(s_Irr!S23&lt;&gt;".",s_Irr!AQ23&lt;&gt;".",s_Irr!BO23&lt;&gt;"."),s_dir!AS23/((1/1000)*(s_Irr!S23+s_Irr!AQ23+s_Irr!BO23)),IF(AND(s_Irr!S23&lt;&gt;".",s_Irr!AQ23&lt;&gt;".",s_Irr!BO23="."),s_dir!AS23/((1/1000)*(s_Irr!S23+s_Irr!AQ23)),IF(AND(s_Irr!S23&lt;&gt;".",s_Irr!AQ23=".",s_Irr!BO23&lt;&gt;"."),s_dir!AS23/((1/1000)*(s_Irr!S23+s_Irr!BO23)),IF(AND(s_Irr!S23=".",s_Irr!AQ23&lt;&gt;".",s_Irr!BO23&lt;&gt;"."),s_dir!AS23/((1/1000)*(s_Irr!AQ23+s_Irr!BO23)),IF(AND(s_Irr!S23=".",s_Irr!AQ23=".",s_Irr!BO23&lt;&gt;"."),s_dir!AS23/((1/1000)*(s_Irr!BO23)),IF(AND(s_Irr!S23=".",s_Irr!AQ23&lt;&gt;".",s_Irr!BO23="."),s_dir!AS23/((1/1000)*(s_Irr!AQ23)),IF(AND(s_Irr!S23&lt;&gt;".",s_Irr!AQ23=".",s_Irr!BO23="."),s_dir!AS23/((1/1000)*(s_Irr!S23)),IF(AND(s_Irr!S23=".",s_Irr!AQ23=".",s_Irr!BO23="."),s_dir!AS23*1000)))))))),".")</f>
        <v>136.22210323658629</v>
      </c>
      <c r="BS23" s="48">
        <f>IFERROR(IF(AND(s_Irr!T23&lt;&gt;".",s_Irr!AR23&lt;&gt;".",s_Irr!BP23&lt;&gt;"."),s_dir!AT23/((1/1000)*(s_Irr!T23+s_Irr!AR23+s_Irr!BP23)),IF(AND(s_Irr!T23&lt;&gt;".",s_Irr!AR23&lt;&gt;".",s_Irr!BP23="."),s_dir!AT23/((1/1000)*(s_Irr!T23+s_Irr!AR23)),IF(AND(s_Irr!T23&lt;&gt;".",s_Irr!AR23=".",s_Irr!BP23&lt;&gt;"."),s_dir!AT23/((1/1000)*(s_Irr!T23+s_Irr!BP23)),IF(AND(s_Irr!T23=".",s_Irr!AR23&lt;&gt;".",s_Irr!BP23&lt;&gt;"."),s_dir!AT23/((1/1000)*(s_Irr!AR23+s_Irr!BP23)),IF(AND(s_Irr!T23=".",s_Irr!AR23=".",s_Irr!BP23&lt;&gt;"."),s_dir!AT23/((1/1000)*(s_Irr!BP23)),IF(AND(s_Irr!T23=".",s_Irr!AR23&lt;&gt;".",s_Irr!BP23="."),s_dir!AT23/((1/1000)*(s_Irr!AR23)),IF(AND(s_Irr!T23&lt;&gt;".",s_Irr!AR23=".",s_Irr!BP23="."),s_dir!AT23/((1/1000)*(s_Irr!T23)),IF(AND(s_Irr!T23=".",s_Irr!AR23=".",s_Irr!BP23="."),s_dir!AT23*1000)))))))),".")</f>
        <v>142.07135218981679</v>
      </c>
      <c r="BT23" s="48">
        <f>IFERROR(IF(AND(s_Irr!U23&lt;&gt;".",s_Irr!AS23&lt;&gt;".",s_Irr!BQ23&lt;&gt;"."),s_dir!AU23/((1/1000)*(s_Irr!U23+s_Irr!AS23+s_Irr!BQ23)),IF(AND(s_Irr!U23&lt;&gt;".",s_Irr!AS23&lt;&gt;".",s_Irr!BQ23="."),s_dir!AU23/((1/1000)*(s_Irr!U23+s_Irr!AS23)),IF(AND(s_Irr!U23&lt;&gt;".",s_Irr!AS23=".",s_Irr!BQ23&lt;&gt;"."),s_dir!AU23/((1/1000)*(s_Irr!U23+s_Irr!BQ23)),IF(AND(s_Irr!U23=".",s_Irr!AS23&lt;&gt;".",s_Irr!BQ23&lt;&gt;"."),s_dir!AU23/((1/1000)*(s_Irr!AS23+s_Irr!BQ23)),IF(AND(s_Irr!U23=".",s_Irr!AS23=".",s_Irr!BQ23&lt;&gt;"."),s_dir!AU23/((1/1000)*(s_Irr!BQ23)),IF(AND(s_Irr!U23=".",s_Irr!AS23&lt;&gt;".",s_Irr!BQ23="."),s_dir!AU23/((1/1000)*(s_Irr!AS23)),IF(AND(s_Irr!U23&lt;&gt;".",s_Irr!AS23=".",s_Irr!BQ23="."),s_dir!AU23/((1/1000)*(s_Irr!U23)),IF(AND(s_Irr!U23=".",s_Irr!AS23=".",s_Irr!BQ23="."),s_dir!AU23*1000)))))))),".")</f>
        <v>130.83544993335289</v>
      </c>
      <c r="BU23" s="48">
        <f>IFERROR(IF(AND(s_Irr!V23&lt;&gt;".",s_Irr!AT23&lt;&gt;".",s_Irr!BR23&lt;&gt;"."),s_dir!AV23/((1/1000)*(s_Irr!V23+s_Irr!AT23+s_Irr!BR23)),IF(AND(s_Irr!V23&lt;&gt;".",s_Irr!AT23&lt;&gt;".",s_Irr!BR23="."),s_dir!AV23/((1/1000)*(s_Irr!V23+s_Irr!AT23)),IF(AND(s_Irr!V23&lt;&gt;".",s_Irr!AT23=".",s_Irr!BR23&lt;&gt;"."),s_dir!AV23/((1/1000)*(s_Irr!V23+s_Irr!BR23)),IF(AND(s_Irr!V23=".",s_Irr!AT23&lt;&gt;".",s_Irr!BR23&lt;&gt;"."),s_dir!AV23/((1/1000)*(s_Irr!AT23+s_Irr!BR23)),IF(AND(s_Irr!V23=".",s_Irr!AT23=".",s_Irr!BR23&lt;&gt;"."),s_dir!AV23/((1/1000)*(s_Irr!BR23)),IF(AND(s_Irr!V23=".",s_Irr!AT23&lt;&gt;".",s_Irr!BR23="."),s_dir!AV23/((1/1000)*(s_Irr!AT23)),IF(AND(s_Irr!V23&lt;&gt;".",s_Irr!AT23=".",s_Irr!BR23="."),s_dir!AV23/((1/1000)*(s_Irr!V23)),IF(AND(s_Irr!V23=".",s_Irr!AT23=".",s_Irr!BR23="."),s_dir!AV23*1000)))))))),".")</f>
        <v>136.22210323658629</v>
      </c>
      <c r="BV23" s="48">
        <f>IFERROR(IF(AND(s_Irr!W23&lt;&gt;".",s_Irr!AU23&lt;&gt;".",s_Irr!BS23&lt;&gt;"."),s_dir!AW23/((1/1000)*(s_Irr!W23+s_Irr!AU23+s_Irr!BS23)),IF(AND(s_Irr!W23&lt;&gt;".",s_Irr!AU23&lt;&gt;".",s_Irr!BS23="."),s_dir!AW23/((1/1000)*(s_Irr!W23+s_Irr!AU23)),IF(AND(s_Irr!W23&lt;&gt;".",s_Irr!AU23=".",s_Irr!BS23&lt;&gt;"."),s_dir!AW23/((1/1000)*(s_Irr!W23+s_Irr!BS23)),IF(AND(s_Irr!W23=".",s_Irr!AU23&lt;&gt;".",s_Irr!BS23&lt;&gt;"."),s_dir!AW23/((1/1000)*(s_Irr!AU23+s_Irr!BS23)),IF(AND(s_Irr!W23=".",s_Irr!AU23=".",s_Irr!BS23&lt;&gt;"."),s_dir!AW23/((1/1000)*(s_Irr!BS23)),IF(AND(s_Irr!W23=".",s_Irr!AU23&lt;&gt;".",s_Irr!BS23="."),s_dir!AW23/((1/1000)*(s_Irr!AU23)),IF(AND(s_Irr!W23&lt;&gt;".",s_Irr!AU23=".",s_Irr!BS23="."),s_dir!AW23/((1/1000)*(s_Irr!W23)),IF(AND(s_Irr!W23=".",s_Irr!AU23=".",s_Irr!BS23="."),s_dir!AW23*1000)))))))),".")</f>
        <v>144.13434998469575</v>
      </c>
      <c r="BW23" s="48">
        <f>IFERROR(IF(AND(s_Irr!X23&lt;&gt;".",s_Irr!AV23&lt;&gt;".",s_Irr!BT23&lt;&gt;"."),s_dir!AX23/((1/1000)*(s_Irr!X23+s_Irr!AV23+s_Irr!BT23)),IF(AND(s_Irr!X23&lt;&gt;".",s_Irr!AV23&lt;&gt;".",s_Irr!BT23="."),s_dir!AX23/((1/1000)*(s_Irr!X23+s_Irr!AV23)),IF(AND(s_Irr!X23&lt;&gt;".",s_Irr!AV23=".",s_Irr!BT23&lt;&gt;"."),s_dir!AX23/((1/1000)*(s_Irr!X23+s_Irr!BT23)),IF(AND(s_Irr!X23=".",s_Irr!AV23&lt;&gt;".",s_Irr!BT23&lt;&gt;"."),s_dir!AX23/((1/1000)*(s_Irr!AV23+s_Irr!BT23)),IF(AND(s_Irr!X23=".",s_Irr!AV23=".",s_Irr!BT23&lt;&gt;"."),s_dir!AX23/((1/1000)*(s_Irr!BT23)),IF(AND(s_Irr!X23=".",s_Irr!AV23&lt;&gt;".",s_Irr!BT23="."),s_dir!AX23/((1/1000)*(s_Irr!AV23)),IF(AND(s_Irr!X23&lt;&gt;".",s_Irr!AV23=".",s_Irr!BT23="."),s_dir!AX23/((1/1000)*(s_Irr!X23)),IF(AND(s_Irr!X23=".",s_Irr!AV23=".",s_Irr!BT23="."),s_dir!AX23*1000)))))))),".")</f>
        <v>130.83544993335289</v>
      </c>
      <c r="BX23" s="48">
        <f>IFERROR(IF(AND(s_Irr!Y23&lt;&gt;".",s_Irr!AW23&lt;&gt;".",s_Irr!BU23&lt;&gt;"."),s_dir!AY23/((1/1000)*(s_Irr!Y23+s_Irr!AW23+s_Irr!BU23)),IF(AND(s_Irr!Y23&lt;&gt;".",s_Irr!AW23&lt;&gt;".",s_Irr!BU23="."),s_dir!AY23/((1/1000)*(s_Irr!Y23+s_Irr!AW23)),IF(AND(s_Irr!Y23&lt;&gt;".",s_Irr!AW23=".",s_Irr!BU23&lt;&gt;"."),s_dir!AY23/((1/1000)*(s_Irr!Y23+s_Irr!BU23)),IF(AND(s_Irr!Y23=".",s_Irr!AW23&lt;&gt;".",s_Irr!BU23&lt;&gt;"."),s_dir!AY23/((1/1000)*(s_Irr!AW23+s_Irr!BU23)),IF(AND(s_Irr!Y23=".",s_Irr!AW23=".",s_Irr!BU23&lt;&gt;"."),s_dir!AY23/((1/1000)*(s_Irr!BU23)),IF(AND(s_Irr!Y23=".",s_Irr!AW23&lt;&gt;".",s_Irr!BU23="."),s_dir!AY23/((1/1000)*(s_Irr!AW23)),IF(AND(s_Irr!Y23&lt;&gt;".",s_Irr!AW23=".",s_Irr!BU23="."),s_dir!AY23/((1/1000)*(s_Irr!Y23)),IF(AND(s_Irr!Y23=".",s_Irr!AW23=".",s_Irr!BU23="."),s_dir!AY23*1000)))))))),".")</f>
        <v>166.16355370151189</v>
      </c>
      <c r="BY23" s="48">
        <f>IFERROR(IF(AND(s_Irr!Z23&lt;&gt;".",s_Irr!AX23&lt;&gt;".",s_Irr!BV23&lt;&gt;"."),s_dir!AZ23/((1/1000)*(s_Irr!Z23+s_Irr!AX23+s_Irr!BV23)),IF(AND(s_Irr!Z23&lt;&gt;".",s_Irr!AX23&lt;&gt;".",s_Irr!BV23="."),s_dir!AZ23/((1/1000)*(s_Irr!Z23+s_Irr!AX23)),IF(AND(s_Irr!Z23&lt;&gt;".",s_Irr!AX23=".",s_Irr!BV23&lt;&gt;"."),s_dir!AZ23/((1/1000)*(s_Irr!Z23+s_Irr!BV23)),IF(AND(s_Irr!Z23=".",s_Irr!AX23&lt;&gt;".",s_Irr!BV23&lt;&gt;"."),s_dir!AZ23/((1/1000)*(s_Irr!AX23+s_Irr!BV23)),IF(AND(s_Irr!Z23=".",s_Irr!AX23=".",s_Irr!BV23&lt;&gt;"."),s_dir!AZ23/((1/1000)*(s_Irr!BV23)),IF(AND(s_Irr!Z23=".",s_Irr!AX23&lt;&gt;".",s_Irr!BV23="."),s_dir!AZ23/((1/1000)*(s_Irr!AX23)),IF(AND(s_Irr!Z23&lt;&gt;".",s_Irr!AX23=".",s_Irr!BV23="."),s_dir!AZ23/((1/1000)*(s_Irr!Z23)),IF(AND(s_Irr!Z23=".",s_Irr!AX23=".",s_Irr!BV23="."),s_dir!AZ23*1000)))))))),".")</f>
        <v>130.83544993335289</v>
      </c>
      <c r="BZ23" s="62">
        <f t="shared" si="1"/>
        <v>307.25086171274592</v>
      </c>
      <c r="CA23" s="62">
        <f>IFERROR(s_C*s_IFAP_far_adj*s_CF_apple*(1/1000)*(s_Irr!C23+s_Irr!AA23+s_Irr!AY23),".")</f>
        <v>103.48385260743784</v>
      </c>
      <c r="CB23" s="62">
        <f>IFERROR(s_C*s_IFAS_far_adj*s_CF_asparagus*(1/1000)*(s_Irr!D23+s_Irr!AB23+s_Irr!AZ23),".")</f>
        <v>225.20046522479754</v>
      </c>
      <c r="CC23" s="62">
        <f>IFERROR(s_C*s_IFBT_far_adj*s_CF_beet*(1/1000)*(s_Irr!E23+s_Irr!AC23+s_Irr!BA23),".")</f>
        <v>193.64430639807466</v>
      </c>
      <c r="CD23" s="62">
        <f>IFERROR(s_C*s_IFBE_far_adj*s_CF_berries*(1/1000)*(s_Irr!F23+s_Irr!AD23+s_Irr!BB23),".")</f>
        <v>103.48385260743784</v>
      </c>
      <c r="CE23" s="62">
        <f>IFERROR(s_C*s_IFBR_far_adj*s_CF_broccoli*(1/1000)*(s_Irr!G23+s_Irr!AE23+s_Irr!BC23),".")</f>
        <v>114.00257221634547</v>
      </c>
      <c r="CF23" s="62">
        <f>IFERROR(s_C*s_IFCB_far_adj*s_CF_cabbage*(1/1000)*(s_Irr!H23+s_Irr!AF23+s_Irr!BD23),".")</f>
        <v>225.20046522479754</v>
      </c>
      <c r="CG23" s="62">
        <f>IFERROR(s_C*s_IFCR_far_adj*s_CF_carrot*(1/1000)*(s_Irr!I23+s_Irr!AG23+s_Irr!BE23),".")</f>
        <v>193.64430639807466</v>
      </c>
      <c r="CH23" s="62">
        <f>IFERROR(s_C*s_IFCI_far_adj*s_CF_citrus*(1/1000)*(s_Irr!J23+s_Irr!AH23+s_Irr!BF23),".")</f>
        <v>103.48385260743784</v>
      </c>
      <c r="CI23" s="62">
        <f>IFERROR(s_C*s_IFCO_far_adj*s_CF_corn*(1/1000)*(s_Irr!K23+s_Irr!AI23+s_Irr!BG23),".")</f>
        <v>92.063528460623843</v>
      </c>
      <c r="CJ23" s="62">
        <f>IFERROR(s_C*s_IFCU_far_adj*s_CF_cucumber*(1/1000)*(s_Irr!L23+s_Irr!AJ23+s_Irr!BH23),".")</f>
        <v>114.00257221634547</v>
      </c>
      <c r="CK23" s="62">
        <f>IFERROR(s_C*s_IFLE_far_adj*s_CF_lettuce*(1/1000)*(s_Irr!M23+s_Irr!AK23+s_Irr!BI23),".")</f>
        <v>225.20046522479754</v>
      </c>
      <c r="CL23" s="62">
        <f>IFERROR(s_C*s_IFLI_far_adj*s_CF_lima_bean*(1/1000)*(s_Irr!N23+s_Irr!AL23+s_Irr!BJ23),".")</f>
        <v>109.49454952681363</v>
      </c>
      <c r="CM23" s="62">
        <f>IFERROR(s_C*s_IFOK_far_adj*s_CF_okra*(1/1000)*(s_Irr!O23+s_Irr!AM23+s_Irr!BK23),".")</f>
        <v>114.00257221634547</v>
      </c>
      <c r="CN23" s="62">
        <f>IFERROR(s_C*s_IFON_far_adj*s_CF_onion*(1/1000)*(s_Irr!P23+s_Irr!AN23+s_Irr!BL23),".")</f>
        <v>114.00257221634547</v>
      </c>
      <c r="CO23" s="62">
        <f>IFERROR(s_C*s_IFPC_far_adj*s_CF_peach*(1/1000)*(s_Irr!Q23+s_Irr!AO23+s_Irr!BM23),".")</f>
        <v>103.48385260743784</v>
      </c>
      <c r="CP23" s="62">
        <f>IFERROR(s_C*s_IFPR_far_adj*s_CF_pear*(1/1000)*(s_Irr!R23+s_Irr!AP23+s_Irr!BN23),".")</f>
        <v>103.48385260743784</v>
      </c>
      <c r="CQ23" s="62">
        <f>IFERROR(s_C*s_IFPE_far_adj*s_CF_peas*(1/1000)*(s_Irr!S23+s_Irr!AQ23+s_Irr!BO23),".")</f>
        <v>109.49454952681363</v>
      </c>
      <c r="CR23" s="62">
        <f>IFERROR(s_C*s_IFPT_far_adj*s_CF_potato*(1/1000)*(s_Irr!T23+s_Irr!AR23+s_Irr!BP23),".")</f>
        <v>104.98652683728179</v>
      </c>
      <c r="CS23" s="62">
        <f>IFERROR(s_C*s_IFPU_far_adj*s_CF_pumpkin*(1/1000)*(s_Irr!U23+s_Irr!AS23+s_Irr!BQ23),".")</f>
        <v>114.00257221634547</v>
      </c>
      <c r="CT23" s="62">
        <f>IFERROR(s_C*s_IFSN_far_adj*s_CF_snap_bean*(1/1000)*(s_Irr!V23+s_Irr!AT23+s_Irr!BR23),".")</f>
        <v>109.49454952681363</v>
      </c>
      <c r="CU23" s="62">
        <f>IFERROR(s_C*s_IFST_far_adj*s_CF_strawberry*(1/1000)*(s_Irr!W23+s_Irr!AU23+s_Irr!BS23),".")</f>
        <v>103.48385260743784</v>
      </c>
      <c r="CV23" s="62">
        <f>IFERROR(s_C*s_IFTO_far_adj*s_CF_tomato*(1/1000)*(s_Irr!X23+s_Irr!AV23+s_Irr!BT23),".")</f>
        <v>114.00257221634547</v>
      </c>
      <c r="CW23" s="62">
        <f>IFERROR(s_C*s_IFRI_far_adj*s_CF_rice*(1/1000)*(s_Irr!Y23+s_Irr!AW23+s_Irr!BU23),".")</f>
        <v>89.764436888962607</v>
      </c>
      <c r="CX23" s="62">
        <f>IFERROR(s_C*s_IFCG_far_adj*s_CF_cereal*(1/1000)*(s_Irr!Z23+s_Irr!AX23+s_Irr!BV23),".")</f>
        <v>114.00257221634547</v>
      </c>
    </row>
    <row r="24" spans="1:102" ht="15" customHeight="1" x14ac:dyDescent="0.25">
      <c r="A24" s="61" t="s">
        <v>22</v>
      </c>
      <c r="B24" s="49" t="s">
        <v>1059</v>
      </c>
      <c r="C24" s="48" t="str">
        <f t="shared" si="2"/>
        <v>.</v>
      </c>
      <c r="D24" s="48" t="str">
        <f>IFERROR(IF(AND(s_Irr!C24&lt;&gt;".",s_Irr!AA24&lt;&gt;".",s_Irr!AY24&lt;&gt;"."),s_dir!D24/((1/1000)*(s_Irr!C24+s_Irr!AA24+s_Irr!AY24)),IF(AND(s_Irr!C24&lt;&gt;".",s_Irr!AA24&lt;&gt;".",s_Irr!AY24="."),s_dir!D24/((1/1000)*(s_Irr!C24+s_Irr!AA24)),IF(AND(s_Irr!C24&lt;&gt;".",s_Irr!AA24=".",s_Irr!AY24&lt;&gt;"."),s_dir!D24/((1/1000)*(s_Irr!C24+s_Irr!AY24)),IF(AND(s_Irr!C24=".",s_Irr!AA24&lt;&gt;".",s_Irr!AY24&lt;&gt;"."),s_dir!D24/((1/1000)*(s_Irr!AA24+s_Irr!AY24)),IF(AND(s_Irr!C24=".",s_Irr!AA24=".",s_Irr!AY24&lt;&gt;"."),s_dir!D24/((1/1000)*(s_Irr!AY24)),IF(AND(s_Irr!C24=".",s_Irr!AA24&lt;&gt;".",s_Irr!AY24="."),s_dir!D24/((1/1000)*(s_Irr!AA24)),IF(AND(s_Irr!C24&lt;&gt;".",s_Irr!AA24=".",s_Irr!AY24="."),s_dir!D24/((1/1000)*(s_Irr!C24)),IF(AND(s_Irr!C24=".",s_Irr!AA24=".",s_Irr!AY24="."),s_dir!D24*1000)))))))),".")</f>
        <v>.</v>
      </c>
      <c r="E24" s="48" t="str">
        <f>IFERROR(IF(AND(s_Irr!D24&lt;&gt;".",s_Irr!AB24&lt;&gt;".",s_Irr!AZ24&lt;&gt;"."),s_dir!E24/((1/1000)*(s_Irr!D24+s_Irr!AB24+s_Irr!AZ24)),IF(AND(s_Irr!D24&lt;&gt;".",s_Irr!AB24&lt;&gt;".",s_Irr!AZ24="."),s_dir!E24/((1/1000)*(s_Irr!D24+s_Irr!AB24)),IF(AND(s_Irr!D24&lt;&gt;".",s_Irr!AB24=".",s_Irr!AZ24&lt;&gt;"."),s_dir!E24/((1/1000)*(s_Irr!D24+s_Irr!AZ24)),IF(AND(s_Irr!D24=".",s_Irr!AB24&lt;&gt;".",s_Irr!AZ24&lt;&gt;"."),s_dir!E24/((1/1000)*(s_Irr!AB24+s_Irr!AZ24)),IF(AND(s_Irr!D24=".",s_Irr!AB24=".",s_Irr!AZ24&lt;&gt;"."),s_dir!E24/((1/1000)*(s_Irr!AZ24)),IF(AND(s_Irr!D24=".",s_Irr!AB24&lt;&gt;".",s_Irr!AZ24="."),s_dir!E24/((1/1000)*(s_Irr!AB24)),IF(AND(s_Irr!D24&lt;&gt;".",s_Irr!AB24=".",s_Irr!AZ24="."),s_dir!E24/((1/1000)*(s_Irr!D24)),IF(AND(s_Irr!D24=".",s_Irr!AB24=".",s_Irr!AZ24="."),s_dir!E24*1000)))))))),".")</f>
        <v>.</v>
      </c>
      <c r="F24" s="48" t="str">
        <f>IFERROR(IF(AND(s_Irr!E24&lt;&gt;".",s_Irr!AC24&lt;&gt;".",s_Irr!BA24&lt;&gt;"."),s_dir!F24/((1/1000)*(s_Irr!E24+s_Irr!AC24+s_Irr!BA24)),IF(AND(s_Irr!E24&lt;&gt;".",s_Irr!AC24&lt;&gt;".",s_Irr!BA24="."),s_dir!F24/((1/1000)*(s_Irr!E24+s_Irr!AC24)),IF(AND(s_Irr!E24&lt;&gt;".",s_Irr!AC24=".",s_Irr!BA24&lt;&gt;"."),s_dir!F24/((1/1000)*(s_Irr!E24+s_Irr!BA24)),IF(AND(s_Irr!E24=".",s_Irr!AC24&lt;&gt;".",s_Irr!BA24&lt;&gt;"."),s_dir!F24/((1/1000)*(s_Irr!AC24+s_Irr!BA24)),IF(AND(s_Irr!E24=".",s_Irr!AC24=".",s_Irr!BA24&lt;&gt;"."),s_dir!F24/((1/1000)*(s_Irr!BA24)),IF(AND(s_Irr!E24=".",s_Irr!AC24&lt;&gt;".",s_Irr!BA24="."),s_dir!F24/((1/1000)*(s_Irr!AC24)),IF(AND(s_Irr!E24&lt;&gt;".",s_Irr!AC24=".",s_Irr!BA24="."),s_dir!F24/((1/1000)*(s_Irr!E24)),IF(AND(s_Irr!E24=".",s_Irr!AC24=".",s_Irr!BA24="."),s_dir!F24*1000)))))))),".")</f>
        <v>.</v>
      </c>
      <c r="G24" s="48" t="str">
        <f>IFERROR(IF(AND(s_Irr!F24&lt;&gt;".",s_Irr!AD24&lt;&gt;".",s_Irr!BB24&lt;&gt;"."),s_dir!G24/((1/1000)*(s_Irr!F24+s_Irr!AD24+s_Irr!BB24)),IF(AND(s_Irr!F24&lt;&gt;".",s_Irr!AD24&lt;&gt;".",s_Irr!BB24="."),s_dir!G24/((1/1000)*(s_Irr!F24+s_Irr!AD24)),IF(AND(s_Irr!F24&lt;&gt;".",s_Irr!AD24=".",s_Irr!BB24&lt;&gt;"."),s_dir!G24/((1/1000)*(s_Irr!F24+s_Irr!BB24)),IF(AND(s_Irr!F24=".",s_Irr!AD24&lt;&gt;".",s_Irr!BB24&lt;&gt;"."),s_dir!G24/((1/1000)*(s_Irr!AD24+s_Irr!BB24)),IF(AND(s_Irr!F24=".",s_Irr!AD24=".",s_Irr!BB24&lt;&gt;"."),s_dir!G24/((1/1000)*(s_Irr!BB24)),IF(AND(s_Irr!F24=".",s_Irr!AD24&lt;&gt;".",s_Irr!BB24="."),s_dir!G24/((1/1000)*(s_Irr!AD24)),IF(AND(s_Irr!F24&lt;&gt;".",s_Irr!AD24=".",s_Irr!BB24="."),s_dir!G24/((1/1000)*(s_Irr!F24)),IF(AND(s_Irr!F24=".",s_Irr!AD24=".",s_Irr!BB24="."),s_dir!G24*1000)))))))),".")</f>
        <v>.</v>
      </c>
      <c r="H24" s="48" t="str">
        <f>IFERROR(IF(AND(s_Irr!G24&lt;&gt;".",s_Irr!AE24&lt;&gt;".",s_Irr!BC24&lt;&gt;"."),s_dir!H24/((1/1000)*(s_Irr!G24+s_Irr!AE24+s_Irr!BC24)),IF(AND(s_Irr!G24&lt;&gt;".",s_Irr!AE24&lt;&gt;".",s_Irr!BC24="."),s_dir!H24/((1/1000)*(s_Irr!G24+s_Irr!AE24)),IF(AND(s_Irr!G24&lt;&gt;".",s_Irr!AE24=".",s_Irr!BC24&lt;&gt;"."),s_dir!H24/((1/1000)*(s_Irr!G24+s_Irr!BC24)),IF(AND(s_Irr!G24=".",s_Irr!AE24&lt;&gt;".",s_Irr!BC24&lt;&gt;"."),s_dir!H24/((1/1000)*(s_Irr!AE24+s_Irr!BC24)),IF(AND(s_Irr!G24=".",s_Irr!AE24=".",s_Irr!BC24&lt;&gt;"."),s_dir!H24/((1/1000)*(s_Irr!BC24)),IF(AND(s_Irr!G24=".",s_Irr!AE24&lt;&gt;".",s_Irr!BC24="."),s_dir!H24/((1/1000)*(s_Irr!AE24)),IF(AND(s_Irr!G24&lt;&gt;".",s_Irr!AE24=".",s_Irr!BC24="."),s_dir!H24/((1/1000)*(s_Irr!G24)),IF(AND(s_Irr!G24=".",s_Irr!AE24=".",s_Irr!BC24="."),s_dir!H24*1000)))))))),".")</f>
        <v>.</v>
      </c>
      <c r="I24" s="48" t="str">
        <f>IFERROR(IF(AND(s_Irr!H24&lt;&gt;".",s_Irr!AF24&lt;&gt;".",s_Irr!BD24&lt;&gt;"."),s_dir!I24/((1/1000)*(s_Irr!H24+s_Irr!AF24+s_Irr!BD24)),IF(AND(s_Irr!H24&lt;&gt;".",s_Irr!AF24&lt;&gt;".",s_Irr!BD24="."),s_dir!I24/((1/1000)*(s_Irr!H24+s_Irr!AF24)),IF(AND(s_Irr!H24&lt;&gt;".",s_Irr!AF24=".",s_Irr!BD24&lt;&gt;"."),s_dir!I24/((1/1000)*(s_Irr!H24+s_Irr!BD24)),IF(AND(s_Irr!H24=".",s_Irr!AF24&lt;&gt;".",s_Irr!BD24&lt;&gt;"."),s_dir!I24/((1/1000)*(s_Irr!AF24+s_Irr!BD24)),IF(AND(s_Irr!H24=".",s_Irr!AF24=".",s_Irr!BD24&lt;&gt;"."),s_dir!I24/((1/1000)*(s_Irr!BD24)),IF(AND(s_Irr!H24=".",s_Irr!AF24&lt;&gt;".",s_Irr!BD24="."),s_dir!I24/((1/1000)*(s_Irr!AF24)),IF(AND(s_Irr!H24&lt;&gt;".",s_Irr!AF24=".",s_Irr!BD24="."),s_dir!I24/((1/1000)*(s_Irr!H24)),IF(AND(s_Irr!H24=".",s_Irr!AF24=".",s_Irr!BD24="."),s_dir!I24*1000)))))))),".")</f>
        <v>.</v>
      </c>
      <c r="J24" s="48" t="str">
        <f>IFERROR(IF(AND(s_Irr!I24&lt;&gt;".",s_Irr!AG24&lt;&gt;".",s_Irr!BE24&lt;&gt;"."),s_dir!J24/((1/1000)*(s_Irr!I24+s_Irr!AG24+s_Irr!BE24)),IF(AND(s_Irr!I24&lt;&gt;".",s_Irr!AG24&lt;&gt;".",s_Irr!BE24="."),s_dir!J24/((1/1000)*(s_Irr!I24+s_Irr!AG24)),IF(AND(s_Irr!I24&lt;&gt;".",s_Irr!AG24=".",s_Irr!BE24&lt;&gt;"."),s_dir!J24/((1/1000)*(s_Irr!I24+s_Irr!BE24)),IF(AND(s_Irr!I24=".",s_Irr!AG24&lt;&gt;".",s_Irr!BE24&lt;&gt;"."),s_dir!J24/((1/1000)*(s_Irr!AG24+s_Irr!BE24)),IF(AND(s_Irr!I24=".",s_Irr!AG24=".",s_Irr!BE24&lt;&gt;"."),s_dir!J24/((1/1000)*(s_Irr!BE24)),IF(AND(s_Irr!I24=".",s_Irr!AG24&lt;&gt;".",s_Irr!BE24="."),s_dir!J24/((1/1000)*(s_Irr!AG24)),IF(AND(s_Irr!I24&lt;&gt;".",s_Irr!AG24=".",s_Irr!BE24="."),s_dir!J24/((1/1000)*(s_Irr!I24)),IF(AND(s_Irr!I24=".",s_Irr!AG24=".",s_Irr!BE24="."),s_dir!J24*1000)))))))),".")</f>
        <v>.</v>
      </c>
      <c r="K24" s="48" t="str">
        <f>IFERROR(IF(AND(s_Irr!J24&lt;&gt;".",s_Irr!AH24&lt;&gt;".",s_Irr!BF24&lt;&gt;"."),s_dir!K24/((1/1000)*(s_Irr!J24+s_Irr!AH24+s_Irr!BF24)),IF(AND(s_Irr!J24&lt;&gt;".",s_Irr!AH24&lt;&gt;".",s_Irr!BF24="."),s_dir!K24/((1/1000)*(s_Irr!J24+s_Irr!AH24)),IF(AND(s_Irr!J24&lt;&gt;".",s_Irr!AH24=".",s_Irr!BF24&lt;&gt;"."),s_dir!K24/((1/1000)*(s_Irr!J24+s_Irr!BF24)),IF(AND(s_Irr!J24=".",s_Irr!AH24&lt;&gt;".",s_Irr!BF24&lt;&gt;"."),s_dir!K24/((1/1000)*(s_Irr!AH24+s_Irr!BF24)),IF(AND(s_Irr!J24=".",s_Irr!AH24=".",s_Irr!BF24&lt;&gt;"."),s_dir!K24/((1/1000)*(s_Irr!BF24)),IF(AND(s_Irr!J24=".",s_Irr!AH24&lt;&gt;".",s_Irr!BF24="."),s_dir!K24/((1/1000)*(s_Irr!AH24)),IF(AND(s_Irr!J24&lt;&gt;".",s_Irr!AH24=".",s_Irr!BF24="."),s_dir!K24/((1/1000)*(s_Irr!J24)),IF(AND(s_Irr!J24=".",s_Irr!AH24=".",s_Irr!BF24="."),s_dir!K24*1000)))))))),".")</f>
        <v>.</v>
      </c>
      <c r="L24" s="48" t="str">
        <f>IFERROR(IF(AND(s_Irr!K24&lt;&gt;".",s_Irr!AI24&lt;&gt;".",s_Irr!BG24&lt;&gt;"."),s_dir!L24/((1/1000)*(s_Irr!K24+s_Irr!AI24+s_Irr!BG24)),IF(AND(s_Irr!K24&lt;&gt;".",s_Irr!AI24&lt;&gt;".",s_Irr!BG24="."),s_dir!L24/((1/1000)*(s_Irr!K24+s_Irr!AI24)),IF(AND(s_Irr!K24&lt;&gt;".",s_Irr!AI24=".",s_Irr!BG24&lt;&gt;"."),s_dir!L24/((1/1000)*(s_Irr!K24+s_Irr!BG24)),IF(AND(s_Irr!K24=".",s_Irr!AI24&lt;&gt;".",s_Irr!BG24&lt;&gt;"."),s_dir!L24/((1/1000)*(s_Irr!AI24+s_Irr!BG24)),IF(AND(s_Irr!K24=".",s_Irr!AI24=".",s_Irr!BG24&lt;&gt;"."),s_dir!L24/((1/1000)*(s_Irr!BG24)),IF(AND(s_Irr!K24=".",s_Irr!AI24&lt;&gt;".",s_Irr!BG24="."),s_dir!L24/((1/1000)*(s_Irr!AI24)),IF(AND(s_Irr!K24&lt;&gt;".",s_Irr!AI24=".",s_Irr!BG24="."),s_dir!L24/((1/1000)*(s_Irr!K24)),IF(AND(s_Irr!K24=".",s_Irr!AI24=".",s_Irr!BG24="."),s_dir!L24*1000)))))))),".")</f>
        <v>.</v>
      </c>
      <c r="M24" s="48" t="str">
        <f>IFERROR(IF(AND(s_Irr!L24&lt;&gt;".",s_Irr!AJ24&lt;&gt;".",s_Irr!BH24&lt;&gt;"."),s_dir!M24/((1/1000)*(s_Irr!L24+s_Irr!AJ24+s_Irr!BH24)),IF(AND(s_Irr!L24&lt;&gt;".",s_Irr!AJ24&lt;&gt;".",s_Irr!BH24="."),s_dir!M24/((1/1000)*(s_Irr!L24+s_Irr!AJ24)),IF(AND(s_Irr!L24&lt;&gt;".",s_Irr!AJ24=".",s_Irr!BH24&lt;&gt;"."),s_dir!M24/((1/1000)*(s_Irr!L24+s_Irr!BH24)),IF(AND(s_Irr!L24=".",s_Irr!AJ24&lt;&gt;".",s_Irr!BH24&lt;&gt;"."),s_dir!M24/((1/1000)*(s_Irr!AJ24+s_Irr!BH24)),IF(AND(s_Irr!L24=".",s_Irr!AJ24=".",s_Irr!BH24&lt;&gt;"."),s_dir!M24/((1/1000)*(s_Irr!BH24)),IF(AND(s_Irr!L24=".",s_Irr!AJ24&lt;&gt;".",s_Irr!BH24="."),s_dir!M24/((1/1000)*(s_Irr!AJ24)),IF(AND(s_Irr!L24&lt;&gt;".",s_Irr!AJ24=".",s_Irr!BH24="."),s_dir!M24/((1/1000)*(s_Irr!L24)),IF(AND(s_Irr!L24=".",s_Irr!AJ24=".",s_Irr!BH24="."),s_dir!M24*1000)))))))),".")</f>
        <v>.</v>
      </c>
      <c r="N24" s="48" t="str">
        <f>IFERROR(IF(AND(s_Irr!M24&lt;&gt;".",s_Irr!AK24&lt;&gt;".",s_Irr!BI24&lt;&gt;"."),s_dir!N24/((1/1000)*(s_Irr!M24+s_Irr!AK24+s_Irr!BI24)),IF(AND(s_Irr!M24&lt;&gt;".",s_Irr!AK24&lt;&gt;".",s_Irr!BI24="."),s_dir!N24/((1/1000)*(s_Irr!M24+s_Irr!AK24)),IF(AND(s_Irr!M24&lt;&gt;".",s_Irr!AK24=".",s_Irr!BI24&lt;&gt;"."),s_dir!N24/((1/1000)*(s_Irr!M24+s_Irr!BI24)),IF(AND(s_Irr!M24=".",s_Irr!AK24&lt;&gt;".",s_Irr!BI24&lt;&gt;"."),s_dir!N24/((1/1000)*(s_Irr!AK24+s_Irr!BI24)),IF(AND(s_Irr!M24=".",s_Irr!AK24=".",s_Irr!BI24&lt;&gt;"."),s_dir!N24/((1/1000)*(s_Irr!BI24)),IF(AND(s_Irr!M24=".",s_Irr!AK24&lt;&gt;".",s_Irr!BI24="."),s_dir!N24/((1/1000)*(s_Irr!AK24)),IF(AND(s_Irr!M24&lt;&gt;".",s_Irr!AK24=".",s_Irr!BI24="."),s_dir!N24/((1/1000)*(s_Irr!M24)),IF(AND(s_Irr!M24=".",s_Irr!AK24=".",s_Irr!BI24="."),s_dir!N24*1000)))))))),".")</f>
        <v>.</v>
      </c>
      <c r="O24" s="48" t="str">
        <f>IFERROR(IF(AND(s_Irr!N24&lt;&gt;".",s_Irr!AL24&lt;&gt;".",s_Irr!BJ24&lt;&gt;"."),s_dir!O24/((1/1000)*(s_Irr!N24+s_Irr!AL24+s_Irr!BJ24)),IF(AND(s_Irr!N24&lt;&gt;".",s_Irr!AL24&lt;&gt;".",s_Irr!BJ24="."),s_dir!O24/((1/1000)*(s_Irr!N24+s_Irr!AL24)),IF(AND(s_Irr!N24&lt;&gt;".",s_Irr!AL24=".",s_Irr!BJ24&lt;&gt;"."),s_dir!O24/((1/1000)*(s_Irr!N24+s_Irr!BJ24)),IF(AND(s_Irr!N24=".",s_Irr!AL24&lt;&gt;".",s_Irr!BJ24&lt;&gt;"."),s_dir!O24/((1/1000)*(s_Irr!AL24+s_Irr!BJ24)),IF(AND(s_Irr!N24=".",s_Irr!AL24=".",s_Irr!BJ24&lt;&gt;"."),s_dir!O24/((1/1000)*(s_Irr!BJ24)),IF(AND(s_Irr!N24=".",s_Irr!AL24&lt;&gt;".",s_Irr!BJ24="."),s_dir!O24/((1/1000)*(s_Irr!AL24)),IF(AND(s_Irr!N24&lt;&gt;".",s_Irr!AL24=".",s_Irr!BJ24="."),s_dir!O24/((1/1000)*(s_Irr!N24)),IF(AND(s_Irr!N24=".",s_Irr!AL24=".",s_Irr!BJ24="."),s_dir!O24*1000)))))))),".")</f>
        <v>.</v>
      </c>
      <c r="P24" s="48" t="str">
        <f>IFERROR(IF(AND(s_Irr!O24&lt;&gt;".",s_Irr!AM24&lt;&gt;".",s_Irr!BK24&lt;&gt;"."),s_dir!P24/((1/1000)*(s_Irr!O24+s_Irr!AM24+s_Irr!BK24)),IF(AND(s_Irr!O24&lt;&gt;".",s_Irr!AM24&lt;&gt;".",s_Irr!BK24="."),s_dir!P24/((1/1000)*(s_Irr!O24+s_Irr!AM24)),IF(AND(s_Irr!O24&lt;&gt;".",s_Irr!AM24=".",s_Irr!BK24&lt;&gt;"."),s_dir!P24/((1/1000)*(s_Irr!O24+s_Irr!BK24)),IF(AND(s_Irr!O24=".",s_Irr!AM24&lt;&gt;".",s_Irr!BK24&lt;&gt;"."),s_dir!P24/((1/1000)*(s_Irr!AM24+s_Irr!BK24)),IF(AND(s_Irr!O24=".",s_Irr!AM24=".",s_Irr!BK24&lt;&gt;"."),s_dir!P24/((1/1000)*(s_Irr!BK24)),IF(AND(s_Irr!O24=".",s_Irr!AM24&lt;&gt;".",s_Irr!BK24="."),s_dir!P24/((1/1000)*(s_Irr!AM24)),IF(AND(s_Irr!O24&lt;&gt;".",s_Irr!AM24=".",s_Irr!BK24="."),s_dir!P24/((1/1000)*(s_Irr!O24)),IF(AND(s_Irr!O24=".",s_Irr!AM24=".",s_Irr!BK24="."),s_dir!P24*1000)))))))),".")</f>
        <v>.</v>
      </c>
      <c r="Q24" s="48" t="str">
        <f>IFERROR(IF(AND(s_Irr!P24&lt;&gt;".",s_Irr!AN24&lt;&gt;".",s_Irr!BL24&lt;&gt;"."),s_dir!Q24/((1/1000)*(s_Irr!P24+s_Irr!AN24+s_Irr!BL24)),IF(AND(s_Irr!P24&lt;&gt;".",s_Irr!AN24&lt;&gt;".",s_Irr!BL24="."),s_dir!Q24/((1/1000)*(s_Irr!P24+s_Irr!AN24)),IF(AND(s_Irr!P24&lt;&gt;".",s_Irr!AN24=".",s_Irr!BL24&lt;&gt;"."),s_dir!Q24/((1/1000)*(s_Irr!P24+s_Irr!BL24)),IF(AND(s_Irr!P24=".",s_Irr!AN24&lt;&gt;".",s_Irr!BL24&lt;&gt;"."),s_dir!Q24/((1/1000)*(s_Irr!AN24+s_Irr!BL24)),IF(AND(s_Irr!P24=".",s_Irr!AN24=".",s_Irr!BL24&lt;&gt;"."),s_dir!Q24/((1/1000)*(s_Irr!BL24)),IF(AND(s_Irr!P24=".",s_Irr!AN24&lt;&gt;".",s_Irr!BL24="."),s_dir!Q24/((1/1000)*(s_Irr!AN24)),IF(AND(s_Irr!P24&lt;&gt;".",s_Irr!AN24=".",s_Irr!BL24="."),s_dir!Q24/((1/1000)*(s_Irr!P24)),IF(AND(s_Irr!P24=".",s_Irr!AN24=".",s_Irr!BL24="."),s_dir!Q24*1000)))))))),".")</f>
        <v>.</v>
      </c>
      <c r="R24" s="48" t="str">
        <f>IFERROR(IF(AND(s_Irr!Q24&lt;&gt;".",s_Irr!AO24&lt;&gt;".",s_Irr!BM24&lt;&gt;"."),s_dir!R24/((1/1000)*(s_Irr!Q24+s_Irr!AO24+s_Irr!BM24)),IF(AND(s_Irr!Q24&lt;&gt;".",s_Irr!AO24&lt;&gt;".",s_Irr!BM24="."),s_dir!R24/((1/1000)*(s_Irr!Q24+s_Irr!AO24)),IF(AND(s_Irr!Q24&lt;&gt;".",s_Irr!AO24=".",s_Irr!BM24&lt;&gt;"."),s_dir!R24/((1/1000)*(s_Irr!Q24+s_Irr!BM24)),IF(AND(s_Irr!Q24=".",s_Irr!AO24&lt;&gt;".",s_Irr!BM24&lt;&gt;"."),s_dir!R24/((1/1000)*(s_Irr!AO24+s_Irr!BM24)),IF(AND(s_Irr!Q24=".",s_Irr!AO24=".",s_Irr!BM24&lt;&gt;"."),s_dir!R24/((1/1000)*(s_Irr!BM24)),IF(AND(s_Irr!Q24=".",s_Irr!AO24&lt;&gt;".",s_Irr!BM24="."),s_dir!R24/((1/1000)*(s_Irr!AO24)),IF(AND(s_Irr!Q24&lt;&gt;".",s_Irr!AO24=".",s_Irr!BM24="."),s_dir!R24/((1/1000)*(s_Irr!Q24)),IF(AND(s_Irr!Q24=".",s_Irr!AO24=".",s_Irr!BM24="."),s_dir!R24*1000)))))))),".")</f>
        <v>.</v>
      </c>
      <c r="S24" s="48" t="str">
        <f>IFERROR(IF(AND(s_Irr!R24&lt;&gt;".",s_Irr!AP24&lt;&gt;".",s_Irr!BN24&lt;&gt;"."),s_dir!S24/((1/1000)*(s_Irr!R24+s_Irr!AP24+s_Irr!BN24)),IF(AND(s_Irr!R24&lt;&gt;".",s_Irr!AP24&lt;&gt;".",s_Irr!BN24="."),s_dir!S24/((1/1000)*(s_Irr!R24+s_Irr!AP24)),IF(AND(s_Irr!R24&lt;&gt;".",s_Irr!AP24=".",s_Irr!BN24&lt;&gt;"."),s_dir!S24/((1/1000)*(s_Irr!R24+s_Irr!BN24)),IF(AND(s_Irr!R24=".",s_Irr!AP24&lt;&gt;".",s_Irr!BN24&lt;&gt;"."),s_dir!S24/((1/1000)*(s_Irr!AP24+s_Irr!BN24)),IF(AND(s_Irr!R24=".",s_Irr!AP24=".",s_Irr!BN24&lt;&gt;"."),s_dir!S24/((1/1000)*(s_Irr!BN24)),IF(AND(s_Irr!R24=".",s_Irr!AP24&lt;&gt;".",s_Irr!BN24="."),s_dir!S24/((1/1000)*(s_Irr!AP24)),IF(AND(s_Irr!R24&lt;&gt;".",s_Irr!AP24=".",s_Irr!BN24="."),s_dir!S24/((1/1000)*(s_Irr!R24)),IF(AND(s_Irr!R24=".",s_Irr!AP24=".",s_Irr!BN24="."),s_dir!S24*1000)))))))),".")</f>
        <v>.</v>
      </c>
      <c r="T24" s="48" t="str">
        <f>IFERROR(IF(AND(s_Irr!S24&lt;&gt;".",s_Irr!AQ24&lt;&gt;".",s_Irr!BO24&lt;&gt;"."),s_dir!T24/((1/1000)*(s_Irr!S24+s_Irr!AQ24+s_Irr!BO24)),IF(AND(s_Irr!S24&lt;&gt;".",s_Irr!AQ24&lt;&gt;".",s_Irr!BO24="."),s_dir!T24/((1/1000)*(s_Irr!S24+s_Irr!AQ24)),IF(AND(s_Irr!S24&lt;&gt;".",s_Irr!AQ24=".",s_Irr!BO24&lt;&gt;"."),s_dir!T24/((1/1000)*(s_Irr!S24+s_Irr!BO24)),IF(AND(s_Irr!S24=".",s_Irr!AQ24&lt;&gt;".",s_Irr!BO24&lt;&gt;"."),s_dir!T24/((1/1000)*(s_Irr!AQ24+s_Irr!BO24)),IF(AND(s_Irr!S24=".",s_Irr!AQ24=".",s_Irr!BO24&lt;&gt;"."),s_dir!T24/((1/1000)*(s_Irr!BO24)),IF(AND(s_Irr!S24=".",s_Irr!AQ24&lt;&gt;".",s_Irr!BO24="."),s_dir!T24/((1/1000)*(s_Irr!AQ24)),IF(AND(s_Irr!S24&lt;&gt;".",s_Irr!AQ24=".",s_Irr!BO24="."),s_dir!T24/((1/1000)*(s_Irr!S24)),IF(AND(s_Irr!S24=".",s_Irr!AQ24=".",s_Irr!BO24="."),s_dir!T24*1000)))))))),".")</f>
        <v>.</v>
      </c>
      <c r="U24" s="48" t="str">
        <f>IFERROR(IF(AND(s_Irr!T24&lt;&gt;".",s_Irr!AR24&lt;&gt;".",s_Irr!BP24&lt;&gt;"."),s_dir!U24/((1/1000)*(s_Irr!T24+s_Irr!AR24+s_Irr!BP24)),IF(AND(s_Irr!T24&lt;&gt;".",s_Irr!AR24&lt;&gt;".",s_Irr!BP24="."),s_dir!U24/((1/1000)*(s_Irr!T24+s_Irr!AR24)),IF(AND(s_Irr!T24&lt;&gt;".",s_Irr!AR24=".",s_Irr!BP24&lt;&gt;"."),s_dir!U24/((1/1000)*(s_Irr!T24+s_Irr!BP24)),IF(AND(s_Irr!T24=".",s_Irr!AR24&lt;&gt;".",s_Irr!BP24&lt;&gt;"."),s_dir!U24/((1/1000)*(s_Irr!AR24+s_Irr!BP24)),IF(AND(s_Irr!T24=".",s_Irr!AR24=".",s_Irr!BP24&lt;&gt;"."),s_dir!U24/((1/1000)*(s_Irr!BP24)),IF(AND(s_Irr!T24=".",s_Irr!AR24&lt;&gt;".",s_Irr!BP24="."),s_dir!U24/((1/1000)*(s_Irr!AR24)),IF(AND(s_Irr!T24&lt;&gt;".",s_Irr!AR24=".",s_Irr!BP24="."),s_dir!U24/((1/1000)*(s_Irr!T24)),IF(AND(s_Irr!T24=".",s_Irr!AR24=".",s_Irr!BP24="."),s_dir!U24*1000)))))))),".")</f>
        <v>.</v>
      </c>
      <c r="V24" s="48" t="str">
        <f>IFERROR(IF(AND(s_Irr!U24&lt;&gt;".",s_Irr!AS24&lt;&gt;".",s_Irr!BQ24&lt;&gt;"."),s_dir!V24/((1/1000)*(s_Irr!U24+s_Irr!AS24+s_Irr!BQ24)),IF(AND(s_Irr!U24&lt;&gt;".",s_Irr!AS24&lt;&gt;".",s_Irr!BQ24="."),s_dir!V24/((1/1000)*(s_Irr!U24+s_Irr!AS24)),IF(AND(s_Irr!U24&lt;&gt;".",s_Irr!AS24=".",s_Irr!BQ24&lt;&gt;"."),s_dir!V24/((1/1000)*(s_Irr!U24+s_Irr!BQ24)),IF(AND(s_Irr!U24=".",s_Irr!AS24&lt;&gt;".",s_Irr!BQ24&lt;&gt;"."),s_dir!V24/((1/1000)*(s_Irr!AS24+s_Irr!BQ24)),IF(AND(s_Irr!U24=".",s_Irr!AS24=".",s_Irr!BQ24&lt;&gt;"."),s_dir!V24/((1/1000)*(s_Irr!BQ24)),IF(AND(s_Irr!U24=".",s_Irr!AS24&lt;&gt;".",s_Irr!BQ24="."),s_dir!V24/((1/1000)*(s_Irr!AS24)),IF(AND(s_Irr!U24&lt;&gt;".",s_Irr!AS24=".",s_Irr!BQ24="."),s_dir!V24/((1/1000)*(s_Irr!U24)),IF(AND(s_Irr!U24=".",s_Irr!AS24=".",s_Irr!BQ24="."),s_dir!V24*1000)))))))),".")</f>
        <v>.</v>
      </c>
      <c r="W24" s="48" t="str">
        <f>IFERROR(IF(AND(s_Irr!V24&lt;&gt;".",s_Irr!AT24&lt;&gt;".",s_Irr!BR24&lt;&gt;"."),s_dir!W24/((1/1000)*(s_Irr!V24+s_Irr!AT24+s_Irr!BR24)),IF(AND(s_Irr!V24&lt;&gt;".",s_Irr!AT24&lt;&gt;".",s_Irr!BR24="."),s_dir!W24/((1/1000)*(s_Irr!V24+s_Irr!AT24)),IF(AND(s_Irr!V24&lt;&gt;".",s_Irr!AT24=".",s_Irr!BR24&lt;&gt;"."),s_dir!W24/((1/1000)*(s_Irr!V24+s_Irr!BR24)),IF(AND(s_Irr!V24=".",s_Irr!AT24&lt;&gt;".",s_Irr!BR24&lt;&gt;"."),s_dir!W24/((1/1000)*(s_Irr!AT24+s_Irr!BR24)),IF(AND(s_Irr!V24=".",s_Irr!AT24=".",s_Irr!BR24&lt;&gt;"."),s_dir!W24/((1/1000)*(s_Irr!BR24)),IF(AND(s_Irr!V24=".",s_Irr!AT24&lt;&gt;".",s_Irr!BR24="."),s_dir!W24/((1/1000)*(s_Irr!AT24)),IF(AND(s_Irr!V24&lt;&gt;".",s_Irr!AT24=".",s_Irr!BR24="."),s_dir!W24/((1/1000)*(s_Irr!V24)),IF(AND(s_Irr!V24=".",s_Irr!AT24=".",s_Irr!BR24="."),s_dir!W24*1000)))))))),".")</f>
        <v>.</v>
      </c>
      <c r="X24" s="48" t="str">
        <f>IFERROR(IF(AND(s_Irr!W24&lt;&gt;".",s_Irr!AU24&lt;&gt;".",s_Irr!BS24&lt;&gt;"."),s_dir!X24/((1/1000)*(s_Irr!W24+s_Irr!AU24+s_Irr!BS24)),IF(AND(s_Irr!W24&lt;&gt;".",s_Irr!AU24&lt;&gt;".",s_Irr!BS24="."),s_dir!X24/((1/1000)*(s_Irr!W24+s_Irr!AU24)),IF(AND(s_Irr!W24&lt;&gt;".",s_Irr!AU24=".",s_Irr!BS24&lt;&gt;"."),s_dir!X24/((1/1000)*(s_Irr!W24+s_Irr!BS24)),IF(AND(s_Irr!W24=".",s_Irr!AU24&lt;&gt;".",s_Irr!BS24&lt;&gt;"."),s_dir!X24/((1/1000)*(s_Irr!AU24+s_Irr!BS24)),IF(AND(s_Irr!W24=".",s_Irr!AU24=".",s_Irr!BS24&lt;&gt;"."),s_dir!X24/((1/1000)*(s_Irr!BS24)),IF(AND(s_Irr!W24=".",s_Irr!AU24&lt;&gt;".",s_Irr!BS24="."),s_dir!X24/((1/1000)*(s_Irr!AU24)),IF(AND(s_Irr!W24&lt;&gt;".",s_Irr!AU24=".",s_Irr!BS24="."),s_dir!X24/((1/1000)*(s_Irr!W24)),IF(AND(s_Irr!W24=".",s_Irr!AU24=".",s_Irr!BS24="."),s_dir!X24*1000)))))))),".")</f>
        <v>.</v>
      </c>
      <c r="Y24" s="48" t="str">
        <f>IFERROR(IF(AND(s_Irr!X24&lt;&gt;".",s_Irr!AV24&lt;&gt;".",s_Irr!BT24&lt;&gt;"."),s_dir!Y24/((1/1000)*(s_Irr!X24+s_Irr!AV24+s_Irr!BT24)),IF(AND(s_Irr!X24&lt;&gt;".",s_Irr!AV24&lt;&gt;".",s_Irr!BT24="."),s_dir!Y24/((1/1000)*(s_Irr!X24+s_Irr!AV24)),IF(AND(s_Irr!X24&lt;&gt;".",s_Irr!AV24=".",s_Irr!BT24&lt;&gt;"."),s_dir!Y24/((1/1000)*(s_Irr!X24+s_Irr!BT24)),IF(AND(s_Irr!X24=".",s_Irr!AV24&lt;&gt;".",s_Irr!BT24&lt;&gt;"."),s_dir!Y24/((1/1000)*(s_Irr!AV24+s_Irr!BT24)),IF(AND(s_Irr!X24=".",s_Irr!AV24=".",s_Irr!BT24&lt;&gt;"."),s_dir!Y24/((1/1000)*(s_Irr!BT24)),IF(AND(s_Irr!X24=".",s_Irr!AV24&lt;&gt;".",s_Irr!BT24="."),s_dir!Y24/((1/1000)*(s_Irr!AV24)),IF(AND(s_Irr!X24&lt;&gt;".",s_Irr!AV24=".",s_Irr!BT24="."),s_dir!Y24/((1/1000)*(s_Irr!X24)),IF(AND(s_Irr!X24=".",s_Irr!AV24=".",s_Irr!BT24="."),s_dir!Y24*1000)))))))),".")</f>
        <v>.</v>
      </c>
      <c r="Z24" s="48" t="str">
        <f>IFERROR(IF(AND(s_Irr!Y24&lt;&gt;".",s_Irr!AW24&lt;&gt;".",s_Irr!BU24&lt;&gt;"."),s_dir!Z24/((1/1000)*(s_Irr!Y24+s_Irr!AW24+s_Irr!BU24)),IF(AND(s_Irr!Y24&lt;&gt;".",s_Irr!AW24&lt;&gt;".",s_Irr!BU24="."),s_dir!Z24/((1/1000)*(s_Irr!Y24+s_Irr!AW24)),IF(AND(s_Irr!Y24&lt;&gt;".",s_Irr!AW24=".",s_Irr!BU24&lt;&gt;"."),s_dir!Z24/((1/1000)*(s_Irr!Y24+s_Irr!BU24)),IF(AND(s_Irr!Y24=".",s_Irr!AW24&lt;&gt;".",s_Irr!BU24&lt;&gt;"."),s_dir!Z24/((1/1000)*(s_Irr!AW24+s_Irr!BU24)),IF(AND(s_Irr!Y24=".",s_Irr!AW24=".",s_Irr!BU24&lt;&gt;"."),s_dir!Z24/((1/1000)*(s_Irr!BU24)),IF(AND(s_Irr!Y24=".",s_Irr!AW24&lt;&gt;".",s_Irr!BU24="."),s_dir!Z24/((1/1000)*(s_Irr!AW24)),IF(AND(s_Irr!Y24&lt;&gt;".",s_Irr!AW24=".",s_Irr!BU24="."),s_dir!Z24/((1/1000)*(s_Irr!Y24)),IF(AND(s_Irr!Y24=".",s_Irr!AW24=".",s_Irr!BU24="."),s_dir!Z24*1000)))))))),".")</f>
        <v>.</v>
      </c>
      <c r="AA24" s="48" t="str">
        <f>IFERROR(IF(AND(s_Irr!Z24&lt;&gt;".",s_Irr!AX24&lt;&gt;".",s_Irr!BV24&lt;&gt;"."),s_dir!AA24/((1/1000)*(s_Irr!Z24+s_Irr!AX24+s_Irr!BV24)),IF(AND(s_Irr!Z24&lt;&gt;".",s_Irr!AX24&lt;&gt;".",s_Irr!BV24="."),s_dir!AA24/((1/1000)*(s_Irr!Z24+s_Irr!AX24)),IF(AND(s_Irr!Z24&lt;&gt;".",s_Irr!AX24=".",s_Irr!BV24&lt;&gt;"."),s_dir!AA24/((1/1000)*(s_Irr!Z24+s_Irr!BV24)),IF(AND(s_Irr!Z24=".",s_Irr!AX24&lt;&gt;".",s_Irr!BV24&lt;&gt;"."),s_dir!AA24/((1/1000)*(s_Irr!AX24+s_Irr!BV24)),IF(AND(s_Irr!Z24=".",s_Irr!AX24=".",s_Irr!BV24&lt;&gt;"."),s_dir!AA24/((1/1000)*(s_Irr!BV24)),IF(AND(s_Irr!Z24=".",s_Irr!AX24&lt;&gt;".",s_Irr!BV24="."),s_dir!AA24/((1/1000)*(s_Irr!AX24)),IF(AND(s_Irr!Z24&lt;&gt;".",s_Irr!AX24=".",s_Irr!BV24="."),s_dir!AA24/((1/1000)*(s_Irr!Z24)),IF(AND(s_Irr!Z24=".",s_Irr!AX24=".",s_Irr!BV24="."),s_dir!AA24*1000)))))))),".")</f>
        <v>.</v>
      </c>
      <c r="AB24" s="62">
        <f t="shared" si="3"/>
        <v>0</v>
      </c>
      <c r="AC24" s="62" t="str">
        <f>IFERROR(s_C*s_IFAP_res_adj*s_CF_apple*0.001*(s_Irr!C24+s_Irr!AA24+s_Irr!AY24),".")</f>
        <v>.</v>
      </c>
      <c r="AD24" s="62" t="str">
        <f>IFERROR(s_C*s_IFAS_res_adj*s_CF_asparagus*0.001*(s_Irr!D24+s_Irr!AB24+s_Irr!AZ24),".")</f>
        <v>.</v>
      </c>
      <c r="AE24" s="62" t="str">
        <f>IFERROR(s_C*s_IFBT_res_adj*s_CF_beet*0.001*(s_Irr!E24+s_Irr!AC24+s_Irr!BA24),".")</f>
        <v>.</v>
      </c>
      <c r="AF24" s="62" t="str">
        <f>IFERROR(s_C*s_IFBE_res_adj*s_CF_berries*0.001*(s_Irr!F24+s_Irr!AD24+s_Irr!BB24),".")</f>
        <v>.</v>
      </c>
      <c r="AG24" s="62" t="str">
        <f>IFERROR(s_C*s_IFBR_res_adj*s_CF_broccoli*0.001*(s_Irr!G24+s_Irr!AE24+s_Irr!BC24),".")</f>
        <v>.</v>
      </c>
      <c r="AH24" s="62" t="str">
        <f>IFERROR(s_C*s_IFCB_res_adj*s_CF_cabbage*0.001*(s_Irr!H24+s_Irr!AF24+s_Irr!BD24),".")</f>
        <v>.</v>
      </c>
      <c r="AI24" s="62" t="str">
        <f>IFERROR(s_C*s_IFCR_res_adj*s_CF_carrot*0.001*(s_Irr!I24+s_Irr!AG24+s_Irr!BE24),".")</f>
        <v>.</v>
      </c>
      <c r="AJ24" s="62" t="str">
        <f>IFERROR(s_C*s_IFCI_res_adj*s_CF_citrus*0.001*(s_Irr!J24+s_Irr!AH24+s_Irr!BF24),".")</f>
        <v>.</v>
      </c>
      <c r="AK24" s="62" t="str">
        <f>IFERROR(s_C*s_IFCO_res_adj*s_CF_corn*0.001*(s_Irr!K24+s_Irr!AI24+s_Irr!BG24),".")</f>
        <v>.</v>
      </c>
      <c r="AL24" s="62" t="str">
        <f>IFERROR(s_C*s_IFCU_res_adj*s_CF_cucumber*0.001*(s_Irr!L24+s_Irr!AJ24+s_Irr!BH24),".")</f>
        <v>.</v>
      </c>
      <c r="AM24" s="62" t="str">
        <f>IFERROR(s_C*s_IFLE_res_adj*s_CF_lettuce*0.001*(s_Irr!M24+s_Irr!AK24+s_Irr!BI24),".")</f>
        <v>.</v>
      </c>
      <c r="AN24" s="62" t="str">
        <f>IFERROR(s_C*s_IFLI_res_adj*s_CF_lima_bean*0.001*(s_Irr!N24+s_Irr!AL24+s_Irr!BJ24),".")</f>
        <v>.</v>
      </c>
      <c r="AO24" s="62" t="str">
        <f>IFERROR(s_C*s_IFOK_res_adj*s_CF_okra*0.001*(s_Irr!O24+s_Irr!AM24+s_Irr!BK24),".")</f>
        <v>.</v>
      </c>
      <c r="AP24" s="62" t="str">
        <f>IFERROR(s_C*s_IFON_res_adj*s_CF_onion*0.001*(s_Irr!P24+s_Irr!AN24+s_Irr!BL24),".")</f>
        <v>.</v>
      </c>
      <c r="AQ24" s="62" t="str">
        <f>IFERROR(s_C*s_IFPC_res_adj*s_CF_peach*0.001*(s_Irr!Q24+s_Irr!AO24+s_Irr!BM24),".")</f>
        <v>.</v>
      </c>
      <c r="AR24" s="62" t="str">
        <f>IFERROR(s_C*s_IFPR_res_adj*s_CF_pear*0.001*(s_Irr!R24+s_Irr!AP24+s_Irr!BN24),".")</f>
        <v>.</v>
      </c>
      <c r="AS24" s="62" t="str">
        <f>IFERROR(s_C*s_IFPE_res_adj*s_CF_peas*0.001*(s_Irr!S24+s_Irr!AQ24+s_Irr!BO24),".")</f>
        <v>.</v>
      </c>
      <c r="AT24" s="62" t="str">
        <f>IFERROR(s_C*s_IFPT_res_adj*s_CF_potato*0.001*(s_Irr!T24+s_Irr!AR24+s_Irr!BP24),".")</f>
        <v>.</v>
      </c>
      <c r="AU24" s="62" t="str">
        <f>IFERROR(s_C*s_IFPU_res_adj*s_CF_pumpkin*0.001*(s_Irr!U24+s_Irr!AS24+s_Irr!BQ24),".")</f>
        <v>.</v>
      </c>
      <c r="AV24" s="62" t="str">
        <f>IFERROR(s_C*s_IFSN_res_adj*s_CF_snap_bean*0.001*(s_Irr!V24+s_Irr!AT24+s_Irr!BR24),".")</f>
        <v>.</v>
      </c>
      <c r="AW24" s="62" t="str">
        <f>IFERROR(s_C*s_IFST_res_adj*s_CF_strawberry*0.001*(s_Irr!W24+s_Irr!AU24+s_Irr!BS24),".")</f>
        <v>.</v>
      </c>
      <c r="AX24" s="62" t="str">
        <f>IFERROR(s_C*s_IFTO_res_adj*s_CF_tomato*0.001*(s_Irr!X24+s_Irr!AV24+s_Irr!BT24),".")</f>
        <v>.</v>
      </c>
      <c r="AY24" s="62" t="str">
        <f>IFERROR(s_C*s_IFRI_res_adj*s_CF_rice*0.001*(s_Irr!Y24+s_Irr!AW24+s_Irr!BU24),".")</f>
        <v>.</v>
      </c>
      <c r="AZ24" s="62" t="str">
        <f>IFERROR(s_C*s_IFCG_res_adj*s_CF_cereal*0.001*(s_Irr!Z24+s_Irr!AX24+s_Irr!BV24),".")</f>
        <v>.</v>
      </c>
      <c r="BA24" s="48" t="str">
        <f t="shared" si="0"/>
        <v>.</v>
      </c>
      <c r="BB24" s="48" t="str">
        <f>IFERROR(IF(AND(s_Irr!C24&lt;&gt;".",s_Irr!AA24&lt;&gt;".",s_Irr!AY24&lt;&gt;"."),s_dir!AC24/((1/1000)*(s_Irr!C24+s_Irr!AA24+s_Irr!AY24)),IF(AND(s_Irr!C24&lt;&gt;".",s_Irr!AA24&lt;&gt;".",s_Irr!AY24="."),s_dir!AC24/((1/1000)*(s_Irr!C24+s_Irr!AA24)),IF(AND(s_Irr!C24&lt;&gt;".",s_Irr!AA24=".",s_Irr!AY24&lt;&gt;"."),s_dir!AC24/((1/1000)*(s_Irr!C24+s_Irr!AY24)),IF(AND(s_Irr!C24=".",s_Irr!AA24&lt;&gt;".",s_Irr!AY24&lt;&gt;"."),s_dir!AC24/((1/1000)*(s_Irr!AA24+s_Irr!AY24)),IF(AND(s_Irr!C24=".",s_Irr!AA24=".",s_Irr!AY24&lt;&gt;"."),s_dir!AC24/((1/1000)*(s_Irr!AY24)),IF(AND(s_Irr!C24=".",s_Irr!AA24&lt;&gt;".",s_Irr!AY24="."),s_dir!AC24/((1/1000)*(s_Irr!AA24)),IF(AND(s_Irr!C24&lt;&gt;".",s_Irr!AA24=".",s_Irr!AY24="."),s_dir!AC24/((1/1000)*(s_Irr!C24)),IF(AND(s_Irr!C24=".",s_Irr!AA24=".",s_Irr!AY24="."),s_dir!AC24*1000)))))))),".")</f>
        <v>.</v>
      </c>
      <c r="BC24" s="48" t="str">
        <f>IFERROR(IF(AND(s_Irr!D24&lt;&gt;".",s_Irr!AB24&lt;&gt;".",s_Irr!AZ24&lt;&gt;"."),s_dir!AD24/((1/1000)*(s_Irr!D24+s_Irr!AB24+s_Irr!AZ24)),IF(AND(s_Irr!D24&lt;&gt;".",s_Irr!AB24&lt;&gt;".",s_Irr!AZ24="."),s_dir!AD24/((1/1000)*(s_Irr!D24+s_Irr!AB24)),IF(AND(s_Irr!D24&lt;&gt;".",s_Irr!AB24=".",s_Irr!AZ24&lt;&gt;"."),s_dir!AD24/((1/1000)*(s_Irr!D24+s_Irr!AZ24)),IF(AND(s_Irr!D24=".",s_Irr!AB24&lt;&gt;".",s_Irr!AZ24&lt;&gt;"."),s_dir!AD24/((1/1000)*(s_Irr!AB24+s_Irr!AZ24)),IF(AND(s_Irr!D24=".",s_Irr!AB24=".",s_Irr!AZ24&lt;&gt;"."),s_dir!AD24/((1/1000)*(s_Irr!AZ24)),IF(AND(s_Irr!D24=".",s_Irr!AB24&lt;&gt;".",s_Irr!AZ24="."),s_dir!AD24/((1/1000)*(s_Irr!AB24)),IF(AND(s_Irr!D24&lt;&gt;".",s_Irr!AB24=".",s_Irr!AZ24="."),s_dir!AD24/((1/1000)*(s_Irr!D24)),IF(AND(s_Irr!D24=".",s_Irr!AB24=".",s_Irr!AZ24="."),s_dir!AD24*1000)))))))),".")</f>
        <v>.</v>
      </c>
      <c r="BD24" s="48" t="str">
        <f>IFERROR(IF(AND(s_Irr!E24&lt;&gt;".",s_Irr!AC24&lt;&gt;".",s_Irr!BA24&lt;&gt;"."),s_dir!AE24/((1/1000)*(s_Irr!E24+s_Irr!AC24+s_Irr!BA24)),IF(AND(s_Irr!E24&lt;&gt;".",s_Irr!AC24&lt;&gt;".",s_Irr!BA24="."),s_dir!AE24/((1/1000)*(s_Irr!E24+s_Irr!AC24)),IF(AND(s_Irr!E24&lt;&gt;".",s_Irr!AC24=".",s_Irr!BA24&lt;&gt;"."),s_dir!AE24/((1/1000)*(s_Irr!E24+s_Irr!BA24)),IF(AND(s_Irr!E24=".",s_Irr!AC24&lt;&gt;".",s_Irr!BA24&lt;&gt;"."),s_dir!AE24/((1/1000)*(s_Irr!AC24+s_Irr!BA24)),IF(AND(s_Irr!E24=".",s_Irr!AC24=".",s_Irr!BA24&lt;&gt;"."),s_dir!AE24/((1/1000)*(s_Irr!BA24)),IF(AND(s_Irr!E24=".",s_Irr!AC24&lt;&gt;".",s_Irr!BA24="."),s_dir!AE24/((1/1000)*(s_Irr!AC24)),IF(AND(s_Irr!E24&lt;&gt;".",s_Irr!AC24=".",s_Irr!BA24="."),s_dir!AE24/((1/1000)*(s_Irr!E24)),IF(AND(s_Irr!E24=".",s_Irr!AC24=".",s_Irr!BA24="."),s_dir!AE24*1000)))))))),".")</f>
        <v>.</v>
      </c>
      <c r="BE24" s="48" t="str">
        <f>IFERROR(IF(AND(s_Irr!F24&lt;&gt;".",s_Irr!AD24&lt;&gt;".",s_Irr!BB24&lt;&gt;"."),s_dir!AF24/((1/1000)*(s_Irr!F24+s_Irr!AD24+s_Irr!BB24)),IF(AND(s_Irr!F24&lt;&gt;".",s_Irr!AD24&lt;&gt;".",s_Irr!BB24="."),s_dir!AF24/((1/1000)*(s_Irr!F24+s_Irr!AD24)),IF(AND(s_Irr!F24&lt;&gt;".",s_Irr!AD24=".",s_Irr!BB24&lt;&gt;"."),s_dir!AF24/((1/1000)*(s_Irr!F24+s_Irr!BB24)),IF(AND(s_Irr!F24=".",s_Irr!AD24&lt;&gt;".",s_Irr!BB24&lt;&gt;"."),s_dir!AF24/((1/1000)*(s_Irr!AD24+s_Irr!BB24)),IF(AND(s_Irr!F24=".",s_Irr!AD24=".",s_Irr!BB24&lt;&gt;"."),s_dir!AF24/((1/1000)*(s_Irr!BB24)),IF(AND(s_Irr!F24=".",s_Irr!AD24&lt;&gt;".",s_Irr!BB24="."),s_dir!AF24/((1/1000)*(s_Irr!AD24)),IF(AND(s_Irr!F24&lt;&gt;".",s_Irr!AD24=".",s_Irr!BB24="."),s_dir!AF24/((1/1000)*(s_Irr!F24)),IF(AND(s_Irr!F24=".",s_Irr!AD24=".",s_Irr!BB24="."),s_dir!AF24*1000)))))))),".")</f>
        <v>.</v>
      </c>
      <c r="BF24" s="48" t="str">
        <f>IFERROR(IF(AND(s_Irr!G24&lt;&gt;".",s_Irr!AE24&lt;&gt;".",s_Irr!BC24&lt;&gt;"."),s_dir!AG24/((1/1000)*(s_Irr!G24+s_Irr!AE24+s_Irr!BC24)),IF(AND(s_Irr!G24&lt;&gt;".",s_Irr!AE24&lt;&gt;".",s_Irr!BC24="."),s_dir!AG24/((1/1000)*(s_Irr!G24+s_Irr!AE24)),IF(AND(s_Irr!G24&lt;&gt;".",s_Irr!AE24=".",s_Irr!BC24&lt;&gt;"."),s_dir!AG24/((1/1000)*(s_Irr!G24+s_Irr!BC24)),IF(AND(s_Irr!G24=".",s_Irr!AE24&lt;&gt;".",s_Irr!BC24&lt;&gt;"."),s_dir!AG24/((1/1000)*(s_Irr!AE24+s_Irr!BC24)),IF(AND(s_Irr!G24=".",s_Irr!AE24=".",s_Irr!BC24&lt;&gt;"."),s_dir!AG24/((1/1000)*(s_Irr!BC24)),IF(AND(s_Irr!G24=".",s_Irr!AE24&lt;&gt;".",s_Irr!BC24="."),s_dir!AG24/((1/1000)*(s_Irr!AE24)),IF(AND(s_Irr!G24&lt;&gt;".",s_Irr!AE24=".",s_Irr!BC24="."),s_dir!AG24/((1/1000)*(s_Irr!G24)),IF(AND(s_Irr!G24=".",s_Irr!AE24=".",s_Irr!BC24="."),s_dir!AG24*1000)))))))),".")</f>
        <v>.</v>
      </c>
      <c r="BG24" s="48" t="str">
        <f>IFERROR(IF(AND(s_Irr!H24&lt;&gt;".",s_Irr!AF24&lt;&gt;".",s_Irr!BD24&lt;&gt;"."),s_dir!AH24/((1/1000)*(s_Irr!H24+s_Irr!AF24+s_Irr!BD24)),IF(AND(s_Irr!H24&lt;&gt;".",s_Irr!AF24&lt;&gt;".",s_Irr!BD24="."),s_dir!AH24/((1/1000)*(s_Irr!H24+s_Irr!AF24)),IF(AND(s_Irr!H24&lt;&gt;".",s_Irr!AF24=".",s_Irr!BD24&lt;&gt;"."),s_dir!AH24/((1/1000)*(s_Irr!H24+s_Irr!BD24)),IF(AND(s_Irr!H24=".",s_Irr!AF24&lt;&gt;".",s_Irr!BD24&lt;&gt;"."),s_dir!AH24/((1/1000)*(s_Irr!AF24+s_Irr!BD24)),IF(AND(s_Irr!H24=".",s_Irr!AF24=".",s_Irr!BD24&lt;&gt;"."),s_dir!AH24/((1/1000)*(s_Irr!BD24)),IF(AND(s_Irr!H24=".",s_Irr!AF24&lt;&gt;".",s_Irr!BD24="."),s_dir!AH24/((1/1000)*(s_Irr!AF24)),IF(AND(s_Irr!H24&lt;&gt;".",s_Irr!AF24=".",s_Irr!BD24="."),s_dir!AH24/((1/1000)*(s_Irr!H24)),IF(AND(s_Irr!H24=".",s_Irr!AF24=".",s_Irr!BD24="."),s_dir!AH24*1000)))))))),".")</f>
        <v>.</v>
      </c>
      <c r="BH24" s="48" t="str">
        <f>IFERROR(IF(AND(s_Irr!I24&lt;&gt;".",s_Irr!AG24&lt;&gt;".",s_Irr!BE24&lt;&gt;"."),s_dir!AI24/((1/1000)*(s_Irr!I24+s_Irr!AG24+s_Irr!BE24)),IF(AND(s_Irr!I24&lt;&gt;".",s_Irr!AG24&lt;&gt;".",s_Irr!BE24="."),s_dir!AI24/((1/1000)*(s_Irr!I24+s_Irr!AG24)),IF(AND(s_Irr!I24&lt;&gt;".",s_Irr!AG24=".",s_Irr!BE24&lt;&gt;"."),s_dir!AI24/((1/1000)*(s_Irr!I24+s_Irr!BE24)),IF(AND(s_Irr!I24=".",s_Irr!AG24&lt;&gt;".",s_Irr!BE24&lt;&gt;"."),s_dir!AI24/((1/1000)*(s_Irr!AG24+s_Irr!BE24)),IF(AND(s_Irr!I24=".",s_Irr!AG24=".",s_Irr!BE24&lt;&gt;"."),s_dir!AI24/((1/1000)*(s_Irr!BE24)),IF(AND(s_Irr!I24=".",s_Irr!AG24&lt;&gt;".",s_Irr!BE24="."),s_dir!AI24/((1/1000)*(s_Irr!AG24)),IF(AND(s_Irr!I24&lt;&gt;".",s_Irr!AG24=".",s_Irr!BE24="."),s_dir!AI24/((1/1000)*(s_Irr!I24)),IF(AND(s_Irr!I24=".",s_Irr!AG24=".",s_Irr!BE24="."),s_dir!AI24*1000)))))))),".")</f>
        <v>.</v>
      </c>
      <c r="BI24" s="48" t="str">
        <f>IFERROR(IF(AND(s_Irr!J24&lt;&gt;".",s_Irr!AH24&lt;&gt;".",s_Irr!BF24&lt;&gt;"."),s_dir!AJ24/((1/1000)*(s_Irr!J24+s_Irr!AH24+s_Irr!BF24)),IF(AND(s_Irr!J24&lt;&gt;".",s_Irr!AH24&lt;&gt;".",s_Irr!BF24="."),s_dir!AJ24/((1/1000)*(s_Irr!J24+s_Irr!AH24)),IF(AND(s_Irr!J24&lt;&gt;".",s_Irr!AH24=".",s_Irr!BF24&lt;&gt;"."),s_dir!AJ24/((1/1000)*(s_Irr!J24+s_Irr!BF24)),IF(AND(s_Irr!J24=".",s_Irr!AH24&lt;&gt;".",s_Irr!BF24&lt;&gt;"."),s_dir!AJ24/((1/1000)*(s_Irr!AH24+s_Irr!BF24)),IF(AND(s_Irr!J24=".",s_Irr!AH24=".",s_Irr!BF24&lt;&gt;"."),s_dir!AJ24/((1/1000)*(s_Irr!BF24)),IF(AND(s_Irr!J24=".",s_Irr!AH24&lt;&gt;".",s_Irr!BF24="."),s_dir!AJ24/((1/1000)*(s_Irr!AH24)),IF(AND(s_Irr!J24&lt;&gt;".",s_Irr!AH24=".",s_Irr!BF24="."),s_dir!AJ24/((1/1000)*(s_Irr!J24)),IF(AND(s_Irr!J24=".",s_Irr!AH24=".",s_Irr!BF24="."),s_dir!AJ24*1000)))))))),".")</f>
        <v>.</v>
      </c>
      <c r="BJ24" s="48" t="str">
        <f>IFERROR(IF(AND(s_Irr!K24&lt;&gt;".",s_Irr!AI24&lt;&gt;".",s_Irr!BG24&lt;&gt;"."),s_dir!AK24/((1/1000)*(s_Irr!K24+s_Irr!AI24+s_Irr!BG24)),IF(AND(s_Irr!K24&lt;&gt;".",s_Irr!AI24&lt;&gt;".",s_Irr!BG24="."),s_dir!AK24/((1/1000)*(s_Irr!K24+s_Irr!AI24)),IF(AND(s_Irr!K24&lt;&gt;".",s_Irr!AI24=".",s_Irr!BG24&lt;&gt;"."),s_dir!AK24/((1/1000)*(s_Irr!K24+s_Irr!BG24)),IF(AND(s_Irr!K24=".",s_Irr!AI24&lt;&gt;".",s_Irr!BG24&lt;&gt;"."),s_dir!AK24/((1/1000)*(s_Irr!AI24+s_Irr!BG24)),IF(AND(s_Irr!K24=".",s_Irr!AI24=".",s_Irr!BG24&lt;&gt;"."),s_dir!AK24/((1/1000)*(s_Irr!BG24)),IF(AND(s_Irr!K24=".",s_Irr!AI24&lt;&gt;".",s_Irr!BG24="."),s_dir!AK24/((1/1000)*(s_Irr!AI24)),IF(AND(s_Irr!K24&lt;&gt;".",s_Irr!AI24=".",s_Irr!BG24="."),s_dir!AK24/((1/1000)*(s_Irr!K24)),IF(AND(s_Irr!K24=".",s_Irr!AI24=".",s_Irr!BG24="."),s_dir!AK24*1000)))))))),".")</f>
        <v>.</v>
      </c>
      <c r="BK24" s="48" t="str">
        <f>IFERROR(IF(AND(s_Irr!L24&lt;&gt;".",s_Irr!AJ24&lt;&gt;".",s_Irr!BH24&lt;&gt;"."),s_dir!AL24/((1/1000)*(s_Irr!L24+s_Irr!AJ24+s_Irr!BH24)),IF(AND(s_Irr!L24&lt;&gt;".",s_Irr!AJ24&lt;&gt;".",s_Irr!BH24="."),s_dir!AL24/((1/1000)*(s_Irr!L24+s_Irr!AJ24)),IF(AND(s_Irr!L24&lt;&gt;".",s_Irr!AJ24=".",s_Irr!BH24&lt;&gt;"."),s_dir!AL24/((1/1000)*(s_Irr!L24+s_Irr!BH24)),IF(AND(s_Irr!L24=".",s_Irr!AJ24&lt;&gt;".",s_Irr!BH24&lt;&gt;"."),s_dir!AL24/((1/1000)*(s_Irr!AJ24+s_Irr!BH24)),IF(AND(s_Irr!L24=".",s_Irr!AJ24=".",s_Irr!BH24&lt;&gt;"."),s_dir!AL24/((1/1000)*(s_Irr!BH24)),IF(AND(s_Irr!L24=".",s_Irr!AJ24&lt;&gt;".",s_Irr!BH24="."),s_dir!AL24/((1/1000)*(s_Irr!AJ24)),IF(AND(s_Irr!L24&lt;&gt;".",s_Irr!AJ24=".",s_Irr!BH24="."),s_dir!AL24/((1/1000)*(s_Irr!L24)),IF(AND(s_Irr!L24=".",s_Irr!AJ24=".",s_Irr!BH24="."),s_dir!AL24*1000)))))))),".")</f>
        <v>.</v>
      </c>
      <c r="BL24" s="48" t="str">
        <f>IFERROR(IF(AND(s_Irr!M24&lt;&gt;".",s_Irr!AK24&lt;&gt;".",s_Irr!BI24&lt;&gt;"."),s_dir!AM24/((1/1000)*(s_Irr!M24+s_Irr!AK24+s_Irr!BI24)),IF(AND(s_Irr!M24&lt;&gt;".",s_Irr!AK24&lt;&gt;".",s_Irr!BI24="."),s_dir!AM24/((1/1000)*(s_Irr!M24+s_Irr!AK24)),IF(AND(s_Irr!M24&lt;&gt;".",s_Irr!AK24=".",s_Irr!BI24&lt;&gt;"."),s_dir!AM24/((1/1000)*(s_Irr!M24+s_Irr!BI24)),IF(AND(s_Irr!M24=".",s_Irr!AK24&lt;&gt;".",s_Irr!BI24&lt;&gt;"."),s_dir!AM24/((1/1000)*(s_Irr!AK24+s_Irr!BI24)),IF(AND(s_Irr!M24=".",s_Irr!AK24=".",s_Irr!BI24&lt;&gt;"."),s_dir!AM24/((1/1000)*(s_Irr!BI24)),IF(AND(s_Irr!M24=".",s_Irr!AK24&lt;&gt;".",s_Irr!BI24="."),s_dir!AM24/((1/1000)*(s_Irr!AK24)),IF(AND(s_Irr!M24&lt;&gt;".",s_Irr!AK24=".",s_Irr!BI24="."),s_dir!AM24/((1/1000)*(s_Irr!M24)),IF(AND(s_Irr!M24=".",s_Irr!AK24=".",s_Irr!BI24="."),s_dir!AM24*1000)))))))),".")</f>
        <v>.</v>
      </c>
      <c r="BM24" s="48" t="str">
        <f>IFERROR(IF(AND(s_Irr!N24&lt;&gt;".",s_Irr!AL24&lt;&gt;".",s_Irr!BJ24&lt;&gt;"."),s_dir!AN24/((1/1000)*(s_Irr!N24+s_Irr!AL24+s_Irr!BJ24)),IF(AND(s_Irr!N24&lt;&gt;".",s_Irr!AL24&lt;&gt;".",s_Irr!BJ24="."),s_dir!AN24/((1/1000)*(s_Irr!N24+s_Irr!AL24)),IF(AND(s_Irr!N24&lt;&gt;".",s_Irr!AL24=".",s_Irr!BJ24&lt;&gt;"."),s_dir!AN24/((1/1000)*(s_Irr!N24+s_Irr!BJ24)),IF(AND(s_Irr!N24=".",s_Irr!AL24&lt;&gt;".",s_Irr!BJ24&lt;&gt;"."),s_dir!AN24/((1/1000)*(s_Irr!AL24+s_Irr!BJ24)),IF(AND(s_Irr!N24=".",s_Irr!AL24=".",s_Irr!BJ24&lt;&gt;"."),s_dir!AN24/((1/1000)*(s_Irr!BJ24)),IF(AND(s_Irr!N24=".",s_Irr!AL24&lt;&gt;".",s_Irr!BJ24="."),s_dir!AN24/((1/1000)*(s_Irr!AL24)),IF(AND(s_Irr!N24&lt;&gt;".",s_Irr!AL24=".",s_Irr!BJ24="."),s_dir!AN24/((1/1000)*(s_Irr!N24)),IF(AND(s_Irr!N24=".",s_Irr!AL24=".",s_Irr!BJ24="."),s_dir!AN24*1000)))))))),".")</f>
        <v>.</v>
      </c>
      <c r="BN24" s="48" t="str">
        <f>IFERROR(IF(AND(s_Irr!O24&lt;&gt;".",s_Irr!AM24&lt;&gt;".",s_Irr!BK24&lt;&gt;"."),s_dir!AO24/((1/1000)*(s_Irr!O24+s_Irr!AM24+s_Irr!BK24)),IF(AND(s_Irr!O24&lt;&gt;".",s_Irr!AM24&lt;&gt;".",s_Irr!BK24="."),s_dir!AO24/((1/1000)*(s_Irr!O24+s_Irr!AM24)),IF(AND(s_Irr!O24&lt;&gt;".",s_Irr!AM24=".",s_Irr!BK24&lt;&gt;"."),s_dir!AO24/((1/1000)*(s_Irr!O24+s_Irr!BK24)),IF(AND(s_Irr!O24=".",s_Irr!AM24&lt;&gt;".",s_Irr!BK24&lt;&gt;"."),s_dir!AO24/((1/1000)*(s_Irr!AM24+s_Irr!BK24)),IF(AND(s_Irr!O24=".",s_Irr!AM24=".",s_Irr!BK24&lt;&gt;"."),s_dir!AO24/((1/1000)*(s_Irr!BK24)),IF(AND(s_Irr!O24=".",s_Irr!AM24&lt;&gt;".",s_Irr!BK24="."),s_dir!AO24/((1/1000)*(s_Irr!AM24)),IF(AND(s_Irr!O24&lt;&gt;".",s_Irr!AM24=".",s_Irr!BK24="."),s_dir!AO24/((1/1000)*(s_Irr!O24)),IF(AND(s_Irr!O24=".",s_Irr!AM24=".",s_Irr!BK24="."),s_dir!AO24*1000)))))))),".")</f>
        <v>.</v>
      </c>
      <c r="BO24" s="48" t="str">
        <f>IFERROR(IF(AND(s_Irr!P24&lt;&gt;".",s_Irr!AN24&lt;&gt;".",s_Irr!BL24&lt;&gt;"."),s_dir!AP24/((1/1000)*(s_Irr!P24+s_Irr!AN24+s_Irr!BL24)),IF(AND(s_Irr!P24&lt;&gt;".",s_Irr!AN24&lt;&gt;".",s_Irr!BL24="."),s_dir!AP24/((1/1000)*(s_Irr!P24+s_Irr!AN24)),IF(AND(s_Irr!P24&lt;&gt;".",s_Irr!AN24=".",s_Irr!BL24&lt;&gt;"."),s_dir!AP24/((1/1000)*(s_Irr!P24+s_Irr!BL24)),IF(AND(s_Irr!P24=".",s_Irr!AN24&lt;&gt;".",s_Irr!BL24&lt;&gt;"."),s_dir!AP24/((1/1000)*(s_Irr!AN24+s_Irr!BL24)),IF(AND(s_Irr!P24=".",s_Irr!AN24=".",s_Irr!BL24&lt;&gt;"."),s_dir!AP24/((1/1000)*(s_Irr!BL24)),IF(AND(s_Irr!P24=".",s_Irr!AN24&lt;&gt;".",s_Irr!BL24="."),s_dir!AP24/((1/1000)*(s_Irr!AN24)),IF(AND(s_Irr!P24&lt;&gt;".",s_Irr!AN24=".",s_Irr!BL24="."),s_dir!AP24/((1/1000)*(s_Irr!P24)),IF(AND(s_Irr!P24=".",s_Irr!AN24=".",s_Irr!BL24="."),s_dir!AP24*1000)))))))),".")</f>
        <v>.</v>
      </c>
      <c r="BP24" s="48" t="str">
        <f>IFERROR(IF(AND(s_Irr!Q24&lt;&gt;".",s_Irr!AO24&lt;&gt;".",s_Irr!BM24&lt;&gt;"."),s_dir!AQ24/((1/1000)*(s_Irr!Q24+s_Irr!AO24+s_Irr!BM24)),IF(AND(s_Irr!Q24&lt;&gt;".",s_Irr!AO24&lt;&gt;".",s_Irr!BM24="."),s_dir!AQ24/((1/1000)*(s_Irr!Q24+s_Irr!AO24)),IF(AND(s_Irr!Q24&lt;&gt;".",s_Irr!AO24=".",s_Irr!BM24&lt;&gt;"."),s_dir!AQ24/((1/1000)*(s_Irr!Q24+s_Irr!BM24)),IF(AND(s_Irr!Q24=".",s_Irr!AO24&lt;&gt;".",s_Irr!BM24&lt;&gt;"."),s_dir!AQ24/((1/1000)*(s_Irr!AO24+s_Irr!BM24)),IF(AND(s_Irr!Q24=".",s_Irr!AO24=".",s_Irr!BM24&lt;&gt;"."),s_dir!AQ24/((1/1000)*(s_Irr!BM24)),IF(AND(s_Irr!Q24=".",s_Irr!AO24&lt;&gt;".",s_Irr!BM24="."),s_dir!AQ24/((1/1000)*(s_Irr!AO24)),IF(AND(s_Irr!Q24&lt;&gt;".",s_Irr!AO24=".",s_Irr!BM24="."),s_dir!AQ24/((1/1000)*(s_Irr!Q24)),IF(AND(s_Irr!Q24=".",s_Irr!AO24=".",s_Irr!BM24="."),s_dir!AQ24*1000)))))))),".")</f>
        <v>.</v>
      </c>
      <c r="BQ24" s="48" t="str">
        <f>IFERROR(IF(AND(s_Irr!R24&lt;&gt;".",s_Irr!AP24&lt;&gt;".",s_Irr!BN24&lt;&gt;"."),s_dir!AR24/((1/1000)*(s_Irr!R24+s_Irr!AP24+s_Irr!BN24)),IF(AND(s_Irr!R24&lt;&gt;".",s_Irr!AP24&lt;&gt;".",s_Irr!BN24="."),s_dir!AR24/((1/1000)*(s_Irr!R24+s_Irr!AP24)),IF(AND(s_Irr!R24&lt;&gt;".",s_Irr!AP24=".",s_Irr!BN24&lt;&gt;"."),s_dir!AR24/((1/1000)*(s_Irr!R24+s_Irr!BN24)),IF(AND(s_Irr!R24=".",s_Irr!AP24&lt;&gt;".",s_Irr!BN24&lt;&gt;"."),s_dir!AR24/((1/1000)*(s_Irr!AP24+s_Irr!BN24)),IF(AND(s_Irr!R24=".",s_Irr!AP24=".",s_Irr!BN24&lt;&gt;"."),s_dir!AR24/((1/1000)*(s_Irr!BN24)),IF(AND(s_Irr!R24=".",s_Irr!AP24&lt;&gt;".",s_Irr!BN24="."),s_dir!AR24/((1/1000)*(s_Irr!AP24)),IF(AND(s_Irr!R24&lt;&gt;".",s_Irr!AP24=".",s_Irr!BN24="."),s_dir!AR24/((1/1000)*(s_Irr!R24)),IF(AND(s_Irr!R24=".",s_Irr!AP24=".",s_Irr!BN24="."),s_dir!AR24*1000)))))))),".")</f>
        <v>.</v>
      </c>
      <c r="BR24" s="48" t="str">
        <f>IFERROR(IF(AND(s_Irr!S24&lt;&gt;".",s_Irr!AQ24&lt;&gt;".",s_Irr!BO24&lt;&gt;"."),s_dir!AS24/((1/1000)*(s_Irr!S24+s_Irr!AQ24+s_Irr!BO24)),IF(AND(s_Irr!S24&lt;&gt;".",s_Irr!AQ24&lt;&gt;".",s_Irr!BO24="."),s_dir!AS24/((1/1000)*(s_Irr!S24+s_Irr!AQ24)),IF(AND(s_Irr!S24&lt;&gt;".",s_Irr!AQ24=".",s_Irr!BO24&lt;&gt;"."),s_dir!AS24/((1/1000)*(s_Irr!S24+s_Irr!BO24)),IF(AND(s_Irr!S24=".",s_Irr!AQ24&lt;&gt;".",s_Irr!BO24&lt;&gt;"."),s_dir!AS24/((1/1000)*(s_Irr!AQ24+s_Irr!BO24)),IF(AND(s_Irr!S24=".",s_Irr!AQ24=".",s_Irr!BO24&lt;&gt;"."),s_dir!AS24/((1/1000)*(s_Irr!BO24)),IF(AND(s_Irr!S24=".",s_Irr!AQ24&lt;&gt;".",s_Irr!BO24="."),s_dir!AS24/((1/1000)*(s_Irr!AQ24)),IF(AND(s_Irr!S24&lt;&gt;".",s_Irr!AQ24=".",s_Irr!BO24="."),s_dir!AS24/((1/1000)*(s_Irr!S24)),IF(AND(s_Irr!S24=".",s_Irr!AQ24=".",s_Irr!BO24="."),s_dir!AS24*1000)))))))),".")</f>
        <v>.</v>
      </c>
      <c r="BS24" s="48" t="str">
        <f>IFERROR(IF(AND(s_Irr!T24&lt;&gt;".",s_Irr!AR24&lt;&gt;".",s_Irr!BP24&lt;&gt;"."),s_dir!AT24/((1/1000)*(s_Irr!T24+s_Irr!AR24+s_Irr!BP24)),IF(AND(s_Irr!T24&lt;&gt;".",s_Irr!AR24&lt;&gt;".",s_Irr!BP24="."),s_dir!AT24/((1/1000)*(s_Irr!T24+s_Irr!AR24)),IF(AND(s_Irr!T24&lt;&gt;".",s_Irr!AR24=".",s_Irr!BP24&lt;&gt;"."),s_dir!AT24/((1/1000)*(s_Irr!T24+s_Irr!BP24)),IF(AND(s_Irr!T24=".",s_Irr!AR24&lt;&gt;".",s_Irr!BP24&lt;&gt;"."),s_dir!AT24/((1/1000)*(s_Irr!AR24+s_Irr!BP24)),IF(AND(s_Irr!T24=".",s_Irr!AR24=".",s_Irr!BP24&lt;&gt;"."),s_dir!AT24/((1/1000)*(s_Irr!BP24)),IF(AND(s_Irr!T24=".",s_Irr!AR24&lt;&gt;".",s_Irr!BP24="."),s_dir!AT24/((1/1000)*(s_Irr!AR24)),IF(AND(s_Irr!T24&lt;&gt;".",s_Irr!AR24=".",s_Irr!BP24="."),s_dir!AT24/((1/1000)*(s_Irr!T24)),IF(AND(s_Irr!T24=".",s_Irr!AR24=".",s_Irr!BP24="."),s_dir!AT24*1000)))))))),".")</f>
        <v>.</v>
      </c>
      <c r="BT24" s="48" t="str">
        <f>IFERROR(IF(AND(s_Irr!U24&lt;&gt;".",s_Irr!AS24&lt;&gt;".",s_Irr!BQ24&lt;&gt;"."),s_dir!AU24/((1/1000)*(s_Irr!U24+s_Irr!AS24+s_Irr!BQ24)),IF(AND(s_Irr!U24&lt;&gt;".",s_Irr!AS24&lt;&gt;".",s_Irr!BQ24="."),s_dir!AU24/((1/1000)*(s_Irr!U24+s_Irr!AS24)),IF(AND(s_Irr!U24&lt;&gt;".",s_Irr!AS24=".",s_Irr!BQ24&lt;&gt;"."),s_dir!AU24/((1/1000)*(s_Irr!U24+s_Irr!BQ24)),IF(AND(s_Irr!U24=".",s_Irr!AS24&lt;&gt;".",s_Irr!BQ24&lt;&gt;"."),s_dir!AU24/((1/1000)*(s_Irr!AS24+s_Irr!BQ24)),IF(AND(s_Irr!U24=".",s_Irr!AS24=".",s_Irr!BQ24&lt;&gt;"."),s_dir!AU24/((1/1000)*(s_Irr!BQ24)),IF(AND(s_Irr!U24=".",s_Irr!AS24&lt;&gt;".",s_Irr!BQ24="."),s_dir!AU24/((1/1000)*(s_Irr!AS24)),IF(AND(s_Irr!U24&lt;&gt;".",s_Irr!AS24=".",s_Irr!BQ24="."),s_dir!AU24/((1/1000)*(s_Irr!U24)),IF(AND(s_Irr!U24=".",s_Irr!AS24=".",s_Irr!BQ24="."),s_dir!AU24*1000)))))))),".")</f>
        <v>.</v>
      </c>
      <c r="BU24" s="48" t="str">
        <f>IFERROR(IF(AND(s_Irr!V24&lt;&gt;".",s_Irr!AT24&lt;&gt;".",s_Irr!BR24&lt;&gt;"."),s_dir!AV24/((1/1000)*(s_Irr!V24+s_Irr!AT24+s_Irr!BR24)),IF(AND(s_Irr!V24&lt;&gt;".",s_Irr!AT24&lt;&gt;".",s_Irr!BR24="."),s_dir!AV24/((1/1000)*(s_Irr!V24+s_Irr!AT24)),IF(AND(s_Irr!V24&lt;&gt;".",s_Irr!AT24=".",s_Irr!BR24&lt;&gt;"."),s_dir!AV24/((1/1000)*(s_Irr!V24+s_Irr!BR24)),IF(AND(s_Irr!V24=".",s_Irr!AT24&lt;&gt;".",s_Irr!BR24&lt;&gt;"."),s_dir!AV24/((1/1000)*(s_Irr!AT24+s_Irr!BR24)),IF(AND(s_Irr!V24=".",s_Irr!AT24=".",s_Irr!BR24&lt;&gt;"."),s_dir!AV24/((1/1000)*(s_Irr!BR24)),IF(AND(s_Irr!V24=".",s_Irr!AT24&lt;&gt;".",s_Irr!BR24="."),s_dir!AV24/((1/1000)*(s_Irr!AT24)),IF(AND(s_Irr!V24&lt;&gt;".",s_Irr!AT24=".",s_Irr!BR24="."),s_dir!AV24/((1/1000)*(s_Irr!V24)),IF(AND(s_Irr!V24=".",s_Irr!AT24=".",s_Irr!BR24="."),s_dir!AV24*1000)))))))),".")</f>
        <v>.</v>
      </c>
      <c r="BV24" s="48" t="str">
        <f>IFERROR(IF(AND(s_Irr!W24&lt;&gt;".",s_Irr!AU24&lt;&gt;".",s_Irr!BS24&lt;&gt;"."),s_dir!AW24/((1/1000)*(s_Irr!W24+s_Irr!AU24+s_Irr!BS24)),IF(AND(s_Irr!W24&lt;&gt;".",s_Irr!AU24&lt;&gt;".",s_Irr!BS24="."),s_dir!AW24/((1/1000)*(s_Irr!W24+s_Irr!AU24)),IF(AND(s_Irr!W24&lt;&gt;".",s_Irr!AU24=".",s_Irr!BS24&lt;&gt;"."),s_dir!AW24/((1/1000)*(s_Irr!W24+s_Irr!BS24)),IF(AND(s_Irr!W24=".",s_Irr!AU24&lt;&gt;".",s_Irr!BS24&lt;&gt;"."),s_dir!AW24/((1/1000)*(s_Irr!AU24+s_Irr!BS24)),IF(AND(s_Irr!W24=".",s_Irr!AU24=".",s_Irr!BS24&lt;&gt;"."),s_dir!AW24/((1/1000)*(s_Irr!BS24)),IF(AND(s_Irr!W24=".",s_Irr!AU24&lt;&gt;".",s_Irr!BS24="."),s_dir!AW24/((1/1000)*(s_Irr!AU24)),IF(AND(s_Irr!W24&lt;&gt;".",s_Irr!AU24=".",s_Irr!BS24="."),s_dir!AW24/((1/1000)*(s_Irr!W24)),IF(AND(s_Irr!W24=".",s_Irr!AU24=".",s_Irr!BS24="."),s_dir!AW24*1000)))))))),".")</f>
        <v>.</v>
      </c>
      <c r="BW24" s="48" t="str">
        <f>IFERROR(IF(AND(s_Irr!X24&lt;&gt;".",s_Irr!AV24&lt;&gt;".",s_Irr!BT24&lt;&gt;"."),s_dir!AX24/((1/1000)*(s_Irr!X24+s_Irr!AV24+s_Irr!BT24)),IF(AND(s_Irr!X24&lt;&gt;".",s_Irr!AV24&lt;&gt;".",s_Irr!BT24="."),s_dir!AX24/((1/1000)*(s_Irr!X24+s_Irr!AV24)),IF(AND(s_Irr!X24&lt;&gt;".",s_Irr!AV24=".",s_Irr!BT24&lt;&gt;"."),s_dir!AX24/((1/1000)*(s_Irr!X24+s_Irr!BT24)),IF(AND(s_Irr!X24=".",s_Irr!AV24&lt;&gt;".",s_Irr!BT24&lt;&gt;"."),s_dir!AX24/((1/1000)*(s_Irr!AV24+s_Irr!BT24)),IF(AND(s_Irr!X24=".",s_Irr!AV24=".",s_Irr!BT24&lt;&gt;"."),s_dir!AX24/((1/1000)*(s_Irr!BT24)),IF(AND(s_Irr!X24=".",s_Irr!AV24&lt;&gt;".",s_Irr!BT24="."),s_dir!AX24/((1/1000)*(s_Irr!AV24)),IF(AND(s_Irr!X24&lt;&gt;".",s_Irr!AV24=".",s_Irr!BT24="."),s_dir!AX24/((1/1000)*(s_Irr!X24)),IF(AND(s_Irr!X24=".",s_Irr!AV24=".",s_Irr!BT24="."),s_dir!AX24*1000)))))))),".")</f>
        <v>.</v>
      </c>
      <c r="BX24" s="48" t="str">
        <f>IFERROR(IF(AND(s_Irr!Y24&lt;&gt;".",s_Irr!AW24&lt;&gt;".",s_Irr!BU24&lt;&gt;"."),s_dir!AY24/((1/1000)*(s_Irr!Y24+s_Irr!AW24+s_Irr!BU24)),IF(AND(s_Irr!Y24&lt;&gt;".",s_Irr!AW24&lt;&gt;".",s_Irr!BU24="."),s_dir!AY24/((1/1000)*(s_Irr!Y24+s_Irr!AW24)),IF(AND(s_Irr!Y24&lt;&gt;".",s_Irr!AW24=".",s_Irr!BU24&lt;&gt;"."),s_dir!AY24/((1/1000)*(s_Irr!Y24+s_Irr!BU24)),IF(AND(s_Irr!Y24=".",s_Irr!AW24&lt;&gt;".",s_Irr!BU24&lt;&gt;"."),s_dir!AY24/((1/1000)*(s_Irr!AW24+s_Irr!BU24)),IF(AND(s_Irr!Y24=".",s_Irr!AW24=".",s_Irr!BU24&lt;&gt;"."),s_dir!AY24/((1/1000)*(s_Irr!BU24)),IF(AND(s_Irr!Y24=".",s_Irr!AW24&lt;&gt;".",s_Irr!BU24="."),s_dir!AY24/((1/1000)*(s_Irr!AW24)),IF(AND(s_Irr!Y24&lt;&gt;".",s_Irr!AW24=".",s_Irr!BU24="."),s_dir!AY24/((1/1000)*(s_Irr!Y24)),IF(AND(s_Irr!Y24=".",s_Irr!AW24=".",s_Irr!BU24="."),s_dir!AY24*1000)))))))),".")</f>
        <v>.</v>
      </c>
      <c r="BY24" s="48" t="str">
        <f>IFERROR(IF(AND(s_Irr!Z24&lt;&gt;".",s_Irr!AX24&lt;&gt;".",s_Irr!BV24&lt;&gt;"."),s_dir!AZ24/((1/1000)*(s_Irr!Z24+s_Irr!AX24+s_Irr!BV24)),IF(AND(s_Irr!Z24&lt;&gt;".",s_Irr!AX24&lt;&gt;".",s_Irr!BV24="."),s_dir!AZ24/((1/1000)*(s_Irr!Z24+s_Irr!AX24)),IF(AND(s_Irr!Z24&lt;&gt;".",s_Irr!AX24=".",s_Irr!BV24&lt;&gt;"."),s_dir!AZ24/((1/1000)*(s_Irr!Z24+s_Irr!BV24)),IF(AND(s_Irr!Z24=".",s_Irr!AX24&lt;&gt;".",s_Irr!BV24&lt;&gt;"."),s_dir!AZ24/((1/1000)*(s_Irr!AX24+s_Irr!BV24)),IF(AND(s_Irr!Z24=".",s_Irr!AX24=".",s_Irr!BV24&lt;&gt;"."),s_dir!AZ24/((1/1000)*(s_Irr!BV24)),IF(AND(s_Irr!Z24=".",s_Irr!AX24&lt;&gt;".",s_Irr!BV24="."),s_dir!AZ24/((1/1000)*(s_Irr!AX24)),IF(AND(s_Irr!Z24&lt;&gt;".",s_Irr!AX24=".",s_Irr!BV24="."),s_dir!AZ24/((1/1000)*(s_Irr!Z24)),IF(AND(s_Irr!Z24=".",s_Irr!AX24=".",s_Irr!BV24="."),s_dir!AZ24*1000)))))))),".")</f>
        <v>.</v>
      </c>
      <c r="BZ24" s="62">
        <f t="shared" si="1"/>
        <v>0</v>
      </c>
      <c r="CA24" s="62" t="str">
        <f>IFERROR(s_C*s_IFAP_far_adj*s_CF_apple*(1/1000)*(s_Irr!C24+s_Irr!AA24+s_Irr!AY24),".")</f>
        <v>.</v>
      </c>
      <c r="CB24" s="62" t="str">
        <f>IFERROR(s_C*s_IFAS_far_adj*s_CF_asparagus*(1/1000)*(s_Irr!D24+s_Irr!AB24+s_Irr!AZ24),".")</f>
        <v>.</v>
      </c>
      <c r="CC24" s="62" t="str">
        <f>IFERROR(s_C*s_IFBT_far_adj*s_CF_beet*(1/1000)*(s_Irr!E24+s_Irr!AC24+s_Irr!BA24),".")</f>
        <v>.</v>
      </c>
      <c r="CD24" s="62" t="str">
        <f>IFERROR(s_C*s_IFBE_far_adj*s_CF_berries*(1/1000)*(s_Irr!F24+s_Irr!AD24+s_Irr!BB24),".")</f>
        <v>.</v>
      </c>
      <c r="CE24" s="62" t="str">
        <f>IFERROR(s_C*s_IFBR_far_adj*s_CF_broccoli*(1/1000)*(s_Irr!G24+s_Irr!AE24+s_Irr!BC24),".")</f>
        <v>.</v>
      </c>
      <c r="CF24" s="62" t="str">
        <f>IFERROR(s_C*s_IFCB_far_adj*s_CF_cabbage*(1/1000)*(s_Irr!H24+s_Irr!AF24+s_Irr!BD24),".")</f>
        <v>.</v>
      </c>
      <c r="CG24" s="62" t="str">
        <f>IFERROR(s_C*s_IFCR_far_adj*s_CF_carrot*(1/1000)*(s_Irr!I24+s_Irr!AG24+s_Irr!BE24),".")</f>
        <v>.</v>
      </c>
      <c r="CH24" s="62" t="str">
        <f>IFERROR(s_C*s_IFCI_far_adj*s_CF_citrus*(1/1000)*(s_Irr!J24+s_Irr!AH24+s_Irr!BF24),".")</f>
        <v>.</v>
      </c>
      <c r="CI24" s="62" t="str">
        <f>IFERROR(s_C*s_IFCO_far_adj*s_CF_corn*(1/1000)*(s_Irr!K24+s_Irr!AI24+s_Irr!BG24),".")</f>
        <v>.</v>
      </c>
      <c r="CJ24" s="62" t="str">
        <f>IFERROR(s_C*s_IFCU_far_adj*s_CF_cucumber*(1/1000)*(s_Irr!L24+s_Irr!AJ24+s_Irr!BH24),".")</f>
        <v>.</v>
      </c>
      <c r="CK24" s="62" t="str">
        <f>IFERROR(s_C*s_IFLE_far_adj*s_CF_lettuce*(1/1000)*(s_Irr!M24+s_Irr!AK24+s_Irr!BI24),".")</f>
        <v>.</v>
      </c>
      <c r="CL24" s="62" t="str">
        <f>IFERROR(s_C*s_IFLI_far_adj*s_CF_lima_bean*(1/1000)*(s_Irr!N24+s_Irr!AL24+s_Irr!BJ24),".")</f>
        <v>.</v>
      </c>
      <c r="CM24" s="62" t="str">
        <f>IFERROR(s_C*s_IFOK_far_adj*s_CF_okra*(1/1000)*(s_Irr!O24+s_Irr!AM24+s_Irr!BK24),".")</f>
        <v>.</v>
      </c>
      <c r="CN24" s="62" t="str">
        <f>IFERROR(s_C*s_IFON_far_adj*s_CF_onion*(1/1000)*(s_Irr!P24+s_Irr!AN24+s_Irr!BL24),".")</f>
        <v>.</v>
      </c>
      <c r="CO24" s="62" t="str">
        <f>IFERROR(s_C*s_IFPC_far_adj*s_CF_peach*(1/1000)*(s_Irr!Q24+s_Irr!AO24+s_Irr!BM24),".")</f>
        <v>.</v>
      </c>
      <c r="CP24" s="62" t="str">
        <f>IFERROR(s_C*s_IFPR_far_adj*s_CF_pear*(1/1000)*(s_Irr!R24+s_Irr!AP24+s_Irr!BN24),".")</f>
        <v>.</v>
      </c>
      <c r="CQ24" s="62" t="str">
        <f>IFERROR(s_C*s_IFPE_far_adj*s_CF_peas*(1/1000)*(s_Irr!S24+s_Irr!AQ24+s_Irr!BO24),".")</f>
        <v>.</v>
      </c>
      <c r="CR24" s="62" t="str">
        <f>IFERROR(s_C*s_IFPT_far_adj*s_CF_potato*(1/1000)*(s_Irr!T24+s_Irr!AR24+s_Irr!BP24),".")</f>
        <v>.</v>
      </c>
      <c r="CS24" s="62" t="str">
        <f>IFERROR(s_C*s_IFPU_far_adj*s_CF_pumpkin*(1/1000)*(s_Irr!U24+s_Irr!AS24+s_Irr!BQ24),".")</f>
        <v>.</v>
      </c>
      <c r="CT24" s="62" t="str">
        <f>IFERROR(s_C*s_IFSN_far_adj*s_CF_snap_bean*(1/1000)*(s_Irr!V24+s_Irr!AT24+s_Irr!BR24),".")</f>
        <v>.</v>
      </c>
      <c r="CU24" s="62" t="str">
        <f>IFERROR(s_C*s_IFST_far_adj*s_CF_strawberry*(1/1000)*(s_Irr!W24+s_Irr!AU24+s_Irr!BS24),".")</f>
        <v>.</v>
      </c>
      <c r="CV24" s="62" t="str">
        <f>IFERROR(s_C*s_IFTO_far_adj*s_CF_tomato*(1/1000)*(s_Irr!X24+s_Irr!AV24+s_Irr!BT24),".")</f>
        <v>.</v>
      </c>
      <c r="CW24" s="62" t="str">
        <f>IFERROR(s_C*s_IFRI_far_adj*s_CF_rice*(1/1000)*(s_Irr!Y24+s_Irr!AW24+s_Irr!BU24),".")</f>
        <v>.</v>
      </c>
      <c r="CX24" s="62" t="str">
        <f>IFERROR(s_C*s_IFCG_far_adj*s_CF_cereal*(1/1000)*(s_Irr!Z24+s_Irr!AX24+s_Irr!BV24),".")</f>
        <v>.</v>
      </c>
    </row>
    <row r="25" spans="1:102" x14ac:dyDescent="0.25">
      <c r="A25" s="63" t="s">
        <v>23</v>
      </c>
      <c r="B25" s="49" t="s">
        <v>336</v>
      </c>
      <c r="C25" s="48" t="str">
        <f t="shared" si="2"/>
        <v>.</v>
      </c>
      <c r="D25" s="48" t="str">
        <f>IFERROR(IF(AND(s_Irr!C25&lt;&gt;".",s_Irr!AA25&lt;&gt;".",s_Irr!AY25&lt;&gt;"."),s_dir!D25/((1/1000)*(s_Irr!C25+s_Irr!AA25+s_Irr!AY25)),IF(AND(s_Irr!C25&lt;&gt;".",s_Irr!AA25&lt;&gt;".",s_Irr!AY25="."),s_dir!D25/((1/1000)*(s_Irr!C25+s_Irr!AA25)),IF(AND(s_Irr!C25&lt;&gt;".",s_Irr!AA25=".",s_Irr!AY25&lt;&gt;"."),s_dir!D25/((1/1000)*(s_Irr!C25+s_Irr!AY25)),IF(AND(s_Irr!C25=".",s_Irr!AA25&lt;&gt;".",s_Irr!AY25&lt;&gt;"."),s_dir!D25/((1/1000)*(s_Irr!AA25+s_Irr!AY25)),IF(AND(s_Irr!C25=".",s_Irr!AA25=".",s_Irr!AY25&lt;&gt;"."),s_dir!D25/((1/1000)*(s_Irr!AY25)),IF(AND(s_Irr!C25=".",s_Irr!AA25&lt;&gt;".",s_Irr!AY25="."),s_dir!D25/((1/1000)*(s_Irr!AA25)),IF(AND(s_Irr!C25&lt;&gt;".",s_Irr!AA25=".",s_Irr!AY25="."),s_dir!D25/((1/1000)*(s_Irr!C25)),IF(AND(s_Irr!C25=".",s_Irr!AA25=".",s_Irr!AY25="."),s_dir!D25*1000)))))))),".")</f>
        <v>.</v>
      </c>
      <c r="E25" s="48" t="str">
        <f>IFERROR(IF(AND(s_Irr!D25&lt;&gt;".",s_Irr!AB25&lt;&gt;".",s_Irr!AZ25&lt;&gt;"."),s_dir!E25/((1/1000)*(s_Irr!D25+s_Irr!AB25+s_Irr!AZ25)),IF(AND(s_Irr!D25&lt;&gt;".",s_Irr!AB25&lt;&gt;".",s_Irr!AZ25="."),s_dir!E25/((1/1000)*(s_Irr!D25+s_Irr!AB25)),IF(AND(s_Irr!D25&lt;&gt;".",s_Irr!AB25=".",s_Irr!AZ25&lt;&gt;"."),s_dir!E25/((1/1000)*(s_Irr!D25+s_Irr!AZ25)),IF(AND(s_Irr!D25=".",s_Irr!AB25&lt;&gt;".",s_Irr!AZ25&lt;&gt;"."),s_dir!E25/((1/1000)*(s_Irr!AB25+s_Irr!AZ25)),IF(AND(s_Irr!D25=".",s_Irr!AB25=".",s_Irr!AZ25&lt;&gt;"."),s_dir!E25/((1/1000)*(s_Irr!AZ25)),IF(AND(s_Irr!D25=".",s_Irr!AB25&lt;&gt;".",s_Irr!AZ25="."),s_dir!E25/((1/1000)*(s_Irr!AB25)),IF(AND(s_Irr!D25&lt;&gt;".",s_Irr!AB25=".",s_Irr!AZ25="."),s_dir!E25/((1/1000)*(s_Irr!D25)),IF(AND(s_Irr!D25=".",s_Irr!AB25=".",s_Irr!AZ25="."),s_dir!E25*1000)))))))),".")</f>
        <v>.</v>
      </c>
      <c r="F25" s="48" t="str">
        <f>IFERROR(IF(AND(s_Irr!E25&lt;&gt;".",s_Irr!AC25&lt;&gt;".",s_Irr!BA25&lt;&gt;"."),s_dir!F25/((1/1000)*(s_Irr!E25+s_Irr!AC25+s_Irr!BA25)),IF(AND(s_Irr!E25&lt;&gt;".",s_Irr!AC25&lt;&gt;".",s_Irr!BA25="."),s_dir!F25/((1/1000)*(s_Irr!E25+s_Irr!AC25)),IF(AND(s_Irr!E25&lt;&gt;".",s_Irr!AC25=".",s_Irr!BA25&lt;&gt;"."),s_dir!F25/((1/1000)*(s_Irr!E25+s_Irr!BA25)),IF(AND(s_Irr!E25=".",s_Irr!AC25&lt;&gt;".",s_Irr!BA25&lt;&gt;"."),s_dir!F25/((1/1000)*(s_Irr!AC25+s_Irr!BA25)),IF(AND(s_Irr!E25=".",s_Irr!AC25=".",s_Irr!BA25&lt;&gt;"."),s_dir!F25/((1/1000)*(s_Irr!BA25)),IF(AND(s_Irr!E25=".",s_Irr!AC25&lt;&gt;".",s_Irr!BA25="."),s_dir!F25/((1/1000)*(s_Irr!AC25)),IF(AND(s_Irr!E25&lt;&gt;".",s_Irr!AC25=".",s_Irr!BA25="."),s_dir!F25/((1/1000)*(s_Irr!E25)),IF(AND(s_Irr!E25=".",s_Irr!AC25=".",s_Irr!BA25="."),s_dir!F25*1000)))))))),".")</f>
        <v>.</v>
      </c>
      <c r="G25" s="48" t="str">
        <f>IFERROR(IF(AND(s_Irr!F25&lt;&gt;".",s_Irr!AD25&lt;&gt;".",s_Irr!BB25&lt;&gt;"."),s_dir!G25/((1/1000)*(s_Irr!F25+s_Irr!AD25+s_Irr!BB25)),IF(AND(s_Irr!F25&lt;&gt;".",s_Irr!AD25&lt;&gt;".",s_Irr!BB25="."),s_dir!G25/((1/1000)*(s_Irr!F25+s_Irr!AD25)),IF(AND(s_Irr!F25&lt;&gt;".",s_Irr!AD25=".",s_Irr!BB25&lt;&gt;"."),s_dir!G25/((1/1000)*(s_Irr!F25+s_Irr!BB25)),IF(AND(s_Irr!F25=".",s_Irr!AD25&lt;&gt;".",s_Irr!BB25&lt;&gt;"."),s_dir!G25/((1/1000)*(s_Irr!AD25+s_Irr!BB25)),IF(AND(s_Irr!F25=".",s_Irr!AD25=".",s_Irr!BB25&lt;&gt;"."),s_dir!G25/((1/1000)*(s_Irr!BB25)),IF(AND(s_Irr!F25=".",s_Irr!AD25&lt;&gt;".",s_Irr!BB25="."),s_dir!G25/((1/1000)*(s_Irr!AD25)),IF(AND(s_Irr!F25&lt;&gt;".",s_Irr!AD25=".",s_Irr!BB25="."),s_dir!G25/((1/1000)*(s_Irr!F25)),IF(AND(s_Irr!F25=".",s_Irr!AD25=".",s_Irr!BB25="."),s_dir!G25*1000)))))))),".")</f>
        <v>.</v>
      </c>
      <c r="H25" s="48" t="str">
        <f>IFERROR(IF(AND(s_Irr!G25&lt;&gt;".",s_Irr!AE25&lt;&gt;".",s_Irr!BC25&lt;&gt;"."),s_dir!H25/((1/1000)*(s_Irr!G25+s_Irr!AE25+s_Irr!BC25)),IF(AND(s_Irr!G25&lt;&gt;".",s_Irr!AE25&lt;&gt;".",s_Irr!BC25="."),s_dir!H25/((1/1000)*(s_Irr!G25+s_Irr!AE25)),IF(AND(s_Irr!G25&lt;&gt;".",s_Irr!AE25=".",s_Irr!BC25&lt;&gt;"."),s_dir!H25/((1/1000)*(s_Irr!G25+s_Irr!BC25)),IF(AND(s_Irr!G25=".",s_Irr!AE25&lt;&gt;".",s_Irr!BC25&lt;&gt;"."),s_dir!H25/((1/1000)*(s_Irr!AE25+s_Irr!BC25)),IF(AND(s_Irr!G25=".",s_Irr!AE25=".",s_Irr!BC25&lt;&gt;"."),s_dir!H25/((1/1000)*(s_Irr!BC25)),IF(AND(s_Irr!G25=".",s_Irr!AE25&lt;&gt;".",s_Irr!BC25="."),s_dir!H25/((1/1000)*(s_Irr!AE25)),IF(AND(s_Irr!G25&lt;&gt;".",s_Irr!AE25=".",s_Irr!BC25="."),s_dir!H25/((1/1000)*(s_Irr!G25)),IF(AND(s_Irr!G25=".",s_Irr!AE25=".",s_Irr!BC25="."),s_dir!H25*1000)))))))),".")</f>
        <v>.</v>
      </c>
      <c r="I25" s="48" t="str">
        <f>IFERROR(IF(AND(s_Irr!H25&lt;&gt;".",s_Irr!AF25&lt;&gt;".",s_Irr!BD25&lt;&gt;"."),s_dir!I25/((1/1000)*(s_Irr!H25+s_Irr!AF25+s_Irr!BD25)),IF(AND(s_Irr!H25&lt;&gt;".",s_Irr!AF25&lt;&gt;".",s_Irr!BD25="."),s_dir!I25/((1/1000)*(s_Irr!H25+s_Irr!AF25)),IF(AND(s_Irr!H25&lt;&gt;".",s_Irr!AF25=".",s_Irr!BD25&lt;&gt;"."),s_dir!I25/((1/1000)*(s_Irr!H25+s_Irr!BD25)),IF(AND(s_Irr!H25=".",s_Irr!AF25&lt;&gt;".",s_Irr!BD25&lt;&gt;"."),s_dir!I25/((1/1000)*(s_Irr!AF25+s_Irr!BD25)),IF(AND(s_Irr!H25=".",s_Irr!AF25=".",s_Irr!BD25&lt;&gt;"."),s_dir!I25/((1/1000)*(s_Irr!BD25)),IF(AND(s_Irr!H25=".",s_Irr!AF25&lt;&gt;".",s_Irr!BD25="."),s_dir!I25/((1/1000)*(s_Irr!AF25)),IF(AND(s_Irr!H25&lt;&gt;".",s_Irr!AF25=".",s_Irr!BD25="."),s_dir!I25/((1/1000)*(s_Irr!H25)),IF(AND(s_Irr!H25=".",s_Irr!AF25=".",s_Irr!BD25="."),s_dir!I25*1000)))))))),".")</f>
        <v>.</v>
      </c>
      <c r="J25" s="48" t="str">
        <f>IFERROR(IF(AND(s_Irr!I25&lt;&gt;".",s_Irr!AG25&lt;&gt;".",s_Irr!BE25&lt;&gt;"."),s_dir!J25/((1/1000)*(s_Irr!I25+s_Irr!AG25+s_Irr!BE25)),IF(AND(s_Irr!I25&lt;&gt;".",s_Irr!AG25&lt;&gt;".",s_Irr!BE25="."),s_dir!J25/((1/1000)*(s_Irr!I25+s_Irr!AG25)),IF(AND(s_Irr!I25&lt;&gt;".",s_Irr!AG25=".",s_Irr!BE25&lt;&gt;"."),s_dir!J25/((1/1000)*(s_Irr!I25+s_Irr!BE25)),IF(AND(s_Irr!I25=".",s_Irr!AG25&lt;&gt;".",s_Irr!BE25&lt;&gt;"."),s_dir!J25/((1/1000)*(s_Irr!AG25+s_Irr!BE25)),IF(AND(s_Irr!I25=".",s_Irr!AG25=".",s_Irr!BE25&lt;&gt;"."),s_dir!J25/((1/1000)*(s_Irr!BE25)),IF(AND(s_Irr!I25=".",s_Irr!AG25&lt;&gt;".",s_Irr!BE25="."),s_dir!J25/((1/1000)*(s_Irr!AG25)),IF(AND(s_Irr!I25&lt;&gt;".",s_Irr!AG25=".",s_Irr!BE25="."),s_dir!J25/((1/1000)*(s_Irr!I25)),IF(AND(s_Irr!I25=".",s_Irr!AG25=".",s_Irr!BE25="."),s_dir!J25*1000)))))))),".")</f>
        <v>.</v>
      </c>
      <c r="K25" s="48" t="str">
        <f>IFERROR(IF(AND(s_Irr!J25&lt;&gt;".",s_Irr!AH25&lt;&gt;".",s_Irr!BF25&lt;&gt;"."),s_dir!K25/((1/1000)*(s_Irr!J25+s_Irr!AH25+s_Irr!BF25)),IF(AND(s_Irr!J25&lt;&gt;".",s_Irr!AH25&lt;&gt;".",s_Irr!BF25="."),s_dir!K25/((1/1000)*(s_Irr!J25+s_Irr!AH25)),IF(AND(s_Irr!J25&lt;&gt;".",s_Irr!AH25=".",s_Irr!BF25&lt;&gt;"."),s_dir!K25/((1/1000)*(s_Irr!J25+s_Irr!BF25)),IF(AND(s_Irr!J25=".",s_Irr!AH25&lt;&gt;".",s_Irr!BF25&lt;&gt;"."),s_dir!K25/((1/1000)*(s_Irr!AH25+s_Irr!BF25)),IF(AND(s_Irr!J25=".",s_Irr!AH25=".",s_Irr!BF25&lt;&gt;"."),s_dir!K25/((1/1000)*(s_Irr!BF25)),IF(AND(s_Irr!J25=".",s_Irr!AH25&lt;&gt;".",s_Irr!BF25="."),s_dir!K25/((1/1000)*(s_Irr!AH25)),IF(AND(s_Irr!J25&lt;&gt;".",s_Irr!AH25=".",s_Irr!BF25="."),s_dir!K25/((1/1000)*(s_Irr!J25)),IF(AND(s_Irr!J25=".",s_Irr!AH25=".",s_Irr!BF25="."),s_dir!K25*1000)))))))),".")</f>
        <v>.</v>
      </c>
      <c r="L25" s="48" t="str">
        <f>IFERROR(IF(AND(s_Irr!K25&lt;&gt;".",s_Irr!AI25&lt;&gt;".",s_Irr!BG25&lt;&gt;"."),s_dir!L25/((1/1000)*(s_Irr!K25+s_Irr!AI25+s_Irr!BG25)),IF(AND(s_Irr!K25&lt;&gt;".",s_Irr!AI25&lt;&gt;".",s_Irr!BG25="."),s_dir!L25/((1/1000)*(s_Irr!K25+s_Irr!AI25)),IF(AND(s_Irr!K25&lt;&gt;".",s_Irr!AI25=".",s_Irr!BG25&lt;&gt;"."),s_dir!L25/((1/1000)*(s_Irr!K25+s_Irr!BG25)),IF(AND(s_Irr!K25=".",s_Irr!AI25&lt;&gt;".",s_Irr!BG25&lt;&gt;"."),s_dir!L25/((1/1000)*(s_Irr!AI25+s_Irr!BG25)),IF(AND(s_Irr!K25=".",s_Irr!AI25=".",s_Irr!BG25&lt;&gt;"."),s_dir!L25/((1/1000)*(s_Irr!BG25)),IF(AND(s_Irr!K25=".",s_Irr!AI25&lt;&gt;".",s_Irr!BG25="."),s_dir!L25/((1/1000)*(s_Irr!AI25)),IF(AND(s_Irr!K25&lt;&gt;".",s_Irr!AI25=".",s_Irr!BG25="."),s_dir!L25/((1/1000)*(s_Irr!K25)),IF(AND(s_Irr!K25=".",s_Irr!AI25=".",s_Irr!BG25="."),s_dir!L25*1000)))))))),".")</f>
        <v>.</v>
      </c>
      <c r="M25" s="48" t="str">
        <f>IFERROR(IF(AND(s_Irr!L25&lt;&gt;".",s_Irr!AJ25&lt;&gt;".",s_Irr!BH25&lt;&gt;"."),s_dir!M25/((1/1000)*(s_Irr!L25+s_Irr!AJ25+s_Irr!BH25)),IF(AND(s_Irr!L25&lt;&gt;".",s_Irr!AJ25&lt;&gt;".",s_Irr!BH25="."),s_dir!M25/((1/1000)*(s_Irr!L25+s_Irr!AJ25)),IF(AND(s_Irr!L25&lt;&gt;".",s_Irr!AJ25=".",s_Irr!BH25&lt;&gt;"."),s_dir!M25/((1/1000)*(s_Irr!L25+s_Irr!BH25)),IF(AND(s_Irr!L25=".",s_Irr!AJ25&lt;&gt;".",s_Irr!BH25&lt;&gt;"."),s_dir!M25/((1/1000)*(s_Irr!AJ25+s_Irr!BH25)),IF(AND(s_Irr!L25=".",s_Irr!AJ25=".",s_Irr!BH25&lt;&gt;"."),s_dir!M25/((1/1000)*(s_Irr!BH25)),IF(AND(s_Irr!L25=".",s_Irr!AJ25&lt;&gt;".",s_Irr!BH25="."),s_dir!M25/((1/1000)*(s_Irr!AJ25)),IF(AND(s_Irr!L25&lt;&gt;".",s_Irr!AJ25=".",s_Irr!BH25="."),s_dir!M25/((1/1000)*(s_Irr!L25)),IF(AND(s_Irr!L25=".",s_Irr!AJ25=".",s_Irr!BH25="."),s_dir!M25*1000)))))))),".")</f>
        <v>.</v>
      </c>
      <c r="N25" s="48" t="str">
        <f>IFERROR(IF(AND(s_Irr!M25&lt;&gt;".",s_Irr!AK25&lt;&gt;".",s_Irr!BI25&lt;&gt;"."),s_dir!N25/((1/1000)*(s_Irr!M25+s_Irr!AK25+s_Irr!BI25)),IF(AND(s_Irr!M25&lt;&gt;".",s_Irr!AK25&lt;&gt;".",s_Irr!BI25="."),s_dir!N25/((1/1000)*(s_Irr!M25+s_Irr!AK25)),IF(AND(s_Irr!M25&lt;&gt;".",s_Irr!AK25=".",s_Irr!BI25&lt;&gt;"."),s_dir!N25/((1/1000)*(s_Irr!M25+s_Irr!BI25)),IF(AND(s_Irr!M25=".",s_Irr!AK25&lt;&gt;".",s_Irr!BI25&lt;&gt;"."),s_dir!N25/((1/1000)*(s_Irr!AK25+s_Irr!BI25)),IF(AND(s_Irr!M25=".",s_Irr!AK25=".",s_Irr!BI25&lt;&gt;"."),s_dir!N25/((1/1000)*(s_Irr!BI25)),IF(AND(s_Irr!M25=".",s_Irr!AK25&lt;&gt;".",s_Irr!BI25="."),s_dir!N25/((1/1000)*(s_Irr!AK25)),IF(AND(s_Irr!M25&lt;&gt;".",s_Irr!AK25=".",s_Irr!BI25="."),s_dir!N25/((1/1000)*(s_Irr!M25)),IF(AND(s_Irr!M25=".",s_Irr!AK25=".",s_Irr!BI25="."),s_dir!N25*1000)))))))),".")</f>
        <v>.</v>
      </c>
      <c r="O25" s="48" t="str">
        <f>IFERROR(IF(AND(s_Irr!N25&lt;&gt;".",s_Irr!AL25&lt;&gt;".",s_Irr!BJ25&lt;&gt;"."),s_dir!O25/((1/1000)*(s_Irr!N25+s_Irr!AL25+s_Irr!BJ25)),IF(AND(s_Irr!N25&lt;&gt;".",s_Irr!AL25&lt;&gt;".",s_Irr!BJ25="."),s_dir!O25/((1/1000)*(s_Irr!N25+s_Irr!AL25)),IF(AND(s_Irr!N25&lt;&gt;".",s_Irr!AL25=".",s_Irr!BJ25&lt;&gt;"."),s_dir!O25/((1/1000)*(s_Irr!N25+s_Irr!BJ25)),IF(AND(s_Irr!N25=".",s_Irr!AL25&lt;&gt;".",s_Irr!BJ25&lt;&gt;"."),s_dir!O25/((1/1000)*(s_Irr!AL25+s_Irr!BJ25)),IF(AND(s_Irr!N25=".",s_Irr!AL25=".",s_Irr!BJ25&lt;&gt;"."),s_dir!O25/((1/1000)*(s_Irr!BJ25)),IF(AND(s_Irr!N25=".",s_Irr!AL25&lt;&gt;".",s_Irr!BJ25="."),s_dir!O25/((1/1000)*(s_Irr!AL25)),IF(AND(s_Irr!N25&lt;&gt;".",s_Irr!AL25=".",s_Irr!BJ25="."),s_dir!O25/((1/1000)*(s_Irr!N25)),IF(AND(s_Irr!N25=".",s_Irr!AL25=".",s_Irr!BJ25="."),s_dir!O25*1000)))))))),".")</f>
        <v>.</v>
      </c>
      <c r="P25" s="48" t="str">
        <f>IFERROR(IF(AND(s_Irr!O25&lt;&gt;".",s_Irr!AM25&lt;&gt;".",s_Irr!BK25&lt;&gt;"."),s_dir!P25/((1/1000)*(s_Irr!O25+s_Irr!AM25+s_Irr!BK25)),IF(AND(s_Irr!O25&lt;&gt;".",s_Irr!AM25&lt;&gt;".",s_Irr!BK25="."),s_dir!P25/((1/1000)*(s_Irr!O25+s_Irr!AM25)),IF(AND(s_Irr!O25&lt;&gt;".",s_Irr!AM25=".",s_Irr!BK25&lt;&gt;"."),s_dir!P25/((1/1000)*(s_Irr!O25+s_Irr!BK25)),IF(AND(s_Irr!O25=".",s_Irr!AM25&lt;&gt;".",s_Irr!BK25&lt;&gt;"."),s_dir!P25/((1/1000)*(s_Irr!AM25+s_Irr!BK25)),IF(AND(s_Irr!O25=".",s_Irr!AM25=".",s_Irr!BK25&lt;&gt;"."),s_dir!P25/((1/1000)*(s_Irr!BK25)),IF(AND(s_Irr!O25=".",s_Irr!AM25&lt;&gt;".",s_Irr!BK25="."),s_dir!P25/((1/1000)*(s_Irr!AM25)),IF(AND(s_Irr!O25&lt;&gt;".",s_Irr!AM25=".",s_Irr!BK25="."),s_dir!P25/((1/1000)*(s_Irr!O25)),IF(AND(s_Irr!O25=".",s_Irr!AM25=".",s_Irr!BK25="."),s_dir!P25*1000)))))))),".")</f>
        <v>.</v>
      </c>
      <c r="Q25" s="48" t="str">
        <f>IFERROR(IF(AND(s_Irr!P25&lt;&gt;".",s_Irr!AN25&lt;&gt;".",s_Irr!BL25&lt;&gt;"."),s_dir!Q25/((1/1000)*(s_Irr!P25+s_Irr!AN25+s_Irr!BL25)),IF(AND(s_Irr!P25&lt;&gt;".",s_Irr!AN25&lt;&gt;".",s_Irr!BL25="."),s_dir!Q25/((1/1000)*(s_Irr!P25+s_Irr!AN25)),IF(AND(s_Irr!P25&lt;&gt;".",s_Irr!AN25=".",s_Irr!BL25&lt;&gt;"."),s_dir!Q25/((1/1000)*(s_Irr!P25+s_Irr!BL25)),IF(AND(s_Irr!P25=".",s_Irr!AN25&lt;&gt;".",s_Irr!BL25&lt;&gt;"."),s_dir!Q25/((1/1000)*(s_Irr!AN25+s_Irr!BL25)),IF(AND(s_Irr!P25=".",s_Irr!AN25=".",s_Irr!BL25&lt;&gt;"."),s_dir!Q25/((1/1000)*(s_Irr!BL25)),IF(AND(s_Irr!P25=".",s_Irr!AN25&lt;&gt;".",s_Irr!BL25="."),s_dir!Q25/((1/1000)*(s_Irr!AN25)),IF(AND(s_Irr!P25&lt;&gt;".",s_Irr!AN25=".",s_Irr!BL25="."),s_dir!Q25/((1/1000)*(s_Irr!P25)),IF(AND(s_Irr!P25=".",s_Irr!AN25=".",s_Irr!BL25="."),s_dir!Q25*1000)))))))),".")</f>
        <v>.</v>
      </c>
      <c r="R25" s="48" t="str">
        <f>IFERROR(IF(AND(s_Irr!Q25&lt;&gt;".",s_Irr!AO25&lt;&gt;".",s_Irr!BM25&lt;&gt;"."),s_dir!R25/((1/1000)*(s_Irr!Q25+s_Irr!AO25+s_Irr!BM25)),IF(AND(s_Irr!Q25&lt;&gt;".",s_Irr!AO25&lt;&gt;".",s_Irr!BM25="."),s_dir!R25/((1/1000)*(s_Irr!Q25+s_Irr!AO25)),IF(AND(s_Irr!Q25&lt;&gt;".",s_Irr!AO25=".",s_Irr!BM25&lt;&gt;"."),s_dir!R25/((1/1000)*(s_Irr!Q25+s_Irr!BM25)),IF(AND(s_Irr!Q25=".",s_Irr!AO25&lt;&gt;".",s_Irr!BM25&lt;&gt;"."),s_dir!R25/((1/1000)*(s_Irr!AO25+s_Irr!BM25)),IF(AND(s_Irr!Q25=".",s_Irr!AO25=".",s_Irr!BM25&lt;&gt;"."),s_dir!R25/((1/1000)*(s_Irr!BM25)),IF(AND(s_Irr!Q25=".",s_Irr!AO25&lt;&gt;".",s_Irr!BM25="."),s_dir!R25/((1/1000)*(s_Irr!AO25)),IF(AND(s_Irr!Q25&lt;&gt;".",s_Irr!AO25=".",s_Irr!BM25="."),s_dir!R25/((1/1000)*(s_Irr!Q25)),IF(AND(s_Irr!Q25=".",s_Irr!AO25=".",s_Irr!BM25="."),s_dir!R25*1000)))))))),".")</f>
        <v>.</v>
      </c>
      <c r="S25" s="48" t="str">
        <f>IFERROR(IF(AND(s_Irr!R25&lt;&gt;".",s_Irr!AP25&lt;&gt;".",s_Irr!BN25&lt;&gt;"."),s_dir!S25/((1/1000)*(s_Irr!R25+s_Irr!AP25+s_Irr!BN25)),IF(AND(s_Irr!R25&lt;&gt;".",s_Irr!AP25&lt;&gt;".",s_Irr!BN25="."),s_dir!S25/((1/1000)*(s_Irr!R25+s_Irr!AP25)),IF(AND(s_Irr!R25&lt;&gt;".",s_Irr!AP25=".",s_Irr!BN25&lt;&gt;"."),s_dir!S25/((1/1000)*(s_Irr!R25+s_Irr!BN25)),IF(AND(s_Irr!R25=".",s_Irr!AP25&lt;&gt;".",s_Irr!BN25&lt;&gt;"."),s_dir!S25/((1/1000)*(s_Irr!AP25+s_Irr!BN25)),IF(AND(s_Irr!R25=".",s_Irr!AP25=".",s_Irr!BN25&lt;&gt;"."),s_dir!S25/((1/1000)*(s_Irr!BN25)),IF(AND(s_Irr!R25=".",s_Irr!AP25&lt;&gt;".",s_Irr!BN25="."),s_dir!S25/((1/1000)*(s_Irr!AP25)),IF(AND(s_Irr!R25&lt;&gt;".",s_Irr!AP25=".",s_Irr!BN25="."),s_dir!S25/((1/1000)*(s_Irr!R25)),IF(AND(s_Irr!R25=".",s_Irr!AP25=".",s_Irr!BN25="."),s_dir!S25*1000)))))))),".")</f>
        <v>.</v>
      </c>
      <c r="T25" s="48" t="str">
        <f>IFERROR(IF(AND(s_Irr!S25&lt;&gt;".",s_Irr!AQ25&lt;&gt;".",s_Irr!BO25&lt;&gt;"."),s_dir!T25/((1/1000)*(s_Irr!S25+s_Irr!AQ25+s_Irr!BO25)),IF(AND(s_Irr!S25&lt;&gt;".",s_Irr!AQ25&lt;&gt;".",s_Irr!BO25="."),s_dir!T25/((1/1000)*(s_Irr!S25+s_Irr!AQ25)),IF(AND(s_Irr!S25&lt;&gt;".",s_Irr!AQ25=".",s_Irr!BO25&lt;&gt;"."),s_dir!T25/((1/1000)*(s_Irr!S25+s_Irr!BO25)),IF(AND(s_Irr!S25=".",s_Irr!AQ25&lt;&gt;".",s_Irr!BO25&lt;&gt;"."),s_dir!T25/((1/1000)*(s_Irr!AQ25+s_Irr!BO25)),IF(AND(s_Irr!S25=".",s_Irr!AQ25=".",s_Irr!BO25&lt;&gt;"."),s_dir!T25/((1/1000)*(s_Irr!BO25)),IF(AND(s_Irr!S25=".",s_Irr!AQ25&lt;&gt;".",s_Irr!BO25="."),s_dir!T25/((1/1000)*(s_Irr!AQ25)),IF(AND(s_Irr!S25&lt;&gt;".",s_Irr!AQ25=".",s_Irr!BO25="."),s_dir!T25/((1/1000)*(s_Irr!S25)),IF(AND(s_Irr!S25=".",s_Irr!AQ25=".",s_Irr!BO25="."),s_dir!T25*1000)))))))),".")</f>
        <v>.</v>
      </c>
      <c r="U25" s="48" t="str">
        <f>IFERROR(IF(AND(s_Irr!T25&lt;&gt;".",s_Irr!AR25&lt;&gt;".",s_Irr!BP25&lt;&gt;"."),s_dir!U25/((1/1000)*(s_Irr!T25+s_Irr!AR25+s_Irr!BP25)),IF(AND(s_Irr!T25&lt;&gt;".",s_Irr!AR25&lt;&gt;".",s_Irr!BP25="."),s_dir!U25/((1/1000)*(s_Irr!T25+s_Irr!AR25)),IF(AND(s_Irr!T25&lt;&gt;".",s_Irr!AR25=".",s_Irr!BP25&lt;&gt;"."),s_dir!U25/((1/1000)*(s_Irr!T25+s_Irr!BP25)),IF(AND(s_Irr!T25=".",s_Irr!AR25&lt;&gt;".",s_Irr!BP25&lt;&gt;"."),s_dir!U25/((1/1000)*(s_Irr!AR25+s_Irr!BP25)),IF(AND(s_Irr!T25=".",s_Irr!AR25=".",s_Irr!BP25&lt;&gt;"."),s_dir!U25/((1/1000)*(s_Irr!BP25)),IF(AND(s_Irr!T25=".",s_Irr!AR25&lt;&gt;".",s_Irr!BP25="."),s_dir!U25/((1/1000)*(s_Irr!AR25)),IF(AND(s_Irr!T25&lt;&gt;".",s_Irr!AR25=".",s_Irr!BP25="."),s_dir!U25/((1/1000)*(s_Irr!T25)),IF(AND(s_Irr!T25=".",s_Irr!AR25=".",s_Irr!BP25="."),s_dir!U25*1000)))))))),".")</f>
        <v>.</v>
      </c>
      <c r="V25" s="48" t="str">
        <f>IFERROR(IF(AND(s_Irr!U25&lt;&gt;".",s_Irr!AS25&lt;&gt;".",s_Irr!BQ25&lt;&gt;"."),s_dir!V25/((1/1000)*(s_Irr!U25+s_Irr!AS25+s_Irr!BQ25)),IF(AND(s_Irr!U25&lt;&gt;".",s_Irr!AS25&lt;&gt;".",s_Irr!BQ25="."),s_dir!V25/((1/1000)*(s_Irr!U25+s_Irr!AS25)),IF(AND(s_Irr!U25&lt;&gt;".",s_Irr!AS25=".",s_Irr!BQ25&lt;&gt;"."),s_dir!V25/((1/1000)*(s_Irr!U25+s_Irr!BQ25)),IF(AND(s_Irr!U25=".",s_Irr!AS25&lt;&gt;".",s_Irr!BQ25&lt;&gt;"."),s_dir!V25/((1/1000)*(s_Irr!AS25+s_Irr!BQ25)),IF(AND(s_Irr!U25=".",s_Irr!AS25=".",s_Irr!BQ25&lt;&gt;"."),s_dir!V25/((1/1000)*(s_Irr!BQ25)),IF(AND(s_Irr!U25=".",s_Irr!AS25&lt;&gt;".",s_Irr!BQ25="."),s_dir!V25/((1/1000)*(s_Irr!AS25)),IF(AND(s_Irr!U25&lt;&gt;".",s_Irr!AS25=".",s_Irr!BQ25="."),s_dir!V25/((1/1000)*(s_Irr!U25)),IF(AND(s_Irr!U25=".",s_Irr!AS25=".",s_Irr!BQ25="."),s_dir!V25*1000)))))))),".")</f>
        <v>.</v>
      </c>
      <c r="W25" s="48" t="str">
        <f>IFERROR(IF(AND(s_Irr!V25&lt;&gt;".",s_Irr!AT25&lt;&gt;".",s_Irr!BR25&lt;&gt;"."),s_dir!W25/((1/1000)*(s_Irr!V25+s_Irr!AT25+s_Irr!BR25)),IF(AND(s_Irr!V25&lt;&gt;".",s_Irr!AT25&lt;&gt;".",s_Irr!BR25="."),s_dir!W25/((1/1000)*(s_Irr!V25+s_Irr!AT25)),IF(AND(s_Irr!V25&lt;&gt;".",s_Irr!AT25=".",s_Irr!BR25&lt;&gt;"."),s_dir!W25/((1/1000)*(s_Irr!V25+s_Irr!BR25)),IF(AND(s_Irr!V25=".",s_Irr!AT25&lt;&gt;".",s_Irr!BR25&lt;&gt;"."),s_dir!W25/((1/1000)*(s_Irr!AT25+s_Irr!BR25)),IF(AND(s_Irr!V25=".",s_Irr!AT25=".",s_Irr!BR25&lt;&gt;"."),s_dir!W25/((1/1000)*(s_Irr!BR25)),IF(AND(s_Irr!V25=".",s_Irr!AT25&lt;&gt;".",s_Irr!BR25="."),s_dir!W25/((1/1000)*(s_Irr!AT25)),IF(AND(s_Irr!V25&lt;&gt;".",s_Irr!AT25=".",s_Irr!BR25="."),s_dir!W25/((1/1000)*(s_Irr!V25)),IF(AND(s_Irr!V25=".",s_Irr!AT25=".",s_Irr!BR25="."),s_dir!W25*1000)))))))),".")</f>
        <v>.</v>
      </c>
      <c r="X25" s="48" t="str">
        <f>IFERROR(IF(AND(s_Irr!W25&lt;&gt;".",s_Irr!AU25&lt;&gt;".",s_Irr!BS25&lt;&gt;"."),s_dir!X25/((1/1000)*(s_Irr!W25+s_Irr!AU25+s_Irr!BS25)),IF(AND(s_Irr!W25&lt;&gt;".",s_Irr!AU25&lt;&gt;".",s_Irr!BS25="."),s_dir!X25/((1/1000)*(s_Irr!W25+s_Irr!AU25)),IF(AND(s_Irr!W25&lt;&gt;".",s_Irr!AU25=".",s_Irr!BS25&lt;&gt;"."),s_dir!X25/((1/1000)*(s_Irr!W25+s_Irr!BS25)),IF(AND(s_Irr!W25=".",s_Irr!AU25&lt;&gt;".",s_Irr!BS25&lt;&gt;"."),s_dir!X25/((1/1000)*(s_Irr!AU25+s_Irr!BS25)),IF(AND(s_Irr!W25=".",s_Irr!AU25=".",s_Irr!BS25&lt;&gt;"."),s_dir!X25/((1/1000)*(s_Irr!BS25)),IF(AND(s_Irr!W25=".",s_Irr!AU25&lt;&gt;".",s_Irr!BS25="."),s_dir!X25/((1/1000)*(s_Irr!AU25)),IF(AND(s_Irr!W25&lt;&gt;".",s_Irr!AU25=".",s_Irr!BS25="."),s_dir!X25/((1/1000)*(s_Irr!W25)),IF(AND(s_Irr!W25=".",s_Irr!AU25=".",s_Irr!BS25="."),s_dir!X25*1000)))))))),".")</f>
        <v>.</v>
      </c>
      <c r="Y25" s="48" t="str">
        <f>IFERROR(IF(AND(s_Irr!X25&lt;&gt;".",s_Irr!AV25&lt;&gt;".",s_Irr!BT25&lt;&gt;"."),s_dir!Y25/((1/1000)*(s_Irr!X25+s_Irr!AV25+s_Irr!BT25)),IF(AND(s_Irr!X25&lt;&gt;".",s_Irr!AV25&lt;&gt;".",s_Irr!BT25="."),s_dir!Y25/((1/1000)*(s_Irr!X25+s_Irr!AV25)),IF(AND(s_Irr!X25&lt;&gt;".",s_Irr!AV25=".",s_Irr!BT25&lt;&gt;"."),s_dir!Y25/((1/1000)*(s_Irr!X25+s_Irr!BT25)),IF(AND(s_Irr!X25=".",s_Irr!AV25&lt;&gt;".",s_Irr!BT25&lt;&gt;"."),s_dir!Y25/((1/1000)*(s_Irr!AV25+s_Irr!BT25)),IF(AND(s_Irr!X25=".",s_Irr!AV25=".",s_Irr!BT25&lt;&gt;"."),s_dir!Y25/((1/1000)*(s_Irr!BT25)),IF(AND(s_Irr!X25=".",s_Irr!AV25&lt;&gt;".",s_Irr!BT25="."),s_dir!Y25/((1/1000)*(s_Irr!AV25)),IF(AND(s_Irr!X25&lt;&gt;".",s_Irr!AV25=".",s_Irr!BT25="."),s_dir!Y25/((1/1000)*(s_Irr!X25)),IF(AND(s_Irr!X25=".",s_Irr!AV25=".",s_Irr!BT25="."),s_dir!Y25*1000)))))))),".")</f>
        <v>.</v>
      </c>
      <c r="Z25" s="48" t="str">
        <f>IFERROR(IF(AND(s_Irr!Y25&lt;&gt;".",s_Irr!AW25&lt;&gt;".",s_Irr!BU25&lt;&gt;"."),s_dir!Z25/((1/1000)*(s_Irr!Y25+s_Irr!AW25+s_Irr!BU25)),IF(AND(s_Irr!Y25&lt;&gt;".",s_Irr!AW25&lt;&gt;".",s_Irr!BU25="."),s_dir!Z25/((1/1000)*(s_Irr!Y25+s_Irr!AW25)),IF(AND(s_Irr!Y25&lt;&gt;".",s_Irr!AW25=".",s_Irr!BU25&lt;&gt;"."),s_dir!Z25/((1/1000)*(s_Irr!Y25+s_Irr!BU25)),IF(AND(s_Irr!Y25=".",s_Irr!AW25&lt;&gt;".",s_Irr!BU25&lt;&gt;"."),s_dir!Z25/((1/1000)*(s_Irr!AW25+s_Irr!BU25)),IF(AND(s_Irr!Y25=".",s_Irr!AW25=".",s_Irr!BU25&lt;&gt;"."),s_dir!Z25/((1/1000)*(s_Irr!BU25)),IF(AND(s_Irr!Y25=".",s_Irr!AW25&lt;&gt;".",s_Irr!BU25="."),s_dir!Z25/((1/1000)*(s_Irr!AW25)),IF(AND(s_Irr!Y25&lt;&gt;".",s_Irr!AW25=".",s_Irr!BU25="."),s_dir!Z25/((1/1000)*(s_Irr!Y25)),IF(AND(s_Irr!Y25=".",s_Irr!AW25=".",s_Irr!BU25="."),s_dir!Z25*1000)))))))),".")</f>
        <v>.</v>
      </c>
      <c r="AA25" s="48" t="str">
        <f>IFERROR(IF(AND(s_Irr!Z25&lt;&gt;".",s_Irr!AX25&lt;&gt;".",s_Irr!BV25&lt;&gt;"."),s_dir!AA25/((1/1000)*(s_Irr!Z25+s_Irr!AX25+s_Irr!BV25)),IF(AND(s_Irr!Z25&lt;&gt;".",s_Irr!AX25&lt;&gt;".",s_Irr!BV25="."),s_dir!AA25/((1/1000)*(s_Irr!Z25+s_Irr!AX25)),IF(AND(s_Irr!Z25&lt;&gt;".",s_Irr!AX25=".",s_Irr!BV25&lt;&gt;"."),s_dir!AA25/((1/1000)*(s_Irr!Z25+s_Irr!BV25)),IF(AND(s_Irr!Z25=".",s_Irr!AX25&lt;&gt;".",s_Irr!BV25&lt;&gt;"."),s_dir!AA25/((1/1000)*(s_Irr!AX25+s_Irr!BV25)),IF(AND(s_Irr!Z25=".",s_Irr!AX25=".",s_Irr!BV25&lt;&gt;"."),s_dir!AA25/((1/1000)*(s_Irr!BV25)),IF(AND(s_Irr!Z25=".",s_Irr!AX25&lt;&gt;".",s_Irr!BV25="."),s_dir!AA25/((1/1000)*(s_Irr!AX25)),IF(AND(s_Irr!Z25&lt;&gt;".",s_Irr!AX25=".",s_Irr!BV25="."),s_dir!AA25/((1/1000)*(s_Irr!Z25)),IF(AND(s_Irr!Z25=".",s_Irr!AX25=".",s_Irr!BV25="."),s_dir!AA25*1000)))))))),".")</f>
        <v>.</v>
      </c>
      <c r="AB25" s="62">
        <f t="shared" si="3"/>
        <v>0</v>
      </c>
      <c r="AC25" s="62" t="str">
        <f>IFERROR(s_C*s_IFAP_res_adj*s_CF_apple*0.001*(s_Irr!C25+s_Irr!AA25+s_Irr!AY25),".")</f>
        <v>.</v>
      </c>
      <c r="AD25" s="62" t="str">
        <f>IFERROR(s_C*s_IFAS_res_adj*s_CF_asparagus*0.001*(s_Irr!D25+s_Irr!AB25+s_Irr!AZ25),".")</f>
        <v>.</v>
      </c>
      <c r="AE25" s="62" t="str">
        <f>IFERROR(s_C*s_IFBT_res_adj*s_CF_beet*0.001*(s_Irr!E25+s_Irr!AC25+s_Irr!BA25),".")</f>
        <v>.</v>
      </c>
      <c r="AF25" s="62" t="str">
        <f>IFERROR(s_C*s_IFBE_res_adj*s_CF_berries*0.001*(s_Irr!F25+s_Irr!AD25+s_Irr!BB25),".")</f>
        <v>.</v>
      </c>
      <c r="AG25" s="62" t="str">
        <f>IFERROR(s_C*s_IFBR_res_adj*s_CF_broccoli*0.001*(s_Irr!G25+s_Irr!AE25+s_Irr!BC25),".")</f>
        <v>.</v>
      </c>
      <c r="AH25" s="62" t="str">
        <f>IFERROR(s_C*s_IFCB_res_adj*s_CF_cabbage*0.001*(s_Irr!H25+s_Irr!AF25+s_Irr!BD25),".")</f>
        <v>.</v>
      </c>
      <c r="AI25" s="62" t="str">
        <f>IFERROR(s_C*s_IFCR_res_adj*s_CF_carrot*0.001*(s_Irr!I25+s_Irr!AG25+s_Irr!BE25),".")</f>
        <v>.</v>
      </c>
      <c r="AJ25" s="62" t="str">
        <f>IFERROR(s_C*s_IFCI_res_adj*s_CF_citrus*0.001*(s_Irr!J25+s_Irr!AH25+s_Irr!BF25),".")</f>
        <v>.</v>
      </c>
      <c r="AK25" s="62" t="str">
        <f>IFERROR(s_C*s_IFCO_res_adj*s_CF_corn*0.001*(s_Irr!K25+s_Irr!AI25+s_Irr!BG25),".")</f>
        <v>.</v>
      </c>
      <c r="AL25" s="62" t="str">
        <f>IFERROR(s_C*s_IFCU_res_adj*s_CF_cucumber*0.001*(s_Irr!L25+s_Irr!AJ25+s_Irr!BH25),".")</f>
        <v>.</v>
      </c>
      <c r="AM25" s="62" t="str">
        <f>IFERROR(s_C*s_IFLE_res_adj*s_CF_lettuce*0.001*(s_Irr!M25+s_Irr!AK25+s_Irr!BI25),".")</f>
        <v>.</v>
      </c>
      <c r="AN25" s="62" t="str">
        <f>IFERROR(s_C*s_IFLI_res_adj*s_CF_lima_bean*0.001*(s_Irr!N25+s_Irr!AL25+s_Irr!BJ25),".")</f>
        <v>.</v>
      </c>
      <c r="AO25" s="62" t="str">
        <f>IFERROR(s_C*s_IFOK_res_adj*s_CF_okra*0.001*(s_Irr!O25+s_Irr!AM25+s_Irr!BK25),".")</f>
        <v>.</v>
      </c>
      <c r="AP25" s="62" t="str">
        <f>IFERROR(s_C*s_IFON_res_adj*s_CF_onion*0.001*(s_Irr!P25+s_Irr!AN25+s_Irr!BL25),".")</f>
        <v>.</v>
      </c>
      <c r="AQ25" s="62" t="str">
        <f>IFERROR(s_C*s_IFPC_res_adj*s_CF_peach*0.001*(s_Irr!Q25+s_Irr!AO25+s_Irr!BM25),".")</f>
        <v>.</v>
      </c>
      <c r="AR25" s="62" t="str">
        <f>IFERROR(s_C*s_IFPR_res_adj*s_CF_pear*0.001*(s_Irr!R25+s_Irr!AP25+s_Irr!BN25),".")</f>
        <v>.</v>
      </c>
      <c r="AS25" s="62" t="str">
        <f>IFERROR(s_C*s_IFPE_res_adj*s_CF_peas*0.001*(s_Irr!S25+s_Irr!AQ25+s_Irr!BO25),".")</f>
        <v>.</v>
      </c>
      <c r="AT25" s="62" t="str">
        <f>IFERROR(s_C*s_IFPT_res_adj*s_CF_potato*0.001*(s_Irr!T25+s_Irr!AR25+s_Irr!BP25),".")</f>
        <v>.</v>
      </c>
      <c r="AU25" s="62" t="str">
        <f>IFERROR(s_C*s_IFPU_res_adj*s_CF_pumpkin*0.001*(s_Irr!U25+s_Irr!AS25+s_Irr!BQ25),".")</f>
        <v>.</v>
      </c>
      <c r="AV25" s="62" t="str">
        <f>IFERROR(s_C*s_IFSN_res_adj*s_CF_snap_bean*0.001*(s_Irr!V25+s_Irr!AT25+s_Irr!BR25),".")</f>
        <v>.</v>
      </c>
      <c r="AW25" s="62" t="str">
        <f>IFERROR(s_C*s_IFST_res_adj*s_CF_strawberry*0.001*(s_Irr!W25+s_Irr!AU25+s_Irr!BS25),".")</f>
        <v>.</v>
      </c>
      <c r="AX25" s="62" t="str">
        <f>IFERROR(s_C*s_IFTO_res_adj*s_CF_tomato*0.001*(s_Irr!X25+s_Irr!AV25+s_Irr!BT25),".")</f>
        <v>.</v>
      </c>
      <c r="AY25" s="62" t="str">
        <f>IFERROR(s_C*s_IFRI_res_adj*s_CF_rice*0.001*(s_Irr!Y25+s_Irr!AW25+s_Irr!BU25),".")</f>
        <v>.</v>
      </c>
      <c r="AZ25" s="62" t="str">
        <f>IFERROR(s_C*s_IFCG_res_adj*s_CF_cereal*0.001*(s_Irr!Z25+s_Irr!AX25+s_Irr!BV25),".")</f>
        <v>.</v>
      </c>
      <c r="BA25" s="48" t="str">
        <f t="shared" si="0"/>
        <v>.</v>
      </c>
      <c r="BB25" s="48" t="str">
        <f>IFERROR(IF(AND(s_Irr!C25&lt;&gt;".",s_Irr!AA25&lt;&gt;".",s_Irr!AY25&lt;&gt;"."),s_dir!AC25/((1/1000)*(s_Irr!C25+s_Irr!AA25+s_Irr!AY25)),IF(AND(s_Irr!C25&lt;&gt;".",s_Irr!AA25&lt;&gt;".",s_Irr!AY25="."),s_dir!AC25/((1/1000)*(s_Irr!C25+s_Irr!AA25)),IF(AND(s_Irr!C25&lt;&gt;".",s_Irr!AA25=".",s_Irr!AY25&lt;&gt;"."),s_dir!AC25/((1/1000)*(s_Irr!C25+s_Irr!AY25)),IF(AND(s_Irr!C25=".",s_Irr!AA25&lt;&gt;".",s_Irr!AY25&lt;&gt;"."),s_dir!AC25/((1/1000)*(s_Irr!AA25+s_Irr!AY25)),IF(AND(s_Irr!C25=".",s_Irr!AA25=".",s_Irr!AY25&lt;&gt;"."),s_dir!AC25/((1/1000)*(s_Irr!AY25)),IF(AND(s_Irr!C25=".",s_Irr!AA25&lt;&gt;".",s_Irr!AY25="."),s_dir!AC25/((1/1000)*(s_Irr!AA25)),IF(AND(s_Irr!C25&lt;&gt;".",s_Irr!AA25=".",s_Irr!AY25="."),s_dir!AC25/((1/1000)*(s_Irr!C25)),IF(AND(s_Irr!C25=".",s_Irr!AA25=".",s_Irr!AY25="."),s_dir!AC25*1000)))))))),".")</f>
        <v>.</v>
      </c>
      <c r="BC25" s="48" t="str">
        <f>IFERROR(IF(AND(s_Irr!D25&lt;&gt;".",s_Irr!AB25&lt;&gt;".",s_Irr!AZ25&lt;&gt;"."),s_dir!AD25/((1/1000)*(s_Irr!D25+s_Irr!AB25+s_Irr!AZ25)),IF(AND(s_Irr!D25&lt;&gt;".",s_Irr!AB25&lt;&gt;".",s_Irr!AZ25="."),s_dir!AD25/((1/1000)*(s_Irr!D25+s_Irr!AB25)),IF(AND(s_Irr!D25&lt;&gt;".",s_Irr!AB25=".",s_Irr!AZ25&lt;&gt;"."),s_dir!AD25/((1/1000)*(s_Irr!D25+s_Irr!AZ25)),IF(AND(s_Irr!D25=".",s_Irr!AB25&lt;&gt;".",s_Irr!AZ25&lt;&gt;"."),s_dir!AD25/((1/1000)*(s_Irr!AB25+s_Irr!AZ25)),IF(AND(s_Irr!D25=".",s_Irr!AB25=".",s_Irr!AZ25&lt;&gt;"."),s_dir!AD25/((1/1000)*(s_Irr!AZ25)),IF(AND(s_Irr!D25=".",s_Irr!AB25&lt;&gt;".",s_Irr!AZ25="."),s_dir!AD25/((1/1000)*(s_Irr!AB25)),IF(AND(s_Irr!D25&lt;&gt;".",s_Irr!AB25=".",s_Irr!AZ25="."),s_dir!AD25/((1/1000)*(s_Irr!D25)),IF(AND(s_Irr!D25=".",s_Irr!AB25=".",s_Irr!AZ25="."),s_dir!AD25*1000)))))))),".")</f>
        <v>.</v>
      </c>
      <c r="BD25" s="48" t="str">
        <f>IFERROR(IF(AND(s_Irr!E25&lt;&gt;".",s_Irr!AC25&lt;&gt;".",s_Irr!BA25&lt;&gt;"."),s_dir!AE25/((1/1000)*(s_Irr!E25+s_Irr!AC25+s_Irr!BA25)),IF(AND(s_Irr!E25&lt;&gt;".",s_Irr!AC25&lt;&gt;".",s_Irr!BA25="."),s_dir!AE25/((1/1000)*(s_Irr!E25+s_Irr!AC25)),IF(AND(s_Irr!E25&lt;&gt;".",s_Irr!AC25=".",s_Irr!BA25&lt;&gt;"."),s_dir!AE25/((1/1000)*(s_Irr!E25+s_Irr!BA25)),IF(AND(s_Irr!E25=".",s_Irr!AC25&lt;&gt;".",s_Irr!BA25&lt;&gt;"."),s_dir!AE25/((1/1000)*(s_Irr!AC25+s_Irr!BA25)),IF(AND(s_Irr!E25=".",s_Irr!AC25=".",s_Irr!BA25&lt;&gt;"."),s_dir!AE25/((1/1000)*(s_Irr!BA25)),IF(AND(s_Irr!E25=".",s_Irr!AC25&lt;&gt;".",s_Irr!BA25="."),s_dir!AE25/((1/1000)*(s_Irr!AC25)),IF(AND(s_Irr!E25&lt;&gt;".",s_Irr!AC25=".",s_Irr!BA25="."),s_dir!AE25/((1/1000)*(s_Irr!E25)),IF(AND(s_Irr!E25=".",s_Irr!AC25=".",s_Irr!BA25="."),s_dir!AE25*1000)))))))),".")</f>
        <v>.</v>
      </c>
      <c r="BE25" s="48" t="str">
        <f>IFERROR(IF(AND(s_Irr!F25&lt;&gt;".",s_Irr!AD25&lt;&gt;".",s_Irr!BB25&lt;&gt;"."),s_dir!AF25/((1/1000)*(s_Irr!F25+s_Irr!AD25+s_Irr!BB25)),IF(AND(s_Irr!F25&lt;&gt;".",s_Irr!AD25&lt;&gt;".",s_Irr!BB25="."),s_dir!AF25/((1/1000)*(s_Irr!F25+s_Irr!AD25)),IF(AND(s_Irr!F25&lt;&gt;".",s_Irr!AD25=".",s_Irr!BB25&lt;&gt;"."),s_dir!AF25/((1/1000)*(s_Irr!F25+s_Irr!BB25)),IF(AND(s_Irr!F25=".",s_Irr!AD25&lt;&gt;".",s_Irr!BB25&lt;&gt;"."),s_dir!AF25/((1/1000)*(s_Irr!AD25+s_Irr!BB25)),IF(AND(s_Irr!F25=".",s_Irr!AD25=".",s_Irr!BB25&lt;&gt;"."),s_dir!AF25/((1/1000)*(s_Irr!BB25)),IF(AND(s_Irr!F25=".",s_Irr!AD25&lt;&gt;".",s_Irr!BB25="."),s_dir!AF25/((1/1000)*(s_Irr!AD25)),IF(AND(s_Irr!F25&lt;&gt;".",s_Irr!AD25=".",s_Irr!BB25="."),s_dir!AF25/((1/1000)*(s_Irr!F25)),IF(AND(s_Irr!F25=".",s_Irr!AD25=".",s_Irr!BB25="."),s_dir!AF25*1000)))))))),".")</f>
        <v>.</v>
      </c>
      <c r="BF25" s="48" t="str">
        <f>IFERROR(IF(AND(s_Irr!G25&lt;&gt;".",s_Irr!AE25&lt;&gt;".",s_Irr!BC25&lt;&gt;"."),s_dir!AG25/((1/1000)*(s_Irr!G25+s_Irr!AE25+s_Irr!BC25)),IF(AND(s_Irr!G25&lt;&gt;".",s_Irr!AE25&lt;&gt;".",s_Irr!BC25="."),s_dir!AG25/((1/1000)*(s_Irr!G25+s_Irr!AE25)),IF(AND(s_Irr!G25&lt;&gt;".",s_Irr!AE25=".",s_Irr!BC25&lt;&gt;"."),s_dir!AG25/((1/1000)*(s_Irr!G25+s_Irr!BC25)),IF(AND(s_Irr!G25=".",s_Irr!AE25&lt;&gt;".",s_Irr!BC25&lt;&gt;"."),s_dir!AG25/((1/1000)*(s_Irr!AE25+s_Irr!BC25)),IF(AND(s_Irr!G25=".",s_Irr!AE25=".",s_Irr!BC25&lt;&gt;"."),s_dir!AG25/((1/1000)*(s_Irr!BC25)),IF(AND(s_Irr!G25=".",s_Irr!AE25&lt;&gt;".",s_Irr!BC25="."),s_dir!AG25/((1/1000)*(s_Irr!AE25)),IF(AND(s_Irr!G25&lt;&gt;".",s_Irr!AE25=".",s_Irr!BC25="."),s_dir!AG25/((1/1000)*(s_Irr!G25)),IF(AND(s_Irr!G25=".",s_Irr!AE25=".",s_Irr!BC25="."),s_dir!AG25*1000)))))))),".")</f>
        <v>.</v>
      </c>
      <c r="BG25" s="48" t="str">
        <f>IFERROR(IF(AND(s_Irr!H25&lt;&gt;".",s_Irr!AF25&lt;&gt;".",s_Irr!BD25&lt;&gt;"."),s_dir!AH25/((1/1000)*(s_Irr!H25+s_Irr!AF25+s_Irr!BD25)),IF(AND(s_Irr!H25&lt;&gt;".",s_Irr!AF25&lt;&gt;".",s_Irr!BD25="."),s_dir!AH25/((1/1000)*(s_Irr!H25+s_Irr!AF25)),IF(AND(s_Irr!H25&lt;&gt;".",s_Irr!AF25=".",s_Irr!BD25&lt;&gt;"."),s_dir!AH25/((1/1000)*(s_Irr!H25+s_Irr!BD25)),IF(AND(s_Irr!H25=".",s_Irr!AF25&lt;&gt;".",s_Irr!BD25&lt;&gt;"."),s_dir!AH25/((1/1000)*(s_Irr!AF25+s_Irr!BD25)),IF(AND(s_Irr!H25=".",s_Irr!AF25=".",s_Irr!BD25&lt;&gt;"."),s_dir!AH25/((1/1000)*(s_Irr!BD25)),IF(AND(s_Irr!H25=".",s_Irr!AF25&lt;&gt;".",s_Irr!BD25="."),s_dir!AH25/((1/1000)*(s_Irr!AF25)),IF(AND(s_Irr!H25&lt;&gt;".",s_Irr!AF25=".",s_Irr!BD25="."),s_dir!AH25/((1/1000)*(s_Irr!H25)),IF(AND(s_Irr!H25=".",s_Irr!AF25=".",s_Irr!BD25="."),s_dir!AH25*1000)))))))),".")</f>
        <v>.</v>
      </c>
      <c r="BH25" s="48" t="str">
        <f>IFERROR(IF(AND(s_Irr!I25&lt;&gt;".",s_Irr!AG25&lt;&gt;".",s_Irr!BE25&lt;&gt;"."),s_dir!AI25/((1/1000)*(s_Irr!I25+s_Irr!AG25+s_Irr!BE25)),IF(AND(s_Irr!I25&lt;&gt;".",s_Irr!AG25&lt;&gt;".",s_Irr!BE25="."),s_dir!AI25/((1/1000)*(s_Irr!I25+s_Irr!AG25)),IF(AND(s_Irr!I25&lt;&gt;".",s_Irr!AG25=".",s_Irr!BE25&lt;&gt;"."),s_dir!AI25/((1/1000)*(s_Irr!I25+s_Irr!BE25)),IF(AND(s_Irr!I25=".",s_Irr!AG25&lt;&gt;".",s_Irr!BE25&lt;&gt;"."),s_dir!AI25/((1/1000)*(s_Irr!AG25+s_Irr!BE25)),IF(AND(s_Irr!I25=".",s_Irr!AG25=".",s_Irr!BE25&lt;&gt;"."),s_dir!AI25/((1/1000)*(s_Irr!BE25)),IF(AND(s_Irr!I25=".",s_Irr!AG25&lt;&gt;".",s_Irr!BE25="."),s_dir!AI25/((1/1000)*(s_Irr!AG25)),IF(AND(s_Irr!I25&lt;&gt;".",s_Irr!AG25=".",s_Irr!BE25="."),s_dir!AI25/((1/1000)*(s_Irr!I25)),IF(AND(s_Irr!I25=".",s_Irr!AG25=".",s_Irr!BE25="."),s_dir!AI25*1000)))))))),".")</f>
        <v>.</v>
      </c>
      <c r="BI25" s="48" t="str">
        <f>IFERROR(IF(AND(s_Irr!J25&lt;&gt;".",s_Irr!AH25&lt;&gt;".",s_Irr!BF25&lt;&gt;"."),s_dir!AJ25/((1/1000)*(s_Irr!J25+s_Irr!AH25+s_Irr!BF25)),IF(AND(s_Irr!J25&lt;&gt;".",s_Irr!AH25&lt;&gt;".",s_Irr!BF25="."),s_dir!AJ25/((1/1000)*(s_Irr!J25+s_Irr!AH25)),IF(AND(s_Irr!J25&lt;&gt;".",s_Irr!AH25=".",s_Irr!BF25&lt;&gt;"."),s_dir!AJ25/((1/1000)*(s_Irr!J25+s_Irr!BF25)),IF(AND(s_Irr!J25=".",s_Irr!AH25&lt;&gt;".",s_Irr!BF25&lt;&gt;"."),s_dir!AJ25/((1/1000)*(s_Irr!AH25+s_Irr!BF25)),IF(AND(s_Irr!J25=".",s_Irr!AH25=".",s_Irr!BF25&lt;&gt;"."),s_dir!AJ25/((1/1000)*(s_Irr!BF25)),IF(AND(s_Irr!J25=".",s_Irr!AH25&lt;&gt;".",s_Irr!BF25="."),s_dir!AJ25/((1/1000)*(s_Irr!AH25)),IF(AND(s_Irr!J25&lt;&gt;".",s_Irr!AH25=".",s_Irr!BF25="."),s_dir!AJ25/((1/1000)*(s_Irr!J25)),IF(AND(s_Irr!J25=".",s_Irr!AH25=".",s_Irr!BF25="."),s_dir!AJ25*1000)))))))),".")</f>
        <v>.</v>
      </c>
      <c r="BJ25" s="48" t="str">
        <f>IFERROR(IF(AND(s_Irr!K25&lt;&gt;".",s_Irr!AI25&lt;&gt;".",s_Irr!BG25&lt;&gt;"."),s_dir!AK25/((1/1000)*(s_Irr!K25+s_Irr!AI25+s_Irr!BG25)),IF(AND(s_Irr!K25&lt;&gt;".",s_Irr!AI25&lt;&gt;".",s_Irr!BG25="."),s_dir!AK25/((1/1000)*(s_Irr!K25+s_Irr!AI25)),IF(AND(s_Irr!K25&lt;&gt;".",s_Irr!AI25=".",s_Irr!BG25&lt;&gt;"."),s_dir!AK25/((1/1000)*(s_Irr!K25+s_Irr!BG25)),IF(AND(s_Irr!K25=".",s_Irr!AI25&lt;&gt;".",s_Irr!BG25&lt;&gt;"."),s_dir!AK25/((1/1000)*(s_Irr!AI25+s_Irr!BG25)),IF(AND(s_Irr!K25=".",s_Irr!AI25=".",s_Irr!BG25&lt;&gt;"."),s_dir!AK25/((1/1000)*(s_Irr!BG25)),IF(AND(s_Irr!K25=".",s_Irr!AI25&lt;&gt;".",s_Irr!BG25="."),s_dir!AK25/((1/1000)*(s_Irr!AI25)),IF(AND(s_Irr!K25&lt;&gt;".",s_Irr!AI25=".",s_Irr!BG25="."),s_dir!AK25/((1/1000)*(s_Irr!K25)),IF(AND(s_Irr!K25=".",s_Irr!AI25=".",s_Irr!BG25="."),s_dir!AK25*1000)))))))),".")</f>
        <v>.</v>
      </c>
      <c r="BK25" s="48" t="str">
        <f>IFERROR(IF(AND(s_Irr!L25&lt;&gt;".",s_Irr!AJ25&lt;&gt;".",s_Irr!BH25&lt;&gt;"."),s_dir!AL25/((1/1000)*(s_Irr!L25+s_Irr!AJ25+s_Irr!BH25)),IF(AND(s_Irr!L25&lt;&gt;".",s_Irr!AJ25&lt;&gt;".",s_Irr!BH25="."),s_dir!AL25/((1/1000)*(s_Irr!L25+s_Irr!AJ25)),IF(AND(s_Irr!L25&lt;&gt;".",s_Irr!AJ25=".",s_Irr!BH25&lt;&gt;"."),s_dir!AL25/((1/1000)*(s_Irr!L25+s_Irr!BH25)),IF(AND(s_Irr!L25=".",s_Irr!AJ25&lt;&gt;".",s_Irr!BH25&lt;&gt;"."),s_dir!AL25/((1/1000)*(s_Irr!AJ25+s_Irr!BH25)),IF(AND(s_Irr!L25=".",s_Irr!AJ25=".",s_Irr!BH25&lt;&gt;"."),s_dir!AL25/((1/1000)*(s_Irr!BH25)),IF(AND(s_Irr!L25=".",s_Irr!AJ25&lt;&gt;".",s_Irr!BH25="."),s_dir!AL25/((1/1000)*(s_Irr!AJ25)),IF(AND(s_Irr!L25&lt;&gt;".",s_Irr!AJ25=".",s_Irr!BH25="."),s_dir!AL25/((1/1000)*(s_Irr!L25)),IF(AND(s_Irr!L25=".",s_Irr!AJ25=".",s_Irr!BH25="."),s_dir!AL25*1000)))))))),".")</f>
        <v>.</v>
      </c>
      <c r="BL25" s="48" t="str">
        <f>IFERROR(IF(AND(s_Irr!M25&lt;&gt;".",s_Irr!AK25&lt;&gt;".",s_Irr!BI25&lt;&gt;"."),s_dir!AM25/((1/1000)*(s_Irr!M25+s_Irr!AK25+s_Irr!BI25)),IF(AND(s_Irr!M25&lt;&gt;".",s_Irr!AK25&lt;&gt;".",s_Irr!BI25="."),s_dir!AM25/((1/1000)*(s_Irr!M25+s_Irr!AK25)),IF(AND(s_Irr!M25&lt;&gt;".",s_Irr!AK25=".",s_Irr!BI25&lt;&gt;"."),s_dir!AM25/((1/1000)*(s_Irr!M25+s_Irr!BI25)),IF(AND(s_Irr!M25=".",s_Irr!AK25&lt;&gt;".",s_Irr!BI25&lt;&gt;"."),s_dir!AM25/((1/1000)*(s_Irr!AK25+s_Irr!BI25)),IF(AND(s_Irr!M25=".",s_Irr!AK25=".",s_Irr!BI25&lt;&gt;"."),s_dir!AM25/((1/1000)*(s_Irr!BI25)),IF(AND(s_Irr!M25=".",s_Irr!AK25&lt;&gt;".",s_Irr!BI25="."),s_dir!AM25/((1/1000)*(s_Irr!AK25)),IF(AND(s_Irr!M25&lt;&gt;".",s_Irr!AK25=".",s_Irr!BI25="."),s_dir!AM25/((1/1000)*(s_Irr!M25)),IF(AND(s_Irr!M25=".",s_Irr!AK25=".",s_Irr!BI25="."),s_dir!AM25*1000)))))))),".")</f>
        <v>.</v>
      </c>
      <c r="BM25" s="48" t="str">
        <f>IFERROR(IF(AND(s_Irr!N25&lt;&gt;".",s_Irr!AL25&lt;&gt;".",s_Irr!BJ25&lt;&gt;"."),s_dir!AN25/((1/1000)*(s_Irr!N25+s_Irr!AL25+s_Irr!BJ25)),IF(AND(s_Irr!N25&lt;&gt;".",s_Irr!AL25&lt;&gt;".",s_Irr!BJ25="."),s_dir!AN25/((1/1000)*(s_Irr!N25+s_Irr!AL25)),IF(AND(s_Irr!N25&lt;&gt;".",s_Irr!AL25=".",s_Irr!BJ25&lt;&gt;"."),s_dir!AN25/((1/1000)*(s_Irr!N25+s_Irr!BJ25)),IF(AND(s_Irr!N25=".",s_Irr!AL25&lt;&gt;".",s_Irr!BJ25&lt;&gt;"."),s_dir!AN25/((1/1000)*(s_Irr!AL25+s_Irr!BJ25)),IF(AND(s_Irr!N25=".",s_Irr!AL25=".",s_Irr!BJ25&lt;&gt;"."),s_dir!AN25/((1/1000)*(s_Irr!BJ25)),IF(AND(s_Irr!N25=".",s_Irr!AL25&lt;&gt;".",s_Irr!BJ25="."),s_dir!AN25/((1/1000)*(s_Irr!AL25)),IF(AND(s_Irr!N25&lt;&gt;".",s_Irr!AL25=".",s_Irr!BJ25="."),s_dir!AN25/((1/1000)*(s_Irr!N25)),IF(AND(s_Irr!N25=".",s_Irr!AL25=".",s_Irr!BJ25="."),s_dir!AN25*1000)))))))),".")</f>
        <v>.</v>
      </c>
      <c r="BN25" s="48" t="str">
        <f>IFERROR(IF(AND(s_Irr!O25&lt;&gt;".",s_Irr!AM25&lt;&gt;".",s_Irr!BK25&lt;&gt;"."),s_dir!AO25/((1/1000)*(s_Irr!O25+s_Irr!AM25+s_Irr!BK25)),IF(AND(s_Irr!O25&lt;&gt;".",s_Irr!AM25&lt;&gt;".",s_Irr!BK25="."),s_dir!AO25/((1/1000)*(s_Irr!O25+s_Irr!AM25)),IF(AND(s_Irr!O25&lt;&gt;".",s_Irr!AM25=".",s_Irr!BK25&lt;&gt;"."),s_dir!AO25/((1/1000)*(s_Irr!O25+s_Irr!BK25)),IF(AND(s_Irr!O25=".",s_Irr!AM25&lt;&gt;".",s_Irr!BK25&lt;&gt;"."),s_dir!AO25/((1/1000)*(s_Irr!AM25+s_Irr!BK25)),IF(AND(s_Irr!O25=".",s_Irr!AM25=".",s_Irr!BK25&lt;&gt;"."),s_dir!AO25/((1/1000)*(s_Irr!BK25)),IF(AND(s_Irr!O25=".",s_Irr!AM25&lt;&gt;".",s_Irr!BK25="."),s_dir!AO25/((1/1000)*(s_Irr!AM25)),IF(AND(s_Irr!O25&lt;&gt;".",s_Irr!AM25=".",s_Irr!BK25="."),s_dir!AO25/((1/1000)*(s_Irr!O25)),IF(AND(s_Irr!O25=".",s_Irr!AM25=".",s_Irr!BK25="."),s_dir!AO25*1000)))))))),".")</f>
        <v>.</v>
      </c>
      <c r="BO25" s="48" t="str">
        <f>IFERROR(IF(AND(s_Irr!P25&lt;&gt;".",s_Irr!AN25&lt;&gt;".",s_Irr!BL25&lt;&gt;"."),s_dir!AP25/((1/1000)*(s_Irr!P25+s_Irr!AN25+s_Irr!BL25)),IF(AND(s_Irr!P25&lt;&gt;".",s_Irr!AN25&lt;&gt;".",s_Irr!BL25="."),s_dir!AP25/((1/1000)*(s_Irr!P25+s_Irr!AN25)),IF(AND(s_Irr!P25&lt;&gt;".",s_Irr!AN25=".",s_Irr!BL25&lt;&gt;"."),s_dir!AP25/((1/1000)*(s_Irr!P25+s_Irr!BL25)),IF(AND(s_Irr!P25=".",s_Irr!AN25&lt;&gt;".",s_Irr!BL25&lt;&gt;"."),s_dir!AP25/((1/1000)*(s_Irr!AN25+s_Irr!BL25)),IF(AND(s_Irr!P25=".",s_Irr!AN25=".",s_Irr!BL25&lt;&gt;"."),s_dir!AP25/((1/1000)*(s_Irr!BL25)),IF(AND(s_Irr!P25=".",s_Irr!AN25&lt;&gt;".",s_Irr!BL25="."),s_dir!AP25/((1/1000)*(s_Irr!AN25)),IF(AND(s_Irr!P25&lt;&gt;".",s_Irr!AN25=".",s_Irr!BL25="."),s_dir!AP25/((1/1000)*(s_Irr!P25)),IF(AND(s_Irr!P25=".",s_Irr!AN25=".",s_Irr!BL25="."),s_dir!AP25*1000)))))))),".")</f>
        <v>.</v>
      </c>
      <c r="BP25" s="48" t="str">
        <f>IFERROR(IF(AND(s_Irr!Q25&lt;&gt;".",s_Irr!AO25&lt;&gt;".",s_Irr!BM25&lt;&gt;"."),s_dir!AQ25/((1/1000)*(s_Irr!Q25+s_Irr!AO25+s_Irr!BM25)),IF(AND(s_Irr!Q25&lt;&gt;".",s_Irr!AO25&lt;&gt;".",s_Irr!BM25="."),s_dir!AQ25/((1/1000)*(s_Irr!Q25+s_Irr!AO25)),IF(AND(s_Irr!Q25&lt;&gt;".",s_Irr!AO25=".",s_Irr!BM25&lt;&gt;"."),s_dir!AQ25/((1/1000)*(s_Irr!Q25+s_Irr!BM25)),IF(AND(s_Irr!Q25=".",s_Irr!AO25&lt;&gt;".",s_Irr!BM25&lt;&gt;"."),s_dir!AQ25/((1/1000)*(s_Irr!AO25+s_Irr!BM25)),IF(AND(s_Irr!Q25=".",s_Irr!AO25=".",s_Irr!BM25&lt;&gt;"."),s_dir!AQ25/((1/1000)*(s_Irr!BM25)),IF(AND(s_Irr!Q25=".",s_Irr!AO25&lt;&gt;".",s_Irr!BM25="."),s_dir!AQ25/((1/1000)*(s_Irr!AO25)),IF(AND(s_Irr!Q25&lt;&gt;".",s_Irr!AO25=".",s_Irr!BM25="."),s_dir!AQ25/((1/1000)*(s_Irr!Q25)),IF(AND(s_Irr!Q25=".",s_Irr!AO25=".",s_Irr!BM25="."),s_dir!AQ25*1000)))))))),".")</f>
        <v>.</v>
      </c>
      <c r="BQ25" s="48" t="str">
        <f>IFERROR(IF(AND(s_Irr!R25&lt;&gt;".",s_Irr!AP25&lt;&gt;".",s_Irr!BN25&lt;&gt;"."),s_dir!AR25/((1/1000)*(s_Irr!R25+s_Irr!AP25+s_Irr!BN25)),IF(AND(s_Irr!R25&lt;&gt;".",s_Irr!AP25&lt;&gt;".",s_Irr!BN25="."),s_dir!AR25/((1/1000)*(s_Irr!R25+s_Irr!AP25)),IF(AND(s_Irr!R25&lt;&gt;".",s_Irr!AP25=".",s_Irr!BN25&lt;&gt;"."),s_dir!AR25/((1/1000)*(s_Irr!R25+s_Irr!BN25)),IF(AND(s_Irr!R25=".",s_Irr!AP25&lt;&gt;".",s_Irr!BN25&lt;&gt;"."),s_dir!AR25/((1/1000)*(s_Irr!AP25+s_Irr!BN25)),IF(AND(s_Irr!R25=".",s_Irr!AP25=".",s_Irr!BN25&lt;&gt;"."),s_dir!AR25/((1/1000)*(s_Irr!BN25)),IF(AND(s_Irr!R25=".",s_Irr!AP25&lt;&gt;".",s_Irr!BN25="."),s_dir!AR25/((1/1000)*(s_Irr!AP25)),IF(AND(s_Irr!R25&lt;&gt;".",s_Irr!AP25=".",s_Irr!BN25="."),s_dir!AR25/((1/1000)*(s_Irr!R25)),IF(AND(s_Irr!R25=".",s_Irr!AP25=".",s_Irr!BN25="."),s_dir!AR25*1000)))))))),".")</f>
        <v>.</v>
      </c>
      <c r="BR25" s="48" t="str">
        <f>IFERROR(IF(AND(s_Irr!S25&lt;&gt;".",s_Irr!AQ25&lt;&gt;".",s_Irr!BO25&lt;&gt;"."),s_dir!AS25/((1/1000)*(s_Irr!S25+s_Irr!AQ25+s_Irr!BO25)),IF(AND(s_Irr!S25&lt;&gt;".",s_Irr!AQ25&lt;&gt;".",s_Irr!BO25="."),s_dir!AS25/((1/1000)*(s_Irr!S25+s_Irr!AQ25)),IF(AND(s_Irr!S25&lt;&gt;".",s_Irr!AQ25=".",s_Irr!BO25&lt;&gt;"."),s_dir!AS25/((1/1000)*(s_Irr!S25+s_Irr!BO25)),IF(AND(s_Irr!S25=".",s_Irr!AQ25&lt;&gt;".",s_Irr!BO25&lt;&gt;"."),s_dir!AS25/((1/1000)*(s_Irr!AQ25+s_Irr!BO25)),IF(AND(s_Irr!S25=".",s_Irr!AQ25=".",s_Irr!BO25&lt;&gt;"."),s_dir!AS25/((1/1000)*(s_Irr!BO25)),IF(AND(s_Irr!S25=".",s_Irr!AQ25&lt;&gt;".",s_Irr!BO25="."),s_dir!AS25/((1/1000)*(s_Irr!AQ25)),IF(AND(s_Irr!S25&lt;&gt;".",s_Irr!AQ25=".",s_Irr!BO25="."),s_dir!AS25/((1/1000)*(s_Irr!S25)),IF(AND(s_Irr!S25=".",s_Irr!AQ25=".",s_Irr!BO25="."),s_dir!AS25*1000)))))))),".")</f>
        <v>.</v>
      </c>
      <c r="BS25" s="48" t="str">
        <f>IFERROR(IF(AND(s_Irr!T25&lt;&gt;".",s_Irr!AR25&lt;&gt;".",s_Irr!BP25&lt;&gt;"."),s_dir!AT25/((1/1000)*(s_Irr!T25+s_Irr!AR25+s_Irr!BP25)),IF(AND(s_Irr!T25&lt;&gt;".",s_Irr!AR25&lt;&gt;".",s_Irr!BP25="."),s_dir!AT25/((1/1000)*(s_Irr!T25+s_Irr!AR25)),IF(AND(s_Irr!T25&lt;&gt;".",s_Irr!AR25=".",s_Irr!BP25&lt;&gt;"."),s_dir!AT25/((1/1000)*(s_Irr!T25+s_Irr!BP25)),IF(AND(s_Irr!T25=".",s_Irr!AR25&lt;&gt;".",s_Irr!BP25&lt;&gt;"."),s_dir!AT25/((1/1000)*(s_Irr!AR25+s_Irr!BP25)),IF(AND(s_Irr!T25=".",s_Irr!AR25=".",s_Irr!BP25&lt;&gt;"."),s_dir!AT25/((1/1000)*(s_Irr!BP25)),IF(AND(s_Irr!T25=".",s_Irr!AR25&lt;&gt;".",s_Irr!BP25="."),s_dir!AT25/((1/1000)*(s_Irr!AR25)),IF(AND(s_Irr!T25&lt;&gt;".",s_Irr!AR25=".",s_Irr!BP25="."),s_dir!AT25/((1/1000)*(s_Irr!T25)),IF(AND(s_Irr!T25=".",s_Irr!AR25=".",s_Irr!BP25="."),s_dir!AT25*1000)))))))),".")</f>
        <v>.</v>
      </c>
      <c r="BT25" s="48" t="str">
        <f>IFERROR(IF(AND(s_Irr!U25&lt;&gt;".",s_Irr!AS25&lt;&gt;".",s_Irr!BQ25&lt;&gt;"."),s_dir!AU25/((1/1000)*(s_Irr!U25+s_Irr!AS25+s_Irr!BQ25)),IF(AND(s_Irr!U25&lt;&gt;".",s_Irr!AS25&lt;&gt;".",s_Irr!BQ25="."),s_dir!AU25/((1/1000)*(s_Irr!U25+s_Irr!AS25)),IF(AND(s_Irr!U25&lt;&gt;".",s_Irr!AS25=".",s_Irr!BQ25&lt;&gt;"."),s_dir!AU25/((1/1000)*(s_Irr!U25+s_Irr!BQ25)),IF(AND(s_Irr!U25=".",s_Irr!AS25&lt;&gt;".",s_Irr!BQ25&lt;&gt;"."),s_dir!AU25/((1/1000)*(s_Irr!AS25+s_Irr!BQ25)),IF(AND(s_Irr!U25=".",s_Irr!AS25=".",s_Irr!BQ25&lt;&gt;"."),s_dir!AU25/((1/1000)*(s_Irr!BQ25)),IF(AND(s_Irr!U25=".",s_Irr!AS25&lt;&gt;".",s_Irr!BQ25="."),s_dir!AU25/((1/1000)*(s_Irr!AS25)),IF(AND(s_Irr!U25&lt;&gt;".",s_Irr!AS25=".",s_Irr!BQ25="."),s_dir!AU25/((1/1000)*(s_Irr!U25)),IF(AND(s_Irr!U25=".",s_Irr!AS25=".",s_Irr!BQ25="."),s_dir!AU25*1000)))))))),".")</f>
        <v>.</v>
      </c>
      <c r="BU25" s="48" t="str">
        <f>IFERROR(IF(AND(s_Irr!V25&lt;&gt;".",s_Irr!AT25&lt;&gt;".",s_Irr!BR25&lt;&gt;"."),s_dir!AV25/((1/1000)*(s_Irr!V25+s_Irr!AT25+s_Irr!BR25)),IF(AND(s_Irr!V25&lt;&gt;".",s_Irr!AT25&lt;&gt;".",s_Irr!BR25="."),s_dir!AV25/((1/1000)*(s_Irr!V25+s_Irr!AT25)),IF(AND(s_Irr!V25&lt;&gt;".",s_Irr!AT25=".",s_Irr!BR25&lt;&gt;"."),s_dir!AV25/((1/1000)*(s_Irr!V25+s_Irr!BR25)),IF(AND(s_Irr!V25=".",s_Irr!AT25&lt;&gt;".",s_Irr!BR25&lt;&gt;"."),s_dir!AV25/((1/1000)*(s_Irr!AT25+s_Irr!BR25)),IF(AND(s_Irr!V25=".",s_Irr!AT25=".",s_Irr!BR25&lt;&gt;"."),s_dir!AV25/((1/1000)*(s_Irr!BR25)),IF(AND(s_Irr!V25=".",s_Irr!AT25&lt;&gt;".",s_Irr!BR25="."),s_dir!AV25/((1/1000)*(s_Irr!AT25)),IF(AND(s_Irr!V25&lt;&gt;".",s_Irr!AT25=".",s_Irr!BR25="."),s_dir!AV25/((1/1000)*(s_Irr!V25)),IF(AND(s_Irr!V25=".",s_Irr!AT25=".",s_Irr!BR25="."),s_dir!AV25*1000)))))))),".")</f>
        <v>.</v>
      </c>
      <c r="BV25" s="48" t="str">
        <f>IFERROR(IF(AND(s_Irr!W25&lt;&gt;".",s_Irr!AU25&lt;&gt;".",s_Irr!BS25&lt;&gt;"."),s_dir!AW25/((1/1000)*(s_Irr!W25+s_Irr!AU25+s_Irr!BS25)),IF(AND(s_Irr!W25&lt;&gt;".",s_Irr!AU25&lt;&gt;".",s_Irr!BS25="."),s_dir!AW25/((1/1000)*(s_Irr!W25+s_Irr!AU25)),IF(AND(s_Irr!W25&lt;&gt;".",s_Irr!AU25=".",s_Irr!BS25&lt;&gt;"."),s_dir!AW25/((1/1000)*(s_Irr!W25+s_Irr!BS25)),IF(AND(s_Irr!W25=".",s_Irr!AU25&lt;&gt;".",s_Irr!BS25&lt;&gt;"."),s_dir!AW25/((1/1000)*(s_Irr!AU25+s_Irr!BS25)),IF(AND(s_Irr!W25=".",s_Irr!AU25=".",s_Irr!BS25&lt;&gt;"."),s_dir!AW25/((1/1000)*(s_Irr!BS25)),IF(AND(s_Irr!W25=".",s_Irr!AU25&lt;&gt;".",s_Irr!BS25="."),s_dir!AW25/((1/1000)*(s_Irr!AU25)),IF(AND(s_Irr!W25&lt;&gt;".",s_Irr!AU25=".",s_Irr!BS25="."),s_dir!AW25/((1/1000)*(s_Irr!W25)),IF(AND(s_Irr!W25=".",s_Irr!AU25=".",s_Irr!BS25="."),s_dir!AW25*1000)))))))),".")</f>
        <v>.</v>
      </c>
      <c r="BW25" s="48" t="str">
        <f>IFERROR(IF(AND(s_Irr!X25&lt;&gt;".",s_Irr!AV25&lt;&gt;".",s_Irr!BT25&lt;&gt;"."),s_dir!AX25/((1/1000)*(s_Irr!X25+s_Irr!AV25+s_Irr!BT25)),IF(AND(s_Irr!X25&lt;&gt;".",s_Irr!AV25&lt;&gt;".",s_Irr!BT25="."),s_dir!AX25/((1/1000)*(s_Irr!X25+s_Irr!AV25)),IF(AND(s_Irr!X25&lt;&gt;".",s_Irr!AV25=".",s_Irr!BT25&lt;&gt;"."),s_dir!AX25/((1/1000)*(s_Irr!X25+s_Irr!BT25)),IF(AND(s_Irr!X25=".",s_Irr!AV25&lt;&gt;".",s_Irr!BT25&lt;&gt;"."),s_dir!AX25/((1/1000)*(s_Irr!AV25+s_Irr!BT25)),IF(AND(s_Irr!X25=".",s_Irr!AV25=".",s_Irr!BT25&lt;&gt;"."),s_dir!AX25/((1/1000)*(s_Irr!BT25)),IF(AND(s_Irr!X25=".",s_Irr!AV25&lt;&gt;".",s_Irr!BT25="."),s_dir!AX25/((1/1000)*(s_Irr!AV25)),IF(AND(s_Irr!X25&lt;&gt;".",s_Irr!AV25=".",s_Irr!BT25="."),s_dir!AX25/((1/1000)*(s_Irr!X25)),IF(AND(s_Irr!X25=".",s_Irr!AV25=".",s_Irr!BT25="."),s_dir!AX25*1000)))))))),".")</f>
        <v>.</v>
      </c>
      <c r="BX25" s="48" t="str">
        <f>IFERROR(IF(AND(s_Irr!Y25&lt;&gt;".",s_Irr!AW25&lt;&gt;".",s_Irr!BU25&lt;&gt;"."),s_dir!AY25/((1/1000)*(s_Irr!Y25+s_Irr!AW25+s_Irr!BU25)),IF(AND(s_Irr!Y25&lt;&gt;".",s_Irr!AW25&lt;&gt;".",s_Irr!BU25="."),s_dir!AY25/((1/1000)*(s_Irr!Y25+s_Irr!AW25)),IF(AND(s_Irr!Y25&lt;&gt;".",s_Irr!AW25=".",s_Irr!BU25&lt;&gt;"."),s_dir!AY25/((1/1000)*(s_Irr!Y25+s_Irr!BU25)),IF(AND(s_Irr!Y25=".",s_Irr!AW25&lt;&gt;".",s_Irr!BU25&lt;&gt;"."),s_dir!AY25/((1/1000)*(s_Irr!AW25+s_Irr!BU25)),IF(AND(s_Irr!Y25=".",s_Irr!AW25=".",s_Irr!BU25&lt;&gt;"."),s_dir!AY25/((1/1000)*(s_Irr!BU25)),IF(AND(s_Irr!Y25=".",s_Irr!AW25&lt;&gt;".",s_Irr!BU25="."),s_dir!AY25/((1/1000)*(s_Irr!AW25)),IF(AND(s_Irr!Y25&lt;&gt;".",s_Irr!AW25=".",s_Irr!BU25="."),s_dir!AY25/((1/1000)*(s_Irr!Y25)),IF(AND(s_Irr!Y25=".",s_Irr!AW25=".",s_Irr!BU25="."),s_dir!AY25*1000)))))))),".")</f>
        <v>.</v>
      </c>
      <c r="BY25" s="48" t="str">
        <f>IFERROR(IF(AND(s_Irr!Z25&lt;&gt;".",s_Irr!AX25&lt;&gt;".",s_Irr!BV25&lt;&gt;"."),s_dir!AZ25/((1/1000)*(s_Irr!Z25+s_Irr!AX25+s_Irr!BV25)),IF(AND(s_Irr!Z25&lt;&gt;".",s_Irr!AX25&lt;&gt;".",s_Irr!BV25="."),s_dir!AZ25/((1/1000)*(s_Irr!Z25+s_Irr!AX25)),IF(AND(s_Irr!Z25&lt;&gt;".",s_Irr!AX25=".",s_Irr!BV25&lt;&gt;"."),s_dir!AZ25/((1/1000)*(s_Irr!Z25+s_Irr!BV25)),IF(AND(s_Irr!Z25=".",s_Irr!AX25&lt;&gt;".",s_Irr!BV25&lt;&gt;"."),s_dir!AZ25/((1/1000)*(s_Irr!AX25+s_Irr!BV25)),IF(AND(s_Irr!Z25=".",s_Irr!AX25=".",s_Irr!BV25&lt;&gt;"."),s_dir!AZ25/((1/1000)*(s_Irr!BV25)),IF(AND(s_Irr!Z25=".",s_Irr!AX25&lt;&gt;".",s_Irr!BV25="."),s_dir!AZ25/((1/1000)*(s_Irr!AX25)),IF(AND(s_Irr!Z25&lt;&gt;".",s_Irr!AX25=".",s_Irr!BV25="."),s_dir!AZ25/((1/1000)*(s_Irr!Z25)),IF(AND(s_Irr!Z25=".",s_Irr!AX25=".",s_Irr!BV25="."),s_dir!AZ25*1000)))))))),".")</f>
        <v>.</v>
      </c>
      <c r="BZ25" s="62">
        <f t="shared" si="1"/>
        <v>0</v>
      </c>
      <c r="CA25" s="62" t="str">
        <f>IFERROR(s_C*s_IFAP_far_adj*s_CF_apple*(1/1000)*(s_Irr!C25+s_Irr!AA25+s_Irr!AY25),".")</f>
        <v>.</v>
      </c>
      <c r="CB25" s="62" t="str">
        <f>IFERROR(s_C*s_IFAS_far_adj*s_CF_asparagus*(1/1000)*(s_Irr!D25+s_Irr!AB25+s_Irr!AZ25),".")</f>
        <v>.</v>
      </c>
      <c r="CC25" s="62" t="str">
        <f>IFERROR(s_C*s_IFBT_far_adj*s_CF_beet*(1/1000)*(s_Irr!E25+s_Irr!AC25+s_Irr!BA25),".")</f>
        <v>.</v>
      </c>
      <c r="CD25" s="62" t="str">
        <f>IFERROR(s_C*s_IFBE_far_adj*s_CF_berries*(1/1000)*(s_Irr!F25+s_Irr!AD25+s_Irr!BB25),".")</f>
        <v>.</v>
      </c>
      <c r="CE25" s="62" t="str">
        <f>IFERROR(s_C*s_IFBR_far_adj*s_CF_broccoli*(1/1000)*(s_Irr!G25+s_Irr!AE25+s_Irr!BC25),".")</f>
        <v>.</v>
      </c>
      <c r="CF25" s="62" t="str">
        <f>IFERROR(s_C*s_IFCB_far_adj*s_CF_cabbage*(1/1000)*(s_Irr!H25+s_Irr!AF25+s_Irr!BD25),".")</f>
        <v>.</v>
      </c>
      <c r="CG25" s="62" t="str">
        <f>IFERROR(s_C*s_IFCR_far_adj*s_CF_carrot*(1/1000)*(s_Irr!I25+s_Irr!AG25+s_Irr!BE25),".")</f>
        <v>.</v>
      </c>
      <c r="CH25" s="62" t="str">
        <f>IFERROR(s_C*s_IFCI_far_adj*s_CF_citrus*(1/1000)*(s_Irr!J25+s_Irr!AH25+s_Irr!BF25),".")</f>
        <v>.</v>
      </c>
      <c r="CI25" s="62" t="str">
        <f>IFERROR(s_C*s_IFCO_far_adj*s_CF_corn*(1/1000)*(s_Irr!K25+s_Irr!AI25+s_Irr!BG25),".")</f>
        <v>.</v>
      </c>
      <c r="CJ25" s="62" t="str">
        <f>IFERROR(s_C*s_IFCU_far_adj*s_CF_cucumber*(1/1000)*(s_Irr!L25+s_Irr!AJ25+s_Irr!BH25),".")</f>
        <v>.</v>
      </c>
      <c r="CK25" s="62" t="str">
        <f>IFERROR(s_C*s_IFLE_far_adj*s_CF_lettuce*(1/1000)*(s_Irr!M25+s_Irr!AK25+s_Irr!BI25),".")</f>
        <v>.</v>
      </c>
      <c r="CL25" s="62" t="str">
        <f>IFERROR(s_C*s_IFLI_far_adj*s_CF_lima_bean*(1/1000)*(s_Irr!N25+s_Irr!AL25+s_Irr!BJ25),".")</f>
        <v>.</v>
      </c>
      <c r="CM25" s="62" t="str">
        <f>IFERROR(s_C*s_IFOK_far_adj*s_CF_okra*(1/1000)*(s_Irr!O25+s_Irr!AM25+s_Irr!BK25),".")</f>
        <v>.</v>
      </c>
      <c r="CN25" s="62" t="str">
        <f>IFERROR(s_C*s_IFON_far_adj*s_CF_onion*(1/1000)*(s_Irr!P25+s_Irr!AN25+s_Irr!BL25),".")</f>
        <v>.</v>
      </c>
      <c r="CO25" s="62" t="str">
        <f>IFERROR(s_C*s_IFPC_far_adj*s_CF_peach*(1/1000)*(s_Irr!Q25+s_Irr!AO25+s_Irr!BM25),".")</f>
        <v>.</v>
      </c>
      <c r="CP25" s="62" t="str">
        <f>IFERROR(s_C*s_IFPR_far_adj*s_CF_pear*(1/1000)*(s_Irr!R25+s_Irr!AP25+s_Irr!BN25),".")</f>
        <v>.</v>
      </c>
      <c r="CQ25" s="62" t="str">
        <f>IFERROR(s_C*s_IFPE_far_adj*s_CF_peas*(1/1000)*(s_Irr!S25+s_Irr!AQ25+s_Irr!BO25),".")</f>
        <v>.</v>
      </c>
      <c r="CR25" s="62" t="str">
        <f>IFERROR(s_C*s_IFPT_far_adj*s_CF_potato*(1/1000)*(s_Irr!T25+s_Irr!AR25+s_Irr!BP25),".")</f>
        <v>.</v>
      </c>
      <c r="CS25" s="62" t="str">
        <f>IFERROR(s_C*s_IFPU_far_adj*s_CF_pumpkin*(1/1000)*(s_Irr!U25+s_Irr!AS25+s_Irr!BQ25),".")</f>
        <v>.</v>
      </c>
      <c r="CT25" s="62" t="str">
        <f>IFERROR(s_C*s_IFSN_far_adj*s_CF_snap_bean*(1/1000)*(s_Irr!V25+s_Irr!AT25+s_Irr!BR25),".")</f>
        <v>.</v>
      </c>
      <c r="CU25" s="62" t="str">
        <f>IFERROR(s_C*s_IFST_far_adj*s_CF_strawberry*(1/1000)*(s_Irr!W25+s_Irr!AU25+s_Irr!BS25),".")</f>
        <v>.</v>
      </c>
      <c r="CV25" s="62" t="str">
        <f>IFERROR(s_C*s_IFTO_far_adj*s_CF_tomato*(1/1000)*(s_Irr!X25+s_Irr!AV25+s_Irr!BT25),".")</f>
        <v>.</v>
      </c>
      <c r="CW25" s="62" t="str">
        <f>IFERROR(s_C*s_IFRI_far_adj*s_CF_rice*(1/1000)*(s_Irr!Y25+s_Irr!AW25+s_Irr!BU25),".")</f>
        <v>.</v>
      </c>
      <c r="CX25" s="62" t="str">
        <f>IFERROR(s_C*s_IFCG_far_adj*s_CF_cereal*(1/1000)*(s_Irr!Z25+s_Irr!AX25+s_Irr!BV25),".")</f>
        <v>.</v>
      </c>
    </row>
    <row r="26" spans="1:102" ht="15" customHeight="1" x14ac:dyDescent="0.25">
      <c r="A26" s="61" t="s">
        <v>24</v>
      </c>
      <c r="B26" s="49" t="s">
        <v>1059</v>
      </c>
      <c r="C26" s="48">
        <f t="shared" si="2"/>
        <v>41.165374407185823</v>
      </c>
      <c r="D26" s="48">
        <f>IFERROR(IF(AND(s_Irr!C26&lt;&gt;".",s_Irr!AA26&lt;&gt;".",s_Irr!AY26&lt;&gt;"."),s_dir!D26/((1/1000)*(s_Irr!C26+s_Irr!AA26+s_Irr!AY26)),IF(AND(s_Irr!C26&lt;&gt;".",s_Irr!AA26&lt;&gt;".",s_Irr!AY26="."),s_dir!D26/((1/1000)*(s_Irr!C26+s_Irr!AA26)),IF(AND(s_Irr!C26&lt;&gt;".",s_Irr!AA26=".",s_Irr!AY26&lt;&gt;"."),s_dir!D26/((1/1000)*(s_Irr!C26+s_Irr!AY26)),IF(AND(s_Irr!C26=".",s_Irr!AA26&lt;&gt;".",s_Irr!AY26&lt;&gt;"."),s_dir!D26/((1/1000)*(s_Irr!AA26+s_Irr!AY26)),IF(AND(s_Irr!C26=".",s_Irr!AA26=".",s_Irr!AY26&lt;&gt;"."),s_dir!D26/((1/1000)*(s_Irr!AY26)),IF(AND(s_Irr!C26=".",s_Irr!AA26&lt;&gt;".",s_Irr!AY26="."),s_dir!D26/((1/1000)*(s_Irr!AA26)),IF(AND(s_Irr!C26&lt;&gt;".",s_Irr!AA26=".",s_Irr!AY26="."),s_dir!D26/((1/1000)*(s_Irr!C26)),IF(AND(s_Irr!C26=".",s_Irr!AA26=".",s_Irr!AY26="."),s_dir!D26*1000)))))))),".")</f>
        <v>124.36982148476007</v>
      </c>
      <c r="E26" s="48">
        <f>IFERROR(IF(AND(s_Irr!D26&lt;&gt;".",s_Irr!AB26&lt;&gt;".",s_Irr!AZ26&lt;&gt;"."),s_dir!E26/((1/1000)*(s_Irr!D26+s_Irr!AB26+s_Irr!AZ26)),IF(AND(s_Irr!D26&lt;&gt;".",s_Irr!AB26&lt;&gt;".",s_Irr!AZ26="."),s_dir!E26/((1/1000)*(s_Irr!D26+s_Irr!AB26)),IF(AND(s_Irr!D26&lt;&gt;".",s_Irr!AB26=".",s_Irr!AZ26&lt;&gt;"."),s_dir!E26/((1/1000)*(s_Irr!D26+s_Irr!AZ26)),IF(AND(s_Irr!D26=".",s_Irr!AB26&lt;&gt;".",s_Irr!AZ26&lt;&gt;"."),s_dir!E26/((1/1000)*(s_Irr!AB26+s_Irr!AZ26)),IF(AND(s_Irr!D26=".",s_Irr!AB26=".",s_Irr!AZ26&lt;&gt;"."),s_dir!E26/((1/1000)*(s_Irr!AZ26)),IF(AND(s_Irr!D26=".",s_Irr!AB26&lt;&gt;".",s_Irr!AZ26="."),s_dir!E26/((1/1000)*(s_Irr!AB26)),IF(AND(s_Irr!D26&lt;&gt;".",s_Irr!AB26=".",s_Irr!AZ26="."),s_dir!E26/((1/1000)*(s_Irr!D26)),IF(AND(s_Irr!D26=".",s_Irr!AB26=".",s_Irr!AZ26="."),s_dir!E26*1000)))))))),".")</f>
        <v>122.92044562510824</v>
      </c>
      <c r="F26" s="48">
        <f>IFERROR(IF(AND(s_Irr!E26&lt;&gt;".",s_Irr!AC26&lt;&gt;".",s_Irr!BA26&lt;&gt;"."),s_dir!F26/((1/1000)*(s_Irr!E26+s_Irr!AC26+s_Irr!BA26)),IF(AND(s_Irr!E26&lt;&gt;".",s_Irr!AC26&lt;&gt;".",s_Irr!BA26="."),s_dir!F26/((1/1000)*(s_Irr!E26+s_Irr!AC26)),IF(AND(s_Irr!E26&lt;&gt;".",s_Irr!AC26=".",s_Irr!BA26&lt;&gt;"."),s_dir!F26/((1/1000)*(s_Irr!E26+s_Irr!BA26)),IF(AND(s_Irr!E26=".",s_Irr!AC26&lt;&gt;".",s_Irr!BA26&lt;&gt;"."),s_dir!F26/((1/1000)*(s_Irr!AC26+s_Irr!BA26)),IF(AND(s_Irr!E26=".",s_Irr!AC26=".",s_Irr!BA26&lt;&gt;"."),s_dir!F26/((1/1000)*(s_Irr!BA26)),IF(AND(s_Irr!E26=".",s_Irr!AC26&lt;&gt;".",s_Irr!BA26="."),s_dir!F26/((1/1000)*(s_Irr!AC26)),IF(AND(s_Irr!E26&lt;&gt;".",s_Irr!AC26=".",s_Irr!BA26="."),s_dir!F26/((1/1000)*(s_Irr!E26)),IF(AND(s_Irr!E26=".",s_Irr!AC26=".",s_Irr!BA26="."),s_dir!F26*1000)))))))),".")</f>
        <v>123.7444961791537</v>
      </c>
      <c r="G26" s="48">
        <f>IFERROR(IF(AND(s_Irr!F26&lt;&gt;".",s_Irr!AD26&lt;&gt;".",s_Irr!BB26&lt;&gt;"."),s_dir!G26/((1/1000)*(s_Irr!F26+s_Irr!AD26+s_Irr!BB26)),IF(AND(s_Irr!F26&lt;&gt;".",s_Irr!AD26&lt;&gt;".",s_Irr!BB26="."),s_dir!G26/((1/1000)*(s_Irr!F26+s_Irr!AD26)),IF(AND(s_Irr!F26&lt;&gt;".",s_Irr!AD26=".",s_Irr!BB26&lt;&gt;"."),s_dir!G26/((1/1000)*(s_Irr!F26+s_Irr!BB26)),IF(AND(s_Irr!F26=".",s_Irr!AD26&lt;&gt;".",s_Irr!BB26&lt;&gt;"."),s_dir!G26/((1/1000)*(s_Irr!AD26+s_Irr!BB26)),IF(AND(s_Irr!F26=".",s_Irr!AD26=".",s_Irr!BB26&lt;&gt;"."),s_dir!G26/((1/1000)*(s_Irr!BB26)),IF(AND(s_Irr!F26=".",s_Irr!AD26&lt;&gt;".",s_Irr!BB26="."),s_dir!G26/((1/1000)*(s_Irr!AD26)),IF(AND(s_Irr!F26&lt;&gt;".",s_Irr!AD26=".",s_Irr!BB26="."),s_dir!G26/((1/1000)*(s_Irr!F26)),IF(AND(s_Irr!F26=".",s_Irr!AD26=".",s_Irr!BB26="."),s_dir!G26*1000)))))))),".")</f>
        <v>124.36982148476007</v>
      </c>
      <c r="H26" s="48">
        <f>IFERROR(IF(AND(s_Irr!G26&lt;&gt;".",s_Irr!AE26&lt;&gt;".",s_Irr!BC26&lt;&gt;"."),s_dir!H26/((1/1000)*(s_Irr!G26+s_Irr!AE26+s_Irr!BC26)),IF(AND(s_Irr!G26&lt;&gt;".",s_Irr!AE26&lt;&gt;".",s_Irr!BC26="."),s_dir!H26/((1/1000)*(s_Irr!G26+s_Irr!AE26)),IF(AND(s_Irr!G26&lt;&gt;".",s_Irr!AE26=".",s_Irr!BC26&lt;&gt;"."),s_dir!H26/((1/1000)*(s_Irr!G26+s_Irr!BC26)),IF(AND(s_Irr!G26=".",s_Irr!AE26&lt;&gt;".",s_Irr!BC26&lt;&gt;"."),s_dir!H26/((1/1000)*(s_Irr!AE26+s_Irr!BC26)),IF(AND(s_Irr!G26=".",s_Irr!AE26=".",s_Irr!BC26&lt;&gt;"."),s_dir!H26/((1/1000)*(s_Irr!BC26)),IF(AND(s_Irr!G26=".",s_Irr!AE26&lt;&gt;".",s_Irr!BC26="."),s_dir!H26/((1/1000)*(s_Irr!AE26)),IF(AND(s_Irr!G26&lt;&gt;".",s_Irr!AE26=".",s_Irr!BC26="."),s_dir!H26/((1/1000)*(s_Irr!G26)),IF(AND(s_Irr!G26=".",s_Irr!AE26=".",s_Irr!BC26="."),s_dir!H26*1000)))))))),".")</f>
        <v>123.78598883408308</v>
      </c>
      <c r="I26" s="48">
        <f>IFERROR(IF(AND(s_Irr!H26&lt;&gt;".",s_Irr!AF26&lt;&gt;".",s_Irr!BD26&lt;&gt;"."),s_dir!I26/((1/1000)*(s_Irr!H26+s_Irr!AF26+s_Irr!BD26)),IF(AND(s_Irr!H26&lt;&gt;".",s_Irr!AF26&lt;&gt;".",s_Irr!BD26="."),s_dir!I26/((1/1000)*(s_Irr!H26+s_Irr!AF26)),IF(AND(s_Irr!H26&lt;&gt;".",s_Irr!AF26=".",s_Irr!BD26&lt;&gt;"."),s_dir!I26/((1/1000)*(s_Irr!H26+s_Irr!BD26)),IF(AND(s_Irr!H26=".",s_Irr!AF26&lt;&gt;".",s_Irr!BD26&lt;&gt;"."),s_dir!I26/((1/1000)*(s_Irr!AF26+s_Irr!BD26)),IF(AND(s_Irr!H26=".",s_Irr!AF26=".",s_Irr!BD26&lt;&gt;"."),s_dir!I26/((1/1000)*(s_Irr!BD26)),IF(AND(s_Irr!H26=".",s_Irr!AF26&lt;&gt;".",s_Irr!BD26="."),s_dir!I26/((1/1000)*(s_Irr!AF26)),IF(AND(s_Irr!H26&lt;&gt;".",s_Irr!AF26=".",s_Irr!BD26="."),s_dir!I26/((1/1000)*(s_Irr!H26)),IF(AND(s_Irr!H26=".",s_Irr!AF26=".",s_Irr!BD26="."),s_dir!I26*1000)))))))),".")</f>
        <v>122.92044562510824</v>
      </c>
      <c r="J26" s="48">
        <f>IFERROR(IF(AND(s_Irr!I26&lt;&gt;".",s_Irr!AG26&lt;&gt;".",s_Irr!BE26&lt;&gt;"."),s_dir!J26/((1/1000)*(s_Irr!I26+s_Irr!AG26+s_Irr!BE26)),IF(AND(s_Irr!I26&lt;&gt;".",s_Irr!AG26&lt;&gt;".",s_Irr!BE26="."),s_dir!J26/((1/1000)*(s_Irr!I26+s_Irr!AG26)),IF(AND(s_Irr!I26&lt;&gt;".",s_Irr!AG26=".",s_Irr!BE26&lt;&gt;"."),s_dir!J26/((1/1000)*(s_Irr!I26+s_Irr!BE26)),IF(AND(s_Irr!I26=".",s_Irr!AG26&lt;&gt;".",s_Irr!BE26&lt;&gt;"."),s_dir!J26/((1/1000)*(s_Irr!AG26+s_Irr!BE26)),IF(AND(s_Irr!I26=".",s_Irr!AG26=".",s_Irr!BE26&lt;&gt;"."),s_dir!J26/((1/1000)*(s_Irr!BE26)),IF(AND(s_Irr!I26=".",s_Irr!AG26&lt;&gt;".",s_Irr!BE26="."),s_dir!J26/((1/1000)*(s_Irr!AG26)),IF(AND(s_Irr!I26&lt;&gt;".",s_Irr!AG26=".",s_Irr!BE26="."),s_dir!J26/((1/1000)*(s_Irr!I26)),IF(AND(s_Irr!I26=".",s_Irr!AG26=".",s_Irr!BE26="."),s_dir!J26*1000)))))))),".")</f>
        <v>123.7444961791537</v>
      </c>
      <c r="K26" s="48">
        <f>IFERROR(IF(AND(s_Irr!J26&lt;&gt;".",s_Irr!AH26&lt;&gt;".",s_Irr!BF26&lt;&gt;"."),s_dir!K26/((1/1000)*(s_Irr!J26+s_Irr!AH26+s_Irr!BF26)),IF(AND(s_Irr!J26&lt;&gt;".",s_Irr!AH26&lt;&gt;".",s_Irr!BF26="."),s_dir!K26/((1/1000)*(s_Irr!J26+s_Irr!AH26)),IF(AND(s_Irr!J26&lt;&gt;".",s_Irr!AH26=".",s_Irr!BF26&lt;&gt;"."),s_dir!K26/((1/1000)*(s_Irr!J26+s_Irr!BF26)),IF(AND(s_Irr!J26=".",s_Irr!AH26&lt;&gt;".",s_Irr!BF26&lt;&gt;"."),s_dir!K26/((1/1000)*(s_Irr!AH26+s_Irr!BF26)),IF(AND(s_Irr!J26=".",s_Irr!AH26=".",s_Irr!BF26&lt;&gt;"."),s_dir!K26/((1/1000)*(s_Irr!BF26)),IF(AND(s_Irr!J26=".",s_Irr!AH26&lt;&gt;".",s_Irr!BF26="."),s_dir!K26/((1/1000)*(s_Irr!AH26)),IF(AND(s_Irr!J26&lt;&gt;".",s_Irr!AH26=".",s_Irr!BF26="."),s_dir!K26/((1/1000)*(s_Irr!J26)),IF(AND(s_Irr!J26=".",s_Irr!AH26=".",s_Irr!BF26="."),s_dir!K26*1000)))))))),".")</f>
        <v>124.36982148476007</v>
      </c>
      <c r="L26" s="48">
        <f>IFERROR(IF(AND(s_Irr!K26&lt;&gt;".",s_Irr!AI26&lt;&gt;".",s_Irr!BG26&lt;&gt;"."),s_dir!L26/((1/1000)*(s_Irr!K26+s_Irr!AI26+s_Irr!BG26)),IF(AND(s_Irr!K26&lt;&gt;".",s_Irr!AI26&lt;&gt;".",s_Irr!BG26="."),s_dir!L26/((1/1000)*(s_Irr!K26+s_Irr!AI26)),IF(AND(s_Irr!K26&lt;&gt;".",s_Irr!AI26=".",s_Irr!BG26&lt;&gt;"."),s_dir!L26/((1/1000)*(s_Irr!K26+s_Irr!BG26)),IF(AND(s_Irr!K26=".",s_Irr!AI26&lt;&gt;".",s_Irr!BG26&lt;&gt;"."),s_dir!L26/((1/1000)*(s_Irr!AI26+s_Irr!BG26)),IF(AND(s_Irr!K26=".",s_Irr!AI26=".",s_Irr!BG26&lt;&gt;"."),s_dir!L26/((1/1000)*(s_Irr!BG26)),IF(AND(s_Irr!K26=".",s_Irr!AI26&lt;&gt;".",s_Irr!BG26="."),s_dir!L26/((1/1000)*(s_Irr!AI26)),IF(AND(s_Irr!K26&lt;&gt;".",s_Irr!AI26=".",s_Irr!BG26="."),s_dir!L26/((1/1000)*(s_Irr!K26)),IF(AND(s_Irr!K26=".",s_Irr!AI26=".",s_Irr!BG26="."),s_dir!L26*1000)))))))),".")</f>
        <v>124.07721837202871</v>
      </c>
      <c r="M26" s="48">
        <f>IFERROR(IF(AND(s_Irr!L26&lt;&gt;".",s_Irr!AJ26&lt;&gt;".",s_Irr!BH26&lt;&gt;"."),s_dir!M26/((1/1000)*(s_Irr!L26+s_Irr!AJ26+s_Irr!BH26)),IF(AND(s_Irr!L26&lt;&gt;".",s_Irr!AJ26&lt;&gt;".",s_Irr!BH26="."),s_dir!M26/((1/1000)*(s_Irr!L26+s_Irr!AJ26)),IF(AND(s_Irr!L26&lt;&gt;".",s_Irr!AJ26=".",s_Irr!BH26&lt;&gt;"."),s_dir!M26/((1/1000)*(s_Irr!L26+s_Irr!BH26)),IF(AND(s_Irr!L26=".",s_Irr!AJ26&lt;&gt;".",s_Irr!BH26&lt;&gt;"."),s_dir!M26/((1/1000)*(s_Irr!AJ26+s_Irr!BH26)),IF(AND(s_Irr!L26=".",s_Irr!AJ26=".",s_Irr!BH26&lt;&gt;"."),s_dir!M26/((1/1000)*(s_Irr!BH26)),IF(AND(s_Irr!L26=".",s_Irr!AJ26&lt;&gt;".",s_Irr!BH26="."),s_dir!M26/((1/1000)*(s_Irr!AJ26)),IF(AND(s_Irr!L26&lt;&gt;".",s_Irr!AJ26=".",s_Irr!BH26="."),s_dir!M26/((1/1000)*(s_Irr!L26)),IF(AND(s_Irr!L26=".",s_Irr!AJ26=".",s_Irr!BH26="."),s_dir!M26*1000)))))))),".")</f>
        <v>123.78598883408308</v>
      </c>
      <c r="N26" s="48">
        <f>IFERROR(IF(AND(s_Irr!M26&lt;&gt;".",s_Irr!AK26&lt;&gt;".",s_Irr!BI26&lt;&gt;"."),s_dir!N26/((1/1000)*(s_Irr!M26+s_Irr!AK26+s_Irr!BI26)),IF(AND(s_Irr!M26&lt;&gt;".",s_Irr!AK26&lt;&gt;".",s_Irr!BI26="."),s_dir!N26/((1/1000)*(s_Irr!M26+s_Irr!AK26)),IF(AND(s_Irr!M26&lt;&gt;".",s_Irr!AK26=".",s_Irr!BI26&lt;&gt;"."),s_dir!N26/((1/1000)*(s_Irr!M26+s_Irr!BI26)),IF(AND(s_Irr!M26=".",s_Irr!AK26&lt;&gt;".",s_Irr!BI26&lt;&gt;"."),s_dir!N26/((1/1000)*(s_Irr!AK26+s_Irr!BI26)),IF(AND(s_Irr!M26=".",s_Irr!AK26=".",s_Irr!BI26&lt;&gt;"."),s_dir!N26/((1/1000)*(s_Irr!BI26)),IF(AND(s_Irr!M26=".",s_Irr!AK26&lt;&gt;".",s_Irr!BI26="."),s_dir!N26/((1/1000)*(s_Irr!AK26)),IF(AND(s_Irr!M26&lt;&gt;".",s_Irr!AK26=".",s_Irr!BI26="."),s_dir!N26/((1/1000)*(s_Irr!M26)),IF(AND(s_Irr!M26=".",s_Irr!AK26=".",s_Irr!BI26="."),s_dir!N26*1000)))))))),".")</f>
        <v>122.92044562510824</v>
      </c>
      <c r="O26" s="48">
        <f>IFERROR(IF(AND(s_Irr!N26&lt;&gt;".",s_Irr!AL26&lt;&gt;".",s_Irr!BJ26&lt;&gt;"."),s_dir!O26/((1/1000)*(s_Irr!N26+s_Irr!AL26+s_Irr!BJ26)),IF(AND(s_Irr!N26&lt;&gt;".",s_Irr!AL26&lt;&gt;".",s_Irr!BJ26="."),s_dir!O26/((1/1000)*(s_Irr!N26+s_Irr!AL26)),IF(AND(s_Irr!N26&lt;&gt;".",s_Irr!AL26=".",s_Irr!BJ26&lt;&gt;"."),s_dir!O26/((1/1000)*(s_Irr!N26+s_Irr!BJ26)),IF(AND(s_Irr!N26=".",s_Irr!AL26&lt;&gt;".",s_Irr!BJ26&lt;&gt;"."),s_dir!O26/((1/1000)*(s_Irr!AL26+s_Irr!BJ26)),IF(AND(s_Irr!N26=".",s_Irr!AL26=".",s_Irr!BJ26&lt;&gt;"."),s_dir!O26/((1/1000)*(s_Irr!BJ26)),IF(AND(s_Irr!N26=".",s_Irr!AL26&lt;&gt;".",s_Irr!BJ26="."),s_dir!O26/((1/1000)*(s_Irr!AL26)),IF(AND(s_Irr!N26&lt;&gt;".",s_Irr!AL26=".",s_Irr!BJ26="."),s_dir!O26/((1/1000)*(s_Irr!N26)),IF(AND(s_Irr!N26=".",s_Irr!AL26=".",s_Irr!BJ26="."),s_dir!O26*1000)))))))),".")</f>
        <v>124.30700469847686</v>
      </c>
      <c r="P26" s="48">
        <f>IFERROR(IF(AND(s_Irr!O26&lt;&gt;".",s_Irr!AM26&lt;&gt;".",s_Irr!BK26&lt;&gt;"."),s_dir!P26/((1/1000)*(s_Irr!O26+s_Irr!AM26+s_Irr!BK26)),IF(AND(s_Irr!O26&lt;&gt;".",s_Irr!AM26&lt;&gt;".",s_Irr!BK26="."),s_dir!P26/((1/1000)*(s_Irr!O26+s_Irr!AM26)),IF(AND(s_Irr!O26&lt;&gt;".",s_Irr!AM26=".",s_Irr!BK26&lt;&gt;"."),s_dir!P26/((1/1000)*(s_Irr!O26+s_Irr!BK26)),IF(AND(s_Irr!O26=".",s_Irr!AM26&lt;&gt;".",s_Irr!BK26&lt;&gt;"."),s_dir!P26/((1/1000)*(s_Irr!AM26+s_Irr!BK26)),IF(AND(s_Irr!O26=".",s_Irr!AM26=".",s_Irr!BK26&lt;&gt;"."),s_dir!P26/((1/1000)*(s_Irr!BK26)),IF(AND(s_Irr!O26=".",s_Irr!AM26&lt;&gt;".",s_Irr!BK26="."),s_dir!P26/((1/1000)*(s_Irr!AM26)),IF(AND(s_Irr!O26&lt;&gt;".",s_Irr!AM26=".",s_Irr!BK26="."),s_dir!P26/((1/1000)*(s_Irr!O26)),IF(AND(s_Irr!O26=".",s_Irr!AM26=".",s_Irr!BK26="."),s_dir!P26*1000)))))))),".")</f>
        <v>123.78598883408308</v>
      </c>
      <c r="Q26" s="48">
        <f>IFERROR(IF(AND(s_Irr!P26&lt;&gt;".",s_Irr!AN26&lt;&gt;".",s_Irr!BL26&lt;&gt;"."),s_dir!Q26/((1/1000)*(s_Irr!P26+s_Irr!AN26+s_Irr!BL26)),IF(AND(s_Irr!P26&lt;&gt;".",s_Irr!AN26&lt;&gt;".",s_Irr!BL26="."),s_dir!Q26/((1/1000)*(s_Irr!P26+s_Irr!AN26)),IF(AND(s_Irr!P26&lt;&gt;".",s_Irr!AN26=".",s_Irr!BL26&lt;&gt;"."),s_dir!Q26/((1/1000)*(s_Irr!P26+s_Irr!BL26)),IF(AND(s_Irr!P26=".",s_Irr!AN26&lt;&gt;".",s_Irr!BL26&lt;&gt;"."),s_dir!Q26/((1/1000)*(s_Irr!AN26+s_Irr!BL26)),IF(AND(s_Irr!P26=".",s_Irr!AN26=".",s_Irr!BL26&lt;&gt;"."),s_dir!Q26/((1/1000)*(s_Irr!BL26)),IF(AND(s_Irr!P26=".",s_Irr!AN26&lt;&gt;".",s_Irr!BL26="."),s_dir!Q26/((1/1000)*(s_Irr!AN26)),IF(AND(s_Irr!P26&lt;&gt;".",s_Irr!AN26=".",s_Irr!BL26="."),s_dir!Q26/((1/1000)*(s_Irr!P26)),IF(AND(s_Irr!P26=".",s_Irr!AN26=".",s_Irr!BL26="."),s_dir!Q26*1000)))))))),".")</f>
        <v>123.78598883408308</v>
      </c>
      <c r="R26" s="48">
        <f>IFERROR(IF(AND(s_Irr!Q26&lt;&gt;".",s_Irr!AO26&lt;&gt;".",s_Irr!BM26&lt;&gt;"."),s_dir!R26/((1/1000)*(s_Irr!Q26+s_Irr!AO26+s_Irr!BM26)),IF(AND(s_Irr!Q26&lt;&gt;".",s_Irr!AO26&lt;&gt;".",s_Irr!BM26="."),s_dir!R26/((1/1000)*(s_Irr!Q26+s_Irr!AO26)),IF(AND(s_Irr!Q26&lt;&gt;".",s_Irr!AO26=".",s_Irr!BM26&lt;&gt;"."),s_dir!R26/((1/1000)*(s_Irr!Q26+s_Irr!BM26)),IF(AND(s_Irr!Q26=".",s_Irr!AO26&lt;&gt;".",s_Irr!BM26&lt;&gt;"."),s_dir!R26/((1/1000)*(s_Irr!AO26+s_Irr!BM26)),IF(AND(s_Irr!Q26=".",s_Irr!AO26=".",s_Irr!BM26&lt;&gt;"."),s_dir!R26/((1/1000)*(s_Irr!BM26)),IF(AND(s_Irr!Q26=".",s_Irr!AO26&lt;&gt;".",s_Irr!BM26="."),s_dir!R26/((1/1000)*(s_Irr!AO26)),IF(AND(s_Irr!Q26&lt;&gt;".",s_Irr!AO26=".",s_Irr!BM26="."),s_dir!R26/((1/1000)*(s_Irr!Q26)),IF(AND(s_Irr!Q26=".",s_Irr!AO26=".",s_Irr!BM26="."),s_dir!R26*1000)))))))),".")</f>
        <v>124.36982148476007</v>
      </c>
      <c r="S26" s="48">
        <f>IFERROR(IF(AND(s_Irr!R26&lt;&gt;".",s_Irr!AP26&lt;&gt;".",s_Irr!BN26&lt;&gt;"."),s_dir!S26/((1/1000)*(s_Irr!R26+s_Irr!AP26+s_Irr!BN26)),IF(AND(s_Irr!R26&lt;&gt;".",s_Irr!AP26&lt;&gt;".",s_Irr!BN26="."),s_dir!S26/((1/1000)*(s_Irr!R26+s_Irr!AP26)),IF(AND(s_Irr!R26&lt;&gt;".",s_Irr!AP26=".",s_Irr!BN26&lt;&gt;"."),s_dir!S26/((1/1000)*(s_Irr!R26+s_Irr!BN26)),IF(AND(s_Irr!R26=".",s_Irr!AP26&lt;&gt;".",s_Irr!BN26&lt;&gt;"."),s_dir!S26/((1/1000)*(s_Irr!AP26+s_Irr!BN26)),IF(AND(s_Irr!R26=".",s_Irr!AP26=".",s_Irr!BN26&lt;&gt;"."),s_dir!S26/((1/1000)*(s_Irr!BN26)),IF(AND(s_Irr!R26=".",s_Irr!AP26&lt;&gt;".",s_Irr!BN26="."),s_dir!S26/((1/1000)*(s_Irr!AP26)),IF(AND(s_Irr!R26&lt;&gt;".",s_Irr!AP26=".",s_Irr!BN26="."),s_dir!S26/((1/1000)*(s_Irr!R26)),IF(AND(s_Irr!R26=".",s_Irr!AP26=".",s_Irr!BN26="."),s_dir!S26*1000)))))))),".")</f>
        <v>124.36982148476007</v>
      </c>
      <c r="T26" s="48">
        <f>IFERROR(IF(AND(s_Irr!S26&lt;&gt;".",s_Irr!AQ26&lt;&gt;".",s_Irr!BO26&lt;&gt;"."),s_dir!T26/((1/1000)*(s_Irr!S26+s_Irr!AQ26+s_Irr!BO26)),IF(AND(s_Irr!S26&lt;&gt;".",s_Irr!AQ26&lt;&gt;".",s_Irr!BO26="."),s_dir!T26/((1/1000)*(s_Irr!S26+s_Irr!AQ26)),IF(AND(s_Irr!S26&lt;&gt;".",s_Irr!AQ26=".",s_Irr!BO26&lt;&gt;"."),s_dir!T26/((1/1000)*(s_Irr!S26+s_Irr!BO26)),IF(AND(s_Irr!S26=".",s_Irr!AQ26&lt;&gt;".",s_Irr!BO26&lt;&gt;"."),s_dir!T26/((1/1000)*(s_Irr!AQ26+s_Irr!BO26)),IF(AND(s_Irr!S26=".",s_Irr!AQ26=".",s_Irr!BO26&lt;&gt;"."),s_dir!T26/((1/1000)*(s_Irr!BO26)),IF(AND(s_Irr!S26=".",s_Irr!AQ26&lt;&gt;".",s_Irr!BO26="."),s_dir!T26/((1/1000)*(s_Irr!AQ26)),IF(AND(s_Irr!S26&lt;&gt;".",s_Irr!AQ26=".",s_Irr!BO26="."),s_dir!T26/((1/1000)*(s_Irr!S26)),IF(AND(s_Irr!S26=".",s_Irr!AQ26=".",s_Irr!BO26="."),s_dir!T26*1000)))))))),".")</f>
        <v>124.30700469847686</v>
      </c>
      <c r="U26" s="48">
        <f>IFERROR(IF(AND(s_Irr!T26&lt;&gt;".",s_Irr!AR26&lt;&gt;".",s_Irr!BP26&lt;&gt;"."),s_dir!U26/((1/1000)*(s_Irr!T26+s_Irr!AR26+s_Irr!BP26)),IF(AND(s_Irr!T26&lt;&gt;".",s_Irr!AR26&lt;&gt;".",s_Irr!BP26="."),s_dir!U26/((1/1000)*(s_Irr!T26+s_Irr!AR26)),IF(AND(s_Irr!T26&lt;&gt;".",s_Irr!AR26=".",s_Irr!BP26&lt;&gt;"."),s_dir!U26/((1/1000)*(s_Irr!T26+s_Irr!BP26)),IF(AND(s_Irr!T26=".",s_Irr!AR26&lt;&gt;".",s_Irr!BP26&lt;&gt;"."),s_dir!U26/((1/1000)*(s_Irr!AR26+s_Irr!BP26)),IF(AND(s_Irr!T26=".",s_Irr!AR26=".",s_Irr!BP26&lt;&gt;"."),s_dir!U26/((1/1000)*(s_Irr!BP26)),IF(AND(s_Irr!T26=".",s_Irr!AR26&lt;&gt;".",s_Irr!BP26="."),s_dir!U26/((1/1000)*(s_Irr!AR26)),IF(AND(s_Irr!T26&lt;&gt;".",s_Irr!AR26=".",s_Irr!BP26="."),s_dir!U26/((1/1000)*(s_Irr!T26)),IF(AND(s_Irr!T26=".",s_Irr!AR26=".",s_Irr!BP26="."),s_dir!U26*1000)))))))),".")</f>
        <v>125.0014988756681</v>
      </c>
      <c r="V26" s="48">
        <f>IFERROR(IF(AND(s_Irr!U26&lt;&gt;".",s_Irr!AS26&lt;&gt;".",s_Irr!BQ26&lt;&gt;"."),s_dir!V26/((1/1000)*(s_Irr!U26+s_Irr!AS26+s_Irr!BQ26)),IF(AND(s_Irr!U26&lt;&gt;".",s_Irr!AS26&lt;&gt;".",s_Irr!BQ26="."),s_dir!V26/((1/1000)*(s_Irr!U26+s_Irr!AS26)),IF(AND(s_Irr!U26&lt;&gt;".",s_Irr!AS26=".",s_Irr!BQ26&lt;&gt;"."),s_dir!V26/((1/1000)*(s_Irr!U26+s_Irr!BQ26)),IF(AND(s_Irr!U26=".",s_Irr!AS26&lt;&gt;".",s_Irr!BQ26&lt;&gt;"."),s_dir!V26/((1/1000)*(s_Irr!AS26+s_Irr!BQ26)),IF(AND(s_Irr!U26=".",s_Irr!AS26=".",s_Irr!BQ26&lt;&gt;"."),s_dir!V26/((1/1000)*(s_Irr!BQ26)),IF(AND(s_Irr!U26=".",s_Irr!AS26&lt;&gt;".",s_Irr!BQ26="."),s_dir!V26/((1/1000)*(s_Irr!AS26)),IF(AND(s_Irr!U26&lt;&gt;".",s_Irr!AS26=".",s_Irr!BQ26="."),s_dir!V26/((1/1000)*(s_Irr!U26)),IF(AND(s_Irr!U26=".",s_Irr!AS26=".",s_Irr!BQ26="."),s_dir!V26*1000)))))))),".")</f>
        <v>123.78598883408308</v>
      </c>
      <c r="W26" s="48">
        <f>IFERROR(IF(AND(s_Irr!V26&lt;&gt;".",s_Irr!AT26&lt;&gt;".",s_Irr!BR26&lt;&gt;"."),s_dir!W26/((1/1000)*(s_Irr!V26+s_Irr!AT26+s_Irr!BR26)),IF(AND(s_Irr!V26&lt;&gt;".",s_Irr!AT26&lt;&gt;".",s_Irr!BR26="."),s_dir!W26/((1/1000)*(s_Irr!V26+s_Irr!AT26)),IF(AND(s_Irr!V26&lt;&gt;".",s_Irr!AT26=".",s_Irr!BR26&lt;&gt;"."),s_dir!W26/((1/1000)*(s_Irr!V26+s_Irr!BR26)),IF(AND(s_Irr!V26=".",s_Irr!AT26&lt;&gt;".",s_Irr!BR26&lt;&gt;"."),s_dir!W26/((1/1000)*(s_Irr!AT26+s_Irr!BR26)),IF(AND(s_Irr!V26=".",s_Irr!AT26=".",s_Irr!BR26&lt;&gt;"."),s_dir!W26/((1/1000)*(s_Irr!BR26)),IF(AND(s_Irr!V26=".",s_Irr!AT26&lt;&gt;".",s_Irr!BR26="."),s_dir!W26/((1/1000)*(s_Irr!AT26)),IF(AND(s_Irr!V26&lt;&gt;".",s_Irr!AT26=".",s_Irr!BR26="."),s_dir!W26/((1/1000)*(s_Irr!V26)),IF(AND(s_Irr!V26=".",s_Irr!AT26=".",s_Irr!BR26="."),s_dir!W26*1000)))))))),".")</f>
        <v>124.30700469847686</v>
      </c>
      <c r="X26" s="48">
        <f>IFERROR(IF(AND(s_Irr!W26&lt;&gt;".",s_Irr!AU26&lt;&gt;".",s_Irr!BS26&lt;&gt;"."),s_dir!X26/((1/1000)*(s_Irr!W26+s_Irr!AU26+s_Irr!BS26)),IF(AND(s_Irr!W26&lt;&gt;".",s_Irr!AU26&lt;&gt;".",s_Irr!BS26="."),s_dir!X26/((1/1000)*(s_Irr!W26+s_Irr!AU26)),IF(AND(s_Irr!W26&lt;&gt;".",s_Irr!AU26=".",s_Irr!BS26&lt;&gt;"."),s_dir!X26/((1/1000)*(s_Irr!W26+s_Irr!BS26)),IF(AND(s_Irr!W26=".",s_Irr!AU26&lt;&gt;".",s_Irr!BS26&lt;&gt;"."),s_dir!X26/((1/1000)*(s_Irr!AU26+s_Irr!BS26)),IF(AND(s_Irr!W26=".",s_Irr!AU26=".",s_Irr!BS26&lt;&gt;"."),s_dir!X26/((1/1000)*(s_Irr!BS26)),IF(AND(s_Irr!W26=".",s_Irr!AU26&lt;&gt;".",s_Irr!BS26="."),s_dir!X26/((1/1000)*(s_Irr!AU26)),IF(AND(s_Irr!W26&lt;&gt;".",s_Irr!AU26=".",s_Irr!BS26="."),s_dir!X26/((1/1000)*(s_Irr!W26)),IF(AND(s_Irr!W26=".",s_Irr!AU26=".",s_Irr!BS26="."),s_dir!X26*1000)))))))),".")</f>
        <v>124.36982148476007</v>
      </c>
      <c r="Y26" s="48">
        <f>IFERROR(IF(AND(s_Irr!X26&lt;&gt;".",s_Irr!AV26&lt;&gt;".",s_Irr!BT26&lt;&gt;"."),s_dir!Y26/((1/1000)*(s_Irr!X26+s_Irr!AV26+s_Irr!BT26)),IF(AND(s_Irr!X26&lt;&gt;".",s_Irr!AV26&lt;&gt;".",s_Irr!BT26="."),s_dir!Y26/((1/1000)*(s_Irr!X26+s_Irr!AV26)),IF(AND(s_Irr!X26&lt;&gt;".",s_Irr!AV26=".",s_Irr!BT26&lt;&gt;"."),s_dir!Y26/((1/1000)*(s_Irr!X26+s_Irr!BT26)),IF(AND(s_Irr!X26=".",s_Irr!AV26&lt;&gt;".",s_Irr!BT26&lt;&gt;"."),s_dir!Y26/((1/1000)*(s_Irr!AV26+s_Irr!BT26)),IF(AND(s_Irr!X26=".",s_Irr!AV26=".",s_Irr!BT26&lt;&gt;"."),s_dir!Y26/((1/1000)*(s_Irr!BT26)),IF(AND(s_Irr!X26=".",s_Irr!AV26&lt;&gt;".",s_Irr!BT26="."),s_dir!Y26/((1/1000)*(s_Irr!AV26)),IF(AND(s_Irr!X26&lt;&gt;".",s_Irr!AV26=".",s_Irr!BT26="."),s_dir!Y26/((1/1000)*(s_Irr!X26)),IF(AND(s_Irr!X26=".",s_Irr!AV26=".",s_Irr!BT26="."),s_dir!Y26*1000)))))))),".")</f>
        <v>123.78598883408308</v>
      </c>
      <c r="Z26" s="48">
        <f>IFERROR(IF(AND(s_Irr!Y26&lt;&gt;".",s_Irr!AW26&lt;&gt;".",s_Irr!BU26&lt;&gt;"."),s_dir!Z26/((1/1000)*(s_Irr!Y26+s_Irr!AW26+s_Irr!BU26)),IF(AND(s_Irr!Y26&lt;&gt;".",s_Irr!AW26&lt;&gt;".",s_Irr!BU26="."),s_dir!Z26/((1/1000)*(s_Irr!Y26+s_Irr!AW26)),IF(AND(s_Irr!Y26&lt;&gt;".",s_Irr!AW26=".",s_Irr!BU26&lt;&gt;"."),s_dir!Z26/((1/1000)*(s_Irr!Y26+s_Irr!BU26)),IF(AND(s_Irr!Y26=".",s_Irr!AW26&lt;&gt;".",s_Irr!BU26&lt;&gt;"."),s_dir!Z26/((1/1000)*(s_Irr!AW26+s_Irr!BU26)),IF(AND(s_Irr!Y26=".",s_Irr!AW26=".",s_Irr!BU26&lt;&gt;"."),s_dir!Z26/((1/1000)*(s_Irr!BU26)),IF(AND(s_Irr!Y26=".",s_Irr!AW26&lt;&gt;".",s_Irr!BU26="."),s_dir!Z26/((1/1000)*(s_Irr!AW26)),IF(AND(s_Irr!Y26&lt;&gt;".",s_Irr!AW26=".",s_Irr!BU26="."),s_dir!Z26/((1/1000)*(s_Irr!Y26)),IF(AND(s_Irr!Y26=".",s_Irr!AW26=".",s_Irr!BU26="."),s_dir!Z26*1000)))))))),".")</f>
        <v>125.08620766686767</v>
      </c>
      <c r="AA26" s="48">
        <f>IFERROR(IF(AND(s_Irr!Z26&lt;&gt;".",s_Irr!AX26&lt;&gt;".",s_Irr!BV26&lt;&gt;"."),s_dir!AA26/((1/1000)*(s_Irr!Z26+s_Irr!AX26+s_Irr!BV26)),IF(AND(s_Irr!Z26&lt;&gt;".",s_Irr!AX26&lt;&gt;".",s_Irr!BV26="."),s_dir!AA26/((1/1000)*(s_Irr!Z26+s_Irr!AX26)),IF(AND(s_Irr!Z26&lt;&gt;".",s_Irr!AX26=".",s_Irr!BV26&lt;&gt;"."),s_dir!AA26/((1/1000)*(s_Irr!Z26+s_Irr!BV26)),IF(AND(s_Irr!Z26=".",s_Irr!AX26&lt;&gt;".",s_Irr!BV26&lt;&gt;"."),s_dir!AA26/((1/1000)*(s_Irr!AX26+s_Irr!BV26)),IF(AND(s_Irr!Z26=".",s_Irr!AX26=".",s_Irr!BV26&lt;&gt;"."),s_dir!AA26/((1/1000)*(s_Irr!BV26)),IF(AND(s_Irr!Z26=".",s_Irr!AX26&lt;&gt;".",s_Irr!BV26="."),s_dir!AA26/((1/1000)*(s_Irr!AX26)),IF(AND(s_Irr!Z26&lt;&gt;".",s_Irr!AX26=".",s_Irr!BV26="."),s_dir!AA26/((1/1000)*(s_Irr!Z26)),IF(AND(s_Irr!Z26=".",s_Irr!AX26=".",s_Irr!BV26="."),s_dir!AA26*1000)))))))),".")</f>
        <v>121.10586751706455</v>
      </c>
      <c r="AB26" s="62">
        <f t="shared" si="3"/>
        <v>269.51871180136442</v>
      </c>
      <c r="AC26" s="62">
        <f>IFERROR(s_C*s_IFAP_res_adj*s_CF_apple*0.001*(s_Irr!C26+s_Irr!AA26+s_Irr!AY26),".")</f>
        <v>89.208447423920347</v>
      </c>
      <c r="AD26" s="62">
        <f>IFERROR(s_C*s_IFAS_res_adj*s_CF_asparagus*0.001*(s_Irr!D26+s_Irr!AB26+s_Irr!AZ26),".")</f>
        <v>90.260319384811112</v>
      </c>
      <c r="AE26" s="62">
        <f>IFERROR(s_C*s_IFBT_res_adj*s_CF_beet*0.001*(s_Irr!E26+s_Irr!AC26+s_Irr!BA26),".")</f>
        <v>89.65924969287353</v>
      </c>
      <c r="AF26" s="62">
        <f>IFERROR(s_C*s_IFBE_res_adj*s_CF_berries*0.001*(s_Irr!F26+s_Irr!AD26+s_Irr!BB26),".")</f>
        <v>89.208447423920347</v>
      </c>
      <c r="AG26" s="62">
        <f>IFERROR(s_C*s_IFBR_res_adj*s_CF_broccoli*0.001*(s_Irr!G26+s_Irr!AE26+s_Irr!BC26),".")</f>
        <v>89.629196208276653</v>
      </c>
      <c r="AH26" s="62">
        <f>IFERROR(s_C*s_IFCB_res_adj*s_CF_cabbage*0.001*(s_Irr!H26+s_Irr!AF26+s_Irr!BD26),".")</f>
        <v>90.260319384811112</v>
      </c>
      <c r="AI26" s="62">
        <f>IFERROR(s_C*s_IFCR_res_adj*s_CF_carrot*0.001*(s_Irr!I26+s_Irr!AG26+s_Irr!BE26),".")</f>
        <v>89.65924969287353</v>
      </c>
      <c r="AJ26" s="62">
        <f>IFERROR(s_C*s_IFCI_res_adj*s_CF_citrus*0.001*(s_Irr!J26+s_Irr!AH26+s_Irr!BF26),".")</f>
        <v>89.208447423920347</v>
      </c>
      <c r="AK26" s="62">
        <f>IFERROR(s_C*s_IFCO_res_adj*s_CF_corn*0.001*(s_Irr!K26+s_Irr!AI26+s_Irr!BG26),".")</f>
        <v>89.418821816098486</v>
      </c>
      <c r="AL26" s="62">
        <f>IFERROR(s_C*s_IFCU_res_adj*s_CF_cucumber*0.001*(s_Irr!L26+s_Irr!AJ26+s_Irr!BH26),".")</f>
        <v>89.629196208276653</v>
      </c>
      <c r="AM26" s="62">
        <f>IFERROR(s_C*s_IFLE_res_adj*s_CF_lettuce*0.001*(s_Irr!M26+s_Irr!AK26+s_Irr!BI26),".")</f>
        <v>90.260319384811112</v>
      </c>
      <c r="AN26" s="62">
        <f>IFERROR(s_C*s_IFLI_res_adj*s_CF_lima_bean*0.001*(s_Irr!N26+s_Irr!AL26+s_Irr!BJ26),".")</f>
        <v>89.25352765081567</v>
      </c>
      <c r="AO26" s="62">
        <f>IFERROR(s_C*s_IFOK_res_adj*s_CF_okra*0.001*(s_Irr!O26+s_Irr!AM26+s_Irr!BK26),".")</f>
        <v>89.629196208276653</v>
      </c>
      <c r="AP26" s="62">
        <f>IFERROR(s_C*s_IFON_res_adj*s_CF_onion*0.001*(s_Irr!P26+s_Irr!AN26+s_Irr!BL26),".")</f>
        <v>89.629196208276653</v>
      </c>
      <c r="AQ26" s="62">
        <f>IFERROR(s_C*s_IFPC_res_adj*s_CF_peach*0.001*(s_Irr!Q26+s_Irr!AO26+s_Irr!BM26),".")</f>
        <v>89.208447423920347</v>
      </c>
      <c r="AR26" s="62">
        <f>IFERROR(s_C*s_IFPR_res_adj*s_CF_pear*0.001*(s_Irr!R26+s_Irr!AP26+s_Irr!BN26),".")</f>
        <v>89.208447423920347</v>
      </c>
      <c r="AS26" s="62">
        <f>IFERROR(s_C*s_IFPE_res_adj*s_CF_peas*0.001*(s_Irr!S26+s_Irr!AQ26+s_Irr!BO26),".")</f>
        <v>89.25352765081567</v>
      </c>
      <c r="AT26" s="62">
        <f>IFERROR(s_C*s_IFPT_res_adj*s_CF_potato*0.001*(s_Irr!T26+s_Irr!AR26+s_Irr!BP26),".")</f>
        <v>88.757645154967165</v>
      </c>
      <c r="AU26" s="62">
        <f>IFERROR(s_C*s_IFPU_res_adj*s_CF_pumpkin*0.001*(s_Irr!U26+s_Irr!AS26+s_Irr!BQ26),".")</f>
        <v>89.629196208276653</v>
      </c>
      <c r="AV26" s="62">
        <f>IFERROR(s_C*s_IFSN_res_adj*s_CF_snap_bean*0.001*(s_Irr!V26+s_Irr!AT26+s_Irr!BR26),".")</f>
        <v>89.25352765081567</v>
      </c>
      <c r="AW26" s="62">
        <f>IFERROR(s_C*s_IFST_res_adj*s_CF_strawberry*0.001*(s_Irr!W26+s_Irr!AU26+s_Irr!BS26),".")</f>
        <v>89.208447423920347</v>
      </c>
      <c r="AX26" s="62">
        <f>IFERROR(s_C*s_IFTO_res_adj*s_CF_tomato*0.001*(s_Irr!X26+s_Irr!AV26+s_Irr!BT26),".")</f>
        <v>89.629196208276653</v>
      </c>
      <c r="AY26" s="62">
        <f>IFERROR(s_C*s_IFRI_res_adj*s_CF_rice*0.001*(s_Irr!Y26+s_Irr!AW26+s_Irr!BU26),".")</f>
        <v>88.697538185773396</v>
      </c>
      <c r="AZ26" s="62">
        <f>IFERROR(s_C*s_IFCG_res_adj*s_CF_cereal*0.001*(s_Irr!Z26+s_Irr!AX26+s_Irr!BV26),".")</f>
        <v>91.61272619167066</v>
      </c>
      <c r="BA26" s="48">
        <f t="shared" si="0"/>
        <v>41.165374407185823</v>
      </c>
      <c r="BB26" s="48">
        <f>IFERROR(IF(AND(s_Irr!C26&lt;&gt;".",s_Irr!AA26&lt;&gt;".",s_Irr!AY26&lt;&gt;"."),s_dir!AC26/((1/1000)*(s_Irr!C26+s_Irr!AA26+s_Irr!AY26)),IF(AND(s_Irr!C26&lt;&gt;".",s_Irr!AA26&lt;&gt;".",s_Irr!AY26="."),s_dir!AC26/((1/1000)*(s_Irr!C26+s_Irr!AA26)),IF(AND(s_Irr!C26&lt;&gt;".",s_Irr!AA26=".",s_Irr!AY26&lt;&gt;"."),s_dir!AC26/((1/1000)*(s_Irr!C26+s_Irr!AY26)),IF(AND(s_Irr!C26=".",s_Irr!AA26&lt;&gt;".",s_Irr!AY26&lt;&gt;"."),s_dir!AC26/((1/1000)*(s_Irr!AA26+s_Irr!AY26)),IF(AND(s_Irr!C26=".",s_Irr!AA26=".",s_Irr!AY26&lt;&gt;"."),s_dir!AC26/((1/1000)*(s_Irr!AY26)),IF(AND(s_Irr!C26=".",s_Irr!AA26&lt;&gt;".",s_Irr!AY26="."),s_dir!AC26/((1/1000)*(s_Irr!AA26)),IF(AND(s_Irr!C26&lt;&gt;".",s_Irr!AA26=".",s_Irr!AY26="."),s_dir!AC26/((1/1000)*(s_Irr!C26)),IF(AND(s_Irr!C26=".",s_Irr!AA26=".",s_Irr!AY26="."),s_dir!AC26*1000)))))))),".")</f>
        <v>124.36982148476007</v>
      </c>
      <c r="BC26" s="48">
        <f>IFERROR(IF(AND(s_Irr!D26&lt;&gt;".",s_Irr!AB26&lt;&gt;".",s_Irr!AZ26&lt;&gt;"."),s_dir!AD26/((1/1000)*(s_Irr!D26+s_Irr!AB26+s_Irr!AZ26)),IF(AND(s_Irr!D26&lt;&gt;".",s_Irr!AB26&lt;&gt;".",s_Irr!AZ26="."),s_dir!AD26/((1/1000)*(s_Irr!D26+s_Irr!AB26)),IF(AND(s_Irr!D26&lt;&gt;".",s_Irr!AB26=".",s_Irr!AZ26&lt;&gt;"."),s_dir!AD26/((1/1000)*(s_Irr!D26+s_Irr!AZ26)),IF(AND(s_Irr!D26=".",s_Irr!AB26&lt;&gt;".",s_Irr!AZ26&lt;&gt;"."),s_dir!AD26/((1/1000)*(s_Irr!AB26+s_Irr!AZ26)),IF(AND(s_Irr!D26=".",s_Irr!AB26=".",s_Irr!AZ26&lt;&gt;"."),s_dir!AD26/((1/1000)*(s_Irr!AZ26)),IF(AND(s_Irr!D26=".",s_Irr!AB26&lt;&gt;".",s_Irr!AZ26="."),s_dir!AD26/((1/1000)*(s_Irr!AB26)),IF(AND(s_Irr!D26&lt;&gt;".",s_Irr!AB26=".",s_Irr!AZ26="."),s_dir!AD26/((1/1000)*(s_Irr!D26)),IF(AND(s_Irr!D26=".",s_Irr!AB26=".",s_Irr!AZ26="."),s_dir!AD26*1000)))))))),".")</f>
        <v>122.92044562510824</v>
      </c>
      <c r="BD26" s="48">
        <f>IFERROR(IF(AND(s_Irr!E26&lt;&gt;".",s_Irr!AC26&lt;&gt;".",s_Irr!BA26&lt;&gt;"."),s_dir!AE26/((1/1000)*(s_Irr!E26+s_Irr!AC26+s_Irr!BA26)),IF(AND(s_Irr!E26&lt;&gt;".",s_Irr!AC26&lt;&gt;".",s_Irr!BA26="."),s_dir!AE26/((1/1000)*(s_Irr!E26+s_Irr!AC26)),IF(AND(s_Irr!E26&lt;&gt;".",s_Irr!AC26=".",s_Irr!BA26&lt;&gt;"."),s_dir!AE26/((1/1000)*(s_Irr!E26+s_Irr!BA26)),IF(AND(s_Irr!E26=".",s_Irr!AC26&lt;&gt;".",s_Irr!BA26&lt;&gt;"."),s_dir!AE26/((1/1000)*(s_Irr!AC26+s_Irr!BA26)),IF(AND(s_Irr!E26=".",s_Irr!AC26=".",s_Irr!BA26&lt;&gt;"."),s_dir!AE26/((1/1000)*(s_Irr!BA26)),IF(AND(s_Irr!E26=".",s_Irr!AC26&lt;&gt;".",s_Irr!BA26="."),s_dir!AE26/((1/1000)*(s_Irr!AC26)),IF(AND(s_Irr!E26&lt;&gt;".",s_Irr!AC26=".",s_Irr!BA26="."),s_dir!AE26/((1/1000)*(s_Irr!E26)),IF(AND(s_Irr!E26=".",s_Irr!AC26=".",s_Irr!BA26="."),s_dir!AE26*1000)))))))),".")</f>
        <v>123.7444961791537</v>
      </c>
      <c r="BE26" s="48">
        <f>IFERROR(IF(AND(s_Irr!F26&lt;&gt;".",s_Irr!AD26&lt;&gt;".",s_Irr!BB26&lt;&gt;"."),s_dir!AF26/((1/1000)*(s_Irr!F26+s_Irr!AD26+s_Irr!BB26)),IF(AND(s_Irr!F26&lt;&gt;".",s_Irr!AD26&lt;&gt;".",s_Irr!BB26="."),s_dir!AF26/((1/1000)*(s_Irr!F26+s_Irr!AD26)),IF(AND(s_Irr!F26&lt;&gt;".",s_Irr!AD26=".",s_Irr!BB26&lt;&gt;"."),s_dir!AF26/((1/1000)*(s_Irr!F26+s_Irr!BB26)),IF(AND(s_Irr!F26=".",s_Irr!AD26&lt;&gt;".",s_Irr!BB26&lt;&gt;"."),s_dir!AF26/((1/1000)*(s_Irr!AD26+s_Irr!BB26)),IF(AND(s_Irr!F26=".",s_Irr!AD26=".",s_Irr!BB26&lt;&gt;"."),s_dir!AF26/((1/1000)*(s_Irr!BB26)),IF(AND(s_Irr!F26=".",s_Irr!AD26&lt;&gt;".",s_Irr!BB26="."),s_dir!AF26/((1/1000)*(s_Irr!AD26)),IF(AND(s_Irr!F26&lt;&gt;".",s_Irr!AD26=".",s_Irr!BB26="."),s_dir!AF26/((1/1000)*(s_Irr!F26)),IF(AND(s_Irr!F26=".",s_Irr!AD26=".",s_Irr!BB26="."),s_dir!AF26*1000)))))))),".")</f>
        <v>124.36982148476007</v>
      </c>
      <c r="BF26" s="48">
        <f>IFERROR(IF(AND(s_Irr!G26&lt;&gt;".",s_Irr!AE26&lt;&gt;".",s_Irr!BC26&lt;&gt;"."),s_dir!AG26/((1/1000)*(s_Irr!G26+s_Irr!AE26+s_Irr!BC26)),IF(AND(s_Irr!G26&lt;&gt;".",s_Irr!AE26&lt;&gt;".",s_Irr!BC26="."),s_dir!AG26/((1/1000)*(s_Irr!G26+s_Irr!AE26)),IF(AND(s_Irr!G26&lt;&gt;".",s_Irr!AE26=".",s_Irr!BC26&lt;&gt;"."),s_dir!AG26/((1/1000)*(s_Irr!G26+s_Irr!BC26)),IF(AND(s_Irr!G26=".",s_Irr!AE26&lt;&gt;".",s_Irr!BC26&lt;&gt;"."),s_dir!AG26/((1/1000)*(s_Irr!AE26+s_Irr!BC26)),IF(AND(s_Irr!G26=".",s_Irr!AE26=".",s_Irr!BC26&lt;&gt;"."),s_dir!AG26/((1/1000)*(s_Irr!BC26)),IF(AND(s_Irr!G26=".",s_Irr!AE26&lt;&gt;".",s_Irr!BC26="."),s_dir!AG26/((1/1000)*(s_Irr!AE26)),IF(AND(s_Irr!G26&lt;&gt;".",s_Irr!AE26=".",s_Irr!BC26="."),s_dir!AG26/((1/1000)*(s_Irr!G26)),IF(AND(s_Irr!G26=".",s_Irr!AE26=".",s_Irr!BC26="."),s_dir!AG26*1000)))))))),".")</f>
        <v>123.78598883408308</v>
      </c>
      <c r="BG26" s="48">
        <f>IFERROR(IF(AND(s_Irr!H26&lt;&gt;".",s_Irr!AF26&lt;&gt;".",s_Irr!BD26&lt;&gt;"."),s_dir!AH26/((1/1000)*(s_Irr!H26+s_Irr!AF26+s_Irr!BD26)),IF(AND(s_Irr!H26&lt;&gt;".",s_Irr!AF26&lt;&gt;".",s_Irr!BD26="."),s_dir!AH26/((1/1000)*(s_Irr!H26+s_Irr!AF26)),IF(AND(s_Irr!H26&lt;&gt;".",s_Irr!AF26=".",s_Irr!BD26&lt;&gt;"."),s_dir!AH26/((1/1000)*(s_Irr!H26+s_Irr!BD26)),IF(AND(s_Irr!H26=".",s_Irr!AF26&lt;&gt;".",s_Irr!BD26&lt;&gt;"."),s_dir!AH26/((1/1000)*(s_Irr!AF26+s_Irr!BD26)),IF(AND(s_Irr!H26=".",s_Irr!AF26=".",s_Irr!BD26&lt;&gt;"."),s_dir!AH26/((1/1000)*(s_Irr!BD26)),IF(AND(s_Irr!H26=".",s_Irr!AF26&lt;&gt;".",s_Irr!BD26="."),s_dir!AH26/((1/1000)*(s_Irr!AF26)),IF(AND(s_Irr!H26&lt;&gt;".",s_Irr!AF26=".",s_Irr!BD26="."),s_dir!AH26/((1/1000)*(s_Irr!H26)),IF(AND(s_Irr!H26=".",s_Irr!AF26=".",s_Irr!BD26="."),s_dir!AH26*1000)))))))),".")</f>
        <v>122.92044562510824</v>
      </c>
      <c r="BH26" s="48">
        <f>IFERROR(IF(AND(s_Irr!I26&lt;&gt;".",s_Irr!AG26&lt;&gt;".",s_Irr!BE26&lt;&gt;"."),s_dir!AI26/((1/1000)*(s_Irr!I26+s_Irr!AG26+s_Irr!BE26)),IF(AND(s_Irr!I26&lt;&gt;".",s_Irr!AG26&lt;&gt;".",s_Irr!BE26="."),s_dir!AI26/((1/1000)*(s_Irr!I26+s_Irr!AG26)),IF(AND(s_Irr!I26&lt;&gt;".",s_Irr!AG26=".",s_Irr!BE26&lt;&gt;"."),s_dir!AI26/((1/1000)*(s_Irr!I26+s_Irr!BE26)),IF(AND(s_Irr!I26=".",s_Irr!AG26&lt;&gt;".",s_Irr!BE26&lt;&gt;"."),s_dir!AI26/((1/1000)*(s_Irr!AG26+s_Irr!BE26)),IF(AND(s_Irr!I26=".",s_Irr!AG26=".",s_Irr!BE26&lt;&gt;"."),s_dir!AI26/((1/1000)*(s_Irr!BE26)),IF(AND(s_Irr!I26=".",s_Irr!AG26&lt;&gt;".",s_Irr!BE26="."),s_dir!AI26/((1/1000)*(s_Irr!AG26)),IF(AND(s_Irr!I26&lt;&gt;".",s_Irr!AG26=".",s_Irr!BE26="."),s_dir!AI26/((1/1000)*(s_Irr!I26)),IF(AND(s_Irr!I26=".",s_Irr!AG26=".",s_Irr!BE26="."),s_dir!AI26*1000)))))))),".")</f>
        <v>123.7444961791537</v>
      </c>
      <c r="BI26" s="48">
        <f>IFERROR(IF(AND(s_Irr!J26&lt;&gt;".",s_Irr!AH26&lt;&gt;".",s_Irr!BF26&lt;&gt;"."),s_dir!AJ26/((1/1000)*(s_Irr!J26+s_Irr!AH26+s_Irr!BF26)),IF(AND(s_Irr!J26&lt;&gt;".",s_Irr!AH26&lt;&gt;".",s_Irr!BF26="."),s_dir!AJ26/((1/1000)*(s_Irr!J26+s_Irr!AH26)),IF(AND(s_Irr!J26&lt;&gt;".",s_Irr!AH26=".",s_Irr!BF26&lt;&gt;"."),s_dir!AJ26/((1/1000)*(s_Irr!J26+s_Irr!BF26)),IF(AND(s_Irr!J26=".",s_Irr!AH26&lt;&gt;".",s_Irr!BF26&lt;&gt;"."),s_dir!AJ26/((1/1000)*(s_Irr!AH26+s_Irr!BF26)),IF(AND(s_Irr!J26=".",s_Irr!AH26=".",s_Irr!BF26&lt;&gt;"."),s_dir!AJ26/((1/1000)*(s_Irr!BF26)),IF(AND(s_Irr!J26=".",s_Irr!AH26&lt;&gt;".",s_Irr!BF26="."),s_dir!AJ26/((1/1000)*(s_Irr!AH26)),IF(AND(s_Irr!J26&lt;&gt;".",s_Irr!AH26=".",s_Irr!BF26="."),s_dir!AJ26/((1/1000)*(s_Irr!J26)),IF(AND(s_Irr!J26=".",s_Irr!AH26=".",s_Irr!BF26="."),s_dir!AJ26*1000)))))))),".")</f>
        <v>124.36982148476007</v>
      </c>
      <c r="BJ26" s="48">
        <f>IFERROR(IF(AND(s_Irr!K26&lt;&gt;".",s_Irr!AI26&lt;&gt;".",s_Irr!BG26&lt;&gt;"."),s_dir!AK26/((1/1000)*(s_Irr!K26+s_Irr!AI26+s_Irr!BG26)),IF(AND(s_Irr!K26&lt;&gt;".",s_Irr!AI26&lt;&gt;".",s_Irr!BG26="."),s_dir!AK26/((1/1000)*(s_Irr!K26+s_Irr!AI26)),IF(AND(s_Irr!K26&lt;&gt;".",s_Irr!AI26=".",s_Irr!BG26&lt;&gt;"."),s_dir!AK26/((1/1000)*(s_Irr!K26+s_Irr!BG26)),IF(AND(s_Irr!K26=".",s_Irr!AI26&lt;&gt;".",s_Irr!BG26&lt;&gt;"."),s_dir!AK26/((1/1000)*(s_Irr!AI26+s_Irr!BG26)),IF(AND(s_Irr!K26=".",s_Irr!AI26=".",s_Irr!BG26&lt;&gt;"."),s_dir!AK26/((1/1000)*(s_Irr!BG26)),IF(AND(s_Irr!K26=".",s_Irr!AI26&lt;&gt;".",s_Irr!BG26="."),s_dir!AK26/((1/1000)*(s_Irr!AI26)),IF(AND(s_Irr!K26&lt;&gt;".",s_Irr!AI26=".",s_Irr!BG26="."),s_dir!AK26/((1/1000)*(s_Irr!K26)),IF(AND(s_Irr!K26=".",s_Irr!AI26=".",s_Irr!BG26="."),s_dir!AK26*1000)))))))),".")</f>
        <v>124.07721837202871</v>
      </c>
      <c r="BK26" s="48">
        <f>IFERROR(IF(AND(s_Irr!L26&lt;&gt;".",s_Irr!AJ26&lt;&gt;".",s_Irr!BH26&lt;&gt;"."),s_dir!AL26/((1/1000)*(s_Irr!L26+s_Irr!AJ26+s_Irr!BH26)),IF(AND(s_Irr!L26&lt;&gt;".",s_Irr!AJ26&lt;&gt;".",s_Irr!BH26="."),s_dir!AL26/((1/1000)*(s_Irr!L26+s_Irr!AJ26)),IF(AND(s_Irr!L26&lt;&gt;".",s_Irr!AJ26=".",s_Irr!BH26&lt;&gt;"."),s_dir!AL26/((1/1000)*(s_Irr!L26+s_Irr!BH26)),IF(AND(s_Irr!L26=".",s_Irr!AJ26&lt;&gt;".",s_Irr!BH26&lt;&gt;"."),s_dir!AL26/((1/1000)*(s_Irr!AJ26+s_Irr!BH26)),IF(AND(s_Irr!L26=".",s_Irr!AJ26=".",s_Irr!BH26&lt;&gt;"."),s_dir!AL26/((1/1000)*(s_Irr!BH26)),IF(AND(s_Irr!L26=".",s_Irr!AJ26&lt;&gt;".",s_Irr!BH26="."),s_dir!AL26/((1/1000)*(s_Irr!AJ26)),IF(AND(s_Irr!L26&lt;&gt;".",s_Irr!AJ26=".",s_Irr!BH26="."),s_dir!AL26/((1/1000)*(s_Irr!L26)),IF(AND(s_Irr!L26=".",s_Irr!AJ26=".",s_Irr!BH26="."),s_dir!AL26*1000)))))))),".")</f>
        <v>123.78598883408308</v>
      </c>
      <c r="BL26" s="48">
        <f>IFERROR(IF(AND(s_Irr!M26&lt;&gt;".",s_Irr!AK26&lt;&gt;".",s_Irr!BI26&lt;&gt;"."),s_dir!AM26/((1/1000)*(s_Irr!M26+s_Irr!AK26+s_Irr!BI26)),IF(AND(s_Irr!M26&lt;&gt;".",s_Irr!AK26&lt;&gt;".",s_Irr!BI26="."),s_dir!AM26/((1/1000)*(s_Irr!M26+s_Irr!AK26)),IF(AND(s_Irr!M26&lt;&gt;".",s_Irr!AK26=".",s_Irr!BI26&lt;&gt;"."),s_dir!AM26/((1/1000)*(s_Irr!M26+s_Irr!BI26)),IF(AND(s_Irr!M26=".",s_Irr!AK26&lt;&gt;".",s_Irr!BI26&lt;&gt;"."),s_dir!AM26/((1/1000)*(s_Irr!AK26+s_Irr!BI26)),IF(AND(s_Irr!M26=".",s_Irr!AK26=".",s_Irr!BI26&lt;&gt;"."),s_dir!AM26/((1/1000)*(s_Irr!BI26)),IF(AND(s_Irr!M26=".",s_Irr!AK26&lt;&gt;".",s_Irr!BI26="."),s_dir!AM26/((1/1000)*(s_Irr!AK26)),IF(AND(s_Irr!M26&lt;&gt;".",s_Irr!AK26=".",s_Irr!BI26="."),s_dir!AM26/((1/1000)*(s_Irr!M26)),IF(AND(s_Irr!M26=".",s_Irr!AK26=".",s_Irr!BI26="."),s_dir!AM26*1000)))))))),".")</f>
        <v>122.92044562510824</v>
      </c>
      <c r="BM26" s="48">
        <f>IFERROR(IF(AND(s_Irr!N26&lt;&gt;".",s_Irr!AL26&lt;&gt;".",s_Irr!BJ26&lt;&gt;"."),s_dir!AN26/((1/1000)*(s_Irr!N26+s_Irr!AL26+s_Irr!BJ26)),IF(AND(s_Irr!N26&lt;&gt;".",s_Irr!AL26&lt;&gt;".",s_Irr!BJ26="."),s_dir!AN26/((1/1000)*(s_Irr!N26+s_Irr!AL26)),IF(AND(s_Irr!N26&lt;&gt;".",s_Irr!AL26=".",s_Irr!BJ26&lt;&gt;"."),s_dir!AN26/((1/1000)*(s_Irr!N26+s_Irr!BJ26)),IF(AND(s_Irr!N26=".",s_Irr!AL26&lt;&gt;".",s_Irr!BJ26&lt;&gt;"."),s_dir!AN26/((1/1000)*(s_Irr!AL26+s_Irr!BJ26)),IF(AND(s_Irr!N26=".",s_Irr!AL26=".",s_Irr!BJ26&lt;&gt;"."),s_dir!AN26/((1/1000)*(s_Irr!BJ26)),IF(AND(s_Irr!N26=".",s_Irr!AL26&lt;&gt;".",s_Irr!BJ26="."),s_dir!AN26/((1/1000)*(s_Irr!AL26)),IF(AND(s_Irr!N26&lt;&gt;".",s_Irr!AL26=".",s_Irr!BJ26="."),s_dir!AN26/((1/1000)*(s_Irr!N26)),IF(AND(s_Irr!N26=".",s_Irr!AL26=".",s_Irr!BJ26="."),s_dir!AN26*1000)))))))),".")</f>
        <v>124.30700469847686</v>
      </c>
      <c r="BN26" s="48">
        <f>IFERROR(IF(AND(s_Irr!O26&lt;&gt;".",s_Irr!AM26&lt;&gt;".",s_Irr!BK26&lt;&gt;"."),s_dir!AO26/((1/1000)*(s_Irr!O26+s_Irr!AM26+s_Irr!BK26)),IF(AND(s_Irr!O26&lt;&gt;".",s_Irr!AM26&lt;&gt;".",s_Irr!BK26="."),s_dir!AO26/((1/1000)*(s_Irr!O26+s_Irr!AM26)),IF(AND(s_Irr!O26&lt;&gt;".",s_Irr!AM26=".",s_Irr!BK26&lt;&gt;"."),s_dir!AO26/((1/1000)*(s_Irr!O26+s_Irr!BK26)),IF(AND(s_Irr!O26=".",s_Irr!AM26&lt;&gt;".",s_Irr!BK26&lt;&gt;"."),s_dir!AO26/((1/1000)*(s_Irr!AM26+s_Irr!BK26)),IF(AND(s_Irr!O26=".",s_Irr!AM26=".",s_Irr!BK26&lt;&gt;"."),s_dir!AO26/((1/1000)*(s_Irr!BK26)),IF(AND(s_Irr!O26=".",s_Irr!AM26&lt;&gt;".",s_Irr!BK26="."),s_dir!AO26/((1/1000)*(s_Irr!AM26)),IF(AND(s_Irr!O26&lt;&gt;".",s_Irr!AM26=".",s_Irr!BK26="."),s_dir!AO26/((1/1000)*(s_Irr!O26)),IF(AND(s_Irr!O26=".",s_Irr!AM26=".",s_Irr!BK26="."),s_dir!AO26*1000)))))))),".")</f>
        <v>123.78598883408308</v>
      </c>
      <c r="BO26" s="48">
        <f>IFERROR(IF(AND(s_Irr!P26&lt;&gt;".",s_Irr!AN26&lt;&gt;".",s_Irr!BL26&lt;&gt;"."),s_dir!AP26/((1/1000)*(s_Irr!P26+s_Irr!AN26+s_Irr!BL26)),IF(AND(s_Irr!P26&lt;&gt;".",s_Irr!AN26&lt;&gt;".",s_Irr!BL26="."),s_dir!AP26/((1/1000)*(s_Irr!P26+s_Irr!AN26)),IF(AND(s_Irr!P26&lt;&gt;".",s_Irr!AN26=".",s_Irr!BL26&lt;&gt;"."),s_dir!AP26/((1/1000)*(s_Irr!P26+s_Irr!BL26)),IF(AND(s_Irr!P26=".",s_Irr!AN26&lt;&gt;".",s_Irr!BL26&lt;&gt;"."),s_dir!AP26/((1/1000)*(s_Irr!AN26+s_Irr!BL26)),IF(AND(s_Irr!P26=".",s_Irr!AN26=".",s_Irr!BL26&lt;&gt;"."),s_dir!AP26/((1/1000)*(s_Irr!BL26)),IF(AND(s_Irr!P26=".",s_Irr!AN26&lt;&gt;".",s_Irr!BL26="."),s_dir!AP26/((1/1000)*(s_Irr!AN26)),IF(AND(s_Irr!P26&lt;&gt;".",s_Irr!AN26=".",s_Irr!BL26="."),s_dir!AP26/((1/1000)*(s_Irr!P26)),IF(AND(s_Irr!P26=".",s_Irr!AN26=".",s_Irr!BL26="."),s_dir!AP26*1000)))))))),".")</f>
        <v>123.78598883408308</v>
      </c>
      <c r="BP26" s="48">
        <f>IFERROR(IF(AND(s_Irr!Q26&lt;&gt;".",s_Irr!AO26&lt;&gt;".",s_Irr!BM26&lt;&gt;"."),s_dir!AQ26/((1/1000)*(s_Irr!Q26+s_Irr!AO26+s_Irr!BM26)),IF(AND(s_Irr!Q26&lt;&gt;".",s_Irr!AO26&lt;&gt;".",s_Irr!BM26="."),s_dir!AQ26/((1/1000)*(s_Irr!Q26+s_Irr!AO26)),IF(AND(s_Irr!Q26&lt;&gt;".",s_Irr!AO26=".",s_Irr!BM26&lt;&gt;"."),s_dir!AQ26/((1/1000)*(s_Irr!Q26+s_Irr!BM26)),IF(AND(s_Irr!Q26=".",s_Irr!AO26&lt;&gt;".",s_Irr!BM26&lt;&gt;"."),s_dir!AQ26/((1/1000)*(s_Irr!AO26+s_Irr!BM26)),IF(AND(s_Irr!Q26=".",s_Irr!AO26=".",s_Irr!BM26&lt;&gt;"."),s_dir!AQ26/((1/1000)*(s_Irr!BM26)),IF(AND(s_Irr!Q26=".",s_Irr!AO26&lt;&gt;".",s_Irr!BM26="."),s_dir!AQ26/((1/1000)*(s_Irr!AO26)),IF(AND(s_Irr!Q26&lt;&gt;".",s_Irr!AO26=".",s_Irr!BM26="."),s_dir!AQ26/((1/1000)*(s_Irr!Q26)),IF(AND(s_Irr!Q26=".",s_Irr!AO26=".",s_Irr!BM26="."),s_dir!AQ26*1000)))))))),".")</f>
        <v>124.36982148476007</v>
      </c>
      <c r="BQ26" s="48">
        <f>IFERROR(IF(AND(s_Irr!R26&lt;&gt;".",s_Irr!AP26&lt;&gt;".",s_Irr!BN26&lt;&gt;"."),s_dir!AR26/((1/1000)*(s_Irr!R26+s_Irr!AP26+s_Irr!BN26)),IF(AND(s_Irr!R26&lt;&gt;".",s_Irr!AP26&lt;&gt;".",s_Irr!BN26="."),s_dir!AR26/((1/1000)*(s_Irr!R26+s_Irr!AP26)),IF(AND(s_Irr!R26&lt;&gt;".",s_Irr!AP26=".",s_Irr!BN26&lt;&gt;"."),s_dir!AR26/((1/1000)*(s_Irr!R26+s_Irr!BN26)),IF(AND(s_Irr!R26=".",s_Irr!AP26&lt;&gt;".",s_Irr!BN26&lt;&gt;"."),s_dir!AR26/((1/1000)*(s_Irr!AP26+s_Irr!BN26)),IF(AND(s_Irr!R26=".",s_Irr!AP26=".",s_Irr!BN26&lt;&gt;"."),s_dir!AR26/((1/1000)*(s_Irr!BN26)),IF(AND(s_Irr!R26=".",s_Irr!AP26&lt;&gt;".",s_Irr!BN26="."),s_dir!AR26/((1/1000)*(s_Irr!AP26)),IF(AND(s_Irr!R26&lt;&gt;".",s_Irr!AP26=".",s_Irr!BN26="."),s_dir!AR26/((1/1000)*(s_Irr!R26)),IF(AND(s_Irr!R26=".",s_Irr!AP26=".",s_Irr!BN26="."),s_dir!AR26*1000)))))))),".")</f>
        <v>124.36982148476007</v>
      </c>
      <c r="BR26" s="48">
        <f>IFERROR(IF(AND(s_Irr!S26&lt;&gt;".",s_Irr!AQ26&lt;&gt;".",s_Irr!BO26&lt;&gt;"."),s_dir!AS26/((1/1000)*(s_Irr!S26+s_Irr!AQ26+s_Irr!BO26)),IF(AND(s_Irr!S26&lt;&gt;".",s_Irr!AQ26&lt;&gt;".",s_Irr!BO26="."),s_dir!AS26/((1/1000)*(s_Irr!S26+s_Irr!AQ26)),IF(AND(s_Irr!S26&lt;&gt;".",s_Irr!AQ26=".",s_Irr!BO26&lt;&gt;"."),s_dir!AS26/((1/1000)*(s_Irr!S26+s_Irr!BO26)),IF(AND(s_Irr!S26=".",s_Irr!AQ26&lt;&gt;".",s_Irr!BO26&lt;&gt;"."),s_dir!AS26/((1/1000)*(s_Irr!AQ26+s_Irr!BO26)),IF(AND(s_Irr!S26=".",s_Irr!AQ26=".",s_Irr!BO26&lt;&gt;"."),s_dir!AS26/((1/1000)*(s_Irr!BO26)),IF(AND(s_Irr!S26=".",s_Irr!AQ26&lt;&gt;".",s_Irr!BO26="."),s_dir!AS26/((1/1000)*(s_Irr!AQ26)),IF(AND(s_Irr!S26&lt;&gt;".",s_Irr!AQ26=".",s_Irr!BO26="."),s_dir!AS26/((1/1000)*(s_Irr!S26)),IF(AND(s_Irr!S26=".",s_Irr!AQ26=".",s_Irr!BO26="."),s_dir!AS26*1000)))))))),".")</f>
        <v>124.30700469847686</v>
      </c>
      <c r="BS26" s="48">
        <f>IFERROR(IF(AND(s_Irr!T26&lt;&gt;".",s_Irr!AR26&lt;&gt;".",s_Irr!BP26&lt;&gt;"."),s_dir!AT26/((1/1000)*(s_Irr!T26+s_Irr!AR26+s_Irr!BP26)),IF(AND(s_Irr!T26&lt;&gt;".",s_Irr!AR26&lt;&gt;".",s_Irr!BP26="."),s_dir!AT26/((1/1000)*(s_Irr!T26+s_Irr!AR26)),IF(AND(s_Irr!T26&lt;&gt;".",s_Irr!AR26=".",s_Irr!BP26&lt;&gt;"."),s_dir!AT26/((1/1000)*(s_Irr!T26+s_Irr!BP26)),IF(AND(s_Irr!T26=".",s_Irr!AR26&lt;&gt;".",s_Irr!BP26&lt;&gt;"."),s_dir!AT26/((1/1000)*(s_Irr!AR26+s_Irr!BP26)),IF(AND(s_Irr!T26=".",s_Irr!AR26=".",s_Irr!BP26&lt;&gt;"."),s_dir!AT26/((1/1000)*(s_Irr!BP26)),IF(AND(s_Irr!T26=".",s_Irr!AR26&lt;&gt;".",s_Irr!BP26="."),s_dir!AT26/((1/1000)*(s_Irr!AR26)),IF(AND(s_Irr!T26&lt;&gt;".",s_Irr!AR26=".",s_Irr!BP26="."),s_dir!AT26/((1/1000)*(s_Irr!T26)),IF(AND(s_Irr!T26=".",s_Irr!AR26=".",s_Irr!BP26="."),s_dir!AT26*1000)))))))),".")</f>
        <v>125.0014988756681</v>
      </c>
      <c r="BT26" s="48">
        <f>IFERROR(IF(AND(s_Irr!U26&lt;&gt;".",s_Irr!AS26&lt;&gt;".",s_Irr!BQ26&lt;&gt;"."),s_dir!AU26/((1/1000)*(s_Irr!U26+s_Irr!AS26+s_Irr!BQ26)),IF(AND(s_Irr!U26&lt;&gt;".",s_Irr!AS26&lt;&gt;".",s_Irr!BQ26="."),s_dir!AU26/((1/1000)*(s_Irr!U26+s_Irr!AS26)),IF(AND(s_Irr!U26&lt;&gt;".",s_Irr!AS26=".",s_Irr!BQ26&lt;&gt;"."),s_dir!AU26/((1/1000)*(s_Irr!U26+s_Irr!BQ26)),IF(AND(s_Irr!U26=".",s_Irr!AS26&lt;&gt;".",s_Irr!BQ26&lt;&gt;"."),s_dir!AU26/((1/1000)*(s_Irr!AS26+s_Irr!BQ26)),IF(AND(s_Irr!U26=".",s_Irr!AS26=".",s_Irr!BQ26&lt;&gt;"."),s_dir!AU26/((1/1000)*(s_Irr!BQ26)),IF(AND(s_Irr!U26=".",s_Irr!AS26&lt;&gt;".",s_Irr!BQ26="."),s_dir!AU26/((1/1000)*(s_Irr!AS26)),IF(AND(s_Irr!U26&lt;&gt;".",s_Irr!AS26=".",s_Irr!BQ26="."),s_dir!AU26/((1/1000)*(s_Irr!U26)),IF(AND(s_Irr!U26=".",s_Irr!AS26=".",s_Irr!BQ26="."),s_dir!AU26*1000)))))))),".")</f>
        <v>123.78598883408308</v>
      </c>
      <c r="BU26" s="48">
        <f>IFERROR(IF(AND(s_Irr!V26&lt;&gt;".",s_Irr!AT26&lt;&gt;".",s_Irr!BR26&lt;&gt;"."),s_dir!AV26/((1/1000)*(s_Irr!V26+s_Irr!AT26+s_Irr!BR26)),IF(AND(s_Irr!V26&lt;&gt;".",s_Irr!AT26&lt;&gt;".",s_Irr!BR26="."),s_dir!AV26/((1/1000)*(s_Irr!V26+s_Irr!AT26)),IF(AND(s_Irr!V26&lt;&gt;".",s_Irr!AT26=".",s_Irr!BR26&lt;&gt;"."),s_dir!AV26/((1/1000)*(s_Irr!V26+s_Irr!BR26)),IF(AND(s_Irr!V26=".",s_Irr!AT26&lt;&gt;".",s_Irr!BR26&lt;&gt;"."),s_dir!AV26/((1/1000)*(s_Irr!AT26+s_Irr!BR26)),IF(AND(s_Irr!V26=".",s_Irr!AT26=".",s_Irr!BR26&lt;&gt;"."),s_dir!AV26/((1/1000)*(s_Irr!BR26)),IF(AND(s_Irr!V26=".",s_Irr!AT26&lt;&gt;".",s_Irr!BR26="."),s_dir!AV26/((1/1000)*(s_Irr!AT26)),IF(AND(s_Irr!V26&lt;&gt;".",s_Irr!AT26=".",s_Irr!BR26="."),s_dir!AV26/((1/1000)*(s_Irr!V26)),IF(AND(s_Irr!V26=".",s_Irr!AT26=".",s_Irr!BR26="."),s_dir!AV26*1000)))))))),".")</f>
        <v>124.30700469847686</v>
      </c>
      <c r="BV26" s="48">
        <f>IFERROR(IF(AND(s_Irr!W26&lt;&gt;".",s_Irr!AU26&lt;&gt;".",s_Irr!BS26&lt;&gt;"."),s_dir!AW26/((1/1000)*(s_Irr!W26+s_Irr!AU26+s_Irr!BS26)),IF(AND(s_Irr!W26&lt;&gt;".",s_Irr!AU26&lt;&gt;".",s_Irr!BS26="."),s_dir!AW26/((1/1000)*(s_Irr!W26+s_Irr!AU26)),IF(AND(s_Irr!W26&lt;&gt;".",s_Irr!AU26=".",s_Irr!BS26&lt;&gt;"."),s_dir!AW26/((1/1000)*(s_Irr!W26+s_Irr!BS26)),IF(AND(s_Irr!W26=".",s_Irr!AU26&lt;&gt;".",s_Irr!BS26&lt;&gt;"."),s_dir!AW26/((1/1000)*(s_Irr!AU26+s_Irr!BS26)),IF(AND(s_Irr!W26=".",s_Irr!AU26=".",s_Irr!BS26&lt;&gt;"."),s_dir!AW26/((1/1000)*(s_Irr!BS26)),IF(AND(s_Irr!W26=".",s_Irr!AU26&lt;&gt;".",s_Irr!BS26="."),s_dir!AW26/((1/1000)*(s_Irr!AU26)),IF(AND(s_Irr!W26&lt;&gt;".",s_Irr!AU26=".",s_Irr!BS26="."),s_dir!AW26/((1/1000)*(s_Irr!W26)),IF(AND(s_Irr!W26=".",s_Irr!AU26=".",s_Irr!BS26="."),s_dir!AW26*1000)))))))),".")</f>
        <v>124.36982148476007</v>
      </c>
      <c r="BW26" s="48">
        <f>IFERROR(IF(AND(s_Irr!X26&lt;&gt;".",s_Irr!AV26&lt;&gt;".",s_Irr!BT26&lt;&gt;"."),s_dir!AX26/((1/1000)*(s_Irr!X26+s_Irr!AV26+s_Irr!BT26)),IF(AND(s_Irr!X26&lt;&gt;".",s_Irr!AV26&lt;&gt;".",s_Irr!BT26="."),s_dir!AX26/((1/1000)*(s_Irr!X26+s_Irr!AV26)),IF(AND(s_Irr!X26&lt;&gt;".",s_Irr!AV26=".",s_Irr!BT26&lt;&gt;"."),s_dir!AX26/((1/1000)*(s_Irr!X26+s_Irr!BT26)),IF(AND(s_Irr!X26=".",s_Irr!AV26&lt;&gt;".",s_Irr!BT26&lt;&gt;"."),s_dir!AX26/((1/1000)*(s_Irr!AV26+s_Irr!BT26)),IF(AND(s_Irr!X26=".",s_Irr!AV26=".",s_Irr!BT26&lt;&gt;"."),s_dir!AX26/((1/1000)*(s_Irr!BT26)),IF(AND(s_Irr!X26=".",s_Irr!AV26&lt;&gt;".",s_Irr!BT26="."),s_dir!AX26/((1/1000)*(s_Irr!AV26)),IF(AND(s_Irr!X26&lt;&gt;".",s_Irr!AV26=".",s_Irr!BT26="."),s_dir!AX26/((1/1000)*(s_Irr!X26)),IF(AND(s_Irr!X26=".",s_Irr!AV26=".",s_Irr!BT26="."),s_dir!AX26*1000)))))))),".")</f>
        <v>123.78598883408308</v>
      </c>
      <c r="BX26" s="48">
        <f>IFERROR(IF(AND(s_Irr!Y26&lt;&gt;".",s_Irr!AW26&lt;&gt;".",s_Irr!BU26&lt;&gt;"."),s_dir!AY26/((1/1000)*(s_Irr!Y26+s_Irr!AW26+s_Irr!BU26)),IF(AND(s_Irr!Y26&lt;&gt;".",s_Irr!AW26&lt;&gt;".",s_Irr!BU26="."),s_dir!AY26/((1/1000)*(s_Irr!Y26+s_Irr!AW26)),IF(AND(s_Irr!Y26&lt;&gt;".",s_Irr!AW26=".",s_Irr!BU26&lt;&gt;"."),s_dir!AY26/((1/1000)*(s_Irr!Y26+s_Irr!BU26)),IF(AND(s_Irr!Y26=".",s_Irr!AW26&lt;&gt;".",s_Irr!BU26&lt;&gt;"."),s_dir!AY26/((1/1000)*(s_Irr!AW26+s_Irr!BU26)),IF(AND(s_Irr!Y26=".",s_Irr!AW26=".",s_Irr!BU26&lt;&gt;"."),s_dir!AY26/((1/1000)*(s_Irr!BU26)),IF(AND(s_Irr!Y26=".",s_Irr!AW26&lt;&gt;".",s_Irr!BU26="."),s_dir!AY26/((1/1000)*(s_Irr!AW26)),IF(AND(s_Irr!Y26&lt;&gt;".",s_Irr!AW26=".",s_Irr!BU26="."),s_dir!AY26/((1/1000)*(s_Irr!Y26)),IF(AND(s_Irr!Y26=".",s_Irr!AW26=".",s_Irr!BU26="."),s_dir!AY26*1000)))))))),".")</f>
        <v>125.08620766686767</v>
      </c>
      <c r="BY26" s="48">
        <f>IFERROR(IF(AND(s_Irr!Z26&lt;&gt;".",s_Irr!AX26&lt;&gt;".",s_Irr!BV26&lt;&gt;"."),s_dir!AZ26/((1/1000)*(s_Irr!Z26+s_Irr!AX26+s_Irr!BV26)),IF(AND(s_Irr!Z26&lt;&gt;".",s_Irr!AX26&lt;&gt;".",s_Irr!BV26="."),s_dir!AZ26/((1/1000)*(s_Irr!Z26+s_Irr!AX26)),IF(AND(s_Irr!Z26&lt;&gt;".",s_Irr!AX26=".",s_Irr!BV26&lt;&gt;"."),s_dir!AZ26/((1/1000)*(s_Irr!Z26+s_Irr!BV26)),IF(AND(s_Irr!Z26=".",s_Irr!AX26&lt;&gt;".",s_Irr!BV26&lt;&gt;"."),s_dir!AZ26/((1/1000)*(s_Irr!AX26+s_Irr!BV26)),IF(AND(s_Irr!Z26=".",s_Irr!AX26=".",s_Irr!BV26&lt;&gt;"."),s_dir!AZ26/((1/1000)*(s_Irr!BV26)),IF(AND(s_Irr!Z26=".",s_Irr!AX26&lt;&gt;".",s_Irr!BV26="."),s_dir!AZ26/((1/1000)*(s_Irr!AX26)),IF(AND(s_Irr!Z26&lt;&gt;".",s_Irr!AX26=".",s_Irr!BV26="."),s_dir!AZ26/((1/1000)*(s_Irr!Z26)),IF(AND(s_Irr!Z26=".",s_Irr!AX26=".",s_Irr!BV26="."),s_dir!AZ26*1000)))))))),".")</f>
        <v>121.10586751706455</v>
      </c>
      <c r="BZ26" s="62">
        <f t="shared" si="1"/>
        <v>269.51871180136442</v>
      </c>
      <c r="CA26" s="62">
        <f>IFERROR(s_C*s_IFAP_far_adj*s_CF_apple*(1/1000)*(s_Irr!C26+s_Irr!AA26+s_Irr!AY26),".")</f>
        <v>89.208447423920347</v>
      </c>
      <c r="CB26" s="62">
        <f>IFERROR(s_C*s_IFAS_far_adj*s_CF_asparagus*(1/1000)*(s_Irr!D26+s_Irr!AB26+s_Irr!AZ26),".")</f>
        <v>90.260319384811112</v>
      </c>
      <c r="CC26" s="62">
        <f>IFERROR(s_C*s_IFBT_far_adj*s_CF_beet*(1/1000)*(s_Irr!E26+s_Irr!AC26+s_Irr!BA26),".")</f>
        <v>89.65924969287353</v>
      </c>
      <c r="CD26" s="62">
        <f>IFERROR(s_C*s_IFBE_far_adj*s_CF_berries*(1/1000)*(s_Irr!F26+s_Irr!AD26+s_Irr!BB26),".")</f>
        <v>89.208447423920347</v>
      </c>
      <c r="CE26" s="62">
        <f>IFERROR(s_C*s_IFBR_far_adj*s_CF_broccoli*(1/1000)*(s_Irr!G26+s_Irr!AE26+s_Irr!BC26),".")</f>
        <v>89.629196208276653</v>
      </c>
      <c r="CF26" s="62">
        <f>IFERROR(s_C*s_IFCB_far_adj*s_CF_cabbage*(1/1000)*(s_Irr!H26+s_Irr!AF26+s_Irr!BD26),".")</f>
        <v>90.260319384811112</v>
      </c>
      <c r="CG26" s="62">
        <f>IFERROR(s_C*s_IFCR_far_adj*s_CF_carrot*(1/1000)*(s_Irr!I26+s_Irr!AG26+s_Irr!BE26),".")</f>
        <v>89.65924969287353</v>
      </c>
      <c r="CH26" s="62">
        <f>IFERROR(s_C*s_IFCI_far_adj*s_CF_citrus*(1/1000)*(s_Irr!J26+s_Irr!AH26+s_Irr!BF26),".")</f>
        <v>89.208447423920347</v>
      </c>
      <c r="CI26" s="62">
        <f>IFERROR(s_C*s_IFCO_far_adj*s_CF_corn*(1/1000)*(s_Irr!K26+s_Irr!AI26+s_Irr!BG26),".")</f>
        <v>89.418821816098486</v>
      </c>
      <c r="CJ26" s="62">
        <f>IFERROR(s_C*s_IFCU_far_adj*s_CF_cucumber*(1/1000)*(s_Irr!L26+s_Irr!AJ26+s_Irr!BH26),".")</f>
        <v>89.629196208276653</v>
      </c>
      <c r="CK26" s="62">
        <f>IFERROR(s_C*s_IFLE_far_adj*s_CF_lettuce*(1/1000)*(s_Irr!M26+s_Irr!AK26+s_Irr!BI26),".")</f>
        <v>90.260319384811112</v>
      </c>
      <c r="CL26" s="62">
        <f>IFERROR(s_C*s_IFLI_far_adj*s_CF_lima_bean*(1/1000)*(s_Irr!N26+s_Irr!AL26+s_Irr!BJ26),".")</f>
        <v>89.25352765081567</v>
      </c>
      <c r="CM26" s="62">
        <f>IFERROR(s_C*s_IFOK_far_adj*s_CF_okra*(1/1000)*(s_Irr!O26+s_Irr!AM26+s_Irr!BK26),".")</f>
        <v>89.629196208276653</v>
      </c>
      <c r="CN26" s="62">
        <f>IFERROR(s_C*s_IFON_far_adj*s_CF_onion*(1/1000)*(s_Irr!P26+s_Irr!AN26+s_Irr!BL26),".")</f>
        <v>89.629196208276653</v>
      </c>
      <c r="CO26" s="62">
        <f>IFERROR(s_C*s_IFPC_far_adj*s_CF_peach*(1/1000)*(s_Irr!Q26+s_Irr!AO26+s_Irr!BM26),".")</f>
        <v>89.208447423920347</v>
      </c>
      <c r="CP26" s="62">
        <f>IFERROR(s_C*s_IFPR_far_adj*s_CF_pear*(1/1000)*(s_Irr!R26+s_Irr!AP26+s_Irr!BN26),".")</f>
        <v>89.208447423920347</v>
      </c>
      <c r="CQ26" s="62">
        <f>IFERROR(s_C*s_IFPE_far_adj*s_CF_peas*(1/1000)*(s_Irr!S26+s_Irr!AQ26+s_Irr!BO26),".")</f>
        <v>89.25352765081567</v>
      </c>
      <c r="CR26" s="62">
        <f>IFERROR(s_C*s_IFPT_far_adj*s_CF_potato*(1/1000)*(s_Irr!T26+s_Irr!AR26+s_Irr!BP26),".")</f>
        <v>88.757645154967165</v>
      </c>
      <c r="CS26" s="62">
        <f>IFERROR(s_C*s_IFPU_far_adj*s_CF_pumpkin*(1/1000)*(s_Irr!U26+s_Irr!AS26+s_Irr!BQ26),".")</f>
        <v>89.629196208276653</v>
      </c>
      <c r="CT26" s="62">
        <f>IFERROR(s_C*s_IFSN_far_adj*s_CF_snap_bean*(1/1000)*(s_Irr!V26+s_Irr!AT26+s_Irr!BR26),".")</f>
        <v>89.25352765081567</v>
      </c>
      <c r="CU26" s="62">
        <f>IFERROR(s_C*s_IFST_far_adj*s_CF_strawberry*(1/1000)*(s_Irr!W26+s_Irr!AU26+s_Irr!BS26),".")</f>
        <v>89.208447423920347</v>
      </c>
      <c r="CV26" s="62">
        <f>IFERROR(s_C*s_IFTO_far_adj*s_CF_tomato*(1/1000)*(s_Irr!X26+s_Irr!AV26+s_Irr!BT26),".")</f>
        <v>89.629196208276653</v>
      </c>
      <c r="CW26" s="62">
        <f>IFERROR(s_C*s_IFRI_far_adj*s_CF_rice*(1/1000)*(s_Irr!Y26+s_Irr!AW26+s_Irr!BU26),".")</f>
        <v>88.697538185773396</v>
      </c>
      <c r="CX26" s="62">
        <f>IFERROR(s_C*s_IFCG_far_adj*s_CF_cereal*(1/1000)*(s_Irr!Z26+s_Irr!AX26+s_Irr!BV26),".")</f>
        <v>91.61272619167066</v>
      </c>
    </row>
    <row r="27" spans="1:102" ht="15" customHeight="1" x14ac:dyDescent="0.25">
      <c r="A27" s="61" t="s">
        <v>25</v>
      </c>
      <c r="B27" s="49" t="s">
        <v>1059</v>
      </c>
      <c r="C27" s="48" t="str">
        <f t="shared" si="2"/>
        <v>.</v>
      </c>
      <c r="D27" s="48" t="str">
        <f>IFERROR(IF(AND(s_Irr!C27&lt;&gt;".",s_Irr!AA27&lt;&gt;".",s_Irr!AY27&lt;&gt;"."),s_dir!D27/((1/1000)*(s_Irr!C27+s_Irr!AA27+s_Irr!AY27)),IF(AND(s_Irr!C27&lt;&gt;".",s_Irr!AA27&lt;&gt;".",s_Irr!AY27="."),s_dir!D27/((1/1000)*(s_Irr!C27+s_Irr!AA27)),IF(AND(s_Irr!C27&lt;&gt;".",s_Irr!AA27=".",s_Irr!AY27&lt;&gt;"."),s_dir!D27/((1/1000)*(s_Irr!C27+s_Irr!AY27)),IF(AND(s_Irr!C27=".",s_Irr!AA27&lt;&gt;".",s_Irr!AY27&lt;&gt;"."),s_dir!D27/((1/1000)*(s_Irr!AA27+s_Irr!AY27)),IF(AND(s_Irr!C27=".",s_Irr!AA27=".",s_Irr!AY27&lt;&gt;"."),s_dir!D27/((1/1000)*(s_Irr!AY27)),IF(AND(s_Irr!C27=".",s_Irr!AA27&lt;&gt;".",s_Irr!AY27="."),s_dir!D27/((1/1000)*(s_Irr!AA27)),IF(AND(s_Irr!C27&lt;&gt;".",s_Irr!AA27=".",s_Irr!AY27="."),s_dir!D27/((1/1000)*(s_Irr!C27)),IF(AND(s_Irr!C27=".",s_Irr!AA27=".",s_Irr!AY27="."),s_dir!D27*1000)))))))),".")</f>
        <v>.</v>
      </c>
      <c r="E27" s="48" t="str">
        <f>IFERROR(IF(AND(s_Irr!D27&lt;&gt;".",s_Irr!AB27&lt;&gt;".",s_Irr!AZ27&lt;&gt;"."),s_dir!E27/((1/1000)*(s_Irr!D27+s_Irr!AB27+s_Irr!AZ27)),IF(AND(s_Irr!D27&lt;&gt;".",s_Irr!AB27&lt;&gt;".",s_Irr!AZ27="."),s_dir!E27/((1/1000)*(s_Irr!D27+s_Irr!AB27)),IF(AND(s_Irr!D27&lt;&gt;".",s_Irr!AB27=".",s_Irr!AZ27&lt;&gt;"."),s_dir!E27/((1/1000)*(s_Irr!D27+s_Irr!AZ27)),IF(AND(s_Irr!D27=".",s_Irr!AB27&lt;&gt;".",s_Irr!AZ27&lt;&gt;"."),s_dir!E27/((1/1000)*(s_Irr!AB27+s_Irr!AZ27)),IF(AND(s_Irr!D27=".",s_Irr!AB27=".",s_Irr!AZ27&lt;&gt;"."),s_dir!E27/((1/1000)*(s_Irr!AZ27)),IF(AND(s_Irr!D27=".",s_Irr!AB27&lt;&gt;".",s_Irr!AZ27="."),s_dir!E27/((1/1000)*(s_Irr!AB27)),IF(AND(s_Irr!D27&lt;&gt;".",s_Irr!AB27=".",s_Irr!AZ27="."),s_dir!E27/((1/1000)*(s_Irr!D27)),IF(AND(s_Irr!D27=".",s_Irr!AB27=".",s_Irr!AZ27="."),s_dir!E27*1000)))))))),".")</f>
        <v>.</v>
      </c>
      <c r="F27" s="48" t="str">
        <f>IFERROR(IF(AND(s_Irr!E27&lt;&gt;".",s_Irr!AC27&lt;&gt;".",s_Irr!BA27&lt;&gt;"."),s_dir!F27/((1/1000)*(s_Irr!E27+s_Irr!AC27+s_Irr!BA27)),IF(AND(s_Irr!E27&lt;&gt;".",s_Irr!AC27&lt;&gt;".",s_Irr!BA27="."),s_dir!F27/((1/1000)*(s_Irr!E27+s_Irr!AC27)),IF(AND(s_Irr!E27&lt;&gt;".",s_Irr!AC27=".",s_Irr!BA27&lt;&gt;"."),s_dir!F27/((1/1000)*(s_Irr!E27+s_Irr!BA27)),IF(AND(s_Irr!E27=".",s_Irr!AC27&lt;&gt;".",s_Irr!BA27&lt;&gt;"."),s_dir!F27/((1/1000)*(s_Irr!AC27+s_Irr!BA27)),IF(AND(s_Irr!E27=".",s_Irr!AC27=".",s_Irr!BA27&lt;&gt;"."),s_dir!F27/((1/1000)*(s_Irr!BA27)),IF(AND(s_Irr!E27=".",s_Irr!AC27&lt;&gt;".",s_Irr!BA27="."),s_dir!F27/((1/1000)*(s_Irr!AC27)),IF(AND(s_Irr!E27&lt;&gt;".",s_Irr!AC27=".",s_Irr!BA27="."),s_dir!F27/((1/1000)*(s_Irr!E27)),IF(AND(s_Irr!E27=".",s_Irr!AC27=".",s_Irr!BA27="."),s_dir!F27*1000)))))))),".")</f>
        <v>.</v>
      </c>
      <c r="G27" s="48" t="str">
        <f>IFERROR(IF(AND(s_Irr!F27&lt;&gt;".",s_Irr!AD27&lt;&gt;".",s_Irr!BB27&lt;&gt;"."),s_dir!G27/((1/1000)*(s_Irr!F27+s_Irr!AD27+s_Irr!BB27)),IF(AND(s_Irr!F27&lt;&gt;".",s_Irr!AD27&lt;&gt;".",s_Irr!BB27="."),s_dir!G27/((1/1000)*(s_Irr!F27+s_Irr!AD27)),IF(AND(s_Irr!F27&lt;&gt;".",s_Irr!AD27=".",s_Irr!BB27&lt;&gt;"."),s_dir!G27/((1/1000)*(s_Irr!F27+s_Irr!BB27)),IF(AND(s_Irr!F27=".",s_Irr!AD27&lt;&gt;".",s_Irr!BB27&lt;&gt;"."),s_dir!G27/((1/1000)*(s_Irr!AD27+s_Irr!BB27)),IF(AND(s_Irr!F27=".",s_Irr!AD27=".",s_Irr!BB27&lt;&gt;"."),s_dir!G27/((1/1000)*(s_Irr!BB27)),IF(AND(s_Irr!F27=".",s_Irr!AD27&lt;&gt;".",s_Irr!BB27="."),s_dir!G27/((1/1000)*(s_Irr!AD27)),IF(AND(s_Irr!F27&lt;&gt;".",s_Irr!AD27=".",s_Irr!BB27="."),s_dir!G27/((1/1000)*(s_Irr!F27)),IF(AND(s_Irr!F27=".",s_Irr!AD27=".",s_Irr!BB27="."),s_dir!G27*1000)))))))),".")</f>
        <v>.</v>
      </c>
      <c r="H27" s="48" t="str">
        <f>IFERROR(IF(AND(s_Irr!G27&lt;&gt;".",s_Irr!AE27&lt;&gt;".",s_Irr!BC27&lt;&gt;"."),s_dir!H27/((1/1000)*(s_Irr!G27+s_Irr!AE27+s_Irr!BC27)),IF(AND(s_Irr!G27&lt;&gt;".",s_Irr!AE27&lt;&gt;".",s_Irr!BC27="."),s_dir!H27/((1/1000)*(s_Irr!G27+s_Irr!AE27)),IF(AND(s_Irr!G27&lt;&gt;".",s_Irr!AE27=".",s_Irr!BC27&lt;&gt;"."),s_dir!H27/((1/1000)*(s_Irr!G27+s_Irr!BC27)),IF(AND(s_Irr!G27=".",s_Irr!AE27&lt;&gt;".",s_Irr!BC27&lt;&gt;"."),s_dir!H27/((1/1000)*(s_Irr!AE27+s_Irr!BC27)),IF(AND(s_Irr!G27=".",s_Irr!AE27=".",s_Irr!BC27&lt;&gt;"."),s_dir!H27/((1/1000)*(s_Irr!BC27)),IF(AND(s_Irr!G27=".",s_Irr!AE27&lt;&gt;".",s_Irr!BC27="."),s_dir!H27/((1/1000)*(s_Irr!AE27)),IF(AND(s_Irr!G27&lt;&gt;".",s_Irr!AE27=".",s_Irr!BC27="."),s_dir!H27/((1/1000)*(s_Irr!G27)),IF(AND(s_Irr!G27=".",s_Irr!AE27=".",s_Irr!BC27="."),s_dir!H27*1000)))))))),".")</f>
        <v>.</v>
      </c>
      <c r="I27" s="48" t="str">
        <f>IFERROR(IF(AND(s_Irr!H27&lt;&gt;".",s_Irr!AF27&lt;&gt;".",s_Irr!BD27&lt;&gt;"."),s_dir!I27/((1/1000)*(s_Irr!H27+s_Irr!AF27+s_Irr!BD27)),IF(AND(s_Irr!H27&lt;&gt;".",s_Irr!AF27&lt;&gt;".",s_Irr!BD27="."),s_dir!I27/((1/1000)*(s_Irr!H27+s_Irr!AF27)),IF(AND(s_Irr!H27&lt;&gt;".",s_Irr!AF27=".",s_Irr!BD27&lt;&gt;"."),s_dir!I27/((1/1000)*(s_Irr!H27+s_Irr!BD27)),IF(AND(s_Irr!H27=".",s_Irr!AF27&lt;&gt;".",s_Irr!BD27&lt;&gt;"."),s_dir!I27/((1/1000)*(s_Irr!AF27+s_Irr!BD27)),IF(AND(s_Irr!H27=".",s_Irr!AF27=".",s_Irr!BD27&lt;&gt;"."),s_dir!I27/((1/1000)*(s_Irr!BD27)),IF(AND(s_Irr!H27=".",s_Irr!AF27&lt;&gt;".",s_Irr!BD27="."),s_dir!I27/((1/1000)*(s_Irr!AF27)),IF(AND(s_Irr!H27&lt;&gt;".",s_Irr!AF27=".",s_Irr!BD27="."),s_dir!I27/((1/1000)*(s_Irr!H27)),IF(AND(s_Irr!H27=".",s_Irr!AF27=".",s_Irr!BD27="."),s_dir!I27*1000)))))))),".")</f>
        <v>.</v>
      </c>
      <c r="J27" s="48" t="str">
        <f>IFERROR(IF(AND(s_Irr!I27&lt;&gt;".",s_Irr!AG27&lt;&gt;".",s_Irr!BE27&lt;&gt;"."),s_dir!J27/((1/1000)*(s_Irr!I27+s_Irr!AG27+s_Irr!BE27)),IF(AND(s_Irr!I27&lt;&gt;".",s_Irr!AG27&lt;&gt;".",s_Irr!BE27="."),s_dir!J27/((1/1000)*(s_Irr!I27+s_Irr!AG27)),IF(AND(s_Irr!I27&lt;&gt;".",s_Irr!AG27=".",s_Irr!BE27&lt;&gt;"."),s_dir!J27/((1/1000)*(s_Irr!I27+s_Irr!BE27)),IF(AND(s_Irr!I27=".",s_Irr!AG27&lt;&gt;".",s_Irr!BE27&lt;&gt;"."),s_dir!J27/((1/1000)*(s_Irr!AG27+s_Irr!BE27)),IF(AND(s_Irr!I27=".",s_Irr!AG27=".",s_Irr!BE27&lt;&gt;"."),s_dir!J27/((1/1000)*(s_Irr!BE27)),IF(AND(s_Irr!I27=".",s_Irr!AG27&lt;&gt;".",s_Irr!BE27="."),s_dir!J27/((1/1000)*(s_Irr!AG27)),IF(AND(s_Irr!I27&lt;&gt;".",s_Irr!AG27=".",s_Irr!BE27="."),s_dir!J27/((1/1000)*(s_Irr!I27)),IF(AND(s_Irr!I27=".",s_Irr!AG27=".",s_Irr!BE27="."),s_dir!J27*1000)))))))),".")</f>
        <v>.</v>
      </c>
      <c r="K27" s="48" t="str">
        <f>IFERROR(IF(AND(s_Irr!J27&lt;&gt;".",s_Irr!AH27&lt;&gt;".",s_Irr!BF27&lt;&gt;"."),s_dir!K27/((1/1000)*(s_Irr!J27+s_Irr!AH27+s_Irr!BF27)),IF(AND(s_Irr!J27&lt;&gt;".",s_Irr!AH27&lt;&gt;".",s_Irr!BF27="."),s_dir!K27/((1/1000)*(s_Irr!J27+s_Irr!AH27)),IF(AND(s_Irr!J27&lt;&gt;".",s_Irr!AH27=".",s_Irr!BF27&lt;&gt;"."),s_dir!K27/((1/1000)*(s_Irr!J27+s_Irr!BF27)),IF(AND(s_Irr!J27=".",s_Irr!AH27&lt;&gt;".",s_Irr!BF27&lt;&gt;"."),s_dir!K27/((1/1000)*(s_Irr!AH27+s_Irr!BF27)),IF(AND(s_Irr!J27=".",s_Irr!AH27=".",s_Irr!BF27&lt;&gt;"."),s_dir!K27/((1/1000)*(s_Irr!BF27)),IF(AND(s_Irr!J27=".",s_Irr!AH27&lt;&gt;".",s_Irr!BF27="."),s_dir!K27/((1/1000)*(s_Irr!AH27)),IF(AND(s_Irr!J27&lt;&gt;".",s_Irr!AH27=".",s_Irr!BF27="."),s_dir!K27/((1/1000)*(s_Irr!J27)),IF(AND(s_Irr!J27=".",s_Irr!AH27=".",s_Irr!BF27="."),s_dir!K27*1000)))))))),".")</f>
        <v>.</v>
      </c>
      <c r="L27" s="48" t="str">
        <f>IFERROR(IF(AND(s_Irr!K27&lt;&gt;".",s_Irr!AI27&lt;&gt;".",s_Irr!BG27&lt;&gt;"."),s_dir!L27/((1/1000)*(s_Irr!K27+s_Irr!AI27+s_Irr!BG27)),IF(AND(s_Irr!K27&lt;&gt;".",s_Irr!AI27&lt;&gt;".",s_Irr!BG27="."),s_dir!L27/((1/1000)*(s_Irr!K27+s_Irr!AI27)),IF(AND(s_Irr!K27&lt;&gt;".",s_Irr!AI27=".",s_Irr!BG27&lt;&gt;"."),s_dir!L27/((1/1000)*(s_Irr!K27+s_Irr!BG27)),IF(AND(s_Irr!K27=".",s_Irr!AI27&lt;&gt;".",s_Irr!BG27&lt;&gt;"."),s_dir!L27/((1/1000)*(s_Irr!AI27+s_Irr!BG27)),IF(AND(s_Irr!K27=".",s_Irr!AI27=".",s_Irr!BG27&lt;&gt;"."),s_dir!L27/((1/1000)*(s_Irr!BG27)),IF(AND(s_Irr!K27=".",s_Irr!AI27&lt;&gt;".",s_Irr!BG27="."),s_dir!L27/((1/1000)*(s_Irr!AI27)),IF(AND(s_Irr!K27&lt;&gt;".",s_Irr!AI27=".",s_Irr!BG27="."),s_dir!L27/((1/1000)*(s_Irr!K27)),IF(AND(s_Irr!K27=".",s_Irr!AI27=".",s_Irr!BG27="."),s_dir!L27*1000)))))))),".")</f>
        <v>.</v>
      </c>
      <c r="M27" s="48" t="str">
        <f>IFERROR(IF(AND(s_Irr!L27&lt;&gt;".",s_Irr!AJ27&lt;&gt;".",s_Irr!BH27&lt;&gt;"."),s_dir!M27/((1/1000)*(s_Irr!L27+s_Irr!AJ27+s_Irr!BH27)),IF(AND(s_Irr!L27&lt;&gt;".",s_Irr!AJ27&lt;&gt;".",s_Irr!BH27="."),s_dir!M27/((1/1000)*(s_Irr!L27+s_Irr!AJ27)),IF(AND(s_Irr!L27&lt;&gt;".",s_Irr!AJ27=".",s_Irr!BH27&lt;&gt;"."),s_dir!M27/((1/1000)*(s_Irr!L27+s_Irr!BH27)),IF(AND(s_Irr!L27=".",s_Irr!AJ27&lt;&gt;".",s_Irr!BH27&lt;&gt;"."),s_dir!M27/((1/1000)*(s_Irr!AJ27+s_Irr!BH27)),IF(AND(s_Irr!L27=".",s_Irr!AJ27=".",s_Irr!BH27&lt;&gt;"."),s_dir!M27/((1/1000)*(s_Irr!BH27)),IF(AND(s_Irr!L27=".",s_Irr!AJ27&lt;&gt;".",s_Irr!BH27="."),s_dir!M27/((1/1000)*(s_Irr!AJ27)),IF(AND(s_Irr!L27&lt;&gt;".",s_Irr!AJ27=".",s_Irr!BH27="."),s_dir!M27/((1/1000)*(s_Irr!L27)),IF(AND(s_Irr!L27=".",s_Irr!AJ27=".",s_Irr!BH27="."),s_dir!M27*1000)))))))),".")</f>
        <v>.</v>
      </c>
      <c r="N27" s="48" t="str">
        <f>IFERROR(IF(AND(s_Irr!M27&lt;&gt;".",s_Irr!AK27&lt;&gt;".",s_Irr!BI27&lt;&gt;"."),s_dir!N27/((1/1000)*(s_Irr!M27+s_Irr!AK27+s_Irr!BI27)),IF(AND(s_Irr!M27&lt;&gt;".",s_Irr!AK27&lt;&gt;".",s_Irr!BI27="."),s_dir!N27/((1/1000)*(s_Irr!M27+s_Irr!AK27)),IF(AND(s_Irr!M27&lt;&gt;".",s_Irr!AK27=".",s_Irr!BI27&lt;&gt;"."),s_dir!N27/((1/1000)*(s_Irr!M27+s_Irr!BI27)),IF(AND(s_Irr!M27=".",s_Irr!AK27&lt;&gt;".",s_Irr!BI27&lt;&gt;"."),s_dir!N27/((1/1000)*(s_Irr!AK27+s_Irr!BI27)),IF(AND(s_Irr!M27=".",s_Irr!AK27=".",s_Irr!BI27&lt;&gt;"."),s_dir!N27/((1/1000)*(s_Irr!BI27)),IF(AND(s_Irr!M27=".",s_Irr!AK27&lt;&gt;".",s_Irr!BI27="."),s_dir!N27/((1/1000)*(s_Irr!AK27)),IF(AND(s_Irr!M27&lt;&gt;".",s_Irr!AK27=".",s_Irr!BI27="."),s_dir!N27/((1/1000)*(s_Irr!M27)),IF(AND(s_Irr!M27=".",s_Irr!AK27=".",s_Irr!BI27="."),s_dir!N27*1000)))))))),".")</f>
        <v>.</v>
      </c>
      <c r="O27" s="48" t="str">
        <f>IFERROR(IF(AND(s_Irr!N27&lt;&gt;".",s_Irr!AL27&lt;&gt;".",s_Irr!BJ27&lt;&gt;"."),s_dir!O27/((1/1000)*(s_Irr!N27+s_Irr!AL27+s_Irr!BJ27)),IF(AND(s_Irr!N27&lt;&gt;".",s_Irr!AL27&lt;&gt;".",s_Irr!BJ27="."),s_dir!O27/((1/1000)*(s_Irr!N27+s_Irr!AL27)),IF(AND(s_Irr!N27&lt;&gt;".",s_Irr!AL27=".",s_Irr!BJ27&lt;&gt;"."),s_dir!O27/((1/1000)*(s_Irr!N27+s_Irr!BJ27)),IF(AND(s_Irr!N27=".",s_Irr!AL27&lt;&gt;".",s_Irr!BJ27&lt;&gt;"."),s_dir!O27/((1/1000)*(s_Irr!AL27+s_Irr!BJ27)),IF(AND(s_Irr!N27=".",s_Irr!AL27=".",s_Irr!BJ27&lt;&gt;"."),s_dir!O27/((1/1000)*(s_Irr!BJ27)),IF(AND(s_Irr!N27=".",s_Irr!AL27&lt;&gt;".",s_Irr!BJ27="."),s_dir!O27/((1/1000)*(s_Irr!AL27)),IF(AND(s_Irr!N27&lt;&gt;".",s_Irr!AL27=".",s_Irr!BJ27="."),s_dir!O27/((1/1000)*(s_Irr!N27)),IF(AND(s_Irr!N27=".",s_Irr!AL27=".",s_Irr!BJ27="."),s_dir!O27*1000)))))))),".")</f>
        <v>.</v>
      </c>
      <c r="P27" s="48" t="str">
        <f>IFERROR(IF(AND(s_Irr!O27&lt;&gt;".",s_Irr!AM27&lt;&gt;".",s_Irr!BK27&lt;&gt;"."),s_dir!P27/((1/1000)*(s_Irr!O27+s_Irr!AM27+s_Irr!BK27)),IF(AND(s_Irr!O27&lt;&gt;".",s_Irr!AM27&lt;&gt;".",s_Irr!BK27="."),s_dir!P27/((1/1000)*(s_Irr!O27+s_Irr!AM27)),IF(AND(s_Irr!O27&lt;&gt;".",s_Irr!AM27=".",s_Irr!BK27&lt;&gt;"."),s_dir!P27/((1/1000)*(s_Irr!O27+s_Irr!BK27)),IF(AND(s_Irr!O27=".",s_Irr!AM27&lt;&gt;".",s_Irr!BK27&lt;&gt;"."),s_dir!P27/((1/1000)*(s_Irr!AM27+s_Irr!BK27)),IF(AND(s_Irr!O27=".",s_Irr!AM27=".",s_Irr!BK27&lt;&gt;"."),s_dir!P27/((1/1000)*(s_Irr!BK27)),IF(AND(s_Irr!O27=".",s_Irr!AM27&lt;&gt;".",s_Irr!BK27="."),s_dir!P27/((1/1000)*(s_Irr!AM27)),IF(AND(s_Irr!O27&lt;&gt;".",s_Irr!AM27=".",s_Irr!BK27="."),s_dir!P27/((1/1000)*(s_Irr!O27)),IF(AND(s_Irr!O27=".",s_Irr!AM27=".",s_Irr!BK27="."),s_dir!P27*1000)))))))),".")</f>
        <v>.</v>
      </c>
      <c r="Q27" s="48" t="str">
        <f>IFERROR(IF(AND(s_Irr!P27&lt;&gt;".",s_Irr!AN27&lt;&gt;".",s_Irr!BL27&lt;&gt;"."),s_dir!Q27/((1/1000)*(s_Irr!P27+s_Irr!AN27+s_Irr!BL27)),IF(AND(s_Irr!P27&lt;&gt;".",s_Irr!AN27&lt;&gt;".",s_Irr!BL27="."),s_dir!Q27/((1/1000)*(s_Irr!P27+s_Irr!AN27)),IF(AND(s_Irr!P27&lt;&gt;".",s_Irr!AN27=".",s_Irr!BL27&lt;&gt;"."),s_dir!Q27/((1/1000)*(s_Irr!P27+s_Irr!BL27)),IF(AND(s_Irr!P27=".",s_Irr!AN27&lt;&gt;".",s_Irr!BL27&lt;&gt;"."),s_dir!Q27/((1/1000)*(s_Irr!AN27+s_Irr!BL27)),IF(AND(s_Irr!P27=".",s_Irr!AN27=".",s_Irr!BL27&lt;&gt;"."),s_dir!Q27/((1/1000)*(s_Irr!BL27)),IF(AND(s_Irr!P27=".",s_Irr!AN27&lt;&gt;".",s_Irr!BL27="."),s_dir!Q27/((1/1000)*(s_Irr!AN27)),IF(AND(s_Irr!P27&lt;&gt;".",s_Irr!AN27=".",s_Irr!BL27="."),s_dir!Q27/((1/1000)*(s_Irr!P27)),IF(AND(s_Irr!P27=".",s_Irr!AN27=".",s_Irr!BL27="."),s_dir!Q27*1000)))))))),".")</f>
        <v>.</v>
      </c>
      <c r="R27" s="48" t="str">
        <f>IFERROR(IF(AND(s_Irr!Q27&lt;&gt;".",s_Irr!AO27&lt;&gt;".",s_Irr!BM27&lt;&gt;"."),s_dir!R27/((1/1000)*(s_Irr!Q27+s_Irr!AO27+s_Irr!BM27)),IF(AND(s_Irr!Q27&lt;&gt;".",s_Irr!AO27&lt;&gt;".",s_Irr!BM27="."),s_dir!R27/((1/1000)*(s_Irr!Q27+s_Irr!AO27)),IF(AND(s_Irr!Q27&lt;&gt;".",s_Irr!AO27=".",s_Irr!BM27&lt;&gt;"."),s_dir!R27/((1/1000)*(s_Irr!Q27+s_Irr!BM27)),IF(AND(s_Irr!Q27=".",s_Irr!AO27&lt;&gt;".",s_Irr!BM27&lt;&gt;"."),s_dir!R27/((1/1000)*(s_Irr!AO27+s_Irr!BM27)),IF(AND(s_Irr!Q27=".",s_Irr!AO27=".",s_Irr!BM27&lt;&gt;"."),s_dir!R27/((1/1000)*(s_Irr!BM27)),IF(AND(s_Irr!Q27=".",s_Irr!AO27&lt;&gt;".",s_Irr!BM27="."),s_dir!R27/((1/1000)*(s_Irr!AO27)),IF(AND(s_Irr!Q27&lt;&gt;".",s_Irr!AO27=".",s_Irr!BM27="."),s_dir!R27/((1/1000)*(s_Irr!Q27)),IF(AND(s_Irr!Q27=".",s_Irr!AO27=".",s_Irr!BM27="."),s_dir!R27*1000)))))))),".")</f>
        <v>.</v>
      </c>
      <c r="S27" s="48" t="str">
        <f>IFERROR(IF(AND(s_Irr!R27&lt;&gt;".",s_Irr!AP27&lt;&gt;".",s_Irr!BN27&lt;&gt;"."),s_dir!S27/((1/1000)*(s_Irr!R27+s_Irr!AP27+s_Irr!BN27)),IF(AND(s_Irr!R27&lt;&gt;".",s_Irr!AP27&lt;&gt;".",s_Irr!BN27="."),s_dir!S27/((1/1000)*(s_Irr!R27+s_Irr!AP27)),IF(AND(s_Irr!R27&lt;&gt;".",s_Irr!AP27=".",s_Irr!BN27&lt;&gt;"."),s_dir!S27/((1/1000)*(s_Irr!R27+s_Irr!BN27)),IF(AND(s_Irr!R27=".",s_Irr!AP27&lt;&gt;".",s_Irr!BN27&lt;&gt;"."),s_dir!S27/((1/1000)*(s_Irr!AP27+s_Irr!BN27)),IF(AND(s_Irr!R27=".",s_Irr!AP27=".",s_Irr!BN27&lt;&gt;"."),s_dir!S27/((1/1000)*(s_Irr!BN27)),IF(AND(s_Irr!R27=".",s_Irr!AP27&lt;&gt;".",s_Irr!BN27="."),s_dir!S27/((1/1000)*(s_Irr!AP27)),IF(AND(s_Irr!R27&lt;&gt;".",s_Irr!AP27=".",s_Irr!BN27="."),s_dir!S27/((1/1000)*(s_Irr!R27)),IF(AND(s_Irr!R27=".",s_Irr!AP27=".",s_Irr!BN27="."),s_dir!S27*1000)))))))),".")</f>
        <v>.</v>
      </c>
      <c r="T27" s="48" t="str">
        <f>IFERROR(IF(AND(s_Irr!S27&lt;&gt;".",s_Irr!AQ27&lt;&gt;".",s_Irr!BO27&lt;&gt;"."),s_dir!T27/((1/1000)*(s_Irr!S27+s_Irr!AQ27+s_Irr!BO27)),IF(AND(s_Irr!S27&lt;&gt;".",s_Irr!AQ27&lt;&gt;".",s_Irr!BO27="."),s_dir!T27/((1/1000)*(s_Irr!S27+s_Irr!AQ27)),IF(AND(s_Irr!S27&lt;&gt;".",s_Irr!AQ27=".",s_Irr!BO27&lt;&gt;"."),s_dir!T27/((1/1000)*(s_Irr!S27+s_Irr!BO27)),IF(AND(s_Irr!S27=".",s_Irr!AQ27&lt;&gt;".",s_Irr!BO27&lt;&gt;"."),s_dir!T27/((1/1000)*(s_Irr!AQ27+s_Irr!BO27)),IF(AND(s_Irr!S27=".",s_Irr!AQ27=".",s_Irr!BO27&lt;&gt;"."),s_dir!T27/((1/1000)*(s_Irr!BO27)),IF(AND(s_Irr!S27=".",s_Irr!AQ27&lt;&gt;".",s_Irr!BO27="."),s_dir!T27/((1/1000)*(s_Irr!AQ27)),IF(AND(s_Irr!S27&lt;&gt;".",s_Irr!AQ27=".",s_Irr!BO27="."),s_dir!T27/((1/1000)*(s_Irr!S27)),IF(AND(s_Irr!S27=".",s_Irr!AQ27=".",s_Irr!BO27="."),s_dir!T27*1000)))))))),".")</f>
        <v>.</v>
      </c>
      <c r="U27" s="48" t="str">
        <f>IFERROR(IF(AND(s_Irr!T27&lt;&gt;".",s_Irr!AR27&lt;&gt;".",s_Irr!BP27&lt;&gt;"."),s_dir!U27/((1/1000)*(s_Irr!T27+s_Irr!AR27+s_Irr!BP27)),IF(AND(s_Irr!T27&lt;&gt;".",s_Irr!AR27&lt;&gt;".",s_Irr!BP27="."),s_dir!U27/((1/1000)*(s_Irr!T27+s_Irr!AR27)),IF(AND(s_Irr!T27&lt;&gt;".",s_Irr!AR27=".",s_Irr!BP27&lt;&gt;"."),s_dir!U27/((1/1000)*(s_Irr!T27+s_Irr!BP27)),IF(AND(s_Irr!T27=".",s_Irr!AR27&lt;&gt;".",s_Irr!BP27&lt;&gt;"."),s_dir!U27/((1/1000)*(s_Irr!AR27+s_Irr!BP27)),IF(AND(s_Irr!T27=".",s_Irr!AR27=".",s_Irr!BP27&lt;&gt;"."),s_dir!U27/((1/1000)*(s_Irr!BP27)),IF(AND(s_Irr!T27=".",s_Irr!AR27&lt;&gt;".",s_Irr!BP27="."),s_dir!U27/((1/1000)*(s_Irr!AR27)),IF(AND(s_Irr!T27&lt;&gt;".",s_Irr!AR27=".",s_Irr!BP27="."),s_dir!U27/((1/1000)*(s_Irr!T27)),IF(AND(s_Irr!T27=".",s_Irr!AR27=".",s_Irr!BP27="."),s_dir!U27*1000)))))))),".")</f>
        <v>.</v>
      </c>
      <c r="V27" s="48" t="str">
        <f>IFERROR(IF(AND(s_Irr!U27&lt;&gt;".",s_Irr!AS27&lt;&gt;".",s_Irr!BQ27&lt;&gt;"."),s_dir!V27/((1/1000)*(s_Irr!U27+s_Irr!AS27+s_Irr!BQ27)),IF(AND(s_Irr!U27&lt;&gt;".",s_Irr!AS27&lt;&gt;".",s_Irr!BQ27="."),s_dir!V27/((1/1000)*(s_Irr!U27+s_Irr!AS27)),IF(AND(s_Irr!U27&lt;&gt;".",s_Irr!AS27=".",s_Irr!BQ27&lt;&gt;"."),s_dir!V27/((1/1000)*(s_Irr!U27+s_Irr!BQ27)),IF(AND(s_Irr!U27=".",s_Irr!AS27&lt;&gt;".",s_Irr!BQ27&lt;&gt;"."),s_dir!V27/((1/1000)*(s_Irr!AS27+s_Irr!BQ27)),IF(AND(s_Irr!U27=".",s_Irr!AS27=".",s_Irr!BQ27&lt;&gt;"."),s_dir!V27/((1/1000)*(s_Irr!BQ27)),IF(AND(s_Irr!U27=".",s_Irr!AS27&lt;&gt;".",s_Irr!BQ27="."),s_dir!V27/((1/1000)*(s_Irr!AS27)),IF(AND(s_Irr!U27&lt;&gt;".",s_Irr!AS27=".",s_Irr!BQ27="."),s_dir!V27/((1/1000)*(s_Irr!U27)),IF(AND(s_Irr!U27=".",s_Irr!AS27=".",s_Irr!BQ27="."),s_dir!V27*1000)))))))),".")</f>
        <v>.</v>
      </c>
      <c r="W27" s="48" t="str">
        <f>IFERROR(IF(AND(s_Irr!V27&lt;&gt;".",s_Irr!AT27&lt;&gt;".",s_Irr!BR27&lt;&gt;"."),s_dir!W27/((1/1000)*(s_Irr!V27+s_Irr!AT27+s_Irr!BR27)),IF(AND(s_Irr!V27&lt;&gt;".",s_Irr!AT27&lt;&gt;".",s_Irr!BR27="."),s_dir!W27/((1/1000)*(s_Irr!V27+s_Irr!AT27)),IF(AND(s_Irr!V27&lt;&gt;".",s_Irr!AT27=".",s_Irr!BR27&lt;&gt;"."),s_dir!W27/((1/1000)*(s_Irr!V27+s_Irr!BR27)),IF(AND(s_Irr!V27=".",s_Irr!AT27&lt;&gt;".",s_Irr!BR27&lt;&gt;"."),s_dir!W27/((1/1000)*(s_Irr!AT27+s_Irr!BR27)),IF(AND(s_Irr!V27=".",s_Irr!AT27=".",s_Irr!BR27&lt;&gt;"."),s_dir!W27/((1/1000)*(s_Irr!BR27)),IF(AND(s_Irr!V27=".",s_Irr!AT27&lt;&gt;".",s_Irr!BR27="."),s_dir!W27/((1/1000)*(s_Irr!AT27)),IF(AND(s_Irr!V27&lt;&gt;".",s_Irr!AT27=".",s_Irr!BR27="."),s_dir!W27/((1/1000)*(s_Irr!V27)),IF(AND(s_Irr!V27=".",s_Irr!AT27=".",s_Irr!BR27="."),s_dir!W27*1000)))))))),".")</f>
        <v>.</v>
      </c>
      <c r="X27" s="48" t="str">
        <f>IFERROR(IF(AND(s_Irr!W27&lt;&gt;".",s_Irr!AU27&lt;&gt;".",s_Irr!BS27&lt;&gt;"."),s_dir!X27/((1/1000)*(s_Irr!W27+s_Irr!AU27+s_Irr!BS27)),IF(AND(s_Irr!W27&lt;&gt;".",s_Irr!AU27&lt;&gt;".",s_Irr!BS27="."),s_dir!X27/((1/1000)*(s_Irr!W27+s_Irr!AU27)),IF(AND(s_Irr!W27&lt;&gt;".",s_Irr!AU27=".",s_Irr!BS27&lt;&gt;"."),s_dir!X27/((1/1000)*(s_Irr!W27+s_Irr!BS27)),IF(AND(s_Irr!W27=".",s_Irr!AU27&lt;&gt;".",s_Irr!BS27&lt;&gt;"."),s_dir!X27/((1/1000)*(s_Irr!AU27+s_Irr!BS27)),IF(AND(s_Irr!W27=".",s_Irr!AU27=".",s_Irr!BS27&lt;&gt;"."),s_dir!X27/((1/1000)*(s_Irr!BS27)),IF(AND(s_Irr!W27=".",s_Irr!AU27&lt;&gt;".",s_Irr!BS27="."),s_dir!X27/((1/1000)*(s_Irr!AU27)),IF(AND(s_Irr!W27&lt;&gt;".",s_Irr!AU27=".",s_Irr!BS27="."),s_dir!X27/((1/1000)*(s_Irr!W27)),IF(AND(s_Irr!W27=".",s_Irr!AU27=".",s_Irr!BS27="."),s_dir!X27*1000)))))))),".")</f>
        <v>.</v>
      </c>
      <c r="Y27" s="48" t="str">
        <f>IFERROR(IF(AND(s_Irr!X27&lt;&gt;".",s_Irr!AV27&lt;&gt;".",s_Irr!BT27&lt;&gt;"."),s_dir!Y27/((1/1000)*(s_Irr!X27+s_Irr!AV27+s_Irr!BT27)),IF(AND(s_Irr!X27&lt;&gt;".",s_Irr!AV27&lt;&gt;".",s_Irr!BT27="."),s_dir!Y27/((1/1000)*(s_Irr!X27+s_Irr!AV27)),IF(AND(s_Irr!X27&lt;&gt;".",s_Irr!AV27=".",s_Irr!BT27&lt;&gt;"."),s_dir!Y27/((1/1000)*(s_Irr!X27+s_Irr!BT27)),IF(AND(s_Irr!X27=".",s_Irr!AV27&lt;&gt;".",s_Irr!BT27&lt;&gt;"."),s_dir!Y27/((1/1000)*(s_Irr!AV27+s_Irr!BT27)),IF(AND(s_Irr!X27=".",s_Irr!AV27=".",s_Irr!BT27&lt;&gt;"."),s_dir!Y27/((1/1000)*(s_Irr!BT27)),IF(AND(s_Irr!X27=".",s_Irr!AV27&lt;&gt;".",s_Irr!BT27="."),s_dir!Y27/((1/1000)*(s_Irr!AV27)),IF(AND(s_Irr!X27&lt;&gt;".",s_Irr!AV27=".",s_Irr!BT27="."),s_dir!Y27/((1/1000)*(s_Irr!X27)),IF(AND(s_Irr!X27=".",s_Irr!AV27=".",s_Irr!BT27="."),s_dir!Y27*1000)))))))),".")</f>
        <v>.</v>
      </c>
      <c r="Z27" s="48" t="str">
        <f>IFERROR(IF(AND(s_Irr!Y27&lt;&gt;".",s_Irr!AW27&lt;&gt;".",s_Irr!BU27&lt;&gt;"."),s_dir!Z27/((1/1000)*(s_Irr!Y27+s_Irr!AW27+s_Irr!BU27)),IF(AND(s_Irr!Y27&lt;&gt;".",s_Irr!AW27&lt;&gt;".",s_Irr!BU27="."),s_dir!Z27/((1/1000)*(s_Irr!Y27+s_Irr!AW27)),IF(AND(s_Irr!Y27&lt;&gt;".",s_Irr!AW27=".",s_Irr!BU27&lt;&gt;"."),s_dir!Z27/((1/1000)*(s_Irr!Y27+s_Irr!BU27)),IF(AND(s_Irr!Y27=".",s_Irr!AW27&lt;&gt;".",s_Irr!BU27&lt;&gt;"."),s_dir!Z27/((1/1000)*(s_Irr!AW27+s_Irr!BU27)),IF(AND(s_Irr!Y27=".",s_Irr!AW27=".",s_Irr!BU27&lt;&gt;"."),s_dir!Z27/((1/1000)*(s_Irr!BU27)),IF(AND(s_Irr!Y27=".",s_Irr!AW27&lt;&gt;".",s_Irr!BU27="."),s_dir!Z27/((1/1000)*(s_Irr!AW27)),IF(AND(s_Irr!Y27&lt;&gt;".",s_Irr!AW27=".",s_Irr!BU27="."),s_dir!Z27/((1/1000)*(s_Irr!Y27)),IF(AND(s_Irr!Y27=".",s_Irr!AW27=".",s_Irr!BU27="."),s_dir!Z27*1000)))))))),".")</f>
        <v>.</v>
      </c>
      <c r="AA27" s="48" t="str">
        <f>IFERROR(IF(AND(s_Irr!Z27&lt;&gt;".",s_Irr!AX27&lt;&gt;".",s_Irr!BV27&lt;&gt;"."),s_dir!AA27/((1/1000)*(s_Irr!Z27+s_Irr!AX27+s_Irr!BV27)),IF(AND(s_Irr!Z27&lt;&gt;".",s_Irr!AX27&lt;&gt;".",s_Irr!BV27="."),s_dir!AA27/((1/1000)*(s_Irr!Z27+s_Irr!AX27)),IF(AND(s_Irr!Z27&lt;&gt;".",s_Irr!AX27=".",s_Irr!BV27&lt;&gt;"."),s_dir!AA27/((1/1000)*(s_Irr!Z27+s_Irr!BV27)),IF(AND(s_Irr!Z27=".",s_Irr!AX27&lt;&gt;".",s_Irr!BV27&lt;&gt;"."),s_dir!AA27/((1/1000)*(s_Irr!AX27+s_Irr!BV27)),IF(AND(s_Irr!Z27=".",s_Irr!AX27=".",s_Irr!BV27&lt;&gt;"."),s_dir!AA27/((1/1000)*(s_Irr!BV27)),IF(AND(s_Irr!Z27=".",s_Irr!AX27&lt;&gt;".",s_Irr!BV27="."),s_dir!AA27/((1/1000)*(s_Irr!AX27)),IF(AND(s_Irr!Z27&lt;&gt;".",s_Irr!AX27=".",s_Irr!BV27="."),s_dir!AA27/((1/1000)*(s_Irr!Z27)),IF(AND(s_Irr!Z27=".",s_Irr!AX27=".",s_Irr!BV27="."),s_dir!AA27*1000)))))))),".")</f>
        <v>.</v>
      </c>
      <c r="AB27" s="62">
        <f t="shared" si="3"/>
        <v>866.5612368029615</v>
      </c>
      <c r="AC27" s="62">
        <f>IFERROR(s_C*s_IFAP_res_adj*s_CF_apple*0.001*(s_Irr!C27+s_Irr!AA27+s_Irr!AY27),".")</f>
        <v>88.577324247385889</v>
      </c>
      <c r="AD27" s="62">
        <f>IFERROR(s_C*s_IFAS_res_adj*s_CF_asparagus*0.001*(s_Irr!D27+s_Irr!AB27+s_Irr!AZ27),".")</f>
        <v>89.65924969287353</v>
      </c>
      <c r="AE27" s="62">
        <f>IFERROR(s_C*s_IFBT_res_adj*s_CF_beet*0.001*(s_Irr!E27+s_Irr!AC27+s_Irr!BA27),".")</f>
        <v>88.577324247385889</v>
      </c>
      <c r="AF27" s="62">
        <f>IFERROR(s_C*s_IFBE_res_adj*s_CF_berries*0.001*(s_Irr!F27+s_Irr!AD27+s_Irr!BB27),".")</f>
        <v>88.577324247385889</v>
      </c>
      <c r="AG27" s="62">
        <f>IFERROR(s_C*s_IFBR_res_adj*s_CF_broccoli*0.001*(s_Irr!G27+s_Irr!AE27+s_Irr!BC27),".")</f>
        <v>88.577324247385889</v>
      </c>
      <c r="AH27" s="62">
        <f>IFERROR(s_C*s_IFCB_res_adj*s_CF_cabbage*0.001*(s_Irr!H27+s_Irr!AF27+s_Irr!BD27),".")</f>
        <v>89.65924969287353</v>
      </c>
      <c r="AI27" s="62">
        <f>IFERROR(s_C*s_IFCR_res_adj*s_CF_carrot*0.001*(s_Irr!I27+s_Irr!AG27+s_Irr!BE27),".")</f>
        <v>88.577324247385889</v>
      </c>
      <c r="AJ27" s="62">
        <f>IFERROR(s_C*s_IFCI_res_adj*s_CF_citrus*0.001*(s_Irr!J27+s_Irr!AH27+s_Irr!BF27),".")</f>
        <v>88.577324247385889</v>
      </c>
      <c r="AK27" s="62">
        <f>IFERROR(s_C*s_IFCO_res_adj*s_CF_corn*0.001*(s_Irr!K27+s_Irr!AI27+s_Irr!BG27),".")</f>
        <v>88.577324247385889</v>
      </c>
      <c r="AL27" s="62">
        <f>IFERROR(s_C*s_IFCU_res_adj*s_CF_cucumber*0.001*(s_Irr!L27+s_Irr!AJ27+s_Irr!BH27),".")</f>
        <v>88.577324247385889</v>
      </c>
      <c r="AM27" s="62">
        <f>IFERROR(s_C*s_IFLE_res_adj*s_CF_lettuce*0.001*(s_Irr!M27+s_Irr!AK27+s_Irr!BI27),".")</f>
        <v>89.65924969287353</v>
      </c>
      <c r="AN27" s="62">
        <f>IFERROR(s_C*s_IFLI_res_adj*s_CF_lima_bean*0.001*(s_Irr!N27+s_Irr!AL27+s_Irr!BJ27),".")</f>
        <v>88.577324247385889</v>
      </c>
      <c r="AO27" s="62">
        <f>IFERROR(s_C*s_IFOK_res_adj*s_CF_okra*0.001*(s_Irr!O27+s_Irr!AM27+s_Irr!BK27),".")</f>
        <v>88.577324247385889</v>
      </c>
      <c r="AP27" s="62">
        <f>IFERROR(s_C*s_IFON_res_adj*s_CF_onion*0.001*(s_Irr!P27+s_Irr!AN27+s_Irr!BL27),".")</f>
        <v>88.577324247385889</v>
      </c>
      <c r="AQ27" s="62">
        <f>IFERROR(s_C*s_IFPC_res_adj*s_CF_peach*0.001*(s_Irr!Q27+s_Irr!AO27+s_Irr!BM27),".")</f>
        <v>88.577324247385889</v>
      </c>
      <c r="AR27" s="62">
        <f>IFERROR(s_C*s_IFPR_res_adj*s_CF_pear*0.001*(s_Irr!R27+s_Irr!AP27+s_Irr!BN27),".")</f>
        <v>88.577324247385889</v>
      </c>
      <c r="AS27" s="62">
        <f>IFERROR(s_C*s_IFPE_res_adj*s_CF_peas*0.001*(s_Irr!S27+s_Irr!AQ27+s_Irr!BO27),".")</f>
        <v>88.577324247385889</v>
      </c>
      <c r="AT27" s="62">
        <f>IFERROR(s_C*s_IFPT_res_adj*s_CF_potato*0.001*(s_Irr!T27+s_Irr!AR27+s_Irr!BP27),".")</f>
        <v>88.577324247385889</v>
      </c>
      <c r="AU27" s="62">
        <f>IFERROR(s_C*s_IFPU_res_adj*s_CF_pumpkin*0.001*(s_Irr!U27+s_Irr!AS27+s_Irr!BQ27),".")</f>
        <v>88.577324247385889</v>
      </c>
      <c r="AV27" s="62">
        <f>IFERROR(s_C*s_IFSN_res_adj*s_CF_snap_bean*0.001*(s_Irr!V27+s_Irr!AT27+s_Irr!BR27),".")</f>
        <v>88.577324247385889</v>
      </c>
      <c r="AW27" s="62">
        <f>IFERROR(s_C*s_IFST_res_adj*s_CF_strawberry*0.001*(s_Irr!W27+s_Irr!AU27+s_Irr!BS27),".")</f>
        <v>88.577324247385889</v>
      </c>
      <c r="AX27" s="62">
        <f>IFERROR(s_C*s_IFTO_res_adj*s_CF_tomato*0.001*(s_Irr!X27+s_Irr!AV27+s_Irr!BT27),".")</f>
        <v>88.577324247385889</v>
      </c>
      <c r="AY27" s="62">
        <f>IFERROR(s_C*s_IFRI_res_adj*s_CF_rice*0.001*(s_Irr!Y27+s_Irr!AW27+s_Irr!BU27),".")</f>
        <v>388.99195627778778</v>
      </c>
      <c r="AZ27" s="62">
        <f>IFERROR(s_C*s_IFCG_res_adj*s_CF_cereal*0.001*(s_Irr!Z27+s_Irr!AX27+s_Irr!BV27),".")</f>
        <v>388.99195627778778</v>
      </c>
      <c r="BA27" s="48" t="str">
        <f t="shared" si="0"/>
        <v>.</v>
      </c>
      <c r="BB27" s="48" t="str">
        <f>IFERROR(IF(AND(s_Irr!C27&lt;&gt;".",s_Irr!AA27&lt;&gt;".",s_Irr!AY27&lt;&gt;"."),s_dir!AC27/((1/1000)*(s_Irr!C27+s_Irr!AA27+s_Irr!AY27)),IF(AND(s_Irr!C27&lt;&gt;".",s_Irr!AA27&lt;&gt;".",s_Irr!AY27="."),s_dir!AC27/((1/1000)*(s_Irr!C27+s_Irr!AA27)),IF(AND(s_Irr!C27&lt;&gt;".",s_Irr!AA27=".",s_Irr!AY27&lt;&gt;"."),s_dir!AC27/((1/1000)*(s_Irr!C27+s_Irr!AY27)),IF(AND(s_Irr!C27=".",s_Irr!AA27&lt;&gt;".",s_Irr!AY27&lt;&gt;"."),s_dir!AC27/((1/1000)*(s_Irr!AA27+s_Irr!AY27)),IF(AND(s_Irr!C27=".",s_Irr!AA27=".",s_Irr!AY27&lt;&gt;"."),s_dir!AC27/((1/1000)*(s_Irr!AY27)),IF(AND(s_Irr!C27=".",s_Irr!AA27&lt;&gt;".",s_Irr!AY27="."),s_dir!AC27/((1/1000)*(s_Irr!AA27)),IF(AND(s_Irr!C27&lt;&gt;".",s_Irr!AA27=".",s_Irr!AY27="."),s_dir!AC27/((1/1000)*(s_Irr!C27)),IF(AND(s_Irr!C27=".",s_Irr!AA27=".",s_Irr!AY27="."),s_dir!AC27*1000)))))))),".")</f>
        <v>.</v>
      </c>
      <c r="BC27" s="48" t="str">
        <f>IFERROR(IF(AND(s_Irr!D27&lt;&gt;".",s_Irr!AB27&lt;&gt;".",s_Irr!AZ27&lt;&gt;"."),s_dir!AD27/((1/1000)*(s_Irr!D27+s_Irr!AB27+s_Irr!AZ27)),IF(AND(s_Irr!D27&lt;&gt;".",s_Irr!AB27&lt;&gt;".",s_Irr!AZ27="."),s_dir!AD27/((1/1000)*(s_Irr!D27+s_Irr!AB27)),IF(AND(s_Irr!D27&lt;&gt;".",s_Irr!AB27=".",s_Irr!AZ27&lt;&gt;"."),s_dir!AD27/((1/1000)*(s_Irr!D27+s_Irr!AZ27)),IF(AND(s_Irr!D27=".",s_Irr!AB27&lt;&gt;".",s_Irr!AZ27&lt;&gt;"."),s_dir!AD27/((1/1000)*(s_Irr!AB27+s_Irr!AZ27)),IF(AND(s_Irr!D27=".",s_Irr!AB27=".",s_Irr!AZ27&lt;&gt;"."),s_dir!AD27/((1/1000)*(s_Irr!AZ27)),IF(AND(s_Irr!D27=".",s_Irr!AB27&lt;&gt;".",s_Irr!AZ27="."),s_dir!AD27/((1/1000)*(s_Irr!AB27)),IF(AND(s_Irr!D27&lt;&gt;".",s_Irr!AB27=".",s_Irr!AZ27="."),s_dir!AD27/((1/1000)*(s_Irr!D27)),IF(AND(s_Irr!D27=".",s_Irr!AB27=".",s_Irr!AZ27="."),s_dir!AD27*1000)))))))),".")</f>
        <v>.</v>
      </c>
      <c r="BD27" s="48" t="str">
        <f>IFERROR(IF(AND(s_Irr!E27&lt;&gt;".",s_Irr!AC27&lt;&gt;".",s_Irr!BA27&lt;&gt;"."),s_dir!AE27/((1/1000)*(s_Irr!E27+s_Irr!AC27+s_Irr!BA27)),IF(AND(s_Irr!E27&lt;&gt;".",s_Irr!AC27&lt;&gt;".",s_Irr!BA27="."),s_dir!AE27/((1/1000)*(s_Irr!E27+s_Irr!AC27)),IF(AND(s_Irr!E27&lt;&gt;".",s_Irr!AC27=".",s_Irr!BA27&lt;&gt;"."),s_dir!AE27/((1/1000)*(s_Irr!E27+s_Irr!BA27)),IF(AND(s_Irr!E27=".",s_Irr!AC27&lt;&gt;".",s_Irr!BA27&lt;&gt;"."),s_dir!AE27/((1/1000)*(s_Irr!AC27+s_Irr!BA27)),IF(AND(s_Irr!E27=".",s_Irr!AC27=".",s_Irr!BA27&lt;&gt;"."),s_dir!AE27/((1/1000)*(s_Irr!BA27)),IF(AND(s_Irr!E27=".",s_Irr!AC27&lt;&gt;".",s_Irr!BA27="."),s_dir!AE27/((1/1000)*(s_Irr!AC27)),IF(AND(s_Irr!E27&lt;&gt;".",s_Irr!AC27=".",s_Irr!BA27="."),s_dir!AE27/((1/1000)*(s_Irr!E27)),IF(AND(s_Irr!E27=".",s_Irr!AC27=".",s_Irr!BA27="."),s_dir!AE27*1000)))))))),".")</f>
        <v>.</v>
      </c>
      <c r="BE27" s="48" t="str">
        <f>IFERROR(IF(AND(s_Irr!F27&lt;&gt;".",s_Irr!AD27&lt;&gt;".",s_Irr!BB27&lt;&gt;"."),s_dir!AF27/((1/1000)*(s_Irr!F27+s_Irr!AD27+s_Irr!BB27)),IF(AND(s_Irr!F27&lt;&gt;".",s_Irr!AD27&lt;&gt;".",s_Irr!BB27="."),s_dir!AF27/((1/1000)*(s_Irr!F27+s_Irr!AD27)),IF(AND(s_Irr!F27&lt;&gt;".",s_Irr!AD27=".",s_Irr!BB27&lt;&gt;"."),s_dir!AF27/((1/1000)*(s_Irr!F27+s_Irr!BB27)),IF(AND(s_Irr!F27=".",s_Irr!AD27&lt;&gt;".",s_Irr!BB27&lt;&gt;"."),s_dir!AF27/((1/1000)*(s_Irr!AD27+s_Irr!BB27)),IF(AND(s_Irr!F27=".",s_Irr!AD27=".",s_Irr!BB27&lt;&gt;"."),s_dir!AF27/((1/1000)*(s_Irr!BB27)),IF(AND(s_Irr!F27=".",s_Irr!AD27&lt;&gt;".",s_Irr!BB27="."),s_dir!AF27/((1/1000)*(s_Irr!AD27)),IF(AND(s_Irr!F27&lt;&gt;".",s_Irr!AD27=".",s_Irr!BB27="."),s_dir!AF27/((1/1000)*(s_Irr!F27)),IF(AND(s_Irr!F27=".",s_Irr!AD27=".",s_Irr!BB27="."),s_dir!AF27*1000)))))))),".")</f>
        <v>.</v>
      </c>
      <c r="BF27" s="48" t="str">
        <f>IFERROR(IF(AND(s_Irr!G27&lt;&gt;".",s_Irr!AE27&lt;&gt;".",s_Irr!BC27&lt;&gt;"."),s_dir!AG27/((1/1000)*(s_Irr!G27+s_Irr!AE27+s_Irr!BC27)),IF(AND(s_Irr!G27&lt;&gt;".",s_Irr!AE27&lt;&gt;".",s_Irr!BC27="."),s_dir!AG27/((1/1000)*(s_Irr!G27+s_Irr!AE27)),IF(AND(s_Irr!G27&lt;&gt;".",s_Irr!AE27=".",s_Irr!BC27&lt;&gt;"."),s_dir!AG27/((1/1000)*(s_Irr!G27+s_Irr!BC27)),IF(AND(s_Irr!G27=".",s_Irr!AE27&lt;&gt;".",s_Irr!BC27&lt;&gt;"."),s_dir!AG27/((1/1000)*(s_Irr!AE27+s_Irr!BC27)),IF(AND(s_Irr!G27=".",s_Irr!AE27=".",s_Irr!BC27&lt;&gt;"."),s_dir!AG27/((1/1000)*(s_Irr!BC27)),IF(AND(s_Irr!G27=".",s_Irr!AE27&lt;&gt;".",s_Irr!BC27="."),s_dir!AG27/((1/1000)*(s_Irr!AE27)),IF(AND(s_Irr!G27&lt;&gt;".",s_Irr!AE27=".",s_Irr!BC27="."),s_dir!AG27/((1/1000)*(s_Irr!G27)),IF(AND(s_Irr!G27=".",s_Irr!AE27=".",s_Irr!BC27="."),s_dir!AG27*1000)))))))),".")</f>
        <v>.</v>
      </c>
      <c r="BG27" s="48" t="str">
        <f>IFERROR(IF(AND(s_Irr!H27&lt;&gt;".",s_Irr!AF27&lt;&gt;".",s_Irr!BD27&lt;&gt;"."),s_dir!AH27/((1/1000)*(s_Irr!H27+s_Irr!AF27+s_Irr!BD27)),IF(AND(s_Irr!H27&lt;&gt;".",s_Irr!AF27&lt;&gt;".",s_Irr!BD27="."),s_dir!AH27/((1/1000)*(s_Irr!H27+s_Irr!AF27)),IF(AND(s_Irr!H27&lt;&gt;".",s_Irr!AF27=".",s_Irr!BD27&lt;&gt;"."),s_dir!AH27/((1/1000)*(s_Irr!H27+s_Irr!BD27)),IF(AND(s_Irr!H27=".",s_Irr!AF27&lt;&gt;".",s_Irr!BD27&lt;&gt;"."),s_dir!AH27/((1/1000)*(s_Irr!AF27+s_Irr!BD27)),IF(AND(s_Irr!H27=".",s_Irr!AF27=".",s_Irr!BD27&lt;&gt;"."),s_dir!AH27/((1/1000)*(s_Irr!BD27)),IF(AND(s_Irr!H27=".",s_Irr!AF27&lt;&gt;".",s_Irr!BD27="."),s_dir!AH27/((1/1000)*(s_Irr!AF27)),IF(AND(s_Irr!H27&lt;&gt;".",s_Irr!AF27=".",s_Irr!BD27="."),s_dir!AH27/((1/1000)*(s_Irr!H27)),IF(AND(s_Irr!H27=".",s_Irr!AF27=".",s_Irr!BD27="."),s_dir!AH27*1000)))))))),".")</f>
        <v>.</v>
      </c>
      <c r="BH27" s="48" t="str">
        <f>IFERROR(IF(AND(s_Irr!I27&lt;&gt;".",s_Irr!AG27&lt;&gt;".",s_Irr!BE27&lt;&gt;"."),s_dir!AI27/((1/1000)*(s_Irr!I27+s_Irr!AG27+s_Irr!BE27)),IF(AND(s_Irr!I27&lt;&gt;".",s_Irr!AG27&lt;&gt;".",s_Irr!BE27="."),s_dir!AI27/((1/1000)*(s_Irr!I27+s_Irr!AG27)),IF(AND(s_Irr!I27&lt;&gt;".",s_Irr!AG27=".",s_Irr!BE27&lt;&gt;"."),s_dir!AI27/((1/1000)*(s_Irr!I27+s_Irr!BE27)),IF(AND(s_Irr!I27=".",s_Irr!AG27&lt;&gt;".",s_Irr!BE27&lt;&gt;"."),s_dir!AI27/((1/1000)*(s_Irr!AG27+s_Irr!BE27)),IF(AND(s_Irr!I27=".",s_Irr!AG27=".",s_Irr!BE27&lt;&gt;"."),s_dir!AI27/((1/1000)*(s_Irr!BE27)),IF(AND(s_Irr!I27=".",s_Irr!AG27&lt;&gt;".",s_Irr!BE27="."),s_dir!AI27/((1/1000)*(s_Irr!AG27)),IF(AND(s_Irr!I27&lt;&gt;".",s_Irr!AG27=".",s_Irr!BE27="."),s_dir!AI27/((1/1000)*(s_Irr!I27)),IF(AND(s_Irr!I27=".",s_Irr!AG27=".",s_Irr!BE27="."),s_dir!AI27*1000)))))))),".")</f>
        <v>.</v>
      </c>
      <c r="BI27" s="48" t="str">
        <f>IFERROR(IF(AND(s_Irr!J27&lt;&gt;".",s_Irr!AH27&lt;&gt;".",s_Irr!BF27&lt;&gt;"."),s_dir!AJ27/((1/1000)*(s_Irr!J27+s_Irr!AH27+s_Irr!BF27)),IF(AND(s_Irr!J27&lt;&gt;".",s_Irr!AH27&lt;&gt;".",s_Irr!BF27="."),s_dir!AJ27/((1/1000)*(s_Irr!J27+s_Irr!AH27)),IF(AND(s_Irr!J27&lt;&gt;".",s_Irr!AH27=".",s_Irr!BF27&lt;&gt;"."),s_dir!AJ27/((1/1000)*(s_Irr!J27+s_Irr!BF27)),IF(AND(s_Irr!J27=".",s_Irr!AH27&lt;&gt;".",s_Irr!BF27&lt;&gt;"."),s_dir!AJ27/((1/1000)*(s_Irr!AH27+s_Irr!BF27)),IF(AND(s_Irr!J27=".",s_Irr!AH27=".",s_Irr!BF27&lt;&gt;"."),s_dir!AJ27/((1/1000)*(s_Irr!BF27)),IF(AND(s_Irr!J27=".",s_Irr!AH27&lt;&gt;".",s_Irr!BF27="."),s_dir!AJ27/((1/1000)*(s_Irr!AH27)),IF(AND(s_Irr!J27&lt;&gt;".",s_Irr!AH27=".",s_Irr!BF27="."),s_dir!AJ27/((1/1000)*(s_Irr!J27)),IF(AND(s_Irr!J27=".",s_Irr!AH27=".",s_Irr!BF27="."),s_dir!AJ27*1000)))))))),".")</f>
        <v>.</v>
      </c>
      <c r="BJ27" s="48" t="str">
        <f>IFERROR(IF(AND(s_Irr!K27&lt;&gt;".",s_Irr!AI27&lt;&gt;".",s_Irr!BG27&lt;&gt;"."),s_dir!AK27/((1/1000)*(s_Irr!K27+s_Irr!AI27+s_Irr!BG27)),IF(AND(s_Irr!K27&lt;&gt;".",s_Irr!AI27&lt;&gt;".",s_Irr!BG27="."),s_dir!AK27/((1/1000)*(s_Irr!K27+s_Irr!AI27)),IF(AND(s_Irr!K27&lt;&gt;".",s_Irr!AI27=".",s_Irr!BG27&lt;&gt;"."),s_dir!AK27/((1/1000)*(s_Irr!K27+s_Irr!BG27)),IF(AND(s_Irr!K27=".",s_Irr!AI27&lt;&gt;".",s_Irr!BG27&lt;&gt;"."),s_dir!AK27/((1/1000)*(s_Irr!AI27+s_Irr!BG27)),IF(AND(s_Irr!K27=".",s_Irr!AI27=".",s_Irr!BG27&lt;&gt;"."),s_dir!AK27/((1/1000)*(s_Irr!BG27)),IF(AND(s_Irr!K27=".",s_Irr!AI27&lt;&gt;".",s_Irr!BG27="."),s_dir!AK27/((1/1000)*(s_Irr!AI27)),IF(AND(s_Irr!K27&lt;&gt;".",s_Irr!AI27=".",s_Irr!BG27="."),s_dir!AK27/((1/1000)*(s_Irr!K27)),IF(AND(s_Irr!K27=".",s_Irr!AI27=".",s_Irr!BG27="."),s_dir!AK27*1000)))))))),".")</f>
        <v>.</v>
      </c>
      <c r="BK27" s="48" t="str">
        <f>IFERROR(IF(AND(s_Irr!L27&lt;&gt;".",s_Irr!AJ27&lt;&gt;".",s_Irr!BH27&lt;&gt;"."),s_dir!AL27/((1/1000)*(s_Irr!L27+s_Irr!AJ27+s_Irr!BH27)),IF(AND(s_Irr!L27&lt;&gt;".",s_Irr!AJ27&lt;&gt;".",s_Irr!BH27="."),s_dir!AL27/((1/1000)*(s_Irr!L27+s_Irr!AJ27)),IF(AND(s_Irr!L27&lt;&gt;".",s_Irr!AJ27=".",s_Irr!BH27&lt;&gt;"."),s_dir!AL27/((1/1000)*(s_Irr!L27+s_Irr!BH27)),IF(AND(s_Irr!L27=".",s_Irr!AJ27&lt;&gt;".",s_Irr!BH27&lt;&gt;"."),s_dir!AL27/((1/1000)*(s_Irr!AJ27+s_Irr!BH27)),IF(AND(s_Irr!L27=".",s_Irr!AJ27=".",s_Irr!BH27&lt;&gt;"."),s_dir!AL27/((1/1000)*(s_Irr!BH27)),IF(AND(s_Irr!L27=".",s_Irr!AJ27&lt;&gt;".",s_Irr!BH27="."),s_dir!AL27/((1/1000)*(s_Irr!AJ27)),IF(AND(s_Irr!L27&lt;&gt;".",s_Irr!AJ27=".",s_Irr!BH27="."),s_dir!AL27/((1/1000)*(s_Irr!L27)),IF(AND(s_Irr!L27=".",s_Irr!AJ27=".",s_Irr!BH27="."),s_dir!AL27*1000)))))))),".")</f>
        <v>.</v>
      </c>
      <c r="BL27" s="48" t="str">
        <f>IFERROR(IF(AND(s_Irr!M27&lt;&gt;".",s_Irr!AK27&lt;&gt;".",s_Irr!BI27&lt;&gt;"."),s_dir!AM27/((1/1000)*(s_Irr!M27+s_Irr!AK27+s_Irr!BI27)),IF(AND(s_Irr!M27&lt;&gt;".",s_Irr!AK27&lt;&gt;".",s_Irr!BI27="."),s_dir!AM27/((1/1000)*(s_Irr!M27+s_Irr!AK27)),IF(AND(s_Irr!M27&lt;&gt;".",s_Irr!AK27=".",s_Irr!BI27&lt;&gt;"."),s_dir!AM27/((1/1000)*(s_Irr!M27+s_Irr!BI27)),IF(AND(s_Irr!M27=".",s_Irr!AK27&lt;&gt;".",s_Irr!BI27&lt;&gt;"."),s_dir!AM27/((1/1000)*(s_Irr!AK27+s_Irr!BI27)),IF(AND(s_Irr!M27=".",s_Irr!AK27=".",s_Irr!BI27&lt;&gt;"."),s_dir!AM27/((1/1000)*(s_Irr!BI27)),IF(AND(s_Irr!M27=".",s_Irr!AK27&lt;&gt;".",s_Irr!BI27="."),s_dir!AM27/((1/1000)*(s_Irr!AK27)),IF(AND(s_Irr!M27&lt;&gt;".",s_Irr!AK27=".",s_Irr!BI27="."),s_dir!AM27/((1/1000)*(s_Irr!M27)),IF(AND(s_Irr!M27=".",s_Irr!AK27=".",s_Irr!BI27="."),s_dir!AM27*1000)))))))),".")</f>
        <v>.</v>
      </c>
      <c r="BM27" s="48" t="str">
        <f>IFERROR(IF(AND(s_Irr!N27&lt;&gt;".",s_Irr!AL27&lt;&gt;".",s_Irr!BJ27&lt;&gt;"."),s_dir!AN27/((1/1000)*(s_Irr!N27+s_Irr!AL27+s_Irr!BJ27)),IF(AND(s_Irr!N27&lt;&gt;".",s_Irr!AL27&lt;&gt;".",s_Irr!BJ27="."),s_dir!AN27/((1/1000)*(s_Irr!N27+s_Irr!AL27)),IF(AND(s_Irr!N27&lt;&gt;".",s_Irr!AL27=".",s_Irr!BJ27&lt;&gt;"."),s_dir!AN27/((1/1000)*(s_Irr!N27+s_Irr!BJ27)),IF(AND(s_Irr!N27=".",s_Irr!AL27&lt;&gt;".",s_Irr!BJ27&lt;&gt;"."),s_dir!AN27/((1/1000)*(s_Irr!AL27+s_Irr!BJ27)),IF(AND(s_Irr!N27=".",s_Irr!AL27=".",s_Irr!BJ27&lt;&gt;"."),s_dir!AN27/((1/1000)*(s_Irr!BJ27)),IF(AND(s_Irr!N27=".",s_Irr!AL27&lt;&gt;".",s_Irr!BJ27="."),s_dir!AN27/((1/1000)*(s_Irr!AL27)),IF(AND(s_Irr!N27&lt;&gt;".",s_Irr!AL27=".",s_Irr!BJ27="."),s_dir!AN27/((1/1000)*(s_Irr!N27)),IF(AND(s_Irr!N27=".",s_Irr!AL27=".",s_Irr!BJ27="."),s_dir!AN27*1000)))))))),".")</f>
        <v>.</v>
      </c>
      <c r="BN27" s="48" t="str">
        <f>IFERROR(IF(AND(s_Irr!O27&lt;&gt;".",s_Irr!AM27&lt;&gt;".",s_Irr!BK27&lt;&gt;"."),s_dir!AO27/((1/1000)*(s_Irr!O27+s_Irr!AM27+s_Irr!BK27)),IF(AND(s_Irr!O27&lt;&gt;".",s_Irr!AM27&lt;&gt;".",s_Irr!BK27="."),s_dir!AO27/((1/1000)*(s_Irr!O27+s_Irr!AM27)),IF(AND(s_Irr!O27&lt;&gt;".",s_Irr!AM27=".",s_Irr!BK27&lt;&gt;"."),s_dir!AO27/((1/1000)*(s_Irr!O27+s_Irr!BK27)),IF(AND(s_Irr!O27=".",s_Irr!AM27&lt;&gt;".",s_Irr!BK27&lt;&gt;"."),s_dir!AO27/((1/1000)*(s_Irr!AM27+s_Irr!BK27)),IF(AND(s_Irr!O27=".",s_Irr!AM27=".",s_Irr!BK27&lt;&gt;"."),s_dir!AO27/((1/1000)*(s_Irr!BK27)),IF(AND(s_Irr!O27=".",s_Irr!AM27&lt;&gt;".",s_Irr!BK27="."),s_dir!AO27/((1/1000)*(s_Irr!AM27)),IF(AND(s_Irr!O27&lt;&gt;".",s_Irr!AM27=".",s_Irr!BK27="."),s_dir!AO27/((1/1000)*(s_Irr!O27)),IF(AND(s_Irr!O27=".",s_Irr!AM27=".",s_Irr!BK27="."),s_dir!AO27*1000)))))))),".")</f>
        <v>.</v>
      </c>
      <c r="BO27" s="48" t="str">
        <f>IFERROR(IF(AND(s_Irr!P27&lt;&gt;".",s_Irr!AN27&lt;&gt;".",s_Irr!BL27&lt;&gt;"."),s_dir!AP27/((1/1000)*(s_Irr!P27+s_Irr!AN27+s_Irr!BL27)),IF(AND(s_Irr!P27&lt;&gt;".",s_Irr!AN27&lt;&gt;".",s_Irr!BL27="."),s_dir!AP27/((1/1000)*(s_Irr!P27+s_Irr!AN27)),IF(AND(s_Irr!P27&lt;&gt;".",s_Irr!AN27=".",s_Irr!BL27&lt;&gt;"."),s_dir!AP27/((1/1000)*(s_Irr!P27+s_Irr!BL27)),IF(AND(s_Irr!P27=".",s_Irr!AN27&lt;&gt;".",s_Irr!BL27&lt;&gt;"."),s_dir!AP27/((1/1000)*(s_Irr!AN27+s_Irr!BL27)),IF(AND(s_Irr!P27=".",s_Irr!AN27=".",s_Irr!BL27&lt;&gt;"."),s_dir!AP27/((1/1000)*(s_Irr!BL27)),IF(AND(s_Irr!P27=".",s_Irr!AN27&lt;&gt;".",s_Irr!BL27="."),s_dir!AP27/((1/1000)*(s_Irr!AN27)),IF(AND(s_Irr!P27&lt;&gt;".",s_Irr!AN27=".",s_Irr!BL27="."),s_dir!AP27/((1/1000)*(s_Irr!P27)),IF(AND(s_Irr!P27=".",s_Irr!AN27=".",s_Irr!BL27="."),s_dir!AP27*1000)))))))),".")</f>
        <v>.</v>
      </c>
      <c r="BP27" s="48" t="str">
        <f>IFERROR(IF(AND(s_Irr!Q27&lt;&gt;".",s_Irr!AO27&lt;&gt;".",s_Irr!BM27&lt;&gt;"."),s_dir!AQ27/((1/1000)*(s_Irr!Q27+s_Irr!AO27+s_Irr!BM27)),IF(AND(s_Irr!Q27&lt;&gt;".",s_Irr!AO27&lt;&gt;".",s_Irr!BM27="."),s_dir!AQ27/((1/1000)*(s_Irr!Q27+s_Irr!AO27)),IF(AND(s_Irr!Q27&lt;&gt;".",s_Irr!AO27=".",s_Irr!BM27&lt;&gt;"."),s_dir!AQ27/((1/1000)*(s_Irr!Q27+s_Irr!BM27)),IF(AND(s_Irr!Q27=".",s_Irr!AO27&lt;&gt;".",s_Irr!BM27&lt;&gt;"."),s_dir!AQ27/((1/1000)*(s_Irr!AO27+s_Irr!BM27)),IF(AND(s_Irr!Q27=".",s_Irr!AO27=".",s_Irr!BM27&lt;&gt;"."),s_dir!AQ27/((1/1000)*(s_Irr!BM27)),IF(AND(s_Irr!Q27=".",s_Irr!AO27&lt;&gt;".",s_Irr!BM27="."),s_dir!AQ27/((1/1000)*(s_Irr!AO27)),IF(AND(s_Irr!Q27&lt;&gt;".",s_Irr!AO27=".",s_Irr!BM27="."),s_dir!AQ27/((1/1000)*(s_Irr!Q27)),IF(AND(s_Irr!Q27=".",s_Irr!AO27=".",s_Irr!BM27="."),s_dir!AQ27*1000)))))))),".")</f>
        <v>.</v>
      </c>
      <c r="BQ27" s="48" t="str">
        <f>IFERROR(IF(AND(s_Irr!R27&lt;&gt;".",s_Irr!AP27&lt;&gt;".",s_Irr!BN27&lt;&gt;"."),s_dir!AR27/((1/1000)*(s_Irr!R27+s_Irr!AP27+s_Irr!BN27)),IF(AND(s_Irr!R27&lt;&gt;".",s_Irr!AP27&lt;&gt;".",s_Irr!BN27="."),s_dir!AR27/((1/1000)*(s_Irr!R27+s_Irr!AP27)),IF(AND(s_Irr!R27&lt;&gt;".",s_Irr!AP27=".",s_Irr!BN27&lt;&gt;"."),s_dir!AR27/((1/1000)*(s_Irr!R27+s_Irr!BN27)),IF(AND(s_Irr!R27=".",s_Irr!AP27&lt;&gt;".",s_Irr!BN27&lt;&gt;"."),s_dir!AR27/((1/1000)*(s_Irr!AP27+s_Irr!BN27)),IF(AND(s_Irr!R27=".",s_Irr!AP27=".",s_Irr!BN27&lt;&gt;"."),s_dir!AR27/((1/1000)*(s_Irr!BN27)),IF(AND(s_Irr!R27=".",s_Irr!AP27&lt;&gt;".",s_Irr!BN27="."),s_dir!AR27/((1/1000)*(s_Irr!AP27)),IF(AND(s_Irr!R27&lt;&gt;".",s_Irr!AP27=".",s_Irr!BN27="."),s_dir!AR27/((1/1000)*(s_Irr!R27)),IF(AND(s_Irr!R27=".",s_Irr!AP27=".",s_Irr!BN27="."),s_dir!AR27*1000)))))))),".")</f>
        <v>.</v>
      </c>
      <c r="BR27" s="48" t="str">
        <f>IFERROR(IF(AND(s_Irr!S27&lt;&gt;".",s_Irr!AQ27&lt;&gt;".",s_Irr!BO27&lt;&gt;"."),s_dir!AS27/((1/1000)*(s_Irr!S27+s_Irr!AQ27+s_Irr!BO27)),IF(AND(s_Irr!S27&lt;&gt;".",s_Irr!AQ27&lt;&gt;".",s_Irr!BO27="."),s_dir!AS27/((1/1000)*(s_Irr!S27+s_Irr!AQ27)),IF(AND(s_Irr!S27&lt;&gt;".",s_Irr!AQ27=".",s_Irr!BO27&lt;&gt;"."),s_dir!AS27/((1/1000)*(s_Irr!S27+s_Irr!BO27)),IF(AND(s_Irr!S27=".",s_Irr!AQ27&lt;&gt;".",s_Irr!BO27&lt;&gt;"."),s_dir!AS27/((1/1000)*(s_Irr!AQ27+s_Irr!BO27)),IF(AND(s_Irr!S27=".",s_Irr!AQ27=".",s_Irr!BO27&lt;&gt;"."),s_dir!AS27/((1/1000)*(s_Irr!BO27)),IF(AND(s_Irr!S27=".",s_Irr!AQ27&lt;&gt;".",s_Irr!BO27="."),s_dir!AS27/((1/1000)*(s_Irr!AQ27)),IF(AND(s_Irr!S27&lt;&gt;".",s_Irr!AQ27=".",s_Irr!BO27="."),s_dir!AS27/((1/1000)*(s_Irr!S27)),IF(AND(s_Irr!S27=".",s_Irr!AQ27=".",s_Irr!BO27="."),s_dir!AS27*1000)))))))),".")</f>
        <v>.</v>
      </c>
      <c r="BS27" s="48" t="str">
        <f>IFERROR(IF(AND(s_Irr!T27&lt;&gt;".",s_Irr!AR27&lt;&gt;".",s_Irr!BP27&lt;&gt;"."),s_dir!AT27/((1/1000)*(s_Irr!T27+s_Irr!AR27+s_Irr!BP27)),IF(AND(s_Irr!T27&lt;&gt;".",s_Irr!AR27&lt;&gt;".",s_Irr!BP27="."),s_dir!AT27/((1/1000)*(s_Irr!T27+s_Irr!AR27)),IF(AND(s_Irr!T27&lt;&gt;".",s_Irr!AR27=".",s_Irr!BP27&lt;&gt;"."),s_dir!AT27/((1/1000)*(s_Irr!T27+s_Irr!BP27)),IF(AND(s_Irr!T27=".",s_Irr!AR27&lt;&gt;".",s_Irr!BP27&lt;&gt;"."),s_dir!AT27/((1/1000)*(s_Irr!AR27+s_Irr!BP27)),IF(AND(s_Irr!T27=".",s_Irr!AR27=".",s_Irr!BP27&lt;&gt;"."),s_dir!AT27/((1/1000)*(s_Irr!BP27)),IF(AND(s_Irr!T27=".",s_Irr!AR27&lt;&gt;".",s_Irr!BP27="."),s_dir!AT27/((1/1000)*(s_Irr!AR27)),IF(AND(s_Irr!T27&lt;&gt;".",s_Irr!AR27=".",s_Irr!BP27="."),s_dir!AT27/((1/1000)*(s_Irr!T27)),IF(AND(s_Irr!T27=".",s_Irr!AR27=".",s_Irr!BP27="."),s_dir!AT27*1000)))))))),".")</f>
        <v>.</v>
      </c>
      <c r="BT27" s="48" t="str">
        <f>IFERROR(IF(AND(s_Irr!U27&lt;&gt;".",s_Irr!AS27&lt;&gt;".",s_Irr!BQ27&lt;&gt;"."),s_dir!AU27/((1/1000)*(s_Irr!U27+s_Irr!AS27+s_Irr!BQ27)),IF(AND(s_Irr!U27&lt;&gt;".",s_Irr!AS27&lt;&gt;".",s_Irr!BQ27="."),s_dir!AU27/((1/1000)*(s_Irr!U27+s_Irr!AS27)),IF(AND(s_Irr!U27&lt;&gt;".",s_Irr!AS27=".",s_Irr!BQ27&lt;&gt;"."),s_dir!AU27/((1/1000)*(s_Irr!U27+s_Irr!BQ27)),IF(AND(s_Irr!U27=".",s_Irr!AS27&lt;&gt;".",s_Irr!BQ27&lt;&gt;"."),s_dir!AU27/((1/1000)*(s_Irr!AS27+s_Irr!BQ27)),IF(AND(s_Irr!U27=".",s_Irr!AS27=".",s_Irr!BQ27&lt;&gt;"."),s_dir!AU27/((1/1000)*(s_Irr!BQ27)),IF(AND(s_Irr!U27=".",s_Irr!AS27&lt;&gt;".",s_Irr!BQ27="."),s_dir!AU27/((1/1000)*(s_Irr!AS27)),IF(AND(s_Irr!U27&lt;&gt;".",s_Irr!AS27=".",s_Irr!BQ27="."),s_dir!AU27/((1/1000)*(s_Irr!U27)),IF(AND(s_Irr!U27=".",s_Irr!AS27=".",s_Irr!BQ27="."),s_dir!AU27*1000)))))))),".")</f>
        <v>.</v>
      </c>
      <c r="BU27" s="48" t="str">
        <f>IFERROR(IF(AND(s_Irr!V27&lt;&gt;".",s_Irr!AT27&lt;&gt;".",s_Irr!BR27&lt;&gt;"."),s_dir!AV27/((1/1000)*(s_Irr!V27+s_Irr!AT27+s_Irr!BR27)),IF(AND(s_Irr!V27&lt;&gt;".",s_Irr!AT27&lt;&gt;".",s_Irr!BR27="."),s_dir!AV27/((1/1000)*(s_Irr!V27+s_Irr!AT27)),IF(AND(s_Irr!V27&lt;&gt;".",s_Irr!AT27=".",s_Irr!BR27&lt;&gt;"."),s_dir!AV27/((1/1000)*(s_Irr!V27+s_Irr!BR27)),IF(AND(s_Irr!V27=".",s_Irr!AT27&lt;&gt;".",s_Irr!BR27&lt;&gt;"."),s_dir!AV27/((1/1000)*(s_Irr!AT27+s_Irr!BR27)),IF(AND(s_Irr!V27=".",s_Irr!AT27=".",s_Irr!BR27&lt;&gt;"."),s_dir!AV27/((1/1000)*(s_Irr!BR27)),IF(AND(s_Irr!V27=".",s_Irr!AT27&lt;&gt;".",s_Irr!BR27="."),s_dir!AV27/((1/1000)*(s_Irr!AT27)),IF(AND(s_Irr!V27&lt;&gt;".",s_Irr!AT27=".",s_Irr!BR27="."),s_dir!AV27/((1/1000)*(s_Irr!V27)),IF(AND(s_Irr!V27=".",s_Irr!AT27=".",s_Irr!BR27="."),s_dir!AV27*1000)))))))),".")</f>
        <v>.</v>
      </c>
      <c r="BV27" s="48" t="str">
        <f>IFERROR(IF(AND(s_Irr!W27&lt;&gt;".",s_Irr!AU27&lt;&gt;".",s_Irr!BS27&lt;&gt;"."),s_dir!AW27/((1/1000)*(s_Irr!W27+s_Irr!AU27+s_Irr!BS27)),IF(AND(s_Irr!W27&lt;&gt;".",s_Irr!AU27&lt;&gt;".",s_Irr!BS27="."),s_dir!AW27/((1/1000)*(s_Irr!W27+s_Irr!AU27)),IF(AND(s_Irr!W27&lt;&gt;".",s_Irr!AU27=".",s_Irr!BS27&lt;&gt;"."),s_dir!AW27/((1/1000)*(s_Irr!W27+s_Irr!BS27)),IF(AND(s_Irr!W27=".",s_Irr!AU27&lt;&gt;".",s_Irr!BS27&lt;&gt;"."),s_dir!AW27/((1/1000)*(s_Irr!AU27+s_Irr!BS27)),IF(AND(s_Irr!W27=".",s_Irr!AU27=".",s_Irr!BS27&lt;&gt;"."),s_dir!AW27/((1/1000)*(s_Irr!BS27)),IF(AND(s_Irr!W27=".",s_Irr!AU27&lt;&gt;".",s_Irr!BS27="."),s_dir!AW27/((1/1000)*(s_Irr!AU27)),IF(AND(s_Irr!W27&lt;&gt;".",s_Irr!AU27=".",s_Irr!BS27="."),s_dir!AW27/((1/1000)*(s_Irr!W27)),IF(AND(s_Irr!W27=".",s_Irr!AU27=".",s_Irr!BS27="."),s_dir!AW27*1000)))))))),".")</f>
        <v>.</v>
      </c>
      <c r="BW27" s="48" t="str">
        <f>IFERROR(IF(AND(s_Irr!X27&lt;&gt;".",s_Irr!AV27&lt;&gt;".",s_Irr!BT27&lt;&gt;"."),s_dir!AX27/((1/1000)*(s_Irr!X27+s_Irr!AV27+s_Irr!BT27)),IF(AND(s_Irr!X27&lt;&gt;".",s_Irr!AV27&lt;&gt;".",s_Irr!BT27="."),s_dir!AX27/((1/1000)*(s_Irr!X27+s_Irr!AV27)),IF(AND(s_Irr!X27&lt;&gt;".",s_Irr!AV27=".",s_Irr!BT27&lt;&gt;"."),s_dir!AX27/((1/1000)*(s_Irr!X27+s_Irr!BT27)),IF(AND(s_Irr!X27=".",s_Irr!AV27&lt;&gt;".",s_Irr!BT27&lt;&gt;"."),s_dir!AX27/((1/1000)*(s_Irr!AV27+s_Irr!BT27)),IF(AND(s_Irr!X27=".",s_Irr!AV27=".",s_Irr!BT27&lt;&gt;"."),s_dir!AX27/((1/1000)*(s_Irr!BT27)),IF(AND(s_Irr!X27=".",s_Irr!AV27&lt;&gt;".",s_Irr!BT27="."),s_dir!AX27/((1/1000)*(s_Irr!AV27)),IF(AND(s_Irr!X27&lt;&gt;".",s_Irr!AV27=".",s_Irr!BT27="."),s_dir!AX27/((1/1000)*(s_Irr!X27)),IF(AND(s_Irr!X27=".",s_Irr!AV27=".",s_Irr!BT27="."),s_dir!AX27*1000)))))))),".")</f>
        <v>.</v>
      </c>
      <c r="BX27" s="48" t="str">
        <f>IFERROR(IF(AND(s_Irr!Y27&lt;&gt;".",s_Irr!AW27&lt;&gt;".",s_Irr!BU27&lt;&gt;"."),s_dir!AY27/((1/1000)*(s_Irr!Y27+s_Irr!AW27+s_Irr!BU27)),IF(AND(s_Irr!Y27&lt;&gt;".",s_Irr!AW27&lt;&gt;".",s_Irr!BU27="."),s_dir!AY27/((1/1000)*(s_Irr!Y27+s_Irr!AW27)),IF(AND(s_Irr!Y27&lt;&gt;".",s_Irr!AW27=".",s_Irr!BU27&lt;&gt;"."),s_dir!AY27/((1/1000)*(s_Irr!Y27+s_Irr!BU27)),IF(AND(s_Irr!Y27=".",s_Irr!AW27&lt;&gt;".",s_Irr!BU27&lt;&gt;"."),s_dir!AY27/((1/1000)*(s_Irr!AW27+s_Irr!BU27)),IF(AND(s_Irr!Y27=".",s_Irr!AW27=".",s_Irr!BU27&lt;&gt;"."),s_dir!AY27/((1/1000)*(s_Irr!BU27)),IF(AND(s_Irr!Y27=".",s_Irr!AW27&lt;&gt;".",s_Irr!BU27="."),s_dir!AY27/((1/1000)*(s_Irr!AW27)),IF(AND(s_Irr!Y27&lt;&gt;".",s_Irr!AW27=".",s_Irr!BU27="."),s_dir!AY27/((1/1000)*(s_Irr!Y27)),IF(AND(s_Irr!Y27=".",s_Irr!AW27=".",s_Irr!BU27="."),s_dir!AY27*1000)))))))),".")</f>
        <v>.</v>
      </c>
      <c r="BY27" s="48" t="str">
        <f>IFERROR(IF(AND(s_Irr!Z27&lt;&gt;".",s_Irr!AX27&lt;&gt;".",s_Irr!BV27&lt;&gt;"."),s_dir!AZ27/((1/1000)*(s_Irr!Z27+s_Irr!AX27+s_Irr!BV27)),IF(AND(s_Irr!Z27&lt;&gt;".",s_Irr!AX27&lt;&gt;".",s_Irr!BV27="."),s_dir!AZ27/((1/1000)*(s_Irr!Z27+s_Irr!AX27)),IF(AND(s_Irr!Z27&lt;&gt;".",s_Irr!AX27=".",s_Irr!BV27&lt;&gt;"."),s_dir!AZ27/((1/1000)*(s_Irr!Z27+s_Irr!BV27)),IF(AND(s_Irr!Z27=".",s_Irr!AX27&lt;&gt;".",s_Irr!BV27&lt;&gt;"."),s_dir!AZ27/((1/1000)*(s_Irr!AX27+s_Irr!BV27)),IF(AND(s_Irr!Z27=".",s_Irr!AX27=".",s_Irr!BV27&lt;&gt;"."),s_dir!AZ27/((1/1000)*(s_Irr!BV27)),IF(AND(s_Irr!Z27=".",s_Irr!AX27&lt;&gt;".",s_Irr!BV27="."),s_dir!AZ27/((1/1000)*(s_Irr!AX27)),IF(AND(s_Irr!Z27&lt;&gt;".",s_Irr!AX27=".",s_Irr!BV27="."),s_dir!AZ27/((1/1000)*(s_Irr!Z27)),IF(AND(s_Irr!Z27=".",s_Irr!AX27=".",s_Irr!BV27="."),s_dir!AZ27*1000)))))))),".")</f>
        <v>.</v>
      </c>
      <c r="BZ27" s="62">
        <f t="shared" si="1"/>
        <v>866.5612368029615</v>
      </c>
      <c r="CA27" s="62">
        <f>IFERROR(s_C*s_IFAP_far_adj*s_CF_apple*(1/1000)*(s_Irr!C27+s_Irr!AA27+s_Irr!AY27),".")</f>
        <v>88.577324247385889</v>
      </c>
      <c r="CB27" s="62">
        <f>IFERROR(s_C*s_IFAS_far_adj*s_CF_asparagus*(1/1000)*(s_Irr!D27+s_Irr!AB27+s_Irr!AZ27),".")</f>
        <v>89.65924969287353</v>
      </c>
      <c r="CC27" s="62">
        <f>IFERROR(s_C*s_IFBT_far_adj*s_CF_beet*(1/1000)*(s_Irr!E27+s_Irr!AC27+s_Irr!BA27),".")</f>
        <v>88.577324247385889</v>
      </c>
      <c r="CD27" s="62">
        <f>IFERROR(s_C*s_IFBE_far_adj*s_CF_berries*(1/1000)*(s_Irr!F27+s_Irr!AD27+s_Irr!BB27),".")</f>
        <v>88.577324247385889</v>
      </c>
      <c r="CE27" s="62">
        <f>IFERROR(s_C*s_IFBR_far_adj*s_CF_broccoli*(1/1000)*(s_Irr!G27+s_Irr!AE27+s_Irr!BC27),".")</f>
        <v>88.577324247385889</v>
      </c>
      <c r="CF27" s="62">
        <f>IFERROR(s_C*s_IFCB_far_adj*s_CF_cabbage*(1/1000)*(s_Irr!H27+s_Irr!AF27+s_Irr!BD27),".")</f>
        <v>89.65924969287353</v>
      </c>
      <c r="CG27" s="62">
        <f>IFERROR(s_C*s_IFCR_far_adj*s_CF_carrot*(1/1000)*(s_Irr!I27+s_Irr!AG27+s_Irr!BE27),".")</f>
        <v>88.577324247385889</v>
      </c>
      <c r="CH27" s="62">
        <f>IFERROR(s_C*s_IFCI_far_adj*s_CF_citrus*(1/1000)*(s_Irr!J27+s_Irr!AH27+s_Irr!BF27),".")</f>
        <v>88.577324247385889</v>
      </c>
      <c r="CI27" s="62">
        <f>IFERROR(s_C*s_IFCO_far_adj*s_CF_corn*(1/1000)*(s_Irr!K27+s_Irr!AI27+s_Irr!BG27),".")</f>
        <v>88.577324247385889</v>
      </c>
      <c r="CJ27" s="62">
        <f>IFERROR(s_C*s_IFCU_far_adj*s_CF_cucumber*(1/1000)*(s_Irr!L27+s_Irr!AJ27+s_Irr!BH27),".")</f>
        <v>88.577324247385889</v>
      </c>
      <c r="CK27" s="62">
        <f>IFERROR(s_C*s_IFLE_far_adj*s_CF_lettuce*(1/1000)*(s_Irr!M27+s_Irr!AK27+s_Irr!BI27),".")</f>
        <v>89.65924969287353</v>
      </c>
      <c r="CL27" s="62">
        <f>IFERROR(s_C*s_IFLI_far_adj*s_CF_lima_bean*(1/1000)*(s_Irr!N27+s_Irr!AL27+s_Irr!BJ27),".")</f>
        <v>88.577324247385889</v>
      </c>
      <c r="CM27" s="62">
        <f>IFERROR(s_C*s_IFOK_far_adj*s_CF_okra*(1/1000)*(s_Irr!O27+s_Irr!AM27+s_Irr!BK27),".")</f>
        <v>88.577324247385889</v>
      </c>
      <c r="CN27" s="62">
        <f>IFERROR(s_C*s_IFON_far_adj*s_CF_onion*(1/1000)*(s_Irr!P27+s_Irr!AN27+s_Irr!BL27),".")</f>
        <v>88.577324247385889</v>
      </c>
      <c r="CO27" s="62">
        <f>IFERROR(s_C*s_IFPC_far_adj*s_CF_peach*(1/1000)*(s_Irr!Q27+s_Irr!AO27+s_Irr!BM27),".")</f>
        <v>88.577324247385889</v>
      </c>
      <c r="CP27" s="62">
        <f>IFERROR(s_C*s_IFPR_far_adj*s_CF_pear*(1/1000)*(s_Irr!R27+s_Irr!AP27+s_Irr!BN27),".")</f>
        <v>88.577324247385889</v>
      </c>
      <c r="CQ27" s="62">
        <f>IFERROR(s_C*s_IFPE_far_adj*s_CF_peas*(1/1000)*(s_Irr!S27+s_Irr!AQ27+s_Irr!BO27),".")</f>
        <v>88.577324247385889</v>
      </c>
      <c r="CR27" s="62">
        <f>IFERROR(s_C*s_IFPT_far_adj*s_CF_potato*(1/1000)*(s_Irr!T27+s_Irr!AR27+s_Irr!BP27),".")</f>
        <v>88.577324247385889</v>
      </c>
      <c r="CS27" s="62">
        <f>IFERROR(s_C*s_IFPU_far_adj*s_CF_pumpkin*(1/1000)*(s_Irr!U27+s_Irr!AS27+s_Irr!BQ27),".")</f>
        <v>88.577324247385889</v>
      </c>
      <c r="CT27" s="62">
        <f>IFERROR(s_C*s_IFSN_far_adj*s_CF_snap_bean*(1/1000)*(s_Irr!V27+s_Irr!AT27+s_Irr!BR27),".")</f>
        <v>88.577324247385889</v>
      </c>
      <c r="CU27" s="62">
        <f>IFERROR(s_C*s_IFST_far_adj*s_CF_strawberry*(1/1000)*(s_Irr!W27+s_Irr!AU27+s_Irr!BS27),".")</f>
        <v>88.577324247385889</v>
      </c>
      <c r="CV27" s="62">
        <f>IFERROR(s_C*s_IFTO_far_adj*s_CF_tomato*(1/1000)*(s_Irr!X27+s_Irr!AV27+s_Irr!BT27),".")</f>
        <v>88.577324247385889</v>
      </c>
      <c r="CW27" s="62">
        <f>IFERROR(s_C*s_IFRI_far_adj*s_CF_rice*(1/1000)*(s_Irr!Y27+s_Irr!AW27+s_Irr!BU27),".")</f>
        <v>388.99195627778778</v>
      </c>
      <c r="CX27" s="62">
        <f>IFERROR(s_C*s_IFCG_far_adj*s_CF_cereal*(1/1000)*(s_Irr!Z27+s_Irr!AX27+s_Irr!BV27),".")</f>
        <v>388.99195627778778</v>
      </c>
    </row>
    <row r="28" spans="1:102" ht="15" customHeight="1" x14ac:dyDescent="0.25">
      <c r="A28" s="61" t="s">
        <v>26</v>
      </c>
      <c r="B28" s="49" t="s">
        <v>1059</v>
      </c>
      <c r="C28" s="48" t="str">
        <f t="shared" si="2"/>
        <v>.</v>
      </c>
      <c r="D28" s="48" t="str">
        <f>IFERROR(IF(AND(s_Irr!C28&lt;&gt;".",s_Irr!AA28&lt;&gt;".",s_Irr!AY28&lt;&gt;"."),s_dir!D28/((1/1000)*(s_Irr!C28+s_Irr!AA28+s_Irr!AY28)),IF(AND(s_Irr!C28&lt;&gt;".",s_Irr!AA28&lt;&gt;".",s_Irr!AY28="."),s_dir!D28/((1/1000)*(s_Irr!C28+s_Irr!AA28)),IF(AND(s_Irr!C28&lt;&gt;".",s_Irr!AA28=".",s_Irr!AY28&lt;&gt;"."),s_dir!D28/((1/1000)*(s_Irr!C28+s_Irr!AY28)),IF(AND(s_Irr!C28=".",s_Irr!AA28&lt;&gt;".",s_Irr!AY28&lt;&gt;"."),s_dir!D28/((1/1000)*(s_Irr!AA28+s_Irr!AY28)),IF(AND(s_Irr!C28=".",s_Irr!AA28=".",s_Irr!AY28&lt;&gt;"."),s_dir!D28/((1/1000)*(s_Irr!AY28)),IF(AND(s_Irr!C28=".",s_Irr!AA28&lt;&gt;".",s_Irr!AY28="."),s_dir!D28/((1/1000)*(s_Irr!AA28)),IF(AND(s_Irr!C28&lt;&gt;".",s_Irr!AA28=".",s_Irr!AY28="."),s_dir!D28/((1/1000)*(s_Irr!C28)),IF(AND(s_Irr!C28=".",s_Irr!AA28=".",s_Irr!AY28="."),s_dir!D28*1000)))))))),".")</f>
        <v>.</v>
      </c>
      <c r="E28" s="48" t="str">
        <f>IFERROR(IF(AND(s_Irr!D28&lt;&gt;".",s_Irr!AB28&lt;&gt;".",s_Irr!AZ28&lt;&gt;"."),s_dir!E28/((1/1000)*(s_Irr!D28+s_Irr!AB28+s_Irr!AZ28)),IF(AND(s_Irr!D28&lt;&gt;".",s_Irr!AB28&lt;&gt;".",s_Irr!AZ28="."),s_dir!E28/((1/1000)*(s_Irr!D28+s_Irr!AB28)),IF(AND(s_Irr!D28&lt;&gt;".",s_Irr!AB28=".",s_Irr!AZ28&lt;&gt;"."),s_dir!E28/((1/1000)*(s_Irr!D28+s_Irr!AZ28)),IF(AND(s_Irr!D28=".",s_Irr!AB28&lt;&gt;".",s_Irr!AZ28&lt;&gt;"."),s_dir!E28/((1/1000)*(s_Irr!AB28+s_Irr!AZ28)),IF(AND(s_Irr!D28=".",s_Irr!AB28=".",s_Irr!AZ28&lt;&gt;"."),s_dir!E28/((1/1000)*(s_Irr!AZ28)),IF(AND(s_Irr!D28=".",s_Irr!AB28&lt;&gt;".",s_Irr!AZ28="."),s_dir!E28/((1/1000)*(s_Irr!AB28)),IF(AND(s_Irr!D28&lt;&gt;".",s_Irr!AB28=".",s_Irr!AZ28="."),s_dir!E28/((1/1000)*(s_Irr!D28)),IF(AND(s_Irr!D28=".",s_Irr!AB28=".",s_Irr!AZ28="."),s_dir!E28*1000)))))))),".")</f>
        <v>.</v>
      </c>
      <c r="F28" s="48" t="str">
        <f>IFERROR(IF(AND(s_Irr!E28&lt;&gt;".",s_Irr!AC28&lt;&gt;".",s_Irr!BA28&lt;&gt;"."),s_dir!F28/((1/1000)*(s_Irr!E28+s_Irr!AC28+s_Irr!BA28)),IF(AND(s_Irr!E28&lt;&gt;".",s_Irr!AC28&lt;&gt;".",s_Irr!BA28="."),s_dir!F28/((1/1000)*(s_Irr!E28+s_Irr!AC28)),IF(AND(s_Irr!E28&lt;&gt;".",s_Irr!AC28=".",s_Irr!BA28&lt;&gt;"."),s_dir!F28/((1/1000)*(s_Irr!E28+s_Irr!BA28)),IF(AND(s_Irr!E28=".",s_Irr!AC28&lt;&gt;".",s_Irr!BA28&lt;&gt;"."),s_dir!F28/((1/1000)*(s_Irr!AC28+s_Irr!BA28)),IF(AND(s_Irr!E28=".",s_Irr!AC28=".",s_Irr!BA28&lt;&gt;"."),s_dir!F28/((1/1000)*(s_Irr!BA28)),IF(AND(s_Irr!E28=".",s_Irr!AC28&lt;&gt;".",s_Irr!BA28="."),s_dir!F28/((1/1000)*(s_Irr!AC28)),IF(AND(s_Irr!E28&lt;&gt;".",s_Irr!AC28=".",s_Irr!BA28="."),s_dir!F28/((1/1000)*(s_Irr!E28)),IF(AND(s_Irr!E28=".",s_Irr!AC28=".",s_Irr!BA28="."),s_dir!F28*1000)))))))),".")</f>
        <v>.</v>
      </c>
      <c r="G28" s="48" t="str">
        <f>IFERROR(IF(AND(s_Irr!F28&lt;&gt;".",s_Irr!AD28&lt;&gt;".",s_Irr!BB28&lt;&gt;"."),s_dir!G28/((1/1000)*(s_Irr!F28+s_Irr!AD28+s_Irr!BB28)),IF(AND(s_Irr!F28&lt;&gt;".",s_Irr!AD28&lt;&gt;".",s_Irr!BB28="."),s_dir!G28/((1/1000)*(s_Irr!F28+s_Irr!AD28)),IF(AND(s_Irr!F28&lt;&gt;".",s_Irr!AD28=".",s_Irr!BB28&lt;&gt;"."),s_dir!G28/((1/1000)*(s_Irr!F28+s_Irr!BB28)),IF(AND(s_Irr!F28=".",s_Irr!AD28&lt;&gt;".",s_Irr!BB28&lt;&gt;"."),s_dir!G28/((1/1000)*(s_Irr!AD28+s_Irr!BB28)),IF(AND(s_Irr!F28=".",s_Irr!AD28=".",s_Irr!BB28&lt;&gt;"."),s_dir!G28/((1/1000)*(s_Irr!BB28)),IF(AND(s_Irr!F28=".",s_Irr!AD28&lt;&gt;".",s_Irr!BB28="."),s_dir!G28/((1/1000)*(s_Irr!AD28)),IF(AND(s_Irr!F28&lt;&gt;".",s_Irr!AD28=".",s_Irr!BB28="."),s_dir!G28/((1/1000)*(s_Irr!F28)),IF(AND(s_Irr!F28=".",s_Irr!AD28=".",s_Irr!BB28="."),s_dir!G28*1000)))))))),".")</f>
        <v>.</v>
      </c>
      <c r="H28" s="48" t="str">
        <f>IFERROR(IF(AND(s_Irr!G28&lt;&gt;".",s_Irr!AE28&lt;&gt;".",s_Irr!BC28&lt;&gt;"."),s_dir!H28/((1/1000)*(s_Irr!G28+s_Irr!AE28+s_Irr!BC28)),IF(AND(s_Irr!G28&lt;&gt;".",s_Irr!AE28&lt;&gt;".",s_Irr!BC28="."),s_dir!H28/((1/1000)*(s_Irr!G28+s_Irr!AE28)),IF(AND(s_Irr!G28&lt;&gt;".",s_Irr!AE28=".",s_Irr!BC28&lt;&gt;"."),s_dir!H28/((1/1000)*(s_Irr!G28+s_Irr!BC28)),IF(AND(s_Irr!G28=".",s_Irr!AE28&lt;&gt;".",s_Irr!BC28&lt;&gt;"."),s_dir!H28/((1/1000)*(s_Irr!AE28+s_Irr!BC28)),IF(AND(s_Irr!G28=".",s_Irr!AE28=".",s_Irr!BC28&lt;&gt;"."),s_dir!H28/((1/1000)*(s_Irr!BC28)),IF(AND(s_Irr!G28=".",s_Irr!AE28&lt;&gt;".",s_Irr!BC28="."),s_dir!H28/((1/1000)*(s_Irr!AE28)),IF(AND(s_Irr!G28&lt;&gt;".",s_Irr!AE28=".",s_Irr!BC28="."),s_dir!H28/((1/1000)*(s_Irr!G28)),IF(AND(s_Irr!G28=".",s_Irr!AE28=".",s_Irr!BC28="."),s_dir!H28*1000)))))))),".")</f>
        <v>.</v>
      </c>
      <c r="I28" s="48" t="str">
        <f>IFERROR(IF(AND(s_Irr!H28&lt;&gt;".",s_Irr!AF28&lt;&gt;".",s_Irr!BD28&lt;&gt;"."),s_dir!I28/((1/1000)*(s_Irr!H28+s_Irr!AF28+s_Irr!BD28)),IF(AND(s_Irr!H28&lt;&gt;".",s_Irr!AF28&lt;&gt;".",s_Irr!BD28="."),s_dir!I28/((1/1000)*(s_Irr!H28+s_Irr!AF28)),IF(AND(s_Irr!H28&lt;&gt;".",s_Irr!AF28=".",s_Irr!BD28&lt;&gt;"."),s_dir!I28/((1/1000)*(s_Irr!H28+s_Irr!BD28)),IF(AND(s_Irr!H28=".",s_Irr!AF28&lt;&gt;".",s_Irr!BD28&lt;&gt;"."),s_dir!I28/((1/1000)*(s_Irr!AF28+s_Irr!BD28)),IF(AND(s_Irr!H28=".",s_Irr!AF28=".",s_Irr!BD28&lt;&gt;"."),s_dir!I28/((1/1000)*(s_Irr!BD28)),IF(AND(s_Irr!H28=".",s_Irr!AF28&lt;&gt;".",s_Irr!BD28="."),s_dir!I28/((1/1000)*(s_Irr!AF28)),IF(AND(s_Irr!H28&lt;&gt;".",s_Irr!AF28=".",s_Irr!BD28="."),s_dir!I28/((1/1000)*(s_Irr!H28)),IF(AND(s_Irr!H28=".",s_Irr!AF28=".",s_Irr!BD28="."),s_dir!I28*1000)))))))),".")</f>
        <v>.</v>
      </c>
      <c r="J28" s="48" t="str">
        <f>IFERROR(IF(AND(s_Irr!I28&lt;&gt;".",s_Irr!AG28&lt;&gt;".",s_Irr!BE28&lt;&gt;"."),s_dir!J28/((1/1000)*(s_Irr!I28+s_Irr!AG28+s_Irr!BE28)),IF(AND(s_Irr!I28&lt;&gt;".",s_Irr!AG28&lt;&gt;".",s_Irr!BE28="."),s_dir!J28/((1/1000)*(s_Irr!I28+s_Irr!AG28)),IF(AND(s_Irr!I28&lt;&gt;".",s_Irr!AG28=".",s_Irr!BE28&lt;&gt;"."),s_dir!J28/((1/1000)*(s_Irr!I28+s_Irr!BE28)),IF(AND(s_Irr!I28=".",s_Irr!AG28&lt;&gt;".",s_Irr!BE28&lt;&gt;"."),s_dir!J28/((1/1000)*(s_Irr!AG28+s_Irr!BE28)),IF(AND(s_Irr!I28=".",s_Irr!AG28=".",s_Irr!BE28&lt;&gt;"."),s_dir!J28/((1/1000)*(s_Irr!BE28)),IF(AND(s_Irr!I28=".",s_Irr!AG28&lt;&gt;".",s_Irr!BE28="."),s_dir!J28/((1/1000)*(s_Irr!AG28)),IF(AND(s_Irr!I28&lt;&gt;".",s_Irr!AG28=".",s_Irr!BE28="."),s_dir!J28/((1/1000)*(s_Irr!I28)),IF(AND(s_Irr!I28=".",s_Irr!AG28=".",s_Irr!BE28="."),s_dir!J28*1000)))))))),".")</f>
        <v>.</v>
      </c>
      <c r="K28" s="48" t="str">
        <f>IFERROR(IF(AND(s_Irr!J28&lt;&gt;".",s_Irr!AH28&lt;&gt;".",s_Irr!BF28&lt;&gt;"."),s_dir!K28/((1/1000)*(s_Irr!J28+s_Irr!AH28+s_Irr!BF28)),IF(AND(s_Irr!J28&lt;&gt;".",s_Irr!AH28&lt;&gt;".",s_Irr!BF28="."),s_dir!K28/((1/1000)*(s_Irr!J28+s_Irr!AH28)),IF(AND(s_Irr!J28&lt;&gt;".",s_Irr!AH28=".",s_Irr!BF28&lt;&gt;"."),s_dir!K28/((1/1000)*(s_Irr!J28+s_Irr!BF28)),IF(AND(s_Irr!J28=".",s_Irr!AH28&lt;&gt;".",s_Irr!BF28&lt;&gt;"."),s_dir!K28/((1/1000)*(s_Irr!AH28+s_Irr!BF28)),IF(AND(s_Irr!J28=".",s_Irr!AH28=".",s_Irr!BF28&lt;&gt;"."),s_dir!K28/((1/1000)*(s_Irr!BF28)),IF(AND(s_Irr!J28=".",s_Irr!AH28&lt;&gt;".",s_Irr!BF28="."),s_dir!K28/((1/1000)*(s_Irr!AH28)),IF(AND(s_Irr!J28&lt;&gt;".",s_Irr!AH28=".",s_Irr!BF28="."),s_dir!K28/((1/1000)*(s_Irr!J28)),IF(AND(s_Irr!J28=".",s_Irr!AH28=".",s_Irr!BF28="."),s_dir!K28*1000)))))))),".")</f>
        <v>.</v>
      </c>
      <c r="L28" s="48" t="str">
        <f>IFERROR(IF(AND(s_Irr!K28&lt;&gt;".",s_Irr!AI28&lt;&gt;".",s_Irr!BG28&lt;&gt;"."),s_dir!L28/((1/1000)*(s_Irr!K28+s_Irr!AI28+s_Irr!BG28)),IF(AND(s_Irr!K28&lt;&gt;".",s_Irr!AI28&lt;&gt;".",s_Irr!BG28="."),s_dir!L28/((1/1000)*(s_Irr!K28+s_Irr!AI28)),IF(AND(s_Irr!K28&lt;&gt;".",s_Irr!AI28=".",s_Irr!BG28&lt;&gt;"."),s_dir!L28/((1/1000)*(s_Irr!K28+s_Irr!BG28)),IF(AND(s_Irr!K28=".",s_Irr!AI28&lt;&gt;".",s_Irr!BG28&lt;&gt;"."),s_dir!L28/((1/1000)*(s_Irr!AI28+s_Irr!BG28)),IF(AND(s_Irr!K28=".",s_Irr!AI28=".",s_Irr!BG28&lt;&gt;"."),s_dir!L28/((1/1000)*(s_Irr!BG28)),IF(AND(s_Irr!K28=".",s_Irr!AI28&lt;&gt;".",s_Irr!BG28="."),s_dir!L28/((1/1000)*(s_Irr!AI28)),IF(AND(s_Irr!K28&lt;&gt;".",s_Irr!AI28=".",s_Irr!BG28="."),s_dir!L28/((1/1000)*(s_Irr!K28)),IF(AND(s_Irr!K28=".",s_Irr!AI28=".",s_Irr!BG28="."),s_dir!L28*1000)))))))),".")</f>
        <v>.</v>
      </c>
      <c r="M28" s="48" t="str">
        <f>IFERROR(IF(AND(s_Irr!L28&lt;&gt;".",s_Irr!AJ28&lt;&gt;".",s_Irr!BH28&lt;&gt;"."),s_dir!M28/((1/1000)*(s_Irr!L28+s_Irr!AJ28+s_Irr!BH28)),IF(AND(s_Irr!L28&lt;&gt;".",s_Irr!AJ28&lt;&gt;".",s_Irr!BH28="."),s_dir!M28/((1/1000)*(s_Irr!L28+s_Irr!AJ28)),IF(AND(s_Irr!L28&lt;&gt;".",s_Irr!AJ28=".",s_Irr!BH28&lt;&gt;"."),s_dir!M28/((1/1000)*(s_Irr!L28+s_Irr!BH28)),IF(AND(s_Irr!L28=".",s_Irr!AJ28&lt;&gt;".",s_Irr!BH28&lt;&gt;"."),s_dir!M28/((1/1000)*(s_Irr!AJ28+s_Irr!BH28)),IF(AND(s_Irr!L28=".",s_Irr!AJ28=".",s_Irr!BH28&lt;&gt;"."),s_dir!M28/((1/1000)*(s_Irr!BH28)),IF(AND(s_Irr!L28=".",s_Irr!AJ28&lt;&gt;".",s_Irr!BH28="."),s_dir!M28/((1/1000)*(s_Irr!AJ28)),IF(AND(s_Irr!L28&lt;&gt;".",s_Irr!AJ28=".",s_Irr!BH28="."),s_dir!M28/((1/1000)*(s_Irr!L28)),IF(AND(s_Irr!L28=".",s_Irr!AJ28=".",s_Irr!BH28="."),s_dir!M28*1000)))))))),".")</f>
        <v>.</v>
      </c>
      <c r="N28" s="48" t="str">
        <f>IFERROR(IF(AND(s_Irr!M28&lt;&gt;".",s_Irr!AK28&lt;&gt;".",s_Irr!BI28&lt;&gt;"."),s_dir!N28/((1/1000)*(s_Irr!M28+s_Irr!AK28+s_Irr!BI28)),IF(AND(s_Irr!M28&lt;&gt;".",s_Irr!AK28&lt;&gt;".",s_Irr!BI28="."),s_dir!N28/((1/1000)*(s_Irr!M28+s_Irr!AK28)),IF(AND(s_Irr!M28&lt;&gt;".",s_Irr!AK28=".",s_Irr!BI28&lt;&gt;"."),s_dir!N28/((1/1000)*(s_Irr!M28+s_Irr!BI28)),IF(AND(s_Irr!M28=".",s_Irr!AK28&lt;&gt;".",s_Irr!BI28&lt;&gt;"."),s_dir!N28/((1/1000)*(s_Irr!AK28+s_Irr!BI28)),IF(AND(s_Irr!M28=".",s_Irr!AK28=".",s_Irr!BI28&lt;&gt;"."),s_dir!N28/((1/1000)*(s_Irr!BI28)),IF(AND(s_Irr!M28=".",s_Irr!AK28&lt;&gt;".",s_Irr!BI28="."),s_dir!N28/((1/1000)*(s_Irr!AK28)),IF(AND(s_Irr!M28&lt;&gt;".",s_Irr!AK28=".",s_Irr!BI28="."),s_dir!N28/((1/1000)*(s_Irr!M28)),IF(AND(s_Irr!M28=".",s_Irr!AK28=".",s_Irr!BI28="."),s_dir!N28*1000)))))))),".")</f>
        <v>.</v>
      </c>
      <c r="O28" s="48" t="str">
        <f>IFERROR(IF(AND(s_Irr!N28&lt;&gt;".",s_Irr!AL28&lt;&gt;".",s_Irr!BJ28&lt;&gt;"."),s_dir!O28/((1/1000)*(s_Irr!N28+s_Irr!AL28+s_Irr!BJ28)),IF(AND(s_Irr!N28&lt;&gt;".",s_Irr!AL28&lt;&gt;".",s_Irr!BJ28="."),s_dir!O28/((1/1000)*(s_Irr!N28+s_Irr!AL28)),IF(AND(s_Irr!N28&lt;&gt;".",s_Irr!AL28=".",s_Irr!BJ28&lt;&gt;"."),s_dir!O28/((1/1000)*(s_Irr!N28+s_Irr!BJ28)),IF(AND(s_Irr!N28=".",s_Irr!AL28&lt;&gt;".",s_Irr!BJ28&lt;&gt;"."),s_dir!O28/((1/1000)*(s_Irr!AL28+s_Irr!BJ28)),IF(AND(s_Irr!N28=".",s_Irr!AL28=".",s_Irr!BJ28&lt;&gt;"."),s_dir!O28/((1/1000)*(s_Irr!BJ28)),IF(AND(s_Irr!N28=".",s_Irr!AL28&lt;&gt;".",s_Irr!BJ28="."),s_dir!O28/((1/1000)*(s_Irr!AL28)),IF(AND(s_Irr!N28&lt;&gt;".",s_Irr!AL28=".",s_Irr!BJ28="."),s_dir!O28/((1/1000)*(s_Irr!N28)),IF(AND(s_Irr!N28=".",s_Irr!AL28=".",s_Irr!BJ28="."),s_dir!O28*1000)))))))),".")</f>
        <v>.</v>
      </c>
      <c r="P28" s="48" t="str">
        <f>IFERROR(IF(AND(s_Irr!O28&lt;&gt;".",s_Irr!AM28&lt;&gt;".",s_Irr!BK28&lt;&gt;"."),s_dir!P28/((1/1000)*(s_Irr!O28+s_Irr!AM28+s_Irr!BK28)),IF(AND(s_Irr!O28&lt;&gt;".",s_Irr!AM28&lt;&gt;".",s_Irr!BK28="."),s_dir!P28/((1/1000)*(s_Irr!O28+s_Irr!AM28)),IF(AND(s_Irr!O28&lt;&gt;".",s_Irr!AM28=".",s_Irr!BK28&lt;&gt;"."),s_dir!P28/((1/1000)*(s_Irr!O28+s_Irr!BK28)),IF(AND(s_Irr!O28=".",s_Irr!AM28&lt;&gt;".",s_Irr!BK28&lt;&gt;"."),s_dir!P28/((1/1000)*(s_Irr!AM28+s_Irr!BK28)),IF(AND(s_Irr!O28=".",s_Irr!AM28=".",s_Irr!BK28&lt;&gt;"."),s_dir!P28/((1/1000)*(s_Irr!BK28)),IF(AND(s_Irr!O28=".",s_Irr!AM28&lt;&gt;".",s_Irr!BK28="."),s_dir!P28/((1/1000)*(s_Irr!AM28)),IF(AND(s_Irr!O28&lt;&gt;".",s_Irr!AM28=".",s_Irr!BK28="."),s_dir!P28/((1/1000)*(s_Irr!O28)),IF(AND(s_Irr!O28=".",s_Irr!AM28=".",s_Irr!BK28="."),s_dir!P28*1000)))))))),".")</f>
        <v>.</v>
      </c>
      <c r="Q28" s="48" t="str">
        <f>IFERROR(IF(AND(s_Irr!P28&lt;&gt;".",s_Irr!AN28&lt;&gt;".",s_Irr!BL28&lt;&gt;"."),s_dir!Q28/((1/1000)*(s_Irr!P28+s_Irr!AN28+s_Irr!BL28)),IF(AND(s_Irr!P28&lt;&gt;".",s_Irr!AN28&lt;&gt;".",s_Irr!BL28="."),s_dir!Q28/((1/1000)*(s_Irr!P28+s_Irr!AN28)),IF(AND(s_Irr!P28&lt;&gt;".",s_Irr!AN28=".",s_Irr!BL28&lt;&gt;"."),s_dir!Q28/((1/1000)*(s_Irr!P28+s_Irr!BL28)),IF(AND(s_Irr!P28=".",s_Irr!AN28&lt;&gt;".",s_Irr!BL28&lt;&gt;"."),s_dir!Q28/((1/1000)*(s_Irr!AN28+s_Irr!BL28)),IF(AND(s_Irr!P28=".",s_Irr!AN28=".",s_Irr!BL28&lt;&gt;"."),s_dir!Q28/((1/1000)*(s_Irr!BL28)),IF(AND(s_Irr!P28=".",s_Irr!AN28&lt;&gt;".",s_Irr!BL28="."),s_dir!Q28/((1/1000)*(s_Irr!AN28)),IF(AND(s_Irr!P28&lt;&gt;".",s_Irr!AN28=".",s_Irr!BL28="."),s_dir!Q28/((1/1000)*(s_Irr!P28)),IF(AND(s_Irr!P28=".",s_Irr!AN28=".",s_Irr!BL28="."),s_dir!Q28*1000)))))))),".")</f>
        <v>.</v>
      </c>
      <c r="R28" s="48" t="str">
        <f>IFERROR(IF(AND(s_Irr!Q28&lt;&gt;".",s_Irr!AO28&lt;&gt;".",s_Irr!BM28&lt;&gt;"."),s_dir!R28/((1/1000)*(s_Irr!Q28+s_Irr!AO28+s_Irr!BM28)),IF(AND(s_Irr!Q28&lt;&gt;".",s_Irr!AO28&lt;&gt;".",s_Irr!BM28="."),s_dir!R28/((1/1000)*(s_Irr!Q28+s_Irr!AO28)),IF(AND(s_Irr!Q28&lt;&gt;".",s_Irr!AO28=".",s_Irr!BM28&lt;&gt;"."),s_dir!R28/((1/1000)*(s_Irr!Q28+s_Irr!BM28)),IF(AND(s_Irr!Q28=".",s_Irr!AO28&lt;&gt;".",s_Irr!BM28&lt;&gt;"."),s_dir!R28/((1/1000)*(s_Irr!AO28+s_Irr!BM28)),IF(AND(s_Irr!Q28=".",s_Irr!AO28=".",s_Irr!BM28&lt;&gt;"."),s_dir!R28/((1/1000)*(s_Irr!BM28)),IF(AND(s_Irr!Q28=".",s_Irr!AO28&lt;&gt;".",s_Irr!BM28="."),s_dir!R28/((1/1000)*(s_Irr!AO28)),IF(AND(s_Irr!Q28&lt;&gt;".",s_Irr!AO28=".",s_Irr!BM28="."),s_dir!R28/((1/1000)*(s_Irr!Q28)),IF(AND(s_Irr!Q28=".",s_Irr!AO28=".",s_Irr!BM28="."),s_dir!R28*1000)))))))),".")</f>
        <v>.</v>
      </c>
      <c r="S28" s="48" t="str">
        <f>IFERROR(IF(AND(s_Irr!R28&lt;&gt;".",s_Irr!AP28&lt;&gt;".",s_Irr!BN28&lt;&gt;"."),s_dir!S28/((1/1000)*(s_Irr!R28+s_Irr!AP28+s_Irr!BN28)),IF(AND(s_Irr!R28&lt;&gt;".",s_Irr!AP28&lt;&gt;".",s_Irr!BN28="."),s_dir!S28/((1/1000)*(s_Irr!R28+s_Irr!AP28)),IF(AND(s_Irr!R28&lt;&gt;".",s_Irr!AP28=".",s_Irr!BN28&lt;&gt;"."),s_dir!S28/((1/1000)*(s_Irr!R28+s_Irr!BN28)),IF(AND(s_Irr!R28=".",s_Irr!AP28&lt;&gt;".",s_Irr!BN28&lt;&gt;"."),s_dir!S28/((1/1000)*(s_Irr!AP28+s_Irr!BN28)),IF(AND(s_Irr!R28=".",s_Irr!AP28=".",s_Irr!BN28&lt;&gt;"."),s_dir!S28/((1/1000)*(s_Irr!BN28)),IF(AND(s_Irr!R28=".",s_Irr!AP28&lt;&gt;".",s_Irr!BN28="."),s_dir!S28/((1/1000)*(s_Irr!AP28)),IF(AND(s_Irr!R28&lt;&gt;".",s_Irr!AP28=".",s_Irr!BN28="."),s_dir!S28/((1/1000)*(s_Irr!R28)),IF(AND(s_Irr!R28=".",s_Irr!AP28=".",s_Irr!BN28="."),s_dir!S28*1000)))))))),".")</f>
        <v>.</v>
      </c>
      <c r="T28" s="48" t="str">
        <f>IFERROR(IF(AND(s_Irr!S28&lt;&gt;".",s_Irr!AQ28&lt;&gt;".",s_Irr!BO28&lt;&gt;"."),s_dir!T28/((1/1000)*(s_Irr!S28+s_Irr!AQ28+s_Irr!BO28)),IF(AND(s_Irr!S28&lt;&gt;".",s_Irr!AQ28&lt;&gt;".",s_Irr!BO28="."),s_dir!T28/((1/1000)*(s_Irr!S28+s_Irr!AQ28)),IF(AND(s_Irr!S28&lt;&gt;".",s_Irr!AQ28=".",s_Irr!BO28&lt;&gt;"."),s_dir!T28/((1/1000)*(s_Irr!S28+s_Irr!BO28)),IF(AND(s_Irr!S28=".",s_Irr!AQ28&lt;&gt;".",s_Irr!BO28&lt;&gt;"."),s_dir!T28/((1/1000)*(s_Irr!AQ28+s_Irr!BO28)),IF(AND(s_Irr!S28=".",s_Irr!AQ28=".",s_Irr!BO28&lt;&gt;"."),s_dir!T28/((1/1000)*(s_Irr!BO28)),IF(AND(s_Irr!S28=".",s_Irr!AQ28&lt;&gt;".",s_Irr!BO28="."),s_dir!T28/((1/1000)*(s_Irr!AQ28)),IF(AND(s_Irr!S28&lt;&gt;".",s_Irr!AQ28=".",s_Irr!BO28="."),s_dir!T28/((1/1000)*(s_Irr!S28)),IF(AND(s_Irr!S28=".",s_Irr!AQ28=".",s_Irr!BO28="."),s_dir!T28*1000)))))))),".")</f>
        <v>.</v>
      </c>
      <c r="U28" s="48" t="str">
        <f>IFERROR(IF(AND(s_Irr!T28&lt;&gt;".",s_Irr!AR28&lt;&gt;".",s_Irr!BP28&lt;&gt;"."),s_dir!U28/((1/1000)*(s_Irr!T28+s_Irr!AR28+s_Irr!BP28)),IF(AND(s_Irr!T28&lt;&gt;".",s_Irr!AR28&lt;&gt;".",s_Irr!BP28="."),s_dir!U28/((1/1000)*(s_Irr!T28+s_Irr!AR28)),IF(AND(s_Irr!T28&lt;&gt;".",s_Irr!AR28=".",s_Irr!BP28&lt;&gt;"."),s_dir!U28/((1/1000)*(s_Irr!T28+s_Irr!BP28)),IF(AND(s_Irr!T28=".",s_Irr!AR28&lt;&gt;".",s_Irr!BP28&lt;&gt;"."),s_dir!U28/((1/1000)*(s_Irr!AR28+s_Irr!BP28)),IF(AND(s_Irr!T28=".",s_Irr!AR28=".",s_Irr!BP28&lt;&gt;"."),s_dir!U28/((1/1000)*(s_Irr!BP28)),IF(AND(s_Irr!T28=".",s_Irr!AR28&lt;&gt;".",s_Irr!BP28="."),s_dir!U28/((1/1000)*(s_Irr!AR28)),IF(AND(s_Irr!T28&lt;&gt;".",s_Irr!AR28=".",s_Irr!BP28="."),s_dir!U28/((1/1000)*(s_Irr!T28)),IF(AND(s_Irr!T28=".",s_Irr!AR28=".",s_Irr!BP28="."),s_dir!U28*1000)))))))),".")</f>
        <v>.</v>
      </c>
      <c r="V28" s="48" t="str">
        <f>IFERROR(IF(AND(s_Irr!U28&lt;&gt;".",s_Irr!AS28&lt;&gt;".",s_Irr!BQ28&lt;&gt;"."),s_dir!V28/((1/1000)*(s_Irr!U28+s_Irr!AS28+s_Irr!BQ28)),IF(AND(s_Irr!U28&lt;&gt;".",s_Irr!AS28&lt;&gt;".",s_Irr!BQ28="."),s_dir!V28/((1/1000)*(s_Irr!U28+s_Irr!AS28)),IF(AND(s_Irr!U28&lt;&gt;".",s_Irr!AS28=".",s_Irr!BQ28&lt;&gt;"."),s_dir!V28/((1/1000)*(s_Irr!U28+s_Irr!BQ28)),IF(AND(s_Irr!U28=".",s_Irr!AS28&lt;&gt;".",s_Irr!BQ28&lt;&gt;"."),s_dir!V28/((1/1000)*(s_Irr!AS28+s_Irr!BQ28)),IF(AND(s_Irr!U28=".",s_Irr!AS28=".",s_Irr!BQ28&lt;&gt;"."),s_dir!V28/((1/1000)*(s_Irr!BQ28)),IF(AND(s_Irr!U28=".",s_Irr!AS28&lt;&gt;".",s_Irr!BQ28="."),s_dir!V28/((1/1000)*(s_Irr!AS28)),IF(AND(s_Irr!U28&lt;&gt;".",s_Irr!AS28=".",s_Irr!BQ28="."),s_dir!V28/((1/1000)*(s_Irr!U28)),IF(AND(s_Irr!U28=".",s_Irr!AS28=".",s_Irr!BQ28="."),s_dir!V28*1000)))))))),".")</f>
        <v>.</v>
      </c>
      <c r="W28" s="48" t="str">
        <f>IFERROR(IF(AND(s_Irr!V28&lt;&gt;".",s_Irr!AT28&lt;&gt;".",s_Irr!BR28&lt;&gt;"."),s_dir!W28/((1/1000)*(s_Irr!V28+s_Irr!AT28+s_Irr!BR28)),IF(AND(s_Irr!V28&lt;&gt;".",s_Irr!AT28&lt;&gt;".",s_Irr!BR28="."),s_dir!W28/((1/1000)*(s_Irr!V28+s_Irr!AT28)),IF(AND(s_Irr!V28&lt;&gt;".",s_Irr!AT28=".",s_Irr!BR28&lt;&gt;"."),s_dir!W28/((1/1000)*(s_Irr!V28+s_Irr!BR28)),IF(AND(s_Irr!V28=".",s_Irr!AT28&lt;&gt;".",s_Irr!BR28&lt;&gt;"."),s_dir!W28/((1/1000)*(s_Irr!AT28+s_Irr!BR28)),IF(AND(s_Irr!V28=".",s_Irr!AT28=".",s_Irr!BR28&lt;&gt;"."),s_dir!W28/((1/1000)*(s_Irr!BR28)),IF(AND(s_Irr!V28=".",s_Irr!AT28&lt;&gt;".",s_Irr!BR28="."),s_dir!W28/((1/1000)*(s_Irr!AT28)),IF(AND(s_Irr!V28&lt;&gt;".",s_Irr!AT28=".",s_Irr!BR28="."),s_dir!W28/((1/1000)*(s_Irr!V28)),IF(AND(s_Irr!V28=".",s_Irr!AT28=".",s_Irr!BR28="."),s_dir!W28*1000)))))))),".")</f>
        <v>.</v>
      </c>
      <c r="X28" s="48" t="str">
        <f>IFERROR(IF(AND(s_Irr!W28&lt;&gt;".",s_Irr!AU28&lt;&gt;".",s_Irr!BS28&lt;&gt;"."),s_dir!X28/((1/1000)*(s_Irr!W28+s_Irr!AU28+s_Irr!BS28)),IF(AND(s_Irr!W28&lt;&gt;".",s_Irr!AU28&lt;&gt;".",s_Irr!BS28="."),s_dir!X28/((1/1000)*(s_Irr!W28+s_Irr!AU28)),IF(AND(s_Irr!W28&lt;&gt;".",s_Irr!AU28=".",s_Irr!BS28&lt;&gt;"."),s_dir!X28/((1/1000)*(s_Irr!W28+s_Irr!BS28)),IF(AND(s_Irr!W28=".",s_Irr!AU28&lt;&gt;".",s_Irr!BS28&lt;&gt;"."),s_dir!X28/((1/1000)*(s_Irr!AU28+s_Irr!BS28)),IF(AND(s_Irr!W28=".",s_Irr!AU28=".",s_Irr!BS28&lt;&gt;"."),s_dir!X28/((1/1000)*(s_Irr!BS28)),IF(AND(s_Irr!W28=".",s_Irr!AU28&lt;&gt;".",s_Irr!BS28="."),s_dir!X28/((1/1000)*(s_Irr!AU28)),IF(AND(s_Irr!W28&lt;&gt;".",s_Irr!AU28=".",s_Irr!BS28="."),s_dir!X28/((1/1000)*(s_Irr!W28)),IF(AND(s_Irr!W28=".",s_Irr!AU28=".",s_Irr!BS28="."),s_dir!X28*1000)))))))),".")</f>
        <v>.</v>
      </c>
      <c r="Y28" s="48" t="str">
        <f>IFERROR(IF(AND(s_Irr!X28&lt;&gt;".",s_Irr!AV28&lt;&gt;".",s_Irr!BT28&lt;&gt;"."),s_dir!Y28/((1/1000)*(s_Irr!X28+s_Irr!AV28+s_Irr!BT28)),IF(AND(s_Irr!X28&lt;&gt;".",s_Irr!AV28&lt;&gt;".",s_Irr!BT28="."),s_dir!Y28/((1/1000)*(s_Irr!X28+s_Irr!AV28)),IF(AND(s_Irr!X28&lt;&gt;".",s_Irr!AV28=".",s_Irr!BT28&lt;&gt;"."),s_dir!Y28/((1/1000)*(s_Irr!X28+s_Irr!BT28)),IF(AND(s_Irr!X28=".",s_Irr!AV28&lt;&gt;".",s_Irr!BT28&lt;&gt;"."),s_dir!Y28/((1/1000)*(s_Irr!AV28+s_Irr!BT28)),IF(AND(s_Irr!X28=".",s_Irr!AV28=".",s_Irr!BT28&lt;&gt;"."),s_dir!Y28/((1/1000)*(s_Irr!BT28)),IF(AND(s_Irr!X28=".",s_Irr!AV28&lt;&gt;".",s_Irr!BT28="."),s_dir!Y28/((1/1000)*(s_Irr!AV28)),IF(AND(s_Irr!X28&lt;&gt;".",s_Irr!AV28=".",s_Irr!BT28="."),s_dir!Y28/((1/1000)*(s_Irr!X28)),IF(AND(s_Irr!X28=".",s_Irr!AV28=".",s_Irr!BT28="."),s_dir!Y28*1000)))))))),".")</f>
        <v>.</v>
      </c>
      <c r="Z28" s="48" t="str">
        <f>IFERROR(IF(AND(s_Irr!Y28&lt;&gt;".",s_Irr!AW28&lt;&gt;".",s_Irr!BU28&lt;&gt;"."),s_dir!Z28/((1/1000)*(s_Irr!Y28+s_Irr!AW28+s_Irr!BU28)),IF(AND(s_Irr!Y28&lt;&gt;".",s_Irr!AW28&lt;&gt;".",s_Irr!BU28="."),s_dir!Z28/((1/1000)*(s_Irr!Y28+s_Irr!AW28)),IF(AND(s_Irr!Y28&lt;&gt;".",s_Irr!AW28=".",s_Irr!BU28&lt;&gt;"."),s_dir!Z28/((1/1000)*(s_Irr!Y28+s_Irr!BU28)),IF(AND(s_Irr!Y28=".",s_Irr!AW28&lt;&gt;".",s_Irr!BU28&lt;&gt;"."),s_dir!Z28/((1/1000)*(s_Irr!AW28+s_Irr!BU28)),IF(AND(s_Irr!Y28=".",s_Irr!AW28=".",s_Irr!BU28&lt;&gt;"."),s_dir!Z28/((1/1000)*(s_Irr!BU28)),IF(AND(s_Irr!Y28=".",s_Irr!AW28&lt;&gt;".",s_Irr!BU28="."),s_dir!Z28/((1/1000)*(s_Irr!AW28)),IF(AND(s_Irr!Y28&lt;&gt;".",s_Irr!AW28=".",s_Irr!BU28="."),s_dir!Z28/((1/1000)*(s_Irr!Y28)),IF(AND(s_Irr!Y28=".",s_Irr!AW28=".",s_Irr!BU28="."),s_dir!Z28*1000)))))))),".")</f>
        <v>.</v>
      </c>
      <c r="AA28" s="48" t="str">
        <f>IFERROR(IF(AND(s_Irr!Z28&lt;&gt;".",s_Irr!AX28&lt;&gt;".",s_Irr!BV28&lt;&gt;"."),s_dir!AA28/((1/1000)*(s_Irr!Z28+s_Irr!AX28+s_Irr!BV28)),IF(AND(s_Irr!Z28&lt;&gt;".",s_Irr!AX28&lt;&gt;".",s_Irr!BV28="."),s_dir!AA28/((1/1000)*(s_Irr!Z28+s_Irr!AX28)),IF(AND(s_Irr!Z28&lt;&gt;".",s_Irr!AX28=".",s_Irr!BV28&lt;&gt;"."),s_dir!AA28/((1/1000)*(s_Irr!Z28+s_Irr!BV28)),IF(AND(s_Irr!Z28=".",s_Irr!AX28&lt;&gt;".",s_Irr!BV28&lt;&gt;"."),s_dir!AA28/((1/1000)*(s_Irr!AX28+s_Irr!BV28)),IF(AND(s_Irr!Z28=".",s_Irr!AX28=".",s_Irr!BV28&lt;&gt;"."),s_dir!AA28/((1/1000)*(s_Irr!BV28)),IF(AND(s_Irr!Z28=".",s_Irr!AX28&lt;&gt;".",s_Irr!BV28="."),s_dir!AA28/((1/1000)*(s_Irr!AX28)),IF(AND(s_Irr!Z28&lt;&gt;".",s_Irr!AX28=".",s_Irr!BV28="."),s_dir!AA28/((1/1000)*(s_Irr!Z28)),IF(AND(s_Irr!Z28=".",s_Irr!AX28=".",s_Irr!BV28="."),s_dir!AA28*1000)))))))),".")</f>
        <v>.</v>
      </c>
      <c r="AB28" s="62">
        <f t="shared" si="3"/>
        <v>866.5612368029615</v>
      </c>
      <c r="AC28" s="62">
        <f>IFERROR(s_C*s_IFAP_res_adj*s_CF_apple*0.001*(s_Irr!C28+s_Irr!AA28+s_Irr!AY28),".")</f>
        <v>88.577324247385889</v>
      </c>
      <c r="AD28" s="62">
        <f>IFERROR(s_C*s_IFAS_res_adj*s_CF_asparagus*0.001*(s_Irr!D28+s_Irr!AB28+s_Irr!AZ28),".")</f>
        <v>89.65924969287353</v>
      </c>
      <c r="AE28" s="62">
        <f>IFERROR(s_C*s_IFBT_res_adj*s_CF_beet*0.001*(s_Irr!E28+s_Irr!AC28+s_Irr!BA28),".")</f>
        <v>88.577324247385889</v>
      </c>
      <c r="AF28" s="62">
        <f>IFERROR(s_C*s_IFBE_res_adj*s_CF_berries*0.001*(s_Irr!F28+s_Irr!AD28+s_Irr!BB28),".")</f>
        <v>88.577324247385889</v>
      </c>
      <c r="AG28" s="62">
        <f>IFERROR(s_C*s_IFBR_res_adj*s_CF_broccoli*0.001*(s_Irr!G28+s_Irr!AE28+s_Irr!BC28),".")</f>
        <v>88.577324247385889</v>
      </c>
      <c r="AH28" s="62">
        <f>IFERROR(s_C*s_IFCB_res_adj*s_CF_cabbage*0.001*(s_Irr!H28+s_Irr!AF28+s_Irr!BD28),".")</f>
        <v>89.65924969287353</v>
      </c>
      <c r="AI28" s="62">
        <f>IFERROR(s_C*s_IFCR_res_adj*s_CF_carrot*0.001*(s_Irr!I28+s_Irr!AG28+s_Irr!BE28),".")</f>
        <v>88.577324247385889</v>
      </c>
      <c r="AJ28" s="62">
        <f>IFERROR(s_C*s_IFCI_res_adj*s_CF_citrus*0.001*(s_Irr!J28+s_Irr!AH28+s_Irr!BF28),".")</f>
        <v>88.577324247385889</v>
      </c>
      <c r="AK28" s="62">
        <f>IFERROR(s_C*s_IFCO_res_adj*s_CF_corn*0.001*(s_Irr!K28+s_Irr!AI28+s_Irr!BG28),".")</f>
        <v>88.577324247385889</v>
      </c>
      <c r="AL28" s="62">
        <f>IFERROR(s_C*s_IFCU_res_adj*s_CF_cucumber*0.001*(s_Irr!L28+s_Irr!AJ28+s_Irr!BH28),".")</f>
        <v>88.577324247385889</v>
      </c>
      <c r="AM28" s="62">
        <f>IFERROR(s_C*s_IFLE_res_adj*s_CF_lettuce*0.001*(s_Irr!M28+s_Irr!AK28+s_Irr!BI28),".")</f>
        <v>89.65924969287353</v>
      </c>
      <c r="AN28" s="62">
        <f>IFERROR(s_C*s_IFLI_res_adj*s_CF_lima_bean*0.001*(s_Irr!N28+s_Irr!AL28+s_Irr!BJ28),".")</f>
        <v>88.577324247385889</v>
      </c>
      <c r="AO28" s="62">
        <f>IFERROR(s_C*s_IFOK_res_adj*s_CF_okra*0.001*(s_Irr!O28+s_Irr!AM28+s_Irr!BK28),".")</f>
        <v>88.577324247385889</v>
      </c>
      <c r="AP28" s="62">
        <f>IFERROR(s_C*s_IFON_res_adj*s_CF_onion*0.001*(s_Irr!P28+s_Irr!AN28+s_Irr!BL28),".")</f>
        <v>88.577324247385889</v>
      </c>
      <c r="AQ28" s="62">
        <f>IFERROR(s_C*s_IFPC_res_adj*s_CF_peach*0.001*(s_Irr!Q28+s_Irr!AO28+s_Irr!BM28),".")</f>
        <v>88.577324247385889</v>
      </c>
      <c r="AR28" s="62">
        <f>IFERROR(s_C*s_IFPR_res_adj*s_CF_pear*0.001*(s_Irr!R28+s_Irr!AP28+s_Irr!BN28),".")</f>
        <v>88.577324247385889</v>
      </c>
      <c r="AS28" s="62">
        <f>IFERROR(s_C*s_IFPE_res_adj*s_CF_peas*0.001*(s_Irr!S28+s_Irr!AQ28+s_Irr!BO28),".")</f>
        <v>88.577324247385889</v>
      </c>
      <c r="AT28" s="62">
        <f>IFERROR(s_C*s_IFPT_res_adj*s_CF_potato*0.001*(s_Irr!T28+s_Irr!AR28+s_Irr!BP28),".")</f>
        <v>88.577324247385889</v>
      </c>
      <c r="AU28" s="62">
        <f>IFERROR(s_C*s_IFPU_res_adj*s_CF_pumpkin*0.001*(s_Irr!U28+s_Irr!AS28+s_Irr!BQ28),".")</f>
        <v>88.577324247385889</v>
      </c>
      <c r="AV28" s="62">
        <f>IFERROR(s_C*s_IFSN_res_adj*s_CF_snap_bean*0.001*(s_Irr!V28+s_Irr!AT28+s_Irr!BR28),".")</f>
        <v>88.577324247385889</v>
      </c>
      <c r="AW28" s="62">
        <f>IFERROR(s_C*s_IFST_res_adj*s_CF_strawberry*0.001*(s_Irr!W28+s_Irr!AU28+s_Irr!BS28),".")</f>
        <v>88.577324247385889</v>
      </c>
      <c r="AX28" s="62">
        <f>IFERROR(s_C*s_IFTO_res_adj*s_CF_tomato*0.001*(s_Irr!X28+s_Irr!AV28+s_Irr!BT28),".")</f>
        <v>88.577324247385889</v>
      </c>
      <c r="AY28" s="62">
        <f>IFERROR(s_C*s_IFRI_res_adj*s_CF_rice*0.001*(s_Irr!Y28+s_Irr!AW28+s_Irr!BU28),".")</f>
        <v>388.99195627778778</v>
      </c>
      <c r="AZ28" s="62">
        <f>IFERROR(s_C*s_IFCG_res_adj*s_CF_cereal*0.001*(s_Irr!Z28+s_Irr!AX28+s_Irr!BV28),".")</f>
        <v>388.99195627778778</v>
      </c>
      <c r="BA28" s="48" t="str">
        <f t="shared" si="0"/>
        <v>.</v>
      </c>
      <c r="BB28" s="48" t="str">
        <f>IFERROR(IF(AND(s_Irr!C28&lt;&gt;".",s_Irr!AA28&lt;&gt;".",s_Irr!AY28&lt;&gt;"."),s_dir!AC28/((1/1000)*(s_Irr!C28+s_Irr!AA28+s_Irr!AY28)),IF(AND(s_Irr!C28&lt;&gt;".",s_Irr!AA28&lt;&gt;".",s_Irr!AY28="."),s_dir!AC28/((1/1000)*(s_Irr!C28+s_Irr!AA28)),IF(AND(s_Irr!C28&lt;&gt;".",s_Irr!AA28=".",s_Irr!AY28&lt;&gt;"."),s_dir!AC28/((1/1000)*(s_Irr!C28+s_Irr!AY28)),IF(AND(s_Irr!C28=".",s_Irr!AA28&lt;&gt;".",s_Irr!AY28&lt;&gt;"."),s_dir!AC28/((1/1000)*(s_Irr!AA28+s_Irr!AY28)),IF(AND(s_Irr!C28=".",s_Irr!AA28=".",s_Irr!AY28&lt;&gt;"."),s_dir!AC28/((1/1000)*(s_Irr!AY28)),IF(AND(s_Irr!C28=".",s_Irr!AA28&lt;&gt;".",s_Irr!AY28="."),s_dir!AC28/((1/1000)*(s_Irr!AA28)),IF(AND(s_Irr!C28&lt;&gt;".",s_Irr!AA28=".",s_Irr!AY28="."),s_dir!AC28/((1/1000)*(s_Irr!C28)),IF(AND(s_Irr!C28=".",s_Irr!AA28=".",s_Irr!AY28="."),s_dir!AC28*1000)))))))),".")</f>
        <v>.</v>
      </c>
      <c r="BC28" s="48" t="str">
        <f>IFERROR(IF(AND(s_Irr!D28&lt;&gt;".",s_Irr!AB28&lt;&gt;".",s_Irr!AZ28&lt;&gt;"."),s_dir!AD28/((1/1000)*(s_Irr!D28+s_Irr!AB28+s_Irr!AZ28)),IF(AND(s_Irr!D28&lt;&gt;".",s_Irr!AB28&lt;&gt;".",s_Irr!AZ28="."),s_dir!AD28/((1/1000)*(s_Irr!D28+s_Irr!AB28)),IF(AND(s_Irr!D28&lt;&gt;".",s_Irr!AB28=".",s_Irr!AZ28&lt;&gt;"."),s_dir!AD28/((1/1000)*(s_Irr!D28+s_Irr!AZ28)),IF(AND(s_Irr!D28=".",s_Irr!AB28&lt;&gt;".",s_Irr!AZ28&lt;&gt;"."),s_dir!AD28/((1/1000)*(s_Irr!AB28+s_Irr!AZ28)),IF(AND(s_Irr!D28=".",s_Irr!AB28=".",s_Irr!AZ28&lt;&gt;"."),s_dir!AD28/((1/1000)*(s_Irr!AZ28)),IF(AND(s_Irr!D28=".",s_Irr!AB28&lt;&gt;".",s_Irr!AZ28="."),s_dir!AD28/((1/1000)*(s_Irr!AB28)),IF(AND(s_Irr!D28&lt;&gt;".",s_Irr!AB28=".",s_Irr!AZ28="."),s_dir!AD28/((1/1000)*(s_Irr!D28)),IF(AND(s_Irr!D28=".",s_Irr!AB28=".",s_Irr!AZ28="."),s_dir!AD28*1000)))))))),".")</f>
        <v>.</v>
      </c>
      <c r="BD28" s="48" t="str">
        <f>IFERROR(IF(AND(s_Irr!E28&lt;&gt;".",s_Irr!AC28&lt;&gt;".",s_Irr!BA28&lt;&gt;"."),s_dir!AE28/((1/1000)*(s_Irr!E28+s_Irr!AC28+s_Irr!BA28)),IF(AND(s_Irr!E28&lt;&gt;".",s_Irr!AC28&lt;&gt;".",s_Irr!BA28="."),s_dir!AE28/((1/1000)*(s_Irr!E28+s_Irr!AC28)),IF(AND(s_Irr!E28&lt;&gt;".",s_Irr!AC28=".",s_Irr!BA28&lt;&gt;"."),s_dir!AE28/((1/1000)*(s_Irr!E28+s_Irr!BA28)),IF(AND(s_Irr!E28=".",s_Irr!AC28&lt;&gt;".",s_Irr!BA28&lt;&gt;"."),s_dir!AE28/((1/1000)*(s_Irr!AC28+s_Irr!BA28)),IF(AND(s_Irr!E28=".",s_Irr!AC28=".",s_Irr!BA28&lt;&gt;"."),s_dir!AE28/((1/1000)*(s_Irr!BA28)),IF(AND(s_Irr!E28=".",s_Irr!AC28&lt;&gt;".",s_Irr!BA28="."),s_dir!AE28/((1/1000)*(s_Irr!AC28)),IF(AND(s_Irr!E28&lt;&gt;".",s_Irr!AC28=".",s_Irr!BA28="."),s_dir!AE28/((1/1000)*(s_Irr!E28)),IF(AND(s_Irr!E28=".",s_Irr!AC28=".",s_Irr!BA28="."),s_dir!AE28*1000)))))))),".")</f>
        <v>.</v>
      </c>
      <c r="BE28" s="48" t="str">
        <f>IFERROR(IF(AND(s_Irr!F28&lt;&gt;".",s_Irr!AD28&lt;&gt;".",s_Irr!BB28&lt;&gt;"."),s_dir!AF28/((1/1000)*(s_Irr!F28+s_Irr!AD28+s_Irr!BB28)),IF(AND(s_Irr!F28&lt;&gt;".",s_Irr!AD28&lt;&gt;".",s_Irr!BB28="."),s_dir!AF28/((1/1000)*(s_Irr!F28+s_Irr!AD28)),IF(AND(s_Irr!F28&lt;&gt;".",s_Irr!AD28=".",s_Irr!BB28&lt;&gt;"."),s_dir!AF28/((1/1000)*(s_Irr!F28+s_Irr!BB28)),IF(AND(s_Irr!F28=".",s_Irr!AD28&lt;&gt;".",s_Irr!BB28&lt;&gt;"."),s_dir!AF28/((1/1000)*(s_Irr!AD28+s_Irr!BB28)),IF(AND(s_Irr!F28=".",s_Irr!AD28=".",s_Irr!BB28&lt;&gt;"."),s_dir!AF28/((1/1000)*(s_Irr!BB28)),IF(AND(s_Irr!F28=".",s_Irr!AD28&lt;&gt;".",s_Irr!BB28="."),s_dir!AF28/((1/1000)*(s_Irr!AD28)),IF(AND(s_Irr!F28&lt;&gt;".",s_Irr!AD28=".",s_Irr!BB28="."),s_dir!AF28/((1/1000)*(s_Irr!F28)),IF(AND(s_Irr!F28=".",s_Irr!AD28=".",s_Irr!BB28="."),s_dir!AF28*1000)))))))),".")</f>
        <v>.</v>
      </c>
      <c r="BF28" s="48" t="str">
        <f>IFERROR(IF(AND(s_Irr!G28&lt;&gt;".",s_Irr!AE28&lt;&gt;".",s_Irr!BC28&lt;&gt;"."),s_dir!AG28/((1/1000)*(s_Irr!G28+s_Irr!AE28+s_Irr!BC28)),IF(AND(s_Irr!G28&lt;&gt;".",s_Irr!AE28&lt;&gt;".",s_Irr!BC28="."),s_dir!AG28/((1/1000)*(s_Irr!G28+s_Irr!AE28)),IF(AND(s_Irr!G28&lt;&gt;".",s_Irr!AE28=".",s_Irr!BC28&lt;&gt;"."),s_dir!AG28/((1/1000)*(s_Irr!G28+s_Irr!BC28)),IF(AND(s_Irr!G28=".",s_Irr!AE28&lt;&gt;".",s_Irr!BC28&lt;&gt;"."),s_dir!AG28/((1/1000)*(s_Irr!AE28+s_Irr!BC28)),IF(AND(s_Irr!G28=".",s_Irr!AE28=".",s_Irr!BC28&lt;&gt;"."),s_dir!AG28/((1/1000)*(s_Irr!BC28)),IF(AND(s_Irr!G28=".",s_Irr!AE28&lt;&gt;".",s_Irr!BC28="."),s_dir!AG28/((1/1000)*(s_Irr!AE28)),IF(AND(s_Irr!G28&lt;&gt;".",s_Irr!AE28=".",s_Irr!BC28="."),s_dir!AG28/((1/1000)*(s_Irr!G28)),IF(AND(s_Irr!G28=".",s_Irr!AE28=".",s_Irr!BC28="."),s_dir!AG28*1000)))))))),".")</f>
        <v>.</v>
      </c>
      <c r="BG28" s="48" t="str">
        <f>IFERROR(IF(AND(s_Irr!H28&lt;&gt;".",s_Irr!AF28&lt;&gt;".",s_Irr!BD28&lt;&gt;"."),s_dir!AH28/((1/1000)*(s_Irr!H28+s_Irr!AF28+s_Irr!BD28)),IF(AND(s_Irr!H28&lt;&gt;".",s_Irr!AF28&lt;&gt;".",s_Irr!BD28="."),s_dir!AH28/((1/1000)*(s_Irr!H28+s_Irr!AF28)),IF(AND(s_Irr!H28&lt;&gt;".",s_Irr!AF28=".",s_Irr!BD28&lt;&gt;"."),s_dir!AH28/((1/1000)*(s_Irr!H28+s_Irr!BD28)),IF(AND(s_Irr!H28=".",s_Irr!AF28&lt;&gt;".",s_Irr!BD28&lt;&gt;"."),s_dir!AH28/((1/1000)*(s_Irr!AF28+s_Irr!BD28)),IF(AND(s_Irr!H28=".",s_Irr!AF28=".",s_Irr!BD28&lt;&gt;"."),s_dir!AH28/((1/1000)*(s_Irr!BD28)),IF(AND(s_Irr!H28=".",s_Irr!AF28&lt;&gt;".",s_Irr!BD28="."),s_dir!AH28/((1/1000)*(s_Irr!AF28)),IF(AND(s_Irr!H28&lt;&gt;".",s_Irr!AF28=".",s_Irr!BD28="."),s_dir!AH28/((1/1000)*(s_Irr!H28)),IF(AND(s_Irr!H28=".",s_Irr!AF28=".",s_Irr!BD28="."),s_dir!AH28*1000)))))))),".")</f>
        <v>.</v>
      </c>
      <c r="BH28" s="48" t="str">
        <f>IFERROR(IF(AND(s_Irr!I28&lt;&gt;".",s_Irr!AG28&lt;&gt;".",s_Irr!BE28&lt;&gt;"."),s_dir!AI28/((1/1000)*(s_Irr!I28+s_Irr!AG28+s_Irr!BE28)),IF(AND(s_Irr!I28&lt;&gt;".",s_Irr!AG28&lt;&gt;".",s_Irr!BE28="."),s_dir!AI28/((1/1000)*(s_Irr!I28+s_Irr!AG28)),IF(AND(s_Irr!I28&lt;&gt;".",s_Irr!AG28=".",s_Irr!BE28&lt;&gt;"."),s_dir!AI28/((1/1000)*(s_Irr!I28+s_Irr!BE28)),IF(AND(s_Irr!I28=".",s_Irr!AG28&lt;&gt;".",s_Irr!BE28&lt;&gt;"."),s_dir!AI28/((1/1000)*(s_Irr!AG28+s_Irr!BE28)),IF(AND(s_Irr!I28=".",s_Irr!AG28=".",s_Irr!BE28&lt;&gt;"."),s_dir!AI28/((1/1000)*(s_Irr!BE28)),IF(AND(s_Irr!I28=".",s_Irr!AG28&lt;&gt;".",s_Irr!BE28="."),s_dir!AI28/((1/1000)*(s_Irr!AG28)),IF(AND(s_Irr!I28&lt;&gt;".",s_Irr!AG28=".",s_Irr!BE28="."),s_dir!AI28/((1/1000)*(s_Irr!I28)),IF(AND(s_Irr!I28=".",s_Irr!AG28=".",s_Irr!BE28="."),s_dir!AI28*1000)))))))),".")</f>
        <v>.</v>
      </c>
      <c r="BI28" s="48" t="str">
        <f>IFERROR(IF(AND(s_Irr!J28&lt;&gt;".",s_Irr!AH28&lt;&gt;".",s_Irr!BF28&lt;&gt;"."),s_dir!AJ28/((1/1000)*(s_Irr!J28+s_Irr!AH28+s_Irr!BF28)),IF(AND(s_Irr!J28&lt;&gt;".",s_Irr!AH28&lt;&gt;".",s_Irr!BF28="."),s_dir!AJ28/((1/1000)*(s_Irr!J28+s_Irr!AH28)),IF(AND(s_Irr!J28&lt;&gt;".",s_Irr!AH28=".",s_Irr!BF28&lt;&gt;"."),s_dir!AJ28/((1/1000)*(s_Irr!J28+s_Irr!BF28)),IF(AND(s_Irr!J28=".",s_Irr!AH28&lt;&gt;".",s_Irr!BF28&lt;&gt;"."),s_dir!AJ28/((1/1000)*(s_Irr!AH28+s_Irr!BF28)),IF(AND(s_Irr!J28=".",s_Irr!AH28=".",s_Irr!BF28&lt;&gt;"."),s_dir!AJ28/((1/1000)*(s_Irr!BF28)),IF(AND(s_Irr!J28=".",s_Irr!AH28&lt;&gt;".",s_Irr!BF28="."),s_dir!AJ28/((1/1000)*(s_Irr!AH28)),IF(AND(s_Irr!J28&lt;&gt;".",s_Irr!AH28=".",s_Irr!BF28="."),s_dir!AJ28/((1/1000)*(s_Irr!J28)),IF(AND(s_Irr!J28=".",s_Irr!AH28=".",s_Irr!BF28="."),s_dir!AJ28*1000)))))))),".")</f>
        <v>.</v>
      </c>
      <c r="BJ28" s="48" t="str">
        <f>IFERROR(IF(AND(s_Irr!K28&lt;&gt;".",s_Irr!AI28&lt;&gt;".",s_Irr!BG28&lt;&gt;"."),s_dir!AK28/((1/1000)*(s_Irr!K28+s_Irr!AI28+s_Irr!BG28)),IF(AND(s_Irr!K28&lt;&gt;".",s_Irr!AI28&lt;&gt;".",s_Irr!BG28="."),s_dir!AK28/((1/1000)*(s_Irr!K28+s_Irr!AI28)),IF(AND(s_Irr!K28&lt;&gt;".",s_Irr!AI28=".",s_Irr!BG28&lt;&gt;"."),s_dir!AK28/((1/1000)*(s_Irr!K28+s_Irr!BG28)),IF(AND(s_Irr!K28=".",s_Irr!AI28&lt;&gt;".",s_Irr!BG28&lt;&gt;"."),s_dir!AK28/((1/1000)*(s_Irr!AI28+s_Irr!BG28)),IF(AND(s_Irr!K28=".",s_Irr!AI28=".",s_Irr!BG28&lt;&gt;"."),s_dir!AK28/((1/1000)*(s_Irr!BG28)),IF(AND(s_Irr!K28=".",s_Irr!AI28&lt;&gt;".",s_Irr!BG28="."),s_dir!AK28/((1/1000)*(s_Irr!AI28)),IF(AND(s_Irr!K28&lt;&gt;".",s_Irr!AI28=".",s_Irr!BG28="."),s_dir!AK28/((1/1000)*(s_Irr!K28)),IF(AND(s_Irr!K28=".",s_Irr!AI28=".",s_Irr!BG28="."),s_dir!AK28*1000)))))))),".")</f>
        <v>.</v>
      </c>
      <c r="BK28" s="48" t="str">
        <f>IFERROR(IF(AND(s_Irr!L28&lt;&gt;".",s_Irr!AJ28&lt;&gt;".",s_Irr!BH28&lt;&gt;"."),s_dir!AL28/((1/1000)*(s_Irr!L28+s_Irr!AJ28+s_Irr!BH28)),IF(AND(s_Irr!L28&lt;&gt;".",s_Irr!AJ28&lt;&gt;".",s_Irr!BH28="."),s_dir!AL28/((1/1000)*(s_Irr!L28+s_Irr!AJ28)),IF(AND(s_Irr!L28&lt;&gt;".",s_Irr!AJ28=".",s_Irr!BH28&lt;&gt;"."),s_dir!AL28/((1/1000)*(s_Irr!L28+s_Irr!BH28)),IF(AND(s_Irr!L28=".",s_Irr!AJ28&lt;&gt;".",s_Irr!BH28&lt;&gt;"."),s_dir!AL28/((1/1000)*(s_Irr!AJ28+s_Irr!BH28)),IF(AND(s_Irr!L28=".",s_Irr!AJ28=".",s_Irr!BH28&lt;&gt;"."),s_dir!AL28/((1/1000)*(s_Irr!BH28)),IF(AND(s_Irr!L28=".",s_Irr!AJ28&lt;&gt;".",s_Irr!BH28="."),s_dir!AL28/((1/1000)*(s_Irr!AJ28)),IF(AND(s_Irr!L28&lt;&gt;".",s_Irr!AJ28=".",s_Irr!BH28="."),s_dir!AL28/((1/1000)*(s_Irr!L28)),IF(AND(s_Irr!L28=".",s_Irr!AJ28=".",s_Irr!BH28="."),s_dir!AL28*1000)))))))),".")</f>
        <v>.</v>
      </c>
      <c r="BL28" s="48" t="str">
        <f>IFERROR(IF(AND(s_Irr!M28&lt;&gt;".",s_Irr!AK28&lt;&gt;".",s_Irr!BI28&lt;&gt;"."),s_dir!AM28/((1/1000)*(s_Irr!M28+s_Irr!AK28+s_Irr!BI28)),IF(AND(s_Irr!M28&lt;&gt;".",s_Irr!AK28&lt;&gt;".",s_Irr!BI28="."),s_dir!AM28/((1/1000)*(s_Irr!M28+s_Irr!AK28)),IF(AND(s_Irr!M28&lt;&gt;".",s_Irr!AK28=".",s_Irr!BI28&lt;&gt;"."),s_dir!AM28/((1/1000)*(s_Irr!M28+s_Irr!BI28)),IF(AND(s_Irr!M28=".",s_Irr!AK28&lt;&gt;".",s_Irr!BI28&lt;&gt;"."),s_dir!AM28/((1/1000)*(s_Irr!AK28+s_Irr!BI28)),IF(AND(s_Irr!M28=".",s_Irr!AK28=".",s_Irr!BI28&lt;&gt;"."),s_dir!AM28/((1/1000)*(s_Irr!BI28)),IF(AND(s_Irr!M28=".",s_Irr!AK28&lt;&gt;".",s_Irr!BI28="."),s_dir!AM28/((1/1000)*(s_Irr!AK28)),IF(AND(s_Irr!M28&lt;&gt;".",s_Irr!AK28=".",s_Irr!BI28="."),s_dir!AM28/((1/1000)*(s_Irr!M28)),IF(AND(s_Irr!M28=".",s_Irr!AK28=".",s_Irr!BI28="."),s_dir!AM28*1000)))))))),".")</f>
        <v>.</v>
      </c>
      <c r="BM28" s="48" t="str">
        <f>IFERROR(IF(AND(s_Irr!N28&lt;&gt;".",s_Irr!AL28&lt;&gt;".",s_Irr!BJ28&lt;&gt;"."),s_dir!AN28/((1/1000)*(s_Irr!N28+s_Irr!AL28+s_Irr!BJ28)),IF(AND(s_Irr!N28&lt;&gt;".",s_Irr!AL28&lt;&gt;".",s_Irr!BJ28="."),s_dir!AN28/((1/1000)*(s_Irr!N28+s_Irr!AL28)),IF(AND(s_Irr!N28&lt;&gt;".",s_Irr!AL28=".",s_Irr!BJ28&lt;&gt;"."),s_dir!AN28/((1/1000)*(s_Irr!N28+s_Irr!BJ28)),IF(AND(s_Irr!N28=".",s_Irr!AL28&lt;&gt;".",s_Irr!BJ28&lt;&gt;"."),s_dir!AN28/((1/1000)*(s_Irr!AL28+s_Irr!BJ28)),IF(AND(s_Irr!N28=".",s_Irr!AL28=".",s_Irr!BJ28&lt;&gt;"."),s_dir!AN28/((1/1000)*(s_Irr!BJ28)),IF(AND(s_Irr!N28=".",s_Irr!AL28&lt;&gt;".",s_Irr!BJ28="."),s_dir!AN28/((1/1000)*(s_Irr!AL28)),IF(AND(s_Irr!N28&lt;&gt;".",s_Irr!AL28=".",s_Irr!BJ28="."),s_dir!AN28/((1/1000)*(s_Irr!N28)),IF(AND(s_Irr!N28=".",s_Irr!AL28=".",s_Irr!BJ28="."),s_dir!AN28*1000)))))))),".")</f>
        <v>.</v>
      </c>
      <c r="BN28" s="48" t="str">
        <f>IFERROR(IF(AND(s_Irr!O28&lt;&gt;".",s_Irr!AM28&lt;&gt;".",s_Irr!BK28&lt;&gt;"."),s_dir!AO28/((1/1000)*(s_Irr!O28+s_Irr!AM28+s_Irr!BK28)),IF(AND(s_Irr!O28&lt;&gt;".",s_Irr!AM28&lt;&gt;".",s_Irr!BK28="."),s_dir!AO28/((1/1000)*(s_Irr!O28+s_Irr!AM28)),IF(AND(s_Irr!O28&lt;&gt;".",s_Irr!AM28=".",s_Irr!BK28&lt;&gt;"."),s_dir!AO28/((1/1000)*(s_Irr!O28+s_Irr!BK28)),IF(AND(s_Irr!O28=".",s_Irr!AM28&lt;&gt;".",s_Irr!BK28&lt;&gt;"."),s_dir!AO28/((1/1000)*(s_Irr!AM28+s_Irr!BK28)),IF(AND(s_Irr!O28=".",s_Irr!AM28=".",s_Irr!BK28&lt;&gt;"."),s_dir!AO28/((1/1000)*(s_Irr!BK28)),IF(AND(s_Irr!O28=".",s_Irr!AM28&lt;&gt;".",s_Irr!BK28="."),s_dir!AO28/((1/1000)*(s_Irr!AM28)),IF(AND(s_Irr!O28&lt;&gt;".",s_Irr!AM28=".",s_Irr!BK28="."),s_dir!AO28/((1/1000)*(s_Irr!O28)),IF(AND(s_Irr!O28=".",s_Irr!AM28=".",s_Irr!BK28="."),s_dir!AO28*1000)))))))),".")</f>
        <v>.</v>
      </c>
      <c r="BO28" s="48" t="str">
        <f>IFERROR(IF(AND(s_Irr!P28&lt;&gt;".",s_Irr!AN28&lt;&gt;".",s_Irr!BL28&lt;&gt;"."),s_dir!AP28/((1/1000)*(s_Irr!P28+s_Irr!AN28+s_Irr!BL28)),IF(AND(s_Irr!P28&lt;&gt;".",s_Irr!AN28&lt;&gt;".",s_Irr!BL28="."),s_dir!AP28/((1/1000)*(s_Irr!P28+s_Irr!AN28)),IF(AND(s_Irr!P28&lt;&gt;".",s_Irr!AN28=".",s_Irr!BL28&lt;&gt;"."),s_dir!AP28/((1/1000)*(s_Irr!P28+s_Irr!BL28)),IF(AND(s_Irr!P28=".",s_Irr!AN28&lt;&gt;".",s_Irr!BL28&lt;&gt;"."),s_dir!AP28/((1/1000)*(s_Irr!AN28+s_Irr!BL28)),IF(AND(s_Irr!P28=".",s_Irr!AN28=".",s_Irr!BL28&lt;&gt;"."),s_dir!AP28/((1/1000)*(s_Irr!BL28)),IF(AND(s_Irr!P28=".",s_Irr!AN28&lt;&gt;".",s_Irr!BL28="."),s_dir!AP28/((1/1000)*(s_Irr!AN28)),IF(AND(s_Irr!P28&lt;&gt;".",s_Irr!AN28=".",s_Irr!BL28="."),s_dir!AP28/((1/1000)*(s_Irr!P28)),IF(AND(s_Irr!P28=".",s_Irr!AN28=".",s_Irr!BL28="."),s_dir!AP28*1000)))))))),".")</f>
        <v>.</v>
      </c>
      <c r="BP28" s="48" t="str">
        <f>IFERROR(IF(AND(s_Irr!Q28&lt;&gt;".",s_Irr!AO28&lt;&gt;".",s_Irr!BM28&lt;&gt;"."),s_dir!AQ28/((1/1000)*(s_Irr!Q28+s_Irr!AO28+s_Irr!BM28)),IF(AND(s_Irr!Q28&lt;&gt;".",s_Irr!AO28&lt;&gt;".",s_Irr!BM28="."),s_dir!AQ28/((1/1000)*(s_Irr!Q28+s_Irr!AO28)),IF(AND(s_Irr!Q28&lt;&gt;".",s_Irr!AO28=".",s_Irr!BM28&lt;&gt;"."),s_dir!AQ28/((1/1000)*(s_Irr!Q28+s_Irr!BM28)),IF(AND(s_Irr!Q28=".",s_Irr!AO28&lt;&gt;".",s_Irr!BM28&lt;&gt;"."),s_dir!AQ28/((1/1000)*(s_Irr!AO28+s_Irr!BM28)),IF(AND(s_Irr!Q28=".",s_Irr!AO28=".",s_Irr!BM28&lt;&gt;"."),s_dir!AQ28/((1/1000)*(s_Irr!BM28)),IF(AND(s_Irr!Q28=".",s_Irr!AO28&lt;&gt;".",s_Irr!BM28="."),s_dir!AQ28/((1/1000)*(s_Irr!AO28)),IF(AND(s_Irr!Q28&lt;&gt;".",s_Irr!AO28=".",s_Irr!BM28="."),s_dir!AQ28/((1/1000)*(s_Irr!Q28)),IF(AND(s_Irr!Q28=".",s_Irr!AO28=".",s_Irr!BM28="."),s_dir!AQ28*1000)))))))),".")</f>
        <v>.</v>
      </c>
      <c r="BQ28" s="48" t="str">
        <f>IFERROR(IF(AND(s_Irr!R28&lt;&gt;".",s_Irr!AP28&lt;&gt;".",s_Irr!BN28&lt;&gt;"."),s_dir!AR28/((1/1000)*(s_Irr!R28+s_Irr!AP28+s_Irr!BN28)),IF(AND(s_Irr!R28&lt;&gt;".",s_Irr!AP28&lt;&gt;".",s_Irr!BN28="."),s_dir!AR28/((1/1000)*(s_Irr!R28+s_Irr!AP28)),IF(AND(s_Irr!R28&lt;&gt;".",s_Irr!AP28=".",s_Irr!BN28&lt;&gt;"."),s_dir!AR28/((1/1000)*(s_Irr!R28+s_Irr!BN28)),IF(AND(s_Irr!R28=".",s_Irr!AP28&lt;&gt;".",s_Irr!BN28&lt;&gt;"."),s_dir!AR28/((1/1000)*(s_Irr!AP28+s_Irr!BN28)),IF(AND(s_Irr!R28=".",s_Irr!AP28=".",s_Irr!BN28&lt;&gt;"."),s_dir!AR28/((1/1000)*(s_Irr!BN28)),IF(AND(s_Irr!R28=".",s_Irr!AP28&lt;&gt;".",s_Irr!BN28="."),s_dir!AR28/((1/1000)*(s_Irr!AP28)),IF(AND(s_Irr!R28&lt;&gt;".",s_Irr!AP28=".",s_Irr!BN28="."),s_dir!AR28/((1/1000)*(s_Irr!R28)),IF(AND(s_Irr!R28=".",s_Irr!AP28=".",s_Irr!BN28="."),s_dir!AR28*1000)))))))),".")</f>
        <v>.</v>
      </c>
      <c r="BR28" s="48" t="str">
        <f>IFERROR(IF(AND(s_Irr!S28&lt;&gt;".",s_Irr!AQ28&lt;&gt;".",s_Irr!BO28&lt;&gt;"."),s_dir!AS28/((1/1000)*(s_Irr!S28+s_Irr!AQ28+s_Irr!BO28)),IF(AND(s_Irr!S28&lt;&gt;".",s_Irr!AQ28&lt;&gt;".",s_Irr!BO28="."),s_dir!AS28/((1/1000)*(s_Irr!S28+s_Irr!AQ28)),IF(AND(s_Irr!S28&lt;&gt;".",s_Irr!AQ28=".",s_Irr!BO28&lt;&gt;"."),s_dir!AS28/((1/1000)*(s_Irr!S28+s_Irr!BO28)),IF(AND(s_Irr!S28=".",s_Irr!AQ28&lt;&gt;".",s_Irr!BO28&lt;&gt;"."),s_dir!AS28/((1/1000)*(s_Irr!AQ28+s_Irr!BO28)),IF(AND(s_Irr!S28=".",s_Irr!AQ28=".",s_Irr!BO28&lt;&gt;"."),s_dir!AS28/((1/1000)*(s_Irr!BO28)),IF(AND(s_Irr!S28=".",s_Irr!AQ28&lt;&gt;".",s_Irr!BO28="."),s_dir!AS28/((1/1000)*(s_Irr!AQ28)),IF(AND(s_Irr!S28&lt;&gt;".",s_Irr!AQ28=".",s_Irr!BO28="."),s_dir!AS28/((1/1000)*(s_Irr!S28)),IF(AND(s_Irr!S28=".",s_Irr!AQ28=".",s_Irr!BO28="."),s_dir!AS28*1000)))))))),".")</f>
        <v>.</v>
      </c>
      <c r="BS28" s="48" t="str">
        <f>IFERROR(IF(AND(s_Irr!T28&lt;&gt;".",s_Irr!AR28&lt;&gt;".",s_Irr!BP28&lt;&gt;"."),s_dir!AT28/((1/1000)*(s_Irr!T28+s_Irr!AR28+s_Irr!BP28)),IF(AND(s_Irr!T28&lt;&gt;".",s_Irr!AR28&lt;&gt;".",s_Irr!BP28="."),s_dir!AT28/((1/1000)*(s_Irr!T28+s_Irr!AR28)),IF(AND(s_Irr!T28&lt;&gt;".",s_Irr!AR28=".",s_Irr!BP28&lt;&gt;"."),s_dir!AT28/((1/1000)*(s_Irr!T28+s_Irr!BP28)),IF(AND(s_Irr!T28=".",s_Irr!AR28&lt;&gt;".",s_Irr!BP28&lt;&gt;"."),s_dir!AT28/((1/1000)*(s_Irr!AR28+s_Irr!BP28)),IF(AND(s_Irr!T28=".",s_Irr!AR28=".",s_Irr!BP28&lt;&gt;"."),s_dir!AT28/((1/1000)*(s_Irr!BP28)),IF(AND(s_Irr!T28=".",s_Irr!AR28&lt;&gt;".",s_Irr!BP28="."),s_dir!AT28/((1/1000)*(s_Irr!AR28)),IF(AND(s_Irr!T28&lt;&gt;".",s_Irr!AR28=".",s_Irr!BP28="."),s_dir!AT28/((1/1000)*(s_Irr!T28)),IF(AND(s_Irr!T28=".",s_Irr!AR28=".",s_Irr!BP28="."),s_dir!AT28*1000)))))))),".")</f>
        <v>.</v>
      </c>
      <c r="BT28" s="48" t="str">
        <f>IFERROR(IF(AND(s_Irr!U28&lt;&gt;".",s_Irr!AS28&lt;&gt;".",s_Irr!BQ28&lt;&gt;"."),s_dir!AU28/((1/1000)*(s_Irr!U28+s_Irr!AS28+s_Irr!BQ28)),IF(AND(s_Irr!U28&lt;&gt;".",s_Irr!AS28&lt;&gt;".",s_Irr!BQ28="."),s_dir!AU28/((1/1000)*(s_Irr!U28+s_Irr!AS28)),IF(AND(s_Irr!U28&lt;&gt;".",s_Irr!AS28=".",s_Irr!BQ28&lt;&gt;"."),s_dir!AU28/((1/1000)*(s_Irr!U28+s_Irr!BQ28)),IF(AND(s_Irr!U28=".",s_Irr!AS28&lt;&gt;".",s_Irr!BQ28&lt;&gt;"."),s_dir!AU28/((1/1000)*(s_Irr!AS28+s_Irr!BQ28)),IF(AND(s_Irr!U28=".",s_Irr!AS28=".",s_Irr!BQ28&lt;&gt;"."),s_dir!AU28/((1/1000)*(s_Irr!BQ28)),IF(AND(s_Irr!U28=".",s_Irr!AS28&lt;&gt;".",s_Irr!BQ28="."),s_dir!AU28/((1/1000)*(s_Irr!AS28)),IF(AND(s_Irr!U28&lt;&gt;".",s_Irr!AS28=".",s_Irr!BQ28="."),s_dir!AU28/((1/1000)*(s_Irr!U28)),IF(AND(s_Irr!U28=".",s_Irr!AS28=".",s_Irr!BQ28="."),s_dir!AU28*1000)))))))),".")</f>
        <v>.</v>
      </c>
      <c r="BU28" s="48" t="str">
        <f>IFERROR(IF(AND(s_Irr!V28&lt;&gt;".",s_Irr!AT28&lt;&gt;".",s_Irr!BR28&lt;&gt;"."),s_dir!AV28/((1/1000)*(s_Irr!V28+s_Irr!AT28+s_Irr!BR28)),IF(AND(s_Irr!V28&lt;&gt;".",s_Irr!AT28&lt;&gt;".",s_Irr!BR28="."),s_dir!AV28/((1/1000)*(s_Irr!V28+s_Irr!AT28)),IF(AND(s_Irr!V28&lt;&gt;".",s_Irr!AT28=".",s_Irr!BR28&lt;&gt;"."),s_dir!AV28/((1/1000)*(s_Irr!V28+s_Irr!BR28)),IF(AND(s_Irr!V28=".",s_Irr!AT28&lt;&gt;".",s_Irr!BR28&lt;&gt;"."),s_dir!AV28/((1/1000)*(s_Irr!AT28+s_Irr!BR28)),IF(AND(s_Irr!V28=".",s_Irr!AT28=".",s_Irr!BR28&lt;&gt;"."),s_dir!AV28/((1/1000)*(s_Irr!BR28)),IF(AND(s_Irr!V28=".",s_Irr!AT28&lt;&gt;".",s_Irr!BR28="."),s_dir!AV28/((1/1000)*(s_Irr!AT28)),IF(AND(s_Irr!V28&lt;&gt;".",s_Irr!AT28=".",s_Irr!BR28="."),s_dir!AV28/((1/1000)*(s_Irr!V28)),IF(AND(s_Irr!V28=".",s_Irr!AT28=".",s_Irr!BR28="."),s_dir!AV28*1000)))))))),".")</f>
        <v>.</v>
      </c>
      <c r="BV28" s="48" t="str">
        <f>IFERROR(IF(AND(s_Irr!W28&lt;&gt;".",s_Irr!AU28&lt;&gt;".",s_Irr!BS28&lt;&gt;"."),s_dir!AW28/((1/1000)*(s_Irr!W28+s_Irr!AU28+s_Irr!BS28)),IF(AND(s_Irr!W28&lt;&gt;".",s_Irr!AU28&lt;&gt;".",s_Irr!BS28="."),s_dir!AW28/((1/1000)*(s_Irr!W28+s_Irr!AU28)),IF(AND(s_Irr!W28&lt;&gt;".",s_Irr!AU28=".",s_Irr!BS28&lt;&gt;"."),s_dir!AW28/((1/1000)*(s_Irr!W28+s_Irr!BS28)),IF(AND(s_Irr!W28=".",s_Irr!AU28&lt;&gt;".",s_Irr!BS28&lt;&gt;"."),s_dir!AW28/((1/1000)*(s_Irr!AU28+s_Irr!BS28)),IF(AND(s_Irr!W28=".",s_Irr!AU28=".",s_Irr!BS28&lt;&gt;"."),s_dir!AW28/((1/1000)*(s_Irr!BS28)),IF(AND(s_Irr!W28=".",s_Irr!AU28&lt;&gt;".",s_Irr!BS28="."),s_dir!AW28/((1/1000)*(s_Irr!AU28)),IF(AND(s_Irr!W28&lt;&gt;".",s_Irr!AU28=".",s_Irr!BS28="."),s_dir!AW28/((1/1000)*(s_Irr!W28)),IF(AND(s_Irr!W28=".",s_Irr!AU28=".",s_Irr!BS28="."),s_dir!AW28*1000)))))))),".")</f>
        <v>.</v>
      </c>
      <c r="BW28" s="48" t="str">
        <f>IFERROR(IF(AND(s_Irr!X28&lt;&gt;".",s_Irr!AV28&lt;&gt;".",s_Irr!BT28&lt;&gt;"."),s_dir!AX28/((1/1000)*(s_Irr!X28+s_Irr!AV28+s_Irr!BT28)),IF(AND(s_Irr!X28&lt;&gt;".",s_Irr!AV28&lt;&gt;".",s_Irr!BT28="."),s_dir!AX28/((1/1000)*(s_Irr!X28+s_Irr!AV28)),IF(AND(s_Irr!X28&lt;&gt;".",s_Irr!AV28=".",s_Irr!BT28&lt;&gt;"."),s_dir!AX28/((1/1000)*(s_Irr!X28+s_Irr!BT28)),IF(AND(s_Irr!X28=".",s_Irr!AV28&lt;&gt;".",s_Irr!BT28&lt;&gt;"."),s_dir!AX28/((1/1000)*(s_Irr!AV28+s_Irr!BT28)),IF(AND(s_Irr!X28=".",s_Irr!AV28=".",s_Irr!BT28&lt;&gt;"."),s_dir!AX28/((1/1000)*(s_Irr!BT28)),IF(AND(s_Irr!X28=".",s_Irr!AV28&lt;&gt;".",s_Irr!BT28="."),s_dir!AX28/((1/1000)*(s_Irr!AV28)),IF(AND(s_Irr!X28&lt;&gt;".",s_Irr!AV28=".",s_Irr!BT28="."),s_dir!AX28/((1/1000)*(s_Irr!X28)),IF(AND(s_Irr!X28=".",s_Irr!AV28=".",s_Irr!BT28="."),s_dir!AX28*1000)))))))),".")</f>
        <v>.</v>
      </c>
      <c r="BX28" s="48" t="str">
        <f>IFERROR(IF(AND(s_Irr!Y28&lt;&gt;".",s_Irr!AW28&lt;&gt;".",s_Irr!BU28&lt;&gt;"."),s_dir!AY28/((1/1000)*(s_Irr!Y28+s_Irr!AW28+s_Irr!BU28)),IF(AND(s_Irr!Y28&lt;&gt;".",s_Irr!AW28&lt;&gt;".",s_Irr!BU28="."),s_dir!AY28/((1/1000)*(s_Irr!Y28+s_Irr!AW28)),IF(AND(s_Irr!Y28&lt;&gt;".",s_Irr!AW28=".",s_Irr!BU28&lt;&gt;"."),s_dir!AY28/((1/1000)*(s_Irr!Y28+s_Irr!BU28)),IF(AND(s_Irr!Y28=".",s_Irr!AW28&lt;&gt;".",s_Irr!BU28&lt;&gt;"."),s_dir!AY28/((1/1000)*(s_Irr!AW28+s_Irr!BU28)),IF(AND(s_Irr!Y28=".",s_Irr!AW28=".",s_Irr!BU28&lt;&gt;"."),s_dir!AY28/((1/1000)*(s_Irr!BU28)),IF(AND(s_Irr!Y28=".",s_Irr!AW28&lt;&gt;".",s_Irr!BU28="."),s_dir!AY28/((1/1000)*(s_Irr!AW28)),IF(AND(s_Irr!Y28&lt;&gt;".",s_Irr!AW28=".",s_Irr!BU28="."),s_dir!AY28/((1/1000)*(s_Irr!Y28)),IF(AND(s_Irr!Y28=".",s_Irr!AW28=".",s_Irr!BU28="."),s_dir!AY28*1000)))))))),".")</f>
        <v>.</v>
      </c>
      <c r="BY28" s="48" t="str">
        <f>IFERROR(IF(AND(s_Irr!Z28&lt;&gt;".",s_Irr!AX28&lt;&gt;".",s_Irr!BV28&lt;&gt;"."),s_dir!AZ28/((1/1000)*(s_Irr!Z28+s_Irr!AX28+s_Irr!BV28)),IF(AND(s_Irr!Z28&lt;&gt;".",s_Irr!AX28&lt;&gt;".",s_Irr!BV28="."),s_dir!AZ28/((1/1000)*(s_Irr!Z28+s_Irr!AX28)),IF(AND(s_Irr!Z28&lt;&gt;".",s_Irr!AX28=".",s_Irr!BV28&lt;&gt;"."),s_dir!AZ28/((1/1000)*(s_Irr!Z28+s_Irr!BV28)),IF(AND(s_Irr!Z28=".",s_Irr!AX28&lt;&gt;".",s_Irr!BV28&lt;&gt;"."),s_dir!AZ28/((1/1000)*(s_Irr!AX28+s_Irr!BV28)),IF(AND(s_Irr!Z28=".",s_Irr!AX28=".",s_Irr!BV28&lt;&gt;"."),s_dir!AZ28/((1/1000)*(s_Irr!BV28)),IF(AND(s_Irr!Z28=".",s_Irr!AX28&lt;&gt;".",s_Irr!BV28="."),s_dir!AZ28/((1/1000)*(s_Irr!AX28)),IF(AND(s_Irr!Z28&lt;&gt;".",s_Irr!AX28=".",s_Irr!BV28="."),s_dir!AZ28/((1/1000)*(s_Irr!Z28)),IF(AND(s_Irr!Z28=".",s_Irr!AX28=".",s_Irr!BV28="."),s_dir!AZ28*1000)))))))),".")</f>
        <v>.</v>
      </c>
      <c r="BZ28" s="62">
        <f t="shared" si="1"/>
        <v>866.5612368029615</v>
      </c>
      <c r="CA28" s="62">
        <f>IFERROR(s_C*s_IFAP_far_adj*s_CF_apple*(1/1000)*(s_Irr!C28+s_Irr!AA28+s_Irr!AY28),".")</f>
        <v>88.577324247385889</v>
      </c>
      <c r="CB28" s="62">
        <f>IFERROR(s_C*s_IFAS_far_adj*s_CF_asparagus*(1/1000)*(s_Irr!D28+s_Irr!AB28+s_Irr!AZ28),".")</f>
        <v>89.65924969287353</v>
      </c>
      <c r="CC28" s="62">
        <f>IFERROR(s_C*s_IFBT_far_adj*s_CF_beet*(1/1000)*(s_Irr!E28+s_Irr!AC28+s_Irr!BA28),".")</f>
        <v>88.577324247385889</v>
      </c>
      <c r="CD28" s="62">
        <f>IFERROR(s_C*s_IFBE_far_adj*s_CF_berries*(1/1000)*(s_Irr!F28+s_Irr!AD28+s_Irr!BB28),".")</f>
        <v>88.577324247385889</v>
      </c>
      <c r="CE28" s="62">
        <f>IFERROR(s_C*s_IFBR_far_adj*s_CF_broccoli*(1/1000)*(s_Irr!G28+s_Irr!AE28+s_Irr!BC28),".")</f>
        <v>88.577324247385889</v>
      </c>
      <c r="CF28" s="62">
        <f>IFERROR(s_C*s_IFCB_far_adj*s_CF_cabbage*(1/1000)*(s_Irr!H28+s_Irr!AF28+s_Irr!BD28),".")</f>
        <v>89.65924969287353</v>
      </c>
      <c r="CG28" s="62">
        <f>IFERROR(s_C*s_IFCR_far_adj*s_CF_carrot*(1/1000)*(s_Irr!I28+s_Irr!AG28+s_Irr!BE28),".")</f>
        <v>88.577324247385889</v>
      </c>
      <c r="CH28" s="62">
        <f>IFERROR(s_C*s_IFCI_far_adj*s_CF_citrus*(1/1000)*(s_Irr!J28+s_Irr!AH28+s_Irr!BF28),".")</f>
        <v>88.577324247385889</v>
      </c>
      <c r="CI28" s="62">
        <f>IFERROR(s_C*s_IFCO_far_adj*s_CF_corn*(1/1000)*(s_Irr!K28+s_Irr!AI28+s_Irr!BG28),".")</f>
        <v>88.577324247385889</v>
      </c>
      <c r="CJ28" s="62">
        <f>IFERROR(s_C*s_IFCU_far_adj*s_CF_cucumber*(1/1000)*(s_Irr!L28+s_Irr!AJ28+s_Irr!BH28),".")</f>
        <v>88.577324247385889</v>
      </c>
      <c r="CK28" s="62">
        <f>IFERROR(s_C*s_IFLE_far_adj*s_CF_lettuce*(1/1000)*(s_Irr!M28+s_Irr!AK28+s_Irr!BI28),".")</f>
        <v>89.65924969287353</v>
      </c>
      <c r="CL28" s="62">
        <f>IFERROR(s_C*s_IFLI_far_adj*s_CF_lima_bean*(1/1000)*(s_Irr!N28+s_Irr!AL28+s_Irr!BJ28),".")</f>
        <v>88.577324247385889</v>
      </c>
      <c r="CM28" s="62">
        <f>IFERROR(s_C*s_IFOK_far_adj*s_CF_okra*(1/1000)*(s_Irr!O28+s_Irr!AM28+s_Irr!BK28),".")</f>
        <v>88.577324247385889</v>
      </c>
      <c r="CN28" s="62">
        <f>IFERROR(s_C*s_IFON_far_adj*s_CF_onion*(1/1000)*(s_Irr!P28+s_Irr!AN28+s_Irr!BL28),".")</f>
        <v>88.577324247385889</v>
      </c>
      <c r="CO28" s="62">
        <f>IFERROR(s_C*s_IFPC_far_adj*s_CF_peach*(1/1000)*(s_Irr!Q28+s_Irr!AO28+s_Irr!BM28),".")</f>
        <v>88.577324247385889</v>
      </c>
      <c r="CP28" s="62">
        <f>IFERROR(s_C*s_IFPR_far_adj*s_CF_pear*(1/1000)*(s_Irr!R28+s_Irr!AP28+s_Irr!BN28),".")</f>
        <v>88.577324247385889</v>
      </c>
      <c r="CQ28" s="62">
        <f>IFERROR(s_C*s_IFPE_far_adj*s_CF_peas*(1/1000)*(s_Irr!S28+s_Irr!AQ28+s_Irr!BO28),".")</f>
        <v>88.577324247385889</v>
      </c>
      <c r="CR28" s="62">
        <f>IFERROR(s_C*s_IFPT_far_adj*s_CF_potato*(1/1000)*(s_Irr!T28+s_Irr!AR28+s_Irr!BP28),".")</f>
        <v>88.577324247385889</v>
      </c>
      <c r="CS28" s="62">
        <f>IFERROR(s_C*s_IFPU_far_adj*s_CF_pumpkin*(1/1000)*(s_Irr!U28+s_Irr!AS28+s_Irr!BQ28),".")</f>
        <v>88.577324247385889</v>
      </c>
      <c r="CT28" s="62">
        <f>IFERROR(s_C*s_IFSN_far_adj*s_CF_snap_bean*(1/1000)*(s_Irr!V28+s_Irr!AT28+s_Irr!BR28),".")</f>
        <v>88.577324247385889</v>
      </c>
      <c r="CU28" s="62">
        <f>IFERROR(s_C*s_IFST_far_adj*s_CF_strawberry*(1/1000)*(s_Irr!W28+s_Irr!AU28+s_Irr!BS28),".")</f>
        <v>88.577324247385889</v>
      </c>
      <c r="CV28" s="62">
        <f>IFERROR(s_C*s_IFTO_far_adj*s_CF_tomato*(1/1000)*(s_Irr!X28+s_Irr!AV28+s_Irr!BT28),".")</f>
        <v>88.577324247385889</v>
      </c>
      <c r="CW28" s="62">
        <f>IFERROR(s_C*s_IFRI_far_adj*s_CF_rice*(1/1000)*(s_Irr!Y28+s_Irr!AW28+s_Irr!BU28),".")</f>
        <v>388.99195627778778</v>
      </c>
      <c r="CX28" s="62">
        <f>IFERROR(s_C*s_IFCG_far_adj*s_CF_cereal*(1/1000)*(s_Irr!Z28+s_Irr!AX28+s_Irr!BV28),".")</f>
        <v>388.99195627778778</v>
      </c>
    </row>
    <row r="29" spans="1:102" ht="15" customHeight="1" x14ac:dyDescent="0.25">
      <c r="A29" s="61" t="s">
        <v>27</v>
      </c>
      <c r="B29" s="49" t="s">
        <v>1059</v>
      </c>
      <c r="C29" s="48" t="str">
        <f t="shared" si="2"/>
        <v>.</v>
      </c>
      <c r="D29" s="48" t="str">
        <f>IFERROR(IF(AND(s_Irr!C29&lt;&gt;".",s_Irr!AA29&lt;&gt;".",s_Irr!AY29&lt;&gt;"."),s_dir!D29/((1/1000)*(s_Irr!C29+s_Irr!AA29+s_Irr!AY29)),IF(AND(s_Irr!C29&lt;&gt;".",s_Irr!AA29&lt;&gt;".",s_Irr!AY29="."),s_dir!D29/((1/1000)*(s_Irr!C29+s_Irr!AA29)),IF(AND(s_Irr!C29&lt;&gt;".",s_Irr!AA29=".",s_Irr!AY29&lt;&gt;"."),s_dir!D29/((1/1000)*(s_Irr!C29+s_Irr!AY29)),IF(AND(s_Irr!C29=".",s_Irr!AA29&lt;&gt;".",s_Irr!AY29&lt;&gt;"."),s_dir!D29/((1/1000)*(s_Irr!AA29+s_Irr!AY29)),IF(AND(s_Irr!C29=".",s_Irr!AA29=".",s_Irr!AY29&lt;&gt;"."),s_dir!D29/((1/1000)*(s_Irr!AY29)),IF(AND(s_Irr!C29=".",s_Irr!AA29&lt;&gt;".",s_Irr!AY29="."),s_dir!D29/((1/1000)*(s_Irr!AA29)),IF(AND(s_Irr!C29&lt;&gt;".",s_Irr!AA29=".",s_Irr!AY29="."),s_dir!D29/((1/1000)*(s_Irr!C29)),IF(AND(s_Irr!C29=".",s_Irr!AA29=".",s_Irr!AY29="."),s_dir!D29*1000)))))))),".")</f>
        <v>.</v>
      </c>
      <c r="E29" s="48" t="str">
        <f>IFERROR(IF(AND(s_Irr!D29&lt;&gt;".",s_Irr!AB29&lt;&gt;".",s_Irr!AZ29&lt;&gt;"."),s_dir!E29/((1/1000)*(s_Irr!D29+s_Irr!AB29+s_Irr!AZ29)),IF(AND(s_Irr!D29&lt;&gt;".",s_Irr!AB29&lt;&gt;".",s_Irr!AZ29="."),s_dir!E29/((1/1000)*(s_Irr!D29+s_Irr!AB29)),IF(AND(s_Irr!D29&lt;&gt;".",s_Irr!AB29=".",s_Irr!AZ29&lt;&gt;"."),s_dir!E29/((1/1000)*(s_Irr!D29+s_Irr!AZ29)),IF(AND(s_Irr!D29=".",s_Irr!AB29&lt;&gt;".",s_Irr!AZ29&lt;&gt;"."),s_dir!E29/((1/1000)*(s_Irr!AB29+s_Irr!AZ29)),IF(AND(s_Irr!D29=".",s_Irr!AB29=".",s_Irr!AZ29&lt;&gt;"."),s_dir!E29/((1/1000)*(s_Irr!AZ29)),IF(AND(s_Irr!D29=".",s_Irr!AB29&lt;&gt;".",s_Irr!AZ29="."),s_dir!E29/((1/1000)*(s_Irr!AB29)),IF(AND(s_Irr!D29&lt;&gt;".",s_Irr!AB29=".",s_Irr!AZ29="."),s_dir!E29/((1/1000)*(s_Irr!D29)),IF(AND(s_Irr!D29=".",s_Irr!AB29=".",s_Irr!AZ29="."),s_dir!E29*1000)))))))),".")</f>
        <v>.</v>
      </c>
      <c r="F29" s="48" t="str">
        <f>IFERROR(IF(AND(s_Irr!E29&lt;&gt;".",s_Irr!AC29&lt;&gt;".",s_Irr!BA29&lt;&gt;"."),s_dir!F29/((1/1000)*(s_Irr!E29+s_Irr!AC29+s_Irr!BA29)),IF(AND(s_Irr!E29&lt;&gt;".",s_Irr!AC29&lt;&gt;".",s_Irr!BA29="."),s_dir!F29/((1/1000)*(s_Irr!E29+s_Irr!AC29)),IF(AND(s_Irr!E29&lt;&gt;".",s_Irr!AC29=".",s_Irr!BA29&lt;&gt;"."),s_dir!F29/((1/1000)*(s_Irr!E29+s_Irr!BA29)),IF(AND(s_Irr!E29=".",s_Irr!AC29&lt;&gt;".",s_Irr!BA29&lt;&gt;"."),s_dir!F29/((1/1000)*(s_Irr!AC29+s_Irr!BA29)),IF(AND(s_Irr!E29=".",s_Irr!AC29=".",s_Irr!BA29&lt;&gt;"."),s_dir!F29/((1/1000)*(s_Irr!BA29)),IF(AND(s_Irr!E29=".",s_Irr!AC29&lt;&gt;".",s_Irr!BA29="."),s_dir!F29/((1/1000)*(s_Irr!AC29)),IF(AND(s_Irr!E29&lt;&gt;".",s_Irr!AC29=".",s_Irr!BA29="."),s_dir!F29/((1/1000)*(s_Irr!E29)),IF(AND(s_Irr!E29=".",s_Irr!AC29=".",s_Irr!BA29="."),s_dir!F29*1000)))))))),".")</f>
        <v>.</v>
      </c>
      <c r="G29" s="48" t="str">
        <f>IFERROR(IF(AND(s_Irr!F29&lt;&gt;".",s_Irr!AD29&lt;&gt;".",s_Irr!BB29&lt;&gt;"."),s_dir!G29/((1/1000)*(s_Irr!F29+s_Irr!AD29+s_Irr!BB29)),IF(AND(s_Irr!F29&lt;&gt;".",s_Irr!AD29&lt;&gt;".",s_Irr!BB29="."),s_dir!G29/((1/1000)*(s_Irr!F29+s_Irr!AD29)),IF(AND(s_Irr!F29&lt;&gt;".",s_Irr!AD29=".",s_Irr!BB29&lt;&gt;"."),s_dir!G29/((1/1000)*(s_Irr!F29+s_Irr!BB29)),IF(AND(s_Irr!F29=".",s_Irr!AD29&lt;&gt;".",s_Irr!BB29&lt;&gt;"."),s_dir!G29/((1/1000)*(s_Irr!AD29+s_Irr!BB29)),IF(AND(s_Irr!F29=".",s_Irr!AD29=".",s_Irr!BB29&lt;&gt;"."),s_dir!G29/((1/1000)*(s_Irr!BB29)),IF(AND(s_Irr!F29=".",s_Irr!AD29&lt;&gt;".",s_Irr!BB29="."),s_dir!G29/((1/1000)*(s_Irr!AD29)),IF(AND(s_Irr!F29&lt;&gt;".",s_Irr!AD29=".",s_Irr!BB29="."),s_dir!G29/((1/1000)*(s_Irr!F29)),IF(AND(s_Irr!F29=".",s_Irr!AD29=".",s_Irr!BB29="."),s_dir!G29*1000)))))))),".")</f>
        <v>.</v>
      </c>
      <c r="H29" s="48" t="str">
        <f>IFERROR(IF(AND(s_Irr!G29&lt;&gt;".",s_Irr!AE29&lt;&gt;".",s_Irr!BC29&lt;&gt;"."),s_dir!H29/((1/1000)*(s_Irr!G29+s_Irr!AE29+s_Irr!BC29)),IF(AND(s_Irr!G29&lt;&gt;".",s_Irr!AE29&lt;&gt;".",s_Irr!BC29="."),s_dir!H29/((1/1000)*(s_Irr!G29+s_Irr!AE29)),IF(AND(s_Irr!G29&lt;&gt;".",s_Irr!AE29=".",s_Irr!BC29&lt;&gt;"."),s_dir!H29/((1/1000)*(s_Irr!G29+s_Irr!BC29)),IF(AND(s_Irr!G29=".",s_Irr!AE29&lt;&gt;".",s_Irr!BC29&lt;&gt;"."),s_dir!H29/((1/1000)*(s_Irr!AE29+s_Irr!BC29)),IF(AND(s_Irr!G29=".",s_Irr!AE29=".",s_Irr!BC29&lt;&gt;"."),s_dir!H29/((1/1000)*(s_Irr!BC29)),IF(AND(s_Irr!G29=".",s_Irr!AE29&lt;&gt;".",s_Irr!BC29="."),s_dir!H29/((1/1000)*(s_Irr!AE29)),IF(AND(s_Irr!G29&lt;&gt;".",s_Irr!AE29=".",s_Irr!BC29="."),s_dir!H29/((1/1000)*(s_Irr!G29)),IF(AND(s_Irr!G29=".",s_Irr!AE29=".",s_Irr!BC29="."),s_dir!H29*1000)))))))),".")</f>
        <v>.</v>
      </c>
      <c r="I29" s="48" t="str">
        <f>IFERROR(IF(AND(s_Irr!H29&lt;&gt;".",s_Irr!AF29&lt;&gt;".",s_Irr!BD29&lt;&gt;"."),s_dir!I29/((1/1000)*(s_Irr!H29+s_Irr!AF29+s_Irr!BD29)),IF(AND(s_Irr!H29&lt;&gt;".",s_Irr!AF29&lt;&gt;".",s_Irr!BD29="."),s_dir!I29/((1/1000)*(s_Irr!H29+s_Irr!AF29)),IF(AND(s_Irr!H29&lt;&gt;".",s_Irr!AF29=".",s_Irr!BD29&lt;&gt;"."),s_dir!I29/((1/1000)*(s_Irr!H29+s_Irr!BD29)),IF(AND(s_Irr!H29=".",s_Irr!AF29&lt;&gt;".",s_Irr!BD29&lt;&gt;"."),s_dir!I29/((1/1000)*(s_Irr!AF29+s_Irr!BD29)),IF(AND(s_Irr!H29=".",s_Irr!AF29=".",s_Irr!BD29&lt;&gt;"."),s_dir!I29/((1/1000)*(s_Irr!BD29)),IF(AND(s_Irr!H29=".",s_Irr!AF29&lt;&gt;".",s_Irr!BD29="."),s_dir!I29/((1/1000)*(s_Irr!AF29)),IF(AND(s_Irr!H29&lt;&gt;".",s_Irr!AF29=".",s_Irr!BD29="."),s_dir!I29/((1/1000)*(s_Irr!H29)),IF(AND(s_Irr!H29=".",s_Irr!AF29=".",s_Irr!BD29="."),s_dir!I29*1000)))))))),".")</f>
        <v>.</v>
      </c>
      <c r="J29" s="48" t="str">
        <f>IFERROR(IF(AND(s_Irr!I29&lt;&gt;".",s_Irr!AG29&lt;&gt;".",s_Irr!BE29&lt;&gt;"."),s_dir!J29/((1/1000)*(s_Irr!I29+s_Irr!AG29+s_Irr!BE29)),IF(AND(s_Irr!I29&lt;&gt;".",s_Irr!AG29&lt;&gt;".",s_Irr!BE29="."),s_dir!J29/((1/1000)*(s_Irr!I29+s_Irr!AG29)),IF(AND(s_Irr!I29&lt;&gt;".",s_Irr!AG29=".",s_Irr!BE29&lt;&gt;"."),s_dir!J29/((1/1000)*(s_Irr!I29+s_Irr!BE29)),IF(AND(s_Irr!I29=".",s_Irr!AG29&lt;&gt;".",s_Irr!BE29&lt;&gt;"."),s_dir!J29/((1/1000)*(s_Irr!AG29+s_Irr!BE29)),IF(AND(s_Irr!I29=".",s_Irr!AG29=".",s_Irr!BE29&lt;&gt;"."),s_dir!J29/((1/1000)*(s_Irr!BE29)),IF(AND(s_Irr!I29=".",s_Irr!AG29&lt;&gt;".",s_Irr!BE29="."),s_dir!J29/((1/1000)*(s_Irr!AG29)),IF(AND(s_Irr!I29&lt;&gt;".",s_Irr!AG29=".",s_Irr!BE29="."),s_dir!J29/((1/1000)*(s_Irr!I29)),IF(AND(s_Irr!I29=".",s_Irr!AG29=".",s_Irr!BE29="."),s_dir!J29*1000)))))))),".")</f>
        <v>.</v>
      </c>
      <c r="K29" s="48" t="str">
        <f>IFERROR(IF(AND(s_Irr!J29&lt;&gt;".",s_Irr!AH29&lt;&gt;".",s_Irr!BF29&lt;&gt;"."),s_dir!K29/((1/1000)*(s_Irr!J29+s_Irr!AH29+s_Irr!BF29)),IF(AND(s_Irr!J29&lt;&gt;".",s_Irr!AH29&lt;&gt;".",s_Irr!BF29="."),s_dir!K29/((1/1000)*(s_Irr!J29+s_Irr!AH29)),IF(AND(s_Irr!J29&lt;&gt;".",s_Irr!AH29=".",s_Irr!BF29&lt;&gt;"."),s_dir!K29/((1/1000)*(s_Irr!J29+s_Irr!BF29)),IF(AND(s_Irr!J29=".",s_Irr!AH29&lt;&gt;".",s_Irr!BF29&lt;&gt;"."),s_dir!K29/((1/1000)*(s_Irr!AH29+s_Irr!BF29)),IF(AND(s_Irr!J29=".",s_Irr!AH29=".",s_Irr!BF29&lt;&gt;"."),s_dir!K29/((1/1000)*(s_Irr!BF29)),IF(AND(s_Irr!J29=".",s_Irr!AH29&lt;&gt;".",s_Irr!BF29="."),s_dir!K29/((1/1000)*(s_Irr!AH29)),IF(AND(s_Irr!J29&lt;&gt;".",s_Irr!AH29=".",s_Irr!BF29="."),s_dir!K29/((1/1000)*(s_Irr!J29)),IF(AND(s_Irr!J29=".",s_Irr!AH29=".",s_Irr!BF29="."),s_dir!K29*1000)))))))),".")</f>
        <v>.</v>
      </c>
      <c r="L29" s="48" t="str">
        <f>IFERROR(IF(AND(s_Irr!K29&lt;&gt;".",s_Irr!AI29&lt;&gt;".",s_Irr!BG29&lt;&gt;"."),s_dir!L29/((1/1000)*(s_Irr!K29+s_Irr!AI29+s_Irr!BG29)),IF(AND(s_Irr!K29&lt;&gt;".",s_Irr!AI29&lt;&gt;".",s_Irr!BG29="."),s_dir!L29/((1/1000)*(s_Irr!K29+s_Irr!AI29)),IF(AND(s_Irr!K29&lt;&gt;".",s_Irr!AI29=".",s_Irr!BG29&lt;&gt;"."),s_dir!L29/((1/1000)*(s_Irr!K29+s_Irr!BG29)),IF(AND(s_Irr!K29=".",s_Irr!AI29&lt;&gt;".",s_Irr!BG29&lt;&gt;"."),s_dir!L29/((1/1000)*(s_Irr!AI29+s_Irr!BG29)),IF(AND(s_Irr!K29=".",s_Irr!AI29=".",s_Irr!BG29&lt;&gt;"."),s_dir!L29/((1/1000)*(s_Irr!BG29)),IF(AND(s_Irr!K29=".",s_Irr!AI29&lt;&gt;".",s_Irr!BG29="."),s_dir!L29/((1/1000)*(s_Irr!AI29)),IF(AND(s_Irr!K29&lt;&gt;".",s_Irr!AI29=".",s_Irr!BG29="."),s_dir!L29/((1/1000)*(s_Irr!K29)),IF(AND(s_Irr!K29=".",s_Irr!AI29=".",s_Irr!BG29="."),s_dir!L29*1000)))))))),".")</f>
        <v>.</v>
      </c>
      <c r="M29" s="48" t="str">
        <f>IFERROR(IF(AND(s_Irr!L29&lt;&gt;".",s_Irr!AJ29&lt;&gt;".",s_Irr!BH29&lt;&gt;"."),s_dir!M29/((1/1000)*(s_Irr!L29+s_Irr!AJ29+s_Irr!BH29)),IF(AND(s_Irr!L29&lt;&gt;".",s_Irr!AJ29&lt;&gt;".",s_Irr!BH29="."),s_dir!M29/((1/1000)*(s_Irr!L29+s_Irr!AJ29)),IF(AND(s_Irr!L29&lt;&gt;".",s_Irr!AJ29=".",s_Irr!BH29&lt;&gt;"."),s_dir!M29/((1/1000)*(s_Irr!L29+s_Irr!BH29)),IF(AND(s_Irr!L29=".",s_Irr!AJ29&lt;&gt;".",s_Irr!BH29&lt;&gt;"."),s_dir!M29/((1/1000)*(s_Irr!AJ29+s_Irr!BH29)),IF(AND(s_Irr!L29=".",s_Irr!AJ29=".",s_Irr!BH29&lt;&gt;"."),s_dir!M29/((1/1000)*(s_Irr!BH29)),IF(AND(s_Irr!L29=".",s_Irr!AJ29&lt;&gt;".",s_Irr!BH29="."),s_dir!M29/((1/1000)*(s_Irr!AJ29)),IF(AND(s_Irr!L29&lt;&gt;".",s_Irr!AJ29=".",s_Irr!BH29="."),s_dir!M29/((1/1000)*(s_Irr!L29)),IF(AND(s_Irr!L29=".",s_Irr!AJ29=".",s_Irr!BH29="."),s_dir!M29*1000)))))))),".")</f>
        <v>.</v>
      </c>
      <c r="N29" s="48" t="str">
        <f>IFERROR(IF(AND(s_Irr!M29&lt;&gt;".",s_Irr!AK29&lt;&gt;".",s_Irr!BI29&lt;&gt;"."),s_dir!N29/((1/1000)*(s_Irr!M29+s_Irr!AK29+s_Irr!BI29)),IF(AND(s_Irr!M29&lt;&gt;".",s_Irr!AK29&lt;&gt;".",s_Irr!BI29="."),s_dir!N29/((1/1000)*(s_Irr!M29+s_Irr!AK29)),IF(AND(s_Irr!M29&lt;&gt;".",s_Irr!AK29=".",s_Irr!BI29&lt;&gt;"."),s_dir!N29/((1/1000)*(s_Irr!M29+s_Irr!BI29)),IF(AND(s_Irr!M29=".",s_Irr!AK29&lt;&gt;".",s_Irr!BI29&lt;&gt;"."),s_dir!N29/((1/1000)*(s_Irr!AK29+s_Irr!BI29)),IF(AND(s_Irr!M29=".",s_Irr!AK29=".",s_Irr!BI29&lt;&gt;"."),s_dir!N29/((1/1000)*(s_Irr!BI29)),IF(AND(s_Irr!M29=".",s_Irr!AK29&lt;&gt;".",s_Irr!BI29="."),s_dir!N29/((1/1000)*(s_Irr!AK29)),IF(AND(s_Irr!M29&lt;&gt;".",s_Irr!AK29=".",s_Irr!BI29="."),s_dir!N29/((1/1000)*(s_Irr!M29)),IF(AND(s_Irr!M29=".",s_Irr!AK29=".",s_Irr!BI29="."),s_dir!N29*1000)))))))),".")</f>
        <v>.</v>
      </c>
      <c r="O29" s="48" t="str">
        <f>IFERROR(IF(AND(s_Irr!N29&lt;&gt;".",s_Irr!AL29&lt;&gt;".",s_Irr!BJ29&lt;&gt;"."),s_dir!O29/((1/1000)*(s_Irr!N29+s_Irr!AL29+s_Irr!BJ29)),IF(AND(s_Irr!N29&lt;&gt;".",s_Irr!AL29&lt;&gt;".",s_Irr!BJ29="."),s_dir!O29/((1/1000)*(s_Irr!N29+s_Irr!AL29)),IF(AND(s_Irr!N29&lt;&gt;".",s_Irr!AL29=".",s_Irr!BJ29&lt;&gt;"."),s_dir!O29/((1/1000)*(s_Irr!N29+s_Irr!BJ29)),IF(AND(s_Irr!N29=".",s_Irr!AL29&lt;&gt;".",s_Irr!BJ29&lt;&gt;"."),s_dir!O29/((1/1000)*(s_Irr!AL29+s_Irr!BJ29)),IF(AND(s_Irr!N29=".",s_Irr!AL29=".",s_Irr!BJ29&lt;&gt;"."),s_dir!O29/((1/1000)*(s_Irr!BJ29)),IF(AND(s_Irr!N29=".",s_Irr!AL29&lt;&gt;".",s_Irr!BJ29="."),s_dir!O29/((1/1000)*(s_Irr!AL29)),IF(AND(s_Irr!N29&lt;&gt;".",s_Irr!AL29=".",s_Irr!BJ29="."),s_dir!O29/((1/1000)*(s_Irr!N29)),IF(AND(s_Irr!N29=".",s_Irr!AL29=".",s_Irr!BJ29="."),s_dir!O29*1000)))))))),".")</f>
        <v>.</v>
      </c>
      <c r="P29" s="48" t="str">
        <f>IFERROR(IF(AND(s_Irr!O29&lt;&gt;".",s_Irr!AM29&lt;&gt;".",s_Irr!BK29&lt;&gt;"."),s_dir!P29/((1/1000)*(s_Irr!O29+s_Irr!AM29+s_Irr!BK29)),IF(AND(s_Irr!O29&lt;&gt;".",s_Irr!AM29&lt;&gt;".",s_Irr!BK29="."),s_dir!P29/((1/1000)*(s_Irr!O29+s_Irr!AM29)),IF(AND(s_Irr!O29&lt;&gt;".",s_Irr!AM29=".",s_Irr!BK29&lt;&gt;"."),s_dir!P29/((1/1000)*(s_Irr!O29+s_Irr!BK29)),IF(AND(s_Irr!O29=".",s_Irr!AM29&lt;&gt;".",s_Irr!BK29&lt;&gt;"."),s_dir!P29/((1/1000)*(s_Irr!AM29+s_Irr!BK29)),IF(AND(s_Irr!O29=".",s_Irr!AM29=".",s_Irr!BK29&lt;&gt;"."),s_dir!P29/((1/1000)*(s_Irr!BK29)),IF(AND(s_Irr!O29=".",s_Irr!AM29&lt;&gt;".",s_Irr!BK29="."),s_dir!P29/((1/1000)*(s_Irr!AM29)),IF(AND(s_Irr!O29&lt;&gt;".",s_Irr!AM29=".",s_Irr!BK29="."),s_dir!P29/((1/1000)*(s_Irr!O29)),IF(AND(s_Irr!O29=".",s_Irr!AM29=".",s_Irr!BK29="."),s_dir!P29*1000)))))))),".")</f>
        <v>.</v>
      </c>
      <c r="Q29" s="48" t="str">
        <f>IFERROR(IF(AND(s_Irr!P29&lt;&gt;".",s_Irr!AN29&lt;&gt;".",s_Irr!BL29&lt;&gt;"."),s_dir!Q29/((1/1000)*(s_Irr!P29+s_Irr!AN29+s_Irr!BL29)),IF(AND(s_Irr!P29&lt;&gt;".",s_Irr!AN29&lt;&gt;".",s_Irr!BL29="."),s_dir!Q29/((1/1000)*(s_Irr!P29+s_Irr!AN29)),IF(AND(s_Irr!P29&lt;&gt;".",s_Irr!AN29=".",s_Irr!BL29&lt;&gt;"."),s_dir!Q29/((1/1000)*(s_Irr!P29+s_Irr!BL29)),IF(AND(s_Irr!P29=".",s_Irr!AN29&lt;&gt;".",s_Irr!BL29&lt;&gt;"."),s_dir!Q29/((1/1000)*(s_Irr!AN29+s_Irr!BL29)),IF(AND(s_Irr!P29=".",s_Irr!AN29=".",s_Irr!BL29&lt;&gt;"."),s_dir!Q29/((1/1000)*(s_Irr!BL29)),IF(AND(s_Irr!P29=".",s_Irr!AN29&lt;&gt;".",s_Irr!BL29="."),s_dir!Q29/((1/1000)*(s_Irr!AN29)),IF(AND(s_Irr!P29&lt;&gt;".",s_Irr!AN29=".",s_Irr!BL29="."),s_dir!Q29/((1/1000)*(s_Irr!P29)),IF(AND(s_Irr!P29=".",s_Irr!AN29=".",s_Irr!BL29="."),s_dir!Q29*1000)))))))),".")</f>
        <v>.</v>
      </c>
      <c r="R29" s="48" t="str">
        <f>IFERROR(IF(AND(s_Irr!Q29&lt;&gt;".",s_Irr!AO29&lt;&gt;".",s_Irr!BM29&lt;&gt;"."),s_dir!R29/((1/1000)*(s_Irr!Q29+s_Irr!AO29+s_Irr!BM29)),IF(AND(s_Irr!Q29&lt;&gt;".",s_Irr!AO29&lt;&gt;".",s_Irr!BM29="."),s_dir!R29/((1/1000)*(s_Irr!Q29+s_Irr!AO29)),IF(AND(s_Irr!Q29&lt;&gt;".",s_Irr!AO29=".",s_Irr!BM29&lt;&gt;"."),s_dir!R29/((1/1000)*(s_Irr!Q29+s_Irr!BM29)),IF(AND(s_Irr!Q29=".",s_Irr!AO29&lt;&gt;".",s_Irr!BM29&lt;&gt;"."),s_dir!R29/((1/1000)*(s_Irr!AO29+s_Irr!BM29)),IF(AND(s_Irr!Q29=".",s_Irr!AO29=".",s_Irr!BM29&lt;&gt;"."),s_dir!R29/((1/1000)*(s_Irr!BM29)),IF(AND(s_Irr!Q29=".",s_Irr!AO29&lt;&gt;".",s_Irr!BM29="."),s_dir!R29/((1/1000)*(s_Irr!AO29)),IF(AND(s_Irr!Q29&lt;&gt;".",s_Irr!AO29=".",s_Irr!BM29="."),s_dir!R29/((1/1000)*(s_Irr!Q29)),IF(AND(s_Irr!Q29=".",s_Irr!AO29=".",s_Irr!BM29="."),s_dir!R29*1000)))))))),".")</f>
        <v>.</v>
      </c>
      <c r="S29" s="48" t="str">
        <f>IFERROR(IF(AND(s_Irr!R29&lt;&gt;".",s_Irr!AP29&lt;&gt;".",s_Irr!BN29&lt;&gt;"."),s_dir!S29/((1/1000)*(s_Irr!R29+s_Irr!AP29+s_Irr!BN29)),IF(AND(s_Irr!R29&lt;&gt;".",s_Irr!AP29&lt;&gt;".",s_Irr!BN29="."),s_dir!S29/((1/1000)*(s_Irr!R29+s_Irr!AP29)),IF(AND(s_Irr!R29&lt;&gt;".",s_Irr!AP29=".",s_Irr!BN29&lt;&gt;"."),s_dir!S29/((1/1000)*(s_Irr!R29+s_Irr!BN29)),IF(AND(s_Irr!R29=".",s_Irr!AP29&lt;&gt;".",s_Irr!BN29&lt;&gt;"."),s_dir!S29/((1/1000)*(s_Irr!AP29+s_Irr!BN29)),IF(AND(s_Irr!R29=".",s_Irr!AP29=".",s_Irr!BN29&lt;&gt;"."),s_dir!S29/((1/1000)*(s_Irr!BN29)),IF(AND(s_Irr!R29=".",s_Irr!AP29&lt;&gt;".",s_Irr!BN29="."),s_dir!S29/((1/1000)*(s_Irr!AP29)),IF(AND(s_Irr!R29&lt;&gt;".",s_Irr!AP29=".",s_Irr!BN29="."),s_dir!S29/((1/1000)*(s_Irr!R29)),IF(AND(s_Irr!R29=".",s_Irr!AP29=".",s_Irr!BN29="."),s_dir!S29*1000)))))))),".")</f>
        <v>.</v>
      </c>
      <c r="T29" s="48" t="str">
        <f>IFERROR(IF(AND(s_Irr!S29&lt;&gt;".",s_Irr!AQ29&lt;&gt;".",s_Irr!BO29&lt;&gt;"."),s_dir!T29/((1/1000)*(s_Irr!S29+s_Irr!AQ29+s_Irr!BO29)),IF(AND(s_Irr!S29&lt;&gt;".",s_Irr!AQ29&lt;&gt;".",s_Irr!BO29="."),s_dir!T29/((1/1000)*(s_Irr!S29+s_Irr!AQ29)),IF(AND(s_Irr!S29&lt;&gt;".",s_Irr!AQ29=".",s_Irr!BO29&lt;&gt;"."),s_dir!T29/((1/1000)*(s_Irr!S29+s_Irr!BO29)),IF(AND(s_Irr!S29=".",s_Irr!AQ29&lt;&gt;".",s_Irr!BO29&lt;&gt;"."),s_dir!T29/((1/1000)*(s_Irr!AQ29+s_Irr!BO29)),IF(AND(s_Irr!S29=".",s_Irr!AQ29=".",s_Irr!BO29&lt;&gt;"."),s_dir!T29/((1/1000)*(s_Irr!BO29)),IF(AND(s_Irr!S29=".",s_Irr!AQ29&lt;&gt;".",s_Irr!BO29="."),s_dir!T29/((1/1000)*(s_Irr!AQ29)),IF(AND(s_Irr!S29&lt;&gt;".",s_Irr!AQ29=".",s_Irr!BO29="."),s_dir!T29/((1/1000)*(s_Irr!S29)),IF(AND(s_Irr!S29=".",s_Irr!AQ29=".",s_Irr!BO29="."),s_dir!T29*1000)))))))),".")</f>
        <v>.</v>
      </c>
      <c r="U29" s="48" t="str">
        <f>IFERROR(IF(AND(s_Irr!T29&lt;&gt;".",s_Irr!AR29&lt;&gt;".",s_Irr!BP29&lt;&gt;"."),s_dir!U29/((1/1000)*(s_Irr!T29+s_Irr!AR29+s_Irr!BP29)),IF(AND(s_Irr!T29&lt;&gt;".",s_Irr!AR29&lt;&gt;".",s_Irr!BP29="."),s_dir!U29/((1/1000)*(s_Irr!T29+s_Irr!AR29)),IF(AND(s_Irr!T29&lt;&gt;".",s_Irr!AR29=".",s_Irr!BP29&lt;&gt;"."),s_dir!U29/((1/1000)*(s_Irr!T29+s_Irr!BP29)),IF(AND(s_Irr!T29=".",s_Irr!AR29&lt;&gt;".",s_Irr!BP29&lt;&gt;"."),s_dir!U29/((1/1000)*(s_Irr!AR29+s_Irr!BP29)),IF(AND(s_Irr!T29=".",s_Irr!AR29=".",s_Irr!BP29&lt;&gt;"."),s_dir!U29/((1/1000)*(s_Irr!BP29)),IF(AND(s_Irr!T29=".",s_Irr!AR29&lt;&gt;".",s_Irr!BP29="."),s_dir!U29/((1/1000)*(s_Irr!AR29)),IF(AND(s_Irr!T29&lt;&gt;".",s_Irr!AR29=".",s_Irr!BP29="."),s_dir!U29/((1/1000)*(s_Irr!T29)),IF(AND(s_Irr!T29=".",s_Irr!AR29=".",s_Irr!BP29="."),s_dir!U29*1000)))))))),".")</f>
        <v>.</v>
      </c>
      <c r="V29" s="48" t="str">
        <f>IFERROR(IF(AND(s_Irr!U29&lt;&gt;".",s_Irr!AS29&lt;&gt;".",s_Irr!BQ29&lt;&gt;"."),s_dir!V29/((1/1000)*(s_Irr!U29+s_Irr!AS29+s_Irr!BQ29)),IF(AND(s_Irr!U29&lt;&gt;".",s_Irr!AS29&lt;&gt;".",s_Irr!BQ29="."),s_dir!V29/((1/1000)*(s_Irr!U29+s_Irr!AS29)),IF(AND(s_Irr!U29&lt;&gt;".",s_Irr!AS29=".",s_Irr!BQ29&lt;&gt;"."),s_dir!V29/((1/1000)*(s_Irr!U29+s_Irr!BQ29)),IF(AND(s_Irr!U29=".",s_Irr!AS29&lt;&gt;".",s_Irr!BQ29&lt;&gt;"."),s_dir!V29/((1/1000)*(s_Irr!AS29+s_Irr!BQ29)),IF(AND(s_Irr!U29=".",s_Irr!AS29=".",s_Irr!BQ29&lt;&gt;"."),s_dir!V29/((1/1000)*(s_Irr!BQ29)),IF(AND(s_Irr!U29=".",s_Irr!AS29&lt;&gt;".",s_Irr!BQ29="."),s_dir!V29/((1/1000)*(s_Irr!AS29)),IF(AND(s_Irr!U29&lt;&gt;".",s_Irr!AS29=".",s_Irr!BQ29="."),s_dir!V29/((1/1000)*(s_Irr!U29)),IF(AND(s_Irr!U29=".",s_Irr!AS29=".",s_Irr!BQ29="."),s_dir!V29*1000)))))))),".")</f>
        <v>.</v>
      </c>
      <c r="W29" s="48" t="str">
        <f>IFERROR(IF(AND(s_Irr!V29&lt;&gt;".",s_Irr!AT29&lt;&gt;".",s_Irr!BR29&lt;&gt;"."),s_dir!W29/((1/1000)*(s_Irr!V29+s_Irr!AT29+s_Irr!BR29)),IF(AND(s_Irr!V29&lt;&gt;".",s_Irr!AT29&lt;&gt;".",s_Irr!BR29="."),s_dir!W29/((1/1000)*(s_Irr!V29+s_Irr!AT29)),IF(AND(s_Irr!V29&lt;&gt;".",s_Irr!AT29=".",s_Irr!BR29&lt;&gt;"."),s_dir!W29/((1/1000)*(s_Irr!V29+s_Irr!BR29)),IF(AND(s_Irr!V29=".",s_Irr!AT29&lt;&gt;".",s_Irr!BR29&lt;&gt;"."),s_dir!W29/((1/1000)*(s_Irr!AT29+s_Irr!BR29)),IF(AND(s_Irr!V29=".",s_Irr!AT29=".",s_Irr!BR29&lt;&gt;"."),s_dir!W29/((1/1000)*(s_Irr!BR29)),IF(AND(s_Irr!V29=".",s_Irr!AT29&lt;&gt;".",s_Irr!BR29="."),s_dir!W29/((1/1000)*(s_Irr!AT29)),IF(AND(s_Irr!V29&lt;&gt;".",s_Irr!AT29=".",s_Irr!BR29="."),s_dir!W29/((1/1000)*(s_Irr!V29)),IF(AND(s_Irr!V29=".",s_Irr!AT29=".",s_Irr!BR29="."),s_dir!W29*1000)))))))),".")</f>
        <v>.</v>
      </c>
      <c r="X29" s="48" t="str">
        <f>IFERROR(IF(AND(s_Irr!W29&lt;&gt;".",s_Irr!AU29&lt;&gt;".",s_Irr!BS29&lt;&gt;"."),s_dir!X29/((1/1000)*(s_Irr!W29+s_Irr!AU29+s_Irr!BS29)),IF(AND(s_Irr!W29&lt;&gt;".",s_Irr!AU29&lt;&gt;".",s_Irr!BS29="."),s_dir!X29/((1/1000)*(s_Irr!W29+s_Irr!AU29)),IF(AND(s_Irr!W29&lt;&gt;".",s_Irr!AU29=".",s_Irr!BS29&lt;&gt;"."),s_dir!X29/((1/1000)*(s_Irr!W29+s_Irr!BS29)),IF(AND(s_Irr!W29=".",s_Irr!AU29&lt;&gt;".",s_Irr!BS29&lt;&gt;"."),s_dir!X29/((1/1000)*(s_Irr!AU29+s_Irr!BS29)),IF(AND(s_Irr!W29=".",s_Irr!AU29=".",s_Irr!BS29&lt;&gt;"."),s_dir!X29/((1/1000)*(s_Irr!BS29)),IF(AND(s_Irr!W29=".",s_Irr!AU29&lt;&gt;".",s_Irr!BS29="."),s_dir!X29/((1/1000)*(s_Irr!AU29)),IF(AND(s_Irr!W29&lt;&gt;".",s_Irr!AU29=".",s_Irr!BS29="."),s_dir!X29/((1/1000)*(s_Irr!W29)),IF(AND(s_Irr!W29=".",s_Irr!AU29=".",s_Irr!BS29="."),s_dir!X29*1000)))))))),".")</f>
        <v>.</v>
      </c>
      <c r="Y29" s="48" t="str">
        <f>IFERROR(IF(AND(s_Irr!X29&lt;&gt;".",s_Irr!AV29&lt;&gt;".",s_Irr!BT29&lt;&gt;"."),s_dir!Y29/((1/1000)*(s_Irr!X29+s_Irr!AV29+s_Irr!BT29)),IF(AND(s_Irr!X29&lt;&gt;".",s_Irr!AV29&lt;&gt;".",s_Irr!BT29="."),s_dir!Y29/((1/1000)*(s_Irr!X29+s_Irr!AV29)),IF(AND(s_Irr!X29&lt;&gt;".",s_Irr!AV29=".",s_Irr!BT29&lt;&gt;"."),s_dir!Y29/((1/1000)*(s_Irr!X29+s_Irr!BT29)),IF(AND(s_Irr!X29=".",s_Irr!AV29&lt;&gt;".",s_Irr!BT29&lt;&gt;"."),s_dir!Y29/((1/1000)*(s_Irr!AV29+s_Irr!BT29)),IF(AND(s_Irr!X29=".",s_Irr!AV29=".",s_Irr!BT29&lt;&gt;"."),s_dir!Y29/((1/1000)*(s_Irr!BT29)),IF(AND(s_Irr!X29=".",s_Irr!AV29&lt;&gt;".",s_Irr!BT29="."),s_dir!Y29/((1/1000)*(s_Irr!AV29)),IF(AND(s_Irr!X29&lt;&gt;".",s_Irr!AV29=".",s_Irr!BT29="."),s_dir!Y29/((1/1000)*(s_Irr!X29)),IF(AND(s_Irr!X29=".",s_Irr!AV29=".",s_Irr!BT29="."),s_dir!Y29*1000)))))))),".")</f>
        <v>.</v>
      </c>
      <c r="Z29" s="48" t="str">
        <f>IFERROR(IF(AND(s_Irr!Y29&lt;&gt;".",s_Irr!AW29&lt;&gt;".",s_Irr!BU29&lt;&gt;"."),s_dir!Z29/((1/1000)*(s_Irr!Y29+s_Irr!AW29+s_Irr!BU29)),IF(AND(s_Irr!Y29&lt;&gt;".",s_Irr!AW29&lt;&gt;".",s_Irr!BU29="."),s_dir!Z29/((1/1000)*(s_Irr!Y29+s_Irr!AW29)),IF(AND(s_Irr!Y29&lt;&gt;".",s_Irr!AW29=".",s_Irr!BU29&lt;&gt;"."),s_dir!Z29/((1/1000)*(s_Irr!Y29+s_Irr!BU29)),IF(AND(s_Irr!Y29=".",s_Irr!AW29&lt;&gt;".",s_Irr!BU29&lt;&gt;"."),s_dir!Z29/((1/1000)*(s_Irr!AW29+s_Irr!BU29)),IF(AND(s_Irr!Y29=".",s_Irr!AW29=".",s_Irr!BU29&lt;&gt;"."),s_dir!Z29/((1/1000)*(s_Irr!BU29)),IF(AND(s_Irr!Y29=".",s_Irr!AW29&lt;&gt;".",s_Irr!BU29="."),s_dir!Z29/((1/1000)*(s_Irr!AW29)),IF(AND(s_Irr!Y29&lt;&gt;".",s_Irr!AW29=".",s_Irr!BU29="."),s_dir!Z29/((1/1000)*(s_Irr!Y29)),IF(AND(s_Irr!Y29=".",s_Irr!AW29=".",s_Irr!BU29="."),s_dir!Z29*1000)))))))),".")</f>
        <v>.</v>
      </c>
      <c r="AA29" s="48" t="str">
        <f>IFERROR(IF(AND(s_Irr!Z29&lt;&gt;".",s_Irr!AX29&lt;&gt;".",s_Irr!BV29&lt;&gt;"."),s_dir!AA29/((1/1000)*(s_Irr!Z29+s_Irr!AX29+s_Irr!BV29)),IF(AND(s_Irr!Z29&lt;&gt;".",s_Irr!AX29&lt;&gt;".",s_Irr!BV29="."),s_dir!AA29/((1/1000)*(s_Irr!Z29+s_Irr!AX29)),IF(AND(s_Irr!Z29&lt;&gt;".",s_Irr!AX29=".",s_Irr!BV29&lt;&gt;"."),s_dir!AA29/((1/1000)*(s_Irr!Z29+s_Irr!BV29)),IF(AND(s_Irr!Z29=".",s_Irr!AX29&lt;&gt;".",s_Irr!BV29&lt;&gt;"."),s_dir!AA29/((1/1000)*(s_Irr!AX29+s_Irr!BV29)),IF(AND(s_Irr!Z29=".",s_Irr!AX29=".",s_Irr!BV29&lt;&gt;"."),s_dir!AA29/((1/1000)*(s_Irr!BV29)),IF(AND(s_Irr!Z29=".",s_Irr!AX29&lt;&gt;".",s_Irr!BV29="."),s_dir!AA29/((1/1000)*(s_Irr!AX29)),IF(AND(s_Irr!Z29&lt;&gt;".",s_Irr!AX29=".",s_Irr!BV29="."),s_dir!AA29/((1/1000)*(s_Irr!Z29)),IF(AND(s_Irr!Z29=".",s_Irr!AX29=".",s_Irr!BV29="."),s_dir!AA29*1000)))))))),".")</f>
        <v>.</v>
      </c>
      <c r="AB29" s="62">
        <f t="shared" si="3"/>
        <v>866.5612368029615</v>
      </c>
      <c r="AC29" s="62">
        <f>IFERROR(s_C*s_IFAP_res_adj*s_CF_apple*0.001*(s_Irr!C29+s_Irr!AA29+s_Irr!AY29),".")</f>
        <v>88.577324247385889</v>
      </c>
      <c r="AD29" s="62">
        <f>IFERROR(s_C*s_IFAS_res_adj*s_CF_asparagus*0.001*(s_Irr!D29+s_Irr!AB29+s_Irr!AZ29),".")</f>
        <v>89.65924969287353</v>
      </c>
      <c r="AE29" s="62">
        <f>IFERROR(s_C*s_IFBT_res_adj*s_CF_beet*0.001*(s_Irr!E29+s_Irr!AC29+s_Irr!BA29),".")</f>
        <v>88.577324247385889</v>
      </c>
      <c r="AF29" s="62">
        <f>IFERROR(s_C*s_IFBE_res_adj*s_CF_berries*0.001*(s_Irr!F29+s_Irr!AD29+s_Irr!BB29),".")</f>
        <v>88.577324247385889</v>
      </c>
      <c r="AG29" s="62">
        <f>IFERROR(s_C*s_IFBR_res_adj*s_CF_broccoli*0.001*(s_Irr!G29+s_Irr!AE29+s_Irr!BC29),".")</f>
        <v>88.577324247385889</v>
      </c>
      <c r="AH29" s="62">
        <f>IFERROR(s_C*s_IFCB_res_adj*s_CF_cabbage*0.001*(s_Irr!H29+s_Irr!AF29+s_Irr!BD29),".")</f>
        <v>89.65924969287353</v>
      </c>
      <c r="AI29" s="62">
        <f>IFERROR(s_C*s_IFCR_res_adj*s_CF_carrot*0.001*(s_Irr!I29+s_Irr!AG29+s_Irr!BE29),".")</f>
        <v>88.577324247385889</v>
      </c>
      <c r="AJ29" s="62">
        <f>IFERROR(s_C*s_IFCI_res_adj*s_CF_citrus*0.001*(s_Irr!J29+s_Irr!AH29+s_Irr!BF29),".")</f>
        <v>88.577324247385889</v>
      </c>
      <c r="AK29" s="62">
        <f>IFERROR(s_C*s_IFCO_res_adj*s_CF_corn*0.001*(s_Irr!K29+s_Irr!AI29+s_Irr!BG29),".")</f>
        <v>88.577324247385889</v>
      </c>
      <c r="AL29" s="62">
        <f>IFERROR(s_C*s_IFCU_res_adj*s_CF_cucumber*0.001*(s_Irr!L29+s_Irr!AJ29+s_Irr!BH29),".")</f>
        <v>88.577324247385889</v>
      </c>
      <c r="AM29" s="62">
        <f>IFERROR(s_C*s_IFLE_res_adj*s_CF_lettuce*0.001*(s_Irr!M29+s_Irr!AK29+s_Irr!BI29),".")</f>
        <v>89.65924969287353</v>
      </c>
      <c r="AN29" s="62">
        <f>IFERROR(s_C*s_IFLI_res_adj*s_CF_lima_bean*0.001*(s_Irr!N29+s_Irr!AL29+s_Irr!BJ29),".")</f>
        <v>88.577324247385889</v>
      </c>
      <c r="AO29" s="62">
        <f>IFERROR(s_C*s_IFOK_res_adj*s_CF_okra*0.001*(s_Irr!O29+s_Irr!AM29+s_Irr!BK29),".")</f>
        <v>88.577324247385889</v>
      </c>
      <c r="AP29" s="62">
        <f>IFERROR(s_C*s_IFON_res_adj*s_CF_onion*0.001*(s_Irr!P29+s_Irr!AN29+s_Irr!BL29),".")</f>
        <v>88.577324247385889</v>
      </c>
      <c r="AQ29" s="62">
        <f>IFERROR(s_C*s_IFPC_res_adj*s_CF_peach*0.001*(s_Irr!Q29+s_Irr!AO29+s_Irr!BM29),".")</f>
        <v>88.577324247385889</v>
      </c>
      <c r="AR29" s="62">
        <f>IFERROR(s_C*s_IFPR_res_adj*s_CF_pear*0.001*(s_Irr!R29+s_Irr!AP29+s_Irr!BN29),".")</f>
        <v>88.577324247385889</v>
      </c>
      <c r="AS29" s="62">
        <f>IFERROR(s_C*s_IFPE_res_adj*s_CF_peas*0.001*(s_Irr!S29+s_Irr!AQ29+s_Irr!BO29),".")</f>
        <v>88.577324247385889</v>
      </c>
      <c r="AT29" s="62">
        <f>IFERROR(s_C*s_IFPT_res_adj*s_CF_potato*0.001*(s_Irr!T29+s_Irr!AR29+s_Irr!BP29),".")</f>
        <v>88.577324247385889</v>
      </c>
      <c r="AU29" s="62">
        <f>IFERROR(s_C*s_IFPU_res_adj*s_CF_pumpkin*0.001*(s_Irr!U29+s_Irr!AS29+s_Irr!BQ29),".")</f>
        <v>88.577324247385889</v>
      </c>
      <c r="AV29" s="62">
        <f>IFERROR(s_C*s_IFSN_res_adj*s_CF_snap_bean*0.001*(s_Irr!V29+s_Irr!AT29+s_Irr!BR29),".")</f>
        <v>88.577324247385889</v>
      </c>
      <c r="AW29" s="62">
        <f>IFERROR(s_C*s_IFST_res_adj*s_CF_strawberry*0.001*(s_Irr!W29+s_Irr!AU29+s_Irr!BS29),".")</f>
        <v>88.577324247385889</v>
      </c>
      <c r="AX29" s="62">
        <f>IFERROR(s_C*s_IFTO_res_adj*s_CF_tomato*0.001*(s_Irr!X29+s_Irr!AV29+s_Irr!BT29),".")</f>
        <v>88.577324247385889</v>
      </c>
      <c r="AY29" s="62">
        <f>IFERROR(s_C*s_IFRI_res_adj*s_CF_rice*0.001*(s_Irr!Y29+s_Irr!AW29+s_Irr!BU29),".")</f>
        <v>388.99195627778778</v>
      </c>
      <c r="AZ29" s="62">
        <f>IFERROR(s_C*s_IFCG_res_adj*s_CF_cereal*0.001*(s_Irr!Z29+s_Irr!AX29+s_Irr!BV29),".")</f>
        <v>388.99195627778778</v>
      </c>
      <c r="BA29" s="48" t="str">
        <f t="shared" si="0"/>
        <v>.</v>
      </c>
      <c r="BB29" s="48" t="str">
        <f>IFERROR(IF(AND(s_Irr!C29&lt;&gt;".",s_Irr!AA29&lt;&gt;".",s_Irr!AY29&lt;&gt;"."),s_dir!AC29/((1/1000)*(s_Irr!C29+s_Irr!AA29+s_Irr!AY29)),IF(AND(s_Irr!C29&lt;&gt;".",s_Irr!AA29&lt;&gt;".",s_Irr!AY29="."),s_dir!AC29/((1/1000)*(s_Irr!C29+s_Irr!AA29)),IF(AND(s_Irr!C29&lt;&gt;".",s_Irr!AA29=".",s_Irr!AY29&lt;&gt;"."),s_dir!AC29/((1/1000)*(s_Irr!C29+s_Irr!AY29)),IF(AND(s_Irr!C29=".",s_Irr!AA29&lt;&gt;".",s_Irr!AY29&lt;&gt;"."),s_dir!AC29/((1/1000)*(s_Irr!AA29+s_Irr!AY29)),IF(AND(s_Irr!C29=".",s_Irr!AA29=".",s_Irr!AY29&lt;&gt;"."),s_dir!AC29/((1/1000)*(s_Irr!AY29)),IF(AND(s_Irr!C29=".",s_Irr!AA29&lt;&gt;".",s_Irr!AY29="."),s_dir!AC29/((1/1000)*(s_Irr!AA29)),IF(AND(s_Irr!C29&lt;&gt;".",s_Irr!AA29=".",s_Irr!AY29="."),s_dir!AC29/((1/1000)*(s_Irr!C29)),IF(AND(s_Irr!C29=".",s_Irr!AA29=".",s_Irr!AY29="."),s_dir!AC29*1000)))))))),".")</f>
        <v>.</v>
      </c>
      <c r="BC29" s="48" t="str">
        <f>IFERROR(IF(AND(s_Irr!D29&lt;&gt;".",s_Irr!AB29&lt;&gt;".",s_Irr!AZ29&lt;&gt;"."),s_dir!AD29/((1/1000)*(s_Irr!D29+s_Irr!AB29+s_Irr!AZ29)),IF(AND(s_Irr!D29&lt;&gt;".",s_Irr!AB29&lt;&gt;".",s_Irr!AZ29="."),s_dir!AD29/((1/1000)*(s_Irr!D29+s_Irr!AB29)),IF(AND(s_Irr!D29&lt;&gt;".",s_Irr!AB29=".",s_Irr!AZ29&lt;&gt;"."),s_dir!AD29/((1/1000)*(s_Irr!D29+s_Irr!AZ29)),IF(AND(s_Irr!D29=".",s_Irr!AB29&lt;&gt;".",s_Irr!AZ29&lt;&gt;"."),s_dir!AD29/((1/1000)*(s_Irr!AB29+s_Irr!AZ29)),IF(AND(s_Irr!D29=".",s_Irr!AB29=".",s_Irr!AZ29&lt;&gt;"."),s_dir!AD29/((1/1000)*(s_Irr!AZ29)),IF(AND(s_Irr!D29=".",s_Irr!AB29&lt;&gt;".",s_Irr!AZ29="."),s_dir!AD29/((1/1000)*(s_Irr!AB29)),IF(AND(s_Irr!D29&lt;&gt;".",s_Irr!AB29=".",s_Irr!AZ29="."),s_dir!AD29/((1/1000)*(s_Irr!D29)),IF(AND(s_Irr!D29=".",s_Irr!AB29=".",s_Irr!AZ29="."),s_dir!AD29*1000)))))))),".")</f>
        <v>.</v>
      </c>
      <c r="BD29" s="48" t="str">
        <f>IFERROR(IF(AND(s_Irr!E29&lt;&gt;".",s_Irr!AC29&lt;&gt;".",s_Irr!BA29&lt;&gt;"."),s_dir!AE29/((1/1000)*(s_Irr!E29+s_Irr!AC29+s_Irr!BA29)),IF(AND(s_Irr!E29&lt;&gt;".",s_Irr!AC29&lt;&gt;".",s_Irr!BA29="."),s_dir!AE29/((1/1000)*(s_Irr!E29+s_Irr!AC29)),IF(AND(s_Irr!E29&lt;&gt;".",s_Irr!AC29=".",s_Irr!BA29&lt;&gt;"."),s_dir!AE29/((1/1000)*(s_Irr!E29+s_Irr!BA29)),IF(AND(s_Irr!E29=".",s_Irr!AC29&lt;&gt;".",s_Irr!BA29&lt;&gt;"."),s_dir!AE29/((1/1000)*(s_Irr!AC29+s_Irr!BA29)),IF(AND(s_Irr!E29=".",s_Irr!AC29=".",s_Irr!BA29&lt;&gt;"."),s_dir!AE29/((1/1000)*(s_Irr!BA29)),IF(AND(s_Irr!E29=".",s_Irr!AC29&lt;&gt;".",s_Irr!BA29="."),s_dir!AE29/((1/1000)*(s_Irr!AC29)),IF(AND(s_Irr!E29&lt;&gt;".",s_Irr!AC29=".",s_Irr!BA29="."),s_dir!AE29/((1/1000)*(s_Irr!E29)),IF(AND(s_Irr!E29=".",s_Irr!AC29=".",s_Irr!BA29="."),s_dir!AE29*1000)))))))),".")</f>
        <v>.</v>
      </c>
      <c r="BE29" s="48" t="str">
        <f>IFERROR(IF(AND(s_Irr!F29&lt;&gt;".",s_Irr!AD29&lt;&gt;".",s_Irr!BB29&lt;&gt;"."),s_dir!AF29/((1/1000)*(s_Irr!F29+s_Irr!AD29+s_Irr!BB29)),IF(AND(s_Irr!F29&lt;&gt;".",s_Irr!AD29&lt;&gt;".",s_Irr!BB29="."),s_dir!AF29/((1/1000)*(s_Irr!F29+s_Irr!AD29)),IF(AND(s_Irr!F29&lt;&gt;".",s_Irr!AD29=".",s_Irr!BB29&lt;&gt;"."),s_dir!AF29/((1/1000)*(s_Irr!F29+s_Irr!BB29)),IF(AND(s_Irr!F29=".",s_Irr!AD29&lt;&gt;".",s_Irr!BB29&lt;&gt;"."),s_dir!AF29/((1/1000)*(s_Irr!AD29+s_Irr!BB29)),IF(AND(s_Irr!F29=".",s_Irr!AD29=".",s_Irr!BB29&lt;&gt;"."),s_dir!AF29/((1/1000)*(s_Irr!BB29)),IF(AND(s_Irr!F29=".",s_Irr!AD29&lt;&gt;".",s_Irr!BB29="."),s_dir!AF29/((1/1000)*(s_Irr!AD29)),IF(AND(s_Irr!F29&lt;&gt;".",s_Irr!AD29=".",s_Irr!BB29="."),s_dir!AF29/((1/1000)*(s_Irr!F29)),IF(AND(s_Irr!F29=".",s_Irr!AD29=".",s_Irr!BB29="."),s_dir!AF29*1000)))))))),".")</f>
        <v>.</v>
      </c>
      <c r="BF29" s="48" t="str">
        <f>IFERROR(IF(AND(s_Irr!G29&lt;&gt;".",s_Irr!AE29&lt;&gt;".",s_Irr!BC29&lt;&gt;"."),s_dir!AG29/((1/1000)*(s_Irr!G29+s_Irr!AE29+s_Irr!BC29)),IF(AND(s_Irr!G29&lt;&gt;".",s_Irr!AE29&lt;&gt;".",s_Irr!BC29="."),s_dir!AG29/((1/1000)*(s_Irr!G29+s_Irr!AE29)),IF(AND(s_Irr!G29&lt;&gt;".",s_Irr!AE29=".",s_Irr!BC29&lt;&gt;"."),s_dir!AG29/((1/1000)*(s_Irr!G29+s_Irr!BC29)),IF(AND(s_Irr!G29=".",s_Irr!AE29&lt;&gt;".",s_Irr!BC29&lt;&gt;"."),s_dir!AG29/((1/1000)*(s_Irr!AE29+s_Irr!BC29)),IF(AND(s_Irr!G29=".",s_Irr!AE29=".",s_Irr!BC29&lt;&gt;"."),s_dir!AG29/((1/1000)*(s_Irr!BC29)),IF(AND(s_Irr!G29=".",s_Irr!AE29&lt;&gt;".",s_Irr!BC29="."),s_dir!AG29/((1/1000)*(s_Irr!AE29)),IF(AND(s_Irr!G29&lt;&gt;".",s_Irr!AE29=".",s_Irr!BC29="."),s_dir!AG29/((1/1000)*(s_Irr!G29)),IF(AND(s_Irr!G29=".",s_Irr!AE29=".",s_Irr!BC29="."),s_dir!AG29*1000)))))))),".")</f>
        <v>.</v>
      </c>
      <c r="BG29" s="48" t="str">
        <f>IFERROR(IF(AND(s_Irr!H29&lt;&gt;".",s_Irr!AF29&lt;&gt;".",s_Irr!BD29&lt;&gt;"."),s_dir!AH29/((1/1000)*(s_Irr!H29+s_Irr!AF29+s_Irr!BD29)),IF(AND(s_Irr!H29&lt;&gt;".",s_Irr!AF29&lt;&gt;".",s_Irr!BD29="."),s_dir!AH29/((1/1000)*(s_Irr!H29+s_Irr!AF29)),IF(AND(s_Irr!H29&lt;&gt;".",s_Irr!AF29=".",s_Irr!BD29&lt;&gt;"."),s_dir!AH29/((1/1000)*(s_Irr!H29+s_Irr!BD29)),IF(AND(s_Irr!H29=".",s_Irr!AF29&lt;&gt;".",s_Irr!BD29&lt;&gt;"."),s_dir!AH29/((1/1000)*(s_Irr!AF29+s_Irr!BD29)),IF(AND(s_Irr!H29=".",s_Irr!AF29=".",s_Irr!BD29&lt;&gt;"."),s_dir!AH29/((1/1000)*(s_Irr!BD29)),IF(AND(s_Irr!H29=".",s_Irr!AF29&lt;&gt;".",s_Irr!BD29="."),s_dir!AH29/((1/1000)*(s_Irr!AF29)),IF(AND(s_Irr!H29&lt;&gt;".",s_Irr!AF29=".",s_Irr!BD29="."),s_dir!AH29/((1/1000)*(s_Irr!H29)),IF(AND(s_Irr!H29=".",s_Irr!AF29=".",s_Irr!BD29="."),s_dir!AH29*1000)))))))),".")</f>
        <v>.</v>
      </c>
      <c r="BH29" s="48" t="str">
        <f>IFERROR(IF(AND(s_Irr!I29&lt;&gt;".",s_Irr!AG29&lt;&gt;".",s_Irr!BE29&lt;&gt;"."),s_dir!AI29/((1/1000)*(s_Irr!I29+s_Irr!AG29+s_Irr!BE29)),IF(AND(s_Irr!I29&lt;&gt;".",s_Irr!AG29&lt;&gt;".",s_Irr!BE29="."),s_dir!AI29/((1/1000)*(s_Irr!I29+s_Irr!AG29)),IF(AND(s_Irr!I29&lt;&gt;".",s_Irr!AG29=".",s_Irr!BE29&lt;&gt;"."),s_dir!AI29/((1/1000)*(s_Irr!I29+s_Irr!BE29)),IF(AND(s_Irr!I29=".",s_Irr!AG29&lt;&gt;".",s_Irr!BE29&lt;&gt;"."),s_dir!AI29/((1/1000)*(s_Irr!AG29+s_Irr!BE29)),IF(AND(s_Irr!I29=".",s_Irr!AG29=".",s_Irr!BE29&lt;&gt;"."),s_dir!AI29/((1/1000)*(s_Irr!BE29)),IF(AND(s_Irr!I29=".",s_Irr!AG29&lt;&gt;".",s_Irr!BE29="."),s_dir!AI29/((1/1000)*(s_Irr!AG29)),IF(AND(s_Irr!I29&lt;&gt;".",s_Irr!AG29=".",s_Irr!BE29="."),s_dir!AI29/((1/1000)*(s_Irr!I29)),IF(AND(s_Irr!I29=".",s_Irr!AG29=".",s_Irr!BE29="."),s_dir!AI29*1000)))))))),".")</f>
        <v>.</v>
      </c>
      <c r="BI29" s="48" t="str">
        <f>IFERROR(IF(AND(s_Irr!J29&lt;&gt;".",s_Irr!AH29&lt;&gt;".",s_Irr!BF29&lt;&gt;"."),s_dir!AJ29/((1/1000)*(s_Irr!J29+s_Irr!AH29+s_Irr!BF29)),IF(AND(s_Irr!J29&lt;&gt;".",s_Irr!AH29&lt;&gt;".",s_Irr!BF29="."),s_dir!AJ29/((1/1000)*(s_Irr!J29+s_Irr!AH29)),IF(AND(s_Irr!J29&lt;&gt;".",s_Irr!AH29=".",s_Irr!BF29&lt;&gt;"."),s_dir!AJ29/((1/1000)*(s_Irr!J29+s_Irr!BF29)),IF(AND(s_Irr!J29=".",s_Irr!AH29&lt;&gt;".",s_Irr!BF29&lt;&gt;"."),s_dir!AJ29/((1/1000)*(s_Irr!AH29+s_Irr!BF29)),IF(AND(s_Irr!J29=".",s_Irr!AH29=".",s_Irr!BF29&lt;&gt;"."),s_dir!AJ29/((1/1000)*(s_Irr!BF29)),IF(AND(s_Irr!J29=".",s_Irr!AH29&lt;&gt;".",s_Irr!BF29="."),s_dir!AJ29/((1/1000)*(s_Irr!AH29)),IF(AND(s_Irr!J29&lt;&gt;".",s_Irr!AH29=".",s_Irr!BF29="."),s_dir!AJ29/((1/1000)*(s_Irr!J29)),IF(AND(s_Irr!J29=".",s_Irr!AH29=".",s_Irr!BF29="."),s_dir!AJ29*1000)))))))),".")</f>
        <v>.</v>
      </c>
      <c r="BJ29" s="48" t="str">
        <f>IFERROR(IF(AND(s_Irr!K29&lt;&gt;".",s_Irr!AI29&lt;&gt;".",s_Irr!BG29&lt;&gt;"."),s_dir!AK29/((1/1000)*(s_Irr!K29+s_Irr!AI29+s_Irr!BG29)),IF(AND(s_Irr!K29&lt;&gt;".",s_Irr!AI29&lt;&gt;".",s_Irr!BG29="."),s_dir!AK29/((1/1000)*(s_Irr!K29+s_Irr!AI29)),IF(AND(s_Irr!K29&lt;&gt;".",s_Irr!AI29=".",s_Irr!BG29&lt;&gt;"."),s_dir!AK29/((1/1000)*(s_Irr!K29+s_Irr!BG29)),IF(AND(s_Irr!K29=".",s_Irr!AI29&lt;&gt;".",s_Irr!BG29&lt;&gt;"."),s_dir!AK29/((1/1000)*(s_Irr!AI29+s_Irr!BG29)),IF(AND(s_Irr!K29=".",s_Irr!AI29=".",s_Irr!BG29&lt;&gt;"."),s_dir!AK29/((1/1000)*(s_Irr!BG29)),IF(AND(s_Irr!K29=".",s_Irr!AI29&lt;&gt;".",s_Irr!BG29="."),s_dir!AK29/((1/1000)*(s_Irr!AI29)),IF(AND(s_Irr!K29&lt;&gt;".",s_Irr!AI29=".",s_Irr!BG29="."),s_dir!AK29/((1/1000)*(s_Irr!K29)),IF(AND(s_Irr!K29=".",s_Irr!AI29=".",s_Irr!BG29="."),s_dir!AK29*1000)))))))),".")</f>
        <v>.</v>
      </c>
      <c r="BK29" s="48" t="str">
        <f>IFERROR(IF(AND(s_Irr!L29&lt;&gt;".",s_Irr!AJ29&lt;&gt;".",s_Irr!BH29&lt;&gt;"."),s_dir!AL29/((1/1000)*(s_Irr!L29+s_Irr!AJ29+s_Irr!BH29)),IF(AND(s_Irr!L29&lt;&gt;".",s_Irr!AJ29&lt;&gt;".",s_Irr!BH29="."),s_dir!AL29/((1/1000)*(s_Irr!L29+s_Irr!AJ29)),IF(AND(s_Irr!L29&lt;&gt;".",s_Irr!AJ29=".",s_Irr!BH29&lt;&gt;"."),s_dir!AL29/((1/1000)*(s_Irr!L29+s_Irr!BH29)),IF(AND(s_Irr!L29=".",s_Irr!AJ29&lt;&gt;".",s_Irr!BH29&lt;&gt;"."),s_dir!AL29/((1/1000)*(s_Irr!AJ29+s_Irr!BH29)),IF(AND(s_Irr!L29=".",s_Irr!AJ29=".",s_Irr!BH29&lt;&gt;"."),s_dir!AL29/((1/1000)*(s_Irr!BH29)),IF(AND(s_Irr!L29=".",s_Irr!AJ29&lt;&gt;".",s_Irr!BH29="."),s_dir!AL29/((1/1000)*(s_Irr!AJ29)),IF(AND(s_Irr!L29&lt;&gt;".",s_Irr!AJ29=".",s_Irr!BH29="."),s_dir!AL29/((1/1000)*(s_Irr!L29)),IF(AND(s_Irr!L29=".",s_Irr!AJ29=".",s_Irr!BH29="."),s_dir!AL29*1000)))))))),".")</f>
        <v>.</v>
      </c>
      <c r="BL29" s="48" t="str">
        <f>IFERROR(IF(AND(s_Irr!M29&lt;&gt;".",s_Irr!AK29&lt;&gt;".",s_Irr!BI29&lt;&gt;"."),s_dir!AM29/((1/1000)*(s_Irr!M29+s_Irr!AK29+s_Irr!BI29)),IF(AND(s_Irr!M29&lt;&gt;".",s_Irr!AK29&lt;&gt;".",s_Irr!BI29="."),s_dir!AM29/((1/1000)*(s_Irr!M29+s_Irr!AK29)),IF(AND(s_Irr!M29&lt;&gt;".",s_Irr!AK29=".",s_Irr!BI29&lt;&gt;"."),s_dir!AM29/((1/1000)*(s_Irr!M29+s_Irr!BI29)),IF(AND(s_Irr!M29=".",s_Irr!AK29&lt;&gt;".",s_Irr!BI29&lt;&gt;"."),s_dir!AM29/((1/1000)*(s_Irr!AK29+s_Irr!BI29)),IF(AND(s_Irr!M29=".",s_Irr!AK29=".",s_Irr!BI29&lt;&gt;"."),s_dir!AM29/((1/1000)*(s_Irr!BI29)),IF(AND(s_Irr!M29=".",s_Irr!AK29&lt;&gt;".",s_Irr!BI29="."),s_dir!AM29/((1/1000)*(s_Irr!AK29)),IF(AND(s_Irr!M29&lt;&gt;".",s_Irr!AK29=".",s_Irr!BI29="."),s_dir!AM29/((1/1000)*(s_Irr!M29)),IF(AND(s_Irr!M29=".",s_Irr!AK29=".",s_Irr!BI29="."),s_dir!AM29*1000)))))))),".")</f>
        <v>.</v>
      </c>
      <c r="BM29" s="48" t="str">
        <f>IFERROR(IF(AND(s_Irr!N29&lt;&gt;".",s_Irr!AL29&lt;&gt;".",s_Irr!BJ29&lt;&gt;"."),s_dir!AN29/((1/1000)*(s_Irr!N29+s_Irr!AL29+s_Irr!BJ29)),IF(AND(s_Irr!N29&lt;&gt;".",s_Irr!AL29&lt;&gt;".",s_Irr!BJ29="."),s_dir!AN29/((1/1000)*(s_Irr!N29+s_Irr!AL29)),IF(AND(s_Irr!N29&lt;&gt;".",s_Irr!AL29=".",s_Irr!BJ29&lt;&gt;"."),s_dir!AN29/((1/1000)*(s_Irr!N29+s_Irr!BJ29)),IF(AND(s_Irr!N29=".",s_Irr!AL29&lt;&gt;".",s_Irr!BJ29&lt;&gt;"."),s_dir!AN29/((1/1000)*(s_Irr!AL29+s_Irr!BJ29)),IF(AND(s_Irr!N29=".",s_Irr!AL29=".",s_Irr!BJ29&lt;&gt;"."),s_dir!AN29/((1/1000)*(s_Irr!BJ29)),IF(AND(s_Irr!N29=".",s_Irr!AL29&lt;&gt;".",s_Irr!BJ29="."),s_dir!AN29/((1/1000)*(s_Irr!AL29)),IF(AND(s_Irr!N29&lt;&gt;".",s_Irr!AL29=".",s_Irr!BJ29="."),s_dir!AN29/((1/1000)*(s_Irr!N29)),IF(AND(s_Irr!N29=".",s_Irr!AL29=".",s_Irr!BJ29="."),s_dir!AN29*1000)))))))),".")</f>
        <v>.</v>
      </c>
      <c r="BN29" s="48" t="str">
        <f>IFERROR(IF(AND(s_Irr!O29&lt;&gt;".",s_Irr!AM29&lt;&gt;".",s_Irr!BK29&lt;&gt;"."),s_dir!AO29/((1/1000)*(s_Irr!O29+s_Irr!AM29+s_Irr!BK29)),IF(AND(s_Irr!O29&lt;&gt;".",s_Irr!AM29&lt;&gt;".",s_Irr!BK29="."),s_dir!AO29/((1/1000)*(s_Irr!O29+s_Irr!AM29)),IF(AND(s_Irr!O29&lt;&gt;".",s_Irr!AM29=".",s_Irr!BK29&lt;&gt;"."),s_dir!AO29/((1/1000)*(s_Irr!O29+s_Irr!BK29)),IF(AND(s_Irr!O29=".",s_Irr!AM29&lt;&gt;".",s_Irr!BK29&lt;&gt;"."),s_dir!AO29/((1/1000)*(s_Irr!AM29+s_Irr!BK29)),IF(AND(s_Irr!O29=".",s_Irr!AM29=".",s_Irr!BK29&lt;&gt;"."),s_dir!AO29/((1/1000)*(s_Irr!BK29)),IF(AND(s_Irr!O29=".",s_Irr!AM29&lt;&gt;".",s_Irr!BK29="."),s_dir!AO29/((1/1000)*(s_Irr!AM29)),IF(AND(s_Irr!O29&lt;&gt;".",s_Irr!AM29=".",s_Irr!BK29="."),s_dir!AO29/((1/1000)*(s_Irr!O29)),IF(AND(s_Irr!O29=".",s_Irr!AM29=".",s_Irr!BK29="."),s_dir!AO29*1000)))))))),".")</f>
        <v>.</v>
      </c>
      <c r="BO29" s="48" t="str">
        <f>IFERROR(IF(AND(s_Irr!P29&lt;&gt;".",s_Irr!AN29&lt;&gt;".",s_Irr!BL29&lt;&gt;"."),s_dir!AP29/((1/1000)*(s_Irr!P29+s_Irr!AN29+s_Irr!BL29)),IF(AND(s_Irr!P29&lt;&gt;".",s_Irr!AN29&lt;&gt;".",s_Irr!BL29="."),s_dir!AP29/((1/1000)*(s_Irr!P29+s_Irr!AN29)),IF(AND(s_Irr!P29&lt;&gt;".",s_Irr!AN29=".",s_Irr!BL29&lt;&gt;"."),s_dir!AP29/((1/1000)*(s_Irr!P29+s_Irr!BL29)),IF(AND(s_Irr!P29=".",s_Irr!AN29&lt;&gt;".",s_Irr!BL29&lt;&gt;"."),s_dir!AP29/((1/1000)*(s_Irr!AN29+s_Irr!BL29)),IF(AND(s_Irr!P29=".",s_Irr!AN29=".",s_Irr!BL29&lt;&gt;"."),s_dir!AP29/((1/1000)*(s_Irr!BL29)),IF(AND(s_Irr!P29=".",s_Irr!AN29&lt;&gt;".",s_Irr!BL29="."),s_dir!AP29/((1/1000)*(s_Irr!AN29)),IF(AND(s_Irr!P29&lt;&gt;".",s_Irr!AN29=".",s_Irr!BL29="."),s_dir!AP29/((1/1000)*(s_Irr!P29)),IF(AND(s_Irr!P29=".",s_Irr!AN29=".",s_Irr!BL29="."),s_dir!AP29*1000)))))))),".")</f>
        <v>.</v>
      </c>
      <c r="BP29" s="48" t="str">
        <f>IFERROR(IF(AND(s_Irr!Q29&lt;&gt;".",s_Irr!AO29&lt;&gt;".",s_Irr!BM29&lt;&gt;"."),s_dir!AQ29/((1/1000)*(s_Irr!Q29+s_Irr!AO29+s_Irr!BM29)),IF(AND(s_Irr!Q29&lt;&gt;".",s_Irr!AO29&lt;&gt;".",s_Irr!BM29="."),s_dir!AQ29/((1/1000)*(s_Irr!Q29+s_Irr!AO29)),IF(AND(s_Irr!Q29&lt;&gt;".",s_Irr!AO29=".",s_Irr!BM29&lt;&gt;"."),s_dir!AQ29/((1/1000)*(s_Irr!Q29+s_Irr!BM29)),IF(AND(s_Irr!Q29=".",s_Irr!AO29&lt;&gt;".",s_Irr!BM29&lt;&gt;"."),s_dir!AQ29/((1/1000)*(s_Irr!AO29+s_Irr!BM29)),IF(AND(s_Irr!Q29=".",s_Irr!AO29=".",s_Irr!BM29&lt;&gt;"."),s_dir!AQ29/((1/1000)*(s_Irr!BM29)),IF(AND(s_Irr!Q29=".",s_Irr!AO29&lt;&gt;".",s_Irr!BM29="."),s_dir!AQ29/((1/1000)*(s_Irr!AO29)),IF(AND(s_Irr!Q29&lt;&gt;".",s_Irr!AO29=".",s_Irr!BM29="."),s_dir!AQ29/((1/1000)*(s_Irr!Q29)),IF(AND(s_Irr!Q29=".",s_Irr!AO29=".",s_Irr!BM29="."),s_dir!AQ29*1000)))))))),".")</f>
        <v>.</v>
      </c>
      <c r="BQ29" s="48" t="str">
        <f>IFERROR(IF(AND(s_Irr!R29&lt;&gt;".",s_Irr!AP29&lt;&gt;".",s_Irr!BN29&lt;&gt;"."),s_dir!AR29/((1/1000)*(s_Irr!R29+s_Irr!AP29+s_Irr!BN29)),IF(AND(s_Irr!R29&lt;&gt;".",s_Irr!AP29&lt;&gt;".",s_Irr!BN29="."),s_dir!AR29/((1/1000)*(s_Irr!R29+s_Irr!AP29)),IF(AND(s_Irr!R29&lt;&gt;".",s_Irr!AP29=".",s_Irr!BN29&lt;&gt;"."),s_dir!AR29/((1/1000)*(s_Irr!R29+s_Irr!BN29)),IF(AND(s_Irr!R29=".",s_Irr!AP29&lt;&gt;".",s_Irr!BN29&lt;&gt;"."),s_dir!AR29/((1/1000)*(s_Irr!AP29+s_Irr!BN29)),IF(AND(s_Irr!R29=".",s_Irr!AP29=".",s_Irr!BN29&lt;&gt;"."),s_dir!AR29/((1/1000)*(s_Irr!BN29)),IF(AND(s_Irr!R29=".",s_Irr!AP29&lt;&gt;".",s_Irr!BN29="."),s_dir!AR29/((1/1000)*(s_Irr!AP29)),IF(AND(s_Irr!R29&lt;&gt;".",s_Irr!AP29=".",s_Irr!BN29="."),s_dir!AR29/((1/1000)*(s_Irr!R29)),IF(AND(s_Irr!R29=".",s_Irr!AP29=".",s_Irr!BN29="."),s_dir!AR29*1000)))))))),".")</f>
        <v>.</v>
      </c>
      <c r="BR29" s="48" t="str">
        <f>IFERROR(IF(AND(s_Irr!S29&lt;&gt;".",s_Irr!AQ29&lt;&gt;".",s_Irr!BO29&lt;&gt;"."),s_dir!AS29/((1/1000)*(s_Irr!S29+s_Irr!AQ29+s_Irr!BO29)),IF(AND(s_Irr!S29&lt;&gt;".",s_Irr!AQ29&lt;&gt;".",s_Irr!BO29="."),s_dir!AS29/((1/1000)*(s_Irr!S29+s_Irr!AQ29)),IF(AND(s_Irr!S29&lt;&gt;".",s_Irr!AQ29=".",s_Irr!BO29&lt;&gt;"."),s_dir!AS29/((1/1000)*(s_Irr!S29+s_Irr!BO29)),IF(AND(s_Irr!S29=".",s_Irr!AQ29&lt;&gt;".",s_Irr!BO29&lt;&gt;"."),s_dir!AS29/((1/1000)*(s_Irr!AQ29+s_Irr!BO29)),IF(AND(s_Irr!S29=".",s_Irr!AQ29=".",s_Irr!BO29&lt;&gt;"."),s_dir!AS29/((1/1000)*(s_Irr!BO29)),IF(AND(s_Irr!S29=".",s_Irr!AQ29&lt;&gt;".",s_Irr!BO29="."),s_dir!AS29/((1/1000)*(s_Irr!AQ29)),IF(AND(s_Irr!S29&lt;&gt;".",s_Irr!AQ29=".",s_Irr!BO29="."),s_dir!AS29/((1/1000)*(s_Irr!S29)),IF(AND(s_Irr!S29=".",s_Irr!AQ29=".",s_Irr!BO29="."),s_dir!AS29*1000)))))))),".")</f>
        <v>.</v>
      </c>
      <c r="BS29" s="48" t="str">
        <f>IFERROR(IF(AND(s_Irr!T29&lt;&gt;".",s_Irr!AR29&lt;&gt;".",s_Irr!BP29&lt;&gt;"."),s_dir!AT29/((1/1000)*(s_Irr!T29+s_Irr!AR29+s_Irr!BP29)),IF(AND(s_Irr!T29&lt;&gt;".",s_Irr!AR29&lt;&gt;".",s_Irr!BP29="."),s_dir!AT29/((1/1000)*(s_Irr!T29+s_Irr!AR29)),IF(AND(s_Irr!T29&lt;&gt;".",s_Irr!AR29=".",s_Irr!BP29&lt;&gt;"."),s_dir!AT29/((1/1000)*(s_Irr!T29+s_Irr!BP29)),IF(AND(s_Irr!T29=".",s_Irr!AR29&lt;&gt;".",s_Irr!BP29&lt;&gt;"."),s_dir!AT29/((1/1000)*(s_Irr!AR29+s_Irr!BP29)),IF(AND(s_Irr!T29=".",s_Irr!AR29=".",s_Irr!BP29&lt;&gt;"."),s_dir!AT29/((1/1000)*(s_Irr!BP29)),IF(AND(s_Irr!T29=".",s_Irr!AR29&lt;&gt;".",s_Irr!BP29="."),s_dir!AT29/((1/1000)*(s_Irr!AR29)),IF(AND(s_Irr!T29&lt;&gt;".",s_Irr!AR29=".",s_Irr!BP29="."),s_dir!AT29/((1/1000)*(s_Irr!T29)),IF(AND(s_Irr!T29=".",s_Irr!AR29=".",s_Irr!BP29="."),s_dir!AT29*1000)))))))),".")</f>
        <v>.</v>
      </c>
      <c r="BT29" s="48" t="str">
        <f>IFERROR(IF(AND(s_Irr!U29&lt;&gt;".",s_Irr!AS29&lt;&gt;".",s_Irr!BQ29&lt;&gt;"."),s_dir!AU29/((1/1000)*(s_Irr!U29+s_Irr!AS29+s_Irr!BQ29)),IF(AND(s_Irr!U29&lt;&gt;".",s_Irr!AS29&lt;&gt;".",s_Irr!BQ29="."),s_dir!AU29/((1/1000)*(s_Irr!U29+s_Irr!AS29)),IF(AND(s_Irr!U29&lt;&gt;".",s_Irr!AS29=".",s_Irr!BQ29&lt;&gt;"."),s_dir!AU29/((1/1000)*(s_Irr!U29+s_Irr!BQ29)),IF(AND(s_Irr!U29=".",s_Irr!AS29&lt;&gt;".",s_Irr!BQ29&lt;&gt;"."),s_dir!AU29/((1/1000)*(s_Irr!AS29+s_Irr!BQ29)),IF(AND(s_Irr!U29=".",s_Irr!AS29=".",s_Irr!BQ29&lt;&gt;"."),s_dir!AU29/((1/1000)*(s_Irr!BQ29)),IF(AND(s_Irr!U29=".",s_Irr!AS29&lt;&gt;".",s_Irr!BQ29="."),s_dir!AU29/((1/1000)*(s_Irr!AS29)),IF(AND(s_Irr!U29&lt;&gt;".",s_Irr!AS29=".",s_Irr!BQ29="."),s_dir!AU29/((1/1000)*(s_Irr!U29)),IF(AND(s_Irr!U29=".",s_Irr!AS29=".",s_Irr!BQ29="."),s_dir!AU29*1000)))))))),".")</f>
        <v>.</v>
      </c>
      <c r="BU29" s="48" t="str">
        <f>IFERROR(IF(AND(s_Irr!V29&lt;&gt;".",s_Irr!AT29&lt;&gt;".",s_Irr!BR29&lt;&gt;"."),s_dir!AV29/((1/1000)*(s_Irr!V29+s_Irr!AT29+s_Irr!BR29)),IF(AND(s_Irr!V29&lt;&gt;".",s_Irr!AT29&lt;&gt;".",s_Irr!BR29="."),s_dir!AV29/((1/1000)*(s_Irr!V29+s_Irr!AT29)),IF(AND(s_Irr!V29&lt;&gt;".",s_Irr!AT29=".",s_Irr!BR29&lt;&gt;"."),s_dir!AV29/((1/1000)*(s_Irr!V29+s_Irr!BR29)),IF(AND(s_Irr!V29=".",s_Irr!AT29&lt;&gt;".",s_Irr!BR29&lt;&gt;"."),s_dir!AV29/((1/1000)*(s_Irr!AT29+s_Irr!BR29)),IF(AND(s_Irr!V29=".",s_Irr!AT29=".",s_Irr!BR29&lt;&gt;"."),s_dir!AV29/((1/1000)*(s_Irr!BR29)),IF(AND(s_Irr!V29=".",s_Irr!AT29&lt;&gt;".",s_Irr!BR29="."),s_dir!AV29/((1/1000)*(s_Irr!AT29)),IF(AND(s_Irr!V29&lt;&gt;".",s_Irr!AT29=".",s_Irr!BR29="."),s_dir!AV29/((1/1000)*(s_Irr!V29)),IF(AND(s_Irr!V29=".",s_Irr!AT29=".",s_Irr!BR29="."),s_dir!AV29*1000)))))))),".")</f>
        <v>.</v>
      </c>
      <c r="BV29" s="48" t="str">
        <f>IFERROR(IF(AND(s_Irr!W29&lt;&gt;".",s_Irr!AU29&lt;&gt;".",s_Irr!BS29&lt;&gt;"."),s_dir!AW29/((1/1000)*(s_Irr!W29+s_Irr!AU29+s_Irr!BS29)),IF(AND(s_Irr!W29&lt;&gt;".",s_Irr!AU29&lt;&gt;".",s_Irr!BS29="."),s_dir!AW29/((1/1000)*(s_Irr!W29+s_Irr!AU29)),IF(AND(s_Irr!W29&lt;&gt;".",s_Irr!AU29=".",s_Irr!BS29&lt;&gt;"."),s_dir!AW29/((1/1000)*(s_Irr!W29+s_Irr!BS29)),IF(AND(s_Irr!W29=".",s_Irr!AU29&lt;&gt;".",s_Irr!BS29&lt;&gt;"."),s_dir!AW29/((1/1000)*(s_Irr!AU29+s_Irr!BS29)),IF(AND(s_Irr!W29=".",s_Irr!AU29=".",s_Irr!BS29&lt;&gt;"."),s_dir!AW29/((1/1000)*(s_Irr!BS29)),IF(AND(s_Irr!W29=".",s_Irr!AU29&lt;&gt;".",s_Irr!BS29="."),s_dir!AW29/((1/1000)*(s_Irr!AU29)),IF(AND(s_Irr!W29&lt;&gt;".",s_Irr!AU29=".",s_Irr!BS29="."),s_dir!AW29/((1/1000)*(s_Irr!W29)),IF(AND(s_Irr!W29=".",s_Irr!AU29=".",s_Irr!BS29="."),s_dir!AW29*1000)))))))),".")</f>
        <v>.</v>
      </c>
      <c r="BW29" s="48" t="str">
        <f>IFERROR(IF(AND(s_Irr!X29&lt;&gt;".",s_Irr!AV29&lt;&gt;".",s_Irr!BT29&lt;&gt;"."),s_dir!AX29/((1/1000)*(s_Irr!X29+s_Irr!AV29+s_Irr!BT29)),IF(AND(s_Irr!X29&lt;&gt;".",s_Irr!AV29&lt;&gt;".",s_Irr!BT29="."),s_dir!AX29/((1/1000)*(s_Irr!X29+s_Irr!AV29)),IF(AND(s_Irr!X29&lt;&gt;".",s_Irr!AV29=".",s_Irr!BT29&lt;&gt;"."),s_dir!AX29/((1/1000)*(s_Irr!X29+s_Irr!BT29)),IF(AND(s_Irr!X29=".",s_Irr!AV29&lt;&gt;".",s_Irr!BT29&lt;&gt;"."),s_dir!AX29/((1/1000)*(s_Irr!AV29+s_Irr!BT29)),IF(AND(s_Irr!X29=".",s_Irr!AV29=".",s_Irr!BT29&lt;&gt;"."),s_dir!AX29/((1/1000)*(s_Irr!BT29)),IF(AND(s_Irr!X29=".",s_Irr!AV29&lt;&gt;".",s_Irr!BT29="."),s_dir!AX29/((1/1000)*(s_Irr!AV29)),IF(AND(s_Irr!X29&lt;&gt;".",s_Irr!AV29=".",s_Irr!BT29="."),s_dir!AX29/((1/1000)*(s_Irr!X29)),IF(AND(s_Irr!X29=".",s_Irr!AV29=".",s_Irr!BT29="."),s_dir!AX29*1000)))))))),".")</f>
        <v>.</v>
      </c>
      <c r="BX29" s="48" t="str">
        <f>IFERROR(IF(AND(s_Irr!Y29&lt;&gt;".",s_Irr!AW29&lt;&gt;".",s_Irr!BU29&lt;&gt;"."),s_dir!AY29/((1/1000)*(s_Irr!Y29+s_Irr!AW29+s_Irr!BU29)),IF(AND(s_Irr!Y29&lt;&gt;".",s_Irr!AW29&lt;&gt;".",s_Irr!BU29="."),s_dir!AY29/((1/1000)*(s_Irr!Y29+s_Irr!AW29)),IF(AND(s_Irr!Y29&lt;&gt;".",s_Irr!AW29=".",s_Irr!BU29&lt;&gt;"."),s_dir!AY29/((1/1000)*(s_Irr!Y29+s_Irr!BU29)),IF(AND(s_Irr!Y29=".",s_Irr!AW29&lt;&gt;".",s_Irr!BU29&lt;&gt;"."),s_dir!AY29/((1/1000)*(s_Irr!AW29+s_Irr!BU29)),IF(AND(s_Irr!Y29=".",s_Irr!AW29=".",s_Irr!BU29&lt;&gt;"."),s_dir!AY29/((1/1000)*(s_Irr!BU29)),IF(AND(s_Irr!Y29=".",s_Irr!AW29&lt;&gt;".",s_Irr!BU29="."),s_dir!AY29/((1/1000)*(s_Irr!AW29)),IF(AND(s_Irr!Y29&lt;&gt;".",s_Irr!AW29=".",s_Irr!BU29="."),s_dir!AY29/((1/1000)*(s_Irr!Y29)),IF(AND(s_Irr!Y29=".",s_Irr!AW29=".",s_Irr!BU29="."),s_dir!AY29*1000)))))))),".")</f>
        <v>.</v>
      </c>
      <c r="BY29" s="48" t="str">
        <f>IFERROR(IF(AND(s_Irr!Z29&lt;&gt;".",s_Irr!AX29&lt;&gt;".",s_Irr!BV29&lt;&gt;"."),s_dir!AZ29/((1/1000)*(s_Irr!Z29+s_Irr!AX29+s_Irr!BV29)),IF(AND(s_Irr!Z29&lt;&gt;".",s_Irr!AX29&lt;&gt;".",s_Irr!BV29="."),s_dir!AZ29/((1/1000)*(s_Irr!Z29+s_Irr!AX29)),IF(AND(s_Irr!Z29&lt;&gt;".",s_Irr!AX29=".",s_Irr!BV29&lt;&gt;"."),s_dir!AZ29/((1/1000)*(s_Irr!Z29+s_Irr!BV29)),IF(AND(s_Irr!Z29=".",s_Irr!AX29&lt;&gt;".",s_Irr!BV29&lt;&gt;"."),s_dir!AZ29/((1/1000)*(s_Irr!AX29+s_Irr!BV29)),IF(AND(s_Irr!Z29=".",s_Irr!AX29=".",s_Irr!BV29&lt;&gt;"."),s_dir!AZ29/((1/1000)*(s_Irr!BV29)),IF(AND(s_Irr!Z29=".",s_Irr!AX29&lt;&gt;".",s_Irr!BV29="."),s_dir!AZ29/((1/1000)*(s_Irr!AX29)),IF(AND(s_Irr!Z29&lt;&gt;".",s_Irr!AX29=".",s_Irr!BV29="."),s_dir!AZ29/((1/1000)*(s_Irr!Z29)),IF(AND(s_Irr!Z29=".",s_Irr!AX29=".",s_Irr!BV29="."),s_dir!AZ29*1000)))))))),".")</f>
        <v>.</v>
      </c>
      <c r="BZ29" s="62">
        <f t="shared" si="1"/>
        <v>866.5612368029615</v>
      </c>
      <c r="CA29" s="62">
        <f>IFERROR(s_C*s_IFAP_far_adj*s_CF_apple*(1/1000)*(s_Irr!C29+s_Irr!AA29+s_Irr!AY29),".")</f>
        <v>88.577324247385889</v>
      </c>
      <c r="CB29" s="62">
        <f>IFERROR(s_C*s_IFAS_far_adj*s_CF_asparagus*(1/1000)*(s_Irr!D29+s_Irr!AB29+s_Irr!AZ29),".")</f>
        <v>89.65924969287353</v>
      </c>
      <c r="CC29" s="62">
        <f>IFERROR(s_C*s_IFBT_far_adj*s_CF_beet*(1/1000)*(s_Irr!E29+s_Irr!AC29+s_Irr!BA29),".")</f>
        <v>88.577324247385889</v>
      </c>
      <c r="CD29" s="62">
        <f>IFERROR(s_C*s_IFBE_far_adj*s_CF_berries*(1/1000)*(s_Irr!F29+s_Irr!AD29+s_Irr!BB29),".")</f>
        <v>88.577324247385889</v>
      </c>
      <c r="CE29" s="62">
        <f>IFERROR(s_C*s_IFBR_far_adj*s_CF_broccoli*(1/1000)*(s_Irr!G29+s_Irr!AE29+s_Irr!BC29),".")</f>
        <v>88.577324247385889</v>
      </c>
      <c r="CF29" s="62">
        <f>IFERROR(s_C*s_IFCB_far_adj*s_CF_cabbage*(1/1000)*(s_Irr!H29+s_Irr!AF29+s_Irr!BD29),".")</f>
        <v>89.65924969287353</v>
      </c>
      <c r="CG29" s="62">
        <f>IFERROR(s_C*s_IFCR_far_adj*s_CF_carrot*(1/1000)*(s_Irr!I29+s_Irr!AG29+s_Irr!BE29),".")</f>
        <v>88.577324247385889</v>
      </c>
      <c r="CH29" s="62">
        <f>IFERROR(s_C*s_IFCI_far_adj*s_CF_citrus*(1/1000)*(s_Irr!J29+s_Irr!AH29+s_Irr!BF29),".")</f>
        <v>88.577324247385889</v>
      </c>
      <c r="CI29" s="62">
        <f>IFERROR(s_C*s_IFCO_far_adj*s_CF_corn*(1/1000)*(s_Irr!K29+s_Irr!AI29+s_Irr!BG29),".")</f>
        <v>88.577324247385889</v>
      </c>
      <c r="CJ29" s="62">
        <f>IFERROR(s_C*s_IFCU_far_adj*s_CF_cucumber*(1/1000)*(s_Irr!L29+s_Irr!AJ29+s_Irr!BH29),".")</f>
        <v>88.577324247385889</v>
      </c>
      <c r="CK29" s="62">
        <f>IFERROR(s_C*s_IFLE_far_adj*s_CF_lettuce*(1/1000)*(s_Irr!M29+s_Irr!AK29+s_Irr!BI29),".")</f>
        <v>89.65924969287353</v>
      </c>
      <c r="CL29" s="62">
        <f>IFERROR(s_C*s_IFLI_far_adj*s_CF_lima_bean*(1/1000)*(s_Irr!N29+s_Irr!AL29+s_Irr!BJ29),".")</f>
        <v>88.577324247385889</v>
      </c>
      <c r="CM29" s="62">
        <f>IFERROR(s_C*s_IFOK_far_adj*s_CF_okra*(1/1000)*(s_Irr!O29+s_Irr!AM29+s_Irr!BK29),".")</f>
        <v>88.577324247385889</v>
      </c>
      <c r="CN29" s="62">
        <f>IFERROR(s_C*s_IFON_far_adj*s_CF_onion*(1/1000)*(s_Irr!P29+s_Irr!AN29+s_Irr!BL29),".")</f>
        <v>88.577324247385889</v>
      </c>
      <c r="CO29" s="62">
        <f>IFERROR(s_C*s_IFPC_far_adj*s_CF_peach*(1/1000)*(s_Irr!Q29+s_Irr!AO29+s_Irr!BM29),".")</f>
        <v>88.577324247385889</v>
      </c>
      <c r="CP29" s="62">
        <f>IFERROR(s_C*s_IFPR_far_adj*s_CF_pear*(1/1000)*(s_Irr!R29+s_Irr!AP29+s_Irr!BN29),".")</f>
        <v>88.577324247385889</v>
      </c>
      <c r="CQ29" s="62">
        <f>IFERROR(s_C*s_IFPE_far_adj*s_CF_peas*(1/1000)*(s_Irr!S29+s_Irr!AQ29+s_Irr!BO29),".")</f>
        <v>88.577324247385889</v>
      </c>
      <c r="CR29" s="62">
        <f>IFERROR(s_C*s_IFPT_far_adj*s_CF_potato*(1/1000)*(s_Irr!T29+s_Irr!AR29+s_Irr!BP29),".")</f>
        <v>88.577324247385889</v>
      </c>
      <c r="CS29" s="62">
        <f>IFERROR(s_C*s_IFPU_far_adj*s_CF_pumpkin*(1/1000)*(s_Irr!U29+s_Irr!AS29+s_Irr!BQ29),".")</f>
        <v>88.577324247385889</v>
      </c>
      <c r="CT29" s="62">
        <f>IFERROR(s_C*s_IFSN_far_adj*s_CF_snap_bean*(1/1000)*(s_Irr!V29+s_Irr!AT29+s_Irr!BR29),".")</f>
        <v>88.577324247385889</v>
      </c>
      <c r="CU29" s="62">
        <f>IFERROR(s_C*s_IFST_far_adj*s_CF_strawberry*(1/1000)*(s_Irr!W29+s_Irr!AU29+s_Irr!BS29),".")</f>
        <v>88.577324247385889</v>
      </c>
      <c r="CV29" s="62">
        <f>IFERROR(s_C*s_IFTO_far_adj*s_CF_tomato*(1/1000)*(s_Irr!X29+s_Irr!AV29+s_Irr!BT29),".")</f>
        <v>88.577324247385889</v>
      </c>
      <c r="CW29" s="62">
        <f>IFERROR(s_C*s_IFRI_far_adj*s_CF_rice*(1/1000)*(s_Irr!Y29+s_Irr!AW29+s_Irr!BU29),".")</f>
        <v>388.99195627778778</v>
      </c>
      <c r="CX29" s="62">
        <f>IFERROR(s_C*s_IFCG_far_adj*s_CF_cereal*(1/1000)*(s_Irr!Z29+s_Irr!AX29+s_Irr!BV29),".")</f>
        <v>388.99195627778778</v>
      </c>
    </row>
    <row r="30" spans="1:102" ht="15" customHeight="1" x14ac:dyDescent="0.25">
      <c r="A30" s="61" t="s">
        <v>28</v>
      </c>
      <c r="B30" s="49" t="s">
        <v>1059</v>
      </c>
      <c r="C30" s="48">
        <f t="shared" si="2"/>
        <v>405.84399467374664</v>
      </c>
      <c r="D30" s="48">
        <f>IFERROR(IF(AND(s_Irr!C30&lt;&gt;".",s_Irr!AA30&lt;&gt;".",s_Irr!AY30&lt;&gt;"."),s_dir!D30/((1/1000)*(s_Irr!C30+s_Irr!AA30+s_Irr!AY30)),IF(AND(s_Irr!C30&lt;&gt;".",s_Irr!AA30&lt;&gt;".",s_Irr!AY30="."),s_dir!D30/((1/1000)*(s_Irr!C30+s_Irr!AA30)),IF(AND(s_Irr!C30&lt;&gt;".",s_Irr!AA30=".",s_Irr!AY30&lt;&gt;"."),s_dir!D30/((1/1000)*(s_Irr!C30+s_Irr!AY30)),IF(AND(s_Irr!C30=".",s_Irr!AA30&lt;&gt;".",s_Irr!AY30&lt;&gt;"."),s_dir!D30/((1/1000)*(s_Irr!AA30+s_Irr!AY30)),IF(AND(s_Irr!C30=".",s_Irr!AA30=".",s_Irr!AY30&lt;&gt;"."),s_dir!D30/((1/1000)*(s_Irr!AY30)),IF(AND(s_Irr!C30=".",s_Irr!AA30&lt;&gt;".",s_Irr!AY30="."),s_dir!D30/((1/1000)*(s_Irr!AA30)),IF(AND(s_Irr!C30&lt;&gt;".",s_Irr!AA30=".",s_Irr!AY30="."),s_dir!D30/((1/1000)*(s_Irr!C30)),IF(AND(s_Irr!C30=".",s_Irr!AA30=".",s_Irr!AY30="."),s_dir!D30*1000)))))))),".")</f>
        <v>1247.6517691418646</v>
      </c>
      <c r="E30" s="48">
        <f>IFERROR(IF(AND(s_Irr!D30&lt;&gt;".",s_Irr!AB30&lt;&gt;".",s_Irr!AZ30&lt;&gt;"."),s_dir!E30/((1/1000)*(s_Irr!D30+s_Irr!AB30+s_Irr!AZ30)),IF(AND(s_Irr!D30&lt;&gt;".",s_Irr!AB30&lt;&gt;".",s_Irr!AZ30="."),s_dir!E30/((1/1000)*(s_Irr!D30+s_Irr!AB30)),IF(AND(s_Irr!D30&lt;&gt;".",s_Irr!AB30=".",s_Irr!AZ30&lt;&gt;"."),s_dir!E30/((1/1000)*(s_Irr!D30+s_Irr!AZ30)),IF(AND(s_Irr!D30=".",s_Irr!AB30&lt;&gt;".",s_Irr!AZ30&lt;&gt;"."),s_dir!E30/((1/1000)*(s_Irr!AB30+s_Irr!AZ30)),IF(AND(s_Irr!D30=".",s_Irr!AB30=".",s_Irr!AZ30&lt;&gt;"."),s_dir!E30/((1/1000)*(s_Irr!AZ30)),IF(AND(s_Irr!D30=".",s_Irr!AB30&lt;&gt;".",s_Irr!AZ30="."),s_dir!E30/((1/1000)*(s_Irr!AB30)),IF(AND(s_Irr!D30&lt;&gt;".",s_Irr!AB30=".",s_Irr!AZ30="."),s_dir!E30/((1/1000)*(s_Irr!D30)),IF(AND(s_Irr!D30=".",s_Irr!AB30=".",s_Irr!AZ30="."),s_dir!E30*1000)))))))),".")</f>
        <v>947.0755287377375</v>
      </c>
      <c r="F30" s="48">
        <f>IFERROR(IF(AND(s_Irr!E30&lt;&gt;".",s_Irr!AC30&lt;&gt;".",s_Irr!BA30&lt;&gt;"."),s_dir!F30/((1/1000)*(s_Irr!E30+s_Irr!AC30+s_Irr!BA30)),IF(AND(s_Irr!E30&lt;&gt;".",s_Irr!AC30&lt;&gt;".",s_Irr!BA30="."),s_dir!F30/((1/1000)*(s_Irr!E30+s_Irr!AC30)),IF(AND(s_Irr!E30&lt;&gt;".",s_Irr!AC30=".",s_Irr!BA30&lt;&gt;"."),s_dir!F30/((1/1000)*(s_Irr!E30+s_Irr!BA30)),IF(AND(s_Irr!E30=".",s_Irr!AC30&lt;&gt;".",s_Irr!BA30&lt;&gt;"."),s_dir!F30/((1/1000)*(s_Irr!AC30+s_Irr!BA30)),IF(AND(s_Irr!E30=".",s_Irr!AC30=".",s_Irr!BA30&lt;&gt;"."),s_dir!F30/((1/1000)*(s_Irr!BA30)),IF(AND(s_Irr!E30=".",s_Irr!AC30&lt;&gt;".",s_Irr!BA30="."),s_dir!F30/((1/1000)*(s_Irr!AC30)),IF(AND(s_Irr!E30&lt;&gt;".",s_Irr!AC30=".",s_Irr!BA30="."),s_dir!F30/((1/1000)*(s_Irr!E30)),IF(AND(s_Irr!E30=".",s_Irr!AC30=".",s_Irr!BA30="."),s_dir!F30*1000)))))))),".")</f>
        <v>1110.3972847127168</v>
      </c>
      <c r="G30" s="48">
        <f>IFERROR(IF(AND(s_Irr!F30&lt;&gt;".",s_Irr!AD30&lt;&gt;".",s_Irr!BB30&lt;&gt;"."),s_dir!G30/((1/1000)*(s_Irr!F30+s_Irr!AD30+s_Irr!BB30)),IF(AND(s_Irr!F30&lt;&gt;".",s_Irr!AD30&lt;&gt;".",s_Irr!BB30="."),s_dir!G30/((1/1000)*(s_Irr!F30+s_Irr!AD30)),IF(AND(s_Irr!F30&lt;&gt;".",s_Irr!AD30=".",s_Irr!BB30&lt;&gt;"."),s_dir!G30/((1/1000)*(s_Irr!F30+s_Irr!BB30)),IF(AND(s_Irr!F30=".",s_Irr!AD30&lt;&gt;".",s_Irr!BB30&lt;&gt;"."),s_dir!G30/((1/1000)*(s_Irr!AD30+s_Irr!BB30)),IF(AND(s_Irr!F30=".",s_Irr!AD30=".",s_Irr!BB30&lt;&gt;"."),s_dir!G30/((1/1000)*(s_Irr!BB30)),IF(AND(s_Irr!F30=".",s_Irr!AD30&lt;&gt;".",s_Irr!BB30="."),s_dir!G30/((1/1000)*(s_Irr!AD30)),IF(AND(s_Irr!F30&lt;&gt;".",s_Irr!AD30=".",s_Irr!BB30="."),s_dir!G30/((1/1000)*(s_Irr!F30)),IF(AND(s_Irr!F30=".",s_Irr!AD30=".",s_Irr!BB30="."),s_dir!G30*1000)))))))),".")</f>
        <v>1247.6517691418646</v>
      </c>
      <c r="H30" s="48">
        <f>IFERROR(IF(AND(s_Irr!G30&lt;&gt;".",s_Irr!AE30&lt;&gt;".",s_Irr!BC30&lt;&gt;"."),s_dir!H30/((1/1000)*(s_Irr!G30+s_Irr!AE30+s_Irr!BC30)),IF(AND(s_Irr!G30&lt;&gt;".",s_Irr!AE30&lt;&gt;".",s_Irr!BC30="."),s_dir!H30/((1/1000)*(s_Irr!G30+s_Irr!AE30)),IF(AND(s_Irr!G30&lt;&gt;".",s_Irr!AE30=".",s_Irr!BC30&lt;&gt;"."),s_dir!H30/((1/1000)*(s_Irr!G30+s_Irr!BC30)),IF(AND(s_Irr!G30=".",s_Irr!AE30&lt;&gt;".",s_Irr!BC30&lt;&gt;"."),s_dir!H30/((1/1000)*(s_Irr!AE30+s_Irr!BC30)),IF(AND(s_Irr!G30=".",s_Irr!AE30=".",s_Irr!BC30&lt;&gt;"."),s_dir!H30/((1/1000)*(s_Irr!BC30)),IF(AND(s_Irr!G30=".",s_Irr!AE30&lt;&gt;".",s_Irr!BC30="."),s_dir!H30/((1/1000)*(s_Irr!AE30)),IF(AND(s_Irr!G30&lt;&gt;".",s_Irr!AE30=".",s_Irr!BC30="."),s_dir!H30/((1/1000)*(s_Irr!G30)),IF(AND(s_Irr!G30=".",s_Irr!AE30=".",s_Irr!BC30="."),s_dir!H30*1000)))))))),".")</f>
        <v>1011.182807396798</v>
      </c>
      <c r="I30" s="48">
        <f>IFERROR(IF(AND(s_Irr!H30&lt;&gt;".",s_Irr!AF30&lt;&gt;".",s_Irr!BD30&lt;&gt;"."),s_dir!I30/((1/1000)*(s_Irr!H30+s_Irr!AF30+s_Irr!BD30)),IF(AND(s_Irr!H30&lt;&gt;".",s_Irr!AF30&lt;&gt;".",s_Irr!BD30="."),s_dir!I30/((1/1000)*(s_Irr!H30+s_Irr!AF30)),IF(AND(s_Irr!H30&lt;&gt;".",s_Irr!AF30=".",s_Irr!BD30&lt;&gt;"."),s_dir!I30/((1/1000)*(s_Irr!H30+s_Irr!BD30)),IF(AND(s_Irr!H30=".",s_Irr!AF30&lt;&gt;".",s_Irr!BD30&lt;&gt;"."),s_dir!I30/((1/1000)*(s_Irr!AF30+s_Irr!BD30)),IF(AND(s_Irr!H30=".",s_Irr!AF30=".",s_Irr!BD30&lt;&gt;"."),s_dir!I30/((1/1000)*(s_Irr!BD30)),IF(AND(s_Irr!H30=".",s_Irr!AF30&lt;&gt;".",s_Irr!BD30="."),s_dir!I30/((1/1000)*(s_Irr!AF30)),IF(AND(s_Irr!H30&lt;&gt;".",s_Irr!AF30=".",s_Irr!BD30="."),s_dir!I30/((1/1000)*(s_Irr!H30)),IF(AND(s_Irr!H30=".",s_Irr!AF30=".",s_Irr!BD30="."),s_dir!I30*1000)))))))),".")</f>
        <v>947.0755287377375</v>
      </c>
      <c r="J30" s="48">
        <f>IFERROR(IF(AND(s_Irr!I30&lt;&gt;".",s_Irr!AG30&lt;&gt;".",s_Irr!BE30&lt;&gt;"."),s_dir!J30/((1/1000)*(s_Irr!I30+s_Irr!AG30+s_Irr!BE30)),IF(AND(s_Irr!I30&lt;&gt;".",s_Irr!AG30&lt;&gt;".",s_Irr!BE30="."),s_dir!J30/((1/1000)*(s_Irr!I30+s_Irr!AG30)),IF(AND(s_Irr!I30&lt;&gt;".",s_Irr!AG30=".",s_Irr!BE30&lt;&gt;"."),s_dir!J30/((1/1000)*(s_Irr!I30+s_Irr!BE30)),IF(AND(s_Irr!I30=".",s_Irr!AG30&lt;&gt;".",s_Irr!BE30&lt;&gt;"."),s_dir!J30/((1/1000)*(s_Irr!AG30+s_Irr!BE30)),IF(AND(s_Irr!I30=".",s_Irr!AG30=".",s_Irr!BE30&lt;&gt;"."),s_dir!J30/((1/1000)*(s_Irr!BE30)),IF(AND(s_Irr!I30=".",s_Irr!AG30&lt;&gt;".",s_Irr!BE30="."),s_dir!J30/((1/1000)*(s_Irr!AG30)),IF(AND(s_Irr!I30&lt;&gt;".",s_Irr!AG30=".",s_Irr!BE30="."),s_dir!J30/((1/1000)*(s_Irr!I30)),IF(AND(s_Irr!I30=".",s_Irr!AG30=".",s_Irr!BE30="."),s_dir!J30*1000)))))))),".")</f>
        <v>1110.3972847127168</v>
      </c>
      <c r="K30" s="48">
        <f>IFERROR(IF(AND(s_Irr!J30&lt;&gt;".",s_Irr!AH30&lt;&gt;".",s_Irr!BF30&lt;&gt;"."),s_dir!K30/((1/1000)*(s_Irr!J30+s_Irr!AH30+s_Irr!BF30)),IF(AND(s_Irr!J30&lt;&gt;".",s_Irr!AH30&lt;&gt;".",s_Irr!BF30="."),s_dir!K30/((1/1000)*(s_Irr!J30+s_Irr!AH30)),IF(AND(s_Irr!J30&lt;&gt;".",s_Irr!AH30=".",s_Irr!BF30&lt;&gt;"."),s_dir!K30/((1/1000)*(s_Irr!J30+s_Irr!BF30)),IF(AND(s_Irr!J30=".",s_Irr!AH30&lt;&gt;".",s_Irr!BF30&lt;&gt;"."),s_dir!K30/((1/1000)*(s_Irr!AH30+s_Irr!BF30)),IF(AND(s_Irr!J30=".",s_Irr!AH30=".",s_Irr!BF30&lt;&gt;"."),s_dir!K30/((1/1000)*(s_Irr!BF30)),IF(AND(s_Irr!J30=".",s_Irr!AH30&lt;&gt;".",s_Irr!BF30="."),s_dir!K30/((1/1000)*(s_Irr!AH30)),IF(AND(s_Irr!J30&lt;&gt;".",s_Irr!AH30=".",s_Irr!BF30="."),s_dir!K30/((1/1000)*(s_Irr!J30)),IF(AND(s_Irr!J30=".",s_Irr!AH30=".",s_Irr!BF30="."),s_dir!K30*1000)))))))),".")</f>
        <v>1247.6517691418646</v>
      </c>
      <c r="L30" s="48">
        <f>IFERROR(IF(AND(s_Irr!K30&lt;&gt;".",s_Irr!AI30&lt;&gt;".",s_Irr!BG30&lt;&gt;"."),s_dir!L30/((1/1000)*(s_Irr!K30+s_Irr!AI30+s_Irr!BG30)),IF(AND(s_Irr!K30&lt;&gt;".",s_Irr!AI30&lt;&gt;".",s_Irr!BG30="."),s_dir!L30/((1/1000)*(s_Irr!K30+s_Irr!AI30)),IF(AND(s_Irr!K30&lt;&gt;".",s_Irr!AI30=".",s_Irr!BG30&lt;&gt;"."),s_dir!L30/((1/1000)*(s_Irr!K30+s_Irr!BG30)),IF(AND(s_Irr!K30=".",s_Irr!AI30&lt;&gt;".",s_Irr!BG30&lt;&gt;"."),s_dir!L30/((1/1000)*(s_Irr!AI30+s_Irr!BG30)),IF(AND(s_Irr!K30=".",s_Irr!AI30=".",s_Irr!BG30&lt;&gt;"."),s_dir!L30/((1/1000)*(s_Irr!BG30)),IF(AND(s_Irr!K30=".",s_Irr!AI30&lt;&gt;".",s_Irr!BG30="."),s_dir!L30/((1/1000)*(s_Irr!AI30)),IF(AND(s_Irr!K30&lt;&gt;".",s_Irr!AI30=".",s_Irr!BG30="."),s_dir!L30/((1/1000)*(s_Irr!K30)),IF(AND(s_Irr!K30=".",s_Irr!AI30=".",s_Irr!BG30="."),s_dir!L30*1000)))))))),".")</f>
        <v>1011.182807396798</v>
      </c>
      <c r="M30" s="48">
        <f>IFERROR(IF(AND(s_Irr!L30&lt;&gt;".",s_Irr!AJ30&lt;&gt;".",s_Irr!BH30&lt;&gt;"."),s_dir!M30/((1/1000)*(s_Irr!L30+s_Irr!AJ30+s_Irr!BH30)),IF(AND(s_Irr!L30&lt;&gt;".",s_Irr!AJ30&lt;&gt;".",s_Irr!BH30="."),s_dir!M30/((1/1000)*(s_Irr!L30+s_Irr!AJ30)),IF(AND(s_Irr!L30&lt;&gt;".",s_Irr!AJ30=".",s_Irr!BH30&lt;&gt;"."),s_dir!M30/((1/1000)*(s_Irr!L30+s_Irr!BH30)),IF(AND(s_Irr!L30=".",s_Irr!AJ30&lt;&gt;".",s_Irr!BH30&lt;&gt;"."),s_dir!M30/((1/1000)*(s_Irr!AJ30+s_Irr!BH30)),IF(AND(s_Irr!L30=".",s_Irr!AJ30=".",s_Irr!BH30&lt;&gt;"."),s_dir!M30/((1/1000)*(s_Irr!BH30)),IF(AND(s_Irr!L30=".",s_Irr!AJ30&lt;&gt;".",s_Irr!BH30="."),s_dir!M30/((1/1000)*(s_Irr!AJ30)),IF(AND(s_Irr!L30&lt;&gt;".",s_Irr!AJ30=".",s_Irr!BH30="."),s_dir!M30/((1/1000)*(s_Irr!L30)),IF(AND(s_Irr!L30=".",s_Irr!AJ30=".",s_Irr!BH30="."),s_dir!M30*1000)))))))),".")</f>
        <v>1011.182807396798</v>
      </c>
      <c r="N30" s="48">
        <f>IFERROR(IF(AND(s_Irr!M30&lt;&gt;".",s_Irr!AK30&lt;&gt;".",s_Irr!BI30&lt;&gt;"."),s_dir!N30/((1/1000)*(s_Irr!M30+s_Irr!AK30+s_Irr!BI30)),IF(AND(s_Irr!M30&lt;&gt;".",s_Irr!AK30&lt;&gt;".",s_Irr!BI30="."),s_dir!N30/((1/1000)*(s_Irr!M30+s_Irr!AK30)),IF(AND(s_Irr!M30&lt;&gt;".",s_Irr!AK30=".",s_Irr!BI30&lt;&gt;"."),s_dir!N30/((1/1000)*(s_Irr!M30+s_Irr!BI30)),IF(AND(s_Irr!M30=".",s_Irr!AK30&lt;&gt;".",s_Irr!BI30&lt;&gt;"."),s_dir!N30/((1/1000)*(s_Irr!AK30+s_Irr!BI30)),IF(AND(s_Irr!M30=".",s_Irr!AK30=".",s_Irr!BI30&lt;&gt;"."),s_dir!N30/((1/1000)*(s_Irr!BI30)),IF(AND(s_Irr!M30=".",s_Irr!AK30&lt;&gt;".",s_Irr!BI30="."),s_dir!N30/((1/1000)*(s_Irr!AK30)),IF(AND(s_Irr!M30&lt;&gt;".",s_Irr!AK30=".",s_Irr!BI30="."),s_dir!N30/((1/1000)*(s_Irr!M30)),IF(AND(s_Irr!M30=".",s_Irr!AK30=".",s_Irr!BI30="."),s_dir!N30*1000)))))))),".")</f>
        <v>947.0755287377375</v>
      </c>
      <c r="O30" s="48">
        <f>IFERROR(IF(AND(s_Irr!N30&lt;&gt;".",s_Irr!AL30&lt;&gt;".",s_Irr!BJ30&lt;&gt;"."),s_dir!O30/((1/1000)*(s_Irr!N30+s_Irr!AL30+s_Irr!BJ30)),IF(AND(s_Irr!N30&lt;&gt;".",s_Irr!AL30&lt;&gt;".",s_Irr!BJ30="."),s_dir!O30/((1/1000)*(s_Irr!N30+s_Irr!AL30)),IF(AND(s_Irr!N30&lt;&gt;".",s_Irr!AL30=".",s_Irr!BJ30&lt;&gt;"."),s_dir!O30/((1/1000)*(s_Irr!N30+s_Irr!BJ30)),IF(AND(s_Irr!N30=".",s_Irr!AL30&lt;&gt;".",s_Irr!BJ30&lt;&gt;"."),s_dir!O30/((1/1000)*(s_Irr!AL30+s_Irr!BJ30)),IF(AND(s_Irr!N30=".",s_Irr!AL30=".",s_Irr!BJ30&lt;&gt;"."),s_dir!O30/((1/1000)*(s_Irr!BJ30)),IF(AND(s_Irr!N30=".",s_Irr!AL30&lt;&gt;".",s_Irr!BJ30="."),s_dir!O30/((1/1000)*(s_Irr!AL30)),IF(AND(s_Irr!N30&lt;&gt;".",s_Irr!AL30=".",s_Irr!BJ30="."),s_dir!O30/((1/1000)*(s_Irr!N30)),IF(AND(s_Irr!N30=".",s_Irr!AL30=".",s_Irr!BJ30="."),s_dir!O30*1000)))))))),".")</f>
        <v>1223.1345110953582</v>
      </c>
      <c r="P30" s="48">
        <f>IFERROR(IF(AND(s_Irr!O30&lt;&gt;".",s_Irr!AM30&lt;&gt;".",s_Irr!BK30&lt;&gt;"."),s_dir!P30/((1/1000)*(s_Irr!O30+s_Irr!AM30+s_Irr!BK30)),IF(AND(s_Irr!O30&lt;&gt;".",s_Irr!AM30&lt;&gt;".",s_Irr!BK30="."),s_dir!P30/((1/1000)*(s_Irr!O30+s_Irr!AM30)),IF(AND(s_Irr!O30&lt;&gt;".",s_Irr!AM30=".",s_Irr!BK30&lt;&gt;"."),s_dir!P30/((1/1000)*(s_Irr!O30+s_Irr!BK30)),IF(AND(s_Irr!O30=".",s_Irr!AM30&lt;&gt;".",s_Irr!BK30&lt;&gt;"."),s_dir!P30/((1/1000)*(s_Irr!AM30+s_Irr!BK30)),IF(AND(s_Irr!O30=".",s_Irr!AM30=".",s_Irr!BK30&lt;&gt;"."),s_dir!P30/((1/1000)*(s_Irr!BK30)),IF(AND(s_Irr!O30=".",s_Irr!AM30&lt;&gt;".",s_Irr!BK30="."),s_dir!P30/((1/1000)*(s_Irr!AM30)),IF(AND(s_Irr!O30&lt;&gt;".",s_Irr!AM30=".",s_Irr!BK30="."),s_dir!P30/((1/1000)*(s_Irr!O30)),IF(AND(s_Irr!O30=".",s_Irr!AM30=".",s_Irr!BK30="."),s_dir!P30*1000)))))))),".")</f>
        <v>1011.182807396798</v>
      </c>
      <c r="Q30" s="48">
        <f>IFERROR(IF(AND(s_Irr!P30&lt;&gt;".",s_Irr!AN30&lt;&gt;".",s_Irr!BL30&lt;&gt;"."),s_dir!Q30/((1/1000)*(s_Irr!P30+s_Irr!AN30+s_Irr!BL30)),IF(AND(s_Irr!P30&lt;&gt;".",s_Irr!AN30&lt;&gt;".",s_Irr!BL30="."),s_dir!Q30/((1/1000)*(s_Irr!P30+s_Irr!AN30)),IF(AND(s_Irr!P30&lt;&gt;".",s_Irr!AN30=".",s_Irr!BL30&lt;&gt;"."),s_dir!Q30/((1/1000)*(s_Irr!P30+s_Irr!BL30)),IF(AND(s_Irr!P30=".",s_Irr!AN30&lt;&gt;".",s_Irr!BL30&lt;&gt;"."),s_dir!Q30/((1/1000)*(s_Irr!AN30+s_Irr!BL30)),IF(AND(s_Irr!P30=".",s_Irr!AN30=".",s_Irr!BL30&lt;&gt;"."),s_dir!Q30/((1/1000)*(s_Irr!BL30)),IF(AND(s_Irr!P30=".",s_Irr!AN30&lt;&gt;".",s_Irr!BL30="."),s_dir!Q30/((1/1000)*(s_Irr!AN30)),IF(AND(s_Irr!P30&lt;&gt;".",s_Irr!AN30=".",s_Irr!BL30="."),s_dir!Q30/((1/1000)*(s_Irr!P30)),IF(AND(s_Irr!P30=".",s_Irr!AN30=".",s_Irr!BL30="."),s_dir!Q30*1000)))))))),".")</f>
        <v>1011.182807396798</v>
      </c>
      <c r="R30" s="48">
        <f>IFERROR(IF(AND(s_Irr!Q30&lt;&gt;".",s_Irr!AO30&lt;&gt;".",s_Irr!BM30&lt;&gt;"."),s_dir!R30/((1/1000)*(s_Irr!Q30+s_Irr!AO30+s_Irr!BM30)),IF(AND(s_Irr!Q30&lt;&gt;".",s_Irr!AO30&lt;&gt;".",s_Irr!BM30="."),s_dir!R30/((1/1000)*(s_Irr!Q30+s_Irr!AO30)),IF(AND(s_Irr!Q30&lt;&gt;".",s_Irr!AO30=".",s_Irr!BM30&lt;&gt;"."),s_dir!R30/((1/1000)*(s_Irr!Q30+s_Irr!BM30)),IF(AND(s_Irr!Q30=".",s_Irr!AO30&lt;&gt;".",s_Irr!BM30&lt;&gt;"."),s_dir!R30/((1/1000)*(s_Irr!AO30+s_Irr!BM30)),IF(AND(s_Irr!Q30=".",s_Irr!AO30=".",s_Irr!BM30&lt;&gt;"."),s_dir!R30/((1/1000)*(s_Irr!BM30)),IF(AND(s_Irr!Q30=".",s_Irr!AO30&lt;&gt;".",s_Irr!BM30="."),s_dir!R30/((1/1000)*(s_Irr!AO30)),IF(AND(s_Irr!Q30&lt;&gt;".",s_Irr!AO30=".",s_Irr!BM30="."),s_dir!R30/((1/1000)*(s_Irr!Q30)),IF(AND(s_Irr!Q30=".",s_Irr!AO30=".",s_Irr!BM30="."),s_dir!R30*1000)))))))),".")</f>
        <v>1247.6517691418646</v>
      </c>
      <c r="S30" s="48">
        <f>IFERROR(IF(AND(s_Irr!R30&lt;&gt;".",s_Irr!AP30&lt;&gt;".",s_Irr!BN30&lt;&gt;"."),s_dir!S30/((1/1000)*(s_Irr!R30+s_Irr!AP30+s_Irr!BN30)),IF(AND(s_Irr!R30&lt;&gt;".",s_Irr!AP30&lt;&gt;".",s_Irr!BN30="."),s_dir!S30/((1/1000)*(s_Irr!R30+s_Irr!AP30)),IF(AND(s_Irr!R30&lt;&gt;".",s_Irr!AP30=".",s_Irr!BN30&lt;&gt;"."),s_dir!S30/((1/1000)*(s_Irr!R30+s_Irr!BN30)),IF(AND(s_Irr!R30=".",s_Irr!AP30&lt;&gt;".",s_Irr!BN30&lt;&gt;"."),s_dir!S30/((1/1000)*(s_Irr!AP30+s_Irr!BN30)),IF(AND(s_Irr!R30=".",s_Irr!AP30=".",s_Irr!BN30&lt;&gt;"."),s_dir!S30/((1/1000)*(s_Irr!BN30)),IF(AND(s_Irr!R30=".",s_Irr!AP30&lt;&gt;".",s_Irr!BN30="."),s_dir!S30/((1/1000)*(s_Irr!AP30)),IF(AND(s_Irr!R30&lt;&gt;".",s_Irr!AP30=".",s_Irr!BN30="."),s_dir!S30/((1/1000)*(s_Irr!R30)),IF(AND(s_Irr!R30=".",s_Irr!AP30=".",s_Irr!BN30="."),s_dir!S30*1000)))))))),".")</f>
        <v>1247.6517691418646</v>
      </c>
      <c r="T30" s="48">
        <f>IFERROR(IF(AND(s_Irr!S30&lt;&gt;".",s_Irr!AQ30&lt;&gt;".",s_Irr!BO30&lt;&gt;"."),s_dir!T30/((1/1000)*(s_Irr!S30+s_Irr!AQ30+s_Irr!BO30)),IF(AND(s_Irr!S30&lt;&gt;".",s_Irr!AQ30&lt;&gt;".",s_Irr!BO30="."),s_dir!T30/((1/1000)*(s_Irr!S30+s_Irr!AQ30)),IF(AND(s_Irr!S30&lt;&gt;".",s_Irr!AQ30=".",s_Irr!BO30&lt;&gt;"."),s_dir!T30/((1/1000)*(s_Irr!S30+s_Irr!BO30)),IF(AND(s_Irr!S30=".",s_Irr!AQ30&lt;&gt;".",s_Irr!BO30&lt;&gt;"."),s_dir!T30/((1/1000)*(s_Irr!AQ30+s_Irr!BO30)),IF(AND(s_Irr!S30=".",s_Irr!AQ30=".",s_Irr!BO30&lt;&gt;"."),s_dir!T30/((1/1000)*(s_Irr!BO30)),IF(AND(s_Irr!S30=".",s_Irr!AQ30&lt;&gt;".",s_Irr!BO30="."),s_dir!T30/((1/1000)*(s_Irr!AQ30)),IF(AND(s_Irr!S30&lt;&gt;".",s_Irr!AQ30=".",s_Irr!BO30="."),s_dir!T30/((1/1000)*(s_Irr!S30)),IF(AND(s_Irr!S30=".",s_Irr!AQ30=".",s_Irr!BO30="."),s_dir!T30*1000)))))))),".")</f>
        <v>1223.1345110953582</v>
      </c>
      <c r="U30" s="48">
        <f>IFERROR(IF(AND(s_Irr!T30&lt;&gt;".",s_Irr!AR30&lt;&gt;".",s_Irr!BP30&lt;&gt;"."),s_dir!U30/((1/1000)*(s_Irr!T30+s_Irr!AR30+s_Irr!BP30)),IF(AND(s_Irr!T30&lt;&gt;".",s_Irr!AR30&lt;&gt;".",s_Irr!BP30="."),s_dir!U30/((1/1000)*(s_Irr!T30+s_Irr!AR30)),IF(AND(s_Irr!T30&lt;&gt;".",s_Irr!AR30=".",s_Irr!BP30&lt;&gt;"."),s_dir!U30/((1/1000)*(s_Irr!T30+s_Irr!BP30)),IF(AND(s_Irr!T30=".",s_Irr!AR30&lt;&gt;".",s_Irr!BP30&lt;&gt;"."),s_dir!U30/((1/1000)*(s_Irr!AR30+s_Irr!BP30)),IF(AND(s_Irr!T30=".",s_Irr!AR30=".",s_Irr!BP30&lt;&gt;"."),s_dir!U30/((1/1000)*(s_Irr!BP30)),IF(AND(s_Irr!T30=".",s_Irr!AR30&lt;&gt;".",s_Irr!BP30="."),s_dir!U30/((1/1000)*(s_Irr!AR30)),IF(AND(s_Irr!T30&lt;&gt;".",s_Irr!AR30=".",s_Irr!BP30="."),s_dir!U30/((1/1000)*(s_Irr!T30)),IF(AND(s_Irr!T30=".",s_Irr!AR30=".",s_Irr!BP30="."),s_dir!U30*1000)))))))),".")</f>
        <v>1169.5104851627939</v>
      </c>
      <c r="V30" s="48">
        <f>IFERROR(IF(AND(s_Irr!U30&lt;&gt;".",s_Irr!AS30&lt;&gt;".",s_Irr!BQ30&lt;&gt;"."),s_dir!V30/((1/1000)*(s_Irr!U30+s_Irr!AS30+s_Irr!BQ30)),IF(AND(s_Irr!U30&lt;&gt;".",s_Irr!AS30&lt;&gt;".",s_Irr!BQ30="."),s_dir!V30/((1/1000)*(s_Irr!U30+s_Irr!AS30)),IF(AND(s_Irr!U30&lt;&gt;".",s_Irr!AS30=".",s_Irr!BQ30&lt;&gt;"."),s_dir!V30/((1/1000)*(s_Irr!U30+s_Irr!BQ30)),IF(AND(s_Irr!U30=".",s_Irr!AS30&lt;&gt;".",s_Irr!BQ30&lt;&gt;"."),s_dir!V30/((1/1000)*(s_Irr!AS30+s_Irr!BQ30)),IF(AND(s_Irr!U30=".",s_Irr!AS30=".",s_Irr!BQ30&lt;&gt;"."),s_dir!V30/((1/1000)*(s_Irr!BQ30)),IF(AND(s_Irr!U30=".",s_Irr!AS30&lt;&gt;".",s_Irr!BQ30="."),s_dir!V30/((1/1000)*(s_Irr!AS30)),IF(AND(s_Irr!U30&lt;&gt;".",s_Irr!AS30=".",s_Irr!BQ30="."),s_dir!V30/((1/1000)*(s_Irr!U30)),IF(AND(s_Irr!U30=".",s_Irr!AS30=".",s_Irr!BQ30="."),s_dir!V30*1000)))))))),".")</f>
        <v>1011.182807396798</v>
      </c>
      <c r="W30" s="48">
        <f>IFERROR(IF(AND(s_Irr!V30&lt;&gt;".",s_Irr!AT30&lt;&gt;".",s_Irr!BR30&lt;&gt;"."),s_dir!W30/((1/1000)*(s_Irr!V30+s_Irr!AT30+s_Irr!BR30)),IF(AND(s_Irr!V30&lt;&gt;".",s_Irr!AT30&lt;&gt;".",s_Irr!BR30="."),s_dir!W30/((1/1000)*(s_Irr!V30+s_Irr!AT30)),IF(AND(s_Irr!V30&lt;&gt;".",s_Irr!AT30=".",s_Irr!BR30&lt;&gt;"."),s_dir!W30/((1/1000)*(s_Irr!V30+s_Irr!BR30)),IF(AND(s_Irr!V30=".",s_Irr!AT30&lt;&gt;".",s_Irr!BR30&lt;&gt;"."),s_dir!W30/((1/1000)*(s_Irr!AT30+s_Irr!BR30)),IF(AND(s_Irr!V30=".",s_Irr!AT30=".",s_Irr!BR30&lt;&gt;"."),s_dir!W30/((1/1000)*(s_Irr!BR30)),IF(AND(s_Irr!V30=".",s_Irr!AT30&lt;&gt;".",s_Irr!BR30="."),s_dir!W30/((1/1000)*(s_Irr!AT30)),IF(AND(s_Irr!V30&lt;&gt;".",s_Irr!AT30=".",s_Irr!BR30="."),s_dir!W30/((1/1000)*(s_Irr!V30)),IF(AND(s_Irr!V30=".",s_Irr!AT30=".",s_Irr!BR30="."),s_dir!W30*1000)))))))),".")</f>
        <v>1223.1345110953582</v>
      </c>
      <c r="X30" s="48">
        <f>IFERROR(IF(AND(s_Irr!W30&lt;&gt;".",s_Irr!AU30&lt;&gt;".",s_Irr!BS30&lt;&gt;"."),s_dir!X30/((1/1000)*(s_Irr!W30+s_Irr!AU30+s_Irr!BS30)),IF(AND(s_Irr!W30&lt;&gt;".",s_Irr!AU30&lt;&gt;".",s_Irr!BS30="."),s_dir!X30/((1/1000)*(s_Irr!W30+s_Irr!AU30)),IF(AND(s_Irr!W30&lt;&gt;".",s_Irr!AU30=".",s_Irr!BS30&lt;&gt;"."),s_dir!X30/((1/1000)*(s_Irr!W30+s_Irr!BS30)),IF(AND(s_Irr!W30=".",s_Irr!AU30&lt;&gt;".",s_Irr!BS30&lt;&gt;"."),s_dir!X30/((1/1000)*(s_Irr!AU30+s_Irr!BS30)),IF(AND(s_Irr!W30=".",s_Irr!AU30=".",s_Irr!BS30&lt;&gt;"."),s_dir!X30/((1/1000)*(s_Irr!BS30)),IF(AND(s_Irr!W30=".",s_Irr!AU30&lt;&gt;".",s_Irr!BS30="."),s_dir!X30/((1/1000)*(s_Irr!AU30)),IF(AND(s_Irr!W30&lt;&gt;".",s_Irr!AU30=".",s_Irr!BS30="."),s_dir!X30/((1/1000)*(s_Irr!W30)),IF(AND(s_Irr!W30=".",s_Irr!AU30=".",s_Irr!BS30="."),s_dir!X30*1000)))))))),".")</f>
        <v>1247.6517691418646</v>
      </c>
      <c r="Y30" s="48">
        <f>IFERROR(IF(AND(s_Irr!X30&lt;&gt;".",s_Irr!AV30&lt;&gt;".",s_Irr!BT30&lt;&gt;"."),s_dir!Y30/((1/1000)*(s_Irr!X30+s_Irr!AV30+s_Irr!BT30)),IF(AND(s_Irr!X30&lt;&gt;".",s_Irr!AV30&lt;&gt;".",s_Irr!BT30="."),s_dir!Y30/((1/1000)*(s_Irr!X30+s_Irr!AV30)),IF(AND(s_Irr!X30&lt;&gt;".",s_Irr!AV30=".",s_Irr!BT30&lt;&gt;"."),s_dir!Y30/((1/1000)*(s_Irr!X30+s_Irr!BT30)),IF(AND(s_Irr!X30=".",s_Irr!AV30&lt;&gt;".",s_Irr!BT30&lt;&gt;"."),s_dir!Y30/((1/1000)*(s_Irr!AV30+s_Irr!BT30)),IF(AND(s_Irr!X30=".",s_Irr!AV30=".",s_Irr!BT30&lt;&gt;"."),s_dir!Y30/((1/1000)*(s_Irr!BT30)),IF(AND(s_Irr!X30=".",s_Irr!AV30&lt;&gt;".",s_Irr!BT30="."),s_dir!Y30/((1/1000)*(s_Irr!AV30)),IF(AND(s_Irr!X30&lt;&gt;".",s_Irr!AV30=".",s_Irr!BT30="."),s_dir!Y30/((1/1000)*(s_Irr!X30)),IF(AND(s_Irr!X30=".",s_Irr!AV30=".",s_Irr!BT30="."),s_dir!Y30*1000)))))))),".")</f>
        <v>1011.182807396798</v>
      </c>
      <c r="Z30" s="48">
        <f>IFERROR(IF(AND(s_Irr!Y30&lt;&gt;".",s_Irr!AW30&lt;&gt;".",s_Irr!BU30&lt;&gt;"."),s_dir!Z30/((1/1000)*(s_Irr!Y30+s_Irr!AW30+s_Irr!BU30)),IF(AND(s_Irr!Y30&lt;&gt;".",s_Irr!AW30&lt;&gt;".",s_Irr!BU30="."),s_dir!Z30/((1/1000)*(s_Irr!Y30+s_Irr!AW30)),IF(AND(s_Irr!Y30&lt;&gt;".",s_Irr!AW30=".",s_Irr!BU30&lt;&gt;"."),s_dir!Z30/((1/1000)*(s_Irr!Y30+s_Irr!BU30)),IF(AND(s_Irr!Y30=".",s_Irr!AW30&lt;&gt;".",s_Irr!BU30&lt;&gt;"."),s_dir!Z30/((1/1000)*(s_Irr!AW30+s_Irr!BU30)),IF(AND(s_Irr!Y30=".",s_Irr!AW30=".",s_Irr!BU30&lt;&gt;"."),s_dir!Z30/((1/1000)*(s_Irr!BU30)),IF(AND(s_Irr!Y30=".",s_Irr!AW30&lt;&gt;".",s_Irr!BU30="."),s_dir!Z30/((1/1000)*(s_Irr!AW30)),IF(AND(s_Irr!Y30&lt;&gt;".",s_Irr!AW30=".",s_Irr!BU30="."),s_dir!Z30/((1/1000)*(s_Irr!Y30)),IF(AND(s_Irr!Y30=".",s_Irr!AW30=".",s_Irr!BU30="."),s_dir!Z30*1000)))))))),".")</f>
        <v>1263.6301321982003</v>
      </c>
      <c r="AA30" s="48">
        <f>IFERROR(IF(AND(s_Irr!Z30&lt;&gt;".",s_Irr!AX30&lt;&gt;".",s_Irr!BV30&lt;&gt;"."),s_dir!AA30/((1/1000)*(s_Irr!Z30+s_Irr!AX30+s_Irr!BV30)),IF(AND(s_Irr!Z30&lt;&gt;".",s_Irr!AX30&lt;&gt;".",s_Irr!BV30="."),s_dir!AA30/((1/1000)*(s_Irr!Z30+s_Irr!AX30)),IF(AND(s_Irr!Z30&lt;&gt;".",s_Irr!AX30=".",s_Irr!BV30&lt;&gt;"."),s_dir!AA30/((1/1000)*(s_Irr!Z30+s_Irr!BV30)),IF(AND(s_Irr!Z30=".",s_Irr!AX30&lt;&gt;".",s_Irr!BV30&lt;&gt;"."),s_dir!AA30/((1/1000)*(s_Irr!AX30+s_Irr!BV30)),IF(AND(s_Irr!Z30=".",s_Irr!AX30=".",s_Irr!BV30&lt;&gt;"."),s_dir!AA30/((1/1000)*(s_Irr!BV30)),IF(AND(s_Irr!Z30=".",s_Irr!AX30&lt;&gt;".",s_Irr!BV30="."),s_dir!AA30/((1/1000)*(s_Irr!AX30)),IF(AND(s_Irr!Z30&lt;&gt;".",s_Irr!AX30=".",s_Irr!BV30="."),s_dir!AA30/((1/1000)*(s_Irr!Z30)),IF(AND(s_Irr!Z30=".",s_Irr!AX30=".",s_Irr!BV30="."),s_dir!AA30*1000)))))))),".")</f>
        <v>1147.941575269087</v>
      </c>
      <c r="AB30" s="62">
        <f t="shared" si="3"/>
        <v>276.5557352197236</v>
      </c>
      <c r="AC30" s="62">
        <f>IFERROR(s_C*s_IFAP_res_adj*s_CF_apple*0.001*(s_Irr!C30+s_Irr!AA30+s_Irr!AY30),".")</f>
        <v>89.959784538842314</v>
      </c>
      <c r="AD30" s="62">
        <f>IFERROR(s_C*s_IFAS_res_adj*s_CF_asparagus*0.001*(s_Irr!D30+s_Irr!AB30+s_Irr!AZ30),".")</f>
        <v>118.51059490587731</v>
      </c>
      <c r="AE30" s="62">
        <f>IFERROR(s_C*s_IFBT_res_adj*s_CF_beet*0.001*(s_Irr!E30+s_Irr!AC30+s_Irr!BA30),".")</f>
        <v>101.07957383968753</v>
      </c>
      <c r="AF30" s="62">
        <f>IFERROR(s_C*s_IFBE_res_adj*s_CF_berries*0.001*(s_Irr!F30+s_Irr!AD30+s_Irr!BB30),".")</f>
        <v>89.959784538842314</v>
      </c>
      <c r="AG30" s="62">
        <f>IFERROR(s_C*s_IFBR_res_adj*s_CF_broccoli*0.001*(s_Irr!G30+s_Irr!AE30+s_Irr!BC30),".")</f>
        <v>110.99722375665758</v>
      </c>
      <c r="AH30" s="62">
        <f>IFERROR(s_C*s_IFCB_res_adj*s_CF_cabbage*0.001*(s_Irr!H30+s_Irr!AF30+s_Irr!BD30),".")</f>
        <v>118.51059490587731</v>
      </c>
      <c r="AI30" s="62">
        <f>IFERROR(s_C*s_IFCR_res_adj*s_CF_carrot*0.001*(s_Irr!I30+s_Irr!AG30+s_Irr!BE30),".")</f>
        <v>101.07957383968753</v>
      </c>
      <c r="AJ30" s="62">
        <f>IFERROR(s_C*s_IFCI_res_adj*s_CF_citrus*0.001*(s_Irr!J30+s_Irr!AH30+s_Irr!BF30),".")</f>
        <v>89.959784538842314</v>
      </c>
      <c r="AK30" s="62">
        <f>IFERROR(s_C*s_IFCO_res_adj*s_CF_corn*0.001*(s_Irr!K30+s_Irr!AI30+s_Irr!BG30),".")</f>
        <v>110.99722375665758</v>
      </c>
      <c r="AL30" s="62">
        <f>IFERROR(s_C*s_IFCU_res_adj*s_CF_cucumber*0.001*(s_Irr!L30+s_Irr!AJ30+s_Irr!BH30),".")</f>
        <v>110.99722375665758</v>
      </c>
      <c r="AM30" s="62">
        <f>IFERROR(s_C*s_IFLE_res_adj*s_CF_lettuce*0.001*(s_Irr!M30+s_Irr!AK30+s_Irr!BI30),".")</f>
        <v>118.51059490587731</v>
      </c>
      <c r="AN30" s="62">
        <f>IFERROR(s_C*s_IFLI_res_adj*s_CF_lima_bean*0.001*(s_Irr!N30+s_Irr!AL30+s_Irr!BJ30),".")</f>
        <v>91.762993614655059</v>
      </c>
      <c r="AO30" s="62">
        <f>IFERROR(s_C*s_IFOK_res_adj*s_CF_okra*0.001*(s_Irr!O30+s_Irr!AM30+s_Irr!BK30),".")</f>
        <v>110.99722375665758</v>
      </c>
      <c r="AP30" s="62">
        <f>IFERROR(s_C*s_IFON_res_adj*s_CF_onion*0.001*(s_Irr!P30+s_Irr!AN30+s_Irr!BL30),".")</f>
        <v>110.99722375665758</v>
      </c>
      <c r="AQ30" s="62">
        <f>IFERROR(s_C*s_IFPC_res_adj*s_CF_peach*0.001*(s_Irr!Q30+s_Irr!AO30+s_Irr!BM30),".")</f>
        <v>89.959784538842314</v>
      </c>
      <c r="AR30" s="62">
        <f>IFERROR(s_C*s_IFPR_res_adj*s_CF_pear*0.001*(s_Irr!R30+s_Irr!AP30+s_Irr!BN30),".")</f>
        <v>89.959784538842314</v>
      </c>
      <c r="AS30" s="62">
        <f>IFERROR(s_C*s_IFPE_res_adj*s_CF_peas*0.001*(s_Irr!S30+s_Irr!AQ30+s_Irr!BO30),".")</f>
        <v>91.762993614655059</v>
      </c>
      <c r="AT30" s="62">
        <f>IFERROR(s_C*s_IFPT_res_adj*s_CF_potato*0.001*(s_Irr!T30+s_Irr!AR30+s_Irr!BP30),".")</f>
        <v>95.970481458218103</v>
      </c>
      <c r="AU30" s="62">
        <f>IFERROR(s_C*s_IFPU_res_adj*s_CF_pumpkin*0.001*(s_Irr!U30+s_Irr!AS30+s_Irr!BQ30),".")</f>
        <v>110.99722375665758</v>
      </c>
      <c r="AV30" s="62">
        <f>IFERROR(s_C*s_IFSN_res_adj*s_CF_snap_bean*0.001*(s_Irr!V30+s_Irr!AT30+s_Irr!BR30),".")</f>
        <v>91.762993614655059</v>
      </c>
      <c r="AW30" s="62">
        <f>IFERROR(s_C*s_IFST_res_adj*s_CF_strawberry*0.001*(s_Irr!W30+s_Irr!AU30+s_Irr!BS30),".")</f>
        <v>89.959784538842314</v>
      </c>
      <c r="AX30" s="62">
        <f>IFERROR(s_C*s_IFTO_res_adj*s_CF_tomato*0.001*(s_Irr!X30+s_Irr!AV30+s_Irr!BT30),".")</f>
        <v>110.99722375665758</v>
      </c>
      <c r="AY30" s="62">
        <f>IFERROR(s_C*s_IFRI_res_adj*s_CF_rice*0.001*(s_Irr!Y30+s_Irr!AW30+s_Irr!BU30),".")</f>
        <v>88.822260146850454</v>
      </c>
      <c r="AZ30" s="62">
        <f>IFERROR(s_C*s_IFCG_res_adj*s_CF_cereal*0.001*(s_Irr!Z30+s_Irr!AX30+s_Irr!BV30),".")</f>
        <v>97.773690534030834</v>
      </c>
      <c r="BA30" s="48">
        <f t="shared" si="0"/>
        <v>405.84399467374664</v>
      </c>
      <c r="BB30" s="48">
        <f>IFERROR(IF(AND(s_Irr!C30&lt;&gt;".",s_Irr!AA30&lt;&gt;".",s_Irr!AY30&lt;&gt;"."),s_dir!AC30/((1/1000)*(s_Irr!C30+s_Irr!AA30+s_Irr!AY30)),IF(AND(s_Irr!C30&lt;&gt;".",s_Irr!AA30&lt;&gt;".",s_Irr!AY30="."),s_dir!AC30/((1/1000)*(s_Irr!C30+s_Irr!AA30)),IF(AND(s_Irr!C30&lt;&gt;".",s_Irr!AA30=".",s_Irr!AY30&lt;&gt;"."),s_dir!AC30/((1/1000)*(s_Irr!C30+s_Irr!AY30)),IF(AND(s_Irr!C30=".",s_Irr!AA30&lt;&gt;".",s_Irr!AY30&lt;&gt;"."),s_dir!AC30/((1/1000)*(s_Irr!AA30+s_Irr!AY30)),IF(AND(s_Irr!C30=".",s_Irr!AA30=".",s_Irr!AY30&lt;&gt;"."),s_dir!AC30/((1/1000)*(s_Irr!AY30)),IF(AND(s_Irr!C30=".",s_Irr!AA30&lt;&gt;".",s_Irr!AY30="."),s_dir!AC30/((1/1000)*(s_Irr!AA30)),IF(AND(s_Irr!C30&lt;&gt;".",s_Irr!AA30=".",s_Irr!AY30="."),s_dir!AC30/((1/1000)*(s_Irr!C30)),IF(AND(s_Irr!C30=".",s_Irr!AA30=".",s_Irr!AY30="."),s_dir!AC30*1000)))))))),".")</f>
        <v>1247.6517691418646</v>
      </c>
      <c r="BC30" s="48">
        <f>IFERROR(IF(AND(s_Irr!D30&lt;&gt;".",s_Irr!AB30&lt;&gt;".",s_Irr!AZ30&lt;&gt;"."),s_dir!AD30/((1/1000)*(s_Irr!D30+s_Irr!AB30+s_Irr!AZ30)),IF(AND(s_Irr!D30&lt;&gt;".",s_Irr!AB30&lt;&gt;".",s_Irr!AZ30="."),s_dir!AD30/((1/1000)*(s_Irr!D30+s_Irr!AB30)),IF(AND(s_Irr!D30&lt;&gt;".",s_Irr!AB30=".",s_Irr!AZ30&lt;&gt;"."),s_dir!AD30/((1/1000)*(s_Irr!D30+s_Irr!AZ30)),IF(AND(s_Irr!D30=".",s_Irr!AB30&lt;&gt;".",s_Irr!AZ30&lt;&gt;"."),s_dir!AD30/((1/1000)*(s_Irr!AB30+s_Irr!AZ30)),IF(AND(s_Irr!D30=".",s_Irr!AB30=".",s_Irr!AZ30&lt;&gt;"."),s_dir!AD30/((1/1000)*(s_Irr!AZ30)),IF(AND(s_Irr!D30=".",s_Irr!AB30&lt;&gt;".",s_Irr!AZ30="."),s_dir!AD30/((1/1000)*(s_Irr!AB30)),IF(AND(s_Irr!D30&lt;&gt;".",s_Irr!AB30=".",s_Irr!AZ30="."),s_dir!AD30/((1/1000)*(s_Irr!D30)),IF(AND(s_Irr!D30=".",s_Irr!AB30=".",s_Irr!AZ30="."),s_dir!AD30*1000)))))))),".")</f>
        <v>947.0755287377375</v>
      </c>
      <c r="BD30" s="48">
        <f>IFERROR(IF(AND(s_Irr!E30&lt;&gt;".",s_Irr!AC30&lt;&gt;".",s_Irr!BA30&lt;&gt;"."),s_dir!AE30/((1/1000)*(s_Irr!E30+s_Irr!AC30+s_Irr!BA30)),IF(AND(s_Irr!E30&lt;&gt;".",s_Irr!AC30&lt;&gt;".",s_Irr!BA30="."),s_dir!AE30/((1/1000)*(s_Irr!E30+s_Irr!AC30)),IF(AND(s_Irr!E30&lt;&gt;".",s_Irr!AC30=".",s_Irr!BA30&lt;&gt;"."),s_dir!AE30/((1/1000)*(s_Irr!E30+s_Irr!BA30)),IF(AND(s_Irr!E30=".",s_Irr!AC30&lt;&gt;".",s_Irr!BA30&lt;&gt;"."),s_dir!AE30/((1/1000)*(s_Irr!AC30+s_Irr!BA30)),IF(AND(s_Irr!E30=".",s_Irr!AC30=".",s_Irr!BA30&lt;&gt;"."),s_dir!AE30/((1/1000)*(s_Irr!BA30)),IF(AND(s_Irr!E30=".",s_Irr!AC30&lt;&gt;".",s_Irr!BA30="."),s_dir!AE30/((1/1000)*(s_Irr!AC30)),IF(AND(s_Irr!E30&lt;&gt;".",s_Irr!AC30=".",s_Irr!BA30="."),s_dir!AE30/((1/1000)*(s_Irr!E30)),IF(AND(s_Irr!E30=".",s_Irr!AC30=".",s_Irr!BA30="."),s_dir!AE30*1000)))))))),".")</f>
        <v>1110.3972847127168</v>
      </c>
      <c r="BE30" s="48">
        <f>IFERROR(IF(AND(s_Irr!F30&lt;&gt;".",s_Irr!AD30&lt;&gt;".",s_Irr!BB30&lt;&gt;"."),s_dir!AF30/((1/1000)*(s_Irr!F30+s_Irr!AD30+s_Irr!BB30)),IF(AND(s_Irr!F30&lt;&gt;".",s_Irr!AD30&lt;&gt;".",s_Irr!BB30="."),s_dir!AF30/((1/1000)*(s_Irr!F30+s_Irr!AD30)),IF(AND(s_Irr!F30&lt;&gt;".",s_Irr!AD30=".",s_Irr!BB30&lt;&gt;"."),s_dir!AF30/((1/1000)*(s_Irr!F30+s_Irr!BB30)),IF(AND(s_Irr!F30=".",s_Irr!AD30&lt;&gt;".",s_Irr!BB30&lt;&gt;"."),s_dir!AF30/((1/1000)*(s_Irr!AD30+s_Irr!BB30)),IF(AND(s_Irr!F30=".",s_Irr!AD30=".",s_Irr!BB30&lt;&gt;"."),s_dir!AF30/((1/1000)*(s_Irr!BB30)),IF(AND(s_Irr!F30=".",s_Irr!AD30&lt;&gt;".",s_Irr!BB30="."),s_dir!AF30/((1/1000)*(s_Irr!AD30)),IF(AND(s_Irr!F30&lt;&gt;".",s_Irr!AD30=".",s_Irr!BB30="."),s_dir!AF30/((1/1000)*(s_Irr!F30)),IF(AND(s_Irr!F30=".",s_Irr!AD30=".",s_Irr!BB30="."),s_dir!AF30*1000)))))))),".")</f>
        <v>1247.6517691418646</v>
      </c>
      <c r="BF30" s="48">
        <f>IFERROR(IF(AND(s_Irr!G30&lt;&gt;".",s_Irr!AE30&lt;&gt;".",s_Irr!BC30&lt;&gt;"."),s_dir!AG30/((1/1000)*(s_Irr!G30+s_Irr!AE30+s_Irr!BC30)),IF(AND(s_Irr!G30&lt;&gt;".",s_Irr!AE30&lt;&gt;".",s_Irr!BC30="."),s_dir!AG30/((1/1000)*(s_Irr!G30+s_Irr!AE30)),IF(AND(s_Irr!G30&lt;&gt;".",s_Irr!AE30=".",s_Irr!BC30&lt;&gt;"."),s_dir!AG30/((1/1000)*(s_Irr!G30+s_Irr!BC30)),IF(AND(s_Irr!G30=".",s_Irr!AE30&lt;&gt;".",s_Irr!BC30&lt;&gt;"."),s_dir!AG30/((1/1000)*(s_Irr!AE30+s_Irr!BC30)),IF(AND(s_Irr!G30=".",s_Irr!AE30=".",s_Irr!BC30&lt;&gt;"."),s_dir!AG30/((1/1000)*(s_Irr!BC30)),IF(AND(s_Irr!G30=".",s_Irr!AE30&lt;&gt;".",s_Irr!BC30="."),s_dir!AG30/((1/1000)*(s_Irr!AE30)),IF(AND(s_Irr!G30&lt;&gt;".",s_Irr!AE30=".",s_Irr!BC30="."),s_dir!AG30/((1/1000)*(s_Irr!G30)),IF(AND(s_Irr!G30=".",s_Irr!AE30=".",s_Irr!BC30="."),s_dir!AG30*1000)))))))),".")</f>
        <v>1011.182807396798</v>
      </c>
      <c r="BG30" s="48">
        <f>IFERROR(IF(AND(s_Irr!H30&lt;&gt;".",s_Irr!AF30&lt;&gt;".",s_Irr!BD30&lt;&gt;"."),s_dir!AH30/((1/1000)*(s_Irr!H30+s_Irr!AF30+s_Irr!BD30)),IF(AND(s_Irr!H30&lt;&gt;".",s_Irr!AF30&lt;&gt;".",s_Irr!BD30="."),s_dir!AH30/((1/1000)*(s_Irr!H30+s_Irr!AF30)),IF(AND(s_Irr!H30&lt;&gt;".",s_Irr!AF30=".",s_Irr!BD30&lt;&gt;"."),s_dir!AH30/((1/1000)*(s_Irr!H30+s_Irr!BD30)),IF(AND(s_Irr!H30=".",s_Irr!AF30&lt;&gt;".",s_Irr!BD30&lt;&gt;"."),s_dir!AH30/((1/1000)*(s_Irr!AF30+s_Irr!BD30)),IF(AND(s_Irr!H30=".",s_Irr!AF30=".",s_Irr!BD30&lt;&gt;"."),s_dir!AH30/((1/1000)*(s_Irr!BD30)),IF(AND(s_Irr!H30=".",s_Irr!AF30&lt;&gt;".",s_Irr!BD30="."),s_dir!AH30/((1/1000)*(s_Irr!AF30)),IF(AND(s_Irr!H30&lt;&gt;".",s_Irr!AF30=".",s_Irr!BD30="."),s_dir!AH30/((1/1000)*(s_Irr!H30)),IF(AND(s_Irr!H30=".",s_Irr!AF30=".",s_Irr!BD30="."),s_dir!AH30*1000)))))))),".")</f>
        <v>947.0755287377375</v>
      </c>
      <c r="BH30" s="48">
        <f>IFERROR(IF(AND(s_Irr!I30&lt;&gt;".",s_Irr!AG30&lt;&gt;".",s_Irr!BE30&lt;&gt;"."),s_dir!AI30/((1/1000)*(s_Irr!I30+s_Irr!AG30+s_Irr!BE30)),IF(AND(s_Irr!I30&lt;&gt;".",s_Irr!AG30&lt;&gt;".",s_Irr!BE30="."),s_dir!AI30/((1/1000)*(s_Irr!I30+s_Irr!AG30)),IF(AND(s_Irr!I30&lt;&gt;".",s_Irr!AG30=".",s_Irr!BE30&lt;&gt;"."),s_dir!AI30/((1/1000)*(s_Irr!I30+s_Irr!BE30)),IF(AND(s_Irr!I30=".",s_Irr!AG30&lt;&gt;".",s_Irr!BE30&lt;&gt;"."),s_dir!AI30/((1/1000)*(s_Irr!AG30+s_Irr!BE30)),IF(AND(s_Irr!I30=".",s_Irr!AG30=".",s_Irr!BE30&lt;&gt;"."),s_dir!AI30/((1/1000)*(s_Irr!BE30)),IF(AND(s_Irr!I30=".",s_Irr!AG30&lt;&gt;".",s_Irr!BE30="."),s_dir!AI30/((1/1000)*(s_Irr!AG30)),IF(AND(s_Irr!I30&lt;&gt;".",s_Irr!AG30=".",s_Irr!BE30="."),s_dir!AI30/((1/1000)*(s_Irr!I30)),IF(AND(s_Irr!I30=".",s_Irr!AG30=".",s_Irr!BE30="."),s_dir!AI30*1000)))))))),".")</f>
        <v>1110.3972847127168</v>
      </c>
      <c r="BI30" s="48">
        <f>IFERROR(IF(AND(s_Irr!J30&lt;&gt;".",s_Irr!AH30&lt;&gt;".",s_Irr!BF30&lt;&gt;"."),s_dir!AJ30/((1/1000)*(s_Irr!J30+s_Irr!AH30+s_Irr!BF30)),IF(AND(s_Irr!J30&lt;&gt;".",s_Irr!AH30&lt;&gt;".",s_Irr!BF30="."),s_dir!AJ30/((1/1000)*(s_Irr!J30+s_Irr!AH30)),IF(AND(s_Irr!J30&lt;&gt;".",s_Irr!AH30=".",s_Irr!BF30&lt;&gt;"."),s_dir!AJ30/((1/1000)*(s_Irr!J30+s_Irr!BF30)),IF(AND(s_Irr!J30=".",s_Irr!AH30&lt;&gt;".",s_Irr!BF30&lt;&gt;"."),s_dir!AJ30/((1/1000)*(s_Irr!AH30+s_Irr!BF30)),IF(AND(s_Irr!J30=".",s_Irr!AH30=".",s_Irr!BF30&lt;&gt;"."),s_dir!AJ30/((1/1000)*(s_Irr!BF30)),IF(AND(s_Irr!J30=".",s_Irr!AH30&lt;&gt;".",s_Irr!BF30="."),s_dir!AJ30/((1/1000)*(s_Irr!AH30)),IF(AND(s_Irr!J30&lt;&gt;".",s_Irr!AH30=".",s_Irr!BF30="."),s_dir!AJ30/((1/1000)*(s_Irr!J30)),IF(AND(s_Irr!J30=".",s_Irr!AH30=".",s_Irr!BF30="."),s_dir!AJ30*1000)))))))),".")</f>
        <v>1247.6517691418646</v>
      </c>
      <c r="BJ30" s="48">
        <f>IFERROR(IF(AND(s_Irr!K30&lt;&gt;".",s_Irr!AI30&lt;&gt;".",s_Irr!BG30&lt;&gt;"."),s_dir!AK30/((1/1000)*(s_Irr!K30+s_Irr!AI30+s_Irr!BG30)),IF(AND(s_Irr!K30&lt;&gt;".",s_Irr!AI30&lt;&gt;".",s_Irr!BG30="."),s_dir!AK30/((1/1000)*(s_Irr!K30+s_Irr!AI30)),IF(AND(s_Irr!K30&lt;&gt;".",s_Irr!AI30=".",s_Irr!BG30&lt;&gt;"."),s_dir!AK30/((1/1000)*(s_Irr!K30+s_Irr!BG30)),IF(AND(s_Irr!K30=".",s_Irr!AI30&lt;&gt;".",s_Irr!BG30&lt;&gt;"."),s_dir!AK30/((1/1000)*(s_Irr!AI30+s_Irr!BG30)),IF(AND(s_Irr!K30=".",s_Irr!AI30=".",s_Irr!BG30&lt;&gt;"."),s_dir!AK30/((1/1000)*(s_Irr!BG30)),IF(AND(s_Irr!K30=".",s_Irr!AI30&lt;&gt;".",s_Irr!BG30="."),s_dir!AK30/((1/1000)*(s_Irr!AI30)),IF(AND(s_Irr!K30&lt;&gt;".",s_Irr!AI30=".",s_Irr!BG30="."),s_dir!AK30/((1/1000)*(s_Irr!K30)),IF(AND(s_Irr!K30=".",s_Irr!AI30=".",s_Irr!BG30="."),s_dir!AK30*1000)))))))),".")</f>
        <v>1011.182807396798</v>
      </c>
      <c r="BK30" s="48">
        <f>IFERROR(IF(AND(s_Irr!L30&lt;&gt;".",s_Irr!AJ30&lt;&gt;".",s_Irr!BH30&lt;&gt;"."),s_dir!AL30/((1/1000)*(s_Irr!L30+s_Irr!AJ30+s_Irr!BH30)),IF(AND(s_Irr!L30&lt;&gt;".",s_Irr!AJ30&lt;&gt;".",s_Irr!BH30="."),s_dir!AL30/((1/1000)*(s_Irr!L30+s_Irr!AJ30)),IF(AND(s_Irr!L30&lt;&gt;".",s_Irr!AJ30=".",s_Irr!BH30&lt;&gt;"."),s_dir!AL30/((1/1000)*(s_Irr!L30+s_Irr!BH30)),IF(AND(s_Irr!L30=".",s_Irr!AJ30&lt;&gt;".",s_Irr!BH30&lt;&gt;"."),s_dir!AL30/((1/1000)*(s_Irr!AJ30+s_Irr!BH30)),IF(AND(s_Irr!L30=".",s_Irr!AJ30=".",s_Irr!BH30&lt;&gt;"."),s_dir!AL30/((1/1000)*(s_Irr!BH30)),IF(AND(s_Irr!L30=".",s_Irr!AJ30&lt;&gt;".",s_Irr!BH30="."),s_dir!AL30/((1/1000)*(s_Irr!AJ30)),IF(AND(s_Irr!L30&lt;&gt;".",s_Irr!AJ30=".",s_Irr!BH30="."),s_dir!AL30/((1/1000)*(s_Irr!L30)),IF(AND(s_Irr!L30=".",s_Irr!AJ30=".",s_Irr!BH30="."),s_dir!AL30*1000)))))))),".")</f>
        <v>1011.182807396798</v>
      </c>
      <c r="BL30" s="48">
        <f>IFERROR(IF(AND(s_Irr!M30&lt;&gt;".",s_Irr!AK30&lt;&gt;".",s_Irr!BI30&lt;&gt;"."),s_dir!AM30/((1/1000)*(s_Irr!M30+s_Irr!AK30+s_Irr!BI30)),IF(AND(s_Irr!M30&lt;&gt;".",s_Irr!AK30&lt;&gt;".",s_Irr!BI30="."),s_dir!AM30/((1/1000)*(s_Irr!M30+s_Irr!AK30)),IF(AND(s_Irr!M30&lt;&gt;".",s_Irr!AK30=".",s_Irr!BI30&lt;&gt;"."),s_dir!AM30/((1/1000)*(s_Irr!M30+s_Irr!BI30)),IF(AND(s_Irr!M30=".",s_Irr!AK30&lt;&gt;".",s_Irr!BI30&lt;&gt;"."),s_dir!AM30/((1/1000)*(s_Irr!AK30+s_Irr!BI30)),IF(AND(s_Irr!M30=".",s_Irr!AK30=".",s_Irr!BI30&lt;&gt;"."),s_dir!AM30/((1/1000)*(s_Irr!BI30)),IF(AND(s_Irr!M30=".",s_Irr!AK30&lt;&gt;".",s_Irr!BI30="."),s_dir!AM30/((1/1000)*(s_Irr!AK30)),IF(AND(s_Irr!M30&lt;&gt;".",s_Irr!AK30=".",s_Irr!BI30="."),s_dir!AM30/((1/1000)*(s_Irr!M30)),IF(AND(s_Irr!M30=".",s_Irr!AK30=".",s_Irr!BI30="."),s_dir!AM30*1000)))))))),".")</f>
        <v>947.0755287377375</v>
      </c>
      <c r="BM30" s="48">
        <f>IFERROR(IF(AND(s_Irr!N30&lt;&gt;".",s_Irr!AL30&lt;&gt;".",s_Irr!BJ30&lt;&gt;"."),s_dir!AN30/((1/1000)*(s_Irr!N30+s_Irr!AL30+s_Irr!BJ30)),IF(AND(s_Irr!N30&lt;&gt;".",s_Irr!AL30&lt;&gt;".",s_Irr!BJ30="."),s_dir!AN30/((1/1000)*(s_Irr!N30+s_Irr!AL30)),IF(AND(s_Irr!N30&lt;&gt;".",s_Irr!AL30=".",s_Irr!BJ30&lt;&gt;"."),s_dir!AN30/((1/1000)*(s_Irr!N30+s_Irr!BJ30)),IF(AND(s_Irr!N30=".",s_Irr!AL30&lt;&gt;".",s_Irr!BJ30&lt;&gt;"."),s_dir!AN30/((1/1000)*(s_Irr!AL30+s_Irr!BJ30)),IF(AND(s_Irr!N30=".",s_Irr!AL30=".",s_Irr!BJ30&lt;&gt;"."),s_dir!AN30/((1/1000)*(s_Irr!BJ30)),IF(AND(s_Irr!N30=".",s_Irr!AL30&lt;&gt;".",s_Irr!BJ30="."),s_dir!AN30/((1/1000)*(s_Irr!AL30)),IF(AND(s_Irr!N30&lt;&gt;".",s_Irr!AL30=".",s_Irr!BJ30="."),s_dir!AN30/((1/1000)*(s_Irr!N30)),IF(AND(s_Irr!N30=".",s_Irr!AL30=".",s_Irr!BJ30="."),s_dir!AN30*1000)))))))),".")</f>
        <v>1223.1345110953582</v>
      </c>
      <c r="BN30" s="48">
        <f>IFERROR(IF(AND(s_Irr!O30&lt;&gt;".",s_Irr!AM30&lt;&gt;".",s_Irr!BK30&lt;&gt;"."),s_dir!AO30/((1/1000)*(s_Irr!O30+s_Irr!AM30+s_Irr!BK30)),IF(AND(s_Irr!O30&lt;&gt;".",s_Irr!AM30&lt;&gt;".",s_Irr!BK30="."),s_dir!AO30/((1/1000)*(s_Irr!O30+s_Irr!AM30)),IF(AND(s_Irr!O30&lt;&gt;".",s_Irr!AM30=".",s_Irr!BK30&lt;&gt;"."),s_dir!AO30/((1/1000)*(s_Irr!O30+s_Irr!BK30)),IF(AND(s_Irr!O30=".",s_Irr!AM30&lt;&gt;".",s_Irr!BK30&lt;&gt;"."),s_dir!AO30/((1/1000)*(s_Irr!AM30+s_Irr!BK30)),IF(AND(s_Irr!O30=".",s_Irr!AM30=".",s_Irr!BK30&lt;&gt;"."),s_dir!AO30/((1/1000)*(s_Irr!BK30)),IF(AND(s_Irr!O30=".",s_Irr!AM30&lt;&gt;".",s_Irr!BK30="."),s_dir!AO30/((1/1000)*(s_Irr!AM30)),IF(AND(s_Irr!O30&lt;&gt;".",s_Irr!AM30=".",s_Irr!BK30="."),s_dir!AO30/((1/1000)*(s_Irr!O30)),IF(AND(s_Irr!O30=".",s_Irr!AM30=".",s_Irr!BK30="."),s_dir!AO30*1000)))))))),".")</f>
        <v>1011.182807396798</v>
      </c>
      <c r="BO30" s="48">
        <f>IFERROR(IF(AND(s_Irr!P30&lt;&gt;".",s_Irr!AN30&lt;&gt;".",s_Irr!BL30&lt;&gt;"."),s_dir!AP30/((1/1000)*(s_Irr!P30+s_Irr!AN30+s_Irr!BL30)),IF(AND(s_Irr!P30&lt;&gt;".",s_Irr!AN30&lt;&gt;".",s_Irr!BL30="."),s_dir!AP30/((1/1000)*(s_Irr!P30+s_Irr!AN30)),IF(AND(s_Irr!P30&lt;&gt;".",s_Irr!AN30=".",s_Irr!BL30&lt;&gt;"."),s_dir!AP30/((1/1000)*(s_Irr!P30+s_Irr!BL30)),IF(AND(s_Irr!P30=".",s_Irr!AN30&lt;&gt;".",s_Irr!BL30&lt;&gt;"."),s_dir!AP30/((1/1000)*(s_Irr!AN30+s_Irr!BL30)),IF(AND(s_Irr!P30=".",s_Irr!AN30=".",s_Irr!BL30&lt;&gt;"."),s_dir!AP30/((1/1000)*(s_Irr!BL30)),IF(AND(s_Irr!P30=".",s_Irr!AN30&lt;&gt;".",s_Irr!BL30="."),s_dir!AP30/((1/1000)*(s_Irr!AN30)),IF(AND(s_Irr!P30&lt;&gt;".",s_Irr!AN30=".",s_Irr!BL30="."),s_dir!AP30/((1/1000)*(s_Irr!P30)),IF(AND(s_Irr!P30=".",s_Irr!AN30=".",s_Irr!BL30="."),s_dir!AP30*1000)))))))),".")</f>
        <v>1011.182807396798</v>
      </c>
      <c r="BP30" s="48">
        <f>IFERROR(IF(AND(s_Irr!Q30&lt;&gt;".",s_Irr!AO30&lt;&gt;".",s_Irr!BM30&lt;&gt;"."),s_dir!AQ30/((1/1000)*(s_Irr!Q30+s_Irr!AO30+s_Irr!BM30)),IF(AND(s_Irr!Q30&lt;&gt;".",s_Irr!AO30&lt;&gt;".",s_Irr!BM30="."),s_dir!AQ30/((1/1000)*(s_Irr!Q30+s_Irr!AO30)),IF(AND(s_Irr!Q30&lt;&gt;".",s_Irr!AO30=".",s_Irr!BM30&lt;&gt;"."),s_dir!AQ30/((1/1000)*(s_Irr!Q30+s_Irr!BM30)),IF(AND(s_Irr!Q30=".",s_Irr!AO30&lt;&gt;".",s_Irr!BM30&lt;&gt;"."),s_dir!AQ30/((1/1000)*(s_Irr!AO30+s_Irr!BM30)),IF(AND(s_Irr!Q30=".",s_Irr!AO30=".",s_Irr!BM30&lt;&gt;"."),s_dir!AQ30/((1/1000)*(s_Irr!BM30)),IF(AND(s_Irr!Q30=".",s_Irr!AO30&lt;&gt;".",s_Irr!BM30="."),s_dir!AQ30/((1/1000)*(s_Irr!AO30)),IF(AND(s_Irr!Q30&lt;&gt;".",s_Irr!AO30=".",s_Irr!BM30="."),s_dir!AQ30/((1/1000)*(s_Irr!Q30)),IF(AND(s_Irr!Q30=".",s_Irr!AO30=".",s_Irr!BM30="."),s_dir!AQ30*1000)))))))),".")</f>
        <v>1247.6517691418646</v>
      </c>
      <c r="BQ30" s="48">
        <f>IFERROR(IF(AND(s_Irr!R30&lt;&gt;".",s_Irr!AP30&lt;&gt;".",s_Irr!BN30&lt;&gt;"."),s_dir!AR30/((1/1000)*(s_Irr!R30+s_Irr!AP30+s_Irr!BN30)),IF(AND(s_Irr!R30&lt;&gt;".",s_Irr!AP30&lt;&gt;".",s_Irr!BN30="."),s_dir!AR30/((1/1000)*(s_Irr!R30+s_Irr!AP30)),IF(AND(s_Irr!R30&lt;&gt;".",s_Irr!AP30=".",s_Irr!BN30&lt;&gt;"."),s_dir!AR30/((1/1000)*(s_Irr!R30+s_Irr!BN30)),IF(AND(s_Irr!R30=".",s_Irr!AP30&lt;&gt;".",s_Irr!BN30&lt;&gt;"."),s_dir!AR30/((1/1000)*(s_Irr!AP30+s_Irr!BN30)),IF(AND(s_Irr!R30=".",s_Irr!AP30=".",s_Irr!BN30&lt;&gt;"."),s_dir!AR30/((1/1000)*(s_Irr!BN30)),IF(AND(s_Irr!R30=".",s_Irr!AP30&lt;&gt;".",s_Irr!BN30="."),s_dir!AR30/((1/1000)*(s_Irr!AP30)),IF(AND(s_Irr!R30&lt;&gt;".",s_Irr!AP30=".",s_Irr!BN30="."),s_dir!AR30/((1/1000)*(s_Irr!R30)),IF(AND(s_Irr!R30=".",s_Irr!AP30=".",s_Irr!BN30="."),s_dir!AR30*1000)))))))),".")</f>
        <v>1247.6517691418646</v>
      </c>
      <c r="BR30" s="48">
        <f>IFERROR(IF(AND(s_Irr!S30&lt;&gt;".",s_Irr!AQ30&lt;&gt;".",s_Irr!BO30&lt;&gt;"."),s_dir!AS30/((1/1000)*(s_Irr!S30+s_Irr!AQ30+s_Irr!BO30)),IF(AND(s_Irr!S30&lt;&gt;".",s_Irr!AQ30&lt;&gt;".",s_Irr!BO30="."),s_dir!AS30/((1/1000)*(s_Irr!S30+s_Irr!AQ30)),IF(AND(s_Irr!S30&lt;&gt;".",s_Irr!AQ30=".",s_Irr!BO30&lt;&gt;"."),s_dir!AS30/((1/1000)*(s_Irr!S30+s_Irr!BO30)),IF(AND(s_Irr!S30=".",s_Irr!AQ30&lt;&gt;".",s_Irr!BO30&lt;&gt;"."),s_dir!AS30/((1/1000)*(s_Irr!AQ30+s_Irr!BO30)),IF(AND(s_Irr!S30=".",s_Irr!AQ30=".",s_Irr!BO30&lt;&gt;"."),s_dir!AS30/((1/1000)*(s_Irr!BO30)),IF(AND(s_Irr!S30=".",s_Irr!AQ30&lt;&gt;".",s_Irr!BO30="."),s_dir!AS30/((1/1000)*(s_Irr!AQ30)),IF(AND(s_Irr!S30&lt;&gt;".",s_Irr!AQ30=".",s_Irr!BO30="."),s_dir!AS30/((1/1000)*(s_Irr!S30)),IF(AND(s_Irr!S30=".",s_Irr!AQ30=".",s_Irr!BO30="."),s_dir!AS30*1000)))))))),".")</f>
        <v>1223.1345110953582</v>
      </c>
      <c r="BS30" s="48">
        <f>IFERROR(IF(AND(s_Irr!T30&lt;&gt;".",s_Irr!AR30&lt;&gt;".",s_Irr!BP30&lt;&gt;"."),s_dir!AT30/((1/1000)*(s_Irr!T30+s_Irr!AR30+s_Irr!BP30)),IF(AND(s_Irr!T30&lt;&gt;".",s_Irr!AR30&lt;&gt;".",s_Irr!BP30="."),s_dir!AT30/((1/1000)*(s_Irr!T30+s_Irr!AR30)),IF(AND(s_Irr!T30&lt;&gt;".",s_Irr!AR30=".",s_Irr!BP30&lt;&gt;"."),s_dir!AT30/((1/1000)*(s_Irr!T30+s_Irr!BP30)),IF(AND(s_Irr!T30=".",s_Irr!AR30&lt;&gt;".",s_Irr!BP30&lt;&gt;"."),s_dir!AT30/((1/1000)*(s_Irr!AR30+s_Irr!BP30)),IF(AND(s_Irr!T30=".",s_Irr!AR30=".",s_Irr!BP30&lt;&gt;"."),s_dir!AT30/((1/1000)*(s_Irr!BP30)),IF(AND(s_Irr!T30=".",s_Irr!AR30&lt;&gt;".",s_Irr!BP30="."),s_dir!AT30/((1/1000)*(s_Irr!AR30)),IF(AND(s_Irr!T30&lt;&gt;".",s_Irr!AR30=".",s_Irr!BP30="."),s_dir!AT30/((1/1000)*(s_Irr!T30)),IF(AND(s_Irr!T30=".",s_Irr!AR30=".",s_Irr!BP30="."),s_dir!AT30*1000)))))))),".")</f>
        <v>1169.5104851627939</v>
      </c>
      <c r="BT30" s="48">
        <f>IFERROR(IF(AND(s_Irr!U30&lt;&gt;".",s_Irr!AS30&lt;&gt;".",s_Irr!BQ30&lt;&gt;"."),s_dir!AU30/((1/1000)*(s_Irr!U30+s_Irr!AS30+s_Irr!BQ30)),IF(AND(s_Irr!U30&lt;&gt;".",s_Irr!AS30&lt;&gt;".",s_Irr!BQ30="."),s_dir!AU30/((1/1000)*(s_Irr!U30+s_Irr!AS30)),IF(AND(s_Irr!U30&lt;&gt;".",s_Irr!AS30=".",s_Irr!BQ30&lt;&gt;"."),s_dir!AU30/((1/1000)*(s_Irr!U30+s_Irr!BQ30)),IF(AND(s_Irr!U30=".",s_Irr!AS30&lt;&gt;".",s_Irr!BQ30&lt;&gt;"."),s_dir!AU30/((1/1000)*(s_Irr!AS30+s_Irr!BQ30)),IF(AND(s_Irr!U30=".",s_Irr!AS30=".",s_Irr!BQ30&lt;&gt;"."),s_dir!AU30/((1/1000)*(s_Irr!BQ30)),IF(AND(s_Irr!U30=".",s_Irr!AS30&lt;&gt;".",s_Irr!BQ30="."),s_dir!AU30/((1/1000)*(s_Irr!AS30)),IF(AND(s_Irr!U30&lt;&gt;".",s_Irr!AS30=".",s_Irr!BQ30="."),s_dir!AU30/((1/1000)*(s_Irr!U30)),IF(AND(s_Irr!U30=".",s_Irr!AS30=".",s_Irr!BQ30="."),s_dir!AU30*1000)))))))),".")</f>
        <v>1011.182807396798</v>
      </c>
      <c r="BU30" s="48">
        <f>IFERROR(IF(AND(s_Irr!V30&lt;&gt;".",s_Irr!AT30&lt;&gt;".",s_Irr!BR30&lt;&gt;"."),s_dir!AV30/((1/1000)*(s_Irr!V30+s_Irr!AT30+s_Irr!BR30)),IF(AND(s_Irr!V30&lt;&gt;".",s_Irr!AT30&lt;&gt;".",s_Irr!BR30="."),s_dir!AV30/((1/1000)*(s_Irr!V30+s_Irr!AT30)),IF(AND(s_Irr!V30&lt;&gt;".",s_Irr!AT30=".",s_Irr!BR30&lt;&gt;"."),s_dir!AV30/((1/1000)*(s_Irr!V30+s_Irr!BR30)),IF(AND(s_Irr!V30=".",s_Irr!AT30&lt;&gt;".",s_Irr!BR30&lt;&gt;"."),s_dir!AV30/((1/1000)*(s_Irr!AT30+s_Irr!BR30)),IF(AND(s_Irr!V30=".",s_Irr!AT30=".",s_Irr!BR30&lt;&gt;"."),s_dir!AV30/((1/1000)*(s_Irr!BR30)),IF(AND(s_Irr!V30=".",s_Irr!AT30&lt;&gt;".",s_Irr!BR30="."),s_dir!AV30/((1/1000)*(s_Irr!AT30)),IF(AND(s_Irr!V30&lt;&gt;".",s_Irr!AT30=".",s_Irr!BR30="."),s_dir!AV30/((1/1000)*(s_Irr!V30)),IF(AND(s_Irr!V30=".",s_Irr!AT30=".",s_Irr!BR30="."),s_dir!AV30*1000)))))))),".")</f>
        <v>1223.1345110953582</v>
      </c>
      <c r="BV30" s="48">
        <f>IFERROR(IF(AND(s_Irr!W30&lt;&gt;".",s_Irr!AU30&lt;&gt;".",s_Irr!BS30&lt;&gt;"."),s_dir!AW30/((1/1000)*(s_Irr!W30+s_Irr!AU30+s_Irr!BS30)),IF(AND(s_Irr!W30&lt;&gt;".",s_Irr!AU30&lt;&gt;".",s_Irr!BS30="."),s_dir!AW30/((1/1000)*(s_Irr!W30+s_Irr!AU30)),IF(AND(s_Irr!W30&lt;&gt;".",s_Irr!AU30=".",s_Irr!BS30&lt;&gt;"."),s_dir!AW30/((1/1000)*(s_Irr!W30+s_Irr!BS30)),IF(AND(s_Irr!W30=".",s_Irr!AU30&lt;&gt;".",s_Irr!BS30&lt;&gt;"."),s_dir!AW30/((1/1000)*(s_Irr!AU30+s_Irr!BS30)),IF(AND(s_Irr!W30=".",s_Irr!AU30=".",s_Irr!BS30&lt;&gt;"."),s_dir!AW30/((1/1000)*(s_Irr!BS30)),IF(AND(s_Irr!W30=".",s_Irr!AU30&lt;&gt;".",s_Irr!BS30="."),s_dir!AW30/((1/1000)*(s_Irr!AU30)),IF(AND(s_Irr!W30&lt;&gt;".",s_Irr!AU30=".",s_Irr!BS30="."),s_dir!AW30/((1/1000)*(s_Irr!W30)),IF(AND(s_Irr!W30=".",s_Irr!AU30=".",s_Irr!BS30="."),s_dir!AW30*1000)))))))),".")</f>
        <v>1247.6517691418646</v>
      </c>
      <c r="BW30" s="48">
        <f>IFERROR(IF(AND(s_Irr!X30&lt;&gt;".",s_Irr!AV30&lt;&gt;".",s_Irr!BT30&lt;&gt;"."),s_dir!AX30/((1/1000)*(s_Irr!X30+s_Irr!AV30+s_Irr!BT30)),IF(AND(s_Irr!X30&lt;&gt;".",s_Irr!AV30&lt;&gt;".",s_Irr!BT30="."),s_dir!AX30/((1/1000)*(s_Irr!X30+s_Irr!AV30)),IF(AND(s_Irr!X30&lt;&gt;".",s_Irr!AV30=".",s_Irr!BT30&lt;&gt;"."),s_dir!AX30/((1/1000)*(s_Irr!X30+s_Irr!BT30)),IF(AND(s_Irr!X30=".",s_Irr!AV30&lt;&gt;".",s_Irr!BT30&lt;&gt;"."),s_dir!AX30/((1/1000)*(s_Irr!AV30+s_Irr!BT30)),IF(AND(s_Irr!X30=".",s_Irr!AV30=".",s_Irr!BT30&lt;&gt;"."),s_dir!AX30/((1/1000)*(s_Irr!BT30)),IF(AND(s_Irr!X30=".",s_Irr!AV30&lt;&gt;".",s_Irr!BT30="."),s_dir!AX30/((1/1000)*(s_Irr!AV30)),IF(AND(s_Irr!X30&lt;&gt;".",s_Irr!AV30=".",s_Irr!BT30="."),s_dir!AX30/((1/1000)*(s_Irr!X30)),IF(AND(s_Irr!X30=".",s_Irr!AV30=".",s_Irr!BT30="."),s_dir!AX30*1000)))))))),".")</f>
        <v>1011.182807396798</v>
      </c>
      <c r="BX30" s="48">
        <f>IFERROR(IF(AND(s_Irr!Y30&lt;&gt;".",s_Irr!AW30&lt;&gt;".",s_Irr!BU30&lt;&gt;"."),s_dir!AY30/((1/1000)*(s_Irr!Y30+s_Irr!AW30+s_Irr!BU30)),IF(AND(s_Irr!Y30&lt;&gt;".",s_Irr!AW30&lt;&gt;".",s_Irr!BU30="."),s_dir!AY30/((1/1000)*(s_Irr!Y30+s_Irr!AW30)),IF(AND(s_Irr!Y30&lt;&gt;".",s_Irr!AW30=".",s_Irr!BU30&lt;&gt;"."),s_dir!AY30/((1/1000)*(s_Irr!Y30+s_Irr!BU30)),IF(AND(s_Irr!Y30=".",s_Irr!AW30&lt;&gt;".",s_Irr!BU30&lt;&gt;"."),s_dir!AY30/((1/1000)*(s_Irr!AW30+s_Irr!BU30)),IF(AND(s_Irr!Y30=".",s_Irr!AW30=".",s_Irr!BU30&lt;&gt;"."),s_dir!AY30/((1/1000)*(s_Irr!BU30)),IF(AND(s_Irr!Y30=".",s_Irr!AW30&lt;&gt;".",s_Irr!BU30="."),s_dir!AY30/((1/1000)*(s_Irr!AW30)),IF(AND(s_Irr!Y30&lt;&gt;".",s_Irr!AW30=".",s_Irr!BU30="."),s_dir!AY30/((1/1000)*(s_Irr!Y30)),IF(AND(s_Irr!Y30=".",s_Irr!AW30=".",s_Irr!BU30="."),s_dir!AY30*1000)))))))),".")</f>
        <v>1263.6301321982003</v>
      </c>
      <c r="BY30" s="48">
        <f>IFERROR(IF(AND(s_Irr!Z30&lt;&gt;".",s_Irr!AX30&lt;&gt;".",s_Irr!BV30&lt;&gt;"."),s_dir!AZ30/((1/1000)*(s_Irr!Z30+s_Irr!AX30+s_Irr!BV30)),IF(AND(s_Irr!Z30&lt;&gt;".",s_Irr!AX30&lt;&gt;".",s_Irr!BV30="."),s_dir!AZ30/((1/1000)*(s_Irr!Z30+s_Irr!AX30)),IF(AND(s_Irr!Z30&lt;&gt;".",s_Irr!AX30=".",s_Irr!BV30&lt;&gt;"."),s_dir!AZ30/((1/1000)*(s_Irr!Z30+s_Irr!BV30)),IF(AND(s_Irr!Z30=".",s_Irr!AX30&lt;&gt;".",s_Irr!BV30&lt;&gt;"."),s_dir!AZ30/((1/1000)*(s_Irr!AX30+s_Irr!BV30)),IF(AND(s_Irr!Z30=".",s_Irr!AX30=".",s_Irr!BV30&lt;&gt;"."),s_dir!AZ30/((1/1000)*(s_Irr!BV30)),IF(AND(s_Irr!Z30=".",s_Irr!AX30&lt;&gt;".",s_Irr!BV30="."),s_dir!AZ30/((1/1000)*(s_Irr!AX30)),IF(AND(s_Irr!Z30&lt;&gt;".",s_Irr!AX30=".",s_Irr!BV30="."),s_dir!AZ30/((1/1000)*(s_Irr!Z30)),IF(AND(s_Irr!Z30=".",s_Irr!AX30=".",s_Irr!BV30="."),s_dir!AZ30*1000)))))))),".")</f>
        <v>1147.941575269087</v>
      </c>
      <c r="BZ30" s="62">
        <f t="shared" si="1"/>
        <v>276.5557352197236</v>
      </c>
      <c r="CA30" s="62">
        <f>IFERROR(s_C*s_IFAP_far_adj*s_CF_apple*(1/1000)*(s_Irr!C30+s_Irr!AA30+s_Irr!AY30),".")</f>
        <v>89.959784538842314</v>
      </c>
      <c r="CB30" s="62">
        <f>IFERROR(s_C*s_IFAS_far_adj*s_CF_asparagus*(1/1000)*(s_Irr!D30+s_Irr!AB30+s_Irr!AZ30),".")</f>
        <v>118.51059490587731</v>
      </c>
      <c r="CC30" s="62">
        <f>IFERROR(s_C*s_IFBT_far_adj*s_CF_beet*(1/1000)*(s_Irr!E30+s_Irr!AC30+s_Irr!BA30),".")</f>
        <v>101.07957383968753</v>
      </c>
      <c r="CD30" s="62">
        <f>IFERROR(s_C*s_IFBE_far_adj*s_CF_berries*(1/1000)*(s_Irr!F30+s_Irr!AD30+s_Irr!BB30),".")</f>
        <v>89.959784538842314</v>
      </c>
      <c r="CE30" s="62">
        <f>IFERROR(s_C*s_IFBR_far_adj*s_CF_broccoli*(1/1000)*(s_Irr!G30+s_Irr!AE30+s_Irr!BC30),".")</f>
        <v>110.99722375665758</v>
      </c>
      <c r="CF30" s="62">
        <f>IFERROR(s_C*s_IFCB_far_adj*s_CF_cabbage*(1/1000)*(s_Irr!H30+s_Irr!AF30+s_Irr!BD30),".")</f>
        <v>118.51059490587731</v>
      </c>
      <c r="CG30" s="62">
        <f>IFERROR(s_C*s_IFCR_far_adj*s_CF_carrot*(1/1000)*(s_Irr!I30+s_Irr!AG30+s_Irr!BE30),".")</f>
        <v>101.07957383968753</v>
      </c>
      <c r="CH30" s="62">
        <f>IFERROR(s_C*s_IFCI_far_adj*s_CF_citrus*(1/1000)*(s_Irr!J30+s_Irr!AH30+s_Irr!BF30),".")</f>
        <v>89.959784538842314</v>
      </c>
      <c r="CI30" s="62">
        <f>IFERROR(s_C*s_IFCO_far_adj*s_CF_corn*(1/1000)*(s_Irr!K30+s_Irr!AI30+s_Irr!BG30),".")</f>
        <v>110.99722375665758</v>
      </c>
      <c r="CJ30" s="62">
        <f>IFERROR(s_C*s_IFCU_far_adj*s_CF_cucumber*(1/1000)*(s_Irr!L30+s_Irr!AJ30+s_Irr!BH30),".")</f>
        <v>110.99722375665758</v>
      </c>
      <c r="CK30" s="62">
        <f>IFERROR(s_C*s_IFLE_far_adj*s_CF_lettuce*(1/1000)*(s_Irr!M30+s_Irr!AK30+s_Irr!BI30),".")</f>
        <v>118.51059490587731</v>
      </c>
      <c r="CL30" s="62">
        <f>IFERROR(s_C*s_IFLI_far_adj*s_CF_lima_bean*(1/1000)*(s_Irr!N30+s_Irr!AL30+s_Irr!BJ30),".")</f>
        <v>91.762993614655059</v>
      </c>
      <c r="CM30" s="62">
        <f>IFERROR(s_C*s_IFOK_far_adj*s_CF_okra*(1/1000)*(s_Irr!O30+s_Irr!AM30+s_Irr!BK30),".")</f>
        <v>110.99722375665758</v>
      </c>
      <c r="CN30" s="62">
        <f>IFERROR(s_C*s_IFON_far_adj*s_CF_onion*(1/1000)*(s_Irr!P30+s_Irr!AN30+s_Irr!BL30),".")</f>
        <v>110.99722375665758</v>
      </c>
      <c r="CO30" s="62">
        <f>IFERROR(s_C*s_IFPC_far_adj*s_CF_peach*(1/1000)*(s_Irr!Q30+s_Irr!AO30+s_Irr!BM30),".")</f>
        <v>89.959784538842314</v>
      </c>
      <c r="CP30" s="62">
        <f>IFERROR(s_C*s_IFPR_far_adj*s_CF_pear*(1/1000)*(s_Irr!R30+s_Irr!AP30+s_Irr!BN30),".")</f>
        <v>89.959784538842314</v>
      </c>
      <c r="CQ30" s="62">
        <f>IFERROR(s_C*s_IFPE_far_adj*s_CF_peas*(1/1000)*(s_Irr!S30+s_Irr!AQ30+s_Irr!BO30),".")</f>
        <v>91.762993614655059</v>
      </c>
      <c r="CR30" s="62">
        <f>IFERROR(s_C*s_IFPT_far_adj*s_CF_potato*(1/1000)*(s_Irr!T30+s_Irr!AR30+s_Irr!BP30),".")</f>
        <v>95.970481458218103</v>
      </c>
      <c r="CS30" s="62">
        <f>IFERROR(s_C*s_IFPU_far_adj*s_CF_pumpkin*(1/1000)*(s_Irr!U30+s_Irr!AS30+s_Irr!BQ30),".")</f>
        <v>110.99722375665758</v>
      </c>
      <c r="CT30" s="62">
        <f>IFERROR(s_C*s_IFSN_far_adj*s_CF_snap_bean*(1/1000)*(s_Irr!V30+s_Irr!AT30+s_Irr!BR30),".")</f>
        <v>91.762993614655059</v>
      </c>
      <c r="CU30" s="62">
        <f>IFERROR(s_C*s_IFST_far_adj*s_CF_strawberry*(1/1000)*(s_Irr!W30+s_Irr!AU30+s_Irr!BS30),".")</f>
        <v>89.959784538842314</v>
      </c>
      <c r="CV30" s="62">
        <f>IFERROR(s_C*s_IFTO_far_adj*s_CF_tomato*(1/1000)*(s_Irr!X30+s_Irr!AV30+s_Irr!BT30),".")</f>
        <v>110.99722375665758</v>
      </c>
      <c r="CW30" s="62">
        <f>IFERROR(s_C*s_IFRI_far_adj*s_CF_rice*(1/1000)*(s_Irr!Y30+s_Irr!AW30+s_Irr!BU30),".")</f>
        <v>88.822260146850454</v>
      </c>
      <c r="CX30" s="62">
        <f>IFERROR(s_C*s_IFCG_far_adj*s_CF_cereal*(1/1000)*(s_Irr!Z30+s_Irr!AX30+s_Irr!BV30),".")</f>
        <v>97.773690534030834</v>
      </c>
    </row>
    <row r="31" spans="1:102" s="3" customFormat="1" x14ac:dyDescent="0.25">
      <c r="A31" s="54" t="s">
        <v>1</v>
      </c>
      <c r="B31" s="54" t="s">
        <v>1059</v>
      </c>
      <c r="C31" s="40">
        <f t="shared" ref="C31:AA31" si="4">1/SUM(1/C32,1/C33,1/C34,1/C35,1/C36,1/C37,1/C38,1/C41,1/C44)</f>
        <v>18.275631142034037</v>
      </c>
      <c r="D31" s="40">
        <f t="shared" si="4"/>
        <v>55.627995350243495</v>
      </c>
      <c r="E31" s="40">
        <f t="shared" si="4"/>
        <v>42.791460390555471</v>
      </c>
      <c r="F31" s="40">
        <f t="shared" si="4"/>
        <v>45.601235301467057</v>
      </c>
      <c r="G31" s="40">
        <f t="shared" si="4"/>
        <v>55.502324534837278</v>
      </c>
      <c r="H31" s="40">
        <f t="shared" si="4"/>
        <v>52.405470541715083</v>
      </c>
      <c r="I31" s="40">
        <f t="shared" si="4"/>
        <v>42.791460390555471</v>
      </c>
      <c r="J31" s="40">
        <f t="shared" si="4"/>
        <v>45.601235301467057</v>
      </c>
      <c r="K31" s="40">
        <f t="shared" si="4"/>
        <v>55.627995350243495</v>
      </c>
      <c r="L31" s="40">
        <f t="shared" si="4"/>
        <v>55.845192512489838</v>
      </c>
      <c r="M31" s="40">
        <f t="shared" si="4"/>
        <v>52.405470541715083</v>
      </c>
      <c r="N31" s="40">
        <f t="shared" si="4"/>
        <v>42.791460390555471</v>
      </c>
      <c r="O31" s="40">
        <f t="shared" si="4"/>
        <v>53.501525947399969</v>
      </c>
      <c r="P31" s="40">
        <f t="shared" si="4"/>
        <v>52.405470541715083</v>
      </c>
      <c r="Q31" s="40">
        <f t="shared" si="4"/>
        <v>52.405470541715083</v>
      </c>
      <c r="R31" s="40">
        <f t="shared" si="4"/>
        <v>55.627995350243495</v>
      </c>
      <c r="S31" s="40">
        <f t="shared" si="4"/>
        <v>55.627995350243495</v>
      </c>
      <c r="T31" s="40">
        <f t="shared" si="4"/>
        <v>53.501525947399969</v>
      </c>
      <c r="U31" s="40">
        <f t="shared" si="4"/>
        <v>54.93943442946992</v>
      </c>
      <c r="V31" s="40">
        <f t="shared" si="4"/>
        <v>52.405470541715083</v>
      </c>
      <c r="W31" s="40">
        <f t="shared" si="4"/>
        <v>53.501525947399969</v>
      </c>
      <c r="X31" s="40">
        <f t="shared" si="4"/>
        <v>55.615058861553621</v>
      </c>
      <c r="Y31" s="40">
        <f t="shared" si="4"/>
        <v>52.405470541715083</v>
      </c>
      <c r="Z31" s="40">
        <f t="shared" si="4"/>
        <v>55.444970857874225</v>
      </c>
      <c r="AA31" s="40">
        <f t="shared" si="4"/>
        <v>53.461036637823213</v>
      </c>
      <c r="AB31" s="33">
        <f>SUM(AC31,AY31:AZ31)</f>
        <v>1.3679418131010466</v>
      </c>
      <c r="AC31" s="33">
        <f>IFERROR(SUM(AC32:AC44),".")</f>
        <v>0.44941400175569268</v>
      </c>
      <c r="AD31" s="33">
        <f t="shared" ref="AD31:AZ31" si="5">IFERROR(SUM(AD32:AD44),".")</f>
        <v>0.58422871694086342</v>
      </c>
      <c r="AE31" s="33">
        <f t="shared" si="5"/>
        <v>0.54823076249418434</v>
      </c>
      <c r="AF31" s="33">
        <f t="shared" si="5"/>
        <v>0.45043158479440232</v>
      </c>
      <c r="AG31" s="33">
        <f t="shared" si="5"/>
        <v>0.47704943284689783</v>
      </c>
      <c r="AH31" s="33">
        <f t="shared" si="5"/>
        <v>0.58422871694086342</v>
      </c>
      <c r="AI31" s="33">
        <f t="shared" si="5"/>
        <v>0.54823076249418434</v>
      </c>
      <c r="AJ31" s="33">
        <f t="shared" si="5"/>
        <v>0.44941400175569268</v>
      </c>
      <c r="AK31" s="33">
        <f t="shared" si="5"/>
        <v>0.44766610831198628</v>
      </c>
      <c r="AL31" s="33">
        <f t="shared" si="5"/>
        <v>0.47704943284689783</v>
      </c>
      <c r="AM31" s="33">
        <f t="shared" si="5"/>
        <v>0.58422871694086342</v>
      </c>
      <c r="AN31" s="33">
        <f t="shared" si="5"/>
        <v>0.46727639179074532</v>
      </c>
      <c r="AO31" s="33">
        <f t="shared" si="5"/>
        <v>0.47704943284689783</v>
      </c>
      <c r="AP31" s="33">
        <f t="shared" si="5"/>
        <v>0.47704943284689783</v>
      </c>
      <c r="AQ31" s="33">
        <f t="shared" si="5"/>
        <v>0.44941400175569268</v>
      </c>
      <c r="AR31" s="33">
        <f t="shared" si="5"/>
        <v>0.44941400175569268</v>
      </c>
      <c r="AS31" s="33">
        <f t="shared" si="5"/>
        <v>0.46727639179074532</v>
      </c>
      <c r="AT31" s="33">
        <f t="shared" si="5"/>
        <v>0.45504654825113772</v>
      </c>
      <c r="AU31" s="33">
        <f t="shared" si="5"/>
        <v>0.47704943284689783</v>
      </c>
      <c r="AV31" s="33">
        <f t="shared" si="5"/>
        <v>0.46727639179074532</v>
      </c>
      <c r="AW31" s="33">
        <f t="shared" si="5"/>
        <v>0.44951853889490989</v>
      </c>
      <c r="AX31" s="33">
        <f t="shared" si="5"/>
        <v>0.47704943284689783</v>
      </c>
      <c r="AY31" s="33">
        <f t="shared" si="5"/>
        <v>0.45089752259197963</v>
      </c>
      <c r="AZ31" s="33">
        <f t="shared" si="5"/>
        <v>0.46763028875337442</v>
      </c>
      <c r="BA31" s="40">
        <f t="shared" ref="BA31:BY31" si="6">1/SUM(1/BA32,1/BA33,1/BA34,1/BA35,1/BA36,1/BA37,1/BA38,1/BA41,1/BA44)</f>
        <v>18.275631142034037</v>
      </c>
      <c r="BB31" s="40">
        <f t="shared" si="6"/>
        <v>55.627995350243495</v>
      </c>
      <c r="BC31" s="40">
        <f t="shared" si="6"/>
        <v>42.791460390555471</v>
      </c>
      <c r="BD31" s="40">
        <f t="shared" si="6"/>
        <v>45.601235301467057</v>
      </c>
      <c r="BE31" s="40">
        <f t="shared" si="6"/>
        <v>55.502324534837278</v>
      </c>
      <c r="BF31" s="40">
        <f t="shared" si="6"/>
        <v>52.405470541715083</v>
      </c>
      <c r="BG31" s="40">
        <f t="shared" si="6"/>
        <v>42.791460390555471</v>
      </c>
      <c r="BH31" s="40">
        <f t="shared" si="6"/>
        <v>45.601235301467057</v>
      </c>
      <c r="BI31" s="40">
        <f t="shared" si="6"/>
        <v>55.627995350243495</v>
      </c>
      <c r="BJ31" s="40">
        <f t="shared" si="6"/>
        <v>55.845192512489838</v>
      </c>
      <c r="BK31" s="40">
        <f t="shared" si="6"/>
        <v>52.405470541715083</v>
      </c>
      <c r="BL31" s="40">
        <f t="shared" si="6"/>
        <v>42.791460390555471</v>
      </c>
      <c r="BM31" s="40">
        <f t="shared" si="6"/>
        <v>53.501525947399969</v>
      </c>
      <c r="BN31" s="40">
        <f t="shared" si="6"/>
        <v>52.405470541715083</v>
      </c>
      <c r="BO31" s="40">
        <f t="shared" si="6"/>
        <v>52.405470541715083</v>
      </c>
      <c r="BP31" s="40">
        <f t="shared" si="6"/>
        <v>55.627995350243495</v>
      </c>
      <c r="BQ31" s="40">
        <f t="shared" si="6"/>
        <v>55.627995350243495</v>
      </c>
      <c r="BR31" s="40">
        <f t="shared" si="6"/>
        <v>53.501525947399969</v>
      </c>
      <c r="BS31" s="40">
        <f t="shared" si="6"/>
        <v>54.93943442946992</v>
      </c>
      <c r="BT31" s="40">
        <f t="shared" si="6"/>
        <v>52.405470541715083</v>
      </c>
      <c r="BU31" s="40">
        <f t="shared" si="6"/>
        <v>53.501525947399969</v>
      </c>
      <c r="BV31" s="40">
        <f t="shared" si="6"/>
        <v>55.615058861553621</v>
      </c>
      <c r="BW31" s="40">
        <f t="shared" si="6"/>
        <v>52.405470541715083</v>
      </c>
      <c r="BX31" s="40">
        <f t="shared" si="6"/>
        <v>55.444970857874225</v>
      </c>
      <c r="BY31" s="40">
        <f t="shared" si="6"/>
        <v>53.461036637823213</v>
      </c>
      <c r="BZ31" s="33">
        <f>SUM(CA31,CW31:CX31)</f>
        <v>1.3679418131010466</v>
      </c>
      <c r="CA31" s="33">
        <f>IFERROR(SUM(CA32:CA44),".")</f>
        <v>0.44941400175569268</v>
      </c>
      <c r="CB31" s="33">
        <f t="shared" ref="CB31" si="7">IFERROR(SUM(CB32:CB44),".")</f>
        <v>0.58422871694086342</v>
      </c>
      <c r="CC31" s="33">
        <f t="shared" ref="CC31" si="8">IFERROR(SUM(CC32:CC44),".")</f>
        <v>0.54823076249418434</v>
      </c>
      <c r="CD31" s="33">
        <f t="shared" ref="CD31" si="9">IFERROR(SUM(CD32:CD44),".")</f>
        <v>0.45043158479440232</v>
      </c>
      <c r="CE31" s="33">
        <f t="shared" ref="CE31" si="10">IFERROR(SUM(CE32:CE44),".")</f>
        <v>0.47704943284689783</v>
      </c>
      <c r="CF31" s="33">
        <f t="shared" ref="CF31" si="11">IFERROR(SUM(CF32:CF44),".")</f>
        <v>0.58422871694086342</v>
      </c>
      <c r="CG31" s="33">
        <f t="shared" ref="CG31" si="12">IFERROR(SUM(CG32:CG44),".")</f>
        <v>0.54823076249418434</v>
      </c>
      <c r="CH31" s="33">
        <f t="shared" ref="CH31" si="13">IFERROR(SUM(CH32:CH44),".")</f>
        <v>0.44941400175569268</v>
      </c>
      <c r="CI31" s="33">
        <f t="shared" ref="CI31" si="14">IFERROR(SUM(CI32:CI44),".")</f>
        <v>0.44766610831198628</v>
      </c>
      <c r="CJ31" s="33">
        <f t="shared" ref="CJ31" si="15">IFERROR(SUM(CJ32:CJ44),".")</f>
        <v>0.47704943284689783</v>
      </c>
      <c r="CK31" s="33">
        <f t="shared" ref="CK31" si="16">IFERROR(SUM(CK32:CK44),".")</f>
        <v>0.58422871694086342</v>
      </c>
      <c r="CL31" s="33">
        <f t="shared" ref="CL31" si="17">IFERROR(SUM(CL32:CL44),".")</f>
        <v>0.46727639179074532</v>
      </c>
      <c r="CM31" s="33">
        <f t="shared" ref="CM31" si="18">IFERROR(SUM(CM32:CM44),".")</f>
        <v>0.47704943284689783</v>
      </c>
      <c r="CN31" s="33">
        <f t="shared" ref="CN31" si="19">IFERROR(SUM(CN32:CN44),".")</f>
        <v>0.47704943284689783</v>
      </c>
      <c r="CO31" s="33">
        <f t="shared" ref="CO31" si="20">IFERROR(SUM(CO32:CO44),".")</f>
        <v>0.44941400175569268</v>
      </c>
      <c r="CP31" s="33">
        <f t="shared" ref="CP31" si="21">IFERROR(SUM(CP32:CP44),".")</f>
        <v>0.44941400175569268</v>
      </c>
      <c r="CQ31" s="33">
        <f t="shared" ref="CQ31" si="22">IFERROR(SUM(CQ32:CQ44),".")</f>
        <v>0.46727639179074532</v>
      </c>
      <c r="CR31" s="33">
        <f t="shared" ref="CR31" si="23">IFERROR(SUM(CR32:CR44),".")</f>
        <v>0.45504654825113772</v>
      </c>
      <c r="CS31" s="33">
        <f t="shared" ref="CS31" si="24">IFERROR(SUM(CS32:CS44),".")</f>
        <v>0.47704943284689783</v>
      </c>
      <c r="CT31" s="33">
        <f t="shared" ref="CT31" si="25">IFERROR(SUM(CT32:CT44),".")</f>
        <v>0.46727639179074532</v>
      </c>
      <c r="CU31" s="33">
        <f t="shared" ref="CU31" si="26">IFERROR(SUM(CU32:CU44),".")</f>
        <v>0.44951853889490989</v>
      </c>
      <c r="CV31" s="33">
        <f t="shared" ref="CV31" si="27">IFERROR(SUM(CV32:CV44),".")</f>
        <v>0.47704943284689783</v>
      </c>
      <c r="CW31" s="33">
        <f t="shared" ref="CW31" si="28">IFERROR(SUM(CW32:CW44),".")</f>
        <v>0.45089752259197963</v>
      </c>
      <c r="CX31" s="33">
        <f t="shared" ref="CX31" si="29">IFERROR(SUM(CX32:CX44),".")</f>
        <v>0.46763028875337442</v>
      </c>
    </row>
    <row r="32" spans="1:102" s="3" customFormat="1" x14ac:dyDescent="0.25">
      <c r="A32" s="55" t="s">
        <v>1087</v>
      </c>
      <c r="B32" s="3">
        <v>1</v>
      </c>
      <c r="C32" s="42">
        <f t="shared" ref="C32:AA32" si="30">IFERROR(C3/$B32,0)</f>
        <v>106.34705538852155</v>
      </c>
      <c r="D32" s="42">
        <f t="shared" si="30"/>
        <v>320.77457157279218</v>
      </c>
      <c r="E32" s="42">
        <f t="shared" si="30"/>
        <v>319.47816112739247</v>
      </c>
      <c r="F32" s="42">
        <f t="shared" si="30"/>
        <v>317.33172401136619</v>
      </c>
      <c r="G32" s="42">
        <f t="shared" si="30"/>
        <v>316.64032845842269</v>
      </c>
      <c r="H32" s="42">
        <f t="shared" si="30"/>
        <v>318.9926849535459</v>
      </c>
      <c r="I32" s="42">
        <f t="shared" si="30"/>
        <v>319.47816112739247</v>
      </c>
      <c r="J32" s="42">
        <f t="shared" si="30"/>
        <v>317.33172401136619</v>
      </c>
      <c r="K32" s="42">
        <f t="shared" si="30"/>
        <v>320.77457157279218</v>
      </c>
      <c r="L32" s="42">
        <f t="shared" si="30"/>
        <v>320.67112481093869</v>
      </c>
      <c r="M32" s="42">
        <f t="shared" si="30"/>
        <v>318.9926849535459</v>
      </c>
      <c r="N32" s="42">
        <f t="shared" si="30"/>
        <v>319.47816112739247</v>
      </c>
      <c r="O32" s="42">
        <f t="shared" si="30"/>
        <v>318.88500166154716</v>
      </c>
      <c r="P32" s="42">
        <f t="shared" si="30"/>
        <v>318.9926849535459</v>
      </c>
      <c r="Q32" s="42">
        <f t="shared" si="30"/>
        <v>318.9926849535459</v>
      </c>
      <c r="R32" s="42">
        <f t="shared" si="30"/>
        <v>320.77457157279218</v>
      </c>
      <c r="S32" s="42">
        <f t="shared" si="30"/>
        <v>320.77457157279218</v>
      </c>
      <c r="T32" s="42">
        <f t="shared" si="30"/>
        <v>318.88500166154716</v>
      </c>
      <c r="U32" s="42">
        <f t="shared" si="30"/>
        <v>319.80263368598327</v>
      </c>
      <c r="V32" s="42">
        <f t="shared" si="30"/>
        <v>318.9926849535459</v>
      </c>
      <c r="W32" s="42">
        <f t="shared" si="30"/>
        <v>318.88500166154716</v>
      </c>
      <c r="X32" s="42">
        <f t="shared" si="30"/>
        <v>320.34488841166677</v>
      </c>
      <c r="Y32" s="42">
        <f t="shared" si="30"/>
        <v>318.9926849535459</v>
      </c>
      <c r="Z32" s="42">
        <f t="shared" si="30"/>
        <v>315.58250631235398</v>
      </c>
      <c r="AA32" s="42">
        <f t="shared" si="30"/>
        <v>320.82359596931764</v>
      </c>
      <c r="AB32" s="34">
        <f>SUM(AC32,AY32:AZ32)</f>
        <v>0.23507938145223295</v>
      </c>
      <c r="AC32" s="34">
        <f>IFERROR(s_RadSpec!$J$3*(AC3*$B32),".")</f>
        <v>7.7936352240834797E-2</v>
      </c>
      <c r="AD32" s="34">
        <f>IFERROR(s_RadSpec!$J$3*(AD3*$B32),".")</f>
        <v>7.8252610168340134E-2</v>
      </c>
      <c r="AE32" s="34">
        <f>IFERROR(s_RadSpec!$J$3*(AE3*$B32),".")</f>
        <v>7.8781912139060356E-2</v>
      </c>
      <c r="AF32" s="34">
        <f>IFERROR(s_RadSpec!$J$3*(AF3*$B32),".")</f>
        <v>7.8953935279544432E-2</v>
      </c>
      <c r="AG32" s="34">
        <f>IFERROR(s_RadSpec!$J$3*(AG3*$B32),".")</f>
        <v>7.8371703111752178E-2</v>
      </c>
      <c r="AH32" s="34">
        <f>IFERROR(s_RadSpec!$J$3*(AH3*$B32),".")</f>
        <v>7.8252610168340134E-2</v>
      </c>
      <c r="AI32" s="34">
        <f>IFERROR(s_RadSpec!$J$3*(AI3*$B32),".")</f>
        <v>7.8781912139060356E-2</v>
      </c>
      <c r="AJ32" s="34">
        <f>IFERROR(s_RadSpec!$J$3*(AJ3*$B32),".")</f>
        <v>7.7936352240834797E-2</v>
      </c>
      <c r="AK32" s="34">
        <f>IFERROR(s_RadSpec!$J$3*(AK3*$B32),".")</f>
        <v>7.7961494084444E-2</v>
      </c>
      <c r="AL32" s="34">
        <f>IFERROR(s_RadSpec!$J$3*(AL3*$B32),".")</f>
        <v>7.8371703111752178E-2</v>
      </c>
      <c r="AM32" s="34">
        <f>IFERROR(s_RadSpec!$J$3*(AM3*$B32),".")</f>
        <v>7.8252610168340134E-2</v>
      </c>
      <c r="AN32" s="34">
        <f>IFERROR(s_RadSpec!$J$3*(AN3*$B32),".")</f>
        <v>7.839816821028818E-2</v>
      </c>
      <c r="AO32" s="34">
        <f>IFERROR(s_RadSpec!$J$3*(AO3*$B32),".")</f>
        <v>7.8371703111752178E-2</v>
      </c>
      <c r="AP32" s="34">
        <f>IFERROR(s_RadSpec!$J$3*(AP3*$B32),".")</f>
        <v>7.8371703111752178E-2</v>
      </c>
      <c r="AQ32" s="34">
        <f>IFERROR(s_RadSpec!$J$3*(AQ3*$B32),".")</f>
        <v>7.7936352240834797E-2</v>
      </c>
      <c r="AR32" s="34">
        <f>IFERROR(s_RadSpec!$J$3*(AR3*$B32),".")</f>
        <v>7.7936352240834797E-2</v>
      </c>
      <c r="AS32" s="34">
        <f>IFERROR(s_RadSpec!$J$3*(AS3*$B32),".")</f>
        <v>7.839816821028818E-2</v>
      </c>
      <c r="AT32" s="34">
        <f>IFERROR(s_RadSpec!$J$3*(AT3*$B32),".")</f>
        <v>7.8173214872732086E-2</v>
      </c>
      <c r="AU32" s="34">
        <f>IFERROR(s_RadSpec!$J$3*(AU3*$B32),".")</f>
        <v>7.8371703111752178E-2</v>
      </c>
      <c r="AV32" s="34">
        <f>IFERROR(s_RadSpec!$J$3*(AV3*$B32),".")</f>
        <v>7.839816821028818E-2</v>
      </c>
      <c r="AW32" s="34">
        <f>IFERROR(s_RadSpec!$J$3*(AW3*$B32),".")</f>
        <v>7.804088938005202E-2</v>
      </c>
      <c r="AX32" s="34">
        <f>IFERROR(s_RadSpec!$J$3*(AX3*$B32),".")</f>
        <v>7.8371703111752178E-2</v>
      </c>
      <c r="AY32" s="34">
        <f>IFERROR(s_RadSpec!$J$3*(AY3*$B32),".")</f>
        <v>7.921858626490455E-2</v>
      </c>
      <c r="AZ32" s="34">
        <f>IFERROR(s_RadSpec!$J$3*(AZ3*$B32),".")</f>
        <v>7.7924442946493588E-2</v>
      </c>
      <c r="BA32" s="42">
        <f t="shared" ref="BA32:BY32" si="31">IFERROR(BA3/$B32,0)</f>
        <v>106.34705538852155</v>
      </c>
      <c r="BB32" s="42">
        <f t="shared" si="31"/>
        <v>320.77457157279218</v>
      </c>
      <c r="BC32" s="42">
        <f t="shared" si="31"/>
        <v>319.47816112739247</v>
      </c>
      <c r="BD32" s="42">
        <f t="shared" si="31"/>
        <v>317.33172401136619</v>
      </c>
      <c r="BE32" s="42">
        <f t="shared" si="31"/>
        <v>316.64032845842269</v>
      </c>
      <c r="BF32" s="42">
        <f t="shared" si="31"/>
        <v>318.9926849535459</v>
      </c>
      <c r="BG32" s="42">
        <f t="shared" si="31"/>
        <v>319.47816112739247</v>
      </c>
      <c r="BH32" s="42">
        <f t="shared" si="31"/>
        <v>317.33172401136619</v>
      </c>
      <c r="BI32" s="42">
        <f t="shared" si="31"/>
        <v>320.77457157279218</v>
      </c>
      <c r="BJ32" s="42">
        <f t="shared" si="31"/>
        <v>320.67112481093869</v>
      </c>
      <c r="BK32" s="42">
        <f t="shared" si="31"/>
        <v>318.9926849535459</v>
      </c>
      <c r="BL32" s="42">
        <f t="shared" si="31"/>
        <v>319.47816112739247</v>
      </c>
      <c r="BM32" s="42">
        <f t="shared" si="31"/>
        <v>318.88500166154716</v>
      </c>
      <c r="BN32" s="42">
        <f t="shared" si="31"/>
        <v>318.9926849535459</v>
      </c>
      <c r="BO32" s="42">
        <f t="shared" si="31"/>
        <v>318.9926849535459</v>
      </c>
      <c r="BP32" s="42">
        <f t="shared" si="31"/>
        <v>320.77457157279218</v>
      </c>
      <c r="BQ32" s="42">
        <f t="shared" si="31"/>
        <v>320.77457157279218</v>
      </c>
      <c r="BR32" s="42">
        <f t="shared" si="31"/>
        <v>318.88500166154716</v>
      </c>
      <c r="BS32" s="42">
        <f t="shared" si="31"/>
        <v>319.80263368598327</v>
      </c>
      <c r="BT32" s="42">
        <f t="shared" si="31"/>
        <v>318.9926849535459</v>
      </c>
      <c r="BU32" s="42">
        <f t="shared" si="31"/>
        <v>318.88500166154716</v>
      </c>
      <c r="BV32" s="42">
        <f t="shared" si="31"/>
        <v>320.34488841166677</v>
      </c>
      <c r="BW32" s="42">
        <f t="shared" si="31"/>
        <v>318.9926849535459</v>
      </c>
      <c r="BX32" s="42">
        <f t="shared" si="31"/>
        <v>315.58250631235398</v>
      </c>
      <c r="BY32" s="42">
        <f t="shared" si="31"/>
        <v>320.82359596931764</v>
      </c>
      <c r="BZ32" s="34">
        <f>SUM(CA32,CW32:CX32)</f>
        <v>0.23507938145223295</v>
      </c>
      <c r="CA32" s="34">
        <f>IFERROR(s_RadSpec!$J$3*(CA3*$B32),".")</f>
        <v>7.7936352240834797E-2</v>
      </c>
      <c r="CB32" s="34">
        <f>IFERROR(s_RadSpec!$J$3*(CB3*$B32),".")</f>
        <v>7.8252610168340134E-2</v>
      </c>
      <c r="CC32" s="34">
        <f>IFERROR(s_RadSpec!$J$3*(CC3*$B32),".")</f>
        <v>7.8781912139060356E-2</v>
      </c>
      <c r="CD32" s="34">
        <f>IFERROR(s_RadSpec!$J$3*(CD3*$B32),".")</f>
        <v>7.8953935279544432E-2</v>
      </c>
      <c r="CE32" s="34">
        <f>IFERROR(s_RadSpec!$J$3*(CE3*$B32),".")</f>
        <v>7.8371703111752178E-2</v>
      </c>
      <c r="CF32" s="34">
        <f>IFERROR(s_RadSpec!$J$3*(CF3*$B32),".")</f>
        <v>7.8252610168340134E-2</v>
      </c>
      <c r="CG32" s="34">
        <f>IFERROR(s_RadSpec!$J$3*(CG3*$B32),".")</f>
        <v>7.8781912139060356E-2</v>
      </c>
      <c r="CH32" s="34">
        <f>IFERROR(s_RadSpec!$J$3*(CH3*$B32),".")</f>
        <v>7.7936352240834797E-2</v>
      </c>
      <c r="CI32" s="34">
        <f>IFERROR(s_RadSpec!$J$3*(CI3*$B32),".")</f>
        <v>7.7961494084444E-2</v>
      </c>
      <c r="CJ32" s="34">
        <f>IFERROR(s_RadSpec!$J$3*(CJ3*$B32),".")</f>
        <v>7.8371703111752178E-2</v>
      </c>
      <c r="CK32" s="34">
        <f>IFERROR(s_RadSpec!$J$3*(CK3*$B32),".")</f>
        <v>7.8252610168340134E-2</v>
      </c>
      <c r="CL32" s="34">
        <f>IFERROR(s_RadSpec!$J$3*(CL3*$B32),".")</f>
        <v>7.839816821028818E-2</v>
      </c>
      <c r="CM32" s="34">
        <f>IFERROR(s_RadSpec!$J$3*(CM3*$B32),".")</f>
        <v>7.8371703111752178E-2</v>
      </c>
      <c r="CN32" s="34">
        <f>IFERROR(s_RadSpec!$J$3*(CN3*$B32),".")</f>
        <v>7.8371703111752178E-2</v>
      </c>
      <c r="CO32" s="34">
        <f>IFERROR(s_RadSpec!$J$3*(CO3*$B32),".")</f>
        <v>7.7936352240834797E-2</v>
      </c>
      <c r="CP32" s="34">
        <f>IFERROR(s_RadSpec!$J$3*(CP3*$B32),".")</f>
        <v>7.7936352240834797E-2</v>
      </c>
      <c r="CQ32" s="34">
        <f>IFERROR(s_RadSpec!$J$3*(CQ3*$B32),".")</f>
        <v>7.839816821028818E-2</v>
      </c>
      <c r="CR32" s="34">
        <f>IFERROR(s_RadSpec!$J$3*(CR3*$B32),".")</f>
        <v>7.8173214872732086E-2</v>
      </c>
      <c r="CS32" s="34">
        <f>IFERROR(s_RadSpec!$J$3*(CS3*$B32),".")</f>
        <v>7.8371703111752178E-2</v>
      </c>
      <c r="CT32" s="34">
        <f>IFERROR(s_RadSpec!$J$3*(CT3*$B32),".")</f>
        <v>7.839816821028818E-2</v>
      </c>
      <c r="CU32" s="34">
        <f>IFERROR(s_RadSpec!$J$3*(CU3*$B32),".")</f>
        <v>7.804088938005202E-2</v>
      </c>
      <c r="CV32" s="34">
        <f>IFERROR(s_RadSpec!$J$3*(CV3*$B32),".")</f>
        <v>7.8371703111752178E-2</v>
      </c>
      <c r="CW32" s="34">
        <f>IFERROR(s_RadSpec!$J$3*(CW3*$B32),".")</f>
        <v>7.921858626490455E-2</v>
      </c>
      <c r="CX32" s="34">
        <f>IFERROR(s_RadSpec!$J$3*(CX3*$B32),".")</f>
        <v>7.7924442946493588E-2</v>
      </c>
    </row>
    <row r="33" spans="1:102" s="3" customFormat="1" x14ac:dyDescent="0.25">
      <c r="A33" s="55" t="s">
        <v>1063</v>
      </c>
      <c r="B33" s="3">
        <v>1</v>
      </c>
      <c r="C33" s="42">
        <f t="shared" ref="C33:AA34" si="32">IFERROR(C13/$B33,0)</f>
        <v>180.0401251308069</v>
      </c>
      <c r="D33" s="42">
        <f t="shared" si="32"/>
        <v>607.97799078525463</v>
      </c>
      <c r="E33" s="42">
        <f t="shared" si="32"/>
        <v>418.92847572913536</v>
      </c>
      <c r="F33" s="42">
        <f t="shared" si="32"/>
        <v>444.83096256298921</v>
      </c>
      <c r="G33" s="42">
        <f t="shared" si="32"/>
        <v>607.97799078525463</v>
      </c>
      <c r="H33" s="42">
        <f t="shared" si="32"/>
        <v>467.97921061738339</v>
      </c>
      <c r="I33" s="42">
        <f t="shared" si="32"/>
        <v>418.92847572913536</v>
      </c>
      <c r="J33" s="42">
        <f t="shared" si="32"/>
        <v>444.83096256298921</v>
      </c>
      <c r="K33" s="42">
        <f t="shared" si="32"/>
        <v>607.97799078525463</v>
      </c>
      <c r="L33" s="42">
        <f t="shared" si="32"/>
        <v>565.00558397022371</v>
      </c>
      <c r="M33" s="42">
        <f t="shared" si="32"/>
        <v>467.97921061738339</v>
      </c>
      <c r="N33" s="42">
        <f t="shared" si="32"/>
        <v>418.92847572913536</v>
      </c>
      <c r="O33" s="42">
        <f t="shared" si="32"/>
        <v>474.14767055847085</v>
      </c>
      <c r="P33" s="42">
        <f t="shared" si="32"/>
        <v>467.97921061738339</v>
      </c>
      <c r="Q33" s="42">
        <f t="shared" si="32"/>
        <v>467.97921061738339</v>
      </c>
      <c r="R33" s="42">
        <f t="shared" si="32"/>
        <v>607.97799078525463</v>
      </c>
      <c r="S33" s="42">
        <f t="shared" si="32"/>
        <v>607.97799078525463</v>
      </c>
      <c r="T33" s="42">
        <f t="shared" si="32"/>
        <v>474.14767055847085</v>
      </c>
      <c r="U33" s="42">
        <f t="shared" si="32"/>
        <v>557.12989995775479</v>
      </c>
      <c r="V33" s="42">
        <f t="shared" si="32"/>
        <v>467.97921061738339</v>
      </c>
      <c r="W33" s="42">
        <f t="shared" si="32"/>
        <v>474.14767055847085</v>
      </c>
      <c r="X33" s="42">
        <f t="shared" si="32"/>
        <v>607.97799078525463</v>
      </c>
      <c r="Y33" s="42">
        <f t="shared" si="32"/>
        <v>467.97921061738339</v>
      </c>
      <c r="Z33" s="42">
        <f t="shared" si="32"/>
        <v>456.11157464009437</v>
      </c>
      <c r="AA33" s="42">
        <f t="shared" si="32"/>
        <v>582.3857387376944</v>
      </c>
      <c r="AB33" s="34">
        <f t="shared" ref="AB33:AB76" si="33">SUM(AC33,AY33:AZ33)</f>
        <v>0.1388579350399608</v>
      </c>
      <c r="AC33" s="34">
        <f>IFERROR(s_RadSpec!$J$13*(AC13*$B33),".")</f>
        <v>4.111990956730259E-2</v>
      </c>
      <c r="AD33" s="34">
        <f>IFERROR(s_RadSpec!$J$13*(AD13*$B33),".")</f>
        <v>5.9676057963088038E-2</v>
      </c>
      <c r="AE33" s="34">
        <f>IFERROR(s_RadSpec!$J$13*(AE13*$B33),".")</f>
        <v>5.6201123806573917E-2</v>
      </c>
      <c r="AF33" s="34">
        <f>IFERROR(s_RadSpec!$J$13*(AF13*$B33),".")</f>
        <v>4.111990956730259E-2</v>
      </c>
      <c r="AG33" s="34">
        <f>IFERROR(s_RadSpec!$J$13*(AG13*$B33),".")</f>
        <v>5.342117648136261E-2</v>
      </c>
      <c r="AH33" s="34">
        <f>IFERROR(s_RadSpec!$J$13*(AH13*$B33),".")</f>
        <v>5.9676057963088038E-2</v>
      </c>
      <c r="AI33" s="34">
        <f>IFERROR(s_RadSpec!$J$13*(AI13*$B33),".")</f>
        <v>5.6201123806573917E-2</v>
      </c>
      <c r="AJ33" s="34">
        <f>IFERROR(s_RadSpec!$J$13*(AJ13*$B33),".")</f>
        <v>4.111990956730259E-2</v>
      </c>
      <c r="AK33" s="34">
        <f>IFERROR(s_RadSpec!$J$13*(AK13*$B33),".")</f>
        <v>4.4247350308165311E-2</v>
      </c>
      <c r="AL33" s="34">
        <f>IFERROR(s_RadSpec!$J$13*(AL13*$B33),".")</f>
        <v>5.342117648136261E-2</v>
      </c>
      <c r="AM33" s="34">
        <f>IFERROR(s_RadSpec!$J$13*(AM13*$B33),".")</f>
        <v>5.9676057963088038E-2</v>
      </c>
      <c r="AN33" s="34">
        <f>IFERROR(s_RadSpec!$J$13*(AN13*$B33),".")</f>
        <v>5.2726189650059783E-2</v>
      </c>
      <c r="AO33" s="34">
        <f>IFERROR(s_RadSpec!$J$13*(AO13*$B33),".")</f>
        <v>5.342117648136261E-2</v>
      </c>
      <c r="AP33" s="34">
        <f>IFERROR(s_RadSpec!$J$13*(AP13*$B33),".")</f>
        <v>5.342117648136261E-2</v>
      </c>
      <c r="AQ33" s="34">
        <f>IFERROR(s_RadSpec!$J$13*(AQ13*$B33),".")</f>
        <v>4.111990956730259E-2</v>
      </c>
      <c r="AR33" s="34">
        <f>IFERROR(s_RadSpec!$J$13*(AR13*$B33),".")</f>
        <v>4.111990956730259E-2</v>
      </c>
      <c r="AS33" s="34">
        <f>IFERROR(s_RadSpec!$J$13*(AS13*$B33),".")</f>
        <v>5.2726189650059783E-2</v>
      </c>
      <c r="AT33" s="34">
        <f>IFERROR(s_RadSpec!$J$13*(AT13*$B33),".")</f>
        <v>4.4872838456337855E-2</v>
      </c>
      <c r="AU33" s="34">
        <f>IFERROR(s_RadSpec!$J$13*(AU13*$B33),".")</f>
        <v>5.342117648136261E-2</v>
      </c>
      <c r="AV33" s="34">
        <f>IFERROR(s_RadSpec!$J$13*(AV13*$B33),".")</f>
        <v>5.2726189650059783E-2</v>
      </c>
      <c r="AW33" s="34">
        <f>IFERROR(s_RadSpec!$J$13*(AW13*$B33),".")</f>
        <v>4.111990956730259E-2</v>
      </c>
      <c r="AX33" s="34">
        <f>IFERROR(s_RadSpec!$J$13*(AX13*$B33),".")</f>
        <v>5.342117648136261E-2</v>
      </c>
      <c r="AY33" s="34">
        <f>IFERROR(s_RadSpec!$J$13*(AY13*$B33),".")</f>
        <v>5.4811150143968257E-2</v>
      </c>
      <c r="AZ33" s="34">
        <f>IFERROR(s_RadSpec!$J$13*(AZ13*$B33),".")</f>
        <v>4.2926875328689947E-2</v>
      </c>
      <c r="BA33" s="42">
        <f t="shared" ref="BA33:BY34" si="34">IFERROR(BA13/$B33,0)</f>
        <v>180.0401251308069</v>
      </c>
      <c r="BB33" s="42">
        <f t="shared" si="34"/>
        <v>607.97799078525463</v>
      </c>
      <c r="BC33" s="42">
        <f t="shared" si="34"/>
        <v>418.92847572913536</v>
      </c>
      <c r="BD33" s="42">
        <f t="shared" si="34"/>
        <v>444.83096256298921</v>
      </c>
      <c r="BE33" s="42">
        <f t="shared" si="34"/>
        <v>607.97799078525463</v>
      </c>
      <c r="BF33" s="42">
        <f t="shared" si="34"/>
        <v>467.97921061738339</v>
      </c>
      <c r="BG33" s="42">
        <f t="shared" si="34"/>
        <v>418.92847572913536</v>
      </c>
      <c r="BH33" s="42">
        <f t="shared" si="34"/>
        <v>444.83096256298921</v>
      </c>
      <c r="BI33" s="42">
        <f t="shared" si="34"/>
        <v>607.97799078525463</v>
      </c>
      <c r="BJ33" s="42">
        <f t="shared" si="34"/>
        <v>565.00558397022371</v>
      </c>
      <c r="BK33" s="42">
        <f t="shared" si="34"/>
        <v>467.97921061738339</v>
      </c>
      <c r="BL33" s="42">
        <f t="shared" si="34"/>
        <v>418.92847572913536</v>
      </c>
      <c r="BM33" s="42">
        <f t="shared" si="34"/>
        <v>474.14767055847085</v>
      </c>
      <c r="BN33" s="42">
        <f t="shared" si="34"/>
        <v>467.97921061738339</v>
      </c>
      <c r="BO33" s="42">
        <f t="shared" si="34"/>
        <v>467.97921061738339</v>
      </c>
      <c r="BP33" s="42">
        <f t="shared" si="34"/>
        <v>607.97799078525463</v>
      </c>
      <c r="BQ33" s="42">
        <f t="shared" si="34"/>
        <v>607.97799078525463</v>
      </c>
      <c r="BR33" s="42">
        <f t="shared" si="34"/>
        <v>474.14767055847085</v>
      </c>
      <c r="BS33" s="42">
        <f t="shared" si="34"/>
        <v>557.12989995775479</v>
      </c>
      <c r="BT33" s="42">
        <f t="shared" si="34"/>
        <v>467.97921061738339</v>
      </c>
      <c r="BU33" s="42">
        <f t="shared" si="34"/>
        <v>474.14767055847085</v>
      </c>
      <c r="BV33" s="42">
        <f t="shared" si="34"/>
        <v>607.97799078525463</v>
      </c>
      <c r="BW33" s="42">
        <f t="shared" si="34"/>
        <v>467.97921061738339</v>
      </c>
      <c r="BX33" s="42">
        <f t="shared" si="34"/>
        <v>456.11157464009437</v>
      </c>
      <c r="BY33" s="42">
        <f t="shared" si="34"/>
        <v>582.3857387376944</v>
      </c>
      <c r="BZ33" s="34">
        <f t="shared" ref="BZ33:BZ62" si="35">SUM(CA33,CW33:CX33)</f>
        <v>0.1388579350399608</v>
      </c>
      <c r="CA33" s="34">
        <f>IFERROR(s_RadSpec!$J$13*(CA13*$B33),".")</f>
        <v>4.111990956730259E-2</v>
      </c>
      <c r="CB33" s="34">
        <f>IFERROR(s_RadSpec!$J$13*(CB13*$B33),".")</f>
        <v>5.9676057963088038E-2</v>
      </c>
      <c r="CC33" s="34">
        <f>IFERROR(s_RadSpec!$J$13*(CC13*$B33),".")</f>
        <v>5.6201123806573917E-2</v>
      </c>
      <c r="CD33" s="34">
        <f>IFERROR(s_RadSpec!$J$13*(CD13*$B33),".")</f>
        <v>4.111990956730259E-2</v>
      </c>
      <c r="CE33" s="34">
        <f>IFERROR(s_RadSpec!$J$13*(CE13*$B33),".")</f>
        <v>5.342117648136261E-2</v>
      </c>
      <c r="CF33" s="34">
        <f>IFERROR(s_RadSpec!$J$13*(CF13*$B33),".")</f>
        <v>5.9676057963088038E-2</v>
      </c>
      <c r="CG33" s="34">
        <f>IFERROR(s_RadSpec!$J$13*(CG13*$B33),".")</f>
        <v>5.6201123806573917E-2</v>
      </c>
      <c r="CH33" s="34">
        <f>IFERROR(s_RadSpec!$J$13*(CH13*$B33),".")</f>
        <v>4.111990956730259E-2</v>
      </c>
      <c r="CI33" s="34">
        <f>IFERROR(s_RadSpec!$J$13*(CI13*$B33),".")</f>
        <v>4.4247350308165311E-2</v>
      </c>
      <c r="CJ33" s="34">
        <f>IFERROR(s_RadSpec!$J$13*(CJ13*$B33),".")</f>
        <v>5.342117648136261E-2</v>
      </c>
      <c r="CK33" s="34">
        <f>IFERROR(s_RadSpec!$J$13*(CK13*$B33),".")</f>
        <v>5.9676057963088038E-2</v>
      </c>
      <c r="CL33" s="34">
        <f>IFERROR(s_RadSpec!$J$13*(CL13*$B33),".")</f>
        <v>5.2726189650059783E-2</v>
      </c>
      <c r="CM33" s="34">
        <f>IFERROR(s_RadSpec!$J$13*(CM13*$B33),".")</f>
        <v>5.342117648136261E-2</v>
      </c>
      <c r="CN33" s="34">
        <f>IFERROR(s_RadSpec!$J$13*(CN13*$B33),".")</f>
        <v>5.342117648136261E-2</v>
      </c>
      <c r="CO33" s="34">
        <f>IFERROR(s_RadSpec!$J$13*(CO13*$B33),".")</f>
        <v>4.111990956730259E-2</v>
      </c>
      <c r="CP33" s="34">
        <f>IFERROR(s_RadSpec!$J$13*(CP13*$B33),".")</f>
        <v>4.111990956730259E-2</v>
      </c>
      <c r="CQ33" s="34">
        <f>IFERROR(s_RadSpec!$J$13*(CQ13*$B33),".")</f>
        <v>5.2726189650059783E-2</v>
      </c>
      <c r="CR33" s="34">
        <f>IFERROR(s_RadSpec!$J$13*(CR13*$B33),".")</f>
        <v>4.4872838456337855E-2</v>
      </c>
      <c r="CS33" s="34">
        <f>IFERROR(s_RadSpec!$J$13*(CS13*$B33),".")</f>
        <v>5.342117648136261E-2</v>
      </c>
      <c r="CT33" s="34">
        <f>IFERROR(s_RadSpec!$J$13*(CT13*$B33),".")</f>
        <v>5.2726189650059783E-2</v>
      </c>
      <c r="CU33" s="34">
        <f>IFERROR(s_RadSpec!$J$13*(CU13*$B33),".")</f>
        <v>4.111990956730259E-2</v>
      </c>
      <c r="CV33" s="34">
        <f>IFERROR(s_RadSpec!$J$13*(CV13*$B33),".")</f>
        <v>5.342117648136261E-2</v>
      </c>
      <c r="CW33" s="34">
        <f>IFERROR(s_RadSpec!$J$13*(CW13*$B33),".")</f>
        <v>5.4811150143968257E-2</v>
      </c>
      <c r="CX33" s="34">
        <f>IFERROR(s_RadSpec!$J$13*(CX13*$B33),".")</f>
        <v>4.2926875328689947E-2</v>
      </c>
    </row>
    <row r="34" spans="1:102" s="3" customFormat="1" x14ac:dyDescent="0.25">
      <c r="A34" s="55" t="s">
        <v>1064</v>
      </c>
      <c r="B34" s="3">
        <v>1</v>
      </c>
      <c r="C34" s="42">
        <f t="shared" si="32"/>
        <v>16488.096096734134</v>
      </c>
      <c r="D34" s="42">
        <f t="shared" si="32"/>
        <v>49464.288290202407</v>
      </c>
      <c r="E34" s="42">
        <f t="shared" si="32"/>
        <v>49464.288290202407</v>
      </c>
      <c r="F34" s="42">
        <f t="shared" si="32"/>
        <v>49464.288290202407</v>
      </c>
      <c r="G34" s="42">
        <f t="shared" si="32"/>
        <v>49464.288290202407</v>
      </c>
      <c r="H34" s="42">
        <f t="shared" si="32"/>
        <v>49464.288290202407</v>
      </c>
      <c r="I34" s="42">
        <f t="shared" si="32"/>
        <v>49464.288290202407</v>
      </c>
      <c r="J34" s="42">
        <f t="shared" si="32"/>
        <v>49464.288290202407</v>
      </c>
      <c r="K34" s="42">
        <f t="shared" si="32"/>
        <v>49464.288290202407</v>
      </c>
      <c r="L34" s="42">
        <f t="shared" si="32"/>
        <v>49464.288290202407</v>
      </c>
      <c r="M34" s="42">
        <f t="shared" si="32"/>
        <v>49464.288290202407</v>
      </c>
      <c r="N34" s="42">
        <f t="shared" si="32"/>
        <v>49464.288290202407</v>
      </c>
      <c r="O34" s="42">
        <f t="shared" si="32"/>
        <v>49464.288290202407</v>
      </c>
      <c r="P34" s="42">
        <f t="shared" si="32"/>
        <v>49464.288290202407</v>
      </c>
      <c r="Q34" s="42">
        <f t="shared" si="32"/>
        <v>49464.288290202407</v>
      </c>
      <c r="R34" s="42">
        <f t="shared" si="32"/>
        <v>49464.288290202407</v>
      </c>
      <c r="S34" s="42">
        <f t="shared" si="32"/>
        <v>49464.288290202407</v>
      </c>
      <c r="T34" s="42">
        <f t="shared" si="32"/>
        <v>49464.288290202407</v>
      </c>
      <c r="U34" s="42">
        <f t="shared" si="32"/>
        <v>49464.288290202407</v>
      </c>
      <c r="V34" s="42">
        <f t="shared" si="32"/>
        <v>49464.288290202407</v>
      </c>
      <c r="W34" s="42">
        <f t="shared" si="32"/>
        <v>49464.288290202407</v>
      </c>
      <c r="X34" s="42">
        <f t="shared" si="32"/>
        <v>49464.288290202407</v>
      </c>
      <c r="Y34" s="42">
        <f t="shared" si="32"/>
        <v>49464.288290202407</v>
      </c>
      <c r="Z34" s="42">
        <f t="shared" si="32"/>
        <v>49464.288290202407</v>
      </c>
      <c r="AA34" s="42">
        <f t="shared" si="32"/>
        <v>49464.288290202407</v>
      </c>
      <c r="AB34" s="34">
        <f t="shared" si="33"/>
        <v>1.5162454084041792E-3</v>
      </c>
      <c r="AC34" s="34">
        <f>IFERROR(s_RadSpec!$J$14*(AC14*$B34),".")</f>
        <v>5.0541513613472637E-4</v>
      </c>
      <c r="AD34" s="34">
        <f>IFERROR(s_RadSpec!$J$14*(AD14*$B34),".")</f>
        <v>5.0541513613472637E-4</v>
      </c>
      <c r="AE34" s="34">
        <f>IFERROR(s_RadSpec!$J$14*(AE14*$B34),".")</f>
        <v>5.0541513613472637E-4</v>
      </c>
      <c r="AF34" s="34">
        <f>IFERROR(s_RadSpec!$J$14*(AF14*$B34),".")</f>
        <v>5.0541513613472637E-4</v>
      </c>
      <c r="AG34" s="34">
        <f>IFERROR(s_RadSpec!$J$14*(AG14*$B34),".")</f>
        <v>5.0541513613472637E-4</v>
      </c>
      <c r="AH34" s="34">
        <f>IFERROR(s_RadSpec!$J$14*(AH14*$B34),".")</f>
        <v>5.0541513613472637E-4</v>
      </c>
      <c r="AI34" s="34">
        <f>IFERROR(s_RadSpec!$J$14*(AI14*$B34),".")</f>
        <v>5.0541513613472637E-4</v>
      </c>
      <c r="AJ34" s="34">
        <f>IFERROR(s_RadSpec!$J$14*(AJ14*$B34),".")</f>
        <v>5.0541513613472637E-4</v>
      </c>
      <c r="AK34" s="34">
        <f>IFERROR(s_RadSpec!$J$14*(AK14*$B34),".")</f>
        <v>5.0541513613472637E-4</v>
      </c>
      <c r="AL34" s="34">
        <f>IFERROR(s_RadSpec!$J$14*(AL14*$B34),".")</f>
        <v>5.0541513613472637E-4</v>
      </c>
      <c r="AM34" s="34">
        <f>IFERROR(s_RadSpec!$J$14*(AM14*$B34),".")</f>
        <v>5.0541513613472637E-4</v>
      </c>
      <c r="AN34" s="34">
        <f>IFERROR(s_RadSpec!$J$14*(AN14*$B34),".")</f>
        <v>5.0541513613472637E-4</v>
      </c>
      <c r="AO34" s="34">
        <f>IFERROR(s_RadSpec!$J$14*(AO14*$B34),".")</f>
        <v>5.0541513613472637E-4</v>
      </c>
      <c r="AP34" s="34">
        <f>IFERROR(s_RadSpec!$J$14*(AP14*$B34),".")</f>
        <v>5.0541513613472637E-4</v>
      </c>
      <c r="AQ34" s="34">
        <f>IFERROR(s_RadSpec!$J$14*(AQ14*$B34),".")</f>
        <v>5.0541513613472637E-4</v>
      </c>
      <c r="AR34" s="34">
        <f>IFERROR(s_RadSpec!$J$14*(AR14*$B34),".")</f>
        <v>5.0541513613472637E-4</v>
      </c>
      <c r="AS34" s="34">
        <f>IFERROR(s_RadSpec!$J$14*(AS14*$B34),".")</f>
        <v>5.0541513613472637E-4</v>
      </c>
      <c r="AT34" s="34">
        <f>IFERROR(s_RadSpec!$J$14*(AT14*$B34),".")</f>
        <v>5.0541513613472637E-4</v>
      </c>
      <c r="AU34" s="34">
        <f>IFERROR(s_RadSpec!$J$14*(AU14*$B34),".")</f>
        <v>5.0541513613472637E-4</v>
      </c>
      <c r="AV34" s="34">
        <f>IFERROR(s_RadSpec!$J$14*(AV14*$B34),".")</f>
        <v>5.0541513613472637E-4</v>
      </c>
      <c r="AW34" s="34">
        <f>IFERROR(s_RadSpec!$J$14*(AW14*$B34),".")</f>
        <v>5.0541513613472637E-4</v>
      </c>
      <c r="AX34" s="34">
        <f>IFERROR(s_RadSpec!$J$14*(AX14*$B34),".")</f>
        <v>5.0541513613472637E-4</v>
      </c>
      <c r="AY34" s="34">
        <f>IFERROR(s_RadSpec!$J$14*(AY14*$B34),".")</f>
        <v>5.0541513613472637E-4</v>
      </c>
      <c r="AZ34" s="34">
        <f>IFERROR(s_RadSpec!$J$14*(AZ14*$B34),".")</f>
        <v>5.0541513613472637E-4</v>
      </c>
      <c r="BA34" s="42">
        <f t="shared" si="34"/>
        <v>16488.096096734134</v>
      </c>
      <c r="BB34" s="42">
        <f t="shared" si="34"/>
        <v>49464.288290202407</v>
      </c>
      <c r="BC34" s="42">
        <f t="shared" si="34"/>
        <v>49464.288290202407</v>
      </c>
      <c r="BD34" s="42">
        <f t="shared" si="34"/>
        <v>49464.288290202407</v>
      </c>
      <c r="BE34" s="42">
        <f t="shared" si="34"/>
        <v>49464.288290202407</v>
      </c>
      <c r="BF34" s="42">
        <f t="shared" si="34"/>
        <v>49464.288290202407</v>
      </c>
      <c r="BG34" s="42">
        <f t="shared" si="34"/>
        <v>49464.288290202407</v>
      </c>
      <c r="BH34" s="42">
        <f t="shared" si="34"/>
        <v>49464.288290202407</v>
      </c>
      <c r="BI34" s="42">
        <f t="shared" si="34"/>
        <v>49464.288290202407</v>
      </c>
      <c r="BJ34" s="42">
        <f t="shared" si="34"/>
        <v>49464.288290202407</v>
      </c>
      <c r="BK34" s="42">
        <f t="shared" si="34"/>
        <v>49464.288290202407</v>
      </c>
      <c r="BL34" s="42">
        <f t="shared" si="34"/>
        <v>49464.288290202407</v>
      </c>
      <c r="BM34" s="42">
        <f t="shared" si="34"/>
        <v>49464.288290202407</v>
      </c>
      <c r="BN34" s="42">
        <f t="shared" si="34"/>
        <v>49464.288290202407</v>
      </c>
      <c r="BO34" s="42">
        <f t="shared" si="34"/>
        <v>49464.288290202407</v>
      </c>
      <c r="BP34" s="42">
        <f t="shared" si="34"/>
        <v>49464.288290202407</v>
      </c>
      <c r="BQ34" s="42">
        <f t="shared" si="34"/>
        <v>49464.288290202407</v>
      </c>
      <c r="BR34" s="42">
        <f t="shared" si="34"/>
        <v>49464.288290202407</v>
      </c>
      <c r="BS34" s="42">
        <f t="shared" si="34"/>
        <v>49464.288290202407</v>
      </c>
      <c r="BT34" s="42">
        <f t="shared" si="34"/>
        <v>49464.288290202407</v>
      </c>
      <c r="BU34" s="42">
        <f t="shared" si="34"/>
        <v>49464.288290202407</v>
      </c>
      <c r="BV34" s="42">
        <f t="shared" si="34"/>
        <v>49464.288290202407</v>
      </c>
      <c r="BW34" s="42">
        <f t="shared" si="34"/>
        <v>49464.288290202407</v>
      </c>
      <c r="BX34" s="42">
        <f t="shared" si="34"/>
        <v>49464.288290202407</v>
      </c>
      <c r="BY34" s="42">
        <f t="shared" si="34"/>
        <v>49464.288290202407</v>
      </c>
      <c r="BZ34" s="34">
        <f t="shared" si="35"/>
        <v>1.5162454084041792E-3</v>
      </c>
      <c r="CA34" s="34">
        <f>IFERROR(s_RadSpec!$J$14*(CA14*$B34),".")</f>
        <v>5.0541513613472637E-4</v>
      </c>
      <c r="CB34" s="34">
        <f>IFERROR(s_RadSpec!$J$14*(CB14*$B34),".")</f>
        <v>5.0541513613472637E-4</v>
      </c>
      <c r="CC34" s="34">
        <f>IFERROR(s_RadSpec!$J$14*(CC14*$B34),".")</f>
        <v>5.0541513613472637E-4</v>
      </c>
      <c r="CD34" s="34">
        <f>IFERROR(s_RadSpec!$J$14*(CD14*$B34),".")</f>
        <v>5.0541513613472637E-4</v>
      </c>
      <c r="CE34" s="34">
        <f>IFERROR(s_RadSpec!$J$14*(CE14*$B34),".")</f>
        <v>5.0541513613472637E-4</v>
      </c>
      <c r="CF34" s="34">
        <f>IFERROR(s_RadSpec!$J$14*(CF14*$B34),".")</f>
        <v>5.0541513613472637E-4</v>
      </c>
      <c r="CG34" s="34">
        <f>IFERROR(s_RadSpec!$J$14*(CG14*$B34),".")</f>
        <v>5.0541513613472637E-4</v>
      </c>
      <c r="CH34" s="34">
        <f>IFERROR(s_RadSpec!$J$14*(CH14*$B34),".")</f>
        <v>5.0541513613472637E-4</v>
      </c>
      <c r="CI34" s="34">
        <f>IFERROR(s_RadSpec!$J$14*(CI14*$B34),".")</f>
        <v>5.0541513613472637E-4</v>
      </c>
      <c r="CJ34" s="34">
        <f>IFERROR(s_RadSpec!$J$14*(CJ14*$B34),".")</f>
        <v>5.0541513613472637E-4</v>
      </c>
      <c r="CK34" s="34">
        <f>IFERROR(s_RadSpec!$J$14*(CK14*$B34),".")</f>
        <v>5.0541513613472637E-4</v>
      </c>
      <c r="CL34" s="34">
        <f>IFERROR(s_RadSpec!$J$14*(CL14*$B34),".")</f>
        <v>5.0541513613472637E-4</v>
      </c>
      <c r="CM34" s="34">
        <f>IFERROR(s_RadSpec!$J$14*(CM14*$B34),".")</f>
        <v>5.0541513613472637E-4</v>
      </c>
      <c r="CN34" s="34">
        <f>IFERROR(s_RadSpec!$J$14*(CN14*$B34),".")</f>
        <v>5.0541513613472637E-4</v>
      </c>
      <c r="CO34" s="34">
        <f>IFERROR(s_RadSpec!$J$14*(CO14*$B34),".")</f>
        <v>5.0541513613472637E-4</v>
      </c>
      <c r="CP34" s="34">
        <f>IFERROR(s_RadSpec!$J$14*(CP14*$B34),".")</f>
        <v>5.0541513613472637E-4</v>
      </c>
      <c r="CQ34" s="34">
        <f>IFERROR(s_RadSpec!$J$14*(CQ14*$B34),".")</f>
        <v>5.0541513613472637E-4</v>
      </c>
      <c r="CR34" s="34">
        <f>IFERROR(s_RadSpec!$J$14*(CR14*$B34),".")</f>
        <v>5.0541513613472637E-4</v>
      </c>
      <c r="CS34" s="34">
        <f>IFERROR(s_RadSpec!$J$14*(CS14*$B34),".")</f>
        <v>5.0541513613472637E-4</v>
      </c>
      <c r="CT34" s="34">
        <f>IFERROR(s_RadSpec!$J$14*(CT14*$B34),".")</f>
        <v>5.0541513613472637E-4</v>
      </c>
      <c r="CU34" s="34">
        <f>IFERROR(s_RadSpec!$J$14*(CU14*$B34),".")</f>
        <v>5.0541513613472637E-4</v>
      </c>
      <c r="CV34" s="34">
        <f>IFERROR(s_RadSpec!$J$14*(CV14*$B34),".")</f>
        <v>5.0541513613472637E-4</v>
      </c>
      <c r="CW34" s="34">
        <f>IFERROR(s_RadSpec!$J$14*(CW14*$B34),".")</f>
        <v>5.0541513613472637E-4</v>
      </c>
      <c r="CX34" s="34">
        <f>IFERROR(s_RadSpec!$J$14*(CX14*$B34),".")</f>
        <v>5.0541513613472637E-4</v>
      </c>
    </row>
    <row r="35" spans="1:102" s="3" customFormat="1" x14ac:dyDescent="0.25">
      <c r="A35" s="55" t="s">
        <v>1065</v>
      </c>
      <c r="B35" s="3">
        <v>1</v>
      </c>
      <c r="C35" s="42">
        <f t="shared" ref="C35:AA35" si="36">IFERROR(C30/$B35,0)</f>
        <v>405.84399467374664</v>
      </c>
      <c r="D35" s="42">
        <f t="shared" si="36"/>
        <v>1247.6517691418646</v>
      </c>
      <c r="E35" s="42">
        <f t="shared" si="36"/>
        <v>947.0755287377375</v>
      </c>
      <c r="F35" s="42">
        <f t="shared" si="36"/>
        <v>1110.3972847127168</v>
      </c>
      <c r="G35" s="42">
        <f t="shared" si="36"/>
        <v>1247.6517691418646</v>
      </c>
      <c r="H35" s="42">
        <f t="shared" si="36"/>
        <v>1011.182807396798</v>
      </c>
      <c r="I35" s="42">
        <f t="shared" si="36"/>
        <v>947.0755287377375</v>
      </c>
      <c r="J35" s="42">
        <f t="shared" si="36"/>
        <v>1110.3972847127168</v>
      </c>
      <c r="K35" s="42">
        <f t="shared" si="36"/>
        <v>1247.6517691418646</v>
      </c>
      <c r="L35" s="42">
        <f t="shared" si="36"/>
        <v>1011.182807396798</v>
      </c>
      <c r="M35" s="42">
        <f t="shared" si="36"/>
        <v>1011.182807396798</v>
      </c>
      <c r="N35" s="42">
        <f t="shared" si="36"/>
        <v>947.0755287377375</v>
      </c>
      <c r="O35" s="42">
        <f t="shared" si="36"/>
        <v>1223.1345110953582</v>
      </c>
      <c r="P35" s="42">
        <f t="shared" si="36"/>
        <v>1011.182807396798</v>
      </c>
      <c r="Q35" s="42">
        <f t="shared" si="36"/>
        <v>1011.182807396798</v>
      </c>
      <c r="R35" s="42">
        <f t="shared" si="36"/>
        <v>1247.6517691418646</v>
      </c>
      <c r="S35" s="42">
        <f t="shared" si="36"/>
        <v>1247.6517691418646</v>
      </c>
      <c r="T35" s="42">
        <f t="shared" si="36"/>
        <v>1223.1345110953582</v>
      </c>
      <c r="U35" s="42">
        <f t="shared" si="36"/>
        <v>1169.5104851627939</v>
      </c>
      <c r="V35" s="42">
        <f t="shared" si="36"/>
        <v>1011.182807396798</v>
      </c>
      <c r="W35" s="42">
        <f t="shared" si="36"/>
        <v>1223.1345110953582</v>
      </c>
      <c r="X35" s="42">
        <f t="shared" si="36"/>
        <v>1247.6517691418646</v>
      </c>
      <c r="Y35" s="42">
        <f t="shared" si="36"/>
        <v>1011.182807396798</v>
      </c>
      <c r="Z35" s="42">
        <f t="shared" si="36"/>
        <v>1263.6301321982003</v>
      </c>
      <c r="AA35" s="42">
        <f t="shared" si="36"/>
        <v>1147.941575269087</v>
      </c>
      <c r="AB35" s="34">
        <f t="shared" si="33"/>
        <v>6.1600024462841234E-2</v>
      </c>
      <c r="AC35" s="34">
        <f>IFERROR(s_RadSpec!$J$30*(AC30*$B35),".")</f>
        <v>2.0037642408181736E-2</v>
      </c>
      <c r="AD35" s="34">
        <f>IFERROR(s_RadSpec!$J$30*(AD30*$B35),".")</f>
        <v>2.6397049909335113E-2</v>
      </c>
      <c r="AE35" s="34">
        <f>IFERROR(s_RadSpec!$J$30*(AE30*$B35),".")</f>
        <v>2.2514464277052001E-2</v>
      </c>
      <c r="AF35" s="34">
        <f>IFERROR(s_RadSpec!$J$30*(AF30*$B35),".")</f>
        <v>2.0037642408181736E-2</v>
      </c>
      <c r="AG35" s="34">
        <f>IFERROR(s_RadSpec!$J$30*(AG30*$B35),".")</f>
        <v>2.4723521619557907E-2</v>
      </c>
      <c r="AH35" s="34">
        <f>IFERROR(s_RadSpec!$J$30*(AH30*$B35),".")</f>
        <v>2.6397049909335113E-2</v>
      </c>
      <c r="AI35" s="34">
        <f>IFERROR(s_RadSpec!$J$30*(AI30*$B35),".")</f>
        <v>2.2514464277052001E-2</v>
      </c>
      <c r="AJ35" s="34">
        <f>IFERROR(s_RadSpec!$J$30*(AJ30*$B35),".")</f>
        <v>2.0037642408181736E-2</v>
      </c>
      <c r="AK35" s="34">
        <f>IFERROR(s_RadSpec!$J$30*(AK30*$B35),".")</f>
        <v>2.4723521619557907E-2</v>
      </c>
      <c r="AL35" s="34">
        <f>IFERROR(s_RadSpec!$J$30*(AL30*$B35),".")</f>
        <v>2.4723521619557907E-2</v>
      </c>
      <c r="AM35" s="34">
        <f>IFERROR(s_RadSpec!$J$30*(AM30*$B35),".")</f>
        <v>2.6397049909335113E-2</v>
      </c>
      <c r="AN35" s="34">
        <f>IFERROR(s_RadSpec!$J$30*(AN30*$B35),".")</f>
        <v>2.0439289197728267E-2</v>
      </c>
      <c r="AO35" s="34">
        <f>IFERROR(s_RadSpec!$J$30*(AO30*$B35),".")</f>
        <v>2.4723521619557907E-2</v>
      </c>
      <c r="AP35" s="34">
        <f>IFERROR(s_RadSpec!$J$30*(AP30*$B35),".")</f>
        <v>2.4723521619557907E-2</v>
      </c>
      <c r="AQ35" s="34">
        <f>IFERROR(s_RadSpec!$J$30*(AQ30*$B35),".")</f>
        <v>2.0037642408181736E-2</v>
      </c>
      <c r="AR35" s="34">
        <f>IFERROR(s_RadSpec!$J$30*(AR30*$B35),".")</f>
        <v>2.0037642408181736E-2</v>
      </c>
      <c r="AS35" s="34">
        <f>IFERROR(s_RadSpec!$J$30*(AS30*$B35),".")</f>
        <v>2.0439289197728267E-2</v>
      </c>
      <c r="AT35" s="34">
        <f>IFERROR(s_RadSpec!$J$30*(AT30*$B35),".")</f>
        <v>2.1376465040003501E-2</v>
      </c>
      <c r="AU35" s="34">
        <f>IFERROR(s_RadSpec!$J$30*(AU30*$B35),".")</f>
        <v>2.4723521619557907E-2</v>
      </c>
      <c r="AV35" s="34">
        <f>IFERROR(s_RadSpec!$J$30*(AV30*$B35),".")</f>
        <v>2.0439289197728267E-2</v>
      </c>
      <c r="AW35" s="34">
        <f>IFERROR(s_RadSpec!$J$30*(AW30*$B35),".")</f>
        <v>2.0037642408181736E-2</v>
      </c>
      <c r="AX35" s="34">
        <f>IFERROR(s_RadSpec!$J$30*(AX30*$B35),".")</f>
        <v>2.4723521619557907E-2</v>
      </c>
      <c r="AY35" s="34">
        <f>IFERROR(s_RadSpec!$J$30*(AY30*$B35),".")</f>
        <v>1.9784270225109469E-2</v>
      </c>
      <c r="AZ35" s="34">
        <f>IFERROR(s_RadSpec!$J$30*(AZ30*$B35),".")</f>
        <v>2.1778111829550029E-2</v>
      </c>
      <c r="BA35" s="42">
        <f t="shared" ref="BA35:BY35" si="37">IFERROR(BA30/$B35,0)</f>
        <v>405.84399467374664</v>
      </c>
      <c r="BB35" s="42">
        <f t="shared" si="37"/>
        <v>1247.6517691418646</v>
      </c>
      <c r="BC35" s="42">
        <f t="shared" si="37"/>
        <v>947.0755287377375</v>
      </c>
      <c r="BD35" s="42">
        <f t="shared" si="37"/>
        <v>1110.3972847127168</v>
      </c>
      <c r="BE35" s="42">
        <f t="shared" si="37"/>
        <v>1247.6517691418646</v>
      </c>
      <c r="BF35" s="42">
        <f t="shared" si="37"/>
        <v>1011.182807396798</v>
      </c>
      <c r="BG35" s="42">
        <f t="shared" si="37"/>
        <v>947.0755287377375</v>
      </c>
      <c r="BH35" s="42">
        <f t="shared" si="37"/>
        <v>1110.3972847127168</v>
      </c>
      <c r="BI35" s="42">
        <f t="shared" si="37"/>
        <v>1247.6517691418646</v>
      </c>
      <c r="BJ35" s="42">
        <f t="shared" si="37"/>
        <v>1011.182807396798</v>
      </c>
      <c r="BK35" s="42">
        <f t="shared" si="37"/>
        <v>1011.182807396798</v>
      </c>
      <c r="BL35" s="42">
        <f t="shared" si="37"/>
        <v>947.0755287377375</v>
      </c>
      <c r="BM35" s="42">
        <f t="shared" si="37"/>
        <v>1223.1345110953582</v>
      </c>
      <c r="BN35" s="42">
        <f t="shared" si="37"/>
        <v>1011.182807396798</v>
      </c>
      <c r="BO35" s="42">
        <f t="shared" si="37"/>
        <v>1011.182807396798</v>
      </c>
      <c r="BP35" s="42">
        <f t="shared" si="37"/>
        <v>1247.6517691418646</v>
      </c>
      <c r="BQ35" s="42">
        <f t="shared" si="37"/>
        <v>1247.6517691418646</v>
      </c>
      <c r="BR35" s="42">
        <f t="shared" si="37"/>
        <v>1223.1345110953582</v>
      </c>
      <c r="BS35" s="42">
        <f t="shared" si="37"/>
        <v>1169.5104851627939</v>
      </c>
      <c r="BT35" s="42">
        <f t="shared" si="37"/>
        <v>1011.182807396798</v>
      </c>
      <c r="BU35" s="42">
        <f t="shared" si="37"/>
        <v>1223.1345110953582</v>
      </c>
      <c r="BV35" s="42">
        <f t="shared" si="37"/>
        <v>1247.6517691418646</v>
      </c>
      <c r="BW35" s="42">
        <f t="shared" si="37"/>
        <v>1011.182807396798</v>
      </c>
      <c r="BX35" s="42">
        <f t="shared" si="37"/>
        <v>1263.6301321982003</v>
      </c>
      <c r="BY35" s="42">
        <f t="shared" si="37"/>
        <v>1147.941575269087</v>
      </c>
      <c r="BZ35" s="34">
        <f t="shared" si="35"/>
        <v>6.1600024462841234E-2</v>
      </c>
      <c r="CA35" s="34">
        <f>IFERROR(s_RadSpec!$J$30*(CA30*$B35),".")</f>
        <v>2.0037642408181736E-2</v>
      </c>
      <c r="CB35" s="34">
        <f>IFERROR(s_RadSpec!$J$30*(CB30*$B35),".")</f>
        <v>2.6397049909335113E-2</v>
      </c>
      <c r="CC35" s="34">
        <f>IFERROR(s_RadSpec!$J$30*(CC30*$B35),".")</f>
        <v>2.2514464277052001E-2</v>
      </c>
      <c r="CD35" s="34">
        <f>IFERROR(s_RadSpec!$J$30*(CD30*$B35),".")</f>
        <v>2.0037642408181736E-2</v>
      </c>
      <c r="CE35" s="34">
        <f>IFERROR(s_RadSpec!$J$30*(CE30*$B35),".")</f>
        <v>2.4723521619557907E-2</v>
      </c>
      <c r="CF35" s="34">
        <f>IFERROR(s_RadSpec!$J$30*(CF30*$B35),".")</f>
        <v>2.6397049909335113E-2</v>
      </c>
      <c r="CG35" s="34">
        <f>IFERROR(s_RadSpec!$J$30*(CG30*$B35),".")</f>
        <v>2.2514464277052001E-2</v>
      </c>
      <c r="CH35" s="34">
        <f>IFERROR(s_RadSpec!$J$30*(CH30*$B35),".")</f>
        <v>2.0037642408181736E-2</v>
      </c>
      <c r="CI35" s="34">
        <f>IFERROR(s_RadSpec!$J$30*(CI30*$B35),".")</f>
        <v>2.4723521619557907E-2</v>
      </c>
      <c r="CJ35" s="34">
        <f>IFERROR(s_RadSpec!$J$30*(CJ30*$B35),".")</f>
        <v>2.4723521619557907E-2</v>
      </c>
      <c r="CK35" s="34">
        <f>IFERROR(s_RadSpec!$J$30*(CK30*$B35),".")</f>
        <v>2.6397049909335113E-2</v>
      </c>
      <c r="CL35" s="34">
        <f>IFERROR(s_RadSpec!$J$30*(CL30*$B35),".")</f>
        <v>2.0439289197728267E-2</v>
      </c>
      <c r="CM35" s="34">
        <f>IFERROR(s_RadSpec!$J$30*(CM30*$B35),".")</f>
        <v>2.4723521619557907E-2</v>
      </c>
      <c r="CN35" s="34">
        <f>IFERROR(s_RadSpec!$J$30*(CN30*$B35),".")</f>
        <v>2.4723521619557907E-2</v>
      </c>
      <c r="CO35" s="34">
        <f>IFERROR(s_RadSpec!$J$30*(CO30*$B35),".")</f>
        <v>2.0037642408181736E-2</v>
      </c>
      <c r="CP35" s="34">
        <f>IFERROR(s_RadSpec!$J$30*(CP30*$B35),".")</f>
        <v>2.0037642408181736E-2</v>
      </c>
      <c r="CQ35" s="34">
        <f>IFERROR(s_RadSpec!$J$30*(CQ30*$B35),".")</f>
        <v>2.0439289197728267E-2</v>
      </c>
      <c r="CR35" s="34">
        <f>IFERROR(s_RadSpec!$J$30*(CR30*$B35),".")</f>
        <v>2.1376465040003501E-2</v>
      </c>
      <c r="CS35" s="34">
        <f>IFERROR(s_RadSpec!$J$30*(CS30*$B35),".")</f>
        <v>2.4723521619557907E-2</v>
      </c>
      <c r="CT35" s="34">
        <f>IFERROR(s_RadSpec!$J$30*(CT30*$B35),".")</f>
        <v>2.0439289197728267E-2</v>
      </c>
      <c r="CU35" s="34">
        <f>IFERROR(s_RadSpec!$J$30*(CU30*$B35),".")</f>
        <v>2.0037642408181736E-2</v>
      </c>
      <c r="CV35" s="34">
        <f>IFERROR(s_RadSpec!$J$30*(CV30*$B35),".")</f>
        <v>2.4723521619557907E-2</v>
      </c>
      <c r="CW35" s="34">
        <f>IFERROR(s_RadSpec!$J$30*(CW30*$B35),".")</f>
        <v>1.9784270225109469E-2</v>
      </c>
      <c r="CX35" s="34">
        <f>IFERROR(s_RadSpec!$J$30*(CX30*$B35),".")</f>
        <v>2.1778111829550029E-2</v>
      </c>
    </row>
    <row r="36" spans="1:102" s="3" customFormat="1" x14ac:dyDescent="0.25">
      <c r="A36" s="55" t="s">
        <v>1066</v>
      </c>
      <c r="B36" s="3">
        <v>1</v>
      </c>
      <c r="C36" s="42">
        <f t="shared" ref="C36:AA36" si="38">IFERROR(C26/$B36,0)</f>
        <v>41.165374407185823</v>
      </c>
      <c r="D36" s="42">
        <f t="shared" si="38"/>
        <v>124.36982148476007</v>
      </c>
      <c r="E36" s="42">
        <f t="shared" si="38"/>
        <v>122.92044562510824</v>
      </c>
      <c r="F36" s="42">
        <f t="shared" si="38"/>
        <v>123.7444961791537</v>
      </c>
      <c r="G36" s="42">
        <f t="shared" si="38"/>
        <v>124.36982148476007</v>
      </c>
      <c r="H36" s="42">
        <f t="shared" si="38"/>
        <v>123.78598883408308</v>
      </c>
      <c r="I36" s="42">
        <f t="shared" si="38"/>
        <v>122.92044562510824</v>
      </c>
      <c r="J36" s="42">
        <f t="shared" si="38"/>
        <v>123.7444961791537</v>
      </c>
      <c r="K36" s="42">
        <f t="shared" si="38"/>
        <v>124.36982148476007</v>
      </c>
      <c r="L36" s="42">
        <f t="shared" si="38"/>
        <v>124.07721837202871</v>
      </c>
      <c r="M36" s="42">
        <f t="shared" si="38"/>
        <v>123.78598883408308</v>
      </c>
      <c r="N36" s="42">
        <f t="shared" si="38"/>
        <v>122.92044562510824</v>
      </c>
      <c r="O36" s="42">
        <f t="shared" si="38"/>
        <v>124.30700469847686</v>
      </c>
      <c r="P36" s="42">
        <f t="shared" si="38"/>
        <v>123.78598883408308</v>
      </c>
      <c r="Q36" s="42">
        <f t="shared" si="38"/>
        <v>123.78598883408308</v>
      </c>
      <c r="R36" s="42">
        <f t="shared" si="38"/>
        <v>124.36982148476007</v>
      </c>
      <c r="S36" s="42">
        <f t="shared" si="38"/>
        <v>124.36982148476007</v>
      </c>
      <c r="T36" s="42">
        <f t="shared" si="38"/>
        <v>124.30700469847686</v>
      </c>
      <c r="U36" s="42">
        <f t="shared" si="38"/>
        <v>125.0014988756681</v>
      </c>
      <c r="V36" s="42">
        <f t="shared" si="38"/>
        <v>123.78598883408308</v>
      </c>
      <c r="W36" s="42">
        <f t="shared" si="38"/>
        <v>124.30700469847686</v>
      </c>
      <c r="X36" s="42">
        <f t="shared" si="38"/>
        <v>124.36982148476007</v>
      </c>
      <c r="Y36" s="42">
        <f t="shared" si="38"/>
        <v>123.78598883408308</v>
      </c>
      <c r="Z36" s="42">
        <f t="shared" si="38"/>
        <v>125.08620766686767</v>
      </c>
      <c r="AA36" s="42">
        <f t="shared" si="38"/>
        <v>121.10586751706455</v>
      </c>
      <c r="AB36" s="34">
        <f t="shared" si="33"/>
        <v>0.60730651330201446</v>
      </c>
      <c r="AC36" s="34">
        <f>IFERROR(s_RadSpec!$J$26*(AC26*$B36),".")</f>
        <v>0.20101339458031975</v>
      </c>
      <c r="AD36" s="34">
        <f>IFERROR(s_RadSpec!$J$26*(AD26*$B36),".")</f>
        <v>0.2033835776697949</v>
      </c>
      <c r="AE36" s="34">
        <f>IFERROR(s_RadSpec!$J$26*(AE26*$B36),".")</f>
        <v>0.20202918733295194</v>
      </c>
      <c r="AF36" s="34">
        <f>IFERROR(s_RadSpec!$J$26*(AF26*$B36),".")</f>
        <v>0.20101339458031975</v>
      </c>
      <c r="AG36" s="34">
        <f>IFERROR(s_RadSpec!$J$26*(AG26*$B36),".")</f>
        <v>0.2019614678161098</v>
      </c>
      <c r="AH36" s="34">
        <f>IFERROR(s_RadSpec!$J$26*(AH26*$B36),".")</f>
        <v>0.2033835776697949</v>
      </c>
      <c r="AI36" s="34">
        <f>IFERROR(s_RadSpec!$J$26*(AI26*$B36),".")</f>
        <v>0.20202918733295194</v>
      </c>
      <c r="AJ36" s="34">
        <f>IFERROR(s_RadSpec!$J$26*(AJ26*$B36),".")</f>
        <v>0.20101339458031975</v>
      </c>
      <c r="AK36" s="34">
        <f>IFERROR(s_RadSpec!$J$26*(AK26*$B36),".")</f>
        <v>0.20148743119821474</v>
      </c>
      <c r="AL36" s="34">
        <f>IFERROR(s_RadSpec!$J$26*(AL26*$B36),".")</f>
        <v>0.2019614678161098</v>
      </c>
      <c r="AM36" s="34">
        <f>IFERROR(s_RadSpec!$J$26*(AM26*$B36),".")</f>
        <v>0.2033835776697949</v>
      </c>
      <c r="AN36" s="34">
        <f>IFERROR(s_RadSpec!$J$26*(AN26*$B36),".")</f>
        <v>0.20111497385558297</v>
      </c>
      <c r="AO36" s="34">
        <f>IFERROR(s_RadSpec!$J$26*(AO26*$B36),".")</f>
        <v>0.2019614678161098</v>
      </c>
      <c r="AP36" s="34">
        <f>IFERROR(s_RadSpec!$J$26*(AP26*$B36),".")</f>
        <v>0.2019614678161098</v>
      </c>
      <c r="AQ36" s="34">
        <f>IFERROR(s_RadSpec!$J$26*(AQ26*$B36),".")</f>
        <v>0.20101339458031975</v>
      </c>
      <c r="AR36" s="34">
        <f>IFERROR(s_RadSpec!$J$26*(AR26*$B36),".")</f>
        <v>0.20101339458031975</v>
      </c>
      <c r="AS36" s="34">
        <f>IFERROR(s_RadSpec!$J$26*(AS26*$B36),".")</f>
        <v>0.20111497385558297</v>
      </c>
      <c r="AT36" s="34">
        <f>IFERROR(s_RadSpec!$J$26*(AT26*$B36),".")</f>
        <v>0.19999760182768753</v>
      </c>
      <c r="AU36" s="34">
        <f>IFERROR(s_RadSpec!$J$26*(AU26*$B36),".")</f>
        <v>0.2019614678161098</v>
      </c>
      <c r="AV36" s="34">
        <f>IFERROR(s_RadSpec!$J$26*(AV26*$B36),".")</f>
        <v>0.20111497385558297</v>
      </c>
      <c r="AW36" s="34">
        <f>IFERROR(s_RadSpec!$J$26*(AW26*$B36),".")</f>
        <v>0.20101339458031975</v>
      </c>
      <c r="AX36" s="34">
        <f>IFERROR(s_RadSpec!$J$26*(AX26*$B36),".")</f>
        <v>0.2019614678161098</v>
      </c>
      <c r="AY36" s="34">
        <f>IFERROR(s_RadSpec!$J$26*(AY26*$B36),".")</f>
        <v>0.19986216279400321</v>
      </c>
      <c r="AZ36" s="34">
        <f>IFERROR(s_RadSpec!$J$26*(AZ26*$B36),".")</f>
        <v>0.20643095592769151</v>
      </c>
      <c r="BA36" s="42">
        <f t="shared" ref="BA36:BY36" si="39">IFERROR(BA26/$B36,0)</f>
        <v>41.165374407185823</v>
      </c>
      <c r="BB36" s="42">
        <f t="shared" si="39"/>
        <v>124.36982148476007</v>
      </c>
      <c r="BC36" s="42">
        <f t="shared" si="39"/>
        <v>122.92044562510824</v>
      </c>
      <c r="BD36" s="42">
        <f t="shared" si="39"/>
        <v>123.7444961791537</v>
      </c>
      <c r="BE36" s="42">
        <f t="shared" si="39"/>
        <v>124.36982148476007</v>
      </c>
      <c r="BF36" s="42">
        <f t="shared" si="39"/>
        <v>123.78598883408308</v>
      </c>
      <c r="BG36" s="42">
        <f t="shared" si="39"/>
        <v>122.92044562510824</v>
      </c>
      <c r="BH36" s="42">
        <f t="shared" si="39"/>
        <v>123.7444961791537</v>
      </c>
      <c r="BI36" s="42">
        <f t="shared" si="39"/>
        <v>124.36982148476007</v>
      </c>
      <c r="BJ36" s="42">
        <f t="shared" si="39"/>
        <v>124.07721837202871</v>
      </c>
      <c r="BK36" s="42">
        <f t="shared" si="39"/>
        <v>123.78598883408308</v>
      </c>
      <c r="BL36" s="42">
        <f t="shared" si="39"/>
        <v>122.92044562510824</v>
      </c>
      <c r="BM36" s="42">
        <f t="shared" si="39"/>
        <v>124.30700469847686</v>
      </c>
      <c r="BN36" s="42">
        <f t="shared" si="39"/>
        <v>123.78598883408308</v>
      </c>
      <c r="BO36" s="42">
        <f t="shared" si="39"/>
        <v>123.78598883408308</v>
      </c>
      <c r="BP36" s="42">
        <f t="shared" si="39"/>
        <v>124.36982148476007</v>
      </c>
      <c r="BQ36" s="42">
        <f t="shared" si="39"/>
        <v>124.36982148476007</v>
      </c>
      <c r="BR36" s="42">
        <f t="shared" si="39"/>
        <v>124.30700469847686</v>
      </c>
      <c r="BS36" s="42">
        <f t="shared" si="39"/>
        <v>125.0014988756681</v>
      </c>
      <c r="BT36" s="42">
        <f t="shared" si="39"/>
        <v>123.78598883408308</v>
      </c>
      <c r="BU36" s="42">
        <f t="shared" si="39"/>
        <v>124.30700469847686</v>
      </c>
      <c r="BV36" s="42">
        <f t="shared" si="39"/>
        <v>124.36982148476007</v>
      </c>
      <c r="BW36" s="42">
        <f t="shared" si="39"/>
        <v>123.78598883408308</v>
      </c>
      <c r="BX36" s="42">
        <f t="shared" si="39"/>
        <v>125.08620766686767</v>
      </c>
      <c r="BY36" s="42">
        <f t="shared" si="39"/>
        <v>121.10586751706455</v>
      </c>
      <c r="BZ36" s="34">
        <f t="shared" si="35"/>
        <v>0.60730651330201446</v>
      </c>
      <c r="CA36" s="34">
        <f>IFERROR(s_RadSpec!$J$26*(CA26*$B36),".")</f>
        <v>0.20101339458031975</v>
      </c>
      <c r="CB36" s="34">
        <f>IFERROR(s_RadSpec!$J$26*(CB26*$B36),".")</f>
        <v>0.2033835776697949</v>
      </c>
      <c r="CC36" s="34">
        <f>IFERROR(s_RadSpec!$J$26*(CC26*$B36),".")</f>
        <v>0.20202918733295194</v>
      </c>
      <c r="CD36" s="34">
        <f>IFERROR(s_RadSpec!$J$26*(CD26*$B36),".")</f>
        <v>0.20101339458031975</v>
      </c>
      <c r="CE36" s="34">
        <f>IFERROR(s_RadSpec!$J$26*(CE26*$B36),".")</f>
        <v>0.2019614678161098</v>
      </c>
      <c r="CF36" s="34">
        <f>IFERROR(s_RadSpec!$J$26*(CF26*$B36),".")</f>
        <v>0.2033835776697949</v>
      </c>
      <c r="CG36" s="34">
        <f>IFERROR(s_RadSpec!$J$26*(CG26*$B36),".")</f>
        <v>0.20202918733295194</v>
      </c>
      <c r="CH36" s="34">
        <f>IFERROR(s_RadSpec!$J$26*(CH26*$B36),".")</f>
        <v>0.20101339458031975</v>
      </c>
      <c r="CI36" s="34">
        <f>IFERROR(s_RadSpec!$J$26*(CI26*$B36),".")</f>
        <v>0.20148743119821474</v>
      </c>
      <c r="CJ36" s="34">
        <f>IFERROR(s_RadSpec!$J$26*(CJ26*$B36),".")</f>
        <v>0.2019614678161098</v>
      </c>
      <c r="CK36" s="34">
        <f>IFERROR(s_RadSpec!$J$26*(CK26*$B36),".")</f>
        <v>0.2033835776697949</v>
      </c>
      <c r="CL36" s="34">
        <f>IFERROR(s_RadSpec!$J$26*(CL26*$B36),".")</f>
        <v>0.20111497385558297</v>
      </c>
      <c r="CM36" s="34">
        <f>IFERROR(s_RadSpec!$J$26*(CM26*$B36),".")</f>
        <v>0.2019614678161098</v>
      </c>
      <c r="CN36" s="34">
        <f>IFERROR(s_RadSpec!$J$26*(CN26*$B36),".")</f>
        <v>0.2019614678161098</v>
      </c>
      <c r="CO36" s="34">
        <f>IFERROR(s_RadSpec!$J$26*(CO26*$B36),".")</f>
        <v>0.20101339458031975</v>
      </c>
      <c r="CP36" s="34">
        <f>IFERROR(s_RadSpec!$J$26*(CP26*$B36),".")</f>
        <v>0.20101339458031975</v>
      </c>
      <c r="CQ36" s="34">
        <f>IFERROR(s_RadSpec!$J$26*(CQ26*$B36),".")</f>
        <v>0.20111497385558297</v>
      </c>
      <c r="CR36" s="34">
        <f>IFERROR(s_RadSpec!$J$26*(CR26*$B36),".")</f>
        <v>0.19999760182768753</v>
      </c>
      <c r="CS36" s="34">
        <f>IFERROR(s_RadSpec!$J$26*(CS26*$B36),".")</f>
        <v>0.2019614678161098</v>
      </c>
      <c r="CT36" s="34">
        <f>IFERROR(s_RadSpec!$J$26*(CT26*$B36),".")</f>
        <v>0.20111497385558297</v>
      </c>
      <c r="CU36" s="34">
        <f>IFERROR(s_RadSpec!$J$26*(CU26*$B36),".")</f>
        <v>0.20101339458031975</v>
      </c>
      <c r="CV36" s="34">
        <f>IFERROR(s_RadSpec!$J$26*(CV26*$B36),".")</f>
        <v>0.2019614678161098</v>
      </c>
      <c r="CW36" s="34">
        <f>IFERROR(s_RadSpec!$J$26*(CW26*$B36),".")</f>
        <v>0.19986216279400321</v>
      </c>
      <c r="CX36" s="34">
        <f>IFERROR(s_RadSpec!$J$26*(CX26*$B36),".")</f>
        <v>0.20643095592769151</v>
      </c>
    </row>
    <row r="37" spans="1:102" s="3" customFormat="1" x14ac:dyDescent="0.25">
      <c r="A37" s="55" t="s">
        <v>1067</v>
      </c>
      <c r="B37" s="3">
        <v>1</v>
      </c>
      <c r="C37" s="42">
        <f t="shared" ref="C37:AA37" si="40">IFERROR(C22/$B37,0)</f>
        <v>92.399201466289966</v>
      </c>
      <c r="D37" s="42">
        <f t="shared" si="40"/>
        <v>274.33975018095447</v>
      </c>
      <c r="E37" s="42">
        <f t="shared" si="40"/>
        <v>126.06427896917651</v>
      </c>
      <c r="F37" s="42">
        <f t="shared" si="40"/>
        <v>146.60763747799754</v>
      </c>
      <c r="G37" s="42">
        <f t="shared" si="40"/>
        <v>274.33975018095447</v>
      </c>
      <c r="H37" s="42">
        <f t="shared" si="40"/>
        <v>249.02713789835653</v>
      </c>
      <c r="I37" s="42">
        <f t="shared" si="40"/>
        <v>126.06427896917651</v>
      </c>
      <c r="J37" s="42">
        <f t="shared" si="40"/>
        <v>146.60763747799754</v>
      </c>
      <c r="K37" s="42">
        <f t="shared" si="40"/>
        <v>274.33975018095447</v>
      </c>
      <c r="L37" s="42">
        <f t="shared" si="40"/>
        <v>308.37112966216239</v>
      </c>
      <c r="M37" s="42">
        <f t="shared" si="40"/>
        <v>249.02713789835653</v>
      </c>
      <c r="N37" s="42">
        <f t="shared" si="40"/>
        <v>126.06427896917651</v>
      </c>
      <c r="O37" s="42">
        <f t="shared" si="40"/>
        <v>259.27988557215792</v>
      </c>
      <c r="P37" s="42">
        <f t="shared" si="40"/>
        <v>249.02713789835653</v>
      </c>
      <c r="Q37" s="42">
        <f t="shared" si="40"/>
        <v>249.02713789835653</v>
      </c>
      <c r="R37" s="42">
        <f t="shared" si="40"/>
        <v>274.33975018095447</v>
      </c>
      <c r="S37" s="42">
        <f t="shared" si="40"/>
        <v>274.33975018095447</v>
      </c>
      <c r="T37" s="42">
        <f t="shared" si="40"/>
        <v>259.27988557215792</v>
      </c>
      <c r="U37" s="42">
        <f t="shared" si="40"/>
        <v>270.41311992431514</v>
      </c>
      <c r="V37" s="42">
        <f t="shared" si="40"/>
        <v>249.02713789835653</v>
      </c>
      <c r="W37" s="42">
        <f t="shared" si="40"/>
        <v>259.27988557215792</v>
      </c>
      <c r="X37" s="42">
        <f t="shared" si="40"/>
        <v>274.33975018095447</v>
      </c>
      <c r="Y37" s="42">
        <f t="shared" si="40"/>
        <v>249.02713789835653</v>
      </c>
      <c r="Z37" s="42">
        <f t="shared" si="40"/>
        <v>316.26928498649107</v>
      </c>
      <c r="AA37" s="42">
        <f t="shared" si="40"/>
        <v>249.02713789835653</v>
      </c>
      <c r="AB37" s="34">
        <f t="shared" si="33"/>
        <v>0.27056510882424412</v>
      </c>
      <c r="AC37" s="34">
        <f>IFERROR(s_RadSpec!$J$22*(AC22*$B37),".")</f>
        <v>9.1127880606109768E-2</v>
      </c>
      <c r="AD37" s="34">
        <f>IFERROR(s_RadSpec!$J$22*(AD22*$B37),".")</f>
        <v>0.19831152967695673</v>
      </c>
      <c r="AE37" s="34">
        <f>IFERROR(s_RadSpec!$J$22*(AE22*$B37),".")</f>
        <v>0.17052317621414456</v>
      </c>
      <c r="AF37" s="34">
        <f>IFERROR(s_RadSpec!$J$22*(AF22*$B37),".")</f>
        <v>9.1127880606109768E-2</v>
      </c>
      <c r="AG37" s="34">
        <f>IFERROR(s_RadSpec!$J$22*(AG22*$B37),".")</f>
        <v>0.10039066509371383</v>
      </c>
      <c r="AH37" s="34">
        <f>IFERROR(s_RadSpec!$J$22*(AH22*$B37),".")</f>
        <v>0.19831152967695673</v>
      </c>
      <c r="AI37" s="34">
        <f>IFERROR(s_RadSpec!$J$22*(AI22*$B37),".")</f>
        <v>0.17052317621414456</v>
      </c>
      <c r="AJ37" s="34">
        <f>IFERROR(s_RadSpec!$J$22*(AJ22*$B37),".")</f>
        <v>9.1127880606109768E-2</v>
      </c>
      <c r="AK37" s="34">
        <f>IFERROR(s_RadSpec!$J$22*(AK22*$B37),".")</f>
        <v>8.1071143162425363E-2</v>
      </c>
      <c r="AL37" s="34">
        <f>IFERROR(s_RadSpec!$J$22*(AL22*$B37),".")</f>
        <v>0.10039066509371383</v>
      </c>
      <c r="AM37" s="34">
        <f>IFERROR(s_RadSpec!$J$22*(AM22*$B37),".")</f>
        <v>0.19831152967695673</v>
      </c>
      <c r="AN37" s="34">
        <f>IFERROR(s_RadSpec!$J$22*(AN22*$B37),".")</f>
        <v>9.6420900313312088E-2</v>
      </c>
      <c r="AO37" s="34">
        <f>IFERROR(s_RadSpec!$J$22*(AO22*$B37),".")</f>
        <v>0.10039066509371383</v>
      </c>
      <c r="AP37" s="34">
        <f>IFERROR(s_RadSpec!$J$22*(AP22*$B37),".")</f>
        <v>0.10039066509371383</v>
      </c>
      <c r="AQ37" s="34">
        <f>IFERROR(s_RadSpec!$J$22*(AQ22*$B37),".")</f>
        <v>9.1127880606109768E-2</v>
      </c>
      <c r="AR37" s="34">
        <f>IFERROR(s_RadSpec!$J$22*(AR22*$B37),".")</f>
        <v>9.1127880606109768E-2</v>
      </c>
      <c r="AS37" s="34">
        <f>IFERROR(s_RadSpec!$J$22*(AS22*$B37),".")</f>
        <v>9.6420900313312088E-2</v>
      </c>
      <c r="AT37" s="34">
        <f>IFERROR(s_RadSpec!$J$22*(AT22*$B37),".")</f>
        <v>9.2451135532910345E-2</v>
      </c>
      <c r="AU37" s="34">
        <f>IFERROR(s_RadSpec!$J$22*(AU22*$B37),".")</f>
        <v>0.10039066509371383</v>
      </c>
      <c r="AV37" s="34">
        <f>IFERROR(s_RadSpec!$J$22*(AV22*$B37),".")</f>
        <v>9.6420900313312088E-2</v>
      </c>
      <c r="AW37" s="34">
        <f>IFERROR(s_RadSpec!$J$22*(AW22*$B37),".")</f>
        <v>9.1127880606109768E-2</v>
      </c>
      <c r="AX37" s="34">
        <f>IFERROR(s_RadSpec!$J$22*(AX22*$B37),".")</f>
        <v>0.10039066509371383</v>
      </c>
      <c r="AY37" s="34">
        <f>IFERROR(s_RadSpec!$J$22*(AY22*$B37),".")</f>
        <v>7.9046563124420474E-2</v>
      </c>
      <c r="AZ37" s="34">
        <f>IFERROR(s_RadSpec!$J$22*(AZ22*$B37),".")</f>
        <v>0.10039066509371383</v>
      </c>
      <c r="BA37" s="42">
        <f t="shared" ref="BA37:BY37" si="41">IFERROR(BA22/$B37,0)</f>
        <v>92.399201466289966</v>
      </c>
      <c r="BB37" s="42">
        <f t="shared" si="41"/>
        <v>274.33975018095447</v>
      </c>
      <c r="BC37" s="42">
        <f t="shared" si="41"/>
        <v>126.06427896917651</v>
      </c>
      <c r="BD37" s="42">
        <f t="shared" si="41"/>
        <v>146.60763747799754</v>
      </c>
      <c r="BE37" s="42">
        <f t="shared" si="41"/>
        <v>274.33975018095447</v>
      </c>
      <c r="BF37" s="42">
        <f t="shared" si="41"/>
        <v>249.02713789835653</v>
      </c>
      <c r="BG37" s="42">
        <f t="shared" si="41"/>
        <v>126.06427896917651</v>
      </c>
      <c r="BH37" s="42">
        <f t="shared" si="41"/>
        <v>146.60763747799754</v>
      </c>
      <c r="BI37" s="42">
        <f t="shared" si="41"/>
        <v>274.33975018095447</v>
      </c>
      <c r="BJ37" s="42">
        <f t="shared" si="41"/>
        <v>308.37112966216239</v>
      </c>
      <c r="BK37" s="42">
        <f t="shared" si="41"/>
        <v>249.02713789835653</v>
      </c>
      <c r="BL37" s="42">
        <f t="shared" si="41"/>
        <v>126.06427896917651</v>
      </c>
      <c r="BM37" s="42">
        <f t="shared" si="41"/>
        <v>259.27988557215792</v>
      </c>
      <c r="BN37" s="42">
        <f t="shared" si="41"/>
        <v>249.02713789835653</v>
      </c>
      <c r="BO37" s="42">
        <f t="shared" si="41"/>
        <v>249.02713789835653</v>
      </c>
      <c r="BP37" s="42">
        <f t="shared" si="41"/>
        <v>274.33975018095447</v>
      </c>
      <c r="BQ37" s="42">
        <f t="shared" si="41"/>
        <v>274.33975018095447</v>
      </c>
      <c r="BR37" s="42">
        <f t="shared" si="41"/>
        <v>259.27988557215792</v>
      </c>
      <c r="BS37" s="42">
        <f t="shared" si="41"/>
        <v>270.41311992431514</v>
      </c>
      <c r="BT37" s="42">
        <f t="shared" si="41"/>
        <v>249.02713789835653</v>
      </c>
      <c r="BU37" s="42">
        <f t="shared" si="41"/>
        <v>259.27988557215792</v>
      </c>
      <c r="BV37" s="42">
        <f t="shared" si="41"/>
        <v>274.33975018095447</v>
      </c>
      <c r="BW37" s="42">
        <f t="shared" si="41"/>
        <v>249.02713789835653</v>
      </c>
      <c r="BX37" s="42">
        <f t="shared" si="41"/>
        <v>316.26928498649107</v>
      </c>
      <c r="BY37" s="42">
        <f t="shared" si="41"/>
        <v>249.02713789835653</v>
      </c>
      <c r="BZ37" s="34">
        <f t="shared" si="35"/>
        <v>0.27056510882424412</v>
      </c>
      <c r="CA37" s="34">
        <f>IFERROR(s_RadSpec!$J$22*(CA22*$B37),".")</f>
        <v>9.1127880606109768E-2</v>
      </c>
      <c r="CB37" s="34">
        <f>IFERROR(s_RadSpec!$J$22*(CB22*$B37),".")</f>
        <v>0.19831152967695673</v>
      </c>
      <c r="CC37" s="34">
        <f>IFERROR(s_RadSpec!$J$22*(CC22*$B37),".")</f>
        <v>0.17052317621414456</v>
      </c>
      <c r="CD37" s="34">
        <f>IFERROR(s_RadSpec!$J$22*(CD22*$B37),".")</f>
        <v>9.1127880606109768E-2</v>
      </c>
      <c r="CE37" s="34">
        <f>IFERROR(s_RadSpec!$J$22*(CE22*$B37),".")</f>
        <v>0.10039066509371383</v>
      </c>
      <c r="CF37" s="34">
        <f>IFERROR(s_RadSpec!$J$22*(CF22*$B37),".")</f>
        <v>0.19831152967695673</v>
      </c>
      <c r="CG37" s="34">
        <f>IFERROR(s_RadSpec!$J$22*(CG22*$B37),".")</f>
        <v>0.17052317621414456</v>
      </c>
      <c r="CH37" s="34">
        <f>IFERROR(s_RadSpec!$J$22*(CH22*$B37),".")</f>
        <v>9.1127880606109768E-2</v>
      </c>
      <c r="CI37" s="34">
        <f>IFERROR(s_RadSpec!$J$22*(CI22*$B37),".")</f>
        <v>8.1071143162425363E-2</v>
      </c>
      <c r="CJ37" s="34">
        <f>IFERROR(s_RadSpec!$J$22*(CJ22*$B37),".")</f>
        <v>0.10039066509371383</v>
      </c>
      <c r="CK37" s="34">
        <f>IFERROR(s_RadSpec!$J$22*(CK22*$B37),".")</f>
        <v>0.19831152967695673</v>
      </c>
      <c r="CL37" s="34">
        <f>IFERROR(s_RadSpec!$J$22*(CL22*$B37),".")</f>
        <v>9.6420900313312088E-2</v>
      </c>
      <c r="CM37" s="34">
        <f>IFERROR(s_RadSpec!$J$22*(CM22*$B37),".")</f>
        <v>0.10039066509371383</v>
      </c>
      <c r="CN37" s="34">
        <f>IFERROR(s_RadSpec!$J$22*(CN22*$B37),".")</f>
        <v>0.10039066509371383</v>
      </c>
      <c r="CO37" s="34">
        <f>IFERROR(s_RadSpec!$J$22*(CO22*$B37),".")</f>
        <v>9.1127880606109768E-2</v>
      </c>
      <c r="CP37" s="34">
        <f>IFERROR(s_RadSpec!$J$22*(CP22*$B37),".")</f>
        <v>9.1127880606109768E-2</v>
      </c>
      <c r="CQ37" s="34">
        <f>IFERROR(s_RadSpec!$J$22*(CQ22*$B37),".")</f>
        <v>9.6420900313312088E-2</v>
      </c>
      <c r="CR37" s="34">
        <f>IFERROR(s_RadSpec!$J$22*(CR22*$B37),".")</f>
        <v>9.2451135532910345E-2</v>
      </c>
      <c r="CS37" s="34">
        <f>IFERROR(s_RadSpec!$J$22*(CS22*$B37),".")</f>
        <v>0.10039066509371383</v>
      </c>
      <c r="CT37" s="34">
        <f>IFERROR(s_RadSpec!$J$22*(CT22*$B37),".")</f>
        <v>9.6420900313312088E-2</v>
      </c>
      <c r="CU37" s="34">
        <f>IFERROR(s_RadSpec!$J$22*(CU22*$B37),".")</f>
        <v>9.1127880606109768E-2</v>
      </c>
      <c r="CV37" s="34">
        <f>IFERROR(s_RadSpec!$J$22*(CV22*$B37),".")</f>
        <v>0.10039066509371383</v>
      </c>
      <c r="CW37" s="34">
        <f>IFERROR(s_RadSpec!$J$22*(CW22*$B37),".")</f>
        <v>7.9046563124420474E-2</v>
      </c>
      <c r="CX37" s="34">
        <f>IFERROR(s_RadSpec!$J$22*(CX22*$B37),".")</f>
        <v>0.10039066509371383</v>
      </c>
    </row>
    <row r="38" spans="1:102" s="3" customFormat="1" x14ac:dyDescent="0.25">
      <c r="A38" s="55" t="s">
        <v>1068</v>
      </c>
      <c r="B38" s="3">
        <v>1</v>
      </c>
      <c r="C38" s="42">
        <f t="shared" ref="C38:AA38" si="42">IFERROR(C2/$B38,0)</f>
        <v>478.70386553435469</v>
      </c>
      <c r="D38" s="42">
        <f t="shared" si="42"/>
        <v>1436.1115966030641</v>
      </c>
      <c r="E38" s="42">
        <f t="shared" si="42"/>
        <v>1436.1115966030641</v>
      </c>
      <c r="F38" s="42">
        <f t="shared" si="42"/>
        <v>1436.1115966030641</v>
      </c>
      <c r="G38" s="42">
        <f t="shared" si="42"/>
        <v>1436.1115966030641</v>
      </c>
      <c r="H38" s="42">
        <f t="shared" si="42"/>
        <v>1436.1115966030641</v>
      </c>
      <c r="I38" s="42">
        <f t="shared" si="42"/>
        <v>1436.1115966030641</v>
      </c>
      <c r="J38" s="42">
        <f t="shared" si="42"/>
        <v>1436.1115966030641</v>
      </c>
      <c r="K38" s="42">
        <f t="shared" si="42"/>
        <v>1436.1115966030641</v>
      </c>
      <c r="L38" s="42">
        <f t="shared" si="42"/>
        <v>1436.1115966030641</v>
      </c>
      <c r="M38" s="42">
        <f t="shared" si="42"/>
        <v>1436.1115966030641</v>
      </c>
      <c r="N38" s="42">
        <f t="shared" si="42"/>
        <v>1436.1115966030641</v>
      </c>
      <c r="O38" s="42">
        <f t="shared" si="42"/>
        <v>1436.1115966030641</v>
      </c>
      <c r="P38" s="42">
        <f t="shared" si="42"/>
        <v>1436.1115966030641</v>
      </c>
      <c r="Q38" s="42">
        <f t="shared" si="42"/>
        <v>1436.1115966030641</v>
      </c>
      <c r="R38" s="42">
        <f t="shared" si="42"/>
        <v>1436.1115966030641</v>
      </c>
      <c r="S38" s="42">
        <f t="shared" si="42"/>
        <v>1436.1115966030641</v>
      </c>
      <c r="T38" s="42">
        <f t="shared" si="42"/>
        <v>1436.1115966030641</v>
      </c>
      <c r="U38" s="42">
        <f t="shared" si="42"/>
        <v>1436.1115966030641</v>
      </c>
      <c r="V38" s="42">
        <f t="shared" si="42"/>
        <v>1436.1115966030641</v>
      </c>
      <c r="W38" s="42">
        <f t="shared" si="42"/>
        <v>1436.1115966030641</v>
      </c>
      <c r="X38" s="42">
        <f t="shared" si="42"/>
        <v>1436.1115966030641</v>
      </c>
      <c r="Y38" s="42">
        <f t="shared" si="42"/>
        <v>1436.1115966030641</v>
      </c>
      <c r="Z38" s="42">
        <f t="shared" si="42"/>
        <v>1436.1115966030641</v>
      </c>
      <c r="AA38" s="42">
        <f t="shared" si="42"/>
        <v>1436.1115966030641</v>
      </c>
      <c r="AB38" s="34">
        <f t="shared" si="33"/>
        <v>5.2224353718334129E-2</v>
      </c>
      <c r="AC38" s="34">
        <f>IFERROR(s_RadSpec!$J$2*(AC2*$B38),".")</f>
        <v>1.7408117906111378E-2</v>
      </c>
      <c r="AD38" s="34">
        <f>IFERROR(s_RadSpec!$J$2*(AD2*$B38),".")</f>
        <v>1.7408117906111378E-2</v>
      </c>
      <c r="AE38" s="34">
        <f>IFERROR(s_RadSpec!$J$2*(AE2*$B38),".")</f>
        <v>1.7408117906111378E-2</v>
      </c>
      <c r="AF38" s="34">
        <f>IFERROR(s_RadSpec!$J$2*(AF2*$B38),".")</f>
        <v>1.7408117906111378E-2</v>
      </c>
      <c r="AG38" s="34">
        <f>IFERROR(s_RadSpec!$J$2*(AG2*$B38),".")</f>
        <v>1.7408117906111378E-2</v>
      </c>
      <c r="AH38" s="34">
        <f>IFERROR(s_RadSpec!$J$2*(AH2*$B38),".")</f>
        <v>1.7408117906111378E-2</v>
      </c>
      <c r="AI38" s="34">
        <f>IFERROR(s_RadSpec!$J$2*(AI2*$B38),".")</f>
        <v>1.7408117906111378E-2</v>
      </c>
      <c r="AJ38" s="34">
        <f>IFERROR(s_RadSpec!$J$2*(AJ2*$B38),".")</f>
        <v>1.7408117906111378E-2</v>
      </c>
      <c r="AK38" s="34">
        <f>IFERROR(s_RadSpec!$J$2*(AK2*$B38),".")</f>
        <v>1.7408117906111378E-2</v>
      </c>
      <c r="AL38" s="34">
        <f>IFERROR(s_RadSpec!$J$2*(AL2*$B38),".")</f>
        <v>1.7408117906111378E-2</v>
      </c>
      <c r="AM38" s="34">
        <f>IFERROR(s_RadSpec!$J$2*(AM2*$B38),".")</f>
        <v>1.7408117906111378E-2</v>
      </c>
      <c r="AN38" s="34">
        <f>IFERROR(s_RadSpec!$J$2*(AN2*$B38),".")</f>
        <v>1.7408117906111378E-2</v>
      </c>
      <c r="AO38" s="34">
        <f>IFERROR(s_RadSpec!$J$2*(AO2*$B38),".")</f>
        <v>1.7408117906111378E-2</v>
      </c>
      <c r="AP38" s="34">
        <f>IFERROR(s_RadSpec!$J$2*(AP2*$B38),".")</f>
        <v>1.7408117906111378E-2</v>
      </c>
      <c r="AQ38" s="34">
        <f>IFERROR(s_RadSpec!$J$2*(AQ2*$B38),".")</f>
        <v>1.7408117906111378E-2</v>
      </c>
      <c r="AR38" s="34">
        <f>IFERROR(s_RadSpec!$J$2*(AR2*$B38),".")</f>
        <v>1.7408117906111378E-2</v>
      </c>
      <c r="AS38" s="34">
        <f>IFERROR(s_RadSpec!$J$2*(AS2*$B38),".")</f>
        <v>1.7408117906111378E-2</v>
      </c>
      <c r="AT38" s="34">
        <f>IFERROR(s_RadSpec!$J$2*(AT2*$B38),".")</f>
        <v>1.7408117906111378E-2</v>
      </c>
      <c r="AU38" s="34">
        <f>IFERROR(s_RadSpec!$J$2*(AU2*$B38),".")</f>
        <v>1.7408117906111378E-2</v>
      </c>
      <c r="AV38" s="34">
        <f>IFERROR(s_RadSpec!$J$2*(AV2*$B38),".")</f>
        <v>1.7408117906111378E-2</v>
      </c>
      <c r="AW38" s="34">
        <f>IFERROR(s_RadSpec!$J$2*(AW2*$B38),".")</f>
        <v>1.7408117906111378E-2</v>
      </c>
      <c r="AX38" s="34">
        <f>IFERROR(s_RadSpec!$J$2*(AX2*$B38),".")</f>
        <v>1.7408117906111378E-2</v>
      </c>
      <c r="AY38" s="34">
        <f>IFERROR(s_RadSpec!$J$2*(AY2*$B38),".")</f>
        <v>1.7408117906111378E-2</v>
      </c>
      <c r="AZ38" s="34">
        <f>IFERROR(s_RadSpec!$J$2*(AZ2*$B38),".")</f>
        <v>1.7408117906111378E-2</v>
      </c>
      <c r="BA38" s="42">
        <f t="shared" ref="BA38:BY38" si="43">IFERROR(BA2/$B38,0)</f>
        <v>478.70386553435469</v>
      </c>
      <c r="BB38" s="42">
        <f t="shared" si="43"/>
        <v>1436.1115966030641</v>
      </c>
      <c r="BC38" s="42">
        <f t="shared" si="43"/>
        <v>1436.1115966030641</v>
      </c>
      <c r="BD38" s="42">
        <f t="shared" si="43"/>
        <v>1436.1115966030641</v>
      </c>
      <c r="BE38" s="42">
        <f t="shared" si="43"/>
        <v>1436.1115966030641</v>
      </c>
      <c r="BF38" s="42">
        <f t="shared" si="43"/>
        <v>1436.1115966030641</v>
      </c>
      <c r="BG38" s="42">
        <f t="shared" si="43"/>
        <v>1436.1115966030641</v>
      </c>
      <c r="BH38" s="42">
        <f t="shared" si="43"/>
        <v>1436.1115966030641</v>
      </c>
      <c r="BI38" s="42">
        <f t="shared" si="43"/>
        <v>1436.1115966030641</v>
      </c>
      <c r="BJ38" s="42">
        <f t="shared" si="43"/>
        <v>1436.1115966030641</v>
      </c>
      <c r="BK38" s="42">
        <f t="shared" si="43"/>
        <v>1436.1115966030641</v>
      </c>
      <c r="BL38" s="42">
        <f t="shared" si="43"/>
        <v>1436.1115966030641</v>
      </c>
      <c r="BM38" s="42">
        <f t="shared" si="43"/>
        <v>1436.1115966030641</v>
      </c>
      <c r="BN38" s="42">
        <f t="shared" si="43"/>
        <v>1436.1115966030641</v>
      </c>
      <c r="BO38" s="42">
        <f t="shared" si="43"/>
        <v>1436.1115966030641</v>
      </c>
      <c r="BP38" s="42">
        <f t="shared" si="43"/>
        <v>1436.1115966030641</v>
      </c>
      <c r="BQ38" s="42">
        <f t="shared" si="43"/>
        <v>1436.1115966030641</v>
      </c>
      <c r="BR38" s="42">
        <f t="shared" si="43"/>
        <v>1436.1115966030641</v>
      </c>
      <c r="BS38" s="42">
        <f t="shared" si="43"/>
        <v>1436.1115966030641</v>
      </c>
      <c r="BT38" s="42">
        <f t="shared" si="43"/>
        <v>1436.1115966030641</v>
      </c>
      <c r="BU38" s="42">
        <f t="shared" si="43"/>
        <v>1436.1115966030641</v>
      </c>
      <c r="BV38" s="42">
        <f t="shared" si="43"/>
        <v>1436.1115966030641</v>
      </c>
      <c r="BW38" s="42">
        <f t="shared" si="43"/>
        <v>1436.1115966030641</v>
      </c>
      <c r="BX38" s="42">
        <f t="shared" si="43"/>
        <v>1436.1115966030641</v>
      </c>
      <c r="BY38" s="42">
        <f t="shared" si="43"/>
        <v>1436.1115966030641</v>
      </c>
      <c r="BZ38" s="34">
        <f t="shared" si="35"/>
        <v>5.2224353718334129E-2</v>
      </c>
      <c r="CA38" s="34">
        <f>IFERROR(s_RadSpec!$J$2*(CA2*$B38),".")</f>
        <v>1.7408117906111378E-2</v>
      </c>
      <c r="CB38" s="34">
        <f>IFERROR(s_RadSpec!$J$2*(CB2*$B38),".")</f>
        <v>1.7408117906111378E-2</v>
      </c>
      <c r="CC38" s="34">
        <f>IFERROR(s_RadSpec!$J$2*(CC2*$B38),".")</f>
        <v>1.7408117906111378E-2</v>
      </c>
      <c r="CD38" s="34">
        <f>IFERROR(s_RadSpec!$J$2*(CD2*$B38),".")</f>
        <v>1.7408117906111378E-2</v>
      </c>
      <c r="CE38" s="34">
        <f>IFERROR(s_RadSpec!$J$2*(CE2*$B38),".")</f>
        <v>1.7408117906111378E-2</v>
      </c>
      <c r="CF38" s="34">
        <f>IFERROR(s_RadSpec!$J$2*(CF2*$B38),".")</f>
        <v>1.7408117906111378E-2</v>
      </c>
      <c r="CG38" s="34">
        <f>IFERROR(s_RadSpec!$J$2*(CG2*$B38),".")</f>
        <v>1.7408117906111378E-2</v>
      </c>
      <c r="CH38" s="34">
        <f>IFERROR(s_RadSpec!$J$2*(CH2*$B38),".")</f>
        <v>1.7408117906111378E-2</v>
      </c>
      <c r="CI38" s="34">
        <f>IFERROR(s_RadSpec!$J$2*(CI2*$B38),".")</f>
        <v>1.7408117906111378E-2</v>
      </c>
      <c r="CJ38" s="34">
        <f>IFERROR(s_RadSpec!$J$2*(CJ2*$B38),".")</f>
        <v>1.7408117906111378E-2</v>
      </c>
      <c r="CK38" s="34">
        <f>IFERROR(s_RadSpec!$J$2*(CK2*$B38),".")</f>
        <v>1.7408117906111378E-2</v>
      </c>
      <c r="CL38" s="34">
        <f>IFERROR(s_RadSpec!$J$2*(CL2*$B38),".")</f>
        <v>1.7408117906111378E-2</v>
      </c>
      <c r="CM38" s="34">
        <f>IFERROR(s_RadSpec!$J$2*(CM2*$B38),".")</f>
        <v>1.7408117906111378E-2</v>
      </c>
      <c r="CN38" s="34">
        <f>IFERROR(s_RadSpec!$J$2*(CN2*$B38),".")</f>
        <v>1.7408117906111378E-2</v>
      </c>
      <c r="CO38" s="34">
        <f>IFERROR(s_RadSpec!$J$2*(CO2*$B38),".")</f>
        <v>1.7408117906111378E-2</v>
      </c>
      <c r="CP38" s="34">
        <f>IFERROR(s_RadSpec!$J$2*(CP2*$B38),".")</f>
        <v>1.7408117906111378E-2</v>
      </c>
      <c r="CQ38" s="34">
        <f>IFERROR(s_RadSpec!$J$2*(CQ2*$B38),".")</f>
        <v>1.7408117906111378E-2</v>
      </c>
      <c r="CR38" s="34">
        <f>IFERROR(s_RadSpec!$J$2*(CR2*$B38),".")</f>
        <v>1.7408117906111378E-2</v>
      </c>
      <c r="CS38" s="34">
        <f>IFERROR(s_RadSpec!$J$2*(CS2*$B38),".")</f>
        <v>1.7408117906111378E-2</v>
      </c>
      <c r="CT38" s="34">
        <f>IFERROR(s_RadSpec!$J$2*(CT2*$B38),".")</f>
        <v>1.7408117906111378E-2</v>
      </c>
      <c r="CU38" s="34">
        <f>IFERROR(s_RadSpec!$J$2*(CU2*$B38),".")</f>
        <v>1.7408117906111378E-2</v>
      </c>
      <c r="CV38" s="34">
        <f>IFERROR(s_RadSpec!$J$2*(CV2*$B38),".")</f>
        <v>1.7408117906111378E-2</v>
      </c>
      <c r="CW38" s="34">
        <f>IFERROR(s_RadSpec!$J$2*(CW2*$B38),".")</f>
        <v>1.7408117906111378E-2</v>
      </c>
      <c r="CX38" s="34">
        <f>IFERROR(s_RadSpec!$J$2*(CX2*$B38),".")</f>
        <v>1.7408117906111378E-2</v>
      </c>
    </row>
    <row r="39" spans="1:102" s="3" customFormat="1" x14ac:dyDescent="0.25">
      <c r="A39" s="55" t="s">
        <v>1069</v>
      </c>
      <c r="B39" s="3">
        <v>1</v>
      </c>
      <c r="C39" s="42">
        <f t="shared" ref="C39:AA39" si="44">IFERROR(C11/$B39,0)</f>
        <v>0</v>
      </c>
      <c r="D39" s="42">
        <f t="shared" si="44"/>
        <v>0</v>
      </c>
      <c r="E39" s="42">
        <f t="shared" si="44"/>
        <v>0</v>
      </c>
      <c r="F39" s="42">
        <f t="shared" si="44"/>
        <v>0</v>
      </c>
      <c r="G39" s="42">
        <f t="shared" si="44"/>
        <v>0</v>
      </c>
      <c r="H39" s="42">
        <f t="shared" si="44"/>
        <v>0</v>
      </c>
      <c r="I39" s="42">
        <f t="shared" si="44"/>
        <v>0</v>
      </c>
      <c r="J39" s="42">
        <f t="shared" si="44"/>
        <v>0</v>
      </c>
      <c r="K39" s="42">
        <f t="shared" si="44"/>
        <v>0</v>
      </c>
      <c r="L39" s="42">
        <f t="shared" si="44"/>
        <v>0</v>
      </c>
      <c r="M39" s="42">
        <f t="shared" si="44"/>
        <v>0</v>
      </c>
      <c r="N39" s="42">
        <f t="shared" si="44"/>
        <v>0</v>
      </c>
      <c r="O39" s="42">
        <f t="shared" si="44"/>
        <v>0</v>
      </c>
      <c r="P39" s="42">
        <f t="shared" si="44"/>
        <v>0</v>
      </c>
      <c r="Q39" s="42">
        <f t="shared" si="44"/>
        <v>0</v>
      </c>
      <c r="R39" s="42">
        <f t="shared" si="44"/>
        <v>0</v>
      </c>
      <c r="S39" s="42">
        <f t="shared" si="44"/>
        <v>0</v>
      </c>
      <c r="T39" s="42">
        <f t="shared" si="44"/>
        <v>0</v>
      </c>
      <c r="U39" s="42">
        <f t="shared" si="44"/>
        <v>0</v>
      </c>
      <c r="V39" s="42">
        <f t="shared" si="44"/>
        <v>0</v>
      </c>
      <c r="W39" s="42">
        <f t="shared" si="44"/>
        <v>0</v>
      </c>
      <c r="X39" s="42">
        <f t="shared" si="44"/>
        <v>0</v>
      </c>
      <c r="Y39" s="42">
        <f t="shared" si="44"/>
        <v>0</v>
      </c>
      <c r="Z39" s="42">
        <f t="shared" si="44"/>
        <v>0</v>
      </c>
      <c r="AA39" s="42">
        <f t="shared" si="44"/>
        <v>0</v>
      </c>
      <c r="AB39" s="34">
        <f t="shared" si="33"/>
        <v>0</v>
      </c>
      <c r="AC39" s="34">
        <f>IFERROR(s_RadSpec!$J$11*(AC11*$B39),".")</f>
        <v>0</v>
      </c>
      <c r="AD39" s="34">
        <f>IFERROR(s_RadSpec!$J$11*(AD11*$B39),".")</f>
        <v>0</v>
      </c>
      <c r="AE39" s="34">
        <f>IFERROR(s_RadSpec!$J$11*(AE11*$B39),".")</f>
        <v>0</v>
      </c>
      <c r="AF39" s="34">
        <f>IFERROR(s_RadSpec!$J$11*(AF11*$B39),".")</f>
        <v>0</v>
      </c>
      <c r="AG39" s="34">
        <f>IFERROR(s_RadSpec!$J$11*(AG11*$B39),".")</f>
        <v>0</v>
      </c>
      <c r="AH39" s="34">
        <f>IFERROR(s_RadSpec!$J$11*(AH11*$B39),".")</f>
        <v>0</v>
      </c>
      <c r="AI39" s="34">
        <f>IFERROR(s_RadSpec!$J$11*(AI11*$B39),".")</f>
        <v>0</v>
      </c>
      <c r="AJ39" s="34">
        <f>IFERROR(s_RadSpec!$J$11*(AJ11*$B39),".")</f>
        <v>0</v>
      </c>
      <c r="AK39" s="34">
        <f>IFERROR(s_RadSpec!$J$11*(AK11*$B39),".")</f>
        <v>0</v>
      </c>
      <c r="AL39" s="34">
        <f>IFERROR(s_RadSpec!$J$11*(AL11*$B39),".")</f>
        <v>0</v>
      </c>
      <c r="AM39" s="34">
        <f>IFERROR(s_RadSpec!$J$11*(AM11*$B39),".")</f>
        <v>0</v>
      </c>
      <c r="AN39" s="34">
        <f>IFERROR(s_RadSpec!$J$11*(AN11*$B39),".")</f>
        <v>0</v>
      </c>
      <c r="AO39" s="34">
        <f>IFERROR(s_RadSpec!$J$11*(AO11*$B39),".")</f>
        <v>0</v>
      </c>
      <c r="AP39" s="34">
        <f>IFERROR(s_RadSpec!$J$11*(AP11*$B39),".")</f>
        <v>0</v>
      </c>
      <c r="AQ39" s="34">
        <f>IFERROR(s_RadSpec!$J$11*(AQ11*$B39),".")</f>
        <v>0</v>
      </c>
      <c r="AR39" s="34">
        <f>IFERROR(s_RadSpec!$J$11*(AR11*$B39),".")</f>
        <v>0</v>
      </c>
      <c r="AS39" s="34">
        <f>IFERROR(s_RadSpec!$J$11*(AS11*$B39),".")</f>
        <v>0</v>
      </c>
      <c r="AT39" s="34">
        <f>IFERROR(s_RadSpec!$J$11*(AT11*$B39),".")</f>
        <v>0</v>
      </c>
      <c r="AU39" s="34">
        <f>IFERROR(s_RadSpec!$J$11*(AU11*$B39),".")</f>
        <v>0</v>
      </c>
      <c r="AV39" s="34">
        <f>IFERROR(s_RadSpec!$J$11*(AV11*$B39),".")</f>
        <v>0</v>
      </c>
      <c r="AW39" s="34">
        <f>IFERROR(s_RadSpec!$J$11*(AW11*$B39),".")</f>
        <v>0</v>
      </c>
      <c r="AX39" s="34">
        <f>IFERROR(s_RadSpec!$J$11*(AX11*$B39),".")</f>
        <v>0</v>
      </c>
      <c r="AY39" s="34">
        <f>IFERROR(s_RadSpec!$J$11*(AY11*$B39),".")</f>
        <v>0</v>
      </c>
      <c r="AZ39" s="34">
        <f>IFERROR(s_RadSpec!$J$11*(AZ11*$B39),".")</f>
        <v>0</v>
      </c>
      <c r="BA39" s="42">
        <f t="shared" ref="BA39:BY39" si="45">IFERROR(BA11/$B39,0)</f>
        <v>0</v>
      </c>
      <c r="BB39" s="42">
        <f t="shared" si="45"/>
        <v>0</v>
      </c>
      <c r="BC39" s="42">
        <f t="shared" si="45"/>
        <v>0</v>
      </c>
      <c r="BD39" s="42">
        <f t="shared" si="45"/>
        <v>0</v>
      </c>
      <c r="BE39" s="42">
        <f t="shared" si="45"/>
        <v>0</v>
      </c>
      <c r="BF39" s="42">
        <f t="shared" si="45"/>
        <v>0</v>
      </c>
      <c r="BG39" s="42">
        <f t="shared" si="45"/>
        <v>0</v>
      </c>
      <c r="BH39" s="42">
        <f t="shared" si="45"/>
        <v>0</v>
      </c>
      <c r="BI39" s="42">
        <f t="shared" si="45"/>
        <v>0</v>
      </c>
      <c r="BJ39" s="42">
        <f t="shared" si="45"/>
        <v>0</v>
      </c>
      <c r="BK39" s="42">
        <f t="shared" si="45"/>
        <v>0</v>
      </c>
      <c r="BL39" s="42">
        <f t="shared" si="45"/>
        <v>0</v>
      </c>
      <c r="BM39" s="42">
        <f t="shared" si="45"/>
        <v>0</v>
      </c>
      <c r="BN39" s="42">
        <f t="shared" si="45"/>
        <v>0</v>
      </c>
      <c r="BO39" s="42">
        <f t="shared" si="45"/>
        <v>0</v>
      </c>
      <c r="BP39" s="42">
        <f t="shared" si="45"/>
        <v>0</v>
      </c>
      <c r="BQ39" s="42">
        <f t="shared" si="45"/>
        <v>0</v>
      </c>
      <c r="BR39" s="42">
        <f t="shared" si="45"/>
        <v>0</v>
      </c>
      <c r="BS39" s="42">
        <f t="shared" si="45"/>
        <v>0</v>
      </c>
      <c r="BT39" s="42">
        <f t="shared" si="45"/>
        <v>0</v>
      </c>
      <c r="BU39" s="42">
        <f t="shared" si="45"/>
        <v>0</v>
      </c>
      <c r="BV39" s="42">
        <f t="shared" si="45"/>
        <v>0</v>
      </c>
      <c r="BW39" s="42">
        <f t="shared" si="45"/>
        <v>0</v>
      </c>
      <c r="BX39" s="42">
        <f t="shared" si="45"/>
        <v>0</v>
      </c>
      <c r="BY39" s="42">
        <f t="shared" si="45"/>
        <v>0</v>
      </c>
      <c r="BZ39" s="34">
        <f t="shared" si="35"/>
        <v>0</v>
      </c>
      <c r="CA39" s="34">
        <f>IFERROR(s_RadSpec!$J$11*(CA11*$B39),".")</f>
        <v>0</v>
      </c>
      <c r="CB39" s="34">
        <f>IFERROR(s_RadSpec!$J$11*(CB11*$B39),".")</f>
        <v>0</v>
      </c>
      <c r="CC39" s="34">
        <f>IFERROR(s_RadSpec!$J$11*(CC11*$B39),".")</f>
        <v>0</v>
      </c>
      <c r="CD39" s="34">
        <f>IFERROR(s_RadSpec!$J$11*(CD11*$B39),".")</f>
        <v>0</v>
      </c>
      <c r="CE39" s="34">
        <f>IFERROR(s_RadSpec!$J$11*(CE11*$B39),".")</f>
        <v>0</v>
      </c>
      <c r="CF39" s="34">
        <f>IFERROR(s_RadSpec!$J$11*(CF11*$B39),".")</f>
        <v>0</v>
      </c>
      <c r="CG39" s="34">
        <f>IFERROR(s_RadSpec!$J$11*(CG11*$B39),".")</f>
        <v>0</v>
      </c>
      <c r="CH39" s="34">
        <f>IFERROR(s_RadSpec!$J$11*(CH11*$B39),".")</f>
        <v>0</v>
      </c>
      <c r="CI39" s="34">
        <f>IFERROR(s_RadSpec!$J$11*(CI11*$B39),".")</f>
        <v>0</v>
      </c>
      <c r="CJ39" s="34">
        <f>IFERROR(s_RadSpec!$J$11*(CJ11*$B39),".")</f>
        <v>0</v>
      </c>
      <c r="CK39" s="34">
        <f>IFERROR(s_RadSpec!$J$11*(CK11*$B39),".")</f>
        <v>0</v>
      </c>
      <c r="CL39" s="34">
        <f>IFERROR(s_RadSpec!$J$11*(CL11*$B39),".")</f>
        <v>0</v>
      </c>
      <c r="CM39" s="34">
        <f>IFERROR(s_RadSpec!$J$11*(CM11*$B39),".")</f>
        <v>0</v>
      </c>
      <c r="CN39" s="34">
        <f>IFERROR(s_RadSpec!$J$11*(CN11*$B39),".")</f>
        <v>0</v>
      </c>
      <c r="CO39" s="34">
        <f>IFERROR(s_RadSpec!$J$11*(CO11*$B39),".")</f>
        <v>0</v>
      </c>
      <c r="CP39" s="34">
        <f>IFERROR(s_RadSpec!$J$11*(CP11*$B39),".")</f>
        <v>0</v>
      </c>
      <c r="CQ39" s="34">
        <f>IFERROR(s_RadSpec!$J$11*(CQ11*$B39),".")</f>
        <v>0</v>
      </c>
      <c r="CR39" s="34">
        <f>IFERROR(s_RadSpec!$J$11*(CR11*$B39),".")</f>
        <v>0</v>
      </c>
      <c r="CS39" s="34">
        <f>IFERROR(s_RadSpec!$J$11*(CS11*$B39),".")</f>
        <v>0</v>
      </c>
      <c r="CT39" s="34">
        <f>IFERROR(s_RadSpec!$J$11*(CT11*$B39),".")</f>
        <v>0</v>
      </c>
      <c r="CU39" s="34">
        <f>IFERROR(s_RadSpec!$J$11*(CU11*$B39),".")</f>
        <v>0</v>
      </c>
      <c r="CV39" s="34">
        <f>IFERROR(s_RadSpec!$J$11*(CV11*$B39),".")</f>
        <v>0</v>
      </c>
      <c r="CW39" s="34">
        <f>IFERROR(s_RadSpec!$J$11*(CW11*$B39),".")</f>
        <v>0</v>
      </c>
      <c r="CX39" s="34">
        <f>IFERROR(s_RadSpec!$J$11*(CX11*$B39),".")</f>
        <v>0</v>
      </c>
    </row>
    <row r="40" spans="1:102" s="3" customFormat="1" x14ac:dyDescent="0.25">
      <c r="A40" s="55" t="s">
        <v>1070</v>
      </c>
      <c r="B40" s="3">
        <v>1</v>
      </c>
      <c r="C40" s="42">
        <f t="shared" ref="C40:AA40" si="46">IFERROR(C4/$B40,0)</f>
        <v>0</v>
      </c>
      <c r="D40" s="42">
        <f t="shared" si="46"/>
        <v>0</v>
      </c>
      <c r="E40" s="42">
        <f t="shared" si="46"/>
        <v>0</v>
      </c>
      <c r="F40" s="42">
        <f t="shared" si="46"/>
        <v>0</v>
      </c>
      <c r="G40" s="42">
        <f t="shared" si="46"/>
        <v>0</v>
      </c>
      <c r="H40" s="42">
        <f t="shared" si="46"/>
        <v>0</v>
      </c>
      <c r="I40" s="42">
        <f t="shared" si="46"/>
        <v>0</v>
      </c>
      <c r="J40" s="42">
        <f t="shared" si="46"/>
        <v>0</v>
      </c>
      <c r="K40" s="42">
        <f t="shared" si="46"/>
        <v>0</v>
      </c>
      <c r="L40" s="42">
        <f t="shared" si="46"/>
        <v>0</v>
      </c>
      <c r="M40" s="42">
        <f t="shared" si="46"/>
        <v>0</v>
      </c>
      <c r="N40" s="42">
        <f t="shared" si="46"/>
        <v>0</v>
      </c>
      <c r="O40" s="42">
        <f t="shared" si="46"/>
        <v>0</v>
      </c>
      <c r="P40" s="42">
        <f t="shared" si="46"/>
        <v>0</v>
      </c>
      <c r="Q40" s="42">
        <f t="shared" si="46"/>
        <v>0</v>
      </c>
      <c r="R40" s="42">
        <f t="shared" si="46"/>
        <v>0</v>
      </c>
      <c r="S40" s="42">
        <f t="shared" si="46"/>
        <v>0</v>
      </c>
      <c r="T40" s="42">
        <f t="shared" si="46"/>
        <v>0</v>
      </c>
      <c r="U40" s="42">
        <f t="shared" si="46"/>
        <v>0</v>
      </c>
      <c r="V40" s="42">
        <f t="shared" si="46"/>
        <v>0</v>
      </c>
      <c r="W40" s="42">
        <f t="shared" si="46"/>
        <v>0</v>
      </c>
      <c r="X40" s="42">
        <f t="shared" si="46"/>
        <v>0</v>
      </c>
      <c r="Y40" s="42">
        <f t="shared" si="46"/>
        <v>0</v>
      </c>
      <c r="Z40" s="42">
        <f t="shared" si="46"/>
        <v>0</v>
      </c>
      <c r="AA40" s="42">
        <f t="shared" si="46"/>
        <v>0</v>
      </c>
      <c r="AB40" s="34">
        <f t="shared" si="33"/>
        <v>0</v>
      </c>
      <c r="AC40" s="34">
        <f>IFERROR(s_RadSpec!$J$4*(AC4*$B40),".")</f>
        <v>0</v>
      </c>
      <c r="AD40" s="34">
        <f>IFERROR(s_RadSpec!$J$4*(AD4*$B40),".")</f>
        <v>0</v>
      </c>
      <c r="AE40" s="34">
        <f>IFERROR(s_RadSpec!$J$4*(AE4*$B40),".")</f>
        <v>0</v>
      </c>
      <c r="AF40" s="34">
        <f>IFERROR(s_RadSpec!$J$4*(AF4*$B40),".")</f>
        <v>0</v>
      </c>
      <c r="AG40" s="34">
        <f>IFERROR(s_RadSpec!$J$4*(AG4*$B40),".")</f>
        <v>0</v>
      </c>
      <c r="AH40" s="34">
        <f>IFERROR(s_RadSpec!$J$4*(AH4*$B40),".")</f>
        <v>0</v>
      </c>
      <c r="AI40" s="34">
        <f>IFERROR(s_RadSpec!$J$4*(AI4*$B40),".")</f>
        <v>0</v>
      </c>
      <c r="AJ40" s="34">
        <f>IFERROR(s_RadSpec!$J$4*(AJ4*$B40),".")</f>
        <v>0</v>
      </c>
      <c r="AK40" s="34">
        <f>IFERROR(s_RadSpec!$J$4*(AK4*$B40),".")</f>
        <v>0</v>
      </c>
      <c r="AL40" s="34">
        <f>IFERROR(s_RadSpec!$J$4*(AL4*$B40),".")</f>
        <v>0</v>
      </c>
      <c r="AM40" s="34">
        <f>IFERROR(s_RadSpec!$J$4*(AM4*$B40),".")</f>
        <v>0</v>
      </c>
      <c r="AN40" s="34">
        <f>IFERROR(s_RadSpec!$J$4*(AN4*$B40),".")</f>
        <v>0</v>
      </c>
      <c r="AO40" s="34">
        <f>IFERROR(s_RadSpec!$J$4*(AO4*$B40),".")</f>
        <v>0</v>
      </c>
      <c r="AP40" s="34">
        <f>IFERROR(s_RadSpec!$J$4*(AP4*$B40),".")</f>
        <v>0</v>
      </c>
      <c r="AQ40" s="34">
        <f>IFERROR(s_RadSpec!$J$4*(AQ4*$B40),".")</f>
        <v>0</v>
      </c>
      <c r="AR40" s="34">
        <f>IFERROR(s_RadSpec!$J$4*(AR4*$B40),".")</f>
        <v>0</v>
      </c>
      <c r="AS40" s="34">
        <f>IFERROR(s_RadSpec!$J$4*(AS4*$B40),".")</f>
        <v>0</v>
      </c>
      <c r="AT40" s="34">
        <f>IFERROR(s_RadSpec!$J$4*(AT4*$B40),".")</f>
        <v>0</v>
      </c>
      <c r="AU40" s="34">
        <f>IFERROR(s_RadSpec!$J$4*(AU4*$B40),".")</f>
        <v>0</v>
      </c>
      <c r="AV40" s="34">
        <f>IFERROR(s_RadSpec!$J$4*(AV4*$B40),".")</f>
        <v>0</v>
      </c>
      <c r="AW40" s="34">
        <f>IFERROR(s_RadSpec!$J$4*(AW4*$B40),".")</f>
        <v>0</v>
      </c>
      <c r="AX40" s="34">
        <f>IFERROR(s_RadSpec!$J$4*(AX4*$B40),".")</f>
        <v>0</v>
      </c>
      <c r="AY40" s="34">
        <f>IFERROR(s_RadSpec!$J$4*(AY4*$B40),".")</f>
        <v>0</v>
      </c>
      <c r="AZ40" s="34">
        <f>IFERROR(s_RadSpec!$J$4*(AZ4*$B40),".")</f>
        <v>0</v>
      </c>
      <c r="BA40" s="42">
        <f t="shared" ref="BA40:BY40" si="47">IFERROR(BA4/$B40,0)</f>
        <v>0</v>
      </c>
      <c r="BB40" s="42">
        <f t="shared" si="47"/>
        <v>0</v>
      </c>
      <c r="BC40" s="42">
        <f t="shared" si="47"/>
        <v>0</v>
      </c>
      <c r="BD40" s="42">
        <f t="shared" si="47"/>
        <v>0</v>
      </c>
      <c r="BE40" s="42">
        <f t="shared" si="47"/>
        <v>0</v>
      </c>
      <c r="BF40" s="42">
        <f t="shared" si="47"/>
        <v>0</v>
      </c>
      <c r="BG40" s="42">
        <f t="shared" si="47"/>
        <v>0</v>
      </c>
      <c r="BH40" s="42">
        <f t="shared" si="47"/>
        <v>0</v>
      </c>
      <c r="BI40" s="42">
        <f t="shared" si="47"/>
        <v>0</v>
      </c>
      <c r="BJ40" s="42">
        <f t="shared" si="47"/>
        <v>0</v>
      </c>
      <c r="BK40" s="42">
        <f t="shared" si="47"/>
        <v>0</v>
      </c>
      <c r="BL40" s="42">
        <f t="shared" si="47"/>
        <v>0</v>
      </c>
      <c r="BM40" s="42">
        <f t="shared" si="47"/>
        <v>0</v>
      </c>
      <c r="BN40" s="42">
        <f t="shared" si="47"/>
        <v>0</v>
      </c>
      <c r="BO40" s="42">
        <f t="shared" si="47"/>
        <v>0</v>
      </c>
      <c r="BP40" s="42">
        <f t="shared" si="47"/>
        <v>0</v>
      </c>
      <c r="BQ40" s="42">
        <f t="shared" si="47"/>
        <v>0</v>
      </c>
      <c r="BR40" s="42">
        <f t="shared" si="47"/>
        <v>0</v>
      </c>
      <c r="BS40" s="42">
        <f t="shared" si="47"/>
        <v>0</v>
      </c>
      <c r="BT40" s="42">
        <f t="shared" si="47"/>
        <v>0</v>
      </c>
      <c r="BU40" s="42">
        <f t="shared" si="47"/>
        <v>0</v>
      </c>
      <c r="BV40" s="42">
        <f t="shared" si="47"/>
        <v>0</v>
      </c>
      <c r="BW40" s="42">
        <f t="shared" si="47"/>
        <v>0</v>
      </c>
      <c r="BX40" s="42">
        <f t="shared" si="47"/>
        <v>0</v>
      </c>
      <c r="BY40" s="42">
        <f t="shared" si="47"/>
        <v>0</v>
      </c>
      <c r="BZ40" s="34">
        <f t="shared" si="35"/>
        <v>0</v>
      </c>
      <c r="CA40" s="34">
        <f>IFERROR(s_RadSpec!$J$4*(CA4*$B40),".")</f>
        <v>0</v>
      </c>
      <c r="CB40" s="34">
        <f>IFERROR(s_RadSpec!$J$4*(CB4*$B40),".")</f>
        <v>0</v>
      </c>
      <c r="CC40" s="34">
        <f>IFERROR(s_RadSpec!$J$4*(CC4*$B40),".")</f>
        <v>0</v>
      </c>
      <c r="CD40" s="34">
        <f>IFERROR(s_RadSpec!$J$4*(CD4*$B40),".")</f>
        <v>0</v>
      </c>
      <c r="CE40" s="34">
        <f>IFERROR(s_RadSpec!$J$4*(CE4*$B40),".")</f>
        <v>0</v>
      </c>
      <c r="CF40" s="34">
        <f>IFERROR(s_RadSpec!$J$4*(CF4*$B40),".")</f>
        <v>0</v>
      </c>
      <c r="CG40" s="34">
        <f>IFERROR(s_RadSpec!$J$4*(CG4*$B40),".")</f>
        <v>0</v>
      </c>
      <c r="CH40" s="34">
        <f>IFERROR(s_RadSpec!$J$4*(CH4*$B40),".")</f>
        <v>0</v>
      </c>
      <c r="CI40" s="34">
        <f>IFERROR(s_RadSpec!$J$4*(CI4*$B40),".")</f>
        <v>0</v>
      </c>
      <c r="CJ40" s="34">
        <f>IFERROR(s_RadSpec!$J$4*(CJ4*$B40),".")</f>
        <v>0</v>
      </c>
      <c r="CK40" s="34">
        <f>IFERROR(s_RadSpec!$J$4*(CK4*$B40),".")</f>
        <v>0</v>
      </c>
      <c r="CL40" s="34">
        <f>IFERROR(s_RadSpec!$J$4*(CL4*$B40),".")</f>
        <v>0</v>
      </c>
      <c r="CM40" s="34">
        <f>IFERROR(s_RadSpec!$J$4*(CM4*$B40),".")</f>
        <v>0</v>
      </c>
      <c r="CN40" s="34">
        <f>IFERROR(s_RadSpec!$J$4*(CN4*$B40),".")</f>
        <v>0</v>
      </c>
      <c r="CO40" s="34">
        <f>IFERROR(s_RadSpec!$J$4*(CO4*$B40),".")</f>
        <v>0</v>
      </c>
      <c r="CP40" s="34">
        <f>IFERROR(s_RadSpec!$J$4*(CP4*$B40),".")</f>
        <v>0</v>
      </c>
      <c r="CQ40" s="34">
        <f>IFERROR(s_RadSpec!$J$4*(CQ4*$B40),".")</f>
        <v>0</v>
      </c>
      <c r="CR40" s="34">
        <f>IFERROR(s_RadSpec!$J$4*(CR4*$B40),".")</f>
        <v>0</v>
      </c>
      <c r="CS40" s="34">
        <f>IFERROR(s_RadSpec!$J$4*(CS4*$B40),".")</f>
        <v>0</v>
      </c>
      <c r="CT40" s="34">
        <f>IFERROR(s_RadSpec!$J$4*(CT4*$B40),".")</f>
        <v>0</v>
      </c>
      <c r="CU40" s="34">
        <f>IFERROR(s_RadSpec!$J$4*(CU4*$B40),".")</f>
        <v>0</v>
      </c>
      <c r="CV40" s="34">
        <f>IFERROR(s_RadSpec!$J$4*(CV4*$B40),".")</f>
        <v>0</v>
      </c>
      <c r="CW40" s="34">
        <f>IFERROR(s_RadSpec!$J$4*(CW4*$B40),".")</f>
        <v>0</v>
      </c>
      <c r="CX40" s="34">
        <f>IFERROR(s_RadSpec!$J$4*(CX4*$B40),".")</f>
        <v>0</v>
      </c>
    </row>
    <row r="41" spans="1:102" s="3" customFormat="1" x14ac:dyDescent="0.25">
      <c r="A41" s="55" t="s">
        <v>1071</v>
      </c>
      <c r="B41" s="56">
        <v>0.99987999999999999</v>
      </c>
      <c r="C41" s="42">
        <f t="shared" ref="C41:AA41" si="48">IFERROR(C8/$B41,0)</f>
        <v>35207.671329838471</v>
      </c>
      <c r="D41" s="42">
        <f t="shared" si="48"/>
        <v>105623.01398951541</v>
      </c>
      <c r="E41" s="42">
        <f t="shared" si="48"/>
        <v>105623.01398951541</v>
      </c>
      <c r="F41" s="42">
        <f t="shared" si="48"/>
        <v>105623.01398951541</v>
      </c>
      <c r="G41" s="42">
        <f t="shared" si="48"/>
        <v>105623.01398951541</v>
      </c>
      <c r="H41" s="42">
        <f t="shared" si="48"/>
        <v>105623.01398951541</v>
      </c>
      <c r="I41" s="42">
        <f t="shared" si="48"/>
        <v>105623.01398951541</v>
      </c>
      <c r="J41" s="42">
        <f t="shared" si="48"/>
        <v>105623.01398951541</v>
      </c>
      <c r="K41" s="42">
        <f t="shared" si="48"/>
        <v>105623.01398951541</v>
      </c>
      <c r="L41" s="42">
        <f t="shared" si="48"/>
        <v>105623.01398951541</v>
      </c>
      <c r="M41" s="42">
        <f t="shared" si="48"/>
        <v>105623.01398951541</v>
      </c>
      <c r="N41" s="42">
        <f t="shared" si="48"/>
        <v>105623.01398951541</v>
      </c>
      <c r="O41" s="42">
        <f t="shared" si="48"/>
        <v>105623.01398951541</v>
      </c>
      <c r="P41" s="42">
        <f t="shared" si="48"/>
        <v>105623.01398951541</v>
      </c>
      <c r="Q41" s="42">
        <f t="shared" si="48"/>
        <v>105623.01398951541</v>
      </c>
      <c r="R41" s="42">
        <f t="shared" si="48"/>
        <v>105623.01398951541</v>
      </c>
      <c r="S41" s="42">
        <f t="shared" si="48"/>
        <v>105623.01398951541</v>
      </c>
      <c r="T41" s="42">
        <f t="shared" si="48"/>
        <v>105623.01398951541</v>
      </c>
      <c r="U41" s="42">
        <f t="shared" si="48"/>
        <v>105623.01398951541</v>
      </c>
      <c r="V41" s="42">
        <f t="shared" si="48"/>
        <v>105623.01398951541</v>
      </c>
      <c r="W41" s="42">
        <f t="shared" si="48"/>
        <v>105623.01398951541</v>
      </c>
      <c r="X41" s="42">
        <f t="shared" si="48"/>
        <v>105623.01398951541</v>
      </c>
      <c r="Y41" s="42">
        <f t="shared" si="48"/>
        <v>105623.01398951541</v>
      </c>
      <c r="Z41" s="42">
        <f t="shared" si="48"/>
        <v>105623.01398951541</v>
      </c>
      <c r="AA41" s="42">
        <f t="shared" si="48"/>
        <v>105623.01398951541</v>
      </c>
      <c r="AB41" s="34">
        <f t="shared" si="33"/>
        <v>7.1007252271218871E-4</v>
      </c>
      <c r="AC41" s="34">
        <f>IFERROR(s_RadSpec!$J$8*(AC8*$B41),".")</f>
        <v>2.3669084090406289E-4</v>
      </c>
      <c r="AD41" s="34">
        <f>IFERROR(s_RadSpec!$J$8*(AD8*$B41),".")</f>
        <v>2.3669084090406289E-4</v>
      </c>
      <c r="AE41" s="34">
        <f>IFERROR(s_RadSpec!$J$8*(AE8*$B41),".")</f>
        <v>2.3669084090406289E-4</v>
      </c>
      <c r="AF41" s="34">
        <f>IFERROR(s_RadSpec!$J$8*(AF8*$B41),".")</f>
        <v>2.3669084090406289E-4</v>
      </c>
      <c r="AG41" s="34">
        <f>IFERROR(s_RadSpec!$J$8*(AG8*$B41),".")</f>
        <v>2.3669084090406289E-4</v>
      </c>
      <c r="AH41" s="34">
        <f>IFERROR(s_RadSpec!$J$8*(AH8*$B41),".")</f>
        <v>2.3669084090406289E-4</v>
      </c>
      <c r="AI41" s="34">
        <f>IFERROR(s_RadSpec!$J$8*(AI8*$B41),".")</f>
        <v>2.3669084090406289E-4</v>
      </c>
      <c r="AJ41" s="34">
        <f>IFERROR(s_RadSpec!$J$8*(AJ8*$B41),".")</f>
        <v>2.3669084090406289E-4</v>
      </c>
      <c r="AK41" s="34">
        <f>IFERROR(s_RadSpec!$J$8*(AK8*$B41),".")</f>
        <v>2.3669084090406289E-4</v>
      </c>
      <c r="AL41" s="34">
        <f>IFERROR(s_RadSpec!$J$8*(AL8*$B41),".")</f>
        <v>2.3669084090406289E-4</v>
      </c>
      <c r="AM41" s="34">
        <f>IFERROR(s_RadSpec!$J$8*(AM8*$B41),".")</f>
        <v>2.3669084090406289E-4</v>
      </c>
      <c r="AN41" s="34">
        <f>IFERROR(s_RadSpec!$J$8*(AN8*$B41),".")</f>
        <v>2.3669084090406289E-4</v>
      </c>
      <c r="AO41" s="34">
        <f>IFERROR(s_RadSpec!$J$8*(AO8*$B41),".")</f>
        <v>2.3669084090406289E-4</v>
      </c>
      <c r="AP41" s="34">
        <f>IFERROR(s_RadSpec!$J$8*(AP8*$B41),".")</f>
        <v>2.3669084090406289E-4</v>
      </c>
      <c r="AQ41" s="34">
        <f>IFERROR(s_RadSpec!$J$8*(AQ8*$B41),".")</f>
        <v>2.3669084090406289E-4</v>
      </c>
      <c r="AR41" s="34">
        <f>IFERROR(s_RadSpec!$J$8*(AR8*$B41),".")</f>
        <v>2.3669084090406289E-4</v>
      </c>
      <c r="AS41" s="34">
        <f>IFERROR(s_RadSpec!$J$8*(AS8*$B41),".")</f>
        <v>2.3669084090406289E-4</v>
      </c>
      <c r="AT41" s="34">
        <f>IFERROR(s_RadSpec!$J$8*(AT8*$B41),".")</f>
        <v>2.3669084090406289E-4</v>
      </c>
      <c r="AU41" s="34">
        <f>IFERROR(s_RadSpec!$J$8*(AU8*$B41),".")</f>
        <v>2.3669084090406289E-4</v>
      </c>
      <c r="AV41" s="34">
        <f>IFERROR(s_RadSpec!$J$8*(AV8*$B41),".")</f>
        <v>2.3669084090406289E-4</v>
      </c>
      <c r="AW41" s="34">
        <f>IFERROR(s_RadSpec!$J$8*(AW8*$B41),".")</f>
        <v>2.3669084090406289E-4</v>
      </c>
      <c r="AX41" s="34">
        <f>IFERROR(s_RadSpec!$J$8*(AX8*$B41),".")</f>
        <v>2.3669084090406289E-4</v>
      </c>
      <c r="AY41" s="34">
        <f>IFERROR(s_RadSpec!$J$8*(AY8*$B41),".")</f>
        <v>2.3669084090406289E-4</v>
      </c>
      <c r="AZ41" s="34">
        <f>IFERROR(s_RadSpec!$J$8*(AZ8*$B41),".")</f>
        <v>2.3669084090406289E-4</v>
      </c>
      <c r="BA41" s="42">
        <f t="shared" ref="BA41:BY41" si="49">IFERROR(BA8/$B41,0)</f>
        <v>35207.671329838471</v>
      </c>
      <c r="BB41" s="42">
        <f t="shared" si="49"/>
        <v>105623.01398951541</v>
      </c>
      <c r="BC41" s="42">
        <f t="shared" si="49"/>
        <v>105623.01398951541</v>
      </c>
      <c r="BD41" s="42">
        <f t="shared" si="49"/>
        <v>105623.01398951541</v>
      </c>
      <c r="BE41" s="42">
        <f t="shared" si="49"/>
        <v>105623.01398951541</v>
      </c>
      <c r="BF41" s="42">
        <f t="shared" si="49"/>
        <v>105623.01398951541</v>
      </c>
      <c r="BG41" s="42">
        <f t="shared" si="49"/>
        <v>105623.01398951541</v>
      </c>
      <c r="BH41" s="42">
        <f t="shared" si="49"/>
        <v>105623.01398951541</v>
      </c>
      <c r="BI41" s="42">
        <f t="shared" si="49"/>
        <v>105623.01398951541</v>
      </c>
      <c r="BJ41" s="42">
        <f t="shared" si="49"/>
        <v>105623.01398951541</v>
      </c>
      <c r="BK41" s="42">
        <f t="shared" si="49"/>
        <v>105623.01398951541</v>
      </c>
      <c r="BL41" s="42">
        <f t="shared" si="49"/>
        <v>105623.01398951541</v>
      </c>
      <c r="BM41" s="42">
        <f t="shared" si="49"/>
        <v>105623.01398951541</v>
      </c>
      <c r="BN41" s="42">
        <f t="shared" si="49"/>
        <v>105623.01398951541</v>
      </c>
      <c r="BO41" s="42">
        <f t="shared" si="49"/>
        <v>105623.01398951541</v>
      </c>
      <c r="BP41" s="42">
        <f t="shared" si="49"/>
        <v>105623.01398951541</v>
      </c>
      <c r="BQ41" s="42">
        <f t="shared" si="49"/>
        <v>105623.01398951541</v>
      </c>
      <c r="BR41" s="42">
        <f t="shared" si="49"/>
        <v>105623.01398951541</v>
      </c>
      <c r="BS41" s="42">
        <f t="shared" si="49"/>
        <v>105623.01398951541</v>
      </c>
      <c r="BT41" s="42">
        <f t="shared" si="49"/>
        <v>105623.01398951541</v>
      </c>
      <c r="BU41" s="42">
        <f t="shared" si="49"/>
        <v>105623.01398951541</v>
      </c>
      <c r="BV41" s="42">
        <f t="shared" si="49"/>
        <v>105623.01398951541</v>
      </c>
      <c r="BW41" s="42">
        <f t="shared" si="49"/>
        <v>105623.01398951541</v>
      </c>
      <c r="BX41" s="42">
        <f t="shared" si="49"/>
        <v>105623.01398951541</v>
      </c>
      <c r="BY41" s="42">
        <f t="shared" si="49"/>
        <v>105623.01398951541</v>
      </c>
      <c r="BZ41" s="34">
        <f t="shared" si="35"/>
        <v>7.1007252271218871E-4</v>
      </c>
      <c r="CA41" s="34">
        <f>IFERROR(s_RadSpec!$J$8*(CA8*$B41),".")</f>
        <v>2.3669084090406289E-4</v>
      </c>
      <c r="CB41" s="34">
        <f>IFERROR(s_RadSpec!$J$8*(CB8*$B41),".")</f>
        <v>2.3669084090406289E-4</v>
      </c>
      <c r="CC41" s="34">
        <f>IFERROR(s_RadSpec!$J$8*(CC8*$B41),".")</f>
        <v>2.3669084090406289E-4</v>
      </c>
      <c r="CD41" s="34">
        <f>IFERROR(s_RadSpec!$J$8*(CD8*$B41),".")</f>
        <v>2.3669084090406289E-4</v>
      </c>
      <c r="CE41" s="34">
        <f>IFERROR(s_RadSpec!$J$8*(CE8*$B41),".")</f>
        <v>2.3669084090406289E-4</v>
      </c>
      <c r="CF41" s="34">
        <f>IFERROR(s_RadSpec!$J$8*(CF8*$B41),".")</f>
        <v>2.3669084090406289E-4</v>
      </c>
      <c r="CG41" s="34">
        <f>IFERROR(s_RadSpec!$J$8*(CG8*$B41),".")</f>
        <v>2.3669084090406289E-4</v>
      </c>
      <c r="CH41" s="34">
        <f>IFERROR(s_RadSpec!$J$8*(CH8*$B41),".")</f>
        <v>2.3669084090406289E-4</v>
      </c>
      <c r="CI41" s="34">
        <f>IFERROR(s_RadSpec!$J$8*(CI8*$B41),".")</f>
        <v>2.3669084090406289E-4</v>
      </c>
      <c r="CJ41" s="34">
        <f>IFERROR(s_RadSpec!$J$8*(CJ8*$B41),".")</f>
        <v>2.3669084090406289E-4</v>
      </c>
      <c r="CK41" s="34">
        <f>IFERROR(s_RadSpec!$J$8*(CK8*$B41),".")</f>
        <v>2.3669084090406289E-4</v>
      </c>
      <c r="CL41" s="34">
        <f>IFERROR(s_RadSpec!$J$8*(CL8*$B41),".")</f>
        <v>2.3669084090406289E-4</v>
      </c>
      <c r="CM41" s="34">
        <f>IFERROR(s_RadSpec!$J$8*(CM8*$B41),".")</f>
        <v>2.3669084090406289E-4</v>
      </c>
      <c r="CN41" s="34">
        <f>IFERROR(s_RadSpec!$J$8*(CN8*$B41),".")</f>
        <v>2.3669084090406289E-4</v>
      </c>
      <c r="CO41" s="34">
        <f>IFERROR(s_RadSpec!$J$8*(CO8*$B41),".")</f>
        <v>2.3669084090406289E-4</v>
      </c>
      <c r="CP41" s="34">
        <f>IFERROR(s_RadSpec!$J$8*(CP8*$B41),".")</f>
        <v>2.3669084090406289E-4</v>
      </c>
      <c r="CQ41" s="34">
        <f>IFERROR(s_RadSpec!$J$8*(CQ8*$B41),".")</f>
        <v>2.3669084090406289E-4</v>
      </c>
      <c r="CR41" s="34">
        <f>IFERROR(s_RadSpec!$J$8*(CR8*$B41),".")</f>
        <v>2.3669084090406289E-4</v>
      </c>
      <c r="CS41" s="34">
        <f>IFERROR(s_RadSpec!$J$8*(CS8*$B41),".")</f>
        <v>2.3669084090406289E-4</v>
      </c>
      <c r="CT41" s="34">
        <f>IFERROR(s_RadSpec!$J$8*(CT8*$B41),".")</f>
        <v>2.3669084090406289E-4</v>
      </c>
      <c r="CU41" s="34">
        <f>IFERROR(s_RadSpec!$J$8*(CU8*$B41),".")</f>
        <v>2.3669084090406289E-4</v>
      </c>
      <c r="CV41" s="34">
        <f>IFERROR(s_RadSpec!$J$8*(CV8*$B41),".")</f>
        <v>2.3669084090406289E-4</v>
      </c>
      <c r="CW41" s="34">
        <f>IFERROR(s_RadSpec!$J$8*(CW8*$B41),".")</f>
        <v>2.3669084090406289E-4</v>
      </c>
      <c r="CX41" s="34">
        <f>IFERROR(s_RadSpec!$J$8*(CX8*$B41),".")</f>
        <v>2.3669084090406289E-4</v>
      </c>
    </row>
    <row r="42" spans="1:102" s="3" customFormat="1" x14ac:dyDescent="0.25">
      <c r="A42" s="55" t="s">
        <v>1072</v>
      </c>
      <c r="B42" s="3">
        <v>0.97898250799999997</v>
      </c>
      <c r="C42" s="42">
        <f t="shared" ref="C42:AA42" si="50">IFERROR(C19/$B42,0)</f>
        <v>0</v>
      </c>
      <c r="D42" s="42">
        <f t="shared" si="50"/>
        <v>0</v>
      </c>
      <c r="E42" s="42">
        <f t="shared" si="50"/>
        <v>0</v>
      </c>
      <c r="F42" s="42">
        <f t="shared" si="50"/>
        <v>0</v>
      </c>
      <c r="G42" s="42">
        <f t="shared" si="50"/>
        <v>0</v>
      </c>
      <c r="H42" s="42">
        <f t="shared" si="50"/>
        <v>0</v>
      </c>
      <c r="I42" s="42">
        <f t="shared" si="50"/>
        <v>0</v>
      </c>
      <c r="J42" s="42">
        <f t="shared" si="50"/>
        <v>0</v>
      </c>
      <c r="K42" s="42">
        <f t="shared" si="50"/>
        <v>0</v>
      </c>
      <c r="L42" s="42">
        <f t="shared" si="50"/>
        <v>0</v>
      </c>
      <c r="M42" s="42">
        <f t="shared" si="50"/>
        <v>0</v>
      </c>
      <c r="N42" s="42">
        <f t="shared" si="50"/>
        <v>0</v>
      </c>
      <c r="O42" s="42">
        <f t="shared" si="50"/>
        <v>0</v>
      </c>
      <c r="P42" s="42">
        <f t="shared" si="50"/>
        <v>0</v>
      </c>
      <c r="Q42" s="42">
        <f t="shared" si="50"/>
        <v>0</v>
      </c>
      <c r="R42" s="42">
        <f t="shared" si="50"/>
        <v>0</v>
      </c>
      <c r="S42" s="42">
        <f t="shared" si="50"/>
        <v>0</v>
      </c>
      <c r="T42" s="42">
        <f t="shared" si="50"/>
        <v>0</v>
      </c>
      <c r="U42" s="42">
        <f t="shared" si="50"/>
        <v>0</v>
      </c>
      <c r="V42" s="42">
        <f t="shared" si="50"/>
        <v>0</v>
      </c>
      <c r="W42" s="42">
        <f t="shared" si="50"/>
        <v>0</v>
      </c>
      <c r="X42" s="42">
        <f t="shared" si="50"/>
        <v>0</v>
      </c>
      <c r="Y42" s="42">
        <f t="shared" si="50"/>
        <v>0</v>
      </c>
      <c r="Z42" s="42">
        <f t="shared" si="50"/>
        <v>0</v>
      </c>
      <c r="AA42" s="42">
        <f t="shared" si="50"/>
        <v>0</v>
      </c>
      <c r="AB42" s="34">
        <f t="shared" si="33"/>
        <v>0</v>
      </c>
      <c r="AC42" s="34">
        <f>IFERROR(s_RadSpec!$J$19*(AC19*$B42),".")</f>
        <v>0</v>
      </c>
      <c r="AD42" s="34">
        <f>IFERROR(s_RadSpec!$J$19*(AD19*$B42),".")</f>
        <v>0</v>
      </c>
      <c r="AE42" s="34">
        <f>IFERROR(s_RadSpec!$J$19*(AE19*$B42),".")</f>
        <v>0</v>
      </c>
      <c r="AF42" s="34">
        <f>IFERROR(s_RadSpec!$J$19*(AF19*$B42),".")</f>
        <v>0</v>
      </c>
      <c r="AG42" s="34">
        <f>IFERROR(s_RadSpec!$J$19*(AG19*$B42),".")</f>
        <v>0</v>
      </c>
      <c r="AH42" s="34">
        <f>IFERROR(s_RadSpec!$J$19*(AH19*$B42),".")</f>
        <v>0</v>
      </c>
      <c r="AI42" s="34">
        <f>IFERROR(s_RadSpec!$J$19*(AI19*$B42),".")</f>
        <v>0</v>
      </c>
      <c r="AJ42" s="34">
        <f>IFERROR(s_RadSpec!$J$19*(AJ19*$B42),".")</f>
        <v>0</v>
      </c>
      <c r="AK42" s="34">
        <f>IFERROR(s_RadSpec!$J$19*(AK19*$B42),".")</f>
        <v>0</v>
      </c>
      <c r="AL42" s="34">
        <f>IFERROR(s_RadSpec!$J$19*(AL19*$B42),".")</f>
        <v>0</v>
      </c>
      <c r="AM42" s="34">
        <f>IFERROR(s_RadSpec!$J$19*(AM19*$B42),".")</f>
        <v>0</v>
      </c>
      <c r="AN42" s="34">
        <f>IFERROR(s_RadSpec!$J$19*(AN19*$B42),".")</f>
        <v>0</v>
      </c>
      <c r="AO42" s="34">
        <f>IFERROR(s_RadSpec!$J$19*(AO19*$B42),".")</f>
        <v>0</v>
      </c>
      <c r="AP42" s="34">
        <f>IFERROR(s_RadSpec!$J$19*(AP19*$B42),".")</f>
        <v>0</v>
      </c>
      <c r="AQ42" s="34">
        <f>IFERROR(s_RadSpec!$J$19*(AQ19*$B42),".")</f>
        <v>0</v>
      </c>
      <c r="AR42" s="34">
        <f>IFERROR(s_RadSpec!$J$19*(AR19*$B42),".")</f>
        <v>0</v>
      </c>
      <c r="AS42" s="34">
        <f>IFERROR(s_RadSpec!$J$19*(AS19*$B42),".")</f>
        <v>0</v>
      </c>
      <c r="AT42" s="34">
        <f>IFERROR(s_RadSpec!$J$19*(AT19*$B42),".")</f>
        <v>0</v>
      </c>
      <c r="AU42" s="34">
        <f>IFERROR(s_RadSpec!$J$19*(AU19*$B42),".")</f>
        <v>0</v>
      </c>
      <c r="AV42" s="34">
        <f>IFERROR(s_RadSpec!$J$19*(AV19*$B42),".")</f>
        <v>0</v>
      </c>
      <c r="AW42" s="34">
        <f>IFERROR(s_RadSpec!$J$19*(AW19*$B42),".")</f>
        <v>0</v>
      </c>
      <c r="AX42" s="34">
        <f>IFERROR(s_RadSpec!$J$19*(AX19*$B42),".")</f>
        <v>0</v>
      </c>
      <c r="AY42" s="34">
        <f>IFERROR(s_RadSpec!$J$19*(AY19*$B42),".")</f>
        <v>0</v>
      </c>
      <c r="AZ42" s="34">
        <f>IFERROR(s_RadSpec!$J$19*(AZ19*$B42),".")</f>
        <v>0</v>
      </c>
      <c r="BA42" s="42">
        <f t="shared" ref="BA42:BY42" si="51">IFERROR(BA19/$B42,0)</f>
        <v>0</v>
      </c>
      <c r="BB42" s="42">
        <f t="shared" si="51"/>
        <v>0</v>
      </c>
      <c r="BC42" s="42">
        <f t="shared" si="51"/>
        <v>0</v>
      </c>
      <c r="BD42" s="42">
        <f t="shared" si="51"/>
        <v>0</v>
      </c>
      <c r="BE42" s="42">
        <f t="shared" si="51"/>
        <v>0</v>
      </c>
      <c r="BF42" s="42">
        <f t="shared" si="51"/>
        <v>0</v>
      </c>
      <c r="BG42" s="42">
        <f t="shared" si="51"/>
        <v>0</v>
      </c>
      <c r="BH42" s="42">
        <f t="shared" si="51"/>
        <v>0</v>
      </c>
      <c r="BI42" s="42">
        <f t="shared" si="51"/>
        <v>0</v>
      </c>
      <c r="BJ42" s="42">
        <f t="shared" si="51"/>
        <v>0</v>
      </c>
      <c r="BK42" s="42">
        <f t="shared" si="51"/>
        <v>0</v>
      </c>
      <c r="BL42" s="42">
        <f t="shared" si="51"/>
        <v>0</v>
      </c>
      <c r="BM42" s="42">
        <f t="shared" si="51"/>
        <v>0</v>
      </c>
      <c r="BN42" s="42">
        <f t="shared" si="51"/>
        <v>0</v>
      </c>
      <c r="BO42" s="42">
        <f t="shared" si="51"/>
        <v>0</v>
      </c>
      <c r="BP42" s="42">
        <f t="shared" si="51"/>
        <v>0</v>
      </c>
      <c r="BQ42" s="42">
        <f t="shared" si="51"/>
        <v>0</v>
      </c>
      <c r="BR42" s="42">
        <f t="shared" si="51"/>
        <v>0</v>
      </c>
      <c r="BS42" s="42">
        <f t="shared" si="51"/>
        <v>0</v>
      </c>
      <c r="BT42" s="42">
        <f t="shared" si="51"/>
        <v>0</v>
      </c>
      <c r="BU42" s="42">
        <f t="shared" si="51"/>
        <v>0</v>
      </c>
      <c r="BV42" s="42">
        <f t="shared" si="51"/>
        <v>0</v>
      </c>
      <c r="BW42" s="42">
        <f t="shared" si="51"/>
        <v>0</v>
      </c>
      <c r="BX42" s="42">
        <f t="shared" si="51"/>
        <v>0</v>
      </c>
      <c r="BY42" s="42">
        <f t="shared" si="51"/>
        <v>0</v>
      </c>
      <c r="BZ42" s="34">
        <f t="shared" si="35"/>
        <v>0</v>
      </c>
      <c r="CA42" s="34">
        <f>IFERROR(s_RadSpec!$J$19*(CA19*$B42),".")</f>
        <v>0</v>
      </c>
      <c r="CB42" s="34">
        <f>IFERROR(s_RadSpec!$J$19*(CB19*$B42),".")</f>
        <v>0</v>
      </c>
      <c r="CC42" s="34">
        <f>IFERROR(s_RadSpec!$J$19*(CC19*$B42),".")</f>
        <v>0</v>
      </c>
      <c r="CD42" s="34">
        <f>IFERROR(s_RadSpec!$J$19*(CD19*$B42),".")</f>
        <v>0</v>
      </c>
      <c r="CE42" s="34">
        <f>IFERROR(s_RadSpec!$J$19*(CE19*$B42),".")</f>
        <v>0</v>
      </c>
      <c r="CF42" s="34">
        <f>IFERROR(s_RadSpec!$J$19*(CF19*$B42),".")</f>
        <v>0</v>
      </c>
      <c r="CG42" s="34">
        <f>IFERROR(s_RadSpec!$J$19*(CG19*$B42),".")</f>
        <v>0</v>
      </c>
      <c r="CH42" s="34">
        <f>IFERROR(s_RadSpec!$J$19*(CH19*$B42),".")</f>
        <v>0</v>
      </c>
      <c r="CI42" s="34">
        <f>IFERROR(s_RadSpec!$J$19*(CI19*$B42),".")</f>
        <v>0</v>
      </c>
      <c r="CJ42" s="34">
        <f>IFERROR(s_RadSpec!$J$19*(CJ19*$B42),".")</f>
        <v>0</v>
      </c>
      <c r="CK42" s="34">
        <f>IFERROR(s_RadSpec!$J$19*(CK19*$B42),".")</f>
        <v>0</v>
      </c>
      <c r="CL42" s="34">
        <f>IFERROR(s_RadSpec!$J$19*(CL19*$B42),".")</f>
        <v>0</v>
      </c>
      <c r="CM42" s="34">
        <f>IFERROR(s_RadSpec!$J$19*(CM19*$B42),".")</f>
        <v>0</v>
      </c>
      <c r="CN42" s="34">
        <f>IFERROR(s_RadSpec!$J$19*(CN19*$B42),".")</f>
        <v>0</v>
      </c>
      <c r="CO42" s="34">
        <f>IFERROR(s_RadSpec!$J$19*(CO19*$B42),".")</f>
        <v>0</v>
      </c>
      <c r="CP42" s="34">
        <f>IFERROR(s_RadSpec!$J$19*(CP19*$B42),".")</f>
        <v>0</v>
      </c>
      <c r="CQ42" s="34">
        <f>IFERROR(s_RadSpec!$J$19*(CQ19*$B42),".")</f>
        <v>0</v>
      </c>
      <c r="CR42" s="34">
        <f>IFERROR(s_RadSpec!$J$19*(CR19*$B42),".")</f>
        <v>0</v>
      </c>
      <c r="CS42" s="34">
        <f>IFERROR(s_RadSpec!$J$19*(CS19*$B42),".")</f>
        <v>0</v>
      </c>
      <c r="CT42" s="34">
        <f>IFERROR(s_RadSpec!$J$19*(CT19*$B42),".")</f>
        <v>0</v>
      </c>
      <c r="CU42" s="34">
        <f>IFERROR(s_RadSpec!$J$19*(CU19*$B42),".")</f>
        <v>0</v>
      </c>
      <c r="CV42" s="34">
        <f>IFERROR(s_RadSpec!$J$19*(CV19*$B42),".")</f>
        <v>0</v>
      </c>
      <c r="CW42" s="34">
        <f>IFERROR(s_RadSpec!$J$19*(CW19*$B42),".")</f>
        <v>0</v>
      </c>
      <c r="CX42" s="34">
        <f>IFERROR(s_RadSpec!$J$19*(CX19*$B42),".")</f>
        <v>0</v>
      </c>
    </row>
    <row r="43" spans="1:102" s="3" customFormat="1" x14ac:dyDescent="0.25">
      <c r="A43" s="55" t="s">
        <v>1073</v>
      </c>
      <c r="B43" s="3">
        <v>2.0897492E-2</v>
      </c>
      <c r="C43" s="42">
        <f t="shared" ref="C43:AA43" si="52">IFERROR(C28/$B43,0)</f>
        <v>0</v>
      </c>
      <c r="D43" s="42">
        <f t="shared" si="52"/>
        <v>0</v>
      </c>
      <c r="E43" s="42">
        <f t="shared" si="52"/>
        <v>0</v>
      </c>
      <c r="F43" s="42">
        <f t="shared" si="52"/>
        <v>0</v>
      </c>
      <c r="G43" s="42">
        <f t="shared" si="52"/>
        <v>0</v>
      </c>
      <c r="H43" s="42">
        <f t="shared" si="52"/>
        <v>0</v>
      </c>
      <c r="I43" s="42">
        <f t="shared" si="52"/>
        <v>0</v>
      </c>
      <c r="J43" s="42">
        <f t="shared" si="52"/>
        <v>0</v>
      </c>
      <c r="K43" s="42">
        <f t="shared" si="52"/>
        <v>0</v>
      </c>
      <c r="L43" s="42">
        <f t="shared" si="52"/>
        <v>0</v>
      </c>
      <c r="M43" s="42">
        <f t="shared" si="52"/>
        <v>0</v>
      </c>
      <c r="N43" s="42">
        <f t="shared" si="52"/>
        <v>0</v>
      </c>
      <c r="O43" s="42">
        <f t="shared" si="52"/>
        <v>0</v>
      </c>
      <c r="P43" s="42">
        <f t="shared" si="52"/>
        <v>0</v>
      </c>
      <c r="Q43" s="42">
        <f t="shared" si="52"/>
        <v>0</v>
      </c>
      <c r="R43" s="42">
        <f t="shared" si="52"/>
        <v>0</v>
      </c>
      <c r="S43" s="42">
        <f t="shared" si="52"/>
        <v>0</v>
      </c>
      <c r="T43" s="42">
        <f t="shared" si="52"/>
        <v>0</v>
      </c>
      <c r="U43" s="42">
        <f t="shared" si="52"/>
        <v>0</v>
      </c>
      <c r="V43" s="42">
        <f t="shared" si="52"/>
        <v>0</v>
      </c>
      <c r="W43" s="42">
        <f t="shared" si="52"/>
        <v>0</v>
      </c>
      <c r="X43" s="42">
        <f t="shared" si="52"/>
        <v>0</v>
      </c>
      <c r="Y43" s="42">
        <f t="shared" si="52"/>
        <v>0</v>
      </c>
      <c r="Z43" s="42">
        <f t="shared" si="52"/>
        <v>0</v>
      </c>
      <c r="AA43" s="42">
        <f t="shared" si="52"/>
        <v>0</v>
      </c>
      <c r="AB43" s="34">
        <f t="shared" si="33"/>
        <v>0</v>
      </c>
      <c r="AC43" s="34">
        <f>IFERROR(s_RadSpec!$J$28*(AC28*$B43),".")</f>
        <v>0</v>
      </c>
      <c r="AD43" s="34">
        <f>IFERROR(s_RadSpec!$J$28*(AD28*$B43),".")</f>
        <v>0</v>
      </c>
      <c r="AE43" s="34">
        <f>IFERROR(s_RadSpec!$J$28*(AE28*$B43),".")</f>
        <v>0</v>
      </c>
      <c r="AF43" s="34">
        <f>IFERROR(s_RadSpec!$J$28*(AF28*$B43),".")</f>
        <v>0</v>
      </c>
      <c r="AG43" s="34">
        <f>IFERROR(s_RadSpec!$J$28*(AG28*$B43),".")</f>
        <v>0</v>
      </c>
      <c r="AH43" s="34">
        <f>IFERROR(s_RadSpec!$J$28*(AH28*$B43),".")</f>
        <v>0</v>
      </c>
      <c r="AI43" s="34">
        <f>IFERROR(s_RadSpec!$J$28*(AI28*$B43),".")</f>
        <v>0</v>
      </c>
      <c r="AJ43" s="34">
        <f>IFERROR(s_RadSpec!$J$28*(AJ28*$B43),".")</f>
        <v>0</v>
      </c>
      <c r="AK43" s="34">
        <f>IFERROR(s_RadSpec!$J$28*(AK28*$B43),".")</f>
        <v>0</v>
      </c>
      <c r="AL43" s="34">
        <f>IFERROR(s_RadSpec!$J$28*(AL28*$B43),".")</f>
        <v>0</v>
      </c>
      <c r="AM43" s="34">
        <f>IFERROR(s_RadSpec!$J$28*(AM28*$B43),".")</f>
        <v>0</v>
      </c>
      <c r="AN43" s="34">
        <f>IFERROR(s_RadSpec!$J$28*(AN28*$B43),".")</f>
        <v>0</v>
      </c>
      <c r="AO43" s="34">
        <f>IFERROR(s_RadSpec!$J$28*(AO28*$B43),".")</f>
        <v>0</v>
      </c>
      <c r="AP43" s="34">
        <f>IFERROR(s_RadSpec!$J$28*(AP28*$B43),".")</f>
        <v>0</v>
      </c>
      <c r="AQ43" s="34">
        <f>IFERROR(s_RadSpec!$J$28*(AQ28*$B43),".")</f>
        <v>0</v>
      </c>
      <c r="AR43" s="34">
        <f>IFERROR(s_RadSpec!$J$28*(AR28*$B43),".")</f>
        <v>0</v>
      </c>
      <c r="AS43" s="34">
        <f>IFERROR(s_RadSpec!$J$28*(AS28*$B43),".")</f>
        <v>0</v>
      </c>
      <c r="AT43" s="34">
        <f>IFERROR(s_RadSpec!$J$28*(AT28*$B43),".")</f>
        <v>0</v>
      </c>
      <c r="AU43" s="34">
        <f>IFERROR(s_RadSpec!$J$28*(AU28*$B43),".")</f>
        <v>0</v>
      </c>
      <c r="AV43" s="34">
        <f>IFERROR(s_RadSpec!$J$28*(AV28*$B43),".")</f>
        <v>0</v>
      </c>
      <c r="AW43" s="34">
        <f>IFERROR(s_RadSpec!$J$28*(AW28*$B43),".")</f>
        <v>0</v>
      </c>
      <c r="AX43" s="34">
        <f>IFERROR(s_RadSpec!$J$28*(AX28*$B43),".")</f>
        <v>0</v>
      </c>
      <c r="AY43" s="34">
        <f>IFERROR(s_RadSpec!$J$28*(AY28*$B43),".")</f>
        <v>0</v>
      </c>
      <c r="AZ43" s="34">
        <f>IFERROR(s_RadSpec!$J$28*(AZ28*$B43),".")</f>
        <v>0</v>
      </c>
      <c r="BA43" s="42">
        <f t="shared" ref="BA43:BY43" si="53">IFERROR(BA28/$B43,0)</f>
        <v>0</v>
      </c>
      <c r="BB43" s="42">
        <f t="shared" si="53"/>
        <v>0</v>
      </c>
      <c r="BC43" s="42">
        <f t="shared" si="53"/>
        <v>0</v>
      </c>
      <c r="BD43" s="42">
        <f t="shared" si="53"/>
        <v>0</v>
      </c>
      <c r="BE43" s="42">
        <f t="shared" si="53"/>
        <v>0</v>
      </c>
      <c r="BF43" s="42">
        <f t="shared" si="53"/>
        <v>0</v>
      </c>
      <c r="BG43" s="42">
        <f t="shared" si="53"/>
        <v>0</v>
      </c>
      <c r="BH43" s="42">
        <f t="shared" si="53"/>
        <v>0</v>
      </c>
      <c r="BI43" s="42">
        <f t="shared" si="53"/>
        <v>0</v>
      </c>
      <c r="BJ43" s="42">
        <f t="shared" si="53"/>
        <v>0</v>
      </c>
      <c r="BK43" s="42">
        <f t="shared" si="53"/>
        <v>0</v>
      </c>
      <c r="BL43" s="42">
        <f t="shared" si="53"/>
        <v>0</v>
      </c>
      <c r="BM43" s="42">
        <f t="shared" si="53"/>
        <v>0</v>
      </c>
      <c r="BN43" s="42">
        <f t="shared" si="53"/>
        <v>0</v>
      </c>
      <c r="BO43" s="42">
        <f t="shared" si="53"/>
        <v>0</v>
      </c>
      <c r="BP43" s="42">
        <f t="shared" si="53"/>
        <v>0</v>
      </c>
      <c r="BQ43" s="42">
        <f t="shared" si="53"/>
        <v>0</v>
      </c>
      <c r="BR43" s="42">
        <f t="shared" si="53"/>
        <v>0</v>
      </c>
      <c r="BS43" s="42">
        <f t="shared" si="53"/>
        <v>0</v>
      </c>
      <c r="BT43" s="42">
        <f t="shared" si="53"/>
        <v>0</v>
      </c>
      <c r="BU43" s="42">
        <f t="shared" si="53"/>
        <v>0</v>
      </c>
      <c r="BV43" s="42">
        <f t="shared" si="53"/>
        <v>0</v>
      </c>
      <c r="BW43" s="42">
        <f t="shared" si="53"/>
        <v>0</v>
      </c>
      <c r="BX43" s="42">
        <f t="shared" si="53"/>
        <v>0</v>
      </c>
      <c r="BY43" s="42">
        <f t="shared" si="53"/>
        <v>0</v>
      </c>
      <c r="BZ43" s="34">
        <f t="shared" si="35"/>
        <v>0</v>
      </c>
      <c r="CA43" s="34">
        <f>IFERROR(s_RadSpec!$J$28*(CA28*$B43),".")</f>
        <v>0</v>
      </c>
      <c r="CB43" s="34">
        <f>IFERROR(s_RadSpec!$J$28*(CB28*$B43),".")</f>
        <v>0</v>
      </c>
      <c r="CC43" s="34">
        <f>IFERROR(s_RadSpec!$J$28*(CC28*$B43),".")</f>
        <v>0</v>
      </c>
      <c r="CD43" s="34">
        <f>IFERROR(s_RadSpec!$J$28*(CD28*$B43),".")</f>
        <v>0</v>
      </c>
      <c r="CE43" s="34">
        <f>IFERROR(s_RadSpec!$J$28*(CE28*$B43),".")</f>
        <v>0</v>
      </c>
      <c r="CF43" s="34">
        <f>IFERROR(s_RadSpec!$J$28*(CF28*$B43),".")</f>
        <v>0</v>
      </c>
      <c r="CG43" s="34">
        <f>IFERROR(s_RadSpec!$J$28*(CG28*$B43),".")</f>
        <v>0</v>
      </c>
      <c r="CH43" s="34">
        <f>IFERROR(s_RadSpec!$J$28*(CH28*$B43),".")</f>
        <v>0</v>
      </c>
      <c r="CI43" s="34">
        <f>IFERROR(s_RadSpec!$J$28*(CI28*$B43),".")</f>
        <v>0</v>
      </c>
      <c r="CJ43" s="34">
        <f>IFERROR(s_RadSpec!$J$28*(CJ28*$B43),".")</f>
        <v>0</v>
      </c>
      <c r="CK43" s="34">
        <f>IFERROR(s_RadSpec!$J$28*(CK28*$B43),".")</f>
        <v>0</v>
      </c>
      <c r="CL43" s="34">
        <f>IFERROR(s_RadSpec!$J$28*(CL28*$B43),".")</f>
        <v>0</v>
      </c>
      <c r="CM43" s="34">
        <f>IFERROR(s_RadSpec!$J$28*(CM28*$B43),".")</f>
        <v>0</v>
      </c>
      <c r="CN43" s="34">
        <f>IFERROR(s_RadSpec!$J$28*(CN28*$B43),".")</f>
        <v>0</v>
      </c>
      <c r="CO43" s="34">
        <f>IFERROR(s_RadSpec!$J$28*(CO28*$B43),".")</f>
        <v>0</v>
      </c>
      <c r="CP43" s="34">
        <f>IFERROR(s_RadSpec!$J$28*(CP28*$B43),".")</f>
        <v>0</v>
      </c>
      <c r="CQ43" s="34">
        <f>IFERROR(s_RadSpec!$J$28*(CQ28*$B43),".")</f>
        <v>0</v>
      </c>
      <c r="CR43" s="34">
        <f>IFERROR(s_RadSpec!$J$28*(CR28*$B43),".")</f>
        <v>0</v>
      </c>
      <c r="CS43" s="34">
        <f>IFERROR(s_RadSpec!$J$28*(CS28*$B43),".")</f>
        <v>0</v>
      </c>
      <c r="CT43" s="34">
        <f>IFERROR(s_RadSpec!$J$28*(CT28*$B43),".")</f>
        <v>0</v>
      </c>
      <c r="CU43" s="34">
        <f>IFERROR(s_RadSpec!$J$28*(CU28*$B43),".")</f>
        <v>0</v>
      </c>
      <c r="CV43" s="34">
        <f>IFERROR(s_RadSpec!$J$28*(CV28*$B43),".")</f>
        <v>0</v>
      </c>
      <c r="CW43" s="34">
        <f>IFERROR(s_RadSpec!$J$28*(CW28*$B43),".")</f>
        <v>0</v>
      </c>
      <c r="CX43" s="34">
        <f>IFERROR(s_RadSpec!$J$28*(CX28*$B43),".")</f>
        <v>0</v>
      </c>
    </row>
    <row r="44" spans="1:102" s="3" customFormat="1" x14ac:dyDescent="0.25">
      <c r="A44" s="55" t="s">
        <v>1074</v>
      </c>
      <c r="B44" s="3">
        <v>0.99987999999999999</v>
      </c>
      <c r="C44" s="42">
        <f t="shared" ref="C44:AA44" si="54">IFERROR(C15/$B44,0)</f>
        <v>304216.30299863947</v>
      </c>
      <c r="D44" s="42">
        <f t="shared" si="54"/>
        <v>874172.6456045832</v>
      </c>
      <c r="E44" s="42">
        <f t="shared" si="54"/>
        <v>433518.46734984982</v>
      </c>
      <c r="F44" s="42">
        <f t="shared" si="54"/>
        <v>815000.1427920647</v>
      </c>
      <c r="G44" s="42">
        <f t="shared" si="54"/>
        <v>874172.6456045832</v>
      </c>
      <c r="H44" s="42">
        <f t="shared" si="54"/>
        <v>815000.1427920647</v>
      </c>
      <c r="I44" s="42">
        <f t="shared" si="54"/>
        <v>433518.46734984982</v>
      </c>
      <c r="J44" s="42">
        <f t="shared" si="54"/>
        <v>815000.1427920647</v>
      </c>
      <c r="K44" s="42">
        <f t="shared" si="54"/>
        <v>874172.6456045832</v>
      </c>
      <c r="L44" s="42">
        <f t="shared" si="54"/>
        <v>1002242.7776432357</v>
      </c>
      <c r="M44" s="42">
        <f t="shared" si="54"/>
        <v>815000.1427920647</v>
      </c>
      <c r="N44" s="42">
        <f t="shared" si="54"/>
        <v>433518.46734984982</v>
      </c>
      <c r="O44" s="42">
        <f t="shared" si="54"/>
        <v>938203.16131827759</v>
      </c>
      <c r="P44" s="42">
        <f t="shared" si="54"/>
        <v>815000.1427920647</v>
      </c>
      <c r="Q44" s="42">
        <f t="shared" si="54"/>
        <v>815000.1427920647</v>
      </c>
      <c r="R44" s="42">
        <f t="shared" si="54"/>
        <v>874172.6456045832</v>
      </c>
      <c r="S44" s="42">
        <f t="shared" si="54"/>
        <v>874172.6456045832</v>
      </c>
      <c r="T44" s="42">
        <f t="shared" si="54"/>
        <v>938203.16131827759</v>
      </c>
      <c r="U44" s="42">
        <f t="shared" si="54"/>
        <v>997261.98466034187</v>
      </c>
      <c r="V44" s="42">
        <f t="shared" si="54"/>
        <v>815000.1427920647</v>
      </c>
      <c r="W44" s="42">
        <f t="shared" si="54"/>
        <v>938203.16131827759</v>
      </c>
      <c r="X44" s="42">
        <f t="shared" si="54"/>
        <v>874172.6456045832</v>
      </c>
      <c r="Y44" s="42">
        <f t="shared" si="54"/>
        <v>815000.1427920647</v>
      </c>
      <c r="Z44" s="42">
        <f t="shared" si="54"/>
        <v>1017660.2138718724</v>
      </c>
      <c r="AA44" s="42">
        <f t="shared" si="54"/>
        <v>861660.59528196929</v>
      </c>
      <c r="AB44" s="34">
        <f t="shared" si="33"/>
        <v>8.217837030289532E-5</v>
      </c>
      <c r="AC44" s="34">
        <f>IFERROR(s_RadSpec!$J$15*(AC15*$B44),".")</f>
        <v>2.8598469793927084E-5</v>
      </c>
      <c r="AD44" s="34">
        <f>IFERROR(s_RadSpec!$J$15*(AD15*$B44),".")</f>
        <v>5.7667670198291634E-5</v>
      </c>
      <c r="AE44" s="34">
        <f>IFERROR(s_RadSpec!$J$15*(AE15*$B44),".")</f>
        <v>3.0674841251381691E-5</v>
      </c>
      <c r="AF44" s="34">
        <f>IFERROR(s_RadSpec!$J$15*(AF15*$B44),".")</f>
        <v>2.8598469793927084E-5</v>
      </c>
      <c r="AG44" s="34">
        <f>IFERROR(s_RadSpec!$J$15*(AG15*$B44),".")</f>
        <v>3.0674841251381691E-5</v>
      </c>
      <c r="AH44" s="34">
        <f>IFERROR(s_RadSpec!$J$15*(AH15*$B44),".")</f>
        <v>5.7667670198291634E-5</v>
      </c>
      <c r="AI44" s="34">
        <f>IFERROR(s_RadSpec!$J$15*(AI15*$B44),".")</f>
        <v>3.0674841251381691E-5</v>
      </c>
      <c r="AJ44" s="34">
        <f>IFERROR(s_RadSpec!$J$15*(AJ15*$B44),".")</f>
        <v>2.8598469793927084E-5</v>
      </c>
      <c r="AK44" s="34">
        <f>IFERROR(s_RadSpec!$J$15*(AK15*$B44),".")</f>
        <v>2.4944056028806971E-5</v>
      </c>
      <c r="AL44" s="34">
        <f>IFERROR(s_RadSpec!$J$15*(AL15*$B44),".")</f>
        <v>3.0674841251381691E-5</v>
      </c>
      <c r="AM44" s="34">
        <f>IFERROR(s_RadSpec!$J$15*(AM15*$B44),".")</f>
        <v>5.7667670198291634E-5</v>
      </c>
      <c r="AN44" s="34">
        <f>IFERROR(s_RadSpec!$J$15*(AN15*$B44),".")</f>
        <v>2.6646680623919748E-5</v>
      </c>
      <c r="AO44" s="34">
        <f>IFERROR(s_RadSpec!$J$15*(AO15*$B44),".")</f>
        <v>3.0674841251381691E-5</v>
      </c>
      <c r="AP44" s="34">
        <f>IFERROR(s_RadSpec!$J$15*(AP15*$B44),".")</f>
        <v>3.0674841251381691E-5</v>
      </c>
      <c r="AQ44" s="34">
        <f>IFERROR(s_RadSpec!$J$15*(AQ15*$B44),".")</f>
        <v>2.8598469793927084E-5</v>
      </c>
      <c r="AR44" s="34">
        <f>IFERROR(s_RadSpec!$J$15*(AR15*$B44),".")</f>
        <v>2.8598469793927084E-5</v>
      </c>
      <c r="AS44" s="34">
        <f>IFERROR(s_RadSpec!$J$15*(AS15*$B44),".")</f>
        <v>2.6646680623919748E-5</v>
      </c>
      <c r="AT44" s="34">
        <f>IFERROR(s_RadSpec!$J$15*(AT15*$B44),".")</f>
        <v>2.5068638316254245E-5</v>
      </c>
      <c r="AU44" s="34">
        <f>IFERROR(s_RadSpec!$J$15*(AU15*$B44),".")</f>
        <v>3.0674841251381691E-5</v>
      </c>
      <c r="AV44" s="34">
        <f>IFERROR(s_RadSpec!$J$15*(AV15*$B44),".")</f>
        <v>2.6646680623919748E-5</v>
      </c>
      <c r="AW44" s="34">
        <f>IFERROR(s_RadSpec!$J$15*(AW15*$B44),".")</f>
        <v>2.8598469793927084E-5</v>
      </c>
      <c r="AX44" s="34">
        <f>IFERROR(s_RadSpec!$J$15*(AX15*$B44),".")</f>
        <v>3.0674841251381691E-5</v>
      </c>
      <c r="AY44" s="34">
        <f>IFERROR(s_RadSpec!$J$15*(AY15*$B44),".")</f>
        <v>2.4566156423550231E-5</v>
      </c>
      <c r="AZ44" s="34">
        <f>IFERROR(s_RadSpec!$J$15*(AZ15*$B44),".")</f>
        <v>2.9013744085418004E-5</v>
      </c>
      <c r="BA44" s="42">
        <f t="shared" ref="BA44:BY44" si="55">IFERROR(BA15/$B44,0)</f>
        <v>304216.30299863947</v>
      </c>
      <c r="BB44" s="42">
        <f t="shared" si="55"/>
        <v>874172.6456045832</v>
      </c>
      <c r="BC44" s="42">
        <f t="shared" si="55"/>
        <v>433518.46734984982</v>
      </c>
      <c r="BD44" s="42">
        <f t="shared" si="55"/>
        <v>815000.1427920647</v>
      </c>
      <c r="BE44" s="42">
        <f t="shared" si="55"/>
        <v>874172.6456045832</v>
      </c>
      <c r="BF44" s="42">
        <f t="shared" si="55"/>
        <v>815000.1427920647</v>
      </c>
      <c r="BG44" s="42">
        <f t="shared" si="55"/>
        <v>433518.46734984982</v>
      </c>
      <c r="BH44" s="42">
        <f t="shared" si="55"/>
        <v>815000.1427920647</v>
      </c>
      <c r="BI44" s="42">
        <f t="shared" si="55"/>
        <v>874172.6456045832</v>
      </c>
      <c r="BJ44" s="42">
        <f t="shared" si="55"/>
        <v>1002242.7776432357</v>
      </c>
      <c r="BK44" s="42">
        <f t="shared" si="55"/>
        <v>815000.1427920647</v>
      </c>
      <c r="BL44" s="42">
        <f t="shared" si="55"/>
        <v>433518.46734984982</v>
      </c>
      <c r="BM44" s="42">
        <f t="shared" si="55"/>
        <v>938203.16131827759</v>
      </c>
      <c r="BN44" s="42">
        <f t="shared" si="55"/>
        <v>815000.1427920647</v>
      </c>
      <c r="BO44" s="42">
        <f t="shared" si="55"/>
        <v>815000.1427920647</v>
      </c>
      <c r="BP44" s="42">
        <f t="shared" si="55"/>
        <v>874172.6456045832</v>
      </c>
      <c r="BQ44" s="42">
        <f t="shared" si="55"/>
        <v>874172.6456045832</v>
      </c>
      <c r="BR44" s="42">
        <f t="shared" si="55"/>
        <v>938203.16131827759</v>
      </c>
      <c r="BS44" s="42">
        <f t="shared" si="55"/>
        <v>997261.98466034187</v>
      </c>
      <c r="BT44" s="42">
        <f t="shared" si="55"/>
        <v>815000.1427920647</v>
      </c>
      <c r="BU44" s="42">
        <f t="shared" si="55"/>
        <v>938203.16131827759</v>
      </c>
      <c r="BV44" s="42">
        <f t="shared" si="55"/>
        <v>874172.6456045832</v>
      </c>
      <c r="BW44" s="42">
        <f t="shared" si="55"/>
        <v>815000.1427920647</v>
      </c>
      <c r="BX44" s="42">
        <f t="shared" si="55"/>
        <v>1017660.2138718724</v>
      </c>
      <c r="BY44" s="42">
        <f t="shared" si="55"/>
        <v>861660.59528196929</v>
      </c>
      <c r="BZ44" s="34">
        <f t="shared" si="35"/>
        <v>8.217837030289532E-5</v>
      </c>
      <c r="CA44" s="34">
        <f>IFERROR(s_RadSpec!$J$15*(CA15*$B44),".")</f>
        <v>2.8598469793927084E-5</v>
      </c>
      <c r="CB44" s="34">
        <f>IFERROR(s_RadSpec!$J$15*(CB15*$B44),".")</f>
        <v>5.7667670198291634E-5</v>
      </c>
      <c r="CC44" s="34">
        <f>IFERROR(s_RadSpec!$J$15*(CC15*$B44),".")</f>
        <v>3.0674841251381691E-5</v>
      </c>
      <c r="CD44" s="34">
        <f>IFERROR(s_RadSpec!$J$15*(CD15*$B44),".")</f>
        <v>2.8598469793927084E-5</v>
      </c>
      <c r="CE44" s="34">
        <f>IFERROR(s_RadSpec!$J$15*(CE15*$B44),".")</f>
        <v>3.0674841251381691E-5</v>
      </c>
      <c r="CF44" s="34">
        <f>IFERROR(s_RadSpec!$J$15*(CF15*$B44),".")</f>
        <v>5.7667670198291634E-5</v>
      </c>
      <c r="CG44" s="34">
        <f>IFERROR(s_RadSpec!$J$15*(CG15*$B44),".")</f>
        <v>3.0674841251381691E-5</v>
      </c>
      <c r="CH44" s="34">
        <f>IFERROR(s_RadSpec!$J$15*(CH15*$B44),".")</f>
        <v>2.8598469793927084E-5</v>
      </c>
      <c r="CI44" s="34">
        <f>IFERROR(s_RadSpec!$J$15*(CI15*$B44),".")</f>
        <v>2.4944056028806971E-5</v>
      </c>
      <c r="CJ44" s="34">
        <f>IFERROR(s_RadSpec!$J$15*(CJ15*$B44),".")</f>
        <v>3.0674841251381691E-5</v>
      </c>
      <c r="CK44" s="34">
        <f>IFERROR(s_RadSpec!$J$15*(CK15*$B44),".")</f>
        <v>5.7667670198291634E-5</v>
      </c>
      <c r="CL44" s="34">
        <f>IFERROR(s_RadSpec!$J$15*(CL15*$B44),".")</f>
        <v>2.6646680623919748E-5</v>
      </c>
      <c r="CM44" s="34">
        <f>IFERROR(s_RadSpec!$J$15*(CM15*$B44),".")</f>
        <v>3.0674841251381691E-5</v>
      </c>
      <c r="CN44" s="34">
        <f>IFERROR(s_RadSpec!$J$15*(CN15*$B44),".")</f>
        <v>3.0674841251381691E-5</v>
      </c>
      <c r="CO44" s="34">
        <f>IFERROR(s_RadSpec!$J$15*(CO15*$B44),".")</f>
        <v>2.8598469793927084E-5</v>
      </c>
      <c r="CP44" s="34">
        <f>IFERROR(s_RadSpec!$J$15*(CP15*$B44),".")</f>
        <v>2.8598469793927084E-5</v>
      </c>
      <c r="CQ44" s="34">
        <f>IFERROR(s_RadSpec!$J$15*(CQ15*$B44),".")</f>
        <v>2.6646680623919748E-5</v>
      </c>
      <c r="CR44" s="34">
        <f>IFERROR(s_RadSpec!$J$15*(CR15*$B44),".")</f>
        <v>2.5068638316254245E-5</v>
      </c>
      <c r="CS44" s="34">
        <f>IFERROR(s_RadSpec!$J$15*(CS15*$B44),".")</f>
        <v>3.0674841251381691E-5</v>
      </c>
      <c r="CT44" s="34">
        <f>IFERROR(s_RadSpec!$J$15*(CT15*$B44),".")</f>
        <v>2.6646680623919748E-5</v>
      </c>
      <c r="CU44" s="34">
        <f>IFERROR(s_RadSpec!$J$15*(CU15*$B44),".")</f>
        <v>2.8598469793927084E-5</v>
      </c>
      <c r="CV44" s="34">
        <f>IFERROR(s_RadSpec!$J$15*(CV15*$B44),".")</f>
        <v>3.0674841251381691E-5</v>
      </c>
      <c r="CW44" s="34">
        <f>IFERROR(s_RadSpec!$J$15*(CW15*$B44),".")</f>
        <v>2.4566156423550231E-5</v>
      </c>
      <c r="CX44" s="34">
        <f>IFERROR(s_RadSpec!$J$15*(CX15*$B44),".")</f>
        <v>2.9013744085418004E-5</v>
      </c>
    </row>
    <row r="45" spans="1:102" s="3" customFormat="1" x14ac:dyDescent="0.25">
      <c r="A45" s="54" t="s">
        <v>8</v>
      </c>
      <c r="B45" s="54" t="s">
        <v>1059</v>
      </c>
      <c r="C45" s="40">
        <f t="shared" ref="C45:AA45" si="56">IFERROR(IF(AND(C46&lt;&gt;0,C47&lt;&gt;0),1/SUM(1/C46,1/C47),IF(AND(C46&lt;&gt;0,C47=0),1/(1/C46),IF(AND(C46=0,C47&lt;&gt;0),1/(1/C47),IF(AND(C46=0,C47=0),".")))),".")</f>
        <v>1593.7529116748494</v>
      </c>
      <c r="D45" s="40">
        <f t="shared" si="56"/>
        <v>5228.0860535998863</v>
      </c>
      <c r="E45" s="40">
        <f t="shared" si="56"/>
        <v>2844.2153848482308</v>
      </c>
      <c r="F45" s="40">
        <f t="shared" si="56"/>
        <v>3351.776348606239</v>
      </c>
      <c r="G45" s="40">
        <f t="shared" si="56"/>
        <v>5545.3739336761137</v>
      </c>
      <c r="H45" s="40">
        <f t="shared" si="56"/>
        <v>4233.0887865555706</v>
      </c>
      <c r="I45" s="40">
        <f t="shared" si="56"/>
        <v>2844.2153848482308</v>
      </c>
      <c r="J45" s="40">
        <f t="shared" si="56"/>
        <v>3351.776348606239</v>
      </c>
      <c r="K45" s="40">
        <f t="shared" si="56"/>
        <v>5228.0860535998863</v>
      </c>
      <c r="L45" s="40">
        <f t="shared" si="56"/>
        <v>3680.1441512192068</v>
      </c>
      <c r="M45" s="40">
        <f t="shared" si="56"/>
        <v>4233.0887865555706</v>
      </c>
      <c r="N45" s="40">
        <f t="shared" si="56"/>
        <v>2844.2153848482308</v>
      </c>
      <c r="O45" s="40">
        <f t="shared" si="56"/>
        <v>3419.5804633035282</v>
      </c>
      <c r="P45" s="40">
        <f t="shared" si="56"/>
        <v>4233.0887865555706</v>
      </c>
      <c r="Q45" s="40">
        <f t="shared" si="56"/>
        <v>4233.0887865555706</v>
      </c>
      <c r="R45" s="40">
        <f t="shared" si="56"/>
        <v>5228.0860535998863</v>
      </c>
      <c r="S45" s="40">
        <f t="shared" si="56"/>
        <v>5228.0860535998863</v>
      </c>
      <c r="T45" s="40">
        <f t="shared" si="56"/>
        <v>3419.5804633035282</v>
      </c>
      <c r="U45" s="40">
        <f t="shared" si="56"/>
        <v>2943.2596287478368</v>
      </c>
      <c r="V45" s="40">
        <f t="shared" si="56"/>
        <v>4233.0887865555706</v>
      </c>
      <c r="W45" s="40">
        <f t="shared" si="56"/>
        <v>3419.5804633035282</v>
      </c>
      <c r="X45" s="40">
        <f t="shared" si="56"/>
        <v>5473.5501761061505</v>
      </c>
      <c r="Y45" s="40">
        <f t="shared" si="56"/>
        <v>4233.0887865555706</v>
      </c>
      <c r="Z45" s="40">
        <f t="shared" si="56"/>
        <v>5672.8506742453901</v>
      </c>
      <c r="AA45" s="40">
        <f t="shared" si="56"/>
        <v>3847.6776656332872</v>
      </c>
      <c r="AB45" s="33">
        <f t="shared" si="33"/>
        <v>1.5686245852079981E-2</v>
      </c>
      <c r="AC45" s="33">
        <f>IFERROR(SUM(AC46:AC47),".")</f>
        <v>4.7818646716394093E-3</v>
      </c>
      <c r="AD45" s="33">
        <f t="shared" ref="AD45:AZ45" si="57">IFERROR(SUM(AD46:AD47),".")</f>
        <v>8.7897703293430482E-3</v>
      </c>
      <c r="AE45" s="33">
        <f t="shared" si="57"/>
        <v>7.4587315500318756E-3</v>
      </c>
      <c r="AF45" s="33">
        <f t="shared" si="57"/>
        <v>4.5082622558921129E-3</v>
      </c>
      <c r="AG45" s="33">
        <f t="shared" si="57"/>
        <v>5.9058529741688433E-3</v>
      </c>
      <c r="AH45" s="33">
        <f t="shared" si="57"/>
        <v>8.7897703293430482E-3</v>
      </c>
      <c r="AI45" s="33">
        <f t="shared" si="57"/>
        <v>7.4587315500318756E-3</v>
      </c>
      <c r="AJ45" s="33">
        <f t="shared" si="57"/>
        <v>4.7818646716394093E-3</v>
      </c>
      <c r="AK45" s="33">
        <f t="shared" si="57"/>
        <v>6.7932121603762902E-3</v>
      </c>
      <c r="AL45" s="33">
        <f t="shared" si="57"/>
        <v>5.9058529741688433E-3</v>
      </c>
      <c r="AM45" s="33">
        <f t="shared" si="57"/>
        <v>8.7897703293430482E-3</v>
      </c>
      <c r="AN45" s="33">
        <f t="shared" si="57"/>
        <v>7.3108383523306361E-3</v>
      </c>
      <c r="AO45" s="33">
        <f t="shared" si="57"/>
        <v>5.9058529741688433E-3</v>
      </c>
      <c r="AP45" s="33">
        <f t="shared" si="57"/>
        <v>5.9058529741688433E-3</v>
      </c>
      <c r="AQ45" s="33">
        <f t="shared" si="57"/>
        <v>4.7818646716394093E-3</v>
      </c>
      <c r="AR45" s="33">
        <f t="shared" si="57"/>
        <v>4.7818646716394093E-3</v>
      </c>
      <c r="AS45" s="33">
        <f t="shared" si="57"/>
        <v>7.3108383523306361E-3</v>
      </c>
      <c r="AT45" s="33">
        <f t="shared" si="57"/>
        <v>8.4939839339405639E-3</v>
      </c>
      <c r="AU45" s="33">
        <f t="shared" si="57"/>
        <v>5.9058529741688433E-3</v>
      </c>
      <c r="AV45" s="33">
        <f t="shared" si="57"/>
        <v>7.3108383523306361E-3</v>
      </c>
      <c r="AW45" s="33">
        <f t="shared" si="57"/>
        <v>4.5674195349726101E-3</v>
      </c>
      <c r="AX45" s="33">
        <f t="shared" si="57"/>
        <v>5.9058529741688433E-3</v>
      </c>
      <c r="AY45" s="33">
        <f t="shared" si="57"/>
        <v>4.4069554154667631E-3</v>
      </c>
      <c r="AZ45" s="33">
        <f t="shared" si="57"/>
        <v>6.4974257649738068E-3</v>
      </c>
      <c r="BA45" s="40">
        <f t="shared" ref="BA45:BY45" si="58">IFERROR(IF(AND(BA46&lt;&gt;0,BA47&lt;&gt;0),1/SUM(1/BA46,1/BA47),IF(AND(BA46&lt;&gt;0,BA47=0),1/(1/BA46),IF(AND(BA46=0,BA47&lt;&gt;0),1/(1/BA47),IF(AND(BA46=0,BA47=0),".")))),".")</f>
        <v>1593.7529116748494</v>
      </c>
      <c r="BB45" s="40">
        <f t="shared" si="58"/>
        <v>5228.0860535998863</v>
      </c>
      <c r="BC45" s="40">
        <f t="shared" si="58"/>
        <v>2844.2153848482308</v>
      </c>
      <c r="BD45" s="40">
        <f t="shared" si="58"/>
        <v>3351.776348606239</v>
      </c>
      <c r="BE45" s="40">
        <f t="shared" si="58"/>
        <v>5545.3739336761137</v>
      </c>
      <c r="BF45" s="40">
        <f t="shared" si="58"/>
        <v>4233.0887865555706</v>
      </c>
      <c r="BG45" s="40">
        <f t="shared" si="58"/>
        <v>2844.2153848482308</v>
      </c>
      <c r="BH45" s="40">
        <f t="shared" si="58"/>
        <v>3351.776348606239</v>
      </c>
      <c r="BI45" s="40">
        <f t="shared" si="58"/>
        <v>5228.0860535998863</v>
      </c>
      <c r="BJ45" s="40">
        <f t="shared" si="58"/>
        <v>3680.1441512192068</v>
      </c>
      <c r="BK45" s="40">
        <f t="shared" si="58"/>
        <v>4233.0887865555706</v>
      </c>
      <c r="BL45" s="40">
        <f t="shared" si="58"/>
        <v>2844.2153848482308</v>
      </c>
      <c r="BM45" s="40">
        <f t="shared" si="58"/>
        <v>3419.5804633035282</v>
      </c>
      <c r="BN45" s="40">
        <f t="shared" si="58"/>
        <v>4233.0887865555706</v>
      </c>
      <c r="BO45" s="40">
        <f t="shared" si="58"/>
        <v>4233.0887865555706</v>
      </c>
      <c r="BP45" s="40">
        <f t="shared" si="58"/>
        <v>5228.0860535998863</v>
      </c>
      <c r="BQ45" s="40">
        <f t="shared" si="58"/>
        <v>5228.0860535998863</v>
      </c>
      <c r="BR45" s="40">
        <f t="shared" si="58"/>
        <v>3419.5804633035282</v>
      </c>
      <c r="BS45" s="40">
        <f t="shared" si="58"/>
        <v>2943.2596287478368</v>
      </c>
      <c r="BT45" s="40">
        <f t="shared" si="58"/>
        <v>4233.0887865555706</v>
      </c>
      <c r="BU45" s="40">
        <f t="shared" si="58"/>
        <v>3419.5804633035282</v>
      </c>
      <c r="BV45" s="40">
        <f t="shared" si="58"/>
        <v>5473.5501761061505</v>
      </c>
      <c r="BW45" s="40">
        <f t="shared" si="58"/>
        <v>4233.0887865555706</v>
      </c>
      <c r="BX45" s="40">
        <f t="shared" si="58"/>
        <v>5672.8506742453901</v>
      </c>
      <c r="BY45" s="40">
        <f t="shared" si="58"/>
        <v>3847.6776656332872</v>
      </c>
      <c r="BZ45" s="33">
        <f t="shared" si="35"/>
        <v>1.5686245852079981E-2</v>
      </c>
      <c r="CA45" s="33">
        <f>IFERROR(SUM(CA46:CA47),".")</f>
        <v>4.7818646716394093E-3</v>
      </c>
      <c r="CB45" s="33">
        <f t="shared" ref="CB45" si="59">IFERROR(SUM(CB46:CB47),".")</f>
        <v>8.7897703293430482E-3</v>
      </c>
      <c r="CC45" s="33">
        <f t="shared" ref="CC45" si="60">IFERROR(SUM(CC46:CC47),".")</f>
        <v>7.4587315500318756E-3</v>
      </c>
      <c r="CD45" s="33">
        <f t="shared" ref="CD45" si="61">IFERROR(SUM(CD46:CD47),".")</f>
        <v>4.5082622558921129E-3</v>
      </c>
      <c r="CE45" s="33">
        <f t="shared" ref="CE45" si="62">IFERROR(SUM(CE46:CE47),".")</f>
        <v>5.9058529741688433E-3</v>
      </c>
      <c r="CF45" s="33">
        <f t="shared" ref="CF45" si="63">IFERROR(SUM(CF46:CF47),".")</f>
        <v>8.7897703293430482E-3</v>
      </c>
      <c r="CG45" s="33">
        <f t="shared" ref="CG45" si="64">IFERROR(SUM(CG46:CG47),".")</f>
        <v>7.4587315500318756E-3</v>
      </c>
      <c r="CH45" s="33">
        <f t="shared" ref="CH45" si="65">IFERROR(SUM(CH46:CH47),".")</f>
        <v>4.7818646716394093E-3</v>
      </c>
      <c r="CI45" s="33">
        <f t="shared" ref="CI45" si="66">IFERROR(SUM(CI46:CI47),".")</f>
        <v>6.7932121603762902E-3</v>
      </c>
      <c r="CJ45" s="33">
        <f t="shared" ref="CJ45" si="67">IFERROR(SUM(CJ46:CJ47),".")</f>
        <v>5.9058529741688433E-3</v>
      </c>
      <c r="CK45" s="33">
        <f t="shared" ref="CK45" si="68">IFERROR(SUM(CK46:CK47),".")</f>
        <v>8.7897703293430482E-3</v>
      </c>
      <c r="CL45" s="33">
        <f t="shared" ref="CL45" si="69">IFERROR(SUM(CL46:CL47),".")</f>
        <v>7.3108383523306361E-3</v>
      </c>
      <c r="CM45" s="33">
        <f t="shared" ref="CM45" si="70">IFERROR(SUM(CM46:CM47),".")</f>
        <v>5.9058529741688433E-3</v>
      </c>
      <c r="CN45" s="33">
        <f t="shared" ref="CN45" si="71">IFERROR(SUM(CN46:CN47),".")</f>
        <v>5.9058529741688433E-3</v>
      </c>
      <c r="CO45" s="33">
        <f t="shared" ref="CO45" si="72">IFERROR(SUM(CO46:CO47),".")</f>
        <v>4.7818646716394093E-3</v>
      </c>
      <c r="CP45" s="33">
        <f t="shared" ref="CP45" si="73">IFERROR(SUM(CP46:CP47),".")</f>
        <v>4.7818646716394093E-3</v>
      </c>
      <c r="CQ45" s="33">
        <f t="shared" ref="CQ45" si="74">IFERROR(SUM(CQ46:CQ47),".")</f>
        <v>7.3108383523306361E-3</v>
      </c>
      <c r="CR45" s="33">
        <f t="shared" ref="CR45" si="75">IFERROR(SUM(CR46:CR47),".")</f>
        <v>8.4939839339405639E-3</v>
      </c>
      <c r="CS45" s="33">
        <f t="shared" ref="CS45" si="76">IFERROR(SUM(CS46:CS47),".")</f>
        <v>5.9058529741688433E-3</v>
      </c>
      <c r="CT45" s="33">
        <f t="shared" ref="CT45" si="77">IFERROR(SUM(CT46:CT47),".")</f>
        <v>7.3108383523306361E-3</v>
      </c>
      <c r="CU45" s="33">
        <f t="shared" ref="CU45" si="78">IFERROR(SUM(CU46:CU47),".")</f>
        <v>4.5674195349726101E-3</v>
      </c>
      <c r="CV45" s="33">
        <f t="shared" ref="CV45" si="79">IFERROR(SUM(CV46:CV47),".")</f>
        <v>5.9058529741688433E-3</v>
      </c>
      <c r="CW45" s="33">
        <f t="shared" ref="CW45" si="80">IFERROR(SUM(CW46:CW47),".")</f>
        <v>4.4069554154667631E-3</v>
      </c>
      <c r="CX45" s="33">
        <f t="shared" ref="CX45" si="81">IFERROR(SUM(CX46:CX47),".")</f>
        <v>6.4974257649738068E-3</v>
      </c>
    </row>
    <row r="46" spans="1:102" s="3" customFormat="1" x14ac:dyDescent="0.25">
      <c r="A46" s="55" t="s">
        <v>1086</v>
      </c>
      <c r="B46" s="3">
        <v>1</v>
      </c>
      <c r="C46" s="42">
        <f t="shared" ref="C46:AA46" si="82">IFERROR(C10/$B46,0)</f>
        <v>1593.7529116748494</v>
      </c>
      <c r="D46" s="42">
        <f t="shared" si="82"/>
        <v>5228.0860535998863</v>
      </c>
      <c r="E46" s="42">
        <f t="shared" si="82"/>
        <v>2844.2153848482308</v>
      </c>
      <c r="F46" s="42">
        <f t="shared" si="82"/>
        <v>3351.776348606239</v>
      </c>
      <c r="G46" s="42">
        <f t="shared" si="82"/>
        <v>5545.3739336761137</v>
      </c>
      <c r="H46" s="42">
        <f t="shared" si="82"/>
        <v>4233.0887865555706</v>
      </c>
      <c r="I46" s="42">
        <f t="shared" si="82"/>
        <v>2844.2153848482308</v>
      </c>
      <c r="J46" s="42">
        <f t="shared" si="82"/>
        <v>3351.776348606239</v>
      </c>
      <c r="K46" s="42">
        <f t="shared" si="82"/>
        <v>5228.0860535998863</v>
      </c>
      <c r="L46" s="42">
        <f t="shared" si="82"/>
        <v>3680.1441512192068</v>
      </c>
      <c r="M46" s="42">
        <f t="shared" si="82"/>
        <v>4233.0887865555706</v>
      </c>
      <c r="N46" s="42">
        <f t="shared" si="82"/>
        <v>2844.2153848482308</v>
      </c>
      <c r="O46" s="42">
        <f t="shared" si="82"/>
        <v>3419.5804633035277</v>
      </c>
      <c r="P46" s="42">
        <f t="shared" si="82"/>
        <v>4233.0887865555706</v>
      </c>
      <c r="Q46" s="42">
        <f t="shared" si="82"/>
        <v>4233.0887865555706</v>
      </c>
      <c r="R46" s="42">
        <f t="shared" si="82"/>
        <v>5228.0860535998863</v>
      </c>
      <c r="S46" s="42">
        <f t="shared" si="82"/>
        <v>5228.0860535998863</v>
      </c>
      <c r="T46" s="42">
        <f t="shared" si="82"/>
        <v>3419.5804633035277</v>
      </c>
      <c r="U46" s="42">
        <f t="shared" si="82"/>
        <v>2943.2596287478368</v>
      </c>
      <c r="V46" s="42">
        <f t="shared" si="82"/>
        <v>4233.0887865555706</v>
      </c>
      <c r="W46" s="42">
        <f t="shared" si="82"/>
        <v>3419.5804633035277</v>
      </c>
      <c r="X46" s="42">
        <f t="shared" si="82"/>
        <v>5473.5501761061505</v>
      </c>
      <c r="Y46" s="42">
        <f t="shared" si="82"/>
        <v>4233.0887865555706</v>
      </c>
      <c r="Z46" s="42">
        <f t="shared" si="82"/>
        <v>5672.8506742453901</v>
      </c>
      <c r="AA46" s="42">
        <f t="shared" si="82"/>
        <v>3847.6776656332872</v>
      </c>
      <c r="AB46" s="34">
        <f t="shared" si="33"/>
        <v>1.5686245852079981E-2</v>
      </c>
      <c r="AC46" s="34">
        <f>IFERROR(s_RadSpec!$J$10*(AC10*$B46),".")</f>
        <v>4.7818646716394093E-3</v>
      </c>
      <c r="AD46" s="34">
        <f>IFERROR(s_RadSpec!$J$10*(AD10*$B46),".")</f>
        <v>8.7897703293430482E-3</v>
      </c>
      <c r="AE46" s="34">
        <f>IFERROR(s_RadSpec!$J$10*(AE10*$B46),".")</f>
        <v>7.4587315500318756E-3</v>
      </c>
      <c r="AF46" s="34">
        <f>IFERROR(s_RadSpec!$J$10*(AF10*$B46),".")</f>
        <v>4.5082622558921129E-3</v>
      </c>
      <c r="AG46" s="34">
        <f>IFERROR(s_RadSpec!$J$10*(AG10*$B46),".")</f>
        <v>5.9058529741688433E-3</v>
      </c>
      <c r="AH46" s="34">
        <f>IFERROR(s_RadSpec!$J$10*(AH10*$B46),".")</f>
        <v>8.7897703293430482E-3</v>
      </c>
      <c r="AI46" s="34">
        <f>IFERROR(s_RadSpec!$J$10*(AI10*$B46),".")</f>
        <v>7.4587315500318756E-3</v>
      </c>
      <c r="AJ46" s="34">
        <f>IFERROR(s_RadSpec!$J$10*(AJ10*$B46),".")</f>
        <v>4.7818646716394093E-3</v>
      </c>
      <c r="AK46" s="34">
        <f>IFERROR(s_RadSpec!$J$10*(AK10*$B46),".")</f>
        <v>6.7932121603762902E-3</v>
      </c>
      <c r="AL46" s="34">
        <f>IFERROR(s_RadSpec!$J$10*(AL10*$B46),".")</f>
        <v>5.9058529741688433E-3</v>
      </c>
      <c r="AM46" s="34">
        <f>IFERROR(s_RadSpec!$J$10*(AM10*$B46),".")</f>
        <v>8.7897703293430482E-3</v>
      </c>
      <c r="AN46" s="34">
        <f>IFERROR(s_RadSpec!$J$10*(AN10*$B46),".")</f>
        <v>7.3108383523306361E-3</v>
      </c>
      <c r="AO46" s="34">
        <f>IFERROR(s_RadSpec!$J$10*(AO10*$B46),".")</f>
        <v>5.9058529741688433E-3</v>
      </c>
      <c r="AP46" s="34">
        <f>IFERROR(s_RadSpec!$J$10*(AP10*$B46),".")</f>
        <v>5.9058529741688433E-3</v>
      </c>
      <c r="AQ46" s="34">
        <f>IFERROR(s_RadSpec!$J$10*(AQ10*$B46),".")</f>
        <v>4.7818646716394093E-3</v>
      </c>
      <c r="AR46" s="34">
        <f>IFERROR(s_RadSpec!$J$10*(AR10*$B46),".")</f>
        <v>4.7818646716394093E-3</v>
      </c>
      <c r="AS46" s="34">
        <f>IFERROR(s_RadSpec!$J$10*(AS10*$B46),".")</f>
        <v>7.3108383523306361E-3</v>
      </c>
      <c r="AT46" s="34">
        <f>IFERROR(s_RadSpec!$J$10*(AT10*$B46),".")</f>
        <v>8.4939839339405639E-3</v>
      </c>
      <c r="AU46" s="34">
        <f>IFERROR(s_RadSpec!$J$10*(AU10*$B46),".")</f>
        <v>5.9058529741688433E-3</v>
      </c>
      <c r="AV46" s="34">
        <f>IFERROR(s_RadSpec!$J$10*(AV10*$B46),".")</f>
        <v>7.3108383523306361E-3</v>
      </c>
      <c r="AW46" s="34">
        <f>IFERROR(s_RadSpec!$J$10*(AW10*$B46),".")</f>
        <v>4.5674195349726101E-3</v>
      </c>
      <c r="AX46" s="34">
        <f>IFERROR(s_RadSpec!$J$10*(AX10*$B46),".")</f>
        <v>5.9058529741688433E-3</v>
      </c>
      <c r="AY46" s="34">
        <f>IFERROR(s_RadSpec!$J$10*(AY10*$B46),".")</f>
        <v>4.4069554154667631E-3</v>
      </c>
      <c r="AZ46" s="34">
        <f>IFERROR(s_RadSpec!$J$10*(AZ10*$B46),".")</f>
        <v>6.4974257649738068E-3</v>
      </c>
      <c r="BA46" s="42">
        <f t="shared" ref="BA46:BY46" si="83">IFERROR(BA10/$B46,0)</f>
        <v>1593.7529116748494</v>
      </c>
      <c r="BB46" s="42">
        <f t="shared" si="83"/>
        <v>5228.0860535998863</v>
      </c>
      <c r="BC46" s="42">
        <f t="shared" si="83"/>
        <v>2844.2153848482308</v>
      </c>
      <c r="BD46" s="42">
        <f t="shared" si="83"/>
        <v>3351.776348606239</v>
      </c>
      <c r="BE46" s="42">
        <f t="shared" si="83"/>
        <v>5545.3739336761137</v>
      </c>
      <c r="BF46" s="42">
        <f t="shared" si="83"/>
        <v>4233.0887865555706</v>
      </c>
      <c r="BG46" s="42">
        <f t="shared" si="83"/>
        <v>2844.2153848482308</v>
      </c>
      <c r="BH46" s="42">
        <f t="shared" si="83"/>
        <v>3351.776348606239</v>
      </c>
      <c r="BI46" s="42">
        <f t="shared" si="83"/>
        <v>5228.0860535998863</v>
      </c>
      <c r="BJ46" s="42">
        <f t="shared" si="83"/>
        <v>3680.1441512192068</v>
      </c>
      <c r="BK46" s="42">
        <f t="shared" si="83"/>
        <v>4233.0887865555706</v>
      </c>
      <c r="BL46" s="42">
        <f t="shared" si="83"/>
        <v>2844.2153848482308</v>
      </c>
      <c r="BM46" s="42">
        <f t="shared" si="83"/>
        <v>3419.5804633035277</v>
      </c>
      <c r="BN46" s="42">
        <f t="shared" si="83"/>
        <v>4233.0887865555706</v>
      </c>
      <c r="BO46" s="42">
        <f t="shared" si="83"/>
        <v>4233.0887865555706</v>
      </c>
      <c r="BP46" s="42">
        <f t="shared" si="83"/>
        <v>5228.0860535998863</v>
      </c>
      <c r="BQ46" s="42">
        <f t="shared" si="83"/>
        <v>5228.0860535998863</v>
      </c>
      <c r="BR46" s="42">
        <f t="shared" si="83"/>
        <v>3419.5804633035277</v>
      </c>
      <c r="BS46" s="42">
        <f t="shared" si="83"/>
        <v>2943.2596287478368</v>
      </c>
      <c r="BT46" s="42">
        <f t="shared" si="83"/>
        <v>4233.0887865555706</v>
      </c>
      <c r="BU46" s="42">
        <f t="shared" si="83"/>
        <v>3419.5804633035277</v>
      </c>
      <c r="BV46" s="42">
        <f t="shared" si="83"/>
        <v>5473.5501761061505</v>
      </c>
      <c r="BW46" s="42">
        <f t="shared" si="83"/>
        <v>4233.0887865555706</v>
      </c>
      <c r="BX46" s="42">
        <f t="shared" si="83"/>
        <v>5672.8506742453901</v>
      </c>
      <c r="BY46" s="42">
        <f t="shared" si="83"/>
        <v>3847.6776656332872</v>
      </c>
      <c r="BZ46" s="34">
        <f t="shared" si="35"/>
        <v>1.5686245852079981E-2</v>
      </c>
      <c r="CA46" s="34">
        <f>IFERROR(s_RadSpec!$J$10*(CA10*$B46),".")</f>
        <v>4.7818646716394093E-3</v>
      </c>
      <c r="CB46" s="34">
        <f>IFERROR(s_RadSpec!$J$10*(CB10*$B46),".")</f>
        <v>8.7897703293430482E-3</v>
      </c>
      <c r="CC46" s="34">
        <f>IFERROR(s_RadSpec!$J$10*(CC10*$B46),".")</f>
        <v>7.4587315500318756E-3</v>
      </c>
      <c r="CD46" s="34">
        <f>IFERROR(s_RadSpec!$J$10*(CD10*$B46),".")</f>
        <v>4.5082622558921129E-3</v>
      </c>
      <c r="CE46" s="34">
        <f>IFERROR(s_RadSpec!$J$10*(CE10*$B46),".")</f>
        <v>5.9058529741688433E-3</v>
      </c>
      <c r="CF46" s="34">
        <f>IFERROR(s_RadSpec!$J$10*(CF10*$B46),".")</f>
        <v>8.7897703293430482E-3</v>
      </c>
      <c r="CG46" s="34">
        <f>IFERROR(s_RadSpec!$J$10*(CG10*$B46),".")</f>
        <v>7.4587315500318756E-3</v>
      </c>
      <c r="CH46" s="34">
        <f>IFERROR(s_RadSpec!$J$10*(CH10*$B46),".")</f>
        <v>4.7818646716394093E-3</v>
      </c>
      <c r="CI46" s="34">
        <f>IFERROR(s_RadSpec!$J$10*(CI10*$B46),".")</f>
        <v>6.7932121603762902E-3</v>
      </c>
      <c r="CJ46" s="34">
        <f>IFERROR(s_RadSpec!$J$10*(CJ10*$B46),".")</f>
        <v>5.9058529741688433E-3</v>
      </c>
      <c r="CK46" s="34">
        <f>IFERROR(s_RadSpec!$J$10*(CK10*$B46),".")</f>
        <v>8.7897703293430482E-3</v>
      </c>
      <c r="CL46" s="34">
        <f>IFERROR(s_RadSpec!$J$10*(CL10*$B46),".")</f>
        <v>7.3108383523306361E-3</v>
      </c>
      <c r="CM46" s="34">
        <f>IFERROR(s_RadSpec!$J$10*(CM10*$B46),".")</f>
        <v>5.9058529741688433E-3</v>
      </c>
      <c r="CN46" s="34">
        <f>IFERROR(s_RadSpec!$J$10*(CN10*$B46),".")</f>
        <v>5.9058529741688433E-3</v>
      </c>
      <c r="CO46" s="34">
        <f>IFERROR(s_RadSpec!$J$10*(CO10*$B46),".")</f>
        <v>4.7818646716394093E-3</v>
      </c>
      <c r="CP46" s="34">
        <f>IFERROR(s_RadSpec!$J$10*(CP10*$B46),".")</f>
        <v>4.7818646716394093E-3</v>
      </c>
      <c r="CQ46" s="34">
        <f>IFERROR(s_RadSpec!$J$10*(CQ10*$B46),".")</f>
        <v>7.3108383523306361E-3</v>
      </c>
      <c r="CR46" s="34">
        <f>IFERROR(s_RadSpec!$J$10*(CR10*$B46),".")</f>
        <v>8.4939839339405639E-3</v>
      </c>
      <c r="CS46" s="34">
        <f>IFERROR(s_RadSpec!$J$10*(CS10*$B46),".")</f>
        <v>5.9058529741688433E-3</v>
      </c>
      <c r="CT46" s="34">
        <f>IFERROR(s_RadSpec!$J$10*(CT10*$B46),".")</f>
        <v>7.3108383523306361E-3</v>
      </c>
      <c r="CU46" s="34">
        <f>IFERROR(s_RadSpec!$J$10*(CU10*$B46),".")</f>
        <v>4.5674195349726101E-3</v>
      </c>
      <c r="CV46" s="34">
        <f>IFERROR(s_RadSpec!$J$10*(CV10*$B46),".")</f>
        <v>5.9058529741688433E-3</v>
      </c>
      <c r="CW46" s="34">
        <f>IFERROR(s_RadSpec!$J$10*(CW10*$B46),".")</f>
        <v>4.4069554154667631E-3</v>
      </c>
      <c r="CX46" s="34">
        <f>IFERROR(s_RadSpec!$J$10*(CX10*$B46),".")</f>
        <v>6.4974257649738068E-3</v>
      </c>
    </row>
    <row r="47" spans="1:102" s="3" customFormat="1" x14ac:dyDescent="0.25">
      <c r="A47" s="55" t="s">
        <v>1060</v>
      </c>
      <c r="B47" s="3">
        <v>0.94399</v>
      </c>
      <c r="C47" s="42">
        <f t="shared" ref="C47:AA47" si="84">IFERROR(C6/$B$47,0)</f>
        <v>0</v>
      </c>
      <c r="D47" s="42">
        <f t="shared" si="84"/>
        <v>0</v>
      </c>
      <c r="E47" s="42">
        <f t="shared" si="84"/>
        <v>0</v>
      </c>
      <c r="F47" s="42">
        <f t="shared" si="84"/>
        <v>0</v>
      </c>
      <c r="G47" s="42">
        <f t="shared" si="84"/>
        <v>0</v>
      </c>
      <c r="H47" s="42">
        <f t="shared" si="84"/>
        <v>0</v>
      </c>
      <c r="I47" s="42">
        <f t="shared" si="84"/>
        <v>0</v>
      </c>
      <c r="J47" s="42">
        <f t="shared" si="84"/>
        <v>0</v>
      </c>
      <c r="K47" s="42">
        <f t="shared" si="84"/>
        <v>0</v>
      </c>
      <c r="L47" s="42">
        <f t="shared" si="84"/>
        <v>0</v>
      </c>
      <c r="M47" s="42">
        <f t="shared" si="84"/>
        <v>0</v>
      </c>
      <c r="N47" s="42">
        <f t="shared" si="84"/>
        <v>0</v>
      </c>
      <c r="O47" s="42">
        <f t="shared" si="84"/>
        <v>0</v>
      </c>
      <c r="P47" s="42">
        <f t="shared" si="84"/>
        <v>0</v>
      </c>
      <c r="Q47" s="42">
        <f t="shared" si="84"/>
        <v>0</v>
      </c>
      <c r="R47" s="42">
        <f t="shared" si="84"/>
        <v>0</v>
      </c>
      <c r="S47" s="42">
        <f t="shared" si="84"/>
        <v>0</v>
      </c>
      <c r="T47" s="42">
        <f t="shared" si="84"/>
        <v>0</v>
      </c>
      <c r="U47" s="42">
        <f t="shared" si="84"/>
        <v>0</v>
      </c>
      <c r="V47" s="42">
        <f t="shared" si="84"/>
        <v>0</v>
      </c>
      <c r="W47" s="42">
        <f t="shared" si="84"/>
        <v>0</v>
      </c>
      <c r="X47" s="42">
        <f t="shared" si="84"/>
        <v>0</v>
      </c>
      <c r="Y47" s="42">
        <f t="shared" si="84"/>
        <v>0</v>
      </c>
      <c r="Z47" s="42">
        <f t="shared" si="84"/>
        <v>0</v>
      </c>
      <c r="AA47" s="42">
        <f t="shared" si="84"/>
        <v>0</v>
      </c>
      <c r="AB47" s="34">
        <f t="shared" si="33"/>
        <v>0</v>
      </c>
      <c r="AC47" s="34">
        <f>IFERROR(s_RadSpec!$J$6*(AC6*$B47),".")</f>
        <v>0</v>
      </c>
      <c r="AD47" s="34">
        <f>IFERROR(s_RadSpec!$J$6*(AD6*$B47),".")</f>
        <v>0</v>
      </c>
      <c r="AE47" s="34">
        <f>IFERROR(s_RadSpec!$J$6*(AE6*$B47),".")</f>
        <v>0</v>
      </c>
      <c r="AF47" s="34">
        <f>IFERROR(s_RadSpec!$J$6*(AF6*$B47),".")</f>
        <v>0</v>
      </c>
      <c r="AG47" s="34">
        <f>IFERROR(s_RadSpec!$J$6*(AG6*$B47),".")</f>
        <v>0</v>
      </c>
      <c r="AH47" s="34">
        <f>IFERROR(s_RadSpec!$J$6*(AH6*$B47),".")</f>
        <v>0</v>
      </c>
      <c r="AI47" s="34">
        <f>IFERROR(s_RadSpec!$J$6*(AI6*$B47),".")</f>
        <v>0</v>
      </c>
      <c r="AJ47" s="34">
        <f>IFERROR(s_RadSpec!$J$6*(AJ6*$B47),".")</f>
        <v>0</v>
      </c>
      <c r="AK47" s="34">
        <f>IFERROR(s_RadSpec!$J$6*(AK6*$B47),".")</f>
        <v>0</v>
      </c>
      <c r="AL47" s="34">
        <f>IFERROR(s_RadSpec!$J$6*(AL6*$B47),".")</f>
        <v>0</v>
      </c>
      <c r="AM47" s="34">
        <f>IFERROR(s_RadSpec!$J$6*(AM6*$B47),".")</f>
        <v>0</v>
      </c>
      <c r="AN47" s="34">
        <f>IFERROR(s_RadSpec!$J$6*(AN6*$B47),".")</f>
        <v>0</v>
      </c>
      <c r="AO47" s="34">
        <f>IFERROR(s_RadSpec!$J$6*(AO6*$B47),".")</f>
        <v>0</v>
      </c>
      <c r="AP47" s="34">
        <f>IFERROR(s_RadSpec!$J$6*(AP6*$B47),".")</f>
        <v>0</v>
      </c>
      <c r="AQ47" s="34">
        <f>IFERROR(s_RadSpec!$J$6*(AQ6*$B47),".")</f>
        <v>0</v>
      </c>
      <c r="AR47" s="34">
        <f>IFERROR(s_RadSpec!$J$6*(AR6*$B47),".")</f>
        <v>0</v>
      </c>
      <c r="AS47" s="34">
        <f>IFERROR(s_RadSpec!$J$6*(AS6*$B47),".")</f>
        <v>0</v>
      </c>
      <c r="AT47" s="34">
        <f>IFERROR(s_RadSpec!$J$6*(AT6*$B47),".")</f>
        <v>0</v>
      </c>
      <c r="AU47" s="34">
        <f>IFERROR(s_RadSpec!$J$6*(AU6*$B47),".")</f>
        <v>0</v>
      </c>
      <c r="AV47" s="34">
        <f>IFERROR(s_RadSpec!$J$6*(AV6*$B47),".")</f>
        <v>0</v>
      </c>
      <c r="AW47" s="34">
        <f>IFERROR(s_RadSpec!$J$6*(AW6*$B47),".")</f>
        <v>0</v>
      </c>
      <c r="AX47" s="34">
        <f>IFERROR(s_RadSpec!$J$6*(AX6*$B47),".")</f>
        <v>0</v>
      </c>
      <c r="AY47" s="34">
        <f>IFERROR(s_RadSpec!$J$6*(AY6*$B47),".")</f>
        <v>0</v>
      </c>
      <c r="AZ47" s="34">
        <f>IFERROR(s_RadSpec!$J$6*(AZ6*$B47),".")</f>
        <v>0</v>
      </c>
      <c r="BA47" s="42">
        <f t="shared" ref="BA47:BY47" si="85">IFERROR(BA6/$B$47,0)</f>
        <v>0</v>
      </c>
      <c r="BB47" s="42">
        <f t="shared" si="85"/>
        <v>0</v>
      </c>
      <c r="BC47" s="42">
        <f t="shared" si="85"/>
        <v>0</v>
      </c>
      <c r="BD47" s="42">
        <f t="shared" si="85"/>
        <v>0</v>
      </c>
      <c r="BE47" s="42">
        <f t="shared" si="85"/>
        <v>0</v>
      </c>
      <c r="BF47" s="42">
        <f t="shared" si="85"/>
        <v>0</v>
      </c>
      <c r="BG47" s="42">
        <f t="shared" si="85"/>
        <v>0</v>
      </c>
      <c r="BH47" s="42">
        <f t="shared" si="85"/>
        <v>0</v>
      </c>
      <c r="BI47" s="42">
        <f t="shared" si="85"/>
        <v>0</v>
      </c>
      <c r="BJ47" s="42">
        <f t="shared" si="85"/>
        <v>0</v>
      </c>
      <c r="BK47" s="42">
        <f t="shared" si="85"/>
        <v>0</v>
      </c>
      <c r="BL47" s="42">
        <f t="shared" si="85"/>
        <v>0</v>
      </c>
      <c r="BM47" s="42">
        <f t="shared" si="85"/>
        <v>0</v>
      </c>
      <c r="BN47" s="42">
        <f t="shared" si="85"/>
        <v>0</v>
      </c>
      <c r="BO47" s="42">
        <f t="shared" si="85"/>
        <v>0</v>
      </c>
      <c r="BP47" s="42">
        <f t="shared" si="85"/>
        <v>0</v>
      </c>
      <c r="BQ47" s="42">
        <f t="shared" si="85"/>
        <v>0</v>
      </c>
      <c r="BR47" s="42">
        <f t="shared" si="85"/>
        <v>0</v>
      </c>
      <c r="BS47" s="42">
        <f t="shared" si="85"/>
        <v>0</v>
      </c>
      <c r="BT47" s="42">
        <f t="shared" si="85"/>
        <v>0</v>
      </c>
      <c r="BU47" s="42">
        <f t="shared" si="85"/>
        <v>0</v>
      </c>
      <c r="BV47" s="42">
        <f t="shared" si="85"/>
        <v>0</v>
      </c>
      <c r="BW47" s="42">
        <f t="shared" si="85"/>
        <v>0</v>
      </c>
      <c r="BX47" s="42">
        <f t="shared" si="85"/>
        <v>0</v>
      </c>
      <c r="BY47" s="42">
        <f t="shared" si="85"/>
        <v>0</v>
      </c>
      <c r="BZ47" s="34">
        <f t="shared" si="35"/>
        <v>0</v>
      </c>
      <c r="CA47" s="34">
        <f>IFERROR(s_RadSpec!$J$6*(CA6*$B47),".")</f>
        <v>0</v>
      </c>
      <c r="CB47" s="34">
        <f>IFERROR(s_RadSpec!$J$6*(CB6*$B47),".")</f>
        <v>0</v>
      </c>
      <c r="CC47" s="34">
        <f>IFERROR(s_RadSpec!$J$6*(CC6*$B47),".")</f>
        <v>0</v>
      </c>
      <c r="CD47" s="34">
        <f>IFERROR(s_RadSpec!$J$6*(CD6*$B47),".")</f>
        <v>0</v>
      </c>
      <c r="CE47" s="34">
        <f>IFERROR(s_RadSpec!$J$6*(CE6*$B47),".")</f>
        <v>0</v>
      </c>
      <c r="CF47" s="34">
        <f>IFERROR(s_RadSpec!$J$6*(CF6*$B47),".")</f>
        <v>0</v>
      </c>
      <c r="CG47" s="34">
        <f>IFERROR(s_RadSpec!$J$6*(CG6*$B47),".")</f>
        <v>0</v>
      </c>
      <c r="CH47" s="34">
        <f>IFERROR(s_RadSpec!$J$6*(CH6*$B47),".")</f>
        <v>0</v>
      </c>
      <c r="CI47" s="34">
        <f>IFERROR(s_RadSpec!$J$6*(CI6*$B47),".")</f>
        <v>0</v>
      </c>
      <c r="CJ47" s="34">
        <f>IFERROR(s_RadSpec!$J$6*(CJ6*$B47),".")</f>
        <v>0</v>
      </c>
      <c r="CK47" s="34">
        <f>IFERROR(s_RadSpec!$J$6*(CK6*$B47),".")</f>
        <v>0</v>
      </c>
      <c r="CL47" s="34">
        <f>IFERROR(s_RadSpec!$J$6*(CL6*$B47),".")</f>
        <v>0</v>
      </c>
      <c r="CM47" s="34">
        <f>IFERROR(s_RadSpec!$J$6*(CM6*$B47),".")</f>
        <v>0</v>
      </c>
      <c r="CN47" s="34">
        <f>IFERROR(s_RadSpec!$J$6*(CN6*$B47),".")</f>
        <v>0</v>
      </c>
      <c r="CO47" s="34">
        <f>IFERROR(s_RadSpec!$J$6*(CO6*$B47),".")</f>
        <v>0</v>
      </c>
      <c r="CP47" s="34">
        <f>IFERROR(s_RadSpec!$J$6*(CP6*$B47),".")</f>
        <v>0</v>
      </c>
      <c r="CQ47" s="34">
        <f>IFERROR(s_RadSpec!$J$6*(CQ6*$B47),".")</f>
        <v>0</v>
      </c>
      <c r="CR47" s="34">
        <f>IFERROR(s_RadSpec!$J$6*(CR6*$B47),".")</f>
        <v>0</v>
      </c>
      <c r="CS47" s="34">
        <f>IFERROR(s_RadSpec!$J$6*(CS6*$B47),".")</f>
        <v>0</v>
      </c>
      <c r="CT47" s="34">
        <f>IFERROR(s_RadSpec!$J$6*(CT6*$B47),".")</f>
        <v>0</v>
      </c>
      <c r="CU47" s="34">
        <f>IFERROR(s_RadSpec!$J$6*(CU6*$B47),".")</f>
        <v>0</v>
      </c>
      <c r="CV47" s="34">
        <f>IFERROR(s_RadSpec!$J$6*(CV6*$B47),".")</f>
        <v>0</v>
      </c>
      <c r="CW47" s="34">
        <f>IFERROR(s_RadSpec!$J$6*(CW6*$B47),".")</f>
        <v>0</v>
      </c>
      <c r="CX47" s="34">
        <f>IFERROR(s_RadSpec!$J$6*(CX6*$B47),".")</f>
        <v>0</v>
      </c>
    </row>
    <row r="48" spans="1:102" s="3" customFormat="1" x14ac:dyDescent="0.25">
      <c r="A48" s="54" t="s">
        <v>21</v>
      </c>
      <c r="B48" s="54" t="s">
        <v>1059</v>
      </c>
      <c r="C48" s="40">
        <f t="shared" ref="C48:AA48" si="86">1/SUM(1/C49,1/C52,1/C54,1/C58,1/C59,1/C61)</f>
        <v>7.1599106798954333</v>
      </c>
      <c r="D48" s="40">
        <f t="shared" si="86"/>
        <v>21.920195219685112</v>
      </c>
      <c r="E48" s="40">
        <f t="shared" si="86"/>
        <v>13.799814227641075</v>
      </c>
      <c r="F48" s="40">
        <f t="shared" si="86"/>
        <v>18.188872958099093</v>
      </c>
      <c r="G48" s="40">
        <f t="shared" si="86"/>
        <v>21.920195219685112</v>
      </c>
      <c r="H48" s="40">
        <f t="shared" si="86"/>
        <v>21.070513369739128</v>
      </c>
      <c r="I48" s="40">
        <f t="shared" si="86"/>
        <v>13.799814227641075</v>
      </c>
      <c r="J48" s="40">
        <f t="shared" si="86"/>
        <v>18.188872958099093</v>
      </c>
      <c r="K48" s="40">
        <f t="shared" si="86"/>
        <v>21.920195219685112</v>
      </c>
      <c r="L48" s="40">
        <f t="shared" si="86"/>
        <v>23.324528448304374</v>
      </c>
      <c r="M48" s="40">
        <f t="shared" si="86"/>
        <v>21.070513369739128</v>
      </c>
      <c r="N48" s="40">
        <f t="shared" si="86"/>
        <v>13.799814227641075</v>
      </c>
      <c r="O48" s="40">
        <f t="shared" si="86"/>
        <v>22.230184111571354</v>
      </c>
      <c r="P48" s="40">
        <f t="shared" si="86"/>
        <v>21.070513369739128</v>
      </c>
      <c r="Q48" s="40">
        <f t="shared" si="86"/>
        <v>21.070513369739128</v>
      </c>
      <c r="R48" s="40">
        <f t="shared" si="86"/>
        <v>21.920195219685112</v>
      </c>
      <c r="S48" s="40">
        <f t="shared" si="86"/>
        <v>21.920195219685112</v>
      </c>
      <c r="T48" s="40">
        <f t="shared" si="86"/>
        <v>22.230184111571354</v>
      </c>
      <c r="U48" s="40">
        <f t="shared" si="86"/>
        <v>22.338775554741016</v>
      </c>
      <c r="V48" s="40">
        <f t="shared" si="86"/>
        <v>21.070513369739128</v>
      </c>
      <c r="W48" s="40">
        <f t="shared" si="86"/>
        <v>22.230184111571354</v>
      </c>
      <c r="X48" s="40">
        <f t="shared" si="86"/>
        <v>21.920195219685112</v>
      </c>
      <c r="Y48" s="40">
        <f t="shared" si="86"/>
        <v>21.070513369739128</v>
      </c>
      <c r="Z48" s="40">
        <f t="shared" si="86"/>
        <v>21.062027117725194</v>
      </c>
      <c r="AA48" s="40">
        <f t="shared" si="86"/>
        <v>21.474109875709122</v>
      </c>
      <c r="AB48" s="33">
        <f t="shared" si="33"/>
        <v>3.4916636697994554</v>
      </c>
      <c r="AC48" s="33">
        <f>IFERROR(SUM(AC49:AC62),".")</f>
        <v>1.1405007915964689</v>
      </c>
      <c r="AD48" s="33">
        <f t="shared" ref="AD48:AZ48" si="87">IFERROR(SUM(AD49:AD62),".")</f>
        <v>1.8116185904825381</v>
      </c>
      <c r="AE48" s="33">
        <f t="shared" si="87"/>
        <v>1.3744666894750102</v>
      </c>
      <c r="AF48" s="33">
        <f t="shared" si="87"/>
        <v>1.1405007915964689</v>
      </c>
      <c r="AG48" s="33">
        <f t="shared" si="87"/>
        <v>1.1864922112388725</v>
      </c>
      <c r="AH48" s="33">
        <f t="shared" si="87"/>
        <v>1.8116185904825381</v>
      </c>
      <c r="AI48" s="33">
        <f t="shared" si="87"/>
        <v>1.3744666894750102</v>
      </c>
      <c r="AJ48" s="33">
        <f t="shared" si="87"/>
        <v>1.1405007915964689</v>
      </c>
      <c r="AK48" s="33">
        <f t="shared" si="87"/>
        <v>1.0718330299971162</v>
      </c>
      <c r="AL48" s="33">
        <f t="shared" si="87"/>
        <v>1.1864922112388725</v>
      </c>
      <c r="AM48" s="33">
        <f t="shared" si="87"/>
        <v>1.8116185904825381</v>
      </c>
      <c r="AN48" s="33">
        <f t="shared" si="87"/>
        <v>1.1245970737141529</v>
      </c>
      <c r="AO48" s="33">
        <f t="shared" si="87"/>
        <v>1.1864922112388725</v>
      </c>
      <c r="AP48" s="33">
        <f t="shared" si="87"/>
        <v>1.1864922112388725</v>
      </c>
      <c r="AQ48" s="33">
        <f t="shared" si="87"/>
        <v>1.1405007915964689</v>
      </c>
      <c r="AR48" s="33">
        <f t="shared" si="87"/>
        <v>1.1405007915964689</v>
      </c>
      <c r="AS48" s="33">
        <f t="shared" si="87"/>
        <v>1.1245970737141529</v>
      </c>
      <c r="AT48" s="33">
        <f t="shared" si="87"/>
        <v>1.1191302736686564</v>
      </c>
      <c r="AU48" s="33">
        <f t="shared" si="87"/>
        <v>1.1864922112388725</v>
      </c>
      <c r="AV48" s="33">
        <f t="shared" si="87"/>
        <v>1.1245970737141529</v>
      </c>
      <c r="AW48" s="33">
        <f t="shared" si="87"/>
        <v>1.1405007915964689</v>
      </c>
      <c r="AX48" s="33">
        <f t="shared" si="87"/>
        <v>1.1864922112388725</v>
      </c>
      <c r="AY48" s="33">
        <f t="shared" si="87"/>
        <v>1.1869702693033151</v>
      </c>
      <c r="AZ48" s="33">
        <f t="shared" si="87"/>
        <v>1.1641926088996715</v>
      </c>
      <c r="BA48" s="40">
        <f t="shared" ref="BA48:BY48" si="88">1/SUM(1/BA49,1/BA52,1/BA54,1/BA58,1/BA59,1/BA61)</f>
        <v>7.1599106798954333</v>
      </c>
      <c r="BB48" s="40">
        <f t="shared" si="88"/>
        <v>21.920195219685112</v>
      </c>
      <c r="BC48" s="40">
        <f t="shared" si="88"/>
        <v>13.799814227641075</v>
      </c>
      <c r="BD48" s="40">
        <f t="shared" si="88"/>
        <v>18.188872958099093</v>
      </c>
      <c r="BE48" s="40">
        <f t="shared" si="88"/>
        <v>21.920195219685112</v>
      </c>
      <c r="BF48" s="40">
        <f t="shared" si="88"/>
        <v>21.070513369739128</v>
      </c>
      <c r="BG48" s="40">
        <f t="shared" si="88"/>
        <v>13.799814227641075</v>
      </c>
      <c r="BH48" s="40">
        <f t="shared" si="88"/>
        <v>18.188872958099093</v>
      </c>
      <c r="BI48" s="40">
        <f t="shared" si="88"/>
        <v>21.920195219685112</v>
      </c>
      <c r="BJ48" s="40">
        <f t="shared" si="88"/>
        <v>23.324528448304374</v>
      </c>
      <c r="BK48" s="40">
        <f t="shared" si="88"/>
        <v>21.070513369739128</v>
      </c>
      <c r="BL48" s="40">
        <f t="shared" si="88"/>
        <v>13.799814227641075</v>
      </c>
      <c r="BM48" s="40">
        <f t="shared" si="88"/>
        <v>22.230184111571354</v>
      </c>
      <c r="BN48" s="40">
        <f t="shared" si="88"/>
        <v>21.070513369739128</v>
      </c>
      <c r="BO48" s="40">
        <f t="shared" si="88"/>
        <v>21.070513369739128</v>
      </c>
      <c r="BP48" s="40">
        <f t="shared" si="88"/>
        <v>21.920195219685112</v>
      </c>
      <c r="BQ48" s="40">
        <f t="shared" si="88"/>
        <v>21.920195219685112</v>
      </c>
      <c r="BR48" s="40">
        <f t="shared" si="88"/>
        <v>22.230184111571354</v>
      </c>
      <c r="BS48" s="40">
        <f t="shared" si="88"/>
        <v>22.338775554741016</v>
      </c>
      <c r="BT48" s="40">
        <f t="shared" si="88"/>
        <v>21.070513369739128</v>
      </c>
      <c r="BU48" s="40">
        <f t="shared" si="88"/>
        <v>22.230184111571354</v>
      </c>
      <c r="BV48" s="40">
        <f t="shared" si="88"/>
        <v>21.920195219685112</v>
      </c>
      <c r="BW48" s="40">
        <f t="shared" si="88"/>
        <v>21.070513369739128</v>
      </c>
      <c r="BX48" s="40">
        <f t="shared" si="88"/>
        <v>21.062027117725194</v>
      </c>
      <c r="BY48" s="40">
        <f t="shared" si="88"/>
        <v>21.474109875709122</v>
      </c>
      <c r="BZ48" s="33">
        <f t="shared" si="35"/>
        <v>3.4916636697994554</v>
      </c>
      <c r="CA48" s="33">
        <f>IFERROR(SUM(CA49:CA62),".")</f>
        <v>1.1405007915964689</v>
      </c>
      <c r="CB48" s="33">
        <f t="shared" ref="CB48" si="89">IFERROR(SUM(CB49:CB62),".")</f>
        <v>1.8116185904825381</v>
      </c>
      <c r="CC48" s="33">
        <f t="shared" ref="CC48" si="90">IFERROR(SUM(CC49:CC62),".")</f>
        <v>1.3744666894750102</v>
      </c>
      <c r="CD48" s="33">
        <f t="shared" ref="CD48" si="91">IFERROR(SUM(CD49:CD62),".")</f>
        <v>1.1405007915964689</v>
      </c>
      <c r="CE48" s="33">
        <f t="shared" ref="CE48" si="92">IFERROR(SUM(CE49:CE62),".")</f>
        <v>1.1864922112388725</v>
      </c>
      <c r="CF48" s="33">
        <f t="shared" ref="CF48" si="93">IFERROR(SUM(CF49:CF62),".")</f>
        <v>1.8116185904825381</v>
      </c>
      <c r="CG48" s="33">
        <f t="shared" ref="CG48" si="94">IFERROR(SUM(CG49:CG62),".")</f>
        <v>1.3744666894750102</v>
      </c>
      <c r="CH48" s="33">
        <f t="shared" ref="CH48" si="95">IFERROR(SUM(CH49:CH62),".")</f>
        <v>1.1405007915964689</v>
      </c>
      <c r="CI48" s="33">
        <f t="shared" ref="CI48" si="96">IFERROR(SUM(CI49:CI62),".")</f>
        <v>1.0718330299971162</v>
      </c>
      <c r="CJ48" s="33">
        <f t="shared" ref="CJ48" si="97">IFERROR(SUM(CJ49:CJ62),".")</f>
        <v>1.1864922112388725</v>
      </c>
      <c r="CK48" s="33">
        <f t="shared" ref="CK48" si="98">IFERROR(SUM(CK49:CK62),".")</f>
        <v>1.8116185904825381</v>
      </c>
      <c r="CL48" s="33">
        <f t="shared" ref="CL48" si="99">IFERROR(SUM(CL49:CL62),".")</f>
        <v>1.1245970737141529</v>
      </c>
      <c r="CM48" s="33">
        <f t="shared" ref="CM48" si="100">IFERROR(SUM(CM49:CM62),".")</f>
        <v>1.1864922112388725</v>
      </c>
      <c r="CN48" s="33">
        <f t="shared" ref="CN48" si="101">IFERROR(SUM(CN49:CN62),".")</f>
        <v>1.1864922112388725</v>
      </c>
      <c r="CO48" s="33">
        <f t="shared" ref="CO48" si="102">IFERROR(SUM(CO49:CO62),".")</f>
        <v>1.1405007915964689</v>
      </c>
      <c r="CP48" s="33">
        <f t="shared" ref="CP48" si="103">IFERROR(SUM(CP49:CP62),".")</f>
        <v>1.1405007915964689</v>
      </c>
      <c r="CQ48" s="33">
        <f t="shared" ref="CQ48" si="104">IFERROR(SUM(CQ49:CQ62),".")</f>
        <v>1.1245970737141529</v>
      </c>
      <c r="CR48" s="33">
        <f t="shared" ref="CR48" si="105">IFERROR(SUM(CR49:CR62),".")</f>
        <v>1.1191302736686564</v>
      </c>
      <c r="CS48" s="33">
        <f t="shared" ref="CS48" si="106">IFERROR(SUM(CS49:CS62),".")</f>
        <v>1.1864922112388725</v>
      </c>
      <c r="CT48" s="33">
        <f t="shared" ref="CT48" si="107">IFERROR(SUM(CT49:CT62),".")</f>
        <v>1.1245970737141529</v>
      </c>
      <c r="CU48" s="33">
        <f t="shared" ref="CU48" si="108">IFERROR(SUM(CU49:CU62),".")</f>
        <v>1.1405007915964689</v>
      </c>
      <c r="CV48" s="33">
        <f t="shared" ref="CV48" si="109">IFERROR(SUM(CV49:CV62),".")</f>
        <v>1.1864922112388725</v>
      </c>
      <c r="CW48" s="33">
        <f t="shared" ref="CW48" si="110">IFERROR(SUM(CW49:CW62),".")</f>
        <v>1.1869702693033151</v>
      </c>
      <c r="CX48" s="33">
        <f t="shared" ref="CX48" si="111">IFERROR(SUM(CX49:CX62),".")</f>
        <v>1.1641926088996715</v>
      </c>
    </row>
    <row r="49" spans="1:102" s="3" customFormat="1" x14ac:dyDescent="0.25">
      <c r="A49" s="55" t="s">
        <v>1088</v>
      </c>
      <c r="B49" s="3">
        <v>1</v>
      </c>
      <c r="C49" s="42">
        <f t="shared" ref="C49:AA49" si="112">IFERROR(C23/$B49,0)</f>
        <v>48.545275825556324</v>
      </c>
      <c r="D49" s="42">
        <f t="shared" si="112"/>
        <v>144.13434998469575</v>
      </c>
      <c r="E49" s="42">
        <f t="shared" si="112"/>
        <v>66.232446787337778</v>
      </c>
      <c r="F49" s="42">
        <f t="shared" si="112"/>
        <v>77.025646180493197</v>
      </c>
      <c r="G49" s="42">
        <f t="shared" si="112"/>
        <v>144.13434998469575</v>
      </c>
      <c r="H49" s="42">
        <f t="shared" si="112"/>
        <v>130.83544993335289</v>
      </c>
      <c r="I49" s="42">
        <f t="shared" si="112"/>
        <v>66.232446787337778</v>
      </c>
      <c r="J49" s="42">
        <f t="shared" si="112"/>
        <v>77.025646180493197</v>
      </c>
      <c r="K49" s="42">
        <f t="shared" si="112"/>
        <v>144.13434998469575</v>
      </c>
      <c r="L49" s="42">
        <f t="shared" si="112"/>
        <v>162.01397099248268</v>
      </c>
      <c r="M49" s="42">
        <f t="shared" si="112"/>
        <v>130.83544993335289</v>
      </c>
      <c r="N49" s="42">
        <f t="shared" si="112"/>
        <v>66.232446787337778</v>
      </c>
      <c r="O49" s="42">
        <f t="shared" si="112"/>
        <v>136.22210323658629</v>
      </c>
      <c r="P49" s="42">
        <f t="shared" si="112"/>
        <v>130.83544993335289</v>
      </c>
      <c r="Q49" s="42">
        <f t="shared" si="112"/>
        <v>130.83544993335289</v>
      </c>
      <c r="R49" s="42">
        <f t="shared" si="112"/>
        <v>144.13434998469575</v>
      </c>
      <c r="S49" s="42">
        <f t="shared" si="112"/>
        <v>144.13434998469575</v>
      </c>
      <c r="T49" s="42">
        <f t="shared" si="112"/>
        <v>136.22210323658629</v>
      </c>
      <c r="U49" s="42">
        <f t="shared" si="112"/>
        <v>142.07135218981679</v>
      </c>
      <c r="V49" s="42">
        <f t="shared" si="112"/>
        <v>130.83544993335289</v>
      </c>
      <c r="W49" s="42">
        <f t="shared" si="112"/>
        <v>136.22210323658629</v>
      </c>
      <c r="X49" s="42">
        <f t="shared" si="112"/>
        <v>144.13434998469575</v>
      </c>
      <c r="Y49" s="42">
        <f t="shared" si="112"/>
        <v>130.83544993335289</v>
      </c>
      <c r="Z49" s="42">
        <f t="shared" si="112"/>
        <v>166.16355370151189</v>
      </c>
      <c r="AA49" s="42">
        <f t="shared" si="112"/>
        <v>130.83544993335289</v>
      </c>
      <c r="AB49" s="34">
        <f t="shared" si="33"/>
        <v>0.51498316931673338</v>
      </c>
      <c r="AC49" s="34">
        <f>IFERROR(s_RadSpec!$J$23*(AC$23*$B49),".")</f>
        <v>0.17344928535532655</v>
      </c>
      <c r="AD49" s="34">
        <f>IFERROR(s_RadSpec!$J$23*(AD$23*$B49),".")</f>
        <v>0.37745849976328316</v>
      </c>
      <c r="AE49" s="34">
        <f>IFERROR(s_RadSpec!$J$23*(AE$23*$B49),".")</f>
        <v>0.32456722195381293</v>
      </c>
      <c r="AF49" s="34">
        <f>IFERROR(s_RadSpec!$J$23*(AF$23*$B49),".")</f>
        <v>0.17344928535532655</v>
      </c>
      <c r="AG49" s="34">
        <f>IFERROR(s_RadSpec!$J$23*(AG$23*$B49),".")</f>
        <v>0.19107971129181664</v>
      </c>
      <c r="AH49" s="34">
        <f>IFERROR(s_RadSpec!$J$23*(AH$23*$B49),".")</f>
        <v>0.37745849976328316</v>
      </c>
      <c r="AI49" s="34">
        <f>IFERROR(s_RadSpec!$J$23*(AI$23*$B49),".")</f>
        <v>0.32456722195381293</v>
      </c>
      <c r="AJ49" s="34">
        <f>IFERROR(s_RadSpec!$J$23*(AJ$23*$B49),".")</f>
        <v>0.17344928535532655</v>
      </c>
      <c r="AK49" s="34">
        <f>IFERROR(s_RadSpec!$J$23*(AK$23*$B49),".")</f>
        <v>0.15430768005285161</v>
      </c>
      <c r="AL49" s="34">
        <f>IFERROR(s_RadSpec!$J$23*(AL$23*$B49),".")</f>
        <v>0.19107971129181664</v>
      </c>
      <c r="AM49" s="34">
        <f>IFERROR(s_RadSpec!$J$23*(AM$23*$B49),".")</f>
        <v>0.37745849976328316</v>
      </c>
      <c r="AN49" s="34">
        <f>IFERROR(s_RadSpec!$J$23*(AN$23*$B49),".")</f>
        <v>0.18352381446189234</v>
      </c>
      <c r="AO49" s="34">
        <f>IFERROR(s_RadSpec!$J$23*(AO$23*$B49),".")</f>
        <v>0.19107971129181664</v>
      </c>
      <c r="AP49" s="34">
        <f>IFERROR(s_RadSpec!$J$23*(AP$23*$B49),".")</f>
        <v>0.19107971129181664</v>
      </c>
      <c r="AQ49" s="34">
        <f>IFERROR(s_RadSpec!$J$23*(AQ$23*$B49),".")</f>
        <v>0.17344928535532655</v>
      </c>
      <c r="AR49" s="34">
        <f>IFERROR(s_RadSpec!$J$23*(AR$23*$B49),".")</f>
        <v>0.17344928535532655</v>
      </c>
      <c r="AS49" s="34">
        <f>IFERROR(s_RadSpec!$J$23*(AS$23*$B49),".")</f>
        <v>0.18352381446189234</v>
      </c>
      <c r="AT49" s="34">
        <f>IFERROR(s_RadSpec!$J$23*(AT$23*$B49),".")</f>
        <v>0.17596791763196801</v>
      </c>
      <c r="AU49" s="34">
        <f>IFERROR(s_RadSpec!$J$23*(AU$23*$B49),".")</f>
        <v>0.19107971129181664</v>
      </c>
      <c r="AV49" s="34">
        <f>IFERROR(s_RadSpec!$J$23*(AV$23*$B49),".")</f>
        <v>0.18352381446189234</v>
      </c>
      <c r="AW49" s="34">
        <f>IFERROR(s_RadSpec!$J$23*(AW$23*$B49),".")</f>
        <v>0.17344928535532655</v>
      </c>
      <c r="AX49" s="34">
        <f>IFERROR(s_RadSpec!$J$23*(AX$23*$B49),".")</f>
        <v>0.19107971129181664</v>
      </c>
      <c r="AY49" s="34">
        <f>IFERROR(s_RadSpec!$J$23*(AY$23*$B49),".")</f>
        <v>0.15045417266959021</v>
      </c>
      <c r="AZ49" s="34">
        <f>IFERROR(s_RadSpec!$J$23*(AZ$23*$B49),".")</f>
        <v>0.19107971129181664</v>
      </c>
      <c r="BA49" s="42">
        <f t="shared" ref="BA49:BY49" si="113">IFERROR(BA23/$B49,0)</f>
        <v>48.545275825556324</v>
      </c>
      <c r="BB49" s="42">
        <f t="shared" si="113"/>
        <v>144.13434998469575</v>
      </c>
      <c r="BC49" s="42">
        <f t="shared" si="113"/>
        <v>66.232446787337778</v>
      </c>
      <c r="BD49" s="42">
        <f t="shared" si="113"/>
        <v>77.025646180493197</v>
      </c>
      <c r="BE49" s="42">
        <f t="shared" si="113"/>
        <v>144.13434998469575</v>
      </c>
      <c r="BF49" s="42">
        <f t="shared" si="113"/>
        <v>130.83544993335289</v>
      </c>
      <c r="BG49" s="42">
        <f t="shared" si="113"/>
        <v>66.232446787337778</v>
      </c>
      <c r="BH49" s="42">
        <f t="shared" si="113"/>
        <v>77.025646180493197</v>
      </c>
      <c r="BI49" s="42">
        <f t="shared" si="113"/>
        <v>144.13434998469575</v>
      </c>
      <c r="BJ49" s="42">
        <f t="shared" si="113"/>
        <v>162.01397099248268</v>
      </c>
      <c r="BK49" s="42">
        <f t="shared" si="113"/>
        <v>130.83544993335289</v>
      </c>
      <c r="BL49" s="42">
        <f t="shared" si="113"/>
        <v>66.232446787337778</v>
      </c>
      <c r="BM49" s="42">
        <f t="shared" si="113"/>
        <v>136.22210323658629</v>
      </c>
      <c r="BN49" s="42">
        <f t="shared" si="113"/>
        <v>130.83544993335289</v>
      </c>
      <c r="BO49" s="42">
        <f t="shared" si="113"/>
        <v>130.83544993335289</v>
      </c>
      <c r="BP49" s="42">
        <f t="shared" si="113"/>
        <v>144.13434998469575</v>
      </c>
      <c r="BQ49" s="42">
        <f t="shared" si="113"/>
        <v>144.13434998469575</v>
      </c>
      <c r="BR49" s="42">
        <f t="shared" si="113"/>
        <v>136.22210323658629</v>
      </c>
      <c r="BS49" s="42">
        <f t="shared" si="113"/>
        <v>142.07135218981679</v>
      </c>
      <c r="BT49" s="42">
        <f t="shared" si="113"/>
        <v>130.83544993335289</v>
      </c>
      <c r="BU49" s="42">
        <f t="shared" si="113"/>
        <v>136.22210323658629</v>
      </c>
      <c r="BV49" s="42">
        <f t="shared" si="113"/>
        <v>144.13434998469575</v>
      </c>
      <c r="BW49" s="42">
        <f t="shared" si="113"/>
        <v>130.83544993335289</v>
      </c>
      <c r="BX49" s="42">
        <f t="shared" si="113"/>
        <v>166.16355370151189</v>
      </c>
      <c r="BY49" s="42">
        <f t="shared" si="113"/>
        <v>130.83544993335289</v>
      </c>
      <c r="BZ49" s="34">
        <f t="shared" si="35"/>
        <v>0.51498316931673338</v>
      </c>
      <c r="CA49" s="34">
        <f>IFERROR(s_RadSpec!$J$23*(CA$23*$B49),".")</f>
        <v>0.17344928535532655</v>
      </c>
      <c r="CB49" s="34">
        <f>IFERROR(s_RadSpec!$J$23*(CB$23*$B49),".")</f>
        <v>0.37745849976328316</v>
      </c>
      <c r="CC49" s="34">
        <f>IFERROR(s_RadSpec!$J$23*(CC$23*$B49),".")</f>
        <v>0.32456722195381293</v>
      </c>
      <c r="CD49" s="34">
        <f>IFERROR(s_RadSpec!$J$23*(CD$23*$B49),".")</f>
        <v>0.17344928535532655</v>
      </c>
      <c r="CE49" s="34">
        <f>IFERROR(s_RadSpec!$J$23*(CE$23*$B49),".")</f>
        <v>0.19107971129181664</v>
      </c>
      <c r="CF49" s="34">
        <f>IFERROR(s_RadSpec!$J$23*(CF$23*$B49),".")</f>
        <v>0.37745849976328316</v>
      </c>
      <c r="CG49" s="34">
        <f>IFERROR(s_RadSpec!$J$23*(CG$23*$B49),".")</f>
        <v>0.32456722195381293</v>
      </c>
      <c r="CH49" s="34">
        <f>IFERROR(s_RadSpec!$J$23*(CH$23*$B49),".")</f>
        <v>0.17344928535532655</v>
      </c>
      <c r="CI49" s="34">
        <f>IFERROR(s_RadSpec!$J$23*(CI$23*$B49),".")</f>
        <v>0.15430768005285161</v>
      </c>
      <c r="CJ49" s="34">
        <f>IFERROR(s_RadSpec!$J$23*(CJ$23*$B49),".")</f>
        <v>0.19107971129181664</v>
      </c>
      <c r="CK49" s="34">
        <f>IFERROR(s_RadSpec!$J$23*(CK$23*$B49),".")</f>
        <v>0.37745849976328316</v>
      </c>
      <c r="CL49" s="34">
        <f>IFERROR(s_RadSpec!$J$23*(CL$23*$B49),".")</f>
        <v>0.18352381446189234</v>
      </c>
      <c r="CM49" s="34">
        <f>IFERROR(s_RadSpec!$J$23*(CM$23*$B49),".")</f>
        <v>0.19107971129181664</v>
      </c>
      <c r="CN49" s="34">
        <f>IFERROR(s_RadSpec!$J$23*(CN$23*$B49),".")</f>
        <v>0.19107971129181664</v>
      </c>
      <c r="CO49" s="34">
        <f>IFERROR(s_RadSpec!$J$23*(CO$23*$B49),".")</f>
        <v>0.17344928535532655</v>
      </c>
      <c r="CP49" s="34">
        <f>IFERROR(s_RadSpec!$J$23*(CP$23*$B49),".")</f>
        <v>0.17344928535532655</v>
      </c>
      <c r="CQ49" s="34">
        <f>IFERROR(s_RadSpec!$J$23*(CQ$23*$B49),".")</f>
        <v>0.18352381446189234</v>
      </c>
      <c r="CR49" s="34">
        <f>IFERROR(s_RadSpec!$J$23*(CR$23*$B49),".")</f>
        <v>0.17596791763196801</v>
      </c>
      <c r="CS49" s="34">
        <f>IFERROR(s_RadSpec!$J$23*(CS$23*$B49),".")</f>
        <v>0.19107971129181664</v>
      </c>
      <c r="CT49" s="34">
        <f>IFERROR(s_RadSpec!$J$23*(CT$23*$B49),".")</f>
        <v>0.18352381446189234</v>
      </c>
      <c r="CU49" s="34">
        <f>IFERROR(s_RadSpec!$J$23*(CU$23*$B49),".")</f>
        <v>0.17344928535532655</v>
      </c>
      <c r="CV49" s="34">
        <f>IFERROR(s_RadSpec!$J$23*(CV$23*$B49),".")</f>
        <v>0.19107971129181664</v>
      </c>
      <c r="CW49" s="34">
        <f>IFERROR(s_RadSpec!$J$23*(CW$23*$B49),".")</f>
        <v>0.15045417266959021</v>
      </c>
      <c r="CX49" s="34">
        <f>IFERROR(s_RadSpec!$J$23*(CX$23*$B49),".")</f>
        <v>0.19107971129181664</v>
      </c>
    </row>
    <row r="50" spans="1:102" s="3" customFormat="1" x14ac:dyDescent="0.25">
      <c r="A50" s="55" t="s">
        <v>1075</v>
      </c>
      <c r="B50" s="3">
        <v>1</v>
      </c>
      <c r="C50" s="42">
        <f t="shared" ref="C50:AA50" si="114">IFERROR(C25/$B50,0)</f>
        <v>0</v>
      </c>
      <c r="D50" s="42">
        <f t="shared" si="114"/>
        <v>0</v>
      </c>
      <c r="E50" s="42">
        <f t="shared" si="114"/>
        <v>0</v>
      </c>
      <c r="F50" s="42">
        <f t="shared" si="114"/>
        <v>0</v>
      </c>
      <c r="G50" s="42">
        <f t="shared" si="114"/>
        <v>0</v>
      </c>
      <c r="H50" s="42">
        <f t="shared" si="114"/>
        <v>0</v>
      </c>
      <c r="I50" s="42">
        <f t="shared" si="114"/>
        <v>0</v>
      </c>
      <c r="J50" s="42">
        <f t="shared" si="114"/>
        <v>0</v>
      </c>
      <c r="K50" s="42">
        <f t="shared" si="114"/>
        <v>0</v>
      </c>
      <c r="L50" s="42">
        <f t="shared" si="114"/>
        <v>0</v>
      </c>
      <c r="M50" s="42">
        <f t="shared" si="114"/>
        <v>0</v>
      </c>
      <c r="N50" s="42">
        <f t="shared" si="114"/>
        <v>0</v>
      </c>
      <c r="O50" s="42">
        <f t="shared" si="114"/>
        <v>0</v>
      </c>
      <c r="P50" s="42">
        <f t="shared" si="114"/>
        <v>0</v>
      </c>
      <c r="Q50" s="42">
        <f t="shared" si="114"/>
        <v>0</v>
      </c>
      <c r="R50" s="42">
        <f t="shared" si="114"/>
        <v>0</v>
      </c>
      <c r="S50" s="42">
        <f t="shared" si="114"/>
        <v>0</v>
      </c>
      <c r="T50" s="42">
        <f t="shared" si="114"/>
        <v>0</v>
      </c>
      <c r="U50" s="42">
        <f t="shared" si="114"/>
        <v>0</v>
      </c>
      <c r="V50" s="42">
        <f t="shared" si="114"/>
        <v>0</v>
      </c>
      <c r="W50" s="42">
        <f t="shared" si="114"/>
        <v>0</v>
      </c>
      <c r="X50" s="42">
        <f t="shared" si="114"/>
        <v>0</v>
      </c>
      <c r="Y50" s="42">
        <f t="shared" si="114"/>
        <v>0</v>
      </c>
      <c r="Z50" s="42">
        <f t="shared" si="114"/>
        <v>0</v>
      </c>
      <c r="AA50" s="42">
        <f t="shared" si="114"/>
        <v>0</v>
      </c>
      <c r="AB50" s="34">
        <f t="shared" si="33"/>
        <v>0</v>
      </c>
      <c r="AC50" s="34" t="str">
        <f>IFERROR(s_RadSpec!$J$25*(AC$25*$B50),".")</f>
        <v>.</v>
      </c>
      <c r="AD50" s="34" t="str">
        <f>IFERROR(s_RadSpec!$J$25*(AD$25*$B50),".")</f>
        <v>.</v>
      </c>
      <c r="AE50" s="34" t="str">
        <f>IFERROR(s_RadSpec!$J$25*(AE$25*$B50),".")</f>
        <v>.</v>
      </c>
      <c r="AF50" s="34" t="str">
        <f>IFERROR(s_RadSpec!$J$25*(AF$25*$B50),".")</f>
        <v>.</v>
      </c>
      <c r="AG50" s="34" t="str">
        <f>IFERROR(s_RadSpec!$J$25*(AG$25*$B50),".")</f>
        <v>.</v>
      </c>
      <c r="AH50" s="34" t="str">
        <f>IFERROR(s_RadSpec!$J$25*(AH$25*$B50),".")</f>
        <v>.</v>
      </c>
      <c r="AI50" s="34" t="str">
        <f>IFERROR(s_RadSpec!$J$25*(AI$25*$B50),".")</f>
        <v>.</v>
      </c>
      <c r="AJ50" s="34" t="str">
        <f>IFERROR(s_RadSpec!$J$25*(AJ$25*$B50),".")</f>
        <v>.</v>
      </c>
      <c r="AK50" s="34" t="str">
        <f>IFERROR(s_RadSpec!$J$25*(AK$25*$B50),".")</f>
        <v>.</v>
      </c>
      <c r="AL50" s="34" t="str">
        <f>IFERROR(s_RadSpec!$J$25*(AL$25*$B50),".")</f>
        <v>.</v>
      </c>
      <c r="AM50" s="34" t="str">
        <f>IFERROR(s_RadSpec!$J$25*(AM$25*$B50),".")</f>
        <v>.</v>
      </c>
      <c r="AN50" s="34" t="str">
        <f>IFERROR(s_RadSpec!$J$25*(AN$25*$B50),".")</f>
        <v>.</v>
      </c>
      <c r="AO50" s="34" t="str">
        <f>IFERROR(s_RadSpec!$J$25*(AO$25*$B50),".")</f>
        <v>.</v>
      </c>
      <c r="AP50" s="34" t="str">
        <f>IFERROR(s_RadSpec!$J$25*(AP$25*$B50),".")</f>
        <v>.</v>
      </c>
      <c r="AQ50" s="34" t="str">
        <f>IFERROR(s_RadSpec!$J$25*(AQ$25*$B50),".")</f>
        <v>.</v>
      </c>
      <c r="AR50" s="34" t="str">
        <f>IFERROR(s_RadSpec!$J$25*(AR$25*$B50),".")</f>
        <v>.</v>
      </c>
      <c r="AS50" s="34" t="str">
        <f>IFERROR(s_RadSpec!$J$25*(AS$25*$B50),".")</f>
        <v>.</v>
      </c>
      <c r="AT50" s="34" t="str">
        <f>IFERROR(s_RadSpec!$J$25*(AT$25*$B50),".")</f>
        <v>.</v>
      </c>
      <c r="AU50" s="34" t="str">
        <f>IFERROR(s_RadSpec!$J$25*(AU$25*$B50),".")</f>
        <v>.</v>
      </c>
      <c r="AV50" s="34" t="str">
        <f>IFERROR(s_RadSpec!$J$25*(AV$25*$B50),".")</f>
        <v>.</v>
      </c>
      <c r="AW50" s="34" t="str">
        <f>IFERROR(s_RadSpec!$J$25*(AW$25*$B50),".")</f>
        <v>.</v>
      </c>
      <c r="AX50" s="34" t="str">
        <f>IFERROR(s_RadSpec!$J$25*(AX$25*$B50),".")</f>
        <v>.</v>
      </c>
      <c r="AY50" s="34" t="str">
        <f>IFERROR(s_RadSpec!$J$25*(AY$25*$B50),".")</f>
        <v>.</v>
      </c>
      <c r="AZ50" s="34" t="str">
        <f>IFERROR(s_RadSpec!$J$25*(AZ$25*$B50),".")</f>
        <v>.</v>
      </c>
      <c r="BA50" s="42">
        <f t="shared" ref="BA50:BY50" si="115">IFERROR(BA25/$B50,0)</f>
        <v>0</v>
      </c>
      <c r="BB50" s="42">
        <f t="shared" si="115"/>
        <v>0</v>
      </c>
      <c r="BC50" s="42">
        <f t="shared" si="115"/>
        <v>0</v>
      </c>
      <c r="BD50" s="42">
        <f t="shared" si="115"/>
        <v>0</v>
      </c>
      <c r="BE50" s="42">
        <f t="shared" si="115"/>
        <v>0</v>
      </c>
      <c r="BF50" s="42">
        <f t="shared" si="115"/>
        <v>0</v>
      </c>
      <c r="BG50" s="42">
        <f t="shared" si="115"/>
        <v>0</v>
      </c>
      <c r="BH50" s="42">
        <f t="shared" si="115"/>
        <v>0</v>
      </c>
      <c r="BI50" s="42">
        <f t="shared" si="115"/>
        <v>0</v>
      </c>
      <c r="BJ50" s="42">
        <f t="shared" si="115"/>
        <v>0</v>
      </c>
      <c r="BK50" s="42">
        <f t="shared" si="115"/>
        <v>0</v>
      </c>
      <c r="BL50" s="42">
        <f t="shared" si="115"/>
        <v>0</v>
      </c>
      <c r="BM50" s="42">
        <f t="shared" si="115"/>
        <v>0</v>
      </c>
      <c r="BN50" s="42">
        <f t="shared" si="115"/>
        <v>0</v>
      </c>
      <c r="BO50" s="42">
        <f t="shared" si="115"/>
        <v>0</v>
      </c>
      <c r="BP50" s="42">
        <f t="shared" si="115"/>
        <v>0</v>
      </c>
      <c r="BQ50" s="42">
        <f t="shared" si="115"/>
        <v>0</v>
      </c>
      <c r="BR50" s="42">
        <f t="shared" si="115"/>
        <v>0</v>
      </c>
      <c r="BS50" s="42">
        <f t="shared" si="115"/>
        <v>0</v>
      </c>
      <c r="BT50" s="42">
        <f t="shared" si="115"/>
        <v>0</v>
      </c>
      <c r="BU50" s="42">
        <f t="shared" si="115"/>
        <v>0</v>
      </c>
      <c r="BV50" s="42">
        <f t="shared" si="115"/>
        <v>0</v>
      </c>
      <c r="BW50" s="42">
        <f t="shared" si="115"/>
        <v>0</v>
      </c>
      <c r="BX50" s="42">
        <f t="shared" si="115"/>
        <v>0</v>
      </c>
      <c r="BY50" s="42">
        <f t="shared" si="115"/>
        <v>0</v>
      </c>
      <c r="BZ50" s="34">
        <f t="shared" si="35"/>
        <v>0</v>
      </c>
      <c r="CA50" s="34" t="str">
        <f>IFERROR(s_RadSpec!$J$25*(CA$25*$B50),".")</f>
        <v>.</v>
      </c>
      <c r="CB50" s="34" t="str">
        <f>IFERROR(s_RadSpec!$J$25*(CB$25*$B50),".")</f>
        <v>.</v>
      </c>
      <c r="CC50" s="34" t="str">
        <f>IFERROR(s_RadSpec!$J$25*(CC$25*$B50),".")</f>
        <v>.</v>
      </c>
      <c r="CD50" s="34" t="str">
        <f>IFERROR(s_RadSpec!$J$25*(CD$25*$B50),".")</f>
        <v>.</v>
      </c>
      <c r="CE50" s="34" t="str">
        <f>IFERROR(s_RadSpec!$J$25*(CE$25*$B50),".")</f>
        <v>.</v>
      </c>
      <c r="CF50" s="34" t="str">
        <f>IFERROR(s_RadSpec!$J$25*(CF$25*$B50),".")</f>
        <v>.</v>
      </c>
      <c r="CG50" s="34" t="str">
        <f>IFERROR(s_RadSpec!$J$25*(CG$25*$B50),".")</f>
        <v>.</v>
      </c>
      <c r="CH50" s="34" t="str">
        <f>IFERROR(s_RadSpec!$J$25*(CH$25*$B50),".")</f>
        <v>.</v>
      </c>
      <c r="CI50" s="34" t="str">
        <f>IFERROR(s_RadSpec!$J$25*(CI$25*$B50),".")</f>
        <v>.</v>
      </c>
      <c r="CJ50" s="34" t="str">
        <f>IFERROR(s_RadSpec!$J$25*(CJ$25*$B50),".")</f>
        <v>.</v>
      </c>
      <c r="CK50" s="34" t="str">
        <f>IFERROR(s_RadSpec!$J$25*(CK$25*$B50),".")</f>
        <v>.</v>
      </c>
      <c r="CL50" s="34" t="str">
        <f>IFERROR(s_RadSpec!$J$25*(CL$25*$B50),".")</f>
        <v>.</v>
      </c>
      <c r="CM50" s="34" t="str">
        <f>IFERROR(s_RadSpec!$J$25*(CM$25*$B50),".")</f>
        <v>.</v>
      </c>
      <c r="CN50" s="34" t="str">
        <f>IFERROR(s_RadSpec!$J$25*(CN$25*$B50),".")</f>
        <v>.</v>
      </c>
      <c r="CO50" s="34" t="str">
        <f>IFERROR(s_RadSpec!$J$25*(CO$25*$B50),".")</f>
        <v>.</v>
      </c>
      <c r="CP50" s="34" t="str">
        <f>IFERROR(s_RadSpec!$J$25*(CP$25*$B50),".")</f>
        <v>.</v>
      </c>
      <c r="CQ50" s="34" t="str">
        <f>IFERROR(s_RadSpec!$J$25*(CQ$25*$B50),".")</f>
        <v>.</v>
      </c>
      <c r="CR50" s="34" t="str">
        <f>IFERROR(s_RadSpec!$J$25*(CR$25*$B50),".")</f>
        <v>.</v>
      </c>
      <c r="CS50" s="34" t="str">
        <f>IFERROR(s_RadSpec!$J$25*(CS$25*$B50),".")</f>
        <v>.</v>
      </c>
      <c r="CT50" s="34" t="str">
        <f>IFERROR(s_RadSpec!$J$25*(CT$25*$B50),".")</f>
        <v>.</v>
      </c>
      <c r="CU50" s="34" t="str">
        <f>IFERROR(s_RadSpec!$J$25*(CU$25*$B50),".")</f>
        <v>.</v>
      </c>
      <c r="CV50" s="34" t="str">
        <f>IFERROR(s_RadSpec!$J$25*(CV$25*$B50),".")</f>
        <v>.</v>
      </c>
      <c r="CW50" s="34" t="str">
        <f>IFERROR(s_RadSpec!$J$25*(CW$25*$B50),".")</f>
        <v>.</v>
      </c>
      <c r="CX50" s="34" t="str">
        <f>IFERROR(s_RadSpec!$J$25*(CX$25*$B50),".")</f>
        <v>.</v>
      </c>
    </row>
    <row r="51" spans="1:102" s="3" customFormat="1" x14ac:dyDescent="0.25">
      <c r="A51" s="55" t="s">
        <v>1061</v>
      </c>
      <c r="B51" s="3">
        <v>1</v>
      </c>
      <c r="C51" s="42">
        <f t="shared" ref="C51:AA51" si="116">IFERROR(C21/$B51,0)</f>
        <v>0</v>
      </c>
      <c r="D51" s="42">
        <f t="shared" si="116"/>
        <v>0</v>
      </c>
      <c r="E51" s="42">
        <f t="shared" si="116"/>
        <v>0</v>
      </c>
      <c r="F51" s="42">
        <f t="shared" si="116"/>
        <v>0</v>
      </c>
      <c r="G51" s="42">
        <f t="shared" si="116"/>
        <v>0</v>
      </c>
      <c r="H51" s="42">
        <f t="shared" si="116"/>
        <v>0</v>
      </c>
      <c r="I51" s="42">
        <f t="shared" si="116"/>
        <v>0</v>
      </c>
      <c r="J51" s="42">
        <f t="shared" si="116"/>
        <v>0</v>
      </c>
      <c r="K51" s="42">
        <f t="shared" si="116"/>
        <v>0</v>
      </c>
      <c r="L51" s="42">
        <f t="shared" si="116"/>
        <v>0</v>
      </c>
      <c r="M51" s="42">
        <f t="shared" si="116"/>
        <v>0</v>
      </c>
      <c r="N51" s="42">
        <f t="shared" si="116"/>
        <v>0</v>
      </c>
      <c r="O51" s="42">
        <f t="shared" si="116"/>
        <v>0</v>
      </c>
      <c r="P51" s="42">
        <f t="shared" si="116"/>
        <v>0</v>
      </c>
      <c r="Q51" s="42">
        <f t="shared" si="116"/>
        <v>0</v>
      </c>
      <c r="R51" s="42">
        <f t="shared" si="116"/>
        <v>0</v>
      </c>
      <c r="S51" s="42">
        <f t="shared" si="116"/>
        <v>0</v>
      </c>
      <c r="T51" s="42">
        <f t="shared" si="116"/>
        <v>0</v>
      </c>
      <c r="U51" s="42">
        <f t="shared" si="116"/>
        <v>0</v>
      </c>
      <c r="V51" s="42">
        <f t="shared" si="116"/>
        <v>0</v>
      </c>
      <c r="W51" s="42">
        <f t="shared" si="116"/>
        <v>0</v>
      </c>
      <c r="X51" s="42">
        <f t="shared" si="116"/>
        <v>0</v>
      </c>
      <c r="Y51" s="42">
        <f t="shared" si="116"/>
        <v>0</v>
      </c>
      <c r="Z51" s="42">
        <f t="shared" si="116"/>
        <v>0</v>
      </c>
      <c r="AA51" s="42">
        <f t="shared" si="116"/>
        <v>0</v>
      </c>
      <c r="AB51" s="34">
        <f t="shared" si="33"/>
        <v>0</v>
      </c>
      <c r="AC51" s="34">
        <f>IFERROR(s_RadSpec!$J$21*(AC$21*$B51),".")</f>
        <v>0</v>
      </c>
      <c r="AD51" s="34">
        <f>IFERROR(s_RadSpec!$J$21*(AD$21*$B51),".")</f>
        <v>0</v>
      </c>
      <c r="AE51" s="34">
        <f>IFERROR(s_RadSpec!$J$21*(AE$21*$B51),".")</f>
        <v>0</v>
      </c>
      <c r="AF51" s="34">
        <f>IFERROR(s_RadSpec!$J$21*(AF$21*$B51),".")</f>
        <v>0</v>
      </c>
      <c r="AG51" s="34">
        <f>IFERROR(s_RadSpec!$J$21*(AG$21*$B51),".")</f>
        <v>0</v>
      </c>
      <c r="AH51" s="34">
        <f>IFERROR(s_RadSpec!$J$21*(AH$21*$B51),".")</f>
        <v>0</v>
      </c>
      <c r="AI51" s="34">
        <f>IFERROR(s_RadSpec!$J$21*(AI$21*$B51),".")</f>
        <v>0</v>
      </c>
      <c r="AJ51" s="34">
        <f>IFERROR(s_RadSpec!$J$21*(AJ$21*$B51),".")</f>
        <v>0</v>
      </c>
      <c r="AK51" s="34">
        <f>IFERROR(s_RadSpec!$J$21*(AK$21*$B51),".")</f>
        <v>0</v>
      </c>
      <c r="AL51" s="34">
        <f>IFERROR(s_RadSpec!$J$21*(AL$21*$B51),".")</f>
        <v>0</v>
      </c>
      <c r="AM51" s="34">
        <f>IFERROR(s_RadSpec!$J$21*(AM$21*$B51),".")</f>
        <v>0</v>
      </c>
      <c r="AN51" s="34">
        <f>IFERROR(s_RadSpec!$J$21*(AN$21*$B51),".")</f>
        <v>0</v>
      </c>
      <c r="AO51" s="34">
        <f>IFERROR(s_RadSpec!$J$21*(AO$21*$B51),".")</f>
        <v>0</v>
      </c>
      <c r="AP51" s="34">
        <f>IFERROR(s_RadSpec!$J$21*(AP$21*$B51),".")</f>
        <v>0</v>
      </c>
      <c r="AQ51" s="34">
        <f>IFERROR(s_RadSpec!$J$21*(AQ$21*$B51),".")</f>
        <v>0</v>
      </c>
      <c r="AR51" s="34">
        <f>IFERROR(s_RadSpec!$J$21*(AR$21*$B51),".")</f>
        <v>0</v>
      </c>
      <c r="AS51" s="34">
        <f>IFERROR(s_RadSpec!$J$21*(AS$21*$B51),".")</f>
        <v>0</v>
      </c>
      <c r="AT51" s="34">
        <f>IFERROR(s_RadSpec!$J$21*(AT$21*$B51),".")</f>
        <v>0</v>
      </c>
      <c r="AU51" s="34">
        <f>IFERROR(s_RadSpec!$J$21*(AU$21*$B51),".")</f>
        <v>0</v>
      </c>
      <c r="AV51" s="34">
        <f>IFERROR(s_RadSpec!$J$21*(AV$21*$B51),".")</f>
        <v>0</v>
      </c>
      <c r="AW51" s="34">
        <f>IFERROR(s_RadSpec!$J$21*(AW$21*$B51),".")</f>
        <v>0</v>
      </c>
      <c r="AX51" s="34">
        <f>IFERROR(s_RadSpec!$J$21*(AX$21*$B51),".")</f>
        <v>0</v>
      </c>
      <c r="AY51" s="34">
        <f>IFERROR(s_RadSpec!$J$21*(AY$21*$B51),".")</f>
        <v>0</v>
      </c>
      <c r="AZ51" s="34">
        <f>IFERROR(s_RadSpec!$J$21*(AZ$21*$B51),".")</f>
        <v>0</v>
      </c>
      <c r="BA51" s="42">
        <f t="shared" ref="BA51:BY51" si="117">IFERROR(BA21/$B51,0)</f>
        <v>0</v>
      </c>
      <c r="BB51" s="42">
        <f t="shared" si="117"/>
        <v>0</v>
      </c>
      <c r="BC51" s="42">
        <f t="shared" si="117"/>
        <v>0</v>
      </c>
      <c r="BD51" s="42">
        <f t="shared" si="117"/>
        <v>0</v>
      </c>
      <c r="BE51" s="42">
        <f t="shared" si="117"/>
        <v>0</v>
      </c>
      <c r="BF51" s="42">
        <f t="shared" si="117"/>
        <v>0</v>
      </c>
      <c r="BG51" s="42">
        <f t="shared" si="117"/>
        <v>0</v>
      </c>
      <c r="BH51" s="42">
        <f t="shared" si="117"/>
        <v>0</v>
      </c>
      <c r="BI51" s="42">
        <f t="shared" si="117"/>
        <v>0</v>
      </c>
      <c r="BJ51" s="42">
        <f t="shared" si="117"/>
        <v>0</v>
      </c>
      <c r="BK51" s="42">
        <f t="shared" si="117"/>
        <v>0</v>
      </c>
      <c r="BL51" s="42">
        <f t="shared" si="117"/>
        <v>0</v>
      </c>
      <c r="BM51" s="42">
        <f t="shared" si="117"/>
        <v>0</v>
      </c>
      <c r="BN51" s="42">
        <f t="shared" si="117"/>
        <v>0</v>
      </c>
      <c r="BO51" s="42">
        <f t="shared" si="117"/>
        <v>0</v>
      </c>
      <c r="BP51" s="42">
        <f t="shared" si="117"/>
        <v>0</v>
      </c>
      <c r="BQ51" s="42">
        <f t="shared" si="117"/>
        <v>0</v>
      </c>
      <c r="BR51" s="42">
        <f t="shared" si="117"/>
        <v>0</v>
      </c>
      <c r="BS51" s="42">
        <f t="shared" si="117"/>
        <v>0</v>
      </c>
      <c r="BT51" s="42">
        <f t="shared" si="117"/>
        <v>0</v>
      </c>
      <c r="BU51" s="42">
        <f t="shared" si="117"/>
        <v>0</v>
      </c>
      <c r="BV51" s="42">
        <f t="shared" si="117"/>
        <v>0</v>
      </c>
      <c r="BW51" s="42">
        <f t="shared" si="117"/>
        <v>0</v>
      </c>
      <c r="BX51" s="42">
        <f t="shared" si="117"/>
        <v>0</v>
      </c>
      <c r="BY51" s="42">
        <f t="shared" si="117"/>
        <v>0</v>
      </c>
      <c r="BZ51" s="34">
        <f t="shared" si="35"/>
        <v>0</v>
      </c>
      <c r="CA51" s="34">
        <f>IFERROR(s_RadSpec!$J$21*(CA$21*$B51),".")</f>
        <v>0</v>
      </c>
      <c r="CB51" s="34">
        <f>IFERROR(s_RadSpec!$J$21*(CB$21*$B51),".")</f>
        <v>0</v>
      </c>
      <c r="CC51" s="34">
        <f>IFERROR(s_RadSpec!$J$21*(CC$21*$B51),".")</f>
        <v>0</v>
      </c>
      <c r="CD51" s="34">
        <f>IFERROR(s_RadSpec!$J$21*(CD$21*$B51),".")</f>
        <v>0</v>
      </c>
      <c r="CE51" s="34">
        <f>IFERROR(s_RadSpec!$J$21*(CE$21*$B51),".")</f>
        <v>0</v>
      </c>
      <c r="CF51" s="34">
        <f>IFERROR(s_RadSpec!$J$21*(CF$21*$B51),".")</f>
        <v>0</v>
      </c>
      <c r="CG51" s="34">
        <f>IFERROR(s_RadSpec!$J$21*(CG$21*$B51),".")</f>
        <v>0</v>
      </c>
      <c r="CH51" s="34">
        <f>IFERROR(s_RadSpec!$J$21*(CH$21*$B51),".")</f>
        <v>0</v>
      </c>
      <c r="CI51" s="34">
        <f>IFERROR(s_RadSpec!$J$21*(CI$21*$B51),".")</f>
        <v>0</v>
      </c>
      <c r="CJ51" s="34">
        <f>IFERROR(s_RadSpec!$J$21*(CJ$21*$B51),".")</f>
        <v>0</v>
      </c>
      <c r="CK51" s="34">
        <f>IFERROR(s_RadSpec!$J$21*(CK$21*$B51),".")</f>
        <v>0</v>
      </c>
      <c r="CL51" s="34">
        <f>IFERROR(s_RadSpec!$J$21*(CL$21*$B51),".")</f>
        <v>0</v>
      </c>
      <c r="CM51" s="34">
        <f>IFERROR(s_RadSpec!$J$21*(CM$21*$B51),".")</f>
        <v>0</v>
      </c>
      <c r="CN51" s="34">
        <f>IFERROR(s_RadSpec!$J$21*(CN$21*$B51),".")</f>
        <v>0</v>
      </c>
      <c r="CO51" s="34">
        <f>IFERROR(s_RadSpec!$J$21*(CO$21*$B51),".")</f>
        <v>0</v>
      </c>
      <c r="CP51" s="34">
        <f>IFERROR(s_RadSpec!$J$21*(CP$21*$B51),".")</f>
        <v>0</v>
      </c>
      <c r="CQ51" s="34">
        <f>IFERROR(s_RadSpec!$J$21*(CQ$21*$B51),".")</f>
        <v>0</v>
      </c>
      <c r="CR51" s="34">
        <f>IFERROR(s_RadSpec!$J$21*(CR$21*$B51),".")</f>
        <v>0</v>
      </c>
      <c r="CS51" s="34">
        <f>IFERROR(s_RadSpec!$J$21*(CS$21*$B51),".")</f>
        <v>0</v>
      </c>
      <c r="CT51" s="34">
        <f>IFERROR(s_RadSpec!$J$21*(CT$21*$B51),".")</f>
        <v>0</v>
      </c>
      <c r="CU51" s="34">
        <f>IFERROR(s_RadSpec!$J$21*(CU$21*$B51),".")</f>
        <v>0</v>
      </c>
      <c r="CV51" s="34">
        <f>IFERROR(s_RadSpec!$J$21*(CV$21*$B51),".")</f>
        <v>0</v>
      </c>
      <c r="CW51" s="34">
        <f>IFERROR(s_RadSpec!$J$21*(CW$21*$B51),".")</f>
        <v>0</v>
      </c>
      <c r="CX51" s="34">
        <f>IFERROR(s_RadSpec!$J$21*(CX$21*$B51),".")</f>
        <v>0</v>
      </c>
    </row>
    <row r="52" spans="1:102" s="3" customFormat="1" x14ac:dyDescent="0.25">
      <c r="A52" s="55" t="s">
        <v>1062</v>
      </c>
      <c r="B52" s="3">
        <v>0.99980000000000002</v>
      </c>
      <c r="C52" s="42">
        <f t="shared" ref="C52:AA52" si="118">IFERROR(C17/$B52,0)</f>
        <v>114204.90549898063</v>
      </c>
      <c r="D52" s="42">
        <f t="shared" si="118"/>
        <v>328170.46094177209</v>
      </c>
      <c r="E52" s="42">
        <f t="shared" si="118"/>
        <v>162745.83284240996</v>
      </c>
      <c r="F52" s="42">
        <f t="shared" si="118"/>
        <v>305956.69387790741</v>
      </c>
      <c r="G52" s="42">
        <f t="shared" si="118"/>
        <v>328170.46094177209</v>
      </c>
      <c r="H52" s="42">
        <f t="shared" si="118"/>
        <v>305956.69387790741</v>
      </c>
      <c r="I52" s="42">
        <f t="shared" si="118"/>
        <v>162745.83284240996</v>
      </c>
      <c r="J52" s="42">
        <f t="shared" si="118"/>
        <v>305956.69387790741</v>
      </c>
      <c r="K52" s="42">
        <f t="shared" si="118"/>
        <v>328170.46094177209</v>
      </c>
      <c r="L52" s="42">
        <f t="shared" si="118"/>
        <v>376248.87482868897</v>
      </c>
      <c r="M52" s="42">
        <f t="shared" si="118"/>
        <v>305956.69387790741</v>
      </c>
      <c r="N52" s="42">
        <f t="shared" si="118"/>
        <v>162745.83284240996</v>
      </c>
      <c r="O52" s="42">
        <f t="shared" si="118"/>
        <v>352207.95966900548</v>
      </c>
      <c r="P52" s="42">
        <f t="shared" si="118"/>
        <v>305956.69387790741</v>
      </c>
      <c r="Q52" s="42">
        <f t="shared" si="118"/>
        <v>305956.69387790741</v>
      </c>
      <c r="R52" s="42">
        <f t="shared" si="118"/>
        <v>328170.46094177209</v>
      </c>
      <c r="S52" s="42">
        <f t="shared" si="118"/>
        <v>328170.46094177209</v>
      </c>
      <c r="T52" s="42">
        <f t="shared" si="118"/>
        <v>352207.95966900548</v>
      </c>
      <c r="U52" s="42">
        <f t="shared" si="118"/>
        <v>374379.05067293375</v>
      </c>
      <c r="V52" s="42">
        <f t="shared" si="118"/>
        <v>305956.69387790741</v>
      </c>
      <c r="W52" s="42">
        <f t="shared" si="118"/>
        <v>352207.95966900548</v>
      </c>
      <c r="X52" s="42">
        <f t="shared" si="118"/>
        <v>328170.46094177209</v>
      </c>
      <c r="Y52" s="42">
        <f t="shared" si="118"/>
        <v>305956.69387790741</v>
      </c>
      <c r="Z52" s="42">
        <f t="shared" si="118"/>
        <v>382036.68708652142</v>
      </c>
      <c r="AA52" s="42">
        <f t="shared" si="118"/>
        <v>323473.35066001641</v>
      </c>
      <c r="AB52" s="34">
        <f t="shared" si="33"/>
        <v>2.1890478251149328E-4</v>
      </c>
      <c r="AC52" s="34">
        <f>IFERROR(s_RadSpec!$J$17*(AC$17*$B52),".")</f>
        <v>7.6179921642721522E-5</v>
      </c>
      <c r="AD52" s="34">
        <f>IFERROR(s_RadSpec!$J$17*(AD$17*$B52),".")</f>
        <v>1.5361376425661232E-4</v>
      </c>
      <c r="AE52" s="34">
        <f>IFERROR(s_RadSpec!$J$17*(AE$17*$B52),".")</f>
        <v>8.1710910400856578E-5</v>
      </c>
      <c r="AF52" s="34">
        <f>IFERROR(s_RadSpec!$J$17*(AF$17*$B52),".")</f>
        <v>7.6179921642721522E-5</v>
      </c>
      <c r="AG52" s="34">
        <f>IFERROR(s_RadSpec!$J$17*(AG$17*$B52),".")</f>
        <v>8.1710910400856578E-5</v>
      </c>
      <c r="AH52" s="34">
        <f>IFERROR(s_RadSpec!$J$17*(AH$17*$B52),".")</f>
        <v>1.5361376425661232E-4</v>
      </c>
      <c r="AI52" s="34">
        <f>IFERROR(s_RadSpec!$J$17*(AI$17*$B52),".")</f>
        <v>8.1710910400856578E-5</v>
      </c>
      <c r="AJ52" s="34">
        <f>IFERROR(s_RadSpec!$J$17*(AJ$17*$B52),".")</f>
        <v>7.6179921642721522E-5</v>
      </c>
      <c r="AK52" s="34">
        <f>IFERROR(s_RadSpec!$J$17*(AK$17*$B52),".")</f>
        <v>6.6445381428403814E-5</v>
      </c>
      <c r="AL52" s="34">
        <f>IFERROR(s_RadSpec!$J$17*(AL$17*$B52),".")</f>
        <v>8.1710910400856578E-5</v>
      </c>
      <c r="AM52" s="34">
        <f>IFERROR(s_RadSpec!$J$17*(AM$17*$B52),".")</f>
        <v>1.5361376425661232E-4</v>
      </c>
      <c r="AN52" s="34">
        <f>IFERROR(s_RadSpec!$J$17*(AN$17*$B52),".")</f>
        <v>7.098079221007456E-5</v>
      </c>
      <c r="AO52" s="34">
        <f>IFERROR(s_RadSpec!$J$17*(AO$17*$B52),".")</f>
        <v>8.1710910400856578E-5</v>
      </c>
      <c r="AP52" s="34">
        <f>IFERROR(s_RadSpec!$J$17*(AP$17*$B52),".")</f>
        <v>8.1710910400856578E-5</v>
      </c>
      <c r="AQ52" s="34">
        <f>IFERROR(s_RadSpec!$J$17*(AQ$17*$B52),".")</f>
        <v>7.6179921642721522E-5</v>
      </c>
      <c r="AR52" s="34">
        <f>IFERROR(s_RadSpec!$J$17*(AR$17*$B52),".")</f>
        <v>7.6179921642721522E-5</v>
      </c>
      <c r="AS52" s="34">
        <f>IFERROR(s_RadSpec!$J$17*(AS$17*$B52),".")</f>
        <v>7.098079221007456E-5</v>
      </c>
      <c r="AT52" s="34">
        <f>IFERROR(s_RadSpec!$J$17*(AT$17*$B52),".")</f>
        <v>6.6777240753891921E-5</v>
      </c>
      <c r="AU52" s="34">
        <f>IFERROR(s_RadSpec!$J$17*(AU$17*$B52),".")</f>
        <v>8.1710910400856578E-5</v>
      </c>
      <c r="AV52" s="34">
        <f>IFERROR(s_RadSpec!$J$17*(AV$17*$B52),".")</f>
        <v>7.098079221007456E-5</v>
      </c>
      <c r="AW52" s="34">
        <f>IFERROR(s_RadSpec!$J$17*(AW$17*$B52),".")</f>
        <v>7.6179921642721522E-5</v>
      </c>
      <c r="AX52" s="34">
        <f>IFERROR(s_RadSpec!$J$17*(AX$17*$B52),".")</f>
        <v>8.1710910400856578E-5</v>
      </c>
      <c r="AY52" s="34">
        <f>IFERROR(s_RadSpec!$J$17*(AY$17*$B52),".")</f>
        <v>6.5438741474423235E-5</v>
      </c>
      <c r="AZ52" s="34">
        <f>IFERROR(s_RadSpec!$J$17*(AZ$17*$B52),".")</f>
        <v>7.7286119394348525E-5</v>
      </c>
      <c r="BA52" s="42">
        <f t="shared" ref="BA52:BY52" si="119">IFERROR(BA17/$B52,0)</f>
        <v>114204.90549898063</v>
      </c>
      <c r="BB52" s="42">
        <f t="shared" si="119"/>
        <v>328170.46094177209</v>
      </c>
      <c r="BC52" s="42">
        <f t="shared" si="119"/>
        <v>162745.83284240996</v>
      </c>
      <c r="BD52" s="42">
        <f t="shared" si="119"/>
        <v>305956.69387790741</v>
      </c>
      <c r="BE52" s="42">
        <f t="shared" si="119"/>
        <v>328170.46094177209</v>
      </c>
      <c r="BF52" s="42">
        <f t="shared" si="119"/>
        <v>305956.69387790741</v>
      </c>
      <c r="BG52" s="42">
        <f t="shared" si="119"/>
        <v>162745.83284240996</v>
      </c>
      <c r="BH52" s="42">
        <f t="shared" si="119"/>
        <v>305956.69387790741</v>
      </c>
      <c r="BI52" s="42">
        <f t="shared" si="119"/>
        <v>328170.46094177209</v>
      </c>
      <c r="BJ52" s="42">
        <f t="shared" si="119"/>
        <v>376248.87482868897</v>
      </c>
      <c r="BK52" s="42">
        <f t="shared" si="119"/>
        <v>305956.69387790741</v>
      </c>
      <c r="BL52" s="42">
        <f t="shared" si="119"/>
        <v>162745.83284240996</v>
      </c>
      <c r="BM52" s="42">
        <f t="shared" si="119"/>
        <v>352207.95966900548</v>
      </c>
      <c r="BN52" s="42">
        <f t="shared" si="119"/>
        <v>305956.69387790741</v>
      </c>
      <c r="BO52" s="42">
        <f t="shared" si="119"/>
        <v>305956.69387790741</v>
      </c>
      <c r="BP52" s="42">
        <f t="shared" si="119"/>
        <v>328170.46094177209</v>
      </c>
      <c r="BQ52" s="42">
        <f t="shared" si="119"/>
        <v>328170.46094177209</v>
      </c>
      <c r="BR52" s="42">
        <f t="shared" si="119"/>
        <v>352207.95966900548</v>
      </c>
      <c r="BS52" s="42">
        <f t="shared" si="119"/>
        <v>374379.05067293375</v>
      </c>
      <c r="BT52" s="42">
        <f t="shared" si="119"/>
        <v>305956.69387790741</v>
      </c>
      <c r="BU52" s="42">
        <f t="shared" si="119"/>
        <v>352207.95966900548</v>
      </c>
      <c r="BV52" s="42">
        <f t="shared" si="119"/>
        <v>328170.46094177209</v>
      </c>
      <c r="BW52" s="42">
        <f t="shared" si="119"/>
        <v>305956.69387790741</v>
      </c>
      <c r="BX52" s="42">
        <f t="shared" si="119"/>
        <v>382036.68708652142</v>
      </c>
      <c r="BY52" s="42">
        <f t="shared" si="119"/>
        <v>323473.35066001641</v>
      </c>
      <c r="BZ52" s="34">
        <f t="shared" si="35"/>
        <v>2.1890478251149328E-4</v>
      </c>
      <c r="CA52" s="34">
        <f>IFERROR(s_RadSpec!$J$17*(CA$17*$B52),".")</f>
        <v>7.6179921642721522E-5</v>
      </c>
      <c r="CB52" s="34">
        <f>IFERROR(s_RadSpec!$J$17*(CB$17*$B52),".")</f>
        <v>1.5361376425661232E-4</v>
      </c>
      <c r="CC52" s="34">
        <f>IFERROR(s_RadSpec!$J$17*(CC$17*$B52),".")</f>
        <v>8.1710910400856578E-5</v>
      </c>
      <c r="CD52" s="34">
        <f>IFERROR(s_RadSpec!$J$17*(CD$17*$B52),".")</f>
        <v>7.6179921642721522E-5</v>
      </c>
      <c r="CE52" s="34">
        <f>IFERROR(s_RadSpec!$J$17*(CE$17*$B52),".")</f>
        <v>8.1710910400856578E-5</v>
      </c>
      <c r="CF52" s="34">
        <f>IFERROR(s_RadSpec!$J$17*(CF$17*$B52),".")</f>
        <v>1.5361376425661232E-4</v>
      </c>
      <c r="CG52" s="34">
        <f>IFERROR(s_RadSpec!$J$17*(CG$17*$B52),".")</f>
        <v>8.1710910400856578E-5</v>
      </c>
      <c r="CH52" s="34">
        <f>IFERROR(s_RadSpec!$J$17*(CH$17*$B52),".")</f>
        <v>7.6179921642721522E-5</v>
      </c>
      <c r="CI52" s="34">
        <f>IFERROR(s_RadSpec!$J$17*(CI$17*$B52),".")</f>
        <v>6.6445381428403814E-5</v>
      </c>
      <c r="CJ52" s="34">
        <f>IFERROR(s_RadSpec!$J$17*(CJ$17*$B52),".")</f>
        <v>8.1710910400856578E-5</v>
      </c>
      <c r="CK52" s="34">
        <f>IFERROR(s_RadSpec!$J$17*(CK$17*$B52),".")</f>
        <v>1.5361376425661232E-4</v>
      </c>
      <c r="CL52" s="34">
        <f>IFERROR(s_RadSpec!$J$17*(CL$17*$B52),".")</f>
        <v>7.098079221007456E-5</v>
      </c>
      <c r="CM52" s="34">
        <f>IFERROR(s_RadSpec!$J$17*(CM$17*$B52),".")</f>
        <v>8.1710910400856578E-5</v>
      </c>
      <c r="CN52" s="34">
        <f>IFERROR(s_RadSpec!$J$17*(CN$17*$B52),".")</f>
        <v>8.1710910400856578E-5</v>
      </c>
      <c r="CO52" s="34">
        <f>IFERROR(s_RadSpec!$J$17*(CO$17*$B52),".")</f>
        <v>7.6179921642721522E-5</v>
      </c>
      <c r="CP52" s="34">
        <f>IFERROR(s_RadSpec!$J$17*(CP$17*$B52),".")</f>
        <v>7.6179921642721522E-5</v>
      </c>
      <c r="CQ52" s="34">
        <f>IFERROR(s_RadSpec!$J$17*(CQ$17*$B52),".")</f>
        <v>7.098079221007456E-5</v>
      </c>
      <c r="CR52" s="34">
        <f>IFERROR(s_RadSpec!$J$17*(CR$17*$B52),".")</f>
        <v>6.6777240753891921E-5</v>
      </c>
      <c r="CS52" s="34">
        <f>IFERROR(s_RadSpec!$J$17*(CS$17*$B52),".")</f>
        <v>8.1710910400856578E-5</v>
      </c>
      <c r="CT52" s="34">
        <f>IFERROR(s_RadSpec!$J$17*(CT$17*$B52),".")</f>
        <v>7.098079221007456E-5</v>
      </c>
      <c r="CU52" s="34">
        <f>IFERROR(s_RadSpec!$J$17*(CU$17*$B52),".")</f>
        <v>7.6179921642721522E-5</v>
      </c>
      <c r="CV52" s="34">
        <f>IFERROR(s_RadSpec!$J$17*(CV$17*$B52),".")</f>
        <v>8.1710910400856578E-5</v>
      </c>
      <c r="CW52" s="34">
        <f>IFERROR(s_RadSpec!$J$17*(CW$17*$B52),".")</f>
        <v>6.5438741474423235E-5</v>
      </c>
      <c r="CX52" s="34">
        <f>IFERROR(s_RadSpec!$J$17*(CX$17*$B52),".")</f>
        <v>7.7286119394348525E-5</v>
      </c>
    </row>
    <row r="53" spans="1:102" s="3" customFormat="1" x14ac:dyDescent="0.25">
      <c r="A53" s="55" t="s">
        <v>1076</v>
      </c>
      <c r="B53" s="3">
        <v>2.0000000000000001E-4</v>
      </c>
      <c r="C53" s="42">
        <f t="shared" ref="C53:AA53" si="120">IFERROR(C5/$B53,0)</f>
        <v>0</v>
      </c>
      <c r="D53" s="42">
        <f t="shared" si="120"/>
        <v>0</v>
      </c>
      <c r="E53" s="42">
        <f t="shared" si="120"/>
        <v>0</v>
      </c>
      <c r="F53" s="42">
        <f t="shared" si="120"/>
        <v>0</v>
      </c>
      <c r="G53" s="42">
        <f t="shared" si="120"/>
        <v>0</v>
      </c>
      <c r="H53" s="42">
        <f t="shared" si="120"/>
        <v>0</v>
      </c>
      <c r="I53" s="42">
        <f t="shared" si="120"/>
        <v>0</v>
      </c>
      <c r="J53" s="42">
        <f t="shared" si="120"/>
        <v>0</v>
      </c>
      <c r="K53" s="42">
        <f t="shared" si="120"/>
        <v>0</v>
      </c>
      <c r="L53" s="42">
        <f t="shared" si="120"/>
        <v>0</v>
      </c>
      <c r="M53" s="42">
        <f t="shared" si="120"/>
        <v>0</v>
      </c>
      <c r="N53" s="42">
        <f t="shared" si="120"/>
        <v>0</v>
      </c>
      <c r="O53" s="42">
        <f t="shared" si="120"/>
        <v>0</v>
      </c>
      <c r="P53" s="42">
        <f t="shared" si="120"/>
        <v>0</v>
      </c>
      <c r="Q53" s="42">
        <f t="shared" si="120"/>
        <v>0</v>
      </c>
      <c r="R53" s="42">
        <f t="shared" si="120"/>
        <v>0</v>
      </c>
      <c r="S53" s="42">
        <f t="shared" si="120"/>
        <v>0</v>
      </c>
      <c r="T53" s="42">
        <f t="shared" si="120"/>
        <v>0</v>
      </c>
      <c r="U53" s="42">
        <f t="shared" si="120"/>
        <v>0</v>
      </c>
      <c r="V53" s="42">
        <f t="shared" si="120"/>
        <v>0</v>
      </c>
      <c r="W53" s="42">
        <f t="shared" si="120"/>
        <v>0</v>
      </c>
      <c r="X53" s="42">
        <f t="shared" si="120"/>
        <v>0</v>
      </c>
      <c r="Y53" s="42">
        <f t="shared" si="120"/>
        <v>0</v>
      </c>
      <c r="Z53" s="42">
        <f t="shared" si="120"/>
        <v>0</v>
      </c>
      <c r="AA53" s="42">
        <f t="shared" si="120"/>
        <v>0</v>
      </c>
      <c r="AB53" s="34">
        <f t="shared" si="33"/>
        <v>0</v>
      </c>
      <c r="AC53" s="34">
        <f>IFERROR(s_RadSpec!$J$5*(AC$5*$B53),".")</f>
        <v>0</v>
      </c>
      <c r="AD53" s="34">
        <f>IFERROR(s_RadSpec!$J$5*(AD$5*$B53),".")</f>
        <v>0</v>
      </c>
      <c r="AE53" s="34">
        <f>IFERROR(s_RadSpec!$J$5*(AE$5*$B53),".")</f>
        <v>0</v>
      </c>
      <c r="AF53" s="34">
        <f>IFERROR(s_RadSpec!$J$5*(AF$5*$B53),".")</f>
        <v>0</v>
      </c>
      <c r="AG53" s="34">
        <f>IFERROR(s_RadSpec!$J$5*(AG$5*$B53),".")</f>
        <v>0</v>
      </c>
      <c r="AH53" s="34">
        <f>IFERROR(s_RadSpec!$J$5*(AH$5*$B53),".")</f>
        <v>0</v>
      </c>
      <c r="AI53" s="34">
        <f>IFERROR(s_RadSpec!$J$5*(AI$5*$B53),".")</f>
        <v>0</v>
      </c>
      <c r="AJ53" s="34">
        <f>IFERROR(s_RadSpec!$J$5*(AJ$5*$B53),".")</f>
        <v>0</v>
      </c>
      <c r="AK53" s="34">
        <f>IFERROR(s_RadSpec!$J$5*(AK$5*$B53),".")</f>
        <v>0</v>
      </c>
      <c r="AL53" s="34">
        <f>IFERROR(s_RadSpec!$J$5*(AL$5*$B53),".")</f>
        <v>0</v>
      </c>
      <c r="AM53" s="34">
        <f>IFERROR(s_RadSpec!$J$5*(AM$5*$B53),".")</f>
        <v>0</v>
      </c>
      <c r="AN53" s="34">
        <f>IFERROR(s_RadSpec!$J$5*(AN$5*$B53),".")</f>
        <v>0</v>
      </c>
      <c r="AO53" s="34">
        <f>IFERROR(s_RadSpec!$J$5*(AO$5*$B53),".")</f>
        <v>0</v>
      </c>
      <c r="AP53" s="34">
        <f>IFERROR(s_RadSpec!$J$5*(AP$5*$B53),".")</f>
        <v>0</v>
      </c>
      <c r="AQ53" s="34">
        <f>IFERROR(s_RadSpec!$J$5*(AQ$5*$B53),".")</f>
        <v>0</v>
      </c>
      <c r="AR53" s="34">
        <f>IFERROR(s_RadSpec!$J$5*(AR$5*$B53),".")</f>
        <v>0</v>
      </c>
      <c r="AS53" s="34">
        <f>IFERROR(s_RadSpec!$J$5*(AS$5*$B53),".")</f>
        <v>0</v>
      </c>
      <c r="AT53" s="34">
        <f>IFERROR(s_RadSpec!$J$5*(AT$5*$B53),".")</f>
        <v>0</v>
      </c>
      <c r="AU53" s="34">
        <f>IFERROR(s_RadSpec!$J$5*(AU$5*$B53),".")</f>
        <v>0</v>
      </c>
      <c r="AV53" s="34">
        <f>IFERROR(s_RadSpec!$J$5*(AV$5*$B53),".")</f>
        <v>0</v>
      </c>
      <c r="AW53" s="34">
        <f>IFERROR(s_RadSpec!$J$5*(AW$5*$B53),".")</f>
        <v>0</v>
      </c>
      <c r="AX53" s="34">
        <f>IFERROR(s_RadSpec!$J$5*(AX$5*$B53),".")</f>
        <v>0</v>
      </c>
      <c r="AY53" s="34">
        <f>IFERROR(s_RadSpec!$J$5*(AY$5*$B53),".")</f>
        <v>0</v>
      </c>
      <c r="AZ53" s="34">
        <f>IFERROR(s_RadSpec!$J$5*(AZ$5*$B53),".")</f>
        <v>0</v>
      </c>
      <c r="BA53" s="42">
        <f t="shared" ref="BA53:BY53" si="121">IFERROR(BA5/$B53,0)</f>
        <v>0</v>
      </c>
      <c r="BB53" s="42">
        <f t="shared" si="121"/>
        <v>0</v>
      </c>
      <c r="BC53" s="42">
        <f t="shared" si="121"/>
        <v>0</v>
      </c>
      <c r="BD53" s="42">
        <f t="shared" si="121"/>
        <v>0</v>
      </c>
      <c r="BE53" s="42">
        <f t="shared" si="121"/>
        <v>0</v>
      </c>
      <c r="BF53" s="42">
        <f t="shared" si="121"/>
        <v>0</v>
      </c>
      <c r="BG53" s="42">
        <f t="shared" si="121"/>
        <v>0</v>
      </c>
      <c r="BH53" s="42">
        <f t="shared" si="121"/>
        <v>0</v>
      </c>
      <c r="BI53" s="42">
        <f t="shared" si="121"/>
        <v>0</v>
      </c>
      <c r="BJ53" s="42">
        <f t="shared" si="121"/>
        <v>0</v>
      </c>
      <c r="BK53" s="42">
        <f t="shared" si="121"/>
        <v>0</v>
      </c>
      <c r="BL53" s="42">
        <f t="shared" si="121"/>
        <v>0</v>
      </c>
      <c r="BM53" s="42">
        <f t="shared" si="121"/>
        <v>0</v>
      </c>
      <c r="BN53" s="42">
        <f t="shared" si="121"/>
        <v>0</v>
      </c>
      <c r="BO53" s="42">
        <f t="shared" si="121"/>
        <v>0</v>
      </c>
      <c r="BP53" s="42">
        <f t="shared" si="121"/>
        <v>0</v>
      </c>
      <c r="BQ53" s="42">
        <f t="shared" si="121"/>
        <v>0</v>
      </c>
      <c r="BR53" s="42">
        <f t="shared" si="121"/>
        <v>0</v>
      </c>
      <c r="BS53" s="42">
        <f t="shared" si="121"/>
        <v>0</v>
      </c>
      <c r="BT53" s="42">
        <f t="shared" si="121"/>
        <v>0</v>
      </c>
      <c r="BU53" s="42">
        <f t="shared" si="121"/>
        <v>0</v>
      </c>
      <c r="BV53" s="42">
        <f t="shared" si="121"/>
        <v>0</v>
      </c>
      <c r="BW53" s="42">
        <f t="shared" si="121"/>
        <v>0</v>
      </c>
      <c r="BX53" s="42">
        <f t="shared" si="121"/>
        <v>0</v>
      </c>
      <c r="BY53" s="42">
        <f t="shared" si="121"/>
        <v>0</v>
      </c>
      <c r="BZ53" s="34">
        <f t="shared" si="35"/>
        <v>0</v>
      </c>
      <c r="CA53" s="34">
        <f>IFERROR(s_RadSpec!$J$5*(CA$5*$B53),".")</f>
        <v>0</v>
      </c>
      <c r="CB53" s="34">
        <f>IFERROR(s_RadSpec!$J$5*(CB$5*$B53),".")</f>
        <v>0</v>
      </c>
      <c r="CC53" s="34">
        <f>IFERROR(s_RadSpec!$J$5*(CC$5*$B53),".")</f>
        <v>0</v>
      </c>
      <c r="CD53" s="34">
        <f>IFERROR(s_RadSpec!$J$5*(CD$5*$B53),".")</f>
        <v>0</v>
      </c>
      <c r="CE53" s="34">
        <f>IFERROR(s_RadSpec!$J$5*(CE$5*$B53),".")</f>
        <v>0</v>
      </c>
      <c r="CF53" s="34">
        <f>IFERROR(s_RadSpec!$J$5*(CF$5*$B53),".")</f>
        <v>0</v>
      </c>
      <c r="CG53" s="34">
        <f>IFERROR(s_RadSpec!$J$5*(CG$5*$B53),".")</f>
        <v>0</v>
      </c>
      <c r="CH53" s="34">
        <f>IFERROR(s_RadSpec!$J$5*(CH$5*$B53),".")</f>
        <v>0</v>
      </c>
      <c r="CI53" s="34">
        <f>IFERROR(s_RadSpec!$J$5*(CI$5*$B53),".")</f>
        <v>0</v>
      </c>
      <c r="CJ53" s="34">
        <f>IFERROR(s_RadSpec!$J$5*(CJ$5*$B53),".")</f>
        <v>0</v>
      </c>
      <c r="CK53" s="34">
        <f>IFERROR(s_RadSpec!$J$5*(CK$5*$B53),".")</f>
        <v>0</v>
      </c>
      <c r="CL53" s="34">
        <f>IFERROR(s_RadSpec!$J$5*(CL$5*$B53),".")</f>
        <v>0</v>
      </c>
      <c r="CM53" s="34">
        <f>IFERROR(s_RadSpec!$J$5*(CM$5*$B53),".")</f>
        <v>0</v>
      </c>
      <c r="CN53" s="34">
        <f>IFERROR(s_RadSpec!$J$5*(CN$5*$B53),".")</f>
        <v>0</v>
      </c>
      <c r="CO53" s="34">
        <f>IFERROR(s_RadSpec!$J$5*(CO$5*$B53),".")</f>
        <v>0</v>
      </c>
      <c r="CP53" s="34">
        <f>IFERROR(s_RadSpec!$J$5*(CP$5*$B53),".")</f>
        <v>0</v>
      </c>
      <c r="CQ53" s="34">
        <f>IFERROR(s_RadSpec!$J$5*(CQ$5*$B53),".")</f>
        <v>0</v>
      </c>
      <c r="CR53" s="34">
        <f>IFERROR(s_RadSpec!$J$5*(CR$5*$B53),".")</f>
        <v>0</v>
      </c>
      <c r="CS53" s="34">
        <f>IFERROR(s_RadSpec!$J$5*(CS$5*$B53),".")</f>
        <v>0</v>
      </c>
      <c r="CT53" s="34">
        <f>IFERROR(s_RadSpec!$J$5*(CT$5*$B53),".")</f>
        <v>0</v>
      </c>
      <c r="CU53" s="34">
        <f>IFERROR(s_RadSpec!$J$5*(CU$5*$B53),".")</f>
        <v>0</v>
      </c>
      <c r="CV53" s="34">
        <f>IFERROR(s_RadSpec!$J$5*(CV$5*$B53),".")</f>
        <v>0</v>
      </c>
      <c r="CW53" s="34">
        <f>IFERROR(s_RadSpec!$J$5*(CW$5*$B53),".")</f>
        <v>0</v>
      </c>
      <c r="CX53" s="34">
        <f>IFERROR(s_RadSpec!$J$5*(CX$5*$B53),".")</f>
        <v>0</v>
      </c>
    </row>
    <row r="54" spans="1:102" s="3" customFormat="1" x14ac:dyDescent="0.25">
      <c r="A54" s="55" t="s">
        <v>1077</v>
      </c>
      <c r="B54" s="3">
        <v>0.99999979999999999</v>
      </c>
      <c r="C54" s="42">
        <f t="shared" ref="C54:AA54" si="122">IFERROR(C9/$B54,0)</f>
        <v>63318.96325229427</v>
      </c>
      <c r="D54" s="42">
        <f t="shared" si="122"/>
        <v>189956.88975688283</v>
      </c>
      <c r="E54" s="42">
        <f t="shared" si="122"/>
        <v>189956.88975688283</v>
      </c>
      <c r="F54" s="42">
        <f t="shared" si="122"/>
        <v>189956.88975688283</v>
      </c>
      <c r="G54" s="42">
        <f t="shared" si="122"/>
        <v>189956.88975688283</v>
      </c>
      <c r="H54" s="42">
        <f t="shared" si="122"/>
        <v>189956.88975688283</v>
      </c>
      <c r="I54" s="42">
        <f t="shared" si="122"/>
        <v>189956.88975688283</v>
      </c>
      <c r="J54" s="42">
        <f t="shared" si="122"/>
        <v>189956.88975688283</v>
      </c>
      <c r="K54" s="42">
        <f t="shared" si="122"/>
        <v>189956.88975688283</v>
      </c>
      <c r="L54" s="42">
        <f t="shared" si="122"/>
        <v>189956.88975688283</v>
      </c>
      <c r="M54" s="42">
        <f t="shared" si="122"/>
        <v>189956.88975688283</v>
      </c>
      <c r="N54" s="42">
        <f t="shared" si="122"/>
        <v>189956.88975688283</v>
      </c>
      <c r="O54" s="42">
        <f t="shared" si="122"/>
        <v>189956.88975688283</v>
      </c>
      <c r="P54" s="42">
        <f t="shared" si="122"/>
        <v>189956.88975688283</v>
      </c>
      <c r="Q54" s="42">
        <f t="shared" si="122"/>
        <v>189956.88975688283</v>
      </c>
      <c r="R54" s="42">
        <f t="shared" si="122"/>
        <v>189956.88975688283</v>
      </c>
      <c r="S54" s="42">
        <f t="shared" si="122"/>
        <v>189956.88975688283</v>
      </c>
      <c r="T54" s="42">
        <f t="shared" si="122"/>
        <v>189956.88975688283</v>
      </c>
      <c r="U54" s="42">
        <f t="shared" si="122"/>
        <v>189956.88975688283</v>
      </c>
      <c r="V54" s="42">
        <f t="shared" si="122"/>
        <v>189956.88975688283</v>
      </c>
      <c r="W54" s="42">
        <f t="shared" si="122"/>
        <v>189956.88975688283</v>
      </c>
      <c r="X54" s="42">
        <f t="shared" si="122"/>
        <v>189956.88975688283</v>
      </c>
      <c r="Y54" s="42">
        <f t="shared" si="122"/>
        <v>189956.88975688283</v>
      </c>
      <c r="Z54" s="42">
        <f t="shared" si="122"/>
        <v>189956.88975688283</v>
      </c>
      <c r="AA54" s="42">
        <f t="shared" si="122"/>
        <v>189956.88975688283</v>
      </c>
      <c r="AB54" s="34">
        <f t="shared" si="33"/>
        <v>3.9482642664864169E-4</v>
      </c>
      <c r="AC54" s="34">
        <f>IFERROR(s_RadSpec!$J$9*(AC$9*$B54),".")</f>
        <v>1.3160880888288056E-4</v>
      </c>
      <c r="AD54" s="34">
        <f>IFERROR(s_RadSpec!$J$9*(AD$9*$B54),".")</f>
        <v>1.3160880888288056E-4</v>
      </c>
      <c r="AE54" s="34">
        <f>IFERROR(s_RadSpec!$J$9*(AE$9*$B54),".")</f>
        <v>1.3160880888288056E-4</v>
      </c>
      <c r="AF54" s="34">
        <f>IFERROR(s_RadSpec!$J$9*(AF$9*$B54),".")</f>
        <v>1.3160880888288056E-4</v>
      </c>
      <c r="AG54" s="34">
        <f>IFERROR(s_RadSpec!$J$9*(AG$9*$B54),".")</f>
        <v>1.3160880888288056E-4</v>
      </c>
      <c r="AH54" s="34">
        <f>IFERROR(s_RadSpec!$J$9*(AH$9*$B54),".")</f>
        <v>1.3160880888288056E-4</v>
      </c>
      <c r="AI54" s="34">
        <f>IFERROR(s_RadSpec!$J$9*(AI$9*$B54),".")</f>
        <v>1.3160880888288056E-4</v>
      </c>
      <c r="AJ54" s="34">
        <f>IFERROR(s_RadSpec!$J$9*(AJ$9*$B54),".")</f>
        <v>1.3160880888288056E-4</v>
      </c>
      <c r="AK54" s="34">
        <f>IFERROR(s_RadSpec!$J$9*(AK$9*$B54),".")</f>
        <v>1.3160880888288056E-4</v>
      </c>
      <c r="AL54" s="34">
        <f>IFERROR(s_RadSpec!$J$9*(AL$9*$B54),".")</f>
        <v>1.3160880888288056E-4</v>
      </c>
      <c r="AM54" s="34">
        <f>IFERROR(s_RadSpec!$J$9*(AM$9*$B54),".")</f>
        <v>1.3160880888288056E-4</v>
      </c>
      <c r="AN54" s="34">
        <f>IFERROR(s_RadSpec!$J$9*(AN$9*$B54),".")</f>
        <v>1.3160880888288056E-4</v>
      </c>
      <c r="AO54" s="34">
        <f>IFERROR(s_RadSpec!$J$9*(AO$9*$B54),".")</f>
        <v>1.3160880888288056E-4</v>
      </c>
      <c r="AP54" s="34">
        <f>IFERROR(s_RadSpec!$J$9*(AP$9*$B54),".")</f>
        <v>1.3160880888288056E-4</v>
      </c>
      <c r="AQ54" s="34">
        <f>IFERROR(s_RadSpec!$J$9*(AQ$9*$B54),".")</f>
        <v>1.3160880888288056E-4</v>
      </c>
      <c r="AR54" s="34">
        <f>IFERROR(s_RadSpec!$J$9*(AR$9*$B54),".")</f>
        <v>1.3160880888288056E-4</v>
      </c>
      <c r="AS54" s="34">
        <f>IFERROR(s_RadSpec!$J$9*(AS$9*$B54),".")</f>
        <v>1.3160880888288056E-4</v>
      </c>
      <c r="AT54" s="34">
        <f>IFERROR(s_RadSpec!$J$9*(AT$9*$B54),".")</f>
        <v>1.3160880888288056E-4</v>
      </c>
      <c r="AU54" s="34">
        <f>IFERROR(s_RadSpec!$J$9*(AU$9*$B54),".")</f>
        <v>1.3160880888288056E-4</v>
      </c>
      <c r="AV54" s="34">
        <f>IFERROR(s_RadSpec!$J$9*(AV$9*$B54),".")</f>
        <v>1.3160880888288056E-4</v>
      </c>
      <c r="AW54" s="34">
        <f>IFERROR(s_RadSpec!$J$9*(AW$9*$B54),".")</f>
        <v>1.3160880888288056E-4</v>
      </c>
      <c r="AX54" s="34">
        <f>IFERROR(s_RadSpec!$J$9*(AX$9*$B54),".")</f>
        <v>1.3160880888288056E-4</v>
      </c>
      <c r="AY54" s="34">
        <f>IFERROR(s_RadSpec!$J$9*(AY$9*$B54),".")</f>
        <v>1.3160880888288056E-4</v>
      </c>
      <c r="AZ54" s="34">
        <f>IFERROR(s_RadSpec!$J$9*(AZ$9*$B54),".")</f>
        <v>1.3160880888288056E-4</v>
      </c>
      <c r="BA54" s="42">
        <f t="shared" ref="BA54:BY54" si="123">IFERROR(BA9/$B54,0)</f>
        <v>63318.96325229427</v>
      </c>
      <c r="BB54" s="42">
        <f t="shared" si="123"/>
        <v>189956.88975688283</v>
      </c>
      <c r="BC54" s="42">
        <f t="shared" si="123"/>
        <v>189956.88975688283</v>
      </c>
      <c r="BD54" s="42">
        <f t="shared" si="123"/>
        <v>189956.88975688283</v>
      </c>
      <c r="BE54" s="42">
        <f t="shared" si="123"/>
        <v>189956.88975688283</v>
      </c>
      <c r="BF54" s="42">
        <f t="shared" si="123"/>
        <v>189956.88975688283</v>
      </c>
      <c r="BG54" s="42">
        <f t="shared" si="123"/>
        <v>189956.88975688283</v>
      </c>
      <c r="BH54" s="42">
        <f t="shared" si="123"/>
        <v>189956.88975688283</v>
      </c>
      <c r="BI54" s="42">
        <f t="shared" si="123"/>
        <v>189956.88975688283</v>
      </c>
      <c r="BJ54" s="42">
        <f t="shared" si="123"/>
        <v>189956.88975688283</v>
      </c>
      <c r="BK54" s="42">
        <f t="shared" si="123"/>
        <v>189956.88975688283</v>
      </c>
      <c r="BL54" s="42">
        <f t="shared" si="123"/>
        <v>189956.88975688283</v>
      </c>
      <c r="BM54" s="42">
        <f t="shared" si="123"/>
        <v>189956.88975688283</v>
      </c>
      <c r="BN54" s="42">
        <f t="shared" si="123"/>
        <v>189956.88975688283</v>
      </c>
      <c r="BO54" s="42">
        <f t="shared" si="123"/>
        <v>189956.88975688283</v>
      </c>
      <c r="BP54" s="42">
        <f t="shared" si="123"/>
        <v>189956.88975688283</v>
      </c>
      <c r="BQ54" s="42">
        <f t="shared" si="123"/>
        <v>189956.88975688283</v>
      </c>
      <c r="BR54" s="42">
        <f t="shared" si="123"/>
        <v>189956.88975688283</v>
      </c>
      <c r="BS54" s="42">
        <f t="shared" si="123"/>
        <v>189956.88975688283</v>
      </c>
      <c r="BT54" s="42">
        <f t="shared" si="123"/>
        <v>189956.88975688283</v>
      </c>
      <c r="BU54" s="42">
        <f t="shared" si="123"/>
        <v>189956.88975688283</v>
      </c>
      <c r="BV54" s="42">
        <f t="shared" si="123"/>
        <v>189956.88975688283</v>
      </c>
      <c r="BW54" s="42">
        <f t="shared" si="123"/>
        <v>189956.88975688283</v>
      </c>
      <c r="BX54" s="42">
        <f t="shared" si="123"/>
        <v>189956.88975688283</v>
      </c>
      <c r="BY54" s="42">
        <f t="shared" si="123"/>
        <v>189956.88975688283</v>
      </c>
      <c r="BZ54" s="34">
        <f t="shared" si="35"/>
        <v>3.9482642664864169E-4</v>
      </c>
      <c r="CA54" s="34">
        <f>IFERROR(s_RadSpec!$J$9*(CA$9*$B54),".")</f>
        <v>1.3160880888288056E-4</v>
      </c>
      <c r="CB54" s="34">
        <f>IFERROR(s_RadSpec!$J$9*(CB$9*$B54),".")</f>
        <v>1.3160880888288056E-4</v>
      </c>
      <c r="CC54" s="34">
        <f>IFERROR(s_RadSpec!$J$9*(CC$9*$B54),".")</f>
        <v>1.3160880888288056E-4</v>
      </c>
      <c r="CD54" s="34">
        <f>IFERROR(s_RadSpec!$J$9*(CD$9*$B54),".")</f>
        <v>1.3160880888288056E-4</v>
      </c>
      <c r="CE54" s="34">
        <f>IFERROR(s_RadSpec!$J$9*(CE$9*$B54),".")</f>
        <v>1.3160880888288056E-4</v>
      </c>
      <c r="CF54" s="34">
        <f>IFERROR(s_RadSpec!$J$9*(CF$9*$B54),".")</f>
        <v>1.3160880888288056E-4</v>
      </c>
      <c r="CG54" s="34">
        <f>IFERROR(s_RadSpec!$J$9*(CG$9*$B54),".")</f>
        <v>1.3160880888288056E-4</v>
      </c>
      <c r="CH54" s="34">
        <f>IFERROR(s_RadSpec!$J$9*(CH$9*$B54),".")</f>
        <v>1.3160880888288056E-4</v>
      </c>
      <c r="CI54" s="34">
        <f>IFERROR(s_RadSpec!$J$9*(CI$9*$B54),".")</f>
        <v>1.3160880888288056E-4</v>
      </c>
      <c r="CJ54" s="34">
        <f>IFERROR(s_RadSpec!$J$9*(CJ$9*$B54),".")</f>
        <v>1.3160880888288056E-4</v>
      </c>
      <c r="CK54" s="34">
        <f>IFERROR(s_RadSpec!$J$9*(CK$9*$B54),".")</f>
        <v>1.3160880888288056E-4</v>
      </c>
      <c r="CL54" s="34">
        <f>IFERROR(s_RadSpec!$J$9*(CL$9*$B54),".")</f>
        <v>1.3160880888288056E-4</v>
      </c>
      <c r="CM54" s="34">
        <f>IFERROR(s_RadSpec!$J$9*(CM$9*$B54),".")</f>
        <v>1.3160880888288056E-4</v>
      </c>
      <c r="CN54" s="34">
        <f>IFERROR(s_RadSpec!$J$9*(CN$9*$B54),".")</f>
        <v>1.3160880888288056E-4</v>
      </c>
      <c r="CO54" s="34">
        <f>IFERROR(s_RadSpec!$J$9*(CO$9*$B54),".")</f>
        <v>1.3160880888288056E-4</v>
      </c>
      <c r="CP54" s="34">
        <f>IFERROR(s_RadSpec!$J$9*(CP$9*$B54),".")</f>
        <v>1.3160880888288056E-4</v>
      </c>
      <c r="CQ54" s="34">
        <f>IFERROR(s_RadSpec!$J$9*(CQ$9*$B54),".")</f>
        <v>1.3160880888288056E-4</v>
      </c>
      <c r="CR54" s="34">
        <f>IFERROR(s_RadSpec!$J$9*(CR$9*$B54),".")</f>
        <v>1.3160880888288056E-4</v>
      </c>
      <c r="CS54" s="34">
        <f>IFERROR(s_RadSpec!$J$9*(CS$9*$B54),".")</f>
        <v>1.3160880888288056E-4</v>
      </c>
      <c r="CT54" s="34">
        <f>IFERROR(s_RadSpec!$J$9*(CT$9*$B54),".")</f>
        <v>1.3160880888288056E-4</v>
      </c>
      <c r="CU54" s="34">
        <f>IFERROR(s_RadSpec!$J$9*(CU$9*$B54),".")</f>
        <v>1.3160880888288056E-4</v>
      </c>
      <c r="CV54" s="34">
        <f>IFERROR(s_RadSpec!$J$9*(CV$9*$B54),".")</f>
        <v>1.3160880888288056E-4</v>
      </c>
      <c r="CW54" s="34">
        <f>IFERROR(s_RadSpec!$J$9*(CW$9*$B54),".")</f>
        <v>1.3160880888288056E-4</v>
      </c>
      <c r="CX54" s="34">
        <f>IFERROR(s_RadSpec!$J$9*(CX$9*$B54),".")</f>
        <v>1.3160880888288056E-4</v>
      </c>
    </row>
    <row r="55" spans="1:102" s="3" customFormat="1" x14ac:dyDescent="0.25">
      <c r="A55" s="55" t="s">
        <v>1078</v>
      </c>
      <c r="B55" s="3">
        <v>1.9999999999999999E-7</v>
      </c>
      <c r="C55" s="42">
        <f t="shared" ref="C55:AA55" si="124">IFERROR(C24/$B55,0)</f>
        <v>0</v>
      </c>
      <c r="D55" s="42">
        <f t="shared" si="124"/>
        <v>0</v>
      </c>
      <c r="E55" s="42">
        <f t="shared" si="124"/>
        <v>0</v>
      </c>
      <c r="F55" s="42">
        <f t="shared" si="124"/>
        <v>0</v>
      </c>
      <c r="G55" s="42">
        <f t="shared" si="124"/>
        <v>0</v>
      </c>
      <c r="H55" s="42">
        <f t="shared" si="124"/>
        <v>0</v>
      </c>
      <c r="I55" s="42">
        <f t="shared" si="124"/>
        <v>0</v>
      </c>
      <c r="J55" s="42">
        <f t="shared" si="124"/>
        <v>0</v>
      </c>
      <c r="K55" s="42">
        <f t="shared" si="124"/>
        <v>0</v>
      </c>
      <c r="L55" s="42">
        <f t="shared" si="124"/>
        <v>0</v>
      </c>
      <c r="M55" s="42">
        <f t="shared" si="124"/>
        <v>0</v>
      </c>
      <c r="N55" s="42">
        <f t="shared" si="124"/>
        <v>0</v>
      </c>
      <c r="O55" s="42">
        <f t="shared" si="124"/>
        <v>0</v>
      </c>
      <c r="P55" s="42">
        <f t="shared" si="124"/>
        <v>0</v>
      </c>
      <c r="Q55" s="42">
        <f t="shared" si="124"/>
        <v>0</v>
      </c>
      <c r="R55" s="42">
        <f t="shared" si="124"/>
        <v>0</v>
      </c>
      <c r="S55" s="42">
        <f t="shared" si="124"/>
        <v>0</v>
      </c>
      <c r="T55" s="42">
        <f t="shared" si="124"/>
        <v>0</v>
      </c>
      <c r="U55" s="42">
        <f t="shared" si="124"/>
        <v>0</v>
      </c>
      <c r="V55" s="42">
        <f t="shared" si="124"/>
        <v>0</v>
      </c>
      <c r="W55" s="42">
        <f t="shared" si="124"/>
        <v>0</v>
      </c>
      <c r="X55" s="42">
        <f t="shared" si="124"/>
        <v>0</v>
      </c>
      <c r="Y55" s="42">
        <f t="shared" si="124"/>
        <v>0</v>
      </c>
      <c r="Z55" s="42">
        <f t="shared" si="124"/>
        <v>0</v>
      </c>
      <c r="AA55" s="42">
        <f t="shared" si="124"/>
        <v>0</v>
      </c>
      <c r="AB55" s="34">
        <f t="shared" si="33"/>
        <v>0</v>
      </c>
      <c r="AC55" s="34" t="str">
        <f>IFERROR(s_RadSpec!$J$24*(AC$24*$B55),".")</f>
        <v>.</v>
      </c>
      <c r="AD55" s="34" t="str">
        <f>IFERROR(s_RadSpec!$J$24*(AD$24*$B55),".")</f>
        <v>.</v>
      </c>
      <c r="AE55" s="34" t="str">
        <f>IFERROR(s_RadSpec!$J$24*(AE$24*$B55),".")</f>
        <v>.</v>
      </c>
      <c r="AF55" s="34" t="str">
        <f>IFERROR(s_RadSpec!$J$24*(AF$24*$B55),".")</f>
        <v>.</v>
      </c>
      <c r="AG55" s="34" t="str">
        <f>IFERROR(s_RadSpec!$J$24*(AG$24*$B55),".")</f>
        <v>.</v>
      </c>
      <c r="AH55" s="34" t="str">
        <f>IFERROR(s_RadSpec!$J$24*(AH$24*$B55),".")</f>
        <v>.</v>
      </c>
      <c r="AI55" s="34" t="str">
        <f>IFERROR(s_RadSpec!$J$24*(AI$24*$B55),".")</f>
        <v>.</v>
      </c>
      <c r="AJ55" s="34" t="str">
        <f>IFERROR(s_RadSpec!$J$24*(AJ$24*$B55),".")</f>
        <v>.</v>
      </c>
      <c r="AK55" s="34" t="str">
        <f>IFERROR(s_RadSpec!$J$24*(AK$24*$B55),".")</f>
        <v>.</v>
      </c>
      <c r="AL55" s="34" t="str">
        <f>IFERROR(s_RadSpec!$J$24*(AL$24*$B55),".")</f>
        <v>.</v>
      </c>
      <c r="AM55" s="34" t="str">
        <f>IFERROR(s_RadSpec!$J$24*(AM$24*$B55),".")</f>
        <v>.</v>
      </c>
      <c r="AN55" s="34" t="str">
        <f>IFERROR(s_RadSpec!$J$24*(AN$24*$B55),".")</f>
        <v>.</v>
      </c>
      <c r="AO55" s="34" t="str">
        <f>IFERROR(s_RadSpec!$J$24*(AO$24*$B55),".")</f>
        <v>.</v>
      </c>
      <c r="AP55" s="34" t="str">
        <f>IFERROR(s_RadSpec!$J$24*(AP$24*$B55),".")</f>
        <v>.</v>
      </c>
      <c r="AQ55" s="34" t="str">
        <f>IFERROR(s_RadSpec!$J$24*(AQ$24*$B55),".")</f>
        <v>.</v>
      </c>
      <c r="AR55" s="34" t="str">
        <f>IFERROR(s_RadSpec!$J$24*(AR$24*$B55),".")</f>
        <v>.</v>
      </c>
      <c r="AS55" s="34" t="str">
        <f>IFERROR(s_RadSpec!$J$24*(AS$24*$B55),".")</f>
        <v>.</v>
      </c>
      <c r="AT55" s="34" t="str">
        <f>IFERROR(s_RadSpec!$J$24*(AT$24*$B55),".")</f>
        <v>.</v>
      </c>
      <c r="AU55" s="34" t="str">
        <f>IFERROR(s_RadSpec!$J$24*(AU$24*$B55),".")</f>
        <v>.</v>
      </c>
      <c r="AV55" s="34" t="str">
        <f>IFERROR(s_RadSpec!$J$24*(AV$24*$B55),".")</f>
        <v>.</v>
      </c>
      <c r="AW55" s="34" t="str">
        <f>IFERROR(s_RadSpec!$J$24*(AW$24*$B55),".")</f>
        <v>.</v>
      </c>
      <c r="AX55" s="34" t="str">
        <f>IFERROR(s_RadSpec!$J$24*(AX$24*$B55),".")</f>
        <v>.</v>
      </c>
      <c r="AY55" s="34" t="str">
        <f>IFERROR(s_RadSpec!$J$24*(AY$24*$B55),".")</f>
        <v>.</v>
      </c>
      <c r="AZ55" s="34" t="str">
        <f>IFERROR(s_RadSpec!$J$24*(AZ$24*$B55),".")</f>
        <v>.</v>
      </c>
      <c r="BA55" s="42">
        <f t="shared" ref="BA55:BY55" si="125">IFERROR(BA24/$B55,0)</f>
        <v>0</v>
      </c>
      <c r="BB55" s="42">
        <f t="shared" si="125"/>
        <v>0</v>
      </c>
      <c r="BC55" s="42">
        <f t="shared" si="125"/>
        <v>0</v>
      </c>
      <c r="BD55" s="42">
        <f t="shared" si="125"/>
        <v>0</v>
      </c>
      <c r="BE55" s="42">
        <f t="shared" si="125"/>
        <v>0</v>
      </c>
      <c r="BF55" s="42">
        <f t="shared" si="125"/>
        <v>0</v>
      </c>
      <c r="BG55" s="42">
        <f t="shared" si="125"/>
        <v>0</v>
      </c>
      <c r="BH55" s="42">
        <f t="shared" si="125"/>
        <v>0</v>
      </c>
      <c r="BI55" s="42">
        <f t="shared" si="125"/>
        <v>0</v>
      </c>
      <c r="BJ55" s="42">
        <f t="shared" si="125"/>
        <v>0</v>
      </c>
      <c r="BK55" s="42">
        <f t="shared" si="125"/>
        <v>0</v>
      </c>
      <c r="BL55" s="42">
        <f t="shared" si="125"/>
        <v>0</v>
      </c>
      <c r="BM55" s="42">
        <f t="shared" si="125"/>
        <v>0</v>
      </c>
      <c r="BN55" s="42">
        <f t="shared" si="125"/>
        <v>0</v>
      </c>
      <c r="BO55" s="42">
        <f t="shared" si="125"/>
        <v>0</v>
      </c>
      <c r="BP55" s="42">
        <f t="shared" si="125"/>
        <v>0</v>
      </c>
      <c r="BQ55" s="42">
        <f t="shared" si="125"/>
        <v>0</v>
      </c>
      <c r="BR55" s="42">
        <f t="shared" si="125"/>
        <v>0</v>
      </c>
      <c r="BS55" s="42">
        <f t="shared" si="125"/>
        <v>0</v>
      </c>
      <c r="BT55" s="42">
        <f t="shared" si="125"/>
        <v>0</v>
      </c>
      <c r="BU55" s="42">
        <f t="shared" si="125"/>
        <v>0</v>
      </c>
      <c r="BV55" s="42">
        <f t="shared" si="125"/>
        <v>0</v>
      </c>
      <c r="BW55" s="42">
        <f t="shared" si="125"/>
        <v>0</v>
      </c>
      <c r="BX55" s="42">
        <f t="shared" si="125"/>
        <v>0</v>
      </c>
      <c r="BY55" s="42">
        <f t="shared" si="125"/>
        <v>0</v>
      </c>
      <c r="BZ55" s="34">
        <f t="shared" si="35"/>
        <v>0</v>
      </c>
      <c r="CA55" s="34" t="str">
        <f>IFERROR(s_RadSpec!$J$24*(CA$24*$B55),".")</f>
        <v>.</v>
      </c>
      <c r="CB55" s="34" t="str">
        <f>IFERROR(s_RadSpec!$J$24*(CB$24*$B55),".")</f>
        <v>.</v>
      </c>
      <c r="CC55" s="34" t="str">
        <f>IFERROR(s_RadSpec!$J$24*(CC$24*$B55),".")</f>
        <v>.</v>
      </c>
      <c r="CD55" s="34" t="str">
        <f>IFERROR(s_RadSpec!$J$24*(CD$24*$B55),".")</f>
        <v>.</v>
      </c>
      <c r="CE55" s="34" t="str">
        <f>IFERROR(s_RadSpec!$J$24*(CE$24*$B55),".")</f>
        <v>.</v>
      </c>
      <c r="CF55" s="34" t="str">
        <f>IFERROR(s_RadSpec!$J$24*(CF$24*$B55),".")</f>
        <v>.</v>
      </c>
      <c r="CG55" s="34" t="str">
        <f>IFERROR(s_RadSpec!$J$24*(CG$24*$B55),".")</f>
        <v>.</v>
      </c>
      <c r="CH55" s="34" t="str">
        <f>IFERROR(s_RadSpec!$J$24*(CH$24*$B55),".")</f>
        <v>.</v>
      </c>
      <c r="CI55" s="34" t="str">
        <f>IFERROR(s_RadSpec!$J$24*(CI$24*$B55),".")</f>
        <v>.</v>
      </c>
      <c r="CJ55" s="34" t="str">
        <f>IFERROR(s_RadSpec!$J$24*(CJ$24*$B55),".")</f>
        <v>.</v>
      </c>
      <c r="CK55" s="34" t="str">
        <f>IFERROR(s_RadSpec!$J$24*(CK$24*$B55),".")</f>
        <v>.</v>
      </c>
      <c r="CL55" s="34" t="str">
        <f>IFERROR(s_RadSpec!$J$24*(CL$24*$B55),".")</f>
        <v>.</v>
      </c>
      <c r="CM55" s="34" t="str">
        <f>IFERROR(s_RadSpec!$J$24*(CM$24*$B55),".")</f>
        <v>.</v>
      </c>
      <c r="CN55" s="34" t="str">
        <f>IFERROR(s_RadSpec!$J$24*(CN$24*$B55),".")</f>
        <v>.</v>
      </c>
      <c r="CO55" s="34" t="str">
        <f>IFERROR(s_RadSpec!$J$24*(CO$24*$B55),".")</f>
        <v>.</v>
      </c>
      <c r="CP55" s="34" t="str">
        <f>IFERROR(s_RadSpec!$J$24*(CP$24*$B55),".")</f>
        <v>.</v>
      </c>
      <c r="CQ55" s="34" t="str">
        <f>IFERROR(s_RadSpec!$J$24*(CQ$24*$B55),".")</f>
        <v>.</v>
      </c>
      <c r="CR55" s="34" t="str">
        <f>IFERROR(s_RadSpec!$J$24*(CR$24*$B55),".")</f>
        <v>.</v>
      </c>
      <c r="CS55" s="34" t="str">
        <f>IFERROR(s_RadSpec!$J$24*(CS$24*$B55),".")</f>
        <v>.</v>
      </c>
      <c r="CT55" s="34" t="str">
        <f>IFERROR(s_RadSpec!$J$24*(CT$24*$B55),".")</f>
        <v>.</v>
      </c>
      <c r="CU55" s="34" t="str">
        <f>IFERROR(s_RadSpec!$J$24*(CU$24*$B55),".")</f>
        <v>.</v>
      </c>
      <c r="CV55" s="34" t="str">
        <f>IFERROR(s_RadSpec!$J$24*(CV$24*$B55),".")</f>
        <v>.</v>
      </c>
      <c r="CW55" s="34" t="str">
        <f>IFERROR(s_RadSpec!$J$24*(CW$24*$B55),".")</f>
        <v>.</v>
      </c>
      <c r="CX55" s="34" t="str">
        <f>IFERROR(s_RadSpec!$J$24*(CX$24*$B55),".")</f>
        <v>.</v>
      </c>
    </row>
    <row r="56" spans="1:102" s="3" customFormat="1" x14ac:dyDescent="0.25">
      <c r="A56" s="55" t="s">
        <v>1079</v>
      </c>
      <c r="B56" s="3">
        <v>0.99979000004200003</v>
      </c>
      <c r="C56" s="42">
        <f t="shared" ref="C56:AA56" si="126">IFERROR(C20/$B56,0)</f>
        <v>0</v>
      </c>
      <c r="D56" s="42">
        <f t="shared" si="126"/>
        <v>0</v>
      </c>
      <c r="E56" s="42">
        <f t="shared" si="126"/>
        <v>0</v>
      </c>
      <c r="F56" s="42">
        <f t="shared" si="126"/>
        <v>0</v>
      </c>
      <c r="G56" s="42">
        <f t="shared" si="126"/>
        <v>0</v>
      </c>
      <c r="H56" s="42">
        <f t="shared" si="126"/>
        <v>0</v>
      </c>
      <c r="I56" s="42">
        <f t="shared" si="126"/>
        <v>0</v>
      </c>
      <c r="J56" s="42">
        <f t="shared" si="126"/>
        <v>0</v>
      </c>
      <c r="K56" s="42">
        <f t="shared" si="126"/>
        <v>0</v>
      </c>
      <c r="L56" s="42">
        <f t="shared" si="126"/>
        <v>0</v>
      </c>
      <c r="M56" s="42">
        <f t="shared" si="126"/>
        <v>0</v>
      </c>
      <c r="N56" s="42">
        <f t="shared" si="126"/>
        <v>0</v>
      </c>
      <c r="O56" s="42">
        <f t="shared" si="126"/>
        <v>0</v>
      </c>
      <c r="P56" s="42">
        <f t="shared" si="126"/>
        <v>0</v>
      </c>
      <c r="Q56" s="42">
        <f t="shared" si="126"/>
        <v>0</v>
      </c>
      <c r="R56" s="42">
        <f t="shared" si="126"/>
        <v>0</v>
      </c>
      <c r="S56" s="42">
        <f t="shared" si="126"/>
        <v>0</v>
      </c>
      <c r="T56" s="42">
        <f t="shared" si="126"/>
        <v>0</v>
      </c>
      <c r="U56" s="42">
        <f t="shared" si="126"/>
        <v>0</v>
      </c>
      <c r="V56" s="42">
        <f t="shared" si="126"/>
        <v>0</v>
      </c>
      <c r="W56" s="42">
        <f t="shared" si="126"/>
        <v>0</v>
      </c>
      <c r="X56" s="42">
        <f t="shared" si="126"/>
        <v>0</v>
      </c>
      <c r="Y56" s="42">
        <f t="shared" si="126"/>
        <v>0</v>
      </c>
      <c r="Z56" s="42">
        <f t="shared" si="126"/>
        <v>0</v>
      </c>
      <c r="AA56" s="42">
        <f t="shared" si="126"/>
        <v>0</v>
      </c>
      <c r="AB56" s="34">
        <f t="shared" si="33"/>
        <v>0</v>
      </c>
      <c r="AC56" s="34">
        <f>IFERROR(s_RadSpec!$J$20*(AC$20*$B56),".")</f>
        <v>0</v>
      </c>
      <c r="AD56" s="34">
        <f>IFERROR(s_RadSpec!$J$20*(AD$20*$B56),".")</f>
        <v>0</v>
      </c>
      <c r="AE56" s="34">
        <f>IFERROR(s_RadSpec!$J$20*(AE$20*$B56),".")</f>
        <v>0</v>
      </c>
      <c r="AF56" s="34">
        <f>IFERROR(s_RadSpec!$J$20*(AF$20*$B56),".")</f>
        <v>0</v>
      </c>
      <c r="AG56" s="34">
        <f>IFERROR(s_RadSpec!$J$20*(AG$20*$B56),".")</f>
        <v>0</v>
      </c>
      <c r="AH56" s="34">
        <f>IFERROR(s_RadSpec!$J$20*(AH$20*$B56),".")</f>
        <v>0</v>
      </c>
      <c r="AI56" s="34">
        <f>IFERROR(s_RadSpec!$J$20*(AI$20*$B56),".")</f>
        <v>0</v>
      </c>
      <c r="AJ56" s="34">
        <f>IFERROR(s_RadSpec!$J$20*(AJ$20*$B56),".")</f>
        <v>0</v>
      </c>
      <c r="AK56" s="34">
        <f>IFERROR(s_RadSpec!$J$20*(AK$20*$B56),".")</f>
        <v>0</v>
      </c>
      <c r="AL56" s="34">
        <f>IFERROR(s_RadSpec!$J$20*(AL$20*$B56),".")</f>
        <v>0</v>
      </c>
      <c r="AM56" s="34">
        <f>IFERROR(s_RadSpec!$J$20*(AM$20*$B56),".")</f>
        <v>0</v>
      </c>
      <c r="AN56" s="34">
        <f>IFERROR(s_RadSpec!$J$20*(AN$20*$B56),".")</f>
        <v>0</v>
      </c>
      <c r="AO56" s="34">
        <f>IFERROR(s_RadSpec!$J$20*(AO$20*$B56),".")</f>
        <v>0</v>
      </c>
      <c r="AP56" s="34">
        <f>IFERROR(s_RadSpec!$J$20*(AP$20*$B56),".")</f>
        <v>0</v>
      </c>
      <c r="AQ56" s="34">
        <f>IFERROR(s_RadSpec!$J$20*(AQ$20*$B56),".")</f>
        <v>0</v>
      </c>
      <c r="AR56" s="34">
        <f>IFERROR(s_RadSpec!$J$20*(AR$20*$B56),".")</f>
        <v>0</v>
      </c>
      <c r="AS56" s="34">
        <f>IFERROR(s_RadSpec!$J$20*(AS$20*$B56),".")</f>
        <v>0</v>
      </c>
      <c r="AT56" s="34">
        <f>IFERROR(s_RadSpec!$J$20*(AT$20*$B56),".")</f>
        <v>0</v>
      </c>
      <c r="AU56" s="34">
        <f>IFERROR(s_RadSpec!$J$20*(AU$20*$B56),".")</f>
        <v>0</v>
      </c>
      <c r="AV56" s="34">
        <f>IFERROR(s_RadSpec!$J$20*(AV$20*$B56),".")</f>
        <v>0</v>
      </c>
      <c r="AW56" s="34">
        <f>IFERROR(s_RadSpec!$J$20*(AW$20*$B56),".")</f>
        <v>0</v>
      </c>
      <c r="AX56" s="34">
        <f>IFERROR(s_RadSpec!$J$20*(AX$20*$B56),".")</f>
        <v>0</v>
      </c>
      <c r="AY56" s="34">
        <f>IFERROR(s_RadSpec!$J$20*(AY$20*$B56),".")</f>
        <v>0</v>
      </c>
      <c r="AZ56" s="34">
        <f>IFERROR(s_RadSpec!$J$20*(AZ$20*$B56),".")</f>
        <v>0</v>
      </c>
      <c r="BA56" s="42">
        <f t="shared" ref="BA56:BY56" si="127">IFERROR(BA20/$B56,0)</f>
        <v>0</v>
      </c>
      <c r="BB56" s="42">
        <f t="shared" si="127"/>
        <v>0</v>
      </c>
      <c r="BC56" s="42">
        <f t="shared" si="127"/>
        <v>0</v>
      </c>
      <c r="BD56" s="42">
        <f t="shared" si="127"/>
        <v>0</v>
      </c>
      <c r="BE56" s="42">
        <f t="shared" si="127"/>
        <v>0</v>
      </c>
      <c r="BF56" s="42">
        <f t="shared" si="127"/>
        <v>0</v>
      </c>
      <c r="BG56" s="42">
        <f t="shared" si="127"/>
        <v>0</v>
      </c>
      <c r="BH56" s="42">
        <f t="shared" si="127"/>
        <v>0</v>
      </c>
      <c r="BI56" s="42">
        <f t="shared" si="127"/>
        <v>0</v>
      </c>
      <c r="BJ56" s="42">
        <f t="shared" si="127"/>
        <v>0</v>
      </c>
      <c r="BK56" s="42">
        <f t="shared" si="127"/>
        <v>0</v>
      </c>
      <c r="BL56" s="42">
        <f t="shared" si="127"/>
        <v>0</v>
      </c>
      <c r="BM56" s="42">
        <f t="shared" si="127"/>
        <v>0</v>
      </c>
      <c r="BN56" s="42">
        <f t="shared" si="127"/>
        <v>0</v>
      </c>
      <c r="BO56" s="42">
        <f t="shared" si="127"/>
        <v>0</v>
      </c>
      <c r="BP56" s="42">
        <f t="shared" si="127"/>
        <v>0</v>
      </c>
      <c r="BQ56" s="42">
        <f t="shared" si="127"/>
        <v>0</v>
      </c>
      <c r="BR56" s="42">
        <f t="shared" si="127"/>
        <v>0</v>
      </c>
      <c r="BS56" s="42">
        <f t="shared" si="127"/>
        <v>0</v>
      </c>
      <c r="BT56" s="42">
        <f t="shared" si="127"/>
        <v>0</v>
      </c>
      <c r="BU56" s="42">
        <f t="shared" si="127"/>
        <v>0</v>
      </c>
      <c r="BV56" s="42">
        <f t="shared" si="127"/>
        <v>0</v>
      </c>
      <c r="BW56" s="42">
        <f t="shared" si="127"/>
        <v>0</v>
      </c>
      <c r="BX56" s="42">
        <f t="shared" si="127"/>
        <v>0</v>
      </c>
      <c r="BY56" s="42">
        <f t="shared" si="127"/>
        <v>0</v>
      </c>
      <c r="BZ56" s="34">
        <f t="shared" si="35"/>
        <v>0</v>
      </c>
      <c r="CA56" s="34">
        <f>IFERROR(s_RadSpec!$J$20*(CA$20*$B56),".")</f>
        <v>0</v>
      </c>
      <c r="CB56" s="34">
        <f>IFERROR(s_RadSpec!$J$20*(CB$20*$B56),".")</f>
        <v>0</v>
      </c>
      <c r="CC56" s="34">
        <f>IFERROR(s_RadSpec!$J$20*(CC$20*$B56),".")</f>
        <v>0</v>
      </c>
      <c r="CD56" s="34">
        <f>IFERROR(s_RadSpec!$J$20*(CD$20*$B56),".")</f>
        <v>0</v>
      </c>
      <c r="CE56" s="34">
        <f>IFERROR(s_RadSpec!$J$20*(CE$20*$B56),".")</f>
        <v>0</v>
      </c>
      <c r="CF56" s="34">
        <f>IFERROR(s_RadSpec!$J$20*(CF$20*$B56),".")</f>
        <v>0</v>
      </c>
      <c r="CG56" s="34">
        <f>IFERROR(s_RadSpec!$J$20*(CG$20*$B56),".")</f>
        <v>0</v>
      </c>
      <c r="CH56" s="34">
        <f>IFERROR(s_RadSpec!$J$20*(CH$20*$B56),".")</f>
        <v>0</v>
      </c>
      <c r="CI56" s="34">
        <f>IFERROR(s_RadSpec!$J$20*(CI$20*$B56),".")</f>
        <v>0</v>
      </c>
      <c r="CJ56" s="34">
        <f>IFERROR(s_RadSpec!$J$20*(CJ$20*$B56),".")</f>
        <v>0</v>
      </c>
      <c r="CK56" s="34">
        <f>IFERROR(s_RadSpec!$J$20*(CK$20*$B56),".")</f>
        <v>0</v>
      </c>
      <c r="CL56" s="34">
        <f>IFERROR(s_RadSpec!$J$20*(CL$20*$B56),".")</f>
        <v>0</v>
      </c>
      <c r="CM56" s="34">
        <f>IFERROR(s_RadSpec!$J$20*(CM$20*$B56),".")</f>
        <v>0</v>
      </c>
      <c r="CN56" s="34">
        <f>IFERROR(s_RadSpec!$J$20*(CN$20*$B56),".")</f>
        <v>0</v>
      </c>
      <c r="CO56" s="34">
        <f>IFERROR(s_RadSpec!$J$20*(CO$20*$B56),".")</f>
        <v>0</v>
      </c>
      <c r="CP56" s="34">
        <f>IFERROR(s_RadSpec!$J$20*(CP$20*$B56),".")</f>
        <v>0</v>
      </c>
      <c r="CQ56" s="34">
        <f>IFERROR(s_RadSpec!$J$20*(CQ$20*$B56),".")</f>
        <v>0</v>
      </c>
      <c r="CR56" s="34">
        <f>IFERROR(s_RadSpec!$J$20*(CR$20*$B56),".")</f>
        <v>0</v>
      </c>
      <c r="CS56" s="34">
        <f>IFERROR(s_RadSpec!$J$20*(CS$20*$B56),".")</f>
        <v>0</v>
      </c>
      <c r="CT56" s="34">
        <f>IFERROR(s_RadSpec!$J$20*(CT$20*$B56),".")</f>
        <v>0</v>
      </c>
      <c r="CU56" s="34">
        <f>IFERROR(s_RadSpec!$J$20*(CU$20*$B56),".")</f>
        <v>0</v>
      </c>
      <c r="CV56" s="34">
        <f>IFERROR(s_RadSpec!$J$20*(CV$20*$B56),".")</f>
        <v>0</v>
      </c>
      <c r="CW56" s="34">
        <f>IFERROR(s_RadSpec!$J$20*(CW$20*$B56),".")</f>
        <v>0</v>
      </c>
      <c r="CX56" s="34">
        <f>IFERROR(s_RadSpec!$J$20*(CX$20*$B56),".")</f>
        <v>0</v>
      </c>
    </row>
    <row r="57" spans="1:102" s="3" customFormat="1" x14ac:dyDescent="0.25">
      <c r="A57" s="55" t="s">
        <v>1080</v>
      </c>
      <c r="B57" s="3">
        <v>2.0999995799999999E-4</v>
      </c>
      <c r="C57" s="42">
        <f t="shared" ref="C57:AA57" si="128">IFERROR(C29/$B57,0)</f>
        <v>0</v>
      </c>
      <c r="D57" s="42">
        <f t="shared" si="128"/>
        <v>0</v>
      </c>
      <c r="E57" s="42">
        <f t="shared" si="128"/>
        <v>0</v>
      </c>
      <c r="F57" s="42">
        <f t="shared" si="128"/>
        <v>0</v>
      </c>
      <c r="G57" s="42">
        <f t="shared" si="128"/>
        <v>0</v>
      </c>
      <c r="H57" s="42">
        <f t="shared" si="128"/>
        <v>0</v>
      </c>
      <c r="I57" s="42">
        <f t="shared" si="128"/>
        <v>0</v>
      </c>
      <c r="J57" s="42">
        <f t="shared" si="128"/>
        <v>0</v>
      </c>
      <c r="K57" s="42">
        <f t="shared" si="128"/>
        <v>0</v>
      </c>
      <c r="L57" s="42">
        <f t="shared" si="128"/>
        <v>0</v>
      </c>
      <c r="M57" s="42">
        <f t="shared" si="128"/>
        <v>0</v>
      </c>
      <c r="N57" s="42">
        <f t="shared" si="128"/>
        <v>0</v>
      </c>
      <c r="O57" s="42">
        <f t="shared" si="128"/>
        <v>0</v>
      </c>
      <c r="P57" s="42">
        <f t="shared" si="128"/>
        <v>0</v>
      </c>
      <c r="Q57" s="42">
        <f t="shared" si="128"/>
        <v>0</v>
      </c>
      <c r="R57" s="42">
        <f t="shared" si="128"/>
        <v>0</v>
      </c>
      <c r="S57" s="42">
        <f t="shared" si="128"/>
        <v>0</v>
      </c>
      <c r="T57" s="42">
        <f t="shared" si="128"/>
        <v>0</v>
      </c>
      <c r="U57" s="42">
        <f t="shared" si="128"/>
        <v>0</v>
      </c>
      <c r="V57" s="42">
        <f t="shared" si="128"/>
        <v>0</v>
      </c>
      <c r="W57" s="42">
        <f t="shared" si="128"/>
        <v>0</v>
      </c>
      <c r="X57" s="42">
        <f t="shared" si="128"/>
        <v>0</v>
      </c>
      <c r="Y57" s="42">
        <f t="shared" si="128"/>
        <v>0</v>
      </c>
      <c r="Z57" s="42">
        <f t="shared" si="128"/>
        <v>0</v>
      </c>
      <c r="AA57" s="42">
        <f t="shared" si="128"/>
        <v>0</v>
      </c>
      <c r="AB57" s="34">
        <f t="shared" si="33"/>
        <v>0</v>
      </c>
      <c r="AC57" s="34">
        <f>IFERROR(s_RadSpec!$J$29*(AC$29*$B57),".")</f>
        <v>0</v>
      </c>
      <c r="AD57" s="34">
        <f>IFERROR(s_RadSpec!$J$29*(AD$29*$B57),".")</f>
        <v>0</v>
      </c>
      <c r="AE57" s="34">
        <f>IFERROR(s_RadSpec!$J$29*(AE$29*$B57),".")</f>
        <v>0</v>
      </c>
      <c r="AF57" s="34">
        <f>IFERROR(s_RadSpec!$J$29*(AF$29*$B57),".")</f>
        <v>0</v>
      </c>
      <c r="AG57" s="34">
        <f>IFERROR(s_RadSpec!$J$29*(AG$29*$B57),".")</f>
        <v>0</v>
      </c>
      <c r="AH57" s="34">
        <f>IFERROR(s_RadSpec!$J$29*(AH$29*$B57),".")</f>
        <v>0</v>
      </c>
      <c r="AI57" s="34">
        <f>IFERROR(s_RadSpec!$J$29*(AI$29*$B57),".")</f>
        <v>0</v>
      </c>
      <c r="AJ57" s="34">
        <f>IFERROR(s_RadSpec!$J$29*(AJ$29*$B57),".")</f>
        <v>0</v>
      </c>
      <c r="AK57" s="34">
        <f>IFERROR(s_RadSpec!$J$29*(AK$29*$B57),".")</f>
        <v>0</v>
      </c>
      <c r="AL57" s="34">
        <f>IFERROR(s_RadSpec!$J$29*(AL$29*$B57),".")</f>
        <v>0</v>
      </c>
      <c r="AM57" s="34">
        <f>IFERROR(s_RadSpec!$J$29*(AM$29*$B57),".")</f>
        <v>0</v>
      </c>
      <c r="AN57" s="34">
        <f>IFERROR(s_RadSpec!$J$29*(AN$29*$B57),".")</f>
        <v>0</v>
      </c>
      <c r="AO57" s="34">
        <f>IFERROR(s_RadSpec!$J$29*(AO$29*$B57),".")</f>
        <v>0</v>
      </c>
      <c r="AP57" s="34">
        <f>IFERROR(s_RadSpec!$J$29*(AP$29*$B57),".")</f>
        <v>0</v>
      </c>
      <c r="AQ57" s="34">
        <f>IFERROR(s_RadSpec!$J$29*(AQ$29*$B57),".")</f>
        <v>0</v>
      </c>
      <c r="AR57" s="34">
        <f>IFERROR(s_RadSpec!$J$29*(AR$29*$B57),".")</f>
        <v>0</v>
      </c>
      <c r="AS57" s="34">
        <f>IFERROR(s_RadSpec!$J$29*(AS$29*$B57),".")</f>
        <v>0</v>
      </c>
      <c r="AT57" s="34">
        <f>IFERROR(s_RadSpec!$J$29*(AT$29*$B57),".")</f>
        <v>0</v>
      </c>
      <c r="AU57" s="34">
        <f>IFERROR(s_RadSpec!$J$29*(AU$29*$B57),".")</f>
        <v>0</v>
      </c>
      <c r="AV57" s="34">
        <f>IFERROR(s_RadSpec!$J$29*(AV$29*$B57),".")</f>
        <v>0</v>
      </c>
      <c r="AW57" s="34">
        <f>IFERROR(s_RadSpec!$J$29*(AW$29*$B57),".")</f>
        <v>0</v>
      </c>
      <c r="AX57" s="34">
        <f>IFERROR(s_RadSpec!$J$29*(AX$29*$B57),".")</f>
        <v>0</v>
      </c>
      <c r="AY57" s="34">
        <f>IFERROR(s_RadSpec!$J$29*(AY$29*$B57),".")</f>
        <v>0</v>
      </c>
      <c r="AZ57" s="34">
        <f>IFERROR(s_RadSpec!$J$29*(AZ$29*$B57),".")</f>
        <v>0</v>
      </c>
      <c r="BA57" s="42">
        <f t="shared" ref="BA57:BY57" si="129">IFERROR(BA29/$B57,0)</f>
        <v>0</v>
      </c>
      <c r="BB57" s="42">
        <f t="shared" si="129"/>
        <v>0</v>
      </c>
      <c r="BC57" s="42">
        <f t="shared" si="129"/>
        <v>0</v>
      </c>
      <c r="BD57" s="42">
        <f t="shared" si="129"/>
        <v>0</v>
      </c>
      <c r="BE57" s="42">
        <f t="shared" si="129"/>
        <v>0</v>
      </c>
      <c r="BF57" s="42">
        <f t="shared" si="129"/>
        <v>0</v>
      </c>
      <c r="BG57" s="42">
        <f t="shared" si="129"/>
        <v>0</v>
      </c>
      <c r="BH57" s="42">
        <f t="shared" si="129"/>
        <v>0</v>
      </c>
      <c r="BI57" s="42">
        <f t="shared" si="129"/>
        <v>0</v>
      </c>
      <c r="BJ57" s="42">
        <f t="shared" si="129"/>
        <v>0</v>
      </c>
      <c r="BK57" s="42">
        <f t="shared" si="129"/>
        <v>0</v>
      </c>
      <c r="BL57" s="42">
        <f t="shared" si="129"/>
        <v>0</v>
      </c>
      <c r="BM57" s="42">
        <f t="shared" si="129"/>
        <v>0</v>
      </c>
      <c r="BN57" s="42">
        <f t="shared" si="129"/>
        <v>0</v>
      </c>
      <c r="BO57" s="42">
        <f t="shared" si="129"/>
        <v>0</v>
      </c>
      <c r="BP57" s="42">
        <f t="shared" si="129"/>
        <v>0</v>
      </c>
      <c r="BQ57" s="42">
        <f t="shared" si="129"/>
        <v>0</v>
      </c>
      <c r="BR57" s="42">
        <f t="shared" si="129"/>
        <v>0</v>
      </c>
      <c r="BS57" s="42">
        <f t="shared" si="129"/>
        <v>0</v>
      </c>
      <c r="BT57" s="42">
        <f t="shared" si="129"/>
        <v>0</v>
      </c>
      <c r="BU57" s="42">
        <f t="shared" si="129"/>
        <v>0</v>
      </c>
      <c r="BV57" s="42">
        <f t="shared" si="129"/>
        <v>0</v>
      </c>
      <c r="BW57" s="42">
        <f t="shared" si="129"/>
        <v>0</v>
      </c>
      <c r="BX57" s="42">
        <f t="shared" si="129"/>
        <v>0</v>
      </c>
      <c r="BY57" s="42">
        <f t="shared" si="129"/>
        <v>0</v>
      </c>
      <c r="BZ57" s="34">
        <f t="shared" si="35"/>
        <v>0</v>
      </c>
      <c r="CA57" s="34">
        <f>IFERROR(s_RadSpec!$J$29*(CA$29*$B57),".")</f>
        <v>0</v>
      </c>
      <c r="CB57" s="34">
        <f>IFERROR(s_RadSpec!$J$29*(CB$29*$B57),".")</f>
        <v>0</v>
      </c>
      <c r="CC57" s="34">
        <f>IFERROR(s_RadSpec!$J$29*(CC$29*$B57),".")</f>
        <v>0</v>
      </c>
      <c r="CD57" s="34">
        <f>IFERROR(s_RadSpec!$J$29*(CD$29*$B57),".")</f>
        <v>0</v>
      </c>
      <c r="CE57" s="34">
        <f>IFERROR(s_RadSpec!$J$29*(CE$29*$B57),".")</f>
        <v>0</v>
      </c>
      <c r="CF57" s="34">
        <f>IFERROR(s_RadSpec!$J$29*(CF$29*$B57),".")</f>
        <v>0</v>
      </c>
      <c r="CG57" s="34">
        <f>IFERROR(s_RadSpec!$J$29*(CG$29*$B57),".")</f>
        <v>0</v>
      </c>
      <c r="CH57" s="34">
        <f>IFERROR(s_RadSpec!$J$29*(CH$29*$B57),".")</f>
        <v>0</v>
      </c>
      <c r="CI57" s="34">
        <f>IFERROR(s_RadSpec!$J$29*(CI$29*$B57),".")</f>
        <v>0</v>
      </c>
      <c r="CJ57" s="34">
        <f>IFERROR(s_RadSpec!$J$29*(CJ$29*$B57),".")</f>
        <v>0</v>
      </c>
      <c r="CK57" s="34">
        <f>IFERROR(s_RadSpec!$J$29*(CK$29*$B57),".")</f>
        <v>0</v>
      </c>
      <c r="CL57" s="34">
        <f>IFERROR(s_RadSpec!$J$29*(CL$29*$B57),".")</f>
        <v>0</v>
      </c>
      <c r="CM57" s="34">
        <f>IFERROR(s_RadSpec!$J$29*(CM$29*$B57),".")</f>
        <v>0</v>
      </c>
      <c r="CN57" s="34">
        <f>IFERROR(s_RadSpec!$J$29*(CN$29*$B57),".")</f>
        <v>0</v>
      </c>
      <c r="CO57" s="34">
        <f>IFERROR(s_RadSpec!$J$29*(CO$29*$B57),".")</f>
        <v>0</v>
      </c>
      <c r="CP57" s="34">
        <f>IFERROR(s_RadSpec!$J$29*(CP$29*$B57),".")</f>
        <v>0</v>
      </c>
      <c r="CQ57" s="34">
        <f>IFERROR(s_RadSpec!$J$29*(CQ$29*$B57),".")</f>
        <v>0</v>
      </c>
      <c r="CR57" s="34">
        <f>IFERROR(s_RadSpec!$J$29*(CR$29*$B57),".")</f>
        <v>0</v>
      </c>
      <c r="CS57" s="34">
        <f>IFERROR(s_RadSpec!$J$29*(CS$29*$B57),".")</f>
        <v>0</v>
      </c>
      <c r="CT57" s="34">
        <f>IFERROR(s_RadSpec!$J$29*(CT$29*$B57),".")</f>
        <v>0</v>
      </c>
      <c r="CU57" s="34">
        <f>IFERROR(s_RadSpec!$J$29*(CU$29*$B57),".")</f>
        <v>0</v>
      </c>
      <c r="CV57" s="34">
        <f>IFERROR(s_RadSpec!$J$29*(CV$29*$B57),".")</f>
        <v>0</v>
      </c>
      <c r="CW57" s="34">
        <f>IFERROR(s_RadSpec!$J$29*(CW$29*$B57),".")</f>
        <v>0</v>
      </c>
      <c r="CX57" s="34">
        <f>IFERROR(s_RadSpec!$J$29*(CX$29*$B57),".")</f>
        <v>0</v>
      </c>
    </row>
    <row r="58" spans="1:102" s="3" customFormat="1" x14ac:dyDescent="0.25">
      <c r="A58" s="55" t="s">
        <v>1081</v>
      </c>
      <c r="B58" s="3">
        <v>1</v>
      </c>
      <c r="C58" s="42">
        <f t="shared" ref="C58:AA58" si="130">IFERROR(C16/$B58,0)</f>
        <v>22.276696901037536</v>
      </c>
      <c r="D58" s="42">
        <f t="shared" si="130"/>
        <v>64.012608375556056</v>
      </c>
      <c r="E58" s="42">
        <f t="shared" si="130"/>
        <v>31.745042599502412</v>
      </c>
      <c r="F58" s="42">
        <f t="shared" si="130"/>
        <v>59.67961275028162</v>
      </c>
      <c r="G58" s="42">
        <f t="shared" si="130"/>
        <v>64.012608375556056</v>
      </c>
      <c r="H58" s="42">
        <f t="shared" si="130"/>
        <v>59.67961275028162</v>
      </c>
      <c r="I58" s="42">
        <f t="shared" si="130"/>
        <v>31.745042599502412</v>
      </c>
      <c r="J58" s="42">
        <f t="shared" si="130"/>
        <v>59.67961275028162</v>
      </c>
      <c r="K58" s="42">
        <f t="shared" si="130"/>
        <v>64.012608375556056</v>
      </c>
      <c r="L58" s="42">
        <f t="shared" si="130"/>
        <v>73.390736652638168</v>
      </c>
      <c r="M58" s="42">
        <f t="shared" si="130"/>
        <v>59.67961275028162</v>
      </c>
      <c r="N58" s="42">
        <f t="shared" si="130"/>
        <v>31.745042599502412</v>
      </c>
      <c r="O58" s="42">
        <f t="shared" si="130"/>
        <v>68.701339311114978</v>
      </c>
      <c r="P58" s="42">
        <f t="shared" si="130"/>
        <v>59.67961275028162</v>
      </c>
      <c r="Q58" s="42">
        <f t="shared" si="130"/>
        <v>59.67961275028162</v>
      </c>
      <c r="R58" s="42">
        <f t="shared" si="130"/>
        <v>64.012608375556056</v>
      </c>
      <c r="S58" s="42">
        <f t="shared" si="130"/>
        <v>64.012608375556056</v>
      </c>
      <c r="T58" s="42">
        <f t="shared" si="130"/>
        <v>68.701339311114978</v>
      </c>
      <c r="U58" s="42">
        <f t="shared" si="130"/>
        <v>73.026010585977502</v>
      </c>
      <c r="V58" s="42">
        <f t="shared" si="130"/>
        <v>59.67961275028162</v>
      </c>
      <c r="W58" s="42">
        <f t="shared" si="130"/>
        <v>68.701339311114978</v>
      </c>
      <c r="X58" s="42">
        <f t="shared" si="130"/>
        <v>64.012608375556056</v>
      </c>
      <c r="Y58" s="42">
        <f t="shared" si="130"/>
        <v>59.67961275028162</v>
      </c>
      <c r="Z58" s="42">
        <f t="shared" si="130"/>
        <v>74.519701637325213</v>
      </c>
      <c r="AA58" s="42">
        <f t="shared" si="130"/>
        <v>63.096394649006868</v>
      </c>
      <c r="AB58" s="34">
        <f t="shared" si="33"/>
        <v>1.1222489631681269</v>
      </c>
      <c r="AC58" s="34">
        <f>IFERROR(s_RadSpec!$J$16*(AC$16*$B58),".")</f>
        <v>0.39054805974047041</v>
      </c>
      <c r="AD58" s="34">
        <f>IFERROR(s_RadSpec!$J$16*(AD$16*$B58),".")</f>
        <v>0.78752453778064435</v>
      </c>
      <c r="AE58" s="34">
        <f>IFERROR(s_RadSpec!$J$16*(AE$16*$B58),".")</f>
        <v>0.41890352245762569</v>
      </c>
      <c r="AF58" s="34">
        <f>IFERROR(s_RadSpec!$J$16*(AF$16*$B58),".")</f>
        <v>0.39054805974047041</v>
      </c>
      <c r="AG58" s="34">
        <f>IFERROR(s_RadSpec!$J$16*(AG$16*$B58),".")</f>
        <v>0.41890352245762569</v>
      </c>
      <c r="AH58" s="34">
        <f>IFERROR(s_RadSpec!$J$16*(AH$16*$B58),".")</f>
        <v>0.78752453778064435</v>
      </c>
      <c r="AI58" s="34">
        <f>IFERROR(s_RadSpec!$J$16*(AI$16*$B58),".")</f>
        <v>0.41890352245762569</v>
      </c>
      <c r="AJ58" s="34">
        <f>IFERROR(s_RadSpec!$J$16*(AJ$16*$B58),".")</f>
        <v>0.39054805974047041</v>
      </c>
      <c r="AK58" s="34">
        <f>IFERROR(s_RadSpec!$J$16*(AK$16*$B58),".")</f>
        <v>0.34064244535827715</v>
      </c>
      <c r="AL58" s="34">
        <f>IFERROR(s_RadSpec!$J$16*(AL$16*$B58),".")</f>
        <v>0.41890352245762569</v>
      </c>
      <c r="AM58" s="34">
        <f>IFERROR(s_RadSpec!$J$16*(AM$16*$B58),".")</f>
        <v>0.78752453778064435</v>
      </c>
      <c r="AN58" s="34">
        <f>IFERROR(s_RadSpec!$J$16*(AN$16*$B58),".")</f>
        <v>0.36389392478634441</v>
      </c>
      <c r="AO58" s="34">
        <f>IFERROR(s_RadSpec!$J$16*(AO$16*$B58),".")</f>
        <v>0.41890352245762569</v>
      </c>
      <c r="AP58" s="34">
        <f>IFERROR(s_RadSpec!$J$16*(AP$16*$B58),".")</f>
        <v>0.41890352245762569</v>
      </c>
      <c r="AQ58" s="34">
        <f>IFERROR(s_RadSpec!$J$16*(AQ$16*$B58),".")</f>
        <v>0.39054805974047041</v>
      </c>
      <c r="AR58" s="34">
        <f>IFERROR(s_RadSpec!$J$16*(AR$16*$B58),".")</f>
        <v>0.39054805974047041</v>
      </c>
      <c r="AS58" s="34">
        <f>IFERROR(s_RadSpec!$J$16*(AS$16*$B58),".")</f>
        <v>0.36389392478634441</v>
      </c>
      <c r="AT58" s="34">
        <f>IFERROR(s_RadSpec!$J$16*(AT$16*$B58),".")</f>
        <v>0.34234377312130643</v>
      </c>
      <c r="AU58" s="34">
        <f>IFERROR(s_RadSpec!$J$16*(AU$16*$B58),".")</f>
        <v>0.41890352245762569</v>
      </c>
      <c r="AV58" s="34">
        <f>IFERROR(s_RadSpec!$J$16*(AV$16*$B58),".")</f>
        <v>0.36389392478634441</v>
      </c>
      <c r="AW58" s="34">
        <f>IFERROR(s_RadSpec!$J$16*(AW$16*$B58),".")</f>
        <v>0.39054805974047041</v>
      </c>
      <c r="AX58" s="34">
        <f>IFERROR(s_RadSpec!$J$16*(AX$16*$B58),".")</f>
        <v>0.41890352245762569</v>
      </c>
      <c r="AY58" s="34">
        <f>IFERROR(s_RadSpec!$J$16*(AY$16*$B58),".")</f>
        <v>0.33548175114375489</v>
      </c>
      <c r="AZ58" s="34">
        <f>IFERROR(s_RadSpec!$J$16*(AZ$16*$B58),".")</f>
        <v>0.39621915228390148</v>
      </c>
      <c r="BA58" s="42">
        <f t="shared" ref="BA58:BY58" si="131">IFERROR(BA16/$B58,0)</f>
        <v>22.276696901037536</v>
      </c>
      <c r="BB58" s="42">
        <f t="shared" si="131"/>
        <v>64.012608375556056</v>
      </c>
      <c r="BC58" s="42">
        <f t="shared" si="131"/>
        <v>31.745042599502412</v>
      </c>
      <c r="BD58" s="42">
        <f t="shared" si="131"/>
        <v>59.67961275028162</v>
      </c>
      <c r="BE58" s="42">
        <f t="shared" si="131"/>
        <v>64.012608375556056</v>
      </c>
      <c r="BF58" s="42">
        <f t="shared" si="131"/>
        <v>59.67961275028162</v>
      </c>
      <c r="BG58" s="42">
        <f t="shared" si="131"/>
        <v>31.745042599502412</v>
      </c>
      <c r="BH58" s="42">
        <f t="shared" si="131"/>
        <v>59.67961275028162</v>
      </c>
      <c r="BI58" s="42">
        <f t="shared" si="131"/>
        <v>64.012608375556056</v>
      </c>
      <c r="BJ58" s="42">
        <f t="shared" si="131"/>
        <v>73.390736652638168</v>
      </c>
      <c r="BK58" s="42">
        <f t="shared" si="131"/>
        <v>59.67961275028162</v>
      </c>
      <c r="BL58" s="42">
        <f t="shared" si="131"/>
        <v>31.745042599502412</v>
      </c>
      <c r="BM58" s="42">
        <f t="shared" si="131"/>
        <v>68.701339311114978</v>
      </c>
      <c r="BN58" s="42">
        <f t="shared" si="131"/>
        <v>59.67961275028162</v>
      </c>
      <c r="BO58" s="42">
        <f t="shared" si="131"/>
        <v>59.67961275028162</v>
      </c>
      <c r="BP58" s="42">
        <f t="shared" si="131"/>
        <v>64.012608375556056</v>
      </c>
      <c r="BQ58" s="42">
        <f t="shared" si="131"/>
        <v>64.012608375556056</v>
      </c>
      <c r="BR58" s="42">
        <f t="shared" si="131"/>
        <v>68.701339311114978</v>
      </c>
      <c r="BS58" s="42">
        <f t="shared" si="131"/>
        <v>73.026010585977502</v>
      </c>
      <c r="BT58" s="42">
        <f t="shared" si="131"/>
        <v>59.67961275028162</v>
      </c>
      <c r="BU58" s="42">
        <f t="shared" si="131"/>
        <v>68.701339311114978</v>
      </c>
      <c r="BV58" s="42">
        <f t="shared" si="131"/>
        <v>64.012608375556056</v>
      </c>
      <c r="BW58" s="42">
        <f t="shared" si="131"/>
        <v>59.67961275028162</v>
      </c>
      <c r="BX58" s="42">
        <f t="shared" si="131"/>
        <v>74.519701637325213</v>
      </c>
      <c r="BY58" s="42">
        <f t="shared" si="131"/>
        <v>63.096394649006868</v>
      </c>
      <c r="BZ58" s="34">
        <f t="shared" si="35"/>
        <v>1.1222489631681269</v>
      </c>
      <c r="CA58" s="34">
        <f>IFERROR(s_RadSpec!$J$16*(CA$16*$B58),".")</f>
        <v>0.39054805974047041</v>
      </c>
      <c r="CB58" s="34">
        <f>IFERROR(s_RadSpec!$J$16*(CB$16*$B58),".")</f>
        <v>0.78752453778064435</v>
      </c>
      <c r="CC58" s="34">
        <f>IFERROR(s_RadSpec!$J$16*(CC$16*$B58),".")</f>
        <v>0.41890352245762569</v>
      </c>
      <c r="CD58" s="34">
        <f>IFERROR(s_RadSpec!$J$16*(CD$16*$B58),".")</f>
        <v>0.39054805974047041</v>
      </c>
      <c r="CE58" s="34">
        <f>IFERROR(s_RadSpec!$J$16*(CE$16*$B58),".")</f>
        <v>0.41890352245762569</v>
      </c>
      <c r="CF58" s="34">
        <f>IFERROR(s_RadSpec!$J$16*(CF$16*$B58),".")</f>
        <v>0.78752453778064435</v>
      </c>
      <c r="CG58" s="34">
        <f>IFERROR(s_RadSpec!$J$16*(CG$16*$B58),".")</f>
        <v>0.41890352245762569</v>
      </c>
      <c r="CH58" s="34">
        <f>IFERROR(s_RadSpec!$J$16*(CH$16*$B58),".")</f>
        <v>0.39054805974047041</v>
      </c>
      <c r="CI58" s="34">
        <f>IFERROR(s_RadSpec!$J$16*(CI$16*$B58),".")</f>
        <v>0.34064244535827715</v>
      </c>
      <c r="CJ58" s="34">
        <f>IFERROR(s_RadSpec!$J$16*(CJ$16*$B58),".")</f>
        <v>0.41890352245762569</v>
      </c>
      <c r="CK58" s="34">
        <f>IFERROR(s_RadSpec!$J$16*(CK$16*$B58),".")</f>
        <v>0.78752453778064435</v>
      </c>
      <c r="CL58" s="34">
        <f>IFERROR(s_RadSpec!$J$16*(CL$16*$B58),".")</f>
        <v>0.36389392478634441</v>
      </c>
      <c r="CM58" s="34">
        <f>IFERROR(s_RadSpec!$J$16*(CM$16*$B58),".")</f>
        <v>0.41890352245762569</v>
      </c>
      <c r="CN58" s="34">
        <f>IFERROR(s_RadSpec!$J$16*(CN$16*$B58),".")</f>
        <v>0.41890352245762569</v>
      </c>
      <c r="CO58" s="34">
        <f>IFERROR(s_RadSpec!$J$16*(CO$16*$B58),".")</f>
        <v>0.39054805974047041</v>
      </c>
      <c r="CP58" s="34">
        <f>IFERROR(s_RadSpec!$J$16*(CP$16*$B58),".")</f>
        <v>0.39054805974047041</v>
      </c>
      <c r="CQ58" s="34">
        <f>IFERROR(s_RadSpec!$J$16*(CQ$16*$B58),".")</f>
        <v>0.36389392478634441</v>
      </c>
      <c r="CR58" s="34">
        <f>IFERROR(s_RadSpec!$J$16*(CR$16*$B58),".")</f>
        <v>0.34234377312130643</v>
      </c>
      <c r="CS58" s="34">
        <f>IFERROR(s_RadSpec!$J$16*(CS$16*$B58),".")</f>
        <v>0.41890352245762569</v>
      </c>
      <c r="CT58" s="34">
        <f>IFERROR(s_RadSpec!$J$16*(CT$16*$B58),".")</f>
        <v>0.36389392478634441</v>
      </c>
      <c r="CU58" s="34">
        <f>IFERROR(s_RadSpec!$J$16*(CU$16*$B58),".")</f>
        <v>0.39054805974047041</v>
      </c>
      <c r="CV58" s="34">
        <f>IFERROR(s_RadSpec!$J$16*(CV$16*$B58),".")</f>
        <v>0.41890352245762569</v>
      </c>
      <c r="CW58" s="34">
        <f>IFERROR(s_RadSpec!$J$16*(CW$16*$B58),".")</f>
        <v>0.33548175114375489</v>
      </c>
      <c r="CX58" s="34">
        <f>IFERROR(s_RadSpec!$J$16*(CX$16*$B58),".")</f>
        <v>0.39621915228390148</v>
      </c>
    </row>
    <row r="59" spans="1:102" s="3" customFormat="1" x14ac:dyDescent="0.25">
      <c r="A59" s="55" t="s">
        <v>1082</v>
      </c>
      <c r="B59" s="3">
        <v>1</v>
      </c>
      <c r="C59" s="42">
        <f t="shared" ref="C59:AA59" si="132">IFERROR(C7/$B59,0)</f>
        <v>5241.4020209370792</v>
      </c>
      <c r="D59" s="42">
        <f t="shared" si="132"/>
        <v>15724.206062811239</v>
      </c>
      <c r="E59" s="42">
        <f t="shared" si="132"/>
        <v>15724.206062811239</v>
      </c>
      <c r="F59" s="42">
        <f t="shared" si="132"/>
        <v>15724.206062811239</v>
      </c>
      <c r="G59" s="42">
        <f t="shared" si="132"/>
        <v>15724.206062811239</v>
      </c>
      <c r="H59" s="42">
        <f t="shared" si="132"/>
        <v>15724.206062811239</v>
      </c>
      <c r="I59" s="42">
        <f t="shared" si="132"/>
        <v>15724.206062811239</v>
      </c>
      <c r="J59" s="42">
        <f t="shared" si="132"/>
        <v>15724.206062811239</v>
      </c>
      <c r="K59" s="42">
        <f t="shared" si="132"/>
        <v>15724.206062811239</v>
      </c>
      <c r="L59" s="42">
        <f t="shared" si="132"/>
        <v>15724.206062811239</v>
      </c>
      <c r="M59" s="42">
        <f t="shared" si="132"/>
        <v>15724.206062811239</v>
      </c>
      <c r="N59" s="42">
        <f t="shared" si="132"/>
        <v>15724.206062811239</v>
      </c>
      <c r="O59" s="42">
        <f t="shared" si="132"/>
        <v>15724.206062811239</v>
      </c>
      <c r="P59" s="42">
        <f t="shared" si="132"/>
        <v>15724.206062811239</v>
      </c>
      <c r="Q59" s="42">
        <f t="shared" si="132"/>
        <v>15724.206062811239</v>
      </c>
      <c r="R59" s="42">
        <f t="shared" si="132"/>
        <v>15724.206062811239</v>
      </c>
      <c r="S59" s="42">
        <f t="shared" si="132"/>
        <v>15724.206062811239</v>
      </c>
      <c r="T59" s="42">
        <f t="shared" si="132"/>
        <v>15724.206062811239</v>
      </c>
      <c r="U59" s="42">
        <f t="shared" si="132"/>
        <v>15724.206062811239</v>
      </c>
      <c r="V59" s="42">
        <f t="shared" si="132"/>
        <v>15724.206062811239</v>
      </c>
      <c r="W59" s="42">
        <f t="shared" si="132"/>
        <v>15724.206062811239</v>
      </c>
      <c r="X59" s="42">
        <f t="shared" si="132"/>
        <v>15724.206062811239</v>
      </c>
      <c r="Y59" s="42">
        <f t="shared" si="132"/>
        <v>15724.206062811239</v>
      </c>
      <c r="Z59" s="42">
        <f t="shared" si="132"/>
        <v>15724.206062811239</v>
      </c>
      <c r="AA59" s="42">
        <f t="shared" si="132"/>
        <v>15724.206062811239</v>
      </c>
      <c r="AB59" s="34">
        <f t="shared" si="33"/>
        <v>4.7697161752019929E-3</v>
      </c>
      <c r="AC59" s="34">
        <f>IFERROR(s_RadSpec!$J$7*(AC$7*$B59),".")</f>
        <v>1.5899053917339976E-3</v>
      </c>
      <c r="AD59" s="34">
        <f>IFERROR(s_RadSpec!$J$7*(AD$7*$B59),".")</f>
        <v>1.5899053917339976E-3</v>
      </c>
      <c r="AE59" s="34">
        <f>IFERROR(s_RadSpec!$J$7*(AE$7*$B59),".")</f>
        <v>1.5899053917339976E-3</v>
      </c>
      <c r="AF59" s="34">
        <f>IFERROR(s_RadSpec!$J$7*(AF$7*$B59),".")</f>
        <v>1.5899053917339976E-3</v>
      </c>
      <c r="AG59" s="34">
        <f>IFERROR(s_RadSpec!$J$7*(AG$7*$B59),".")</f>
        <v>1.5899053917339976E-3</v>
      </c>
      <c r="AH59" s="34">
        <f>IFERROR(s_RadSpec!$J$7*(AH$7*$B59),".")</f>
        <v>1.5899053917339976E-3</v>
      </c>
      <c r="AI59" s="34">
        <f>IFERROR(s_RadSpec!$J$7*(AI$7*$B59),".")</f>
        <v>1.5899053917339976E-3</v>
      </c>
      <c r="AJ59" s="34">
        <f>IFERROR(s_RadSpec!$J$7*(AJ$7*$B59),".")</f>
        <v>1.5899053917339976E-3</v>
      </c>
      <c r="AK59" s="34">
        <f>IFERROR(s_RadSpec!$J$7*(AK$7*$B59),".")</f>
        <v>1.5899053917339976E-3</v>
      </c>
      <c r="AL59" s="34">
        <f>IFERROR(s_RadSpec!$J$7*(AL$7*$B59),".")</f>
        <v>1.5899053917339976E-3</v>
      </c>
      <c r="AM59" s="34">
        <f>IFERROR(s_RadSpec!$J$7*(AM$7*$B59),".")</f>
        <v>1.5899053917339976E-3</v>
      </c>
      <c r="AN59" s="34">
        <f>IFERROR(s_RadSpec!$J$7*(AN$7*$B59),".")</f>
        <v>1.5899053917339976E-3</v>
      </c>
      <c r="AO59" s="34">
        <f>IFERROR(s_RadSpec!$J$7*(AO$7*$B59),".")</f>
        <v>1.5899053917339976E-3</v>
      </c>
      <c r="AP59" s="34">
        <f>IFERROR(s_RadSpec!$J$7*(AP$7*$B59),".")</f>
        <v>1.5899053917339976E-3</v>
      </c>
      <c r="AQ59" s="34">
        <f>IFERROR(s_RadSpec!$J$7*(AQ$7*$B59),".")</f>
        <v>1.5899053917339976E-3</v>
      </c>
      <c r="AR59" s="34">
        <f>IFERROR(s_RadSpec!$J$7*(AR$7*$B59),".")</f>
        <v>1.5899053917339976E-3</v>
      </c>
      <c r="AS59" s="34">
        <f>IFERROR(s_RadSpec!$J$7*(AS$7*$B59),".")</f>
        <v>1.5899053917339976E-3</v>
      </c>
      <c r="AT59" s="34">
        <f>IFERROR(s_RadSpec!$J$7*(AT$7*$B59),".")</f>
        <v>1.5899053917339976E-3</v>
      </c>
      <c r="AU59" s="34">
        <f>IFERROR(s_RadSpec!$J$7*(AU$7*$B59),".")</f>
        <v>1.5899053917339976E-3</v>
      </c>
      <c r="AV59" s="34">
        <f>IFERROR(s_RadSpec!$J$7*(AV$7*$B59),".")</f>
        <v>1.5899053917339976E-3</v>
      </c>
      <c r="AW59" s="34">
        <f>IFERROR(s_RadSpec!$J$7*(AW$7*$B59),".")</f>
        <v>1.5899053917339976E-3</v>
      </c>
      <c r="AX59" s="34">
        <f>IFERROR(s_RadSpec!$J$7*(AX$7*$B59),".")</f>
        <v>1.5899053917339976E-3</v>
      </c>
      <c r="AY59" s="34">
        <f>IFERROR(s_RadSpec!$J$7*(AY$7*$B59),".")</f>
        <v>1.5899053917339976E-3</v>
      </c>
      <c r="AZ59" s="34">
        <f>IFERROR(s_RadSpec!$J$7*(AZ$7*$B59),".")</f>
        <v>1.5899053917339976E-3</v>
      </c>
      <c r="BA59" s="42">
        <f t="shared" ref="BA59:BY59" si="133">IFERROR(BA7/$B59,0)</f>
        <v>5241.4020209370792</v>
      </c>
      <c r="BB59" s="42">
        <f t="shared" si="133"/>
        <v>15724.206062811239</v>
      </c>
      <c r="BC59" s="42">
        <f t="shared" si="133"/>
        <v>15724.206062811239</v>
      </c>
      <c r="BD59" s="42">
        <f t="shared" si="133"/>
        <v>15724.206062811239</v>
      </c>
      <c r="BE59" s="42">
        <f t="shared" si="133"/>
        <v>15724.206062811239</v>
      </c>
      <c r="BF59" s="42">
        <f t="shared" si="133"/>
        <v>15724.206062811239</v>
      </c>
      <c r="BG59" s="42">
        <f t="shared" si="133"/>
        <v>15724.206062811239</v>
      </c>
      <c r="BH59" s="42">
        <f t="shared" si="133"/>
        <v>15724.206062811239</v>
      </c>
      <c r="BI59" s="42">
        <f t="shared" si="133"/>
        <v>15724.206062811239</v>
      </c>
      <c r="BJ59" s="42">
        <f t="shared" si="133"/>
        <v>15724.206062811239</v>
      </c>
      <c r="BK59" s="42">
        <f t="shared" si="133"/>
        <v>15724.206062811239</v>
      </c>
      <c r="BL59" s="42">
        <f t="shared" si="133"/>
        <v>15724.206062811239</v>
      </c>
      <c r="BM59" s="42">
        <f t="shared" si="133"/>
        <v>15724.206062811239</v>
      </c>
      <c r="BN59" s="42">
        <f t="shared" si="133"/>
        <v>15724.206062811239</v>
      </c>
      <c r="BO59" s="42">
        <f t="shared" si="133"/>
        <v>15724.206062811239</v>
      </c>
      <c r="BP59" s="42">
        <f t="shared" si="133"/>
        <v>15724.206062811239</v>
      </c>
      <c r="BQ59" s="42">
        <f t="shared" si="133"/>
        <v>15724.206062811239</v>
      </c>
      <c r="BR59" s="42">
        <f t="shared" si="133"/>
        <v>15724.206062811239</v>
      </c>
      <c r="BS59" s="42">
        <f t="shared" si="133"/>
        <v>15724.206062811239</v>
      </c>
      <c r="BT59" s="42">
        <f t="shared" si="133"/>
        <v>15724.206062811239</v>
      </c>
      <c r="BU59" s="42">
        <f t="shared" si="133"/>
        <v>15724.206062811239</v>
      </c>
      <c r="BV59" s="42">
        <f t="shared" si="133"/>
        <v>15724.206062811239</v>
      </c>
      <c r="BW59" s="42">
        <f t="shared" si="133"/>
        <v>15724.206062811239</v>
      </c>
      <c r="BX59" s="42">
        <f t="shared" si="133"/>
        <v>15724.206062811239</v>
      </c>
      <c r="BY59" s="42">
        <f t="shared" si="133"/>
        <v>15724.206062811239</v>
      </c>
      <c r="BZ59" s="34">
        <f t="shared" si="35"/>
        <v>4.7697161752019929E-3</v>
      </c>
      <c r="CA59" s="34">
        <f>IFERROR(s_RadSpec!$J$7*(CA$7*$B59),".")</f>
        <v>1.5899053917339976E-3</v>
      </c>
      <c r="CB59" s="34">
        <f>IFERROR(s_RadSpec!$J$7*(CB$7*$B59),".")</f>
        <v>1.5899053917339976E-3</v>
      </c>
      <c r="CC59" s="34">
        <f>IFERROR(s_RadSpec!$J$7*(CC$7*$B59),".")</f>
        <v>1.5899053917339976E-3</v>
      </c>
      <c r="CD59" s="34">
        <f>IFERROR(s_RadSpec!$J$7*(CD$7*$B59),".")</f>
        <v>1.5899053917339976E-3</v>
      </c>
      <c r="CE59" s="34">
        <f>IFERROR(s_RadSpec!$J$7*(CE$7*$B59),".")</f>
        <v>1.5899053917339976E-3</v>
      </c>
      <c r="CF59" s="34">
        <f>IFERROR(s_RadSpec!$J$7*(CF$7*$B59),".")</f>
        <v>1.5899053917339976E-3</v>
      </c>
      <c r="CG59" s="34">
        <f>IFERROR(s_RadSpec!$J$7*(CG$7*$B59),".")</f>
        <v>1.5899053917339976E-3</v>
      </c>
      <c r="CH59" s="34">
        <f>IFERROR(s_RadSpec!$J$7*(CH$7*$B59),".")</f>
        <v>1.5899053917339976E-3</v>
      </c>
      <c r="CI59" s="34">
        <f>IFERROR(s_RadSpec!$J$7*(CI$7*$B59),".")</f>
        <v>1.5899053917339976E-3</v>
      </c>
      <c r="CJ59" s="34">
        <f>IFERROR(s_RadSpec!$J$7*(CJ$7*$B59),".")</f>
        <v>1.5899053917339976E-3</v>
      </c>
      <c r="CK59" s="34">
        <f>IFERROR(s_RadSpec!$J$7*(CK$7*$B59),".")</f>
        <v>1.5899053917339976E-3</v>
      </c>
      <c r="CL59" s="34">
        <f>IFERROR(s_RadSpec!$J$7*(CL$7*$B59),".")</f>
        <v>1.5899053917339976E-3</v>
      </c>
      <c r="CM59" s="34">
        <f>IFERROR(s_RadSpec!$J$7*(CM$7*$B59),".")</f>
        <v>1.5899053917339976E-3</v>
      </c>
      <c r="CN59" s="34">
        <f>IFERROR(s_RadSpec!$J$7*(CN$7*$B59),".")</f>
        <v>1.5899053917339976E-3</v>
      </c>
      <c r="CO59" s="34">
        <f>IFERROR(s_RadSpec!$J$7*(CO$7*$B59),".")</f>
        <v>1.5899053917339976E-3</v>
      </c>
      <c r="CP59" s="34">
        <f>IFERROR(s_RadSpec!$J$7*(CP$7*$B59),".")</f>
        <v>1.5899053917339976E-3</v>
      </c>
      <c r="CQ59" s="34">
        <f>IFERROR(s_RadSpec!$J$7*(CQ$7*$B59),".")</f>
        <v>1.5899053917339976E-3</v>
      </c>
      <c r="CR59" s="34">
        <f>IFERROR(s_RadSpec!$J$7*(CR$7*$B59),".")</f>
        <v>1.5899053917339976E-3</v>
      </c>
      <c r="CS59" s="34">
        <f>IFERROR(s_RadSpec!$J$7*(CS$7*$B59),".")</f>
        <v>1.5899053917339976E-3</v>
      </c>
      <c r="CT59" s="34">
        <f>IFERROR(s_RadSpec!$J$7*(CT$7*$B59),".")</f>
        <v>1.5899053917339976E-3</v>
      </c>
      <c r="CU59" s="34">
        <f>IFERROR(s_RadSpec!$J$7*(CU$7*$B59),".")</f>
        <v>1.5899053917339976E-3</v>
      </c>
      <c r="CV59" s="34">
        <f>IFERROR(s_RadSpec!$J$7*(CV$7*$B59),".")</f>
        <v>1.5899053917339976E-3</v>
      </c>
      <c r="CW59" s="34">
        <f>IFERROR(s_RadSpec!$J$7*(CW$7*$B59),".")</f>
        <v>1.5899053917339976E-3</v>
      </c>
      <c r="CX59" s="34">
        <f>IFERROR(s_RadSpec!$J$7*(CX$7*$B59),".")</f>
        <v>1.5899053917339976E-3</v>
      </c>
    </row>
    <row r="60" spans="1:102" s="3" customFormat="1" x14ac:dyDescent="0.25">
      <c r="A60" s="55" t="s">
        <v>1083</v>
      </c>
      <c r="B60" s="3">
        <v>1.9000000000000001E-8</v>
      </c>
      <c r="C60" s="42">
        <f t="shared" ref="C60:AA60" si="134">IFERROR(C12/$B60,0)</f>
        <v>0</v>
      </c>
      <c r="D60" s="42">
        <f t="shared" si="134"/>
        <v>0</v>
      </c>
      <c r="E60" s="42">
        <f t="shared" si="134"/>
        <v>0</v>
      </c>
      <c r="F60" s="42">
        <f t="shared" si="134"/>
        <v>0</v>
      </c>
      <c r="G60" s="42">
        <f t="shared" si="134"/>
        <v>0</v>
      </c>
      <c r="H60" s="42">
        <f t="shared" si="134"/>
        <v>0</v>
      </c>
      <c r="I60" s="42">
        <f t="shared" si="134"/>
        <v>0</v>
      </c>
      <c r="J60" s="42">
        <f t="shared" si="134"/>
        <v>0</v>
      </c>
      <c r="K60" s="42">
        <f t="shared" si="134"/>
        <v>0</v>
      </c>
      <c r="L60" s="42">
        <f t="shared" si="134"/>
        <v>0</v>
      </c>
      <c r="M60" s="42">
        <f t="shared" si="134"/>
        <v>0</v>
      </c>
      <c r="N60" s="42">
        <f t="shared" si="134"/>
        <v>0</v>
      </c>
      <c r="O60" s="42">
        <f t="shared" si="134"/>
        <v>0</v>
      </c>
      <c r="P60" s="42">
        <f t="shared" si="134"/>
        <v>0</v>
      </c>
      <c r="Q60" s="42">
        <f t="shared" si="134"/>
        <v>0</v>
      </c>
      <c r="R60" s="42">
        <f t="shared" si="134"/>
        <v>0</v>
      </c>
      <c r="S60" s="42">
        <f t="shared" si="134"/>
        <v>0</v>
      </c>
      <c r="T60" s="42">
        <f t="shared" si="134"/>
        <v>0</v>
      </c>
      <c r="U60" s="42">
        <f t="shared" si="134"/>
        <v>0</v>
      </c>
      <c r="V60" s="42">
        <f t="shared" si="134"/>
        <v>0</v>
      </c>
      <c r="W60" s="42">
        <f t="shared" si="134"/>
        <v>0</v>
      </c>
      <c r="X60" s="42">
        <f t="shared" si="134"/>
        <v>0</v>
      </c>
      <c r="Y60" s="42">
        <f t="shared" si="134"/>
        <v>0</v>
      </c>
      <c r="Z60" s="42">
        <f t="shared" si="134"/>
        <v>0</v>
      </c>
      <c r="AA60" s="42">
        <f t="shared" si="134"/>
        <v>0</v>
      </c>
      <c r="AB60" s="34">
        <f t="shared" si="33"/>
        <v>0</v>
      </c>
      <c r="AC60" s="34">
        <f>IFERROR(s_RadSpec!$J$12*(AC$12*$B60),".")</f>
        <v>0</v>
      </c>
      <c r="AD60" s="34">
        <f>IFERROR(s_RadSpec!$J$12*(AD$12*$B60),".")</f>
        <v>0</v>
      </c>
      <c r="AE60" s="34">
        <f>IFERROR(s_RadSpec!$J$12*(AE$12*$B60),".")</f>
        <v>0</v>
      </c>
      <c r="AF60" s="34">
        <f>IFERROR(s_RadSpec!$J$12*(AF$12*$B60),".")</f>
        <v>0</v>
      </c>
      <c r="AG60" s="34">
        <f>IFERROR(s_RadSpec!$J$12*(AG$12*$B60),".")</f>
        <v>0</v>
      </c>
      <c r="AH60" s="34">
        <f>IFERROR(s_RadSpec!$J$12*(AH$12*$B60),".")</f>
        <v>0</v>
      </c>
      <c r="AI60" s="34">
        <f>IFERROR(s_RadSpec!$J$12*(AI$12*$B60),".")</f>
        <v>0</v>
      </c>
      <c r="AJ60" s="34">
        <f>IFERROR(s_RadSpec!$J$12*(AJ$12*$B60),".")</f>
        <v>0</v>
      </c>
      <c r="AK60" s="34">
        <f>IFERROR(s_RadSpec!$J$12*(AK$12*$B60),".")</f>
        <v>0</v>
      </c>
      <c r="AL60" s="34">
        <f>IFERROR(s_RadSpec!$J$12*(AL$12*$B60),".")</f>
        <v>0</v>
      </c>
      <c r="AM60" s="34">
        <f>IFERROR(s_RadSpec!$J$12*(AM$12*$B60),".")</f>
        <v>0</v>
      </c>
      <c r="AN60" s="34">
        <f>IFERROR(s_RadSpec!$J$12*(AN$12*$B60),".")</f>
        <v>0</v>
      </c>
      <c r="AO60" s="34">
        <f>IFERROR(s_RadSpec!$J$12*(AO$12*$B60),".")</f>
        <v>0</v>
      </c>
      <c r="AP60" s="34">
        <f>IFERROR(s_RadSpec!$J$12*(AP$12*$B60),".")</f>
        <v>0</v>
      </c>
      <c r="AQ60" s="34">
        <f>IFERROR(s_RadSpec!$J$12*(AQ$12*$B60),".")</f>
        <v>0</v>
      </c>
      <c r="AR60" s="34">
        <f>IFERROR(s_RadSpec!$J$12*(AR$12*$B60),".")</f>
        <v>0</v>
      </c>
      <c r="AS60" s="34">
        <f>IFERROR(s_RadSpec!$J$12*(AS$12*$B60),".")</f>
        <v>0</v>
      </c>
      <c r="AT60" s="34">
        <f>IFERROR(s_RadSpec!$J$12*(AT$12*$B60),".")</f>
        <v>0</v>
      </c>
      <c r="AU60" s="34">
        <f>IFERROR(s_RadSpec!$J$12*(AU$12*$B60),".")</f>
        <v>0</v>
      </c>
      <c r="AV60" s="34">
        <f>IFERROR(s_RadSpec!$J$12*(AV$12*$B60),".")</f>
        <v>0</v>
      </c>
      <c r="AW60" s="34">
        <f>IFERROR(s_RadSpec!$J$12*(AW$12*$B60),".")</f>
        <v>0</v>
      </c>
      <c r="AX60" s="34">
        <f>IFERROR(s_RadSpec!$J$12*(AX$12*$B60),".")</f>
        <v>0</v>
      </c>
      <c r="AY60" s="34">
        <f>IFERROR(s_RadSpec!$J$12*(AY$12*$B60),".")</f>
        <v>0</v>
      </c>
      <c r="AZ60" s="34">
        <f>IFERROR(s_RadSpec!$J$12*(AZ$12*$B60),".")</f>
        <v>0</v>
      </c>
      <c r="BA60" s="42">
        <f t="shared" ref="BA60:BY60" si="135">IFERROR(BA12/$B60,0)</f>
        <v>0</v>
      </c>
      <c r="BB60" s="42">
        <f t="shared" si="135"/>
        <v>0</v>
      </c>
      <c r="BC60" s="42">
        <f t="shared" si="135"/>
        <v>0</v>
      </c>
      <c r="BD60" s="42">
        <f t="shared" si="135"/>
        <v>0</v>
      </c>
      <c r="BE60" s="42">
        <f t="shared" si="135"/>
        <v>0</v>
      </c>
      <c r="BF60" s="42">
        <f t="shared" si="135"/>
        <v>0</v>
      </c>
      <c r="BG60" s="42">
        <f t="shared" si="135"/>
        <v>0</v>
      </c>
      <c r="BH60" s="42">
        <f t="shared" si="135"/>
        <v>0</v>
      </c>
      <c r="BI60" s="42">
        <f t="shared" si="135"/>
        <v>0</v>
      </c>
      <c r="BJ60" s="42">
        <f t="shared" si="135"/>
        <v>0</v>
      </c>
      <c r="BK60" s="42">
        <f t="shared" si="135"/>
        <v>0</v>
      </c>
      <c r="BL60" s="42">
        <f t="shared" si="135"/>
        <v>0</v>
      </c>
      <c r="BM60" s="42">
        <f t="shared" si="135"/>
        <v>0</v>
      </c>
      <c r="BN60" s="42">
        <f t="shared" si="135"/>
        <v>0</v>
      </c>
      <c r="BO60" s="42">
        <f t="shared" si="135"/>
        <v>0</v>
      </c>
      <c r="BP60" s="42">
        <f t="shared" si="135"/>
        <v>0</v>
      </c>
      <c r="BQ60" s="42">
        <f t="shared" si="135"/>
        <v>0</v>
      </c>
      <c r="BR60" s="42">
        <f t="shared" si="135"/>
        <v>0</v>
      </c>
      <c r="BS60" s="42">
        <f t="shared" si="135"/>
        <v>0</v>
      </c>
      <c r="BT60" s="42">
        <f t="shared" si="135"/>
        <v>0</v>
      </c>
      <c r="BU60" s="42">
        <f t="shared" si="135"/>
        <v>0</v>
      </c>
      <c r="BV60" s="42">
        <f t="shared" si="135"/>
        <v>0</v>
      </c>
      <c r="BW60" s="42">
        <f t="shared" si="135"/>
        <v>0</v>
      </c>
      <c r="BX60" s="42">
        <f t="shared" si="135"/>
        <v>0</v>
      </c>
      <c r="BY60" s="42">
        <f t="shared" si="135"/>
        <v>0</v>
      </c>
      <c r="BZ60" s="34">
        <f t="shared" si="35"/>
        <v>0</v>
      </c>
      <c r="CA60" s="34">
        <f>IFERROR(s_RadSpec!$J$12*(CA$12*$B60),".")</f>
        <v>0</v>
      </c>
      <c r="CB60" s="34">
        <f>IFERROR(s_RadSpec!$J$12*(CB$12*$B60),".")</f>
        <v>0</v>
      </c>
      <c r="CC60" s="34">
        <f>IFERROR(s_RadSpec!$J$12*(CC$12*$B60),".")</f>
        <v>0</v>
      </c>
      <c r="CD60" s="34">
        <f>IFERROR(s_RadSpec!$J$12*(CD$12*$B60),".")</f>
        <v>0</v>
      </c>
      <c r="CE60" s="34">
        <f>IFERROR(s_RadSpec!$J$12*(CE$12*$B60),".")</f>
        <v>0</v>
      </c>
      <c r="CF60" s="34">
        <f>IFERROR(s_RadSpec!$J$12*(CF$12*$B60),".")</f>
        <v>0</v>
      </c>
      <c r="CG60" s="34">
        <f>IFERROR(s_RadSpec!$J$12*(CG$12*$B60),".")</f>
        <v>0</v>
      </c>
      <c r="CH60" s="34">
        <f>IFERROR(s_RadSpec!$J$12*(CH$12*$B60),".")</f>
        <v>0</v>
      </c>
      <c r="CI60" s="34">
        <f>IFERROR(s_RadSpec!$J$12*(CI$12*$B60),".")</f>
        <v>0</v>
      </c>
      <c r="CJ60" s="34">
        <f>IFERROR(s_RadSpec!$J$12*(CJ$12*$B60),".")</f>
        <v>0</v>
      </c>
      <c r="CK60" s="34">
        <f>IFERROR(s_RadSpec!$J$12*(CK$12*$B60),".")</f>
        <v>0</v>
      </c>
      <c r="CL60" s="34">
        <f>IFERROR(s_RadSpec!$J$12*(CL$12*$B60),".")</f>
        <v>0</v>
      </c>
      <c r="CM60" s="34">
        <f>IFERROR(s_RadSpec!$J$12*(CM$12*$B60),".")</f>
        <v>0</v>
      </c>
      <c r="CN60" s="34">
        <f>IFERROR(s_RadSpec!$J$12*(CN$12*$B60),".")</f>
        <v>0</v>
      </c>
      <c r="CO60" s="34">
        <f>IFERROR(s_RadSpec!$J$12*(CO$12*$B60),".")</f>
        <v>0</v>
      </c>
      <c r="CP60" s="34">
        <f>IFERROR(s_RadSpec!$J$12*(CP$12*$B60),".")</f>
        <v>0</v>
      </c>
      <c r="CQ60" s="34">
        <f>IFERROR(s_RadSpec!$J$12*(CQ$12*$B60),".")</f>
        <v>0</v>
      </c>
      <c r="CR60" s="34">
        <f>IFERROR(s_RadSpec!$J$12*(CR$12*$B60),".")</f>
        <v>0</v>
      </c>
      <c r="CS60" s="34">
        <f>IFERROR(s_RadSpec!$J$12*(CS$12*$B60),".")</f>
        <v>0</v>
      </c>
      <c r="CT60" s="34">
        <f>IFERROR(s_RadSpec!$J$12*(CT$12*$B60),".")</f>
        <v>0</v>
      </c>
      <c r="CU60" s="34">
        <f>IFERROR(s_RadSpec!$J$12*(CU$12*$B60),".")</f>
        <v>0</v>
      </c>
      <c r="CV60" s="34">
        <f>IFERROR(s_RadSpec!$J$12*(CV$12*$B60),".")</f>
        <v>0</v>
      </c>
      <c r="CW60" s="34">
        <f>IFERROR(s_RadSpec!$J$12*(CW$12*$B60),".")</f>
        <v>0</v>
      </c>
      <c r="CX60" s="34">
        <f>IFERROR(s_RadSpec!$J$12*(CX$12*$B60),".")</f>
        <v>0</v>
      </c>
    </row>
    <row r="61" spans="1:102" s="3" customFormat="1" x14ac:dyDescent="0.25">
      <c r="A61" s="55" t="s">
        <v>1084</v>
      </c>
      <c r="B61" s="3">
        <v>1</v>
      </c>
      <c r="C61" s="42">
        <f t="shared" ref="C61:AA61" si="136">IFERROR(C18/$B61,0)</f>
        <v>13.520470417263882</v>
      </c>
      <c r="D61" s="42">
        <f t="shared" si="136"/>
        <v>43.500521608732512</v>
      </c>
      <c r="E61" s="42">
        <f t="shared" si="136"/>
        <v>38.7740919443347</v>
      </c>
      <c r="F61" s="42">
        <f t="shared" si="136"/>
        <v>39.733454007359143</v>
      </c>
      <c r="G61" s="42">
        <f t="shared" si="136"/>
        <v>43.500521608732512</v>
      </c>
      <c r="H61" s="42">
        <f t="shared" si="136"/>
        <v>43.500521608732512</v>
      </c>
      <c r="I61" s="42">
        <f t="shared" si="136"/>
        <v>38.7740919443347</v>
      </c>
      <c r="J61" s="42">
        <f t="shared" si="136"/>
        <v>39.733454007359143</v>
      </c>
      <c r="K61" s="42">
        <f t="shared" si="136"/>
        <v>43.500521608732512</v>
      </c>
      <c r="L61" s="42">
        <f t="shared" si="136"/>
        <v>43.471082848465379</v>
      </c>
      <c r="M61" s="42">
        <f t="shared" si="136"/>
        <v>43.500521608732512</v>
      </c>
      <c r="N61" s="42">
        <f t="shared" si="136"/>
        <v>38.7740919443347</v>
      </c>
      <c r="O61" s="42">
        <f t="shared" si="136"/>
        <v>43.449029913325383</v>
      </c>
      <c r="P61" s="42">
        <f t="shared" si="136"/>
        <v>43.500521608732512</v>
      </c>
      <c r="Q61" s="42">
        <f t="shared" si="136"/>
        <v>43.500521608732512</v>
      </c>
      <c r="R61" s="42">
        <f t="shared" si="136"/>
        <v>43.500521608732512</v>
      </c>
      <c r="S61" s="42">
        <f t="shared" si="136"/>
        <v>43.500521608732512</v>
      </c>
      <c r="T61" s="42">
        <f t="shared" si="136"/>
        <v>43.449029913325383</v>
      </c>
      <c r="U61" s="42">
        <f t="shared" si="136"/>
        <v>41.734116547734914</v>
      </c>
      <c r="V61" s="42">
        <f t="shared" si="136"/>
        <v>43.500521608732512</v>
      </c>
      <c r="W61" s="42">
        <f t="shared" si="136"/>
        <v>43.449029913325383</v>
      </c>
      <c r="X61" s="42">
        <f t="shared" si="136"/>
        <v>43.500521608732512</v>
      </c>
      <c r="Y61" s="42">
        <f t="shared" si="136"/>
        <v>43.500521608732512</v>
      </c>
      <c r="Z61" s="42">
        <f t="shared" si="136"/>
        <v>35.752725382223296</v>
      </c>
      <c r="AA61" s="42">
        <f t="shared" si="136"/>
        <v>43.471082848465379</v>
      </c>
      <c r="AB61" s="34">
        <f t="shared" si="33"/>
        <v>1.8490480899302331</v>
      </c>
      <c r="AC61" s="34">
        <f>IFERROR(s_RadSpec!$J$18*(AC$18*$B61),".")</f>
        <v>0.57470575237841237</v>
      </c>
      <c r="AD61" s="34">
        <f>IFERROR(s_RadSpec!$J$18*(AD$18*$B61),".")</f>
        <v>0.6447604249737372</v>
      </c>
      <c r="AE61" s="34">
        <f>IFERROR(s_RadSpec!$J$18*(AE$18*$B61),".")</f>
        <v>0.62919271995255388</v>
      </c>
      <c r="AF61" s="34">
        <f>IFERROR(s_RadSpec!$J$18*(AF$18*$B61),".")</f>
        <v>0.57470575237841237</v>
      </c>
      <c r="AG61" s="34">
        <f>IFERROR(s_RadSpec!$J$18*(AG$18*$B61),".")</f>
        <v>0.57470575237841237</v>
      </c>
      <c r="AH61" s="34">
        <f>IFERROR(s_RadSpec!$J$18*(AH$18*$B61),".")</f>
        <v>0.6447604249737372</v>
      </c>
      <c r="AI61" s="34">
        <f>IFERROR(s_RadSpec!$J$18*(AI$18*$B61),".")</f>
        <v>0.62919271995255388</v>
      </c>
      <c r="AJ61" s="34">
        <f>IFERROR(s_RadSpec!$J$18*(AJ$18*$B61),".")</f>
        <v>0.57470575237841237</v>
      </c>
      <c r="AK61" s="34">
        <f>IFERROR(s_RadSpec!$J$18*(AK$18*$B61),".")</f>
        <v>0.57509494500394198</v>
      </c>
      <c r="AL61" s="34">
        <f>IFERROR(s_RadSpec!$J$18*(AL$18*$B61),".")</f>
        <v>0.57470575237841237</v>
      </c>
      <c r="AM61" s="34">
        <f>IFERROR(s_RadSpec!$J$18*(AM$18*$B61),".")</f>
        <v>0.6447604249737372</v>
      </c>
      <c r="AN61" s="34">
        <f>IFERROR(s_RadSpec!$J$18*(AN$18*$B61),".")</f>
        <v>0.57538683947308911</v>
      </c>
      <c r="AO61" s="34">
        <f>IFERROR(s_RadSpec!$J$18*(AO$18*$B61),".")</f>
        <v>0.57470575237841237</v>
      </c>
      <c r="AP61" s="34">
        <f>IFERROR(s_RadSpec!$J$18*(AP$18*$B61),".")</f>
        <v>0.57470575237841237</v>
      </c>
      <c r="AQ61" s="34">
        <f>IFERROR(s_RadSpec!$J$18*(AQ$18*$B61),".")</f>
        <v>0.57470575237841237</v>
      </c>
      <c r="AR61" s="34">
        <f>IFERROR(s_RadSpec!$J$18*(AR$18*$B61),".")</f>
        <v>0.57470575237841237</v>
      </c>
      <c r="AS61" s="34">
        <f>IFERROR(s_RadSpec!$J$18*(AS$18*$B61),".")</f>
        <v>0.57538683947308911</v>
      </c>
      <c r="AT61" s="34">
        <f>IFERROR(s_RadSpec!$J$18*(AT$18*$B61),".")</f>
        <v>0.59903029147401121</v>
      </c>
      <c r="AU61" s="34">
        <f>IFERROR(s_RadSpec!$J$18*(AU$18*$B61),".")</f>
        <v>0.57470575237841237</v>
      </c>
      <c r="AV61" s="34">
        <f>IFERROR(s_RadSpec!$J$18*(AV$18*$B61),".")</f>
        <v>0.57538683947308911</v>
      </c>
      <c r="AW61" s="34">
        <f>IFERROR(s_RadSpec!$J$18*(AW$18*$B61),".")</f>
        <v>0.57470575237841237</v>
      </c>
      <c r="AX61" s="34">
        <f>IFERROR(s_RadSpec!$J$18*(AX$18*$B61),".")</f>
        <v>0.57470575237841237</v>
      </c>
      <c r="AY61" s="34">
        <f>IFERROR(s_RadSpec!$J$18*(AY$18*$B61),".")</f>
        <v>0.69924739254787871</v>
      </c>
      <c r="AZ61" s="34">
        <f>IFERROR(s_RadSpec!$J$18*(AZ$18*$B61),".")</f>
        <v>0.57509494500394198</v>
      </c>
      <c r="BA61" s="42">
        <f t="shared" ref="BA61:BY61" si="137">IFERROR(BA18/$B61,0)</f>
        <v>13.520470417263882</v>
      </c>
      <c r="BB61" s="42">
        <f t="shared" si="137"/>
        <v>43.500521608732512</v>
      </c>
      <c r="BC61" s="42">
        <f t="shared" si="137"/>
        <v>38.7740919443347</v>
      </c>
      <c r="BD61" s="42">
        <f t="shared" si="137"/>
        <v>39.733454007359143</v>
      </c>
      <c r="BE61" s="42">
        <f t="shared" si="137"/>
        <v>43.500521608732512</v>
      </c>
      <c r="BF61" s="42">
        <f t="shared" si="137"/>
        <v>43.500521608732512</v>
      </c>
      <c r="BG61" s="42">
        <f t="shared" si="137"/>
        <v>38.7740919443347</v>
      </c>
      <c r="BH61" s="42">
        <f t="shared" si="137"/>
        <v>39.733454007359143</v>
      </c>
      <c r="BI61" s="42">
        <f t="shared" si="137"/>
        <v>43.500521608732512</v>
      </c>
      <c r="BJ61" s="42">
        <f t="shared" si="137"/>
        <v>43.471082848465379</v>
      </c>
      <c r="BK61" s="42">
        <f t="shared" si="137"/>
        <v>43.500521608732512</v>
      </c>
      <c r="BL61" s="42">
        <f t="shared" si="137"/>
        <v>38.7740919443347</v>
      </c>
      <c r="BM61" s="42">
        <f t="shared" si="137"/>
        <v>43.449029913325383</v>
      </c>
      <c r="BN61" s="42">
        <f t="shared" si="137"/>
        <v>43.500521608732512</v>
      </c>
      <c r="BO61" s="42">
        <f t="shared" si="137"/>
        <v>43.500521608732512</v>
      </c>
      <c r="BP61" s="42">
        <f t="shared" si="137"/>
        <v>43.500521608732512</v>
      </c>
      <c r="BQ61" s="42">
        <f t="shared" si="137"/>
        <v>43.500521608732512</v>
      </c>
      <c r="BR61" s="42">
        <f t="shared" si="137"/>
        <v>43.449029913325383</v>
      </c>
      <c r="BS61" s="42">
        <f t="shared" si="137"/>
        <v>41.734116547734914</v>
      </c>
      <c r="BT61" s="42">
        <f t="shared" si="137"/>
        <v>43.500521608732512</v>
      </c>
      <c r="BU61" s="42">
        <f t="shared" si="137"/>
        <v>43.449029913325383</v>
      </c>
      <c r="BV61" s="42">
        <f t="shared" si="137"/>
        <v>43.500521608732512</v>
      </c>
      <c r="BW61" s="42">
        <f t="shared" si="137"/>
        <v>43.500521608732512</v>
      </c>
      <c r="BX61" s="42">
        <f t="shared" si="137"/>
        <v>35.752725382223296</v>
      </c>
      <c r="BY61" s="42">
        <f t="shared" si="137"/>
        <v>43.471082848465379</v>
      </c>
      <c r="BZ61" s="34">
        <f t="shared" si="35"/>
        <v>1.8490480899302331</v>
      </c>
      <c r="CA61" s="34">
        <f>IFERROR(s_RadSpec!$J$18*(CA$18*$B61),".")</f>
        <v>0.57470575237841237</v>
      </c>
      <c r="CB61" s="34">
        <f>IFERROR(s_RadSpec!$J$18*(CB$18*$B61),".")</f>
        <v>0.6447604249737372</v>
      </c>
      <c r="CC61" s="34">
        <f>IFERROR(s_RadSpec!$J$18*(CC$18*$B61),".")</f>
        <v>0.62919271995255388</v>
      </c>
      <c r="CD61" s="34">
        <f>IFERROR(s_RadSpec!$J$18*(CD$18*$B61),".")</f>
        <v>0.57470575237841237</v>
      </c>
      <c r="CE61" s="34">
        <f>IFERROR(s_RadSpec!$J$18*(CE$18*$B61),".")</f>
        <v>0.57470575237841237</v>
      </c>
      <c r="CF61" s="34">
        <f>IFERROR(s_RadSpec!$J$18*(CF$18*$B61),".")</f>
        <v>0.6447604249737372</v>
      </c>
      <c r="CG61" s="34">
        <f>IFERROR(s_RadSpec!$J$18*(CG$18*$B61),".")</f>
        <v>0.62919271995255388</v>
      </c>
      <c r="CH61" s="34">
        <f>IFERROR(s_RadSpec!$J$18*(CH$18*$B61),".")</f>
        <v>0.57470575237841237</v>
      </c>
      <c r="CI61" s="34">
        <f>IFERROR(s_RadSpec!$J$18*(CI$18*$B61),".")</f>
        <v>0.57509494500394198</v>
      </c>
      <c r="CJ61" s="34">
        <f>IFERROR(s_RadSpec!$J$18*(CJ$18*$B61),".")</f>
        <v>0.57470575237841237</v>
      </c>
      <c r="CK61" s="34">
        <f>IFERROR(s_RadSpec!$J$18*(CK$18*$B61),".")</f>
        <v>0.6447604249737372</v>
      </c>
      <c r="CL61" s="34">
        <f>IFERROR(s_RadSpec!$J$18*(CL$18*$B61),".")</f>
        <v>0.57538683947308911</v>
      </c>
      <c r="CM61" s="34">
        <f>IFERROR(s_RadSpec!$J$18*(CM$18*$B61),".")</f>
        <v>0.57470575237841237</v>
      </c>
      <c r="CN61" s="34">
        <f>IFERROR(s_RadSpec!$J$18*(CN$18*$B61),".")</f>
        <v>0.57470575237841237</v>
      </c>
      <c r="CO61" s="34">
        <f>IFERROR(s_RadSpec!$J$18*(CO$18*$B61),".")</f>
        <v>0.57470575237841237</v>
      </c>
      <c r="CP61" s="34">
        <f>IFERROR(s_RadSpec!$J$18*(CP$18*$B61),".")</f>
        <v>0.57470575237841237</v>
      </c>
      <c r="CQ61" s="34">
        <f>IFERROR(s_RadSpec!$J$18*(CQ$18*$B61),".")</f>
        <v>0.57538683947308911</v>
      </c>
      <c r="CR61" s="34">
        <f>IFERROR(s_RadSpec!$J$18*(CR$18*$B61),".")</f>
        <v>0.59903029147401121</v>
      </c>
      <c r="CS61" s="34">
        <f>IFERROR(s_RadSpec!$J$18*(CS$18*$B61),".")</f>
        <v>0.57470575237841237</v>
      </c>
      <c r="CT61" s="34">
        <f>IFERROR(s_RadSpec!$J$18*(CT$18*$B61),".")</f>
        <v>0.57538683947308911</v>
      </c>
      <c r="CU61" s="34">
        <f>IFERROR(s_RadSpec!$J$18*(CU$18*$B61),".")</f>
        <v>0.57470575237841237</v>
      </c>
      <c r="CV61" s="34">
        <f>IFERROR(s_RadSpec!$J$18*(CV$18*$B61),".")</f>
        <v>0.57470575237841237</v>
      </c>
      <c r="CW61" s="34">
        <f>IFERROR(s_RadSpec!$J$18*(CW$18*$B61),".")</f>
        <v>0.69924739254787871</v>
      </c>
      <c r="CX61" s="34">
        <f>IFERROR(s_RadSpec!$J$18*(CX$18*$B61),".")</f>
        <v>0.57509494500394198</v>
      </c>
    </row>
    <row r="62" spans="1:102" s="3" customFormat="1" x14ac:dyDescent="0.25">
      <c r="A62" s="55" t="s">
        <v>1085</v>
      </c>
      <c r="B62" s="3">
        <v>1.339E-6</v>
      </c>
      <c r="C62" s="42">
        <f t="shared" ref="C62:AA62" si="138">IFERROR(C27/$B62,0)</f>
        <v>0</v>
      </c>
      <c r="D62" s="42">
        <f t="shared" si="138"/>
        <v>0</v>
      </c>
      <c r="E62" s="42">
        <f t="shared" si="138"/>
        <v>0</v>
      </c>
      <c r="F62" s="42">
        <f t="shared" si="138"/>
        <v>0</v>
      </c>
      <c r="G62" s="42">
        <f t="shared" si="138"/>
        <v>0</v>
      </c>
      <c r="H62" s="42">
        <f t="shared" si="138"/>
        <v>0</v>
      </c>
      <c r="I62" s="42">
        <f t="shared" si="138"/>
        <v>0</v>
      </c>
      <c r="J62" s="42">
        <f t="shared" si="138"/>
        <v>0</v>
      </c>
      <c r="K62" s="42">
        <f t="shared" si="138"/>
        <v>0</v>
      </c>
      <c r="L62" s="42">
        <f t="shared" si="138"/>
        <v>0</v>
      </c>
      <c r="M62" s="42">
        <f t="shared" si="138"/>
        <v>0</v>
      </c>
      <c r="N62" s="42">
        <f t="shared" si="138"/>
        <v>0</v>
      </c>
      <c r="O62" s="42">
        <f t="shared" si="138"/>
        <v>0</v>
      </c>
      <c r="P62" s="42">
        <f t="shared" si="138"/>
        <v>0</v>
      </c>
      <c r="Q62" s="42">
        <f t="shared" si="138"/>
        <v>0</v>
      </c>
      <c r="R62" s="42">
        <f t="shared" si="138"/>
        <v>0</v>
      </c>
      <c r="S62" s="42">
        <f t="shared" si="138"/>
        <v>0</v>
      </c>
      <c r="T62" s="42">
        <f t="shared" si="138"/>
        <v>0</v>
      </c>
      <c r="U62" s="42">
        <f t="shared" si="138"/>
        <v>0</v>
      </c>
      <c r="V62" s="42">
        <f t="shared" si="138"/>
        <v>0</v>
      </c>
      <c r="W62" s="42">
        <f t="shared" si="138"/>
        <v>0</v>
      </c>
      <c r="X62" s="42">
        <f t="shared" si="138"/>
        <v>0</v>
      </c>
      <c r="Y62" s="42">
        <f t="shared" si="138"/>
        <v>0</v>
      </c>
      <c r="Z62" s="42">
        <f t="shared" si="138"/>
        <v>0</v>
      </c>
      <c r="AA62" s="42">
        <f t="shared" si="138"/>
        <v>0</v>
      </c>
      <c r="AB62" s="34">
        <f t="shared" si="33"/>
        <v>0</v>
      </c>
      <c r="AC62" s="34">
        <f>IFERROR(s_RadSpec!$J$27*(AC$27*$B62),".")</f>
        <v>0</v>
      </c>
      <c r="AD62" s="34">
        <f>IFERROR(s_RadSpec!$J$27*(AD$27*$B62),".")</f>
        <v>0</v>
      </c>
      <c r="AE62" s="34">
        <f>IFERROR(s_RadSpec!$J$27*(AE$27*$B62),".")</f>
        <v>0</v>
      </c>
      <c r="AF62" s="34">
        <f>IFERROR(s_RadSpec!$J$27*(AF$27*$B62),".")</f>
        <v>0</v>
      </c>
      <c r="AG62" s="34">
        <f>IFERROR(s_RadSpec!$J$27*(AG$27*$B62),".")</f>
        <v>0</v>
      </c>
      <c r="AH62" s="34">
        <f>IFERROR(s_RadSpec!$J$27*(AH$27*$B62),".")</f>
        <v>0</v>
      </c>
      <c r="AI62" s="34">
        <f>IFERROR(s_RadSpec!$J$27*(AI$27*$B62),".")</f>
        <v>0</v>
      </c>
      <c r="AJ62" s="34">
        <f>IFERROR(s_RadSpec!$J$27*(AJ$27*$B62),".")</f>
        <v>0</v>
      </c>
      <c r="AK62" s="34">
        <f>IFERROR(s_RadSpec!$J$27*(AK$27*$B62),".")</f>
        <v>0</v>
      </c>
      <c r="AL62" s="34">
        <f>IFERROR(s_RadSpec!$J$27*(AL$27*$B62),".")</f>
        <v>0</v>
      </c>
      <c r="AM62" s="34">
        <f>IFERROR(s_RadSpec!$J$27*(AM$27*$B62),".")</f>
        <v>0</v>
      </c>
      <c r="AN62" s="34">
        <f>IFERROR(s_RadSpec!$J$27*(AN$27*$B62),".")</f>
        <v>0</v>
      </c>
      <c r="AO62" s="34">
        <f>IFERROR(s_RadSpec!$J$27*(AO$27*$B62),".")</f>
        <v>0</v>
      </c>
      <c r="AP62" s="34">
        <f>IFERROR(s_RadSpec!$J$27*(AP$27*$B62),".")</f>
        <v>0</v>
      </c>
      <c r="AQ62" s="34">
        <f>IFERROR(s_RadSpec!$J$27*(AQ$27*$B62),".")</f>
        <v>0</v>
      </c>
      <c r="AR62" s="34">
        <f>IFERROR(s_RadSpec!$J$27*(AR$27*$B62),".")</f>
        <v>0</v>
      </c>
      <c r="AS62" s="34">
        <f>IFERROR(s_RadSpec!$J$27*(AS$27*$B62),".")</f>
        <v>0</v>
      </c>
      <c r="AT62" s="34">
        <f>IFERROR(s_RadSpec!$J$27*(AT$27*$B62),".")</f>
        <v>0</v>
      </c>
      <c r="AU62" s="34">
        <f>IFERROR(s_RadSpec!$J$27*(AU$27*$B62),".")</f>
        <v>0</v>
      </c>
      <c r="AV62" s="34">
        <f>IFERROR(s_RadSpec!$J$27*(AV$27*$B62),".")</f>
        <v>0</v>
      </c>
      <c r="AW62" s="34">
        <f>IFERROR(s_RadSpec!$J$27*(AW$27*$B62),".")</f>
        <v>0</v>
      </c>
      <c r="AX62" s="34">
        <f>IFERROR(s_RadSpec!$J$27*(AX$27*$B62),".")</f>
        <v>0</v>
      </c>
      <c r="AY62" s="34">
        <f>IFERROR(s_RadSpec!$J$27*(AY$27*$B62),".")</f>
        <v>0</v>
      </c>
      <c r="AZ62" s="34">
        <f>IFERROR(s_RadSpec!$J$27*(AZ$27*$B62),".")</f>
        <v>0</v>
      </c>
      <c r="BA62" s="42">
        <f t="shared" ref="BA62:BY62" si="139">IFERROR(BA27/$B62,0)</f>
        <v>0</v>
      </c>
      <c r="BB62" s="42">
        <f t="shared" si="139"/>
        <v>0</v>
      </c>
      <c r="BC62" s="42">
        <f t="shared" si="139"/>
        <v>0</v>
      </c>
      <c r="BD62" s="42">
        <f t="shared" si="139"/>
        <v>0</v>
      </c>
      <c r="BE62" s="42">
        <f t="shared" si="139"/>
        <v>0</v>
      </c>
      <c r="BF62" s="42">
        <f t="shared" si="139"/>
        <v>0</v>
      </c>
      <c r="BG62" s="42">
        <f t="shared" si="139"/>
        <v>0</v>
      </c>
      <c r="BH62" s="42">
        <f t="shared" si="139"/>
        <v>0</v>
      </c>
      <c r="BI62" s="42">
        <f t="shared" si="139"/>
        <v>0</v>
      </c>
      <c r="BJ62" s="42">
        <f t="shared" si="139"/>
        <v>0</v>
      </c>
      <c r="BK62" s="42">
        <f t="shared" si="139"/>
        <v>0</v>
      </c>
      <c r="BL62" s="42">
        <f t="shared" si="139"/>
        <v>0</v>
      </c>
      <c r="BM62" s="42">
        <f t="shared" si="139"/>
        <v>0</v>
      </c>
      <c r="BN62" s="42">
        <f t="shared" si="139"/>
        <v>0</v>
      </c>
      <c r="BO62" s="42">
        <f t="shared" si="139"/>
        <v>0</v>
      </c>
      <c r="BP62" s="42">
        <f t="shared" si="139"/>
        <v>0</v>
      </c>
      <c r="BQ62" s="42">
        <f t="shared" si="139"/>
        <v>0</v>
      </c>
      <c r="BR62" s="42">
        <f t="shared" si="139"/>
        <v>0</v>
      </c>
      <c r="BS62" s="42">
        <f t="shared" si="139"/>
        <v>0</v>
      </c>
      <c r="BT62" s="42">
        <f t="shared" si="139"/>
        <v>0</v>
      </c>
      <c r="BU62" s="42">
        <f t="shared" si="139"/>
        <v>0</v>
      </c>
      <c r="BV62" s="42">
        <f t="shared" si="139"/>
        <v>0</v>
      </c>
      <c r="BW62" s="42">
        <f t="shared" si="139"/>
        <v>0</v>
      </c>
      <c r="BX62" s="42">
        <f t="shared" si="139"/>
        <v>0</v>
      </c>
      <c r="BY62" s="42">
        <f t="shared" si="139"/>
        <v>0</v>
      </c>
      <c r="BZ62" s="34">
        <f t="shared" si="35"/>
        <v>0</v>
      </c>
      <c r="CA62" s="34">
        <f>IFERROR(s_RadSpec!$J$27*(CA$27*$B62),".")</f>
        <v>0</v>
      </c>
      <c r="CB62" s="34">
        <f>IFERROR(s_RadSpec!$J$27*(CB$27*$B62),".")</f>
        <v>0</v>
      </c>
      <c r="CC62" s="34">
        <f>IFERROR(s_RadSpec!$J$27*(CC$27*$B62),".")</f>
        <v>0</v>
      </c>
      <c r="CD62" s="34">
        <f>IFERROR(s_RadSpec!$J$27*(CD$27*$B62),".")</f>
        <v>0</v>
      </c>
      <c r="CE62" s="34">
        <f>IFERROR(s_RadSpec!$J$27*(CE$27*$B62),".")</f>
        <v>0</v>
      </c>
      <c r="CF62" s="34">
        <f>IFERROR(s_RadSpec!$J$27*(CF$27*$B62),".")</f>
        <v>0</v>
      </c>
      <c r="CG62" s="34">
        <f>IFERROR(s_RadSpec!$J$27*(CG$27*$B62),".")</f>
        <v>0</v>
      </c>
      <c r="CH62" s="34">
        <f>IFERROR(s_RadSpec!$J$27*(CH$27*$B62),".")</f>
        <v>0</v>
      </c>
      <c r="CI62" s="34">
        <f>IFERROR(s_RadSpec!$J$27*(CI$27*$B62),".")</f>
        <v>0</v>
      </c>
      <c r="CJ62" s="34">
        <f>IFERROR(s_RadSpec!$J$27*(CJ$27*$B62),".")</f>
        <v>0</v>
      </c>
      <c r="CK62" s="34">
        <f>IFERROR(s_RadSpec!$J$27*(CK$27*$B62),".")</f>
        <v>0</v>
      </c>
      <c r="CL62" s="34">
        <f>IFERROR(s_RadSpec!$J$27*(CL$27*$B62),".")</f>
        <v>0</v>
      </c>
      <c r="CM62" s="34">
        <f>IFERROR(s_RadSpec!$J$27*(CM$27*$B62),".")</f>
        <v>0</v>
      </c>
      <c r="CN62" s="34">
        <f>IFERROR(s_RadSpec!$J$27*(CN$27*$B62),".")</f>
        <v>0</v>
      </c>
      <c r="CO62" s="34">
        <f>IFERROR(s_RadSpec!$J$27*(CO$27*$B62),".")</f>
        <v>0</v>
      </c>
      <c r="CP62" s="34">
        <f>IFERROR(s_RadSpec!$J$27*(CP$27*$B62),".")</f>
        <v>0</v>
      </c>
      <c r="CQ62" s="34">
        <f>IFERROR(s_RadSpec!$J$27*(CQ$27*$B62),".")</f>
        <v>0</v>
      </c>
      <c r="CR62" s="34">
        <f>IFERROR(s_RadSpec!$J$27*(CR$27*$B62),".")</f>
        <v>0</v>
      </c>
      <c r="CS62" s="34">
        <f>IFERROR(s_RadSpec!$J$27*(CS$27*$B62),".")</f>
        <v>0</v>
      </c>
      <c r="CT62" s="34">
        <f>IFERROR(s_RadSpec!$J$27*(CT$27*$B62),".")</f>
        <v>0</v>
      </c>
      <c r="CU62" s="34">
        <f>IFERROR(s_RadSpec!$J$27*(CU$27*$B62),".")</f>
        <v>0</v>
      </c>
      <c r="CV62" s="34">
        <f>IFERROR(s_RadSpec!$J$27*(CV$27*$B62),".")</f>
        <v>0</v>
      </c>
      <c r="CW62" s="34">
        <f>IFERROR(s_RadSpec!$J$27*(CW$27*$B62),".")</f>
        <v>0</v>
      </c>
      <c r="CX62" s="34">
        <f>IFERROR(s_RadSpec!$J$27*(CX$27*$B62),".")</f>
        <v>0</v>
      </c>
    </row>
    <row r="63" spans="1:102" s="3" customFormat="1" x14ac:dyDescent="0.25">
      <c r="A63" s="54" t="s">
        <v>23</v>
      </c>
      <c r="B63" s="54" t="s">
        <v>1059</v>
      </c>
      <c r="C63" s="40">
        <f t="shared" ref="C63:AA63" si="140">1/SUM(1/C66,1/C68,1/C72,1/C73,1/C75)</f>
        <v>8.3986171831158245</v>
      </c>
      <c r="D63" s="40">
        <f t="shared" si="140"/>
        <v>25.851777116994679</v>
      </c>
      <c r="E63" s="40">
        <f t="shared" si="140"/>
        <v>17.43180566924163</v>
      </c>
      <c r="F63" s="40">
        <f t="shared" si="140"/>
        <v>23.811803675855522</v>
      </c>
      <c r="G63" s="40">
        <f t="shared" si="140"/>
        <v>25.851777116994679</v>
      </c>
      <c r="H63" s="40">
        <f t="shared" si="140"/>
        <v>25.115216054981939</v>
      </c>
      <c r="I63" s="40">
        <f t="shared" si="140"/>
        <v>17.43180566924163</v>
      </c>
      <c r="J63" s="40">
        <f t="shared" si="140"/>
        <v>23.811803675855522</v>
      </c>
      <c r="K63" s="40">
        <f t="shared" si="140"/>
        <v>25.851777116994679</v>
      </c>
      <c r="L63" s="40">
        <f t="shared" si="140"/>
        <v>27.24720358028107</v>
      </c>
      <c r="M63" s="40">
        <f t="shared" si="140"/>
        <v>25.115216054981939</v>
      </c>
      <c r="N63" s="40">
        <f t="shared" si="140"/>
        <v>17.43180566924163</v>
      </c>
      <c r="O63" s="40">
        <f t="shared" si="140"/>
        <v>26.565413217525709</v>
      </c>
      <c r="P63" s="40">
        <f t="shared" si="140"/>
        <v>25.115216054981939</v>
      </c>
      <c r="Q63" s="40">
        <f t="shared" si="140"/>
        <v>25.115216054981939</v>
      </c>
      <c r="R63" s="40">
        <f t="shared" si="140"/>
        <v>25.851777116994679</v>
      </c>
      <c r="S63" s="40">
        <f t="shared" si="140"/>
        <v>25.851777116994679</v>
      </c>
      <c r="T63" s="40">
        <f t="shared" si="140"/>
        <v>26.565413217525709</v>
      </c>
      <c r="U63" s="40">
        <f t="shared" si="140"/>
        <v>26.506571047909294</v>
      </c>
      <c r="V63" s="40">
        <f t="shared" si="140"/>
        <v>25.115216054981939</v>
      </c>
      <c r="W63" s="40">
        <f t="shared" si="140"/>
        <v>26.565413217525709</v>
      </c>
      <c r="X63" s="40">
        <f t="shared" si="140"/>
        <v>25.851777116994679</v>
      </c>
      <c r="Y63" s="40">
        <f t="shared" si="140"/>
        <v>25.115216054981939</v>
      </c>
      <c r="Z63" s="40">
        <f t="shared" si="140"/>
        <v>24.119258814399561</v>
      </c>
      <c r="AA63" s="40">
        <f t="shared" si="140"/>
        <v>25.690749820967337</v>
      </c>
      <c r="AB63" s="33">
        <f>SUM(AC63,AY63:AZ63)</f>
        <v>2.9766805004827219</v>
      </c>
      <c r="AC63" s="33">
        <f>IFERROR(SUM(AC64:AC76),".")</f>
        <v>0.96705150624114244</v>
      </c>
      <c r="AD63" s="33">
        <f t="shared" ref="AD63:AZ63" si="141">IFERROR(SUM(AD64:AD76),".")</f>
        <v>1.4341600907192551</v>
      </c>
      <c r="AE63" s="33">
        <f t="shared" si="141"/>
        <v>1.0498994675211972</v>
      </c>
      <c r="AF63" s="33">
        <f t="shared" si="141"/>
        <v>0.96705150624114244</v>
      </c>
      <c r="AG63" s="33">
        <f t="shared" si="141"/>
        <v>0.99541249994705572</v>
      </c>
      <c r="AH63" s="33">
        <f t="shared" si="141"/>
        <v>1.4341600907192551</v>
      </c>
      <c r="AI63" s="33">
        <f t="shared" si="141"/>
        <v>1.0498994675211972</v>
      </c>
      <c r="AJ63" s="33">
        <f t="shared" si="141"/>
        <v>0.96705150624114244</v>
      </c>
      <c r="AK63" s="33">
        <f t="shared" si="141"/>
        <v>0.91752534994426438</v>
      </c>
      <c r="AL63" s="33">
        <f t="shared" si="141"/>
        <v>0.99541249994705572</v>
      </c>
      <c r="AM63" s="33">
        <f t="shared" si="141"/>
        <v>1.4341600907192551</v>
      </c>
      <c r="AN63" s="33">
        <f t="shared" si="141"/>
        <v>0.94107325925226037</v>
      </c>
      <c r="AO63" s="33">
        <f t="shared" si="141"/>
        <v>0.99541249994705572</v>
      </c>
      <c r="AP63" s="33">
        <f t="shared" si="141"/>
        <v>0.99541249994705572</v>
      </c>
      <c r="AQ63" s="33">
        <f t="shared" si="141"/>
        <v>0.96705150624114244</v>
      </c>
      <c r="AR63" s="33">
        <f t="shared" si="141"/>
        <v>0.96705150624114244</v>
      </c>
      <c r="AS63" s="33">
        <f t="shared" si="141"/>
        <v>0.94107325925226037</v>
      </c>
      <c r="AT63" s="33">
        <f t="shared" si="141"/>
        <v>0.94316235603668841</v>
      </c>
      <c r="AU63" s="33">
        <f t="shared" si="141"/>
        <v>0.99541249994705572</v>
      </c>
      <c r="AV63" s="33">
        <f t="shared" si="141"/>
        <v>0.94107325925226037</v>
      </c>
      <c r="AW63" s="33">
        <f t="shared" si="141"/>
        <v>0.96705150624114244</v>
      </c>
      <c r="AX63" s="33">
        <f t="shared" si="141"/>
        <v>0.99541249994705572</v>
      </c>
      <c r="AY63" s="33">
        <f t="shared" si="141"/>
        <v>1.0365160966337248</v>
      </c>
      <c r="AZ63" s="33">
        <f t="shared" si="141"/>
        <v>0.97311289760785469</v>
      </c>
      <c r="BA63" s="40">
        <f t="shared" ref="BA63:BY63" si="142">1/SUM(1/BA66,1/BA68,1/BA72,1/BA73,1/BA75)</f>
        <v>8.3986171831158245</v>
      </c>
      <c r="BB63" s="40">
        <f t="shared" si="142"/>
        <v>25.851777116994679</v>
      </c>
      <c r="BC63" s="40">
        <f t="shared" si="142"/>
        <v>17.43180566924163</v>
      </c>
      <c r="BD63" s="40">
        <f t="shared" si="142"/>
        <v>23.811803675855522</v>
      </c>
      <c r="BE63" s="40">
        <f t="shared" si="142"/>
        <v>25.851777116994679</v>
      </c>
      <c r="BF63" s="40">
        <f t="shared" si="142"/>
        <v>25.115216054981939</v>
      </c>
      <c r="BG63" s="40">
        <f t="shared" si="142"/>
        <v>17.43180566924163</v>
      </c>
      <c r="BH63" s="40">
        <f t="shared" si="142"/>
        <v>23.811803675855522</v>
      </c>
      <c r="BI63" s="40">
        <f t="shared" si="142"/>
        <v>25.851777116994679</v>
      </c>
      <c r="BJ63" s="40">
        <f t="shared" si="142"/>
        <v>27.24720358028107</v>
      </c>
      <c r="BK63" s="40">
        <f t="shared" si="142"/>
        <v>25.115216054981939</v>
      </c>
      <c r="BL63" s="40">
        <f t="shared" si="142"/>
        <v>17.43180566924163</v>
      </c>
      <c r="BM63" s="40">
        <f t="shared" si="142"/>
        <v>26.565413217525709</v>
      </c>
      <c r="BN63" s="40">
        <f t="shared" si="142"/>
        <v>25.115216054981939</v>
      </c>
      <c r="BO63" s="40">
        <f t="shared" si="142"/>
        <v>25.115216054981939</v>
      </c>
      <c r="BP63" s="40">
        <f t="shared" si="142"/>
        <v>25.851777116994679</v>
      </c>
      <c r="BQ63" s="40">
        <f t="shared" si="142"/>
        <v>25.851777116994679</v>
      </c>
      <c r="BR63" s="40">
        <f t="shared" si="142"/>
        <v>26.565413217525709</v>
      </c>
      <c r="BS63" s="40">
        <f t="shared" si="142"/>
        <v>26.506571047909294</v>
      </c>
      <c r="BT63" s="40">
        <f t="shared" si="142"/>
        <v>25.115216054981939</v>
      </c>
      <c r="BU63" s="40">
        <f t="shared" si="142"/>
        <v>26.565413217525709</v>
      </c>
      <c r="BV63" s="40">
        <f t="shared" si="142"/>
        <v>25.851777116994679</v>
      </c>
      <c r="BW63" s="40">
        <f t="shared" si="142"/>
        <v>25.115216054981939</v>
      </c>
      <c r="BX63" s="40">
        <f t="shared" si="142"/>
        <v>24.119258814399561</v>
      </c>
      <c r="BY63" s="40">
        <f t="shared" si="142"/>
        <v>25.690749820967337</v>
      </c>
      <c r="BZ63" s="33">
        <f>SUM(CA63,CW63:CX63)</f>
        <v>2.9766805004827219</v>
      </c>
      <c r="CA63" s="33">
        <f>IFERROR(SUM(CA64:CA76),".")</f>
        <v>0.96705150624114244</v>
      </c>
      <c r="CB63" s="33">
        <f t="shared" ref="CB63" si="143">IFERROR(SUM(CB64:CB76),".")</f>
        <v>1.4341600907192551</v>
      </c>
      <c r="CC63" s="33">
        <f t="shared" ref="CC63" si="144">IFERROR(SUM(CC64:CC76),".")</f>
        <v>1.0498994675211972</v>
      </c>
      <c r="CD63" s="33">
        <f t="shared" ref="CD63" si="145">IFERROR(SUM(CD64:CD76),".")</f>
        <v>0.96705150624114244</v>
      </c>
      <c r="CE63" s="33">
        <f t="shared" ref="CE63" si="146">IFERROR(SUM(CE64:CE76),".")</f>
        <v>0.99541249994705572</v>
      </c>
      <c r="CF63" s="33">
        <f t="shared" ref="CF63" si="147">IFERROR(SUM(CF64:CF76),".")</f>
        <v>1.4341600907192551</v>
      </c>
      <c r="CG63" s="33">
        <f t="shared" ref="CG63" si="148">IFERROR(SUM(CG64:CG76),".")</f>
        <v>1.0498994675211972</v>
      </c>
      <c r="CH63" s="33">
        <f t="shared" ref="CH63" si="149">IFERROR(SUM(CH64:CH76),".")</f>
        <v>0.96705150624114244</v>
      </c>
      <c r="CI63" s="33">
        <f t="shared" ref="CI63" si="150">IFERROR(SUM(CI64:CI76),".")</f>
        <v>0.91752534994426438</v>
      </c>
      <c r="CJ63" s="33">
        <f t="shared" ref="CJ63" si="151">IFERROR(SUM(CJ64:CJ76),".")</f>
        <v>0.99541249994705572</v>
      </c>
      <c r="CK63" s="33">
        <f t="shared" ref="CK63" si="152">IFERROR(SUM(CK64:CK76),".")</f>
        <v>1.4341600907192551</v>
      </c>
      <c r="CL63" s="33">
        <f t="shared" ref="CL63" si="153">IFERROR(SUM(CL64:CL76),".")</f>
        <v>0.94107325925226037</v>
      </c>
      <c r="CM63" s="33">
        <f t="shared" ref="CM63" si="154">IFERROR(SUM(CM64:CM76),".")</f>
        <v>0.99541249994705572</v>
      </c>
      <c r="CN63" s="33">
        <f t="shared" ref="CN63" si="155">IFERROR(SUM(CN64:CN76),".")</f>
        <v>0.99541249994705572</v>
      </c>
      <c r="CO63" s="33">
        <f t="shared" ref="CO63" si="156">IFERROR(SUM(CO64:CO76),".")</f>
        <v>0.96705150624114244</v>
      </c>
      <c r="CP63" s="33">
        <f t="shared" ref="CP63" si="157">IFERROR(SUM(CP64:CP76),".")</f>
        <v>0.96705150624114244</v>
      </c>
      <c r="CQ63" s="33">
        <f t="shared" ref="CQ63" si="158">IFERROR(SUM(CQ64:CQ76),".")</f>
        <v>0.94107325925226037</v>
      </c>
      <c r="CR63" s="33">
        <f t="shared" ref="CR63" si="159">IFERROR(SUM(CR64:CR76),".")</f>
        <v>0.94316235603668841</v>
      </c>
      <c r="CS63" s="33">
        <f t="shared" ref="CS63" si="160">IFERROR(SUM(CS64:CS76),".")</f>
        <v>0.99541249994705572</v>
      </c>
      <c r="CT63" s="33">
        <f t="shared" ref="CT63" si="161">IFERROR(SUM(CT64:CT76),".")</f>
        <v>0.94107325925226037</v>
      </c>
      <c r="CU63" s="33">
        <f t="shared" ref="CU63" si="162">IFERROR(SUM(CU64:CU76),".")</f>
        <v>0.96705150624114244</v>
      </c>
      <c r="CV63" s="33">
        <f t="shared" ref="CV63" si="163">IFERROR(SUM(CV64:CV76),".")</f>
        <v>0.99541249994705572</v>
      </c>
      <c r="CW63" s="33">
        <f t="shared" ref="CW63" si="164">IFERROR(SUM(CW64:CW76),".")</f>
        <v>1.0365160966337248</v>
      </c>
      <c r="CX63" s="33">
        <f t="shared" ref="CX63" si="165">IFERROR(SUM(CX64:CX76),".")</f>
        <v>0.97311289760785469</v>
      </c>
    </row>
    <row r="64" spans="1:102" s="3" customFormat="1" x14ac:dyDescent="0.25">
      <c r="A64" s="55" t="s">
        <v>1075</v>
      </c>
      <c r="B64" s="3">
        <v>1</v>
      </c>
      <c r="C64" s="42">
        <f t="shared" ref="C64:AA64" si="166">IFERROR(C25/$B50,0)</f>
        <v>0</v>
      </c>
      <c r="D64" s="42">
        <f t="shared" si="166"/>
        <v>0</v>
      </c>
      <c r="E64" s="42">
        <f t="shared" si="166"/>
        <v>0</v>
      </c>
      <c r="F64" s="42">
        <f t="shared" si="166"/>
        <v>0</v>
      </c>
      <c r="G64" s="42">
        <f t="shared" si="166"/>
        <v>0</v>
      </c>
      <c r="H64" s="42">
        <f t="shared" si="166"/>
        <v>0</v>
      </c>
      <c r="I64" s="42">
        <f t="shared" si="166"/>
        <v>0</v>
      </c>
      <c r="J64" s="42">
        <f t="shared" si="166"/>
        <v>0</v>
      </c>
      <c r="K64" s="42">
        <f t="shared" si="166"/>
        <v>0</v>
      </c>
      <c r="L64" s="42">
        <f t="shared" si="166"/>
        <v>0</v>
      </c>
      <c r="M64" s="42">
        <f t="shared" si="166"/>
        <v>0</v>
      </c>
      <c r="N64" s="42">
        <f t="shared" si="166"/>
        <v>0</v>
      </c>
      <c r="O64" s="42">
        <f t="shared" si="166"/>
        <v>0</v>
      </c>
      <c r="P64" s="42">
        <f t="shared" si="166"/>
        <v>0</v>
      </c>
      <c r="Q64" s="42">
        <f t="shared" si="166"/>
        <v>0</v>
      </c>
      <c r="R64" s="42">
        <f t="shared" si="166"/>
        <v>0</v>
      </c>
      <c r="S64" s="42">
        <f t="shared" si="166"/>
        <v>0</v>
      </c>
      <c r="T64" s="42">
        <f t="shared" si="166"/>
        <v>0</v>
      </c>
      <c r="U64" s="42">
        <f t="shared" si="166"/>
        <v>0</v>
      </c>
      <c r="V64" s="42">
        <f t="shared" si="166"/>
        <v>0</v>
      </c>
      <c r="W64" s="42">
        <f t="shared" si="166"/>
        <v>0</v>
      </c>
      <c r="X64" s="42">
        <f t="shared" si="166"/>
        <v>0</v>
      </c>
      <c r="Y64" s="42">
        <f t="shared" si="166"/>
        <v>0</v>
      </c>
      <c r="Z64" s="42">
        <f t="shared" si="166"/>
        <v>0</v>
      </c>
      <c r="AA64" s="42">
        <f t="shared" si="166"/>
        <v>0</v>
      </c>
      <c r="AB64" s="34">
        <f t="shared" si="33"/>
        <v>0</v>
      </c>
      <c r="AC64" s="34" t="str">
        <f>IFERROR(s_RadSpec!$J$25*(AC$25*$B64),".")</f>
        <v>.</v>
      </c>
      <c r="AD64" s="34" t="str">
        <f>IFERROR(s_RadSpec!$J$25*(AD$25*$B64),".")</f>
        <v>.</v>
      </c>
      <c r="AE64" s="34" t="str">
        <f>IFERROR(s_RadSpec!$J$25*(AE$25*$B64),".")</f>
        <v>.</v>
      </c>
      <c r="AF64" s="34" t="str">
        <f>IFERROR(s_RadSpec!$J$25*(AF$25*$B64),".")</f>
        <v>.</v>
      </c>
      <c r="AG64" s="34" t="str">
        <f>IFERROR(s_RadSpec!$J$25*(AG$25*$B64),".")</f>
        <v>.</v>
      </c>
      <c r="AH64" s="34" t="str">
        <f>IFERROR(s_RadSpec!$J$25*(AH$25*$B64),".")</f>
        <v>.</v>
      </c>
      <c r="AI64" s="34" t="str">
        <f>IFERROR(s_RadSpec!$J$25*(AI$25*$B64),".")</f>
        <v>.</v>
      </c>
      <c r="AJ64" s="34" t="str">
        <f>IFERROR(s_RadSpec!$J$25*(AJ$25*$B64),".")</f>
        <v>.</v>
      </c>
      <c r="AK64" s="34" t="str">
        <f>IFERROR(s_RadSpec!$J$25*(AK$25*$B64),".")</f>
        <v>.</v>
      </c>
      <c r="AL64" s="34" t="str">
        <f>IFERROR(s_RadSpec!$J$25*(AL$25*$B64),".")</f>
        <v>.</v>
      </c>
      <c r="AM64" s="34" t="str">
        <f>IFERROR(s_RadSpec!$J$25*(AM$25*$B64),".")</f>
        <v>.</v>
      </c>
      <c r="AN64" s="34" t="str">
        <f>IFERROR(s_RadSpec!$J$25*(AN$25*$B64),".")</f>
        <v>.</v>
      </c>
      <c r="AO64" s="34" t="str">
        <f>IFERROR(s_RadSpec!$J$25*(AO$25*$B64),".")</f>
        <v>.</v>
      </c>
      <c r="AP64" s="34" t="str">
        <f>IFERROR(s_RadSpec!$J$25*(AP$25*$B64),".")</f>
        <v>.</v>
      </c>
      <c r="AQ64" s="34" t="str">
        <f>IFERROR(s_RadSpec!$J$25*(AQ$25*$B64),".")</f>
        <v>.</v>
      </c>
      <c r="AR64" s="34" t="str">
        <f>IFERROR(s_RadSpec!$J$25*(AR$25*$B64),".")</f>
        <v>.</v>
      </c>
      <c r="AS64" s="34" t="str">
        <f>IFERROR(s_RadSpec!$J$25*(AS$25*$B64),".")</f>
        <v>.</v>
      </c>
      <c r="AT64" s="34" t="str">
        <f>IFERROR(s_RadSpec!$J$25*(AT$25*$B64),".")</f>
        <v>.</v>
      </c>
      <c r="AU64" s="34" t="str">
        <f>IFERROR(s_RadSpec!$J$25*(AU$25*$B64),".")</f>
        <v>.</v>
      </c>
      <c r="AV64" s="34" t="str">
        <f>IFERROR(s_RadSpec!$J$25*(AV$25*$B64),".")</f>
        <v>.</v>
      </c>
      <c r="AW64" s="34" t="str">
        <f>IFERROR(s_RadSpec!$J$25*(AW$25*$B64),".")</f>
        <v>.</v>
      </c>
      <c r="AX64" s="34" t="str">
        <f>IFERROR(s_RadSpec!$J$25*(AX$25*$B64),".")</f>
        <v>.</v>
      </c>
      <c r="AY64" s="34" t="str">
        <f>IFERROR(s_RadSpec!$J$25*(AY$25*$B64),".")</f>
        <v>.</v>
      </c>
      <c r="AZ64" s="34" t="str">
        <f>IFERROR(s_RadSpec!$J$25*(AZ$25*$B64),".")</f>
        <v>.</v>
      </c>
      <c r="BA64" s="42">
        <f t="shared" ref="BA64:BY64" si="167">IFERROR(BA25/$B50,0)</f>
        <v>0</v>
      </c>
      <c r="BB64" s="42">
        <f t="shared" si="167"/>
        <v>0</v>
      </c>
      <c r="BC64" s="42">
        <f t="shared" si="167"/>
        <v>0</v>
      </c>
      <c r="BD64" s="42">
        <f t="shared" si="167"/>
        <v>0</v>
      </c>
      <c r="BE64" s="42">
        <f t="shared" si="167"/>
        <v>0</v>
      </c>
      <c r="BF64" s="42">
        <f t="shared" si="167"/>
        <v>0</v>
      </c>
      <c r="BG64" s="42">
        <f t="shared" si="167"/>
        <v>0</v>
      </c>
      <c r="BH64" s="42">
        <f t="shared" si="167"/>
        <v>0</v>
      </c>
      <c r="BI64" s="42">
        <f t="shared" si="167"/>
        <v>0</v>
      </c>
      <c r="BJ64" s="42">
        <f t="shared" si="167"/>
        <v>0</v>
      </c>
      <c r="BK64" s="42">
        <f t="shared" si="167"/>
        <v>0</v>
      </c>
      <c r="BL64" s="42">
        <f t="shared" si="167"/>
        <v>0</v>
      </c>
      <c r="BM64" s="42">
        <f t="shared" si="167"/>
        <v>0</v>
      </c>
      <c r="BN64" s="42">
        <f t="shared" si="167"/>
        <v>0</v>
      </c>
      <c r="BO64" s="42">
        <f t="shared" si="167"/>
        <v>0</v>
      </c>
      <c r="BP64" s="42">
        <f t="shared" si="167"/>
        <v>0</v>
      </c>
      <c r="BQ64" s="42">
        <f t="shared" si="167"/>
        <v>0</v>
      </c>
      <c r="BR64" s="42">
        <f t="shared" si="167"/>
        <v>0</v>
      </c>
      <c r="BS64" s="42">
        <f t="shared" si="167"/>
        <v>0</v>
      </c>
      <c r="BT64" s="42">
        <f t="shared" si="167"/>
        <v>0</v>
      </c>
      <c r="BU64" s="42">
        <f t="shared" si="167"/>
        <v>0</v>
      </c>
      <c r="BV64" s="42">
        <f t="shared" si="167"/>
        <v>0</v>
      </c>
      <c r="BW64" s="42">
        <f t="shared" si="167"/>
        <v>0</v>
      </c>
      <c r="BX64" s="42">
        <f t="shared" si="167"/>
        <v>0</v>
      </c>
      <c r="BY64" s="42">
        <f t="shared" si="167"/>
        <v>0</v>
      </c>
      <c r="BZ64" s="34">
        <f t="shared" ref="BZ64:BZ65" si="168">SUM(CA64,CW64:CX64)</f>
        <v>0</v>
      </c>
      <c r="CA64" s="34" t="str">
        <f>IFERROR(s_RadSpec!$J$25*(CA$25*$B64),".")</f>
        <v>.</v>
      </c>
      <c r="CB64" s="34" t="str">
        <f>IFERROR(s_RadSpec!$J$25*(CB$25*$B64),".")</f>
        <v>.</v>
      </c>
      <c r="CC64" s="34" t="str">
        <f>IFERROR(s_RadSpec!$J$25*(CC$25*$B64),".")</f>
        <v>.</v>
      </c>
      <c r="CD64" s="34" t="str">
        <f>IFERROR(s_RadSpec!$J$25*(CD$25*$B64),".")</f>
        <v>.</v>
      </c>
      <c r="CE64" s="34" t="str">
        <f>IFERROR(s_RadSpec!$J$25*(CE$25*$B64),".")</f>
        <v>.</v>
      </c>
      <c r="CF64" s="34" t="str">
        <f>IFERROR(s_RadSpec!$J$25*(CF$25*$B64),".")</f>
        <v>.</v>
      </c>
      <c r="CG64" s="34" t="str">
        <f>IFERROR(s_RadSpec!$J$25*(CG$25*$B64),".")</f>
        <v>.</v>
      </c>
      <c r="CH64" s="34" t="str">
        <f>IFERROR(s_RadSpec!$J$25*(CH$25*$B64),".")</f>
        <v>.</v>
      </c>
      <c r="CI64" s="34" t="str">
        <f>IFERROR(s_RadSpec!$J$25*(CI$25*$B64),".")</f>
        <v>.</v>
      </c>
      <c r="CJ64" s="34" t="str">
        <f>IFERROR(s_RadSpec!$J$25*(CJ$25*$B64),".")</f>
        <v>.</v>
      </c>
      <c r="CK64" s="34" t="str">
        <f>IFERROR(s_RadSpec!$J$25*(CK$25*$B64),".")</f>
        <v>.</v>
      </c>
      <c r="CL64" s="34" t="str">
        <f>IFERROR(s_RadSpec!$J$25*(CL$25*$B64),".")</f>
        <v>.</v>
      </c>
      <c r="CM64" s="34" t="str">
        <f>IFERROR(s_RadSpec!$J$25*(CM$25*$B64),".")</f>
        <v>.</v>
      </c>
      <c r="CN64" s="34" t="str">
        <f>IFERROR(s_RadSpec!$J$25*(CN$25*$B64),".")</f>
        <v>.</v>
      </c>
      <c r="CO64" s="34" t="str">
        <f>IFERROR(s_RadSpec!$J$25*(CO$25*$B64),".")</f>
        <v>.</v>
      </c>
      <c r="CP64" s="34" t="str">
        <f>IFERROR(s_RadSpec!$J$25*(CP$25*$B64),".")</f>
        <v>.</v>
      </c>
      <c r="CQ64" s="34" t="str">
        <f>IFERROR(s_RadSpec!$J$25*(CQ$25*$B64),".")</f>
        <v>.</v>
      </c>
      <c r="CR64" s="34" t="str">
        <f>IFERROR(s_RadSpec!$J$25*(CR$25*$B64),".")</f>
        <v>.</v>
      </c>
      <c r="CS64" s="34" t="str">
        <f>IFERROR(s_RadSpec!$J$25*(CS$25*$B64),".")</f>
        <v>.</v>
      </c>
      <c r="CT64" s="34" t="str">
        <f>IFERROR(s_RadSpec!$J$25*(CT$25*$B64),".")</f>
        <v>.</v>
      </c>
      <c r="CU64" s="34" t="str">
        <f>IFERROR(s_RadSpec!$J$25*(CU$25*$B64),".")</f>
        <v>.</v>
      </c>
      <c r="CV64" s="34" t="str">
        <f>IFERROR(s_RadSpec!$J$25*(CV$25*$B64),".")</f>
        <v>.</v>
      </c>
      <c r="CW64" s="34" t="str">
        <f>IFERROR(s_RadSpec!$J$25*(CW$25*$B64),".")</f>
        <v>.</v>
      </c>
      <c r="CX64" s="34" t="str">
        <f>IFERROR(s_RadSpec!$J$25*(CX$25*$B64),".")</f>
        <v>.</v>
      </c>
    </row>
    <row r="65" spans="1:102" s="3" customFormat="1" x14ac:dyDescent="0.25">
      <c r="A65" s="55" t="s">
        <v>1061</v>
      </c>
      <c r="B65" s="3">
        <v>1</v>
      </c>
      <c r="C65" s="42">
        <f t="shared" ref="C65:AA65" si="169">IFERROR(C21/$B51,0)</f>
        <v>0</v>
      </c>
      <c r="D65" s="42">
        <f t="shared" si="169"/>
        <v>0</v>
      </c>
      <c r="E65" s="42">
        <f t="shared" si="169"/>
        <v>0</v>
      </c>
      <c r="F65" s="42">
        <f t="shared" si="169"/>
        <v>0</v>
      </c>
      <c r="G65" s="42">
        <f t="shared" si="169"/>
        <v>0</v>
      </c>
      <c r="H65" s="42">
        <f t="shared" si="169"/>
        <v>0</v>
      </c>
      <c r="I65" s="42">
        <f t="shared" si="169"/>
        <v>0</v>
      </c>
      <c r="J65" s="42">
        <f t="shared" si="169"/>
        <v>0</v>
      </c>
      <c r="K65" s="42">
        <f t="shared" si="169"/>
        <v>0</v>
      </c>
      <c r="L65" s="42">
        <f t="shared" si="169"/>
        <v>0</v>
      </c>
      <c r="M65" s="42">
        <f t="shared" si="169"/>
        <v>0</v>
      </c>
      <c r="N65" s="42">
        <f t="shared" si="169"/>
        <v>0</v>
      </c>
      <c r="O65" s="42">
        <f t="shared" si="169"/>
        <v>0</v>
      </c>
      <c r="P65" s="42">
        <f t="shared" si="169"/>
        <v>0</v>
      </c>
      <c r="Q65" s="42">
        <f t="shared" si="169"/>
        <v>0</v>
      </c>
      <c r="R65" s="42">
        <f t="shared" si="169"/>
        <v>0</v>
      </c>
      <c r="S65" s="42">
        <f t="shared" si="169"/>
        <v>0</v>
      </c>
      <c r="T65" s="42">
        <f t="shared" si="169"/>
        <v>0</v>
      </c>
      <c r="U65" s="42">
        <f t="shared" si="169"/>
        <v>0</v>
      </c>
      <c r="V65" s="42">
        <f t="shared" si="169"/>
        <v>0</v>
      </c>
      <c r="W65" s="42">
        <f t="shared" si="169"/>
        <v>0</v>
      </c>
      <c r="X65" s="42">
        <f t="shared" si="169"/>
        <v>0</v>
      </c>
      <c r="Y65" s="42">
        <f t="shared" si="169"/>
        <v>0</v>
      </c>
      <c r="Z65" s="42">
        <f t="shared" si="169"/>
        <v>0</v>
      </c>
      <c r="AA65" s="42">
        <f t="shared" si="169"/>
        <v>0</v>
      </c>
      <c r="AB65" s="34">
        <f t="shared" si="33"/>
        <v>0</v>
      </c>
      <c r="AC65" s="34">
        <f>IFERROR(s_RadSpec!$J$21*(AC$21*$B65),".")</f>
        <v>0</v>
      </c>
      <c r="AD65" s="34">
        <f>IFERROR(s_RadSpec!$J$21*(AD$21*$B65),".")</f>
        <v>0</v>
      </c>
      <c r="AE65" s="34">
        <f>IFERROR(s_RadSpec!$J$21*(AE$21*$B65),".")</f>
        <v>0</v>
      </c>
      <c r="AF65" s="34">
        <f>IFERROR(s_RadSpec!$J$21*(AF$21*$B65),".")</f>
        <v>0</v>
      </c>
      <c r="AG65" s="34">
        <f>IFERROR(s_RadSpec!$J$21*(AG$21*$B65),".")</f>
        <v>0</v>
      </c>
      <c r="AH65" s="34">
        <f>IFERROR(s_RadSpec!$J$21*(AH$21*$B65),".")</f>
        <v>0</v>
      </c>
      <c r="AI65" s="34">
        <f>IFERROR(s_RadSpec!$J$21*(AI$21*$B65),".")</f>
        <v>0</v>
      </c>
      <c r="AJ65" s="34">
        <f>IFERROR(s_RadSpec!$J$21*(AJ$21*$B65),".")</f>
        <v>0</v>
      </c>
      <c r="AK65" s="34">
        <f>IFERROR(s_RadSpec!$J$21*(AK$21*$B65),".")</f>
        <v>0</v>
      </c>
      <c r="AL65" s="34">
        <f>IFERROR(s_RadSpec!$J$21*(AL$21*$B65),".")</f>
        <v>0</v>
      </c>
      <c r="AM65" s="34">
        <f>IFERROR(s_RadSpec!$J$21*(AM$21*$B65),".")</f>
        <v>0</v>
      </c>
      <c r="AN65" s="34">
        <f>IFERROR(s_RadSpec!$J$21*(AN$21*$B65),".")</f>
        <v>0</v>
      </c>
      <c r="AO65" s="34">
        <f>IFERROR(s_RadSpec!$J$21*(AO$21*$B65),".")</f>
        <v>0</v>
      </c>
      <c r="AP65" s="34">
        <f>IFERROR(s_RadSpec!$J$21*(AP$21*$B65),".")</f>
        <v>0</v>
      </c>
      <c r="AQ65" s="34">
        <f>IFERROR(s_RadSpec!$J$21*(AQ$21*$B65),".")</f>
        <v>0</v>
      </c>
      <c r="AR65" s="34">
        <f>IFERROR(s_RadSpec!$J$21*(AR$21*$B65),".")</f>
        <v>0</v>
      </c>
      <c r="AS65" s="34">
        <f>IFERROR(s_RadSpec!$J$21*(AS$21*$B65),".")</f>
        <v>0</v>
      </c>
      <c r="AT65" s="34">
        <f>IFERROR(s_RadSpec!$J$21*(AT$21*$B65),".")</f>
        <v>0</v>
      </c>
      <c r="AU65" s="34">
        <f>IFERROR(s_RadSpec!$J$21*(AU$21*$B65),".")</f>
        <v>0</v>
      </c>
      <c r="AV65" s="34">
        <f>IFERROR(s_RadSpec!$J$21*(AV$21*$B65),".")</f>
        <v>0</v>
      </c>
      <c r="AW65" s="34">
        <f>IFERROR(s_RadSpec!$J$21*(AW$21*$B65),".")</f>
        <v>0</v>
      </c>
      <c r="AX65" s="34">
        <f>IFERROR(s_RadSpec!$J$21*(AX$21*$B65),".")</f>
        <v>0</v>
      </c>
      <c r="AY65" s="34">
        <f>IFERROR(s_RadSpec!$J$21*(AY$21*$B65),".")</f>
        <v>0</v>
      </c>
      <c r="AZ65" s="34">
        <f>IFERROR(s_RadSpec!$J$21*(AZ$21*$B65),".")</f>
        <v>0</v>
      </c>
      <c r="BA65" s="42">
        <f t="shared" ref="BA65:BY65" si="170">IFERROR(BA21/$B51,0)</f>
        <v>0</v>
      </c>
      <c r="BB65" s="42">
        <f t="shared" si="170"/>
        <v>0</v>
      </c>
      <c r="BC65" s="42">
        <f t="shared" si="170"/>
        <v>0</v>
      </c>
      <c r="BD65" s="42">
        <f t="shared" si="170"/>
        <v>0</v>
      </c>
      <c r="BE65" s="42">
        <f t="shared" si="170"/>
        <v>0</v>
      </c>
      <c r="BF65" s="42">
        <f t="shared" si="170"/>
        <v>0</v>
      </c>
      <c r="BG65" s="42">
        <f t="shared" si="170"/>
        <v>0</v>
      </c>
      <c r="BH65" s="42">
        <f t="shared" si="170"/>
        <v>0</v>
      </c>
      <c r="BI65" s="42">
        <f t="shared" si="170"/>
        <v>0</v>
      </c>
      <c r="BJ65" s="42">
        <f t="shared" si="170"/>
        <v>0</v>
      </c>
      <c r="BK65" s="42">
        <f t="shared" si="170"/>
        <v>0</v>
      </c>
      <c r="BL65" s="42">
        <f t="shared" si="170"/>
        <v>0</v>
      </c>
      <c r="BM65" s="42">
        <f t="shared" si="170"/>
        <v>0</v>
      </c>
      <c r="BN65" s="42">
        <f t="shared" si="170"/>
        <v>0</v>
      </c>
      <c r="BO65" s="42">
        <f t="shared" si="170"/>
        <v>0</v>
      </c>
      <c r="BP65" s="42">
        <f t="shared" si="170"/>
        <v>0</v>
      </c>
      <c r="BQ65" s="42">
        <f t="shared" si="170"/>
        <v>0</v>
      </c>
      <c r="BR65" s="42">
        <f t="shared" si="170"/>
        <v>0</v>
      </c>
      <c r="BS65" s="42">
        <f t="shared" si="170"/>
        <v>0</v>
      </c>
      <c r="BT65" s="42">
        <f t="shared" si="170"/>
        <v>0</v>
      </c>
      <c r="BU65" s="42">
        <f t="shared" si="170"/>
        <v>0</v>
      </c>
      <c r="BV65" s="42">
        <f t="shared" si="170"/>
        <v>0</v>
      </c>
      <c r="BW65" s="42">
        <f t="shared" si="170"/>
        <v>0</v>
      </c>
      <c r="BX65" s="42">
        <f t="shared" si="170"/>
        <v>0</v>
      </c>
      <c r="BY65" s="42">
        <f t="shared" si="170"/>
        <v>0</v>
      </c>
      <c r="BZ65" s="34">
        <f t="shared" si="168"/>
        <v>0</v>
      </c>
      <c r="CA65" s="34">
        <f>IFERROR(s_RadSpec!$J$21*(CA$21*$B65),".")</f>
        <v>0</v>
      </c>
      <c r="CB65" s="34">
        <f>IFERROR(s_RadSpec!$J$21*(CB$21*$B65),".")</f>
        <v>0</v>
      </c>
      <c r="CC65" s="34">
        <f>IFERROR(s_RadSpec!$J$21*(CC$21*$B65),".")</f>
        <v>0</v>
      </c>
      <c r="CD65" s="34">
        <f>IFERROR(s_RadSpec!$J$21*(CD$21*$B65),".")</f>
        <v>0</v>
      </c>
      <c r="CE65" s="34">
        <f>IFERROR(s_RadSpec!$J$21*(CE$21*$B65),".")</f>
        <v>0</v>
      </c>
      <c r="CF65" s="34">
        <f>IFERROR(s_RadSpec!$J$21*(CF$21*$B65),".")</f>
        <v>0</v>
      </c>
      <c r="CG65" s="34">
        <f>IFERROR(s_RadSpec!$J$21*(CG$21*$B65),".")</f>
        <v>0</v>
      </c>
      <c r="CH65" s="34">
        <f>IFERROR(s_RadSpec!$J$21*(CH$21*$B65),".")</f>
        <v>0</v>
      </c>
      <c r="CI65" s="34">
        <f>IFERROR(s_RadSpec!$J$21*(CI$21*$B65),".")</f>
        <v>0</v>
      </c>
      <c r="CJ65" s="34">
        <f>IFERROR(s_RadSpec!$J$21*(CJ$21*$B65),".")</f>
        <v>0</v>
      </c>
      <c r="CK65" s="34">
        <f>IFERROR(s_RadSpec!$J$21*(CK$21*$B65),".")</f>
        <v>0</v>
      </c>
      <c r="CL65" s="34">
        <f>IFERROR(s_RadSpec!$J$21*(CL$21*$B65),".")</f>
        <v>0</v>
      </c>
      <c r="CM65" s="34">
        <f>IFERROR(s_RadSpec!$J$21*(CM$21*$B65),".")</f>
        <v>0</v>
      </c>
      <c r="CN65" s="34">
        <f>IFERROR(s_RadSpec!$J$21*(CN$21*$B65),".")</f>
        <v>0</v>
      </c>
      <c r="CO65" s="34">
        <f>IFERROR(s_RadSpec!$J$21*(CO$21*$B65),".")</f>
        <v>0</v>
      </c>
      <c r="CP65" s="34">
        <f>IFERROR(s_RadSpec!$J$21*(CP$21*$B65),".")</f>
        <v>0</v>
      </c>
      <c r="CQ65" s="34">
        <f>IFERROR(s_RadSpec!$J$21*(CQ$21*$B65),".")</f>
        <v>0</v>
      </c>
      <c r="CR65" s="34">
        <f>IFERROR(s_RadSpec!$J$21*(CR$21*$B65),".")</f>
        <v>0</v>
      </c>
      <c r="CS65" s="34">
        <f>IFERROR(s_RadSpec!$J$21*(CS$21*$B65),".")</f>
        <v>0</v>
      </c>
      <c r="CT65" s="34">
        <f>IFERROR(s_RadSpec!$J$21*(CT$21*$B65),".")</f>
        <v>0</v>
      </c>
      <c r="CU65" s="34">
        <f>IFERROR(s_RadSpec!$J$21*(CU$21*$B65),".")</f>
        <v>0</v>
      </c>
      <c r="CV65" s="34">
        <f>IFERROR(s_RadSpec!$J$21*(CV$21*$B65),".")</f>
        <v>0</v>
      </c>
      <c r="CW65" s="34">
        <f>IFERROR(s_RadSpec!$J$21*(CW$21*$B65),".")</f>
        <v>0</v>
      </c>
      <c r="CX65" s="34">
        <f>IFERROR(s_RadSpec!$J$21*(CX$21*$B65),".")</f>
        <v>0</v>
      </c>
    </row>
    <row r="66" spans="1:102" s="3" customFormat="1" x14ac:dyDescent="0.25">
      <c r="A66" s="55" t="s">
        <v>1062</v>
      </c>
      <c r="B66" s="3">
        <v>0.99980000000000002</v>
      </c>
      <c r="C66" s="42">
        <f t="shared" ref="C66:AA66" si="171">IFERROR(C17/$B52,0)</f>
        <v>114204.90549898063</v>
      </c>
      <c r="D66" s="42">
        <f t="shared" si="171"/>
        <v>328170.46094177209</v>
      </c>
      <c r="E66" s="42">
        <f t="shared" si="171"/>
        <v>162745.83284240996</v>
      </c>
      <c r="F66" s="42">
        <f t="shared" si="171"/>
        <v>305956.69387790741</v>
      </c>
      <c r="G66" s="42">
        <f t="shared" si="171"/>
        <v>328170.46094177209</v>
      </c>
      <c r="H66" s="42">
        <f t="shared" si="171"/>
        <v>305956.69387790741</v>
      </c>
      <c r="I66" s="42">
        <f t="shared" si="171"/>
        <v>162745.83284240996</v>
      </c>
      <c r="J66" s="42">
        <f t="shared" si="171"/>
        <v>305956.69387790741</v>
      </c>
      <c r="K66" s="42">
        <f t="shared" si="171"/>
        <v>328170.46094177209</v>
      </c>
      <c r="L66" s="42">
        <f t="shared" si="171"/>
        <v>376248.87482868897</v>
      </c>
      <c r="M66" s="42">
        <f t="shared" si="171"/>
        <v>305956.69387790741</v>
      </c>
      <c r="N66" s="42">
        <f t="shared" si="171"/>
        <v>162745.83284240996</v>
      </c>
      <c r="O66" s="42">
        <f t="shared" si="171"/>
        <v>352207.95966900548</v>
      </c>
      <c r="P66" s="42">
        <f t="shared" si="171"/>
        <v>305956.69387790741</v>
      </c>
      <c r="Q66" s="42">
        <f t="shared" si="171"/>
        <v>305956.69387790741</v>
      </c>
      <c r="R66" s="42">
        <f t="shared" si="171"/>
        <v>328170.46094177209</v>
      </c>
      <c r="S66" s="42">
        <f t="shared" si="171"/>
        <v>328170.46094177209</v>
      </c>
      <c r="T66" s="42">
        <f t="shared" si="171"/>
        <v>352207.95966900548</v>
      </c>
      <c r="U66" s="42">
        <f t="shared" si="171"/>
        <v>374379.05067293375</v>
      </c>
      <c r="V66" s="42">
        <f t="shared" si="171"/>
        <v>305956.69387790741</v>
      </c>
      <c r="W66" s="42">
        <f t="shared" si="171"/>
        <v>352207.95966900548</v>
      </c>
      <c r="X66" s="42">
        <f t="shared" si="171"/>
        <v>328170.46094177209</v>
      </c>
      <c r="Y66" s="42">
        <f t="shared" si="171"/>
        <v>305956.69387790741</v>
      </c>
      <c r="Z66" s="42">
        <f t="shared" si="171"/>
        <v>382036.68708652142</v>
      </c>
      <c r="AA66" s="42">
        <f t="shared" si="171"/>
        <v>323473.35066001641</v>
      </c>
      <c r="AB66" s="34">
        <f>SUM(AC66,AY66:AZ66)</f>
        <v>2.1890478251149328E-4</v>
      </c>
      <c r="AC66" s="34">
        <f>IFERROR(s_RadSpec!$J$17*(AC$17*$B66),".")</f>
        <v>7.6179921642721522E-5</v>
      </c>
      <c r="AD66" s="34">
        <f>IFERROR(s_RadSpec!$J$17*(AD$17*$B66),".")</f>
        <v>1.5361376425661232E-4</v>
      </c>
      <c r="AE66" s="34">
        <f>IFERROR(s_RadSpec!$J$17*(AE$17*$B66),".")</f>
        <v>8.1710910400856578E-5</v>
      </c>
      <c r="AF66" s="34">
        <f>IFERROR(s_RadSpec!$J$17*(AF$17*$B66),".")</f>
        <v>7.6179921642721522E-5</v>
      </c>
      <c r="AG66" s="34">
        <f>IFERROR(s_RadSpec!$J$17*(AG$17*$B66),".")</f>
        <v>8.1710910400856578E-5</v>
      </c>
      <c r="AH66" s="34">
        <f>IFERROR(s_RadSpec!$J$17*(AH$17*$B66),".")</f>
        <v>1.5361376425661232E-4</v>
      </c>
      <c r="AI66" s="34">
        <f>IFERROR(s_RadSpec!$J$17*(AI$17*$B66),".")</f>
        <v>8.1710910400856578E-5</v>
      </c>
      <c r="AJ66" s="34">
        <f>IFERROR(s_RadSpec!$J$17*(AJ$17*$B66),".")</f>
        <v>7.6179921642721522E-5</v>
      </c>
      <c r="AK66" s="34">
        <f>IFERROR(s_RadSpec!$J$17*(AK$17*$B66),".")</f>
        <v>6.6445381428403814E-5</v>
      </c>
      <c r="AL66" s="34">
        <f>IFERROR(s_RadSpec!$J$17*(AL$17*$B66),".")</f>
        <v>8.1710910400856578E-5</v>
      </c>
      <c r="AM66" s="34">
        <f>IFERROR(s_RadSpec!$J$17*(AM$17*$B66),".")</f>
        <v>1.5361376425661232E-4</v>
      </c>
      <c r="AN66" s="34">
        <f>IFERROR(s_RadSpec!$J$17*(AN$17*$B66),".")</f>
        <v>7.098079221007456E-5</v>
      </c>
      <c r="AO66" s="34">
        <f>IFERROR(s_RadSpec!$J$17*(AO$17*$B66),".")</f>
        <v>8.1710910400856578E-5</v>
      </c>
      <c r="AP66" s="34">
        <f>IFERROR(s_RadSpec!$J$17*(AP$17*$B66),".")</f>
        <v>8.1710910400856578E-5</v>
      </c>
      <c r="AQ66" s="34">
        <f>IFERROR(s_RadSpec!$J$17*(AQ$17*$B66),".")</f>
        <v>7.6179921642721522E-5</v>
      </c>
      <c r="AR66" s="34">
        <f>IFERROR(s_RadSpec!$J$17*(AR$17*$B66),".")</f>
        <v>7.6179921642721522E-5</v>
      </c>
      <c r="AS66" s="34">
        <f>IFERROR(s_RadSpec!$J$17*(AS$17*$B66),".")</f>
        <v>7.098079221007456E-5</v>
      </c>
      <c r="AT66" s="34">
        <f>IFERROR(s_RadSpec!$J$17*(AT$17*$B66),".")</f>
        <v>6.6777240753891921E-5</v>
      </c>
      <c r="AU66" s="34">
        <f>IFERROR(s_RadSpec!$J$17*(AU$17*$B66),".")</f>
        <v>8.1710910400856578E-5</v>
      </c>
      <c r="AV66" s="34">
        <f>IFERROR(s_RadSpec!$J$17*(AV$17*$B66),".")</f>
        <v>7.098079221007456E-5</v>
      </c>
      <c r="AW66" s="34">
        <f>IFERROR(s_RadSpec!$J$17*(AW$17*$B66),".")</f>
        <v>7.6179921642721522E-5</v>
      </c>
      <c r="AX66" s="34">
        <f>IFERROR(s_RadSpec!$J$17*(AX$17*$B66),".")</f>
        <v>8.1710910400856578E-5</v>
      </c>
      <c r="AY66" s="34">
        <f>IFERROR(s_RadSpec!$J$17*(AY$17*$B66),".")</f>
        <v>6.5438741474423235E-5</v>
      </c>
      <c r="AZ66" s="34">
        <f>IFERROR(s_RadSpec!$J$17*(AZ$17*$B66),".")</f>
        <v>7.7286119394348525E-5</v>
      </c>
      <c r="BA66" s="42">
        <f t="shared" ref="BA66:BY66" si="172">IFERROR(BA17/$B52,0)</f>
        <v>114204.90549898063</v>
      </c>
      <c r="BB66" s="42">
        <f t="shared" si="172"/>
        <v>328170.46094177209</v>
      </c>
      <c r="BC66" s="42">
        <f t="shared" si="172"/>
        <v>162745.83284240996</v>
      </c>
      <c r="BD66" s="42">
        <f t="shared" si="172"/>
        <v>305956.69387790741</v>
      </c>
      <c r="BE66" s="42">
        <f t="shared" si="172"/>
        <v>328170.46094177209</v>
      </c>
      <c r="BF66" s="42">
        <f t="shared" si="172"/>
        <v>305956.69387790741</v>
      </c>
      <c r="BG66" s="42">
        <f t="shared" si="172"/>
        <v>162745.83284240996</v>
      </c>
      <c r="BH66" s="42">
        <f t="shared" si="172"/>
        <v>305956.69387790741</v>
      </c>
      <c r="BI66" s="42">
        <f t="shared" si="172"/>
        <v>328170.46094177209</v>
      </c>
      <c r="BJ66" s="42">
        <f t="shared" si="172"/>
        <v>376248.87482868897</v>
      </c>
      <c r="BK66" s="42">
        <f t="shared" si="172"/>
        <v>305956.69387790741</v>
      </c>
      <c r="BL66" s="42">
        <f t="shared" si="172"/>
        <v>162745.83284240996</v>
      </c>
      <c r="BM66" s="42">
        <f t="shared" si="172"/>
        <v>352207.95966900548</v>
      </c>
      <c r="BN66" s="42">
        <f t="shared" si="172"/>
        <v>305956.69387790741</v>
      </c>
      <c r="BO66" s="42">
        <f t="shared" si="172"/>
        <v>305956.69387790741</v>
      </c>
      <c r="BP66" s="42">
        <f t="shared" si="172"/>
        <v>328170.46094177209</v>
      </c>
      <c r="BQ66" s="42">
        <f t="shared" si="172"/>
        <v>328170.46094177209</v>
      </c>
      <c r="BR66" s="42">
        <f t="shared" si="172"/>
        <v>352207.95966900548</v>
      </c>
      <c r="BS66" s="42">
        <f t="shared" si="172"/>
        <v>374379.05067293375</v>
      </c>
      <c r="BT66" s="42">
        <f t="shared" si="172"/>
        <v>305956.69387790741</v>
      </c>
      <c r="BU66" s="42">
        <f t="shared" si="172"/>
        <v>352207.95966900548</v>
      </c>
      <c r="BV66" s="42">
        <f t="shared" si="172"/>
        <v>328170.46094177209</v>
      </c>
      <c r="BW66" s="42">
        <f t="shared" si="172"/>
        <v>305956.69387790741</v>
      </c>
      <c r="BX66" s="42">
        <f t="shared" si="172"/>
        <v>382036.68708652142</v>
      </c>
      <c r="BY66" s="42">
        <f t="shared" si="172"/>
        <v>323473.35066001641</v>
      </c>
      <c r="BZ66" s="34">
        <f>SUM(CA66,CW66:CX66)</f>
        <v>2.1890478251149328E-4</v>
      </c>
      <c r="CA66" s="34">
        <f>IFERROR(s_RadSpec!$J$17*(CA$17*$B66),".")</f>
        <v>7.6179921642721522E-5</v>
      </c>
      <c r="CB66" s="34">
        <f>IFERROR(s_RadSpec!$J$17*(CB$17*$B66),".")</f>
        <v>1.5361376425661232E-4</v>
      </c>
      <c r="CC66" s="34">
        <f>IFERROR(s_RadSpec!$J$17*(CC$17*$B66),".")</f>
        <v>8.1710910400856578E-5</v>
      </c>
      <c r="CD66" s="34">
        <f>IFERROR(s_RadSpec!$J$17*(CD$17*$B66),".")</f>
        <v>7.6179921642721522E-5</v>
      </c>
      <c r="CE66" s="34">
        <f>IFERROR(s_RadSpec!$J$17*(CE$17*$B66),".")</f>
        <v>8.1710910400856578E-5</v>
      </c>
      <c r="CF66" s="34">
        <f>IFERROR(s_RadSpec!$J$17*(CF$17*$B66),".")</f>
        <v>1.5361376425661232E-4</v>
      </c>
      <c r="CG66" s="34">
        <f>IFERROR(s_RadSpec!$J$17*(CG$17*$B66),".")</f>
        <v>8.1710910400856578E-5</v>
      </c>
      <c r="CH66" s="34">
        <f>IFERROR(s_RadSpec!$J$17*(CH$17*$B66),".")</f>
        <v>7.6179921642721522E-5</v>
      </c>
      <c r="CI66" s="34">
        <f>IFERROR(s_RadSpec!$J$17*(CI$17*$B66),".")</f>
        <v>6.6445381428403814E-5</v>
      </c>
      <c r="CJ66" s="34">
        <f>IFERROR(s_RadSpec!$J$17*(CJ$17*$B66),".")</f>
        <v>8.1710910400856578E-5</v>
      </c>
      <c r="CK66" s="34">
        <f>IFERROR(s_RadSpec!$J$17*(CK$17*$B66),".")</f>
        <v>1.5361376425661232E-4</v>
      </c>
      <c r="CL66" s="34">
        <f>IFERROR(s_RadSpec!$J$17*(CL$17*$B66),".")</f>
        <v>7.098079221007456E-5</v>
      </c>
      <c r="CM66" s="34">
        <f>IFERROR(s_RadSpec!$J$17*(CM$17*$B66),".")</f>
        <v>8.1710910400856578E-5</v>
      </c>
      <c r="CN66" s="34">
        <f>IFERROR(s_RadSpec!$J$17*(CN$17*$B66),".")</f>
        <v>8.1710910400856578E-5</v>
      </c>
      <c r="CO66" s="34">
        <f>IFERROR(s_RadSpec!$J$17*(CO$17*$B66),".")</f>
        <v>7.6179921642721522E-5</v>
      </c>
      <c r="CP66" s="34">
        <f>IFERROR(s_RadSpec!$J$17*(CP$17*$B66),".")</f>
        <v>7.6179921642721522E-5</v>
      </c>
      <c r="CQ66" s="34">
        <f>IFERROR(s_RadSpec!$J$17*(CQ$17*$B66),".")</f>
        <v>7.098079221007456E-5</v>
      </c>
      <c r="CR66" s="34">
        <f>IFERROR(s_RadSpec!$J$17*(CR$17*$B66),".")</f>
        <v>6.6777240753891921E-5</v>
      </c>
      <c r="CS66" s="34">
        <f>IFERROR(s_RadSpec!$J$17*(CS$17*$B66),".")</f>
        <v>8.1710910400856578E-5</v>
      </c>
      <c r="CT66" s="34">
        <f>IFERROR(s_RadSpec!$J$17*(CT$17*$B66),".")</f>
        <v>7.098079221007456E-5</v>
      </c>
      <c r="CU66" s="34">
        <f>IFERROR(s_RadSpec!$J$17*(CU$17*$B66),".")</f>
        <v>7.6179921642721522E-5</v>
      </c>
      <c r="CV66" s="34">
        <f>IFERROR(s_RadSpec!$J$17*(CV$17*$B66),".")</f>
        <v>8.1710910400856578E-5</v>
      </c>
      <c r="CW66" s="34">
        <f>IFERROR(s_RadSpec!$J$17*(CW$17*$B66),".")</f>
        <v>6.5438741474423235E-5</v>
      </c>
      <c r="CX66" s="34">
        <f>IFERROR(s_RadSpec!$J$17*(CX$17*$B66),".")</f>
        <v>7.7286119394348525E-5</v>
      </c>
    </row>
    <row r="67" spans="1:102" s="3" customFormat="1" x14ac:dyDescent="0.25">
      <c r="A67" s="55" t="s">
        <v>1076</v>
      </c>
      <c r="B67" s="3">
        <v>2.0000000000000001E-4</v>
      </c>
      <c r="C67" s="42">
        <f t="shared" ref="C67:AA67" si="173">IFERROR(C5/$B53,0)</f>
        <v>0</v>
      </c>
      <c r="D67" s="42">
        <f t="shared" si="173"/>
        <v>0</v>
      </c>
      <c r="E67" s="42">
        <f t="shared" si="173"/>
        <v>0</v>
      </c>
      <c r="F67" s="42">
        <f t="shared" si="173"/>
        <v>0</v>
      </c>
      <c r="G67" s="42">
        <f t="shared" si="173"/>
        <v>0</v>
      </c>
      <c r="H67" s="42">
        <f t="shared" si="173"/>
        <v>0</v>
      </c>
      <c r="I67" s="42">
        <f t="shared" si="173"/>
        <v>0</v>
      </c>
      <c r="J67" s="42">
        <f t="shared" si="173"/>
        <v>0</v>
      </c>
      <c r="K67" s="42">
        <f t="shared" si="173"/>
        <v>0</v>
      </c>
      <c r="L67" s="42">
        <f t="shared" si="173"/>
        <v>0</v>
      </c>
      <c r="M67" s="42">
        <f t="shared" si="173"/>
        <v>0</v>
      </c>
      <c r="N67" s="42">
        <f t="shared" si="173"/>
        <v>0</v>
      </c>
      <c r="O67" s="42">
        <f t="shared" si="173"/>
        <v>0</v>
      </c>
      <c r="P67" s="42">
        <f t="shared" si="173"/>
        <v>0</v>
      </c>
      <c r="Q67" s="42">
        <f t="shared" si="173"/>
        <v>0</v>
      </c>
      <c r="R67" s="42">
        <f t="shared" si="173"/>
        <v>0</v>
      </c>
      <c r="S67" s="42">
        <f t="shared" si="173"/>
        <v>0</v>
      </c>
      <c r="T67" s="42">
        <f t="shared" si="173"/>
        <v>0</v>
      </c>
      <c r="U67" s="42">
        <f t="shared" si="173"/>
        <v>0</v>
      </c>
      <c r="V67" s="42">
        <f t="shared" si="173"/>
        <v>0</v>
      </c>
      <c r="W67" s="42">
        <f t="shared" si="173"/>
        <v>0</v>
      </c>
      <c r="X67" s="42">
        <f t="shared" si="173"/>
        <v>0</v>
      </c>
      <c r="Y67" s="42">
        <f t="shared" si="173"/>
        <v>0</v>
      </c>
      <c r="Z67" s="42">
        <f t="shared" si="173"/>
        <v>0</v>
      </c>
      <c r="AA67" s="42">
        <f t="shared" si="173"/>
        <v>0</v>
      </c>
      <c r="AB67" s="34">
        <f t="shared" si="33"/>
        <v>0</v>
      </c>
      <c r="AC67" s="34">
        <f>IFERROR(s_RadSpec!$J$5*(AC$5*$B67),".")</f>
        <v>0</v>
      </c>
      <c r="AD67" s="34">
        <f>IFERROR(s_RadSpec!$J$5*(AD$5*$B67),".")</f>
        <v>0</v>
      </c>
      <c r="AE67" s="34">
        <f>IFERROR(s_RadSpec!$J$5*(AE$5*$B67),".")</f>
        <v>0</v>
      </c>
      <c r="AF67" s="34">
        <f>IFERROR(s_RadSpec!$J$5*(AF$5*$B67),".")</f>
        <v>0</v>
      </c>
      <c r="AG67" s="34">
        <f>IFERROR(s_RadSpec!$J$5*(AG$5*$B67),".")</f>
        <v>0</v>
      </c>
      <c r="AH67" s="34">
        <f>IFERROR(s_RadSpec!$J$5*(AH$5*$B67),".")</f>
        <v>0</v>
      </c>
      <c r="AI67" s="34">
        <f>IFERROR(s_RadSpec!$J$5*(AI$5*$B67),".")</f>
        <v>0</v>
      </c>
      <c r="AJ67" s="34">
        <f>IFERROR(s_RadSpec!$J$5*(AJ$5*$B67),".")</f>
        <v>0</v>
      </c>
      <c r="AK67" s="34">
        <f>IFERROR(s_RadSpec!$J$5*(AK$5*$B67),".")</f>
        <v>0</v>
      </c>
      <c r="AL67" s="34">
        <f>IFERROR(s_RadSpec!$J$5*(AL$5*$B67),".")</f>
        <v>0</v>
      </c>
      <c r="AM67" s="34">
        <f>IFERROR(s_RadSpec!$J$5*(AM$5*$B67),".")</f>
        <v>0</v>
      </c>
      <c r="AN67" s="34">
        <f>IFERROR(s_RadSpec!$J$5*(AN$5*$B67),".")</f>
        <v>0</v>
      </c>
      <c r="AO67" s="34">
        <f>IFERROR(s_RadSpec!$J$5*(AO$5*$B67),".")</f>
        <v>0</v>
      </c>
      <c r="AP67" s="34">
        <f>IFERROR(s_RadSpec!$J$5*(AP$5*$B67),".")</f>
        <v>0</v>
      </c>
      <c r="AQ67" s="34">
        <f>IFERROR(s_RadSpec!$J$5*(AQ$5*$B67),".")</f>
        <v>0</v>
      </c>
      <c r="AR67" s="34">
        <f>IFERROR(s_RadSpec!$J$5*(AR$5*$B67),".")</f>
        <v>0</v>
      </c>
      <c r="AS67" s="34">
        <f>IFERROR(s_RadSpec!$J$5*(AS$5*$B67),".")</f>
        <v>0</v>
      </c>
      <c r="AT67" s="34">
        <f>IFERROR(s_RadSpec!$J$5*(AT$5*$B67),".")</f>
        <v>0</v>
      </c>
      <c r="AU67" s="34">
        <f>IFERROR(s_RadSpec!$J$5*(AU$5*$B67),".")</f>
        <v>0</v>
      </c>
      <c r="AV67" s="34">
        <f>IFERROR(s_RadSpec!$J$5*(AV$5*$B67),".")</f>
        <v>0</v>
      </c>
      <c r="AW67" s="34">
        <f>IFERROR(s_RadSpec!$J$5*(AW$5*$B67),".")</f>
        <v>0</v>
      </c>
      <c r="AX67" s="34">
        <f>IFERROR(s_RadSpec!$J$5*(AX$5*$B67),".")</f>
        <v>0</v>
      </c>
      <c r="AY67" s="34">
        <f>IFERROR(s_RadSpec!$J$5*(AY$5*$B67),".")</f>
        <v>0</v>
      </c>
      <c r="AZ67" s="34">
        <f>IFERROR(s_RadSpec!$J$5*(AZ$5*$B67),".")</f>
        <v>0</v>
      </c>
      <c r="BA67" s="42">
        <f t="shared" ref="BA67:BY67" si="174">IFERROR(BA5/$B53,0)</f>
        <v>0</v>
      </c>
      <c r="BB67" s="42">
        <f t="shared" si="174"/>
        <v>0</v>
      </c>
      <c r="BC67" s="42">
        <f t="shared" si="174"/>
        <v>0</v>
      </c>
      <c r="BD67" s="42">
        <f t="shared" si="174"/>
        <v>0</v>
      </c>
      <c r="BE67" s="42">
        <f t="shared" si="174"/>
        <v>0</v>
      </c>
      <c r="BF67" s="42">
        <f t="shared" si="174"/>
        <v>0</v>
      </c>
      <c r="BG67" s="42">
        <f t="shared" si="174"/>
        <v>0</v>
      </c>
      <c r="BH67" s="42">
        <f t="shared" si="174"/>
        <v>0</v>
      </c>
      <c r="BI67" s="42">
        <f t="shared" si="174"/>
        <v>0</v>
      </c>
      <c r="BJ67" s="42">
        <f t="shared" si="174"/>
        <v>0</v>
      </c>
      <c r="BK67" s="42">
        <f t="shared" si="174"/>
        <v>0</v>
      </c>
      <c r="BL67" s="42">
        <f t="shared" si="174"/>
        <v>0</v>
      </c>
      <c r="BM67" s="42">
        <f t="shared" si="174"/>
        <v>0</v>
      </c>
      <c r="BN67" s="42">
        <f t="shared" si="174"/>
        <v>0</v>
      </c>
      <c r="BO67" s="42">
        <f t="shared" si="174"/>
        <v>0</v>
      </c>
      <c r="BP67" s="42">
        <f t="shared" si="174"/>
        <v>0</v>
      </c>
      <c r="BQ67" s="42">
        <f t="shared" si="174"/>
        <v>0</v>
      </c>
      <c r="BR67" s="42">
        <f t="shared" si="174"/>
        <v>0</v>
      </c>
      <c r="BS67" s="42">
        <f t="shared" si="174"/>
        <v>0</v>
      </c>
      <c r="BT67" s="42">
        <f t="shared" si="174"/>
        <v>0</v>
      </c>
      <c r="BU67" s="42">
        <f t="shared" si="174"/>
        <v>0</v>
      </c>
      <c r="BV67" s="42">
        <f t="shared" si="174"/>
        <v>0</v>
      </c>
      <c r="BW67" s="42">
        <f t="shared" si="174"/>
        <v>0</v>
      </c>
      <c r="BX67" s="42">
        <f t="shared" si="174"/>
        <v>0</v>
      </c>
      <c r="BY67" s="42">
        <f t="shared" si="174"/>
        <v>0</v>
      </c>
      <c r="BZ67" s="34">
        <f t="shared" ref="BZ67:BZ76" si="175">SUM(CA67,CW67:CX67)</f>
        <v>0</v>
      </c>
      <c r="CA67" s="34">
        <f>IFERROR(s_RadSpec!$J$5*(CA$5*$B67),".")</f>
        <v>0</v>
      </c>
      <c r="CB67" s="34">
        <f>IFERROR(s_RadSpec!$J$5*(CB$5*$B67),".")</f>
        <v>0</v>
      </c>
      <c r="CC67" s="34">
        <f>IFERROR(s_RadSpec!$J$5*(CC$5*$B67),".")</f>
        <v>0</v>
      </c>
      <c r="CD67" s="34">
        <f>IFERROR(s_RadSpec!$J$5*(CD$5*$B67),".")</f>
        <v>0</v>
      </c>
      <c r="CE67" s="34">
        <f>IFERROR(s_RadSpec!$J$5*(CE$5*$B67),".")</f>
        <v>0</v>
      </c>
      <c r="CF67" s="34">
        <f>IFERROR(s_RadSpec!$J$5*(CF$5*$B67),".")</f>
        <v>0</v>
      </c>
      <c r="CG67" s="34">
        <f>IFERROR(s_RadSpec!$J$5*(CG$5*$B67),".")</f>
        <v>0</v>
      </c>
      <c r="CH67" s="34">
        <f>IFERROR(s_RadSpec!$J$5*(CH$5*$B67),".")</f>
        <v>0</v>
      </c>
      <c r="CI67" s="34">
        <f>IFERROR(s_RadSpec!$J$5*(CI$5*$B67),".")</f>
        <v>0</v>
      </c>
      <c r="CJ67" s="34">
        <f>IFERROR(s_RadSpec!$J$5*(CJ$5*$B67),".")</f>
        <v>0</v>
      </c>
      <c r="CK67" s="34">
        <f>IFERROR(s_RadSpec!$J$5*(CK$5*$B67),".")</f>
        <v>0</v>
      </c>
      <c r="CL67" s="34">
        <f>IFERROR(s_RadSpec!$J$5*(CL$5*$B67),".")</f>
        <v>0</v>
      </c>
      <c r="CM67" s="34">
        <f>IFERROR(s_RadSpec!$J$5*(CM$5*$B67),".")</f>
        <v>0</v>
      </c>
      <c r="CN67" s="34">
        <f>IFERROR(s_RadSpec!$J$5*(CN$5*$B67),".")</f>
        <v>0</v>
      </c>
      <c r="CO67" s="34">
        <f>IFERROR(s_RadSpec!$J$5*(CO$5*$B67),".")</f>
        <v>0</v>
      </c>
      <c r="CP67" s="34">
        <f>IFERROR(s_RadSpec!$J$5*(CP$5*$B67),".")</f>
        <v>0</v>
      </c>
      <c r="CQ67" s="34">
        <f>IFERROR(s_RadSpec!$J$5*(CQ$5*$B67),".")</f>
        <v>0</v>
      </c>
      <c r="CR67" s="34">
        <f>IFERROR(s_RadSpec!$J$5*(CR$5*$B67),".")</f>
        <v>0</v>
      </c>
      <c r="CS67" s="34">
        <f>IFERROR(s_RadSpec!$J$5*(CS$5*$B67),".")</f>
        <v>0</v>
      </c>
      <c r="CT67" s="34">
        <f>IFERROR(s_RadSpec!$J$5*(CT$5*$B67),".")</f>
        <v>0</v>
      </c>
      <c r="CU67" s="34">
        <f>IFERROR(s_RadSpec!$J$5*(CU$5*$B67),".")</f>
        <v>0</v>
      </c>
      <c r="CV67" s="34">
        <f>IFERROR(s_RadSpec!$J$5*(CV$5*$B67),".")</f>
        <v>0</v>
      </c>
      <c r="CW67" s="34">
        <f>IFERROR(s_RadSpec!$J$5*(CW$5*$B67),".")</f>
        <v>0</v>
      </c>
      <c r="CX67" s="34">
        <f>IFERROR(s_RadSpec!$J$5*(CX$5*$B67),".")</f>
        <v>0</v>
      </c>
    </row>
    <row r="68" spans="1:102" s="3" customFormat="1" x14ac:dyDescent="0.25">
      <c r="A68" s="55" t="s">
        <v>1077</v>
      </c>
      <c r="B68" s="3">
        <v>0.99999979999999999</v>
      </c>
      <c r="C68" s="42">
        <f t="shared" ref="C68:AA68" si="176">IFERROR(C9/$B54,0)</f>
        <v>63318.96325229427</v>
      </c>
      <c r="D68" s="42">
        <f t="shared" si="176"/>
        <v>189956.88975688283</v>
      </c>
      <c r="E68" s="42">
        <f t="shared" si="176"/>
        <v>189956.88975688283</v>
      </c>
      <c r="F68" s="42">
        <f t="shared" si="176"/>
        <v>189956.88975688283</v>
      </c>
      <c r="G68" s="42">
        <f t="shared" si="176"/>
        <v>189956.88975688283</v>
      </c>
      <c r="H68" s="42">
        <f t="shared" si="176"/>
        <v>189956.88975688283</v>
      </c>
      <c r="I68" s="42">
        <f t="shared" si="176"/>
        <v>189956.88975688283</v>
      </c>
      <c r="J68" s="42">
        <f t="shared" si="176"/>
        <v>189956.88975688283</v>
      </c>
      <c r="K68" s="42">
        <f t="shared" si="176"/>
        <v>189956.88975688283</v>
      </c>
      <c r="L68" s="42">
        <f t="shared" si="176"/>
        <v>189956.88975688283</v>
      </c>
      <c r="M68" s="42">
        <f t="shared" si="176"/>
        <v>189956.88975688283</v>
      </c>
      <c r="N68" s="42">
        <f t="shared" si="176"/>
        <v>189956.88975688283</v>
      </c>
      <c r="O68" s="42">
        <f t="shared" si="176"/>
        <v>189956.88975688283</v>
      </c>
      <c r="P68" s="42">
        <f t="shared" si="176"/>
        <v>189956.88975688283</v>
      </c>
      <c r="Q68" s="42">
        <f t="shared" si="176"/>
        <v>189956.88975688283</v>
      </c>
      <c r="R68" s="42">
        <f t="shared" si="176"/>
        <v>189956.88975688283</v>
      </c>
      <c r="S68" s="42">
        <f t="shared" si="176"/>
        <v>189956.88975688283</v>
      </c>
      <c r="T68" s="42">
        <f t="shared" si="176"/>
        <v>189956.88975688283</v>
      </c>
      <c r="U68" s="42">
        <f t="shared" si="176"/>
        <v>189956.88975688283</v>
      </c>
      <c r="V68" s="42">
        <f t="shared" si="176"/>
        <v>189956.88975688283</v>
      </c>
      <c r="W68" s="42">
        <f t="shared" si="176"/>
        <v>189956.88975688283</v>
      </c>
      <c r="X68" s="42">
        <f t="shared" si="176"/>
        <v>189956.88975688283</v>
      </c>
      <c r="Y68" s="42">
        <f t="shared" si="176"/>
        <v>189956.88975688283</v>
      </c>
      <c r="Z68" s="42">
        <f t="shared" si="176"/>
        <v>189956.88975688283</v>
      </c>
      <c r="AA68" s="42">
        <f t="shared" si="176"/>
        <v>189956.88975688283</v>
      </c>
      <c r="AB68" s="34">
        <f t="shared" si="33"/>
        <v>3.9482642664864169E-4</v>
      </c>
      <c r="AC68" s="34">
        <f>IFERROR(s_RadSpec!$J$9*(AC$9*$B68),".")</f>
        <v>1.3160880888288056E-4</v>
      </c>
      <c r="AD68" s="34">
        <f>IFERROR(s_RadSpec!$J$9*(AD$9*$B68),".")</f>
        <v>1.3160880888288056E-4</v>
      </c>
      <c r="AE68" s="34">
        <f>IFERROR(s_RadSpec!$J$9*(AE$9*$B68),".")</f>
        <v>1.3160880888288056E-4</v>
      </c>
      <c r="AF68" s="34">
        <f>IFERROR(s_RadSpec!$J$9*(AF$9*$B68),".")</f>
        <v>1.3160880888288056E-4</v>
      </c>
      <c r="AG68" s="34">
        <f>IFERROR(s_RadSpec!$J$9*(AG$9*$B68),".")</f>
        <v>1.3160880888288056E-4</v>
      </c>
      <c r="AH68" s="34">
        <f>IFERROR(s_RadSpec!$J$9*(AH$9*$B68),".")</f>
        <v>1.3160880888288056E-4</v>
      </c>
      <c r="AI68" s="34">
        <f>IFERROR(s_RadSpec!$J$9*(AI$9*$B68),".")</f>
        <v>1.3160880888288056E-4</v>
      </c>
      <c r="AJ68" s="34">
        <f>IFERROR(s_RadSpec!$J$9*(AJ$9*$B68),".")</f>
        <v>1.3160880888288056E-4</v>
      </c>
      <c r="AK68" s="34">
        <f>IFERROR(s_RadSpec!$J$9*(AK$9*$B68),".")</f>
        <v>1.3160880888288056E-4</v>
      </c>
      <c r="AL68" s="34">
        <f>IFERROR(s_RadSpec!$J$9*(AL$9*$B68),".")</f>
        <v>1.3160880888288056E-4</v>
      </c>
      <c r="AM68" s="34">
        <f>IFERROR(s_RadSpec!$J$9*(AM$9*$B68),".")</f>
        <v>1.3160880888288056E-4</v>
      </c>
      <c r="AN68" s="34">
        <f>IFERROR(s_RadSpec!$J$9*(AN$9*$B68),".")</f>
        <v>1.3160880888288056E-4</v>
      </c>
      <c r="AO68" s="34">
        <f>IFERROR(s_RadSpec!$J$9*(AO$9*$B68),".")</f>
        <v>1.3160880888288056E-4</v>
      </c>
      <c r="AP68" s="34">
        <f>IFERROR(s_RadSpec!$J$9*(AP$9*$B68),".")</f>
        <v>1.3160880888288056E-4</v>
      </c>
      <c r="AQ68" s="34">
        <f>IFERROR(s_RadSpec!$J$9*(AQ$9*$B68),".")</f>
        <v>1.3160880888288056E-4</v>
      </c>
      <c r="AR68" s="34">
        <f>IFERROR(s_RadSpec!$J$9*(AR$9*$B68),".")</f>
        <v>1.3160880888288056E-4</v>
      </c>
      <c r="AS68" s="34">
        <f>IFERROR(s_RadSpec!$J$9*(AS$9*$B68),".")</f>
        <v>1.3160880888288056E-4</v>
      </c>
      <c r="AT68" s="34">
        <f>IFERROR(s_RadSpec!$J$9*(AT$9*$B68),".")</f>
        <v>1.3160880888288056E-4</v>
      </c>
      <c r="AU68" s="34">
        <f>IFERROR(s_RadSpec!$J$9*(AU$9*$B68),".")</f>
        <v>1.3160880888288056E-4</v>
      </c>
      <c r="AV68" s="34">
        <f>IFERROR(s_RadSpec!$J$9*(AV$9*$B68),".")</f>
        <v>1.3160880888288056E-4</v>
      </c>
      <c r="AW68" s="34">
        <f>IFERROR(s_RadSpec!$J$9*(AW$9*$B68),".")</f>
        <v>1.3160880888288056E-4</v>
      </c>
      <c r="AX68" s="34">
        <f>IFERROR(s_RadSpec!$J$9*(AX$9*$B68),".")</f>
        <v>1.3160880888288056E-4</v>
      </c>
      <c r="AY68" s="34">
        <f>IFERROR(s_RadSpec!$J$9*(AY$9*$B68),".")</f>
        <v>1.3160880888288056E-4</v>
      </c>
      <c r="AZ68" s="34">
        <f>IFERROR(s_RadSpec!$J$9*(AZ$9*$B68),".")</f>
        <v>1.3160880888288056E-4</v>
      </c>
      <c r="BA68" s="42">
        <f t="shared" ref="BA68:BY68" si="177">IFERROR(BA9/$B54,0)</f>
        <v>63318.96325229427</v>
      </c>
      <c r="BB68" s="42">
        <f t="shared" si="177"/>
        <v>189956.88975688283</v>
      </c>
      <c r="BC68" s="42">
        <f t="shared" si="177"/>
        <v>189956.88975688283</v>
      </c>
      <c r="BD68" s="42">
        <f t="shared" si="177"/>
        <v>189956.88975688283</v>
      </c>
      <c r="BE68" s="42">
        <f t="shared" si="177"/>
        <v>189956.88975688283</v>
      </c>
      <c r="BF68" s="42">
        <f t="shared" si="177"/>
        <v>189956.88975688283</v>
      </c>
      <c r="BG68" s="42">
        <f t="shared" si="177"/>
        <v>189956.88975688283</v>
      </c>
      <c r="BH68" s="42">
        <f t="shared" si="177"/>
        <v>189956.88975688283</v>
      </c>
      <c r="BI68" s="42">
        <f t="shared" si="177"/>
        <v>189956.88975688283</v>
      </c>
      <c r="BJ68" s="42">
        <f t="shared" si="177"/>
        <v>189956.88975688283</v>
      </c>
      <c r="BK68" s="42">
        <f t="shared" si="177"/>
        <v>189956.88975688283</v>
      </c>
      <c r="BL68" s="42">
        <f t="shared" si="177"/>
        <v>189956.88975688283</v>
      </c>
      <c r="BM68" s="42">
        <f t="shared" si="177"/>
        <v>189956.88975688283</v>
      </c>
      <c r="BN68" s="42">
        <f t="shared" si="177"/>
        <v>189956.88975688283</v>
      </c>
      <c r="BO68" s="42">
        <f t="shared" si="177"/>
        <v>189956.88975688283</v>
      </c>
      <c r="BP68" s="42">
        <f t="shared" si="177"/>
        <v>189956.88975688283</v>
      </c>
      <c r="BQ68" s="42">
        <f t="shared" si="177"/>
        <v>189956.88975688283</v>
      </c>
      <c r="BR68" s="42">
        <f t="shared" si="177"/>
        <v>189956.88975688283</v>
      </c>
      <c r="BS68" s="42">
        <f t="shared" si="177"/>
        <v>189956.88975688283</v>
      </c>
      <c r="BT68" s="42">
        <f t="shared" si="177"/>
        <v>189956.88975688283</v>
      </c>
      <c r="BU68" s="42">
        <f t="shared" si="177"/>
        <v>189956.88975688283</v>
      </c>
      <c r="BV68" s="42">
        <f t="shared" si="177"/>
        <v>189956.88975688283</v>
      </c>
      <c r="BW68" s="42">
        <f t="shared" si="177"/>
        <v>189956.88975688283</v>
      </c>
      <c r="BX68" s="42">
        <f t="shared" si="177"/>
        <v>189956.88975688283</v>
      </c>
      <c r="BY68" s="42">
        <f t="shared" si="177"/>
        <v>189956.88975688283</v>
      </c>
      <c r="BZ68" s="34">
        <f t="shared" si="175"/>
        <v>3.9482642664864169E-4</v>
      </c>
      <c r="CA68" s="34">
        <f>IFERROR(s_RadSpec!$J$9*(CA$9*$B68),".")</f>
        <v>1.3160880888288056E-4</v>
      </c>
      <c r="CB68" s="34">
        <f>IFERROR(s_RadSpec!$J$9*(CB$9*$B68),".")</f>
        <v>1.3160880888288056E-4</v>
      </c>
      <c r="CC68" s="34">
        <f>IFERROR(s_RadSpec!$J$9*(CC$9*$B68),".")</f>
        <v>1.3160880888288056E-4</v>
      </c>
      <c r="CD68" s="34">
        <f>IFERROR(s_RadSpec!$J$9*(CD$9*$B68),".")</f>
        <v>1.3160880888288056E-4</v>
      </c>
      <c r="CE68" s="34">
        <f>IFERROR(s_RadSpec!$J$9*(CE$9*$B68),".")</f>
        <v>1.3160880888288056E-4</v>
      </c>
      <c r="CF68" s="34">
        <f>IFERROR(s_RadSpec!$J$9*(CF$9*$B68),".")</f>
        <v>1.3160880888288056E-4</v>
      </c>
      <c r="CG68" s="34">
        <f>IFERROR(s_RadSpec!$J$9*(CG$9*$B68),".")</f>
        <v>1.3160880888288056E-4</v>
      </c>
      <c r="CH68" s="34">
        <f>IFERROR(s_RadSpec!$J$9*(CH$9*$B68),".")</f>
        <v>1.3160880888288056E-4</v>
      </c>
      <c r="CI68" s="34">
        <f>IFERROR(s_RadSpec!$J$9*(CI$9*$B68),".")</f>
        <v>1.3160880888288056E-4</v>
      </c>
      <c r="CJ68" s="34">
        <f>IFERROR(s_RadSpec!$J$9*(CJ$9*$B68),".")</f>
        <v>1.3160880888288056E-4</v>
      </c>
      <c r="CK68" s="34">
        <f>IFERROR(s_RadSpec!$J$9*(CK$9*$B68),".")</f>
        <v>1.3160880888288056E-4</v>
      </c>
      <c r="CL68" s="34">
        <f>IFERROR(s_RadSpec!$J$9*(CL$9*$B68),".")</f>
        <v>1.3160880888288056E-4</v>
      </c>
      <c r="CM68" s="34">
        <f>IFERROR(s_RadSpec!$J$9*(CM$9*$B68),".")</f>
        <v>1.3160880888288056E-4</v>
      </c>
      <c r="CN68" s="34">
        <f>IFERROR(s_RadSpec!$J$9*(CN$9*$B68),".")</f>
        <v>1.3160880888288056E-4</v>
      </c>
      <c r="CO68" s="34">
        <f>IFERROR(s_RadSpec!$J$9*(CO$9*$B68),".")</f>
        <v>1.3160880888288056E-4</v>
      </c>
      <c r="CP68" s="34">
        <f>IFERROR(s_RadSpec!$J$9*(CP$9*$B68),".")</f>
        <v>1.3160880888288056E-4</v>
      </c>
      <c r="CQ68" s="34">
        <f>IFERROR(s_RadSpec!$J$9*(CQ$9*$B68),".")</f>
        <v>1.3160880888288056E-4</v>
      </c>
      <c r="CR68" s="34">
        <f>IFERROR(s_RadSpec!$J$9*(CR$9*$B68),".")</f>
        <v>1.3160880888288056E-4</v>
      </c>
      <c r="CS68" s="34">
        <f>IFERROR(s_RadSpec!$J$9*(CS$9*$B68),".")</f>
        <v>1.3160880888288056E-4</v>
      </c>
      <c r="CT68" s="34">
        <f>IFERROR(s_RadSpec!$J$9*(CT$9*$B68),".")</f>
        <v>1.3160880888288056E-4</v>
      </c>
      <c r="CU68" s="34">
        <f>IFERROR(s_RadSpec!$J$9*(CU$9*$B68),".")</f>
        <v>1.3160880888288056E-4</v>
      </c>
      <c r="CV68" s="34">
        <f>IFERROR(s_RadSpec!$J$9*(CV$9*$B68),".")</f>
        <v>1.3160880888288056E-4</v>
      </c>
      <c r="CW68" s="34">
        <f>IFERROR(s_RadSpec!$J$9*(CW$9*$B68),".")</f>
        <v>1.3160880888288056E-4</v>
      </c>
      <c r="CX68" s="34">
        <f>IFERROR(s_RadSpec!$J$9*(CX$9*$B68),".")</f>
        <v>1.3160880888288056E-4</v>
      </c>
    </row>
    <row r="69" spans="1:102" s="3" customFormat="1" x14ac:dyDescent="0.25">
      <c r="A69" s="55" t="s">
        <v>1078</v>
      </c>
      <c r="B69" s="3">
        <v>1.9999999999999999E-7</v>
      </c>
      <c r="C69" s="42">
        <f t="shared" ref="C69:AA69" si="178">IFERROR(C24/$B55,0)</f>
        <v>0</v>
      </c>
      <c r="D69" s="42">
        <f t="shared" si="178"/>
        <v>0</v>
      </c>
      <c r="E69" s="42">
        <f t="shared" si="178"/>
        <v>0</v>
      </c>
      <c r="F69" s="42">
        <f t="shared" si="178"/>
        <v>0</v>
      </c>
      <c r="G69" s="42">
        <f t="shared" si="178"/>
        <v>0</v>
      </c>
      <c r="H69" s="42">
        <f t="shared" si="178"/>
        <v>0</v>
      </c>
      <c r="I69" s="42">
        <f t="shared" si="178"/>
        <v>0</v>
      </c>
      <c r="J69" s="42">
        <f t="shared" si="178"/>
        <v>0</v>
      </c>
      <c r="K69" s="42">
        <f t="shared" si="178"/>
        <v>0</v>
      </c>
      <c r="L69" s="42">
        <f t="shared" si="178"/>
        <v>0</v>
      </c>
      <c r="M69" s="42">
        <f t="shared" si="178"/>
        <v>0</v>
      </c>
      <c r="N69" s="42">
        <f t="shared" si="178"/>
        <v>0</v>
      </c>
      <c r="O69" s="42">
        <f t="shared" si="178"/>
        <v>0</v>
      </c>
      <c r="P69" s="42">
        <f t="shared" si="178"/>
        <v>0</v>
      </c>
      <c r="Q69" s="42">
        <f t="shared" si="178"/>
        <v>0</v>
      </c>
      <c r="R69" s="42">
        <f t="shared" si="178"/>
        <v>0</v>
      </c>
      <c r="S69" s="42">
        <f t="shared" si="178"/>
        <v>0</v>
      </c>
      <c r="T69" s="42">
        <f t="shared" si="178"/>
        <v>0</v>
      </c>
      <c r="U69" s="42">
        <f t="shared" si="178"/>
        <v>0</v>
      </c>
      <c r="V69" s="42">
        <f t="shared" si="178"/>
        <v>0</v>
      </c>
      <c r="W69" s="42">
        <f t="shared" si="178"/>
        <v>0</v>
      </c>
      <c r="X69" s="42">
        <f t="shared" si="178"/>
        <v>0</v>
      </c>
      <c r="Y69" s="42">
        <f t="shared" si="178"/>
        <v>0</v>
      </c>
      <c r="Z69" s="42">
        <f t="shared" si="178"/>
        <v>0</v>
      </c>
      <c r="AA69" s="42">
        <f t="shared" si="178"/>
        <v>0</v>
      </c>
      <c r="AB69" s="34">
        <f t="shared" si="33"/>
        <v>0</v>
      </c>
      <c r="AC69" s="34" t="str">
        <f>IFERROR(s_RadSpec!$J$24*(AC$24*$B69),".")</f>
        <v>.</v>
      </c>
      <c r="AD69" s="34" t="str">
        <f>IFERROR(s_RadSpec!$J$24*(AD$24*$B69),".")</f>
        <v>.</v>
      </c>
      <c r="AE69" s="34" t="str">
        <f>IFERROR(s_RadSpec!$J$24*(AE$24*$B69),".")</f>
        <v>.</v>
      </c>
      <c r="AF69" s="34" t="str">
        <f>IFERROR(s_RadSpec!$J$24*(AF$24*$B69),".")</f>
        <v>.</v>
      </c>
      <c r="AG69" s="34" t="str">
        <f>IFERROR(s_RadSpec!$J$24*(AG$24*$B69),".")</f>
        <v>.</v>
      </c>
      <c r="AH69" s="34" t="str">
        <f>IFERROR(s_RadSpec!$J$24*(AH$24*$B69),".")</f>
        <v>.</v>
      </c>
      <c r="AI69" s="34" t="str">
        <f>IFERROR(s_RadSpec!$J$24*(AI$24*$B69),".")</f>
        <v>.</v>
      </c>
      <c r="AJ69" s="34" t="str">
        <f>IFERROR(s_RadSpec!$J$24*(AJ$24*$B69),".")</f>
        <v>.</v>
      </c>
      <c r="AK69" s="34" t="str">
        <f>IFERROR(s_RadSpec!$J$24*(AK$24*$B69),".")</f>
        <v>.</v>
      </c>
      <c r="AL69" s="34" t="str">
        <f>IFERROR(s_RadSpec!$J$24*(AL$24*$B69),".")</f>
        <v>.</v>
      </c>
      <c r="AM69" s="34" t="str">
        <f>IFERROR(s_RadSpec!$J$24*(AM$24*$B69),".")</f>
        <v>.</v>
      </c>
      <c r="AN69" s="34" t="str">
        <f>IFERROR(s_RadSpec!$J$24*(AN$24*$B69),".")</f>
        <v>.</v>
      </c>
      <c r="AO69" s="34" t="str">
        <f>IFERROR(s_RadSpec!$J$24*(AO$24*$B69),".")</f>
        <v>.</v>
      </c>
      <c r="AP69" s="34" t="str">
        <f>IFERROR(s_RadSpec!$J$24*(AP$24*$B69),".")</f>
        <v>.</v>
      </c>
      <c r="AQ69" s="34" t="str">
        <f>IFERROR(s_RadSpec!$J$24*(AQ$24*$B69),".")</f>
        <v>.</v>
      </c>
      <c r="AR69" s="34" t="str">
        <f>IFERROR(s_RadSpec!$J$24*(AR$24*$B69),".")</f>
        <v>.</v>
      </c>
      <c r="AS69" s="34" t="str">
        <f>IFERROR(s_RadSpec!$J$24*(AS$24*$B69),".")</f>
        <v>.</v>
      </c>
      <c r="AT69" s="34" t="str">
        <f>IFERROR(s_RadSpec!$J$24*(AT$24*$B69),".")</f>
        <v>.</v>
      </c>
      <c r="AU69" s="34" t="str">
        <f>IFERROR(s_RadSpec!$J$24*(AU$24*$B69),".")</f>
        <v>.</v>
      </c>
      <c r="AV69" s="34" t="str">
        <f>IFERROR(s_RadSpec!$J$24*(AV$24*$B69),".")</f>
        <v>.</v>
      </c>
      <c r="AW69" s="34" t="str">
        <f>IFERROR(s_RadSpec!$J$24*(AW$24*$B69),".")</f>
        <v>.</v>
      </c>
      <c r="AX69" s="34" t="str">
        <f>IFERROR(s_RadSpec!$J$24*(AX$24*$B69),".")</f>
        <v>.</v>
      </c>
      <c r="AY69" s="34" t="str">
        <f>IFERROR(s_RadSpec!$J$24*(AY$24*$B69),".")</f>
        <v>.</v>
      </c>
      <c r="AZ69" s="34" t="str">
        <f>IFERROR(s_RadSpec!$J$24*(AZ$24*$B69),".")</f>
        <v>.</v>
      </c>
      <c r="BA69" s="42">
        <f t="shared" ref="BA69:BY69" si="179">IFERROR(BA24/$B55,0)</f>
        <v>0</v>
      </c>
      <c r="BB69" s="42">
        <f t="shared" si="179"/>
        <v>0</v>
      </c>
      <c r="BC69" s="42">
        <f t="shared" si="179"/>
        <v>0</v>
      </c>
      <c r="BD69" s="42">
        <f t="shared" si="179"/>
        <v>0</v>
      </c>
      <c r="BE69" s="42">
        <f t="shared" si="179"/>
        <v>0</v>
      </c>
      <c r="BF69" s="42">
        <f t="shared" si="179"/>
        <v>0</v>
      </c>
      <c r="BG69" s="42">
        <f t="shared" si="179"/>
        <v>0</v>
      </c>
      <c r="BH69" s="42">
        <f t="shared" si="179"/>
        <v>0</v>
      </c>
      <c r="BI69" s="42">
        <f t="shared" si="179"/>
        <v>0</v>
      </c>
      <c r="BJ69" s="42">
        <f t="shared" si="179"/>
        <v>0</v>
      </c>
      <c r="BK69" s="42">
        <f t="shared" si="179"/>
        <v>0</v>
      </c>
      <c r="BL69" s="42">
        <f t="shared" si="179"/>
        <v>0</v>
      </c>
      <c r="BM69" s="42">
        <f t="shared" si="179"/>
        <v>0</v>
      </c>
      <c r="BN69" s="42">
        <f t="shared" si="179"/>
        <v>0</v>
      </c>
      <c r="BO69" s="42">
        <f t="shared" si="179"/>
        <v>0</v>
      </c>
      <c r="BP69" s="42">
        <f t="shared" si="179"/>
        <v>0</v>
      </c>
      <c r="BQ69" s="42">
        <f t="shared" si="179"/>
        <v>0</v>
      </c>
      <c r="BR69" s="42">
        <f t="shared" si="179"/>
        <v>0</v>
      </c>
      <c r="BS69" s="42">
        <f t="shared" si="179"/>
        <v>0</v>
      </c>
      <c r="BT69" s="42">
        <f t="shared" si="179"/>
        <v>0</v>
      </c>
      <c r="BU69" s="42">
        <f t="shared" si="179"/>
        <v>0</v>
      </c>
      <c r="BV69" s="42">
        <f t="shared" si="179"/>
        <v>0</v>
      </c>
      <c r="BW69" s="42">
        <f t="shared" si="179"/>
        <v>0</v>
      </c>
      <c r="BX69" s="42">
        <f t="shared" si="179"/>
        <v>0</v>
      </c>
      <c r="BY69" s="42">
        <f t="shared" si="179"/>
        <v>0</v>
      </c>
      <c r="BZ69" s="34">
        <f t="shared" si="175"/>
        <v>0</v>
      </c>
      <c r="CA69" s="34" t="str">
        <f>IFERROR(s_RadSpec!$J$24*(CA$24*$B69),".")</f>
        <v>.</v>
      </c>
      <c r="CB69" s="34" t="str">
        <f>IFERROR(s_RadSpec!$J$24*(CB$24*$B69),".")</f>
        <v>.</v>
      </c>
      <c r="CC69" s="34" t="str">
        <f>IFERROR(s_RadSpec!$J$24*(CC$24*$B69),".")</f>
        <v>.</v>
      </c>
      <c r="CD69" s="34" t="str">
        <f>IFERROR(s_RadSpec!$J$24*(CD$24*$B69),".")</f>
        <v>.</v>
      </c>
      <c r="CE69" s="34" t="str">
        <f>IFERROR(s_RadSpec!$J$24*(CE$24*$B69),".")</f>
        <v>.</v>
      </c>
      <c r="CF69" s="34" t="str">
        <f>IFERROR(s_RadSpec!$J$24*(CF$24*$B69),".")</f>
        <v>.</v>
      </c>
      <c r="CG69" s="34" t="str">
        <f>IFERROR(s_RadSpec!$J$24*(CG$24*$B69),".")</f>
        <v>.</v>
      </c>
      <c r="CH69" s="34" t="str">
        <f>IFERROR(s_RadSpec!$J$24*(CH$24*$B69),".")</f>
        <v>.</v>
      </c>
      <c r="CI69" s="34" t="str">
        <f>IFERROR(s_RadSpec!$J$24*(CI$24*$B69),".")</f>
        <v>.</v>
      </c>
      <c r="CJ69" s="34" t="str">
        <f>IFERROR(s_RadSpec!$J$24*(CJ$24*$B69),".")</f>
        <v>.</v>
      </c>
      <c r="CK69" s="34" t="str">
        <f>IFERROR(s_RadSpec!$J$24*(CK$24*$B69),".")</f>
        <v>.</v>
      </c>
      <c r="CL69" s="34" t="str">
        <f>IFERROR(s_RadSpec!$J$24*(CL$24*$B69),".")</f>
        <v>.</v>
      </c>
      <c r="CM69" s="34" t="str">
        <f>IFERROR(s_RadSpec!$J$24*(CM$24*$B69),".")</f>
        <v>.</v>
      </c>
      <c r="CN69" s="34" t="str">
        <f>IFERROR(s_RadSpec!$J$24*(CN$24*$B69),".")</f>
        <v>.</v>
      </c>
      <c r="CO69" s="34" t="str">
        <f>IFERROR(s_RadSpec!$J$24*(CO$24*$B69),".")</f>
        <v>.</v>
      </c>
      <c r="CP69" s="34" t="str">
        <f>IFERROR(s_RadSpec!$J$24*(CP$24*$B69),".")</f>
        <v>.</v>
      </c>
      <c r="CQ69" s="34" t="str">
        <f>IFERROR(s_RadSpec!$J$24*(CQ$24*$B69),".")</f>
        <v>.</v>
      </c>
      <c r="CR69" s="34" t="str">
        <f>IFERROR(s_RadSpec!$J$24*(CR$24*$B69),".")</f>
        <v>.</v>
      </c>
      <c r="CS69" s="34" t="str">
        <f>IFERROR(s_RadSpec!$J$24*(CS$24*$B69),".")</f>
        <v>.</v>
      </c>
      <c r="CT69" s="34" t="str">
        <f>IFERROR(s_RadSpec!$J$24*(CT$24*$B69),".")</f>
        <v>.</v>
      </c>
      <c r="CU69" s="34" t="str">
        <f>IFERROR(s_RadSpec!$J$24*(CU$24*$B69),".")</f>
        <v>.</v>
      </c>
      <c r="CV69" s="34" t="str">
        <f>IFERROR(s_RadSpec!$J$24*(CV$24*$B69),".")</f>
        <v>.</v>
      </c>
      <c r="CW69" s="34" t="str">
        <f>IFERROR(s_RadSpec!$J$24*(CW$24*$B69),".")</f>
        <v>.</v>
      </c>
      <c r="CX69" s="34" t="str">
        <f>IFERROR(s_RadSpec!$J$24*(CX$24*$B69),".")</f>
        <v>.</v>
      </c>
    </row>
    <row r="70" spans="1:102" s="3" customFormat="1" x14ac:dyDescent="0.25">
      <c r="A70" s="55" t="s">
        <v>1079</v>
      </c>
      <c r="B70" s="3">
        <v>0.99979000004200003</v>
      </c>
      <c r="C70" s="42">
        <f t="shared" ref="C70:AA70" si="180">IFERROR(C20/$B56,0)</f>
        <v>0</v>
      </c>
      <c r="D70" s="42">
        <f t="shared" si="180"/>
        <v>0</v>
      </c>
      <c r="E70" s="42">
        <f t="shared" si="180"/>
        <v>0</v>
      </c>
      <c r="F70" s="42">
        <f t="shared" si="180"/>
        <v>0</v>
      </c>
      <c r="G70" s="42">
        <f t="shared" si="180"/>
        <v>0</v>
      </c>
      <c r="H70" s="42">
        <f t="shared" si="180"/>
        <v>0</v>
      </c>
      <c r="I70" s="42">
        <f t="shared" si="180"/>
        <v>0</v>
      </c>
      <c r="J70" s="42">
        <f t="shared" si="180"/>
        <v>0</v>
      </c>
      <c r="K70" s="42">
        <f t="shared" si="180"/>
        <v>0</v>
      </c>
      <c r="L70" s="42">
        <f t="shared" si="180"/>
        <v>0</v>
      </c>
      <c r="M70" s="42">
        <f t="shared" si="180"/>
        <v>0</v>
      </c>
      <c r="N70" s="42">
        <f t="shared" si="180"/>
        <v>0</v>
      </c>
      <c r="O70" s="42">
        <f t="shared" si="180"/>
        <v>0</v>
      </c>
      <c r="P70" s="42">
        <f t="shared" si="180"/>
        <v>0</v>
      </c>
      <c r="Q70" s="42">
        <f t="shared" si="180"/>
        <v>0</v>
      </c>
      <c r="R70" s="42">
        <f t="shared" si="180"/>
        <v>0</v>
      </c>
      <c r="S70" s="42">
        <f t="shared" si="180"/>
        <v>0</v>
      </c>
      <c r="T70" s="42">
        <f t="shared" si="180"/>
        <v>0</v>
      </c>
      <c r="U70" s="42">
        <f t="shared" si="180"/>
        <v>0</v>
      </c>
      <c r="V70" s="42">
        <f t="shared" si="180"/>
        <v>0</v>
      </c>
      <c r="W70" s="42">
        <f t="shared" si="180"/>
        <v>0</v>
      </c>
      <c r="X70" s="42">
        <f t="shared" si="180"/>
        <v>0</v>
      </c>
      <c r="Y70" s="42">
        <f t="shared" si="180"/>
        <v>0</v>
      </c>
      <c r="Z70" s="42">
        <f t="shared" si="180"/>
        <v>0</v>
      </c>
      <c r="AA70" s="42">
        <f t="shared" si="180"/>
        <v>0</v>
      </c>
      <c r="AB70" s="34">
        <f t="shared" si="33"/>
        <v>0</v>
      </c>
      <c r="AC70" s="34">
        <f>IFERROR(s_RadSpec!$J$20*(AC$20*$B70),".")</f>
        <v>0</v>
      </c>
      <c r="AD70" s="34">
        <f>IFERROR(s_RadSpec!$J$20*(AD$20*$B70),".")</f>
        <v>0</v>
      </c>
      <c r="AE70" s="34">
        <f>IFERROR(s_RadSpec!$J$20*(AE$20*$B70),".")</f>
        <v>0</v>
      </c>
      <c r="AF70" s="34">
        <f>IFERROR(s_RadSpec!$J$20*(AF$20*$B70),".")</f>
        <v>0</v>
      </c>
      <c r="AG70" s="34">
        <f>IFERROR(s_RadSpec!$J$20*(AG$20*$B70),".")</f>
        <v>0</v>
      </c>
      <c r="AH70" s="34">
        <f>IFERROR(s_RadSpec!$J$20*(AH$20*$B70),".")</f>
        <v>0</v>
      </c>
      <c r="AI70" s="34">
        <f>IFERROR(s_RadSpec!$J$20*(AI$20*$B70),".")</f>
        <v>0</v>
      </c>
      <c r="AJ70" s="34">
        <f>IFERROR(s_RadSpec!$J$20*(AJ$20*$B70),".")</f>
        <v>0</v>
      </c>
      <c r="AK70" s="34">
        <f>IFERROR(s_RadSpec!$J$20*(AK$20*$B70),".")</f>
        <v>0</v>
      </c>
      <c r="AL70" s="34">
        <f>IFERROR(s_RadSpec!$J$20*(AL$20*$B70),".")</f>
        <v>0</v>
      </c>
      <c r="AM70" s="34">
        <f>IFERROR(s_RadSpec!$J$20*(AM$20*$B70),".")</f>
        <v>0</v>
      </c>
      <c r="AN70" s="34">
        <f>IFERROR(s_RadSpec!$J$20*(AN$20*$B70),".")</f>
        <v>0</v>
      </c>
      <c r="AO70" s="34">
        <f>IFERROR(s_RadSpec!$J$20*(AO$20*$B70),".")</f>
        <v>0</v>
      </c>
      <c r="AP70" s="34">
        <f>IFERROR(s_RadSpec!$J$20*(AP$20*$B70),".")</f>
        <v>0</v>
      </c>
      <c r="AQ70" s="34">
        <f>IFERROR(s_RadSpec!$J$20*(AQ$20*$B70),".")</f>
        <v>0</v>
      </c>
      <c r="AR70" s="34">
        <f>IFERROR(s_RadSpec!$J$20*(AR$20*$B70),".")</f>
        <v>0</v>
      </c>
      <c r="AS70" s="34">
        <f>IFERROR(s_RadSpec!$J$20*(AS$20*$B70),".")</f>
        <v>0</v>
      </c>
      <c r="AT70" s="34">
        <f>IFERROR(s_RadSpec!$J$20*(AT$20*$B70),".")</f>
        <v>0</v>
      </c>
      <c r="AU70" s="34">
        <f>IFERROR(s_RadSpec!$J$20*(AU$20*$B70),".")</f>
        <v>0</v>
      </c>
      <c r="AV70" s="34">
        <f>IFERROR(s_RadSpec!$J$20*(AV$20*$B70),".")</f>
        <v>0</v>
      </c>
      <c r="AW70" s="34">
        <f>IFERROR(s_RadSpec!$J$20*(AW$20*$B70),".")</f>
        <v>0</v>
      </c>
      <c r="AX70" s="34">
        <f>IFERROR(s_RadSpec!$J$20*(AX$20*$B70),".")</f>
        <v>0</v>
      </c>
      <c r="AY70" s="34">
        <f>IFERROR(s_RadSpec!$J$20*(AY$20*$B70),".")</f>
        <v>0</v>
      </c>
      <c r="AZ70" s="34">
        <f>IFERROR(s_RadSpec!$J$20*(AZ$20*$B70),".")</f>
        <v>0</v>
      </c>
      <c r="BA70" s="42">
        <f t="shared" ref="BA70:BY70" si="181">IFERROR(BA20/$B56,0)</f>
        <v>0</v>
      </c>
      <c r="BB70" s="42">
        <f t="shared" si="181"/>
        <v>0</v>
      </c>
      <c r="BC70" s="42">
        <f t="shared" si="181"/>
        <v>0</v>
      </c>
      <c r="BD70" s="42">
        <f t="shared" si="181"/>
        <v>0</v>
      </c>
      <c r="BE70" s="42">
        <f t="shared" si="181"/>
        <v>0</v>
      </c>
      <c r="BF70" s="42">
        <f t="shared" si="181"/>
        <v>0</v>
      </c>
      <c r="BG70" s="42">
        <f t="shared" si="181"/>
        <v>0</v>
      </c>
      <c r="BH70" s="42">
        <f t="shared" si="181"/>
        <v>0</v>
      </c>
      <c r="BI70" s="42">
        <f t="shared" si="181"/>
        <v>0</v>
      </c>
      <c r="BJ70" s="42">
        <f t="shared" si="181"/>
        <v>0</v>
      </c>
      <c r="BK70" s="42">
        <f t="shared" si="181"/>
        <v>0</v>
      </c>
      <c r="BL70" s="42">
        <f t="shared" si="181"/>
        <v>0</v>
      </c>
      <c r="BM70" s="42">
        <f t="shared" si="181"/>
        <v>0</v>
      </c>
      <c r="BN70" s="42">
        <f t="shared" si="181"/>
        <v>0</v>
      </c>
      <c r="BO70" s="42">
        <f t="shared" si="181"/>
        <v>0</v>
      </c>
      <c r="BP70" s="42">
        <f t="shared" si="181"/>
        <v>0</v>
      </c>
      <c r="BQ70" s="42">
        <f t="shared" si="181"/>
        <v>0</v>
      </c>
      <c r="BR70" s="42">
        <f t="shared" si="181"/>
        <v>0</v>
      </c>
      <c r="BS70" s="42">
        <f t="shared" si="181"/>
        <v>0</v>
      </c>
      <c r="BT70" s="42">
        <f t="shared" si="181"/>
        <v>0</v>
      </c>
      <c r="BU70" s="42">
        <f t="shared" si="181"/>
        <v>0</v>
      </c>
      <c r="BV70" s="42">
        <f t="shared" si="181"/>
        <v>0</v>
      </c>
      <c r="BW70" s="42">
        <f t="shared" si="181"/>
        <v>0</v>
      </c>
      <c r="BX70" s="42">
        <f t="shared" si="181"/>
        <v>0</v>
      </c>
      <c r="BY70" s="42">
        <f t="shared" si="181"/>
        <v>0</v>
      </c>
      <c r="BZ70" s="34">
        <f t="shared" si="175"/>
        <v>0</v>
      </c>
      <c r="CA70" s="34">
        <f>IFERROR(s_RadSpec!$J$20*(CA$20*$B70),".")</f>
        <v>0</v>
      </c>
      <c r="CB70" s="34">
        <f>IFERROR(s_RadSpec!$J$20*(CB$20*$B70),".")</f>
        <v>0</v>
      </c>
      <c r="CC70" s="34">
        <f>IFERROR(s_RadSpec!$J$20*(CC$20*$B70),".")</f>
        <v>0</v>
      </c>
      <c r="CD70" s="34">
        <f>IFERROR(s_RadSpec!$J$20*(CD$20*$B70),".")</f>
        <v>0</v>
      </c>
      <c r="CE70" s="34">
        <f>IFERROR(s_RadSpec!$J$20*(CE$20*$B70),".")</f>
        <v>0</v>
      </c>
      <c r="CF70" s="34">
        <f>IFERROR(s_RadSpec!$J$20*(CF$20*$B70),".")</f>
        <v>0</v>
      </c>
      <c r="CG70" s="34">
        <f>IFERROR(s_RadSpec!$J$20*(CG$20*$B70),".")</f>
        <v>0</v>
      </c>
      <c r="CH70" s="34">
        <f>IFERROR(s_RadSpec!$J$20*(CH$20*$B70),".")</f>
        <v>0</v>
      </c>
      <c r="CI70" s="34">
        <f>IFERROR(s_RadSpec!$J$20*(CI$20*$B70),".")</f>
        <v>0</v>
      </c>
      <c r="CJ70" s="34">
        <f>IFERROR(s_RadSpec!$J$20*(CJ$20*$B70),".")</f>
        <v>0</v>
      </c>
      <c r="CK70" s="34">
        <f>IFERROR(s_RadSpec!$J$20*(CK$20*$B70),".")</f>
        <v>0</v>
      </c>
      <c r="CL70" s="34">
        <f>IFERROR(s_RadSpec!$J$20*(CL$20*$B70),".")</f>
        <v>0</v>
      </c>
      <c r="CM70" s="34">
        <f>IFERROR(s_RadSpec!$J$20*(CM$20*$B70),".")</f>
        <v>0</v>
      </c>
      <c r="CN70" s="34">
        <f>IFERROR(s_RadSpec!$J$20*(CN$20*$B70),".")</f>
        <v>0</v>
      </c>
      <c r="CO70" s="34">
        <f>IFERROR(s_RadSpec!$J$20*(CO$20*$B70),".")</f>
        <v>0</v>
      </c>
      <c r="CP70" s="34">
        <f>IFERROR(s_RadSpec!$J$20*(CP$20*$B70),".")</f>
        <v>0</v>
      </c>
      <c r="CQ70" s="34">
        <f>IFERROR(s_RadSpec!$J$20*(CQ$20*$B70),".")</f>
        <v>0</v>
      </c>
      <c r="CR70" s="34">
        <f>IFERROR(s_RadSpec!$J$20*(CR$20*$B70),".")</f>
        <v>0</v>
      </c>
      <c r="CS70" s="34">
        <f>IFERROR(s_RadSpec!$J$20*(CS$20*$B70),".")</f>
        <v>0</v>
      </c>
      <c r="CT70" s="34">
        <f>IFERROR(s_RadSpec!$J$20*(CT$20*$B70),".")</f>
        <v>0</v>
      </c>
      <c r="CU70" s="34">
        <f>IFERROR(s_RadSpec!$J$20*(CU$20*$B70),".")</f>
        <v>0</v>
      </c>
      <c r="CV70" s="34">
        <f>IFERROR(s_RadSpec!$J$20*(CV$20*$B70),".")</f>
        <v>0</v>
      </c>
      <c r="CW70" s="34">
        <f>IFERROR(s_RadSpec!$J$20*(CW$20*$B70),".")</f>
        <v>0</v>
      </c>
      <c r="CX70" s="34">
        <f>IFERROR(s_RadSpec!$J$20*(CX$20*$B70),".")</f>
        <v>0</v>
      </c>
    </row>
    <row r="71" spans="1:102" s="3" customFormat="1" x14ac:dyDescent="0.25">
      <c r="A71" s="55" t="s">
        <v>1080</v>
      </c>
      <c r="B71" s="3">
        <v>2.0999995799999999E-4</v>
      </c>
      <c r="C71" s="42">
        <f t="shared" ref="C71:AA71" si="182">IFERROR(C29/$B57,0)</f>
        <v>0</v>
      </c>
      <c r="D71" s="42">
        <f t="shared" si="182"/>
        <v>0</v>
      </c>
      <c r="E71" s="42">
        <f t="shared" si="182"/>
        <v>0</v>
      </c>
      <c r="F71" s="42">
        <f t="shared" si="182"/>
        <v>0</v>
      </c>
      <c r="G71" s="42">
        <f t="shared" si="182"/>
        <v>0</v>
      </c>
      <c r="H71" s="42">
        <f t="shared" si="182"/>
        <v>0</v>
      </c>
      <c r="I71" s="42">
        <f t="shared" si="182"/>
        <v>0</v>
      </c>
      <c r="J71" s="42">
        <f t="shared" si="182"/>
        <v>0</v>
      </c>
      <c r="K71" s="42">
        <f t="shared" si="182"/>
        <v>0</v>
      </c>
      <c r="L71" s="42">
        <f t="shared" si="182"/>
        <v>0</v>
      </c>
      <c r="M71" s="42">
        <f t="shared" si="182"/>
        <v>0</v>
      </c>
      <c r="N71" s="42">
        <f t="shared" si="182"/>
        <v>0</v>
      </c>
      <c r="O71" s="42">
        <f t="shared" si="182"/>
        <v>0</v>
      </c>
      <c r="P71" s="42">
        <f t="shared" si="182"/>
        <v>0</v>
      </c>
      <c r="Q71" s="42">
        <f t="shared" si="182"/>
        <v>0</v>
      </c>
      <c r="R71" s="42">
        <f t="shared" si="182"/>
        <v>0</v>
      </c>
      <c r="S71" s="42">
        <f t="shared" si="182"/>
        <v>0</v>
      </c>
      <c r="T71" s="42">
        <f t="shared" si="182"/>
        <v>0</v>
      </c>
      <c r="U71" s="42">
        <f t="shared" si="182"/>
        <v>0</v>
      </c>
      <c r="V71" s="42">
        <f t="shared" si="182"/>
        <v>0</v>
      </c>
      <c r="W71" s="42">
        <f t="shared" si="182"/>
        <v>0</v>
      </c>
      <c r="X71" s="42">
        <f t="shared" si="182"/>
        <v>0</v>
      </c>
      <c r="Y71" s="42">
        <f t="shared" si="182"/>
        <v>0</v>
      </c>
      <c r="Z71" s="42">
        <f t="shared" si="182"/>
        <v>0</v>
      </c>
      <c r="AA71" s="42">
        <f t="shared" si="182"/>
        <v>0</v>
      </c>
      <c r="AB71" s="34">
        <f t="shared" si="33"/>
        <v>0</v>
      </c>
      <c r="AC71" s="34">
        <f>IFERROR(s_RadSpec!$J$29*(AC$29*$B71),".")</f>
        <v>0</v>
      </c>
      <c r="AD71" s="34">
        <f>IFERROR(s_RadSpec!$J$29*(AD$29*$B71),".")</f>
        <v>0</v>
      </c>
      <c r="AE71" s="34">
        <f>IFERROR(s_RadSpec!$J$29*(AE$29*$B71),".")</f>
        <v>0</v>
      </c>
      <c r="AF71" s="34">
        <f>IFERROR(s_RadSpec!$J$29*(AF$29*$B71),".")</f>
        <v>0</v>
      </c>
      <c r="AG71" s="34">
        <f>IFERROR(s_RadSpec!$J$29*(AG$29*$B71),".")</f>
        <v>0</v>
      </c>
      <c r="AH71" s="34">
        <f>IFERROR(s_RadSpec!$J$29*(AH$29*$B71),".")</f>
        <v>0</v>
      </c>
      <c r="AI71" s="34">
        <f>IFERROR(s_RadSpec!$J$29*(AI$29*$B71),".")</f>
        <v>0</v>
      </c>
      <c r="AJ71" s="34">
        <f>IFERROR(s_RadSpec!$J$29*(AJ$29*$B71),".")</f>
        <v>0</v>
      </c>
      <c r="AK71" s="34">
        <f>IFERROR(s_RadSpec!$J$29*(AK$29*$B71),".")</f>
        <v>0</v>
      </c>
      <c r="AL71" s="34">
        <f>IFERROR(s_RadSpec!$J$29*(AL$29*$B71),".")</f>
        <v>0</v>
      </c>
      <c r="AM71" s="34">
        <f>IFERROR(s_RadSpec!$J$29*(AM$29*$B71),".")</f>
        <v>0</v>
      </c>
      <c r="AN71" s="34">
        <f>IFERROR(s_RadSpec!$J$29*(AN$29*$B71),".")</f>
        <v>0</v>
      </c>
      <c r="AO71" s="34">
        <f>IFERROR(s_RadSpec!$J$29*(AO$29*$B71),".")</f>
        <v>0</v>
      </c>
      <c r="AP71" s="34">
        <f>IFERROR(s_RadSpec!$J$29*(AP$29*$B71),".")</f>
        <v>0</v>
      </c>
      <c r="AQ71" s="34">
        <f>IFERROR(s_RadSpec!$J$29*(AQ$29*$B71),".")</f>
        <v>0</v>
      </c>
      <c r="AR71" s="34">
        <f>IFERROR(s_RadSpec!$J$29*(AR$29*$B71),".")</f>
        <v>0</v>
      </c>
      <c r="AS71" s="34">
        <f>IFERROR(s_RadSpec!$J$29*(AS$29*$B71),".")</f>
        <v>0</v>
      </c>
      <c r="AT71" s="34">
        <f>IFERROR(s_RadSpec!$J$29*(AT$29*$B71),".")</f>
        <v>0</v>
      </c>
      <c r="AU71" s="34">
        <f>IFERROR(s_RadSpec!$J$29*(AU$29*$B71),".")</f>
        <v>0</v>
      </c>
      <c r="AV71" s="34">
        <f>IFERROR(s_RadSpec!$J$29*(AV$29*$B71),".")</f>
        <v>0</v>
      </c>
      <c r="AW71" s="34">
        <f>IFERROR(s_RadSpec!$J$29*(AW$29*$B71),".")</f>
        <v>0</v>
      </c>
      <c r="AX71" s="34">
        <f>IFERROR(s_RadSpec!$J$29*(AX$29*$B71),".")</f>
        <v>0</v>
      </c>
      <c r="AY71" s="34">
        <f>IFERROR(s_RadSpec!$J$29*(AY$29*$B71),".")</f>
        <v>0</v>
      </c>
      <c r="AZ71" s="34">
        <f>IFERROR(s_RadSpec!$J$29*(AZ$29*$B71),".")</f>
        <v>0</v>
      </c>
      <c r="BA71" s="42">
        <f t="shared" ref="BA71:BY71" si="183">IFERROR(BA29/$B57,0)</f>
        <v>0</v>
      </c>
      <c r="BB71" s="42">
        <f t="shared" si="183"/>
        <v>0</v>
      </c>
      <c r="BC71" s="42">
        <f t="shared" si="183"/>
        <v>0</v>
      </c>
      <c r="BD71" s="42">
        <f t="shared" si="183"/>
        <v>0</v>
      </c>
      <c r="BE71" s="42">
        <f t="shared" si="183"/>
        <v>0</v>
      </c>
      <c r="BF71" s="42">
        <f t="shared" si="183"/>
        <v>0</v>
      </c>
      <c r="BG71" s="42">
        <f t="shared" si="183"/>
        <v>0</v>
      </c>
      <c r="BH71" s="42">
        <f t="shared" si="183"/>
        <v>0</v>
      </c>
      <c r="BI71" s="42">
        <f t="shared" si="183"/>
        <v>0</v>
      </c>
      <c r="BJ71" s="42">
        <f t="shared" si="183"/>
        <v>0</v>
      </c>
      <c r="BK71" s="42">
        <f t="shared" si="183"/>
        <v>0</v>
      </c>
      <c r="BL71" s="42">
        <f t="shared" si="183"/>
        <v>0</v>
      </c>
      <c r="BM71" s="42">
        <f t="shared" si="183"/>
        <v>0</v>
      </c>
      <c r="BN71" s="42">
        <f t="shared" si="183"/>
        <v>0</v>
      </c>
      <c r="BO71" s="42">
        <f t="shared" si="183"/>
        <v>0</v>
      </c>
      <c r="BP71" s="42">
        <f t="shared" si="183"/>
        <v>0</v>
      </c>
      <c r="BQ71" s="42">
        <f t="shared" si="183"/>
        <v>0</v>
      </c>
      <c r="BR71" s="42">
        <f t="shared" si="183"/>
        <v>0</v>
      </c>
      <c r="BS71" s="42">
        <f t="shared" si="183"/>
        <v>0</v>
      </c>
      <c r="BT71" s="42">
        <f t="shared" si="183"/>
        <v>0</v>
      </c>
      <c r="BU71" s="42">
        <f t="shared" si="183"/>
        <v>0</v>
      </c>
      <c r="BV71" s="42">
        <f t="shared" si="183"/>
        <v>0</v>
      </c>
      <c r="BW71" s="42">
        <f t="shared" si="183"/>
        <v>0</v>
      </c>
      <c r="BX71" s="42">
        <f t="shared" si="183"/>
        <v>0</v>
      </c>
      <c r="BY71" s="42">
        <f t="shared" si="183"/>
        <v>0</v>
      </c>
      <c r="BZ71" s="34">
        <f t="shared" si="175"/>
        <v>0</v>
      </c>
      <c r="CA71" s="34">
        <f>IFERROR(s_RadSpec!$J$29*(CA$29*$B71),".")</f>
        <v>0</v>
      </c>
      <c r="CB71" s="34">
        <f>IFERROR(s_RadSpec!$J$29*(CB$29*$B71),".")</f>
        <v>0</v>
      </c>
      <c r="CC71" s="34">
        <f>IFERROR(s_RadSpec!$J$29*(CC$29*$B71),".")</f>
        <v>0</v>
      </c>
      <c r="CD71" s="34">
        <f>IFERROR(s_RadSpec!$J$29*(CD$29*$B71),".")</f>
        <v>0</v>
      </c>
      <c r="CE71" s="34">
        <f>IFERROR(s_RadSpec!$J$29*(CE$29*$B71),".")</f>
        <v>0</v>
      </c>
      <c r="CF71" s="34">
        <f>IFERROR(s_RadSpec!$J$29*(CF$29*$B71),".")</f>
        <v>0</v>
      </c>
      <c r="CG71" s="34">
        <f>IFERROR(s_RadSpec!$J$29*(CG$29*$B71),".")</f>
        <v>0</v>
      </c>
      <c r="CH71" s="34">
        <f>IFERROR(s_RadSpec!$J$29*(CH$29*$B71),".")</f>
        <v>0</v>
      </c>
      <c r="CI71" s="34">
        <f>IFERROR(s_RadSpec!$J$29*(CI$29*$B71),".")</f>
        <v>0</v>
      </c>
      <c r="CJ71" s="34">
        <f>IFERROR(s_RadSpec!$J$29*(CJ$29*$B71),".")</f>
        <v>0</v>
      </c>
      <c r="CK71" s="34">
        <f>IFERROR(s_RadSpec!$J$29*(CK$29*$B71),".")</f>
        <v>0</v>
      </c>
      <c r="CL71" s="34">
        <f>IFERROR(s_RadSpec!$J$29*(CL$29*$B71),".")</f>
        <v>0</v>
      </c>
      <c r="CM71" s="34">
        <f>IFERROR(s_RadSpec!$J$29*(CM$29*$B71),".")</f>
        <v>0</v>
      </c>
      <c r="CN71" s="34">
        <f>IFERROR(s_RadSpec!$J$29*(CN$29*$B71),".")</f>
        <v>0</v>
      </c>
      <c r="CO71" s="34">
        <f>IFERROR(s_RadSpec!$J$29*(CO$29*$B71),".")</f>
        <v>0</v>
      </c>
      <c r="CP71" s="34">
        <f>IFERROR(s_RadSpec!$J$29*(CP$29*$B71),".")</f>
        <v>0</v>
      </c>
      <c r="CQ71" s="34">
        <f>IFERROR(s_RadSpec!$J$29*(CQ$29*$B71),".")</f>
        <v>0</v>
      </c>
      <c r="CR71" s="34">
        <f>IFERROR(s_RadSpec!$J$29*(CR$29*$B71),".")</f>
        <v>0</v>
      </c>
      <c r="CS71" s="34">
        <f>IFERROR(s_RadSpec!$J$29*(CS$29*$B71),".")</f>
        <v>0</v>
      </c>
      <c r="CT71" s="34">
        <f>IFERROR(s_RadSpec!$J$29*(CT$29*$B71),".")</f>
        <v>0</v>
      </c>
      <c r="CU71" s="34">
        <f>IFERROR(s_RadSpec!$J$29*(CU$29*$B71),".")</f>
        <v>0</v>
      </c>
      <c r="CV71" s="34">
        <f>IFERROR(s_RadSpec!$J$29*(CV$29*$B71),".")</f>
        <v>0</v>
      </c>
      <c r="CW71" s="34">
        <f>IFERROR(s_RadSpec!$J$29*(CW$29*$B71),".")</f>
        <v>0</v>
      </c>
      <c r="CX71" s="34">
        <f>IFERROR(s_RadSpec!$J$29*(CX$29*$B71),".")</f>
        <v>0</v>
      </c>
    </row>
    <row r="72" spans="1:102" s="3" customFormat="1" x14ac:dyDescent="0.25">
      <c r="A72" s="55" t="s">
        <v>1081</v>
      </c>
      <c r="B72" s="3">
        <v>1</v>
      </c>
      <c r="C72" s="42">
        <f t="shared" ref="C72:AA72" si="184">IFERROR(C16/$B58,0)</f>
        <v>22.276696901037536</v>
      </c>
      <c r="D72" s="42">
        <f t="shared" si="184"/>
        <v>64.012608375556056</v>
      </c>
      <c r="E72" s="42">
        <f t="shared" si="184"/>
        <v>31.745042599502412</v>
      </c>
      <c r="F72" s="42">
        <f t="shared" si="184"/>
        <v>59.67961275028162</v>
      </c>
      <c r="G72" s="42">
        <f t="shared" si="184"/>
        <v>64.012608375556056</v>
      </c>
      <c r="H72" s="42">
        <f t="shared" si="184"/>
        <v>59.67961275028162</v>
      </c>
      <c r="I72" s="42">
        <f t="shared" si="184"/>
        <v>31.745042599502412</v>
      </c>
      <c r="J72" s="42">
        <f t="shared" si="184"/>
        <v>59.67961275028162</v>
      </c>
      <c r="K72" s="42">
        <f t="shared" si="184"/>
        <v>64.012608375556056</v>
      </c>
      <c r="L72" s="42">
        <f t="shared" si="184"/>
        <v>73.390736652638168</v>
      </c>
      <c r="M72" s="42">
        <f t="shared" si="184"/>
        <v>59.67961275028162</v>
      </c>
      <c r="N72" s="42">
        <f t="shared" si="184"/>
        <v>31.745042599502412</v>
      </c>
      <c r="O72" s="42">
        <f t="shared" si="184"/>
        <v>68.701339311114978</v>
      </c>
      <c r="P72" s="42">
        <f t="shared" si="184"/>
        <v>59.67961275028162</v>
      </c>
      <c r="Q72" s="42">
        <f t="shared" si="184"/>
        <v>59.67961275028162</v>
      </c>
      <c r="R72" s="42">
        <f t="shared" si="184"/>
        <v>64.012608375556056</v>
      </c>
      <c r="S72" s="42">
        <f t="shared" si="184"/>
        <v>64.012608375556056</v>
      </c>
      <c r="T72" s="42">
        <f t="shared" si="184"/>
        <v>68.701339311114978</v>
      </c>
      <c r="U72" s="42">
        <f t="shared" si="184"/>
        <v>73.026010585977502</v>
      </c>
      <c r="V72" s="42">
        <f t="shared" si="184"/>
        <v>59.67961275028162</v>
      </c>
      <c r="W72" s="42">
        <f t="shared" si="184"/>
        <v>68.701339311114978</v>
      </c>
      <c r="X72" s="42">
        <f t="shared" si="184"/>
        <v>64.012608375556056</v>
      </c>
      <c r="Y72" s="42">
        <f t="shared" si="184"/>
        <v>59.67961275028162</v>
      </c>
      <c r="Z72" s="42">
        <f t="shared" si="184"/>
        <v>74.519701637325213</v>
      </c>
      <c r="AA72" s="42">
        <f t="shared" si="184"/>
        <v>63.096394649006868</v>
      </c>
      <c r="AB72" s="34">
        <f t="shared" si="33"/>
        <v>1.1222489631681269</v>
      </c>
      <c r="AC72" s="34">
        <f>IFERROR(s_RadSpec!$J$16*(AC$16*$B72),".")</f>
        <v>0.39054805974047041</v>
      </c>
      <c r="AD72" s="34">
        <f>IFERROR(s_RadSpec!$J$16*(AD$16*$B72),".")</f>
        <v>0.78752453778064435</v>
      </c>
      <c r="AE72" s="34">
        <f>IFERROR(s_RadSpec!$J$16*(AE$16*$B72),".")</f>
        <v>0.41890352245762569</v>
      </c>
      <c r="AF72" s="34">
        <f>IFERROR(s_RadSpec!$J$16*(AF$16*$B72),".")</f>
        <v>0.39054805974047041</v>
      </c>
      <c r="AG72" s="34">
        <f>IFERROR(s_RadSpec!$J$16*(AG$16*$B72),".")</f>
        <v>0.41890352245762569</v>
      </c>
      <c r="AH72" s="34">
        <f>IFERROR(s_RadSpec!$J$16*(AH$16*$B72),".")</f>
        <v>0.78752453778064435</v>
      </c>
      <c r="AI72" s="34">
        <f>IFERROR(s_RadSpec!$J$16*(AI$16*$B72),".")</f>
        <v>0.41890352245762569</v>
      </c>
      <c r="AJ72" s="34">
        <f>IFERROR(s_RadSpec!$J$16*(AJ$16*$B72),".")</f>
        <v>0.39054805974047041</v>
      </c>
      <c r="AK72" s="34">
        <f>IFERROR(s_RadSpec!$J$16*(AK$16*$B72),".")</f>
        <v>0.34064244535827715</v>
      </c>
      <c r="AL72" s="34">
        <f>IFERROR(s_RadSpec!$J$16*(AL$16*$B72),".")</f>
        <v>0.41890352245762569</v>
      </c>
      <c r="AM72" s="34">
        <f>IFERROR(s_RadSpec!$J$16*(AM$16*$B72),".")</f>
        <v>0.78752453778064435</v>
      </c>
      <c r="AN72" s="34">
        <f>IFERROR(s_RadSpec!$J$16*(AN$16*$B72),".")</f>
        <v>0.36389392478634441</v>
      </c>
      <c r="AO72" s="34">
        <f>IFERROR(s_RadSpec!$J$16*(AO$16*$B72),".")</f>
        <v>0.41890352245762569</v>
      </c>
      <c r="AP72" s="34">
        <f>IFERROR(s_RadSpec!$J$16*(AP$16*$B72),".")</f>
        <v>0.41890352245762569</v>
      </c>
      <c r="AQ72" s="34">
        <f>IFERROR(s_RadSpec!$J$16*(AQ$16*$B72),".")</f>
        <v>0.39054805974047041</v>
      </c>
      <c r="AR72" s="34">
        <f>IFERROR(s_RadSpec!$J$16*(AR$16*$B72),".")</f>
        <v>0.39054805974047041</v>
      </c>
      <c r="AS72" s="34">
        <f>IFERROR(s_RadSpec!$J$16*(AS$16*$B72),".")</f>
        <v>0.36389392478634441</v>
      </c>
      <c r="AT72" s="34">
        <f>IFERROR(s_RadSpec!$J$16*(AT$16*$B72),".")</f>
        <v>0.34234377312130643</v>
      </c>
      <c r="AU72" s="34">
        <f>IFERROR(s_RadSpec!$J$16*(AU$16*$B72),".")</f>
        <v>0.41890352245762569</v>
      </c>
      <c r="AV72" s="34">
        <f>IFERROR(s_RadSpec!$J$16*(AV$16*$B72),".")</f>
        <v>0.36389392478634441</v>
      </c>
      <c r="AW72" s="34">
        <f>IFERROR(s_RadSpec!$J$16*(AW$16*$B72),".")</f>
        <v>0.39054805974047041</v>
      </c>
      <c r="AX72" s="34">
        <f>IFERROR(s_RadSpec!$J$16*(AX$16*$B72),".")</f>
        <v>0.41890352245762569</v>
      </c>
      <c r="AY72" s="34">
        <f>IFERROR(s_RadSpec!$J$16*(AY$16*$B72),".")</f>
        <v>0.33548175114375489</v>
      </c>
      <c r="AZ72" s="34">
        <f>IFERROR(s_RadSpec!$J$16*(AZ$16*$B72),".")</f>
        <v>0.39621915228390148</v>
      </c>
      <c r="BA72" s="42">
        <f t="shared" ref="BA72:BY72" si="185">IFERROR(BA16/$B58,0)</f>
        <v>22.276696901037536</v>
      </c>
      <c r="BB72" s="42">
        <f t="shared" si="185"/>
        <v>64.012608375556056</v>
      </c>
      <c r="BC72" s="42">
        <f t="shared" si="185"/>
        <v>31.745042599502412</v>
      </c>
      <c r="BD72" s="42">
        <f t="shared" si="185"/>
        <v>59.67961275028162</v>
      </c>
      <c r="BE72" s="42">
        <f t="shared" si="185"/>
        <v>64.012608375556056</v>
      </c>
      <c r="BF72" s="42">
        <f t="shared" si="185"/>
        <v>59.67961275028162</v>
      </c>
      <c r="BG72" s="42">
        <f t="shared" si="185"/>
        <v>31.745042599502412</v>
      </c>
      <c r="BH72" s="42">
        <f t="shared" si="185"/>
        <v>59.67961275028162</v>
      </c>
      <c r="BI72" s="42">
        <f t="shared" si="185"/>
        <v>64.012608375556056</v>
      </c>
      <c r="BJ72" s="42">
        <f t="shared" si="185"/>
        <v>73.390736652638168</v>
      </c>
      <c r="BK72" s="42">
        <f t="shared" si="185"/>
        <v>59.67961275028162</v>
      </c>
      <c r="BL72" s="42">
        <f t="shared" si="185"/>
        <v>31.745042599502412</v>
      </c>
      <c r="BM72" s="42">
        <f t="shared" si="185"/>
        <v>68.701339311114978</v>
      </c>
      <c r="BN72" s="42">
        <f t="shared" si="185"/>
        <v>59.67961275028162</v>
      </c>
      <c r="BO72" s="42">
        <f t="shared" si="185"/>
        <v>59.67961275028162</v>
      </c>
      <c r="BP72" s="42">
        <f t="shared" si="185"/>
        <v>64.012608375556056</v>
      </c>
      <c r="BQ72" s="42">
        <f t="shared" si="185"/>
        <v>64.012608375556056</v>
      </c>
      <c r="BR72" s="42">
        <f t="shared" si="185"/>
        <v>68.701339311114978</v>
      </c>
      <c r="BS72" s="42">
        <f t="shared" si="185"/>
        <v>73.026010585977502</v>
      </c>
      <c r="BT72" s="42">
        <f t="shared" si="185"/>
        <v>59.67961275028162</v>
      </c>
      <c r="BU72" s="42">
        <f t="shared" si="185"/>
        <v>68.701339311114978</v>
      </c>
      <c r="BV72" s="42">
        <f t="shared" si="185"/>
        <v>64.012608375556056</v>
      </c>
      <c r="BW72" s="42">
        <f t="shared" si="185"/>
        <v>59.67961275028162</v>
      </c>
      <c r="BX72" s="42">
        <f t="shared" si="185"/>
        <v>74.519701637325213</v>
      </c>
      <c r="BY72" s="42">
        <f t="shared" si="185"/>
        <v>63.096394649006868</v>
      </c>
      <c r="BZ72" s="34">
        <f t="shared" si="175"/>
        <v>1.1222489631681269</v>
      </c>
      <c r="CA72" s="34">
        <f>IFERROR(s_RadSpec!$J$16*(CA$16*$B72),".")</f>
        <v>0.39054805974047041</v>
      </c>
      <c r="CB72" s="34">
        <f>IFERROR(s_RadSpec!$J$16*(CB$16*$B72),".")</f>
        <v>0.78752453778064435</v>
      </c>
      <c r="CC72" s="34">
        <f>IFERROR(s_RadSpec!$J$16*(CC$16*$B72),".")</f>
        <v>0.41890352245762569</v>
      </c>
      <c r="CD72" s="34">
        <f>IFERROR(s_RadSpec!$J$16*(CD$16*$B72),".")</f>
        <v>0.39054805974047041</v>
      </c>
      <c r="CE72" s="34">
        <f>IFERROR(s_RadSpec!$J$16*(CE$16*$B72),".")</f>
        <v>0.41890352245762569</v>
      </c>
      <c r="CF72" s="34">
        <f>IFERROR(s_RadSpec!$J$16*(CF$16*$B72),".")</f>
        <v>0.78752453778064435</v>
      </c>
      <c r="CG72" s="34">
        <f>IFERROR(s_RadSpec!$J$16*(CG$16*$B72),".")</f>
        <v>0.41890352245762569</v>
      </c>
      <c r="CH72" s="34">
        <f>IFERROR(s_RadSpec!$J$16*(CH$16*$B72),".")</f>
        <v>0.39054805974047041</v>
      </c>
      <c r="CI72" s="34">
        <f>IFERROR(s_RadSpec!$J$16*(CI$16*$B72),".")</f>
        <v>0.34064244535827715</v>
      </c>
      <c r="CJ72" s="34">
        <f>IFERROR(s_RadSpec!$J$16*(CJ$16*$B72),".")</f>
        <v>0.41890352245762569</v>
      </c>
      <c r="CK72" s="34">
        <f>IFERROR(s_RadSpec!$J$16*(CK$16*$B72),".")</f>
        <v>0.78752453778064435</v>
      </c>
      <c r="CL72" s="34">
        <f>IFERROR(s_RadSpec!$J$16*(CL$16*$B72),".")</f>
        <v>0.36389392478634441</v>
      </c>
      <c r="CM72" s="34">
        <f>IFERROR(s_RadSpec!$J$16*(CM$16*$B72),".")</f>
        <v>0.41890352245762569</v>
      </c>
      <c r="CN72" s="34">
        <f>IFERROR(s_RadSpec!$J$16*(CN$16*$B72),".")</f>
        <v>0.41890352245762569</v>
      </c>
      <c r="CO72" s="34">
        <f>IFERROR(s_RadSpec!$J$16*(CO$16*$B72),".")</f>
        <v>0.39054805974047041</v>
      </c>
      <c r="CP72" s="34">
        <f>IFERROR(s_RadSpec!$J$16*(CP$16*$B72),".")</f>
        <v>0.39054805974047041</v>
      </c>
      <c r="CQ72" s="34">
        <f>IFERROR(s_RadSpec!$J$16*(CQ$16*$B72),".")</f>
        <v>0.36389392478634441</v>
      </c>
      <c r="CR72" s="34">
        <f>IFERROR(s_RadSpec!$J$16*(CR$16*$B72),".")</f>
        <v>0.34234377312130643</v>
      </c>
      <c r="CS72" s="34">
        <f>IFERROR(s_RadSpec!$J$16*(CS$16*$B72),".")</f>
        <v>0.41890352245762569</v>
      </c>
      <c r="CT72" s="34">
        <f>IFERROR(s_RadSpec!$J$16*(CT$16*$B72),".")</f>
        <v>0.36389392478634441</v>
      </c>
      <c r="CU72" s="34">
        <f>IFERROR(s_RadSpec!$J$16*(CU$16*$B72),".")</f>
        <v>0.39054805974047041</v>
      </c>
      <c r="CV72" s="34">
        <f>IFERROR(s_RadSpec!$J$16*(CV$16*$B72),".")</f>
        <v>0.41890352245762569</v>
      </c>
      <c r="CW72" s="34">
        <f>IFERROR(s_RadSpec!$J$16*(CW$16*$B72),".")</f>
        <v>0.33548175114375489</v>
      </c>
      <c r="CX72" s="34">
        <f>IFERROR(s_RadSpec!$J$16*(CX$16*$B72),".")</f>
        <v>0.39621915228390148</v>
      </c>
    </row>
    <row r="73" spans="1:102" s="3" customFormat="1" x14ac:dyDescent="0.25">
      <c r="A73" s="55" t="s">
        <v>1082</v>
      </c>
      <c r="B73" s="3">
        <v>1</v>
      </c>
      <c r="C73" s="42">
        <f t="shared" ref="C73:AA73" si="186">IFERROR(C7/$B59,0)</f>
        <v>5241.4020209370792</v>
      </c>
      <c r="D73" s="42">
        <f t="shared" si="186"/>
        <v>15724.206062811239</v>
      </c>
      <c r="E73" s="42">
        <f t="shared" si="186"/>
        <v>15724.206062811239</v>
      </c>
      <c r="F73" s="42">
        <f t="shared" si="186"/>
        <v>15724.206062811239</v>
      </c>
      <c r="G73" s="42">
        <f t="shared" si="186"/>
        <v>15724.206062811239</v>
      </c>
      <c r="H73" s="42">
        <f t="shared" si="186"/>
        <v>15724.206062811239</v>
      </c>
      <c r="I73" s="42">
        <f t="shared" si="186"/>
        <v>15724.206062811239</v>
      </c>
      <c r="J73" s="42">
        <f t="shared" si="186"/>
        <v>15724.206062811239</v>
      </c>
      <c r="K73" s="42">
        <f t="shared" si="186"/>
        <v>15724.206062811239</v>
      </c>
      <c r="L73" s="42">
        <f t="shared" si="186"/>
        <v>15724.206062811239</v>
      </c>
      <c r="M73" s="42">
        <f t="shared" si="186"/>
        <v>15724.206062811239</v>
      </c>
      <c r="N73" s="42">
        <f t="shared" si="186"/>
        <v>15724.206062811239</v>
      </c>
      <c r="O73" s="42">
        <f t="shared" si="186"/>
        <v>15724.206062811239</v>
      </c>
      <c r="P73" s="42">
        <f t="shared" si="186"/>
        <v>15724.206062811239</v>
      </c>
      <c r="Q73" s="42">
        <f t="shared" si="186"/>
        <v>15724.206062811239</v>
      </c>
      <c r="R73" s="42">
        <f t="shared" si="186"/>
        <v>15724.206062811239</v>
      </c>
      <c r="S73" s="42">
        <f t="shared" si="186"/>
        <v>15724.206062811239</v>
      </c>
      <c r="T73" s="42">
        <f t="shared" si="186"/>
        <v>15724.206062811239</v>
      </c>
      <c r="U73" s="42">
        <f t="shared" si="186"/>
        <v>15724.206062811239</v>
      </c>
      <c r="V73" s="42">
        <f t="shared" si="186"/>
        <v>15724.206062811239</v>
      </c>
      <c r="W73" s="42">
        <f t="shared" si="186"/>
        <v>15724.206062811239</v>
      </c>
      <c r="X73" s="42">
        <f t="shared" si="186"/>
        <v>15724.206062811239</v>
      </c>
      <c r="Y73" s="42">
        <f t="shared" si="186"/>
        <v>15724.206062811239</v>
      </c>
      <c r="Z73" s="42">
        <f t="shared" si="186"/>
        <v>15724.206062811239</v>
      </c>
      <c r="AA73" s="42">
        <f t="shared" si="186"/>
        <v>15724.206062811239</v>
      </c>
      <c r="AB73" s="34">
        <f t="shared" si="33"/>
        <v>4.7697161752019929E-3</v>
      </c>
      <c r="AC73" s="34">
        <f>IFERROR(s_RadSpec!$J$7*(AC$7*$B73),".")</f>
        <v>1.5899053917339976E-3</v>
      </c>
      <c r="AD73" s="34">
        <f>IFERROR(s_RadSpec!$J$7*(AD$7*$B73),".")</f>
        <v>1.5899053917339976E-3</v>
      </c>
      <c r="AE73" s="34">
        <f>IFERROR(s_RadSpec!$J$7*(AE$7*$B73),".")</f>
        <v>1.5899053917339976E-3</v>
      </c>
      <c r="AF73" s="34">
        <f>IFERROR(s_RadSpec!$J$7*(AF$7*$B73),".")</f>
        <v>1.5899053917339976E-3</v>
      </c>
      <c r="AG73" s="34">
        <f>IFERROR(s_RadSpec!$J$7*(AG$7*$B73),".")</f>
        <v>1.5899053917339976E-3</v>
      </c>
      <c r="AH73" s="34">
        <f>IFERROR(s_RadSpec!$J$7*(AH$7*$B73),".")</f>
        <v>1.5899053917339976E-3</v>
      </c>
      <c r="AI73" s="34">
        <f>IFERROR(s_RadSpec!$J$7*(AI$7*$B73),".")</f>
        <v>1.5899053917339976E-3</v>
      </c>
      <c r="AJ73" s="34">
        <f>IFERROR(s_RadSpec!$J$7*(AJ$7*$B73),".")</f>
        <v>1.5899053917339976E-3</v>
      </c>
      <c r="AK73" s="34">
        <f>IFERROR(s_RadSpec!$J$7*(AK$7*$B73),".")</f>
        <v>1.5899053917339976E-3</v>
      </c>
      <c r="AL73" s="34">
        <f>IFERROR(s_RadSpec!$J$7*(AL$7*$B73),".")</f>
        <v>1.5899053917339976E-3</v>
      </c>
      <c r="AM73" s="34">
        <f>IFERROR(s_RadSpec!$J$7*(AM$7*$B73),".")</f>
        <v>1.5899053917339976E-3</v>
      </c>
      <c r="AN73" s="34">
        <f>IFERROR(s_RadSpec!$J$7*(AN$7*$B73),".")</f>
        <v>1.5899053917339976E-3</v>
      </c>
      <c r="AO73" s="34">
        <f>IFERROR(s_RadSpec!$J$7*(AO$7*$B73),".")</f>
        <v>1.5899053917339976E-3</v>
      </c>
      <c r="AP73" s="34">
        <f>IFERROR(s_RadSpec!$J$7*(AP$7*$B73),".")</f>
        <v>1.5899053917339976E-3</v>
      </c>
      <c r="AQ73" s="34">
        <f>IFERROR(s_RadSpec!$J$7*(AQ$7*$B73),".")</f>
        <v>1.5899053917339976E-3</v>
      </c>
      <c r="AR73" s="34">
        <f>IFERROR(s_RadSpec!$J$7*(AR$7*$B73),".")</f>
        <v>1.5899053917339976E-3</v>
      </c>
      <c r="AS73" s="34">
        <f>IFERROR(s_RadSpec!$J$7*(AS$7*$B73),".")</f>
        <v>1.5899053917339976E-3</v>
      </c>
      <c r="AT73" s="34">
        <f>IFERROR(s_RadSpec!$J$7*(AT$7*$B73),".")</f>
        <v>1.5899053917339976E-3</v>
      </c>
      <c r="AU73" s="34">
        <f>IFERROR(s_RadSpec!$J$7*(AU$7*$B73),".")</f>
        <v>1.5899053917339976E-3</v>
      </c>
      <c r="AV73" s="34">
        <f>IFERROR(s_RadSpec!$J$7*(AV$7*$B73),".")</f>
        <v>1.5899053917339976E-3</v>
      </c>
      <c r="AW73" s="34">
        <f>IFERROR(s_RadSpec!$J$7*(AW$7*$B73),".")</f>
        <v>1.5899053917339976E-3</v>
      </c>
      <c r="AX73" s="34">
        <f>IFERROR(s_RadSpec!$J$7*(AX$7*$B73),".")</f>
        <v>1.5899053917339976E-3</v>
      </c>
      <c r="AY73" s="34">
        <f>IFERROR(s_RadSpec!$J$7*(AY$7*$B73),".")</f>
        <v>1.5899053917339976E-3</v>
      </c>
      <c r="AZ73" s="34">
        <f>IFERROR(s_RadSpec!$J$7*(AZ$7*$B73),".")</f>
        <v>1.5899053917339976E-3</v>
      </c>
      <c r="BA73" s="42">
        <f t="shared" ref="BA73:BY73" si="187">IFERROR(BA7/$B59,0)</f>
        <v>5241.4020209370792</v>
      </c>
      <c r="BB73" s="42">
        <f t="shared" si="187"/>
        <v>15724.206062811239</v>
      </c>
      <c r="BC73" s="42">
        <f t="shared" si="187"/>
        <v>15724.206062811239</v>
      </c>
      <c r="BD73" s="42">
        <f t="shared" si="187"/>
        <v>15724.206062811239</v>
      </c>
      <c r="BE73" s="42">
        <f t="shared" si="187"/>
        <v>15724.206062811239</v>
      </c>
      <c r="BF73" s="42">
        <f t="shared" si="187"/>
        <v>15724.206062811239</v>
      </c>
      <c r="BG73" s="42">
        <f t="shared" si="187"/>
        <v>15724.206062811239</v>
      </c>
      <c r="BH73" s="42">
        <f t="shared" si="187"/>
        <v>15724.206062811239</v>
      </c>
      <c r="BI73" s="42">
        <f t="shared" si="187"/>
        <v>15724.206062811239</v>
      </c>
      <c r="BJ73" s="42">
        <f t="shared" si="187"/>
        <v>15724.206062811239</v>
      </c>
      <c r="BK73" s="42">
        <f t="shared" si="187"/>
        <v>15724.206062811239</v>
      </c>
      <c r="BL73" s="42">
        <f t="shared" si="187"/>
        <v>15724.206062811239</v>
      </c>
      <c r="BM73" s="42">
        <f t="shared" si="187"/>
        <v>15724.206062811239</v>
      </c>
      <c r="BN73" s="42">
        <f t="shared" si="187"/>
        <v>15724.206062811239</v>
      </c>
      <c r="BO73" s="42">
        <f t="shared" si="187"/>
        <v>15724.206062811239</v>
      </c>
      <c r="BP73" s="42">
        <f t="shared" si="187"/>
        <v>15724.206062811239</v>
      </c>
      <c r="BQ73" s="42">
        <f t="shared" si="187"/>
        <v>15724.206062811239</v>
      </c>
      <c r="BR73" s="42">
        <f t="shared" si="187"/>
        <v>15724.206062811239</v>
      </c>
      <c r="BS73" s="42">
        <f t="shared" si="187"/>
        <v>15724.206062811239</v>
      </c>
      <c r="BT73" s="42">
        <f t="shared" si="187"/>
        <v>15724.206062811239</v>
      </c>
      <c r="BU73" s="42">
        <f t="shared" si="187"/>
        <v>15724.206062811239</v>
      </c>
      <c r="BV73" s="42">
        <f t="shared" si="187"/>
        <v>15724.206062811239</v>
      </c>
      <c r="BW73" s="42">
        <f t="shared" si="187"/>
        <v>15724.206062811239</v>
      </c>
      <c r="BX73" s="42">
        <f t="shared" si="187"/>
        <v>15724.206062811239</v>
      </c>
      <c r="BY73" s="42">
        <f t="shared" si="187"/>
        <v>15724.206062811239</v>
      </c>
      <c r="BZ73" s="34">
        <f t="shared" si="175"/>
        <v>4.7697161752019929E-3</v>
      </c>
      <c r="CA73" s="34">
        <f>IFERROR(s_RadSpec!$J$7*(CA$7*$B73),".")</f>
        <v>1.5899053917339976E-3</v>
      </c>
      <c r="CB73" s="34">
        <f>IFERROR(s_RadSpec!$J$7*(CB$7*$B73),".")</f>
        <v>1.5899053917339976E-3</v>
      </c>
      <c r="CC73" s="34">
        <f>IFERROR(s_RadSpec!$J$7*(CC$7*$B73),".")</f>
        <v>1.5899053917339976E-3</v>
      </c>
      <c r="CD73" s="34">
        <f>IFERROR(s_RadSpec!$J$7*(CD$7*$B73),".")</f>
        <v>1.5899053917339976E-3</v>
      </c>
      <c r="CE73" s="34">
        <f>IFERROR(s_RadSpec!$J$7*(CE$7*$B73),".")</f>
        <v>1.5899053917339976E-3</v>
      </c>
      <c r="CF73" s="34">
        <f>IFERROR(s_RadSpec!$J$7*(CF$7*$B73),".")</f>
        <v>1.5899053917339976E-3</v>
      </c>
      <c r="CG73" s="34">
        <f>IFERROR(s_RadSpec!$J$7*(CG$7*$B73),".")</f>
        <v>1.5899053917339976E-3</v>
      </c>
      <c r="CH73" s="34">
        <f>IFERROR(s_RadSpec!$J$7*(CH$7*$B73),".")</f>
        <v>1.5899053917339976E-3</v>
      </c>
      <c r="CI73" s="34">
        <f>IFERROR(s_RadSpec!$J$7*(CI$7*$B73),".")</f>
        <v>1.5899053917339976E-3</v>
      </c>
      <c r="CJ73" s="34">
        <f>IFERROR(s_RadSpec!$J$7*(CJ$7*$B73),".")</f>
        <v>1.5899053917339976E-3</v>
      </c>
      <c r="CK73" s="34">
        <f>IFERROR(s_RadSpec!$J$7*(CK$7*$B73),".")</f>
        <v>1.5899053917339976E-3</v>
      </c>
      <c r="CL73" s="34">
        <f>IFERROR(s_RadSpec!$J$7*(CL$7*$B73),".")</f>
        <v>1.5899053917339976E-3</v>
      </c>
      <c r="CM73" s="34">
        <f>IFERROR(s_RadSpec!$J$7*(CM$7*$B73),".")</f>
        <v>1.5899053917339976E-3</v>
      </c>
      <c r="CN73" s="34">
        <f>IFERROR(s_RadSpec!$J$7*(CN$7*$B73),".")</f>
        <v>1.5899053917339976E-3</v>
      </c>
      <c r="CO73" s="34">
        <f>IFERROR(s_RadSpec!$J$7*(CO$7*$B73),".")</f>
        <v>1.5899053917339976E-3</v>
      </c>
      <c r="CP73" s="34">
        <f>IFERROR(s_RadSpec!$J$7*(CP$7*$B73),".")</f>
        <v>1.5899053917339976E-3</v>
      </c>
      <c r="CQ73" s="34">
        <f>IFERROR(s_RadSpec!$J$7*(CQ$7*$B73),".")</f>
        <v>1.5899053917339976E-3</v>
      </c>
      <c r="CR73" s="34">
        <f>IFERROR(s_RadSpec!$J$7*(CR$7*$B73),".")</f>
        <v>1.5899053917339976E-3</v>
      </c>
      <c r="CS73" s="34">
        <f>IFERROR(s_RadSpec!$J$7*(CS$7*$B73),".")</f>
        <v>1.5899053917339976E-3</v>
      </c>
      <c r="CT73" s="34">
        <f>IFERROR(s_RadSpec!$J$7*(CT$7*$B73),".")</f>
        <v>1.5899053917339976E-3</v>
      </c>
      <c r="CU73" s="34">
        <f>IFERROR(s_RadSpec!$J$7*(CU$7*$B73),".")</f>
        <v>1.5899053917339976E-3</v>
      </c>
      <c r="CV73" s="34">
        <f>IFERROR(s_RadSpec!$J$7*(CV$7*$B73),".")</f>
        <v>1.5899053917339976E-3</v>
      </c>
      <c r="CW73" s="34">
        <f>IFERROR(s_RadSpec!$J$7*(CW$7*$B73),".")</f>
        <v>1.5899053917339976E-3</v>
      </c>
      <c r="CX73" s="34">
        <f>IFERROR(s_RadSpec!$J$7*(CX$7*$B73),".")</f>
        <v>1.5899053917339976E-3</v>
      </c>
    </row>
    <row r="74" spans="1:102" s="3" customFormat="1" x14ac:dyDescent="0.25">
      <c r="A74" s="55" t="s">
        <v>1083</v>
      </c>
      <c r="B74" s="3">
        <v>1.9000000000000001E-8</v>
      </c>
      <c r="C74" s="42">
        <f t="shared" ref="C74:AA74" si="188">IFERROR(C12/$B60,0)</f>
        <v>0</v>
      </c>
      <c r="D74" s="42">
        <f t="shared" si="188"/>
        <v>0</v>
      </c>
      <c r="E74" s="42">
        <f t="shared" si="188"/>
        <v>0</v>
      </c>
      <c r="F74" s="42">
        <f t="shared" si="188"/>
        <v>0</v>
      </c>
      <c r="G74" s="42">
        <f t="shared" si="188"/>
        <v>0</v>
      </c>
      <c r="H74" s="42">
        <f t="shared" si="188"/>
        <v>0</v>
      </c>
      <c r="I74" s="42">
        <f t="shared" si="188"/>
        <v>0</v>
      </c>
      <c r="J74" s="42">
        <f t="shared" si="188"/>
        <v>0</v>
      </c>
      <c r="K74" s="42">
        <f t="shared" si="188"/>
        <v>0</v>
      </c>
      <c r="L74" s="42">
        <f t="shared" si="188"/>
        <v>0</v>
      </c>
      <c r="M74" s="42">
        <f t="shared" si="188"/>
        <v>0</v>
      </c>
      <c r="N74" s="42">
        <f t="shared" si="188"/>
        <v>0</v>
      </c>
      <c r="O74" s="42">
        <f t="shared" si="188"/>
        <v>0</v>
      </c>
      <c r="P74" s="42">
        <f t="shared" si="188"/>
        <v>0</v>
      </c>
      <c r="Q74" s="42">
        <f t="shared" si="188"/>
        <v>0</v>
      </c>
      <c r="R74" s="42">
        <f t="shared" si="188"/>
        <v>0</v>
      </c>
      <c r="S74" s="42">
        <f t="shared" si="188"/>
        <v>0</v>
      </c>
      <c r="T74" s="42">
        <f t="shared" si="188"/>
        <v>0</v>
      </c>
      <c r="U74" s="42">
        <f t="shared" si="188"/>
        <v>0</v>
      </c>
      <c r="V74" s="42">
        <f t="shared" si="188"/>
        <v>0</v>
      </c>
      <c r="W74" s="42">
        <f t="shared" si="188"/>
        <v>0</v>
      </c>
      <c r="X74" s="42">
        <f t="shared" si="188"/>
        <v>0</v>
      </c>
      <c r="Y74" s="42">
        <f t="shared" si="188"/>
        <v>0</v>
      </c>
      <c r="Z74" s="42">
        <f t="shared" si="188"/>
        <v>0</v>
      </c>
      <c r="AA74" s="42">
        <f t="shared" si="188"/>
        <v>0</v>
      </c>
      <c r="AB74" s="34">
        <f t="shared" si="33"/>
        <v>0</v>
      </c>
      <c r="AC74" s="34">
        <f>IFERROR(s_RadSpec!$J$12*(AC$12*$B74),".")</f>
        <v>0</v>
      </c>
      <c r="AD74" s="34">
        <f>IFERROR(s_RadSpec!$J$12*(AD$12*$B74),".")</f>
        <v>0</v>
      </c>
      <c r="AE74" s="34">
        <f>IFERROR(s_RadSpec!$J$12*(AE$12*$B74),".")</f>
        <v>0</v>
      </c>
      <c r="AF74" s="34">
        <f>IFERROR(s_RadSpec!$J$12*(AF$12*$B74),".")</f>
        <v>0</v>
      </c>
      <c r="AG74" s="34">
        <f>IFERROR(s_RadSpec!$J$12*(AG$12*$B74),".")</f>
        <v>0</v>
      </c>
      <c r="AH74" s="34">
        <f>IFERROR(s_RadSpec!$J$12*(AH$12*$B74),".")</f>
        <v>0</v>
      </c>
      <c r="AI74" s="34">
        <f>IFERROR(s_RadSpec!$J$12*(AI$12*$B74),".")</f>
        <v>0</v>
      </c>
      <c r="AJ74" s="34">
        <f>IFERROR(s_RadSpec!$J$12*(AJ$12*$B74),".")</f>
        <v>0</v>
      </c>
      <c r="AK74" s="34">
        <f>IFERROR(s_RadSpec!$J$12*(AK$12*$B74),".")</f>
        <v>0</v>
      </c>
      <c r="AL74" s="34">
        <f>IFERROR(s_RadSpec!$J$12*(AL$12*$B74),".")</f>
        <v>0</v>
      </c>
      <c r="AM74" s="34">
        <f>IFERROR(s_RadSpec!$J$12*(AM$12*$B74),".")</f>
        <v>0</v>
      </c>
      <c r="AN74" s="34">
        <f>IFERROR(s_RadSpec!$J$12*(AN$12*$B74),".")</f>
        <v>0</v>
      </c>
      <c r="AO74" s="34">
        <f>IFERROR(s_RadSpec!$J$12*(AO$12*$B74),".")</f>
        <v>0</v>
      </c>
      <c r="AP74" s="34">
        <f>IFERROR(s_RadSpec!$J$12*(AP$12*$B74),".")</f>
        <v>0</v>
      </c>
      <c r="AQ74" s="34">
        <f>IFERROR(s_RadSpec!$J$12*(AQ$12*$B74),".")</f>
        <v>0</v>
      </c>
      <c r="AR74" s="34">
        <f>IFERROR(s_RadSpec!$J$12*(AR$12*$B74),".")</f>
        <v>0</v>
      </c>
      <c r="AS74" s="34">
        <f>IFERROR(s_RadSpec!$J$12*(AS$12*$B74),".")</f>
        <v>0</v>
      </c>
      <c r="AT74" s="34">
        <f>IFERROR(s_RadSpec!$J$12*(AT$12*$B74),".")</f>
        <v>0</v>
      </c>
      <c r="AU74" s="34">
        <f>IFERROR(s_RadSpec!$J$12*(AU$12*$B74),".")</f>
        <v>0</v>
      </c>
      <c r="AV74" s="34">
        <f>IFERROR(s_RadSpec!$J$12*(AV$12*$B74),".")</f>
        <v>0</v>
      </c>
      <c r="AW74" s="34">
        <f>IFERROR(s_RadSpec!$J$12*(AW$12*$B74),".")</f>
        <v>0</v>
      </c>
      <c r="AX74" s="34">
        <f>IFERROR(s_RadSpec!$J$12*(AX$12*$B74),".")</f>
        <v>0</v>
      </c>
      <c r="AY74" s="34">
        <f>IFERROR(s_RadSpec!$J$12*(AY$12*$B74),".")</f>
        <v>0</v>
      </c>
      <c r="AZ74" s="34">
        <f>IFERROR(s_RadSpec!$J$12*(AZ$12*$B74),".")</f>
        <v>0</v>
      </c>
      <c r="BA74" s="42">
        <f t="shared" ref="BA74:BY74" si="189">IFERROR(BA12/$B60,0)</f>
        <v>0</v>
      </c>
      <c r="BB74" s="42">
        <f t="shared" si="189"/>
        <v>0</v>
      </c>
      <c r="BC74" s="42">
        <f t="shared" si="189"/>
        <v>0</v>
      </c>
      <c r="BD74" s="42">
        <f t="shared" si="189"/>
        <v>0</v>
      </c>
      <c r="BE74" s="42">
        <f t="shared" si="189"/>
        <v>0</v>
      </c>
      <c r="BF74" s="42">
        <f t="shared" si="189"/>
        <v>0</v>
      </c>
      <c r="BG74" s="42">
        <f t="shared" si="189"/>
        <v>0</v>
      </c>
      <c r="BH74" s="42">
        <f t="shared" si="189"/>
        <v>0</v>
      </c>
      <c r="BI74" s="42">
        <f t="shared" si="189"/>
        <v>0</v>
      </c>
      <c r="BJ74" s="42">
        <f t="shared" si="189"/>
        <v>0</v>
      </c>
      <c r="BK74" s="42">
        <f t="shared" si="189"/>
        <v>0</v>
      </c>
      <c r="BL74" s="42">
        <f t="shared" si="189"/>
        <v>0</v>
      </c>
      <c r="BM74" s="42">
        <f t="shared" si="189"/>
        <v>0</v>
      </c>
      <c r="BN74" s="42">
        <f t="shared" si="189"/>
        <v>0</v>
      </c>
      <c r="BO74" s="42">
        <f t="shared" si="189"/>
        <v>0</v>
      </c>
      <c r="BP74" s="42">
        <f t="shared" si="189"/>
        <v>0</v>
      </c>
      <c r="BQ74" s="42">
        <f t="shared" si="189"/>
        <v>0</v>
      </c>
      <c r="BR74" s="42">
        <f t="shared" si="189"/>
        <v>0</v>
      </c>
      <c r="BS74" s="42">
        <f t="shared" si="189"/>
        <v>0</v>
      </c>
      <c r="BT74" s="42">
        <f t="shared" si="189"/>
        <v>0</v>
      </c>
      <c r="BU74" s="42">
        <f t="shared" si="189"/>
        <v>0</v>
      </c>
      <c r="BV74" s="42">
        <f t="shared" si="189"/>
        <v>0</v>
      </c>
      <c r="BW74" s="42">
        <f t="shared" si="189"/>
        <v>0</v>
      </c>
      <c r="BX74" s="42">
        <f t="shared" si="189"/>
        <v>0</v>
      </c>
      <c r="BY74" s="42">
        <f t="shared" si="189"/>
        <v>0</v>
      </c>
      <c r="BZ74" s="34">
        <f t="shared" si="175"/>
        <v>0</v>
      </c>
      <c r="CA74" s="34">
        <f>IFERROR(s_RadSpec!$J$12*(CA$12*$B74),".")</f>
        <v>0</v>
      </c>
      <c r="CB74" s="34">
        <f>IFERROR(s_RadSpec!$J$12*(CB$12*$B74),".")</f>
        <v>0</v>
      </c>
      <c r="CC74" s="34">
        <f>IFERROR(s_RadSpec!$J$12*(CC$12*$B74),".")</f>
        <v>0</v>
      </c>
      <c r="CD74" s="34">
        <f>IFERROR(s_RadSpec!$J$12*(CD$12*$B74),".")</f>
        <v>0</v>
      </c>
      <c r="CE74" s="34">
        <f>IFERROR(s_RadSpec!$J$12*(CE$12*$B74),".")</f>
        <v>0</v>
      </c>
      <c r="CF74" s="34">
        <f>IFERROR(s_RadSpec!$J$12*(CF$12*$B74),".")</f>
        <v>0</v>
      </c>
      <c r="CG74" s="34">
        <f>IFERROR(s_RadSpec!$J$12*(CG$12*$B74),".")</f>
        <v>0</v>
      </c>
      <c r="CH74" s="34">
        <f>IFERROR(s_RadSpec!$J$12*(CH$12*$B74),".")</f>
        <v>0</v>
      </c>
      <c r="CI74" s="34">
        <f>IFERROR(s_RadSpec!$J$12*(CI$12*$B74),".")</f>
        <v>0</v>
      </c>
      <c r="CJ74" s="34">
        <f>IFERROR(s_RadSpec!$J$12*(CJ$12*$B74),".")</f>
        <v>0</v>
      </c>
      <c r="CK74" s="34">
        <f>IFERROR(s_RadSpec!$J$12*(CK$12*$B74),".")</f>
        <v>0</v>
      </c>
      <c r="CL74" s="34">
        <f>IFERROR(s_RadSpec!$J$12*(CL$12*$B74),".")</f>
        <v>0</v>
      </c>
      <c r="CM74" s="34">
        <f>IFERROR(s_RadSpec!$J$12*(CM$12*$B74),".")</f>
        <v>0</v>
      </c>
      <c r="CN74" s="34">
        <f>IFERROR(s_RadSpec!$J$12*(CN$12*$B74),".")</f>
        <v>0</v>
      </c>
      <c r="CO74" s="34">
        <f>IFERROR(s_RadSpec!$J$12*(CO$12*$B74),".")</f>
        <v>0</v>
      </c>
      <c r="CP74" s="34">
        <f>IFERROR(s_RadSpec!$J$12*(CP$12*$B74),".")</f>
        <v>0</v>
      </c>
      <c r="CQ74" s="34">
        <f>IFERROR(s_RadSpec!$J$12*(CQ$12*$B74),".")</f>
        <v>0</v>
      </c>
      <c r="CR74" s="34">
        <f>IFERROR(s_RadSpec!$J$12*(CR$12*$B74),".")</f>
        <v>0</v>
      </c>
      <c r="CS74" s="34">
        <f>IFERROR(s_RadSpec!$J$12*(CS$12*$B74),".")</f>
        <v>0</v>
      </c>
      <c r="CT74" s="34">
        <f>IFERROR(s_RadSpec!$J$12*(CT$12*$B74),".")</f>
        <v>0</v>
      </c>
      <c r="CU74" s="34">
        <f>IFERROR(s_RadSpec!$J$12*(CU$12*$B74),".")</f>
        <v>0</v>
      </c>
      <c r="CV74" s="34">
        <f>IFERROR(s_RadSpec!$J$12*(CV$12*$B74),".")</f>
        <v>0</v>
      </c>
      <c r="CW74" s="34">
        <f>IFERROR(s_RadSpec!$J$12*(CW$12*$B74),".")</f>
        <v>0</v>
      </c>
      <c r="CX74" s="34">
        <f>IFERROR(s_RadSpec!$J$12*(CX$12*$B74),".")</f>
        <v>0</v>
      </c>
    </row>
    <row r="75" spans="1:102" s="3" customFormat="1" x14ac:dyDescent="0.25">
      <c r="A75" s="55" t="s">
        <v>1084</v>
      </c>
      <c r="B75" s="3">
        <v>1</v>
      </c>
      <c r="C75" s="42">
        <f t="shared" ref="C75:AA75" si="190">IFERROR(C18/$B61,0)</f>
        <v>13.520470417263882</v>
      </c>
      <c r="D75" s="42">
        <f t="shared" si="190"/>
        <v>43.500521608732512</v>
      </c>
      <c r="E75" s="42">
        <f t="shared" si="190"/>
        <v>38.7740919443347</v>
      </c>
      <c r="F75" s="42">
        <f t="shared" si="190"/>
        <v>39.733454007359143</v>
      </c>
      <c r="G75" s="42">
        <f t="shared" si="190"/>
        <v>43.500521608732512</v>
      </c>
      <c r="H75" s="42">
        <f t="shared" si="190"/>
        <v>43.500521608732512</v>
      </c>
      <c r="I75" s="42">
        <f t="shared" si="190"/>
        <v>38.7740919443347</v>
      </c>
      <c r="J75" s="42">
        <f t="shared" si="190"/>
        <v>39.733454007359143</v>
      </c>
      <c r="K75" s="42">
        <f t="shared" si="190"/>
        <v>43.500521608732512</v>
      </c>
      <c r="L75" s="42">
        <f t="shared" si="190"/>
        <v>43.471082848465379</v>
      </c>
      <c r="M75" s="42">
        <f t="shared" si="190"/>
        <v>43.500521608732512</v>
      </c>
      <c r="N75" s="42">
        <f t="shared" si="190"/>
        <v>38.7740919443347</v>
      </c>
      <c r="O75" s="42">
        <f t="shared" si="190"/>
        <v>43.449029913325383</v>
      </c>
      <c r="P75" s="42">
        <f t="shared" si="190"/>
        <v>43.500521608732512</v>
      </c>
      <c r="Q75" s="42">
        <f t="shared" si="190"/>
        <v>43.500521608732512</v>
      </c>
      <c r="R75" s="42">
        <f t="shared" si="190"/>
        <v>43.500521608732512</v>
      </c>
      <c r="S75" s="42">
        <f t="shared" si="190"/>
        <v>43.500521608732512</v>
      </c>
      <c r="T75" s="42">
        <f t="shared" si="190"/>
        <v>43.449029913325383</v>
      </c>
      <c r="U75" s="42">
        <f t="shared" si="190"/>
        <v>41.734116547734914</v>
      </c>
      <c r="V75" s="42">
        <f t="shared" si="190"/>
        <v>43.500521608732512</v>
      </c>
      <c r="W75" s="42">
        <f t="shared" si="190"/>
        <v>43.449029913325383</v>
      </c>
      <c r="X75" s="42">
        <f t="shared" si="190"/>
        <v>43.500521608732512</v>
      </c>
      <c r="Y75" s="42">
        <f t="shared" si="190"/>
        <v>43.500521608732512</v>
      </c>
      <c r="Z75" s="42">
        <f t="shared" si="190"/>
        <v>35.752725382223296</v>
      </c>
      <c r="AA75" s="42">
        <f t="shared" si="190"/>
        <v>43.471082848465379</v>
      </c>
      <c r="AB75" s="34">
        <f t="shared" si="33"/>
        <v>1.8490480899302331</v>
      </c>
      <c r="AC75" s="34">
        <f>IFERROR(s_RadSpec!$J$18*(AC$18*$B75),".")</f>
        <v>0.57470575237841237</v>
      </c>
      <c r="AD75" s="34">
        <f>IFERROR(s_RadSpec!$J$18*(AD$18*$B75),".")</f>
        <v>0.6447604249737372</v>
      </c>
      <c r="AE75" s="34">
        <f>IFERROR(s_RadSpec!$J$18*(AE$18*$B75),".")</f>
        <v>0.62919271995255388</v>
      </c>
      <c r="AF75" s="34">
        <f>IFERROR(s_RadSpec!$J$18*(AF$18*$B75),".")</f>
        <v>0.57470575237841237</v>
      </c>
      <c r="AG75" s="34">
        <f>IFERROR(s_RadSpec!$J$18*(AG$18*$B75),".")</f>
        <v>0.57470575237841237</v>
      </c>
      <c r="AH75" s="34">
        <f>IFERROR(s_RadSpec!$J$18*(AH$18*$B75),".")</f>
        <v>0.6447604249737372</v>
      </c>
      <c r="AI75" s="34">
        <f>IFERROR(s_RadSpec!$J$18*(AI$18*$B75),".")</f>
        <v>0.62919271995255388</v>
      </c>
      <c r="AJ75" s="34">
        <f>IFERROR(s_RadSpec!$J$18*(AJ$18*$B75),".")</f>
        <v>0.57470575237841237</v>
      </c>
      <c r="AK75" s="34">
        <f>IFERROR(s_RadSpec!$J$18*(AK$18*$B75),".")</f>
        <v>0.57509494500394198</v>
      </c>
      <c r="AL75" s="34">
        <f>IFERROR(s_RadSpec!$J$18*(AL$18*$B75),".")</f>
        <v>0.57470575237841237</v>
      </c>
      <c r="AM75" s="34">
        <f>IFERROR(s_RadSpec!$J$18*(AM$18*$B75),".")</f>
        <v>0.6447604249737372</v>
      </c>
      <c r="AN75" s="34">
        <f>IFERROR(s_RadSpec!$J$18*(AN$18*$B75),".")</f>
        <v>0.57538683947308911</v>
      </c>
      <c r="AO75" s="34">
        <f>IFERROR(s_RadSpec!$J$18*(AO$18*$B75),".")</f>
        <v>0.57470575237841237</v>
      </c>
      <c r="AP75" s="34">
        <f>IFERROR(s_RadSpec!$J$18*(AP$18*$B75),".")</f>
        <v>0.57470575237841237</v>
      </c>
      <c r="AQ75" s="34">
        <f>IFERROR(s_RadSpec!$J$18*(AQ$18*$B75),".")</f>
        <v>0.57470575237841237</v>
      </c>
      <c r="AR75" s="34">
        <f>IFERROR(s_RadSpec!$J$18*(AR$18*$B75),".")</f>
        <v>0.57470575237841237</v>
      </c>
      <c r="AS75" s="34">
        <f>IFERROR(s_RadSpec!$J$18*(AS$18*$B75),".")</f>
        <v>0.57538683947308911</v>
      </c>
      <c r="AT75" s="34">
        <f>IFERROR(s_RadSpec!$J$18*(AT$18*$B75),".")</f>
        <v>0.59903029147401121</v>
      </c>
      <c r="AU75" s="34">
        <f>IFERROR(s_RadSpec!$J$18*(AU$18*$B75),".")</f>
        <v>0.57470575237841237</v>
      </c>
      <c r="AV75" s="34">
        <f>IFERROR(s_RadSpec!$J$18*(AV$18*$B75),".")</f>
        <v>0.57538683947308911</v>
      </c>
      <c r="AW75" s="34">
        <f>IFERROR(s_RadSpec!$J$18*(AW$18*$B75),".")</f>
        <v>0.57470575237841237</v>
      </c>
      <c r="AX75" s="34">
        <f>IFERROR(s_RadSpec!$J$18*(AX$18*$B75),".")</f>
        <v>0.57470575237841237</v>
      </c>
      <c r="AY75" s="34">
        <f>IFERROR(s_RadSpec!$J$18*(AY$18*$B75),".")</f>
        <v>0.69924739254787871</v>
      </c>
      <c r="AZ75" s="34">
        <f>IFERROR(s_RadSpec!$J$18*(AZ$18*$B75),".")</f>
        <v>0.57509494500394198</v>
      </c>
      <c r="BA75" s="42">
        <f t="shared" ref="BA75:BY75" si="191">IFERROR(BA18/$B61,0)</f>
        <v>13.520470417263882</v>
      </c>
      <c r="BB75" s="42">
        <f t="shared" si="191"/>
        <v>43.500521608732512</v>
      </c>
      <c r="BC75" s="42">
        <f t="shared" si="191"/>
        <v>38.7740919443347</v>
      </c>
      <c r="BD75" s="42">
        <f t="shared" si="191"/>
        <v>39.733454007359143</v>
      </c>
      <c r="BE75" s="42">
        <f t="shared" si="191"/>
        <v>43.500521608732512</v>
      </c>
      <c r="BF75" s="42">
        <f t="shared" si="191"/>
        <v>43.500521608732512</v>
      </c>
      <c r="BG75" s="42">
        <f t="shared" si="191"/>
        <v>38.7740919443347</v>
      </c>
      <c r="BH75" s="42">
        <f t="shared" si="191"/>
        <v>39.733454007359143</v>
      </c>
      <c r="BI75" s="42">
        <f t="shared" si="191"/>
        <v>43.500521608732512</v>
      </c>
      <c r="BJ75" s="42">
        <f t="shared" si="191"/>
        <v>43.471082848465379</v>
      </c>
      <c r="BK75" s="42">
        <f t="shared" si="191"/>
        <v>43.500521608732512</v>
      </c>
      <c r="BL75" s="42">
        <f t="shared" si="191"/>
        <v>38.7740919443347</v>
      </c>
      <c r="BM75" s="42">
        <f t="shared" si="191"/>
        <v>43.449029913325383</v>
      </c>
      <c r="BN75" s="42">
        <f t="shared" si="191"/>
        <v>43.500521608732512</v>
      </c>
      <c r="BO75" s="42">
        <f t="shared" si="191"/>
        <v>43.500521608732512</v>
      </c>
      <c r="BP75" s="42">
        <f t="shared" si="191"/>
        <v>43.500521608732512</v>
      </c>
      <c r="BQ75" s="42">
        <f t="shared" si="191"/>
        <v>43.500521608732512</v>
      </c>
      <c r="BR75" s="42">
        <f t="shared" si="191"/>
        <v>43.449029913325383</v>
      </c>
      <c r="BS75" s="42">
        <f t="shared" si="191"/>
        <v>41.734116547734914</v>
      </c>
      <c r="BT75" s="42">
        <f t="shared" si="191"/>
        <v>43.500521608732512</v>
      </c>
      <c r="BU75" s="42">
        <f t="shared" si="191"/>
        <v>43.449029913325383</v>
      </c>
      <c r="BV75" s="42">
        <f t="shared" si="191"/>
        <v>43.500521608732512</v>
      </c>
      <c r="BW75" s="42">
        <f t="shared" si="191"/>
        <v>43.500521608732512</v>
      </c>
      <c r="BX75" s="42">
        <f t="shared" si="191"/>
        <v>35.752725382223296</v>
      </c>
      <c r="BY75" s="42">
        <f t="shared" si="191"/>
        <v>43.471082848465379</v>
      </c>
      <c r="BZ75" s="34">
        <f t="shared" si="175"/>
        <v>1.8490480899302331</v>
      </c>
      <c r="CA75" s="34">
        <f>IFERROR(s_RadSpec!$J$18*(CA$18*$B75),".")</f>
        <v>0.57470575237841237</v>
      </c>
      <c r="CB75" s="34">
        <f>IFERROR(s_RadSpec!$J$18*(CB$18*$B75),".")</f>
        <v>0.6447604249737372</v>
      </c>
      <c r="CC75" s="34">
        <f>IFERROR(s_RadSpec!$J$18*(CC$18*$B75),".")</f>
        <v>0.62919271995255388</v>
      </c>
      <c r="CD75" s="34">
        <f>IFERROR(s_RadSpec!$J$18*(CD$18*$B75),".")</f>
        <v>0.57470575237841237</v>
      </c>
      <c r="CE75" s="34">
        <f>IFERROR(s_RadSpec!$J$18*(CE$18*$B75),".")</f>
        <v>0.57470575237841237</v>
      </c>
      <c r="CF75" s="34">
        <f>IFERROR(s_RadSpec!$J$18*(CF$18*$B75),".")</f>
        <v>0.6447604249737372</v>
      </c>
      <c r="CG75" s="34">
        <f>IFERROR(s_RadSpec!$J$18*(CG$18*$B75),".")</f>
        <v>0.62919271995255388</v>
      </c>
      <c r="CH75" s="34">
        <f>IFERROR(s_RadSpec!$J$18*(CH$18*$B75),".")</f>
        <v>0.57470575237841237</v>
      </c>
      <c r="CI75" s="34">
        <f>IFERROR(s_RadSpec!$J$18*(CI$18*$B75),".")</f>
        <v>0.57509494500394198</v>
      </c>
      <c r="CJ75" s="34">
        <f>IFERROR(s_RadSpec!$J$18*(CJ$18*$B75),".")</f>
        <v>0.57470575237841237</v>
      </c>
      <c r="CK75" s="34">
        <f>IFERROR(s_RadSpec!$J$18*(CK$18*$B75),".")</f>
        <v>0.6447604249737372</v>
      </c>
      <c r="CL75" s="34">
        <f>IFERROR(s_RadSpec!$J$18*(CL$18*$B75),".")</f>
        <v>0.57538683947308911</v>
      </c>
      <c r="CM75" s="34">
        <f>IFERROR(s_RadSpec!$J$18*(CM$18*$B75),".")</f>
        <v>0.57470575237841237</v>
      </c>
      <c r="CN75" s="34">
        <f>IFERROR(s_RadSpec!$J$18*(CN$18*$B75),".")</f>
        <v>0.57470575237841237</v>
      </c>
      <c r="CO75" s="34">
        <f>IFERROR(s_RadSpec!$J$18*(CO$18*$B75),".")</f>
        <v>0.57470575237841237</v>
      </c>
      <c r="CP75" s="34">
        <f>IFERROR(s_RadSpec!$J$18*(CP$18*$B75),".")</f>
        <v>0.57470575237841237</v>
      </c>
      <c r="CQ75" s="34">
        <f>IFERROR(s_RadSpec!$J$18*(CQ$18*$B75),".")</f>
        <v>0.57538683947308911</v>
      </c>
      <c r="CR75" s="34">
        <f>IFERROR(s_RadSpec!$J$18*(CR$18*$B75),".")</f>
        <v>0.59903029147401121</v>
      </c>
      <c r="CS75" s="34">
        <f>IFERROR(s_RadSpec!$J$18*(CS$18*$B75),".")</f>
        <v>0.57470575237841237</v>
      </c>
      <c r="CT75" s="34">
        <f>IFERROR(s_RadSpec!$J$18*(CT$18*$B75),".")</f>
        <v>0.57538683947308911</v>
      </c>
      <c r="CU75" s="34">
        <f>IFERROR(s_RadSpec!$J$18*(CU$18*$B75),".")</f>
        <v>0.57470575237841237</v>
      </c>
      <c r="CV75" s="34">
        <f>IFERROR(s_RadSpec!$J$18*(CV$18*$B75),".")</f>
        <v>0.57470575237841237</v>
      </c>
      <c r="CW75" s="34">
        <f>IFERROR(s_RadSpec!$J$18*(CW$18*$B75),".")</f>
        <v>0.69924739254787871</v>
      </c>
      <c r="CX75" s="34">
        <f>IFERROR(s_RadSpec!$J$18*(CX$18*$B75),".")</f>
        <v>0.57509494500394198</v>
      </c>
    </row>
    <row r="76" spans="1:102" s="3" customFormat="1" x14ac:dyDescent="0.25">
      <c r="A76" s="55" t="s">
        <v>1085</v>
      </c>
      <c r="B76" s="3">
        <v>1.339E-6</v>
      </c>
      <c r="C76" s="42">
        <f t="shared" ref="C76:AA76" si="192">IFERROR(C27/$B62,0)</f>
        <v>0</v>
      </c>
      <c r="D76" s="42">
        <f t="shared" si="192"/>
        <v>0</v>
      </c>
      <c r="E76" s="42">
        <f t="shared" si="192"/>
        <v>0</v>
      </c>
      <c r="F76" s="42">
        <f t="shared" si="192"/>
        <v>0</v>
      </c>
      <c r="G76" s="42">
        <f t="shared" si="192"/>
        <v>0</v>
      </c>
      <c r="H76" s="42">
        <f t="shared" si="192"/>
        <v>0</v>
      </c>
      <c r="I76" s="42">
        <f t="shared" si="192"/>
        <v>0</v>
      </c>
      <c r="J76" s="42">
        <f t="shared" si="192"/>
        <v>0</v>
      </c>
      <c r="K76" s="42">
        <f t="shared" si="192"/>
        <v>0</v>
      </c>
      <c r="L76" s="42">
        <f t="shared" si="192"/>
        <v>0</v>
      </c>
      <c r="M76" s="42">
        <f t="shared" si="192"/>
        <v>0</v>
      </c>
      <c r="N76" s="42">
        <f t="shared" si="192"/>
        <v>0</v>
      </c>
      <c r="O76" s="42">
        <f t="shared" si="192"/>
        <v>0</v>
      </c>
      <c r="P76" s="42">
        <f t="shared" si="192"/>
        <v>0</v>
      </c>
      <c r="Q76" s="42">
        <f t="shared" si="192"/>
        <v>0</v>
      </c>
      <c r="R76" s="42">
        <f t="shared" si="192"/>
        <v>0</v>
      </c>
      <c r="S76" s="42">
        <f t="shared" si="192"/>
        <v>0</v>
      </c>
      <c r="T76" s="42">
        <f t="shared" si="192"/>
        <v>0</v>
      </c>
      <c r="U76" s="42">
        <f t="shared" si="192"/>
        <v>0</v>
      </c>
      <c r="V76" s="42">
        <f t="shared" si="192"/>
        <v>0</v>
      </c>
      <c r="W76" s="42">
        <f t="shared" si="192"/>
        <v>0</v>
      </c>
      <c r="X76" s="42">
        <f t="shared" si="192"/>
        <v>0</v>
      </c>
      <c r="Y76" s="42">
        <f t="shared" si="192"/>
        <v>0</v>
      </c>
      <c r="Z76" s="42">
        <f t="shared" si="192"/>
        <v>0</v>
      </c>
      <c r="AA76" s="42">
        <f t="shared" si="192"/>
        <v>0</v>
      </c>
      <c r="AB76" s="34">
        <f t="shared" si="33"/>
        <v>0</v>
      </c>
      <c r="AC76" s="34">
        <f>IFERROR(s_RadSpec!$J$27*(AC$27*$B76),".")</f>
        <v>0</v>
      </c>
      <c r="AD76" s="34">
        <f>IFERROR(s_RadSpec!$J$27*(AD$27*$B76),".")</f>
        <v>0</v>
      </c>
      <c r="AE76" s="34">
        <f>IFERROR(s_RadSpec!$J$27*(AE$27*$B76),".")</f>
        <v>0</v>
      </c>
      <c r="AF76" s="34">
        <f>IFERROR(s_RadSpec!$J$27*(AF$27*$B76),".")</f>
        <v>0</v>
      </c>
      <c r="AG76" s="34">
        <f>IFERROR(s_RadSpec!$J$27*(AG$27*$B76),".")</f>
        <v>0</v>
      </c>
      <c r="AH76" s="34">
        <f>IFERROR(s_RadSpec!$J$27*(AH$27*$B76),".")</f>
        <v>0</v>
      </c>
      <c r="AI76" s="34">
        <f>IFERROR(s_RadSpec!$J$27*(AI$27*$B76),".")</f>
        <v>0</v>
      </c>
      <c r="AJ76" s="34">
        <f>IFERROR(s_RadSpec!$J$27*(AJ$27*$B76),".")</f>
        <v>0</v>
      </c>
      <c r="AK76" s="34">
        <f>IFERROR(s_RadSpec!$J$27*(AK$27*$B76),".")</f>
        <v>0</v>
      </c>
      <c r="AL76" s="34">
        <f>IFERROR(s_RadSpec!$J$27*(AL$27*$B76),".")</f>
        <v>0</v>
      </c>
      <c r="AM76" s="34">
        <f>IFERROR(s_RadSpec!$J$27*(AM$27*$B76),".")</f>
        <v>0</v>
      </c>
      <c r="AN76" s="34">
        <f>IFERROR(s_RadSpec!$J$27*(AN$27*$B76),".")</f>
        <v>0</v>
      </c>
      <c r="AO76" s="34">
        <f>IFERROR(s_RadSpec!$J$27*(AO$27*$B76),".")</f>
        <v>0</v>
      </c>
      <c r="AP76" s="34">
        <f>IFERROR(s_RadSpec!$J$27*(AP$27*$B76),".")</f>
        <v>0</v>
      </c>
      <c r="AQ76" s="34">
        <f>IFERROR(s_RadSpec!$J$27*(AQ$27*$B76),".")</f>
        <v>0</v>
      </c>
      <c r="AR76" s="34">
        <f>IFERROR(s_RadSpec!$J$27*(AR$27*$B76),".")</f>
        <v>0</v>
      </c>
      <c r="AS76" s="34">
        <f>IFERROR(s_RadSpec!$J$27*(AS$27*$B76),".")</f>
        <v>0</v>
      </c>
      <c r="AT76" s="34">
        <f>IFERROR(s_RadSpec!$J$27*(AT$27*$B76),".")</f>
        <v>0</v>
      </c>
      <c r="AU76" s="34">
        <f>IFERROR(s_RadSpec!$J$27*(AU$27*$B76),".")</f>
        <v>0</v>
      </c>
      <c r="AV76" s="34">
        <f>IFERROR(s_RadSpec!$J$27*(AV$27*$B76),".")</f>
        <v>0</v>
      </c>
      <c r="AW76" s="34">
        <f>IFERROR(s_RadSpec!$J$27*(AW$27*$B76),".")</f>
        <v>0</v>
      </c>
      <c r="AX76" s="34">
        <f>IFERROR(s_RadSpec!$J$27*(AX$27*$B76),".")</f>
        <v>0</v>
      </c>
      <c r="AY76" s="34">
        <f>IFERROR(s_RadSpec!$J$27*(AY$27*$B76),".")</f>
        <v>0</v>
      </c>
      <c r="AZ76" s="34">
        <f>IFERROR(s_RadSpec!$J$27*(AZ$27*$B76),".")</f>
        <v>0</v>
      </c>
      <c r="BA76" s="42">
        <f t="shared" ref="BA76:BY76" si="193">IFERROR(BA27/$B62,0)</f>
        <v>0</v>
      </c>
      <c r="BB76" s="42">
        <f t="shared" si="193"/>
        <v>0</v>
      </c>
      <c r="BC76" s="42">
        <f t="shared" si="193"/>
        <v>0</v>
      </c>
      <c r="BD76" s="42">
        <f t="shared" si="193"/>
        <v>0</v>
      </c>
      <c r="BE76" s="42">
        <f t="shared" si="193"/>
        <v>0</v>
      </c>
      <c r="BF76" s="42">
        <f t="shared" si="193"/>
        <v>0</v>
      </c>
      <c r="BG76" s="42">
        <f t="shared" si="193"/>
        <v>0</v>
      </c>
      <c r="BH76" s="42">
        <f t="shared" si="193"/>
        <v>0</v>
      </c>
      <c r="BI76" s="42">
        <f t="shared" si="193"/>
        <v>0</v>
      </c>
      <c r="BJ76" s="42">
        <f t="shared" si="193"/>
        <v>0</v>
      </c>
      <c r="BK76" s="42">
        <f t="shared" si="193"/>
        <v>0</v>
      </c>
      <c r="BL76" s="42">
        <f t="shared" si="193"/>
        <v>0</v>
      </c>
      <c r="BM76" s="42">
        <f t="shared" si="193"/>
        <v>0</v>
      </c>
      <c r="BN76" s="42">
        <f t="shared" si="193"/>
        <v>0</v>
      </c>
      <c r="BO76" s="42">
        <f t="shared" si="193"/>
        <v>0</v>
      </c>
      <c r="BP76" s="42">
        <f t="shared" si="193"/>
        <v>0</v>
      </c>
      <c r="BQ76" s="42">
        <f t="shared" si="193"/>
        <v>0</v>
      </c>
      <c r="BR76" s="42">
        <f t="shared" si="193"/>
        <v>0</v>
      </c>
      <c r="BS76" s="42">
        <f t="shared" si="193"/>
        <v>0</v>
      </c>
      <c r="BT76" s="42">
        <f t="shared" si="193"/>
        <v>0</v>
      </c>
      <c r="BU76" s="42">
        <f t="shared" si="193"/>
        <v>0</v>
      </c>
      <c r="BV76" s="42">
        <f t="shared" si="193"/>
        <v>0</v>
      </c>
      <c r="BW76" s="42">
        <f t="shared" si="193"/>
        <v>0</v>
      </c>
      <c r="BX76" s="42">
        <f t="shared" si="193"/>
        <v>0</v>
      </c>
      <c r="BY76" s="42">
        <f t="shared" si="193"/>
        <v>0</v>
      </c>
      <c r="BZ76" s="34">
        <f t="shared" si="175"/>
        <v>0</v>
      </c>
      <c r="CA76" s="34">
        <f>IFERROR(s_RadSpec!$J$27*(CA$27*$B76),".")</f>
        <v>0</v>
      </c>
      <c r="CB76" s="34">
        <f>IFERROR(s_RadSpec!$J$27*(CB$27*$B76),".")</f>
        <v>0</v>
      </c>
      <c r="CC76" s="34">
        <f>IFERROR(s_RadSpec!$J$27*(CC$27*$B76),".")</f>
        <v>0</v>
      </c>
      <c r="CD76" s="34">
        <f>IFERROR(s_RadSpec!$J$27*(CD$27*$B76),".")</f>
        <v>0</v>
      </c>
      <c r="CE76" s="34">
        <f>IFERROR(s_RadSpec!$J$27*(CE$27*$B76),".")</f>
        <v>0</v>
      </c>
      <c r="CF76" s="34">
        <f>IFERROR(s_RadSpec!$J$27*(CF$27*$B76),".")</f>
        <v>0</v>
      </c>
      <c r="CG76" s="34">
        <f>IFERROR(s_RadSpec!$J$27*(CG$27*$B76),".")</f>
        <v>0</v>
      </c>
      <c r="CH76" s="34">
        <f>IFERROR(s_RadSpec!$J$27*(CH$27*$B76),".")</f>
        <v>0</v>
      </c>
      <c r="CI76" s="34">
        <f>IFERROR(s_RadSpec!$J$27*(CI$27*$B76),".")</f>
        <v>0</v>
      </c>
      <c r="CJ76" s="34">
        <f>IFERROR(s_RadSpec!$J$27*(CJ$27*$B76),".")</f>
        <v>0</v>
      </c>
      <c r="CK76" s="34">
        <f>IFERROR(s_RadSpec!$J$27*(CK$27*$B76),".")</f>
        <v>0</v>
      </c>
      <c r="CL76" s="34">
        <f>IFERROR(s_RadSpec!$J$27*(CL$27*$B76),".")</f>
        <v>0</v>
      </c>
      <c r="CM76" s="34">
        <f>IFERROR(s_RadSpec!$J$27*(CM$27*$B76),".")</f>
        <v>0</v>
      </c>
      <c r="CN76" s="34">
        <f>IFERROR(s_RadSpec!$J$27*(CN$27*$B76),".")</f>
        <v>0</v>
      </c>
      <c r="CO76" s="34">
        <f>IFERROR(s_RadSpec!$J$27*(CO$27*$B76),".")</f>
        <v>0</v>
      </c>
      <c r="CP76" s="34">
        <f>IFERROR(s_RadSpec!$J$27*(CP$27*$B76),".")</f>
        <v>0</v>
      </c>
      <c r="CQ76" s="34">
        <f>IFERROR(s_RadSpec!$J$27*(CQ$27*$B76),".")</f>
        <v>0</v>
      </c>
      <c r="CR76" s="34">
        <f>IFERROR(s_RadSpec!$J$27*(CR$27*$B76),".")</f>
        <v>0</v>
      </c>
      <c r="CS76" s="34">
        <f>IFERROR(s_RadSpec!$J$27*(CS$27*$B76),".")</f>
        <v>0</v>
      </c>
      <c r="CT76" s="34">
        <f>IFERROR(s_RadSpec!$J$27*(CT$27*$B76),".")</f>
        <v>0</v>
      </c>
      <c r="CU76" s="34">
        <f>IFERROR(s_RadSpec!$J$27*(CU$27*$B76),".")</f>
        <v>0</v>
      </c>
      <c r="CV76" s="34">
        <f>IFERROR(s_RadSpec!$J$27*(CV$27*$B76),".")</f>
        <v>0</v>
      </c>
      <c r="CW76" s="34">
        <f>IFERROR(s_RadSpec!$J$27*(CW$27*$B76),".")</f>
        <v>0</v>
      </c>
      <c r="CX76" s="34">
        <f>IFERROR(s_RadSpec!$J$27*(CX$27*$B76),".")</f>
        <v>0</v>
      </c>
    </row>
  </sheetData>
  <sheetProtection algorithmName="SHA-512" hashValue="4qL4j9Y2gj03O06RAUDLMihV7Qn/h5Olht/fvr4Ecc3tjvxlXL0wQMXPMiHNbGYFTQvBjpcGbuuuHdNDN0QoxA==" saltValue="nHjK1MU7Dqpy1nyXY6JF6A==" spinCount="100000" sheet="1" objects="1" scenarios="1" formatColumns="0" formatRows="0" autoFilter="0"/>
  <autoFilter ref="A1:CX76" xr:uid="{39D6BB68-1553-488F-8118-EF63F6CFFA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H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5703125" style="4" bestFit="1" customWidth="1"/>
    <col min="3" max="3" width="10.28515625" style="4" customWidth="1"/>
    <col min="4" max="4" width="13.28515625" bestFit="1" customWidth="1"/>
    <col min="5" max="5" width="27.85546875" bestFit="1" customWidth="1"/>
    <col min="6" max="6" width="12.85546875" bestFit="1" customWidth="1"/>
    <col min="7" max="7" width="14.85546875" bestFit="1" customWidth="1"/>
    <col min="8" max="8" width="18.28515625" bestFit="1" customWidth="1"/>
    <col min="9" max="9" width="12.85546875" style="4" bestFit="1" customWidth="1"/>
    <col min="10" max="10" width="13.5703125" style="5" bestFit="1" customWidth="1"/>
    <col min="11" max="11" width="11.7109375" style="5" bestFit="1" customWidth="1"/>
    <col min="12" max="12" width="11" style="5" bestFit="1" customWidth="1"/>
    <col min="13" max="13" width="8.7109375" style="5" bestFit="1" customWidth="1"/>
    <col min="14" max="15" width="15.5703125" style="5" bestFit="1" customWidth="1"/>
    <col min="16" max="16" width="14.28515625" style="5" bestFit="1" customWidth="1"/>
    <col min="17" max="19" width="15.42578125" style="5" bestFit="1" customWidth="1"/>
    <col min="20" max="20" width="16.42578125" style="5" bestFit="1" customWidth="1"/>
    <col min="21" max="21" width="9.7109375" style="5" customWidth="1"/>
    <col min="22" max="22" width="9.7109375" style="2" bestFit="1" customWidth="1"/>
    <col min="23" max="24" width="10.7109375" style="2" bestFit="1" customWidth="1"/>
    <col min="25" max="25" width="11.85546875" style="2" bestFit="1" customWidth="1"/>
    <col min="26" max="26" width="9.85546875" style="2" customWidth="1"/>
    <col min="27" max="27" width="9.7109375" style="2" customWidth="1"/>
    <col min="28" max="29" width="10.7109375" style="2" customWidth="1"/>
    <col min="30" max="30" width="11.85546875" style="2" bestFit="1" customWidth="1"/>
    <col min="31" max="31" width="10.42578125" style="2" customWidth="1"/>
    <col min="32" max="32" width="10.28515625" style="2" customWidth="1"/>
    <col min="33" max="34" width="11.28515625" style="2" customWidth="1"/>
    <col min="35" max="35" width="12.42578125" style="2" bestFit="1" customWidth="1"/>
    <col min="36" max="36" width="12.5703125" style="2" bestFit="1" customWidth="1"/>
    <col min="37" max="37" width="10.5703125" style="2" customWidth="1"/>
    <col min="38" max="38" width="11" style="2" bestFit="1" customWidth="1"/>
    <col min="39" max="39" width="10.5703125" style="2" bestFit="1" customWidth="1"/>
    <col min="40" max="40" width="10.28515625" style="2" bestFit="1" customWidth="1"/>
    <col min="41" max="41" width="14.5703125" style="2" bestFit="1" customWidth="1"/>
    <col min="42" max="42" width="10.28515625" style="2" bestFit="1" customWidth="1"/>
    <col min="43" max="43" width="12.42578125" style="2" bestFit="1" customWidth="1"/>
    <col min="44" max="44" width="11.7109375" style="2" bestFit="1" customWidth="1"/>
    <col min="45" max="45" width="16.28515625" style="2" bestFit="1" customWidth="1"/>
    <col min="46" max="46" width="11.5703125" style="2" bestFit="1" customWidth="1"/>
    <col min="47" max="47" width="16.140625" style="2" bestFit="1" customWidth="1"/>
    <col min="48" max="48" width="9.85546875" style="2" bestFit="1" customWidth="1"/>
    <col min="49" max="49" width="9.5703125" style="2" bestFit="1" customWidth="1"/>
    <col min="50" max="50" width="9" style="2" bestFit="1" customWidth="1"/>
    <col min="51" max="51" width="11.85546875" style="2" bestFit="1" customWidth="1"/>
    <col min="52" max="52" width="11.28515625" style="2" bestFit="1" customWidth="1"/>
    <col min="53" max="53" width="13.28515625" style="2" bestFit="1" customWidth="1"/>
    <col min="54" max="54" width="8.5703125" style="3" bestFit="1" customWidth="1"/>
    <col min="55" max="55" width="11.5703125" style="3" bestFit="1" customWidth="1"/>
    <col min="56" max="56" width="11.42578125" style="2" bestFit="1" customWidth="1"/>
    <col min="57" max="57" width="11" style="3" bestFit="1" customWidth="1"/>
    <col min="58" max="58" width="12.7109375" style="3" bestFit="1" customWidth="1"/>
    <col min="59" max="60" width="9" style="3" bestFit="1" customWidth="1"/>
    <col min="61" max="16384" width="9.140625" style="3"/>
  </cols>
  <sheetData>
    <row r="1" spans="1:60" s="7" customFormat="1" x14ac:dyDescent="0.25">
      <c r="A1" s="50" t="s">
        <v>39</v>
      </c>
      <c r="B1" s="51" t="s">
        <v>335</v>
      </c>
      <c r="C1" s="51" t="s">
        <v>347</v>
      </c>
      <c r="D1" t="s">
        <v>1411</v>
      </c>
      <c r="E1" t="s">
        <v>1412</v>
      </c>
      <c r="F1" t="s">
        <v>1413</v>
      </c>
      <c r="G1" t="s">
        <v>1414</v>
      </c>
      <c r="H1" t="s">
        <v>1415</v>
      </c>
      <c r="I1" s="30" t="s">
        <v>1416</v>
      </c>
      <c r="J1" s="30" t="s">
        <v>1417</v>
      </c>
      <c r="K1" s="30" t="s">
        <v>1418</v>
      </c>
      <c r="L1" s="30" t="s">
        <v>1419</v>
      </c>
      <c r="M1" s="30" t="s">
        <v>1420</v>
      </c>
      <c r="N1" s="30" t="s">
        <v>1421</v>
      </c>
      <c r="O1" s="30" t="s">
        <v>1422</v>
      </c>
      <c r="P1" s="30" t="s">
        <v>1423</v>
      </c>
      <c r="Q1" s="30" t="s">
        <v>1424</v>
      </c>
      <c r="R1" s="30" t="s">
        <v>1425</v>
      </c>
      <c r="S1" s="30" t="s">
        <v>1426</v>
      </c>
      <c r="T1" s="30" t="s">
        <v>1427</v>
      </c>
      <c r="U1" s="100" t="s">
        <v>29</v>
      </c>
      <c r="V1" s="100" t="s">
        <v>30</v>
      </c>
      <c r="W1" s="100" t="s">
        <v>31</v>
      </c>
      <c r="X1" s="100" t="s">
        <v>32</v>
      </c>
      <c r="Y1" s="100" t="s">
        <v>33</v>
      </c>
      <c r="Z1" s="100" t="s">
        <v>34</v>
      </c>
      <c r="AA1" s="100" t="s">
        <v>35</v>
      </c>
      <c r="AB1" s="100" t="s">
        <v>36</v>
      </c>
      <c r="AC1" s="100" t="s">
        <v>37</v>
      </c>
      <c r="AD1" s="100" t="s">
        <v>38</v>
      </c>
      <c r="AE1" s="100" t="s">
        <v>348</v>
      </c>
      <c r="AF1" s="100" t="s">
        <v>349</v>
      </c>
      <c r="AG1" s="100" t="s">
        <v>350</v>
      </c>
      <c r="AH1" s="100" t="s">
        <v>351</v>
      </c>
      <c r="AI1" s="100" t="s">
        <v>352</v>
      </c>
      <c r="AJ1" s="6" t="s">
        <v>324</v>
      </c>
      <c r="AK1" s="6" t="s">
        <v>325</v>
      </c>
      <c r="AL1" s="6" t="s">
        <v>326</v>
      </c>
      <c r="AM1" s="6" t="s">
        <v>327</v>
      </c>
      <c r="AN1" s="6" t="s">
        <v>328</v>
      </c>
      <c r="AO1" s="6" t="s">
        <v>1403</v>
      </c>
      <c r="AP1" s="6" t="s">
        <v>329</v>
      </c>
      <c r="AQ1" s="6" t="s">
        <v>330</v>
      </c>
      <c r="AR1" s="6" t="s">
        <v>1055</v>
      </c>
      <c r="AS1" s="6" t="s">
        <v>1058</v>
      </c>
      <c r="AT1" s="6" t="s">
        <v>1056</v>
      </c>
      <c r="AU1" s="6" t="s">
        <v>1057</v>
      </c>
      <c r="AV1" s="6" t="s">
        <v>331</v>
      </c>
      <c r="AW1" s="6" t="s">
        <v>332</v>
      </c>
      <c r="AX1" s="6" t="s">
        <v>197</v>
      </c>
      <c r="AY1" s="6" t="s">
        <v>333</v>
      </c>
      <c r="AZ1" s="6" t="s">
        <v>334</v>
      </c>
      <c r="BA1" s="7" t="s">
        <v>339</v>
      </c>
      <c r="BB1" s="7" t="s">
        <v>340</v>
      </c>
      <c r="BC1" s="8" t="s">
        <v>345</v>
      </c>
      <c r="BD1" s="8" t="s">
        <v>344</v>
      </c>
      <c r="BE1" s="8" t="s">
        <v>343</v>
      </c>
      <c r="BF1" s="103" t="s">
        <v>346</v>
      </c>
      <c r="BG1" s="7" t="s">
        <v>358</v>
      </c>
      <c r="BH1" s="7" t="s">
        <v>361</v>
      </c>
    </row>
    <row r="2" spans="1:60" x14ac:dyDescent="0.25">
      <c r="A2" s="3" t="s">
        <v>0</v>
      </c>
      <c r="B2" s="3" t="s">
        <v>1059</v>
      </c>
      <c r="C2" s="3"/>
      <c r="D2" t="s">
        <v>1430</v>
      </c>
      <c r="E2" t="s">
        <v>1429</v>
      </c>
      <c r="F2" t="s">
        <v>1429</v>
      </c>
      <c r="G2">
        <v>5.0000000000000001E-3</v>
      </c>
      <c r="H2">
        <v>5.0000000000000001E-3</v>
      </c>
      <c r="I2" s="2">
        <v>1.9351000000000001E-4</v>
      </c>
      <c r="J2" s="2">
        <v>1.9351000000000001E-4</v>
      </c>
      <c r="K2" s="2">
        <v>5.2864399999999999E-2</v>
      </c>
      <c r="L2" s="2">
        <v>3.3966000000000003E-2</v>
      </c>
      <c r="M2" s="2">
        <v>1.9351000000000001E-4</v>
      </c>
      <c r="N2" s="2">
        <v>1.4281999999999999E-4</v>
      </c>
      <c r="O2" s="2">
        <v>105.72880000000001</v>
      </c>
      <c r="P2" s="2">
        <v>1.54308E-2</v>
      </c>
      <c r="Q2" s="2">
        <v>0.23536799999999999</v>
      </c>
      <c r="R2" s="2">
        <v>1.4589080000000001E-2</v>
      </c>
      <c r="S2" s="2">
        <v>3.8107200000000001E-2</v>
      </c>
      <c r="T2" s="2">
        <v>5.1369999999999999E-2</v>
      </c>
      <c r="U2" s="2">
        <v>1</v>
      </c>
      <c r="V2" s="2">
        <v>1</v>
      </c>
      <c r="W2" s="2">
        <v>1</v>
      </c>
      <c r="X2" s="2">
        <v>1</v>
      </c>
      <c r="Y2" s="2">
        <v>1</v>
      </c>
      <c r="Z2" s="2">
        <v>1</v>
      </c>
      <c r="AA2" s="2">
        <v>1</v>
      </c>
      <c r="AB2" s="2">
        <v>1</v>
      </c>
      <c r="AC2" s="2">
        <v>1</v>
      </c>
      <c r="AD2" s="2">
        <v>1</v>
      </c>
      <c r="AE2" s="69">
        <f t="shared" ref="AE2:AI3" si="0">0.4*Z2</f>
        <v>0.4</v>
      </c>
      <c r="AF2" s="69">
        <f t="shared" si="0"/>
        <v>0.4</v>
      </c>
      <c r="AG2" s="69">
        <f t="shared" si="0"/>
        <v>0.4</v>
      </c>
      <c r="AH2" s="69">
        <f t="shared" si="0"/>
        <v>0.4</v>
      </c>
      <c r="AI2" s="69">
        <f t="shared" si="0"/>
        <v>0.4</v>
      </c>
      <c r="AJ2" s="2">
        <v>2.7397260273972601E-2</v>
      </c>
      <c r="AK2" s="2">
        <v>225</v>
      </c>
      <c r="AL2" s="2">
        <v>1.9999999999999999E-6</v>
      </c>
      <c r="AM2" s="2">
        <v>2.0000000000000002E-5</v>
      </c>
      <c r="AN2" s="2">
        <v>15</v>
      </c>
      <c r="AV2" s="2">
        <v>1E-3</v>
      </c>
      <c r="AW2" s="2">
        <v>0.1</v>
      </c>
      <c r="AX2" s="2">
        <v>1700</v>
      </c>
      <c r="AY2" s="2">
        <v>5.0000000000000001E-4</v>
      </c>
      <c r="AZ2" s="2">
        <v>25.294499999999999</v>
      </c>
      <c r="BA2" s="3">
        <v>15</v>
      </c>
      <c r="BB2" s="3">
        <v>225</v>
      </c>
      <c r="BC2" s="69">
        <f t="shared" ref="BC2:BC3" si="1">BE2+lambda_HL</f>
        <v>2.6999999999999999E-5</v>
      </c>
      <c r="BD2" s="69">
        <f>BE2+(0.693/t_w)</f>
        <v>4.9499999999999995E-2</v>
      </c>
      <c r="BE2" s="69">
        <v>0</v>
      </c>
      <c r="BF2" s="2">
        <v>10</v>
      </c>
      <c r="BG2" s="69">
        <f t="shared" ref="BG2" si="2">AW2</f>
        <v>0.1</v>
      </c>
      <c r="BH2" s="69">
        <f t="shared" ref="BH2" si="3">AV2</f>
        <v>1E-3</v>
      </c>
    </row>
    <row r="3" spans="1:60" x14ac:dyDescent="0.25">
      <c r="A3" s="3" t="s">
        <v>1</v>
      </c>
      <c r="B3" s="3" t="s">
        <v>336</v>
      </c>
      <c r="C3" s="3"/>
      <c r="D3" t="s">
        <v>120</v>
      </c>
      <c r="E3" t="s">
        <v>1429</v>
      </c>
      <c r="F3" t="s">
        <v>1429</v>
      </c>
      <c r="G3">
        <v>5.0000000000000001E-3</v>
      </c>
      <c r="H3">
        <v>5.0000000000000001E-3</v>
      </c>
      <c r="I3" s="2">
        <v>8.8060000000000005E-4</v>
      </c>
      <c r="J3" s="2">
        <v>8.8060000000000005E-4</v>
      </c>
      <c r="K3" s="2">
        <v>3.7173200000000003E-2</v>
      </c>
      <c r="L3" s="2">
        <v>0.36297000000000001</v>
      </c>
      <c r="M3" s="2">
        <v>8.8060000000000005E-4</v>
      </c>
      <c r="N3" s="2">
        <v>7.5480000000000002E-4</v>
      </c>
      <c r="O3" s="2">
        <v>125.5296</v>
      </c>
      <c r="P3" s="2">
        <v>2.5484199999999999E-2</v>
      </c>
      <c r="Q3" s="2">
        <v>0.28767199999999998</v>
      </c>
      <c r="R3" s="2">
        <v>1.83064E-2</v>
      </c>
      <c r="S3" s="2">
        <v>3.4557999999999998E-2</v>
      </c>
      <c r="T3" s="2">
        <v>3.7173200000000003E-2</v>
      </c>
      <c r="U3" s="2">
        <v>1</v>
      </c>
      <c r="V3" s="2">
        <v>1</v>
      </c>
      <c r="W3" s="2">
        <v>1</v>
      </c>
      <c r="X3" s="2">
        <v>1</v>
      </c>
      <c r="Y3" s="2">
        <v>1</v>
      </c>
      <c r="Z3" s="2">
        <v>1</v>
      </c>
      <c r="AA3" s="2">
        <v>1</v>
      </c>
      <c r="AB3" s="2">
        <v>1</v>
      </c>
      <c r="AC3" s="2">
        <v>1</v>
      </c>
      <c r="AD3" s="2">
        <v>1</v>
      </c>
      <c r="AE3" s="69">
        <f t="shared" si="0"/>
        <v>0.4</v>
      </c>
      <c r="AF3" s="69">
        <f t="shared" si="0"/>
        <v>0.4</v>
      </c>
      <c r="AG3" s="69">
        <f t="shared" si="0"/>
        <v>0.4</v>
      </c>
      <c r="AH3" s="69">
        <f t="shared" si="0"/>
        <v>0.4</v>
      </c>
      <c r="AI3" s="69">
        <f t="shared" si="0"/>
        <v>0.4</v>
      </c>
      <c r="AJ3" s="2">
        <v>432.2</v>
      </c>
      <c r="AK3" s="2">
        <v>241</v>
      </c>
      <c r="AL3" s="2">
        <v>4.2E-7</v>
      </c>
      <c r="AM3" s="2">
        <v>5.0000000000000001E-4</v>
      </c>
      <c r="AN3" s="2">
        <v>240</v>
      </c>
      <c r="AO3" s="2">
        <v>6.0000000000000001E-3</v>
      </c>
      <c r="AP3" s="2">
        <v>3.0000000000000001E-3</v>
      </c>
      <c r="AQ3" s="2">
        <v>1.7000000000000001E-4</v>
      </c>
      <c r="AR3" s="104">
        <v>1.1E-4</v>
      </c>
      <c r="AU3" s="104">
        <v>6.9E-6</v>
      </c>
      <c r="AV3" s="2">
        <v>2.1999999999999999E-5</v>
      </c>
      <c r="AW3" s="2">
        <v>2.52873563218391E-5</v>
      </c>
      <c r="AX3" s="2">
        <v>4</v>
      </c>
      <c r="AY3" s="2">
        <v>5.0000000000000001E-4</v>
      </c>
      <c r="AZ3" s="2">
        <v>1.60342434058306E-3</v>
      </c>
      <c r="BA3" s="3">
        <v>15</v>
      </c>
      <c r="BB3" s="3">
        <v>241</v>
      </c>
      <c r="BC3" s="69">
        <f t="shared" si="1"/>
        <v>2.6999999999999999E-5</v>
      </c>
      <c r="BD3" s="69">
        <f>BE3+(0.693/t_w)</f>
        <v>4.9499999999999995E-2</v>
      </c>
      <c r="BE3" s="69">
        <v>0</v>
      </c>
      <c r="BF3" s="2">
        <v>157753</v>
      </c>
      <c r="BG3" s="69">
        <f>AW3</f>
        <v>2.52873563218391E-5</v>
      </c>
      <c r="BH3" s="69">
        <f>AV3</f>
        <v>2.1999999999999999E-5</v>
      </c>
    </row>
    <row r="4" spans="1:60" x14ac:dyDescent="0.25">
      <c r="A4" s="3" t="s">
        <v>2</v>
      </c>
      <c r="B4" s="3" t="s">
        <v>1059</v>
      </c>
      <c r="C4" s="3"/>
      <c r="D4" t="s">
        <v>1428</v>
      </c>
      <c r="E4" t="s">
        <v>1429</v>
      </c>
      <c r="F4" t="s">
        <v>1429</v>
      </c>
      <c r="G4" t="s">
        <v>1429</v>
      </c>
      <c r="H4">
        <v>0</v>
      </c>
      <c r="I4" s="2">
        <v>0</v>
      </c>
      <c r="J4" s="2">
        <v>0</v>
      </c>
      <c r="K4" s="2">
        <v>1.18618E-3</v>
      </c>
      <c r="L4" s="2">
        <v>0</v>
      </c>
      <c r="M4" s="2">
        <v>0</v>
      </c>
      <c r="N4" s="2">
        <v>0</v>
      </c>
      <c r="O4" s="2">
        <v>1.9800800000000001</v>
      </c>
      <c r="P4" s="2">
        <v>2.6536300000000001E-4</v>
      </c>
      <c r="Q4" s="2">
        <v>4.3150799999999998E-3</v>
      </c>
      <c r="R4" s="2">
        <v>2.6899200000000002E-4</v>
      </c>
      <c r="S4" s="2">
        <v>7.5093600000000001E-4</v>
      </c>
      <c r="T4" s="2">
        <v>1.109592E-3</v>
      </c>
      <c r="U4" s="2">
        <v>1</v>
      </c>
      <c r="V4" s="2">
        <v>1</v>
      </c>
      <c r="W4" s="2">
        <v>1</v>
      </c>
      <c r="X4" s="2">
        <v>1</v>
      </c>
      <c r="Y4" s="2">
        <v>1</v>
      </c>
      <c r="Z4" s="2">
        <v>1</v>
      </c>
      <c r="AA4" s="2">
        <v>1</v>
      </c>
      <c r="AB4" s="2">
        <v>1</v>
      </c>
      <c r="AC4" s="2">
        <v>1</v>
      </c>
      <c r="AD4" s="2">
        <v>1</v>
      </c>
      <c r="AE4" s="69">
        <f t="shared" ref="AE4:AI5" si="4">0.4*Z4</f>
        <v>0.4</v>
      </c>
      <c r="AF4" s="69">
        <f t="shared" si="4"/>
        <v>0.4</v>
      </c>
      <c r="AG4" s="69">
        <f t="shared" si="4"/>
        <v>0.4</v>
      </c>
      <c r="AH4" s="69">
        <f t="shared" si="4"/>
        <v>0.4</v>
      </c>
      <c r="AI4" s="69">
        <f t="shared" si="4"/>
        <v>0.4</v>
      </c>
      <c r="AJ4" s="2">
        <v>1.0242262810756E-9</v>
      </c>
      <c r="AK4" s="2">
        <v>217</v>
      </c>
      <c r="AL4" s="2">
        <v>0.01</v>
      </c>
      <c r="AM4" s="2">
        <v>0.01</v>
      </c>
      <c r="AV4" s="2">
        <v>0.2</v>
      </c>
      <c r="AW4" s="2">
        <v>0.9</v>
      </c>
      <c r="AX4" s="2">
        <v>10</v>
      </c>
      <c r="AZ4" s="2">
        <v>676608297.21362197</v>
      </c>
      <c r="BA4" s="3">
        <v>15</v>
      </c>
      <c r="BB4" s="3">
        <v>217</v>
      </c>
      <c r="BC4" s="69">
        <f t="shared" ref="BC4:BC5" si="5">BE4+lambda_HL</f>
        <v>2.6999999999999999E-5</v>
      </c>
      <c r="BD4" s="69">
        <f t="shared" ref="BD4:BD5" si="6">BE4+(0.693/t_w)</f>
        <v>4.9499999999999995E-2</v>
      </c>
      <c r="BE4" s="69">
        <v>0</v>
      </c>
      <c r="BF4" s="2">
        <v>3.7384259259259298E-7</v>
      </c>
      <c r="BG4" s="69">
        <f t="shared" ref="BG4:BG5" si="7">AW4</f>
        <v>0.9</v>
      </c>
      <c r="BH4" s="69">
        <f t="shared" ref="BH4:BH5" si="8">AV4</f>
        <v>0.2</v>
      </c>
    </row>
    <row r="5" spans="1:60" x14ac:dyDescent="0.25">
      <c r="A5" s="3" t="s">
        <v>3</v>
      </c>
      <c r="B5" s="3" t="s">
        <v>1059</v>
      </c>
      <c r="C5" s="3"/>
      <c r="D5" t="s">
        <v>1428</v>
      </c>
      <c r="E5" t="s">
        <v>1429</v>
      </c>
      <c r="F5" t="s">
        <v>1429</v>
      </c>
      <c r="G5" t="s">
        <v>1429</v>
      </c>
      <c r="H5">
        <v>0</v>
      </c>
      <c r="I5" s="2">
        <v>0</v>
      </c>
      <c r="J5" s="2">
        <v>0</v>
      </c>
      <c r="K5" s="2">
        <v>5.56664E-5</v>
      </c>
      <c r="L5" s="2">
        <v>0</v>
      </c>
      <c r="M5" s="2">
        <v>0</v>
      </c>
      <c r="N5" s="2">
        <v>0</v>
      </c>
      <c r="O5" s="2">
        <v>0.183064</v>
      </c>
      <c r="P5" s="2">
        <v>1.4612499999999999E-4</v>
      </c>
      <c r="Q5" s="2">
        <v>2.3350000000000001E-4</v>
      </c>
      <c r="R5" s="2">
        <v>3.1569200000000003E-5</v>
      </c>
      <c r="S5" s="2">
        <v>4.4271599999999998E-5</v>
      </c>
      <c r="T5" s="2">
        <v>5.3424799999999997E-5</v>
      </c>
      <c r="U5" s="2">
        <v>0.9</v>
      </c>
      <c r="V5" s="2">
        <v>0.9</v>
      </c>
      <c r="W5" s="2">
        <v>0.9</v>
      </c>
      <c r="X5" s="2">
        <v>0.9</v>
      </c>
      <c r="Y5" s="2">
        <v>0.9</v>
      </c>
      <c r="Z5" s="2">
        <v>1</v>
      </c>
      <c r="AA5" s="2">
        <v>1</v>
      </c>
      <c r="AB5" s="2">
        <v>1</v>
      </c>
      <c r="AC5" s="2">
        <v>1</v>
      </c>
      <c r="AD5" s="2">
        <v>1</v>
      </c>
      <c r="AE5" s="69">
        <f t="shared" si="4"/>
        <v>0.4</v>
      </c>
      <c r="AF5" s="69">
        <f t="shared" si="4"/>
        <v>0.4</v>
      </c>
      <c r="AG5" s="69">
        <f t="shared" si="4"/>
        <v>0.4</v>
      </c>
      <c r="AH5" s="69">
        <f t="shared" si="4"/>
        <v>0.4</v>
      </c>
      <c r="AI5" s="69">
        <f t="shared" si="4"/>
        <v>0.4</v>
      </c>
      <c r="AJ5" s="2">
        <v>4.7564687975646899E-8</v>
      </c>
      <c r="AK5" s="2">
        <v>218</v>
      </c>
      <c r="AL5" s="2">
        <v>0.01</v>
      </c>
      <c r="AM5" s="2">
        <v>0.01</v>
      </c>
      <c r="AV5" s="2">
        <v>0.2</v>
      </c>
      <c r="AW5" s="2">
        <v>0.9</v>
      </c>
      <c r="AX5" s="2">
        <v>10</v>
      </c>
      <c r="AZ5" s="2">
        <v>14569632</v>
      </c>
      <c r="BA5" s="3">
        <v>15</v>
      </c>
      <c r="BB5" s="3">
        <v>218</v>
      </c>
      <c r="BC5" s="69">
        <f t="shared" si="5"/>
        <v>2.6999999999999999E-5</v>
      </c>
      <c r="BD5" s="69">
        <f t="shared" si="6"/>
        <v>4.9499999999999995E-2</v>
      </c>
      <c r="BE5" s="69">
        <v>0</v>
      </c>
      <c r="BF5" s="2">
        <v>1.7361111111111101E-5</v>
      </c>
      <c r="BG5" s="69">
        <f t="shared" si="7"/>
        <v>0.9</v>
      </c>
      <c r="BH5" s="69">
        <f t="shared" si="8"/>
        <v>0.2</v>
      </c>
    </row>
    <row r="6" spans="1:60" x14ac:dyDescent="0.25">
      <c r="A6" s="3" t="s">
        <v>4</v>
      </c>
      <c r="B6" s="3" t="s">
        <v>1059</v>
      </c>
      <c r="C6" s="3"/>
      <c r="D6" t="s">
        <v>1428</v>
      </c>
      <c r="E6" t="s">
        <v>1429</v>
      </c>
      <c r="F6" t="s">
        <v>1429</v>
      </c>
      <c r="G6" t="s">
        <v>1429</v>
      </c>
      <c r="H6">
        <v>0</v>
      </c>
      <c r="I6" s="2">
        <v>0</v>
      </c>
      <c r="J6" s="2">
        <v>0</v>
      </c>
      <c r="K6" s="2">
        <v>3.3810799999999999</v>
      </c>
      <c r="L6" s="2">
        <v>0</v>
      </c>
      <c r="M6" s="2">
        <v>0</v>
      </c>
      <c r="N6" s="2">
        <v>0</v>
      </c>
      <c r="O6" s="2">
        <v>5024.92</v>
      </c>
      <c r="P6" s="2">
        <v>0.67451300000000003</v>
      </c>
      <c r="Q6" s="2">
        <v>10.89044</v>
      </c>
      <c r="R6" s="2">
        <v>0.67247999999999997</v>
      </c>
      <c r="S6" s="2">
        <v>1.92404</v>
      </c>
      <c r="T6" s="2">
        <v>3.0074800000000002</v>
      </c>
      <c r="U6" s="2">
        <v>1</v>
      </c>
      <c r="V6" s="2">
        <v>1</v>
      </c>
      <c r="W6" s="2">
        <v>1</v>
      </c>
      <c r="X6" s="2">
        <v>1</v>
      </c>
      <c r="Y6" s="2">
        <v>1</v>
      </c>
      <c r="Z6" s="2">
        <v>1</v>
      </c>
      <c r="AA6" s="2">
        <v>1</v>
      </c>
      <c r="AB6" s="2">
        <v>1</v>
      </c>
      <c r="AC6" s="2">
        <v>1</v>
      </c>
      <c r="AD6" s="2">
        <v>1</v>
      </c>
      <c r="AE6" s="69">
        <f t="shared" ref="AE6:AI7" si="9">0.4*Z6</f>
        <v>0.4</v>
      </c>
      <c r="AF6" s="69">
        <f t="shared" si="9"/>
        <v>0.4</v>
      </c>
      <c r="AG6" s="69">
        <f t="shared" si="9"/>
        <v>0.4</v>
      </c>
      <c r="AH6" s="69">
        <f t="shared" si="9"/>
        <v>0.4</v>
      </c>
      <c r="AI6" s="69">
        <f t="shared" si="9"/>
        <v>0.4</v>
      </c>
      <c r="AJ6" s="2">
        <v>4.8554033485540298E-6</v>
      </c>
      <c r="AK6" s="2">
        <v>137</v>
      </c>
      <c r="AL6" s="2">
        <v>1.6000000000000001E-4</v>
      </c>
      <c r="AM6" s="2">
        <v>1.3999999999999999E-4</v>
      </c>
      <c r="AN6" s="2">
        <v>1.2</v>
      </c>
      <c r="AO6" s="2">
        <v>1.9E-2</v>
      </c>
      <c r="AP6" s="2">
        <v>0.87</v>
      </c>
      <c r="AR6" s="104">
        <v>5.0000000000000001E-3</v>
      </c>
      <c r="AS6" s="104">
        <v>4.1000000000000002E-2</v>
      </c>
      <c r="AT6" s="104">
        <v>1.2999999999999999E-5</v>
      </c>
      <c r="AU6" s="104">
        <v>1.0999999999999999E-2</v>
      </c>
      <c r="AV6" s="2">
        <v>1E-3</v>
      </c>
      <c r="AW6" s="2">
        <v>1.1494252873563201E-3</v>
      </c>
      <c r="AX6" s="2">
        <v>0.4</v>
      </c>
      <c r="AZ6" s="2">
        <v>142727.58620689699</v>
      </c>
      <c r="BA6" s="3"/>
      <c r="BB6" s="3">
        <v>137</v>
      </c>
      <c r="BC6" s="69">
        <f t="shared" ref="BC6:BC9" si="10">BE6+lambda_HL</f>
        <v>2.6999999999999999E-5</v>
      </c>
      <c r="BD6" s="69">
        <f t="shared" ref="BD6:BD9" si="11">BE6+(0.693/t_w)</f>
        <v>4.9499999999999995E-2</v>
      </c>
      <c r="BE6" s="69">
        <v>0</v>
      </c>
      <c r="BF6" s="2">
        <v>1.77222222222222E-3</v>
      </c>
      <c r="BG6" s="69">
        <f t="shared" ref="BG6:BG9" si="12">AW6</f>
        <v>1.1494252873563201E-3</v>
      </c>
      <c r="BH6" s="69">
        <f t="shared" ref="BH6:BH9" si="13">AV6</f>
        <v>1E-3</v>
      </c>
    </row>
    <row r="7" spans="1:60" x14ac:dyDescent="0.25">
      <c r="A7" s="3" t="s">
        <v>5</v>
      </c>
      <c r="B7" s="3" t="s">
        <v>1059</v>
      </c>
      <c r="C7" s="3"/>
      <c r="D7" t="s">
        <v>1430</v>
      </c>
      <c r="E7" t="s">
        <v>1429</v>
      </c>
      <c r="F7" t="s">
        <v>1429</v>
      </c>
      <c r="G7">
        <v>0.1</v>
      </c>
      <c r="H7">
        <v>0.1</v>
      </c>
      <c r="I7" s="2">
        <v>6.6599999999999998E-6</v>
      </c>
      <c r="J7" s="2">
        <v>6.6599999999999998E-6</v>
      </c>
      <c r="K7" s="2">
        <v>5.4732399999999999E-3</v>
      </c>
      <c r="L7" s="2">
        <v>5.4020000000000001E-4</v>
      </c>
      <c r="M7" s="2">
        <v>6.6599999999999998E-6</v>
      </c>
      <c r="N7" s="2">
        <v>4.8470000000000003E-6</v>
      </c>
      <c r="O7" s="2">
        <v>48.194400000000002</v>
      </c>
      <c r="P7" s="2">
        <v>4.1031900000000003E-2</v>
      </c>
      <c r="Q7" s="2">
        <v>5.5666399999999998E-2</v>
      </c>
      <c r="R7" s="2">
        <v>3.13824E-3</v>
      </c>
      <c r="S7" s="2">
        <v>4.5392399999999999E-3</v>
      </c>
      <c r="T7" s="2">
        <v>5.3611600000000002E-3</v>
      </c>
      <c r="U7" s="2">
        <v>1</v>
      </c>
      <c r="V7" s="2">
        <v>1</v>
      </c>
      <c r="W7" s="2">
        <v>1</v>
      </c>
      <c r="X7" s="2">
        <v>1</v>
      </c>
      <c r="Y7" s="2">
        <v>1</v>
      </c>
      <c r="Z7" s="2">
        <v>1</v>
      </c>
      <c r="AA7" s="2">
        <v>1</v>
      </c>
      <c r="AB7" s="2">
        <v>1</v>
      </c>
      <c r="AC7" s="2">
        <v>1</v>
      </c>
      <c r="AD7" s="2">
        <v>1</v>
      </c>
      <c r="AE7" s="69">
        <f t="shared" si="9"/>
        <v>0.4</v>
      </c>
      <c r="AF7" s="69">
        <f t="shared" si="9"/>
        <v>0.4</v>
      </c>
      <c r="AG7" s="69">
        <f t="shared" si="9"/>
        <v>0.4</v>
      </c>
      <c r="AH7" s="69">
        <f t="shared" si="9"/>
        <v>0.4</v>
      </c>
      <c r="AI7" s="69">
        <f t="shared" si="9"/>
        <v>0.4</v>
      </c>
      <c r="AJ7" s="2">
        <v>1.37342465753425E-2</v>
      </c>
      <c r="AK7" s="2">
        <v>210</v>
      </c>
      <c r="AL7" s="2">
        <v>1E-3</v>
      </c>
      <c r="AM7" s="2">
        <v>2E-3</v>
      </c>
      <c r="AN7" s="2">
        <v>15</v>
      </c>
      <c r="AV7" s="2">
        <v>0.1</v>
      </c>
      <c r="AW7" s="2">
        <v>0.5</v>
      </c>
      <c r="AX7" s="2">
        <v>480</v>
      </c>
      <c r="AY7" s="2">
        <v>0.05</v>
      </c>
      <c r="AZ7" s="2">
        <v>50.457809694793497</v>
      </c>
      <c r="BA7" s="3">
        <v>15</v>
      </c>
      <c r="BB7" s="3">
        <v>210</v>
      </c>
      <c r="BC7" s="69">
        <f t="shared" si="10"/>
        <v>2.6999999999999999E-5</v>
      </c>
      <c r="BD7" s="69">
        <f t="shared" si="11"/>
        <v>4.9499999999999995E-2</v>
      </c>
      <c r="BE7" s="69">
        <v>0</v>
      </c>
      <c r="BF7" s="2">
        <v>5.0129999999999999</v>
      </c>
      <c r="BG7" s="69">
        <f t="shared" si="12"/>
        <v>0.5</v>
      </c>
      <c r="BH7" s="69">
        <f t="shared" si="13"/>
        <v>0.1</v>
      </c>
    </row>
    <row r="8" spans="1:60" x14ac:dyDescent="0.25">
      <c r="A8" s="3" t="s">
        <v>6</v>
      </c>
      <c r="B8" s="3" t="s">
        <v>1059</v>
      </c>
      <c r="C8" s="3"/>
      <c r="D8" t="s">
        <v>1430</v>
      </c>
      <c r="E8" t="s">
        <v>1429</v>
      </c>
      <c r="F8" t="s">
        <v>1429</v>
      </c>
      <c r="G8">
        <v>0.1</v>
      </c>
      <c r="H8">
        <v>0.1</v>
      </c>
      <c r="I8" s="2">
        <v>9.9159999999999996E-7</v>
      </c>
      <c r="J8" s="2">
        <v>9.9159999999999996E-7</v>
      </c>
      <c r="K8" s="2">
        <v>0.68742400000000004</v>
      </c>
      <c r="L8" s="2">
        <v>1.3134999999999999E-4</v>
      </c>
      <c r="M8" s="2">
        <v>9.9159999999999996E-7</v>
      </c>
      <c r="N8" s="2">
        <v>7.3259999999999998E-7</v>
      </c>
      <c r="O8" s="2">
        <v>1109.5920000000001</v>
      </c>
      <c r="P8" s="2">
        <v>0.191716</v>
      </c>
      <c r="Q8" s="2">
        <v>2.3536800000000002</v>
      </c>
      <c r="R8" s="2">
        <v>0.148506</v>
      </c>
      <c r="S8" s="2">
        <v>0.41469600000000001</v>
      </c>
      <c r="T8" s="2">
        <v>0.62951599999999996</v>
      </c>
      <c r="U8" s="2">
        <v>1</v>
      </c>
      <c r="V8" s="2">
        <v>1</v>
      </c>
      <c r="W8" s="2">
        <v>1</v>
      </c>
      <c r="X8" s="2">
        <v>1</v>
      </c>
      <c r="Y8" s="2">
        <v>1</v>
      </c>
      <c r="Z8" s="2">
        <v>1</v>
      </c>
      <c r="AA8" s="2">
        <v>1</v>
      </c>
      <c r="AB8" s="2">
        <v>1</v>
      </c>
      <c r="AC8" s="2">
        <v>1</v>
      </c>
      <c r="AD8" s="2">
        <v>1</v>
      </c>
      <c r="AE8" s="69">
        <f t="shared" ref="AE8:AI9" si="14">0.4*Z8</f>
        <v>0.4</v>
      </c>
      <c r="AF8" s="69">
        <f t="shared" si="14"/>
        <v>0.4</v>
      </c>
      <c r="AG8" s="69">
        <f t="shared" si="14"/>
        <v>0.4</v>
      </c>
      <c r="AH8" s="69">
        <f t="shared" si="14"/>
        <v>0.4</v>
      </c>
      <c r="AI8" s="69">
        <f t="shared" si="14"/>
        <v>0.4</v>
      </c>
      <c r="AJ8" s="2">
        <v>8.6738964992389594E-5</v>
      </c>
      <c r="AK8" s="2">
        <v>213</v>
      </c>
      <c r="AL8" s="2">
        <v>1E-3</v>
      </c>
      <c r="AM8" s="2">
        <v>2E-3</v>
      </c>
      <c r="AN8" s="2">
        <v>15</v>
      </c>
      <c r="AV8" s="2">
        <v>0.1</v>
      </c>
      <c r="AW8" s="2">
        <v>0.5</v>
      </c>
      <c r="AX8" s="2">
        <v>480</v>
      </c>
      <c r="AY8" s="2">
        <v>0.05</v>
      </c>
      <c r="AZ8" s="2">
        <v>7989.4889230094304</v>
      </c>
      <c r="BA8" s="3">
        <v>15</v>
      </c>
      <c r="BB8" s="3">
        <v>213</v>
      </c>
      <c r="BC8" s="69">
        <f t="shared" si="10"/>
        <v>2.6999999999999999E-5</v>
      </c>
      <c r="BD8" s="69">
        <f t="shared" si="11"/>
        <v>4.9499999999999995E-2</v>
      </c>
      <c r="BE8" s="69">
        <v>0</v>
      </c>
      <c r="BF8" s="2">
        <v>3.16597222222222E-2</v>
      </c>
      <c r="BG8" s="69">
        <f t="shared" si="12"/>
        <v>0.5</v>
      </c>
      <c r="BH8" s="69">
        <f t="shared" si="13"/>
        <v>0.1</v>
      </c>
    </row>
    <row r="9" spans="1:60" x14ac:dyDescent="0.25">
      <c r="A9" s="3" t="s">
        <v>7</v>
      </c>
      <c r="B9" s="3" t="s">
        <v>1059</v>
      </c>
      <c r="C9" s="3"/>
      <c r="D9" t="s">
        <v>1430</v>
      </c>
      <c r="E9" t="s">
        <v>1429</v>
      </c>
      <c r="F9" t="s">
        <v>1429</v>
      </c>
      <c r="G9">
        <v>0.1</v>
      </c>
      <c r="H9">
        <v>0.1</v>
      </c>
      <c r="I9" s="2">
        <v>5.5130000000000002E-7</v>
      </c>
      <c r="J9" s="2">
        <v>5.5130000000000002E-7</v>
      </c>
      <c r="K9" s="2">
        <v>9.1345200000000002</v>
      </c>
      <c r="L9" s="2">
        <v>3.6600000000000002E-5</v>
      </c>
      <c r="M9" s="2">
        <v>5.5130000000000002E-7</v>
      </c>
      <c r="N9" s="2">
        <v>4.144E-7</v>
      </c>
      <c r="O9" s="2">
        <v>13281.48</v>
      </c>
      <c r="P9" s="2">
        <v>1.65998</v>
      </c>
      <c r="Q9" s="2">
        <v>28.767199999999999</v>
      </c>
      <c r="R9" s="2">
        <v>1.6288959999999999</v>
      </c>
      <c r="S9" s="2">
        <v>4.7073600000000004</v>
      </c>
      <c r="T9" s="2">
        <v>7.6214399999999998</v>
      </c>
      <c r="U9" s="2">
        <v>1</v>
      </c>
      <c r="V9" s="2">
        <v>1</v>
      </c>
      <c r="W9" s="2">
        <v>1</v>
      </c>
      <c r="X9" s="2">
        <v>1</v>
      </c>
      <c r="Y9" s="2">
        <v>1</v>
      </c>
      <c r="Z9" s="2">
        <v>1</v>
      </c>
      <c r="AA9" s="2">
        <v>1</v>
      </c>
      <c r="AB9" s="2">
        <v>1</v>
      </c>
      <c r="AC9" s="2">
        <v>1</v>
      </c>
      <c r="AD9" s="2">
        <v>1</v>
      </c>
      <c r="AE9" s="69">
        <f t="shared" si="14"/>
        <v>0.4</v>
      </c>
      <c r="AF9" s="69">
        <f t="shared" si="14"/>
        <v>0.4</v>
      </c>
      <c r="AG9" s="69">
        <f t="shared" si="14"/>
        <v>0.4</v>
      </c>
      <c r="AH9" s="69">
        <f t="shared" si="14"/>
        <v>0.4</v>
      </c>
      <c r="AI9" s="69">
        <f t="shared" si="14"/>
        <v>0.4</v>
      </c>
      <c r="AJ9" s="2">
        <v>3.7861491628614902E-5</v>
      </c>
      <c r="AK9" s="2">
        <v>214</v>
      </c>
      <c r="AL9" s="2">
        <v>1E-3</v>
      </c>
      <c r="AM9" s="2">
        <v>2E-3</v>
      </c>
      <c r="AN9" s="2">
        <v>15</v>
      </c>
      <c r="AV9" s="2">
        <v>0.1</v>
      </c>
      <c r="AW9" s="2">
        <v>0.5</v>
      </c>
      <c r="AX9" s="2">
        <v>480</v>
      </c>
      <c r="AY9" s="2">
        <v>0.05</v>
      </c>
      <c r="AZ9" s="2">
        <v>18303.557788944701</v>
      </c>
      <c r="BA9" s="3">
        <v>15</v>
      </c>
      <c r="BB9" s="3">
        <v>214</v>
      </c>
      <c r="BC9" s="69">
        <f t="shared" si="10"/>
        <v>2.6999999999999999E-5</v>
      </c>
      <c r="BD9" s="69">
        <f t="shared" si="11"/>
        <v>4.9499999999999995E-2</v>
      </c>
      <c r="BE9" s="69">
        <v>0</v>
      </c>
      <c r="BF9" s="2">
        <v>1.38194444444444E-2</v>
      </c>
      <c r="BG9" s="69">
        <f t="shared" si="12"/>
        <v>0.5</v>
      </c>
      <c r="BH9" s="69">
        <f t="shared" si="13"/>
        <v>0.1</v>
      </c>
    </row>
    <row r="10" spans="1:60" x14ac:dyDescent="0.25">
      <c r="A10" s="3" t="s">
        <v>8</v>
      </c>
      <c r="B10" s="3" t="s">
        <v>336</v>
      </c>
      <c r="C10" s="3"/>
      <c r="D10" t="s">
        <v>1430</v>
      </c>
      <c r="E10" t="s">
        <v>1429</v>
      </c>
      <c r="F10" t="s">
        <v>1429</v>
      </c>
      <c r="G10">
        <v>1</v>
      </c>
      <c r="H10">
        <v>0.02</v>
      </c>
      <c r="I10" s="2">
        <v>4.9209999999999998E-5</v>
      </c>
      <c r="J10" s="2">
        <v>4.9209999999999998E-5</v>
      </c>
      <c r="K10" s="2">
        <v>8.6861999999999996E-4</v>
      </c>
      <c r="L10" s="2">
        <v>1.5428999999999999E-4</v>
      </c>
      <c r="M10" s="2">
        <v>4.9209999999999998E-5</v>
      </c>
      <c r="N10" s="2">
        <v>5.0319999999999999E-5</v>
      </c>
      <c r="O10" s="2">
        <v>17.559200000000001</v>
      </c>
      <c r="P10" s="2">
        <v>3.6589700000000001E-3</v>
      </c>
      <c r="Q10" s="2">
        <v>1.9613999999999999E-2</v>
      </c>
      <c r="R10" s="2">
        <v>4.0161999999999999E-4</v>
      </c>
      <c r="S10" s="2">
        <v>7.0049999999999995E-4</v>
      </c>
      <c r="T10" s="2">
        <v>8.5367600000000004E-4</v>
      </c>
      <c r="U10" s="2">
        <v>1</v>
      </c>
      <c r="V10" s="2">
        <v>1</v>
      </c>
      <c r="W10" s="2">
        <v>1</v>
      </c>
      <c r="X10" s="2">
        <v>1</v>
      </c>
      <c r="Y10" s="2">
        <v>1</v>
      </c>
      <c r="Z10" s="2">
        <v>1</v>
      </c>
      <c r="AA10" s="2">
        <v>1</v>
      </c>
      <c r="AB10" s="2">
        <v>1</v>
      </c>
      <c r="AC10" s="2">
        <v>1</v>
      </c>
      <c r="AD10" s="2">
        <v>1</v>
      </c>
      <c r="AE10" s="69">
        <f t="shared" ref="AE10:AI10" si="15">0.4*Z10</f>
        <v>0.4</v>
      </c>
      <c r="AF10" s="69">
        <f t="shared" si="15"/>
        <v>0.4</v>
      </c>
      <c r="AG10" s="69">
        <f t="shared" si="15"/>
        <v>0.4</v>
      </c>
      <c r="AH10" s="69">
        <f t="shared" si="15"/>
        <v>0.4</v>
      </c>
      <c r="AI10" s="69">
        <f t="shared" si="15"/>
        <v>0.4</v>
      </c>
      <c r="AJ10" s="2">
        <v>30.167100000000001</v>
      </c>
      <c r="AK10" s="2">
        <v>137</v>
      </c>
      <c r="AL10" s="2">
        <v>4.5999999999999999E-3</v>
      </c>
      <c r="AM10" s="2">
        <v>2.1999999999999999E-2</v>
      </c>
      <c r="AN10" s="2">
        <v>2500</v>
      </c>
      <c r="AO10" s="2">
        <v>2.7</v>
      </c>
      <c r="AP10" s="2">
        <v>0.4</v>
      </c>
      <c r="AQ10" s="2">
        <v>0.2</v>
      </c>
      <c r="AR10" s="104">
        <v>0.19</v>
      </c>
      <c r="AS10" s="104">
        <v>5.8000000000000003E-2</v>
      </c>
      <c r="AT10" s="104">
        <v>0.32</v>
      </c>
      <c r="AU10" s="104">
        <v>0.11</v>
      </c>
      <c r="AV10" s="2">
        <v>2.9000000000000001E-2</v>
      </c>
      <c r="AW10" s="2">
        <v>3.3333333333333298E-2</v>
      </c>
      <c r="AX10" s="2">
        <v>10</v>
      </c>
      <c r="AY10" s="2">
        <v>1</v>
      </c>
      <c r="AZ10" s="2">
        <v>2.2972045705420802E-2</v>
      </c>
      <c r="BA10" s="3">
        <v>200</v>
      </c>
      <c r="BB10" s="3">
        <v>137</v>
      </c>
      <c r="BC10" s="69">
        <f t="shared" ref="BC10" si="16">BE10+lambda_HL</f>
        <v>2.6999999999999999E-5</v>
      </c>
      <c r="BD10" s="69">
        <f t="shared" ref="BD10" si="17">BE10+(0.693/t_w)</f>
        <v>4.9499999999999995E-2</v>
      </c>
      <c r="BE10" s="69">
        <v>0</v>
      </c>
      <c r="BF10" s="2">
        <v>11010.9915</v>
      </c>
      <c r="BG10" s="69">
        <f t="shared" ref="BG10" si="18">AW10</f>
        <v>3.3333333333333298E-2</v>
      </c>
      <c r="BH10" s="69">
        <f t="shared" ref="BH10" si="19">AV10</f>
        <v>2.9000000000000001E-2</v>
      </c>
    </row>
    <row r="11" spans="1:60" x14ac:dyDescent="0.25">
      <c r="A11" s="3" t="s">
        <v>9</v>
      </c>
      <c r="B11" s="3" t="s">
        <v>1059</v>
      </c>
      <c r="C11" s="3"/>
      <c r="D11" t="s">
        <v>1428</v>
      </c>
      <c r="E11" t="s">
        <v>1429</v>
      </c>
      <c r="F11" t="s">
        <v>1429</v>
      </c>
      <c r="G11" t="s">
        <v>1429</v>
      </c>
      <c r="H11">
        <v>0</v>
      </c>
      <c r="I11" s="2">
        <v>0</v>
      </c>
      <c r="J11" s="2">
        <v>0</v>
      </c>
      <c r="K11" s="2">
        <v>0.13318840000000001</v>
      </c>
      <c r="L11" s="2">
        <v>0</v>
      </c>
      <c r="M11" s="2">
        <v>0</v>
      </c>
      <c r="N11" s="2">
        <v>0</v>
      </c>
      <c r="O11" s="2">
        <v>233.5</v>
      </c>
      <c r="P11" s="2">
        <v>3.1446099999999998E-2</v>
      </c>
      <c r="Q11" s="2">
        <v>0.51370000000000005</v>
      </c>
      <c r="R11" s="2">
        <v>3.19428E-2</v>
      </c>
      <c r="S11" s="2">
        <v>8.9290400000000006E-2</v>
      </c>
      <c r="T11" s="2">
        <v>0.1281448</v>
      </c>
      <c r="U11" s="2">
        <v>1</v>
      </c>
      <c r="V11" s="2">
        <v>1</v>
      </c>
      <c r="W11" s="2">
        <v>1</v>
      </c>
      <c r="X11" s="2">
        <v>1</v>
      </c>
      <c r="Y11" s="2">
        <v>1</v>
      </c>
      <c r="Z11" s="2">
        <v>1</v>
      </c>
      <c r="AA11" s="2">
        <v>1</v>
      </c>
      <c r="AB11" s="2">
        <v>1</v>
      </c>
      <c r="AC11" s="2">
        <v>1</v>
      </c>
      <c r="AD11" s="2">
        <v>1</v>
      </c>
      <c r="AE11" s="69">
        <f t="shared" ref="AE11:AI11" si="20">0.4*Z11</f>
        <v>0.4</v>
      </c>
      <c r="AF11" s="69">
        <f t="shared" si="20"/>
        <v>0.4</v>
      </c>
      <c r="AG11" s="69">
        <f t="shared" si="20"/>
        <v>0.4</v>
      </c>
      <c r="AH11" s="69">
        <f t="shared" si="20"/>
        <v>0.4</v>
      </c>
      <c r="AI11" s="69">
        <f t="shared" si="20"/>
        <v>0.4</v>
      </c>
      <c r="AJ11" s="2">
        <v>9.3226788432267907E-6</v>
      </c>
      <c r="AK11" s="2">
        <v>221</v>
      </c>
      <c r="AL11" s="2">
        <v>8.0000000000000002E-3</v>
      </c>
      <c r="AM11" s="2">
        <v>0.03</v>
      </c>
      <c r="AV11" s="2">
        <v>0.03</v>
      </c>
      <c r="AW11" s="2">
        <v>0.1</v>
      </c>
      <c r="AX11" s="2">
        <v>250</v>
      </c>
      <c r="AZ11" s="2">
        <v>74334.857142857101</v>
      </c>
      <c r="BA11" s="3">
        <v>15</v>
      </c>
      <c r="BB11" s="3">
        <v>221</v>
      </c>
      <c r="BC11" s="69">
        <f t="shared" ref="BC11" si="21">BE11+lambda_HL</f>
        <v>2.6999999999999999E-5</v>
      </c>
      <c r="BD11" s="69">
        <f t="shared" ref="BD11" si="22">BE11+(0.693/t_w)</f>
        <v>4.9499999999999995E-2</v>
      </c>
      <c r="BE11" s="69">
        <v>0</v>
      </c>
      <c r="BF11" s="2">
        <v>3.4027777777777802E-3</v>
      </c>
      <c r="BG11" s="69">
        <f t="shared" ref="BG11" si="23">AW11</f>
        <v>0.1</v>
      </c>
      <c r="BH11" s="69">
        <f t="shared" ref="BH11" si="24">AV11</f>
        <v>0.03</v>
      </c>
    </row>
    <row r="12" spans="1:60" x14ac:dyDescent="0.25">
      <c r="A12" s="3" t="s">
        <v>10</v>
      </c>
      <c r="B12" s="3" t="s">
        <v>1059</v>
      </c>
      <c r="C12" s="3"/>
      <c r="D12" t="s">
        <v>1428</v>
      </c>
      <c r="E12" t="s">
        <v>1429</v>
      </c>
      <c r="F12" t="s">
        <v>1429</v>
      </c>
      <c r="G12" t="s">
        <v>1429</v>
      </c>
      <c r="H12">
        <v>0</v>
      </c>
      <c r="I12" s="2">
        <v>0</v>
      </c>
      <c r="J12" s="2">
        <v>0</v>
      </c>
      <c r="K12" s="2">
        <v>0.61270400000000003</v>
      </c>
      <c r="L12" s="2">
        <v>0</v>
      </c>
      <c r="M12" s="2">
        <v>0</v>
      </c>
      <c r="N12" s="2">
        <v>0</v>
      </c>
      <c r="O12" s="2">
        <v>1038.6079999999999</v>
      </c>
      <c r="P12" s="2">
        <v>0.174181</v>
      </c>
      <c r="Q12" s="2">
        <v>2.2229199999999998</v>
      </c>
      <c r="R12" s="2">
        <v>0.1386056</v>
      </c>
      <c r="S12" s="2">
        <v>0.38667600000000002</v>
      </c>
      <c r="T12" s="2">
        <v>0.57347599999999999</v>
      </c>
      <c r="U12" s="2">
        <v>1</v>
      </c>
      <c r="V12" s="2">
        <v>1</v>
      </c>
      <c r="W12" s="2">
        <v>1</v>
      </c>
      <c r="X12" s="2">
        <v>1</v>
      </c>
      <c r="Y12" s="2">
        <v>1</v>
      </c>
      <c r="Z12" s="2">
        <v>1</v>
      </c>
      <c r="AA12" s="2">
        <v>1</v>
      </c>
      <c r="AB12" s="2">
        <v>1</v>
      </c>
      <c r="AC12" s="2">
        <v>1</v>
      </c>
      <c r="AD12" s="2">
        <v>1</v>
      </c>
      <c r="AE12" s="69">
        <f t="shared" ref="AE12:AI12" si="25">0.4*Z12</f>
        <v>0.4</v>
      </c>
      <c r="AF12" s="69">
        <f t="shared" si="25"/>
        <v>0.4</v>
      </c>
      <c r="AG12" s="69">
        <f t="shared" si="25"/>
        <v>0.4</v>
      </c>
      <c r="AH12" s="69">
        <f t="shared" si="25"/>
        <v>0.4</v>
      </c>
      <c r="AI12" s="69">
        <f t="shared" si="25"/>
        <v>0.4</v>
      </c>
      <c r="AJ12" s="2">
        <v>1.5506088280060901E-5</v>
      </c>
      <c r="AK12" s="2">
        <v>206</v>
      </c>
      <c r="AL12" s="2">
        <v>5.0000000000000001E-4</v>
      </c>
      <c r="AM12" s="2">
        <v>0.01</v>
      </c>
      <c r="AN12" s="2">
        <v>6100</v>
      </c>
      <c r="AO12" s="2">
        <v>0.03</v>
      </c>
      <c r="AV12" s="2">
        <v>0.3</v>
      </c>
      <c r="AW12" s="2">
        <v>1</v>
      </c>
      <c r="AX12" s="2">
        <v>6300</v>
      </c>
      <c r="AZ12" s="2">
        <v>44692.122699386498</v>
      </c>
      <c r="BA12" s="3"/>
      <c r="BB12" s="3">
        <v>206</v>
      </c>
      <c r="BC12" s="69">
        <f t="shared" ref="BC12" si="26">BE12+lambda_HL</f>
        <v>2.6999999999999999E-5</v>
      </c>
      <c r="BD12" s="69">
        <f t="shared" ref="BD12" si="27">BE12+(0.693/t_w)</f>
        <v>4.9499999999999995E-2</v>
      </c>
      <c r="BE12" s="69">
        <v>0</v>
      </c>
      <c r="BF12" s="2">
        <v>5.6597222222222196E-3</v>
      </c>
      <c r="BG12" s="69">
        <f t="shared" ref="BG12" si="28">AW12</f>
        <v>1</v>
      </c>
      <c r="BH12" s="69">
        <f t="shared" ref="BH12" si="29">AV12</f>
        <v>0.3</v>
      </c>
    </row>
    <row r="13" spans="1:60" x14ac:dyDescent="0.25">
      <c r="A13" s="3" t="s">
        <v>11</v>
      </c>
      <c r="B13" s="3" t="s">
        <v>1059</v>
      </c>
      <c r="C13" s="3"/>
      <c r="D13" t="s">
        <v>1430</v>
      </c>
      <c r="E13" t="s">
        <v>1429</v>
      </c>
      <c r="F13" t="s">
        <v>1429</v>
      </c>
      <c r="G13">
        <v>5.0000000000000001E-3</v>
      </c>
      <c r="H13">
        <v>5.0000000000000001E-3</v>
      </c>
      <c r="I13" s="2">
        <v>4.6250000000000002E-4</v>
      </c>
      <c r="J13" s="2">
        <v>4.6250000000000002E-4</v>
      </c>
      <c r="K13" s="2">
        <v>6.7061200000000001E-2</v>
      </c>
      <c r="L13" s="2">
        <v>4.6620000000000002E-2</v>
      </c>
      <c r="M13" s="2">
        <v>4.6250000000000002E-4</v>
      </c>
      <c r="N13" s="2">
        <v>3.9589999999999997E-4</v>
      </c>
      <c r="O13" s="2">
        <v>160.648</v>
      </c>
      <c r="P13" s="2">
        <v>2.85236E-2</v>
      </c>
      <c r="Q13" s="2">
        <v>0.36052400000000001</v>
      </c>
      <c r="R13" s="2">
        <v>2.2415999999999998E-2</v>
      </c>
      <c r="S13" s="2">
        <v>5.3424800000000001E-2</v>
      </c>
      <c r="T13" s="2">
        <v>6.6874400000000001E-2</v>
      </c>
      <c r="U13" s="2">
        <v>1</v>
      </c>
      <c r="V13" s="2">
        <v>1</v>
      </c>
      <c r="W13" s="2">
        <v>1</v>
      </c>
      <c r="X13" s="2">
        <v>1</v>
      </c>
      <c r="Y13" s="2">
        <v>1</v>
      </c>
      <c r="Z13" s="2">
        <v>1</v>
      </c>
      <c r="AA13" s="2">
        <v>1</v>
      </c>
      <c r="AB13" s="2">
        <v>1</v>
      </c>
      <c r="AC13" s="2">
        <v>1</v>
      </c>
      <c r="AD13" s="2">
        <v>1</v>
      </c>
      <c r="AE13" s="69">
        <f t="shared" ref="AE13:AI13" si="30">0.4*Z13</f>
        <v>0.4</v>
      </c>
      <c r="AF13" s="69">
        <f t="shared" si="30"/>
        <v>0.4</v>
      </c>
      <c r="AG13" s="69">
        <f t="shared" si="30"/>
        <v>0.4</v>
      </c>
      <c r="AH13" s="69">
        <f t="shared" si="30"/>
        <v>0.4</v>
      </c>
      <c r="AI13" s="69">
        <f t="shared" si="30"/>
        <v>0.4</v>
      </c>
      <c r="AJ13" s="2">
        <v>2144000</v>
      </c>
      <c r="AK13" s="2">
        <v>237</v>
      </c>
      <c r="AL13" s="2">
        <v>1.0000000000000001E-5</v>
      </c>
      <c r="AM13" s="2">
        <v>1E-3</v>
      </c>
      <c r="AN13" s="2">
        <v>30</v>
      </c>
      <c r="AR13" s="104">
        <v>4.0000000000000002E-4</v>
      </c>
      <c r="AU13" s="104">
        <v>5.3000000000000001E-5</v>
      </c>
      <c r="AV13" s="2">
        <v>2.8999999999999998E-3</v>
      </c>
      <c r="AW13" s="2">
        <v>3.3333333333333301E-3</v>
      </c>
      <c r="AX13" s="2">
        <v>0.2</v>
      </c>
      <c r="AY13" s="2">
        <v>5.0000000000000001E-4</v>
      </c>
      <c r="AZ13" s="2">
        <v>3.2322761194029798E-7</v>
      </c>
      <c r="BA13" s="3">
        <v>15</v>
      </c>
      <c r="BB13" s="3">
        <v>237</v>
      </c>
      <c r="BC13" s="69">
        <f t="shared" ref="BC13:BC14" si="31">BE13+lambda_HL</f>
        <v>2.6999999999999999E-5</v>
      </c>
      <c r="BD13" s="69">
        <f t="shared" ref="BD13:BD14" si="32">BE13+(0.693/t_w)</f>
        <v>4.9499999999999995E-2</v>
      </c>
      <c r="BE13" s="69">
        <v>0</v>
      </c>
      <c r="BF13" s="2">
        <v>782560000</v>
      </c>
      <c r="BG13" s="69">
        <f t="shared" ref="BG13:BG14" si="33">AW13</f>
        <v>3.3333333333333301E-3</v>
      </c>
      <c r="BH13" s="69">
        <f t="shared" ref="BH13:BH14" si="34">AV13</f>
        <v>2.8999999999999998E-3</v>
      </c>
    </row>
    <row r="14" spans="1:60" x14ac:dyDescent="0.25">
      <c r="A14" s="3" t="s">
        <v>12</v>
      </c>
      <c r="B14" s="3" t="s">
        <v>1059</v>
      </c>
      <c r="C14" s="3"/>
      <c r="D14" t="s">
        <v>1430</v>
      </c>
      <c r="E14" t="s">
        <v>1429</v>
      </c>
      <c r="F14" t="s">
        <v>1429</v>
      </c>
      <c r="G14">
        <v>5.0000000000000001E-3</v>
      </c>
      <c r="H14">
        <v>5.0000000000000001E-3</v>
      </c>
      <c r="I14" s="2">
        <v>4.8840000000000002E-6</v>
      </c>
      <c r="J14" s="2">
        <v>4.8840000000000002E-6</v>
      </c>
      <c r="K14" s="2">
        <v>1.01806</v>
      </c>
      <c r="L14" s="2">
        <v>1.6872E-5</v>
      </c>
      <c r="M14" s="2">
        <v>4.8840000000000002E-6</v>
      </c>
      <c r="N14" s="2">
        <v>3.5742E-6</v>
      </c>
      <c r="O14" s="2">
        <v>1731.636</v>
      </c>
      <c r="P14" s="2">
        <v>0.23613799999999999</v>
      </c>
      <c r="Q14" s="2">
        <v>3.7920400000000001</v>
      </c>
      <c r="R14" s="2">
        <v>0.237236</v>
      </c>
      <c r="S14" s="2">
        <v>0.65940399999999999</v>
      </c>
      <c r="T14" s="2">
        <v>0.96388799999999997</v>
      </c>
      <c r="U14" s="2">
        <v>1</v>
      </c>
      <c r="V14" s="2">
        <v>1</v>
      </c>
      <c r="W14" s="2">
        <v>1</v>
      </c>
      <c r="X14" s="2">
        <v>1</v>
      </c>
      <c r="Y14" s="2">
        <v>1</v>
      </c>
      <c r="Z14" s="2">
        <v>1</v>
      </c>
      <c r="AA14" s="2">
        <v>1</v>
      </c>
      <c r="AB14" s="2">
        <v>1</v>
      </c>
      <c r="AC14" s="2">
        <v>1</v>
      </c>
      <c r="AD14" s="2">
        <v>1</v>
      </c>
      <c r="AE14" s="69">
        <f t="shared" ref="AE14:AI14" si="35">0.4*Z14</f>
        <v>0.4</v>
      </c>
      <c r="AF14" s="69">
        <f t="shared" si="35"/>
        <v>0.4</v>
      </c>
      <c r="AG14" s="69">
        <f t="shared" si="35"/>
        <v>0.4</v>
      </c>
      <c r="AH14" s="69">
        <f t="shared" si="35"/>
        <v>0.4</v>
      </c>
      <c r="AI14" s="69">
        <f t="shared" si="35"/>
        <v>0.4</v>
      </c>
      <c r="AJ14" s="2">
        <v>7.3882191780821893E-2</v>
      </c>
      <c r="AK14" s="2">
        <v>233</v>
      </c>
      <c r="AL14" s="2">
        <v>5.0000000000000004E-6</v>
      </c>
      <c r="AM14" s="2">
        <v>5.0000000000000004E-6</v>
      </c>
      <c r="AN14" s="2">
        <v>10</v>
      </c>
      <c r="AV14" s="2">
        <v>0.01</v>
      </c>
      <c r="AW14" s="2">
        <v>0.1</v>
      </c>
      <c r="AX14" s="2">
        <v>2000</v>
      </c>
      <c r="AY14" s="2">
        <v>5.0000000000000001E-4</v>
      </c>
      <c r="AZ14" s="2">
        <v>9.3797975303148302</v>
      </c>
      <c r="BA14" s="3">
        <v>300</v>
      </c>
      <c r="BB14" s="3">
        <v>233</v>
      </c>
      <c r="BC14" s="69">
        <f t="shared" si="31"/>
        <v>2.6999999999999999E-5</v>
      </c>
      <c r="BD14" s="69">
        <f t="shared" si="32"/>
        <v>4.9499999999999995E-2</v>
      </c>
      <c r="BE14" s="69">
        <v>0</v>
      </c>
      <c r="BF14" s="2">
        <v>26.966999999999999</v>
      </c>
      <c r="BG14" s="69">
        <f t="shared" si="33"/>
        <v>0.1</v>
      </c>
      <c r="BH14" s="69">
        <f t="shared" si="34"/>
        <v>0.01</v>
      </c>
    </row>
    <row r="15" spans="1:60" x14ac:dyDescent="0.25">
      <c r="A15" s="3" t="s">
        <v>13</v>
      </c>
      <c r="B15" s="3" t="s">
        <v>1059</v>
      </c>
      <c r="C15" s="3"/>
      <c r="D15" t="s">
        <v>1430</v>
      </c>
      <c r="E15" t="s">
        <v>1429</v>
      </c>
      <c r="F15" t="s">
        <v>1429</v>
      </c>
      <c r="G15">
        <v>0.6</v>
      </c>
      <c r="H15">
        <v>0.02</v>
      </c>
      <c r="I15" s="2">
        <v>2.7639E-7</v>
      </c>
      <c r="J15" s="2">
        <v>2.7639E-7</v>
      </c>
      <c r="K15" s="2">
        <v>7.5280400000000004E-4</v>
      </c>
      <c r="L15" s="2">
        <v>2.5825999999999998E-7</v>
      </c>
      <c r="M15" s="2">
        <v>2.7639E-7</v>
      </c>
      <c r="N15" s="2">
        <v>2.0979E-7</v>
      </c>
      <c r="O15" s="2">
        <v>18.68</v>
      </c>
      <c r="P15" s="2">
        <v>3.7291099999999999E-3</v>
      </c>
      <c r="Q15" s="2">
        <v>2.0921599999999999E-2</v>
      </c>
      <c r="R15" s="2">
        <v>2.9514400000000001E-4</v>
      </c>
      <c r="S15" s="2">
        <v>5.9589199999999999E-4</v>
      </c>
      <c r="T15" s="2">
        <v>7.4159599999999997E-4</v>
      </c>
      <c r="U15" s="2">
        <v>0.9</v>
      </c>
      <c r="V15" s="2">
        <v>0.9</v>
      </c>
      <c r="W15" s="2">
        <v>0.9</v>
      </c>
      <c r="X15" s="2">
        <v>0.9</v>
      </c>
      <c r="Y15" s="2">
        <v>0.9</v>
      </c>
      <c r="Z15" s="2">
        <v>1</v>
      </c>
      <c r="AA15" s="2">
        <v>1</v>
      </c>
      <c r="AB15" s="2">
        <v>1</v>
      </c>
      <c r="AC15" s="2">
        <v>1</v>
      </c>
      <c r="AD15" s="2">
        <v>1</v>
      </c>
      <c r="AE15" s="69">
        <f t="shared" ref="AE15:AI17" si="36">0.4*Z15</f>
        <v>0.4</v>
      </c>
      <c r="AF15" s="69">
        <f t="shared" si="36"/>
        <v>0.4</v>
      </c>
      <c r="AG15" s="69">
        <f t="shared" si="36"/>
        <v>0.4</v>
      </c>
      <c r="AH15" s="69">
        <f t="shared" si="36"/>
        <v>0.4</v>
      </c>
      <c r="AI15" s="69">
        <f t="shared" si="36"/>
        <v>0.4</v>
      </c>
      <c r="AJ15" s="2">
        <v>3.7134703196347002E-4</v>
      </c>
      <c r="AK15" s="2">
        <v>209</v>
      </c>
      <c r="AL15" s="2">
        <v>1.9000000000000001E-4</v>
      </c>
      <c r="AM15" s="2">
        <v>6.9999999999999999E-4</v>
      </c>
      <c r="AN15" s="2">
        <v>25</v>
      </c>
      <c r="AR15" s="104">
        <v>7.1000000000000004E-3</v>
      </c>
      <c r="AS15" s="104">
        <v>3.5000000000000003E-2</v>
      </c>
      <c r="AU15" s="104">
        <v>6.0000000000000001E-3</v>
      </c>
      <c r="AV15" s="2">
        <v>1.0999999999999999E-2</v>
      </c>
      <c r="AW15" s="2">
        <v>1.26436781609195E-2</v>
      </c>
      <c r="AX15" s="2">
        <v>150</v>
      </c>
      <c r="AY15" s="2">
        <v>0.2</v>
      </c>
      <c r="AZ15" s="2">
        <v>1866.1789117737501</v>
      </c>
      <c r="BA15" s="3"/>
      <c r="BB15" s="3">
        <v>209</v>
      </c>
      <c r="BC15" s="69">
        <f t="shared" ref="BC15:BC21" si="37">BE15+lambda_HL</f>
        <v>2.6999999999999999E-5</v>
      </c>
      <c r="BD15" s="69">
        <f t="shared" ref="BD15:BD21" si="38">BE15+(0.693/t_w)</f>
        <v>4.9499999999999995E-2</v>
      </c>
      <c r="BE15" s="69">
        <v>0</v>
      </c>
      <c r="BF15" s="2">
        <v>0.135541666666667</v>
      </c>
      <c r="BG15" s="69">
        <f t="shared" ref="BG15:BG21" si="39">AW15</f>
        <v>1.26436781609195E-2</v>
      </c>
      <c r="BH15" s="69">
        <f t="shared" ref="BH15:BH21" si="40">AV15</f>
        <v>1.0999999999999999E-2</v>
      </c>
    </row>
    <row r="16" spans="1:60" x14ac:dyDescent="0.25">
      <c r="A16" s="3" t="s">
        <v>14</v>
      </c>
      <c r="B16" s="3" t="s">
        <v>1059</v>
      </c>
      <c r="C16" s="3"/>
      <c r="D16" t="s">
        <v>1430</v>
      </c>
      <c r="E16" t="s">
        <v>1429</v>
      </c>
      <c r="F16" t="s">
        <v>1429</v>
      </c>
      <c r="G16">
        <v>0.6</v>
      </c>
      <c r="H16">
        <v>0.02</v>
      </c>
      <c r="I16" s="2">
        <v>3.774E-3</v>
      </c>
      <c r="J16" s="2">
        <v>3.774E-3</v>
      </c>
      <c r="K16" s="2">
        <v>2.09216E-3</v>
      </c>
      <c r="L16" s="2">
        <v>2.2311000000000001E-2</v>
      </c>
      <c r="M16" s="2">
        <v>3.774E-3</v>
      </c>
      <c r="N16" s="2">
        <v>2.5752000000000001E-3</v>
      </c>
      <c r="O16" s="2">
        <v>8.7982800000000001</v>
      </c>
      <c r="P16" s="2">
        <v>2.5367300000000001E-3</v>
      </c>
      <c r="Q16" s="2">
        <v>2.0361199999999999E-2</v>
      </c>
      <c r="R16" s="2">
        <v>1.3300160000000001E-3</v>
      </c>
      <c r="S16" s="2">
        <v>2.0547999999999999E-3</v>
      </c>
      <c r="T16" s="2">
        <v>2.09216E-3</v>
      </c>
      <c r="U16" s="2">
        <v>1</v>
      </c>
      <c r="V16" s="2">
        <v>1</v>
      </c>
      <c r="W16" s="2">
        <v>1</v>
      </c>
      <c r="X16" s="2">
        <v>1</v>
      </c>
      <c r="Y16" s="2">
        <v>1</v>
      </c>
      <c r="Z16" s="2">
        <v>1</v>
      </c>
      <c r="AA16" s="2">
        <v>1</v>
      </c>
      <c r="AB16" s="2">
        <v>1</v>
      </c>
      <c r="AC16" s="2">
        <v>1</v>
      </c>
      <c r="AD16" s="2">
        <v>1</v>
      </c>
      <c r="AE16" s="69">
        <f t="shared" si="36"/>
        <v>0.4</v>
      </c>
      <c r="AF16" s="69">
        <f t="shared" si="36"/>
        <v>0.4</v>
      </c>
      <c r="AG16" s="69">
        <f t="shared" si="36"/>
        <v>0.4</v>
      </c>
      <c r="AH16" s="69">
        <f t="shared" si="36"/>
        <v>0.4</v>
      </c>
      <c r="AI16" s="69">
        <f t="shared" si="36"/>
        <v>0.4</v>
      </c>
      <c r="AJ16" s="2">
        <v>22.2</v>
      </c>
      <c r="AK16" s="2">
        <v>210</v>
      </c>
      <c r="AL16" s="2">
        <v>1.9000000000000001E-4</v>
      </c>
      <c r="AM16" s="2">
        <v>6.9999999999999999E-4</v>
      </c>
      <c r="AN16" s="2">
        <v>25</v>
      </c>
      <c r="AR16" s="104">
        <v>7.1000000000000004E-3</v>
      </c>
      <c r="AS16" s="104">
        <v>3.5000000000000003E-2</v>
      </c>
      <c r="AU16" s="104">
        <v>6.0000000000000001E-3</v>
      </c>
      <c r="AV16" s="2">
        <v>1.0999999999999999E-2</v>
      </c>
      <c r="AW16" s="2">
        <v>1.26436781609195E-2</v>
      </c>
      <c r="AX16" s="2">
        <v>150</v>
      </c>
      <c r="AY16" s="2">
        <v>0.2</v>
      </c>
      <c r="AZ16" s="2">
        <v>3.1216216216216199E-2</v>
      </c>
      <c r="BA16" s="3"/>
      <c r="BB16" s="3">
        <v>210</v>
      </c>
      <c r="BC16" s="69">
        <f t="shared" si="37"/>
        <v>2.6999999999999999E-5</v>
      </c>
      <c r="BD16" s="69">
        <f t="shared" si="38"/>
        <v>4.9499999999999995E-2</v>
      </c>
      <c r="BE16" s="69">
        <v>0</v>
      </c>
      <c r="BF16" s="2">
        <v>8103</v>
      </c>
      <c r="BG16" s="69">
        <f t="shared" si="39"/>
        <v>1.26436781609195E-2</v>
      </c>
      <c r="BH16" s="69">
        <f t="shared" si="40"/>
        <v>1.0999999999999999E-2</v>
      </c>
    </row>
    <row r="17" spans="1:60" x14ac:dyDescent="0.25">
      <c r="A17" s="3" t="s">
        <v>15</v>
      </c>
      <c r="B17" s="3" t="s">
        <v>1059</v>
      </c>
      <c r="C17" s="3"/>
      <c r="D17" t="s">
        <v>1430</v>
      </c>
      <c r="E17" t="s">
        <v>1429</v>
      </c>
      <c r="F17" t="s">
        <v>1429</v>
      </c>
      <c r="G17">
        <v>0.6</v>
      </c>
      <c r="H17">
        <v>0.02</v>
      </c>
      <c r="I17" s="2">
        <v>7.3630000000000005E-7</v>
      </c>
      <c r="J17" s="2">
        <v>7.3630000000000005E-7</v>
      </c>
      <c r="K17" s="2">
        <v>1.2571639999999999</v>
      </c>
      <c r="L17" s="2">
        <v>4.6600000000000001E-5</v>
      </c>
      <c r="M17" s="2">
        <v>7.3630000000000005E-7</v>
      </c>
      <c r="N17" s="2">
        <v>5.1429999999999999E-7</v>
      </c>
      <c r="O17" s="2">
        <v>2073.48</v>
      </c>
      <c r="P17" s="2">
        <v>0.28406700000000001</v>
      </c>
      <c r="Q17" s="2">
        <v>4.5018799999999999</v>
      </c>
      <c r="R17" s="2">
        <v>0.2802</v>
      </c>
      <c r="S17" s="2">
        <v>0.79016399999999998</v>
      </c>
      <c r="T17" s="2">
        <v>1.1749719999999999</v>
      </c>
      <c r="U17" s="2">
        <v>1</v>
      </c>
      <c r="V17" s="2">
        <v>1</v>
      </c>
      <c r="W17" s="2">
        <v>1</v>
      </c>
      <c r="X17" s="2">
        <v>1</v>
      </c>
      <c r="Y17" s="2">
        <v>1</v>
      </c>
      <c r="Z17" s="2">
        <v>1</v>
      </c>
      <c r="AA17" s="2">
        <v>1</v>
      </c>
      <c r="AB17" s="2">
        <v>1</v>
      </c>
      <c r="AC17" s="2">
        <v>1</v>
      </c>
      <c r="AD17" s="2">
        <v>1</v>
      </c>
      <c r="AE17" s="69">
        <f t="shared" si="36"/>
        <v>0.4</v>
      </c>
      <c r="AF17" s="69">
        <f t="shared" si="36"/>
        <v>0.4</v>
      </c>
      <c r="AG17" s="69">
        <f t="shared" si="36"/>
        <v>0.4</v>
      </c>
      <c r="AH17" s="69">
        <f t="shared" si="36"/>
        <v>0.4</v>
      </c>
      <c r="AI17" s="69">
        <f t="shared" si="36"/>
        <v>0.4</v>
      </c>
      <c r="AJ17" s="2">
        <v>5.0989345509893397E-5</v>
      </c>
      <c r="AK17" s="2">
        <v>214</v>
      </c>
      <c r="AL17" s="2">
        <v>1.9000000000000001E-4</v>
      </c>
      <c r="AM17" s="2">
        <v>6.9999999999999999E-4</v>
      </c>
      <c r="AN17" s="2">
        <v>25</v>
      </c>
      <c r="AR17" s="104">
        <v>7.1000000000000004E-3</v>
      </c>
      <c r="AS17" s="104">
        <v>3.5000000000000003E-2</v>
      </c>
      <c r="AU17" s="104">
        <v>6.0000000000000001E-3</v>
      </c>
      <c r="AV17" s="2">
        <v>1.0999999999999999E-2</v>
      </c>
      <c r="AW17" s="2">
        <v>1.26436781609195E-2</v>
      </c>
      <c r="AX17" s="2">
        <v>150</v>
      </c>
      <c r="AY17" s="2">
        <v>0.2</v>
      </c>
      <c r="AZ17" s="2">
        <v>13591.0746268657</v>
      </c>
      <c r="BA17" s="3"/>
      <c r="BB17" s="3">
        <v>214</v>
      </c>
      <c r="BC17" s="69">
        <f t="shared" si="37"/>
        <v>2.6999999999999999E-5</v>
      </c>
      <c r="BD17" s="69">
        <f t="shared" si="38"/>
        <v>4.9499999999999995E-2</v>
      </c>
      <c r="BE17" s="69">
        <v>0</v>
      </c>
      <c r="BF17" s="2">
        <v>1.8611111111111099E-2</v>
      </c>
      <c r="BG17" s="69">
        <f t="shared" si="39"/>
        <v>1.26436781609195E-2</v>
      </c>
      <c r="BH17" s="69">
        <f t="shared" si="40"/>
        <v>1.0999999999999999E-2</v>
      </c>
    </row>
    <row r="18" spans="1:60" x14ac:dyDescent="0.25">
      <c r="A18" s="3" t="s">
        <v>16</v>
      </c>
      <c r="B18" s="3" t="s">
        <v>1059</v>
      </c>
      <c r="C18" s="3"/>
      <c r="D18" t="s">
        <v>1430</v>
      </c>
      <c r="E18" t="s">
        <v>1431</v>
      </c>
      <c r="F18" t="s">
        <v>1429</v>
      </c>
      <c r="G18">
        <v>1</v>
      </c>
      <c r="H18">
        <v>0.02</v>
      </c>
      <c r="I18" s="2">
        <v>6.4749999999999999E-3</v>
      </c>
      <c r="J18" s="2">
        <v>6.4749999999999999E-3</v>
      </c>
      <c r="K18" s="2">
        <v>5.6413599999999998E-5</v>
      </c>
      <c r="L18" s="2">
        <v>1.7316000000000002E-2</v>
      </c>
      <c r="M18" s="2">
        <v>6.4749999999999999E-3</v>
      </c>
      <c r="N18" s="2">
        <v>4.4770000000000001E-3</v>
      </c>
      <c r="O18" s="2">
        <v>8.3126000000000005E-2</v>
      </c>
      <c r="P18" s="2">
        <v>1.077818E-5</v>
      </c>
      <c r="Q18" s="2">
        <v>1.8026199999999999E-4</v>
      </c>
      <c r="R18" s="2">
        <v>1.094648E-5</v>
      </c>
      <c r="S18" s="2">
        <v>3.13824E-5</v>
      </c>
      <c r="T18" s="2">
        <v>4.9315199999999998E-5</v>
      </c>
      <c r="U18" s="2">
        <v>1</v>
      </c>
      <c r="V18" s="2">
        <v>1</v>
      </c>
      <c r="W18" s="2">
        <v>1</v>
      </c>
      <c r="X18" s="2">
        <v>1</v>
      </c>
      <c r="Y18" s="2">
        <v>1</v>
      </c>
      <c r="Z18" s="2">
        <v>1</v>
      </c>
      <c r="AA18" s="2">
        <v>1</v>
      </c>
      <c r="AB18" s="2">
        <v>1</v>
      </c>
      <c r="AC18" s="2">
        <v>1</v>
      </c>
      <c r="AD18" s="2">
        <v>1</v>
      </c>
      <c r="AE18" s="69">
        <f t="shared" ref="AE18:AI21" si="41">0.4*Z18</f>
        <v>0.4</v>
      </c>
      <c r="AF18" s="69">
        <f t="shared" si="41"/>
        <v>0.4</v>
      </c>
      <c r="AG18" s="69">
        <f t="shared" si="41"/>
        <v>0.4</v>
      </c>
      <c r="AH18" s="69">
        <f t="shared" si="41"/>
        <v>0.4</v>
      </c>
      <c r="AI18" s="69">
        <f t="shared" si="41"/>
        <v>0.4</v>
      </c>
      <c r="AJ18" s="2">
        <v>0.37911232876712297</v>
      </c>
      <c r="AK18" s="2">
        <v>210</v>
      </c>
      <c r="AL18" s="2">
        <v>2.1000000000000001E-4</v>
      </c>
      <c r="AM18" s="2">
        <v>5.0000000000000001E-3</v>
      </c>
      <c r="AN18" s="2">
        <v>36</v>
      </c>
      <c r="AO18" s="2">
        <v>2.4</v>
      </c>
      <c r="AP18" s="2">
        <v>3.1</v>
      </c>
      <c r="AR18" s="104">
        <v>0.05</v>
      </c>
      <c r="AU18" s="104">
        <v>2.3E-3</v>
      </c>
      <c r="AV18" s="2">
        <v>2.4000000000000001E-4</v>
      </c>
      <c r="AW18" s="2">
        <v>2.7586206896551698E-4</v>
      </c>
      <c r="AX18" s="2">
        <v>210</v>
      </c>
      <c r="AZ18" s="2">
        <v>1.8279542695265101</v>
      </c>
      <c r="BA18" s="3">
        <v>15</v>
      </c>
      <c r="BB18" s="3">
        <v>210</v>
      </c>
      <c r="BC18" s="69">
        <f t="shared" si="37"/>
        <v>2.6999999999999999E-5</v>
      </c>
      <c r="BD18" s="69">
        <f t="shared" si="38"/>
        <v>4.9499999999999995E-2</v>
      </c>
      <c r="BE18" s="69">
        <v>0</v>
      </c>
      <c r="BF18" s="2">
        <v>138.376</v>
      </c>
      <c r="BG18" s="69">
        <f t="shared" si="39"/>
        <v>2.7586206896551698E-4</v>
      </c>
      <c r="BH18" s="69">
        <f t="shared" si="40"/>
        <v>2.4000000000000001E-4</v>
      </c>
    </row>
    <row r="19" spans="1:60" x14ac:dyDescent="0.25">
      <c r="A19" s="3" t="s">
        <v>17</v>
      </c>
      <c r="B19" s="3" t="s">
        <v>1059</v>
      </c>
      <c r="C19" s="3"/>
      <c r="D19" t="s">
        <v>1428</v>
      </c>
      <c r="E19" t="s">
        <v>1429</v>
      </c>
      <c r="F19" t="s">
        <v>1429</v>
      </c>
      <c r="G19" t="s">
        <v>1429</v>
      </c>
      <c r="H19">
        <v>0</v>
      </c>
      <c r="I19" s="2">
        <v>0</v>
      </c>
      <c r="J19" s="2">
        <v>0</v>
      </c>
      <c r="K19" s="2">
        <v>2.1668800000000001E-4</v>
      </c>
      <c r="L19" s="2">
        <v>0</v>
      </c>
      <c r="M19" s="2">
        <v>0</v>
      </c>
      <c r="N19" s="2">
        <v>0</v>
      </c>
      <c r="O19" s="2">
        <v>0.31942799999999999</v>
      </c>
      <c r="P19" s="2">
        <v>4.1733300000000002E-5</v>
      </c>
      <c r="Q19" s="2">
        <v>6.9302800000000005E-4</v>
      </c>
      <c r="R19" s="2">
        <v>4.2216799999999999E-5</v>
      </c>
      <c r="S19" s="2">
        <v>1.208596E-4</v>
      </c>
      <c r="T19" s="2">
        <v>1.9053599999999999E-4</v>
      </c>
      <c r="U19" s="2">
        <v>1</v>
      </c>
      <c r="V19" s="2">
        <v>1</v>
      </c>
      <c r="W19" s="2">
        <v>1</v>
      </c>
      <c r="X19" s="2">
        <v>1</v>
      </c>
      <c r="Y19" s="2">
        <v>1</v>
      </c>
      <c r="Z19" s="2">
        <v>1</v>
      </c>
      <c r="AA19" s="2">
        <v>1</v>
      </c>
      <c r="AB19" s="2">
        <v>1</v>
      </c>
      <c r="AC19" s="2">
        <v>1</v>
      </c>
      <c r="AD19" s="2">
        <v>1</v>
      </c>
      <c r="AE19" s="69">
        <f t="shared" si="41"/>
        <v>0.4</v>
      </c>
      <c r="AF19" s="69">
        <f t="shared" si="41"/>
        <v>0.4</v>
      </c>
      <c r="AG19" s="69">
        <f t="shared" si="41"/>
        <v>0.4</v>
      </c>
      <c r="AH19" s="69">
        <f t="shared" si="41"/>
        <v>0.4</v>
      </c>
      <c r="AI19" s="69">
        <f t="shared" si="41"/>
        <v>0.4</v>
      </c>
      <c r="AJ19" s="2">
        <v>1.3318112633181101E-13</v>
      </c>
      <c r="AK19" s="2">
        <v>213</v>
      </c>
      <c r="AL19" s="2">
        <v>2.1000000000000001E-4</v>
      </c>
      <c r="AM19" s="2">
        <v>5.0000000000000001E-3</v>
      </c>
      <c r="AN19" s="2">
        <v>36</v>
      </c>
      <c r="AO19" s="2">
        <v>2.4</v>
      </c>
      <c r="AP19" s="2">
        <v>3.1</v>
      </c>
      <c r="AR19" s="104">
        <v>0.05</v>
      </c>
      <c r="AU19" s="104">
        <v>2.3E-3</v>
      </c>
      <c r="AV19" s="2">
        <v>2.4000000000000001E-4</v>
      </c>
      <c r="AW19" s="2">
        <v>2.7586206896551698E-4</v>
      </c>
      <c r="AX19" s="2">
        <v>210</v>
      </c>
      <c r="AZ19" s="2">
        <v>5203440000000</v>
      </c>
      <c r="BA19" s="3">
        <v>15</v>
      </c>
      <c r="BB19" s="3">
        <v>213</v>
      </c>
      <c r="BC19" s="69">
        <f t="shared" si="37"/>
        <v>2.6999999999999999E-5</v>
      </c>
      <c r="BD19" s="69">
        <f t="shared" si="38"/>
        <v>4.9499999999999995E-2</v>
      </c>
      <c r="BE19" s="69">
        <v>0</v>
      </c>
      <c r="BF19" s="2">
        <v>4.8611111111111103E-11</v>
      </c>
      <c r="BG19" s="69">
        <f t="shared" si="39"/>
        <v>2.7586206896551698E-4</v>
      </c>
      <c r="BH19" s="69">
        <f t="shared" si="40"/>
        <v>2.4000000000000001E-4</v>
      </c>
    </row>
    <row r="20" spans="1:60" x14ac:dyDescent="0.25">
      <c r="A20" s="3" t="s">
        <v>18</v>
      </c>
      <c r="B20" s="3" t="s">
        <v>1059</v>
      </c>
      <c r="C20" s="3"/>
      <c r="D20" t="s">
        <v>1428</v>
      </c>
      <c r="E20" t="s">
        <v>1429</v>
      </c>
      <c r="F20" t="s">
        <v>1429</v>
      </c>
      <c r="G20" t="s">
        <v>1429</v>
      </c>
      <c r="H20">
        <v>0</v>
      </c>
      <c r="I20" s="2">
        <v>0</v>
      </c>
      <c r="J20" s="2">
        <v>0</v>
      </c>
      <c r="K20" s="2">
        <v>4.8007600000000002E-4</v>
      </c>
      <c r="L20" s="2">
        <v>0</v>
      </c>
      <c r="M20" s="2">
        <v>0</v>
      </c>
      <c r="N20" s="2">
        <v>0</v>
      </c>
      <c r="O20" s="2">
        <v>0.70984000000000003</v>
      </c>
      <c r="P20" s="2">
        <v>9.2000299999999994E-5</v>
      </c>
      <c r="Q20" s="2">
        <v>1.537364E-3</v>
      </c>
      <c r="R20" s="2">
        <v>9.3399999999999993E-5</v>
      </c>
      <c r="S20" s="2">
        <v>2.6712399999999999E-4</v>
      </c>
      <c r="T20" s="2">
        <v>4.22168E-4</v>
      </c>
      <c r="U20" s="2">
        <v>1</v>
      </c>
      <c r="V20" s="2">
        <v>1</v>
      </c>
      <c r="W20" s="2">
        <v>1</v>
      </c>
      <c r="X20" s="2">
        <v>1</v>
      </c>
      <c r="Y20" s="2">
        <v>1</v>
      </c>
      <c r="Z20" s="2">
        <v>1</v>
      </c>
      <c r="AA20" s="2">
        <v>1</v>
      </c>
      <c r="AB20" s="2">
        <v>1</v>
      </c>
      <c r="AC20" s="2">
        <v>1</v>
      </c>
      <c r="AD20" s="2">
        <v>1</v>
      </c>
      <c r="AE20" s="69">
        <f t="shared" si="41"/>
        <v>0.4</v>
      </c>
      <c r="AF20" s="69">
        <f t="shared" si="41"/>
        <v>0.4</v>
      </c>
      <c r="AG20" s="69">
        <f t="shared" si="41"/>
        <v>0.4</v>
      </c>
      <c r="AH20" s="69">
        <f t="shared" si="41"/>
        <v>0.4</v>
      </c>
      <c r="AI20" s="69">
        <f t="shared" si="41"/>
        <v>0.4</v>
      </c>
      <c r="AJ20" s="2">
        <v>5.20991882293252E-12</v>
      </c>
      <c r="AK20" s="2">
        <v>214</v>
      </c>
      <c r="AL20" s="2">
        <v>2.1000000000000001E-4</v>
      </c>
      <c r="AM20" s="2">
        <v>5.0000000000000001E-3</v>
      </c>
      <c r="AN20" s="2">
        <v>36</v>
      </c>
      <c r="AO20" s="2">
        <v>2.4</v>
      </c>
      <c r="AP20" s="2">
        <v>3.1</v>
      </c>
      <c r="AR20" s="104">
        <v>0.05</v>
      </c>
      <c r="AU20" s="104">
        <v>2.3E-3</v>
      </c>
      <c r="AV20" s="2">
        <v>2.4000000000000001E-4</v>
      </c>
      <c r="AW20" s="2">
        <v>2.7586206896551698E-4</v>
      </c>
      <c r="AX20" s="2">
        <v>210</v>
      </c>
      <c r="AZ20" s="2">
        <v>133015508216.677</v>
      </c>
      <c r="BA20" s="3">
        <v>15</v>
      </c>
      <c r="BB20" s="3">
        <v>214</v>
      </c>
      <c r="BC20" s="69">
        <f t="shared" si="37"/>
        <v>2.6999999999999999E-5</v>
      </c>
      <c r="BD20" s="69">
        <f t="shared" si="38"/>
        <v>4.9499999999999995E-2</v>
      </c>
      <c r="BE20" s="69">
        <v>0</v>
      </c>
      <c r="BF20" s="2">
        <v>1.9016203703703698E-9</v>
      </c>
      <c r="BG20" s="69">
        <f t="shared" si="39"/>
        <v>2.7586206896551698E-4</v>
      </c>
      <c r="BH20" s="69">
        <f t="shared" si="40"/>
        <v>2.4000000000000001E-4</v>
      </c>
    </row>
    <row r="21" spans="1:60" x14ac:dyDescent="0.25">
      <c r="A21" s="3" t="s">
        <v>19</v>
      </c>
      <c r="B21" s="3" t="s">
        <v>1059</v>
      </c>
      <c r="C21" s="3"/>
      <c r="D21" t="s">
        <v>1428</v>
      </c>
      <c r="E21" t="s">
        <v>1429</v>
      </c>
      <c r="F21" t="s">
        <v>1429</v>
      </c>
      <c r="G21" t="s">
        <v>1429</v>
      </c>
      <c r="H21">
        <v>0</v>
      </c>
      <c r="I21" s="2">
        <v>0</v>
      </c>
      <c r="J21" s="2">
        <v>0</v>
      </c>
      <c r="K21" s="2">
        <v>9.2279199999999993E-9</v>
      </c>
      <c r="L21" s="2">
        <v>7.6199999999999999E-6</v>
      </c>
      <c r="M21" s="2">
        <v>0</v>
      </c>
      <c r="N21" s="2">
        <v>0</v>
      </c>
      <c r="O21" s="2">
        <v>4.89416E-4</v>
      </c>
      <c r="P21" s="2">
        <v>7.7738500000000008E-9</v>
      </c>
      <c r="Q21" s="2">
        <v>5.3424799999999995E-7</v>
      </c>
      <c r="R21" s="2">
        <v>4.3337599999999997E-9</v>
      </c>
      <c r="S21" s="2">
        <v>8.1071199999999996E-9</v>
      </c>
      <c r="T21" s="2">
        <v>9.2279199999999993E-9</v>
      </c>
      <c r="U21" s="2">
        <v>0.9</v>
      </c>
      <c r="V21" s="2">
        <v>0.9</v>
      </c>
      <c r="W21" s="2">
        <v>0.9</v>
      </c>
      <c r="X21" s="2">
        <v>0.9</v>
      </c>
      <c r="Y21" s="2">
        <v>0.9</v>
      </c>
      <c r="Z21" s="2">
        <v>1</v>
      </c>
      <c r="AA21" s="2">
        <v>1</v>
      </c>
      <c r="AB21" s="2">
        <v>1</v>
      </c>
      <c r="AC21" s="2">
        <v>1</v>
      </c>
      <c r="AD21" s="2">
        <v>1</v>
      </c>
      <c r="AE21" s="69">
        <f t="shared" si="41"/>
        <v>0.4</v>
      </c>
      <c r="AF21" s="69">
        <f t="shared" si="41"/>
        <v>0.4</v>
      </c>
      <c r="AG21" s="69">
        <f t="shared" si="41"/>
        <v>0.4</v>
      </c>
      <c r="AH21" s="69">
        <f t="shared" si="41"/>
        <v>0.4</v>
      </c>
      <c r="AI21" s="69">
        <f t="shared" si="41"/>
        <v>0.4</v>
      </c>
      <c r="AJ21" s="2">
        <v>5.8980213089802101E-6</v>
      </c>
      <c r="AK21" s="2">
        <v>218</v>
      </c>
      <c r="AL21" s="2">
        <v>2.1000000000000001E-4</v>
      </c>
      <c r="AM21" s="2">
        <v>5.0000000000000001E-3</v>
      </c>
      <c r="AN21" s="2">
        <v>36</v>
      </c>
      <c r="AO21" s="2">
        <v>2.4</v>
      </c>
      <c r="AP21" s="2">
        <v>3.1</v>
      </c>
      <c r="AR21" s="104">
        <v>0.05</v>
      </c>
      <c r="AU21" s="104">
        <v>2.3E-3</v>
      </c>
      <c r="AV21" s="2">
        <v>2.4000000000000001E-4</v>
      </c>
      <c r="AW21" s="2">
        <v>2.7586206896551698E-4</v>
      </c>
      <c r="AX21" s="2">
        <v>210</v>
      </c>
      <c r="AZ21" s="2">
        <v>117497.032258065</v>
      </c>
      <c r="BA21" s="3">
        <v>15</v>
      </c>
      <c r="BB21" s="3">
        <v>218</v>
      </c>
      <c r="BC21" s="69">
        <f t="shared" si="37"/>
        <v>2.6999999999999999E-5</v>
      </c>
      <c r="BD21" s="69">
        <f t="shared" si="38"/>
        <v>4.9499999999999995E-2</v>
      </c>
      <c r="BE21" s="69">
        <v>0</v>
      </c>
      <c r="BF21" s="2">
        <v>2.1527777777777799E-3</v>
      </c>
      <c r="BG21" s="69">
        <f t="shared" si="39"/>
        <v>2.7586206896551698E-4</v>
      </c>
      <c r="BH21" s="69">
        <f t="shared" si="40"/>
        <v>2.4000000000000001E-4</v>
      </c>
    </row>
    <row r="22" spans="1:60" x14ac:dyDescent="0.25">
      <c r="A22" s="3" t="s">
        <v>20</v>
      </c>
      <c r="B22" s="3" t="s">
        <v>1059</v>
      </c>
      <c r="C22" s="3"/>
      <c r="D22" t="s">
        <v>1430</v>
      </c>
      <c r="E22" t="s">
        <v>1429</v>
      </c>
      <c r="F22" t="s">
        <v>1429</v>
      </c>
      <c r="G22">
        <v>0.6</v>
      </c>
      <c r="H22">
        <v>0.02</v>
      </c>
      <c r="I22" s="2">
        <v>8.8060000000000005E-4</v>
      </c>
      <c r="J22" s="2">
        <v>8.8060000000000005E-4</v>
      </c>
      <c r="K22" s="2">
        <v>8.9103600000000008E-3</v>
      </c>
      <c r="L22" s="2">
        <v>3.1116999999999999E-2</v>
      </c>
      <c r="M22" s="2">
        <v>8.8060000000000005E-4</v>
      </c>
      <c r="N22" s="2">
        <v>3.6852E-4</v>
      </c>
      <c r="O22" s="2">
        <v>46.139600000000002</v>
      </c>
      <c r="P22" s="2">
        <v>1.2859000000000001E-2</v>
      </c>
      <c r="Q22" s="2">
        <v>0.10143240000000001</v>
      </c>
      <c r="R22" s="2">
        <v>6.4632800000000001E-3</v>
      </c>
      <c r="S22" s="2">
        <v>8.8730000000000007E-3</v>
      </c>
      <c r="T22" s="2">
        <v>8.9103600000000008E-3</v>
      </c>
      <c r="U22" s="2">
        <v>1</v>
      </c>
      <c r="V22" s="2">
        <v>1</v>
      </c>
      <c r="W22" s="2">
        <v>1</v>
      </c>
      <c r="X22" s="2">
        <v>1</v>
      </c>
      <c r="Y22" s="2">
        <v>1</v>
      </c>
      <c r="Z22" s="2">
        <v>1</v>
      </c>
      <c r="AA22" s="2">
        <v>1</v>
      </c>
      <c r="AB22" s="2">
        <v>1</v>
      </c>
      <c r="AC22" s="2">
        <v>1</v>
      </c>
      <c r="AD22" s="2">
        <v>1</v>
      </c>
      <c r="AE22" s="69">
        <f t="shared" ref="AE22:AI23" si="42">0.4*Z22</f>
        <v>0.4</v>
      </c>
      <c r="AF22" s="69">
        <f t="shared" si="42"/>
        <v>0.4</v>
      </c>
      <c r="AG22" s="69">
        <f t="shared" si="42"/>
        <v>0.4</v>
      </c>
      <c r="AH22" s="69">
        <f t="shared" si="42"/>
        <v>0.4</v>
      </c>
      <c r="AI22" s="69">
        <f t="shared" si="42"/>
        <v>0.4</v>
      </c>
      <c r="AJ22" s="2">
        <v>4.0821917808219199E-2</v>
      </c>
      <c r="AK22" s="2">
        <v>225</v>
      </c>
      <c r="AL22" s="2">
        <v>3.8000000000000002E-4</v>
      </c>
      <c r="AM22" s="2">
        <v>1.6999999999999999E-3</v>
      </c>
      <c r="AN22" s="2">
        <v>4</v>
      </c>
      <c r="AR22" s="104">
        <v>5.0000000000000001E-3</v>
      </c>
      <c r="AV22" s="2">
        <v>1.7000000000000001E-2</v>
      </c>
      <c r="AW22" s="2">
        <v>1.9540229885057499E-2</v>
      </c>
      <c r="AX22" s="2">
        <v>1</v>
      </c>
      <c r="AY22" s="2">
        <v>0.2</v>
      </c>
      <c r="AZ22" s="2">
        <v>16.976174496644301</v>
      </c>
      <c r="BA22" s="3"/>
      <c r="BB22" s="3">
        <v>225</v>
      </c>
      <c r="BC22" s="69">
        <f t="shared" ref="BC22:BC23" si="43">BE22+lambda_HL</f>
        <v>2.6999999999999999E-5</v>
      </c>
      <c r="BD22" s="69">
        <f t="shared" ref="BD22:BD23" si="44">BE22+(0.693/t_w)</f>
        <v>4.9499999999999995E-2</v>
      </c>
      <c r="BE22" s="69">
        <v>0</v>
      </c>
      <c r="BF22" s="2">
        <v>14.9</v>
      </c>
      <c r="BG22" s="69">
        <f>AW22</f>
        <v>1.9540229885057499E-2</v>
      </c>
      <c r="BH22" s="69">
        <f t="shared" ref="BH22:BH23" si="45">AV22</f>
        <v>1.7000000000000001E-2</v>
      </c>
    </row>
    <row r="23" spans="1:60" x14ac:dyDescent="0.25">
      <c r="A23" s="3" t="s">
        <v>21</v>
      </c>
      <c r="B23" s="3" t="s">
        <v>336</v>
      </c>
      <c r="C23" s="3">
        <v>1</v>
      </c>
      <c r="D23" t="s">
        <v>1430</v>
      </c>
      <c r="E23" t="s">
        <v>1429</v>
      </c>
      <c r="F23" t="s">
        <v>1429</v>
      </c>
      <c r="G23">
        <v>0.6</v>
      </c>
      <c r="H23">
        <v>0.02</v>
      </c>
      <c r="I23" s="2">
        <v>1.6761E-3</v>
      </c>
      <c r="J23" s="2">
        <v>1.6761E-3</v>
      </c>
      <c r="K23" s="2">
        <v>3.1756E-2</v>
      </c>
      <c r="L23" s="2">
        <v>3.8109999999999998E-2</v>
      </c>
      <c r="M23" s="2">
        <v>1.6761E-3</v>
      </c>
      <c r="N23" s="2">
        <v>1.036E-3</v>
      </c>
      <c r="O23" s="2">
        <v>58.094799999999999</v>
      </c>
      <c r="P23" s="2">
        <v>7.8089199999999996E-3</v>
      </c>
      <c r="Q23" s="2">
        <v>0.1277712</v>
      </c>
      <c r="R23" s="2">
        <v>7.9203199999999998E-3</v>
      </c>
      <c r="S23" s="2">
        <v>2.1855599999999999E-2</v>
      </c>
      <c r="T23" s="2">
        <v>3.10088E-2</v>
      </c>
      <c r="U23" s="2">
        <v>1</v>
      </c>
      <c r="V23" s="2">
        <v>1</v>
      </c>
      <c r="W23" s="2">
        <v>1</v>
      </c>
      <c r="X23" s="2">
        <v>1</v>
      </c>
      <c r="Y23" s="2">
        <v>1</v>
      </c>
      <c r="Z23" s="2">
        <v>1</v>
      </c>
      <c r="AA23" s="2">
        <v>1</v>
      </c>
      <c r="AB23" s="2">
        <v>1</v>
      </c>
      <c r="AC23" s="2">
        <v>1</v>
      </c>
      <c r="AD23" s="2">
        <v>1</v>
      </c>
      <c r="AE23" s="69">
        <f t="shared" si="42"/>
        <v>0.4</v>
      </c>
      <c r="AF23" s="69">
        <f t="shared" si="42"/>
        <v>0.4</v>
      </c>
      <c r="AG23" s="69">
        <f t="shared" si="42"/>
        <v>0.4</v>
      </c>
      <c r="AH23" s="69">
        <f t="shared" si="42"/>
        <v>0.4</v>
      </c>
      <c r="AI23" s="69">
        <f t="shared" si="42"/>
        <v>0.4</v>
      </c>
      <c r="AJ23" s="2">
        <v>1600</v>
      </c>
      <c r="AK23" s="2">
        <v>226</v>
      </c>
      <c r="AL23" s="2">
        <v>3.8000000000000002E-4</v>
      </c>
      <c r="AM23" s="2">
        <v>1.6999999999999999E-3</v>
      </c>
      <c r="AN23" s="2">
        <v>4</v>
      </c>
      <c r="AR23" s="104">
        <v>5.0000000000000001E-3</v>
      </c>
      <c r="AV23" s="2">
        <v>1.7000000000000001E-2</v>
      </c>
      <c r="AW23" s="2">
        <v>1.9540229885057499E-2</v>
      </c>
      <c r="AX23" s="2">
        <v>1</v>
      </c>
      <c r="AY23" s="2">
        <v>0.2</v>
      </c>
      <c r="AZ23" s="2">
        <v>4.3312500000000002E-4</v>
      </c>
      <c r="BA23" s="3">
        <v>5</v>
      </c>
      <c r="BB23" s="3">
        <v>226</v>
      </c>
      <c r="BC23" s="69">
        <f t="shared" si="43"/>
        <v>2.6999999999999999E-5</v>
      </c>
      <c r="BD23" s="69">
        <f t="shared" si="44"/>
        <v>4.9499999999999995E-2</v>
      </c>
      <c r="BE23" s="69">
        <v>0</v>
      </c>
      <c r="BF23" s="2">
        <v>584000</v>
      </c>
      <c r="BG23" s="69">
        <f t="shared" ref="BG23" si="46">AW23</f>
        <v>1.9540229885057499E-2</v>
      </c>
      <c r="BH23" s="69">
        <f t="shared" si="45"/>
        <v>1.7000000000000001E-2</v>
      </c>
    </row>
    <row r="24" spans="1:60" x14ac:dyDescent="0.25">
      <c r="A24" s="3" t="s">
        <v>22</v>
      </c>
      <c r="B24" s="3" t="s">
        <v>1059</v>
      </c>
      <c r="C24" s="3"/>
      <c r="D24" t="s">
        <v>1428</v>
      </c>
      <c r="E24" t="s">
        <v>1429</v>
      </c>
      <c r="F24" t="s">
        <v>1429</v>
      </c>
      <c r="G24" t="s">
        <v>1429</v>
      </c>
      <c r="H24">
        <v>0</v>
      </c>
      <c r="I24" s="2">
        <v>0</v>
      </c>
      <c r="J24" s="2">
        <v>0</v>
      </c>
      <c r="K24" s="2">
        <v>4.2590400000000004E-3</v>
      </c>
      <c r="L24" s="2">
        <v>0</v>
      </c>
      <c r="M24" s="2">
        <v>0</v>
      </c>
      <c r="N24" s="2">
        <v>0</v>
      </c>
      <c r="O24" s="2">
        <v>6.3512000000000004</v>
      </c>
      <c r="P24" s="2">
        <v>8.4635600000000004E-4</v>
      </c>
      <c r="Q24" s="2">
        <v>1.3804520000000001E-2</v>
      </c>
      <c r="R24" s="2">
        <v>8.57412E-4</v>
      </c>
      <c r="S24" s="2">
        <v>2.4470799999999999E-3</v>
      </c>
      <c r="T24" s="2">
        <v>3.8107200000000001E-3</v>
      </c>
      <c r="U24" s="2">
        <v>1</v>
      </c>
      <c r="V24" s="2">
        <v>1</v>
      </c>
      <c r="W24" s="2">
        <v>1</v>
      </c>
      <c r="X24" s="2">
        <v>1</v>
      </c>
      <c r="Y24" s="2">
        <v>1</v>
      </c>
      <c r="Z24" s="2">
        <v>1</v>
      </c>
      <c r="AA24" s="2">
        <v>1</v>
      </c>
      <c r="AB24" s="2">
        <v>1</v>
      </c>
      <c r="AC24" s="2">
        <v>1</v>
      </c>
      <c r="AD24" s="2">
        <v>1</v>
      </c>
      <c r="AE24" s="69">
        <f t="shared" ref="AE24:AI25" si="47">0.4*Z24</f>
        <v>0.4</v>
      </c>
      <c r="AF24" s="69">
        <f t="shared" si="47"/>
        <v>0.4</v>
      </c>
      <c r="AG24" s="69">
        <f t="shared" si="47"/>
        <v>0.4</v>
      </c>
      <c r="AH24" s="69">
        <f t="shared" si="47"/>
        <v>0.4</v>
      </c>
      <c r="AI24" s="69">
        <f t="shared" si="47"/>
        <v>0.4</v>
      </c>
      <c r="AJ24" s="2">
        <v>1.1098427194317601E-9</v>
      </c>
      <c r="AK24" s="2">
        <v>218</v>
      </c>
      <c r="AL24" s="2">
        <v>0</v>
      </c>
      <c r="AM24" s="2">
        <v>0</v>
      </c>
      <c r="AN24" s="2">
        <v>0</v>
      </c>
      <c r="AV24" s="2">
        <v>0</v>
      </c>
      <c r="AW24" s="2">
        <v>0</v>
      </c>
      <c r="AX24" s="2">
        <v>0</v>
      </c>
      <c r="AZ24" s="2">
        <v>624412800</v>
      </c>
      <c r="BA24" s="3"/>
      <c r="BB24" s="3">
        <v>218</v>
      </c>
      <c r="BC24" s="69">
        <f t="shared" ref="BC24:BC25" si="48">BE24+lambda_HL</f>
        <v>2.6999999999999999E-5</v>
      </c>
      <c r="BD24" s="69">
        <f t="shared" ref="BD24:BD25" si="49">BE24+(0.693/t_w)</f>
        <v>4.9499999999999995E-2</v>
      </c>
      <c r="BE24" s="69">
        <v>0</v>
      </c>
      <c r="BF24" s="2">
        <v>4.05092592592593E-7</v>
      </c>
      <c r="BG24" s="69">
        <f t="shared" ref="BG24:BG25" si="50">AW24</f>
        <v>0</v>
      </c>
      <c r="BH24" s="69">
        <f t="shared" ref="BH24:BH25" si="51">AV24</f>
        <v>0</v>
      </c>
    </row>
    <row r="25" spans="1:60" x14ac:dyDescent="0.25">
      <c r="A25" s="3" t="s">
        <v>23</v>
      </c>
      <c r="B25" s="3" t="s">
        <v>336</v>
      </c>
      <c r="C25" s="3">
        <v>1</v>
      </c>
      <c r="D25" t="s">
        <v>1428</v>
      </c>
      <c r="E25" t="s">
        <v>1429</v>
      </c>
      <c r="F25" t="s">
        <v>1429</v>
      </c>
      <c r="G25" t="s">
        <v>1429</v>
      </c>
      <c r="H25">
        <v>0</v>
      </c>
      <c r="I25" s="2">
        <v>0</v>
      </c>
      <c r="J25" s="2">
        <v>0</v>
      </c>
      <c r="K25" s="2">
        <v>2.1295200000000002E-3</v>
      </c>
      <c r="L25" s="2">
        <v>6.55E-6</v>
      </c>
      <c r="M25" s="2">
        <v>0</v>
      </c>
      <c r="N25" s="2">
        <v>0</v>
      </c>
      <c r="O25" s="2">
        <v>3.2316400000000001</v>
      </c>
      <c r="P25" s="2">
        <v>4.3486799999999998E-4</v>
      </c>
      <c r="Q25" s="2">
        <v>7.02368E-3</v>
      </c>
      <c r="R25" s="2">
        <v>4.4084799999999998E-4</v>
      </c>
      <c r="S25" s="2">
        <v>1.2571640000000001E-3</v>
      </c>
      <c r="T25" s="2">
        <v>1.94272E-3</v>
      </c>
      <c r="U25" s="2">
        <v>1</v>
      </c>
      <c r="V25" s="2">
        <v>1</v>
      </c>
      <c r="W25" s="2">
        <v>1</v>
      </c>
      <c r="X25" s="2">
        <v>1</v>
      </c>
      <c r="Y25" s="2">
        <v>1</v>
      </c>
      <c r="Z25" s="2">
        <v>1</v>
      </c>
      <c r="AA25" s="2">
        <v>1</v>
      </c>
      <c r="AB25" s="2">
        <v>1</v>
      </c>
      <c r="AC25" s="2">
        <v>1</v>
      </c>
      <c r="AD25" s="2">
        <v>1</v>
      </c>
      <c r="AE25" s="69">
        <f t="shared" si="47"/>
        <v>0.4</v>
      </c>
      <c r="AF25" s="69">
        <f t="shared" si="47"/>
        <v>0.4</v>
      </c>
      <c r="AG25" s="69">
        <f t="shared" si="47"/>
        <v>0.4</v>
      </c>
      <c r="AH25" s="69">
        <f t="shared" si="47"/>
        <v>0.4</v>
      </c>
      <c r="AI25" s="69">
        <f t="shared" si="47"/>
        <v>0.4</v>
      </c>
      <c r="AJ25" s="2">
        <v>1.04753424657534E-2</v>
      </c>
      <c r="AK25" s="2">
        <v>222</v>
      </c>
      <c r="AL25" s="2">
        <v>0</v>
      </c>
      <c r="AM25" s="2">
        <v>0</v>
      </c>
      <c r="AN25" s="2">
        <v>0</v>
      </c>
      <c r="AV25" s="2">
        <v>0</v>
      </c>
      <c r="AW25" s="2">
        <v>0</v>
      </c>
      <c r="AX25" s="2">
        <v>0</v>
      </c>
      <c r="AZ25" s="2">
        <v>66.155355041192607</v>
      </c>
      <c r="BA25" s="3"/>
      <c r="BB25" s="3">
        <v>222</v>
      </c>
      <c r="BC25" s="69">
        <f t="shared" si="48"/>
        <v>2.6999999999999999E-5</v>
      </c>
      <c r="BD25" s="69">
        <f t="shared" si="49"/>
        <v>4.9499999999999995E-2</v>
      </c>
      <c r="BE25" s="69">
        <v>0</v>
      </c>
      <c r="BF25" s="2">
        <v>3.8235000000000001</v>
      </c>
      <c r="BG25" s="69">
        <f t="shared" si="50"/>
        <v>0</v>
      </c>
      <c r="BH25" s="69">
        <f t="shared" si="51"/>
        <v>0</v>
      </c>
    </row>
    <row r="26" spans="1:60" x14ac:dyDescent="0.25">
      <c r="A26" s="3" t="s">
        <v>24</v>
      </c>
      <c r="B26" s="3" t="s">
        <v>1059</v>
      </c>
      <c r="C26" s="3"/>
      <c r="D26" t="s">
        <v>1430</v>
      </c>
      <c r="E26" t="s">
        <v>1429</v>
      </c>
      <c r="F26" t="s">
        <v>1429</v>
      </c>
      <c r="G26">
        <v>5.0000000000000001E-3</v>
      </c>
      <c r="H26">
        <v>5.0000000000000001E-3</v>
      </c>
      <c r="I26" s="2">
        <v>2.2533000000000002E-3</v>
      </c>
      <c r="J26" s="2">
        <v>2.2533000000000002E-3</v>
      </c>
      <c r="K26" s="2">
        <v>0.28767199999999998</v>
      </c>
      <c r="L26" s="2">
        <v>0.27934999999999999</v>
      </c>
      <c r="M26" s="2">
        <v>2.2533000000000002E-3</v>
      </c>
      <c r="N26" s="2">
        <v>1.8462999999999999E-3</v>
      </c>
      <c r="O26" s="2">
        <v>620.17600000000004</v>
      </c>
      <c r="P26" s="2">
        <v>9.0597499999999997E-2</v>
      </c>
      <c r="Q26" s="2">
        <v>1.38232</v>
      </c>
      <c r="R26" s="2">
        <v>8.5741200000000004E-2</v>
      </c>
      <c r="S26" s="2">
        <v>0.218556</v>
      </c>
      <c r="T26" s="2">
        <v>0.28393600000000002</v>
      </c>
      <c r="U26" s="2">
        <v>1</v>
      </c>
      <c r="V26" s="2">
        <v>1</v>
      </c>
      <c r="W26" s="2">
        <v>1</v>
      </c>
      <c r="X26" s="2">
        <v>1</v>
      </c>
      <c r="Y26" s="2">
        <v>1</v>
      </c>
      <c r="Z26" s="2">
        <v>1</v>
      </c>
      <c r="AA26" s="2">
        <v>1</v>
      </c>
      <c r="AB26" s="2">
        <v>1</v>
      </c>
      <c r="AC26" s="2">
        <v>1</v>
      </c>
      <c r="AD26" s="2">
        <v>1</v>
      </c>
      <c r="AE26" s="69">
        <f t="shared" ref="AE26:AI26" si="52">0.4*Z26</f>
        <v>0.4</v>
      </c>
      <c r="AF26" s="69">
        <f t="shared" si="52"/>
        <v>0.4</v>
      </c>
      <c r="AG26" s="69">
        <f t="shared" si="52"/>
        <v>0.4</v>
      </c>
      <c r="AH26" s="69">
        <f t="shared" si="52"/>
        <v>0.4</v>
      </c>
      <c r="AI26" s="69">
        <f t="shared" si="52"/>
        <v>0.4</v>
      </c>
      <c r="AJ26" s="2">
        <v>7340</v>
      </c>
      <c r="AK26" s="2">
        <v>229</v>
      </c>
      <c r="AL26" s="2">
        <v>5.0000000000000004E-6</v>
      </c>
      <c r="AM26" s="2">
        <v>2.3000000000000001E-4</v>
      </c>
      <c r="AN26" s="2">
        <v>6</v>
      </c>
      <c r="AR26" s="104">
        <v>1E-3</v>
      </c>
      <c r="AV26" s="2">
        <v>2.0999999999999999E-3</v>
      </c>
      <c r="AW26" s="2">
        <v>2.4137931034482799E-3</v>
      </c>
      <c r="AX26" s="2">
        <v>20</v>
      </c>
      <c r="AY26" s="2">
        <v>5.0000000000000001E-4</v>
      </c>
      <c r="AZ26" s="2">
        <v>9.4414168937329696E-5</v>
      </c>
      <c r="BA26" s="3">
        <v>15</v>
      </c>
      <c r="BB26" s="3">
        <v>229</v>
      </c>
      <c r="BC26" s="69">
        <f t="shared" ref="BC26" si="53">BE26+lambda_HL</f>
        <v>2.6999999999999999E-5</v>
      </c>
      <c r="BD26" s="69">
        <f t="shared" ref="BD26" si="54">BE26+(0.693/t_w)</f>
        <v>4.9499999999999995E-2</v>
      </c>
      <c r="BE26" s="69">
        <v>0</v>
      </c>
      <c r="BF26" s="2">
        <v>2679100</v>
      </c>
      <c r="BG26" s="69">
        <f t="shared" ref="BG26" si="55">AW26</f>
        <v>2.4137931034482799E-3</v>
      </c>
      <c r="BH26" s="69">
        <f t="shared" ref="BH26" si="56">AV26</f>
        <v>2.0999999999999999E-3</v>
      </c>
    </row>
    <row r="27" spans="1:60" x14ac:dyDescent="0.25">
      <c r="A27" s="3" t="s">
        <v>25</v>
      </c>
      <c r="B27" s="3" t="s">
        <v>1059</v>
      </c>
      <c r="C27" s="3"/>
      <c r="D27" t="s">
        <v>1428</v>
      </c>
      <c r="E27" t="s">
        <v>1429</v>
      </c>
      <c r="F27" t="s">
        <v>1429</v>
      </c>
      <c r="G27" t="s">
        <v>1429</v>
      </c>
      <c r="H27">
        <v>0</v>
      </c>
      <c r="I27" s="2">
        <v>0</v>
      </c>
      <c r="J27" s="2">
        <v>0</v>
      </c>
      <c r="K27" s="2">
        <v>1.2777119999999999E-2</v>
      </c>
      <c r="L27" s="2">
        <v>0</v>
      </c>
      <c r="M27" s="2">
        <v>0</v>
      </c>
      <c r="N27" s="2">
        <v>0</v>
      </c>
      <c r="O27" s="2">
        <v>74.159599999999998</v>
      </c>
      <c r="P27" s="2">
        <v>7.1542800000000004E-2</v>
      </c>
      <c r="Q27" s="2">
        <v>8.8730000000000003E-2</v>
      </c>
      <c r="R27" s="2">
        <v>7.58408E-3</v>
      </c>
      <c r="S27" s="2">
        <v>1.057288E-2</v>
      </c>
      <c r="T27" s="2">
        <v>1.245956E-2</v>
      </c>
      <c r="U27" s="2">
        <v>1</v>
      </c>
      <c r="V27" s="2">
        <v>1</v>
      </c>
      <c r="W27" s="2">
        <v>1</v>
      </c>
      <c r="X27" s="2">
        <v>1</v>
      </c>
      <c r="Y27" s="2">
        <v>1</v>
      </c>
      <c r="Z27" s="2">
        <v>1</v>
      </c>
      <c r="AA27" s="2">
        <v>1</v>
      </c>
      <c r="AB27" s="2">
        <v>1</v>
      </c>
      <c r="AC27" s="2">
        <v>1</v>
      </c>
      <c r="AD27" s="2">
        <v>1</v>
      </c>
      <c r="AE27" s="69">
        <f t="shared" ref="AE27:AI30" si="57">0.4*Z27</f>
        <v>0.4</v>
      </c>
      <c r="AF27" s="69">
        <f t="shared" si="57"/>
        <v>0.4</v>
      </c>
      <c r="AG27" s="69">
        <f t="shared" si="57"/>
        <v>0.4</v>
      </c>
      <c r="AH27" s="69">
        <f t="shared" si="57"/>
        <v>0.4</v>
      </c>
      <c r="AI27" s="69">
        <f t="shared" si="57"/>
        <v>0.4</v>
      </c>
      <c r="AJ27" s="2">
        <v>7.9908675799086794E-6</v>
      </c>
      <c r="AK27" s="2">
        <v>206</v>
      </c>
      <c r="AL27" s="2">
        <v>3.0000000000000001E-3</v>
      </c>
      <c r="AM27" s="2">
        <v>0.02</v>
      </c>
      <c r="AN27" s="2">
        <v>900</v>
      </c>
      <c r="AR27" s="104">
        <v>0.4</v>
      </c>
      <c r="AV27" s="2">
        <v>0.2</v>
      </c>
      <c r="AW27" s="2">
        <v>0.6</v>
      </c>
      <c r="AX27" s="2">
        <v>1500</v>
      </c>
      <c r="AZ27" s="2">
        <v>86724</v>
      </c>
      <c r="BA27" s="3"/>
      <c r="BB27" s="3">
        <v>206</v>
      </c>
      <c r="BC27" s="69">
        <f t="shared" ref="BC27:BC30" si="58">BE27+lambda_HL</f>
        <v>2.6999999999999999E-5</v>
      </c>
      <c r="BD27" s="69">
        <f t="shared" ref="BD27:BD30" si="59">BE27+(0.693/t_w)</f>
        <v>4.9499999999999995E-2</v>
      </c>
      <c r="BE27" s="69">
        <v>0</v>
      </c>
      <c r="BF27" s="2">
        <v>2.9166666666666698E-3</v>
      </c>
      <c r="BG27" s="69">
        <f t="shared" ref="BG27:BG30" si="60">AW27</f>
        <v>0.6</v>
      </c>
      <c r="BH27" s="69">
        <f t="shared" ref="BH27:BH30" si="61">AV27</f>
        <v>0.2</v>
      </c>
    </row>
    <row r="28" spans="1:60" x14ac:dyDescent="0.25">
      <c r="A28" s="3" t="s">
        <v>26</v>
      </c>
      <c r="B28" s="3" t="s">
        <v>1059</v>
      </c>
      <c r="C28" s="3"/>
      <c r="D28" t="s">
        <v>1428</v>
      </c>
      <c r="E28" t="s">
        <v>1429</v>
      </c>
      <c r="F28" t="s">
        <v>1429</v>
      </c>
      <c r="G28" t="s">
        <v>1429</v>
      </c>
      <c r="H28">
        <v>0</v>
      </c>
      <c r="I28" s="2">
        <v>0</v>
      </c>
      <c r="J28" s="2">
        <v>0</v>
      </c>
      <c r="K28" s="2">
        <v>12.870520000000001</v>
      </c>
      <c r="L28" s="2">
        <v>0</v>
      </c>
      <c r="M28" s="2">
        <v>0</v>
      </c>
      <c r="N28" s="2">
        <v>0</v>
      </c>
      <c r="O28" s="2">
        <v>19053.599999999999</v>
      </c>
      <c r="P28" s="2">
        <v>2.36138</v>
      </c>
      <c r="Q28" s="2">
        <v>41.095999999999997</v>
      </c>
      <c r="R28" s="2">
        <v>2.3536800000000002</v>
      </c>
      <c r="S28" s="2">
        <v>6.7621599999999997</v>
      </c>
      <c r="T28" s="2">
        <v>10.815720000000001</v>
      </c>
      <c r="U28" s="2">
        <v>1</v>
      </c>
      <c r="V28" s="2">
        <v>1</v>
      </c>
      <c r="W28" s="2">
        <v>1</v>
      </c>
      <c r="X28" s="2">
        <v>1</v>
      </c>
      <c r="Y28" s="2">
        <v>1</v>
      </c>
      <c r="Z28" s="2">
        <v>1</v>
      </c>
      <c r="AA28" s="2">
        <v>1</v>
      </c>
      <c r="AB28" s="2">
        <v>1</v>
      </c>
      <c r="AC28" s="2">
        <v>1</v>
      </c>
      <c r="AD28" s="2">
        <v>1</v>
      </c>
      <c r="AE28" s="69">
        <f t="shared" si="57"/>
        <v>0.4</v>
      </c>
      <c r="AF28" s="69">
        <f t="shared" si="57"/>
        <v>0.4</v>
      </c>
      <c r="AG28" s="69">
        <f t="shared" si="57"/>
        <v>0.4</v>
      </c>
      <c r="AH28" s="69">
        <f t="shared" si="57"/>
        <v>0.4</v>
      </c>
      <c r="AI28" s="69">
        <f t="shared" si="57"/>
        <v>0.4</v>
      </c>
      <c r="AJ28" s="2">
        <v>4.1114916286149197E-6</v>
      </c>
      <c r="AK28" s="2">
        <v>209</v>
      </c>
      <c r="AL28" s="2">
        <v>3.0000000000000001E-3</v>
      </c>
      <c r="AM28" s="2">
        <v>0.02</v>
      </c>
      <c r="AN28" s="2">
        <v>900</v>
      </c>
      <c r="AR28" s="104">
        <v>0.4</v>
      </c>
      <c r="AV28" s="2">
        <v>0.2</v>
      </c>
      <c r="AW28" s="2">
        <v>0.6</v>
      </c>
      <c r="AX28" s="2">
        <v>1500</v>
      </c>
      <c r="AZ28" s="2">
        <v>168551.966682092</v>
      </c>
      <c r="BA28" s="3"/>
      <c r="BB28" s="3">
        <v>209</v>
      </c>
      <c r="BC28" s="69">
        <f t="shared" si="58"/>
        <v>2.6999999999999999E-5</v>
      </c>
      <c r="BD28" s="69">
        <f t="shared" si="59"/>
        <v>4.9499999999999995E-2</v>
      </c>
      <c r="BE28" s="69">
        <v>0</v>
      </c>
      <c r="BF28" s="2">
        <v>1.5006944444444399E-3</v>
      </c>
      <c r="BG28" s="69">
        <f t="shared" si="60"/>
        <v>0.6</v>
      </c>
      <c r="BH28" s="69">
        <f t="shared" si="61"/>
        <v>0.2</v>
      </c>
    </row>
    <row r="29" spans="1:60" x14ac:dyDescent="0.25">
      <c r="A29" s="3" t="s">
        <v>27</v>
      </c>
      <c r="B29" s="3" t="s">
        <v>1059</v>
      </c>
      <c r="C29" s="3"/>
      <c r="D29" t="s">
        <v>1428</v>
      </c>
      <c r="E29" t="s">
        <v>1429</v>
      </c>
      <c r="F29" t="s">
        <v>1429</v>
      </c>
      <c r="G29" t="s">
        <v>1429</v>
      </c>
      <c r="H29">
        <v>0</v>
      </c>
      <c r="I29" s="2">
        <v>0</v>
      </c>
      <c r="J29" s="2">
        <v>0</v>
      </c>
      <c r="K29" s="2">
        <v>16.774640000000002</v>
      </c>
      <c r="L29" s="2">
        <v>0</v>
      </c>
      <c r="M29" s="2">
        <v>0</v>
      </c>
      <c r="N29" s="2">
        <v>0</v>
      </c>
      <c r="O29" s="2">
        <v>24657.599999999999</v>
      </c>
      <c r="P29" s="2">
        <v>3.08616</v>
      </c>
      <c r="Q29" s="2">
        <v>53.238</v>
      </c>
      <c r="R29" s="2">
        <v>3.06352</v>
      </c>
      <c r="S29" s="2">
        <v>8.7982800000000001</v>
      </c>
      <c r="T29" s="2">
        <v>14.14076</v>
      </c>
      <c r="U29" s="2">
        <v>1</v>
      </c>
      <c r="V29" s="2">
        <v>1</v>
      </c>
      <c r="W29" s="2">
        <v>1</v>
      </c>
      <c r="X29" s="2">
        <v>1</v>
      </c>
      <c r="Y29" s="2">
        <v>1</v>
      </c>
      <c r="Z29" s="2">
        <v>1</v>
      </c>
      <c r="AA29" s="2">
        <v>1</v>
      </c>
      <c r="AB29" s="2">
        <v>1</v>
      </c>
      <c r="AC29" s="2">
        <v>1</v>
      </c>
      <c r="AD29" s="2">
        <v>1</v>
      </c>
      <c r="AE29" s="69">
        <f t="shared" si="57"/>
        <v>0.4</v>
      </c>
      <c r="AF29" s="69">
        <f t="shared" si="57"/>
        <v>0.4</v>
      </c>
      <c r="AG29" s="69">
        <f t="shared" si="57"/>
        <v>0.4</v>
      </c>
      <c r="AH29" s="69">
        <f t="shared" si="57"/>
        <v>0.4</v>
      </c>
      <c r="AI29" s="69">
        <f t="shared" si="57"/>
        <v>0.4</v>
      </c>
      <c r="AJ29" s="2">
        <v>2.4733637747336398E-6</v>
      </c>
      <c r="AK29" s="2">
        <v>210</v>
      </c>
      <c r="AL29" s="2">
        <v>3.0000000000000001E-3</v>
      </c>
      <c r="AM29" s="2">
        <v>0.02</v>
      </c>
      <c r="AN29" s="2">
        <v>900</v>
      </c>
      <c r="AR29" s="104">
        <v>0.4</v>
      </c>
      <c r="AV29" s="2">
        <v>0.2</v>
      </c>
      <c r="AW29" s="2">
        <v>0.6</v>
      </c>
      <c r="AX29" s="2">
        <v>1500</v>
      </c>
      <c r="AZ29" s="2">
        <v>280185.23076923098</v>
      </c>
      <c r="BA29" s="3"/>
      <c r="BB29" s="3">
        <v>210</v>
      </c>
      <c r="BC29" s="69">
        <f t="shared" si="58"/>
        <v>2.6999999999999999E-5</v>
      </c>
      <c r="BD29" s="69">
        <f t="shared" si="59"/>
        <v>4.9499999999999995E-2</v>
      </c>
      <c r="BE29" s="69">
        <v>0</v>
      </c>
      <c r="BF29" s="2">
        <v>9.0277777777777795E-4</v>
      </c>
      <c r="BG29" s="69">
        <f t="shared" si="60"/>
        <v>0.6</v>
      </c>
      <c r="BH29" s="69">
        <f t="shared" si="61"/>
        <v>0.2</v>
      </c>
    </row>
    <row r="30" spans="1:60" x14ac:dyDescent="0.25">
      <c r="A30" s="3" t="s">
        <v>28</v>
      </c>
      <c r="B30" s="3" t="s">
        <v>1059</v>
      </c>
      <c r="C30" s="3"/>
      <c r="D30" t="s">
        <v>1430</v>
      </c>
      <c r="E30" t="s">
        <v>1429</v>
      </c>
      <c r="F30" t="s">
        <v>1429</v>
      </c>
      <c r="G30">
        <v>0.04</v>
      </c>
      <c r="H30">
        <v>0.02</v>
      </c>
      <c r="I30" s="2">
        <v>2.2274E-4</v>
      </c>
      <c r="J30" s="2">
        <v>2.2274E-4</v>
      </c>
      <c r="K30" s="2">
        <v>9.1905600000000002E-4</v>
      </c>
      <c r="L30" s="2">
        <v>3.8109999999999998E-2</v>
      </c>
      <c r="M30" s="2">
        <v>2.2274E-4</v>
      </c>
      <c r="N30" s="2">
        <v>1.8944E-4</v>
      </c>
      <c r="O30" s="2">
        <v>1.9800800000000001</v>
      </c>
      <c r="P30" s="2">
        <v>5.5644400000000001E-4</v>
      </c>
      <c r="Q30" s="2">
        <v>4.3898000000000001E-3</v>
      </c>
      <c r="R30" s="2">
        <v>2.7085999999999999E-4</v>
      </c>
      <c r="S30" s="2">
        <v>6.5566799999999998E-4</v>
      </c>
      <c r="T30" s="2">
        <v>8.8916799999999997E-4</v>
      </c>
      <c r="U30" s="2">
        <v>1</v>
      </c>
      <c r="V30" s="2">
        <v>1</v>
      </c>
      <c r="W30" s="2">
        <v>1</v>
      </c>
      <c r="X30" s="2">
        <v>1</v>
      </c>
      <c r="Y30" s="2">
        <v>1</v>
      </c>
      <c r="Z30" s="2">
        <v>1</v>
      </c>
      <c r="AA30" s="2">
        <v>1</v>
      </c>
      <c r="AB30" s="2">
        <v>1</v>
      </c>
      <c r="AC30" s="2">
        <v>1</v>
      </c>
      <c r="AD30" s="2">
        <v>1</v>
      </c>
      <c r="AE30" s="69">
        <f t="shared" si="57"/>
        <v>0.4</v>
      </c>
      <c r="AF30" s="69">
        <f t="shared" si="57"/>
        <v>0.4</v>
      </c>
      <c r="AG30" s="69">
        <f t="shared" si="57"/>
        <v>0.4</v>
      </c>
      <c r="AH30" s="69">
        <f t="shared" si="57"/>
        <v>0.4</v>
      </c>
      <c r="AI30" s="69">
        <f t="shared" si="57"/>
        <v>0.4</v>
      </c>
      <c r="AJ30" s="2">
        <v>159200</v>
      </c>
      <c r="AK30" s="2">
        <v>233</v>
      </c>
      <c r="AL30" s="2">
        <v>1.8E-3</v>
      </c>
      <c r="AM30" s="2">
        <v>3.8999999999999999E-4</v>
      </c>
      <c r="AN30" s="2">
        <v>0.96</v>
      </c>
      <c r="AO30" s="2">
        <v>0.75</v>
      </c>
      <c r="AP30" s="2">
        <v>1.1000000000000001</v>
      </c>
      <c r="AQ30" s="2">
        <v>4.3999999999999997E-2</v>
      </c>
      <c r="AR30" s="104">
        <v>2E-3</v>
      </c>
      <c r="AU30" s="104">
        <v>1.4E-3</v>
      </c>
      <c r="AV30" s="2">
        <v>6.1999999999999998E-3</v>
      </c>
      <c r="AW30" s="2">
        <v>7.1264367816091896E-3</v>
      </c>
      <c r="AX30" s="2">
        <v>0.4</v>
      </c>
      <c r="AY30" s="2">
        <v>0.02</v>
      </c>
      <c r="AZ30" s="2">
        <v>4.3530150753768799E-6</v>
      </c>
      <c r="BA30" s="3">
        <v>289207.91735594597</v>
      </c>
      <c r="BB30" s="3">
        <v>233</v>
      </c>
      <c r="BC30" s="69">
        <f t="shared" si="58"/>
        <v>2.6999999999999999E-5</v>
      </c>
      <c r="BD30" s="69">
        <f t="shared" si="59"/>
        <v>4.9499999999999995E-2</v>
      </c>
      <c r="BE30" s="69">
        <v>0</v>
      </c>
      <c r="BF30" s="2">
        <v>58108000</v>
      </c>
      <c r="BG30" s="69">
        <f t="shared" si="60"/>
        <v>7.1264367816091896E-3</v>
      </c>
      <c r="BH30" s="69">
        <f t="shared" si="61"/>
        <v>6.1999999999999998E-3</v>
      </c>
    </row>
  </sheetData>
  <sheetProtection algorithmName="SHA-512" hashValue="TCbHPjtH8JeiLyo4+K39nTiTlYbl5qV0zrO9kkWlq2h73Re6/O6R2YnT6+W7xPyklHErXf9r9bV24eGhiEyp4g==" saltValue="pzcxiV+bLyC6M2X01IfNaA==" spinCount="100000" sheet="1" objects="1" scenarios="1" formatColumns="0" formatRows="0" autoFilter="0"/>
  <autoFilter ref="A1:BH30" xr:uid="{00000000-0009-0000-0000-000000000000}"/>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9" tint="-0.499984740745262"/>
  </sheetPr>
  <dimension ref="A1:AP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4.5703125" style="2" bestFit="1" customWidth="1"/>
    <col min="2" max="2" width="10.7109375" style="2" bestFit="1" customWidth="1"/>
    <col min="3" max="3" width="12.85546875" style="2" bestFit="1" customWidth="1"/>
    <col min="4" max="4" width="13" style="2" bestFit="1" customWidth="1"/>
    <col min="5" max="5" width="12.85546875" style="2" bestFit="1" customWidth="1"/>
    <col min="6" max="6" width="17.140625" style="2" bestFit="1" customWidth="1"/>
    <col min="7" max="7" width="14.7109375" style="2" bestFit="1" customWidth="1"/>
    <col min="8" max="8" width="12.85546875" style="2" bestFit="1" customWidth="1"/>
    <col min="9" max="11" width="13.140625" style="2" bestFit="1" customWidth="1"/>
    <col min="12" max="12" width="17" style="2" bestFit="1" customWidth="1"/>
    <col min="13" max="13" width="13.5703125" style="2" bestFit="1" customWidth="1"/>
    <col min="14" max="14" width="12" style="2" bestFit="1" customWidth="1"/>
    <col min="15" max="16" width="13.85546875" style="2" bestFit="1" customWidth="1"/>
    <col min="17" max="17" width="14.7109375" style="2" bestFit="1" customWidth="1"/>
    <col min="18" max="19" width="12.28515625" style="2" bestFit="1" customWidth="1"/>
    <col min="20" max="21" width="14" style="2" bestFit="1" customWidth="1"/>
    <col min="22" max="22" width="15" style="2" bestFit="1" customWidth="1"/>
    <col min="23" max="23" width="12.7109375" style="2" bestFit="1" customWidth="1"/>
    <col min="24" max="24" width="12.28515625" style="2" bestFit="1" customWidth="1"/>
    <col min="25" max="25" width="12.5703125" style="2" bestFit="1" customWidth="1"/>
    <col min="26" max="26" width="12.140625" style="2" bestFit="1" customWidth="1"/>
    <col min="27" max="27" width="12.5703125" style="2" bestFit="1" customWidth="1"/>
    <col min="28" max="28" width="12.85546875" style="2" bestFit="1" customWidth="1"/>
    <col min="29" max="29" width="13" style="2" bestFit="1" customWidth="1"/>
    <col min="30" max="30" width="12.7109375" style="2" bestFit="1" customWidth="1"/>
    <col min="31" max="31" width="12.85546875" style="2" bestFit="1" customWidth="1"/>
    <col min="32" max="32" width="14" style="2" bestFit="1" customWidth="1"/>
    <col min="33" max="33" width="17" style="2" bestFit="1" customWidth="1"/>
    <col min="34" max="34" width="12.7109375" style="2" bestFit="1" customWidth="1"/>
    <col min="35" max="36" width="13.140625" style="2" bestFit="1" customWidth="1"/>
    <col min="37" max="37" width="14.28515625" style="2" bestFit="1" customWidth="1"/>
    <col min="38" max="38" width="17" style="2" bestFit="1" customWidth="1"/>
    <col min="39" max="39" width="13.5703125" style="2" bestFit="1" customWidth="1"/>
    <col min="40" max="40" width="12.5703125" style="2" bestFit="1" customWidth="1"/>
    <col min="41" max="41" width="12.85546875" style="2" bestFit="1" customWidth="1"/>
    <col min="42" max="42" width="13.28515625" style="2" bestFit="1" customWidth="1"/>
    <col min="43" max="16384" width="9.140625" style="2"/>
  </cols>
  <sheetData>
    <row r="1" spans="1:42" x14ac:dyDescent="0.25">
      <c r="A1" s="140" t="s">
        <v>39</v>
      </c>
      <c r="B1" s="140" t="s">
        <v>335</v>
      </c>
      <c r="C1" s="141" t="s">
        <v>1146</v>
      </c>
      <c r="D1" s="141" t="s">
        <v>1147</v>
      </c>
      <c r="E1" s="141" t="s">
        <v>1148</v>
      </c>
      <c r="F1" s="141" t="s">
        <v>1152</v>
      </c>
      <c r="G1" s="141" t="s">
        <v>1180</v>
      </c>
      <c r="H1" s="141" t="s">
        <v>1149</v>
      </c>
      <c r="I1" s="144" t="s">
        <v>1202</v>
      </c>
      <c r="J1" s="144" t="s">
        <v>1203</v>
      </c>
      <c r="K1" s="144" t="s">
        <v>1204</v>
      </c>
      <c r="L1" s="144" t="s">
        <v>1205</v>
      </c>
      <c r="M1" s="143" t="s">
        <v>1206</v>
      </c>
      <c r="N1" s="129" t="s">
        <v>1197</v>
      </c>
      <c r="O1" s="129" t="s">
        <v>1198</v>
      </c>
      <c r="P1" s="129" t="s">
        <v>1199</v>
      </c>
      <c r="Q1" s="129" t="s">
        <v>1200</v>
      </c>
      <c r="R1" s="129" t="s">
        <v>1201</v>
      </c>
      <c r="S1" s="144" t="s">
        <v>1207</v>
      </c>
      <c r="T1" s="144" t="s">
        <v>1208</v>
      </c>
      <c r="U1" s="144" t="s">
        <v>1209</v>
      </c>
      <c r="V1" s="144" t="s">
        <v>1210</v>
      </c>
      <c r="W1" s="144" t="s">
        <v>1211</v>
      </c>
      <c r="X1" s="129" t="s">
        <v>1186</v>
      </c>
      <c r="Y1" s="129" t="s">
        <v>1187</v>
      </c>
      <c r="Z1" s="129" t="s">
        <v>1188</v>
      </c>
      <c r="AA1" s="144" t="s">
        <v>1212</v>
      </c>
      <c r="AB1" s="144" t="s">
        <v>1213</v>
      </c>
      <c r="AC1" s="143" t="s">
        <v>1214</v>
      </c>
      <c r="AD1" s="141" t="s">
        <v>1181</v>
      </c>
      <c r="AE1" s="141" t="s">
        <v>1182</v>
      </c>
      <c r="AF1" s="141" t="s">
        <v>1183</v>
      </c>
      <c r="AG1" s="141" t="s">
        <v>1189</v>
      </c>
      <c r="AH1" s="141" t="s">
        <v>1184</v>
      </c>
      <c r="AI1" s="144" t="s">
        <v>1216</v>
      </c>
      <c r="AJ1" s="144" t="s">
        <v>1217</v>
      </c>
      <c r="AK1" s="144" t="s">
        <v>1218</v>
      </c>
      <c r="AL1" s="144" t="s">
        <v>1219</v>
      </c>
      <c r="AM1" s="143" t="s">
        <v>1215</v>
      </c>
      <c r="AN1" s="129" t="s">
        <v>1185</v>
      </c>
      <c r="AO1" s="144" t="s">
        <v>1220</v>
      </c>
      <c r="AP1" s="143" t="s">
        <v>1108</v>
      </c>
    </row>
    <row r="2" spans="1:42" x14ac:dyDescent="0.25">
      <c r="A2" s="128" t="s">
        <v>0</v>
      </c>
      <c r="B2" s="129" t="s">
        <v>1059</v>
      </c>
      <c r="C2" s="141">
        <f>IFERROR(((s_DL/(s_RadSpec!I2*s_IFS_res_adj*(1/1000)))*1),".")</f>
        <v>8541.6389953153375</v>
      </c>
      <c r="D2" s="141">
        <f>IFERROR(IF(A2="H-3",(s_DL/((s_RadSpec!L2*s_IFA_res_adj*(1/17)*1000))*1),(s_DL/((s_RadSpec!L2*s_IFA_res_adj*(1/s_PEF_wind)*1000))*1)),".")</f>
        <v>454865.42197095585</v>
      </c>
      <c r="E2" s="141">
        <f>IFERROR((s_DL/(s_RadSpec!K2*s_EF_res*(1/365)*s_ED_res*s_RadSpec!V2*((s_ET_res_o*(1/24)*s_RadSpec!AA2)+(s_ET_res_i*(1/24)*s_RadSpec!AF2))))*1,".")</f>
        <v>88850.25206824101</v>
      </c>
      <c r="F2" s="141">
        <f>s_b2s!C2</f>
        <v>392.71903426737191</v>
      </c>
      <c r="G2" s="141">
        <f>s_dir!C2</f>
        <v>5.6944259968768911</v>
      </c>
      <c r="H2" s="141">
        <f>(IF(AND(C2&lt;&gt;".",D2&lt;&gt;".",E2&lt;&gt;".",F2&lt;&gt;"."),1/((1/C2)+(1/D2)+(1/E2)+(1/F2)),IF(AND(C2&lt;&gt;".",D2&lt;&gt;".",E2&lt;&gt;".",F2="."), 1/((1/C2)+(1/D2)+(1/E2)),IF(AND(C2&lt;&gt;".",D2&lt;&gt;".",E2=".",F2&lt;&gt;"."),1/((1/C2)+(1/D2)+(1/F2)),IF(AND(C2&lt;&gt;".",D2=".",E2&lt;&gt;".",F2&lt;&gt;"."),1/((1/C2)+(1/E2)+(1/F2)),IF(AND(C2=".",D2&lt;&gt;".",E2&lt;&gt;".",F2&lt;&gt;"."),1/((1/D2)+(1/E2)+(1/F2)),IF(AND(C2&lt;&gt;".",D2&lt;&gt;".",E2=".",F2="."),1/((1/C2)+(1/D2)),IF(AND(C2&lt;&gt;".",D2=".",E2&lt;&gt;".",F2="."),1/((1/C2)+(1/E2)),IF(AND(C2&lt;&gt;".",D2=".",E2=".",F2&lt;&gt;"."),1/((1/C2)+(1/F2)),IF(AND(C2=".",D2=".",E2&lt;&gt;".",F2&lt;&gt;"."),1/((1/E2)+(1/F2)),IF(AND(C2=".",D2&lt;&gt;".",E2=".",F2&lt;&gt;"."),1/((1/D2)+(1/F2)),IF(AND(C2=".",D2&lt;&gt;".",E2&lt;&gt;".",F2="."),1/((1/D2)+(1/E2)),IF(AND(C2&lt;&gt;".",D2=".",E2=".",F2="."),1/((1/C2)),IF(AND(C2=".",D2&lt;&gt;".",E2=".",F2="."),1/((1/D2)),IF(AND(C2=".",D2=".",E2&lt;&gt;".",F2="."),1/((1/E2)),IF(AND(C2=".",D2=".",E2=".",F2&lt;&gt;"."),1/((1/F2)),IF(AND(C2=".",D2=".",E2=".",F2="."),".")))))))))))))))))</f>
        <v>373.56970335046645</v>
      </c>
      <c r="I2" s="142">
        <f t="shared" ref="I2:I30" si="0">s_C*s_IFS_res_adj*(1/1000)</f>
        <v>15.125</v>
      </c>
      <c r="J2" s="142">
        <f t="shared" ref="J2:J30" si="1">s_C*s_IFA_res_adj*(1/s_PEF_wind)*1000</f>
        <v>1.618127279505213E-3</v>
      </c>
      <c r="K2" s="142">
        <f>IFERROR((s_C*s_EF_res*(1/365)*s_ED_res*s_RadSpec!V2*((s_ET_res_o*(1/24)*s_RadSpec!AA2)+(s_ET_res_i*(1/24)*s_RadSpec!AF2))),".")</f>
        <v>5.3225290077224567E-3</v>
      </c>
      <c r="L2" s="142">
        <f>s_b2s!AB2</f>
        <v>328.96874999999994</v>
      </c>
      <c r="M2" s="141"/>
      <c r="N2" s="141">
        <f>IFERROR((s_DL/(s_RadSpec!K2*s_EF_res*(1/365)*s_ED_res*s_RadSpec!V2*((s_ET_res_o*(1/24)*s_RadSpec!AA2)+(s_ET_res_i*(1/24)*s_RadSpec!AF2))))*1,".")</f>
        <v>88850.25206824101</v>
      </c>
      <c r="O2" s="141">
        <f>IFERROR((s_DL/(s_RadSpec!R2*s_EF_res*(1/365)*s_ED_res*s_RadSpec!W2*((s_ET_res_o*(1/24)*s_RadSpec!AB2)+(s_ET_res_i*(1/24)*s_RadSpec!AG2))))*1,".")</f>
        <v>650970.7870362656</v>
      </c>
      <c r="P2" s="141">
        <f>IFERROR((s_DL/(s_RadSpec!S2*s_EF_res*(1/365)*s_ED_res*s_RadSpec!X2*((s_ET_res_o*(1/24)*s_RadSpec!AC2)+(s_ET_res_i*(1/24)*s_RadSpec!AH2))))*1,".")</f>
        <v>169267.1559753856</v>
      </c>
      <c r="Q2" s="141">
        <f>IFERROR((s_DL/(s_RadSpec!T2*s_EF_res*(1/365)*s_ED_res*s_RadSpec!Y2*((s_ET_res_o*(1/24)*s_RadSpec!AD2)+(s_ET_res_i*(1/24)*s_RadSpec!AI2))))*1,".")</f>
        <v>104372.64480404025</v>
      </c>
      <c r="R2" s="141">
        <f>IFERROR((s_DL/(s_RadSpec!P2*s_EF_res*(1/365)*s_ED_res*s_RadSpec!U2*((s_ET_res_o*(1/24)*s_RadSpec!Z2)+(s_ET_res_i*(1/24)*s_RadSpec!AE2))))*1,".")</f>
        <v>4870344.0898505608</v>
      </c>
      <c r="S2" s="142">
        <f>IFERROR((s_C*s_EF_res*(1/365)*s_ED_res*s_RadSpec!V2*((s_ET_res_o*(1/24)*s_RadSpec!AA2)+(s_ET_res_i*(1/24)*s_RadSpec!AF2))),".")</f>
        <v>5.3225290077224567E-3</v>
      </c>
      <c r="T2" s="142">
        <f>IFERROR((s_C*s_EF_res*(1/365)*s_ED_res*s_RadSpec!W2*((s_ET_res_o*(1/24)*s_RadSpec!AB2)+(s_ET_res_i*(1/24)*s_RadSpec!AG2))),".")</f>
        <v>2.6323922485800206E-3</v>
      </c>
      <c r="U2" s="142">
        <f>IFERROR((s_C*s_EF_res*(1/365)*s_ED_res*s_RadSpec!X2*((s_ET_res_o*(1/24)*s_RadSpec!AC2)+(s_ET_res_i*(1/24)*s_RadSpec!AH2))),".")</f>
        <v>3.8757903055848275E-3</v>
      </c>
      <c r="V2" s="142">
        <f>IFERROR((s_C*s_EF_res*(1/365)*s_ED_res*s_RadSpec!Y2*((s_ET_res_o*(1/24)*s_RadSpec!AD2)+(s_ET_res_i*(1/24)*s_RadSpec!AI2))),".")</f>
        <v>4.6627674311220573E-3</v>
      </c>
      <c r="W2" s="142">
        <f>IFERROR((s_C*s_EF_res*(1/365)*s_ED_res*s_RadSpec!U2*((s_ET_res_o*(1/24)*s_RadSpec!Z2)+(s_ET_res_i*(1/24)*s_RadSpec!AE2))),".")</f>
        <v>3.3265336509827271E-4</v>
      </c>
      <c r="X2" s="141">
        <f>IFERROR((s_DL/(s_RadSpec!L2*s_IFA_res_adj)),".")</f>
        <v>1.4682367623544095</v>
      </c>
      <c r="Y2" s="141">
        <f>IFERROR((s_DL/(s_RadSpec!O2*s_EF_res*(1/365)*s_ED_res*s_ET_res*(1/24)*s_GSF_a)),".")</f>
        <v>0.75321353913374245</v>
      </c>
      <c r="Z2" s="141">
        <f>IFERROR(IF(AND(X2&lt;&gt;".",Y2&lt;&gt;"."),1/((1/X2)+(1/Y2)),IF(AND(X2&lt;&gt;".",Y2="."),1/((1/X2)),IF(AND(X2=".",Y2&lt;&gt;"."),1/((1/Y2)),IF(AND(X2=".",Y2="."),".")))),".")</f>
        <v>0.49782604063588171</v>
      </c>
      <c r="AA2" s="142">
        <f t="shared" ref="AA2:AA30" si="2">s_C*s_IFA_res_adj</f>
        <v>501.30208333333326</v>
      </c>
      <c r="AB2" s="142">
        <f t="shared" ref="AB2:AB30" si="3">IFERROR((s_C*s_EF_res*(1/365)*s_ED_res*s_ET_res*(1/24)*s_GSF_a),".")</f>
        <v>0.3139269406392694</v>
      </c>
      <c r="AC2" s="141"/>
      <c r="AD2" s="141">
        <f>IFERROR((s_DL/(s_RadSpec!M2*s_IFW_res_adj)),".")</f>
        <v>93.958028948468709</v>
      </c>
      <c r="AE2" s="141" t="str">
        <f>IFERROR(IF(s_RadSpec!C2=1,(s_DL/(s_RadSpec!L2*s_IFA_res_adj*s_K)),"."),".")</f>
        <v>.</v>
      </c>
      <c r="AF2" s="141">
        <f>IFERROR((s_DL/(s_RadSpec!Q2*(1/8760)*s_DFA_res_adj)),".")</f>
        <v>845.87076021765529</v>
      </c>
      <c r="AG2" s="141">
        <f>s_b2w!C2</f>
        <v>478.70386553435469</v>
      </c>
      <c r="AH2" s="141">
        <f>(IF(AND(AD2&lt;&gt;".",AE2&lt;&gt;".",AF2&lt;&gt;".",AG2&lt;&gt;"."),1/((1/AD2)+(1/AE2)+(1/AF2)+(1/AG2)),IF(AND(AD2&lt;&gt;".",AE2&lt;&gt;".",AF2&lt;&gt;".",AG2="."), 1/((1/AD2)+(1/AE2)+(1/AF2)),IF(AND(AD2&lt;&gt;".",AE2&lt;&gt;".",AF2=".",AG2&lt;&gt;"."),1/((1/AD2)+(1/AE2)+(1/AG2)),IF(AND(AD2&lt;&gt;".",AE2=".",AF2&lt;&gt;".",AG2&lt;&gt;"."),1/((1/AD2)+(1/AF2)+(1/AG2)),IF(AND(AD2=".",AE2&lt;&gt;".",AF2&lt;&gt;".",AG2&lt;&gt;"."),1/((1/AE2)+(1/AF2)+(1/AG2)),IF(AND(AD2&lt;&gt;".",AE2&lt;&gt;".",AF2=".",AG2="."),1/((1/AD2)+(1/AE2)),IF(AND(AD2&lt;&gt;".",AE2=".",AF2&lt;&gt;".",AG2="."),1/((1/AD2)+(1/AF2)),IF(AND(AD2&lt;&gt;".",AE2=".",AF2=".",AG2&lt;&gt;"."),1/((1/AD2)+(1/AG2)),IF(AND(AD2=".",AE2=".",AF2&lt;&gt;".",AG2&lt;&gt;"."),1/((1/AF2)+(1/AG2)),IF(AND(AD2=".",AE2&lt;&gt;".",AF2=".",AG2&lt;&gt;"."),1/((1/AE2)+(1/AG2)),IF(AND(AD2=".",AE2&lt;&gt;".",AF2&lt;&gt;".",AG2="."),1/((1/AE2)+(1/AF2)),IF(AND(AD2&lt;&gt;".",AE2=".",AF2=".",AG2="."),1/((1/AD2)),IF(AND(AD2=".",AE2&lt;&gt;".",AF2=".",AG2="."),1/((1/AE2)),IF(AND(AD2=".",AE2=".",AF2&lt;&gt;".",AG2="."),1/((1/AF2)),IF(AND(AD2=".",AE2=".",AF2=".",AG2&lt;&gt;"."),1/((1/AG2)),IF(AND(AD2=".",AE2=".",AF2=".",AG2="."),".")))))))))))))))))</f>
        <v>71.868830400184791</v>
      </c>
      <c r="AI2" s="142">
        <f t="shared" ref="AI2:AI30" si="4">s_C*s_IFW_res_adj</f>
        <v>1375</v>
      </c>
      <c r="AJ2" s="142">
        <f t="shared" ref="AJ2:AJ30" si="5">s_C*s_IFA_res_adj*s_K</f>
        <v>250.65104166666663</v>
      </c>
      <c r="AK2" s="142">
        <f t="shared" ref="AK2:AK30" si="6">s_C*(1/8760)*s_DFA_res_adj</f>
        <v>0.12557077625570776</v>
      </c>
      <c r="AL2" s="142">
        <f>s_b2w!AB2</f>
        <v>269.87935361652694</v>
      </c>
      <c r="AM2" s="141"/>
      <c r="AN2" s="141">
        <f>IFERROR(s_DL/(s_RadSpec!J2*s_EF_res*s_ED_res*s_IRF_res*0.001*s_CF_res_fish),".")</f>
        <v>17.083277990630673</v>
      </c>
      <c r="AO2" s="142">
        <f t="shared" ref="AO2:AO30" si="7">s_C*s_EF_res*s_ED_res*s_IRF_res*0.001*s_CF_res_fish</f>
        <v>7562.5</v>
      </c>
      <c r="AP2" s="141"/>
    </row>
    <row r="3" spans="1:42" x14ac:dyDescent="0.25">
      <c r="A3" s="131" t="s">
        <v>1</v>
      </c>
      <c r="B3" s="129" t="s">
        <v>336</v>
      </c>
      <c r="C3" s="141">
        <f>IFERROR(((s_DL/(s_RadSpec!I3*s_IFS_res_adj*(1/1000)))*1),".")</f>
        <v>1877.0072246008076</v>
      </c>
      <c r="D3" s="141">
        <f>IFERROR(IF(A3="H-3",(s_DL/((s_RadSpec!L3*s_IFA_res_adj*(1/17)*1000))*1),(s_DL/((s_RadSpec!L3*s_IFA_res_adj*(1/s_PEF_wind)*1000))*1)),".")</f>
        <v>42565.388111043583</v>
      </c>
      <c r="E3" s="141">
        <f>IFERROR((s_DL/(s_RadSpec!K3*s_EF_res*(1/365)*s_ED_res*s_RadSpec!V3*((s_ET_res_o*(1/24)*s_RadSpec!AA3)+(s_ET_res_i*(1/24)*s_RadSpec!AF3))))*1,".")</f>
        <v>16577366.657531947</v>
      </c>
      <c r="F3" s="141">
        <f>s_b2s!C3</f>
        <v>90.342801944543481</v>
      </c>
      <c r="G3" s="141">
        <f>s_dir!C3</f>
        <v>1.2513381497338718</v>
      </c>
      <c r="H3" s="141">
        <f t="shared" ref="H3" si="8">(IF(AND(C3&lt;&gt;".",D3&lt;&gt;".",E3&lt;&gt;".",F3&lt;&gt;"."),1/((1/C3)+(1/D3)+(1/E3)+(1/F3)),IF(AND(C3&lt;&gt;".",D3&lt;&gt;".",E3&lt;&gt;".",F3="."), 1/((1/C3)+(1/D3)+(1/E3)),IF(AND(C3&lt;&gt;".",D3&lt;&gt;".",E3=".",F3&lt;&gt;"."),1/((1/C3)+(1/D3)+(1/F3)),IF(AND(C3&lt;&gt;".",D3=".",E3&lt;&gt;".",F3&lt;&gt;"."),1/((1/C3)+(1/E3)+(1/F3)),IF(AND(C3=".",D3&lt;&gt;".",E3&lt;&gt;".",F3&lt;&gt;"."),1/((1/D3)+(1/E3)+(1/F3)),IF(AND(C3&lt;&gt;".",D3&lt;&gt;".",E3=".",F3="."),1/((1/C3)+(1/D3)),IF(AND(C3&lt;&gt;".",D3=".",E3&lt;&gt;".",F3="."),1/((1/C3)+(1/E3)),IF(AND(C3&lt;&gt;".",D3=".",E3=".",F3&lt;&gt;"."),1/((1/C3)+(1/F3)),IF(AND(C3=".",D3=".",E3&lt;&gt;".",F3&lt;&gt;"."),1/((1/E3)+(1/F3)),IF(AND(C3=".",D3&lt;&gt;".",E3=".",F3&lt;&gt;"."),1/((1/D3)+(1/F3)),IF(AND(C3=".",D3&lt;&gt;".",E3&lt;&gt;".",F3="."),1/((1/D3)+(1/E3)),IF(AND(C3&lt;&gt;".",D3=".",E3=".",F3="."),1/((1/C3)),IF(AND(C3=".",D3&lt;&gt;".",E3=".",F3="."),1/((1/D3)),IF(AND(C3=".",D3=".",E3&lt;&gt;".",F3="."),1/((1/E3)),IF(AND(C3=".",D3=".",E3=".",F3&lt;&gt;"."),1/((1/F3)),IF(AND(C3=".",D3=".",E3=".",F3="."),".")))))))))))))))))</f>
        <v>86.019529264996947</v>
      </c>
      <c r="I3" s="142">
        <f t="shared" si="0"/>
        <v>15.125</v>
      </c>
      <c r="J3" s="142">
        <f t="shared" si="1"/>
        <v>1.618127279505213E-3</v>
      </c>
      <c r="K3" s="142">
        <f>IFERROR((s_C*s_EF_res*(1/365)*s_ED_res*s_RadSpec!V3*((s_ET_res_o*(1/24)*s_RadSpec!AA3)+(s_ET_res_i*(1/24)*s_RadSpec!AF3))),".")</f>
        <v>4.0569020021074795E-5</v>
      </c>
      <c r="L3" s="142">
        <f>s_b2s!AB3</f>
        <v>314.24456249999997</v>
      </c>
      <c r="M3" s="141"/>
      <c r="N3" s="141">
        <f>IFERROR((s_DL/(s_RadSpec!K3*s_EF_res*(1/365)*s_ED_res*s_RadSpec!V3*((s_ET_res_o*(1/24)*s_RadSpec!AA3)+(s_ET_res_i*(1/24)*s_RadSpec!AF3))))*1,".")</f>
        <v>16577366.657531947</v>
      </c>
      <c r="O3" s="141">
        <f>IFERROR((s_DL/(s_RadSpec!R3*s_EF_res*(1/365)*s_ED_res*s_RadSpec!W3*((s_ET_res_o*(1/24)*s_RadSpec!AB3)+(s_ET_res_i*(1/24)*s_RadSpec!AG3))))*1,".")</f>
        <v>47199909.340030849</v>
      </c>
      <c r="P3" s="141">
        <f>IFERROR((s_DL/(s_RadSpec!S3*s_EF_res*(1/365)*s_ED_res*s_RadSpec!X3*((s_ET_res_o*(1/24)*s_RadSpec!AC3)+(s_ET_res_i*(1/24)*s_RadSpec!AH3))))*1,".")</f>
        <v>18955992.786839738</v>
      </c>
      <c r="Q3" s="141">
        <f>IFERROR((s_DL/(s_RadSpec!T3*s_EF_res*(1/365)*s_ED_res*s_RadSpec!Y3*((s_ET_res_o*(1/24)*s_RadSpec!AD3)+(s_ET_res_i*(1/24)*s_RadSpec!AI3))))*1,".")</f>
        <v>18165479.085292459</v>
      </c>
      <c r="R3" s="141">
        <f>IFERROR((s_DL/(s_RadSpec!P3*s_EF_res*(1/365)*s_ED_res*s_RadSpec!U3*((s_ET_res_o*(1/24)*s_RadSpec!Z3)+(s_ET_res_i*(1/24)*s_RadSpec!AE3))))*1,".")</f>
        <v>52568721.698091842</v>
      </c>
      <c r="S3" s="142">
        <f>IFERROR((s_C*s_EF_res*(1/365)*s_ED_res*s_RadSpec!V3*((s_ET_res_o*(1/24)*s_RadSpec!AA3)+(s_ET_res_i*(1/24)*s_RadSpec!AF3))),".")</f>
        <v>4.0569020021074795E-5</v>
      </c>
      <c r="T3" s="142">
        <f>IFERROR((s_C*s_EF_res*(1/365)*s_ED_res*s_RadSpec!W3*((s_ET_res_o*(1/24)*s_RadSpec!AB3)+(s_ET_res_i*(1/24)*s_RadSpec!AG3))),".")</f>
        <v>2.8933161861638099E-5</v>
      </c>
      <c r="U3" s="142">
        <f>IFERROR((s_C*s_EF_res*(1/365)*s_ED_res*s_RadSpec!X3*((s_ET_res_o*(1/24)*s_RadSpec!AC3)+(s_ET_res_i*(1/24)*s_RadSpec!AH3))),".")</f>
        <v>3.8163207932938039E-5</v>
      </c>
      <c r="V3" s="142">
        <f>IFERROR((s_C*s_EF_res*(1/365)*s_ED_res*s_RadSpec!Y3*((s_ET_res_o*(1/24)*s_RadSpec!AD3)+(s_ET_res_i*(1/24)*s_RadSpec!AI3))),".")</f>
        <v>3.7022283677099273E-5</v>
      </c>
      <c r="W3" s="142">
        <f>IFERROR((s_C*s_EF_res*(1/365)*s_ED_res*s_RadSpec!U3*((s_ET_res_o*(1/24)*s_RadSpec!Z3)+(s_ET_res_i*(1/24)*s_RadSpec!AE3))),".")</f>
        <v>1.8661286796852221E-5</v>
      </c>
      <c r="X3" s="141">
        <f>IFERROR((s_DL/(s_RadSpec!L3*s_IFA_res_adj)),".")</f>
        <v>0.13739463280747685</v>
      </c>
      <c r="Y3" s="141">
        <f>IFERROR((s_DL/(s_RadSpec!O3*s_EF_res*(1/365)*s_ED_res*s_ET_res*(1/24)*s_GSF_a)),".")</f>
        <v>0.63440307016324149</v>
      </c>
      <c r="Z3" s="141">
        <f>IFERROR(IF(AND(X3&lt;&gt;".",Y3&lt;&gt;"."),1/((1/X3)+(1/Y3)),IF(AND(X3&lt;&gt;".",Y3="."),1/((1/X3)),IF(AND(X3=".",Y3&lt;&gt;"."),1/((1/Y3)),IF(AND(X3=".",Y3="."),".")))),".")</f>
        <v>0.11293578167117387</v>
      </c>
      <c r="AA3" s="142">
        <f t="shared" si="2"/>
        <v>501.30208333333326</v>
      </c>
      <c r="AB3" s="142">
        <f t="shared" si="3"/>
        <v>0.3139269406392694</v>
      </c>
      <c r="AC3" s="141"/>
      <c r="AD3" s="141">
        <f>IFERROR((s_DL/(s_RadSpec!M3*s_IFW_res_adj)),".")</f>
        <v>20.64707947060888</v>
      </c>
      <c r="AE3" s="141" t="str">
        <f>IFERROR(IF(s_RadSpec!C3=1,(s_DL/(s_RadSpec!L3*s_IFA_res_adj*s_K)),"."),".")</f>
        <v>.</v>
      </c>
      <c r="AF3" s="141">
        <f>IFERROR((s_DL/(s_RadSpec!Q3*(1/8760)*s_DFA_res_adj)),".")</f>
        <v>692.07607654171807</v>
      </c>
      <c r="AG3" s="141">
        <f>s_b2w!C3</f>
        <v>106.34705538852155</v>
      </c>
      <c r="AH3" s="141">
        <f>(IF(AND(AD3&lt;&gt;".",AE3&lt;&gt;".",AF3&lt;&gt;".",AG3&lt;&gt;"."),1/((1/AD3)+(1/AE3)+(1/AF3)+(1/AG3)),IF(AND(AD3&lt;&gt;".",AE3&lt;&gt;".",AF3&lt;&gt;".",AG3="."), 1/((1/AD3)+(1/AE3)+(1/AF3)),IF(AND(AD3&lt;&gt;".",AE3&lt;&gt;".",AF3=".",AG3&lt;&gt;"."),1/((1/AD3)+(1/AE3)+(1/AG3)),IF(AND(AD3&lt;&gt;".",AE3=".",AF3&lt;&gt;".",AG3&lt;&gt;"."),1/((1/AD3)+(1/AF3)+(1/AG3)),IF(AND(AD3=".",AE3&lt;&gt;".",AF3&lt;&gt;".",AG3&lt;&gt;"."),1/((1/AE3)+(1/AF3)+(1/AG3)),IF(AND(AD3&lt;&gt;".",AE3&lt;&gt;".",AF3=".",AG3="."),1/((1/AD3)+(1/AE3)),IF(AND(AD3&lt;&gt;".",AE3=".",AF3&lt;&gt;".",AG3="."),1/((1/AD3)+(1/AF3)),IF(AND(AD3&lt;&gt;".",AE3=".",AF3=".",AG3&lt;&gt;"."),1/((1/AD3)+(1/AG3)),IF(AND(AD3=".",AE3=".",AF3&lt;&gt;".",AG3&lt;&gt;"."),1/((1/AF3)+(1/AG3)),IF(AND(AD3=".",AE3&lt;&gt;".",AF3=".",AG3&lt;&gt;"."),1/((1/AE3)+(1/AG3)),IF(AND(AD3=".",AE3&lt;&gt;".",AF3&lt;&gt;".",AG3="."),1/((1/AE3)+(1/AF3)),IF(AND(AD3&lt;&gt;".",AE3=".",AF3=".",AG3="."),1/((1/AD3)),IF(AND(AD3=".",AE3&lt;&gt;".",AF3=".",AG3="."),1/((1/AE3)),IF(AND(AD3=".",AE3=".",AF3&lt;&gt;".",AG3="."),1/((1/AF3)),IF(AND(AD3=".",AE3=".",AF3=".",AG3&lt;&gt;"."),1/((1/AG3)),IF(AND(AD3=".",AE3=".",AF3=".",AG3="."),".")))))))))))))))))</f>
        <v>16.868781913710215</v>
      </c>
      <c r="AI3" s="142">
        <f t="shared" si="4"/>
        <v>1375</v>
      </c>
      <c r="AJ3" s="142">
        <f t="shared" si="5"/>
        <v>250.65104166666663</v>
      </c>
      <c r="AK3" s="142">
        <f t="shared" si="6"/>
        <v>0.12557077625570776</v>
      </c>
      <c r="AL3" s="142">
        <f>s_b2w!AB3</f>
        <v>266.95364689102081</v>
      </c>
      <c r="AM3" s="141"/>
      <c r="AN3" s="141">
        <f>IFERROR(s_DL/(s_RadSpec!J3*s_EF_res*s_ED_res*s_IRF_res*0.001*s_CF_res_fish),".")</f>
        <v>3.7540144492016148</v>
      </c>
      <c r="AO3" s="142">
        <f t="shared" si="7"/>
        <v>7562.5</v>
      </c>
      <c r="AP3" s="141"/>
    </row>
    <row r="4" spans="1:42" x14ac:dyDescent="0.25">
      <c r="A4" s="128" t="s">
        <v>2</v>
      </c>
      <c r="B4" s="129" t="s">
        <v>1059</v>
      </c>
      <c r="C4" s="141" t="str">
        <f>IFERROR(((s_DL/(s_RadSpec!I4*s_IFS_res_adj*(1/1000)))*1),".")</f>
        <v>.</v>
      </c>
      <c r="D4" s="141" t="str">
        <f>IFERROR(IF(A4="H-3",(s_DL/((s_RadSpec!L4*s_IFA_res_adj*(1/17)*1000))*1),(s_DL/((s_RadSpec!L4*s_IFA_res_adj*(1/s_PEF_wind)*1000))*1)),".")</f>
        <v>.</v>
      </c>
      <c r="E4" s="141">
        <f>IFERROR((s_DL/(s_RadSpec!K4*s_EF_res*(1/365)*s_ED_res*s_RadSpec!V4*((s_ET_res_o*(1/24)*s_RadSpec!AA4)+(s_ET_res_i*(1/24)*s_RadSpec!AF4))))*1,".")</f>
        <v>1933982.7238572233</v>
      </c>
      <c r="F4" s="141" t="str">
        <f>s_b2s!C4</f>
        <v>.</v>
      </c>
      <c r="G4" s="141" t="str">
        <f>s_dir!C4</f>
        <v>.</v>
      </c>
      <c r="H4" s="141">
        <f t="shared" ref="H4:H6" si="9">(IF(AND(C4&lt;&gt;".",D4&lt;&gt;".",E4&lt;&gt;".",F4&lt;&gt;"."),1/((1/C4)+(1/D4)+(1/E4)+(1/F4)),IF(AND(C4&lt;&gt;".",D4&lt;&gt;".",E4&lt;&gt;".",F4="."), 1/((1/C4)+(1/D4)+(1/E4)),IF(AND(C4&lt;&gt;".",D4&lt;&gt;".",E4=".",F4&lt;&gt;"."),1/((1/C4)+(1/D4)+(1/F4)),IF(AND(C4&lt;&gt;".",D4=".",E4&lt;&gt;".",F4&lt;&gt;"."),1/((1/C4)+(1/E4)+(1/F4)),IF(AND(C4=".",D4&lt;&gt;".",E4&lt;&gt;".",F4&lt;&gt;"."),1/((1/D4)+(1/E4)+(1/F4)),IF(AND(C4&lt;&gt;".",D4&lt;&gt;".",E4=".",F4="."),1/((1/C4)+(1/D4)),IF(AND(C4&lt;&gt;".",D4=".",E4&lt;&gt;".",F4="."),1/((1/C4)+(1/E4)),IF(AND(C4&lt;&gt;".",D4=".",E4=".",F4&lt;&gt;"."),1/((1/C4)+(1/F4)),IF(AND(C4=".",D4=".",E4&lt;&gt;".",F4&lt;&gt;"."),1/((1/E4)+(1/F4)),IF(AND(C4=".",D4&lt;&gt;".",E4=".",F4&lt;&gt;"."),1/((1/D4)+(1/F4)),IF(AND(C4=".",D4&lt;&gt;".",E4&lt;&gt;".",F4="."),1/((1/D4)+(1/E4)),IF(AND(C4&lt;&gt;".",D4=".",E4=".",F4="."),1/((1/C4)),IF(AND(C4=".",D4&lt;&gt;".",E4=".",F4="."),1/((1/D4)),IF(AND(C4=".",D4=".",E4&lt;&gt;".",F4="."),1/((1/E4)),IF(AND(C4=".",D4=".",E4=".",F4&lt;&gt;"."),1/((1/F4)),IF(AND(C4=".",D4=".",E4=".",F4="."),".")))))))))))))))))</f>
        <v>1933982.7238572233</v>
      </c>
      <c r="I4" s="142">
        <f t="shared" si="0"/>
        <v>15.125</v>
      </c>
      <c r="J4" s="142">
        <f t="shared" si="1"/>
        <v>1.618127279505213E-3</v>
      </c>
      <c r="K4" s="142">
        <f>IFERROR((s_C*s_EF_res*(1/365)*s_ED_res*s_RadSpec!V4*((s_ET_res_o*(1/24)*s_RadSpec!AA4)+(s_ET_res_i*(1/24)*s_RadSpec!AF4))),".")</f>
        <v>1.0897749510763206E-2</v>
      </c>
      <c r="L4" s="142">
        <f>s_b2s!AB4</f>
        <v>4843.7812500000009</v>
      </c>
      <c r="M4" s="141"/>
      <c r="N4" s="141">
        <f>IFERROR((s_DL/(s_RadSpec!K4*s_EF_res*(1/365)*s_ED_res*s_RadSpec!V4*((s_ET_res_o*(1/24)*s_RadSpec!AA4)+(s_ET_res_i*(1/24)*s_RadSpec!AF4))))*1,".")</f>
        <v>1933982.7238572233</v>
      </c>
      <c r="O4" s="141">
        <f>IFERROR((s_DL/(s_RadSpec!R4*s_EF_res*(1/365)*s_ED_res*s_RadSpec!W4*((s_ET_res_o*(1/24)*s_RadSpec!AB4)+(s_ET_res_i*(1/24)*s_RadSpec!AG4))))*1,".")</f>
        <v>13917104.388196468</v>
      </c>
      <c r="P4" s="141">
        <f>IFERROR((s_DL/(s_RadSpec!S4*s_EF_res*(1/365)*s_ED_res*s_RadSpec!X4*((s_ET_res_o*(1/24)*s_RadSpec!AC4)+(s_ET_res_i*(1/24)*s_RadSpec!AH4))))*1,".")</f>
        <v>3586213.9087748304</v>
      </c>
      <c r="Q4" s="141">
        <f>IFERROR((s_DL/(s_RadSpec!T4*s_EF_res*(1/365)*s_ED_res*s_RadSpec!Y4*((s_ET_res_o*(1/24)*s_RadSpec!AD4)+(s_ET_res_i*(1/24)*s_RadSpec!AI4))))*1,".")</f>
        <v>2112723.9303408028</v>
      </c>
      <c r="R4" s="141">
        <f>IFERROR((s_DL/(s_RadSpec!P4*s_EF_res*(1/365)*s_ED_res*s_RadSpec!U4*((s_ET_res_o*(1/24)*s_RadSpec!Z4)+(s_ET_res_i*(1/24)*s_RadSpec!AE4))))*1,".")</f>
        <v>26053059.324318554</v>
      </c>
      <c r="S4" s="142">
        <f>IFERROR((s_C*s_EF_res*(1/365)*s_ED_res*s_RadSpec!V4*((s_ET_res_o*(1/24)*s_RadSpec!AA4)+(s_ET_res_i*(1/24)*s_RadSpec!AF4))),".")</f>
        <v>1.0897749510763206E-2</v>
      </c>
      <c r="T4" s="142">
        <f>IFERROR((s_C*s_EF_res*(1/365)*s_ED_res*s_RadSpec!W4*((s_ET_res_o*(1/24)*s_RadSpec!AB4)+(s_ET_res_i*(1/24)*s_RadSpec!AG4))),".")</f>
        <v>6.6780821917808196E-3</v>
      </c>
      <c r="U4" s="142">
        <f>IFERROR((s_C*s_EF_res*(1/365)*s_ED_res*s_RadSpec!X4*((s_ET_res_o*(1/24)*s_RadSpec!AC4)+(s_ET_res_i*(1/24)*s_RadSpec!AH4))),".")</f>
        <v>9.2832681017612547E-3</v>
      </c>
      <c r="V4" s="142">
        <f>IFERROR((s_C*s_EF_res*(1/365)*s_ED_res*s_RadSpec!Y4*((s_ET_res_o*(1/24)*s_RadSpec!AD4)+(s_ET_res_i*(1/24)*s_RadSpec!AI4))),".")</f>
        <v>1.0664338956842375E-2</v>
      </c>
      <c r="W4" s="142">
        <f>IFERROR((s_C*s_EF_res*(1/365)*s_ED_res*s_RadSpec!U4*((s_ET_res_o*(1/24)*s_RadSpec!Z4)+(s_ET_res_i*(1/24)*s_RadSpec!AE4))),".")</f>
        <v>3.6161039961092657E-3</v>
      </c>
      <c r="X4" s="141" t="str">
        <f>IFERROR((s_DL/(s_RadSpec!L4*s_IFA_res_adj)),".")</f>
        <v>.</v>
      </c>
      <c r="Y4" s="141">
        <f>IFERROR((s_DL/(s_RadSpec!O4*s_EF_res*(1/365)*s_ED_res*s_ET_res*(1/24)*s_GSF_a)),".")</f>
        <v>40.218760674499833</v>
      </c>
      <c r="Z4" s="141">
        <f t="shared" ref="Z4:Z5" si="10">IFERROR(IF(AND(X4&lt;&gt;".",Y4&lt;&gt;"."),1/((1/X4)+(1/Y4)),IF(AND(X4&lt;&gt;".",Y4="."),1/((1/X4)),IF(AND(X4=".",Y4&lt;&gt;"."),1/((1/Y4)),IF(AND(X4=".",Y4="."),".")))),".")</f>
        <v>40.218760674499833</v>
      </c>
      <c r="AA4" s="142">
        <f t="shared" si="2"/>
        <v>501.30208333333326</v>
      </c>
      <c r="AB4" s="142">
        <f t="shared" si="3"/>
        <v>0.3139269406392694</v>
      </c>
      <c r="AC4" s="141"/>
      <c r="AD4" s="141" t="str">
        <f>IFERROR((s_DL/(s_RadSpec!M4*s_IFW_res_adj)),".")</f>
        <v>.</v>
      </c>
      <c r="AE4" s="141" t="str">
        <f>IFERROR(IF(s_RadSpec!C4=1,(s_DL/(s_RadSpec!L4*s_IFA_res_adj*s_K)),"."),".")</f>
        <v>.</v>
      </c>
      <c r="AF4" s="141">
        <f>IFERROR((s_DL/(s_RadSpec!Q4*(1/8760)*s_DFA_res_adj)),".")</f>
        <v>46138.405102781202</v>
      </c>
      <c r="AG4" s="141" t="str">
        <f>s_b2w!C4</f>
        <v>.</v>
      </c>
      <c r="AH4" s="141">
        <f t="shared" ref="AH4:AH5" si="11">(IF(AND(AD4&lt;&gt;".",AE4&lt;&gt;".",AF4&lt;&gt;".",AG4&lt;&gt;"."),1/((1/AD4)+(1/AE4)+(1/AF4)+(1/AG4)),IF(AND(AD4&lt;&gt;".",AE4&lt;&gt;".",AF4&lt;&gt;".",AG4="."), 1/((1/AD4)+(1/AE4)+(1/AF4)),IF(AND(AD4&lt;&gt;".",AE4&lt;&gt;".",AF4=".",AG4&lt;&gt;"."),1/((1/AD4)+(1/AE4)+(1/AG4)),IF(AND(AD4&lt;&gt;".",AE4=".",AF4&lt;&gt;".",AG4&lt;&gt;"."),1/((1/AD4)+(1/AF4)+(1/AG4)),IF(AND(AD4=".",AE4&lt;&gt;".",AF4&lt;&gt;".",AG4&lt;&gt;"."),1/((1/AE4)+(1/AF4)+(1/AG4)),IF(AND(AD4&lt;&gt;".",AE4&lt;&gt;".",AF4=".",AG4="."),1/((1/AD4)+(1/AE4)),IF(AND(AD4&lt;&gt;".",AE4=".",AF4&lt;&gt;".",AG4="."),1/((1/AD4)+(1/AF4)),IF(AND(AD4&lt;&gt;".",AE4=".",AF4=".",AG4&lt;&gt;"."),1/((1/AD4)+(1/AG4)),IF(AND(AD4=".",AE4=".",AF4&lt;&gt;".",AG4&lt;&gt;"."),1/((1/AF4)+(1/AG4)),IF(AND(AD4=".",AE4&lt;&gt;".",AF4=".",AG4&lt;&gt;"."),1/((1/AE4)+(1/AG4)),IF(AND(AD4=".",AE4&lt;&gt;".",AF4&lt;&gt;".",AG4="."),1/((1/AE4)+(1/AF4)),IF(AND(AD4&lt;&gt;".",AE4=".",AF4=".",AG4="."),1/((1/AD4)),IF(AND(AD4=".",AE4&lt;&gt;".",AF4=".",AG4="."),1/((1/AE4)),IF(AND(AD4=".",AE4=".",AF4&lt;&gt;".",AG4="."),1/((1/AF4)),IF(AND(AD4=".",AE4=".",AF4=".",AG4&lt;&gt;"."),1/((1/AG4)),IF(AND(AD4=".",AE4=".",AF4=".",AG4="."),".")))))))))))))))))</f>
        <v>46138.405102781202</v>
      </c>
      <c r="AI4" s="142">
        <f t="shared" si="4"/>
        <v>1375</v>
      </c>
      <c r="AJ4" s="142">
        <f t="shared" si="5"/>
        <v>250.65104166666663</v>
      </c>
      <c r="AK4" s="142">
        <f t="shared" si="6"/>
        <v>0.12557077625570776</v>
      </c>
      <c r="AL4" s="142">
        <f>s_b2w!AB4</f>
        <v>1166.9758688333634</v>
      </c>
      <c r="AM4" s="141"/>
      <c r="AN4" s="141" t="str">
        <f>IFERROR(s_DL/(s_RadSpec!J4*s_EF_res*s_ED_res*s_IRF_res*0.001*s_CF_res_fish),".")</f>
        <v>.</v>
      </c>
      <c r="AO4" s="142">
        <f t="shared" si="7"/>
        <v>7562.5</v>
      </c>
      <c r="AP4" s="141"/>
    </row>
    <row r="5" spans="1:42" x14ac:dyDescent="0.25">
      <c r="A5" s="128" t="s">
        <v>3</v>
      </c>
      <c r="B5" s="129" t="s">
        <v>1059</v>
      </c>
      <c r="C5" s="141" t="str">
        <f>IFERROR(((s_DL/(s_RadSpec!I5*s_IFS_res_adj*(1/1000)))*1),".")</f>
        <v>.</v>
      </c>
      <c r="D5" s="141" t="str">
        <f>IFERROR(IF(A5="H-3",(s_DL/((s_RadSpec!L5*s_IFA_res_adj*(1/17)*1000))*1),(s_DL/((s_RadSpec!L5*s_IFA_res_adj*(1/s_PEF_wind)*1000))*1)),".")</f>
        <v>.</v>
      </c>
      <c r="E5" s="141" t="str">
        <f>IFERROR((s_DL/(s_RadSpec!K5*s_EF_res*(1/365)*s_ED_res*s_RadSpec!V5*((s_ET_res_o*(1/24)*s_RadSpec!AA5)+(s_ET_res_i*(1/24)*s_RadSpec!AF5))))*1,".")</f>
        <v>.</v>
      </c>
      <c r="F5" s="141" t="str">
        <f>s_b2s!C5</f>
        <v>.</v>
      </c>
      <c r="G5" s="141" t="str">
        <f>s_dir!C5</f>
        <v>.</v>
      </c>
      <c r="H5" s="141" t="str">
        <f t="shared" si="9"/>
        <v>.</v>
      </c>
      <c r="I5" s="142">
        <f t="shared" si="0"/>
        <v>15.125</v>
      </c>
      <c r="J5" s="142">
        <f t="shared" si="1"/>
        <v>1.618127279505213E-3</v>
      </c>
      <c r="K5" s="142">
        <f>IFERROR((s_C*s_EF_res*(1/365)*s_ED_res*s_RadSpec!V5*((s_ET_res_o*(1/24)*s_RadSpec!AA5)+(s_ET_res_i*(1/24)*s_RadSpec!AF5))),".")</f>
        <v>0</v>
      </c>
      <c r="L5" s="142">
        <f>s_b2s!AB5</f>
        <v>4843.7812500000009</v>
      </c>
      <c r="M5" s="141"/>
      <c r="N5" s="141" t="str">
        <f>IFERROR((s_DL/(s_RadSpec!K5*s_EF_res*(1/365)*s_ED_res*s_RadSpec!V5*((s_ET_res_o*(1/24)*s_RadSpec!AA5)+(s_ET_res_i*(1/24)*s_RadSpec!AF5))))*1,".")</f>
        <v>.</v>
      </c>
      <c r="O5" s="141" t="str">
        <f>IFERROR((s_DL/(s_RadSpec!R5*s_EF_res*(1/365)*s_ED_res*s_RadSpec!W5*((s_ET_res_o*(1/24)*s_RadSpec!AB5)+(s_ET_res_i*(1/24)*s_RadSpec!AG5))))*1,".")</f>
        <v>.</v>
      </c>
      <c r="P5" s="141" t="str">
        <f>IFERROR((s_DL/(s_RadSpec!S5*s_EF_res*(1/365)*s_ED_res*s_RadSpec!X5*((s_ET_res_o*(1/24)*s_RadSpec!AC5)+(s_ET_res_i*(1/24)*s_RadSpec!AH5))))*1,".")</f>
        <v>.</v>
      </c>
      <c r="Q5" s="141" t="str">
        <f>IFERROR((s_DL/(s_RadSpec!T5*s_EF_res*(1/365)*s_ED_res*s_RadSpec!Y5*((s_ET_res_o*(1/24)*s_RadSpec!AD5)+(s_ET_res_i*(1/24)*s_RadSpec!AI5))))*1,".")</f>
        <v>.</v>
      </c>
      <c r="R5" s="141" t="str">
        <f>IFERROR((s_DL/(s_RadSpec!P5*s_EF_res*(1/365)*s_ED_res*s_RadSpec!U5*((s_ET_res_o*(1/24)*s_RadSpec!Z5)+(s_ET_res_i*(1/24)*s_RadSpec!AE5))))*1,".")</f>
        <v>.</v>
      </c>
      <c r="S5" s="142">
        <f>IFERROR((s_C*s_EF_res*(1/365)*s_ED_res*s_RadSpec!V5*((s_ET_res_o*(1/24)*s_RadSpec!AA5)+(s_ET_res_i*(1/24)*s_RadSpec!AF5))),".")</f>
        <v>0</v>
      </c>
      <c r="T5" s="142">
        <f>IFERROR((s_C*s_EF_res*(1/365)*s_ED_res*s_RadSpec!W5*((s_ET_res_o*(1/24)*s_RadSpec!AB5)+(s_ET_res_i*(1/24)*s_RadSpec!AG5))),".")</f>
        <v>0</v>
      </c>
      <c r="U5" s="142">
        <f>IFERROR((s_C*s_EF_res*(1/365)*s_ED_res*s_RadSpec!X5*((s_ET_res_o*(1/24)*s_RadSpec!AC5)+(s_ET_res_i*(1/24)*s_RadSpec!AH5))),".")</f>
        <v>0</v>
      </c>
      <c r="V5" s="142">
        <f>IFERROR((s_C*s_EF_res*(1/365)*s_ED_res*s_RadSpec!Y5*((s_ET_res_o*(1/24)*s_RadSpec!AD5)+(s_ET_res_i*(1/24)*s_RadSpec!AI5))),".")</f>
        <v>0</v>
      </c>
      <c r="W5" s="142">
        <f>IFERROR((s_C*s_EF_res*(1/365)*s_ED_res*s_RadSpec!U5*((s_ET_res_o*(1/24)*s_RadSpec!Z5)+(s_ET_res_i*(1/24)*s_RadSpec!AE5))),".")</f>
        <v>0</v>
      </c>
      <c r="X5" s="141" t="str">
        <f>IFERROR((s_DL/(s_RadSpec!L5*s_IFA_res_adj)),".")</f>
        <v>.</v>
      </c>
      <c r="Y5" s="141">
        <f>IFERROR((s_DL/(s_RadSpec!O5*s_EF_res*(1/365)*s_ED_res*s_ET_res*(1/24)*s_GSF_a)),".")</f>
        <v>435.01924811193703</v>
      </c>
      <c r="Z5" s="141">
        <f t="shared" si="10"/>
        <v>435.01924811193697</v>
      </c>
      <c r="AA5" s="142">
        <f t="shared" si="2"/>
        <v>501.30208333333326</v>
      </c>
      <c r="AB5" s="142">
        <f t="shared" si="3"/>
        <v>0.3139269406392694</v>
      </c>
      <c r="AC5" s="141"/>
      <c r="AD5" s="141" t="str">
        <f>IFERROR((s_DL/(s_RadSpec!M5*s_IFW_res_adj)),".")</f>
        <v>.</v>
      </c>
      <c r="AE5" s="141" t="str">
        <f>IFERROR(IF(s_RadSpec!C5=1,(s_DL/(s_RadSpec!L5*s_IFA_res_adj*s_K)),"."),".")</f>
        <v>.</v>
      </c>
      <c r="AF5" s="141">
        <f>IFERROR((s_DL/(s_RadSpec!Q5*(1/8760)*s_DFA_res_adj)),".")</f>
        <v>852637.72629939648</v>
      </c>
      <c r="AG5" s="141" t="str">
        <f>s_b2w!C5</f>
        <v>.</v>
      </c>
      <c r="AH5" s="141">
        <f t="shared" si="11"/>
        <v>852637.72629939648</v>
      </c>
      <c r="AI5" s="142">
        <f t="shared" si="4"/>
        <v>1375</v>
      </c>
      <c r="AJ5" s="142">
        <f t="shared" si="5"/>
        <v>250.65104166666663</v>
      </c>
      <c r="AK5" s="142">
        <f t="shared" si="6"/>
        <v>0.12557077625570776</v>
      </c>
      <c r="AL5" s="142">
        <f>s_b2w!AB5</f>
        <v>1166.9758688333634</v>
      </c>
      <c r="AM5" s="141"/>
      <c r="AN5" s="141" t="str">
        <f>IFERROR(s_DL/(s_RadSpec!J5*s_EF_res*s_ED_res*s_IRF_res*0.001*s_CF_res_fish),".")</f>
        <v>.</v>
      </c>
      <c r="AO5" s="142">
        <f t="shared" si="7"/>
        <v>7562.5</v>
      </c>
      <c r="AP5" s="141"/>
    </row>
    <row r="6" spans="1:42" x14ac:dyDescent="0.25">
      <c r="A6" s="128" t="s">
        <v>4</v>
      </c>
      <c r="B6" s="129" t="s">
        <v>1059</v>
      </c>
      <c r="C6" s="141" t="str">
        <f>IFERROR(((s_DL/(s_RadSpec!I6*s_IFS_res_adj*(1/1000)))*1),".")</f>
        <v>.</v>
      </c>
      <c r="D6" s="141" t="str">
        <f>IFERROR(IF(A6="H-3",(s_DL/((s_RadSpec!L6*s_IFA_res_adj*(1/17)*1000))*1),(s_DL/((s_RadSpec!L6*s_IFA_res_adj*(1/s_PEF_wind)*1000))*1)),".")</f>
        <v>.</v>
      </c>
      <c r="E6" s="141">
        <f>IFERROR((s_DL/(s_RadSpec!K6*s_EF_res*(1/365)*s_ED_res*s_RadSpec!V6*((s_ET_res_o*(1/24)*s_RadSpec!AA6)+(s_ET_res_i*(1/24)*s_RadSpec!AF6))))*1,".")</f>
        <v>348.72757025037981</v>
      </c>
      <c r="F6" s="141" t="str">
        <f>s_b2s!C6</f>
        <v>.</v>
      </c>
      <c r="G6" s="141" t="str">
        <f>s_dir!C6</f>
        <v>.</v>
      </c>
      <c r="H6" s="141">
        <f t="shared" si="9"/>
        <v>348.72757025037981</v>
      </c>
      <c r="I6" s="142">
        <f t="shared" si="0"/>
        <v>15.125</v>
      </c>
      <c r="J6" s="142">
        <f t="shared" si="1"/>
        <v>1.618127279505213E-3</v>
      </c>
      <c r="K6" s="142">
        <f>IFERROR((s_C*s_EF_res*(1/365)*s_ED_res*s_RadSpec!V6*((s_ET_res_o*(1/24)*s_RadSpec!AA6)+(s_ET_res_i*(1/24)*s_RadSpec!AF6))),".")</f>
        <v>2.1203047098117052E-2</v>
      </c>
      <c r="L6" s="142">
        <f>s_b2s!AB6</f>
        <v>396.57749999999999</v>
      </c>
      <c r="M6" s="141"/>
      <c r="N6" s="141">
        <f>IFERROR((s_DL/(s_RadSpec!K6*s_EF_res*(1/365)*s_ED_res*s_RadSpec!V6*((s_ET_res_o*(1/24)*s_RadSpec!AA6)+(s_ET_res_i*(1/24)*s_RadSpec!AF6))))*1,".")</f>
        <v>348.72757025037981</v>
      </c>
      <c r="O6" s="141">
        <f>IFERROR((s_DL/(s_RadSpec!R6*s_EF_res*(1/365)*s_ED_res*s_RadSpec!W6*((s_ET_res_o*(1/24)*s_RadSpec!AB6)+(s_ET_res_i*(1/24)*s_RadSpec!AG6))))*1,".")</f>
        <v>3273.1659530763609</v>
      </c>
      <c r="P6" s="141">
        <f>IFERROR((s_DL/(s_RadSpec!S6*s_EF_res*(1/365)*s_ED_res*s_RadSpec!X6*((s_ET_res_o*(1/24)*s_RadSpec!AC6)+(s_ET_res_i*(1/24)*s_RadSpec!AH6))))*1,".")</f>
        <v>808.43452663345477</v>
      </c>
      <c r="Q6" s="141">
        <f>IFERROR((s_DL/(s_RadSpec!T6*s_EF_res*(1/365)*s_ED_res*s_RadSpec!Y6*((s_ET_res_o*(1/24)*s_RadSpec!AD6)+(s_ET_res_i*(1/24)*s_RadSpec!AI6))))*1,".")</f>
        <v>427.70276764628613</v>
      </c>
      <c r="R6" s="141">
        <f>IFERROR((s_DL/(s_RadSpec!P6*s_EF_res*(1/365)*s_ED_res*s_RadSpec!U6*((s_ET_res_o*(1/24)*s_RadSpec!Z6)+(s_ET_res_i*(1/24)*s_RadSpec!AE6))))*1,".")</f>
        <v>5481.5438490606948</v>
      </c>
      <c r="S6" s="142">
        <f>IFERROR((s_C*s_EF_res*(1/365)*s_ED_res*s_RadSpec!V6*((s_ET_res_o*(1/24)*s_RadSpec!AA6)+(s_ET_res_i*(1/24)*s_RadSpec!AF6))),".")</f>
        <v>2.1203047098117052E-2</v>
      </c>
      <c r="T6" s="142">
        <f>IFERROR((s_C*s_EF_res*(1/365)*s_ED_res*s_RadSpec!W6*((s_ET_res_o*(1/24)*s_RadSpec!AB6)+(s_ET_res_i*(1/24)*s_RadSpec!AG6))),".")</f>
        <v>1.1357758000460459E-2</v>
      </c>
      <c r="U6" s="142">
        <f>IFERROR((s_C*s_EF_res*(1/365)*s_ED_res*s_RadSpec!X6*((s_ET_res_o*(1/24)*s_RadSpec!AC6)+(s_ET_res_i*(1/24)*s_RadSpec!AH6))),".")</f>
        <v>1.6072412088688034E-2</v>
      </c>
      <c r="V6" s="142">
        <f>IFERROR((s_C*s_EF_res*(1/365)*s_ED_res*s_RadSpec!Y6*((s_ET_res_o*(1/24)*s_RadSpec!AD6)+(s_ET_res_i*(1/24)*s_RadSpec!AI6))),".")</f>
        <v>1.9435476834482164E-2</v>
      </c>
      <c r="W6" s="142">
        <f>IFERROR((s_C*s_EF_res*(1/365)*s_ED_res*s_RadSpec!U6*((s_ET_res_o*(1/24)*s_RadSpec!Z6)+(s_ET_res_i*(1/24)*s_RadSpec!AE6))),".")</f>
        <v>6.7615582191780793E-3</v>
      </c>
      <c r="X6" s="141" t="str">
        <f>IFERROR((s_DL/(s_RadSpec!L6*s_IFA_res_adj)),".")</f>
        <v>.</v>
      </c>
      <c r="Y6" s="141">
        <f>IFERROR((s_DL/(s_RadSpec!O6*s_EF_res*(1/365)*s_ED_res*s_ET_res*(1/24)*s_GSF_a)),".")</f>
        <v>1.5848284875453471E-2</v>
      </c>
      <c r="Z6" s="141">
        <f t="shared" ref="Z6:Z14" si="12">IFERROR(IF(AND(X6&lt;&gt;".",Y6&lt;&gt;"."),1/((1/X6)+(1/Y6)),IF(AND(X6&lt;&gt;".",Y6="."),1/((1/X6)),IF(AND(X6=".",Y6&lt;&gt;"."),1/((1/Y6)),IF(AND(X6=".",Y6="."),".")))),".")</f>
        <v>1.5848284875453471E-2</v>
      </c>
      <c r="AA6" s="142">
        <f t="shared" si="2"/>
        <v>501.30208333333326</v>
      </c>
      <c r="AB6" s="142">
        <f t="shared" si="3"/>
        <v>0.3139269406392694</v>
      </c>
      <c r="AC6" s="141"/>
      <c r="AD6" s="141" t="str">
        <f>IFERROR((s_DL/(s_RadSpec!M6*s_IFW_res_adj)),".")</f>
        <v>.</v>
      </c>
      <c r="AE6" s="141" t="str">
        <f>IFERROR(IF(s_RadSpec!C6=1,(s_DL/(s_RadSpec!L6*s_IFA_res_adj*s_K)),"."),".")</f>
        <v>.</v>
      </c>
      <c r="AF6" s="141">
        <f>IFERROR((s_DL/(s_RadSpec!Q6*(1/8760)*s_DFA_res_adj)),".")</f>
        <v>18.281254852045382</v>
      </c>
      <c r="AG6" s="141" t="str">
        <f>s_b2w!C6</f>
        <v>.</v>
      </c>
      <c r="AH6" s="141">
        <f>(IF(AND(AD6&lt;&gt;".",AE6&lt;&gt;".",AF6&lt;&gt;".",AG6&lt;&gt;"."),1/((1/AD6)+(1/AE6)+(1/AF6)+(1/AG6)),IF(AND(AD6&lt;&gt;".",AE6&lt;&gt;".",AF6&lt;&gt;".",AG6="."), 1/((1/AD6)+(1/AE6)+(1/AF6)),IF(AND(AD6&lt;&gt;".",AE6&lt;&gt;".",AF6=".",AG6&lt;&gt;"."),1/((1/AD6)+(1/AE6)+(1/AG6)),IF(AND(AD6&lt;&gt;".",AE6=".",AF6&lt;&gt;".",AG6&lt;&gt;"."),1/((1/AD6)+(1/AF6)+(1/AG6)),IF(AND(AD6=".",AE6&lt;&gt;".",AF6&lt;&gt;".",AG6&lt;&gt;"."),1/((1/AE6)+(1/AF6)+(1/AG6)),IF(AND(AD6&lt;&gt;".",AE6&lt;&gt;".",AF6=".",AG6="."),1/((1/AD6)+(1/AE6)),IF(AND(AD6&lt;&gt;".",AE6=".",AF6&lt;&gt;".",AG6="."),1/((1/AD6)+(1/AF6)),IF(AND(AD6&lt;&gt;".",AE6=".",AF6=".",AG6&lt;&gt;"."),1/((1/AD6)+(1/AG6)),IF(AND(AD6=".",AE6=".",AF6&lt;&gt;".",AG6&lt;&gt;"."),1/((1/AF6)+(1/AG6)),IF(AND(AD6=".",AE6&lt;&gt;".",AF6=".",AG6&lt;&gt;"."),1/((1/AE6)+(1/AG6)),IF(AND(AD6=".",AE6&lt;&gt;".",AF6&lt;&gt;".",AG6="."),1/((1/AE6)+(1/AF6)),IF(AND(AD6&lt;&gt;".",AE6=".",AF6=".",AG6="."),1/((1/AD6)),IF(AND(AD6=".",AE6&lt;&gt;".",AF6=".",AG6="."),1/((1/AE6)),IF(AND(AD6=".",AE6=".",AF6&lt;&gt;".",AG6="."),1/((1/AF6)),IF(AND(AD6=".",AE6=".",AF6=".",AG6&lt;&gt;"."),1/((1/AG6)),IF(AND(AD6=".",AE6=".",AF6=".",AG6="."),".")))))))))))))))))</f>
        <v>18.281254852045382</v>
      </c>
      <c r="AI6" s="142">
        <f t="shared" si="4"/>
        <v>1375</v>
      </c>
      <c r="AJ6" s="142">
        <f t="shared" si="5"/>
        <v>250.65104166666663</v>
      </c>
      <c r="AK6" s="142">
        <f t="shared" si="6"/>
        <v>0.12557077625570776</v>
      </c>
      <c r="AL6" s="142">
        <f>s_b2w!AB6</f>
        <v>283.31326123133181</v>
      </c>
      <c r="AM6" s="141"/>
      <c r="AN6" s="141" t="str">
        <f>IFERROR(s_DL/(s_RadSpec!J6*s_EF_res*s_ED_res*s_IRF_res*0.001*s_CF_res_fish),".")</f>
        <v>.</v>
      </c>
      <c r="AO6" s="142">
        <f t="shared" si="7"/>
        <v>7562.5</v>
      </c>
      <c r="AP6" s="141"/>
    </row>
    <row r="7" spans="1:42" x14ac:dyDescent="0.25">
      <c r="A7" s="128" t="s">
        <v>5</v>
      </c>
      <c r="B7" s="129" t="s">
        <v>1059</v>
      </c>
      <c r="C7" s="141">
        <f>IFERROR(((s_DL/(s_RadSpec!I7*s_IFS_res_adj*(1/1000)))*1),".")</f>
        <v>248182.06636388457</v>
      </c>
      <c r="D7" s="141">
        <f>IFERROR(IF(A7="H-3",(s_DL/((s_RadSpec!L7*s_IFA_res_adj*(1/17)*1000))*1),(s_DL/((s_RadSpec!L7*s_IFA_res_adj*(1/s_PEF_wind)*1000))*1)),".")</f>
        <v>28600442.285571061</v>
      </c>
      <c r="E7" s="141">
        <f>IFERROR((s_DL/(s_RadSpec!K7*s_EF_res*(1/365)*s_ED_res*s_RadSpec!V7*((s_ET_res_o*(1/24)*s_RadSpec!AA7)+(s_ET_res_i*(1/24)*s_RadSpec!AF7))))*1,".")</f>
        <v>466123.44525583641</v>
      </c>
      <c r="F7" s="141">
        <f>s_b2s!C7</f>
        <v>1457.7507569097479</v>
      </c>
      <c r="G7" s="141">
        <f>s_dir!C7</f>
        <v>165.45471090925639</v>
      </c>
      <c r="H7" s="141">
        <f t="shared" ref="H7:H9" si="13">(IF(AND(C7&lt;&gt;".",D7&lt;&gt;".",E7&lt;&gt;".",F7&lt;&gt;"."),1/((1/C7)+(1/D7)+(1/E7)+(1/F7)),IF(AND(C7&lt;&gt;".",D7&lt;&gt;".",E7&lt;&gt;".",F7="."), 1/((1/C7)+(1/D7)+(1/E7)),IF(AND(C7&lt;&gt;".",D7&lt;&gt;".",E7=".",F7&lt;&gt;"."),1/((1/C7)+(1/D7)+(1/F7)),IF(AND(C7&lt;&gt;".",D7=".",E7&lt;&gt;".",F7&lt;&gt;"."),1/((1/C7)+(1/E7)+(1/F7)),IF(AND(C7=".",D7&lt;&gt;".",E7&lt;&gt;".",F7&lt;&gt;"."),1/((1/D7)+(1/E7)+(1/F7)),IF(AND(C7&lt;&gt;".",D7&lt;&gt;".",E7=".",F7="."),1/((1/C7)+(1/D7)),IF(AND(C7&lt;&gt;".",D7=".",E7&lt;&gt;".",F7="."),1/((1/C7)+(1/E7)),IF(AND(C7&lt;&gt;".",D7=".",E7=".",F7&lt;&gt;"."),1/((1/C7)+(1/F7)),IF(AND(C7=".",D7=".",E7&lt;&gt;".",F7&lt;&gt;"."),1/((1/E7)+(1/F7)),IF(AND(C7=".",D7&lt;&gt;".",E7=".",F7&lt;&gt;"."),1/((1/D7)+(1/F7)),IF(AND(C7=".",D7&lt;&gt;".",E7&lt;&gt;".",F7="."),1/((1/D7)+(1/E7)),IF(AND(C7&lt;&gt;".",D7=".",E7=".",F7="."),1/((1/C7)),IF(AND(C7=".",D7&lt;&gt;".",E7=".",F7="."),1/((1/D7)),IF(AND(C7=".",D7=".",E7&lt;&gt;".",F7="."),1/((1/E7)),IF(AND(C7=".",D7=".",E7=".",F7&lt;&gt;"."),1/((1/F7)),IF(AND(C7=".",D7=".",E7=".",F7="."),".")))))))))))))))))</f>
        <v>1444.6734619365864</v>
      </c>
      <c r="I7" s="142">
        <f t="shared" si="0"/>
        <v>15.125</v>
      </c>
      <c r="J7" s="142">
        <f t="shared" si="1"/>
        <v>1.618127279505213E-3</v>
      </c>
      <c r="K7" s="142">
        <f>IFERROR((s_C*s_EF_res*(1/365)*s_ED_res*s_RadSpec!V7*((s_ET_res_o*(1/24)*s_RadSpec!AA7)+(s_ET_res_i*(1/24)*s_RadSpec!AF7))),".")</f>
        <v>9.7992890584359324E-3</v>
      </c>
      <c r="L7" s="142">
        <f>s_b2s!AB7</f>
        <v>2575.03125</v>
      </c>
      <c r="M7" s="141"/>
      <c r="N7" s="141">
        <f>IFERROR((s_DL/(s_RadSpec!K7*s_EF_res*(1/365)*s_ED_res*s_RadSpec!V7*((s_ET_res_o*(1/24)*s_RadSpec!AA7)+(s_ET_res_i*(1/24)*s_RadSpec!AF7))))*1,".")</f>
        <v>466123.44525583641</v>
      </c>
      <c r="O7" s="141">
        <f>IFERROR((s_DL/(s_RadSpec!R7*s_EF_res*(1/365)*s_ED_res*s_RadSpec!W7*((s_ET_res_o*(1/24)*s_RadSpec!AB7)+(s_ET_res_i*(1/24)*s_RadSpec!AG7))))*1,".")</f>
        <v>1293289.7944504307</v>
      </c>
      <c r="P7" s="141">
        <f>IFERROR((s_DL/(s_RadSpec!S7*s_EF_res*(1/365)*s_ED_res*s_RadSpec!X7*((s_ET_res_o*(1/24)*s_RadSpec!AC7)+(s_ET_res_i*(1/24)*s_RadSpec!AH7))))*1,".")</f>
        <v>655062.26779920189</v>
      </c>
      <c r="Q7" s="141">
        <f>IFERROR((s_DL/(s_RadSpec!T7*s_EF_res*(1/365)*s_ED_res*s_RadSpec!Y7*((s_ET_res_o*(1/24)*s_RadSpec!AD7)+(s_ET_res_i*(1/24)*s_RadSpec!AI7))))*1,".")</f>
        <v>510209.64616092033</v>
      </c>
      <c r="R7" s="141">
        <f>IFERROR((s_DL/(s_RadSpec!P7*s_EF_res*(1/365)*s_ED_res*s_RadSpec!U7*((s_ET_res_o*(1/24)*s_RadSpec!Z7)+(s_ET_res_i*(1/24)*s_RadSpec!AE7))))*1,".")</f>
        <v>169273.6925098786</v>
      </c>
      <c r="S7" s="142">
        <f>IFERROR((s_C*s_EF_res*(1/365)*s_ED_res*s_RadSpec!V7*((s_ET_res_o*(1/24)*s_RadSpec!AA7)+(s_ET_res_i*(1/24)*s_RadSpec!AF7))),".")</f>
        <v>9.7992890584359324E-3</v>
      </c>
      <c r="T7" s="142">
        <f>IFERROR((s_C*s_EF_res*(1/365)*s_ED_res*s_RadSpec!W7*((s_ET_res_o*(1/24)*s_RadSpec!AB7)+(s_ET_res_i*(1/24)*s_RadSpec!AG7))),".")</f>
        <v>6.1596779253372336E-3</v>
      </c>
      <c r="U7" s="142">
        <f>IFERROR((s_C*s_EF_res*(1/365)*s_ED_res*s_RadSpec!X7*((s_ET_res_o*(1/24)*s_RadSpec!AC7)+(s_ET_res_i*(1/24)*s_RadSpec!AH7))),".")</f>
        <v>8.4076433121019097E-3</v>
      </c>
      <c r="V7" s="142">
        <f>IFERROR((s_C*s_EF_res*(1/365)*s_ED_res*s_RadSpec!Y7*((s_ET_res_o*(1/24)*s_RadSpec!AD7)+(s_ET_res_i*(1/24)*s_RadSpec!AI7))),".")</f>
        <v>9.1397133434804687E-3</v>
      </c>
      <c r="W7" s="142">
        <f>IFERROR((s_C*s_EF_res*(1/365)*s_ED_res*s_RadSpec!U7*((s_ET_res_o*(1/24)*s_RadSpec!Z7)+(s_ET_res_i*(1/24)*s_RadSpec!AE7))),".")</f>
        <v>3.5993900609939014E-3</v>
      </c>
      <c r="X7" s="141">
        <f>IFERROR((s_DL/(s_RadSpec!L7*s_IFA_res_adj)),".")</f>
        <v>92.317900537078629</v>
      </c>
      <c r="Y7" s="141">
        <f>IFERROR((s_DL/(s_RadSpec!O7*s_EF_res*(1/365)*s_ED_res*s_ET_res*(1/24)*s_GSF_a)),".")</f>
        <v>1.6523986943786755</v>
      </c>
      <c r="Z7" s="141">
        <f t="shared" si="12"/>
        <v>1.6233424769619462</v>
      </c>
      <c r="AA7" s="142">
        <f t="shared" si="2"/>
        <v>501.30208333333326</v>
      </c>
      <c r="AB7" s="142">
        <f t="shared" si="3"/>
        <v>0.3139269406392694</v>
      </c>
      <c r="AC7" s="141"/>
      <c r="AD7" s="141">
        <f>IFERROR((s_DL/(s_RadSpec!M7*s_IFW_res_adj)),".")</f>
        <v>2730.00273000273</v>
      </c>
      <c r="AE7" s="141" t="str">
        <f>IFERROR(IF(s_RadSpec!C7=1,(s_DL/(s_RadSpec!L7*s_IFA_res_adj*s_K)),"."),".")</f>
        <v>.</v>
      </c>
      <c r="AF7" s="141">
        <f>IFERROR((s_DL/(s_RadSpec!Q7*(1/8760)*s_DFA_res_adj)),".")</f>
        <v>3576.5005297793482</v>
      </c>
      <c r="AG7" s="141">
        <f>s_b2w!C7</f>
        <v>5241.4020209370792</v>
      </c>
      <c r="AH7" s="141">
        <f>(IF(AND(AD7&lt;&gt;".",AE7&lt;&gt;".",AF7&lt;&gt;".",AG7&lt;&gt;"."),1/((1/AD7)+(1/AE7)+(1/AF7)+(1/AG7)),IF(AND(AD7&lt;&gt;".",AE7&lt;&gt;".",AF7&lt;&gt;".",AG7="."), 1/((1/AD7)+(1/AE7)+(1/AF7)),IF(AND(AD7&lt;&gt;".",AE7&lt;&gt;".",AF7=".",AG7&lt;&gt;"."),1/((1/AD7)+(1/AE7)+(1/AG7)),IF(AND(AD7&lt;&gt;".",AE7=".",AF7&lt;&gt;".",AG7&lt;&gt;"."),1/((1/AD7)+(1/AF7)+(1/AG7)),IF(AND(AD7=".",AE7&lt;&gt;".",AF7&lt;&gt;".",AG7&lt;&gt;"."),1/((1/AE7)+(1/AF7)+(1/AG7)),IF(AND(AD7&lt;&gt;".",AE7&lt;&gt;".",AF7=".",AG7="."),1/((1/AD7)+(1/AE7)),IF(AND(AD7&lt;&gt;".",AE7=".",AF7&lt;&gt;".",AG7="."),1/((1/AD7)+(1/AF7)),IF(AND(AD7&lt;&gt;".",AE7=".",AF7=".",AG7&lt;&gt;"."),1/((1/AD7)+(1/AG7)),IF(AND(AD7=".",AE7=".",AF7&lt;&gt;".",AG7&lt;&gt;"."),1/((1/AF7)+(1/AG7)),IF(AND(AD7=".",AE7&lt;&gt;".",AF7=".",AG7&lt;&gt;"."),1/((1/AE7)+(1/AG7)),IF(AND(AD7=".",AE7&lt;&gt;".",AF7&lt;&gt;".",AG7="."),1/((1/AE7)+(1/AF7)),IF(AND(AD7&lt;&gt;".",AE7=".",AF7=".",AG7="."),1/((1/AD7)),IF(AND(AD7=".",AE7&lt;&gt;".",AF7=".",AG7="."),1/((1/AE7)),IF(AND(AD7=".",AE7=".",AF7&lt;&gt;".",AG7="."),1/((1/AF7)),IF(AND(AD7=".",AE7=".",AF7=".",AG7&lt;&gt;"."),1/((1/AG7)),IF(AND(AD7=".",AE7=".",AF7=".",AG7="."),".")))))))))))))))))</f>
        <v>1195.1835498211308</v>
      </c>
      <c r="AI7" s="142">
        <f t="shared" si="4"/>
        <v>1375</v>
      </c>
      <c r="AJ7" s="142">
        <f t="shared" si="5"/>
        <v>250.65104166666663</v>
      </c>
      <c r="AK7" s="142">
        <f t="shared" si="6"/>
        <v>0.12557077625570776</v>
      </c>
      <c r="AL7" s="142">
        <f>s_b2w!AB7</f>
        <v>716.17359988017915</v>
      </c>
      <c r="AM7" s="141"/>
      <c r="AN7" s="141">
        <f>IFERROR(s_DL/(s_RadSpec!J7*s_EF_res*s_ED_res*s_IRF_res*0.001*s_CF_res_fish),".")</f>
        <v>496.36413272776906</v>
      </c>
      <c r="AO7" s="142">
        <f t="shared" si="7"/>
        <v>7562.5</v>
      </c>
      <c r="AP7" s="141"/>
    </row>
    <row r="8" spans="1:42" x14ac:dyDescent="0.25">
      <c r="A8" s="128" t="s">
        <v>6</v>
      </c>
      <c r="B8" s="129" t="s">
        <v>1059</v>
      </c>
      <c r="C8" s="141">
        <f>IFERROR(((s_DL/(s_RadSpec!I8*s_IFS_res_adj*(1/1000)))*1),".")</f>
        <v>1666894.4755783291</v>
      </c>
      <c r="D8" s="141">
        <f>IFERROR(IF(A8="H-3",(s_DL/((s_RadSpec!L8*s_IFA_res_adj*(1/17)*1000))*1),(s_DL/((s_RadSpec!L8*s_IFA_res_adj*(1/s_PEF_wind)*1000))*1)),".")</f>
        <v>117624354.18854579</v>
      </c>
      <c r="E8" s="141">
        <f>IFERROR((s_DL/(s_RadSpec!K8*s_EF_res*(1/365)*s_ED_res*s_RadSpec!V8*((s_ET_res_o*(1/24)*s_RadSpec!AA8)+(s_ET_res_i*(1/24)*s_RadSpec!AF8))))*1,".")</f>
        <v>2133.4717709068905</v>
      </c>
      <c r="F8" s="141">
        <f>s_b2s!C8</f>
        <v>9790.8632926774098</v>
      </c>
      <c r="G8" s="141">
        <f>s_dir!C8</f>
        <v>1111.2629837188861</v>
      </c>
      <c r="H8" s="141">
        <f t="shared" si="13"/>
        <v>1749.8913759667989</v>
      </c>
      <c r="I8" s="142">
        <f t="shared" si="0"/>
        <v>15.125</v>
      </c>
      <c r="J8" s="142">
        <f t="shared" si="1"/>
        <v>1.618127279505213E-3</v>
      </c>
      <c r="K8" s="142">
        <f>IFERROR((s_C*s_EF_res*(1/365)*s_ED_res*s_RadSpec!V8*((s_ET_res_o*(1/24)*s_RadSpec!AA8)+(s_ET_res_i*(1/24)*s_RadSpec!AF8))),".")</f>
        <v>1.7046232876712322E-2</v>
      </c>
      <c r="L8" s="142">
        <f>s_b2s!AB8</f>
        <v>2575.03125</v>
      </c>
      <c r="M8" s="141"/>
      <c r="N8" s="141">
        <f>IFERROR((s_DL/(s_RadSpec!K8*s_EF_res*(1/365)*s_ED_res*s_RadSpec!V8*((s_ET_res_o*(1/24)*s_RadSpec!AA8)+(s_ET_res_i*(1/24)*s_RadSpec!AF8))))*1,".")</f>
        <v>2133.4717709068905</v>
      </c>
      <c r="O8" s="141">
        <f>IFERROR((s_DL/(s_RadSpec!R8*s_EF_res*(1/365)*s_ED_res*s_RadSpec!W8*((s_ET_res_o*(1/24)*s_RadSpec!AB8)+(s_ET_res_i*(1/24)*s_RadSpec!AG8))))*1,".")</f>
        <v>18128.808057020433</v>
      </c>
      <c r="P8" s="141">
        <f>IFERROR((s_DL/(s_RadSpec!S8*s_EF_res*(1/365)*s_ED_res*s_RadSpec!X8*((s_ET_res_o*(1/24)*s_RadSpec!AC8)+(s_ET_res_i*(1/24)*s_RadSpec!AH8))))*1,".")</f>
        <v>4738.6092343102755</v>
      </c>
      <c r="Q8" s="141">
        <f>IFERROR((s_DL/(s_RadSpec!T8*s_EF_res*(1/365)*s_ED_res*s_RadSpec!Y8*((s_ET_res_o*(1/24)*s_RadSpec!AD8)+(s_ET_res_i*(1/24)*s_RadSpec!AI8))))*1,".")</f>
        <v>2861.9928216847816</v>
      </c>
      <c r="R8" s="141">
        <f>IFERROR((s_DL/(s_RadSpec!P8*s_EF_res*(1/365)*s_ED_res*s_RadSpec!U8*((s_ET_res_o*(1/24)*s_RadSpec!Z8)+(s_ET_res_i*(1/24)*s_RadSpec!AE8))))*1,".")</f>
        <v>26019.776990907241</v>
      </c>
      <c r="S8" s="142">
        <f>IFERROR((s_C*s_EF_res*(1/365)*s_ED_res*s_RadSpec!V8*((s_ET_res_o*(1/24)*s_RadSpec!AA8)+(s_ET_res_i*(1/24)*s_RadSpec!AF8))),".")</f>
        <v>1.7046232876712322E-2</v>
      </c>
      <c r="T8" s="142">
        <f>IFERROR((s_C*s_EF_res*(1/365)*s_ED_res*s_RadSpec!W8*((s_ET_res_o*(1/24)*s_RadSpec!AB8)+(s_ET_res_i*(1/24)*s_RadSpec!AG8))),".")</f>
        <v>9.2859589041095897E-3</v>
      </c>
      <c r="U8" s="142">
        <f>IFERROR((s_C*s_EF_res*(1/365)*s_ED_res*s_RadSpec!X8*((s_ET_res_o*(1/24)*s_RadSpec!AC8)+(s_ET_res_i*(1/24)*s_RadSpec!AH8))),".")</f>
        <v>1.2722113502935419E-2</v>
      </c>
      <c r="V8" s="142">
        <f>IFERROR((s_C*s_EF_res*(1/365)*s_ED_res*s_RadSpec!Y8*((s_ET_res_o*(1/24)*s_RadSpec!AD8)+(s_ET_res_i*(1/24)*s_RadSpec!AI8))),".")</f>
        <v>1.3876012926876321E-2</v>
      </c>
      <c r="W8" s="142">
        <f>IFERROR((s_C*s_EF_res*(1/365)*s_ED_res*s_RadSpec!U8*((s_ET_res_o*(1/24)*s_RadSpec!Z8)+(s_ET_res_i*(1/24)*s_RadSpec!AE8))),".")</f>
        <v>5.011619373776908E-3</v>
      </c>
      <c r="X8" s="141">
        <f>IFERROR((s_DL/(s_RadSpec!L8*s_IFA_res_adj)),".")</f>
        <v>379.67361911023892</v>
      </c>
      <c r="Y8" s="141">
        <f>IFERROR((s_DL/(s_RadSpec!O8*s_EF_res*(1/365)*s_ED_res*s_ET_res*(1/24)*s_GSF_a)),".")</f>
        <v>7.1770852382104094E-2</v>
      </c>
      <c r="Z8" s="141">
        <f t="shared" si="12"/>
        <v>7.1757287884975748E-2</v>
      </c>
      <c r="AA8" s="142">
        <f t="shared" si="2"/>
        <v>501.30208333333326</v>
      </c>
      <c r="AB8" s="142">
        <f t="shared" si="3"/>
        <v>0.3139269406392694</v>
      </c>
      <c r="AC8" s="141"/>
      <c r="AD8" s="141">
        <f>IFERROR((s_DL/(s_RadSpec!M8*s_IFW_res_adj)),".")</f>
        <v>18335.83923136162</v>
      </c>
      <c r="AE8" s="141" t="str">
        <f>IFERROR(IF(s_RadSpec!C8=1,(s_DL/(s_RadSpec!L8*s_IFA_res_adj*s_K)),"."),".")</f>
        <v>.</v>
      </c>
      <c r="AF8" s="141">
        <f>IFERROR((s_DL/(s_RadSpec!Q8*(1/8760)*s_DFA_res_adj)),".")</f>
        <v>84.587076021765526</v>
      </c>
      <c r="AG8" s="141">
        <f>s_b2w!C8</f>
        <v>35203.446409278891</v>
      </c>
      <c r="AH8" s="141">
        <f t="shared" ref="AH8:AH9" si="14">(IF(AND(AD8&lt;&gt;".",AE8&lt;&gt;".",AF8&lt;&gt;".",AG8&lt;&gt;"."),1/((1/AD8)+(1/AE8)+(1/AF8)+(1/AG8)),IF(AND(AD8&lt;&gt;".",AE8&lt;&gt;".",AF8&lt;&gt;".",AG8="."), 1/((1/AD8)+(1/AE8)+(1/AF8)),IF(AND(AD8&lt;&gt;".",AE8&lt;&gt;".",AF8=".",AG8&lt;&gt;"."),1/((1/AD8)+(1/AE8)+(1/AG8)),IF(AND(AD8&lt;&gt;".",AE8=".",AF8&lt;&gt;".",AG8&lt;&gt;"."),1/((1/AD8)+(1/AF8)+(1/AG8)),IF(AND(AD8=".",AE8&lt;&gt;".",AF8&lt;&gt;".",AG8&lt;&gt;"."),1/((1/AE8)+(1/AF8)+(1/AG8)),IF(AND(AD8&lt;&gt;".",AE8&lt;&gt;".",AF8=".",AG8="."),1/((1/AD8)+(1/AE8)),IF(AND(AD8&lt;&gt;".",AE8=".",AF8&lt;&gt;".",AG8="."),1/((1/AD8)+(1/AF8)),IF(AND(AD8&lt;&gt;".",AE8=".",AF8=".",AG8&lt;&gt;"."),1/((1/AD8)+(1/AG8)),IF(AND(AD8=".",AE8=".",AF8&lt;&gt;".",AG8&lt;&gt;"."),1/((1/AF8)+(1/AG8)),IF(AND(AD8=".",AE8&lt;&gt;".",AF8=".",AG8&lt;&gt;"."),1/((1/AE8)+(1/AG8)),IF(AND(AD8=".",AE8&lt;&gt;".",AF8&lt;&gt;".",AG8="."),1/((1/AE8)+(1/AF8)),IF(AND(AD8&lt;&gt;".",AE8=".",AF8=".",AG8="."),1/((1/AD8)),IF(AND(AD8=".",AE8&lt;&gt;".",AF8=".",AG8="."),1/((1/AE8)),IF(AND(AD8=".",AE8=".",AF8&lt;&gt;".",AG8="."),1/((1/AF8)),IF(AND(AD8=".",AE8=".",AF8=".",AG8&lt;&gt;"."),1/((1/AG8)),IF(AND(AD8=".",AE8=".",AF8=".",AG8="."),".")))))))))))))))))</f>
        <v>83.997746436117268</v>
      </c>
      <c r="AI8" s="142">
        <f t="shared" si="4"/>
        <v>1375</v>
      </c>
      <c r="AJ8" s="142">
        <f t="shared" si="5"/>
        <v>250.65104166666663</v>
      </c>
      <c r="AK8" s="142">
        <f t="shared" si="6"/>
        <v>0.12557077625570776</v>
      </c>
      <c r="AL8" s="142">
        <f>s_b2w!AB8</f>
        <v>716.17359988017915</v>
      </c>
      <c r="AM8" s="141"/>
      <c r="AN8" s="141">
        <f>IFERROR(s_DL/(s_RadSpec!J8*s_EF_res*s_ED_res*s_IRF_res*0.001*s_CF_res_fish),".")</f>
        <v>3333.7889511566582</v>
      </c>
      <c r="AO8" s="142">
        <f t="shared" si="7"/>
        <v>7562.5</v>
      </c>
      <c r="AP8" s="141"/>
    </row>
    <row r="9" spans="1:42" x14ac:dyDescent="0.25">
      <c r="A9" s="128" t="s">
        <v>7</v>
      </c>
      <c r="B9" s="129" t="s">
        <v>1059</v>
      </c>
      <c r="C9" s="141">
        <f>IFERROR(((s_DL/(s_RadSpec!I9*s_IFS_res_adj*(1/1000)))*1),".")</f>
        <v>2998172.6137918937</v>
      </c>
      <c r="D9" s="141">
        <f>IFERROR(IF(A9="H-3",(s_DL/((s_RadSpec!L9*s_IFA_res_adj*(1/17)*1000))*1),(s_DL/((s_RadSpec!L9*s_IFA_res_adj*(1/s_PEF_wind)*1000))*1)),".")</f>
        <v>422130025.20943952</v>
      </c>
      <c r="E9" s="141">
        <f>IFERROR((s_DL/(s_RadSpec!K9*s_EF_res*(1/365)*s_ED_res*s_RadSpec!V9*((s_ET_res_o*(1/24)*s_RadSpec!AA9)+(s_ET_res_i*(1/24)*s_RadSpec!AF9))))*1,".")</f>
        <v>79.071786369281938</v>
      </c>
      <c r="F9" s="141">
        <f>s_b2s!C9</f>
        <v>17610.411828439905</v>
      </c>
      <c r="G9" s="141">
        <f>s_dir!C9</f>
        <v>1998.7817425279291</v>
      </c>
      <c r="H9" s="141">
        <f t="shared" si="13"/>
        <v>78.71625499359304</v>
      </c>
      <c r="I9" s="142">
        <f t="shared" si="0"/>
        <v>15.125</v>
      </c>
      <c r="J9" s="142">
        <f t="shared" si="1"/>
        <v>1.618127279505213E-3</v>
      </c>
      <c r="K9" s="142">
        <f>IFERROR((s_C*s_EF_res*(1/365)*s_ED_res*s_RadSpec!V9*((s_ET_res_o*(1/24)*s_RadSpec!AA9)+(s_ET_res_i*(1/24)*s_RadSpec!AF9))),".")</f>
        <v>3.4612480754806371E-2</v>
      </c>
      <c r="L9" s="142">
        <f>s_b2s!AB9</f>
        <v>2575.03125</v>
      </c>
      <c r="M9" s="141"/>
      <c r="N9" s="141">
        <f>IFERROR((s_DL/(s_RadSpec!K9*s_EF_res*(1/365)*s_ED_res*s_RadSpec!V9*((s_ET_res_o*(1/24)*s_RadSpec!AA9)+(s_ET_res_i*(1/24)*s_RadSpec!AF9))))*1,".")</f>
        <v>79.071786369281938</v>
      </c>
      <c r="O9" s="141">
        <f>IFERROR((s_DL/(s_RadSpec!R9*s_EF_res*(1/365)*s_ED_res*s_RadSpec!W9*((s_ET_res_o*(1/24)*s_RadSpec!AB9)+(s_ET_res_i*(1/24)*s_RadSpec!AG9))))*1,".")</f>
        <v>908.19552666717914</v>
      </c>
      <c r="P9" s="141">
        <f>IFERROR((s_DL/(s_RadSpec!S9*s_EF_res*(1/365)*s_ED_res*s_RadSpec!X9*((s_ET_res_o*(1/24)*s_RadSpec!AC9)+(s_ET_res_i*(1/24)*s_RadSpec!AH9))))*1,".")</f>
        <v>221.12264047741672</v>
      </c>
      <c r="Q9" s="141">
        <f>IFERROR((s_DL/(s_RadSpec!T9*s_EF_res*(1/365)*s_ED_res*s_RadSpec!Y9*((s_ET_res_o*(1/24)*s_RadSpec!AD9)+(s_ET_res_i*(1/24)*s_RadSpec!AI9))))*1,".")</f>
        <v>112.58172922682995</v>
      </c>
      <c r="R9" s="141">
        <f>IFERROR((s_DL/(s_RadSpec!P9*s_EF_res*(1/365)*s_ED_res*s_RadSpec!U9*((s_ET_res_o*(1/24)*s_RadSpec!Z9)+(s_ET_res_i*(1/24)*s_RadSpec!AE9))))*1,".")</f>
        <v>1578.5449480645884</v>
      </c>
      <c r="S9" s="142">
        <f>IFERROR((s_C*s_EF_res*(1/365)*s_ED_res*s_RadSpec!V9*((s_ET_res_o*(1/24)*s_RadSpec!AA9)+(s_ET_res_i*(1/24)*s_RadSpec!AF9))),".")</f>
        <v>3.4612480754806371E-2</v>
      </c>
      <c r="T9" s="142">
        <f>IFERROR((s_C*s_EF_res*(1/365)*s_ED_res*s_RadSpec!W9*((s_ET_res_o*(1/24)*s_RadSpec!AB9)+(s_ET_res_i*(1/24)*s_RadSpec!AG9))),".")</f>
        <v>1.6899244654973746E-2</v>
      </c>
      <c r="U9" s="142">
        <f>IFERROR((s_C*s_EF_res*(1/365)*s_ED_res*s_RadSpec!X9*((s_ET_res_o*(1/24)*s_RadSpec!AC9)+(s_ET_res_i*(1/24)*s_RadSpec!AH9))),".")</f>
        <v>2.4017587648014843E-2</v>
      </c>
      <c r="V9" s="142">
        <f>IFERROR((s_C*s_EF_res*(1/365)*s_ED_res*s_RadSpec!Y9*((s_ET_res_o*(1/24)*s_RadSpec!AD9)+(s_ET_res_i*(1/24)*s_RadSpec!AI9))),".")</f>
        <v>2.9136344178082189E-2</v>
      </c>
      <c r="W9" s="142">
        <f>IFERROR((s_C*s_EF_res*(1/365)*s_ED_res*s_RadSpec!U9*((s_ET_res_o*(1/24)*s_RadSpec!Z9)+(s_ET_res_i*(1/24)*s_RadSpec!AE9))),".")</f>
        <v>9.5406991313063769E-3</v>
      </c>
      <c r="X9" s="141">
        <f>IFERROR((s_DL/(s_RadSpec!L9*s_IFA_res_adj)),".")</f>
        <v>1362.5718543751329</v>
      </c>
      <c r="Y9" s="141">
        <f>IFERROR((s_DL/(s_RadSpec!O9*s_EF_res*(1/365)*s_ED_res*s_ET_res*(1/24)*s_GSF_a)),".")</f>
        <v>5.9960458952137592E-3</v>
      </c>
      <c r="Z9" s="141">
        <f t="shared" si="12"/>
        <v>5.9960195095167031E-3</v>
      </c>
      <c r="AA9" s="142">
        <f t="shared" si="2"/>
        <v>501.30208333333326</v>
      </c>
      <c r="AB9" s="142">
        <f t="shared" si="3"/>
        <v>0.3139269406392694</v>
      </c>
      <c r="AC9" s="141"/>
      <c r="AD9" s="141">
        <f>IFERROR((s_DL/(s_RadSpec!M9*s_IFW_res_adj)),".")</f>
        <v>32979.898751710833</v>
      </c>
      <c r="AE9" s="141" t="str">
        <f>IFERROR(IF(s_RadSpec!C9=1,(s_DL/(s_RadSpec!L9*s_IFA_res_adj*s_K)),"."),".")</f>
        <v>.</v>
      </c>
      <c r="AF9" s="141">
        <f>IFERROR((s_DL/(s_RadSpec!Q9*(1/8760)*s_DFA_res_adj)),".")</f>
        <v>6.9207607654171799</v>
      </c>
      <c r="AG9" s="141">
        <f>s_b2w!C9</f>
        <v>63318.950588501619</v>
      </c>
      <c r="AH9" s="141">
        <f t="shared" si="14"/>
        <v>6.9185527242654157</v>
      </c>
      <c r="AI9" s="142">
        <f t="shared" si="4"/>
        <v>1375</v>
      </c>
      <c r="AJ9" s="142">
        <f t="shared" si="5"/>
        <v>250.65104166666663</v>
      </c>
      <c r="AK9" s="142">
        <f t="shared" si="6"/>
        <v>0.12557077625570776</v>
      </c>
      <c r="AL9" s="142">
        <f>s_b2w!AB9</f>
        <v>716.17359988017915</v>
      </c>
      <c r="AM9" s="141"/>
      <c r="AN9" s="141">
        <f>IFERROR(s_DL/(s_RadSpec!J9*s_EF_res*s_ED_res*s_IRF_res*0.001*s_CF_res_fish),".")</f>
        <v>5996.3452275837881</v>
      </c>
      <c r="AO9" s="142">
        <f t="shared" si="7"/>
        <v>7562.5</v>
      </c>
      <c r="AP9" s="141"/>
    </row>
    <row r="10" spans="1:42" x14ac:dyDescent="0.25">
      <c r="A10" s="131" t="s">
        <v>8</v>
      </c>
      <c r="B10" s="129" t="s">
        <v>336</v>
      </c>
      <c r="C10" s="141">
        <f>IFERROR(((s_DL/(s_RadSpec!I10*s_IFS_res_adj*(1/1000)))*1),".")</f>
        <v>33588.550334961816</v>
      </c>
      <c r="D10" s="141">
        <f>IFERROR(IF(A10="H-3",(s_DL/((s_RadSpec!L10*s_IFA_res_adj*(1/17)*1000))*1),(s_DL/((s_RadSpec!L10*s_IFA_res_adj*(1/s_PEF_wind)*1000))*1)),".")</f>
        <v>100135841.0957644</v>
      </c>
      <c r="E10" s="141">
        <f>IFERROR((s_DL/(s_RadSpec!K10*s_EF_res*(1/365)*s_ED_res*s_RadSpec!V10*((s_ET_res_o*(1/24)*s_RadSpec!AA10)+(s_ET_res_i*(1/24)*s_RadSpec!AF10))))*1,".")</f>
        <v>1591085.9317642492</v>
      </c>
      <c r="F10" s="141">
        <f>s_b2s!C10</f>
        <v>883.56044548104217</v>
      </c>
      <c r="G10" s="141">
        <f>s_dir!C10</f>
        <v>22.392366889974543</v>
      </c>
      <c r="H10" s="141">
        <f t="shared" ref="H10" si="15">(IF(AND(C10&lt;&gt;".",D10&lt;&gt;".",E10&lt;&gt;".",F10&lt;&gt;"."),1/((1/C10)+(1/D10)+(1/E10)+(1/F10)),IF(AND(C10&lt;&gt;".",D10&lt;&gt;".",E10&lt;&gt;".",F10="."), 1/((1/C10)+(1/D10)+(1/E10)),IF(AND(C10&lt;&gt;".",D10&lt;&gt;".",E10=".",F10&lt;&gt;"."),1/((1/C10)+(1/D10)+(1/F10)),IF(AND(C10&lt;&gt;".",D10=".",E10&lt;&gt;".",F10&lt;&gt;"."),1/((1/C10)+(1/E10)+(1/F10)),IF(AND(C10=".",D10&lt;&gt;".",E10&lt;&gt;".",F10&lt;&gt;"."),1/((1/D10)+(1/E10)+(1/F10)),IF(AND(C10&lt;&gt;".",D10&lt;&gt;".",E10=".",F10="."),1/((1/C10)+(1/D10)),IF(AND(C10&lt;&gt;".",D10=".",E10&lt;&gt;".",F10="."),1/((1/C10)+(1/E10)),IF(AND(C10&lt;&gt;".",D10=".",E10=".",F10&lt;&gt;"."),1/((1/C10)+(1/F10)),IF(AND(C10=".",D10=".",E10&lt;&gt;".",F10&lt;&gt;"."),1/((1/E10)+(1/F10)),IF(AND(C10=".",D10&lt;&gt;".",E10=".",F10&lt;&gt;"."),1/((1/D10)+(1/F10)),IF(AND(C10=".",D10&lt;&gt;".",E10&lt;&gt;".",F10="."),1/((1/D10)+(1/E10)),IF(AND(C10&lt;&gt;".",D10=".",E10=".",F10="."),1/((1/C10)),IF(AND(C10=".",D10&lt;&gt;".",E10=".",F10="."),1/((1/D10)),IF(AND(C10=".",D10=".",E10&lt;&gt;".",F10="."),1/((1/E10)),IF(AND(C10=".",D10=".",E10=".",F10&lt;&gt;"."),1/((1/F10)),IF(AND(C10=".",D10=".",E10=".",F10="."),".")))))))))))))))))</f>
        <v>860.4407899417298</v>
      </c>
      <c r="I10" s="142">
        <f t="shared" si="0"/>
        <v>15.125</v>
      </c>
      <c r="J10" s="142">
        <f t="shared" si="1"/>
        <v>1.618127279505213E-3</v>
      </c>
      <c r="K10" s="142">
        <f>IFERROR((s_C*s_EF_res*(1/365)*s_ED_res*s_RadSpec!V10*((s_ET_res_o*(1/24)*s_RadSpec!AA10)+(s_ET_res_i*(1/24)*s_RadSpec!AF10))),".")</f>
        <v>1.8089082860006683E-2</v>
      </c>
      <c r="L10" s="142">
        <f>s_b2s!AB10</f>
        <v>574.97687500000006</v>
      </c>
      <c r="M10" s="141"/>
      <c r="N10" s="141">
        <f>IFERROR((s_DL/(s_RadSpec!K10*s_EF_res*(1/365)*s_ED_res*s_RadSpec!V10*((s_ET_res_o*(1/24)*s_RadSpec!AA10)+(s_ET_res_i*(1/24)*s_RadSpec!AF10))))*1,".")</f>
        <v>1591085.9317642492</v>
      </c>
      <c r="O10" s="141">
        <f>IFERROR((s_DL/(s_RadSpec!R10*s_EF_res*(1/365)*s_ED_res*s_RadSpec!W10*((s_ET_res_o*(1/24)*s_RadSpec!AB10)+(s_ET_res_i*(1/24)*s_RadSpec!AG10))))*1,".")</f>
        <v>5362281.4773487858</v>
      </c>
      <c r="P10" s="141">
        <f>IFERROR((s_DL/(s_RadSpec!S10*s_EF_res*(1/365)*s_ED_res*s_RadSpec!X10*((s_ET_res_o*(1/24)*s_RadSpec!AC10)+(s_ET_res_i*(1/24)*s_RadSpec!AH10))))*1,".")</f>
        <v>2195505.8060417143</v>
      </c>
      <c r="Q10" s="141">
        <f>IFERROR((s_DL/(s_RadSpec!T10*s_EF_res*(1/365)*s_ED_res*s_RadSpec!Y10*((s_ET_res_o*(1/24)*s_RadSpec!AD10)+(s_ET_res_i*(1/24)*s_RadSpec!AI10))))*1,".")</f>
        <v>1647740.6505518521</v>
      </c>
      <c r="R10" s="141">
        <f>IFERROR((s_DL/(s_RadSpec!P10*s_EF_res*(1/365)*s_ED_res*s_RadSpec!U10*((s_ET_res_o*(1/24)*s_RadSpec!Z10)+(s_ET_res_i*(1/24)*s_RadSpec!AE10))))*1,".")</f>
        <v>989453.49471011455</v>
      </c>
      <c r="S10" s="142">
        <f>IFERROR((s_C*s_EF_res*(1/365)*s_ED_res*s_RadSpec!V10*((s_ET_res_o*(1/24)*s_RadSpec!AA10)+(s_ET_res_i*(1/24)*s_RadSpec!AF10))),".")</f>
        <v>1.8089082860006683E-2</v>
      </c>
      <c r="T10" s="142">
        <f>IFERROR((s_C*s_EF_res*(1/365)*s_ED_res*s_RadSpec!W10*((s_ET_res_o*(1/24)*s_RadSpec!AB10)+(s_ET_res_i*(1/24)*s_RadSpec!AG10))),".")</f>
        <v>1.1608472304943423E-2</v>
      </c>
      <c r="U10" s="142">
        <f>IFERROR((s_C*s_EF_res*(1/365)*s_ED_res*s_RadSpec!X10*((s_ET_res_o*(1/24)*s_RadSpec!AC10)+(s_ET_res_i*(1/24)*s_RadSpec!AH10))),".")</f>
        <v>1.6255385715930205E-2</v>
      </c>
      <c r="V10" s="142">
        <f>IFERROR((s_C*s_EF_res*(1/365)*s_ED_res*s_RadSpec!Y10*((s_ET_res_o*(1/24)*s_RadSpec!AD10)+(s_ET_res_i*(1/24)*s_RadSpec!AI10))),".")</f>
        <v>1.7772891131939438E-2</v>
      </c>
      <c r="W10" s="142">
        <f>IFERROR((s_C*s_EF_res*(1/365)*s_ED_res*s_RadSpec!U10*((s_ET_res_o*(1/24)*s_RadSpec!Z10)+(s_ET_res_i*(1/24)*s_RadSpec!AE10))),".")</f>
        <v>6.905351230279814E-3</v>
      </c>
      <c r="X10" s="141">
        <f>IFERROR((s_DL/(s_RadSpec!L10*s_IFA_res_adj)),".")</f>
        <v>323.22334480607867</v>
      </c>
      <c r="Y10" s="141">
        <f>IFERROR((s_DL/(s_RadSpec!O10*s_EF_res*(1/365)*s_ED_res*s_ET_res*(1/24)*s_GSF_a)),".")</f>
        <v>4.5353070547840248</v>
      </c>
      <c r="Z10" s="141">
        <f t="shared" si="12"/>
        <v>4.4725504808098746</v>
      </c>
      <c r="AA10" s="142">
        <f t="shared" si="2"/>
        <v>501.30208333333326</v>
      </c>
      <c r="AB10" s="142">
        <f t="shared" si="3"/>
        <v>0.3139269406392694</v>
      </c>
      <c r="AC10" s="141"/>
      <c r="AD10" s="141">
        <f>IFERROR((s_DL/(s_RadSpec!M10*s_IFW_res_adj)),".")</f>
        <v>369.47405368457999</v>
      </c>
      <c r="AE10" s="141" t="str">
        <f>IFERROR(IF(s_RadSpec!C10=1,(s_DL/(s_RadSpec!L10*s_IFA_res_adj*s_K)),"."),".")</f>
        <v>.</v>
      </c>
      <c r="AF10" s="141">
        <f>IFERROR((s_DL/(s_RadSpec!Q10*(1/8760)*s_DFA_res_adj)),".")</f>
        <v>10150.449122611863</v>
      </c>
      <c r="AG10" s="141">
        <f>s_b2w!C10</f>
        <v>1593.7529116748494</v>
      </c>
      <c r="AH10" s="141">
        <f>(IF(AND(AD10&lt;&gt;".",AE10&lt;&gt;".",AF10&lt;&gt;".",AG10&lt;&gt;"."),1/((1/AD10)+(1/AE10)+(1/AF10)+(1/AG10)),IF(AND(AD10&lt;&gt;".",AE10&lt;&gt;".",AF10&lt;&gt;".",AG10="."), 1/((1/AD10)+(1/AE10)+(1/AF10)),IF(AND(AD10&lt;&gt;".",AE10&lt;&gt;".",AF10=".",AG10&lt;&gt;"."),1/((1/AD10)+(1/AE10)+(1/AG10)),IF(AND(AD10&lt;&gt;".",AE10=".",AF10&lt;&gt;".",AG10&lt;&gt;"."),1/((1/AD10)+(1/AF10)+(1/AG10)),IF(AND(AD10=".",AE10&lt;&gt;".",AF10&lt;&gt;".",AG10&lt;&gt;"."),1/((1/AE10)+(1/AF10)+(1/AG10)),IF(AND(AD10&lt;&gt;".",AE10&lt;&gt;".",AF10=".",AG10="."),1/((1/AD10)+(1/AE10)),IF(AND(AD10&lt;&gt;".",AE10=".",AF10&lt;&gt;".",AG10="."),1/((1/AD10)+(1/AF10)),IF(AND(AD10&lt;&gt;".",AE10=".",AF10=".",AG10&lt;&gt;"."),1/((1/AD10)+(1/AG10)),IF(AND(AD10=".",AE10=".",AF10&lt;&gt;".",AG10&lt;&gt;"."),1/((1/AF10)+(1/AG10)),IF(AND(AD10=".",AE10&lt;&gt;".",AF10=".",AG10&lt;&gt;"."),1/((1/AE10)+(1/AG10)),IF(AND(AD10=".",AE10&lt;&gt;".",AF10&lt;&gt;".",AG10="."),1/((1/AE10)+(1/AF10)),IF(AND(AD10&lt;&gt;".",AE10=".",AF10=".",AG10="."),1/((1/AD10)),IF(AND(AD10=".",AE10&lt;&gt;".",AF10=".",AG10="."),1/((1/AE10)),IF(AND(AD10=".",AE10=".",AF10&lt;&gt;".",AG10="."),1/((1/AF10)),IF(AND(AD10=".",AE10=".",AF10=".",AG10&lt;&gt;"."),1/((1/AG10)),IF(AND(AD10=".",AE10=".",AF10=".",AG10="."),".")))))))))))))))))</f>
        <v>291.33135039889999</v>
      </c>
      <c r="AI10" s="142">
        <f t="shared" si="4"/>
        <v>1375</v>
      </c>
      <c r="AJ10" s="142">
        <f t="shared" si="5"/>
        <v>250.65104166666663</v>
      </c>
      <c r="AK10" s="142">
        <f t="shared" si="6"/>
        <v>0.12557077625570776</v>
      </c>
      <c r="AL10" s="142">
        <f>s_b2w!AB10</f>
        <v>318.76134631335049</v>
      </c>
      <c r="AM10" s="141"/>
      <c r="AN10" s="141">
        <f>IFERROR(s_DL/(s_RadSpec!J10*s_EF_res*s_ED_res*s_IRF_res*0.001*s_CF_res_fish),".")</f>
        <v>67.177100669923647</v>
      </c>
      <c r="AO10" s="142">
        <f t="shared" si="7"/>
        <v>7562.5</v>
      </c>
      <c r="AP10" s="141"/>
    </row>
    <row r="11" spans="1:42" x14ac:dyDescent="0.25">
      <c r="A11" s="128" t="s">
        <v>9</v>
      </c>
      <c r="B11" s="129" t="s">
        <v>1059</v>
      </c>
      <c r="C11" s="141" t="str">
        <f>IFERROR(((s_DL/(s_RadSpec!I11*s_IFS_res_adj*(1/1000)))*1),".")</f>
        <v>.</v>
      </c>
      <c r="D11" s="141" t="str">
        <f>IFERROR(IF(A11="H-3",(s_DL/((s_RadSpec!L11*s_IFA_res_adj*(1/17)*1000))*1),(s_DL/((s_RadSpec!L11*s_IFA_res_adj*(1/s_PEF_wind)*1000))*1)),".")</f>
        <v>.</v>
      </c>
      <c r="E11" s="141">
        <f>IFERROR((s_DL/(s_RadSpec!K11*s_EF_res*(1/365)*s_ED_res*s_RadSpec!V11*((s_ET_res_o*(1/24)*s_RadSpec!AA11)+(s_ET_res_i*(1/24)*s_RadSpec!AF11))))*1,".")</f>
        <v>31027.733139929096</v>
      </c>
      <c r="F11" s="141" t="str">
        <f>s_b2s!C11</f>
        <v>.</v>
      </c>
      <c r="G11" s="141" t="str">
        <f>s_dir!C11</f>
        <v>.</v>
      </c>
      <c r="H11" s="141">
        <f>(IF(AND(C11&lt;&gt;".",D11&lt;&gt;".",E11&lt;&gt;".",F11&lt;&gt;"."),1/((1/C11)+(1/D11)+(1/E11)+(1/F11)),IF(AND(C11&lt;&gt;".",D11&lt;&gt;".",E11&lt;&gt;".",F11="."), 1/((1/C11)+(1/D11)+(1/E11)),IF(AND(C11&lt;&gt;".",D11&lt;&gt;".",E11=".",F11&lt;&gt;"."),1/((1/C11)+(1/D11)+(1/F11)),IF(AND(C11&lt;&gt;".",D11=".",E11&lt;&gt;".",F11&lt;&gt;"."),1/((1/C11)+(1/E11)+(1/F11)),IF(AND(C11=".",D11&lt;&gt;".",E11&lt;&gt;".",F11&lt;&gt;"."),1/((1/D11)+(1/E11)+(1/F11)),IF(AND(C11&lt;&gt;".",D11&lt;&gt;".",E11=".",F11="."),1/((1/C11)+(1/D11)),IF(AND(C11&lt;&gt;".",D11=".",E11&lt;&gt;".",F11="."),1/((1/C11)+(1/E11)),IF(AND(C11&lt;&gt;".",D11=".",E11=".",F11&lt;&gt;"."),1/((1/C11)+(1/F11)),IF(AND(C11=".",D11=".",E11&lt;&gt;".",F11&lt;&gt;"."),1/((1/E11)+(1/F11)),IF(AND(C11=".",D11&lt;&gt;".",E11=".",F11&lt;&gt;"."),1/((1/D11)+(1/F11)),IF(AND(C11=".",D11&lt;&gt;".",E11&lt;&gt;".",F11="."),1/((1/D11)+(1/E11)),IF(AND(C11&lt;&gt;".",D11=".",E11=".",F11="."),1/((1/C11)),IF(AND(C11=".",D11&lt;&gt;".",E11=".",F11="."),1/((1/D11)),IF(AND(C11=".",D11=".",E11&lt;&gt;".",F11="."),1/((1/E11)),IF(AND(C11=".",D11=".",E11=".",F11&lt;&gt;"."),1/((1/F11)),IF(AND(C11=".",D11=".",E11=".",F11="."),".")))))))))))))))))</f>
        <v>31027.733139929096</v>
      </c>
      <c r="I11" s="142">
        <f t="shared" si="0"/>
        <v>15.125</v>
      </c>
      <c r="J11" s="142">
        <f t="shared" si="1"/>
        <v>1.618127279505213E-3</v>
      </c>
      <c r="K11" s="142">
        <f>IFERROR((s_C*s_EF_res*(1/365)*s_ED_res*s_RadSpec!V11*((s_ET_res_o*(1/24)*s_RadSpec!AA11)+(s_ET_res_i*(1/24)*s_RadSpec!AF11))),".")</f>
        <v>6.0495568090249792E-3</v>
      </c>
      <c r="L11" s="142">
        <f>s_b2s!AB11</f>
        <v>986.90624999999977</v>
      </c>
      <c r="M11" s="141"/>
      <c r="N11" s="141">
        <f>IFERROR((s_DL/(s_RadSpec!K11*s_EF_res*(1/365)*s_ED_res*s_RadSpec!V11*((s_ET_res_o*(1/24)*s_RadSpec!AA11)+(s_ET_res_i*(1/24)*s_RadSpec!AF11))))*1,".")</f>
        <v>31027.733139929096</v>
      </c>
      <c r="O11" s="141">
        <f>IFERROR((s_DL/(s_RadSpec!R11*s_EF_res*(1/365)*s_ED_res*s_RadSpec!W11*((s_ET_res_o*(1/24)*s_RadSpec!AB11)+(s_ET_res_i*(1/24)*s_RadSpec!AG11))))*1,".")</f>
        <v>163699.53532909328</v>
      </c>
      <c r="P11" s="141">
        <f>IFERROR((s_DL/(s_RadSpec!S11*s_EF_res*(1/365)*s_ED_res*s_RadSpec!X11*((s_ET_res_o*(1/24)*s_RadSpec!AC11)+(s_ET_res_i*(1/24)*s_RadSpec!AH11))))*1,".")</f>
        <v>45449.544173520189</v>
      </c>
      <c r="Q11" s="141">
        <f>IFERROR((s_DL/(s_RadSpec!T11*s_EF_res*(1/365)*s_ED_res*s_RadSpec!Y11*((s_ET_res_o*(1/24)*s_RadSpec!AD11)+(s_ET_res_i*(1/24)*s_RadSpec!AI11))))*1,".")</f>
        <v>30166.368999639955</v>
      </c>
      <c r="R11" s="141">
        <f>IFERROR((s_DL/(s_RadSpec!P11*s_EF_res*(1/365)*s_ED_res*s_RadSpec!U11*((s_ET_res_o*(1/24)*s_RadSpec!Z11)+(s_ET_res_i*(1/24)*s_RadSpec!AE11))))*1,".")</f>
        <v>309560.2305724661</v>
      </c>
      <c r="S11" s="142">
        <f>IFERROR((s_C*s_EF_res*(1/365)*s_ED_res*s_RadSpec!V11*((s_ET_res_o*(1/24)*s_RadSpec!AA11)+(s_ET_res_i*(1/24)*s_RadSpec!AF11))),".")</f>
        <v>6.0495568090249792E-3</v>
      </c>
      <c r="T11" s="142">
        <f>IFERROR((s_C*s_EF_res*(1/365)*s_ED_res*s_RadSpec!W11*((s_ET_res_o*(1/24)*s_RadSpec!AB11)+(s_ET_res_i*(1/24)*s_RadSpec!AG11))),".")</f>
        <v>4.7810092037671231E-3</v>
      </c>
      <c r="U11" s="142">
        <f>IFERROR((s_C*s_EF_res*(1/365)*s_ED_res*s_RadSpec!X11*((s_ET_res_o*(1/24)*s_RadSpec!AC11)+(s_ET_res_i*(1/24)*s_RadSpec!AH11))),".")</f>
        <v>6.1603545527800178E-3</v>
      </c>
      <c r="V11" s="142">
        <f>IFERROR((s_C*s_EF_res*(1/365)*s_ED_res*s_RadSpec!Y11*((s_ET_res_o*(1/24)*s_RadSpec!AD11)+(s_ET_res_i*(1/24)*s_RadSpec!AI11))),".")</f>
        <v>6.4671953857245827E-3</v>
      </c>
      <c r="W11" s="142">
        <f>IFERROR((s_C*s_EF_res*(1/365)*s_ED_res*s_RadSpec!U11*((s_ET_res_o*(1/24)*s_RadSpec!Z11)+(s_ET_res_i*(1/24)*s_RadSpec!AE11))),".")</f>
        <v>2.5681953543776055E-3</v>
      </c>
      <c r="X11" s="141" t="str">
        <f>IFERROR((s_DL/(s_RadSpec!L11*s_IFA_res_adj)),".")</f>
        <v>.</v>
      </c>
      <c r="Y11" s="141">
        <f>IFERROR((s_DL/(s_RadSpec!O11*s_EF_res*(1/365)*s_ED_res*s_ET_res*(1/24)*s_GSF_a)),".")</f>
        <v>0.34105509051975863</v>
      </c>
      <c r="Z11" s="141">
        <f t="shared" si="12"/>
        <v>0.34105509051975863</v>
      </c>
      <c r="AA11" s="142">
        <f t="shared" si="2"/>
        <v>501.30208333333326</v>
      </c>
      <c r="AB11" s="142">
        <f t="shared" si="3"/>
        <v>0.3139269406392694</v>
      </c>
      <c r="AC11" s="141"/>
      <c r="AD11" s="141" t="str">
        <f>IFERROR((s_DL/(s_RadSpec!M11*s_IFW_res_adj)),".")</f>
        <v>.</v>
      </c>
      <c r="AE11" s="141" t="str">
        <f>IFERROR(IF(s_RadSpec!C11=1,(s_DL/(s_RadSpec!L11*s_IFA_res_adj*s_K)),"."),".")</f>
        <v>.</v>
      </c>
      <c r="AF11" s="141">
        <f>IFERROR((s_DL/(s_RadSpec!Q11*(1/8760)*s_DFA_res_adj)),".")</f>
        <v>387.56260286336203</v>
      </c>
      <c r="AG11" s="141" t="str">
        <f>s_b2w!C11</f>
        <v>.</v>
      </c>
      <c r="AH11" s="141">
        <f>(IF(AND(AD11&lt;&gt;".",AE11&lt;&gt;".",AF11&lt;&gt;".",AG11&lt;&gt;"."),1/((1/AD11)+(1/AE11)+(1/AF11)+(1/AG11)),IF(AND(AD11&lt;&gt;".",AE11&lt;&gt;".",AF11&lt;&gt;".",AG11="."), 1/((1/AD11)+(1/AE11)+(1/AF11)),IF(AND(AD11&lt;&gt;".",AE11&lt;&gt;".",AF11=".",AG11&lt;&gt;"."),1/((1/AD11)+(1/AE11)+(1/AG11)),IF(AND(AD11&lt;&gt;".",AE11=".",AF11&lt;&gt;".",AG11&lt;&gt;"."),1/((1/AD11)+(1/AF11)+(1/AG11)),IF(AND(AD11=".",AE11&lt;&gt;".",AF11&lt;&gt;".",AG11&lt;&gt;"."),1/((1/AE11)+(1/AF11)+(1/AG11)),IF(AND(AD11&lt;&gt;".",AE11&lt;&gt;".",AF11=".",AG11="."),1/((1/AD11)+(1/AE11)),IF(AND(AD11&lt;&gt;".",AE11=".",AF11&lt;&gt;".",AG11="."),1/((1/AD11)+(1/AF11)),IF(AND(AD11&lt;&gt;".",AE11=".",AF11=".",AG11&lt;&gt;"."),1/((1/AD11)+(1/AG11)),IF(AND(AD11=".",AE11=".",AF11&lt;&gt;".",AG11&lt;&gt;"."),1/((1/AF11)+(1/AG11)),IF(AND(AD11=".",AE11&lt;&gt;".",AF11=".",AG11&lt;&gt;"."),1/((1/AE11)+(1/AG11)),IF(AND(AD11=".",AE11&lt;&gt;".",AF11&lt;&gt;".",AG11="."),1/((1/AE11)+(1/AF11)),IF(AND(AD11&lt;&gt;".",AE11=".",AF11=".",AG11="."),1/((1/AD11)),IF(AND(AD11=".",AE11&lt;&gt;".",AF11=".",AG11="."),1/((1/AE11)),IF(AND(AD11=".",AE11=".",AF11&lt;&gt;".",AG11="."),1/((1/AF11)),IF(AND(AD11=".",AE11=".",AF11=".",AG11&lt;&gt;"."),1/((1/AG11)),IF(AND(AD11=".",AE11=".",AF11=".",AG11="."),".")))))))))))))))))</f>
        <v>387.56260286336203</v>
      </c>
      <c r="AI11" s="142">
        <f t="shared" si="4"/>
        <v>1375</v>
      </c>
      <c r="AJ11" s="142">
        <f t="shared" si="5"/>
        <v>250.65104166666663</v>
      </c>
      <c r="AK11" s="142">
        <f t="shared" si="6"/>
        <v>0.12557077625570776</v>
      </c>
      <c r="AL11" s="142">
        <f>s_b2w!AB11</f>
        <v>400.61201161295031</v>
      </c>
      <c r="AM11" s="141"/>
      <c r="AN11" s="141" t="str">
        <f>IFERROR(s_DL/(s_RadSpec!J11*s_EF_res*s_ED_res*s_IRF_res*0.001*s_CF_res_fish),".")</f>
        <v>.</v>
      </c>
      <c r="AO11" s="142">
        <f t="shared" si="7"/>
        <v>7562.5</v>
      </c>
      <c r="AP11" s="141"/>
    </row>
    <row r="12" spans="1:42" x14ac:dyDescent="0.25">
      <c r="A12" s="128" t="s">
        <v>10</v>
      </c>
      <c r="B12" s="129" t="s">
        <v>1059</v>
      </c>
      <c r="C12" s="141" t="str">
        <f>IFERROR(((s_DL/(s_RadSpec!I12*s_IFS_res_adj*(1/1000)))*1),".")</f>
        <v>.</v>
      </c>
      <c r="D12" s="141" t="str">
        <f>IFERROR(IF(A12="H-3",(s_DL/((s_RadSpec!L12*s_IFA_res_adj*(1/17)*1000))*1),(s_DL/((s_RadSpec!L12*s_IFA_res_adj*(1/s_PEF_wind)*1000))*1)),".")</f>
        <v>.</v>
      </c>
      <c r="E12" s="141">
        <f>IFERROR((s_DL/(s_RadSpec!K12*s_EF_res*(1/365)*s_ED_res*s_RadSpec!V12*((s_ET_res_o*(1/24)*s_RadSpec!AA12)+(s_ET_res_i*(1/24)*s_RadSpec!AF12))))*1,".")</f>
        <v>3231.6700650377238</v>
      </c>
      <c r="F12" s="141" t="str">
        <f>s_b2s!C12</f>
        <v>.</v>
      </c>
      <c r="G12" s="141" t="str">
        <f>s_dir!C12</f>
        <v>.</v>
      </c>
      <c r="H12" s="141">
        <f t="shared" ref="H12" si="16">(IF(AND(C12&lt;&gt;".",D12&lt;&gt;".",E12&lt;&gt;".",F12&lt;&gt;"."),1/((1/C12)+(1/D12)+(1/E12)+(1/F12)),IF(AND(C12&lt;&gt;".",D12&lt;&gt;".",E12&lt;&gt;".",F12="."), 1/((1/C12)+(1/D12)+(1/E12)),IF(AND(C12&lt;&gt;".",D12&lt;&gt;".",E12=".",F12&lt;&gt;"."),1/((1/C12)+(1/D12)+(1/F12)),IF(AND(C12&lt;&gt;".",D12=".",E12&lt;&gt;".",F12&lt;&gt;"."),1/((1/C12)+(1/E12)+(1/F12)),IF(AND(C12=".",D12&lt;&gt;".",E12&lt;&gt;".",F12&lt;&gt;"."),1/((1/D12)+(1/E12)+(1/F12)),IF(AND(C12&lt;&gt;".",D12&lt;&gt;".",E12=".",F12="."),1/((1/C12)+(1/D12)),IF(AND(C12&lt;&gt;".",D12=".",E12&lt;&gt;".",F12="."),1/((1/C12)+(1/E12)),IF(AND(C12&lt;&gt;".",D12=".",E12=".",F12&lt;&gt;"."),1/((1/C12)+(1/F12)),IF(AND(C12=".",D12=".",E12&lt;&gt;".",F12&lt;&gt;"."),1/((1/E12)+(1/F12)),IF(AND(C12=".",D12&lt;&gt;".",E12=".",F12&lt;&gt;"."),1/((1/D12)+(1/F12)),IF(AND(C12=".",D12&lt;&gt;".",E12&lt;&gt;".",F12="."),1/((1/D12)+(1/E12)),IF(AND(C12&lt;&gt;".",D12=".",E12=".",F12="."),1/((1/C12)),IF(AND(C12=".",D12&lt;&gt;".",E12=".",F12="."),1/((1/D12)),IF(AND(C12=".",D12=".",E12&lt;&gt;".",F12="."),1/((1/E12)),IF(AND(C12=".",D12=".",E12=".",F12&lt;&gt;"."),1/((1/F12)),IF(AND(C12=".",D12=".",E12=".",F12="."),".")))))))))))))))))</f>
        <v>3231.6700650377238</v>
      </c>
      <c r="I12" s="142">
        <f t="shared" si="0"/>
        <v>15.125</v>
      </c>
      <c r="J12" s="142">
        <f t="shared" si="1"/>
        <v>1.618127279505213E-3</v>
      </c>
      <c r="K12" s="142">
        <f>IFERROR((s_C*s_EF_res*(1/365)*s_ED_res*s_RadSpec!V12*((s_ET_res_o*(1/24)*s_RadSpec!AA12)+(s_ET_res_i*(1/24)*s_RadSpec!AF12))),".")</f>
        <v>1.2625898034142624E-2</v>
      </c>
      <c r="L12" s="142">
        <f>s_b2s!AB12</f>
        <v>7112.53125</v>
      </c>
      <c r="M12" s="141"/>
      <c r="N12" s="141">
        <f>IFERROR((s_DL/(s_RadSpec!K12*s_EF_res*(1/365)*s_ED_res*s_RadSpec!V12*((s_ET_res_o*(1/24)*s_RadSpec!AA12)+(s_ET_res_i*(1/24)*s_RadSpec!AF12))))*1,".")</f>
        <v>3231.6700650377238</v>
      </c>
      <c r="O12" s="141">
        <f>IFERROR((s_DL/(s_RadSpec!R12*s_EF_res*(1/365)*s_ED_res*s_RadSpec!W12*((s_ET_res_o*(1/24)*s_RadSpec!AB12)+(s_ET_res_i*(1/24)*s_RadSpec!AG12))))*1,".")</f>
        <v>25629.192234854567</v>
      </c>
      <c r="P12" s="141">
        <f>IFERROR((s_DL/(s_RadSpec!S12*s_EF_res*(1/365)*s_ED_res*s_RadSpec!X12*((s_ET_res_o*(1/24)*s_RadSpec!AC12)+(s_ET_res_i*(1/24)*s_RadSpec!AH12))))*1,".")</f>
        <v>6661.2997636095015</v>
      </c>
      <c r="Q12" s="141">
        <f>IFERROR((s_DL/(s_RadSpec!T12*s_EF_res*(1/365)*s_ED_res*s_RadSpec!Y12*((s_ET_res_o*(1/24)*s_RadSpec!AD12)+(s_ET_res_i*(1/24)*s_RadSpec!AI12))))*1,".")</f>
        <v>3966.6167680609656</v>
      </c>
      <c r="R12" s="141">
        <f>IFERROR((s_DL/(s_RadSpec!P12*s_EF_res*(1/365)*s_ED_res*s_RadSpec!U12*((s_ET_res_o*(1/24)*s_RadSpec!Z12)+(s_ET_res_i*(1/24)*s_RadSpec!AE12))))*1,".")</f>
        <v>35206.140595690216</v>
      </c>
      <c r="S12" s="142">
        <f>IFERROR((s_C*s_EF_res*(1/365)*s_ED_res*s_RadSpec!V12*((s_ET_res_o*(1/24)*s_RadSpec!AA12)+(s_ET_res_i*(1/24)*s_RadSpec!AF12))),".")</f>
        <v>1.2625898034142624E-2</v>
      </c>
      <c r="T12" s="142">
        <f>IFERROR((s_C*s_EF_res*(1/365)*s_ED_res*s_RadSpec!W12*((s_ET_res_o*(1/24)*s_RadSpec!AB12)+(s_ET_res_i*(1/24)*s_RadSpec!AG12))),".")</f>
        <v>7.0375956889605134E-3</v>
      </c>
      <c r="U12" s="142">
        <f>IFERROR((s_C*s_EF_res*(1/365)*s_ED_res*s_RadSpec!X12*((s_ET_res_o*(1/24)*s_RadSpec!AC12)+(s_ET_res_i*(1/24)*s_RadSpec!AH12))),".")</f>
        <v>9.7058553291012404E-3</v>
      </c>
      <c r="V12" s="142">
        <f>IFERROR((s_C*s_EF_res*(1/365)*s_ED_res*s_RadSpec!Y12*((s_ET_res_o*(1/24)*s_RadSpec!AD12)+(s_ET_res_i*(1/24)*s_RadSpec!AI12))),".")</f>
        <v>1.099017272185825E-2</v>
      </c>
      <c r="W12" s="142">
        <f>IFERROR((s_C*s_EF_res*(1/365)*s_ED_res*s_RadSpec!U12*((s_ET_res_o*(1/24)*s_RadSpec!Z12)+(s_ET_res_i*(1/24)*s_RadSpec!AE12))),".")</f>
        <v>4.0768131775779483E-3</v>
      </c>
      <c r="X12" s="141" t="str">
        <f>IFERROR((s_DL/(s_RadSpec!L12*s_IFA_res_adj)),".")</f>
        <v>.</v>
      </c>
      <c r="Y12" s="141">
        <f>IFERROR((s_DL/(s_RadSpec!O12*s_EF_res*(1/365)*s_ED_res*s_ET_res*(1/24)*s_GSF_a)),".")</f>
        <v>7.6676054523327028E-2</v>
      </c>
      <c r="Z12" s="141">
        <f t="shared" si="12"/>
        <v>7.6676054523327028E-2</v>
      </c>
      <c r="AA12" s="142">
        <f t="shared" si="2"/>
        <v>501.30208333333326</v>
      </c>
      <c r="AB12" s="142">
        <f t="shared" si="3"/>
        <v>0.3139269406392694</v>
      </c>
      <c r="AC12" s="141"/>
      <c r="AD12" s="141" t="str">
        <f>IFERROR((s_DL/(s_RadSpec!M12*s_IFW_res_adj)),".")</f>
        <v>.</v>
      </c>
      <c r="AE12" s="141" t="str">
        <f>IFERROR(IF(s_RadSpec!C12=1,(s_DL/(s_RadSpec!L12*s_IFA_res_adj*s_K)),"."),".")</f>
        <v>.</v>
      </c>
      <c r="AF12" s="141">
        <f>IFERROR((s_DL/(s_RadSpec!Q12*(1/8760)*s_DFA_res_adj)),".")</f>
        <v>89.562786375987031</v>
      </c>
      <c r="AG12" s="141" t="str">
        <f>s_b2w!C12</f>
        <v>.</v>
      </c>
      <c r="AH12" s="141">
        <f>(IF(AND(AD12&lt;&gt;".",AE12&lt;&gt;".",AF12&lt;&gt;".",AG12&lt;&gt;"."),1/((1/AD12)+(1/AE12)+(1/AF12)+(1/AG12)),IF(AND(AD12&lt;&gt;".",AE12&lt;&gt;".",AF12&lt;&gt;".",AG12="."), 1/((1/AD12)+(1/AE12)+(1/AF12)),IF(AND(AD12&lt;&gt;".",AE12&lt;&gt;".",AF12=".",AG12&lt;&gt;"."),1/((1/AD12)+(1/AE12)+(1/AG12)),IF(AND(AD12&lt;&gt;".",AE12=".",AF12&lt;&gt;".",AG12&lt;&gt;"."),1/((1/AD12)+(1/AF12)+(1/AG12)),IF(AND(AD12=".",AE12&lt;&gt;".",AF12&lt;&gt;".",AG12&lt;&gt;"."),1/((1/AE12)+(1/AF12)+(1/AG12)),IF(AND(AD12&lt;&gt;".",AE12&lt;&gt;".",AF12=".",AG12="."),1/((1/AD12)+(1/AE12)),IF(AND(AD12&lt;&gt;".",AE12=".",AF12&lt;&gt;".",AG12="."),1/((1/AD12)+(1/AF12)),IF(AND(AD12&lt;&gt;".",AE12=".",AF12=".",AG12&lt;&gt;"."),1/((1/AD12)+(1/AG12)),IF(AND(AD12=".",AE12=".",AF12&lt;&gt;".",AG12&lt;&gt;"."),1/((1/AF12)+(1/AG12)),IF(AND(AD12=".",AE12&lt;&gt;".",AF12=".",AG12&lt;&gt;"."),1/((1/AE12)+(1/AG12)),IF(AND(AD12=".",AE12&lt;&gt;".",AF12&lt;&gt;".",AG12="."),1/((1/AE12)+(1/AF12)),IF(AND(AD12&lt;&gt;".",AE12=".",AF12=".",AG12="."),1/((1/AD12)),IF(AND(AD12=".",AE12&lt;&gt;".",AF12=".",AG12="."),1/((1/AE12)),IF(AND(AD12=".",AE12=".",AF12&lt;&gt;".",AG12="."),1/((1/AF12)),IF(AND(AD12=".",AE12=".",AF12=".",AG12&lt;&gt;"."),1/((1/AG12)),IF(AND(AD12=".",AE12=".",AF12=".",AG12="."),".")))))))))))))))))</f>
        <v>89.562786375987031</v>
      </c>
      <c r="AI12" s="142">
        <f t="shared" si="4"/>
        <v>1375</v>
      </c>
      <c r="AJ12" s="142">
        <f t="shared" si="5"/>
        <v>250.65104166666663</v>
      </c>
      <c r="AK12" s="142">
        <f t="shared" si="6"/>
        <v>0.12557077625570776</v>
      </c>
      <c r="AL12" s="142">
        <f>s_b2w!AB12</f>
        <v>1617.7781377865476</v>
      </c>
      <c r="AM12" s="141"/>
      <c r="AN12" s="141" t="str">
        <f>IFERROR(s_DL/(s_RadSpec!J12*s_EF_res*s_ED_res*s_IRF_res*0.001*s_CF_res_fish),".")</f>
        <v>.</v>
      </c>
      <c r="AO12" s="142">
        <f t="shared" si="7"/>
        <v>7562.5</v>
      </c>
      <c r="AP12" s="141"/>
    </row>
    <row r="13" spans="1:42" x14ac:dyDescent="0.25">
      <c r="A13" s="128" t="s">
        <v>11</v>
      </c>
      <c r="B13" s="129" t="s">
        <v>1059</v>
      </c>
      <c r="C13" s="141">
        <f>IFERROR(((s_DL/(s_RadSpec!I13*s_IFS_res_adj*(1/1000)))*1),".")</f>
        <v>3573.8217556399372</v>
      </c>
      <c r="D13" s="141">
        <f>IFERROR(IF(A13="H-3",(s_DL/((s_RadSpec!L13*s_IFA_res_adj*(1/17)*1000))*1),(s_DL/((s_RadSpec!L13*s_IFA_res_adj*(1/s_PEF_wind)*1000))*1)),".")</f>
        <v>331401.950293125</v>
      </c>
      <c r="E13" s="141">
        <f>IFERROR((s_DL/(s_RadSpec!K13*s_EF_res*(1/365)*s_ED_res*s_RadSpec!V13*((s_ET_res_o*(1/24)*s_RadSpec!AA13)+(s_ET_res_i*(1/24)*s_RadSpec!AF13))))*1,".")</f>
        <v>226951.14497758663</v>
      </c>
      <c r="F13" s="141">
        <f>s_b2s!C13</f>
        <v>112.20790441569662</v>
      </c>
      <c r="G13" s="141">
        <f>s_dir!C13</f>
        <v>2.3825478370932913</v>
      </c>
      <c r="H13" s="141">
        <f t="shared" ref="H13:H14" si="17">(IF(AND(C13&lt;&gt;".",D13&lt;&gt;".",E13&lt;&gt;".",F13&lt;&gt;"."),1/((1/C13)+(1/D13)+(1/E13)+(1/F13)),IF(AND(C13&lt;&gt;".",D13&lt;&gt;".",E13&lt;&gt;".",F13="."), 1/((1/C13)+(1/D13)+(1/E13)),IF(AND(C13&lt;&gt;".",D13&lt;&gt;".",E13=".",F13&lt;&gt;"."),1/((1/C13)+(1/D13)+(1/F13)),IF(AND(C13&lt;&gt;".",D13=".",E13&lt;&gt;".",F13&lt;&gt;"."),1/((1/C13)+(1/E13)+(1/F13)),IF(AND(C13=".",D13&lt;&gt;".",E13&lt;&gt;".",F13&lt;&gt;"."),1/((1/D13)+(1/E13)+(1/F13)),IF(AND(C13&lt;&gt;".",D13&lt;&gt;".",E13=".",F13="."),1/((1/C13)+(1/D13)),IF(AND(C13&lt;&gt;".",D13=".",E13&lt;&gt;".",F13="."),1/((1/C13)+(1/E13)),IF(AND(C13&lt;&gt;".",D13=".",E13=".",F13&lt;&gt;"."),1/((1/C13)+(1/F13)),IF(AND(C13=".",D13=".",E13&lt;&gt;".",F13&lt;&gt;"."),1/((1/E13)+(1/F13)),IF(AND(C13=".",D13&lt;&gt;".",E13=".",F13&lt;&gt;"."),1/((1/D13)+(1/F13)),IF(AND(C13=".",D13&lt;&gt;".",E13&lt;&gt;".",F13="."),1/((1/D13)+(1/E13)),IF(AND(C13&lt;&gt;".",D13=".",E13=".",F13="."),1/((1/C13)),IF(AND(C13=".",D13&lt;&gt;".",E13=".",F13="."),1/((1/D13)),IF(AND(C13=".",D13=".",E13&lt;&gt;".",F13="."),1/((1/E13)),IF(AND(C13=".",D13=".",E13=".",F13&lt;&gt;"."),1/((1/F13)),IF(AND(C13=".",D13=".",E13=".",F13="."),".")))))))))))))))))</f>
        <v>108.70434446389315</v>
      </c>
      <c r="I13" s="142">
        <f t="shared" si="0"/>
        <v>15.125</v>
      </c>
      <c r="J13" s="142">
        <f t="shared" si="1"/>
        <v>1.618127279505213E-3</v>
      </c>
      <c r="K13" s="142">
        <f>IFERROR((s_C*s_EF_res*(1/365)*s_ED_res*s_RadSpec!V13*((s_ET_res_o*(1/24)*s_RadSpec!AA13)+(s_ET_res_i*(1/24)*s_RadSpec!AF13))),".")</f>
        <v>1.6426169883011689E-3</v>
      </c>
      <c r="L13" s="142">
        <f>s_b2s!AB13</f>
        <v>481.73125000000005</v>
      </c>
      <c r="M13" s="141"/>
      <c r="N13" s="141">
        <f>IFERROR((s_DL/(s_RadSpec!K13*s_EF_res*(1/365)*s_ED_res*s_RadSpec!V13*((s_ET_res_o*(1/24)*s_RadSpec!AA13)+(s_ET_res_i*(1/24)*s_RadSpec!AF13))))*1,".")</f>
        <v>226951.14497758663</v>
      </c>
      <c r="O13" s="141">
        <f>IFERROR((s_DL/(s_RadSpec!R13*s_EF_res*(1/365)*s_ED_res*s_RadSpec!W13*((s_ET_res_o*(1/24)*s_RadSpec!AB13)+(s_ET_res_i*(1/24)*s_RadSpec!AG13))))*1,".")</f>
        <v>1480667.6249620041</v>
      </c>
      <c r="P13" s="141">
        <f>IFERROR((s_DL/(s_RadSpec!S13*s_EF_res*(1/365)*s_ED_res*s_RadSpec!X13*((s_ET_res_o*(1/24)*s_RadSpec!AC13)+(s_ET_res_i*(1/24)*s_RadSpec!AH13))))*1,".")</f>
        <v>369085.65973383986</v>
      </c>
      <c r="Q13" s="141">
        <f>IFERROR((s_DL/(s_RadSpec!T13*s_EF_res*(1/365)*s_ED_res*s_RadSpec!Y13*((s_ET_res_o*(1/24)*s_RadSpec!AD13)+(s_ET_res_i*(1/24)*s_RadSpec!AI13))))*1,".")</f>
        <v>243409.37874457389</v>
      </c>
      <c r="R13" s="141">
        <f>IFERROR((s_DL/(s_RadSpec!P13*s_EF_res*(1/365)*s_ED_res*s_RadSpec!U13*((s_ET_res_o*(1/24)*s_RadSpec!Z13)+(s_ET_res_i*(1/24)*s_RadSpec!AE13))))*1,".")</f>
        <v>11194560.401182281</v>
      </c>
      <c r="S13" s="142">
        <f>IFERROR((s_C*s_EF_res*(1/365)*s_ED_res*s_RadSpec!V13*((s_ET_res_o*(1/24)*s_RadSpec!AA13)+(s_ET_res_i*(1/24)*s_RadSpec!AF13))),".")</f>
        <v>1.6426169883011689E-3</v>
      </c>
      <c r="T13" s="142">
        <f>IFERROR((s_C*s_EF_res*(1/365)*s_ED_res*s_RadSpec!W13*((s_ET_res_o*(1/24)*s_RadSpec!AB13)+(s_ET_res_i*(1/24)*s_RadSpec!AG13))),".")</f>
        <v>7.5322427863596612E-4</v>
      </c>
      <c r="U13" s="142">
        <f>IFERROR((s_C*s_EF_res*(1/365)*s_ED_res*s_RadSpec!X13*((s_ET_res_o*(1/24)*s_RadSpec!AC13)+(s_ET_res_i*(1/24)*s_RadSpec!AH13))),".")</f>
        <v>1.267856005097165E-3</v>
      </c>
      <c r="V13" s="142">
        <f>IFERROR((s_C*s_EF_res*(1/365)*s_ED_res*s_RadSpec!Y13*((s_ET_res_o*(1/24)*s_RadSpec!AD13)+(s_ET_res_i*(1/24)*s_RadSpec!AI13))),".")</f>
        <v>1.5358287822098843E-3</v>
      </c>
      <c r="W13" s="142">
        <f>IFERROR((s_C*s_EF_res*(1/365)*s_ED_res*s_RadSpec!U13*((s_ET_res_o*(1/24)*s_RadSpec!Z13)+(s_ET_res_i*(1/24)*s_RadSpec!AE13))),".")</f>
        <v>7.8294026267476373E-5</v>
      </c>
      <c r="X13" s="141">
        <f>IFERROR((s_DL/(s_RadSpec!L13*s_IFA_res_adj)),".")</f>
        <v>1.0697153554296412</v>
      </c>
      <c r="Y13" s="141">
        <f>IFERROR((s_DL/(s_RadSpec!O13*s_EF_res*(1/365)*s_ED_res*s_ET_res*(1/24)*s_GSF_a)),".")</f>
        <v>0.49571960831360268</v>
      </c>
      <c r="Z13" s="141">
        <f t="shared" si="12"/>
        <v>0.33874219580009468</v>
      </c>
      <c r="AA13" s="142">
        <f t="shared" si="2"/>
        <v>501.30208333333326</v>
      </c>
      <c r="AB13" s="142">
        <f t="shared" si="3"/>
        <v>0.3139269406392694</v>
      </c>
      <c r="AC13" s="141"/>
      <c r="AD13" s="141">
        <f>IFERROR((s_DL/(s_RadSpec!M13*s_IFW_res_adj)),".")</f>
        <v>39.31203931203931</v>
      </c>
      <c r="AE13" s="141" t="str">
        <f>IFERROR(IF(s_RadSpec!C13=1,(s_DL/(s_RadSpec!L13*s_IFA_res_adj*s_K)),"."),".")</f>
        <v>.</v>
      </c>
      <c r="AF13" s="141">
        <f>IFERROR((s_DL/(s_RadSpec!Q13*(1/8760)*s_DFA_res_adj)),".")</f>
        <v>552.22650667059361</v>
      </c>
      <c r="AG13" s="141">
        <f>s_b2w!C13</f>
        <v>180.0401251308069</v>
      </c>
      <c r="AH13" s="141">
        <f>(IF(AND(AD13&lt;&gt;".",AE13&lt;&gt;".",AF13&lt;&gt;".",AG13&lt;&gt;"."),1/((1/AD13)+(1/AE13)+(1/AF13)+(1/AG13)),IF(AND(AD13&lt;&gt;".",AE13&lt;&gt;".",AF13&lt;&gt;".",AG13="."), 1/((1/AD13)+(1/AE13)+(1/AF13)),IF(AND(AD13&lt;&gt;".",AE13&lt;&gt;".",AF13=".",AG13&lt;&gt;"."),1/((1/AD13)+(1/AE13)+(1/AG13)),IF(AND(AD13&lt;&gt;".",AE13=".",AF13&lt;&gt;".",AG13&lt;&gt;"."),1/((1/AD13)+(1/AF13)+(1/AG13)),IF(AND(AD13=".",AE13&lt;&gt;".",AF13&lt;&gt;".",AG13&lt;&gt;"."),1/((1/AE13)+(1/AF13)+(1/AG13)),IF(AND(AD13&lt;&gt;".",AE13&lt;&gt;".",AF13=".",AG13="."),1/((1/AD13)+(1/AE13)),IF(AND(AD13&lt;&gt;".",AE13=".",AF13&lt;&gt;".",AG13="."),1/((1/AD13)+(1/AF13)),IF(AND(AD13&lt;&gt;".",AE13=".",AF13=".",AG13&lt;&gt;"."),1/((1/AD13)+(1/AG13)),IF(AND(AD13=".",AE13=".",AF13&lt;&gt;".",AG13&lt;&gt;"."),1/((1/AF13)+(1/AG13)),IF(AND(AD13=".",AE13&lt;&gt;".",AF13=".",AG13&lt;&gt;"."),1/((1/AE13)+(1/AG13)),IF(AND(AD13=".",AE13&lt;&gt;".",AF13&lt;&gt;".",AG13="."),1/((1/AE13)+(1/AF13)),IF(AND(AD13&lt;&gt;".",AE13=".",AF13=".",AG13="."),1/((1/AD13)),IF(AND(AD13=".",AE13&lt;&gt;".",AF13=".",AG13="."),1/((1/AE13)),IF(AND(AD13=".",AE13=".",AF13&lt;&gt;".",AG13="."),1/((1/AF13)),IF(AND(AD13=".",AE13=".",AF13=".",AG13&lt;&gt;"."),1/((1/AG13)),IF(AND(AD13=".",AE13=".",AF13=".",AG13="."),".")))))))))))))))))</f>
        <v>30.485324652307764</v>
      </c>
      <c r="AI13" s="142">
        <f t="shared" si="4"/>
        <v>1375</v>
      </c>
      <c r="AJ13" s="142">
        <f t="shared" si="5"/>
        <v>250.65104166666663</v>
      </c>
      <c r="AK13" s="142">
        <f t="shared" si="6"/>
        <v>0.12557077625570776</v>
      </c>
      <c r="AL13" s="142">
        <f>s_b2w!AB13</f>
        <v>300.23337305937468</v>
      </c>
      <c r="AM13" s="141"/>
      <c r="AN13" s="141">
        <f>IFERROR(s_DL/(s_RadSpec!J13*s_EF_res*s_ED_res*s_IRF_res*0.001*s_CF_res_fish),".")</f>
        <v>7.1476435112798749</v>
      </c>
      <c r="AO13" s="142">
        <f t="shared" si="7"/>
        <v>7562.5</v>
      </c>
      <c r="AP13" s="141"/>
    </row>
    <row r="14" spans="1:42" x14ac:dyDescent="0.25">
      <c r="A14" s="128" t="s">
        <v>12</v>
      </c>
      <c r="B14" s="129" t="s">
        <v>1059</v>
      </c>
      <c r="C14" s="141">
        <f>IFERROR(((s_DL/(s_RadSpec!I14*s_IFS_res_adj*(1/1000)))*1),".")</f>
        <v>338430.09049620619</v>
      </c>
      <c r="D14" s="141">
        <f>IFERROR(IF(A14="H-3",(s_DL/((s_RadSpec!L14*s_IFA_res_adj*(1/17)*1000))*1),(s_DL/((s_RadSpec!L14*s_IFA_res_adj*(1/s_PEF_wind)*1000))*1)),".")</f>
        <v>915715915.28363478</v>
      </c>
      <c r="E14" s="141">
        <f>IFERROR((s_DL/(s_RadSpec!K14*s_EF_res*(1/365)*s_ED_res*s_RadSpec!V14*((s_ET_res_o*(1/24)*s_RadSpec!AA14)+(s_ET_res_i*(1/24)*s_RadSpec!AF14))))*1,".")</f>
        <v>2244.1970085463927</v>
      </c>
      <c r="F14" s="141">
        <f>s_b2s!C14</f>
        <v>9600.8536310980489</v>
      </c>
      <c r="G14" s="141">
        <f>s_dir!C14</f>
        <v>225.62006033080414</v>
      </c>
      <c r="H14" s="141">
        <f t="shared" si="17"/>
        <v>1809.2769013631121</v>
      </c>
      <c r="I14" s="142">
        <f t="shared" si="0"/>
        <v>15.125</v>
      </c>
      <c r="J14" s="142">
        <f t="shared" si="1"/>
        <v>1.618127279505213E-3</v>
      </c>
      <c r="K14" s="142">
        <f>IFERROR((s_C*s_EF_res*(1/365)*s_ED_res*s_RadSpec!V14*((s_ET_res_o*(1/24)*s_RadSpec!AA14)+(s_ET_res_i*(1/24)*s_RadSpec!AF14))),".")</f>
        <v>1.0942225368809278E-2</v>
      </c>
      <c r="L14" s="142">
        <f>s_b2s!AB14</f>
        <v>533.15625</v>
      </c>
      <c r="M14" s="141"/>
      <c r="N14" s="141">
        <f>IFERROR((s_DL/(s_RadSpec!K14*s_EF_res*(1/365)*s_ED_res*s_RadSpec!V14*((s_ET_res_o*(1/24)*s_RadSpec!AA14)+(s_ET_res_i*(1/24)*s_RadSpec!AF14))))*1,".")</f>
        <v>2244.1970085463927</v>
      </c>
      <c r="O14" s="141">
        <f>IFERROR((s_DL/(s_RadSpec!R14*s_EF_res*(1/365)*s_ED_res*s_RadSpec!W14*((s_ET_res_o*(1/24)*s_RadSpec!AB14)+(s_ET_res_i*(1/24)*s_RadSpec!AG14))))*1,".")</f>
        <v>17490.182286907551</v>
      </c>
      <c r="P14" s="141">
        <f>IFERROR((s_DL/(s_RadSpec!S14*s_EF_res*(1/365)*s_ED_res*s_RadSpec!X14*((s_ET_res_o*(1/24)*s_RadSpec!AC14)+(s_ET_res_i*(1/24)*s_RadSpec!AH14))))*1,".")</f>
        <v>4652.3213284485228</v>
      </c>
      <c r="Q14" s="141">
        <f>IFERROR((s_DL/(s_RadSpec!T14*s_EF_res*(1/365)*s_ED_res*s_RadSpec!Y14*((s_ET_res_o*(1/24)*s_RadSpec!AD14)+(s_ET_res_i*(1/24)*s_RadSpec!AI14))))*1,".")</f>
        <v>2788.9828245151784</v>
      </c>
      <c r="R14" s="141">
        <f>IFERROR((s_DL/(s_RadSpec!P14*s_EF_res*(1/365)*s_ED_res*s_RadSpec!U14*((s_ET_res_o*(1/24)*s_RadSpec!Z14)+(s_ET_res_i*(1/24)*s_RadSpec!AE14))))*1,".")</f>
        <v>49029.241007515826</v>
      </c>
      <c r="S14" s="142">
        <f>IFERROR((s_C*s_EF_res*(1/365)*s_ED_res*s_RadSpec!V14*((s_ET_res_o*(1/24)*s_RadSpec!AA14)+(s_ET_res_i*(1/24)*s_RadSpec!AF14))),".")</f>
        <v>1.0942225368809278E-2</v>
      </c>
      <c r="T14" s="142">
        <f>IFERROR((s_C*s_EF_res*(1/365)*s_ED_res*s_RadSpec!W14*((s_ET_res_o*(1/24)*s_RadSpec!AB14)+(s_ET_res_i*(1/24)*s_RadSpec!AG14))),".")</f>
        <v>6.0251113844926154E-3</v>
      </c>
      <c r="U14" s="142">
        <f>IFERROR((s_C*s_EF_res*(1/365)*s_ED_res*s_RadSpec!X14*((s_ET_res_o*(1/24)*s_RadSpec!AC14)+(s_ET_res_i*(1/24)*s_RadSpec!AH14))),".")</f>
        <v>8.1492703990470473E-3</v>
      </c>
      <c r="V14" s="142">
        <f>IFERROR((s_C*s_EF_res*(1/365)*s_ED_res*s_RadSpec!Y14*((s_ET_res_o*(1/24)*s_RadSpec!AD14)+(s_ET_res_i*(1/24)*s_RadSpec!AI14))),".")</f>
        <v>9.2996712328767099E-3</v>
      </c>
      <c r="W14" s="142">
        <f>IFERROR((s_C*s_EF_res*(1/365)*s_ED_res*s_RadSpec!U14*((s_ET_res_o*(1/24)*s_RadSpec!Z14)+(s_ET_res_i*(1/24)*s_RadSpec!AE14))),".")</f>
        <v>2.1593296980981507E-3</v>
      </c>
      <c r="X14" s="141">
        <f>IFERROR((s_DL/(s_RadSpec!L14*s_IFA_res_adj)),".")</f>
        <v>2955.7924294766399</v>
      </c>
      <c r="Y14" s="141">
        <f>IFERROR((s_DL/(s_RadSpec!O14*s_EF_res*(1/365)*s_ED_res*s_ET_res*(1/24)*s_GSF_a)),".")</f>
        <v>4.5989089875911354E-2</v>
      </c>
      <c r="Z14" s="141">
        <f t="shared" si="12"/>
        <v>4.5988374344110176E-2</v>
      </c>
      <c r="AA14" s="142">
        <f t="shared" si="2"/>
        <v>501.30208333333326</v>
      </c>
      <c r="AB14" s="142">
        <f t="shared" si="3"/>
        <v>0.3139269406392694</v>
      </c>
      <c r="AC14" s="141"/>
      <c r="AD14" s="141">
        <f>IFERROR((s_DL/(s_RadSpec!M14*s_IFW_res_adj)),".")</f>
        <v>3722.7309954582679</v>
      </c>
      <c r="AE14" s="141" t="str">
        <f>IFERROR(IF(s_RadSpec!C14=1,(s_DL/(s_RadSpec!L14*s_IFA_res_adj*s_K)),"."),".")</f>
        <v>.</v>
      </c>
      <c r="AF14" s="141">
        <f>IFERROR((s_DL/(s_RadSpec!Q14*(1/8760)*s_DFA_res_adj)),".")</f>
        <v>52.502323047992398</v>
      </c>
      <c r="AG14" s="141">
        <f>s_b2w!C14</f>
        <v>16488.096096734134</v>
      </c>
      <c r="AH14" s="141">
        <f>(IF(AND(AD14&lt;&gt;".",AE14&lt;&gt;".",AF14&lt;&gt;".",AG14&lt;&gt;"."),1/((1/AD14)+(1/AE14)+(1/AF14)+(1/AG14)),IF(AND(AD14&lt;&gt;".",AE14&lt;&gt;".",AF14&lt;&gt;".",AG14="."), 1/((1/AD14)+(1/AE14)+(1/AF14)),IF(AND(AD14&lt;&gt;".",AE14&lt;&gt;".",AF14=".",AG14&lt;&gt;"."),1/((1/AD14)+(1/AE14)+(1/AG14)),IF(AND(AD14&lt;&gt;".",AE14=".",AF14&lt;&gt;".",AG14&lt;&gt;"."),1/((1/AD14)+(1/AF14)+(1/AG14)),IF(AND(AD14=".",AE14&lt;&gt;".",AF14&lt;&gt;".",AG14&lt;&gt;"."),1/((1/AE14)+(1/AF14)+(1/AG14)),IF(AND(AD14&lt;&gt;".",AE14&lt;&gt;".",AF14=".",AG14="."),1/((1/AD14)+(1/AE14)),IF(AND(AD14&lt;&gt;".",AE14=".",AF14&lt;&gt;".",AG14="."),1/((1/AD14)+(1/AF14)),IF(AND(AD14&lt;&gt;".",AE14=".",AF14=".",AG14&lt;&gt;"."),1/((1/AD14)+(1/AG14)),IF(AND(AD14=".",AE14=".",AF14&lt;&gt;".",AG14&lt;&gt;"."),1/((1/AF14)+(1/AG14)),IF(AND(AD14=".",AE14&lt;&gt;".",AF14=".",AG14&lt;&gt;"."),1/((1/AE14)+(1/AG14)),IF(AND(AD14=".",AE14&lt;&gt;".",AF14&lt;&gt;".",AG14="."),1/((1/AE14)+(1/AF14)),IF(AND(AD14&lt;&gt;".",AE14=".",AF14=".",AG14="."),1/((1/AD14)),IF(AND(AD14=".",AE14&lt;&gt;".",AF14=".",AG14="."),1/((1/AE14)),IF(AND(AD14=".",AE14=".",AF14&lt;&gt;".",AG14="."),1/((1/AF14)),IF(AND(AD14=".",AE14=".",AF14=".",AG14&lt;&gt;"."),1/((1/AG14)),IF(AND(AD14=".",AE14=".",AF14=".",AG14="."),".")))))))))))))))))</f>
        <v>51.610116753531877</v>
      </c>
      <c r="AI14" s="142">
        <f t="shared" si="4"/>
        <v>1375</v>
      </c>
      <c r="AJ14" s="142">
        <f t="shared" si="5"/>
        <v>250.65104166666663</v>
      </c>
      <c r="AK14" s="142">
        <f t="shared" si="6"/>
        <v>0.12557077625570776</v>
      </c>
      <c r="AL14" s="142">
        <f>s_b2w!AB14</f>
        <v>310.45155782231353</v>
      </c>
      <c r="AM14" s="141"/>
      <c r="AN14" s="141">
        <f>IFERROR(s_DL/(s_RadSpec!J14*s_EF_res*s_ED_res*s_IRF_res*0.001*s_CF_res_fish),".")</f>
        <v>676.86018099241232</v>
      </c>
      <c r="AO14" s="142">
        <f t="shared" si="7"/>
        <v>7562.5</v>
      </c>
      <c r="AP14" s="141"/>
    </row>
    <row r="15" spans="1:42" x14ac:dyDescent="0.25">
      <c r="A15" s="128" t="s">
        <v>13</v>
      </c>
      <c r="B15" s="129" t="s">
        <v>1059</v>
      </c>
      <c r="C15" s="141">
        <f>IFERROR(((s_DL/(s_RadSpec!I15*s_IFS_res_adj*(1/1000)))*1),".")</f>
        <v>5980290.7557562534</v>
      </c>
      <c r="D15" s="141">
        <f>IFERROR(IF(A15="H-3",(s_DL/((s_RadSpec!L15*s_IFA_res_adj*(1/17)*1000))*1),(s_DL/((s_RadSpec!L15*s_IFA_res_adj*(1/s_PEF_wind)*1000))*1)),".")</f>
        <v>59823274694.747505</v>
      </c>
      <c r="E15" s="141" t="str">
        <f>IFERROR((s_DL/(s_RadSpec!K15*s_EF_res*(1/365)*s_ED_res*s_RadSpec!V15*((s_ET_res_o*(1/24)*s_RadSpec!AA15)+(s_ET_res_i*(1/24)*s_RadSpec!AF15))))*1,".")</f>
        <v>.</v>
      </c>
      <c r="F15" s="141">
        <f>s_b2s!C15</f>
        <v>193568.23938359777</v>
      </c>
      <c r="G15" s="141">
        <f>s_dir!C15</f>
        <v>3986.8605038375017</v>
      </c>
      <c r="H15" s="141">
        <f t="shared" ref="H15:H21" si="18">(IF(AND(C15&lt;&gt;".",D15&lt;&gt;".",E15&lt;&gt;".",F15&lt;&gt;"."),1/((1/C15)+(1/D15)+(1/E15)+(1/F15)),IF(AND(C15&lt;&gt;".",D15&lt;&gt;".",E15&lt;&gt;".",F15="."), 1/((1/C15)+(1/D15)+(1/E15)),IF(AND(C15&lt;&gt;".",D15&lt;&gt;".",E15=".",F15&lt;&gt;"."),1/((1/C15)+(1/D15)+(1/F15)),IF(AND(C15&lt;&gt;".",D15=".",E15&lt;&gt;".",F15&lt;&gt;"."),1/((1/C15)+(1/E15)+(1/F15)),IF(AND(C15=".",D15&lt;&gt;".",E15&lt;&gt;".",F15&lt;&gt;"."),1/((1/D15)+(1/E15)+(1/F15)),IF(AND(C15&lt;&gt;".",D15&lt;&gt;".",E15=".",F15="."),1/((1/C15)+(1/D15)),IF(AND(C15&lt;&gt;".",D15=".",E15&lt;&gt;".",F15="."),1/((1/C15)+(1/E15)),IF(AND(C15&lt;&gt;".",D15=".",E15=".",F15&lt;&gt;"."),1/((1/C15)+(1/F15)),IF(AND(C15=".",D15=".",E15&lt;&gt;".",F15&lt;&gt;"."),1/((1/E15)+(1/F15)),IF(AND(C15=".",D15&lt;&gt;".",E15=".",F15&lt;&gt;"."),1/((1/D15)+(1/F15)),IF(AND(C15=".",D15&lt;&gt;".",E15&lt;&gt;".",F15="."),1/((1/D15)+(1/E15)),IF(AND(C15&lt;&gt;".",D15=".",E15=".",F15="."),1/((1/C15)),IF(AND(C15=".",D15&lt;&gt;".",E15=".",F15="."),1/((1/D15)),IF(AND(C15=".",D15=".",E15&lt;&gt;".",F15="."),1/((1/E15)),IF(AND(C15=".",D15=".",E15=".",F15&lt;&gt;"."),1/((1/F15)),IF(AND(C15=".",D15=".",E15=".",F15="."),".")))))))))))))))))</f>
        <v>187498.73059309245</v>
      </c>
      <c r="I15" s="142">
        <f t="shared" si="0"/>
        <v>15.125</v>
      </c>
      <c r="J15" s="142">
        <f t="shared" si="1"/>
        <v>1.618127279505213E-3</v>
      </c>
      <c r="K15" s="142">
        <f>IFERROR((s_C*s_EF_res*(1/365)*s_ED_res*s_RadSpec!V15*((s_ET_res_o*(1/24)*s_RadSpec!AA15)+(s_ET_res_i*(1/24)*s_RadSpec!AF15))),".")</f>
        <v>0</v>
      </c>
      <c r="L15" s="142">
        <f>s_b2s!AB15</f>
        <v>467.28687500000001</v>
      </c>
      <c r="M15" s="141"/>
      <c r="N15" s="141" t="str">
        <f>IFERROR((s_DL/(s_RadSpec!K15*s_EF_res*(1/365)*s_ED_res*s_RadSpec!V15*((s_ET_res_o*(1/24)*s_RadSpec!AA15)+(s_ET_res_i*(1/24)*s_RadSpec!AF15))))*1,".")</f>
        <v>.</v>
      </c>
      <c r="O15" s="141" t="str">
        <f>IFERROR((s_DL/(s_RadSpec!R15*s_EF_res*(1/365)*s_ED_res*s_RadSpec!W15*((s_ET_res_o*(1/24)*s_RadSpec!AB15)+(s_ET_res_i*(1/24)*s_RadSpec!AG15))))*1,".")</f>
        <v>.</v>
      </c>
      <c r="P15" s="141" t="str">
        <f>IFERROR((s_DL/(s_RadSpec!S15*s_EF_res*(1/365)*s_ED_res*s_RadSpec!X15*((s_ET_res_o*(1/24)*s_RadSpec!AC15)+(s_ET_res_i*(1/24)*s_RadSpec!AH15))))*1,".")</f>
        <v>.</v>
      </c>
      <c r="Q15" s="141" t="str">
        <f>IFERROR((s_DL/(s_RadSpec!T15*s_EF_res*(1/365)*s_ED_res*s_RadSpec!Y15*((s_ET_res_o*(1/24)*s_RadSpec!AD15)+(s_ET_res_i*(1/24)*s_RadSpec!AI15))))*1,".")</f>
        <v>.</v>
      </c>
      <c r="R15" s="141" t="str">
        <f>IFERROR((s_DL/(s_RadSpec!P15*s_EF_res*(1/365)*s_ED_res*s_RadSpec!U15*((s_ET_res_o*(1/24)*s_RadSpec!Z15)+(s_ET_res_i*(1/24)*s_RadSpec!AE15))))*1,".")</f>
        <v>.</v>
      </c>
      <c r="S15" s="142">
        <f>IFERROR((s_C*s_EF_res*(1/365)*s_ED_res*s_RadSpec!V15*((s_ET_res_o*(1/24)*s_RadSpec!AA15)+(s_ET_res_i*(1/24)*s_RadSpec!AF15))),".")</f>
        <v>0</v>
      </c>
      <c r="T15" s="142">
        <f>IFERROR((s_C*s_EF_res*(1/365)*s_ED_res*s_RadSpec!W15*((s_ET_res_o*(1/24)*s_RadSpec!AB15)+(s_ET_res_i*(1/24)*s_RadSpec!AG15))),".")</f>
        <v>0</v>
      </c>
      <c r="U15" s="142">
        <f>IFERROR((s_C*s_EF_res*(1/365)*s_ED_res*s_RadSpec!X15*((s_ET_res_o*(1/24)*s_RadSpec!AC15)+(s_ET_res_i*(1/24)*s_RadSpec!AH15))),".")</f>
        <v>0</v>
      </c>
      <c r="V15" s="142">
        <f>IFERROR((s_C*s_EF_res*(1/365)*s_ED_res*s_RadSpec!Y15*((s_ET_res_o*(1/24)*s_RadSpec!AD15)+(s_ET_res_i*(1/24)*s_RadSpec!AI15))),".")</f>
        <v>0</v>
      </c>
      <c r="W15" s="142">
        <f>IFERROR((s_C*s_EF_res*(1/365)*s_ED_res*s_RadSpec!U15*((s_ET_res_o*(1/24)*s_RadSpec!Z15)+(s_ET_res_i*(1/24)*s_RadSpec!AE15))),".")</f>
        <v>0</v>
      </c>
      <c r="X15" s="141">
        <f>IFERROR((s_DL/(s_RadSpec!L15*s_IFA_res_adj)),".")</f>
        <v>193100.47963343095</v>
      </c>
      <c r="Y15" s="141">
        <f>IFERROR((s_DL/(s_RadSpec!O15*s_EF_res*(1/365)*s_ED_res*s_ET_res*(1/24)*s_GSF_a)),".")</f>
        <v>4.2631886314969822</v>
      </c>
      <c r="Z15" s="141">
        <f t="shared" ref="Z15:Z16" si="19">IFERROR(IF(AND(X15&lt;&gt;".",Y15&lt;&gt;"."),1/((1/X15)+(1/Y15)),IF(AND(X15&lt;&gt;".",Y15="."),1/((1/X15)),IF(AND(X15=".",Y15&lt;&gt;"."),1/((1/Y15)),IF(AND(X15=".",Y15="."),".")))),".")</f>
        <v>4.2630945127454583</v>
      </c>
      <c r="AA15" s="142">
        <f t="shared" si="2"/>
        <v>501.30208333333326</v>
      </c>
      <c r="AB15" s="142">
        <f t="shared" si="3"/>
        <v>0.3139269406392694</v>
      </c>
      <c r="AC15" s="141"/>
      <c r="AD15" s="141">
        <f>IFERROR((s_DL/(s_RadSpec!M15*s_IFW_res_adj)),".")</f>
        <v>65783.198313318804</v>
      </c>
      <c r="AE15" s="141" t="str">
        <f>IFERROR(IF(s_RadSpec!C15=1,(s_DL/(s_RadSpec!L15*s_IFA_res_adj*s_K)),"."),".")</f>
        <v>.</v>
      </c>
      <c r="AF15" s="141">
        <f>IFERROR((s_DL/(s_RadSpec!Q15*(1/8760)*s_DFA_res_adj)),".")</f>
        <v>9516.0460524486225</v>
      </c>
      <c r="AG15" s="141">
        <f>s_b2w!C15</f>
        <v>304179.79704227962</v>
      </c>
      <c r="AH15" s="141">
        <f t="shared" ref="AH15:AH16" si="20">(IF(AND(AD15&lt;&gt;".",AE15&lt;&gt;".",AF15&lt;&gt;".",AG15&lt;&gt;"."),1/((1/AD15)+(1/AE15)+(1/AF15)+(1/AG15)),IF(AND(AD15&lt;&gt;".",AE15&lt;&gt;".",AF15&lt;&gt;".",AG15="."), 1/((1/AD15)+(1/AE15)+(1/AF15)),IF(AND(AD15&lt;&gt;".",AE15&lt;&gt;".",AF15=".",AG15&lt;&gt;"."),1/((1/AD15)+(1/AE15)+(1/AG15)),IF(AND(AD15&lt;&gt;".",AE15=".",AF15&lt;&gt;".",AG15&lt;&gt;"."),1/((1/AD15)+(1/AF15)+(1/AG15)),IF(AND(AD15=".",AE15&lt;&gt;".",AF15&lt;&gt;".",AG15&lt;&gt;"."),1/((1/AE15)+(1/AF15)+(1/AG15)),IF(AND(AD15&lt;&gt;".",AE15&lt;&gt;".",AF15=".",AG15="."),1/((1/AD15)+(1/AE15)),IF(AND(AD15&lt;&gt;".",AE15=".",AF15&lt;&gt;".",AG15="."),1/((1/AD15)+(1/AF15)),IF(AND(AD15&lt;&gt;".",AE15=".",AF15=".",AG15&lt;&gt;"."),1/((1/AD15)+(1/AG15)),IF(AND(AD15=".",AE15=".",AF15&lt;&gt;".",AG15&lt;&gt;"."),1/((1/AF15)+(1/AG15)),IF(AND(AD15=".",AE15&lt;&gt;".",AF15=".",AG15&lt;&gt;"."),1/((1/AE15)+(1/AG15)),IF(AND(AD15=".",AE15&lt;&gt;".",AF15&lt;&gt;".",AG15="."),1/((1/AE15)+(1/AF15)),IF(AND(AD15&lt;&gt;".",AE15=".",AF15=".",AG15="."),1/((1/AD15)),IF(AND(AD15=".",AE15&lt;&gt;".",AF15=".",AG15="."),1/((1/AE15)),IF(AND(AD15=".",AE15=".",AF15&lt;&gt;".",AG15="."),1/((1/AF15)),IF(AND(AD15=".",AE15=".",AF15=".",AG15&lt;&gt;"."),1/((1/AG15)),IF(AND(AD15=".",AE15=".",AF15=".",AG15="."),".")))))))))))))))))</f>
        <v>8092.2751507963749</v>
      </c>
      <c r="AI15" s="142">
        <f t="shared" si="4"/>
        <v>1375</v>
      </c>
      <c r="AJ15" s="142">
        <f t="shared" si="5"/>
        <v>250.65104166666663</v>
      </c>
      <c r="AK15" s="142">
        <f t="shared" si="6"/>
        <v>0.12557077625570776</v>
      </c>
      <c r="AL15" s="142">
        <f>s_b2w!AB15</f>
        <v>297.36326528037273</v>
      </c>
      <c r="AM15" s="141"/>
      <c r="AN15" s="141">
        <f>IFERROR(s_DL/(s_RadSpec!J15*s_EF_res*s_ED_res*s_IRF_res*0.001*s_CF_res_fish),".")</f>
        <v>11960.581511512508</v>
      </c>
      <c r="AO15" s="142">
        <f t="shared" si="7"/>
        <v>7562.5</v>
      </c>
      <c r="AP15" s="141"/>
    </row>
    <row r="16" spans="1:42" x14ac:dyDescent="0.25">
      <c r="A16" s="128" t="s">
        <v>14</v>
      </c>
      <c r="B16" s="129" t="s">
        <v>1059</v>
      </c>
      <c r="C16" s="141">
        <f>IFERROR(((s_DL/(s_RadSpec!I16*s_IFS_res_adj*(1/1000)))*1),".")</f>
        <v>437.96835240685505</v>
      </c>
      <c r="D16" s="141">
        <f>IFERROR(IF(A16="H-3",(s_DL/((s_RadSpec!L16*s_IFA_res_adj*(1/17)*1000))*1),(s_DL/((s_RadSpec!L16*s_IFA_res_adj*(1/s_PEF_wind)*1000))*1)),".")</f>
        <v>692481.68717966415</v>
      </c>
      <c r="E16" s="141">
        <f>IFERROR((s_DL/(s_RadSpec!K16*s_EF_res*(1/365)*s_ED_res*s_RadSpec!V16*((s_ET_res_o*(1/24)*s_RadSpec!AA16)+(s_ET_res_i*(1/24)*s_RadSpec!AF16))))*1,".")</f>
        <v>10156252695.580772</v>
      </c>
      <c r="F16" s="141">
        <f>s_b2s!C16</f>
        <v>14.176026943092898</v>
      </c>
      <c r="G16" s="141">
        <f>s_dir!C16</f>
        <v>0.29197890160457007</v>
      </c>
      <c r="H16" s="141">
        <f t="shared" si="18"/>
        <v>13.731295415963858</v>
      </c>
      <c r="I16" s="142">
        <f t="shared" si="0"/>
        <v>15.125</v>
      </c>
      <c r="J16" s="142">
        <f t="shared" si="1"/>
        <v>1.618127279505213E-3</v>
      </c>
      <c r="K16" s="142">
        <f>IFERROR((s_C*s_EF_res*(1/365)*s_ED_res*s_RadSpec!V16*((s_ET_res_o*(1/24)*s_RadSpec!AA16)+(s_ET_res_i*(1/24)*s_RadSpec!AF16))),".")</f>
        <v>1.1765533268101753E-6</v>
      </c>
      <c r="L16" s="142">
        <f>s_b2s!AB16</f>
        <v>467.28687500000001</v>
      </c>
      <c r="M16" s="141"/>
      <c r="N16" s="141">
        <f>IFERROR((s_DL/(s_RadSpec!K16*s_EF_res*(1/365)*s_ED_res*s_RadSpec!V16*((s_ET_res_o*(1/24)*s_RadSpec!AA16)+(s_ET_res_i*(1/24)*s_RadSpec!AF16))))*1,".")</f>
        <v>10156252695.580772</v>
      </c>
      <c r="O16" s="141">
        <f>IFERROR((s_DL/(s_RadSpec!R16*s_EF_res*(1/365)*s_ED_res*s_RadSpec!W16*((s_ET_res_o*(1/24)*s_RadSpec!AB16)+(s_ET_res_i*(1/24)*s_RadSpec!AG16))))*1,".")</f>
        <v>28452935520.47567</v>
      </c>
      <c r="P16" s="141">
        <f>IFERROR((s_DL/(s_RadSpec!S16*s_EF_res*(1/365)*s_ED_res*s_RadSpec!X16*((s_ET_res_o*(1/24)*s_RadSpec!AC16)+(s_ET_res_i*(1/24)*s_RadSpec!AH16))))*1,".")</f>
        <v>11063712683.84836</v>
      </c>
      <c r="Q16" s="141">
        <f>IFERROR((s_DL/(s_RadSpec!T16*s_EF_res*(1/365)*s_ED_res*s_RadSpec!Y16*((s_ET_res_o*(1/24)*s_RadSpec!AD16)+(s_ET_res_i*(1/24)*s_RadSpec!AI16))))*1,".")</f>
        <v>10922291021.461842</v>
      </c>
      <c r="R16" s="141">
        <f>IFERROR((s_DL/(s_RadSpec!P16*s_EF_res*(1/365)*s_ED_res*s_RadSpec!U16*((s_ET_res_o*(1/24)*s_RadSpec!Z16)+(s_ET_res_i*(1/24)*s_RadSpec!AE16))))*1,".")</f>
        <v>348814609693.77307</v>
      </c>
      <c r="S16" s="142">
        <f>IFERROR((s_C*s_EF_res*(1/365)*s_ED_res*s_RadSpec!V16*((s_ET_res_o*(1/24)*s_RadSpec!AA16)+(s_ET_res_i*(1/24)*s_RadSpec!AF16))),".")</f>
        <v>1.1765533268101753E-6</v>
      </c>
      <c r="T16" s="142">
        <f>IFERROR((s_C*s_EF_res*(1/365)*s_ED_res*s_RadSpec!W16*((s_ET_res_o*(1/24)*s_RadSpec!AB16)+(s_ET_res_i*(1/24)*s_RadSpec!AG16))),".")</f>
        <v>6.6062661060626578E-7</v>
      </c>
      <c r="U16" s="142">
        <f>IFERROR((s_C*s_EF_res*(1/365)*s_ED_res*s_RadSpec!X16*((s_ET_res_o*(1/24)*s_RadSpec!AC16)+(s_ET_res_i*(1/24)*s_RadSpec!AH16))),".")</f>
        <v>1.0996881941873374E-6</v>
      </c>
      <c r="V16" s="142">
        <f>IFERROR((s_C*s_EF_res*(1/365)*s_ED_res*s_RadSpec!Y16*((s_ET_res_o*(1/24)*s_RadSpec!AD16)+(s_ET_res_i*(1/24)*s_RadSpec!AI16))),".")</f>
        <v>1.0940353881278531E-6</v>
      </c>
      <c r="W16" s="142">
        <f>IFERROR((s_C*s_EF_res*(1/365)*s_ED_res*s_RadSpec!U16*((s_ET_res_o*(1/24)*s_RadSpec!Z16)+(s_ET_res_i*(1/24)*s_RadSpec!AE16))),".")</f>
        <v>2.8253424657534244E-8</v>
      </c>
      <c r="X16" s="141">
        <f>IFERROR((s_DL/(s_RadSpec!L16*s_IFA_res_adj)),".")</f>
        <v>2.2352261158231306</v>
      </c>
      <c r="Y16" s="141">
        <f>IFERROR((s_DL/(s_RadSpec!O16*s_EF_res*(1/365)*s_ED_res*s_ET_res*(1/24)*s_GSF_a)),".")</f>
        <v>9.0513559055137645</v>
      </c>
      <c r="Z16" s="141">
        <f t="shared" si="19"/>
        <v>1.7925557148627205</v>
      </c>
      <c r="AA16" s="142">
        <f t="shared" si="2"/>
        <v>501.30208333333326</v>
      </c>
      <c r="AB16" s="142">
        <f t="shared" si="3"/>
        <v>0.3139269406392694</v>
      </c>
      <c r="AC16" s="141"/>
      <c r="AD16" s="141">
        <f>IFERROR((s_DL/(s_RadSpec!M16*s_IFW_res_adj)),".")</f>
        <v>4.8176518764754066</v>
      </c>
      <c r="AE16" s="141" t="str">
        <f>IFERROR(IF(s_RadSpec!C16=1,(s_DL/(s_RadSpec!L16*s_IFA_res_adj*s_K)),"."),".")</f>
        <v>.</v>
      </c>
      <c r="AF16" s="141">
        <f>IFERROR((s_DL/(s_RadSpec!Q16*(1/8760)*s_DFA_res_adj)),".")</f>
        <v>9777.9555768279442</v>
      </c>
      <c r="AG16" s="141">
        <f>s_b2w!C16</f>
        <v>22.276696901037536</v>
      </c>
      <c r="AH16" s="141">
        <f t="shared" si="20"/>
        <v>3.9594202284252926</v>
      </c>
      <c r="AI16" s="142">
        <f t="shared" si="4"/>
        <v>1375</v>
      </c>
      <c r="AJ16" s="142">
        <f t="shared" si="5"/>
        <v>250.65104166666663</v>
      </c>
      <c r="AK16" s="142">
        <f t="shared" si="6"/>
        <v>0.12557077625570776</v>
      </c>
      <c r="AL16" s="142">
        <f>s_b2w!AB16</f>
        <v>297.36326528037273</v>
      </c>
      <c r="AM16" s="141"/>
      <c r="AN16" s="141">
        <f>IFERROR(s_DL/(s_RadSpec!J16*s_EF_res*s_ED_res*s_IRF_res*0.001*s_CF_res_fish),".")</f>
        <v>0.87593670481371011</v>
      </c>
      <c r="AO16" s="142">
        <f t="shared" si="7"/>
        <v>7562.5</v>
      </c>
      <c r="AP16" s="141"/>
    </row>
    <row r="17" spans="1:42" x14ac:dyDescent="0.25">
      <c r="A17" s="128" t="s">
        <v>15</v>
      </c>
      <c r="B17" s="129" t="s">
        <v>1059</v>
      </c>
      <c r="C17" s="141">
        <f>IFERROR(((s_DL/(s_RadSpec!I17*s_IFS_res_adj*(1/1000)))*1),".")</f>
        <v>2244862.911834131</v>
      </c>
      <c r="D17" s="141">
        <f>IFERROR(IF(A17="H-3",(s_DL/((s_RadSpec!L17*s_IFA_res_adj*(1/17)*1000))*1),(s_DL/((s_RadSpec!L17*s_IFA_res_adj*(1/s_PEF_wind)*1000))*1)),".")</f>
        <v>331544182.8898173</v>
      </c>
      <c r="E17" s="141">
        <f>IFERROR((s_DL/(s_RadSpec!K17*s_EF_res*(1/365)*s_ED_res*s_RadSpec!V17*((s_ET_res_o*(1/24)*s_RadSpec!AA17)+(s_ET_res_i*(1/24)*s_RadSpec!AF17))))*1,".")</f>
        <v>1553.9433120302724</v>
      </c>
      <c r="F17" s="141">
        <f>s_b2s!C17</f>
        <v>72661.042622888213</v>
      </c>
      <c r="G17" s="141">
        <f>s_dir!C17</f>
        <v>1496.5752745560876</v>
      </c>
      <c r="H17" s="141">
        <f t="shared" si="18"/>
        <v>1520.3688470155057</v>
      </c>
      <c r="I17" s="142">
        <f t="shared" si="0"/>
        <v>15.125</v>
      </c>
      <c r="J17" s="142">
        <f t="shared" si="1"/>
        <v>1.618127279505213E-3</v>
      </c>
      <c r="K17" s="142">
        <f>IFERROR((s_C*s_EF_res*(1/365)*s_ED_res*s_RadSpec!V17*((s_ET_res_o*(1/24)*s_RadSpec!AA17)+(s_ET_res_i*(1/24)*s_RadSpec!AF17))),".")</f>
        <v>1.2797139403706694E-2</v>
      </c>
      <c r="L17" s="142">
        <f>s_b2s!AB17</f>
        <v>467.28687500000001</v>
      </c>
      <c r="M17" s="141"/>
      <c r="N17" s="141">
        <f>IFERROR((s_DL/(s_RadSpec!K17*s_EF_res*(1/365)*s_ED_res*s_RadSpec!V17*((s_ET_res_o*(1/24)*s_RadSpec!AA17)+(s_ET_res_i*(1/24)*s_RadSpec!AF17))))*1,".")</f>
        <v>1553.9433120302724</v>
      </c>
      <c r="O17" s="141">
        <f>IFERROR((s_DL/(s_RadSpec!R17*s_EF_res*(1/365)*s_ED_res*s_RadSpec!W17*((s_ET_res_o*(1/24)*s_RadSpec!AB17)+(s_ET_res_i*(1/24)*s_RadSpec!AG17))))*1,".")</f>
        <v>12185.072927758523</v>
      </c>
      <c r="P17" s="141">
        <f>IFERROR((s_DL/(s_RadSpec!S17*s_EF_res*(1/365)*s_ED_res*s_RadSpec!X17*((s_ET_res_o*(1/24)*s_RadSpec!AC17)+(s_ET_res_i*(1/24)*s_RadSpec!AH17))))*1,".")</f>
        <v>3255.4644449062798</v>
      </c>
      <c r="Q17" s="141">
        <f>IFERROR((s_DL/(s_RadSpec!T17*s_EF_res*(1/365)*s_ED_res*s_RadSpec!Y17*((s_ET_res_o*(1/24)*s_RadSpec!AD17)+(s_ET_res_i*(1/24)*s_RadSpec!AI17))))*1,".")</f>
        <v>1946.7828161421853</v>
      </c>
      <c r="R17" s="141">
        <f>IFERROR((s_DL/(s_RadSpec!P17*s_EF_res*(1/365)*s_ED_res*s_RadSpec!U17*((s_ET_res_o*(1/24)*s_RadSpec!Z17)+(s_ET_res_i*(1/24)*s_RadSpec!AE17))))*1,".")</f>
        <v>23030.41868309625</v>
      </c>
      <c r="S17" s="142">
        <f>IFERROR((s_C*s_EF_res*(1/365)*s_ED_res*s_RadSpec!V17*((s_ET_res_o*(1/24)*s_RadSpec!AA17)+(s_ET_res_i*(1/24)*s_RadSpec!AF17))),".")</f>
        <v>1.2797139403706694E-2</v>
      </c>
      <c r="T17" s="142">
        <f>IFERROR((s_C*s_EF_res*(1/365)*s_ED_res*s_RadSpec!W17*((s_ET_res_o*(1/24)*s_RadSpec!AB17)+(s_ET_res_i*(1/24)*s_RadSpec!AG17))),".")</f>
        <v>7.322236381013059E-3</v>
      </c>
      <c r="U17" s="142">
        <f>IFERROR((s_C*s_EF_res*(1/365)*s_ED_res*s_RadSpec!X17*((s_ET_res_o*(1/24)*s_RadSpec!AC17)+(s_ET_res_i*(1/24)*s_RadSpec!AH17))),".")</f>
        <v>9.718736622431506E-3</v>
      </c>
      <c r="V17" s="142">
        <f>IFERROR((s_C*s_EF_res*(1/365)*s_ED_res*s_RadSpec!Y17*((s_ET_res_o*(1/24)*s_RadSpec!AD17)+(s_ET_res_i*(1/24)*s_RadSpec!AI17))),".")</f>
        <v>1.0929366438356168E-2</v>
      </c>
      <c r="W17" s="142">
        <f>IFERROR((s_C*s_EF_res*(1/365)*s_ED_res*s_RadSpec!U17*((s_ET_res_o*(1/24)*s_RadSpec!Z17)+(s_ET_res_i*(1/24)*s_RadSpec!AE17))),".")</f>
        <v>3.8213550484839159E-3</v>
      </c>
      <c r="X17" s="141">
        <f>IFERROR((s_DL/(s_RadSpec!L17*s_IFA_res_adj)),".")</f>
        <v>1070.1744607324008</v>
      </c>
      <c r="Y17" s="141">
        <f>IFERROR((s_DL/(s_RadSpec!O17*s_EF_res*(1/365)*s_ED_res*s_ET_res*(1/24)*s_GSF_a)),".")</f>
        <v>3.8407104788261107E-2</v>
      </c>
      <c r="Z17" s="141">
        <f>IFERROR(IF(AND(X17&lt;&gt;".",Y17&lt;&gt;"."),1/((1/X17)+(1/Y17)),IF(AND(X17&lt;&gt;".",Y17="."),1/((1/X17)),IF(AND(X17=".",Y17&lt;&gt;"."),1/((1/Y17)),IF(AND(X17=".",Y17="."),".")))),".")</f>
        <v>3.8405726459012274E-2</v>
      </c>
      <c r="AA17" s="142">
        <f t="shared" si="2"/>
        <v>501.30208333333326</v>
      </c>
      <c r="AB17" s="142">
        <f t="shared" si="3"/>
        <v>0.3139269406392694</v>
      </c>
      <c r="AC17" s="141"/>
      <c r="AD17" s="141">
        <f>IFERROR((s_DL/(s_RadSpec!M17*s_IFW_res_adj)),".")</f>
        <v>24693.492030175446</v>
      </c>
      <c r="AE17" s="141" t="str">
        <f>IFERROR(IF(s_RadSpec!C17=1,(s_DL/(s_RadSpec!L17*s_IFA_res_adj*s_K)),"."),".")</f>
        <v>.</v>
      </c>
      <c r="AF17" s="141">
        <f>IFERROR((s_DL/(s_RadSpec!Q17*(1/8760)*s_DFA_res_adj)),".")</f>
        <v>44.223948459512265</v>
      </c>
      <c r="AG17" s="141">
        <f>s_b2w!C17</f>
        <v>114182.06451788083</v>
      </c>
      <c r="AH17" s="141">
        <f>(IF(AND(AD17&lt;&gt;".",AE17&lt;&gt;".",AF17&lt;&gt;".",AG17&lt;&gt;"."),1/((1/AD17)+(1/AE17)+(1/AF17)+(1/AG17)),IF(AND(AD17&lt;&gt;".",AE17&lt;&gt;".",AF17&lt;&gt;".",AG17="."), 1/((1/AD17)+(1/AE17)+(1/AF17)),IF(AND(AD17&lt;&gt;".",AE17&lt;&gt;".",AF17=".",AG17&lt;&gt;"."),1/((1/AD17)+(1/AE17)+(1/AG17)),IF(AND(AD17&lt;&gt;".",AE17=".",AF17&lt;&gt;".",AG17&lt;&gt;"."),1/((1/AD17)+(1/AF17)+(1/AG17)),IF(AND(AD17=".",AE17&lt;&gt;".",AF17&lt;&gt;".",AG17&lt;&gt;"."),1/((1/AE17)+(1/AF17)+(1/AG17)),IF(AND(AD17&lt;&gt;".",AE17&lt;&gt;".",AF17=".",AG17="."),1/((1/AD17)+(1/AE17)),IF(AND(AD17&lt;&gt;".",AE17=".",AF17&lt;&gt;".",AG17="."),1/((1/AD17)+(1/AF17)),IF(AND(AD17&lt;&gt;".",AE17=".",AF17=".",AG17&lt;&gt;"."),1/((1/AD17)+(1/AG17)),IF(AND(AD17=".",AE17=".",AF17&lt;&gt;".",AG17&lt;&gt;"."),1/((1/AF17)+(1/AG17)),IF(AND(AD17=".",AE17&lt;&gt;".",AF17=".",AG17&lt;&gt;"."),1/((1/AE17)+(1/AG17)),IF(AND(AD17=".",AE17&lt;&gt;".",AF17&lt;&gt;".",AG17="."),1/((1/AE17)+(1/AF17)),IF(AND(AD17&lt;&gt;".",AE17=".",AF17=".",AG17="."),1/((1/AD17)),IF(AND(AD17=".",AE17&lt;&gt;".",AF17=".",AG17="."),1/((1/AE17)),IF(AND(AD17=".",AE17=".",AF17&lt;&gt;".",AG17="."),1/((1/AF17)),IF(AND(AD17=".",AE17=".",AF17=".",AG17&lt;&gt;"."),1/((1/AG17)),IF(AND(AD17=".",AE17=".",AF17=".",AG17="."),".")))))))))))))))))</f>
        <v>44.127828079549083</v>
      </c>
      <c r="AI17" s="142">
        <f t="shared" si="4"/>
        <v>1375</v>
      </c>
      <c r="AJ17" s="142">
        <f t="shared" si="5"/>
        <v>250.65104166666663</v>
      </c>
      <c r="AK17" s="142">
        <f t="shared" si="6"/>
        <v>0.12557077625570776</v>
      </c>
      <c r="AL17" s="142">
        <f>s_b2w!AB17</f>
        <v>297.36326528037273</v>
      </c>
      <c r="AM17" s="141"/>
      <c r="AN17" s="141">
        <f>IFERROR(s_DL/(s_RadSpec!J17*s_EF_res*s_ED_res*s_IRF_res*0.001*s_CF_res_fish),".")</f>
        <v>4489.7258236682628</v>
      </c>
      <c r="AO17" s="142">
        <f t="shared" si="7"/>
        <v>7562.5</v>
      </c>
      <c r="AP17" s="141"/>
    </row>
    <row r="18" spans="1:42" x14ac:dyDescent="0.25">
      <c r="A18" s="128" t="s">
        <v>16</v>
      </c>
      <c r="B18" s="129" t="s">
        <v>1059</v>
      </c>
      <c r="C18" s="141">
        <f>IFERROR(((s_DL/(s_RadSpec!I18*s_IFS_res_adj*(1/1000)))*1),".")</f>
        <v>255.27298254570982</v>
      </c>
      <c r="D18" s="141">
        <f>IFERROR(IF(A18="H-3",(s_DL/((s_RadSpec!L18*s_IFA_res_adj*(1/17)*1000))*1),(s_DL/((s_RadSpec!L18*s_IFA_res_adj*(1/s_PEF_wind)*1000))*1)),".")</f>
        <v>892236.02001995174</v>
      </c>
      <c r="E18" s="141">
        <f>IFERROR((s_DL/(s_RadSpec!K18*s_EF_res*(1/365)*s_ED_res*s_RadSpec!V18*((s_ET_res_o*(1/24)*s_RadSpec!AA18)+(s_ET_res_i*(1/24)*s_RadSpec!AF18))))*1,".")</f>
        <v>17637150.232935164</v>
      </c>
      <c r="F18" s="141">
        <f>s_b2s!C18</f>
        <v>9.4650716553841239</v>
      </c>
      <c r="G18" s="141">
        <f>s_dir!C18</f>
        <v>0.17018198836380657</v>
      </c>
      <c r="H18" s="141">
        <f t="shared" si="18"/>
        <v>9.1265727313328782</v>
      </c>
      <c r="I18" s="142">
        <f t="shared" si="0"/>
        <v>15.125</v>
      </c>
      <c r="J18" s="142">
        <f t="shared" si="1"/>
        <v>1.618127279505213E-3</v>
      </c>
      <c r="K18" s="142">
        <f>IFERROR((s_C*s_EF_res*(1/365)*s_ED_res*s_RadSpec!V18*((s_ET_res_o*(1/24)*s_RadSpec!AA18)+(s_ET_res_i*(1/24)*s_RadSpec!AF18))),".")</f>
        <v>2.512625595920584E-2</v>
      </c>
      <c r="L18" s="142">
        <f>s_b2s!AB18</f>
        <v>407.92124999999999</v>
      </c>
      <c r="M18" s="141"/>
      <c r="N18" s="141">
        <f>IFERROR((s_DL/(s_RadSpec!K18*s_EF_res*(1/365)*s_ED_res*s_RadSpec!V18*((s_ET_res_o*(1/24)*s_RadSpec!AA18)+(s_ET_res_i*(1/24)*s_RadSpec!AF18))))*1,".")</f>
        <v>17637150.232935164</v>
      </c>
      <c r="O18" s="141">
        <f>IFERROR((s_DL/(s_RadSpec!R18*s_EF_res*(1/365)*s_ED_res*s_RadSpec!W18*((s_ET_res_o*(1/24)*s_RadSpec!AB18)+(s_ET_res_i*(1/24)*s_RadSpec!AG18))))*1,".")</f>
        <v>179853888.19177029</v>
      </c>
      <c r="P18" s="141">
        <f>IFERROR((s_DL/(s_RadSpec!S18*s_EF_res*(1/365)*s_ED_res*s_RadSpec!X18*((s_ET_res_o*(1/24)*s_RadSpec!AC18)+(s_ET_res_i*(1/24)*s_RadSpec!AH18))))*1,".")</f>
        <v>43932867.045393184</v>
      </c>
      <c r="Q18" s="141">
        <f>IFERROR((s_DL/(s_RadSpec!T18*s_EF_res*(1/365)*s_ED_res*s_RadSpec!Y18*((s_ET_res_o*(1/24)*s_RadSpec!AD18)+(s_ET_res_i*(1/24)*s_RadSpec!AI18))))*1,".")</f>
        <v>23163110.588672746</v>
      </c>
      <c r="R18" s="141">
        <f>IFERROR((s_DL/(s_RadSpec!P18*s_EF_res*(1/365)*s_ED_res*s_RadSpec!U18*((s_ET_res_o*(1/24)*s_RadSpec!Z18)+(s_ET_res_i*(1/24)*s_RadSpec!AE18))))*1,".")</f>
        <v>310492341.61447906</v>
      </c>
      <c r="S18" s="142">
        <f>IFERROR((s_C*s_EF_res*(1/365)*s_ED_res*s_RadSpec!V18*((s_ET_res_o*(1/24)*s_RadSpec!AA18)+(s_ET_res_i*(1/24)*s_RadSpec!AF18))),".")</f>
        <v>2.512625595920584E-2</v>
      </c>
      <c r="T18" s="142">
        <f>IFERROR((s_C*s_EF_res*(1/365)*s_ED_res*s_RadSpec!W18*((s_ET_res_o*(1/24)*s_RadSpec!AB18)+(s_ET_res_i*(1/24)*s_RadSpec!AG18))),".")</f>
        <v>1.269830311398568E-2</v>
      </c>
      <c r="U18" s="142">
        <f>IFERROR((s_C*s_EF_res*(1/365)*s_ED_res*s_RadSpec!X18*((s_ET_res_o*(1/24)*s_RadSpec!AC18)+(s_ET_res_i*(1/24)*s_RadSpec!AH18))),".")</f>
        <v>1.8132776514924922E-2</v>
      </c>
      <c r="V18" s="142">
        <f>IFERROR((s_C*s_EF_res*(1/365)*s_ED_res*s_RadSpec!Y18*((s_ET_res_o*(1/24)*s_RadSpec!AD18)+(s_ET_res_i*(1/24)*s_RadSpec!AI18))),".")</f>
        <v>2.1885795116140552E-2</v>
      </c>
      <c r="W18" s="142">
        <f>IFERROR((s_C*s_EF_res*(1/365)*s_ED_res*s_RadSpec!U18*((s_ET_res_o*(1/24)*s_RadSpec!Z18)+(s_ET_res_i*(1/24)*s_RadSpec!AE18))),".")</f>
        <v>7.4703970280938026E-3</v>
      </c>
      <c r="X18" s="141">
        <f>IFERROR((s_DL/(s_RadSpec!L18*s_IFA_res_adj)),".")</f>
        <v>2.8800028800028801</v>
      </c>
      <c r="Y18" s="141">
        <f>IFERROR((s_DL/(s_RadSpec!O18*s_EF_res*(1/365)*s_ED_res*s_ET_res*(1/24)*s_GSF_a)),".")</f>
        <v>958.01991719033333</v>
      </c>
      <c r="Z18" s="141">
        <f t="shared" ref="Z18" si="21">IFERROR(IF(AND(X18&lt;&gt;".",Y18&lt;&gt;"."),1/((1/X18)+(1/Y18)),IF(AND(X18&lt;&gt;".",Y18="."),1/((1/X18)),IF(AND(X18=".",Y18&lt;&gt;"."),1/((1/Y18)),IF(AND(X18=".",Y18="."),".")))),".")</f>
        <v>2.8713709544343797</v>
      </c>
      <c r="AA18" s="142">
        <f t="shared" si="2"/>
        <v>501.30208333333326</v>
      </c>
      <c r="AB18" s="142">
        <f t="shared" si="3"/>
        <v>0.3139269406392694</v>
      </c>
      <c r="AC18" s="141"/>
      <c r="AD18" s="141">
        <f>IFERROR((s_DL/(s_RadSpec!M18*s_IFW_res_adj)),".")</f>
        <v>2.8080028080028083</v>
      </c>
      <c r="AE18" s="141" t="str">
        <f>IFERROR(IF(s_RadSpec!C18=1,(s_DL/(s_RadSpec!L18*s_IFA_res_adj*s_K)),"."),".")</f>
        <v>.</v>
      </c>
      <c r="AF18" s="141">
        <f>IFERROR((s_DL/(s_RadSpec!Q18*(1/8760)*s_DFA_res_adj)),".")</f>
        <v>1104453.0133411873</v>
      </c>
      <c r="AG18" s="141">
        <f>s_b2w!C18</f>
        <v>13.520470417263882</v>
      </c>
      <c r="AH18" s="141">
        <f t="shared" ref="AH18" si="22">(IF(AND(AD18&lt;&gt;".",AE18&lt;&gt;".",AF18&lt;&gt;".",AG18&lt;&gt;"."),1/((1/AD18)+(1/AE18)+(1/AF18)+(1/AG18)),IF(AND(AD18&lt;&gt;".",AE18&lt;&gt;".",AF18&lt;&gt;".",AG18="."), 1/((1/AD18)+(1/AE18)+(1/AF18)),IF(AND(AD18&lt;&gt;".",AE18&lt;&gt;".",AF18=".",AG18&lt;&gt;"."),1/((1/AD18)+(1/AE18)+(1/AG18)),IF(AND(AD18&lt;&gt;".",AE18=".",AF18&lt;&gt;".",AG18&lt;&gt;"."),1/((1/AD18)+(1/AF18)+(1/AG18)),IF(AND(AD18=".",AE18&lt;&gt;".",AF18&lt;&gt;".",AG18&lt;&gt;"."),1/((1/AE18)+(1/AF18)+(1/AG18)),IF(AND(AD18&lt;&gt;".",AE18&lt;&gt;".",AF18=".",AG18="."),1/((1/AD18)+(1/AE18)),IF(AND(AD18&lt;&gt;".",AE18=".",AF18&lt;&gt;".",AG18="."),1/((1/AD18)+(1/AF18)),IF(AND(AD18&lt;&gt;".",AE18=".",AF18=".",AG18&lt;&gt;"."),1/((1/AD18)+(1/AG18)),IF(AND(AD18=".",AE18=".",AF18&lt;&gt;".",AG18&lt;&gt;"."),1/((1/AF18)+(1/AG18)),IF(AND(AD18=".",AE18&lt;&gt;".",AF18=".",AG18&lt;&gt;"."),1/((1/AE18)+(1/AG18)),IF(AND(AD18=".",AE18&lt;&gt;".",AF18&lt;&gt;".",AG18="."),1/((1/AE18)+(1/AF18)),IF(AND(AD18&lt;&gt;".",AE18=".",AF18=".",AG18="."),1/((1/AD18)),IF(AND(AD18=".",AE18&lt;&gt;".",AF18=".",AG18="."),1/((1/AE18)),IF(AND(AD18=".",AE18=".",AF18&lt;&gt;".",AG18="."),1/((1/AF18)),IF(AND(AD18=".",AE18=".",AF18=".",AG18&lt;&gt;"."),1/((1/AG18)),IF(AND(AD18=".",AE18=".",AF18=".",AG18="."),".")))))))))))))))))</f>
        <v>2.3251064841154432</v>
      </c>
      <c r="AI18" s="142">
        <f t="shared" si="4"/>
        <v>1375</v>
      </c>
      <c r="AJ18" s="142">
        <f t="shared" si="5"/>
        <v>250.65104166666663</v>
      </c>
      <c r="AK18" s="142">
        <f t="shared" si="6"/>
        <v>0.12557077625570776</v>
      </c>
      <c r="AL18" s="142">
        <f>s_b2w!AB18</f>
        <v>285.56727257609776</v>
      </c>
      <c r="AM18" s="141"/>
      <c r="AN18" s="141">
        <f>IFERROR(s_DL/(s_RadSpec!J18*s_EF_res*s_ED_res*s_IRF_res*0.001*s_CF_res_fish),".")</f>
        <v>0.5105459650914197</v>
      </c>
      <c r="AO18" s="142">
        <f t="shared" si="7"/>
        <v>7562.5</v>
      </c>
      <c r="AP18" s="141"/>
    </row>
    <row r="19" spans="1:42" x14ac:dyDescent="0.25">
      <c r="A19" s="128" t="s">
        <v>17</v>
      </c>
      <c r="B19" s="129" t="s">
        <v>1059</v>
      </c>
      <c r="C19" s="141" t="str">
        <f>IFERROR(((s_DL/(s_RadSpec!I19*s_IFS_res_adj*(1/1000)))*1),".")</f>
        <v>.</v>
      </c>
      <c r="D19" s="141" t="str">
        <f>IFERROR(IF(A19="H-3",(s_DL/((s_RadSpec!L19*s_IFA_res_adj*(1/17)*1000))*1),(s_DL/((s_RadSpec!L19*s_IFA_res_adj*(1/s_PEF_wind)*1000))*1)),".")</f>
        <v>.</v>
      </c>
      <c r="E19" s="141">
        <f>IFERROR((s_DL/(s_RadSpec!K19*s_EF_res*(1/365)*s_ED_res*s_RadSpec!V19*((s_ET_res_o*(1/24)*s_RadSpec!AA19)+(s_ET_res_i*(1/24)*s_RadSpec!AF19))))*1,".")</f>
        <v>4685385.2124159075</v>
      </c>
      <c r="F19" s="141" t="str">
        <f>s_b2s!C19</f>
        <v>.</v>
      </c>
      <c r="G19" s="141" t="str">
        <f>s_dir!C19</f>
        <v>.</v>
      </c>
      <c r="H19" s="141">
        <f t="shared" si="18"/>
        <v>4685385.2124159075</v>
      </c>
      <c r="I19" s="142">
        <f t="shared" si="0"/>
        <v>15.125</v>
      </c>
      <c r="J19" s="142">
        <f t="shared" si="1"/>
        <v>1.618127279505213E-3</v>
      </c>
      <c r="K19" s="142">
        <f>IFERROR((s_C*s_EF_res*(1/365)*s_ED_res*s_RadSpec!V19*((s_ET_res_o*(1/24)*s_RadSpec!AA19)+(s_ET_res_i*(1/24)*s_RadSpec!AF19))),".")</f>
        <v>2.4624070450097846E-2</v>
      </c>
      <c r="L19" s="142">
        <f>s_b2s!AB19</f>
        <v>407.92124999999999</v>
      </c>
      <c r="M19" s="141"/>
      <c r="N19" s="141">
        <f>IFERROR((s_DL/(s_RadSpec!K19*s_EF_res*(1/365)*s_ED_res*s_RadSpec!V19*((s_ET_res_o*(1/24)*s_RadSpec!AA19)+(s_ET_res_i*(1/24)*s_RadSpec!AF19))))*1,".")</f>
        <v>4685385.2124159075</v>
      </c>
      <c r="O19" s="141">
        <f>IFERROR((s_DL/(s_RadSpec!R19*s_EF_res*(1/365)*s_ED_res*s_RadSpec!W19*((s_ET_res_o*(1/24)*s_RadSpec!AB19)+(s_ET_res_i*(1/24)*s_RadSpec!AG19))))*1,".")</f>
        <v>47698634.567550734</v>
      </c>
      <c r="P19" s="141">
        <f>IFERROR((s_DL/(s_RadSpec!S19*s_EF_res*(1/365)*s_ED_res*s_RadSpec!X19*((s_ET_res_o*(1/24)*s_RadSpec!AC19)+(s_ET_res_i*(1/24)*s_RadSpec!AH19))))*1,".")</f>
        <v>11549632.577172862</v>
      </c>
      <c r="Q19" s="141">
        <f>IFERROR((s_DL/(s_RadSpec!T19*s_EF_res*(1/365)*s_ED_res*s_RadSpec!Y19*((s_ET_res_o*(1/24)*s_RadSpec!AD19)+(s_ET_res_i*(1/24)*s_RadSpec!AI19))))*1,".")</f>
        <v>6118778.9491102239</v>
      </c>
      <c r="R19" s="141">
        <f>IFERROR((s_DL/(s_RadSpec!P19*s_EF_res*(1/365)*s_ED_res*s_RadSpec!U19*((s_ET_res_o*(1/24)*s_RadSpec!Z19)+(s_ET_res_i*(1/24)*s_RadSpec!AE19))))*1,".")</f>
        <v>83089973.079392612</v>
      </c>
      <c r="S19" s="142">
        <f>IFERROR((s_C*s_EF_res*(1/365)*s_ED_res*s_RadSpec!V19*((s_ET_res_o*(1/24)*s_RadSpec!AA19)+(s_ET_res_i*(1/24)*s_RadSpec!AF19))),".")</f>
        <v>2.4624070450097846E-2</v>
      </c>
      <c r="T19" s="142">
        <f>IFERROR((s_C*s_EF_res*(1/365)*s_ED_res*s_RadSpec!W19*((s_ET_res_o*(1/24)*s_RadSpec!AB19)+(s_ET_res_i*(1/24)*s_RadSpec!AG19))),".")</f>
        <v>1.2415057937699378E-2</v>
      </c>
      <c r="U19" s="142">
        <f>IFERROR((s_C*s_EF_res*(1/365)*s_ED_res*s_RadSpec!X19*((s_ET_res_o*(1/24)*s_RadSpec!AC19)+(s_ET_res_i*(1/24)*s_RadSpec!AH19))),".")</f>
        <v>1.7909798003250512E-2</v>
      </c>
      <c r="V19" s="142">
        <f>IFERROR((s_C*s_EF_res*(1/365)*s_ED_res*s_RadSpec!Y19*((s_ET_res_o*(1/24)*s_RadSpec!AD19)+(s_ET_res_i*(1/24)*s_RadSpec!AI19))),".")</f>
        <v>2.1443624868282409E-2</v>
      </c>
      <c r="W19" s="142">
        <f>IFERROR((s_C*s_EF_res*(1/365)*s_ED_res*s_RadSpec!U19*((s_ET_res_o*(1/24)*s_RadSpec!Z19)+(s_ET_res_i*(1/24)*s_RadSpec!AE19))),".")</f>
        <v>7.2095583836812773E-3</v>
      </c>
      <c r="X19" s="141" t="str">
        <f>IFERROR((s_DL/(s_RadSpec!L19*s_IFA_res_adj)),".")</f>
        <v>.</v>
      </c>
      <c r="Y19" s="141">
        <f>IFERROR((s_DL/(s_RadSpec!O19*s_EF_res*(1/365)*s_ED_res*s_ET_res*(1/24)*s_GSF_a)),".")</f>
        <v>249.30927669573001</v>
      </c>
      <c r="Z19" s="141">
        <f t="shared" ref="Z19:Z20" si="23">IFERROR(IF(AND(X19&lt;&gt;".",Y19&lt;&gt;"."),1/((1/X19)+(1/Y19)),IF(AND(X19&lt;&gt;".",Y19="."),1/((1/X19)),IF(AND(X19=".",Y19&lt;&gt;"."),1/((1/Y19)),IF(AND(X19=".",Y19="."),".")))),".")</f>
        <v>249.30927669573003</v>
      </c>
      <c r="AA19" s="142">
        <f t="shared" si="2"/>
        <v>501.30208333333326</v>
      </c>
      <c r="AB19" s="142">
        <f t="shared" si="3"/>
        <v>0.3139269406392694</v>
      </c>
      <c r="AC19" s="141"/>
      <c r="AD19" s="141" t="str">
        <f>IFERROR((s_DL/(s_RadSpec!M19*s_IFW_res_adj)),".")</f>
        <v>.</v>
      </c>
      <c r="AE19" s="141" t="str">
        <f>IFERROR(IF(s_RadSpec!C19=1,(s_DL/(s_RadSpec!L19*s_IFA_res_adj*s_K)),"."),".")</f>
        <v>.</v>
      </c>
      <c r="AF19" s="141">
        <f>IFERROR((s_DL/(s_RadSpec!Q19*(1/8760)*s_DFA_res_adj)),".")</f>
        <v>287276.86196071305</v>
      </c>
      <c r="AG19" s="141" t="str">
        <f>s_b2w!C19</f>
        <v>.</v>
      </c>
      <c r="AH19" s="141">
        <f t="shared" ref="AH19:AH20" si="24">(IF(AND(AD19&lt;&gt;".",AE19&lt;&gt;".",AF19&lt;&gt;".",AG19&lt;&gt;"."),1/((1/AD19)+(1/AE19)+(1/AF19)+(1/AG19)),IF(AND(AD19&lt;&gt;".",AE19&lt;&gt;".",AF19&lt;&gt;".",AG19="."), 1/((1/AD19)+(1/AE19)+(1/AF19)),IF(AND(AD19&lt;&gt;".",AE19&lt;&gt;".",AF19=".",AG19&lt;&gt;"."),1/((1/AD19)+(1/AE19)+(1/AG19)),IF(AND(AD19&lt;&gt;".",AE19=".",AF19&lt;&gt;".",AG19&lt;&gt;"."),1/((1/AD19)+(1/AF19)+(1/AG19)),IF(AND(AD19=".",AE19&lt;&gt;".",AF19&lt;&gt;".",AG19&lt;&gt;"."),1/((1/AE19)+(1/AF19)+(1/AG19)),IF(AND(AD19&lt;&gt;".",AE19&lt;&gt;".",AF19=".",AG19="."),1/((1/AD19)+(1/AE19)),IF(AND(AD19&lt;&gt;".",AE19=".",AF19&lt;&gt;".",AG19="."),1/((1/AD19)+(1/AF19)),IF(AND(AD19&lt;&gt;".",AE19=".",AF19=".",AG19&lt;&gt;"."),1/((1/AD19)+(1/AG19)),IF(AND(AD19=".",AE19=".",AF19&lt;&gt;".",AG19&lt;&gt;"."),1/((1/AF19)+(1/AG19)),IF(AND(AD19=".",AE19&lt;&gt;".",AF19=".",AG19&lt;&gt;"."),1/((1/AE19)+(1/AG19)),IF(AND(AD19=".",AE19&lt;&gt;".",AF19&lt;&gt;".",AG19="."),1/((1/AE19)+(1/AF19)),IF(AND(AD19&lt;&gt;".",AE19=".",AF19=".",AG19="."),1/((1/AD19)),IF(AND(AD19=".",AE19&lt;&gt;".",AF19=".",AG19="."),1/((1/AE19)),IF(AND(AD19=".",AE19=".",AF19&lt;&gt;".",AG19="."),1/((1/AF19)),IF(AND(AD19=".",AE19=".",AF19=".",AG19&lt;&gt;"."),1/((1/AG19)),IF(AND(AD19=".",AE19=".",AF19=".",AG19="."),".")))))))))))))))))</f>
        <v>287276.86196071305</v>
      </c>
      <c r="AI19" s="142">
        <f t="shared" si="4"/>
        <v>1375</v>
      </c>
      <c r="AJ19" s="142">
        <f t="shared" si="5"/>
        <v>250.65104166666663</v>
      </c>
      <c r="AK19" s="142">
        <f t="shared" si="6"/>
        <v>0.12557077625570776</v>
      </c>
      <c r="AL19" s="142">
        <f>s_b2w!AB19</f>
        <v>285.56727257609776</v>
      </c>
      <c r="AM19" s="141"/>
      <c r="AN19" s="141" t="str">
        <f>IFERROR(s_DL/(s_RadSpec!J19*s_EF_res*s_ED_res*s_IRF_res*0.001*s_CF_res_fish),".")</f>
        <v>.</v>
      </c>
      <c r="AO19" s="142">
        <f t="shared" si="7"/>
        <v>7562.5</v>
      </c>
      <c r="AP19" s="141"/>
    </row>
    <row r="20" spans="1:42" x14ac:dyDescent="0.25">
      <c r="A20" s="128" t="s">
        <v>18</v>
      </c>
      <c r="B20" s="129" t="s">
        <v>1059</v>
      </c>
      <c r="C20" s="141" t="str">
        <f>IFERROR(((s_DL/(s_RadSpec!I20*s_IFS_res_adj*(1/1000)))*1),".")</f>
        <v>.</v>
      </c>
      <c r="D20" s="141" t="str">
        <f>IFERROR(IF(A20="H-3",(s_DL/((s_RadSpec!L20*s_IFA_res_adj*(1/17)*1000))*1),(s_DL/((s_RadSpec!L20*s_IFA_res_adj*(1/s_PEF_wind)*1000))*1)),".")</f>
        <v>.</v>
      </c>
      <c r="E20" s="141">
        <f>IFERROR((s_DL/(s_RadSpec!K20*s_EF_res*(1/365)*s_ED_res*s_RadSpec!V20*((s_ET_res_o*(1/24)*s_RadSpec!AA20)+(s_ET_res_i*(1/24)*s_RadSpec!AF20))))*1,".")</f>
        <v>2079497.8041993934</v>
      </c>
      <c r="F20" s="141" t="str">
        <f>s_b2s!C20</f>
        <v>.</v>
      </c>
      <c r="G20" s="141" t="str">
        <f>s_dir!C20</f>
        <v>.</v>
      </c>
      <c r="H20" s="141">
        <f t="shared" si="18"/>
        <v>2079497.8041993934</v>
      </c>
      <c r="I20" s="142">
        <f t="shared" si="0"/>
        <v>15.125</v>
      </c>
      <c r="J20" s="142">
        <f t="shared" si="1"/>
        <v>1.618127279505213E-3</v>
      </c>
      <c r="K20" s="142">
        <f>IFERROR((s_C*s_EF_res*(1/365)*s_ED_res*s_RadSpec!V20*((s_ET_res_o*(1/24)*s_RadSpec!AA20)+(s_ET_res_i*(1/24)*s_RadSpec!AF20))),".")</f>
        <v>2.5042146236407301E-2</v>
      </c>
      <c r="L20" s="142">
        <f>s_b2s!AB20</f>
        <v>407.92124999999999</v>
      </c>
      <c r="M20" s="141"/>
      <c r="N20" s="141">
        <f>IFERROR((s_DL/(s_RadSpec!K20*s_EF_res*(1/365)*s_ED_res*s_RadSpec!V20*((s_ET_res_o*(1/24)*s_RadSpec!AA20)+(s_ET_res_i*(1/24)*s_RadSpec!AF20))))*1,".")</f>
        <v>2079497.8041993934</v>
      </c>
      <c r="O20" s="141">
        <f>IFERROR((s_DL/(s_RadSpec!R20*s_EF_res*(1/365)*s_ED_res*s_RadSpec!W20*((s_ET_res_o*(1/24)*s_RadSpec!AB20)+(s_ET_res_i*(1/24)*s_RadSpec!AG20))))*1,".")</f>
        <v>21078968.41935429</v>
      </c>
      <c r="P20" s="141">
        <f>IFERROR((s_DL/(s_RadSpec!S20*s_EF_res*(1/365)*s_ED_res*s_RadSpec!X20*((s_ET_res_o*(1/24)*s_RadSpec!AC20)+(s_ET_res_i*(1/24)*s_RadSpec!AH20))))*1,".")</f>
        <v>5156823.712999871</v>
      </c>
      <c r="Q20" s="141">
        <f>IFERROR((s_DL/(s_RadSpec!T20*s_EF_res*(1/365)*s_ED_res*s_RadSpec!Y20*((s_ET_res_o*(1/24)*s_RadSpec!AD20)+(s_ET_res_i*(1/24)*s_RadSpec!AI20))))*1,".")</f>
        <v>2739820.8440157748</v>
      </c>
      <c r="R20" s="141">
        <f>IFERROR((s_DL/(s_RadSpec!P20*s_EF_res*(1/365)*s_ED_res*s_RadSpec!U20*((s_ET_res_o*(1/24)*s_RadSpec!Z20)+(s_ET_res_i*(1/24)*s_RadSpec!AE20))))*1,".")</f>
        <v>36464211.03755483</v>
      </c>
      <c r="S20" s="142">
        <f>IFERROR((s_C*s_EF_res*(1/365)*s_ED_res*s_RadSpec!V20*((s_ET_res_o*(1/24)*s_RadSpec!AA20)+(s_ET_res_i*(1/24)*s_RadSpec!AF20))),".")</f>
        <v>2.5042146236407301E-2</v>
      </c>
      <c r="T20" s="142">
        <f>IFERROR((s_C*s_EF_res*(1/365)*s_ED_res*s_RadSpec!W20*((s_ET_res_o*(1/24)*s_RadSpec!AB20)+(s_ET_res_i*(1/24)*s_RadSpec!AG20))),".")</f>
        <v>1.2698247256019738E-2</v>
      </c>
      <c r="U20" s="142">
        <f>IFERROR((s_C*s_EF_res*(1/365)*s_ED_res*s_RadSpec!X20*((s_ET_res_o*(1/24)*s_RadSpec!AC20)+(s_ET_res_i*(1/24)*s_RadSpec!AH20))),".")</f>
        <v>1.8148670427074937E-2</v>
      </c>
      <c r="V20" s="142">
        <f>IFERROR((s_C*s_EF_res*(1/365)*s_ED_res*s_RadSpec!Y20*((s_ET_res_o*(1/24)*s_RadSpec!AD20)+(s_ET_res_i*(1/24)*s_RadSpec!AI20))),".")</f>
        <v>2.1613869863013689E-2</v>
      </c>
      <c r="W20" s="142">
        <f>IFERROR((s_C*s_EF_res*(1/365)*s_ED_res*s_RadSpec!U20*((s_ET_res_o*(1/24)*s_RadSpec!Z20)+(s_ET_res_i*(1/24)*s_RadSpec!AE20))),".")</f>
        <v>7.452190424521902E-3</v>
      </c>
      <c r="X20" s="141" t="str">
        <f>IFERROR((s_DL/(s_RadSpec!L20*s_IFA_res_adj)),".")</f>
        <v>.</v>
      </c>
      <c r="Y20" s="141">
        <f>IFERROR((s_DL/(s_RadSpec!O20*s_EF_res*(1/365)*s_ED_res*s_ET_res*(1/24)*s_GSF_a)),".")</f>
        <v>112.18917451307848</v>
      </c>
      <c r="Z20" s="141">
        <f t="shared" si="23"/>
        <v>112.18917451307848</v>
      </c>
      <c r="AA20" s="142">
        <f t="shared" si="2"/>
        <v>501.30208333333326</v>
      </c>
      <c r="AB20" s="142">
        <f t="shared" si="3"/>
        <v>0.3139269406392694</v>
      </c>
      <c r="AC20" s="141"/>
      <c r="AD20" s="141" t="str">
        <f>IFERROR((s_DL/(s_RadSpec!M20*s_IFW_res_adj)),".")</f>
        <v>.</v>
      </c>
      <c r="AE20" s="141" t="str">
        <f>IFERROR(IF(s_RadSpec!C20=1,(s_DL/(s_RadSpec!L20*s_IFA_res_adj*s_K)),"."),".")</f>
        <v>.</v>
      </c>
      <c r="AF20" s="141">
        <f>IFERROR((s_DL/(s_RadSpec!Q20*(1/8760)*s_DFA_res_adj)),".")</f>
        <v>129501.47726297032</v>
      </c>
      <c r="AG20" s="141" t="str">
        <f>s_b2w!C20</f>
        <v>.</v>
      </c>
      <c r="AH20" s="141">
        <f t="shared" si="24"/>
        <v>129501.47726297034</v>
      </c>
      <c r="AI20" s="142">
        <f t="shared" si="4"/>
        <v>1375</v>
      </c>
      <c r="AJ20" s="142">
        <f t="shared" si="5"/>
        <v>250.65104166666663</v>
      </c>
      <c r="AK20" s="142">
        <f t="shared" si="6"/>
        <v>0.12557077625570776</v>
      </c>
      <c r="AL20" s="142">
        <f>s_b2w!AB20</f>
        <v>285.56727257609776</v>
      </c>
      <c r="AM20" s="141"/>
      <c r="AN20" s="141" t="str">
        <f>IFERROR(s_DL/(s_RadSpec!J20*s_EF_res*s_ED_res*s_IRF_res*0.001*s_CF_res_fish),".")</f>
        <v>.</v>
      </c>
      <c r="AO20" s="142">
        <f t="shared" si="7"/>
        <v>7562.5</v>
      </c>
      <c r="AP20" s="141"/>
    </row>
    <row r="21" spans="1:42" x14ac:dyDescent="0.25">
      <c r="A21" s="128" t="s">
        <v>19</v>
      </c>
      <c r="B21" s="129" t="s">
        <v>1059</v>
      </c>
      <c r="C21" s="141" t="str">
        <f>IFERROR(((s_DL/(s_RadSpec!I21*s_IFS_res_adj*(1/1000)))*1),".")</f>
        <v>.</v>
      </c>
      <c r="D21" s="141">
        <f>IFERROR(IF(A21="H-3",(s_DL/((s_RadSpec!L21*s_IFA_res_adj*(1/17)*1000))*1),(s_DL/((s_RadSpec!L21*s_IFA_res_adj*(1/s_PEF_wind)*1000))*1)),".")</f>
        <v>2027553664.3917964</v>
      </c>
      <c r="E21" s="141" t="str">
        <f>IFERROR((s_DL/(s_RadSpec!K21*s_EF_res*(1/365)*s_ED_res*s_RadSpec!V21*((s_ET_res_o*(1/24)*s_RadSpec!AA21)+(s_ET_res_i*(1/24)*s_RadSpec!AF21))))*1,".")</f>
        <v>.</v>
      </c>
      <c r="F21" s="141" t="str">
        <f>s_b2s!C21</f>
        <v>.</v>
      </c>
      <c r="G21" s="141" t="str">
        <f>s_dir!C21</f>
        <v>.</v>
      </c>
      <c r="H21" s="141">
        <f t="shared" si="18"/>
        <v>2027553664.3917966</v>
      </c>
      <c r="I21" s="142">
        <f t="shared" si="0"/>
        <v>15.125</v>
      </c>
      <c r="J21" s="142">
        <f t="shared" si="1"/>
        <v>1.618127279505213E-3</v>
      </c>
      <c r="K21" s="142">
        <f>IFERROR((s_C*s_EF_res*(1/365)*s_ED_res*s_RadSpec!V21*((s_ET_res_o*(1/24)*s_RadSpec!AA21)+(s_ET_res_i*(1/24)*s_RadSpec!AF21))),".")</f>
        <v>0</v>
      </c>
      <c r="L21" s="142">
        <f>s_b2s!AB21</f>
        <v>407.92124999999999</v>
      </c>
      <c r="M21" s="141"/>
      <c r="N21" s="141" t="str">
        <f>IFERROR((s_DL/(s_RadSpec!K21*s_EF_res*(1/365)*s_ED_res*s_RadSpec!V21*((s_ET_res_o*(1/24)*s_RadSpec!AA21)+(s_ET_res_i*(1/24)*s_RadSpec!AF21))))*1,".")</f>
        <v>.</v>
      </c>
      <c r="O21" s="141" t="str">
        <f>IFERROR((s_DL/(s_RadSpec!R21*s_EF_res*(1/365)*s_ED_res*s_RadSpec!W21*((s_ET_res_o*(1/24)*s_RadSpec!AB21)+(s_ET_res_i*(1/24)*s_RadSpec!AG21))))*1,".")</f>
        <v>.</v>
      </c>
      <c r="P21" s="141" t="str">
        <f>IFERROR((s_DL/(s_RadSpec!S21*s_EF_res*(1/365)*s_ED_res*s_RadSpec!X21*((s_ET_res_o*(1/24)*s_RadSpec!AC21)+(s_ET_res_i*(1/24)*s_RadSpec!AH21))))*1,".")</f>
        <v>.</v>
      </c>
      <c r="Q21" s="141" t="str">
        <f>IFERROR((s_DL/(s_RadSpec!T21*s_EF_res*(1/365)*s_ED_res*s_RadSpec!Y21*((s_ET_res_o*(1/24)*s_RadSpec!AD21)+(s_ET_res_i*(1/24)*s_RadSpec!AI21))))*1,".")</f>
        <v>.</v>
      </c>
      <c r="R21" s="141" t="str">
        <f>IFERROR((s_DL/(s_RadSpec!P21*s_EF_res*(1/365)*s_ED_res*s_RadSpec!U21*((s_ET_res_o*(1/24)*s_RadSpec!Z21)+(s_ET_res_i*(1/24)*s_RadSpec!AE21))))*1,".")</f>
        <v>.</v>
      </c>
      <c r="S21" s="142">
        <f>IFERROR((s_C*s_EF_res*(1/365)*s_ED_res*s_RadSpec!V21*((s_ET_res_o*(1/24)*s_RadSpec!AA21)+(s_ET_res_i*(1/24)*s_RadSpec!AF21))),".")</f>
        <v>0</v>
      </c>
      <c r="T21" s="142">
        <f>IFERROR((s_C*s_EF_res*(1/365)*s_ED_res*s_RadSpec!W21*((s_ET_res_o*(1/24)*s_RadSpec!AB21)+(s_ET_res_i*(1/24)*s_RadSpec!AG21))),".")</f>
        <v>0</v>
      </c>
      <c r="U21" s="142">
        <f>IFERROR((s_C*s_EF_res*(1/365)*s_ED_res*s_RadSpec!X21*((s_ET_res_o*(1/24)*s_RadSpec!AC21)+(s_ET_res_i*(1/24)*s_RadSpec!AH21))),".")</f>
        <v>0</v>
      </c>
      <c r="V21" s="142">
        <f>IFERROR((s_C*s_EF_res*(1/365)*s_ED_res*s_RadSpec!Y21*((s_ET_res_o*(1/24)*s_RadSpec!AD21)+(s_ET_res_i*(1/24)*s_RadSpec!AI21))),".")</f>
        <v>0</v>
      </c>
      <c r="W21" s="142">
        <f>IFERROR((s_C*s_EF_res*(1/365)*s_ED_res*s_RadSpec!U21*((s_ET_res_o*(1/24)*s_RadSpec!Z21)+(s_ET_res_i*(1/24)*s_RadSpec!AE21))),".")</f>
        <v>0</v>
      </c>
      <c r="X21" s="141">
        <f>IFERROR((s_DL/(s_RadSpec!L21*s_IFA_res_adj)),".")</f>
        <v>6544.6364658963093</v>
      </c>
      <c r="Y21" s="141">
        <f>IFERROR((s_DL/(s_RadSpec!O21*s_EF_res*(1/365)*s_ED_res*s_ET_res*(1/24)*s_GSF_a)),".")</f>
        <v>162717.1233395795</v>
      </c>
      <c r="Z21" s="141">
        <f>IFERROR(IF(AND(X21&lt;&gt;".",Y21&lt;&gt;"."),1/((1/X21)+(1/Y21)),IF(AND(X21&lt;&gt;".",Y21="."),1/((1/X21)),IF(AND(X21=".",Y21&lt;&gt;"."),1/((1/Y21)),IF(AND(X21=".",Y21="."),".")))),".")</f>
        <v>6291.5830501693035</v>
      </c>
      <c r="AA21" s="142">
        <f t="shared" si="2"/>
        <v>501.30208333333326</v>
      </c>
      <c r="AB21" s="142">
        <f t="shared" si="3"/>
        <v>0.3139269406392694</v>
      </c>
      <c r="AC21" s="141"/>
      <c r="AD21" s="141" t="str">
        <f>IFERROR((s_DL/(s_RadSpec!M21*s_IFW_res_adj)),".")</f>
        <v>.</v>
      </c>
      <c r="AE21" s="141" t="str">
        <f>IFERROR(IF(s_RadSpec!C21=1,(s_DL/(s_RadSpec!L21*s_IFA_res_adj*s_K)),"."),".")</f>
        <v>.</v>
      </c>
      <c r="AF21" s="141">
        <f>IFERROR((s_DL/(s_RadSpec!Q21*(1/8760)*s_DFA_res_adj)),".")</f>
        <v>372656348.90707898</v>
      </c>
      <c r="AG21" s="141" t="str">
        <f>s_b2w!C21</f>
        <v>.</v>
      </c>
      <c r="AH21" s="141">
        <f>(IF(AND(AD21&lt;&gt;".",AE21&lt;&gt;".",AF21&lt;&gt;".",AG21&lt;&gt;"."),1/((1/AD21)+(1/AE21)+(1/AF21)+(1/AG21)),IF(AND(AD21&lt;&gt;".",AE21&lt;&gt;".",AF21&lt;&gt;".",AG21="."), 1/((1/AD21)+(1/AE21)+(1/AF21)),IF(AND(AD21&lt;&gt;".",AE21&lt;&gt;".",AF21=".",AG21&lt;&gt;"."),1/((1/AD21)+(1/AE21)+(1/AG21)),IF(AND(AD21&lt;&gt;".",AE21=".",AF21&lt;&gt;".",AG21&lt;&gt;"."),1/((1/AD21)+(1/AF21)+(1/AG21)),IF(AND(AD21=".",AE21&lt;&gt;".",AF21&lt;&gt;".",AG21&lt;&gt;"."),1/((1/AE21)+(1/AF21)+(1/AG21)),IF(AND(AD21&lt;&gt;".",AE21&lt;&gt;".",AF21=".",AG21="."),1/((1/AD21)+(1/AE21)),IF(AND(AD21&lt;&gt;".",AE21=".",AF21&lt;&gt;".",AG21="."),1/((1/AD21)+(1/AF21)),IF(AND(AD21&lt;&gt;".",AE21=".",AF21=".",AG21&lt;&gt;"."),1/((1/AD21)+(1/AG21)),IF(AND(AD21=".",AE21=".",AF21&lt;&gt;".",AG21&lt;&gt;"."),1/((1/AF21)+(1/AG21)),IF(AND(AD21=".",AE21&lt;&gt;".",AF21=".",AG21&lt;&gt;"."),1/((1/AE21)+(1/AG21)),IF(AND(AD21=".",AE21&lt;&gt;".",AF21&lt;&gt;".",AG21="."),1/((1/AE21)+(1/AF21)),IF(AND(AD21&lt;&gt;".",AE21=".",AF21=".",AG21="."),1/((1/AD21)),IF(AND(AD21=".",AE21&lt;&gt;".",AF21=".",AG21="."),1/((1/AE21)),IF(AND(AD21=".",AE21=".",AF21&lt;&gt;".",AG21="."),1/((1/AF21)),IF(AND(AD21=".",AE21=".",AF21=".",AG21&lt;&gt;"."),1/((1/AG21)),IF(AND(AD21=".",AE21=".",AF21=".",AG21="."),".")))))))))))))))))</f>
        <v>372656348.90707898</v>
      </c>
      <c r="AI21" s="142">
        <f t="shared" si="4"/>
        <v>1375</v>
      </c>
      <c r="AJ21" s="142">
        <f t="shared" si="5"/>
        <v>250.65104166666663</v>
      </c>
      <c r="AK21" s="142">
        <f t="shared" si="6"/>
        <v>0.12557077625570776</v>
      </c>
      <c r="AL21" s="142">
        <f>s_b2w!AB21</f>
        <v>285.56727257609776</v>
      </c>
      <c r="AM21" s="141"/>
      <c r="AN21" s="141" t="str">
        <f>IFERROR(s_DL/(s_RadSpec!J21*s_EF_res*s_ED_res*s_IRF_res*0.001*s_CF_res_fish),".")</f>
        <v>.</v>
      </c>
      <c r="AO21" s="142">
        <f t="shared" si="7"/>
        <v>7562.5</v>
      </c>
      <c r="AP21" s="141"/>
    </row>
    <row r="22" spans="1:42" x14ac:dyDescent="0.25">
      <c r="A22" s="128" t="s">
        <v>20</v>
      </c>
      <c r="B22" s="129" t="s">
        <v>1059</v>
      </c>
      <c r="C22" s="141">
        <f>IFERROR(((s_DL/(s_RadSpec!I22*s_IFS_res_adj*(1/1000)))*1),".")</f>
        <v>1877.0072246008076</v>
      </c>
      <c r="D22" s="141">
        <f>IFERROR(IF(A22="H-3",(s_DL/((s_RadSpec!L22*s_IFA_res_adj*(1/17)*1000))*1),(s_DL/((s_RadSpec!L22*s_IFA_res_adj*(1/s_PEF_wind)*1000))*1)),".")</f>
        <v>496511.83991597802</v>
      </c>
      <c r="E22" s="141">
        <f>IFERROR((s_DL/(s_RadSpec!K22*s_EF_res*(1/365)*s_ED_res*s_RadSpec!V22*((s_ET_res_o*(1/24)*s_RadSpec!AA22)+(s_ET_res_i*(1/24)*s_RadSpec!AF22))))*1,".")</f>
        <v>476506622885.85052</v>
      </c>
      <c r="F22" s="141">
        <f>s_b2s!C22</f>
        <v>54.907334345496793</v>
      </c>
      <c r="G22" s="141">
        <f>s_dir!C22</f>
        <v>1.2513381497338718</v>
      </c>
      <c r="H22" s="141">
        <f t="shared" ref="H22:H23" si="25">(IF(AND(C22&lt;&gt;".",D22&lt;&gt;".",E22&lt;&gt;".",F22&lt;&gt;"."),1/((1/C22)+(1/D22)+(1/E22)+(1/F22)),IF(AND(C22&lt;&gt;".",D22&lt;&gt;".",E22&lt;&gt;".",F22="."), 1/((1/C22)+(1/D22)+(1/E22)),IF(AND(C22&lt;&gt;".",D22&lt;&gt;".",E22=".",F22&lt;&gt;"."),1/((1/C22)+(1/D22)+(1/F22)),IF(AND(C22&lt;&gt;".",D22=".",E22&lt;&gt;".",F22&lt;&gt;"."),1/((1/C22)+(1/E22)+(1/F22)),IF(AND(C22=".",D22&lt;&gt;".",E22&lt;&gt;".",F22&lt;&gt;"."),1/((1/D22)+(1/E22)+(1/F22)),IF(AND(C22&lt;&gt;".",D22&lt;&gt;".",E22=".",F22="."),1/((1/C22)+(1/D22)),IF(AND(C22&lt;&gt;".",D22=".",E22&lt;&gt;".",F22="."),1/((1/C22)+(1/E22)),IF(AND(C22&lt;&gt;".",D22=".",E22=".",F22&lt;&gt;"."),1/((1/C22)+(1/F22)),IF(AND(C22=".",D22=".",E22&lt;&gt;".",F22&lt;&gt;"."),1/((1/E22)+(1/F22)),IF(AND(C22=".",D22&lt;&gt;".",E22=".",F22&lt;&gt;"."),1/((1/D22)+(1/F22)),IF(AND(C22=".",D22&lt;&gt;".",E22&lt;&gt;".",F22="."),1/((1/D22)+(1/E22)),IF(AND(C22&lt;&gt;".",D22=".",E22=".",F22="."),1/((1/C22)),IF(AND(C22=".",D22&lt;&gt;".",E22=".",F22="."),1/((1/D22)),IF(AND(C22=".",D22=".",E22&lt;&gt;".",F22="."),1/((1/E22)),IF(AND(C22=".",D22=".",E22=".",F22&lt;&gt;"."),1/((1/F22)),IF(AND(C22=".",D22=".",E22=".",F22="."),".")))))))))))))))))</f>
        <v>53.341070753614034</v>
      </c>
      <c r="I22" s="142">
        <f t="shared" si="0"/>
        <v>15.125</v>
      </c>
      <c r="J22" s="142">
        <f t="shared" si="1"/>
        <v>1.618127279505213E-3</v>
      </c>
      <c r="K22" s="142">
        <f>IFERROR((s_C*s_EF_res*(1/365)*s_ED_res*s_RadSpec!V22*((s_ET_res_o*(1/24)*s_RadSpec!AA22)+(s_ET_res_i*(1/24)*s_RadSpec!AF22))),".")</f>
        <v>5.8881086681247815E-9</v>
      </c>
      <c r="L22" s="142">
        <f>s_b2s!AB22</f>
        <v>517.04812500000003</v>
      </c>
      <c r="M22" s="141"/>
      <c r="N22" s="141">
        <f>IFERROR((s_DL/(s_RadSpec!K22*s_EF_res*(1/365)*s_ED_res*s_RadSpec!V22*((s_ET_res_o*(1/24)*s_RadSpec!AA22)+(s_ET_res_i*(1/24)*s_RadSpec!AF22))))*1,".")</f>
        <v>476506622885.85052</v>
      </c>
      <c r="O22" s="141">
        <f>IFERROR((s_DL/(s_RadSpec!R22*s_EF_res*(1/365)*s_ED_res*s_RadSpec!W22*((s_ET_res_o*(1/24)*s_RadSpec!AB22)+(s_ET_res_i*(1/24)*s_RadSpec!AG22))))*1,".")</f>
        <v>601947684550.59961</v>
      </c>
      <c r="P22" s="141">
        <f>IFERROR((s_DL/(s_RadSpec!S22*s_EF_res*(1/365)*s_ED_res*s_RadSpec!X22*((s_ET_res_o*(1/24)*s_RadSpec!AC22)+(s_ET_res_i*(1/24)*s_RadSpec!AH22))))*1,".")</f>
        <v>336863417081.2663</v>
      </c>
      <c r="Q22" s="141">
        <f>IFERROR((s_DL/(s_RadSpec!T22*s_EF_res*(1/365)*s_ED_res*s_RadSpec!Y22*((s_ET_res_o*(1/24)*s_RadSpec!AD22)+(s_ET_res_i*(1/24)*s_RadSpec!AI22))))*1,".")</f>
        <v>345673075927.52112</v>
      </c>
      <c r="R22" s="141">
        <f>IFERROR((s_DL/(s_RadSpec!P22*s_EF_res*(1/365)*s_ED_res*s_RadSpec!U22*((s_ET_res_o*(1/24)*s_RadSpec!Z22)+(s_ET_res_i*(1/24)*s_RadSpec!AE22))))*1,".")</f>
        <v>1699606565948.9568</v>
      </c>
      <c r="S22" s="142">
        <f>IFERROR((s_C*s_EF_res*(1/365)*s_ED_res*s_RadSpec!V22*((s_ET_res_o*(1/24)*s_RadSpec!AA22)+(s_ET_res_i*(1/24)*s_RadSpec!AF22))),".")</f>
        <v>5.8881086681247815E-9</v>
      </c>
      <c r="T22" s="142">
        <f>IFERROR((s_C*s_EF_res*(1/365)*s_ED_res*s_RadSpec!W22*((s_ET_res_o*(1/24)*s_RadSpec!AB22)+(s_ET_res_i*(1/24)*s_RadSpec!AG22))),".")</f>
        <v>6.4258160615165197E-9</v>
      </c>
      <c r="U22" s="142">
        <f>IFERROR((s_C*s_EF_res*(1/365)*s_ED_res*s_RadSpec!X22*((s_ET_res_o*(1/24)*s_RadSpec!AC22)+(s_ET_res_i*(1/24)*s_RadSpec!AH22))),".")</f>
        <v>8.3640318400592386E-9</v>
      </c>
      <c r="V22" s="142">
        <f>IFERROR((s_C*s_EF_res*(1/365)*s_ED_res*s_RadSpec!Y22*((s_ET_res_o*(1/24)*s_RadSpec!AD22)+(s_ET_res_i*(1/24)*s_RadSpec!AI22))),".")</f>
        <v>8.1166945649574738E-9</v>
      </c>
      <c r="W22" s="142">
        <f>IFERROR((s_C*s_EF_res*(1/365)*s_ED_res*s_RadSpec!U22*((s_ET_res_o*(1/24)*s_RadSpec!Z22)+(s_ET_res_i*(1/24)*s_RadSpec!AE22))),".")</f>
        <v>1.1438903919065673E-9</v>
      </c>
      <c r="X22" s="141">
        <f>IFERROR((s_DL/(s_RadSpec!L22*s_IFA_res_adj)),".")</f>
        <v>1.6026650985033866</v>
      </c>
      <c r="Y22" s="141">
        <f>IFERROR((s_DL/(s_RadSpec!O22*s_EF_res*(1/365)*s_ED_res*s_ET_res*(1/24)*s_GSF_a)),".")</f>
        <v>1.7259873002012078</v>
      </c>
      <c r="Z22" s="141">
        <f t="shared" ref="Z22:Z23" si="26">IFERROR(IF(AND(X22&lt;&gt;".",Y22&lt;&gt;"."),1/((1/X22)+(1/Y22)),IF(AND(X22&lt;&gt;".",Y22="."),1/((1/X22)),IF(AND(X22=".",Y22&lt;&gt;"."),1/((1/Y22)),IF(AND(X22=".",Y22="."),".")))),".")</f>
        <v>0.83102086825559562</v>
      </c>
      <c r="AA22" s="142">
        <f t="shared" si="2"/>
        <v>501.30208333333326</v>
      </c>
      <c r="AB22" s="142">
        <f t="shared" si="3"/>
        <v>0.3139269406392694</v>
      </c>
      <c r="AC22" s="141"/>
      <c r="AD22" s="141">
        <f>IFERROR((s_DL/(s_RadSpec!M22*s_IFW_res_adj)),".")</f>
        <v>20.64707947060888</v>
      </c>
      <c r="AE22" s="141" t="str">
        <f>IFERROR(IF(s_RadSpec!C22=1,(s_DL/(s_RadSpec!L22*s_IFA_res_adj*s_K)),"."),".")</f>
        <v>.</v>
      </c>
      <c r="AF22" s="141">
        <f>IFERROR((s_DL/(s_RadSpec!Q22*(1/8760)*s_DFA_res_adj)),".")</f>
        <v>1962.7940292343383</v>
      </c>
      <c r="AG22" s="141">
        <f>s_b2w!C22</f>
        <v>92.399201466289966</v>
      </c>
      <c r="AH22" s="141">
        <f t="shared" ref="AH22:AH23" si="27">(IF(AND(AD22&lt;&gt;".",AE22&lt;&gt;".",AF22&lt;&gt;".",AG22&lt;&gt;"."),1/((1/AD22)+(1/AE22)+(1/AF22)+(1/AG22)),IF(AND(AD22&lt;&gt;".",AE22&lt;&gt;".",AF22&lt;&gt;".",AG22="."), 1/((1/AD22)+(1/AE22)+(1/AF22)),IF(AND(AD22&lt;&gt;".",AE22&lt;&gt;".",AF22=".",AG22&lt;&gt;"."),1/((1/AD22)+(1/AE22)+(1/AG22)),IF(AND(AD22&lt;&gt;".",AE22=".",AF22&lt;&gt;".",AG22&lt;&gt;"."),1/((1/AD22)+(1/AF22)+(1/AG22)),IF(AND(AD22=".",AE22&lt;&gt;".",AF22&lt;&gt;".",AG22&lt;&gt;"."),1/((1/AE22)+(1/AF22)+(1/AG22)),IF(AND(AD22&lt;&gt;".",AE22&lt;&gt;".",AF22=".",AG22="."),1/((1/AD22)+(1/AE22)),IF(AND(AD22&lt;&gt;".",AE22=".",AF22&lt;&gt;".",AG22="."),1/((1/AD22)+(1/AF22)),IF(AND(AD22&lt;&gt;".",AE22=".",AF22=".",AG22&lt;&gt;"."),1/((1/AD22)+(1/AG22)),IF(AND(AD22=".",AE22=".",AF22&lt;&gt;".",AG22&lt;&gt;"."),1/((1/AF22)+(1/AG22)),IF(AND(AD22=".",AE22&lt;&gt;".",AF22=".",AG22&lt;&gt;"."),1/((1/AE22)+(1/AG22)),IF(AND(AD22=".",AE22&lt;&gt;".",AF22&lt;&gt;".",AG22="."),1/((1/AE22)+(1/AF22)),IF(AND(AD22&lt;&gt;".",AE22=".",AF22=".",AG22="."),1/((1/AD22)),IF(AND(AD22=".",AE22&lt;&gt;".",AF22=".",AG22="."),1/((1/AE22)),IF(AND(AD22=".",AE22=".",AF22&lt;&gt;".",AG22="."),1/((1/AF22)),IF(AND(AD22=".",AE22=".",AF22=".",AG22&lt;&gt;"."),1/((1/AG22)),IF(AND(AD22=".",AE22=".",AF22=".",AG22="."),".")))))))))))))))))</f>
        <v>16.732178118704127</v>
      </c>
      <c r="AI22" s="142">
        <f t="shared" si="4"/>
        <v>1375</v>
      </c>
      <c r="AJ22" s="142">
        <f t="shared" si="5"/>
        <v>250.65104166666663</v>
      </c>
      <c r="AK22" s="142">
        <f t="shared" si="6"/>
        <v>0.12557077625570776</v>
      </c>
      <c r="AL22" s="142">
        <f>s_b2w!AB22</f>
        <v>307.25086171274592</v>
      </c>
      <c r="AM22" s="141"/>
      <c r="AN22" s="141">
        <f>IFERROR(s_DL/(s_RadSpec!J22*s_EF_res*s_ED_res*s_IRF_res*0.001*s_CF_res_fish),".")</f>
        <v>3.7540144492016148</v>
      </c>
      <c r="AO22" s="142">
        <f t="shared" si="7"/>
        <v>7562.5</v>
      </c>
      <c r="AP22" s="141"/>
    </row>
    <row r="23" spans="1:42" x14ac:dyDescent="0.25">
      <c r="A23" s="131" t="s">
        <v>21</v>
      </c>
      <c r="B23" s="129" t="s">
        <v>336</v>
      </c>
      <c r="C23" s="141">
        <f>IFERROR(((s_DL/(s_RadSpec!I23*s_IFS_res_adj*(1/1000)))*1),".")</f>
        <v>986.15390608166047</v>
      </c>
      <c r="D23" s="141">
        <f>IFERROR(IF(A23="H-3",(s_DL/((s_RadSpec!L23*s_IFA_res_adj*(1/17)*1000))*1),(s_DL/((s_RadSpec!L23*s_IFA_res_adj*(1/s_PEF_wind)*1000))*1)),".")</f>
        <v>405404.32754304621</v>
      </c>
      <c r="E23" s="141">
        <f>IFERROR((s_DL/(s_RadSpec!K23*s_EF_res*(1/365)*s_ED_res*s_RadSpec!V23*((s_ET_res_o*(1/24)*s_RadSpec!AA23)+(s_ET_res_i*(1/24)*s_RadSpec!AF23))))*1,".")</f>
        <v>30618.818782145412</v>
      </c>
      <c r="F23" s="141">
        <f>s_b2s!C23</f>
        <v>28.847561974013761</v>
      </c>
      <c r="G23" s="141">
        <f>s_dir!C23</f>
        <v>0.65743593738777373</v>
      </c>
      <c r="H23" s="141">
        <f t="shared" si="25"/>
        <v>28.000113206492767</v>
      </c>
      <c r="I23" s="142">
        <f t="shared" si="0"/>
        <v>15.125</v>
      </c>
      <c r="J23" s="142">
        <f t="shared" si="1"/>
        <v>1.618127279505213E-3</v>
      </c>
      <c r="K23" s="142">
        <f>IFERROR((s_C*s_EF_res*(1/365)*s_ED_res*s_RadSpec!V23*((s_ET_res_o*(1/24)*s_RadSpec!AA23)+(s_ET_res_i*(1/24)*s_RadSpec!AF23))),".")</f>
        <v>2.5711403441828522E-2</v>
      </c>
      <c r="L23" s="142">
        <f>s_b2s!AB23</f>
        <v>517.04812500000003</v>
      </c>
      <c r="M23" s="141"/>
      <c r="N23" s="141">
        <f>IFERROR((s_DL/(s_RadSpec!K23*s_EF_res*(1/365)*s_ED_res*s_RadSpec!V23*((s_ET_res_o*(1/24)*s_RadSpec!AA23)+(s_ET_res_i*(1/24)*s_RadSpec!AF23))))*1,".")</f>
        <v>30618.818782145412</v>
      </c>
      <c r="O23" s="141">
        <f>IFERROR((s_DL/(s_RadSpec!R23*s_EF_res*(1/365)*s_ED_res*s_RadSpec!W23*((s_ET_res_o*(1/24)*s_RadSpec!AB23)+(s_ET_res_i*(1/24)*s_RadSpec!AG23))))*1,".")</f>
        <v>218522.46435973141</v>
      </c>
      <c r="P23" s="141">
        <f>IFERROR((s_DL/(s_RadSpec!S23*s_EF_res*(1/365)*s_ED_res*s_RadSpec!X23*((s_ET_res_o*(1/24)*s_RadSpec!AC23)+(s_ET_res_i*(1/24)*s_RadSpec!AH23))))*1,".")</f>
        <v>55997.996554244797</v>
      </c>
      <c r="Q23" s="141">
        <f>IFERROR((s_DL/(s_RadSpec!T23*s_EF_res*(1/365)*s_ED_res*s_RadSpec!Y23*((s_ET_res_o*(1/24)*s_RadSpec!AD23)+(s_ET_res_i*(1/24)*s_RadSpec!AI23))))*1,".")</f>
        <v>32298.308916559214</v>
      </c>
      <c r="R23" s="141">
        <f>IFERROR((s_DL/(s_RadSpec!P23*s_EF_res*(1/365)*s_ED_res*s_RadSpec!U23*((s_ET_res_o*(1/24)*s_RadSpec!Z23)+(s_ET_res_i*(1/24)*s_RadSpec!AE23))))*1,".")</f>
        <v>348895.7246544598</v>
      </c>
      <c r="S23" s="142">
        <f>IFERROR((s_C*s_EF_res*(1/365)*s_ED_res*s_RadSpec!V23*((s_ET_res_o*(1/24)*s_RadSpec!AA23)+(s_ET_res_i*(1/24)*s_RadSpec!AF23))),".")</f>
        <v>2.5711403441828522E-2</v>
      </c>
      <c r="T23" s="142">
        <f>IFERROR((s_C*s_EF_res*(1/365)*s_ED_res*s_RadSpec!W23*((s_ET_res_o*(1/24)*s_RadSpec!AB23)+(s_ET_res_i*(1/24)*s_RadSpec!AG23))),".")</f>
        <v>1.4444456010326007E-2</v>
      </c>
      <c r="U23" s="142">
        <f>IFERROR((s_C*s_EF_res*(1/365)*s_ED_res*s_RadSpec!X23*((s_ET_res_o*(1/24)*s_RadSpec!AC23)+(s_ET_res_i*(1/24)*s_RadSpec!AH23))),".")</f>
        <v>2.0427009249202967E-2</v>
      </c>
      <c r="V23" s="142">
        <f>IFERROR((s_C*s_EF_res*(1/365)*s_ED_res*s_RadSpec!Y23*((s_ET_res_o*(1/24)*s_RadSpec!AD23)+(s_ET_res_i*(1/24)*s_RadSpec!AI23))),".")</f>
        <v>2.4961763532384631E-2</v>
      </c>
      <c r="W23" s="142">
        <f>IFERROR((s_C*s_EF_res*(1/365)*s_ED_res*s_RadSpec!U23*((s_ET_res_o*(1/24)*s_RadSpec!Z23)+(s_ET_res_i*(1/24)*s_RadSpec!AE23))),".")</f>
        <v>9.175999629766755E-3</v>
      </c>
      <c r="X23" s="141">
        <f>IFERROR((s_DL/(s_RadSpec!L23*s_IFA_res_adj)),".")</f>
        <v>1.3085838328556778</v>
      </c>
      <c r="Y23" s="141">
        <f>IFERROR((s_DL/(s_RadSpec!O23*s_EF_res*(1/365)*s_ED_res*s_ET_res*(1/24)*s_GSF_a)),".")</f>
        <v>1.3708002030536921</v>
      </c>
      <c r="Z23" s="141">
        <f t="shared" si="26"/>
        <v>0.66948483672014281</v>
      </c>
      <c r="AA23" s="142">
        <f t="shared" si="2"/>
        <v>501.30208333333326</v>
      </c>
      <c r="AB23" s="142">
        <f t="shared" si="3"/>
        <v>0.3139269406392694</v>
      </c>
      <c r="AC23" s="141"/>
      <c r="AD23" s="141">
        <f>IFERROR((s_DL/(s_RadSpec!M23*s_IFW_res_adj)),".")</f>
        <v>10.847692966898265</v>
      </c>
      <c r="AE23" s="141">
        <f>IFERROR(IF(s_RadSpec!C23=1,(s_DL/(s_RadSpec!L23*s_IFA_res_adj*s_K)),"."),".")</f>
        <v>2.6171676657113556</v>
      </c>
      <c r="AF23" s="141">
        <f>IFERROR((s_DL/(s_RadSpec!Q23*(1/8760)*s_DFA_res_adj)),".")</f>
        <v>1558.1829793483125</v>
      </c>
      <c r="AG23" s="141">
        <f>s_b2w!C23</f>
        <v>48.545275825556324</v>
      </c>
      <c r="AH23" s="141">
        <f t="shared" si="27"/>
        <v>2.018085892679653</v>
      </c>
      <c r="AI23" s="142">
        <f t="shared" si="4"/>
        <v>1375</v>
      </c>
      <c r="AJ23" s="142">
        <f t="shared" si="5"/>
        <v>250.65104166666663</v>
      </c>
      <c r="AK23" s="142">
        <f t="shared" si="6"/>
        <v>0.12557077625570776</v>
      </c>
      <c r="AL23" s="142">
        <f>s_b2w!AB23</f>
        <v>307.25086171274592</v>
      </c>
      <c r="AM23" s="141"/>
      <c r="AN23" s="141">
        <f>IFERROR(s_DL/(s_RadSpec!J23*s_EF_res*s_ED_res*s_IRF_res*0.001*s_CF_res_fish),".")</f>
        <v>1.9723078121633206</v>
      </c>
      <c r="AO23" s="142">
        <f t="shared" si="7"/>
        <v>7562.5</v>
      </c>
      <c r="AP23" s="141"/>
    </row>
    <row r="24" spans="1:42" x14ac:dyDescent="0.25">
      <c r="A24" s="128" t="s">
        <v>22</v>
      </c>
      <c r="B24" s="129" t="s">
        <v>1059</v>
      </c>
      <c r="C24" s="141" t="str">
        <f>IFERROR(((s_DL/(s_RadSpec!I24*s_IFS_res_adj*(1/1000)))*1),".")</f>
        <v>.</v>
      </c>
      <c r="D24" s="141" t="str">
        <f>IFERROR(IF(A24="H-3",(s_DL/((s_RadSpec!L24*s_IFA_res_adj*(1/17)*1000))*1),(s_DL/((s_RadSpec!L24*s_IFA_res_adj*(1/s_PEF_wind)*1000))*1)),".")</f>
        <v>.</v>
      </c>
      <c r="E24" s="141">
        <f>IFERROR((s_DL/(s_RadSpec!K24*s_EF_res*(1/365)*s_ED_res*s_RadSpec!V24*((s_ET_res_o*(1/24)*s_RadSpec!AA24)+(s_ET_res_i*(1/24)*s_RadSpec!AF24))))*1,".")</f>
        <v>299280.81260083482</v>
      </c>
      <c r="F24" s="141" t="str">
        <f>s_b2s!C24</f>
        <v>.</v>
      </c>
      <c r="G24" s="141" t="str">
        <f>s_dir!C24</f>
        <v>.</v>
      </c>
      <c r="H24" s="141">
        <f t="shared" ref="H24:H25" si="28">(IF(AND(C24&lt;&gt;".",D24&lt;&gt;".",E24&lt;&gt;".",F24&lt;&gt;"."),1/((1/C24)+(1/D24)+(1/E24)+(1/F24)),IF(AND(C24&lt;&gt;".",D24&lt;&gt;".",E24&lt;&gt;".",F24="."), 1/((1/C24)+(1/D24)+(1/E24)),IF(AND(C24&lt;&gt;".",D24&lt;&gt;".",E24=".",F24&lt;&gt;"."),1/((1/C24)+(1/D24)+(1/F24)),IF(AND(C24&lt;&gt;".",D24=".",E24&lt;&gt;".",F24&lt;&gt;"."),1/((1/C24)+(1/E24)+(1/F24)),IF(AND(C24=".",D24&lt;&gt;".",E24&lt;&gt;".",F24&lt;&gt;"."),1/((1/D24)+(1/E24)+(1/F24)),IF(AND(C24&lt;&gt;".",D24&lt;&gt;".",E24=".",F24="."),1/((1/C24)+(1/D24)),IF(AND(C24&lt;&gt;".",D24=".",E24&lt;&gt;".",F24="."),1/((1/C24)+(1/E24)),IF(AND(C24&lt;&gt;".",D24=".",E24=".",F24&lt;&gt;"."),1/((1/C24)+(1/F24)),IF(AND(C24=".",D24=".",E24&lt;&gt;".",F24&lt;&gt;"."),1/((1/E24)+(1/F24)),IF(AND(C24=".",D24&lt;&gt;".",E24=".",F24&lt;&gt;"."),1/((1/D24)+(1/F24)),IF(AND(C24=".",D24&lt;&gt;".",E24&lt;&gt;".",F24="."),1/((1/D24)+(1/E24)),IF(AND(C24&lt;&gt;".",D24=".",E24=".",F24="."),1/((1/C24)),IF(AND(C24=".",D24&lt;&gt;".",E24=".",F24="."),1/((1/D24)),IF(AND(C24=".",D24=".",E24&lt;&gt;".",F24="."),1/((1/E24)),IF(AND(C24=".",D24=".",E24=".",F24&lt;&gt;"."),1/((1/F24)),IF(AND(C24=".",D24=".",E24=".",F24="."),".")))))))))))))))))</f>
        <v>299280.81260083482</v>
      </c>
      <c r="I24" s="142">
        <f t="shared" si="0"/>
        <v>15.125</v>
      </c>
      <c r="J24" s="142">
        <f t="shared" si="1"/>
        <v>1.618127279505213E-3</v>
      </c>
      <c r="K24" s="142">
        <f>IFERROR((s_C*s_EF_res*(1/365)*s_ED_res*s_RadSpec!V24*((s_ET_res_o*(1/24)*s_RadSpec!AA24)+(s_ET_res_i*(1/24)*s_RadSpec!AF24))),".")</f>
        <v>1.9613243284610078E-2</v>
      </c>
      <c r="L24" s="142">
        <f>s_b2s!AB24</f>
        <v>306.28125</v>
      </c>
      <c r="M24" s="141"/>
      <c r="N24" s="141">
        <f>IFERROR((s_DL/(s_RadSpec!K24*s_EF_res*(1/365)*s_ED_res*s_RadSpec!V24*((s_ET_res_o*(1/24)*s_RadSpec!AA24)+(s_ET_res_i*(1/24)*s_RadSpec!AF24))))*1,".")</f>
        <v>299280.81260083482</v>
      </c>
      <c r="O24" s="141">
        <f>IFERROR((s_DL/(s_RadSpec!R24*s_EF_res*(1/365)*s_ED_res*s_RadSpec!W24*((s_ET_res_o*(1/24)*s_RadSpec!AB24)+(s_ET_res_i*(1/24)*s_RadSpec!AG24))))*1,".")</f>
        <v>2695270.9115927531</v>
      </c>
      <c r="P24" s="141">
        <f>IFERROR((s_DL/(s_RadSpec!S24*s_EF_res*(1/365)*s_ED_res*s_RadSpec!X24*((s_ET_res_o*(1/24)*s_RadSpec!AC24)+(s_ET_res_i*(1/24)*s_RadSpec!AH24))))*1,".")</f>
        <v>666788.74871165422</v>
      </c>
      <c r="Q24" s="141">
        <f>IFERROR((s_DL/(s_RadSpec!T24*s_EF_res*(1/365)*s_ED_res*s_RadSpec!Y24*((s_ET_res_o*(1/24)*s_RadSpec!AD24)+(s_ET_res_i*(1/24)*s_RadSpec!AI24))))*1,".")</f>
        <v>357560.54285546154</v>
      </c>
      <c r="R24" s="141">
        <f>IFERROR((s_DL/(s_RadSpec!P24*s_EF_res*(1/365)*s_ED_res*s_RadSpec!U24*((s_ET_res_o*(1/24)*s_RadSpec!Z24)+(s_ET_res_i*(1/24)*s_RadSpec!AE24))))*1,".")</f>
        <v>4538073.6248408938</v>
      </c>
      <c r="S24" s="142">
        <f>IFERROR((s_C*s_EF_res*(1/365)*s_ED_res*s_RadSpec!V24*((s_ET_res_o*(1/24)*s_RadSpec!AA24)+(s_ET_res_i*(1/24)*s_RadSpec!AF24))),".")</f>
        <v>1.9613243284610078E-2</v>
      </c>
      <c r="T24" s="142">
        <f>IFERROR((s_C*s_EF_res*(1/365)*s_ED_res*s_RadSpec!W24*((s_ET_res_o*(1/24)*s_RadSpec!AB24)+(s_ET_res_i*(1/24)*s_RadSpec!AG24))),".")</f>
        <v>1.081802615193026E-2</v>
      </c>
      <c r="U24" s="142">
        <f>IFERROR((s_C*s_EF_res*(1/365)*s_ED_res*s_RadSpec!X24*((s_ET_res_o*(1/24)*s_RadSpec!AC24)+(s_ET_res_i*(1/24)*s_RadSpec!AH24))),".")</f>
        <v>1.5321580880995464E-2</v>
      </c>
      <c r="V24" s="142">
        <f>IFERROR((s_C*s_EF_res*(1/365)*s_ED_res*s_RadSpec!Y24*((s_ET_res_o*(1/24)*s_RadSpec!AD24)+(s_ET_res_i*(1/24)*s_RadSpec!AI24))),".")</f>
        <v>1.8347773972602739E-2</v>
      </c>
      <c r="W24" s="142">
        <f>IFERROR((s_C*s_EF_res*(1/365)*s_ED_res*s_RadSpec!U24*((s_ET_res_o*(1/24)*s_RadSpec!Z24)+(s_ET_res_i*(1/24)*s_RadSpec!AE24))),".")</f>
        <v>6.509016819837005E-3</v>
      </c>
      <c r="X24" s="141" t="str">
        <f>IFERROR((s_DL/(s_RadSpec!L24*s_IFA_res_adj)),".")</f>
        <v>.</v>
      </c>
      <c r="Y24" s="141">
        <f>IFERROR((s_DL/(s_RadSpec!O24*s_EF_res*(1/365)*s_ED_res*s_ET_res*(1/24)*s_GSF_a)),".")</f>
        <v>12.538790092638186</v>
      </c>
      <c r="Z24" s="141">
        <f t="shared" ref="Z24" si="29">IFERROR(IF(AND(X24&lt;&gt;".",Y24&lt;&gt;"."),1/((1/X24)+(1/Y24)),IF(AND(X24&lt;&gt;".",Y24="."),1/((1/X24)),IF(AND(X24=".",Y24&lt;&gt;"."),1/((1/Y24)),IF(AND(X24=".",Y24="."),".")))),".")</f>
        <v>12.538790092638184</v>
      </c>
      <c r="AA24" s="142">
        <f t="shared" si="2"/>
        <v>501.30208333333326</v>
      </c>
      <c r="AB24" s="142">
        <f t="shared" si="3"/>
        <v>0.3139269406392694</v>
      </c>
      <c r="AC24" s="141"/>
      <c r="AD24" s="141" t="str">
        <f>IFERROR((s_DL/(s_RadSpec!M24*s_IFW_res_adj)),".")</f>
        <v>.</v>
      </c>
      <c r="AE24" s="141" t="str">
        <f>IFERROR(IF(s_RadSpec!C24=1,(s_DL/(s_RadSpec!L24*s_IFA_res_adj*s_K)),"."),".")</f>
        <v>.</v>
      </c>
      <c r="AF24" s="141">
        <f>IFERROR((s_DL/(s_RadSpec!Q24*(1/8760)*s_DFA_res_adj)),".")</f>
        <v>14422.153692479644</v>
      </c>
      <c r="AG24" s="141" t="str">
        <f>s_b2w!C24</f>
        <v>.</v>
      </c>
      <c r="AH24" s="141">
        <f t="shared" ref="AH24" si="30">(IF(AND(AD24&lt;&gt;".",AE24&lt;&gt;".",AF24&lt;&gt;".",AG24&lt;&gt;"."),1/((1/AD24)+(1/AE24)+(1/AF24)+(1/AG24)),IF(AND(AD24&lt;&gt;".",AE24&lt;&gt;".",AF24&lt;&gt;".",AG24="."), 1/((1/AD24)+(1/AE24)+(1/AF24)),IF(AND(AD24&lt;&gt;".",AE24&lt;&gt;".",AF24=".",AG24&lt;&gt;"."),1/((1/AD24)+(1/AE24)+(1/AG24)),IF(AND(AD24&lt;&gt;".",AE24=".",AF24&lt;&gt;".",AG24&lt;&gt;"."),1/((1/AD24)+(1/AF24)+(1/AG24)),IF(AND(AD24=".",AE24&lt;&gt;".",AF24&lt;&gt;".",AG24&lt;&gt;"."),1/((1/AE24)+(1/AF24)+(1/AG24)),IF(AND(AD24&lt;&gt;".",AE24&lt;&gt;".",AF24=".",AG24="."),1/((1/AD24)+(1/AE24)),IF(AND(AD24&lt;&gt;".",AE24=".",AF24&lt;&gt;".",AG24="."),1/((1/AD24)+(1/AF24)),IF(AND(AD24&lt;&gt;".",AE24=".",AF24=".",AG24&lt;&gt;"."),1/((1/AD24)+(1/AG24)),IF(AND(AD24=".",AE24=".",AF24&lt;&gt;".",AG24&lt;&gt;"."),1/((1/AF24)+(1/AG24)),IF(AND(AD24=".",AE24&lt;&gt;".",AF24=".",AG24&lt;&gt;"."),1/((1/AE24)+(1/AG24)),IF(AND(AD24=".",AE24&lt;&gt;".",AF24&lt;&gt;".",AG24="."),1/((1/AE24)+(1/AF24)),IF(AND(AD24&lt;&gt;".",AE24=".",AF24=".",AG24="."),1/((1/AD24)),IF(AND(AD24=".",AE24&lt;&gt;".",AF24=".",AG24="."),1/((1/AE24)),IF(AND(AD24=".",AE24=".",AF24&lt;&gt;".",AG24="."),1/((1/AF24)),IF(AND(AD24=".",AE24=".",AF24=".",AG24&lt;&gt;"."),1/((1/AG24)),IF(AND(AD24=".",AE24=".",AF24=".",AG24="."),".")))))))))))))))))</f>
        <v>14422.153692479644</v>
      </c>
      <c r="AI24" s="142">
        <f t="shared" si="4"/>
        <v>1375</v>
      </c>
      <c r="AJ24" s="142">
        <f t="shared" si="5"/>
        <v>250.65104166666663</v>
      </c>
      <c r="AK24" s="142">
        <f t="shared" si="6"/>
        <v>0.12557077625570776</v>
      </c>
      <c r="AL24" s="142">
        <f>s_b2w!AB24</f>
        <v>0</v>
      </c>
      <c r="AM24" s="141"/>
      <c r="AN24" s="141" t="str">
        <f>IFERROR(s_DL/(s_RadSpec!J24*s_EF_res*s_ED_res*s_IRF_res*0.001*s_CF_res_fish),".")</f>
        <v>.</v>
      </c>
      <c r="AO24" s="142">
        <f t="shared" si="7"/>
        <v>7562.5</v>
      </c>
      <c r="AP24" s="141"/>
    </row>
    <row r="25" spans="1:42" x14ac:dyDescent="0.25">
      <c r="A25" s="131" t="s">
        <v>23</v>
      </c>
      <c r="B25" s="129" t="s">
        <v>336</v>
      </c>
      <c r="C25" s="141" t="str">
        <f>IFERROR(((s_DL/(s_RadSpec!I25*s_IFS_res_adj*(1/1000)))*1),".")</f>
        <v>.</v>
      </c>
      <c r="D25" s="141">
        <f>IFERROR(IF(A25="H-3",(s_DL/((s_RadSpec!L25*s_IFA_res_adj*(1/17)*1000))*1),(s_DL/((s_RadSpec!L25*s_IFA_res_adj*(1/s_PEF_wind)*1000))*1)),".")</f>
        <v>2358772354.6054182</v>
      </c>
      <c r="E25" s="141">
        <f>IFERROR((s_DL/(s_RadSpec!K25*s_EF_res*(1/365)*s_ED_res*s_RadSpec!V25*((s_ET_res_o*(1/24)*s_RadSpec!AA25)+(s_ET_res_i*(1/24)*s_RadSpec!AF25))))*1,".")</f>
        <v>667494.71672216873</v>
      </c>
      <c r="F25" s="141" t="str">
        <f>s_b2s!C25</f>
        <v>.</v>
      </c>
      <c r="G25" s="141" t="str">
        <f>s_dir!C25</f>
        <v>.</v>
      </c>
      <c r="H25" s="141">
        <f t="shared" si="28"/>
        <v>667305.87986880285</v>
      </c>
      <c r="I25" s="142">
        <f t="shared" si="0"/>
        <v>15.125</v>
      </c>
      <c r="J25" s="142">
        <f t="shared" si="1"/>
        <v>1.618127279505213E-3</v>
      </c>
      <c r="K25" s="142">
        <f>IFERROR((s_C*s_EF_res*(1/365)*s_ED_res*s_RadSpec!V25*((s_ET_res_o*(1/24)*s_RadSpec!AA25)+(s_ET_res_i*(1/24)*s_RadSpec!AF25))),".")</f>
        <v>1.7587756849315066E-2</v>
      </c>
      <c r="L25" s="142">
        <f>s_b2s!AB25</f>
        <v>306.28125</v>
      </c>
      <c r="M25" s="141"/>
      <c r="N25" s="141">
        <f>IFERROR((s_DL/(s_RadSpec!K25*s_EF_res*(1/365)*s_ED_res*s_RadSpec!V25*((s_ET_res_o*(1/24)*s_RadSpec!AA25)+(s_ET_res_i*(1/24)*s_RadSpec!AF25))))*1,".")</f>
        <v>667494.71672216873</v>
      </c>
      <c r="O25" s="141">
        <f>IFERROR((s_DL/(s_RadSpec!R25*s_EF_res*(1/365)*s_ED_res*s_RadSpec!W25*((s_ET_res_o*(1/24)*s_RadSpec!AB25)+(s_ET_res_i*(1/24)*s_RadSpec!AG25))))*1,".")</f>
        <v>5774121.8536407091</v>
      </c>
      <c r="P25" s="141">
        <f>IFERROR((s_DL/(s_RadSpec!S25*s_EF_res*(1/365)*s_ED_res*s_RadSpec!X25*((s_ET_res_o*(1/24)*s_RadSpec!AC25)+(s_ET_res_i*(1/24)*s_RadSpec!AH25))))*1,".")</f>
        <v>1452402.529998299</v>
      </c>
      <c r="Q25" s="141">
        <f>IFERROR((s_DL/(s_RadSpec!T25*s_EF_res*(1/365)*s_ED_res*s_RadSpec!Y25*((s_ET_res_o*(1/24)*s_RadSpec!AD25)+(s_ET_res_i*(1/24)*s_RadSpec!AI25))))*1,".")</f>
        <v>839282.05673987919</v>
      </c>
      <c r="R25" s="141">
        <f>IFERROR((s_DL/(s_RadSpec!P25*s_EF_res*(1/365)*s_ED_res*s_RadSpec!U25*((s_ET_res_o*(1/24)*s_RadSpec!Z25)+(s_ET_res_i*(1/24)*s_RadSpec!AE25))))*1,".")</f>
        <v>10494724.878274495</v>
      </c>
      <c r="S25" s="142">
        <f>IFERROR((s_C*s_EF_res*(1/365)*s_ED_res*s_RadSpec!V25*((s_ET_res_o*(1/24)*s_RadSpec!AA25)+(s_ET_res_i*(1/24)*s_RadSpec!AF25))),".")</f>
        <v>1.7587756849315066E-2</v>
      </c>
      <c r="T25" s="142">
        <f>IFERROR((s_C*s_EF_res*(1/365)*s_ED_res*s_RadSpec!W25*((s_ET_res_o*(1/24)*s_RadSpec!AB25)+(s_ET_res_i*(1/24)*s_RadSpec!AG25))),".")</f>
        <v>9.8212143355728143E-3</v>
      </c>
      <c r="U25" s="142">
        <f>IFERROR((s_C*s_EF_res*(1/365)*s_ED_res*s_RadSpec!X25*((s_ET_res_o*(1/24)*s_RadSpec!AC25)+(s_ET_res_i*(1/24)*s_RadSpec!AH25))),".")</f>
        <v>1.369181668220612E-2</v>
      </c>
      <c r="V25" s="142">
        <f>IFERROR((s_C*s_EF_res*(1/365)*s_ED_res*s_RadSpec!Y25*((s_ET_res_o*(1/24)*s_RadSpec!AD25)+(s_ET_res_i*(1/24)*s_RadSpec!AI25))),".")</f>
        <v>1.5332813711553374E-2</v>
      </c>
      <c r="W25" s="142">
        <f>IFERROR((s_C*s_EF_res*(1/365)*s_ED_res*s_RadSpec!U25*((s_ET_res_o*(1/24)*s_RadSpec!Z25)+(s_ET_res_i*(1/24)*s_RadSpec!AE25))),".")</f>
        <v>5.4778672032193164E-3</v>
      </c>
      <c r="X25" s="141">
        <f>IFERROR((s_DL/(s_RadSpec!L25*s_IFA_res_adj)),".")</f>
        <v>7613.7602855160121</v>
      </c>
      <c r="Y25" s="141">
        <f>IFERROR((s_DL/(s_RadSpec!O25*s_EF_res*(1/365)*s_ED_res*s_ET_res*(1/24)*s_GSF_a)),".")</f>
        <v>24.642708852583716</v>
      </c>
      <c r="Z25" s="141">
        <f>IFERROR(IF(AND(X25&lt;&gt;".",Y25&lt;&gt;"."),1/((1/X25)+(1/Y25)),IF(AND(X25&lt;&gt;".",Y25="."),1/((1/X25)),IF(AND(X25=".",Y25&lt;&gt;"."),1/((1/Y25)),IF(AND(X25=".",Y25="."),".")))),".")</f>
        <v>24.563207535352756</v>
      </c>
      <c r="AA25" s="142">
        <f t="shared" si="2"/>
        <v>501.30208333333326</v>
      </c>
      <c r="AB25" s="142">
        <f t="shared" si="3"/>
        <v>0.3139269406392694</v>
      </c>
      <c r="AC25" s="141"/>
      <c r="AD25" s="141" t="str">
        <f>IFERROR((s_DL/(s_RadSpec!M25*s_IFW_res_adj)),".")</f>
        <v>.</v>
      </c>
      <c r="AE25" s="141">
        <f>IFERROR(IF(s_RadSpec!C25=1,(s_DL/(s_RadSpec!L25*s_IFA_res_adj*s_K)),"."),".")</f>
        <v>15227.520571032024</v>
      </c>
      <c r="AF25" s="141">
        <f>IFERROR((s_DL/(s_RadSpec!Q25*(1/8760)*s_DFA_res_adj)),".")</f>
        <v>28345.669092400152</v>
      </c>
      <c r="AG25" s="141" t="str">
        <f>s_b2w!C25</f>
        <v>.</v>
      </c>
      <c r="AH25" s="141">
        <f>(IF(AND(AD25&lt;&gt;".",AE25&lt;&gt;".",AF25&lt;&gt;".",AG25&lt;&gt;"."),1/((1/AD25)+(1/AE25)+(1/AF25)+(1/AG25)),IF(AND(AD25&lt;&gt;".",AE25&lt;&gt;".",AF25&lt;&gt;".",AG25="."), 1/((1/AD25)+(1/AE25)+(1/AF25)),IF(AND(AD25&lt;&gt;".",AE25&lt;&gt;".",AF25=".",AG25&lt;&gt;"."),1/((1/AD25)+(1/AE25)+(1/AG25)),IF(AND(AD25&lt;&gt;".",AE25=".",AF25&lt;&gt;".",AG25&lt;&gt;"."),1/((1/AD25)+(1/AF25)+(1/AG25)),IF(AND(AD25=".",AE25&lt;&gt;".",AF25&lt;&gt;".",AG25&lt;&gt;"."),1/((1/AE25)+(1/AF25)+(1/AG25)),IF(AND(AD25&lt;&gt;".",AE25&lt;&gt;".",AF25=".",AG25="."),1/((1/AD25)+(1/AE25)),IF(AND(AD25&lt;&gt;".",AE25=".",AF25&lt;&gt;".",AG25="."),1/((1/AD25)+(1/AF25)),IF(AND(AD25&lt;&gt;".",AE25=".",AF25=".",AG25&lt;&gt;"."),1/((1/AD25)+(1/AG25)),IF(AND(AD25=".",AE25=".",AF25&lt;&gt;".",AG25&lt;&gt;"."),1/((1/AF25)+(1/AG25)),IF(AND(AD25=".",AE25&lt;&gt;".",AF25=".",AG25&lt;&gt;"."),1/((1/AE25)+(1/AG25)),IF(AND(AD25=".",AE25&lt;&gt;".",AF25&lt;&gt;".",AG25="."),1/((1/AE25)+(1/AF25)),IF(AND(AD25&lt;&gt;".",AE25=".",AF25=".",AG25="."),1/((1/AD25)),IF(AND(AD25=".",AE25&lt;&gt;".",AF25=".",AG25="."),1/((1/AE25)),IF(AND(AD25=".",AE25=".",AF25&lt;&gt;".",AG25="."),1/((1/AF25)),IF(AND(AD25=".",AE25=".",AF25=".",AG25&lt;&gt;"."),1/((1/AG25)),IF(AND(AD25=".",AE25=".",AF25=".",AG25="."),".")))))))))))))))))</f>
        <v>9905.9596632290923</v>
      </c>
      <c r="AI25" s="142">
        <f t="shared" si="4"/>
        <v>1375</v>
      </c>
      <c r="AJ25" s="142">
        <f t="shared" si="5"/>
        <v>250.65104166666663</v>
      </c>
      <c r="AK25" s="142">
        <f t="shared" si="6"/>
        <v>0.12557077625570776</v>
      </c>
      <c r="AL25" s="142">
        <f>s_b2w!AB25</f>
        <v>0</v>
      </c>
      <c r="AM25" s="141"/>
      <c r="AN25" s="141" t="str">
        <f>IFERROR(s_DL/(s_RadSpec!J25*s_EF_res*s_ED_res*s_IRF_res*0.001*s_CF_res_fish),".")</f>
        <v>.</v>
      </c>
      <c r="AO25" s="142">
        <f t="shared" si="7"/>
        <v>7562.5</v>
      </c>
      <c r="AP25" s="141"/>
    </row>
    <row r="26" spans="1:42" x14ac:dyDescent="0.25">
      <c r="A26" s="128" t="s">
        <v>24</v>
      </c>
      <c r="B26" s="129" t="s">
        <v>1059</v>
      </c>
      <c r="C26" s="141">
        <f>IFERROR(((s_DL/(s_RadSpec!I26*s_IFS_res_adj*(1/1000)))*1),".")</f>
        <v>733.54305329226952</v>
      </c>
      <c r="D26" s="141">
        <f>IFERROR(IF(A26="H-3",(s_DL/((s_RadSpec!L26*s_IFA_res_adj*(1/17)*1000))*1),(s_DL/((s_RadSpec!L26*s_IFA_res_adj*(1/s_PEF_wind)*1000))*1)),".")</f>
        <v>55306.815545607613</v>
      </c>
      <c r="E26" s="141">
        <f>IFERROR((s_DL/(s_RadSpec!K26*s_EF_res*(1/365)*s_ED_res*s_RadSpec!V26*((s_ET_res_o*(1/24)*s_RadSpec!AA26)+(s_ET_res_i*(1/24)*s_RadSpec!AF26))))*1,".")</f>
        <v>26940.225201737314</v>
      </c>
      <c r="F26" s="141">
        <f>s_b2s!C26</f>
        <v>33.913224840141915</v>
      </c>
      <c r="G26" s="141">
        <f>s_dir!C26</f>
        <v>0.48902870219484634</v>
      </c>
      <c r="H26" s="141">
        <f t="shared" ref="H26" si="31">(IF(AND(C26&lt;&gt;".",D26&lt;&gt;".",E26&lt;&gt;".",F26&lt;&gt;"."),1/((1/C26)+(1/D26)+(1/E26)+(1/F26)),IF(AND(C26&lt;&gt;".",D26&lt;&gt;".",E26&lt;&gt;".",F26="."), 1/((1/C26)+(1/D26)+(1/E26)),IF(AND(C26&lt;&gt;".",D26&lt;&gt;".",E26=".",F26&lt;&gt;"."),1/((1/C26)+(1/D26)+(1/F26)),IF(AND(C26&lt;&gt;".",D26=".",E26&lt;&gt;".",F26&lt;&gt;"."),1/((1/C26)+(1/E26)+(1/F26)),IF(AND(C26=".",D26&lt;&gt;".",E26&lt;&gt;".",F26&lt;&gt;"."),1/((1/D26)+(1/E26)+(1/F26)),IF(AND(C26&lt;&gt;".",D26&lt;&gt;".",E26=".",F26="."),1/((1/C26)+(1/D26)),IF(AND(C26&lt;&gt;".",D26=".",E26&lt;&gt;".",F26="."),1/((1/C26)+(1/E26)),IF(AND(C26&lt;&gt;".",D26=".",E26=".",F26&lt;&gt;"."),1/((1/C26)+(1/F26)),IF(AND(C26=".",D26=".",E26&lt;&gt;".",F26&lt;&gt;"."),1/((1/E26)+(1/F26)),IF(AND(C26=".",D26&lt;&gt;".",E26=".",F26&lt;&gt;"."),1/((1/D26)+(1/F26)),IF(AND(C26=".",D26&lt;&gt;".",E26&lt;&gt;".",F26="."),1/((1/D26)+(1/E26)),IF(AND(C26&lt;&gt;".",D26=".",E26=".",F26="."),1/((1/C26)),IF(AND(C26=".",D26&lt;&gt;".",E26=".",F26="."),1/((1/D26)),IF(AND(C26=".",D26=".",E26&lt;&gt;".",F26="."),1/((1/E26)),IF(AND(C26=".",D26=".",E26=".",F26&lt;&gt;"."),1/((1/F26)),IF(AND(C26=".",D26=".",E26=".",F26="."),".")))))))))))))))))</f>
        <v>32.35673328075876</v>
      </c>
      <c r="I26" s="142">
        <f t="shared" si="0"/>
        <v>15.125</v>
      </c>
      <c r="J26" s="142">
        <f t="shared" si="1"/>
        <v>1.618127279505213E-3</v>
      </c>
      <c r="K26" s="142">
        <f>IFERROR((s_C*s_EF_res*(1/365)*s_ED_res*s_RadSpec!V26*((s_ET_res_o*(1/24)*s_RadSpec!AA26)+(s_ET_res_i*(1/24)*s_RadSpec!AF26))),".")</f>
        <v>3.2258279026466299E-3</v>
      </c>
      <c r="L26" s="142">
        <f>s_b2s!AB26</f>
        <v>327.15375</v>
      </c>
      <c r="M26" s="141"/>
      <c r="N26" s="141">
        <f>IFERROR((s_DL/(s_RadSpec!K26*s_EF_res*(1/365)*s_ED_res*s_RadSpec!V26*((s_ET_res_o*(1/24)*s_RadSpec!AA26)+(s_ET_res_i*(1/24)*s_RadSpec!AF26))))*1,".")</f>
        <v>26940.225201737314</v>
      </c>
      <c r="O26" s="141">
        <f>IFERROR((s_DL/(s_RadSpec!R26*s_EF_res*(1/365)*s_ED_res*s_RadSpec!W26*((s_ET_res_o*(1/24)*s_RadSpec!AB26)+(s_ET_res_i*(1/24)*s_RadSpec!AG26))))*1,".")</f>
        <v>165025.56920742252</v>
      </c>
      <c r="P26" s="141">
        <f>IFERROR((s_DL/(s_RadSpec!S26*s_EF_res*(1/365)*s_ED_res*s_RadSpec!X26*((s_ET_res_o*(1/24)*s_RadSpec!AC26)+(s_ET_res_i*(1/24)*s_RadSpec!AH26))))*1,".")</f>
        <v>46793.433472121607</v>
      </c>
      <c r="Q26" s="141">
        <f>IFERROR((s_DL/(s_RadSpec!T26*s_EF_res*(1/365)*s_ED_res*s_RadSpec!Y26*((s_ET_res_o*(1/24)*s_RadSpec!AD26)+(s_ET_res_i*(1/24)*s_RadSpec!AI26))))*1,".")</f>
        <v>30809.527091659795</v>
      </c>
      <c r="R26" s="141">
        <f>IFERROR((s_DL/(s_RadSpec!P26*s_EF_res*(1/365)*s_ED_res*s_RadSpec!U26*((s_ET_res_o*(1/24)*s_RadSpec!Z26)+(s_ET_res_i*(1/24)*s_RadSpec!AE26))))*1,".")</f>
        <v>910299.09613230173</v>
      </c>
      <c r="S26" s="142">
        <f>IFERROR((s_C*s_EF_res*(1/365)*s_ED_res*s_RadSpec!V26*((s_ET_res_o*(1/24)*s_RadSpec!AA26)+(s_ET_res_i*(1/24)*s_RadSpec!AF26))),".")</f>
        <v>3.2258279026466299E-3</v>
      </c>
      <c r="T26" s="142">
        <f>IFERROR((s_C*s_EF_res*(1/365)*s_ED_res*s_RadSpec!W26*((s_ET_res_o*(1/24)*s_RadSpec!AB26)+(s_ET_res_i*(1/24)*s_RadSpec!AG26))),".")</f>
        <v>1.7668480919765164E-3</v>
      </c>
      <c r="U26" s="142">
        <f>IFERROR((s_C*s_EF_res*(1/365)*s_ED_res*s_RadSpec!X26*((s_ET_res_o*(1/24)*s_RadSpec!AC26)+(s_ET_res_i*(1/24)*s_RadSpec!AH26))),".")</f>
        <v>2.4445130623549677E-3</v>
      </c>
      <c r="V26" s="142">
        <f>IFERROR((s_C*s_EF_res*(1/365)*s_ED_res*s_RadSpec!Y26*((s_ET_res_o*(1/24)*s_RadSpec!AD26)+(s_ET_res_i*(1/24)*s_RadSpec!AI26))),".")</f>
        <v>2.8578176665092123E-3</v>
      </c>
      <c r="W26" s="142">
        <f>IFERROR((s_C*s_EF_res*(1/365)*s_ED_res*s_RadSpec!U26*((s_ET_res_o*(1/24)*s_RadSpec!Z26)+(s_ET_res_i*(1/24)*s_RadSpec!AE26))),".")</f>
        <v>3.0313751317175962E-4</v>
      </c>
      <c r="X26" s="141">
        <f>IFERROR((s_DL/(s_RadSpec!L26*s_IFA_res_adj)),".")</f>
        <v>0.17852203282666859</v>
      </c>
      <c r="Y26" s="141">
        <f>IFERROR((s_DL/(s_RadSpec!O26*s_EF_res*(1/365)*s_ED_res*s_ET_res*(1/24)*s_GSF_a)),".")</f>
        <v>0.12840929612942717</v>
      </c>
      <c r="Z26" s="141">
        <f>IFERROR(IF(AND(X26&lt;&gt;".",Y26&lt;&gt;"."),1/((1/X26)+(1/Y26)),IF(AND(X26&lt;&gt;".",Y26="."),1/((1/X26)),IF(AND(X26=".",Y26&lt;&gt;"."),1/((1/Y26)),IF(AND(X26=".",Y26="."),".")))),".")</f>
        <v>7.4687353216217625E-2</v>
      </c>
      <c r="AA26" s="142">
        <f t="shared" si="2"/>
        <v>501.30208333333326</v>
      </c>
      <c r="AB26" s="142">
        <f t="shared" si="3"/>
        <v>0.3139269406392694</v>
      </c>
      <c r="AC26" s="141"/>
      <c r="AD26" s="141">
        <f>IFERROR((s_DL/(s_RadSpec!M26*s_IFW_res_adj)),".")</f>
        <v>8.0689735862149643</v>
      </c>
      <c r="AE26" s="141" t="str">
        <f>IFERROR(IF(s_RadSpec!C26=1,(s_DL/(s_RadSpec!L26*s_IFA_res_adj*s_K)),"."),".")</f>
        <v>.</v>
      </c>
      <c r="AF26" s="141">
        <f>IFERROR((s_DL/(s_RadSpec!Q26*(1/8760)*s_DFA_res_adj)),".")</f>
        <v>144.02664295597913</v>
      </c>
      <c r="AG26" s="141">
        <f>s_b2w!C26</f>
        <v>41.165374407185823</v>
      </c>
      <c r="AH26" s="141">
        <f>(IF(AND(AD26&lt;&gt;".",AE26&lt;&gt;".",AF26&lt;&gt;".",AG26&lt;&gt;"."),1/((1/AD26)+(1/AE26)+(1/AF26)+(1/AG26)),IF(AND(AD26&lt;&gt;".",AE26&lt;&gt;".",AF26&lt;&gt;".",AG26="."), 1/((1/AD26)+(1/AE26)+(1/AF26)),IF(AND(AD26&lt;&gt;".",AE26&lt;&gt;".",AF26=".",AG26&lt;&gt;"."),1/((1/AD26)+(1/AE26)+(1/AG26)),IF(AND(AD26&lt;&gt;".",AE26=".",AF26&lt;&gt;".",AG26&lt;&gt;"."),1/((1/AD26)+(1/AF26)+(1/AG26)),IF(AND(AD26=".",AE26&lt;&gt;".",AF26&lt;&gt;".",AG26&lt;&gt;"."),1/((1/AE26)+(1/AF26)+(1/AG26)),IF(AND(AD26&lt;&gt;".",AE26&lt;&gt;".",AF26=".",AG26="."),1/((1/AD26)+(1/AE26)),IF(AND(AD26&lt;&gt;".",AE26=".",AF26&lt;&gt;".",AG26="."),1/((1/AD26)+(1/AF26)),IF(AND(AD26&lt;&gt;".",AE26=".",AF26=".",AG26&lt;&gt;"."),1/((1/AD26)+(1/AG26)),IF(AND(AD26=".",AE26=".",AF26&lt;&gt;".",AG26&lt;&gt;"."),1/((1/AF26)+(1/AG26)),IF(AND(AD26=".",AE26&lt;&gt;".",AF26=".",AG26&lt;&gt;"."),1/((1/AE26)+(1/AG26)),IF(AND(AD26=".",AE26&lt;&gt;".",AF26&lt;&gt;".",AG26="."),1/((1/AE26)+(1/AF26)),IF(AND(AD26&lt;&gt;".",AE26=".",AF26=".",AG26="."),1/((1/AD26)),IF(AND(AD26=".",AE26&lt;&gt;".",AF26=".",AG26="."),1/((1/AE26)),IF(AND(AD26=".",AE26=".",AF26&lt;&gt;".",AG26="."),1/((1/AF26)),IF(AND(AD26=".",AE26=".",AF26=".",AG26&lt;&gt;"."),1/((1/AG26)),IF(AND(AD26=".",AE26=".",AF26=".",AG26="."),".")))))))))))))))))</f>
        <v>6.444672599984739</v>
      </c>
      <c r="AI26" s="142">
        <f t="shared" si="4"/>
        <v>1375</v>
      </c>
      <c r="AJ26" s="142">
        <f t="shared" si="5"/>
        <v>250.65104166666663</v>
      </c>
      <c r="AK26" s="142">
        <f t="shared" si="6"/>
        <v>0.12557077625570776</v>
      </c>
      <c r="AL26" s="142">
        <f>s_b2w!AB26</f>
        <v>269.51871180136442</v>
      </c>
      <c r="AM26" s="141"/>
      <c r="AN26" s="141">
        <f>IFERROR(s_DL/(s_RadSpec!J26*s_EF_res*s_ED_res*s_IRF_res*0.001*s_CF_res_fish),".")</f>
        <v>1.4670861065845391</v>
      </c>
      <c r="AO26" s="142">
        <f t="shared" si="7"/>
        <v>7562.5</v>
      </c>
      <c r="AP26" s="141"/>
    </row>
    <row r="27" spans="1:42" x14ac:dyDescent="0.25">
      <c r="A27" s="128" t="s">
        <v>25</v>
      </c>
      <c r="B27" s="129" t="s">
        <v>1059</v>
      </c>
      <c r="C27" s="141" t="str">
        <f>IFERROR(((s_DL/(s_RadSpec!I27*s_IFS_res_adj*(1/1000)))*1),".")</f>
        <v>.</v>
      </c>
      <c r="D27" s="141" t="str">
        <f>IFERROR(IF(A27="H-3",(s_DL/((s_RadSpec!L27*s_IFA_res_adj*(1/17)*1000))*1),(s_DL/((s_RadSpec!L27*s_IFA_res_adj*(1/s_PEF_wind)*1000))*1)),".")</f>
        <v>.</v>
      </c>
      <c r="E27" s="141">
        <f>IFERROR((s_DL/(s_RadSpec!K27*s_EF_res*(1/365)*s_ED_res*s_RadSpec!V27*((s_ET_res_o*(1/24)*s_RadSpec!AA27)+(s_ET_res_i*(1/24)*s_RadSpec!AF27))))*1,".")</f>
        <v>127796.67381087026</v>
      </c>
      <c r="F27" s="141" t="str">
        <f>s_b2s!C27</f>
        <v>.</v>
      </c>
      <c r="G27" s="141" t="str">
        <f>s_dir!C27</f>
        <v>.</v>
      </c>
      <c r="H27" s="141">
        <f t="shared" ref="H27:H29" si="32">(IF(AND(C27&lt;&gt;".",D27&lt;&gt;".",E27&lt;&gt;".",F27&lt;&gt;"."),1/((1/C27)+(1/D27)+(1/E27)+(1/F27)),IF(AND(C27&lt;&gt;".",D27&lt;&gt;".",E27&lt;&gt;".",F27="."), 1/((1/C27)+(1/D27)+(1/E27)),IF(AND(C27&lt;&gt;".",D27&lt;&gt;".",E27=".",F27&lt;&gt;"."),1/((1/C27)+(1/D27)+(1/F27)),IF(AND(C27&lt;&gt;".",D27=".",E27&lt;&gt;".",F27&lt;&gt;"."),1/((1/C27)+(1/E27)+(1/F27)),IF(AND(C27=".",D27&lt;&gt;".",E27&lt;&gt;".",F27&lt;&gt;"."),1/((1/D27)+(1/E27)+(1/F27)),IF(AND(C27&lt;&gt;".",D27&lt;&gt;".",E27=".",F27="."),1/((1/C27)+(1/D27)),IF(AND(C27&lt;&gt;".",D27=".",E27&lt;&gt;".",F27="."),1/((1/C27)+(1/E27)),IF(AND(C27&lt;&gt;".",D27=".",E27=".",F27&lt;&gt;"."),1/((1/C27)+(1/F27)),IF(AND(C27=".",D27=".",E27&lt;&gt;".",F27&lt;&gt;"."),1/((1/E27)+(1/F27)),IF(AND(C27=".",D27&lt;&gt;".",E27=".",F27&lt;&gt;"."),1/((1/D27)+(1/F27)),IF(AND(C27=".",D27&lt;&gt;".",E27&lt;&gt;".",F27="."),1/((1/D27)+(1/E27)),IF(AND(C27&lt;&gt;".",D27=".",E27=".",F27="."),1/((1/C27)),IF(AND(C27=".",D27&lt;&gt;".",E27=".",F27="."),1/((1/D27)),IF(AND(C27=".",D27=".",E27&lt;&gt;".",F27="."),1/((1/E27)),IF(AND(C27=".",D27=".",E27=".",F27&lt;&gt;"."),1/((1/F27)),IF(AND(C27=".",D27=".",E27=".",F27="."),".")))))))))))))))))</f>
        <v>127796.67381087026</v>
      </c>
      <c r="I27" s="142">
        <f t="shared" si="0"/>
        <v>15.125</v>
      </c>
      <c r="J27" s="142">
        <f t="shared" si="1"/>
        <v>1.618127279505213E-3</v>
      </c>
      <c r="K27" s="142">
        <f>IFERROR((s_C*s_EF_res*(1/365)*s_ED_res*s_RadSpec!V27*((s_ET_res_o*(1/24)*s_RadSpec!AA27)+(s_ET_res_i*(1/24)*s_RadSpec!AF27))),".")</f>
        <v>1.5310433396315533E-2</v>
      </c>
      <c r="L27" s="142">
        <f>s_b2s!AB27</f>
        <v>3331.8862500000005</v>
      </c>
      <c r="M27" s="141"/>
      <c r="N27" s="141">
        <f>IFERROR((s_DL/(s_RadSpec!K27*s_EF_res*(1/365)*s_ED_res*s_RadSpec!V27*((s_ET_res_o*(1/24)*s_RadSpec!AA27)+(s_ET_res_i*(1/24)*s_RadSpec!AF27))))*1,".")</f>
        <v>127796.67381087026</v>
      </c>
      <c r="O27" s="141">
        <f>IFERROR((s_DL/(s_RadSpec!R27*s_EF_res*(1/365)*s_ED_res*s_RadSpec!W27*((s_ET_res_o*(1/24)*s_RadSpec!AB27)+(s_ET_res_i*(1/24)*s_RadSpec!AG27))))*1,".")</f>
        <v>638624.74818610668</v>
      </c>
      <c r="P27" s="141">
        <f>IFERROR((s_DL/(s_RadSpec!S27*s_EF_res*(1/365)*s_ED_res*s_RadSpec!X27*((s_ET_res_o*(1/24)*s_RadSpec!AC27)+(s_ET_res_i*(1/24)*s_RadSpec!AH27))))*1,".")</f>
        <v>280846.54969570891</v>
      </c>
      <c r="Q27" s="141">
        <f>IFERROR((s_DL/(s_RadSpec!T27*s_EF_res*(1/365)*s_ED_res*s_RadSpec!Y27*((s_ET_res_o*(1/24)*s_RadSpec!AD27)+(s_ET_res_i*(1/24)*s_RadSpec!AI27))))*1,".")</f>
        <v>173368.27370048311</v>
      </c>
      <c r="R27" s="141">
        <f>IFERROR((s_DL/(s_RadSpec!P27*s_EF_res*(1/365)*s_ED_res*s_RadSpec!U27*((s_ET_res_o*(1/24)*s_RadSpec!Z27)+(s_ET_res_i*(1/24)*s_RadSpec!AE27))))*1,".")</f>
        <v>211761.50890157421</v>
      </c>
      <c r="S27" s="142">
        <f>IFERROR((s_C*s_EF_res*(1/365)*s_ED_res*s_RadSpec!V27*((s_ET_res_o*(1/24)*s_RadSpec!AA27)+(s_ET_res_i*(1/24)*s_RadSpec!AF27))),".")</f>
        <v>1.5310433396315533E-2</v>
      </c>
      <c r="T27" s="142">
        <f>IFERROR((s_C*s_EF_res*(1/365)*s_ED_res*s_RadSpec!W27*((s_ET_res_o*(1/24)*s_RadSpec!AB27)+(s_ET_res_i*(1/24)*s_RadSpec!AG27))),".")</f>
        <v>5.1616833508956773E-3</v>
      </c>
      <c r="U27" s="142">
        <f>IFERROR((s_C*s_EF_res*(1/365)*s_ED_res*s_RadSpec!X27*((s_ET_res_o*(1/24)*s_RadSpec!AC27)+(s_ET_res_i*(1/24)*s_RadSpec!AH27))),".")</f>
        <v>8.4193315618270939E-3</v>
      </c>
      <c r="V27" s="142">
        <f>IFERROR((s_C*s_EF_res*(1/365)*s_ED_res*s_RadSpec!Y27*((s_ET_res_o*(1/24)*s_RadSpec!AD27)+(s_ET_res_i*(1/24)*s_RadSpec!AI27))),".")</f>
        <v>1.1573578937787281E-2</v>
      </c>
      <c r="W27" s="142">
        <f>IFERROR((s_C*s_EF_res*(1/365)*s_ED_res*s_RadSpec!U27*((s_ET_res_o*(1/24)*s_RadSpec!Z27)+(s_ET_res_i*(1/24)*s_RadSpec!AE27))),".")</f>
        <v>1.6501637879690284E-3</v>
      </c>
      <c r="X27" s="141" t="str">
        <f>IFERROR((s_DL/(s_RadSpec!L27*s_IFA_res_adj)),".")</f>
        <v>.</v>
      </c>
      <c r="Y27" s="141">
        <f>IFERROR((s_DL/(s_RadSpec!O27*s_EF_res*(1/365)*s_ED_res*s_ET_res*(1/24)*s_GSF_a)),".")</f>
        <v>1.0738510406793409</v>
      </c>
      <c r="Z27" s="141">
        <f>IFERROR(IF(AND(X27&lt;&gt;".",Y27&lt;&gt;"."),1/((1/X27)+(1/Y27)),IF(AND(X27&lt;&gt;".",Y27="."),1/((1/X27)),IF(AND(X27=".",Y27&lt;&gt;"."),1/((1/Y27)),IF(AND(X27=".",Y27="."),".")))),".")</f>
        <v>1.0738510406793409</v>
      </c>
      <c r="AA27" s="142">
        <f t="shared" si="2"/>
        <v>501.30208333333326</v>
      </c>
      <c r="AB27" s="142">
        <f t="shared" si="3"/>
        <v>0.3139269406392694</v>
      </c>
      <c r="AC27" s="141"/>
      <c r="AD27" s="141" t="str">
        <f>IFERROR((s_DL/(s_RadSpec!M27*s_IFW_res_adj)),".")</f>
        <v>.</v>
      </c>
      <c r="AE27" s="141" t="str">
        <f>IFERROR(IF(s_RadSpec!C27=1,(s_DL/(s_RadSpec!L27*s_IFA_res_adj*s_K)),"."),".")</f>
        <v>.</v>
      </c>
      <c r="AF27" s="141">
        <f>IFERROR((s_DL/(s_RadSpec!Q27*(1/8760)*s_DFA_res_adj)),".")</f>
        <v>2243.78349026157</v>
      </c>
      <c r="AG27" s="141" t="str">
        <f>s_b2w!C27</f>
        <v>.</v>
      </c>
      <c r="AH27" s="141">
        <f>(IF(AND(AD27&lt;&gt;".",AE27&lt;&gt;".",AF27&lt;&gt;".",AG27&lt;&gt;"."),1/((1/AD27)+(1/AE27)+(1/AF27)+(1/AG27)),IF(AND(AD27&lt;&gt;".",AE27&lt;&gt;".",AF27&lt;&gt;".",AG27="."), 1/((1/AD27)+(1/AE27)+(1/AF27)),IF(AND(AD27&lt;&gt;".",AE27&lt;&gt;".",AF27=".",AG27&lt;&gt;"."),1/((1/AD27)+(1/AE27)+(1/AG27)),IF(AND(AD27&lt;&gt;".",AE27=".",AF27&lt;&gt;".",AG27&lt;&gt;"."),1/((1/AD27)+(1/AF27)+(1/AG27)),IF(AND(AD27=".",AE27&lt;&gt;".",AF27&lt;&gt;".",AG27&lt;&gt;"."),1/((1/AE27)+(1/AF27)+(1/AG27)),IF(AND(AD27&lt;&gt;".",AE27&lt;&gt;".",AF27=".",AG27="."),1/((1/AD27)+(1/AE27)),IF(AND(AD27&lt;&gt;".",AE27=".",AF27&lt;&gt;".",AG27="."),1/((1/AD27)+(1/AF27)),IF(AND(AD27&lt;&gt;".",AE27=".",AF27=".",AG27&lt;&gt;"."),1/((1/AD27)+(1/AG27)),IF(AND(AD27=".",AE27=".",AF27&lt;&gt;".",AG27&lt;&gt;"."),1/((1/AF27)+(1/AG27)),IF(AND(AD27=".",AE27&lt;&gt;".",AF27=".",AG27&lt;&gt;"."),1/((1/AE27)+(1/AG27)),IF(AND(AD27=".",AE27&lt;&gt;".",AF27&lt;&gt;".",AG27="."),1/((1/AE27)+(1/AF27)),IF(AND(AD27&lt;&gt;".",AE27=".",AF27=".",AG27="."),1/((1/AD27)),IF(AND(AD27=".",AE27&lt;&gt;".",AF27=".",AG27="."),1/((1/AE27)),IF(AND(AD27=".",AE27=".",AF27&lt;&gt;".",AG27="."),1/((1/AF27)),IF(AND(AD27=".",AE27=".",AF27=".",AG27&lt;&gt;"."),1/((1/AG27)),IF(AND(AD27=".",AE27=".",AF27=".",AG27="."),".")))))))))))))))))</f>
        <v>2243.78349026157</v>
      </c>
      <c r="AI27" s="142">
        <f t="shared" si="4"/>
        <v>1375</v>
      </c>
      <c r="AJ27" s="142">
        <f t="shared" si="5"/>
        <v>250.65104166666663</v>
      </c>
      <c r="AK27" s="142">
        <f t="shared" si="6"/>
        <v>0.12557077625570776</v>
      </c>
      <c r="AL27" s="142">
        <f>s_b2w!AB27</f>
        <v>866.5612368029615</v>
      </c>
      <c r="AM27" s="141"/>
      <c r="AN27" s="141" t="str">
        <f>IFERROR(s_DL/(s_RadSpec!J27*s_EF_res*s_ED_res*s_IRF_res*0.001*s_CF_res_fish),".")</f>
        <v>.</v>
      </c>
      <c r="AO27" s="142">
        <f t="shared" si="7"/>
        <v>7562.5</v>
      </c>
      <c r="AP27" s="141"/>
    </row>
    <row r="28" spans="1:42" x14ac:dyDescent="0.25">
      <c r="A28" s="128" t="s">
        <v>26</v>
      </c>
      <c r="B28" s="129" t="s">
        <v>1059</v>
      </c>
      <c r="C28" s="141" t="str">
        <f>IFERROR(((s_DL/(s_RadSpec!I28*s_IFS_res_adj*(1/1000)))*1),".")</f>
        <v>.</v>
      </c>
      <c r="D28" s="141" t="str">
        <f>IFERROR(IF(A28="H-3",(s_DL/((s_RadSpec!L28*s_IFA_res_adj*(1/17)*1000))*1),(s_DL/((s_RadSpec!L28*s_IFA_res_adj*(1/s_PEF_wind)*1000))*1)),".")</f>
        <v>.</v>
      </c>
      <c r="E28" s="141">
        <f>IFERROR((s_DL/(s_RadSpec!K28*s_EF_res*(1/365)*s_ED_res*s_RadSpec!V28*((s_ET_res_o*(1/24)*s_RadSpec!AA28)+(s_ET_res_i*(1/24)*s_RadSpec!AF28))))*1,".")</f>
        <v>56.140795563456045</v>
      </c>
      <c r="F28" s="141" t="str">
        <f>s_b2s!C28</f>
        <v>.</v>
      </c>
      <c r="G28" s="141" t="str">
        <f>s_dir!C28</f>
        <v>.</v>
      </c>
      <c r="H28" s="141">
        <f t="shared" si="32"/>
        <v>56.140795563456045</v>
      </c>
      <c r="I28" s="142">
        <f t="shared" si="0"/>
        <v>15.125</v>
      </c>
      <c r="J28" s="142">
        <f t="shared" si="1"/>
        <v>1.618127279505213E-3</v>
      </c>
      <c r="K28" s="142">
        <f>IFERROR((s_C*s_EF_res*(1/365)*s_ED_res*s_RadSpec!V28*((s_ET_res_o*(1/24)*s_RadSpec!AA28)+(s_ET_res_i*(1/24)*s_RadSpec!AF28))),".")</f>
        <v>3.4599143835616436E-2</v>
      </c>
      <c r="L28" s="142">
        <f>s_b2s!AB28</f>
        <v>3331.8862500000005</v>
      </c>
      <c r="M28" s="141"/>
      <c r="N28" s="141">
        <f>IFERROR((s_DL/(s_RadSpec!K28*s_EF_res*(1/365)*s_ED_res*s_RadSpec!V28*((s_ET_res_o*(1/24)*s_RadSpec!AA28)+(s_ET_res_i*(1/24)*s_RadSpec!AF28))))*1,".")</f>
        <v>56.140795563456045</v>
      </c>
      <c r="O28" s="141">
        <f>IFERROR((s_DL/(s_RadSpec!R28*s_EF_res*(1/365)*s_ED_res*s_RadSpec!W28*((s_ET_res_o*(1/24)*s_RadSpec!AB28)+(s_ET_res_i*(1/24)*s_RadSpec!AG28))))*1,".")</f>
        <v>684.54955400115625</v>
      </c>
      <c r="P28" s="141">
        <f>IFERROR((s_DL/(s_RadSpec!S28*s_EF_res*(1/365)*s_ED_res*s_RadSpec!X28*((s_ET_res_o*(1/24)*s_RadSpec!AC28)+(s_ET_res_i*(1/24)*s_RadSpec!AH28))))*1,".")</f>
        <v>165.42722538848187</v>
      </c>
      <c r="Q28" s="141">
        <f>IFERROR((s_DL/(s_RadSpec!T28*s_EF_res*(1/365)*s_ED_res*s_RadSpec!Y28*((s_ET_res_o*(1/24)*s_RadSpec!AD28)+(s_ET_res_i*(1/24)*s_RadSpec!AI28))))*1,".")</f>
        <v>89.54801986103368</v>
      </c>
      <c r="R28" s="141">
        <f>IFERROR((s_DL/(s_RadSpec!P28*s_EF_res*(1/365)*s_ED_res*s_RadSpec!U28*((s_ET_res_o*(1/24)*s_RadSpec!Z28)+(s_ET_res_i*(1/24)*s_RadSpec!AE28))))*1,".")</f>
        <v>1199.4899165395518</v>
      </c>
      <c r="S28" s="142">
        <f>IFERROR((s_C*s_EF_res*(1/365)*s_ED_res*s_RadSpec!V28*((s_ET_res_o*(1/24)*s_RadSpec!AA28)+(s_ET_res_i*(1/24)*s_RadSpec!AF28))),".")</f>
        <v>3.4599143835616436E-2</v>
      </c>
      <c r="T28" s="142">
        <f>IFERROR((s_C*s_EF_res*(1/365)*s_ED_res*s_RadSpec!W28*((s_ET_res_o*(1/24)*s_RadSpec!AB28)+(s_ET_res_i*(1/24)*s_RadSpec!AG28))),".")</f>
        <v>1.5516283277332642E-2</v>
      </c>
      <c r="U28" s="142">
        <f>IFERROR((s_C*s_EF_res*(1/365)*s_ED_res*s_RadSpec!X28*((s_ET_res_o*(1/24)*s_RadSpec!AC28)+(s_ET_res_i*(1/24)*s_RadSpec!AH28))),".")</f>
        <v>2.2348458904109598E-2</v>
      </c>
      <c r="V28" s="142">
        <f>IFERROR((s_C*s_EF_res*(1/365)*s_ED_res*s_RadSpec!Y28*((s_ET_res_o*(1/24)*s_RadSpec!AD28)+(s_ET_res_i*(1/24)*s_RadSpec!AI28))),".")</f>
        <v>2.581241186543112E-2</v>
      </c>
      <c r="W28" s="142">
        <f>IFERROR((s_C*s_EF_res*(1/365)*s_ED_res*s_RadSpec!U28*((s_ET_res_o*(1/24)*s_RadSpec!Z28)+(s_ET_res_i*(1/24)*s_RadSpec!AE28))),".")</f>
        <v>8.826276463262759E-3</v>
      </c>
      <c r="X28" s="141" t="str">
        <f>IFERROR((s_DL/(s_RadSpec!L28*s_IFA_res_adj)),".")</f>
        <v>.</v>
      </c>
      <c r="Y28" s="141">
        <f>IFERROR((s_DL/(s_RadSpec!O28*s_EF_res*(1/365)*s_ED_res*s_ET_res*(1/24)*s_GSF_a)),".")</f>
        <v>4.1795966975460624E-3</v>
      </c>
      <c r="Z28" s="141">
        <f t="shared" ref="Z28:Z29" si="33">IFERROR(IF(AND(X28&lt;&gt;".",Y28&lt;&gt;"."),1/((1/X28)+(1/Y28)),IF(AND(X28&lt;&gt;".",Y28="."),1/((1/X28)),IF(AND(X28=".",Y28&lt;&gt;"."),1/((1/Y28)),IF(AND(X28=".",Y28="."),".")))),".")</f>
        <v>4.1795966975460624E-3</v>
      </c>
      <c r="AA28" s="142">
        <f t="shared" si="2"/>
        <v>501.30208333333326</v>
      </c>
      <c r="AB28" s="142">
        <f t="shared" si="3"/>
        <v>0.3139269406392694</v>
      </c>
      <c r="AC28" s="141"/>
      <c r="AD28" s="141" t="str">
        <f>IFERROR((s_DL/(s_RadSpec!M28*s_IFW_res_adj)),".")</f>
        <v>.</v>
      </c>
      <c r="AE28" s="141" t="str">
        <f>IFERROR(IF(s_RadSpec!C28=1,(s_DL/(s_RadSpec!L28*s_IFA_res_adj*s_K)),"."),".")</f>
        <v>.</v>
      </c>
      <c r="AF28" s="141">
        <f>IFERROR((s_DL/(s_RadSpec!Q28*(1/8760)*s_DFA_res_adj)),".")</f>
        <v>4.8445325357920268</v>
      </c>
      <c r="AG28" s="141" t="str">
        <f>s_b2w!C28</f>
        <v>.</v>
      </c>
      <c r="AH28" s="141">
        <f t="shared" ref="AH28:AH29" si="34">(IF(AND(AD28&lt;&gt;".",AE28&lt;&gt;".",AF28&lt;&gt;".",AG28&lt;&gt;"."),1/((1/AD28)+(1/AE28)+(1/AF28)+(1/AG28)),IF(AND(AD28&lt;&gt;".",AE28&lt;&gt;".",AF28&lt;&gt;".",AG28="."), 1/((1/AD28)+(1/AE28)+(1/AF28)),IF(AND(AD28&lt;&gt;".",AE28&lt;&gt;".",AF28=".",AG28&lt;&gt;"."),1/((1/AD28)+(1/AE28)+(1/AG28)),IF(AND(AD28&lt;&gt;".",AE28=".",AF28&lt;&gt;".",AG28&lt;&gt;"."),1/((1/AD28)+(1/AF28)+(1/AG28)),IF(AND(AD28=".",AE28&lt;&gt;".",AF28&lt;&gt;".",AG28&lt;&gt;"."),1/((1/AE28)+(1/AF28)+(1/AG28)),IF(AND(AD28&lt;&gt;".",AE28&lt;&gt;".",AF28=".",AG28="."),1/((1/AD28)+(1/AE28)),IF(AND(AD28&lt;&gt;".",AE28=".",AF28&lt;&gt;".",AG28="."),1/((1/AD28)+(1/AF28)),IF(AND(AD28&lt;&gt;".",AE28=".",AF28=".",AG28&lt;&gt;"."),1/((1/AD28)+(1/AG28)),IF(AND(AD28=".",AE28=".",AF28&lt;&gt;".",AG28&lt;&gt;"."),1/((1/AF28)+(1/AG28)),IF(AND(AD28=".",AE28&lt;&gt;".",AF28=".",AG28&lt;&gt;"."),1/((1/AE28)+(1/AG28)),IF(AND(AD28=".",AE28&lt;&gt;".",AF28&lt;&gt;".",AG28="."),1/((1/AE28)+(1/AF28)),IF(AND(AD28&lt;&gt;".",AE28=".",AF28=".",AG28="."),1/((1/AD28)),IF(AND(AD28=".",AE28&lt;&gt;".",AF28=".",AG28="."),1/((1/AE28)),IF(AND(AD28=".",AE28=".",AF28&lt;&gt;".",AG28="."),1/((1/AF28)),IF(AND(AD28=".",AE28=".",AF28=".",AG28&lt;&gt;"."),1/((1/AG28)),IF(AND(AD28=".",AE28=".",AF28=".",AG28="."),".")))))))))))))))))</f>
        <v>4.8445325357920268</v>
      </c>
      <c r="AI28" s="142">
        <f t="shared" si="4"/>
        <v>1375</v>
      </c>
      <c r="AJ28" s="142">
        <f t="shared" si="5"/>
        <v>250.65104166666663</v>
      </c>
      <c r="AK28" s="142">
        <f t="shared" si="6"/>
        <v>0.12557077625570776</v>
      </c>
      <c r="AL28" s="142">
        <f>s_b2w!AB28</f>
        <v>866.5612368029615</v>
      </c>
      <c r="AM28" s="141"/>
      <c r="AN28" s="141" t="str">
        <f>IFERROR(s_DL/(s_RadSpec!J28*s_EF_res*s_ED_res*s_IRF_res*0.001*s_CF_res_fish),".")</f>
        <v>.</v>
      </c>
      <c r="AO28" s="142">
        <f t="shared" si="7"/>
        <v>7562.5</v>
      </c>
      <c r="AP28" s="141"/>
    </row>
    <row r="29" spans="1:42" x14ac:dyDescent="0.25">
      <c r="A29" s="128" t="s">
        <v>27</v>
      </c>
      <c r="B29" s="129" t="s">
        <v>1059</v>
      </c>
      <c r="C29" s="141" t="str">
        <f>IFERROR(((s_DL/(s_RadSpec!I29*s_IFS_res_adj*(1/1000)))*1),".")</f>
        <v>.</v>
      </c>
      <c r="D29" s="141" t="str">
        <f>IFERROR(IF(A29="H-3",(s_DL/((s_RadSpec!L29*s_IFA_res_adj*(1/17)*1000))*1),(s_DL/((s_RadSpec!L29*s_IFA_res_adj*(1/s_PEF_wind)*1000))*1)),".")</f>
        <v>.</v>
      </c>
      <c r="E29" s="141">
        <f>IFERROR((s_DL/(s_RadSpec!K29*s_EF_res*(1/365)*s_ED_res*s_RadSpec!V29*((s_ET_res_o*(1/24)*s_RadSpec!AA29)+(s_ET_res_i*(1/24)*s_RadSpec!AF29))))*1,".")</f>
        <v>46.840117796564712</v>
      </c>
      <c r="F29" s="141" t="str">
        <f>s_b2s!C29</f>
        <v>.</v>
      </c>
      <c r="G29" s="141" t="str">
        <f>s_dir!C29</f>
        <v>.</v>
      </c>
      <c r="H29" s="141">
        <f t="shared" si="32"/>
        <v>46.840117796564712</v>
      </c>
      <c r="I29" s="142">
        <f t="shared" si="0"/>
        <v>15.125</v>
      </c>
      <c r="J29" s="142">
        <f t="shared" si="1"/>
        <v>1.618127279505213E-3</v>
      </c>
      <c r="K29" s="142">
        <f>IFERROR((s_C*s_EF_res*(1/365)*s_ED_res*s_RadSpec!V29*((s_ET_res_o*(1/24)*s_RadSpec!AA29)+(s_ET_res_i*(1/24)*s_RadSpec!AF29))),".")</f>
        <v>3.181770284510009E-2</v>
      </c>
      <c r="L29" s="142">
        <f>s_b2s!AB29</f>
        <v>3331.8862500000005</v>
      </c>
      <c r="M29" s="141"/>
      <c r="N29" s="141">
        <f>IFERROR((s_DL/(s_RadSpec!K29*s_EF_res*(1/365)*s_ED_res*s_RadSpec!V29*((s_ET_res_o*(1/24)*s_RadSpec!AA29)+(s_ET_res_i*(1/24)*s_RadSpec!AF29))))*1,".")</f>
        <v>46.840117796564712</v>
      </c>
      <c r="O29" s="141">
        <f>IFERROR((s_DL/(s_RadSpec!R29*s_EF_res*(1/365)*s_ED_res*s_RadSpec!W29*((s_ET_res_o*(1/24)*s_RadSpec!AB29)+(s_ET_res_i*(1/24)*s_RadSpec!AG29))))*1,".")</f>
        <v>511.79343386725031</v>
      </c>
      <c r="P29" s="141">
        <f>IFERROR((s_DL/(s_RadSpec!S29*s_EF_res*(1/365)*s_ED_res*s_RadSpec!X29*((s_ET_res_o*(1/24)*s_RadSpec!AC29)+(s_ET_res_i*(1/24)*s_RadSpec!AH29))))*1,".")</f>
        <v>126.95183091340459</v>
      </c>
      <c r="Q29" s="141">
        <f>IFERROR((s_DL/(s_RadSpec!T29*s_EF_res*(1/365)*s_ED_res*s_RadSpec!Y29*((s_ET_res_o*(1/24)*s_RadSpec!AD29)+(s_ET_res_i*(1/24)*s_RadSpec!AI29))))*1,".")</f>
        <v>67.002659791166153</v>
      </c>
      <c r="R29" s="141">
        <f>IFERROR((s_DL/(s_RadSpec!P29*s_EF_res*(1/365)*s_ED_res*s_RadSpec!U29*((s_ET_res_o*(1/24)*s_RadSpec!Z29)+(s_ET_res_i*(1/24)*s_RadSpec!AE29))))*1,".")</f>
        <v>912.2751241818894</v>
      </c>
      <c r="S29" s="142">
        <f>IFERROR((s_C*s_EF_res*(1/365)*s_ED_res*s_RadSpec!V29*((s_ET_res_o*(1/24)*s_RadSpec!AA29)+(s_ET_res_i*(1/24)*s_RadSpec!AF29))),".")</f>
        <v>3.181770284510009E-2</v>
      </c>
      <c r="T29" s="142">
        <f>IFERROR((s_C*s_EF_res*(1/365)*s_ED_res*s_RadSpec!W29*((s_ET_res_o*(1/24)*s_RadSpec!AB29)+(s_ET_res_i*(1/24)*s_RadSpec!AG29))),".")</f>
        <v>1.5945002034450029E-2</v>
      </c>
      <c r="U29" s="142">
        <f>IFERROR((s_C*s_EF_res*(1/365)*s_ED_res*s_RadSpec!X29*((s_ET_res_o*(1/24)*s_RadSpec!AC29)+(s_ET_res_i*(1/24)*s_RadSpec!AH29))),".")</f>
        <v>2.2382225192114937E-2</v>
      </c>
      <c r="V29" s="142">
        <f>IFERROR((s_C*s_EF_res*(1/365)*s_ED_res*s_RadSpec!Y29*((s_ET_res_o*(1/24)*s_RadSpec!AD29)+(s_ET_res_i*(1/24)*s_RadSpec!AI29))),".")</f>
        <v>2.6386100614076542E-2</v>
      </c>
      <c r="W29" s="142">
        <f>IFERROR((s_C*s_EF_res*(1/365)*s_ED_res*s_RadSpec!U29*((s_ET_res_o*(1/24)*s_RadSpec!Z29)+(s_ET_res_i*(1/24)*s_RadSpec!AE29))),".")</f>
        <v>8.8796477495107617E-3</v>
      </c>
      <c r="X29" s="141" t="str">
        <f>IFERROR((s_DL/(s_RadSpec!L29*s_IFA_res_adj)),".")</f>
        <v>.</v>
      </c>
      <c r="Y29" s="141">
        <f>IFERROR((s_DL/(s_RadSpec!O29*s_EF_res*(1/365)*s_ED_res*s_ET_res*(1/24)*s_GSF_a)),".")</f>
        <v>3.2296883571946836E-3</v>
      </c>
      <c r="Z29" s="141">
        <f t="shared" si="33"/>
        <v>3.2296883571946836E-3</v>
      </c>
      <c r="AA29" s="142">
        <f t="shared" si="2"/>
        <v>501.30208333333326</v>
      </c>
      <c r="AB29" s="142">
        <f t="shared" si="3"/>
        <v>0.3139269406392694</v>
      </c>
      <c r="AC29" s="141"/>
      <c r="AD29" s="141" t="str">
        <f>IFERROR((s_DL/(s_RadSpec!M29*s_IFW_res_adj)),".")</f>
        <v>.</v>
      </c>
      <c r="AE29" s="141" t="str">
        <f>IFERROR(IF(s_RadSpec!C29=1,(s_DL/(s_RadSpec!L29*s_IFA_res_adj*s_K)),"."),".")</f>
        <v>.</v>
      </c>
      <c r="AF29" s="141">
        <f>IFERROR((s_DL/(s_RadSpec!Q29*(1/8760)*s_DFA_res_adj)),".")</f>
        <v>3.7396391504359499</v>
      </c>
      <c r="AG29" s="141" t="str">
        <f>s_b2w!C29</f>
        <v>.</v>
      </c>
      <c r="AH29" s="141">
        <f t="shared" si="34"/>
        <v>3.7396391504359499</v>
      </c>
      <c r="AI29" s="142">
        <f t="shared" si="4"/>
        <v>1375</v>
      </c>
      <c r="AJ29" s="142">
        <f t="shared" si="5"/>
        <v>250.65104166666663</v>
      </c>
      <c r="AK29" s="142">
        <f t="shared" si="6"/>
        <v>0.12557077625570776</v>
      </c>
      <c r="AL29" s="142">
        <f>s_b2w!AB29</f>
        <v>866.5612368029615</v>
      </c>
      <c r="AM29" s="141"/>
      <c r="AN29" s="141" t="str">
        <f>IFERROR(s_DL/(s_RadSpec!J29*s_EF_res*s_ED_res*s_IRF_res*0.001*s_CF_res_fish),".")</f>
        <v>.</v>
      </c>
      <c r="AO29" s="142">
        <f t="shared" si="7"/>
        <v>7562.5</v>
      </c>
      <c r="AP29" s="141"/>
    </row>
    <row r="30" spans="1:42" x14ac:dyDescent="0.25">
      <c r="A30" s="128" t="s">
        <v>28</v>
      </c>
      <c r="B30" s="129" t="s">
        <v>1059</v>
      </c>
      <c r="C30" s="141">
        <f>IFERROR(((s_DL/(s_RadSpec!I30*s_IFS_res_adj*(1/1000)))*1),".")</f>
        <v>7420.7262367938902</v>
      </c>
      <c r="D30" s="141">
        <f>IFERROR(IF(A30="H-3",(s_DL/((s_RadSpec!L30*s_IFA_res_adj*(1/17)*1000))*1),(s_DL/((s_RadSpec!L30*s_IFA_res_adj*(1/s_PEF_wind)*1000))*1)),".")</f>
        <v>405404.32754304621</v>
      </c>
      <c r="E30" s="141">
        <f>IFERROR((s_DL/(s_RadSpec!K30*s_EF_res*(1/365)*s_ED_res*s_RadSpec!V30*((s_ET_res_o*(1/24)*s_RadSpec!AA30)+(s_ET_res_i*(1/24)*s_RadSpec!AF30))))*1,".")</f>
        <v>8023164.3923083842</v>
      </c>
      <c r="F30" s="141">
        <f>s_b2s!C30</f>
        <v>309.56453441769975</v>
      </c>
      <c r="G30" s="141">
        <f>s_dir!C30</f>
        <v>4.9471508245292597</v>
      </c>
      <c r="H30" s="141">
        <f>(IF(AND(C30&lt;&gt;".",D30&lt;&gt;".",E30&lt;&gt;".",F30&lt;&gt;"."),1/((1/C30)+(1/D30)+(1/E30)+(1/F30)),IF(AND(C30&lt;&gt;".",D30&lt;&gt;".",E30&lt;&gt;".",F30="."), 1/((1/C30)+(1/D30)+(1/E30)),IF(AND(C30&lt;&gt;".",D30&lt;&gt;".",E30=".",F30&lt;&gt;"."),1/((1/C30)+(1/D30)+(1/F30)),IF(AND(C30&lt;&gt;".",D30=".",E30&lt;&gt;".",F30&lt;&gt;"."),1/((1/C30)+(1/E30)+(1/F30)),IF(AND(C30=".",D30&lt;&gt;".",E30&lt;&gt;".",F30&lt;&gt;"."),1/((1/D30)+(1/E30)+(1/F30)),IF(AND(C30&lt;&gt;".",D30&lt;&gt;".",E30=".",F30="."),1/((1/C30)+(1/D30)),IF(AND(C30&lt;&gt;".",D30=".",E30&lt;&gt;".",F30="."),1/((1/C30)+(1/E30)),IF(AND(C30&lt;&gt;".",D30=".",E30=".",F30&lt;&gt;"."),1/((1/C30)+(1/F30)),IF(AND(C30=".",D30=".",E30&lt;&gt;".",F30&lt;&gt;"."),1/((1/E30)+(1/F30)),IF(AND(C30=".",D30&lt;&gt;".",E30=".",F30&lt;&gt;"."),1/((1/D30)+(1/F30)),IF(AND(C30=".",D30&lt;&gt;".",E30&lt;&gt;".",F30="."),1/((1/D30)+(1/E30)),IF(AND(C30&lt;&gt;".",D30=".",E30=".",F30="."),1/((1/C30)),IF(AND(C30=".",D30&lt;&gt;".",E30=".",F30="."),1/((1/D30)),IF(AND(C30=".",D30=".",E30&lt;&gt;".",F30="."),1/((1/E30)),IF(AND(C30=".",D30=".",E30=".",F30&lt;&gt;"."),1/((1/F30)),IF(AND(C30=".",D30=".",E30=".",F30="."),".")))))))))))))))))</f>
        <v>296.93916140931185</v>
      </c>
      <c r="I30" s="142">
        <f t="shared" si="0"/>
        <v>15.125</v>
      </c>
      <c r="J30" s="142">
        <f t="shared" si="1"/>
        <v>1.618127279505213E-3</v>
      </c>
      <c r="K30" s="142">
        <f>IFERROR((s_C*s_EF_res*(1/365)*s_ED_res*s_RadSpec!V30*((s_ET_res_o*(1/24)*s_RadSpec!AA30)+(s_ET_res_i*(1/24)*s_RadSpec!AF30))),".")</f>
        <v>3.3904109589041093E-3</v>
      </c>
      <c r="L30" s="142">
        <f>s_b2s!AB30</f>
        <v>362.56893749999995</v>
      </c>
      <c r="M30" s="141"/>
      <c r="N30" s="141">
        <f>IFERROR((s_DL/(s_RadSpec!K30*s_EF_res*(1/365)*s_ED_res*s_RadSpec!V30*((s_ET_res_o*(1/24)*s_RadSpec!AA30)+(s_ET_res_i*(1/24)*s_RadSpec!AF30))))*1,".")</f>
        <v>8023164.3923083842</v>
      </c>
      <c r="O30" s="141">
        <f>IFERROR((s_DL/(s_RadSpec!R30*s_EF_res*(1/365)*s_ED_res*s_RadSpec!W30*((s_ET_res_o*(1/24)*s_RadSpec!AB30)+(s_ET_res_i*(1/24)*s_RadSpec!AG30))))*1,".")</f>
        <v>133366725.76314768</v>
      </c>
      <c r="P30" s="141">
        <f>IFERROR((s_DL/(s_RadSpec!S30*s_EF_res*(1/365)*s_ED_res*s_RadSpec!X30*((s_ET_res_o*(1/24)*s_RadSpec!AC30)+(s_ET_res_i*(1/24)*s_RadSpec!AH30))))*1,".")</f>
        <v>19854192.604176376</v>
      </c>
      <c r="Q30" s="141">
        <f>IFERROR((s_DL/(s_RadSpec!T30*s_EF_res*(1/365)*s_ED_res*s_RadSpec!Y30*((s_ET_res_o*(1/24)*s_RadSpec!AD30)+(s_ET_res_i*(1/24)*s_RadSpec!AI30))))*1,".")</f>
        <v>10897565.971045399</v>
      </c>
      <c r="R30" s="141">
        <f>IFERROR((s_DL/(s_RadSpec!P30*s_EF_res*(1/365)*s_ED_res*s_RadSpec!U30*((s_ET_res_o*(1/24)*s_RadSpec!Z30)+(s_ET_res_i*(1/24)*s_RadSpec!AE30))))*1,".")</f>
        <v>1590184250.0745533</v>
      </c>
      <c r="S30" s="142">
        <f>IFERROR((s_C*s_EF_res*(1/365)*s_ED_res*s_RadSpec!V30*((s_ET_res_o*(1/24)*s_RadSpec!AA30)+(s_ET_res_i*(1/24)*s_RadSpec!AF30))),".")</f>
        <v>3.3904109589041093E-3</v>
      </c>
      <c r="T30" s="142">
        <f>IFERROR((s_C*s_EF_res*(1/365)*s_ED_res*s_RadSpec!W30*((s_ET_res_o*(1/24)*s_RadSpec!AB30)+(s_ET_res_i*(1/24)*s_RadSpec!AG30))),".")</f>
        <v>6.9206621004566215E-4</v>
      </c>
      <c r="U30" s="142">
        <f>IFERROR((s_C*s_EF_res*(1/365)*s_ED_res*s_RadSpec!X30*((s_ET_res_o*(1/24)*s_RadSpec!AC30)+(s_ET_res_i*(1/24)*s_RadSpec!AH30))),".")</f>
        <v>1.9204534718941905E-3</v>
      </c>
      <c r="V30" s="142">
        <f>IFERROR((s_C*s_EF_res*(1/365)*s_ED_res*s_RadSpec!Y30*((s_ET_res_o*(1/24)*s_RadSpec!AD30)+(s_ET_res_i*(1/24)*s_RadSpec!AI30))),".")</f>
        <v>2.5800414144632037E-3</v>
      </c>
      <c r="W30" s="142">
        <f>IFERROR((s_C*s_EF_res*(1/365)*s_ED_res*s_RadSpec!U30*((s_ET_res_o*(1/24)*s_RadSpec!Z30)+(s_ET_res_i*(1/24)*s_RadSpec!AE30))),".")</f>
        <v>2.825342465753425E-5</v>
      </c>
      <c r="X30" s="141">
        <f>IFERROR((s_DL/(s_RadSpec!L30*s_IFA_res_adj)),".")</f>
        <v>1.3085838328556778</v>
      </c>
      <c r="Y30" s="141">
        <f>IFERROR((s_DL/(s_RadSpec!O30*s_EF_res*(1/365)*s_ED_res*s_ET_res*(1/24)*s_GSF_a)),".")</f>
        <v>40.218760674499833</v>
      </c>
      <c r="Z30" s="141">
        <f>IFERROR(IF(AND(X30&lt;&gt;".",Y30&lt;&gt;"."),1/((1/X30)+(1/Y30)),IF(AND(X30&lt;&gt;".",Y30="."),1/((1/X30)),IF(AND(X30=".",Y30&lt;&gt;"."),1/((1/Y30)),IF(AND(X30=".",Y30="."),".")))),".")</f>
        <v>1.2673485535975024</v>
      </c>
      <c r="AA30" s="142">
        <f t="shared" si="2"/>
        <v>501.30208333333326</v>
      </c>
      <c r="AB30" s="142">
        <f t="shared" si="3"/>
        <v>0.3139269406392694</v>
      </c>
      <c r="AC30" s="141"/>
      <c r="AD30" s="141">
        <f>IFERROR((s_DL/(s_RadSpec!M30*s_IFW_res_adj)),".")</f>
        <v>81.627988604732792</v>
      </c>
      <c r="AE30" s="141" t="str">
        <f>IFERROR(IF(s_RadSpec!C30=1,(s_DL/(s_RadSpec!L30*s_IFA_res_adj*s_K)),"."),".")</f>
        <v>.</v>
      </c>
      <c r="AF30" s="141">
        <f>IFERROR((s_DL/(s_RadSpec!Q30*(1/8760)*s_DFA_res_adj)),".")</f>
        <v>45353.070547840245</v>
      </c>
      <c r="AG30" s="141">
        <f>s_b2w!C30</f>
        <v>405.84399467374664</v>
      </c>
      <c r="AH30" s="141">
        <f>(IF(AND(AD30&lt;&gt;".",AE30&lt;&gt;".",AF30&lt;&gt;".",AG30&lt;&gt;"."),1/((1/AD30)+(1/AE30)+(1/AF30)+(1/AG30)),IF(AND(AD30&lt;&gt;".",AE30&lt;&gt;".",AF30&lt;&gt;".",AG30="."), 1/((1/AD30)+(1/AE30)+(1/AF30)),IF(AND(AD30&lt;&gt;".",AE30&lt;&gt;".",AF30=".",AG30&lt;&gt;"."),1/((1/AD30)+(1/AE30)+(1/AG30)),IF(AND(AD30&lt;&gt;".",AE30=".",AF30&lt;&gt;".",AG30&lt;&gt;"."),1/((1/AD30)+(1/AF30)+(1/AG30)),IF(AND(AD30=".",AE30&lt;&gt;".",AF30&lt;&gt;".",AG30&lt;&gt;"."),1/((1/AE30)+(1/AF30)+(1/AG30)),IF(AND(AD30&lt;&gt;".",AE30&lt;&gt;".",AF30=".",AG30="."),1/((1/AD30)+(1/AE30)),IF(AND(AD30&lt;&gt;".",AE30=".",AF30&lt;&gt;".",AG30="."),1/((1/AD30)+(1/AF30)),IF(AND(AD30&lt;&gt;".",AE30=".",AF30=".",AG30&lt;&gt;"."),1/((1/AD30)+(1/AG30)),IF(AND(AD30=".",AE30=".",AF30&lt;&gt;".",AG30&lt;&gt;"."),1/((1/AF30)+(1/AG30)),IF(AND(AD30=".",AE30&lt;&gt;".",AF30=".",AG30&lt;&gt;"."),1/((1/AE30)+(1/AG30)),IF(AND(AD30=".",AE30&lt;&gt;".",AF30&lt;&gt;".",AG30="."),1/((1/AE30)+(1/AF30)),IF(AND(AD30&lt;&gt;".",AE30=".",AF30=".",AG30="."),1/((1/AD30)),IF(AND(AD30=".",AE30&lt;&gt;".",AF30=".",AG30="."),1/((1/AE30)),IF(AND(AD30=".",AE30=".",AF30&lt;&gt;".",AG30="."),1/((1/AF30)),IF(AND(AD30=".",AE30=".",AF30=".",AG30&lt;&gt;"."),1/((1/AG30)),IF(AND(AD30=".",AE30=".",AF30=".",AG30="."),".")))))))))))))))))</f>
        <v>67.857566035609509</v>
      </c>
      <c r="AI30" s="142">
        <f t="shared" si="4"/>
        <v>1375</v>
      </c>
      <c r="AJ30" s="142">
        <f t="shared" si="5"/>
        <v>250.65104166666663</v>
      </c>
      <c r="AK30" s="142">
        <f t="shared" si="6"/>
        <v>0.12557077625570776</v>
      </c>
      <c r="AL30" s="142">
        <f>s_b2w!AB30</f>
        <v>276.5557352197236</v>
      </c>
      <c r="AM30" s="141"/>
      <c r="AN30" s="141">
        <f>IFERROR(s_DL/(s_RadSpec!J30*s_EF_res*s_ED_res*s_IRF_res*0.001*s_CF_res_fish),".")</f>
        <v>14.841452473587779</v>
      </c>
      <c r="AO30" s="142">
        <f t="shared" si="7"/>
        <v>7562.5</v>
      </c>
      <c r="AP30" s="141"/>
    </row>
    <row r="31" spans="1:42" x14ac:dyDescent="0.25">
      <c r="A31" s="145" t="s">
        <v>1</v>
      </c>
      <c r="B31" s="145" t="s">
        <v>1221</v>
      </c>
      <c r="C31" s="134">
        <f>1/SUM(1/C32,1/C33,1/C34,1/C35,1/C36,1/C37,1/C38,1/C41,1/C44)</f>
        <v>337.36619626035349</v>
      </c>
      <c r="D31" s="134">
        <f>1/SUM(1/D32,1/D33,1/D34,1/D35,1/D36,1/D37,1/D38,1/D41,1/D44)</f>
        <v>19500.593684921219</v>
      </c>
      <c r="E31" s="134">
        <f>1/SUM(1/E32,1/E33,1/E34,1/E35,1/E36,1/E37,1/E38,1/E39,1/E40,1/E41,1/E42,1/E43)</f>
        <v>728.6445968710068</v>
      </c>
      <c r="F31" s="134">
        <f>s_b2s!C31</f>
        <v>13.574296246384492</v>
      </c>
      <c r="G31" s="134">
        <f>1/SUM(1/G32,1/G33,1/G34,1/G35,1/G36,1/G37,1/G38,1/G41,1/G44)</f>
        <v>0.22491079750690235</v>
      </c>
      <c r="H31" s="134">
        <f t="shared" ref="H31" si="35">1/SUM(1/H32,1/H33,1/H34,1/H35,1/H36,1/H37,1/H38,1/H39,1/H40,1/H41,1/H42,1/H43,1/H44)</f>
        <v>12.811237162580154</v>
      </c>
      <c r="I31" s="146">
        <f>SUM(I32:I44)</f>
        <v>7.4103452797348146E-2</v>
      </c>
      <c r="J31" s="146">
        <f t="shared" ref="J31:K31" si="36">SUM(J32:J44)</f>
        <v>1.2820122507004072E-3</v>
      </c>
      <c r="K31" s="146">
        <f t="shared" si="36"/>
        <v>3.4310279809054559E-2</v>
      </c>
      <c r="L31" s="159">
        <f>s_b2s!AB31</f>
        <v>1.8417161041891024</v>
      </c>
      <c r="M31" s="146">
        <f t="shared" ref="M31" si="37">SUM(I31:L31)</f>
        <v>1.9514118490462056</v>
      </c>
      <c r="N31" s="134">
        <f>1/SUM(1/N32,1/N33,1/N34,1/N35,1/N36,1/N37,1/N38,1/N39,1/N40,1/N41,1/N42,1/N43)</f>
        <v>728.6445968710068</v>
      </c>
      <c r="O31" s="134">
        <f>1/SUM(1/O32,1/O33,1/O34,1/O35,1/O36,1/O37,1/O38,1/O39,1/O40,1/O41,1/O42,1/O43)</f>
        <v>6354.9551474691416</v>
      </c>
      <c r="P31" s="134">
        <f>1/SUM(1/P32,1/P33,1/P34,1/P35,1/P36,1/P37,1/P38,1/P39,1/P40,1/P41,1/P42,1/P43)</f>
        <v>1653.6174384701199</v>
      </c>
      <c r="Q31" s="134">
        <f>1/SUM(1/Q32,1/Q33,1/Q34,1/Q35,1/Q36,1/Q37,1/Q38,1/Q39,1/Q40,1/Q41,1/Q42,1/Q43)</f>
        <v>979.08534211061487</v>
      </c>
      <c r="R31" s="134">
        <f>1/SUM(1/R32,1/R33,1/R34,1/R35,1/R36,1/R37,1/R38,1/R39,1/R40,1/R41,1/R42,1/R43)</f>
        <v>12354.973138137249</v>
      </c>
      <c r="S31" s="146">
        <f>SUM(S32:S44)</f>
        <v>3.4310279809054559E-2</v>
      </c>
      <c r="T31" s="146">
        <f t="shared" ref="T31:W31" si="38">SUM(T32:T44)</f>
        <v>3.9339380719242752E-3</v>
      </c>
      <c r="U31" s="146">
        <f t="shared" si="38"/>
        <v>1.5118369834760146E-2</v>
      </c>
      <c r="V31" s="146">
        <f t="shared" si="38"/>
        <v>2.5534035619517583E-2</v>
      </c>
      <c r="W31" s="146">
        <f t="shared" si="38"/>
        <v>2.0234766778108298E-3</v>
      </c>
      <c r="X31" s="134">
        <f>1/SUM(1/X32,1/X33,1/X34,1/X35,1/X36,1/X37,1/X38,1/X41,1/X44)</f>
        <v>6.2944966033856395E-2</v>
      </c>
      <c r="Y31" s="134">
        <f t="shared" ref="Y31:Z31" si="39">1/SUM(1/Y32,1/Y33,1/Y34,1/Y35,1/Y36,1/Y37,1/Y38,1/Y39,1/Y40,1/Y41,1/Y42,1/Y43,1/Y44)</f>
        <v>1.7487354854657793E-2</v>
      </c>
      <c r="Z31" s="134">
        <f t="shared" si="39"/>
        <v>1.3685306418972368E-2</v>
      </c>
      <c r="AA31" s="146">
        <f t="shared" ref="AA31:AB31" si="40">SUM(AA32:AA44)</f>
        <v>397.17234872369573</v>
      </c>
      <c r="AB31" s="146">
        <f t="shared" si="40"/>
        <v>1429.6044317612275</v>
      </c>
      <c r="AC31" s="147">
        <f t="shared" ref="AC31" si="41">SUM(AA31:AB31)</f>
        <v>1826.7767804849232</v>
      </c>
      <c r="AD31" s="134">
        <f>1/SUM(1/AD32,1/AD33,1/AD34,1/AD35,1/AD36,1/AD37,1/AD38,1/AD41,1/AD44)</f>
        <v>3.7110281588638885</v>
      </c>
      <c r="AE31" s="134" t="str">
        <f>IFERROR(1/SUM(1/AE32,1/AE33,1/AE34,1/AE35,1/AE36,1/AE37,1/AE38,1/AE39,1/AE40,1/AE41,1/AE42,1/AE43,1/AE44),".")</f>
        <v>.</v>
      </c>
      <c r="AF31" s="134">
        <f t="shared" ref="AF31:AH31" si="42">1/SUM(1/AF32,1/AF33,1/AF34,1/AF35,1/AF36,1/AF37,1/AF38,1/AF39,1/AF40,1/AF41,1/AF42,1/AF43,1/AF44)</f>
        <v>20.078635466502288</v>
      </c>
      <c r="AG31" s="134">
        <f>1/SUM(1/AG32,1/AG33,1/AG34,1/AG35,1/AG36,1/AG37,1/AG38,1/AG41,1/AG44)</f>
        <v>18.275631142034037</v>
      </c>
      <c r="AH31" s="134">
        <f t="shared" si="42"/>
        <v>2.673875757615352</v>
      </c>
      <c r="AI31" s="146">
        <f>SUM(AI32:AI44)</f>
        <v>6.7366775270316497</v>
      </c>
      <c r="AJ31" s="146">
        <f t="shared" ref="AJ31:AK31" si="43">SUM(AJ32:AJ44)</f>
        <v>198.58617436184787</v>
      </c>
      <c r="AK31" s="146">
        <f t="shared" si="43"/>
        <v>1.2451045312171816</v>
      </c>
      <c r="AL31" s="146">
        <f>s_b2w!AB31</f>
        <v>1.3679418131010466</v>
      </c>
      <c r="AM31" s="147">
        <f t="shared" ref="AM31" si="44">SUM(AI31:AL31)</f>
        <v>207.93589823319775</v>
      </c>
      <c r="AN31" s="134">
        <f>1/SUM(1/AN32,1/AN33,1/AN34,1/AN35,1/AN36,1/AN37,1/AN38,1/AN41,1/AN44)</f>
        <v>0.67473239252070694</v>
      </c>
      <c r="AO31" s="146">
        <f t="shared" ref="AO31" si="45">SUM(AO32:AO44)</f>
        <v>37.051726398674084</v>
      </c>
      <c r="AP31" s="141"/>
    </row>
    <row r="32" spans="1:42" x14ac:dyDescent="0.25">
      <c r="A32" s="148" t="s">
        <v>1087</v>
      </c>
      <c r="B32" s="141">
        <v>1</v>
      </c>
      <c r="C32" s="136">
        <f>IFERROR(C3/$B32,0)</f>
        <v>1877.0072246008076</v>
      </c>
      <c r="D32" s="136">
        <f>IFERROR(D3/$B32,0)</f>
        <v>42565.388111043583</v>
      </c>
      <c r="E32" s="136">
        <f>IFERROR(E3/$B32,0)</f>
        <v>16577366.657531947</v>
      </c>
      <c r="F32" s="136">
        <f>s_b2s!C32</f>
        <v>90.342801944543481</v>
      </c>
      <c r="G32" s="136">
        <f>IFERROR(G3/$B32,0)</f>
        <v>1.2513381497338718</v>
      </c>
      <c r="H32" s="136">
        <f>(IF(AND(C32&lt;&gt;0,D32&lt;&gt;0,E32&lt;&gt;0,F32&lt;&gt;0),1/((1/C32)+(1/D32)+(1/E32)+(1/F32)),IF(AND(C32&lt;&gt;0,D32&lt;&gt;0,E32&lt;&gt;0,F32=0), 1/((1/C32)+(1/D32)+(1/E32)),IF(AND(C32&lt;&gt;0,D32&lt;&gt;0,E32=0,F32&lt;&gt;0),1/((1/C32)+(1/D32)+(1/F32)),IF(AND(C32&lt;&gt;0,D32=0,E32&lt;&gt;0,F32&lt;&gt;0),1/((1/C32)+(1/E32)+(1/F32)),IF(AND(C32=0,D32&lt;&gt;0,E32&lt;&gt;0,F32&lt;&gt;0),1/((1/D32)+(1/E32)+(1/F32)),IF(AND(C32&lt;&gt;0,D32&lt;&gt;0,E32=0,F32=0),1/((1/C32)+(1/D32)),IF(AND(C32&lt;&gt;0,D32=0,E32&lt;&gt;0,F32=0),1/((1/C32)+(1/E32)),IF(AND(C32&lt;&gt;0,D32=0,E32=0,F32&lt;&gt;0),1/((1/C32)+(1/F32)),IF(AND(C32=0,D32=0,E32&lt;&gt;0,F32&lt;&gt;0),1/((1/E32)+(1/F32)),IF(AND(C32=0,D32&lt;&gt;0,E32=0,F32&lt;&gt;0),1/((1/D32)+(1/F32)),IF(AND(C32=0,D32&lt;&gt;0,E32&lt;&gt;0,F32=0),1/((1/D32)+(1/E32)),IF(AND(C32&lt;&gt;0,D32=0,E32=0,F32=0),1/((1/C32)),IF(AND(C32=0,D32&lt;&gt;0,E32=0,F32=0),1/((1/D32)),IF(AND(C32=0,D32=0,E32&lt;&gt;0,F32=0),1/((1/E32)),IF(AND(C32=0,D32=0,E32=0,F32&lt;&gt;0),1/((1/F32)),IF(AND(C32=0,D32=0,E32=0,F32=0),0)))))))))))))))))</f>
        <v>86.019529264996947</v>
      </c>
      <c r="I32" s="149">
        <f>IFERROR(s_RadSpec!$I$3*I3,".")*$B$32</f>
        <v>1.3319075000000001E-2</v>
      </c>
      <c r="J32" s="149">
        <f>IFERROR(s_RadSpec!$L$3*J3,".")*B32</f>
        <v>5.8733165864200722E-4</v>
      </c>
      <c r="K32" s="149">
        <f>IFERROR(s_RadSpec!$K$3*K3,".")*B32</f>
        <v>1.5080802950474178E-6</v>
      </c>
      <c r="L32" s="149">
        <f>s_b2s!AB32</f>
        <v>0.27672376173749996</v>
      </c>
      <c r="M32" s="150">
        <f>SUM(I32:L32)</f>
        <v>0.29063167647643701</v>
      </c>
      <c r="N32" s="136">
        <f>IFERROR(N3/$B32,0)</f>
        <v>16577366.657531947</v>
      </c>
      <c r="O32" s="136">
        <f>IFERROR(O3/$B32,0)</f>
        <v>47199909.340030849</v>
      </c>
      <c r="P32" s="136">
        <f>IFERROR(P3/$B32,0)</f>
        <v>18955992.786839738</v>
      </c>
      <c r="Q32" s="136">
        <f>IFERROR(Q3/$B32,0)</f>
        <v>18165479.085292459</v>
      </c>
      <c r="R32" s="136">
        <f>IFERROR(R3/$B32,0)</f>
        <v>52568721.698091842</v>
      </c>
      <c r="S32" s="149">
        <f>IFERROR(s_RadSpec!$K$3*S3,".")*$B$32</f>
        <v>1.5080802950474178E-6</v>
      </c>
      <c r="T32" s="149">
        <f>IFERROR(s_RadSpec!$R$3*T3,".")*$B$32</f>
        <v>5.2966203430389172E-7</v>
      </c>
      <c r="U32" s="149">
        <f>IFERROR(s_RadSpec!$S$3*U3,".")*$B$32</f>
        <v>1.3188441397464727E-6</v>
      </c>
      <c r="V32" s="149">
        <f>IFERROR(s_RadSpec!$T$3*V3,".")*$B$32</f>
        <v>1.3762367555855468E-6</v>
      </c>
      <c r="W32" s="149">
        <f>IFERROR(s_RadSpec!$P$3*W3,".")*$B$32</f>
        <v>4.7556796498834133E-7</v>
      </c>
      <c r="X32" s="136">
        <f>IFERROR(X3/$B32,0)</f>
        <v>0.13739463280747685</v>
      </c>
      <c r="Y32" s="136">
        <f t="shared" ref="Y32" si="46">IFERROR(Y3/$B32,0)</f>
        <v>0.63440307016324149</v>
      </c>
      <c r="Z32" s="136">
        <f t="shared" ref="Z32:Z38" si="47">IFERROR(IF(AND(X32&lt;&gt;0,Y32&lt;&gt;0),1/((1/X32)+(1/Y32)),IF(AND(X32&lt;&gt;0,Y32=0),1/((1/X32)),IF(AND(X32=0,Y32&lt;&gt;0),1/((1/Y32)),IF(AND(X32=".",Y32="."),".")))),".")</f>
        <v>0.11293578167117387</v>
      </c>
      <c r="AA32" s="149">
        <f>IFERROR(s_RadSpec!$L$3*AA3,".")*$B$32</f>
        <v>181.95761718749998</v>
      </c>
      <c r="AB32" s="149">
        <f>IFERROR(s_RadSpec!$O$3*AB3,".")*$B$32</f>
        <v>39.407123287671233</v>
      </c>
      <c r="AC32" s="150">
        <f>SUM(AA32:AB32)</f>
        <v>221.3647404751712</v>
      </c>
      <c r="AD32" s="136">
        <f>IFERROR(AD3/$B32,0)</f>
        <v>20.64707947060888</v>
      </c>
      <c r="AE32" s="136">
        <f t="shared" ref="AE32:AF32" si="48">IFERROR(AE3/$B32,0)</f>
        <v>0</v>
      </c>
      <c r="AF32" s="136">
        <f t="shared" si="48"/>
        <v>692.07607654171807</v>
      </c>
      <c r="AG32" s="136">
        <f>IFERROR(AG3/$B32,0)</f>
        <v>106.34705538852155</v>
      </c>
      <c r="AH32" s="136">
        <f>IFERROR(AH3/$B32,0)</f>
        <v>16.868781913710215</v>
      </c>
      <c r="AI32" s="149">
        <f>IFERROR(s_RadSpec!$M$3*AI3,".")*$B$32</f>
        <v>1.210825</v>
      </c>
      <c r="AJ32" s="149">
        <f>IFERROR(s_RadSpec!$L$3*AJ3,".")*$B$32</f>
        <v>90.978808593749989</v>
      </c>
      <c r="AK32" s="149">
        <f>IFERROR(s_RadSpec!$Q$3*AK3,".")*$B$32</f>
        <v>3.6123196347031962E-2</v>
      </c>
      <c r="AL32" s="149">
        <f>s_b2w!AB32</f>
        <v>0.23507938145223295</v>
      </c>
      <c r="AM32" s="150">
        <f>SUM(AI32:AL32)</f>
        <v>92.460836171549261</v>
      </c>
      <c r="AN32" s="136">
        <f>IFERROR(AN3/$B32,0)</f>
        <v>3.7540144492016148</v>
      </c>
      <c r="AO32" s="149">
        <f>IFERROR(s_RadSpec!$J$3*AO3,".")*$B$32</f>
        <v>6.6595375000000008</v>
      </c>
      <c r="AP32" s="141"/>
    </row>
    <row r="33" spans="1:42" x14ac:dyDescent="0.25">
      <c r="A33" s="148" t="s">
        <v>1063</v>
      </c>
      <c r="B33" s="141">
        <v>1</v>
      </c>
      <c r="C33" s="136">
        <f t="shared" ref="C33:D34" si="49">IFERROR(C13/$B33,0)</f>
        <v>3573.8217556399372</v>
      </c>
      <c r="D33" s="136">
        <f t="shared" si="49"/>
        <v>331401.950293125</v>
      </c>
      <c r="E33" s="136">
        <f t="shared" ref="E33:G34" si="50">IFERROR(E13/$B33,0)</f>
        <v>226951.14497758663</v>
      </c>
      <c r="F33" s="136">
        <f>s_b2s!C33</f>
        <v>112.20790441569662</v>
      </c>
      <c r="G33" s="136">
        <f t="shared" si="50"/>
        <v>2.3825478370932913</v>
      </c>
      <c r="H33" s="136">
        <f t="shared" ref="H33:H44" si="51">(IF(AND(C33&lt;&gt;0,D33&lt;&gt;0,E33&lt;&gt;0,F33&lt;&gt;0),1/((1/C33)+(1/D33)+(1/E33)+(1/F33)),IF(AND(C33&lt;&gt;0,D33&lt;&gt;0,E33&lt;&gt;0,F33=0), 1/((1/C33)+(1/D33)+(1/E33)),IF(AND(C33&lt;&gt;0,D33&lt;&gt;0,E33=0,F33&lt;&gt;0),1/((1/C33)+(1/D33)+(1/F33)),IF(AND(C33&lt;&gt;0,D33=0,E33&lt;&gt;0,F33&lt;&gt;0),1/((1/C33)+(1/E33)+(1/F33)),IF(AND(C33=0,D33&lt;&gt;0,E33&lt;&gt;0,F33&lt;&gt;0),1/((1/D33)+(1/E33)+(1/F33)),IF(AND(C33&lt;&gt;0,D33&lt;&gt;0,E33=0,F33=0),1/((1/C33)+(1/D33)),IF(AND(C33&lt;&gt;0,D33=0,E33&lt;&gt;0,F33=0),1/((1/C33)+(1/E33)),IF(AND(C33&lt;&gt;0,D33=0,E33=0,F33&lt;&gt;0),1/((1/C33)+(1/F33)),IF(AND(C33=0,D33=0,E33&lt;&gt;0,F33&lt;&gt;0),1/((1/E33)+(1/F33)),IF(AND(C33=0,D33&lt;&gt;0,E33=0,F33&lt;&gt;0),1/((1/D33)+(1/F33)),IF(AND(C33=0,D33&lt;&gt;0,E33&lt;&gt;0,F33=0),1/((1/D33)+(1/E33)),IF(AND(C33&lt;&gt;0,D33=0,E33=0,F33=0),1/((1/C33)),IF(AND(C33=0,D33&lt;&gt;0,E33=0,F33=0),1/((1/D33)),IF(AND(C33=0,D33=0,E33&lt;&gt;0,F33=0),1/((1/E33)),IF(AND(C33=0,D33=0,E33=0,F33&lt;&gt;0),1/((1/F33)),IF(AND(C33=0,D33=0,E33=0,F33=0),0)))))))))))))))))</f>
        <v>108.70434446389315</v>
      </c>
      <c r="I33" s="149">
        <f>IFERROR(s_RadSpec!$I$13*I13,".")*$B$33</f>
        <v>6.9953125000000007E-3</v>
      </c>
      <c r="J33" s="149">
        <f>IFERROR(s_RadSpec!$L$13*J13,".")*B33</f>
        <v>7.5437093770533035E-5</v>
      </c>
      <c r="K33" s="149">
        <f>IFERROR(s_RadSpec!$K$13*K13,".")*B33</f>
        <v>1.1015586637586235E-4</v>
      </c>
      <c r="L33" s="149">
        <f>s_b2s!AB33</f>
        <v>0.22280070312500003</v>
      </c>
      <c r="M33" s="150">
        <f t="shared" ref="M33:M76" si="52">SUM(I33:L33)</f>
        <v>0.22998160858514644</v>
      </c>
      <c r="N33" s="136">
        <f t="shared" ref="N33:R34" si="53">IFERROR(N13/$B33,0)</f>
        <v>226951.14497758663</v>
      </c>
      <c r="O33" s="136">
        <f t="shared" si="53"/>
        <v>1480667.6249620041</v>
      </c>
      <c r="P33" s="136">
        <f t="shared" si="53"/>
        <v>369085.65973383986</v>
      </c>
      <c r="Q33" s="136">
        <f t="shared" si="53"/>
        <v>243409.37874457389</v>
      </c>
      <c r="R33" s="136">
        <f t="shared" si="53"/>
        <v>11194560.401182281</v>
      </c>
      <c r="S33" s="149">
        <f>IFERROR(s_RadSpec!$K$13*S13,".")*$B$33</f>
        <v>1.1015586637586235E-4</v>
      </c>
      <c r="T33" s="149">
        <f>IFERROR(s_RadSpec!$R$13*T13,".")*$B$33</f>
        <v>1.6884275429903815E-5</v>
      </c>
      <c r="U33" s="149">
        <f>IFERROR(s_RadSpec!$S$13*U13,".")*$B$33</f>
        <v>6.7734953501115018E-5</v>
      </c>
      <c r="V33" s="149">
        <f>IFERROR(s_RadSpec!$T$13*V13,".")*$B$33</f>
        <v>1.0270762831301668E-4</v>
      </c>
      <c r="W33" s="149">
        <f>IFERROR(s_RadSpec!$P$13*W13,".")*$B$33</f>
        <v>2.233227487642989E-6</v>
      </c>
      <c r="X33" s="136">
        <f t="shared" ref="X33:X34" si="54">IFERROR(X13/$B33,0)</f>
        <v>1.0697153554296412</v>
      </c>
      <c r="Y33" s="136">
        <f t="shared" ref="Y33:Y34" si="55">IFERROR(Y13/$B33,0)</f>
        <v>0.49571960831360268</v>
      </c>
      <c r="Z33" s="136">
        <f t="shared" si="47"/>
        <v>0.33874219580009468</v>
      </c>
      <c r="AA33" s="149">
        <f>IFERROR(s_RadSpec!$L$13*AA13,".")*$B$33</f>
        <v>23.370703124999999</v>
      </c>
      <c r="AB33" s="149">
        <f>IFERROR(s_RadSpec!$O$13*AB13,".")*$B$33</f>
        <v>50.43173515981735</v>
      </c>
      <c r="AC33" s="150">
        <f t="shared" ref="AC33:AC76" si="56">SUM(AA33:AB33)</f>
        <v>73.802438284817356</v>
      </c>
      <c r="AD33" s="136">
        <f t="shared" ref="AD33:AD34" si="57">IFERROR(AD13/$B33,0)</f>
        <v>39.31203931203931</v>
      </c>
      <c r="AE33" s="136">
        <f t="shared" ref="AE33:AH34" si="58">IFERROR(AE13/$B33,0)</f>
        <v>0</v>
      </c>
      <c r="AF33" s="136">
        <f t="shared" si="58"/>
        <v>552.22650667059361</v>
      </c>
      <c r="AG33" s="136">
        <f t="shared" si="58"/>
        <v>180.0401251308069</v>
      </c>
      <c r="AH33" s="136">
        <f t="shared" si="58"/>
        <v>30.485324652307764</v>
      </c>
      <c r="AI33" s="149">
        <f>IFERROR(s_RadSpec!$M$13*AI13,".")*$B$33</f>
        <v>0.63593750000000004</v>
      </c>
      <c r="AJ33" s="149">
        <f>IFERROR(s_RadSpec!$L$13*AJ13,".")*$B$33</f>
        <v>11.685351562499999</v>
      </c>
      <c r="AK33" s="149">
        <f>IFERROR(s_RadSpec!$Q$13*AK13,".")*$B$33</f>
        <v>4.5271278538812784E-2</v>
      </c>
      <c r="AL33" s="149">
        <f>s_b2w!AB33</f>
        <v>0.1388579350399608</v>
      </c>
      <c r="AM33" s="150">
        <f t="shared" ref="AM33:AM76" si="59">SUM(AI33:AL33)</f>
        <v>12.505418276078775</v>
      </c>
      <c r="AN33" s="136">
        <f t="shared" ref="AN33:AN34" si="60">IFERROR(AN13/$B33,0)</f>
        <v>7.1476435112798749</v>
      </c>
      <c r="AO33" s="149">
        <f>IFERROR(s_RadSpec!$J$13*AO13,".")*$B$33</f>
        <v>3.4976562500000004</v>
      </c>
      <c r="AP33" s="141"/>
    </row>
    <row r="34" spans="1:42" x14ac:dyDescent="0.25">
      <c r="A34" s="148" t="s">
        <v>1064</v>
      </c>
      <c r="B34" s="141">
        <v>1</v>
      </c>
      <c r="C34" s="136">
        <f t="shared" si="49"/>
        <v>338430.09049620619</v>
      </c>
      <c r="D34" s="136">
        <f t="shared" si="49"/>
        <v>915715915.28363478</v>
      </c>
      <c r="E34" s="136">
        <f t="shared" si="50"/>
        <v>2244.1970085463927</v>
      </c>
      <c r="F34" s="136">
        <f>s_b2s!C34</f>
        <v>9600.8536310980489</v>
      </c>
      <c r="G34" s="136">
        <f t="shared" si="50"/>
        <v>225.62006033080414</v>
      </c>
      <c r="H34" s="136">
        <f t="shared" si="51"/>
        <v>1809.2769013631121</v>
      </c>
      <c r="I34" s="149">
        <f>IFERROR(s_RadSpec!$I$14*I14,".")*$B$34</f>
        <v>7.3870500000000004E-5</v>
      </c>
      <c r="J34" s="149">
        <f>IFERROR(s_RadSpec!$L$14*J14,".")*B33</f>
        <v>2.7301043459811956E-8</v>
      </c>
      <c r="K34" s="149">
        <f>IFERROR(s_RadSpec!$K$14*K14,".")*B33</f>
        <v>1.1139841958969974E-2</v>
      </c>
      <c r="L34" s="149">
        <f>s_b2s!AB34</f>
        <v>2.6039351250000003E-3</v>
      </c>
      <c r="M34" s="150">
        <f t="shared" si="52"/>
        <v>1.3817674885013434E-2</v>
      </c>
      <c r="N34" s="136">
        <f t="shared" si="53"/>
        <v>2244.1970085463927</v>
      </c>
      <c r="O34" s="136">
        <f t="shared" si="53"/>
        <v>17490.182286907551</v>
      </c>
      <c r="P34" s="136">
        <f t="shared" si="53"/>
        <v>4652.3213284485228</v>
      </c>
      <c r="Q34" s="136">
        <f t="shared" si="53"/>
        <v>2788.9828245151784</v>
      </c>
      <c r="R34" s="136">
        <f t="shared" si="53"/>
        <v>49029.241007515826</v>
      </c>
      <c r="S34" s="149">
        <f>IFERROR(s_RadSpec!$K$14*S14,".")*$B$33</f>
        <v>1.1139841958969974E-2</v>
      </c>
      <c r="T34" s="149">
        <f>IFERROR(s_RadSpec!$R$14*T14,".")*$B$33</f>
        <v>1.4293733244114901E-3</v>
      </c>
      <c r="U34" s="149">
        <f>IFERROR(s_RadSpec!$S$14*U14,".")*$B$33</f>
        <v>5.373661498213219E-3</v>
      </c>
      <c r="V34" s="149">
        <f>IFERROR(s_RadSpec!$T$14*V14,".")*$B$33</f>
        <v>8.963841505315066E-3</v>
      </c>
      <c r="W34" s="149">
        <f>IFERROR(s_RadSpec!$P$14*W14,".")*$B$33</f>
        <v>5.0989979624950109E-4</v>
      </c>
      <c r="X34" s="136">
        <f t="shared" si="54"/>
        <v>2955.7924294766399</v>
      </c>
      <c r="Y34" s="136">
        <f t="shared" si="55"/>
        <v>4.5989089875911354E-2</v>
      </c>
      <c r="Z34" s="136">
        <f t="shared" si="47"/>
        <v>4.5988374344110176E-2</v>
      </c>
      <c r="AA34" s="149">
        <f>IFERROR(s_RadSpec!$L$14*AA14,".")*$B$33</f>
        <v>8.4579687499999993E-3</v>
      </c>
      <c r="AB34" s="149">
        <f>IFERROR(s_RadSpec!$O$14*AB14,".")*$B$33</f>
        <v>543.60719178082195</v>
      </c>
      <c r="AC34" s="150">
        <f t="shared" si="56"/>
        <v>543.61564974957196</v>
      </c>
      <c r="AD34" s="136">
        <f t="shared" si="57"/>
        <v>3722.7309954582679</v>
      </c>
      <c r="AE34" s="136">
        <f t="shared" si="58"/>
        <v>0</v>
      </c>
      <c r="AF34" s="136">
        <f t="shared" si="58"/>
        <v>52.502323047992398</v>
      </c>
      <c r="AG34" s="136">
        <f t="shared" si="58"/>
        <v>16488.096096734134</v>
      </c>
      <c r="AH34" s="136">
        <f t="shared" si="58"/>
        <v>51.610116753531877</v>
      </c>
      <c r="AI34" s="149">
        <f>IFERROR(s_RadSpec!$M$14*AI14,".")*$B$34</f>
        <v>6.7155000000000001E-3</v>
      </c>
      <c r="AJ34" s="149">
        <f>IFERROR(s_RadSpec!$L$14*AJ14,".")*$B$34</f>
        <v>4.2289843749999997E-3</v>
      </c>
      <c r="AK34" s="149">
        <f>IFERROR(s_RadSpec!$Q$14*AK14,".")*$B$34</f>
        <v>0.47616940639269406</v>
      </c>
      <c r="AL34" s="149">
        <f>s_b2w!AB34</f>
        <v>1.5162454084041792E-3</v>
      </c>
      <c r="AM34" s="150">
        <f t="shared" si="59"/>
        <v>0.48863013617609824</v>
      </c>
      <c r="AN34" s="136">
        <f t="shared" si="60"/>
        <v>676.86018099241232</v>
      </c>
      <c r="AO34" s="149">
        <f>IFERROR(s_RadSpec!$J$14*AO14,".")*$B$33</f>
        <v>3.6935250000000003E-2</v>
      </c>
      <c r="AP34" s="141"/>
    </row>
    <row r="35" spans="1:42" x14ac:dyDescent="0.25">
      <c r="A35" s="148" t="s">
        <v>1065</v>
      </c>
      <c r="B35" s="141">
        <v>1</v>
      </c>
      <c r="C35" s="136">
        <f>IFERROR(C30/$B35,0)</f>
        <v>7420.7262367938902</v>
      </c>
      <c r="D35" s="136">
        <f>IFERROR(D30/$B35,0)</f>
        <v>405404.32754304621</v>
      </c>
      <c r="E35" s="136">
        <f>IFERROR(E30/$B35,0)</f>
        <v>8023164.3923083842</v>
      </c>
      <c r="F35" s="136">
        <f>s_b2s!C35</f>
        <v>309.56453441769975</v>
      </c>
      <c r="G35" s="136">
        <f>IFERROR(G30/$B35,0)</f>
        <v>4.9471508245292597</v>
      </c>
      <c r="H35" s="136">
        <f t="shared" si="51"/>
        <v>296.93916140931185</v>
      </c>
      <c r="I35" s="149">
        <f>IFERROR(s_RadSpec!$I$30*I30,".")*$B$35</f>
        <v>3.3689424999999999E-3</v>
      </c>
      <c r="J35" s="149">
        <f>IFERROR(s_RadSpec!$L$30*J30,".")*B35</f>
        <v>6.1666830621943665E-5</v>
      </c>
      <c r="K35" s="149">
        <f>IFERROR(s_RadSpec!$K$30*K30,".")*B35</f>
        <v>3.115977534246575E-6</v>
      </c>
      <c r="L35" s="149">
        <f>s_b2s!AB35</f>
        <v>8.0758605138749995E-2</v>
      </c>
      <c r="M35" s="150">
        <f t="shared" si="52"/>
        <v>8.4192330446906188E-2</v>
      </c>
      <c r="N35" s="136">
        <f>IFERROR(N30/$B35,0)</f>
        <v>8023164.3923083842</v>
      </c>
      <c r="O35" s="136">
        <f>IFERROR(O30/$B35,0)</f>
        <v>133366725.76314768</v>
      </c>
      <c r="P35" s="136">
        <f>IFERROR(P30/$B35,0)</f>
        <v>19854192.604176376</v>
      </c>
      <c r="Q35" s="136">
        <f>IFERROR(Q30/$B35,0)</f>
        <v>10897565.971045399</v>
      </c>
      <c r="R35" s="136">
        <f>IFERROR(R30/$B35,0)</f>
        <v>1590184250.0745533</v>
      </c>
      <c r="S35" s="149">
        <f>IFERROR(s_RadSpec!$K$30*S30,".")*$B$35</f>
        <v>3.115977534246575E-6</v>
      </c>
      <c r="T35" s="149">
        <f>IFERROR(s_RadSpec!$R$30*T30,".")*$B$35</f>
        <v>1.8745305365296805E-7</v>
      </c>
      <c r="U35" s="149">
        <f>IFERROR(s_RadSpec!$S$30*U30,".")*$B$35</f>
        <v>1.2591798870099202E-6</v>
      </c>
      <c r="V35" s="149">
        <f>IFERROR(s_RadSpec!$T$30*V30,".")*$B$35</f>
        <v>2.294090264415418E-6</v>
      </c>
      <c r="W35" s="149">
        <f>IFERROR(s_RadSpec!$P$30*W30,".")*$B$35</f>
        <v>1.5721448630136989E-8</v>
      </c>
      <c r="X35" s="136">
        <f>IFERROR(X30/$B35,0)</f>
        <v>1.3085838328556778</v>
      </c>
      <c r="Y35" s="136">
        <f t="shared" ref="Y35" si="61">IFERROR(Y30/$B35,0)</f>
        <v>40.218760674499833</v>
      </c>
      <c r="Z35" s="136">
        <f t="shared" si="47"/>
        <v>1.2673485535975024</v>
      </c>
      <c r="AA35" s="149">
        <f>IFERROR(s_RadSpec!$L$30*AA30,".")*$B$35</f>
        <v>19.104622395833328</v>
      </c>
      <c r="AB35" s="149">
        <f>IFERROR(s_RadSpec!$O$30*AB30,".")*$B$35</f>
        <v>0.6216004566210046</v>
      </c>
      <c r="AC35" s="150">
        <f t="shared" si="56"/>
        <v>19.726222852454331</v>
      </c>
      <c r="AD35" s="136">
        <f>IFERROR(AD30/$B35,0)</f>
        <v>81.627988604732792</v>
      </c>
      <c r="AE35" s="136">
        <f t="shared" ref="AE35:AF35" si="62">IFERROR(AE30/$B35,0)</f>
        <v>0</v>
      </c>
      <c r="AF35" s="136">
        <f t="shared" si="62"/>
        <v>45353.070547840245</v>
      </c>
      <c r="AG35" s="136">
        <f>IFERROR(AG30/$B35,0)</f>
        <v>405.84399467374664</v>
      </c>
      <c r="AH35" s="136">
        <f>IFERROR(AH30/$B35,0)</f>
        <v>67.857566035609509</v>
      </c>
      <c r="AI35" s="149">
        <f>IFERROR(s_RadSpec!$M$30*AI30,".")*$B$35</f>
        <v>0.30626749999999997</v>
      </c>
      <c r="AJ35" s="149">
        <f>IFERROR(s_RadSpec!$L$30*AJ30,".")*$B$35</f>
        <v>9.5523111979166639</v>
      </c>
      <c r="AK35" s="149">
        <f>IFERROR(s_RadSpec!$Q$30*AK30,".")*$B$35</f>
        <v>5.5123059360730588E-4</v>
      </c>
      <c r="AL35" s="149">
        <f>s_b2w!AB35</f>
        <v>6.1600024462841234E-2</v>
      </c>
      <c r="AM35" s="150">
        <f t="shared" si="59"/>
        <v>9.9207299529731134</v>
      </c>
      <c r="AN35" s="136">
        <f>IFERROR(AN30/$B35,0)</f>
        <v>14.841452473587779</v>
      </c>
      <c r="AO35" s="149">
        <f>IFERROR(s_RadSpec!$J$30*AO30,".")*$B$35</f>
        <v>1.6844712500000001</v>
      </c>
      <c r="AP35" s="141"/>
    </row>
    <row r="36" spans="1:42" x14ac:dyDescent="0.25">
      <c r="A36" s="148" t="s">
        <v>1066</v>
      </c>
      <c r="B36" s="141">
        <v>1</v>
      </c>
      <c r="C36" s="136">
        <f>IFERROR(C26/$B36,0)</f>
        <v>733.54305329226952</v>
      </c>
      <c r="D36" s="136">
        <f>IFERROR(D26/$B36,0)</f>
        <v>55306.815545607613</v>
      </c>
      <c r="E36" s="136">
        <f>IFERROR(E26/$B36,0)</f>
        <v>26940.225201737314</v>
      </c>
      <c r="F36" s="136">
        <f>s_b2s!C36</f>
        <v>33.913224840141915</v>
      </c>
      <c r="G36" s="136">
        <f>IFERROR(G26/$B36,0)</f>
        <v>0.48902870219484634</v>
      </c>
      <c r="H36" s="136">
        <f t="shared" si="51"/>
        <v>32.35673328075876</v>
      </c>
      <c r="I36" s="149">
        <f>IFERROR(s_RadSpec!$I$26*I26,".")*$B$37</f>
        <v>3.4081162500000005E-2</v>
      </c>
      <c r="J36" s="149">
        <f>IFERROR(s_RadSpec!$L$26*J26,".")*B37</f>
        <v>4.5202385552978126E-4</v>
      </c>
      <c r="K36" s="149">
        <f>IFERROR(s_RadSpec!$K$26*K26,".")*B37</f>
        <v>9.2798036441016124E-4</v>
      </c>
      <c r="L36" s="149">
        <f>s_b2s!AB36</f>
        <v>0.73717554487500014</v>
      </c>
      <c r="M36" s="150">
        <f t="shared" si="52"/>
        <v>0.77263671159494007</v>
      </c>
      <c r="N36" s="136">
        <f>IFERROR(N26/$B36,0)</f>
        <v>26940.225201737314</v>
      </c>
      <c r="O36" s="136">
        <f>IFERROR(O26/$B36,0)</f>
        <v>165025.56920742252</v>
      </c>
      <c r="P36" s="136">
        <f>IFERROR(P26/$B36,0)</f>
        <v>46793.433472121607</v>
      </c>
      <c r="Q36" s="136">
        <f>IFERROR(Q26/$B36,0)</f>
        <v>30809.527091659795</v>
      </c>
      <c r="R36" s="136">
        <f>IFERROR(R26/$B36,0)</f>
        <v>910299.09613230173</v>
      </c>
      <c r="S36" s="149">
        <f>IFERROR(s_RadSpec!$K$26*S26,".")*$B$37</f>
        <v>9.2798036441016124E-4</v>
      </c>
      <c r="T36" s="149">
        <f>IFERROR(s_RadSpec!$R$26*T26,".")*$B$37</f>
        <v>1.5149167562377689E-4</v>
      </c>
      <c r="U36" s="149">
        <f>IFERROR(s_RadSpec!$S$26*U26,".")*$B$37</f>
        <v>5.3426299685605232E-4</v>
      </c>
      <c r="V36" s="149">
        <f>IFERROR(s_RadSpec!$T$26*V26,".")*$B$37</f>
        <v>8.114373169579598E-4</v>
      </c>
      <c r="W36" s="149">
        <f>IFERROR(s_RadSpec!$P$26*W26,".")*$B$37</f>
        <v>2.746350084957849E-5</v>
      </c>
      <c r="X36" s="136">
        <f>IFERROR(X26/$B36,0)</f>
        <v>0.17852203282666859</v>
      </c>
      <c r="Y36" s="136">
        <f t="shared" ref="Y36" si="63">IFERROR(Y26/$B36,0)</f>
        <v>0.12840929612942717</v>
      </c>
      <c r="Z36" s="136">
        <f t="shared" si="47"/>
        <v>7.4687353216217625E-2</v>
      </c>
      <c r="AA36" s="149">
        <f>IFERROR(s_RadSpec!$L$26*AA26,".")*$B$37</f>
        <v>140.03873697916663</v>
      </c>
      <c r="AB36" s="149">
        <f>IFERROR(s_RadSpec!$O$26*AB26,".")*$B$37</f>
        <v>194.68995433789956</v>
      </c>
      <c r="AC36" s="150">
        <f t="shared" si="56"/>
        <v>334.72869131706619</v>
      </c>
      <c r="AD36" s="136">
        <f>IFERROR(AD26/$B36,0)</f>
        <v>8.0689735862149643</v>
      </c>
      <c r="AE36" s="136">
        <f t="shared" ref="AE36:AF36" si="64">IFERROR(AE26/$B36,0)</f>
        <v>0</v>
      </c>
      <c r="AF36" s="136">
        <f t="shared" si="64"/>
        <v>144.02664295597913</v>
      </c>
      <c r="AG36" s="136">
        <f>IFERROR(AG26/$B36,0)</f>
        <v>41.165374407185823</v>
      </c>
      <c r="AH36" s="136">
        <f>IFERROR(AH26/$B36,0)</f>
        <v>6.444672599984739</v>
      </c>
      <c r="AI36" s="149">
        <f>IFERROR(s_RadSpec!$M$26*AI26,".")*$B$37</f>
        <v>3.0982875000000001</v>
      </c>
      <c r="AJ36" s="149">
        <f>IFERROR(s_RadSpec!$L$26*AJ26,".")*$B$37</f>
        <v>70.019368489583314</v>
      </c>
      <c r="AK36" s="149">
        <f>IFERROR(s_RadSpec!$Q$26*AK26,".")*$B$37</f>
        <v>0.17357899543378993</v>
      </c>
      <c r="AL36" s="149">
        <f>s_b2w!AB36</f>
        <v>0.60730651330201446</v>
      </c>
      <c r="AM36" s="150">
        <f t="shared" si="59"/>
        <v>73.898541498319119</v>
      </c>
      <c r="AN36" s="136">
        <f>IFERROR(AN26/$B36,0)</f>
        <v>1.4670861065845391</v>
      </c>
      <c r="AO36" s="149">
        <f>IFERROR(s_RadSpec!$J$26*AO26,".")*$B$37</f>
        <v>17.040581250000002</v>
      </c>
      <c r="AP36" s="141"/>
    </row>
    <row r="37" spans="1:42" x14ac:dyDescent="0.25">
      <c r="A37" s="148" t="s">
        <v>1067</v>
      </c>
      <c r="B37" s="141">
        <v>1</v>
      </c>
      <c r="C37" s="136">
        <f>IFERROR(C22/$B37,0)</f>
        <v>1877.0072246008076</v>
      </c>
      <c r="D37" s="136">
        <f>IFERROR(D22/$B37,0)</f>
        <v>496511.83991597802</v>
      </c>
      <c r="E37" s="136">
        <f>IFERROR(E22/$B37,0)</f>
        <v>476506622885.85052</v>
      </c>
      <c r="F37" s="136">
        <f>s_b2s!C37</f>
        <v>54.907334345496793</v>
      </c>
      <c r="G37" s="136">
        <f>IFERROR(G22/$B37,0)</f>
        <v>1.2513381497338718</v>
      </c>
      <c r="H37" s="136">
        <f t="shared" si="51"/>
        <v>53.341070753614034</v>
      </c>
      <c r="I37" s="149">
        <f>IFERROR(s_RadSpec!$I$22*I22,".")*$B$37</f>
        <v>1.3319075000000001E-2</v>
      </c>
      <c r="J37" s="149">
        <f>IFERROR(s_RadSpec!$L$22*J22,".")*B37</f>
        <v>5.0351266556363712E-5</v>
      </c>
      <c r="K37" s="149">
        <f>IFERROR(s_RadSpec!$K$22*K22,".")*B37</f>
        <v>5.2465167952112333E-11</v>
      </c>
      <c r="L37" s="149">
        <f>s_b2s!AB37</f>
        <v>0.45531257887500004</v>
      </c>
      <c r="M37" s="150">
        <f t="shared" si="52"/>
        <v>0.46868200519402159</v>
      </c>
      <c r="N37" s="136">
        <f>IFERROR(N22/$B37,0)</f>
        <v>476506622885.85052</v>
      </c>
      <c r="O37" s="136">
        <f>IFERROR(O22/$B37,0)</f>
        <v>601947684550.59961</v>
      </c>
      <c r="P37" s="136">
        <f>IFERROR(P22/$B37,0)</f>
        <v>336863417081.2663</v>
      </c>
      <c r="Q37" s="136">
        <f>IFERROR(Q22/$B37,0)</f>
        <v>345673075927.52112</v>
      </c>
      <c r="R37" s="136">
        <f>IFERROR(R22/$B37,0)</f>
        <v>1699606565948.9568</v>
      </c>
      <c r="S37" s="149">
        <f>IFERROR(s_RadSpec!$K$22*S22,".")*$B$37</f>
        <v>5.2465167952112333E-11</v>
      </c>
      <c r="T37" s="149">
        <f>IFERROR(s_RadSpec!$R$22*T22,".")*$B$37</f>
        <v>4.1531848434078489E-11</v>
      </c>
      <c r="U37" s="149">
        <f>IFERROR(s_RadSpec!$S$22*U22,".")*$B$37</f>
        <v>7.4214054516845629E-11</v>
      </c>
      <c r="V37" s="149">
        <f>IFERROR(s_RadSpec!$T$22*V22,".")*$B$37</f>
        <v>7.2322670583814479E-11</v>
      </c>
      <c r="W37" s="149">
        <f>IFERROR(s_RadSpec!$P$22*W22,".")*$B$37</f>
        <v>1.4709286549526549E-11</v>
      </c>
      <c r="X37" s="136">
        <f>IFERROR(X22/$B37,0)</f>
        <v>1.6026650985033866</v>
      </c>
      <c r="Y37" s="136">
        <f t="shared" ref="Y37" si="65">IFERROR(Y22/$B37,0)</f>
        <v>1.7259873002012078</v>
      </c>
      <c r="Z37" s="136">
        <f t="shared" si="47"/>
        <v>0.83102086825559562</v>
      </c>
      <c r="AA37" s="149">
        <f>IFERROR(s_RadSpec!$L$22*AA22,".")*$B$37</f>
        <v>15.59901692708333</v>
      </c>
      <c r="AB37" s="149">
        <f>IFERROR(s_RadSpec!$O$22*AB22,".")*$B$37</f>
        <v>14.484463470319636</v>
      </c>
      <c r="AC37" s="150">
        <f t="shared" si="56"/>
        <v>30.083480397402965</v>
      </c>
      <c r="AD37" s="136">
        <f>IFERROR(AD22/$B37,0)</f>
        <v>20.64707947060888</v>
      </c>
      <c r="AE37" s="136">
        <f t="shared" ref="AE37:AF37" si="66">IFERROR(AE22/$B37,0)</f>
        <v>0</v>
      </c>
      <c r="AF37" s="136">
        <f t="shared" si="66"/>
        <v>1962.7940292343383</v>
      </c>
      <c r="AG37" s="136">
        <f>IFERROR(AG22/$B37,0)</f>
        <v>92.399201466289966</v>
      </c>
      <c r="AH37" s="136">
        <f>IFERROR(AH22/$B37,0)</f>
        <v>16.732178118704127</v>
      </c>
      <c r="AI37" s="149">
        <f>IFERROR(s_RadSpec!$M$22*AI22,".")*$B$37</f>
        <v>1.210825</v>
      </c>
      <c r="AJ37" s="149">
        <f>IFERROR(s_RadSpec!$L$22*AJ22,".")*$B$37</f>
        <v>7.7995084635416649</v>
      </c>
      <c r="AK37" s="149">
        <f>IFERROR(s_RadSpec!$Q$22*AK22,".")*$B$37</f>
        <v>1.2736945205479452E-2</v>
      </c>
      <c r="AL37" s="149">
        <f>s_b2w!AB37</f>
        <v>0.27056510882424412</v>
      </c>
      <c r="AM37" s="150">
        <f t="shared" si="59"/>
        <v>9.2936355175713867</v>
      </c>
      <c r="AN37" s="136">
        <f>IFERROR(AN22/$B37,0)</f>
        <v>3.7540144492016148</v>
      </c>
      <c r="AO37" s="149">
        <f>IFERROR(s_RadSpec!$J$22*AO22,".")*$B$37</f>
        <v>6.6595375000000008</v>
      </c>
      <c r="AP37" s="141"/>
    </row>
    <row r="38" spans="1:42" x14ac:dyDescent="0.25">
      <c r="A38" s="148" t="s">
        <v>1068</v>
      </c>
      <c r="B38" s="141">
        <v>1</v>
      </c>
      <c r="C38" s="136">
        <f>IFERROR(C2/$B38,0)</f>
        <v>8541.6389953153375</v>
      </c>
      <c r="D38" s="136">
        <f>IFERROR(D2/$B38,0)</f>
        <v>454865.42197095585</v>
      </c>
      <c r="E38" s="136">
        <f>IFERROR(E2/$B38,0)</f>
        <v>88850.25206824101</v>
      </c>
      <c r="F38" s="136">
        <f>s_b2s!C38</f>
        <v>392.71903426737191</v>
      </c>
      <c r="G38" s="136">
        <f>IFERROR(G2/$B38,0)</f>
        <v>5.6944259968768911</v>
      </c>
      <c r="H38" s="136">
        <f t="shared" si="51"/>
        <v>373.56970335046645</v>
      </c>
      <c r="I38" s="149">
        <f>IFERROR(s_RadSpec!$I$2*I2,".")*$B$38</f>
        <v>2.9268387500000002E-3</v>
      </c>
      <c r="J38" s="149">
        <f>IFERROR(s_RadSpec!$L$2*J2,".")*B38</f>
        <v>5.4961311175674073E-5</v>
      </c>
      <c r="K38" s="149">
        <f>IFERROR(s_RadSpec!$K$2*K2,".")*B38</f>
        <v>2.8137230247584304E-4</v>
      </c>
      <c r="L38" s="149">
        <f>s_b2s!AB38</f>
        <v>6.3658742812500002E-2</v>
      </c>
      <c r="M38" s="150">
        <f t="shared" si="52"/>
        <v>6.6921915176151522E-2</v>
      </c>
      <c r="N38" s="136">
        <f>IFERROR(N2/$B38,0)</f>
        <v>88850.25206824101</v>
      </c>
      <c r="O38" s="136">
        <f>IFERROR(O2/$B38,0)</f>
        <v>650970.7870362656</v>
      </c>
      <c r="P38" s="136">
        <f>IFERROR(P2/$B38,0)</f>
        <v>169267.1559753856</v>
      </c>
      <c r="Q38" s="136">
        <f>IFERROR(Q2/$B38,0)</f>
        <v>104372.64480404025</v>
      </c>
      <c r="R38" s="136">
        <f>IFERROR(R2/$B38,0)</f>
        <v>4870344.0898505608</v>
      </c>
      <c r="S38" s="149">
        <f>IFERROR(s_RadSpec!$K$2*S2,".")*$B$38</f>
        <v>2.8137230247584304E-4</v>
      </c>
      <c r="T38" s="149">
        <f>IFERROR(s_RadSpec!$R$2*T2,".")*$B$38</f>
        <v>3.8404181105913808E-5</v>
      </c>
      <c r="U38" s="149">
        <f>IFERROR(s_RadSpec!$S$2*U2,".")*$B$38</f>
        <v>1.4769551633298214E-4</v>
      </c>
      <c r="V38" s="149">
        <f>IFERROR(s_RadSpec!$T$2*V2,".")*$B$38</f>
        <v>2.3952636293674007E-4</v>
      </c>
      <c r="W38" s="149">
        <f>IFERROR(s_RadSpec!$P$2*W2,".")*$B$38</f>
        <v>5.1331075461584266E-6</v>
      </c>
      <c r="X38" s="136">
        <f>IFERROR(X2/$B38,0)</f>
        <v>1.4682367623544095</v>
      </c>
      <c r="Y38" s="136">
        <f t="shared" ref="Y38" si="67">IFERROR(Y2/$B38,0)</f>
        <v>0.75321353913374245</v>
      </c>
      <c r="Z38" s="136">
        <f t="shared" si="47"/>
        <v>0.49782604063588171</v>
      </c>
      <c r="AA38" s="149">
        <f>IFERROR(s_RadSpec!$L$2*AA2,".")*$B$38</f>
        <v>17.027226562499997</v>
      </c>
      <c r="AB38" s="149">
        <f>IFERROR(s_RadSpec!$O$2*AB2,".")*$B$38</f>
        <v>33.191118721461187</v>
      </c>
      <c r="AC38" s="150">
        <f t="shared" si="56"/>
        <v>50.218345283961185</v>
      </c>
      <c r="AD38" s="136">
        <f>IFERROR(AD2/$B38,0)</f>
        <v>93.958028948468709</v>
      </c>
      <c r="AE38" s="136">
        <f t="shared" ref="AE38:AF38" si="68">IFERROR(AE2/$B38,0)</f>
        <v>0</v>
      </c>
      <c r="AF38" s="136">
        <f t="shared" si="68"/>
        <v>845.87076021765529</v>
      </c>
      <c r="AG38" s="136">
        <f>IFERROR(AG2/$B38,0)</f>
        <v>478.70386553435469</v>
      </c>
      <c r="AH38" s="136">
        <f>IFERROR(AH2/$B38,0)</f>
        <v>71.868830400184791</v>
      </c>
      <c r="AI38" s="149">
        <f>IFERROR(s_RadSpec!$M$2*AI2,".")*$B$38</f>
        <v>0.26607625000000001</v>
      </c>
      <c r="AJ38" s="149">
        <f>IFERROR(s_RadSpec!$L$2*AJ2,".")*$B$38</f>
        <v>8.5136132812499987</v>
      </c>
      <c r="AK38" s="149">
        <f>IFERROR(s_RadSpec!$Q$2*AK2,".")*$B$38</f>
        <v>2.9555342465753424E-2</v>
      </c>
      <c r="AL38" s="149">
        <f>s_b2w!AB38</f>
        <v>5.2224353718334129E-2</v>
      </c>
      <c r="AM38" s="150">
        <f t="shared" si="59"/>
        <v>8.8614692274340854</v>
      </c>
      <c r="AN38" s="136">
        <f>IFERROR(AN2/$B38,0)</f>
        <v>17.083277990630673</v>
      </c>
      <c r="AO38" s="149">
        <f>IFERROR(s_RadSpec!$J$2*AO2,".")*$B$38</f>
        <v>1.463419375</v>
      </c>
      <c r="AP38" s="141"/>
    </row>
    <row r="39" spans="1:42" x14ac:dyDescent="0.25">
      <c r="A39" s="148" t="s">
        <v>1069</v>
      </c>
      <c r="B39" s="141">
        <v>1</v>
      </c>
      <c r="C39" s="136">
        <f>IFERROR(C11/$B39,0)</f>
        <v>0</v>
      </c>
      <c r="D39" s="136">
        <f>IFERROR(D11/$B39,0)</f>
        <v>0</v>
      </c>
      <c r="E39" s="136">
        <f>IFERROR(E11/$B39,0)</f>
        <v>31027.733139929096</v>
      </c>
      <c r="F39" s="136">
        <f>s_b2s!C39</f>
        <v>0</v>
      </c>
      <c r="G39" s="136">
        <f>IFERROR(G11/$B39,0)</f>
        <v>0</v>
      </c>
      <c r="H39" s="136">
        <f t="shared" si="51"/>
        <v>31027.733139929096</v>
      </c>
      <c r="I39" s="149">
        <f>IFERROR(s_RadSpec!$I$11*I11,".")*$B$39</f>
        <v>0</v>
      </c>
      <c r="J39" s="149">
        <f>IFERROR(s_RadSpec!$L$11*J11,".")*B39</f>
        <v>0</v>
      </c>
      <c r="K39" s="149">
        <f>IFERROR(s_RadSpec!$K$11*K11,".")*B39</f>
        <v>8.0573079210314257E-4</v>
      </c>
      <c r="L39" s="149">
        <f>s_b2s!AB39</f>
        <v>0</v>
      </c>
      <c r="M39" s="150">
        <f t="shared" si="52"/>
        <v>8.0573079210314257E-4</v>
      </c>
      <c r="N39" s="136">
        <f>IFERROR(N11/$B39,0)</f>
        <v>31027.733139929096</v>
      </c>
      <c r="O39" s="136">
        <f>IFERROR(O11/$B39,0)</f>
        <v>163699.53532909328</v>
      </c>
      <c r="P39" s="136">
        <f>IFERROR(P11/$B39,0)</f>
        <v>45449.544173520189</v>
      </c>
      <c r="Q39" s="136">
        <f>IFERROR(Q11/$B39,0)</f>
        <v>30166.368999639955</v>
      </c>
      <c r="R39" s="136">
        <f>IFERROR(R11/$B39,0)</f>
        <v>309560.2305724661</v>
      </c>
      <c r="S39" s="149">
        <f>IFERROR(s_RadSpec!$K$11*S11,".")*$B$39</f>
        <v>8.0573079210314257E-4</v>
      </c>
      <c r="T39" s="149">
        <f>IFERROR(s_RadSpec!$R$11*T11,".")*$B$39</f>
        <v>1.5271882079409245E-4</v>
      </c>
      <c r="U39" s="149">
        <f>IFERROR(s_RadSpec!$S$11*U11,".")*$B$39</f>
        <v>5.5006052215954889E-4</v>
      </c>
      <c r="V39" s="149">
        <f>IFERROR(s_RadSpec!$T$11*V11,".")*$B$39</f>
        <v>8.2873745926459951E-4</v>
      </c>
      <c r="W39" s="149">
        <f>IFERROR(s_RadSpec!$P$11*W11,".")*$B$39</f>
        <v>8.0759727933293616E-5</v>
      </c>
      <c r="X39" s="136">
        <f>IFERROR(X11/$B39,0)</f>
        <v>0</v>
      </c>
      <c r="Y39" s="136">
        <f t="shared" ref="Y39" si="69">IFERROR(Y11/$B39,0)</f>
        <v>0.34105509051975863</v>
      </c>
      <c r="Z39" s="136">
        <f>IFERROR(IF(AND(X39&lt;&gt;0,Y39&lt;&gt;0),1/((1/X39)+(1/Y39)),IF(AND(X39&lt;&gt;0,Y39=0),1/((1/X39)),IF(AND(X39=0,Y39&lt;&gt;0),1/((1/Y39)),IF(AND(X39=".",Y39="."),".")))),".")</f>
        <v>0.34105509051975863</v>
      </c>
      <c r="AA39" s="149">
        <f>IFERROR(s_RadSpec!$L$11*AA11,".")*$B$39</f>
        <v>0</v>
      </c>
      <c r="AB39" s="149">
        <f>IFERROR(s_RadSpec!$O$11*AB11,".")*$B$39</f>
        <v>73.301940639269404</v>
      </c>
      <c r="AC39" s="150">
        <f t="shared" si="56"/>
        <v>73.301940639269404</v>
      </c>
      <c r="AD39" s="136">
        <f>IFERROR(AD11/$B39,0)</f>
        <v>0</v>
      </c>
      <c r="AE39" s="136">
        <f t="shared" ref="AE39:AF39" si="70">IFERROR(AE11/$B39,0)</f>
        <v>0</v>
      </c>
      <c r="AF39" s="136">
        <f t="shared" si="70"/>
        <v>387.56260286336203</v>
      </c>
      <c r="AG39" s="136">
        <f>IFERROR(AG11/$B39,0)</f>
        <v>0</v>
      </c>
      <c r="AH39" s="136">
        <f>IFERROR(AH11/$B39,0)</f>
        <v>387.56260286336203</v>
      </c>
      <c r="AI39" s="149">
        <f>IFERROR(s_RadSpec!$M$11*AI11,".")*$B$39</f>
        <v>0</v>
      </c>
      <c r="AJ39" s="149">
        <f>IFERROR(s_RadSpec!$L$11*AJ11,".")*$B$39</f>
        <v>0</v>
      </c>
      <c r="AK39" s="149">
        <f>IFERROR(s_RadSpec!$Q$11*AK11,".")*$B$39</f>
        <v>6.4505707762557082E-2</v>
      </c>
      <c r="AL39" s="149">
        <f>s_b2w!AB39</f>
        <v>0</v>
      </c>
      <c r="AM39" s="150">
        <f t="shared" si="59"/>
        <v>6.4505707762557082E-2</v>
      </c>
      <c r="AN39" s="136">
        <f>IFERROR(AN11/$B39,0)</f>
        <v>0</v>
      </c>
      <c r="AO39" s="149">
        <f>IFERROR(s_RadSpec!$J$11*AO11,".")*$B$39</f>
        <v>0</v>
      </c>
      <c r="AP39" s="141"/>
    </row>
    <row r="40" spans="1:42" x14ac:dyDescent="0.25">
      <c r="A40" s="148" t="s">
        <v>1070</v>
      </c>
      <c r="B40" s="141">
        <v>1</v>
      </c>
      <c r="C40" s="136">
        <f>IFERROR(C4/$B40,0)</f>
        <v>0</v>
      </c>
      <c r="D40" s="136">
        <f>IFERROR(D4/$B40,0)</f>
        <v>0</v>
      </c>
      <c r="E40" s="136">
        <f>IFERROR(E4/$B40,0)</f>
        <v>1933982.7238572233</v>
      </c>
      <c r="F40" s="136">
        <f>s_b2s!C40</f>
        <v>0</v>
      </c>
      <c r="G40" s="136">
        <f>IFERROR(G4/$B40,0)</f>
        <v>0</v>
      </c>
      <c r="H40" s="136">
        <f t="shared" si="51"/>
        <v>1933982.7238572233</v>
      </c>
      <c r="I40" s="149">
        <f>IFERROR(s_RadSpec!$I$4*I4,".")*$B$40</f>
        <v>0</v>
      </c>
      <c r="J40" s="149">
        <f>IFERROR(s_RadSpec!$L$4*J4,".")*B40</f>
        <v>0</v>
      </c>
      <c r="K40" s="149">
        <f>IFERROR(s_RadSpec!$K$4*K4,".")*B40</f>
        <v>1.2926692514677099E-5</v>
      </c>
      <c r="L40" s="149">
        <f>s_b2s!AB40</f>
        <v>0</v>
      </c>
      <c r="M40" s="150">
        <f t="shared" si="52"/>
        <v>1.2926692514677099E-5</v>
      </c>
      <c r="N40" s="136">
        <f>IFERROR(N4/$B40,0)</f>
        <v>1933982.7238572233</v>
      </c>
      <c r="O40" s="136">
        <f>IFERROR(O4/$B40,0)</f>
        <v>13917104.388196468</v>
      </c>
      <c r="P40" s="136">
        <f>IFERROR(P4/$B40,0)</f>
        <v>3586213.9087748304</v>
      </c>
      <c r="Q40" s="136">
        <f>IFERROR(Q4/$B40,0)</f>
        <v>2112723.9303408028</v>
      </c>
      <c r="R40" s="136">
        <f>IFERROR(R4/$B40,0)</f>
        <v>26053059.324318554</v>
      </c>
      <c r="S40" s="149">
        <f>IFERROR(s_RadSpec!$K$4*S4,".")*$B$40</f>
        <v>1.2926692514677099E-5</v>
      </c>
      <c r="T40" s="149">
        <f>IFERROR(s_RadSpec!$R$4*T4,".")*$B$40</f>
        <v>1.7963506849315064E-6</v>
      </c>
      <c r="U40" s="149">
        <f>IFERROR(s_RadSpec!$S$4*U4,".")*$B$40</f>
        <v>6.9711402152641895E-6</v>
      </c>
      <c r="V40" s="149">
        <f>IFERROR(s_RadSpec!$T$4*V4,".")*$B$40</f>
        <v>1.1833065191800644E-5</v>
      </c>
      <c r="W40" s="149">
        <f>IFERROR(s_RadSpec!$P$4*W4,".")*$B$40</f>
        <v>9.5958020471954313E-7</v>
      </c>
      <c r="X40" s="136">
        <f>IFERROR(X4/$B40,0)</f>
        <v>0</v>
      </c>
      <c r="Y40" s="136">
        <f t="shared" ref="Y40" si="71">IFERROR(Y4/$B40,0)</f>
        <v>40.218760674499833</v>
      </c>
      <c r="Z40" s="136">
        <f t="shared" ref="Z40:Z44" si="72">IFERROR(IF(AND(X40&lt;&gt;0,Y40&lt;&gt;0),1/((1/X40)+(1/Y40)),IF(AND(X40&lt;&gt;0,Y40=0),1/((1/X40)),IF(AND(X40=0,Y40&lt;&gt;0),1/((1/Y40)),IF(AND(X40=".",Y40="."),".")))),".")</f>
        <v>40.218760674499833</v>
      </c>
      <c r="AA40" s="149">
        <f>IFERROR(s_RadSpec!$L$4*AA4,".")*$B$40</f>
        <v>0</v>
      </c>
      <c r="AB40" s="149">
        <f>IFERROR(s_RadSpec!$O$4*AB4,".")*$B$40</f>
        <v>0.6216004566210046</v>
      </c>
      <c r="AC40" s="150">
        <f t="shared" si="56"/>
        <v>0.6216004566210046</v>
      </c>
      <c r="AD40" s="136">
        <f>IFERROR(AD4/$B40,0)</f>
        <v>0</v>
      </c>
      <c r="AE40" s="136">
        <f t="shared" ref="AE40:AF40" si="73">IFERROR(AE4/$B40,0)</f>
        <v>0</v>
      </c>
      <c r="AF40" s="136">
        <f t="shared" si="73"/>
        <v>46138.405102781202</v>
      </c>
      <c r="AG40" s="136">
        <f>IFERROR(AG4/$B40,0)</f>
        <v>0</v>
      </c>
      <c r="AH40" s="136">
        <f>IFERROR(AH4/$B40,0)</f>
        <v>46138.405102781202</v>
      </c>
      <c r="AI40" s="149">
        <f>IFERROR(s_RadSpec!$M$4*AI4,".")*$B$40</f>
        <v>0</v>
      </c>
      <c r="AJ40" s="149">
        <f>IFERROR(s_RadSpec!$L$4*AJ4,".")*$B$40</f>
        <v>0</v>
      </c>
      <c r="AK40" s="149">
        <f>IFERROR(s_RadSpec!$Q$4*AK4,".")*$B$40</f>
        <v>5.4184794520547935E-4</v>
      </c>
      <c r="AL40" s="149">
        <f>s_b2w!AB40</f>
        <v>0</v>
      </c>
      <c r="AM40" s="150">
        <f t="shared" si="59"/>
        <v>5.4184794520547935E-4</v>
      </c>
      <c r="AN40" s="136">
        <f>IFERROR(AN4/$B40,0)</f>
        <v>0</v>
      </c>
      <c r="AO40" s="149">
        <f>IFERROR(s_RadSpec!$J$4*AO4,".")*$B$40</f>
        <v>0</v>
      </c>
      <c r="AP40" s="141"/>
    </row>
    <row r="41" spans="1:42" x14ac:dyDescent="0.25">
      <c r="A41" s="148" t="s">
        <v>1071</v>
      </c>
      <c r="B41" s="151">
        <v>0.99987999999999999</v>
      </c>
      <c r="C41" s="136">
        <f>IFERROR(C8/$B41,0)</f>
        <v>1667094.5269215596</v>
      </c>
      <c r="D41" s="136">
        <f>IFERROR(D8/$B41,0)</f>
        <v>117638470.8050424</v>
      </c>
      <c r="E41" s="136">
        <f>IFERROR(E8/$B41,0)</f>
        <v>2133.72781824508</v>
      </c>
      <c r="F41" s="136">
        <f>s_b2s!C41</f>
        <v>9792.0383372778833</v>
      </c>
      <c r="G41" s="136">
        <f>IFERROR(G8/$B41,0)</f>
        <v>1111.3963512810399</v>
      </c>
      <c r="H41" s="136">
        <f t="shared" si="51"/>
        <v>1750.1013881333752</v>
      </c>
      <c r="I41" s="149">
        <f>IFERROR(s_RadSpec!$I$8*I8,".")*$B$41</f>
        <v>1.4996150246E-5</v>
      </c>
      <c r="J41" s="149">
        <f>IFERROR(s_RadSpec!$L$8*J8,".")*B41</f>
        <v>2.1251551324083016E-7</v>
      </c>
      <c r="K41" s="149">
        <f>IFERROR(s_RadSpec!$K$8*K8,".")*B41</f>
        <v>1.1716583430290407E-2</v>
      </c>
      <c r="L41" s="149">
        <f>s_b2s!AB41</f>
        <v>2.5530945793814999E-3</v>
      </c>
      <c r="M41" s="150">
        <f t="shared" si="52"/>
        <v>1.4284886675431147E-2</v>
      </c>
      <c r="N41" s="136">
        <f>IFERROR(N8/$B41,0)</f>
        <v>2133.72781824508</v>
      </c>
      <c r="O41" s="136">
        <f>IFERROR(O8/$B41,0)</f>
        <v>18130.98377507344</v>
      </c>
      <c r="P41" s="136">
        <f>IFERROR(P8/$B41,0)</f>
        <v>4739.1779356625548</v>
      </c>
      <c r="Q41" s="136">
        <f>IFERROR(Q8/$B41,0)</f>
        <v>2862.3363020410266</v>
      </c>
      <c r="R41" s="136">
        <f>IFERROR(R8/$B41,0)</f>
        <v>26022.899738875905</v>
      </c>
      <c r="S41" s="149">
        <f>IFERROR(s_RadSpec!$K$8*S8,".")*$B$41</f>
        <v>1.1716583430290407E-2</v>
      </c>
      <c r="T41" s="149">
        <f>IFERROR(s_RadSpec!$R$8*T8,".")*$B$41</f>
        <v>1.3788551305401371E-3</v>
      </c>
      <c r="U41" s="149">
        <f>IFERROR(s_RadSpec!$S$8*U8,".")*$B$41</f>
        <v>5.2751764840635613E-3</v>
      </c>
      <c r="V41" s="149">
        <f>IFERROR(s_RadSpec!$T$8*V8,".")*$B$41</f>
        <v>8.7341239330170316E-3</v>
      </c>
      <c r="W41" s="149">
        <f>IFERROR(s_RadSpec!$P$8*W8,".")*$B$41</f>
        <v>9.6069232294863016E-4</v>
      </c>
      <c r="X41" s="136">
        <f>IFERROR(X8/$B41,0)</f>
        <v>379.7191854124884</v>
      </c>
      <c r="Y41" s="136">
        <f t="shared" ref="Y41" si="74">IFERROR(Y8/$B41,0)</f>
        <v>7.1779465918014262E-2</v>
      </c>
      <c r="Z41" s="136">
        <f t="shared" si="72"/>
        <v>7.1765899792950907E-2</v>
      </c>
      <c r="AA41" s="149">
        <f>IFERROR(s_RadSpec!$L$8*AA8,".")*$B$41</f>
        <v>6.5838127122395812E-2</v>
      </c>
      <c r="AB41" s="149">
        <f>IFERROR(s_RadSpec!$O$8*AB8,".")*$B$41</f>
        <v>348.28902221917809</v>
      </c>
      <c r="AC41" s="150">
        <f t="shared" si="56"/>
        <v>348.35486034630048</v>
      </c>
      <c r="AD41" s="136">
        <f>IFERROR(AD8/$B41,0)</f>
        <v>18338.039796137156</v>
      </c>
      <c r="AE41" s="136">
        <f t="shared" ref="AE41:AF41" si="75">IFERROR(AE8/$B41,0)</f>
        <v>0</v>
      </c>
      <c r="AF41" s="136">
        <f t="shared" si="75"/>
        <v>84.597227689088214</v>
      </c>
      <c r="AG41" s="136">
        <f>IFERROR(AG8/$B41,0)</f>
        <v>35207.671329838471</v>
      </c>
      <c r="AH41" s="136">
        <f>IFERROR(AH8/$B41,0)</f>
        <v>84.007827375402314</v>
      </c>
      <c r="AI41" s="149">
        <f>IFERROR(s_RadSpec!$M$8*AI8,".")*$B$41</f>
        <v>1.363286386E-3</v>
      </c>
      <c r="AJ41" s="149">
        <f>IFERROR(s_RadSpec!$L$8*AJ8,".")*$B$41</f>
        <v>3.2919063561197906E-2</v>
      </c>
      <c r="AK41" s="149">
        <f>IFERROR(s_RadSpec!$Q$8*AK8,".")*$B$41</f>
        <v>0.29551795824657534</v>
      </c>
      <c r="AL41" s="149">
        <f>s_b2w!AB41</f>
        <v>7.1007252271218871E-4</v>
      </c>
      <c r="AM41" s="150">
        <f t="shared" si="59"/>
        <v>0.33051038071648547</v>
      </c>
      <c r="AN41" s="136">
        <f>IFERROR(AN8/$B41,0)</f>
        <v>3334.1890538431194</v>
      </c>
      <c r="AO41" s="149">
        <f>IFERROR(s_RadSpec!$J$8*AO8,".")*$B$41</f>
        <v>7.4980751229999998E-3</v>
      </c>
      <c r="AP41" s="141"/>
    </row>
    <row r="42" spans="1:42" x14ac:dyDescent="0.25">
      <c r="A42" s="148" t="s">
        <v>1072</v>
      </c>
      <c r="B42" s="141">
        <v>0.97898250799999997</v>
      </c>
      <c r="C42" s="136">
        <f>IFERROR(C19/$B42,0)</f>
        <v>0</v>
      </c>
      <c r="D42" s="136">
        <f>IFERROR(D19/$B42,0)</f>
        <v>0</v>
      </c>
      <c r="E42" s="136">
        <f>IFERROR(E19/$B42,0)</f>
        <v>4785974.3908886136</v>
      </c>
      <c r="F42" s="136">
        <f>s_b2s!C42</f>
        <v>0</v>
      </c>
      <c r="G42" s="136">
        <f>IFERROR(G19/$B42,0)</f>
        <v>0</v>
      </c>
      <c r="H42" s="136">
        <f t="shared" si="51"/>
        <v>4785974.3908886136</v>
      </c>
      <c r="I42" s="152">
        <f>IFERROR(s_RadSpec!$I$19*I19,".")*$B$42</f>
        <v>0</v>
      </c>
      <c r="J42" s="152">
        <f>IFERROR(s_RadSpec!$L$19*J19,".")*B42</f>
        <v>0</v>
      </c>
      <c r="K42" s="152">
        <f>IFERROR(s_RadSpec!$K$19*K19,".")*B42</f>
        <v>5.2235966927851103E-6</v>
      </c>
      <c r="L42" s="149">
        <f>s_b2s!AB42</f>
        <v>0</v>
      </c>
      <c r="M42" s="150">
        <f t="shared" si="52"/>
        <v>5.2235966927851103E-6</v>
      </c>
      <c r="N42" s="136">
        <f>IFERROR(N19/$B42,0)</f>
        <v>4785974.3908886136</v>
      </c>
      <c r="O42" s="136">
        <f>IFERROR(O19/$B42,0)</f>
        <v>48722662.741948329</v>
      </c>
      <c r="P42" s="136">
        <f>IFERROR(P19/$B42,0)</f>
        <v>11797588.294777645</v>
      </c>
      <c r="Q42" s="136">
        <f>IFERROR(Q19/$B42,0)</f>
        <v>6250141.242677059</v>
      </c>
      <c r="R42" s="136">
        <f>IFERROR(R19/$B42,0)</f>
        <v>84873807.652743697</v>
      </c>
      <c r="S42" s="152">
        <f>IFERROR(s_RadSpec!$K$19*S19,".")*$B$42</f>
        <v>5.2235966927851103E-6</v>
      </c>
      <c r="T42" s="152">
        <f>IFERROR(s_RadSpec!$R$19*T19,".")*$B$42</f>
        <v>5.1310824559011563E-7</v>
      </c>
      <c r="U42" s="152">
        <f>IFERROR(s_RadSpec!$S$19*U19,".")*$B$42</f>
        <v>2.1190771685994989E-6</v>
      </c>
      <c r="V42" s="152">
        <f>IFERROR(s_RadSpec!$T$19*V19,".")*$B$42</f>
        <v>3.9999096067294639E-6</v>
      </c>
      <c r="W42" s="152">
        <f>IFERROR(s_RadSpec!$P$19*W19,".")*$B$42</f>
        <v>2.9455494800334711E-7</v>
      </c>
      <c r="X42" s="136">
        <f>IFERROR(X19/$B42,0)</f>
        <v>0</v>
      </c>
      <c r="Y42" s="136">
        <f t="shared" ref="Y42" si="76">IFERROR(Y19/$B42,0)</f>
        <v>254.6616253696435</v>
      </c>
      <c r="Z42" s="136">
        <f t="shared" si="72"/>
        <v>254.66162536964353</v>
      </c>
      <c r="AA42" s="152">
        <f>IFERROR(s_RadSpec!$L$19*AA19,".")*$B$42</f>
        <v>0</v>
      </c>
      <c r="AB42" s="152">
        <f>IFERROR(s_RadSpec!$O$19*AB19,".")*$B$42</f>
        <v>9.8169482597593144E-2</v>
      </c>
      <c r="AC42" s="150">
        <f t="shared" si="56"/>
        <v>9.8169482597593144E-2</v>
      </c>
      <c r="AD42" s="136">
        <f>IFERROR(AD19/$B42,0)</f>
        <v>0</v>
      </c>
      <c r="AE42" s="136">
        <f t="shared" ref="AE42:AF42" si="77">IFERROR(AE19/$B42,0)</f>
        <v>0</v>
      </c>
      <c r="AF42" s="136">
        <f t="shared" si="77"/>
        <v>293444.32572917134</v>
      </c>
      <c r="AG42" s="136">
        <f>IFERROR(AG19/$B42,0)</f>
        <v>0</v>
      </c>
      <c r="AH42" s="136">
        <f>IFERROR(AH19/$B42,0)</f>
        <v>293444.32572917134</v>
      </c>
      <c r="AI42" s="152">
        <f>IFERROR(s_RadSpec!$M$19*AI19,".")*$B$42</f>
        <v>0</v>
      </c>
      <c r="AJ42" s="152">
        <f>IFERROR(s_RadSpec!$L$19*AJ19,".")*$B$42</f>
        <v>0</v>
      </c>
      <c r="AK42" s="152">
        <f>IFERROR(s_RadSpec!$Q$19*AK19,".")*$B$42</f>
        <v>8.5195036359548673E-5</v>
      </c>
      <c r="AL42" s="149">
        <f>s_b2w!AB42</f>
        <v>0</v>
      </c>
      <c r="AM42" s="150">
        <f t="shared" si="59"/>
        <v>8.5195036359548673E-5</v>
      </c>
      <c r="AN42" s="136">
        <f>IFERROR(AN19/$B42,0)</f>
        <v>0</v>
      </c>
      <c r="AO42" s="152">
        <f>IFERROR(s_RadSpec!$J$19*AO19,".")*$B$42</f>
        <v>0</v>
      </c>
      <c r="AP42" s="141"/>
    </row>
    <row r="43" spans="1:42" x14ac:dyDescent="0.25">
      <c r="A43" s="148" t="s">
        <v>1073</v>
      </c>
      <c r="B43" s="141">
        <v>2.0897492E-2</v>
      </c>
      <c r="C43" s="136">
        <f>IFERROR(C28/$B43,0)</f>
        <v>0</v>
      </c>
      <c r="D43" s="136">
        <f>IFERROR(D28/$B43,0)</f>
        <v>0</v>
      </c>
      <c r="E43" s="136">
        <f>IFERROR(E28/$B43,0)</f>
        <v>2686.4848453324466</v>
      </c>
      <c r="F43" s="136">
        <f>s_b2s!C43</f>
        <v>0</v>
      </c>
      <c r="G43" s="136">
        <f>IFERROR(G28/$B43,0)</f>
        <v>0</v>
      </c>
      <c r="H43" s="136">
        <f t="shared" si="51"/>
        <v>2686.4848453324466</v>
      </c>
      <c r="I43" s="152">
        <f>IFERROR(s_RadSpec!I28*I28,".")*$B$43</f>
        <v>0</v>
      </c>
      <c r="J43" s="152">
        <f>IFERROR(s_RadSpec!J28*J28,".")*B43</f>
        <v>0</v>
      </c>
      <c r="K43" s="152">
        <f>IFERROR(s_RadSpec!K28*K28,".")*B43</f>
        <v>9.3058406949272417E-3</v>
      </c>
      <c r="L43" s="149">
        <f>s_b2s!AB43</f>
        <v>0</v>
      </c>
      <c r="M43" s="150">
        <f t="shared" si="52"/>
        <v>9.3058406949272417E-3</v>
      </c>
      <c r="N43" s="136">
        <f>IFERROR(N28/$B43,0)</f>
        <v>2686.4848453324466</v>
      </c>
      <c r="O43" s="136">
        <f>IFERROR(O28/$B43,0)</f>
        <v>32757.498076858039</v>
      </c>
      <c r="P43" s="136">
        <f>IFERROR(P28/$B43,0)</f>
        <v>7916.1281836347571</v>
      </c>
      <c r="Q43" s="136">
        <f>IFERROR(Q28/$B43,0)</f>
        <v>4285.1084647398684</v>
      </c>
      <c r="R43" s="136">
        <f>IFERROR(R28/$B43,0)</f>
        <v>57398.749885371501</v>
      </c>
      <c r="S43" s="152">
        <f>IFERROR(s_RadSpec!$K$28*S28,".")*$B$43</f>
        <v>9.3058406949272417E-3</v>
      </c>
      <c r="T43" s="152">
        <f>IFERROR(s_RadSpec!$R$28*T28,".")*$B$43</f>
        <v>7.6318404846863349E-4</v>
      </c>
      <c r="U43" s="152">
        <f>IFERROR(s_RadSpec!$S$28*U28,".")*$B$43</f>
        <v>3.1581095480089907E-3</v>
      </c>
      <c r="V43" s="152">
        <f>IFERROR(s_RadSpec!$T$28*V28,".")*$B$43</f>
        <v>5.8341580395719697E-3</v>
      </c>
      <c r="W43" s="152">
        <f>IFERROR(s_RadSpec!$P$28*W28,".")*$B$43</f>
        <v>4.3554955552039702E-4</v>
      </c>
      <c r="X43" s="136">
        <f>IFERROR(X28/$B43,0)</f>
        <v>0</v>
      </c>
      <c r="Y43" s="136">
        <f t="shared" ref="Y43" si="78">IFERROR(Y28/$B43,0)</f>
        <v>0.20000470379632457</v>
      </c>
      <c r="Z43" s="136">
        <f t="shared" si="72"/>
        <v>0.20000470379632457</v>
      </c>
      <c r="AA43" s="152">
        <f>IFERROR(s_RadSpec!$L$28*AA28,".")*$B$43</f>
        <v>0</v>
      </c>
      <c r="AB43" s="152">
        <f>IFERROR(s_RadSpec!$O$28*AB28,".")*$B$43</f>
        <v>124.99706019643834</v>
      </c>
      <c r="AC43" s="150">
        <f t="shared" si="56"/>
        <v>124.99706019643834</v>
      </c>
      <c r="AD43" s="136">
        <f>IFERROR(AD28/$B43,0)</f>
        <v>0</v>
      </c>
      <c r="AE43" s="136">
        <f t="shared" ref="AE43:AF43" si="79">IFERROR(AE28/$B43,0)</f>
        <v>0</v>
      </c>
      <c r="AF43" s="136">
        <f t="shared" si="79"/>
        <v>231.82363394573983</v>
      </c>
      <c r="AG43" s="136">
        <f>IFERROR(AG28/$B43,0)</f>
        <v>0</v>
      </c>
      <c r="AH43" s="136">
        <f>IFERROR(AH28/$B43,0)</f>
        <v>231.82363394573983</v>
      </c>
      <c r="AI43" s="152">
        <f>IFERROR(s_RadSpec!$M$28*AI28,".")*$B$43</f>
        <v>0</v>
      </c>
      <c r="AJ43" s="152">
        <f>IFERROR(s_RadSpec!$L$28*AJ28,".")*$B$43</f>
        <v>0</v>
      </c>
      <c r="AK43" s="152">
        <f>IFERROR(s_RadSpec!$Q$28*AK28,".")*$B$43</f>
        <v>0.10784060095378994</v>
      </c>
      <c r="AL43" s="149">
        <f>s_b2w!AB43</f>
        <v>0</v>
      </c>
      <c r="AM43" s="150">
        <f t="shared" si="59"/>
        <v>0.10784060095378994</v>
      </c>
      <c r="AN43" s="136">
        <f>IFERROR(AN28/$B43,0)</f>
        <v>0</v>
      </c>
      <c r="AO43" s="152">
        <f>IFERROR(s_RadSpec!$J$28*AO28,".")*$B$43</f>
        <v>0</v>
      </c>
      <c r="AP43" s="141"/>
    </row>
    <row r="44" spans="1:42" x14ac:dyDescent="0.25">
      <c r="A44" s="148" t="s">
        <v>1074</v>
      </c>
      <c r="B44" s="141">
        <v>0.99987999999999999</v>
      </c>
      <c r="C44" s="136">
        <f>IFERROR(C15/$B44,0)</f>
        <v>5981008.476773466</v>
      </c>
      <c r="D44" s="136">
        <f>IFERROR(D15/$B44,0)</f>
        <v>59830454349.269417</v>
      </c>
      <c r="E44" s="136">
        <f>IFERROR(E15/$B44,0)</f>
        <v>0</v>
      </c>
      <c r="F44" s="136">
        <f>s_b2s!C44</f>
        <v>193591.47036004098</v>
      </c>
      <c r="G44" s="136">
        <f>IFERROR(G15/$B44,0)</f>
        <v>3987.3389845156435</v>
      </c>
      <c r="H44" s="136">
        <f t="shared" si="51"/>
        <v>187521.23314106936</v>
      </c>
      <c r="I44" s="149">
        <f>IFERROR(s_RadSpec!$I$15*I15,".")*$B$44</f>
        <v>4.1798971021499997E-6</v>
      </c>
      <c r="J44" s="149">
        <f>IFERROR(s_RadSpec!$L$15*J15,".")*B44</f>
        <v>4.1784740349887169E-10</v>
      </c>
      <c r="K44" s="149">
        <f>IFERROR(s_RadSpec!$K$15*K15,".")*B44</f>
        <v>0</v>
      </c>
      <c r="L44" s="149">
        <f>s_b2s!AB44</f>
        <v>1.2913792097092423E-4</v>
      </c>
      <c r="M44" s="150">
        <f t="shared" si="52"/>
        <v>1.3331823592047773E-4</v>
      </c>
      <c r="N44" s="136">
        <f>IFERROR(N15/$B44,0)</f>
        <v>0</v>
      </c>
      <c r="O44" s="136">
        <f>IFERROR(O15/$B44,0)</f>
        <v>0</v>
      </c>
      <c r="P44" s="136">
        <f>IFERROR(P15/$B44,0)</f>
        <v>0</v>
      </c>
      <c r="Q44" s="136">
        <f>IFERROR(Q15/$B44,0)</f>
        <v>0</v>
      </c>
      <c r="R44" s="136">
        <f>IFERROR(R15/$B44,0)</f>
        <v>0</v>
      </c>
      <c r="S44" s="149">
        <f>IFERROR(s_RadSpec!$K$15*S15,".")*$B$44</f>
        <v>0</v>
      </c>
      <c r="T44" s="149">
        <f>IFERROR(s_RadSpec!$R$15*T15,".")*$B$44</f>
        <v>0</v>
      </c>
      <c r="U44" s="149">
        <f>IFERROR(s_RadSpec!$S$15*U15,".")*$B$44</f>
        <v>0</v>
      </c>
      <c r="V44" s="149">
        <f>IFERROR(s_RadSpec!$T$15*V15,".")*$B$44</f>
        <v>0</v>
      </c>
      <c r="W44" s="149">
        <f>IFERROR(s_RadSpec!$P$15*W15,".")*$B$44</f>
        <v>0</v>
      </c>
      <c r="X44" s="136">
        <f>IFERROR(X15/$B44,0)</f>
        <v>193123.6544719676</v>
      </c>
      <c r="Y44" s="136">
        <f t="shared" ref="Y44" si="80">IFERROR(Y15/$B44,0)</f>
        <v>4.2637002755300459</v>
      </c>
      <c r="Z44" s="136">
        <f t="shared" si="72"/>
        <v>4.2636061454829166</v>
      </c>
      <c r="AA44" s="149">
        <f>IFERROR(s_RadSpec!$L$15*AA15,".")*$B$44</f>
        <v>1.2945074008854164E-4</v>
      </c>
      <c r="AB44" s="149">
        <f>IFERROR(s_RadSpec!$O$15*AB15,".")*$B$44</f>
        <v>5.8634515525114148</v>
      </c>
      <c r="AC44" s="150">
        <f t="shared" si="56"/>
        <v>5.863581003251503</v>
      </c>
      <c r="AD44" s="136">
        <f>IFERROR(AD15/$B44,0)</f>
        <v>65791.093244508142</v>
      </c>
      <c r="AE44" s="136">
        <f t="shared" ref="AE44:AF44" si="81">IFERROR(AE15/$B44,0)</f>
        <v>0</v>
      </c>
      <c r="AF44" s="136">
        <f t="shared" si="81"/>
        <v>9517.1881150224253</v>
      </c>
      <c r="AG44" s="136">
        <f>IFERROR(AG15/$B44,0)</f>
        <v>304216.30299863947</v>
      </c>
      <c r="AH44" s="136">
        <f>IFERROR(AH15/$B44,0)</f>
        <v>8093.2463403572174</v>
      </c>
      <c r="AI44" s="149">
        <f>IFERROR(s_RadSpec!$M$15*AI15,".")*$B$44</f>
        <v>3.7999064565000002E-4</v>
      </c>
      <c r="AJ44" s="149">
        <f>IFERROR(s_RadSpec!$L$15*AJ15,".")*$B$44</f>
        <v>6.4725370044270821E-5</v>
      </c>
      <c r="AK44" s="149">
        <f>IFERROR(s_RadSpec!$Q$15*AK15,".")*$B$44</f>
        <v>2.6268262955251136E-3</v>
      </c>
      <c r="AL44" s="149">
        <f>s_b2w!AB44</f>
        <v>8.217837030289532E-5</v>
      </c>
      <c r="AM44" s="150">
        <f t="shared" si="59"/>
        <v>3.1537206815222796E-3</v>
      </c>
      <c r="AN44" s="136">
        <f>IFERROR(AN15/$B44,0)</f>
        <v>11962.016953546934</v>
      </c>
      <c r="AO44" s="149">
        <f>IFERROR(s_RadSpec!$J$15*AO15,".")*$B$44</f>
        <v>2.0899485510749998E-3</v>
      </c>
      <c r="AP44" s="141"/>
    </row>
    <row r="45" spans="1:42" x14ac:dyDescent="0.25">
      <c r="A45" s="145" t="s">
        <v>8</v>
      </c>
      <c r="B45" s="145" t="s">
        <v>1221</v>
      </c>
      <c r="C45" s="134">
        <f>IFERROR(IF(AND(C46&lt;&gt;0,C47&lt;&gt;0),1/SUM(1/C46,1/C47),IF(AND(C46&lt;&gt;0,C47=0),1/(1/C46),IF(AND(C46=0,C47&lt;&gt;0),1/(1/C47),IF(AND(C46=0,C47=0),".")))),".")</f>
        <v>33588.550334961816</v>
      </c>
      <c r="D45" s="134">
        <f>IFERROR(IF(AND(D46&lt;&gt;0,D47&lt;&gt;0),1/SUM(1/D46,1/D47),IF(AND(D46&lt;&gt;0,D47=0),1/(1/D46),IF(AND(D46=0,D47&lt;&gt;0),1/(1/D47),IF(AND(D46=0,D47=0),".")))),".")</f>
        <v>100135841.0957644</v>
      </c>
      <c r="E45" s="134">
        <f t="shared" ref="E45" si="82">IFERROR(IF(AND(E46&lt;&gt;0,E47&lt;&gt;0),1/SUM(1/E46,1/E47),IF(AND(E46&lt;&gt;0,E47=0),1/(1/E46),IF(AND(E46=0,E47&lt;&gt;0),1/(1/E47),IF(AND(E46=0,E47=0),".")))),".")</f>
        <v>369.33296051272322</v>
      </c>
      <c r="F45" s="134">
        <f>s_b2s!C45</f>
        <v>883.56044548104217</v>
      </c>
      <c r="G45" s="134">
        <f>IFERROR(IF(AND(G46&lt;&gt;0,G47&lt;&gt;0),1/SUM(1/G46,1/G47),IF(AND(G46&lt;&gt;0,G47=0),1/(1/G46),IF(AND(G46=0,G47&lt;&gt;0),1/(1/G47),IF(AND(G46=0,G47=0),".")))),".")</f>
        <v>22.392366889974543</v>
      </c>
      <c r="H45" s="134">
        <f>IFERROR(IF(AND(H46&lt;&gt;0,H47&lt;&gt;0),1/SUM(1/H46,1/H47),IF(AND(H46&lt;&gt;0,H47=0),1/(1/H46),IF(AND(H46=0,H47&lt;&gt;0),1/(1/H47),IF(AND(H46=0,H47=0),".")))),".")</f>
        <v>258.45466743807441</v>
      </c>
      <c r="I45" s="146">
        <f>SUM(I46:I47)</f>
        <v>7.4430124999999992E-4</v>
      </c>
      <c r="J45" s="146">
        <f t="shared" ref="J45:K45" si="83">SUM(J46:J47)</f>
        <v>2.496608579548593E-7</v>
      </c>
      <c r="K45" s="146">
        <f t="shared" si="83"/>
        <v>6.7689599014650548E-2</v>
      </c>
      <c r="L45" s="159">
        <f>s_b2s!AB45</f>
        <v>2.8294612018749998E-2</v>
      </c>
      <c r="M45" s="147">
        <f t="shared" si="52"/>
        <v>9.6728761944258501E-2</v>
      </c>
      <c r="N45" s="134">
        <f t="shared" ref="N45:R45" si="84">IFERROR(IF(AND(N46&lt;&gt;0,N47&lt;&gt;0),1/SUM(1/N46,1/N47),IF(AND(N46&lt;&gt;0,N47=0),1/(1/N46),IF(AND(N46=0,N47&lt;&gt;0),1/(1/N47),IF(AND(N46=0,N47=0),".")))),".")</f>
        <v>369.33296051272322</v>
      </c>
      <c r="O45" s="134">
        <f t="shared" si="84"/>
        <v>3465.1329113529468</v>
      </c>
      <c r="P45" s="134">
        <f t="shared" si="84"/>
        <v>856.06765252298965</v>
      </c>
      <c r="Q45" s="134">
        <f t="shared" si="84"/>
        <v>452.95521606245677</v>
      </c>
      <c r="R45" s="134">
        <f t="shared" si="84"/>
        <v>5772.9023995134175</v>
      </c>
      <c r="S45" s="146">
        <f t="shared" ref="S45:W45" si="85">SUM(S46:S47)</f>
        <v>6.7689599014650548E-2</v>
      </c>
      <c r="T45" s="146">
        <f t="shared" si="85"/>
        <v>7.214730470537379E-3</v>
      </c>
      <c r="U45" s="146">
        <f t="shared" si="85"/>
        <v>2.9203299442889099E-2</v>
      </c>
      <c r="V45" s="146">
        <f t="shared" si="85"/>
        <v>5.519309440197024E-2</v>
      </c>
      <c r="W45" s="146">
        <f t="shared" si="85"/>
        <v>4.3305772850251523E-3</v>
      </c>
      <c r="X45" s="134">
        <f>IFERROR(IF(AND(X46&lt;&gt;0,X47&lt;&gt;0),1/SUM(1/X46,1/X47),IF(AND(X46&lt;&gt;0,X47=0),1/(1/X46),IF(AND(X46=0,X47&lt;&gt;0),1/(1/X47),IF(AND(X46=0,X47=0),".")))),".")</f>
        <v>323.22334480607867</v>
      </c>
      <c r="Y45" s="134">
        <f t="shared" ref="Y45:Z45" si="86">IFERROR(IF(AND(Y46&lt;&gt;0,Y47&lt;&gt;0),1/SUM(1/Y46,1/Y47),IF(AND(Y46&lt;&gt;0,Y47=0),1/(1/Y46),IF(AND(Y46=0,Y47&lt;&gt;0),1/(1/Y47),IF(AND(Y46=0,Y47=0),".")))),".")</f>
        <v>1.6726697006826583E-2</v>
      </c>
      <c r="Z45" s="134">
        <f t="shared" si="86"/>
        <v>1.6725831450797417E-2</v>
      </c>
      <c r="AA45" s="146">
        <f t="shared" ref="AA45:AB45" si="87">SUM(AA46:AA47)</f>
        <v>7.7345898437499977E-2</v>
      </c>
      <c r="AB45" s="146">
        <f t="shared" si="87"/>
        <v>1494.6166592123286</v>
      </c>
      <c r="AC45" s="147">
        <f t="shared" si="56"/>
        <v>1494.6940051107661</v>
      </c>
      <c r="AD45" s="134">
        <f>IFERROR(IF(AND(AD46&lt;&gt;0,AD47&lt;&gt;0),1/SUM(1/AD46,1/AD47),IF(AND(AD46&lt;&gt;0,AD47=0),1/(1/AD46),IF(AND(AD46=0,AD47&lt;&gt;0),1/(1/AD47),IF(AND(AD46=0,AD47=0),".")))),".")</f>
        <v>369.47405368457999</v>
      </c>
      <c r="AE45" s="134" t="str">
        <f t="shared" ref="AE45:AH45" si="88">IFERROR(IF(AND(AE46&lt;&gt;0,AE47&lt;&gt;0),1/SUM(1/AE46,1/AE47),IF(AND(AE46&lt;&gt;0,AE47=0),1/(1/AE46),IF(AND(AE46=0,AE47&lt;&gt;0),1/(1/AE47),IF(AND(AE46=0,AE47=0),".")))),".")</f>
        <v>.</v>
      </c>
      <c r="AF45" s="134">
        <f t="shared" si="88"/>
        <v>19.32906349121442</v>
      </c>
      <c r="AG45" s="134">
        <f>IFERROR(IF(AND(AG46&lt;&gt;0,AG47&lt;&gt;0),1/SUM(1/AG46,1/AG47),IF(AND(AG46&lt;&gt;0,AG47=0),1/(1/AG46),IF(AND(AG46=0,AG47&lt;&gt;0),1/(1/AG47),IF(AND(AG46=0,AG47=0),".")))),".")</f>
        <v>1593.7529116748494</v>
      </c>
      <c r="AH45" s="134">
        <f t="shared" si="88"/>
        <v>18.158850944295633</v>
      </c>
      <c r="AI45" s="146">
        <f t="shared" ref="AI45:AK45" si="89">SUM(AI46:AI47)</f>
        <v>6.7663749999999995E-2</v>
      </c>
      <c r="AJ45" s="146">
        <f t="shared" si="89"/>
        <v>3.8672949218749988E-2</v>
      </c>
      <c r="AK45" s="146">
        <f t="shared" si="89"/>
        <v>1.293389098305936</v>
      </c>
      <c r="AL45" s="146">
        <f>s_b2w!AB45</f>
        <v>1.5686245852079981E-2</v>
      </c>
      <c r="AM45" s="147">
        <f t="shared" si="59"/>
        <v>1.4154120433767658</v>
      </c>
      <c r="AN45" s="134">
        <f>IFERROR(IF(AND(AN46&lt;&gt;0,AN47&lt;&gt;0),1/SUM(1/AN46,1/AN47),IF(AND(AN46&lt;&gt;0,AN47=0),1/(1/AN46),IF(AND(AN46=0,AN47&lt;&gt;0),1/(1/AN47),IF(AND(AN46=0,AN47=0),".")))),".")</f>
        <v>67.177100669923647</v>
      </c>
      <c r="AO45" s="146">
        <f>SUM(AO46:AO47)</f>
        <v>0.37215062500000001</v>
      </c>
      <c r="AP45" s="141"/>
    </row>
    <row r="46" spans="1:42" x14ac:dyDescent="0.25">
      <c r="A46" s="148" t="s">
        <v>1086</v>
      </c>
      <c r="B46" s="141">
        <v>1</v>
      </c>
      <c r="C46" s="136">
        <f>IFERROR(C10/$B46,0)</f>
        <v>33588.550334961816</v>
      </c>
      <c r="D46" s="136">
        <f>IFERROR(D10/$B46,0)</f>
        <v>100135841.0957644</v>
      </c>
      <c r="E46" s="136">
        <f>IFERROR(E10/$B46,0)</f>
        <v>1591085.9317642492</v>
      </c>
      <c r="F46" s="136">
        <f>s_b2s!C46</f>
        <v>883.56044548104217</v>
      </c>
      <c r="G46" s="136">
        <f>IFERROR(G10/$B46,0)</f>
        <v>22.392366889974543</v>
      </c>
      <c r="H46" s="136">
        <f>(IF(AND(C46&lt;&gt;0,D46&lt;&gt;0,E46&lt;&gt;0,F46&lt;&gt;0),1/((1/C46)+(1/D46)+(1/E46)+(1/F46)),IF(AND(C46&lt;&gt;0,D46&lt;&gt;0,E46&lt;&gt;0,F46=0), 1/((1/C46)+(1/D46)+(1/E46)),IF(AND(C46&lt;&gt;0,D46&lt;&gt;0,E46=0,F46&lt;&gt;0),1/((1/C46)+(1/D46)+(1/F46)),IF(AND(C46&lt;&gt;0,D46=0,E46&lt;&gt;0,F46&lt;&gt;0),1/((1/C46)+(1/E46)+(1/F46)),IF(AND(C46=0,D46&lt;&gt;0,E46&lt;&gt;0,F46&lt;&gt;0),1/((1/D46)+(1/E46)+(1/F46)),IF(AND(C46&lt;&gt;0,D46&lt;&gt;0,E46=0,F46=0),1/((1/C46)+(1/D46)),IF(AND(C46&lt;&gt;0,D46=0,E46&lt;&gt;0,F46=0),1/((1/C46)+(1/E46)),IF(AND(C46&lt;&gt;0,D46=0,E46=0,F46&lt;&gt;0),1/((1/C46)+(1/F46)),IF(AND(C46=0,D46=0,E46&lt;&gt;0,F46&lt;&gt;0),1/((1/E46)+(1/F46)),IF(AND(C46=0,D46&lt;&gt;0,E46=0,F46&lt;&gt;0),1/((1/D46)+(1/F46)),IF(AND(C46=0,D46&lt;&gt;0,E46&lt;&gt;0,F46=0),1/((1/D46)+(1/E46)),IF(AND(C46&lt;&gt;0,D46=0,E46=0,F46=0),1/((1/C46)),IF(AND(C46=0,D46&lt;&gt;0,E46=0,F46=0),1/((1/D46)),IF(AND(C46=0,D46=0,E46&lt;&gt;0,F46=0),1/((1/E46)),IF(AND(C46=0,D46=0,E46=0,F46&lt;&gt;0),1/((1/F46)),IF(AND(C46=0,D46=0,E46=0,F46=0),0)))))))))))))))))</f>
        <v>860.4407899417298</v>
      </c>
      <c r="I46" s="149">
        <f>IFERROR(s_RadSpec!$I$10*I10,".")*$B$46</f>
        <v>7.4430124999999992E-4</v>
      </c>
      <c r="J46" s="149">
        <f>IFERROR(s_RadSpec!$L$10*J10,".")*B46</f>
        <v>2.496608579548593E-7</v>
      </c>
      <c r="K46" s="149">
        <f>IFERROR(s_RadSpec!$K$10*K10,".")*B46</f>
        <v>1.5712539153859004E-5</v>
      </c>
      <c r="L46" s="149">
        <f>s_b2s!AB46</f>
        <v>2.8294612018749998E-2</v>
      </c>
      <c r="M46" s="150">
        <f t="shared" si="52"/>
        <v>2.9054875468761811E-2</v>
      </c>
      <c r="N46" s="136">
        <f>IFERROR(N10/$B46,0)</f>
        <v>1591085.9317642492</v>
      </c>
      <c r="O46" s="136">
        <f>IFERROR(O10/$B46,0)</f>
        <v>5362281.4773487858</v>
      </c>
      <c r="P46" s="136">
        <f>IFERROR(P10/$B46,0)</f>
        <v>2195505.8060417143</v>
      </c>
      <c r="Q46" s="136">
        <f>IFERROR(Q10/$B46,0)</f>
        <v>1647740.6505518521</v>
      </c>
      <c r="R46" s="136">
        <f>IFERROR(R10/$B46,0)</f>
        <v>989453.49471011455</v>
      </c>
      <c r="S46" s="149">
        <f>IFERROR(s_RadSpec!$K$10*S10,".")*$B46</f>
        <v>1.5712539153859004E-5</v>
      </c>
      <c r="T46" s="149">
        <f>IFERROR(s_RadSpec!$R$10*T10,".")*$B46</f>
        <v>4.6621946471113778E-6</v>
      </c>
      <c r="U46" s="149">
        <f>IFERROR(s_RadSpec!$S$10*U10,".")*$B46</f>
        <v>1.1386897694009108E-5</v>
      </c>
      <c r="V46" s="149">
        <f>IFERROR(s_RadSpec!$T$10*V10,".")*$B46</f>
        <v>1.5172290609949531E-5</v>
      </c>
      <c r="W46" s="149">
        <f>IFERROR(s_RadSpec!$P$10*W10,".")*$B46</f>
        <v>2.526647299105693E-5</v>
      </c>
      <c r="X46" s="136">
        <f>IFERROR(X10/$B46,0)</f>
        <v>323.22334480607867</v>
      </c>
      <c r="Y46" s="136">
        <f t="shared" ref="Y46" si="90">IFERROR(Y10/$B46,0)</f>
        <v>4.5353070547840248</v>
      </c>
      <c r="Z46" s="136">
        <f t="shared" ref="Z46:Z47" si="91">IFERROR(IF(AND(X46&lt;&gt;0,Y46&lt;&gt;0),1/((1/X46)+(1/Y46)),IF(AND(X46&lt;&gt;0,Y46=0),1/((1/X46)),IF(AND(X46=0,Y46&lt;&gt;0),1/((1/Y46)),IF(AND(X46=".",Y46="."),".")))),".")</f>
        <v>4.4725504808098746</v>
      </c>
      <c r="AA46" s="149">
        <f>IFERROR(s_RadSpec!$L$10*AA10,".")*$B$46</f>
        <v>7.7345898437499977E-2</v>
      </c>
      <c r="AB46" s="149">
        <f>IFERROR(s_RadSpec!$O$10*AB10,".")*$B$46</f>
        <v>5.5123059360730595</v>
      </c>
      <c r="AC46" s="150">
        <f t="shared" si="56"/>
        <v>5.5896518345105592</v>
      </c>
      <c r="AD46" s="136">
        <f>IFERROR(AD10/$B46,0)</f>
        <v>369.47405368457999</v>
      </c>
      <c r="AE46" s="136">
        <f t="shared" ref="AE46:AF46" si="92">IFERROR(AE10/$B46,0)</f>
        <v>0</v>
      </c>
      <c r="AF46" s="136">
        <f t="shared" si="92"/>
        <v>10150.449122611863</v>
      </c>
      <c r="AG46" s="136">
        <f>IFERROR(AG10/$B46,0)</f>
        <v>1593.7529116748494</v>
      </c>
      <c r="AH46" s="136">
        <f>IFERROR(AH10/$B46,0)</f>
        <v>291.33135039889999</v>
      </c>
      <c r="AI46" s="149">
        <f>IFERROR(s_RadSpec!$M$10*AI10,".")*$B$46</f>
        <v>6.7663749999999995E-2</v>
      </c>
      <c r="AJ46" s="149">
        <f>IFERROR(s_RadSpec!$L$10*AJ10,".")*$B$46</f>
        <v>3.8672949218749988E-2</v>
      </c>
      <c r="AK46" s="149">
        <f>IFERROR(s_RadSpec!$Q$10*AK10,".")*$B$46</f>
        <v>2.4629452054794518E-3</v>
      </c>
      <c r="AL46" s="149">
        <f>s_b2w!AB46</f>
        <v>1.5686245852079981E-2</v>
      </c>
      <c r="AM46" s="150">
        <f t="shared" si="59"/>
        <v>0.12448589027630941</v>
      </c>
      <c r="AN46" s="136">
        <f>IFERROR(AN10/$B46,0)</f>
        <v>67.177100669923647</v>
      </c>
      <c r="AO46" s="149">
        <f>IFERROR(s_RadSpec!$J$10*AO10,".")*$B$46</f>
        <v>0.37215062500000001</v>
      </c>
      <c r="AP46" s="141"/>
    </row>
    <row r="47" spans="1:42" x14ac:dyDescent="0.25">
      <c r="A47" s="148" t="s">
        <v>1060</v>
      </c>
      <c r="B47" s="141">
        <v>0.94399</v>
      </c>
      <c r="C47" s="136">
        <f>IFERROR(C6/$B$47,0)</f>
        <v>0</v>
      </c>
      <c r="D47" s="136">
        <f>IFERROR(D6/$B$47,0)</f>
        <v>0</v>
      </c>
      <c r="E47" s="136">
        <f>IFERROR(E6/$B$47,0)</f>
        <v>369.41871232786343</v>
      </c>
      <c r="F47" s="136">
        <f>s_b2s!C47</f>
        <v>0</v>
      </c>
      <c r="G47" s="136">
        <f>IFERROR(G6/$B$47,0)</f>
        <v>0</v>
      </c>
      <c r="H47" s="136">
        <f>(IF(AND(C47&lt;&gt;0,D47&lt;&gt;0,E47&lt;&gt;0,F47&lt;&gt;0),1/((1/C47)+(1/D47)+(1/E47)+(1/F47)),IF(AND(C47&lt;&gt;0,D47&lt;&gt;0,E47&lt;&gt;0,F47=0), 1/((1/C47)+(1/D47)+(1/E47)),IF(AND(C47&lt;&gt;0,D47&lt;&gt;0,E47=0,F47&lt;&gt;0),1/((1/C47)+(1/D47)+(1/F47)),IF(AND(C47&lt;&gt;0,D47=0,E47&lt;&gt;0,F47&lt;&gt;0),1/((1/C47)+(1/E47)+(1/F47)),IF(AND(C47=0,D47&lt;&gt;0,E47&lt;&gt;0,F47&lt;&gt;0),1/((1/D47)+(1/E47)+(1/F47)),IF(AND(C47&lt;&gt;0,D47&lt;&gt;0,E47=0,F47=0),1/((1/C47)+(1/D47)),IF(AND(C47&lt;&gt;0,D47=0,E47&lt;&gt;0,F47=0),1/((1/C47)+(1/E47)),IF(AND(C47&lt;&gt;0,D47=0,E47=0,F47&lt;&gt;0),1/((1/C47)+(1/F47)),IF(AND(C47=0,D47=0,E47&lt;&gt;0,F47&lt;&gt;0),1/((1/E47)+(1/F47)),IF(AND(C47=0,D47&lt;&gt;0,E47=0,F47&lt;&gt;0),1/((1/D47)+(1/F47)),IF(AND(C47=0,D47&lt;&gt;0,E47&lt;&gt;0,F47=0),1/((1/D47)+(1/E47)),IF(AND(C47&lt;&gt;0,D47=0,E47=0,F47=0),1/((1/C47)),IF(AND(C47=0,D47&lt;&gt;0,E47=0,F47=0),1/((1/D47)),IF(AND(C47=0,D47=0,E47&lt;&gt;0,F47=0),1/((1/E47)),IF(AND(C47=0,D47=0,E47=0,F47&lt;&gt;0),1/((1/F47)),IF(AND(C47=0,D47=0,E47=0,F47=0),0)))))))))))))))))</f>
        <v>369.41871232786343</v>
      </c>
      <c r="I47" s="149">
        <f>IFERROR(s_RadSpec!$I$6*I6,".")*$B$47</f>
        <v>0</v>
      </c>
      <c r="J47" s="149">
        <f>IFERROR(s_RadSpec!$L$6*$J$6,".")*B47</f>
        <v>0</v>
      </c>
      <c r="K47" s="149">
        <f>IFERROR(s_RadSpec!$K$6*$K$6,".")*B47</f>
        <v>6.7673886475496686E-2</v>
      </c>
      <c r="L47" s="149">
        <f>s_b2s!AB47</f>
        <v>0</v>
      </c>
      <c r="M47" s="150">
        <f t="shared" si="52"/>
        <v>6.7673886475496686E-2</v>
      </c>
      <c r="N47" s="136">
        <f>IFERROR(N6/$B$47,0)</f>
        <v>369.41871232786343</v>
      </c>
      <c r="O47" s="136">
        <f>IFERROR(O6/$B$47,0)</f>
        <v>3467.3735453514983</v>
      </c>
      <c r="P47" s="136">
        <f>IFERROR(P6/$B$47,0)</f>
        <v>856.40157907759067</v>
      </c>
      <c r="Q47" s="136">
        <f>IFERROR(Q6/$B$47,0)</f>
        <v>453.07976530078298</v>
      </c>
      <c r="R47" s="136">
        <f>IFERROR(R6/$B$47,0)</f>
        <v>5806.781691607639</v>
      </c>
      <c r="S47" s="149">
        <f>IFERROR(s_RadSpec!$K$6*S6,".")*$B47</f>
        <v>6.7673886475496686E-2</v>
      </c>
      <c r="T47" s="149">
        <f>IFERROR(s_RadSpec!$R$6*T6,".")*$B47</f>
        <v>7.2100682758902673E-3</v>
      </c>
      <c r="U47" s="149">
        <f>IFERROR(s_RadSpec!$S$6*U6,".")*$B47</f>
        <v>2.9191912545195091E-2</v>
      </c>
      <c r="V47" s="149">
        <f>IFERROR(s_RadSpec!$T$6*V6,".")*$B47</f>
        <v>5.5177922111360293E-2</v>
      </c>
      <c r="W47" s="149">
        <f>IFERROR(s_RadSpec!$P$6*W6,".")*$B47</f>
        <v>4.305310812034095E-3</v>
      </c>
      <c r="X47" s="136">
        <f>IFERROR(X6/$B$47,0)</f>
        <v>0</v>
      </c>
      <c r="Y47" s="136">
        <f t="shared" ref="Y47" si="93">IFERROR(Y6/$B$47,0)</f>
        <v>1.6788615213565262E-2</v>
      </c>
      <c r="Z47" s="136">
        <f t="shared" si="91"/>
        <v>1.6788615213565262E-2</v>
      </c>
      <c r="AA47" s="149">
        <f>IFERROR(s_RadSpec!$L$6*AA6,".")*$B$47</f>
        <v>0</v>
      </c>
      <c r="AB47" s="149">
        <f>IFERROR(s_RadSpec!$O$6*AB6,".")*$B$47</f>
        <v>1489.1043532762556</v>
      </c>
      <c r="AC47" s="150">
        <f t="shared" si="56"/>
        <v>1489.1043532762556</v>
      </c>
      <c r="AD47" s="136">
        <f>IFERROR(AD6/$B$47,0)</f>
        <v>0</v>
      </c>
      <c r="AE47" s="136">
        <f t="shared" ref="AE47:AF47" si="94">IFERROR(AE6/$B$47,0)</f>
        <v>0</v>
      </c>
      <c r="AF47" s="136">
        <f t="shared" si="94"/>
        <v>19.365941219764387</v>
      </c>
      <c r="AG47" s="136">
        <f>IFERROR(AG6/$B$47,0)</f>
        <v>0</v>
      </c>
      <c r="AH47" s="136">
        <f>IFERROR(AH6/$B$47,0)</f>
        <v>19.365941219764387</v>
      </c>
      <c r="AI47" s="149">
        <f>IFERROR(s_RadSpec!$M$6*AI6,".")*$B$47</f>
        <v>0</v>
      </c>
      <c r="AJ47" s="149">
        <f>IFERROR(s_RadSpec!$L$6*AJ6,".")*$B$47</f>
        <v>0</v>
      </c>
      <c r="AK47" s="149">
        <f>IFERROR(s_RadSpec!$Q$6*AK6,".")*$B$47</f>
        <v>1.2909261531004566</v>
      </c>
      <c r="AL47" s="149">
        <f>s_b2w!AB47</f>
        <v>0</v>
      </c>
      <c r="AM47" s="150">
        <f t="shared" si="59"/>
        <v>1.2909261531004566</v>
      </c>
      <c r="AN47" s="136">
        <f>IFERROR(AN6/$B$47,0)</f>
        <v>0</v>
      </c>
      <c r="AO47" s="149">
        <f>IFERROR(s_RadSpec!$J$6*AO6,".")*$B$47</f>
        <v>0</v>
      </c>
      <c r="AP47" s="141"/>
    </row>
    <row r="48" spans="1:42" x14ac:dyDescent="0.25">
      <c r="A48" s="145" t="s">
        <v>21</v>
      </c>
      <c r="B48" s="145" t="s">
        <v>1221</v>
      </c>
      <c r="C48" s="134">
        <f>1/SUM(1/C49,1/C52,1/C54,1/C58,1/C59,1/C61)</f>
        <v>138.51386819208662</v>
      </c>
      <c r="D48" s="134">
        <f>1/SUM(1/D49,1/D52,1/D54,1/D58,1/D59,1/D61)</f>
        <v>197165.41469531046</v>
      </c>
      <c r="E48" s="134">
        <f>1/SUM(1/E49,1/E50,1/E52,1/E54,1/E55,1/E56,1/E57,1/E58,1/E59,1/E60,1/E61,1/E62)</f>
        <v>75.010579081776513</v>
      </c>
      <c r="F48" s="134">
        <f>s_b2s!C48</f>
        <v>4.7255687928719201</v>
      </c>
      <c r="G48" s="134">
        <f>1/SUM(1/G49,1/G52,1/G54,1/G58,1/G59,1/G61)</f>
        <v>9.2342578794724461E-2</v>
      </c>
      <c r="H48" s="134">
        <f>1/SUM(1/H49,1/H50,1/H51,1/H52,1/H54,1/H55,1/H56,1/H57,1/H58,1/H59,1/H60,1/H61,1/H62)</f>
        <v>4.3071746549898311</v>
      </c>
      <c r="I48" s="146">
        <f>SUM(I49:I62)</f>
        <v>0.18048734272102485</v>
      </c>
      <c r="J48" s="146">
        <f t="shared" ref="J48:K48" si="95">SUM(J49:J62)</f>
        <v>1.2682001464369994E-4</v>
      </c>
      <c r="K48" s="146">
        <f t="shared" si="95"/>
        <v>0.33328632182328588</v>
      </c>
      <c r="L48" s="159">
        <f>s_b2s!AB48</f>
        <v>5.2903684393950989</v>
      </c>
      <c r="M48" s="147">
        <f t="shared" si="52"/>
        <v>5.8042689239540532</v>
      </c>
      <c r="N48" s="134">
        <f t="shared" ref="N48:R48" si="96">1/SUM(1/N49,1/N50,1/N52,1/N54,1/N55,1/N56,1/N57,1/N58,1/N59,1/N60,1/N61,1/N62)</f>
        <v>75.010579081776513</v>
      </c>
      <c r="O48" s="134">
        <f t="shared" si="96"/>
        <v>840.95701515795099</v>
      </c>
      <c r="P48" s="134">
        <f t="shared" si="96"/>
        <v>206.12459983840296</v>
      </c>
      <c r="Q48" s="134">
        <f t="shared" si="96"/>
        <v>106.00345626546658</v>
      </c>
      <c r="R48" s="134">
        <f t="shared" si="96"/>
        <v>1457.6479221991797</v>
      </c>
      <c r="S48" s="146">
        <f t="shared" ref="S48:W48" si="97">SUM(S49:S62)</f>
        <v>0.33328632182328588</v>
      </c>
      <c r="T48" s="146">
        <f t="shared" si="97"/>
        <v>2.9728035499298883E-2</v>
      </c>
      <c r="U48" s="146">
        <f t="shared" si="97"/>
        <v>0.12128586311192079</v>
      </c>
      <c r="V48" s="146">
        <f t="shared" si="97"/>
        <v>0.23584136669461048</v>
      </c>
      <c r="W48" s="146">
        <f t="shared" si="97"/>
        <v>1.715091800925566E-2</v>
      </c>
      <c r="X48" s="134">
        <f>1/SUM(1/X49,1/X52,1/X54,1/X58,1/X59,1/X61)</f>
        <v>0.63642012810327742</v>
      </c>
      <c r="Y48" s="134">
        <f t="shared" ref="Y48:Z48" si="98">1/SUM(1/Y49,1/Y50,1/Y51,1/Y52,1/Y53,1/Y54,1/Y55,1/Y56,1/Y57,1/Y58,1/Y59,1/Y60,1/Y61,1/Y62)</f>
        <v>5.1448556851462039E-3</v>
      </c>
      <c r="Z48" s="134">
        <f t="shared" si="98"/>
        <v>5.1035905151066803E-3</v>
      </c>
      <c r="AA48" s="146">
        <f t="shared" ref="AA48:AB48" si="99">SUM(AA49:AA62)</f>
        <v>39.289330545549213</v>
      </c>
      <c r="AB48" s="146">
        <f t="shared" si="99"/>
        <v>4859.2227906757234</v>
      </c>
      <c r="AC48" s="147">
        <f t="shared" si="56"/>
        <v>4898.5121212212725</v>
      </c>
      <c r="AD48" s="134">
        <f>1/SUM(1/AD49,1/AD52,1/AD54,1/AD58,1/AD59,1/AD61)</f>
        <v>1.5236525501129532</v>
      </c>
      <c r="AE48" s="134">
        <f>1/SUM(1/AE49,1/AE50)</f>
        <v>2.6167179280459476</v>
      </c>
      <c r="AF48" s="134">
        <f t="shared" ref="AF48:AH48" si="100">1/SUM(1/AF49,1/AF50,1/AF51,1/AF52,1/AF53,1/AF54,1/AF55,1/AF56,1/AF57,1/AF58,1/AF59,1/AF60,1/AF61,1/AF62)</f>
        <v>5.9444505244886932</v>
      </c>
      <c r="AG48" s="134">
        <f>1/SUM(1/AG49,1/AG52,1/AG54,1/AG58,1/AG59,1/AG61)</f>
        <v>7.1599106798954333</v>
      </c>
      <c r="AH48" s="134">
        <f t="shared" si="100"/>
        <v>0.74273986515168033</v>
      </c>
      <c r="AI48" s="146">
        <f t="shared" ref="AI48:AK48" si="101">SUM(AI49:AI62)</f>
        <v>16.407940247365893</v>
      </c>
      <c r="AJ48" s="146">
        <f t="shared" si="101"/>
        <v>19.644665272774606</v>
      </c>
      <c r="AK48" s="146">
        <f t="shared" si="101"/>
        <v>4.2056031750975595</v>
      </c>
      <c r="AL48" s="146">
        <f>s_b2w!AB48</f>
        <v>3.4916636697994554</v>
      </c>
      <c r="AM48" s="147">
        <f t="shared" si="59"/>
        <v>43.749872365037518</v>
      </c>
      <c r="AN48" s="134">
        <f>1/SUM(1/AN49,1/AN52,1/AN54,1/AN58,1/AN59,1/AN61)</f>
        <v>0.27702773638417327</v>
      </c>
      <c r="AO48" s="146">
        <f t="shared" ref="AO48" si="102">SUM(AO49:AO62)</f>
        <v>90.243671360512408</v>
      </c>
      <c r="AP48" s="141"/>
    </row>
    <row r="49" spans="1:42" x14ac:dyDescent="0.25">
      <c r="A49" s="148" t="s">
        <v>1088</v>
      </c>
      <c r="B49" s="141">
        <v>1</v>
      </c>
      <c r="C49" s="136">
        <f>IFERROR(C23/$B49,0)</f>
        <v>986.15390608166047</v>
      </c>
      <c r="D49" s="136">
        <f>IFERROR(D23/$B49,0)</f>
        <v>405404.32754304621</v>
      </c>
      <c r="E49" s="136">
        <f>IFERROR(E23/$B49,0)</f>
        <v>30618.818782145412</v>
      </c>
      <c r="F49" s="136">
        <f>s_b2s!C49</f>
        <v>28.847561974013761</v>
      </c>
      <c r="G49" s="136">
        <f>IFERROR(G23/$B49,0)</f>
        <v>0.65743593738777373</v>
      </c>
      <c r="H49" s="136">
        <f>(IF(AND(C49&lt;&gt;0,D49&lt;&gt;0,E49&lt;&gt;0,F49&lt;&gt;0),1/((1/C49)+(1/D49)+(1/E49)+(1/F49)),IF(AND(C49&lt;&gt;0,D49&lt;&gt;0,E49&lt;&gt;0,F49=0), 1/((1/C49)+(1/D49)+(1/E49)),IF(AND(C49&lt;&gt;0,D49&lt;&gt;0,E49=0,F49&lt;&gt;0),1/((1/C49)+(1/D49)+(1/F49)),IF(AND(C49&lt;&gt;0,D49=0,E49&lt;&gt;0,F49&lt;&gt;0),1/((1/C49)+(1/E49)+(1/F49)),IF(AND(C49=0,D49&lt;&gt;0,E49&lt;&gt;0,F49&lt;&gt;0),1/((1/D49)+(1/E49)+(1/F49)),IF(AND(C49&lt;&gt;0,D49&lt;&gt;0,E49=0,F49=0),1/((1/C49)+(1/D49)),IF(AND(C49&lt;&gt;0,D49=0,E49&lt;&gt;0,F49=0),1/((1/C49)+(1/E49)),IF(AND(C49&lt;&gt;0,D49=0,E49=0,F49&lt;&gt;0),1/((1/C49)+(1/F49)),IF(AND(C49=0,D49=0,E49&lt;&gt;0,F49&lt;&gt;0),1/((1/E49)+(1/F49)),IF(AND(C49=0,D49&lt;&gt;0,E49=0,F49&lt;&gt;0),1/((1/D49)+(1/F49)),IF(AND(C49=0,D49&lt;&gt;0,E49&lt;&gt;0,F49=0),1/((1/D49)+(1/E49)),IF(AND(C49&lt;&gt;0,D49=0,E49=0,F49=0),1/((1/C49)),IF(AND(C49=0,D49&lt;&gt;0,E49=0,F49=0),1/((1/D49)),IF(AND(C49=0,D49=0,E49&lt;&gt;0,F49=0),1/((1/E49)),IF(AND(C49=0,D49=0,E49=0,F49&lt;&gt;0),1/((1/F49)),IF(AND(C49=0,D49=0,E49=0,F49=0),0)))))))))))))))))</f>
        <v>28.000113206492767</v>
      </c>
      <c r="I49" s="149">
        <f>IFERROR(s_RadSpec!$I$23*I23,".")*$B$49</f>
        <v>2.5351012499999999E-2</v>
      </c>
      <c r="J49" s="149">
        <f>IFERROR(s_RadSpec!$L$23*$J$23,".")*B49</f>
        <v>6.1666830621943665E-5</v>
      </c>
      <c r="K49" s="149">
        <f>IFERROR(s_RadSpec!$K$23*$K$23,".")*B49</f>
        <v>8.1649132769870652E-4</v>
      </c>
      <c r="L49" s="149">
        <f>s_b2s!AB49</f>
        <v>0.86662436231250006</v>
      </c>
      <c r="M49" s="150">
        <f t="shared" si="52"/>
        <v>0.89285353297082071</v>
      </c>
      <c r="N49" s="136">
        <f>IFERROR(N23/$B49,0)</f>
        <v>30618.818782145412</v>
      </c>
      <c r="O49" s="136">
        <f>IFERROR(O23/$B49,0)</f>
        <v>218522.46435973141</v>
      </c>
      <c r="P49" s="136">
        <f>IFERROR(P23/$B49,0)</f>
        <v>55997.996554244797</v>
      </c>
      <c r="Q49" s="136">
        <f>IFERROR(Q23/$B49,0)</f>
        <v>32298.308916559214</v>
      </c>
      <c r="R49" s="136">
        <f>IFERROR(R23/$B49,0)</f>
        <v>348895.7246544598</v>
      </c>
      <c r="S49" s="149">
        <f>IFERROR(s_RadSpec!$K$23*$S$23,".")*$B$49</f>
        <v>8.1649132769870652E-4</v>
      </c>
      <c r="T49" s="149">
        <f>IFERROR(s_RadSpec!$R$23*$T$23,".")*$B$49</f>
        <v>1.1440471382770528E-4</v>
      </c>
      <c r="U49" s="149">
        <f>IFERROR(s_RadSpec!$S$23*$U$23,".")*$B$49</f>
        <v>4.4644454334688034E-4</v>
      </c>
      <c r="V49" s="149">
        <f>IFERROR(s_RadSpec!$T$23*$V$23,".")*$B$49</f>
        <v>7.7403433302300853E-4</v>
      </c>
      <c r="W49" s="149">
        <f>IFERROR(s_RadSpec!$P$23*$W$23,".")*$B$49</f>
        <v>7.1654647028878205E-5</v>
      </c>
      <c r="X49" s="136">
        <f>IFERROR(X23/$B49,0)</f>
        <v>1.3085838328556778</v>
      </c>
      <c r="Y49" s="136">
        <f t="shared" ref="Y49" si="103">IFERROR(Y23/$B49,0)</f>
        <v>1.3708002030536921</v>
      </c>
      <c r="Z49" s="136">
        <f t="shared" ref="Z49:Z62" si="104">IFERROR(IF(AND(X49&lt;&gt;0,Y49&lt;&gt;0),1/((1/X49)+(1/Y49)),IF(AND(X49&lt;&gt;0,Y49=0),1/((1/X49)),IF(AND(X49=0,Y49&lt;&gt;0),1/((1/Y49)),IF(AND(X49=".",Y49="."),".")))),".")</f>
        <v>0.66948483672014281</v>
      </c>
      <c r="AA49" s="149">
        <f>IFERROR(s_RadSpec!$L$23*AA23,".")*$B$49</f>
        <v>19.104622395833328</v>
      </c>
      <c r="AB49" s="149">
        <f>IFERROR(s_RadSpec!$O$23*AB23,".")*$B$49</f>
        <v>18.237522831050228</v>
      </c>
      <c r="AC49" s="150">
        <f t="shared" si="56"/>
        <v>37.342145226883559</v>
      </c>
      <c r="AD49" s="136">
        <f>IFERROR(AD23/$B49,0)</f>
        <v>10.847692966898265</v>
      </c>
      <c r="AE49" s="136">
        <f t="shared" ref="AE49:AF49" si="105">IFERROR(AE23/$B49,0)</f>
        <v>2.6171676657113556</v>
      </c>
      <c r="AF49" s="136">
        <f t="shared" si="105"/>
        <v>1558.1829793483125</v>
      </c>
      <c r="AG49" s="136">
        <f>IFERROR(AG23/$B49,0)</f>
        <v>48.545275825556324</v>
      </c>
      <c r="AH49" s="136">
        <f>IFERROR(AH23/$B49,0)</f>
        <v>2.018085892679653</v>
      </c>
      <c r="AI49" s="149">
        <f>IFERROR(s_RadSpec!$M$23*AI23,".")*$B$49</f>
        <v>2.3046375000000001</v>
      </c>
      <c r="AJ49" s="149">
        <f>IFERROR(s_RadSpec!$L$23*AJ23,".")*$B$49</f>
        <v>9.5523111979166639</v>
      </c>
      <c r="AK49" s="149">
        <f>IFERROR(s_RadSpec!$Q$23*AK23,".")*$B$49</f>
        <v>1.6044328767123289E-2</v>
      </c>
      <c r="AL49" s="149">
        <f>s_b2w!AB49</f>
        <v>0.51498316931673338</v>
      </c>
      <c r="AM49" s="150">
        <f t="shared" si="59"/>
        <v>12.387976196000521</v>
      </c>
      <c r="AN49" s="136">
        <f>IFERROR(AN23/$B49,0)</f>
        <v>1.9723078121633206</v>
      </c>
      <c r="AO49" s="149">
        <f>IFERROR(s_RadSpec!$J$23*AO23,".")*$B$49</f>
        <v>12.67550625</v>
      </c>
      <c r="AP49" s="141"/>
    </row>
    <row r="50" spans="1:42" x14ac:dyDescent="0.25">
      <c r="A50" s="148" t="s">
        <v>1075</v>
      </c>
      <c r="B50" s="141">
        <v>1</v>
      </c>
      <c r="C50" s="136">
        <f>IFERROR(C25/$B50,0)</f>
        <v>0</v>
      </c>
      <c r="D50" s="136">
        <f>IFERROR(D25/$B50,0)</f>
        <v>2358772354.6054182</v>
      </c>
      <c r="E50" s="136">
        <f>IFERROR(E25/$B50,0)</f>
        <v>667494.71672216873</v>
      </c>
      <c r="F50" s="136">
        <f>s_b2s!C50</f>
        <v>0</v>
      </c>
      <c r="G50" s="136">
        <f>IFERROR(G25/$B50,0)</f>
        <v>0</v>
      </c>
      <c r="H50" s="136">
        <f t="shared" ref="H50:H62" si="106">(IF(AND(C50&lt;&gt;0,D50&lt;&gt;0,E50&lt;&gt;0,F50&lt;&gt;0),1/((1/C50)+(1/D50)+(1/E50)+(1/F50)),IF(AND(C50&lt;&gt;0,D50&lt;&gt;0,E50&lt;&gt;0,F50=0), 1/((1/C50)+(1/D50)+(1/E50)),IF(AND(C50&lt;&gt;0,D50&lt;&gt;0,E50=0,F50&lt;&gt;0),1/((1/C50)+(1/D50)+(1/F50)),IF(AND(C50&lt;&gt;0,D50=0,E50&lt;&gt;0,F50&lt;&gt;0),1/((1/C50)+(1/E50)+(1/F50)),IF(AND(C50=0,D50&lt;&gt;0,E50&lt;&gt;0,F50&lt;&gt;0),1/((1/D50)+(1/E50)+(1/F50)),IF(AND(C50&lt;&gt;0,D50&lt;&gt;0,E50=0,F50=0),1/((1/C50)+(1/D50)),IF(AND(C50&lt;&gt;0,D50=0,E50&lt;&gt;0,F50=0),1/((1/C50)+(1/E50)),IF(AND(C50&lt;&gt;0,D50=0,E50=0,F50&lt;&gt;0),1/((1/C50)+(1/F50)),IF(AND(C50=0,D50=0,E50&lt;&gt;0,F50&lt;&gt;0),1/((1/E50)+(1/F50)),IF(AND(C50=0,D50&lt;&gt;0,E50=0,F50&lt;&gt;0),1/((1/D50)+(1/F50)),IF(AND(C50=0,D50&lt;&gt;0,E50&lt;&gt;0,F50=0),1/((1/D50)+(1/E50)),IF(AND(C50&lt;&gt;0,D50=0,E50=0,F50=0),1/((1/C50)),IF(AND(C50=0,D50&lt;&gt;0,E50=0,F50=0),1/((1/D50)),IF(AND(C50=0,D50=0,E50&lt;&gt;0,F50=0),1/((1/E50)),IF(AND(C50=0,D50=0,E50=0,F50&lt;&gt;0),1/((1/F50)),IF(AND(C50=0,D50=0,E50=0,F50=0),0)))))))))))))))))</f>
        <v>667305.87986880285</v>
      </c>
      <c r="I50" s="149">
        <f>IFERROR(s_RadSpec!$I$25*I25,".")*$B$50</f>
        <v>0</v>
      </c>
      <c r="J50" s="149">
        <f>IFERROR(s_RadSpec!$L$25*$J$25,".")*B50</f>
        <v>1.0598733680759146E-8</v>
      </c>
      <c r="K50" s="149">
        <f>IFERROR(s_RadSpec!$K$25*$K$25,".")*B50</f>
        <v>3.7453479965753423E-5</v>
      </c>
      <c r="L50" s="149">
        <f>s_b2s!AB50</f>
        <v>0</v>
      </c>
      <c r="M50" s="150">
        <f t="shared" si="52"/>
        <v>3.7464078699434182E-5</v>
      </c>
      <c r="N50" s="136">
        <f>IFERROR(N25/$B50,0)</f>
        <v>667494.71672216873</v>
      </c>
      <c r="O50" s="136">
        <f>IFERROR(O25/$B50,0)</f>
        <v>5774121.8536407091</v>
      </c>
      <c r="P50" s="136">
        <f>IFERROR(P25/$B50,0)</f>
        <v>1452402.529998299</v>
      </c>
      <c r="Q50" s="136">
        <f>IFERROR(Q25/$B50,0)</f>
        <v>839282.05673987919</v>
      </c>
      <c r="R50" s="136">
        <f>IFERROR(R25/$B50,0)</f>
        <v>10494724.878274495</v>
      </c>
      <c r="S50" s="149">
        <f>IFERROR(s_RadSpec!$K$25*$S$25,".")*$B$50</f>
        <v>3.7453479965753423E-5</v>
      </c>
      <c r="T50" s="149">
        <f>IFERROR(s_RadSpec!$R$25*$T$25,".")*$B$50</f>
        <v>4.3296626974086035E-6</v>
      </c>
      <c r="U50" s="149">
        <f>IFERROR(s_RadSpec!$S$25*$U$25,".")*$B$50</f>
        <v>1.7212859027468977E-5</v>
      </c>
      <c r="V50" s="149">
        <f>IFERROR(s_RadSpec!$T$25*$V$25,".")*$B$50</f>
        <v>2.978736385370897E-5</v>
      </c>
      <c r="W50" s="149">
        <f>IFERROR(s_RadSpec!$P$25*$W$25,".")*$B$50</f>
        <v>2.3821491549295774E-6</v>
      </c>
      <c r="X50" s="136">
        <f>IFERROR(X25/$B50,0)</f>
        <v>7613.7602855160121</v>
      </c>
      <c r="Y50" s="136">
        <f t="shared" ref="Y50" si="107">IFERROR(Y25/$B50,0)</f>
        <v>24.642708852583716</v>
      </c>
      <c r="Z50" s="136">
        <f t="shared" si="104"/>
        <v>24.563207535352756</v>
      </c>
      <c r="AA50" s="149">
        <f>IFERROR(s_RadSpec!$L$25*AA$25,".")*$B$50</f>
        <v>3.283528645833333E-3</v>
      </c>
      <c r="AB50" s="149">
        <f>IFERROR(s_RadSpec!$O$25*$AB$25,".")*$B$50</f>
        <v>1.0144988584474885</v>
      </c>
      <c r="AC50" s="150">
        <f t="shared" si="56"/>
        <v>1.0177823870933218</v>
      </c>
      <c r="AD50" s="136">
        <f>IFERROR(AD25/$B50,0)</f>
        <v>0</v>
      </c>
      <c r="AE50" s="136">
        <f t="shared" ref="AE50:AF50" si="108">IFERROR(AE25/$B50,0)</f>
        <v>15227.520571032024</v>
      </c>
      <c r="AF50" s="136">
        <f t="shared" si="108"/>
        <v>28345.669092400152</v>
      </c>
      <c r="AG50" s="136">
        <f>IFERROR(AG25/$B50,0)</f>
        <v>0</v>
      </c>
      <c r="AH50" s="136">
        <f>IFERROR(AH25/$B50,0)</f>
        <v>9905.9596632290923</v>
      </c>
      <c r="AI50" s="149">
        <f>IFERROR(s_RadSpec!$M$25*AI25,".")*$B$50</f>
        <v>0</v>
      </c>
      <c r="AJ50" s="149">
        <f>IFERROR(s_RadSpec!$L$25*AJ25,".")*$B$50</f>
        <v>1.6417643229166665E-3</v>
      </c>
      <c r="AK50" s="149">
        <f>IFERROR(s_RadSpec!$Q$25*AK25,".")*$B$50</f>
        <v>8.8196894977168947E-4</v>
      </c>
      <c r="AL50" s="149">
        <f>s_b2w!AB50</f>
        <v>0</v>
      </c>
      <c r="AM50" s="150">
        <f t="shared" si="59"/>
        <v>2.5237332726883561E-3</v>
      </c>
      <c r="AN50" s="136">
        <f>IFERROR(AN25/$B50,0)</f>
        <v>0</v>
      </c>
      <c r="AO50" s="149">
        <f>IFERROR(s_RadSpec!$J$25*AO25,".")*$B$50</f>
        <v>0</v>
      </c>
      <c r="AP50" s="141"/>
    </row>
    <row r="51" spans="1:42" x14ac:dyDescent="0.25">
      <c r="A51" s="148" t="s">
        <v>1061</v>
      </c>
      <c r="B51" s="141">
        <v>1</v>
      </c>
      <c r="C51" s="136">
        <f>IFERROR(C21/$B51,0)</f>
        <v>0</v>
      </c>
      <c r="D51" s="136">
        <f>IFERROR(D21/$B51,0)</f>
        <v>2027553664.3917964</v>
      </c>
      <c r="E51" s="136">
        <f>IFERROR(E21/$B51,0)</f>
        <v>0</v>
      </c>
      <c r="F51" s="136">
        <f>s_b2s!C51</f>
        <v>0</v>
      </c>
      <c r="G51" s="136">
        <f>IFERROR(G21/$B51,0)</f>
        <v>0</v>
      </c>
      <c r="H51" s="136">
        <f t="shared" si="106"/>
        <v>2027553664.3917966</v>
      </c>
      <c r="I51" s="149">
        <f>IFERROR(s_RadSpec!$I$21*I21,".")*$B$51</f>
        <v>0</v>
      </c>
      <c r="J51" s="149">
        <f>IFERROR(s_RadSpec!$L$21*$J$21,".")*B51</f>
        <v>1.2330129869829724E-8</v>
      </c>
      <c r="K51" s="149">
        <f>IFERROR(s_RadSpec!$K$21*$K$21,".")*B51</f>
        <v>0</v>
      </c>
      <c r="L51" s="149">
        <f>s_b2s!AB51</f>
        <v>0</v>
      </c>
      <c r="M51" s="150">
        <f t="shared" si="52"/>
        <v>1.2330129869829724E-8</v>
      </c>
      <c r="N51" s="136">
        <f>IFERROR(N21/$B51,0)</f>
        <v>0</v>
      </c>
      <c r="O51" s="136">
        <f>IFERROR(O21/$B51,0)</f>
        <v>0</v>
      </c>
      <c r="P51" s="136">
        <f>IFERROR(P21/$B51,0)</f>
        <v>0</v>
      </c>
      <c r="Q51" s="136">
        <f>IFERROR(Q21/$B51,0)</f>
        <v>0</v>
      </c>
      <c r="R51" s="136">
        <f>IFERROR(R21/$B51,0)</f>
        <v>0</v>
      </c>
      <c r="S51" s="149">
        <f>IFERROR(s_RadSpec!$K$21*$S$21,".")*$B$51</f>
        <v>0</v>
      </c>
      <c r="T51" s="149">
        <f>IFERROR(s_RadSpec!$R$21*$T$21,".")*$B$51</f>
        <v>0</v>
      </c>
      <c r="U51" s="149">
        <f>IFERROR(s_RadSpec!$S$21*$U$21,".")*$B$51</f>
        <v>0</v>
      </c>
      <c r="V51" s="149">
        <f>IFERROR(s_RadSpec!$T$21*$V$21,".")*$B$51</f>
        <v>0</v>
      </c>
      <c r="W51" s="149">
        <f>IFERROR(s_RadSpec!$P$21*$W$21,".")*$B$51</f>
        <v>0</v>
      </c>
      <c r="X51" s="136">
        <f>IFERROR(X21/$B51,0)</f>
        <v>6544.6364658963093</v>
      </c>
      <c r="Y51" s="136">
        <f t="shared" ref="Y51" si="109">IFERROR(Y21/$B51,0)</f>
        <v>162717.1233395795</v>
      </c>
      <c r="Z51" s="136">
        <f t="shared" si="104"/>
        <v>6291.5830501693035</v>
      </c>
      <c r="AA51" s="149">
        <f>IFERROR(s_RadSpec!$L$21*AA21,".")*$B$51</f>
        <v>3.8199218749999995E-3</v>
      </c>
      <c r="AB51" s="149">
        <f>IFERROR(s_RadSpec!$O$21*$AB$21,".")*$B$51</f>
        <v>1.5364086757990868E-4</v>
      </c>
      <c r="AC51" s="150">
        <f t="shared" si="56"/>
        <v>3.9735627425799081E-3</v>
      </c>
      <c r="AD51" s="136">
        <f>IFERROR(AD21/$B51,0)</f>
        <v>0</v>
      </c>
      <c r="AE51" s="136">
        <f t="shared" ref="AE51:AF51" si="110">IFERROR(AE21/$B51,0)</f>
        <v>0</v>
      </c>
      <c r="AF51" s="136">
        <f t="shared" si="110"/>
        <v>372656348.90707898</v>
      </c>
      <c r="AG51" s="136">
        <f>IFERROR(AG21/$B51,0)</f>
        <v>0</v>
      </c>
      <c r="AH51" s="136">
        <f>IFERROR(AH21/$B51,0)</f>
        <v>372656348.90707898</v>
      </c>
      <c r="AI51" s="149">
        <f>IFERROR(s_RadSpec!$M$21*AI21,".")*$B$51</f>
        <v>0</v>
      </c>
      <c r="AJ51" s="149">
        <f>IFERROR(s_RadSpec!$L$21*AJ21,".")*$B$51</f>
        <v>1.9099609374999998E-3</v>
      </c>
      <c r="AK51" s="149">
        <f>IFERROR(s_RadSpec!$Q$21*AK21,".")*$B$51</f>
        <v>6.7085936073059347E-8</v>
      </c>
      <c r="AL51" s="149">
        <f>s_b2w!AB51</f>
        <v>0</v>
      </c>
      <c r="AM51" s="150">
        <f t="shared" si="59"/>
        <v>1.9100280234360728E-3</v>
      </c>
      <c r="AN51" s="136">
        <f>IFERROR(AN21/$B51,0)</f>
        <v>0</v>
      </c>
      <c r="AO51" s="149">
        <f>IFERROR(s_RadSpec!$J$21*AO21,".")*$B$51</f>
        <v>0</v>
      </c>
      <c r="AP51" s="141"/>
    </row>
    <row r="52" spans="1:42" x14ac:dyDescent="0.25">
      <c r="A52" s="148" t="s">
        <v>1062</v>
      </c>
      <c r="B52" s="141">
        <v>0.99980000000000002</v>
      </c>
      <c r="C52" s="136">
        <f>IFERROR(C17/$B52,0)</f>
        <v>2245311.9742289768</v>
      </c>
      <c r="D52" s="136">
        <f>IFERROR(D17/$B52,0)</f>
        <v>331610504.99081546</v>
      </c>
      <c r="E52" s="136">
        <f>IFERROR(E17/$B52,0)</f>
        <v>1554.2541628628449</v>
      </c>
      <c r="F52" s="136">
        <f>s_b2s!C52</f>
        <v>72675.577738435895</v>
      </c>
      <c r="G52" s="136">
        <f>IFERROR(G17/$B52,0)</f>
        <v>1496.8746494859847</v>
      </c>
      <c r="H52" s="136">
        <f t="shared" si="106"/>
        <v>1520.6729816118279</v>
      </c>
      <c r="I52" s="149">
        <f>IFERROR(s_RadSpec!$I$17*I17,".")*$B$52</f>
        <v>1.1134310192500001E-5</v>
      </c>
      <c r="J52" s="149">
        <f>IFERROR(s_RadSpec!$L$17*$J$17,".")*B52</f>
        <v>7.5389650278697943E-8</v>
      </c>
      <c r="K52" s="149">
        <f>IFERROR(s_RadSpec!$K$17*$K$17,".")*B52</f>
        <v>1.6084885340729257E-2</v>
      </c>
      <c r="L52" s="149">
        <f>s_b2s!AB52</f>
        <v>3.4399451339728749E-4</v>
      </c>
      <c r="M52" s="150">
        <f t="shared" si="52"/>
        <v>1.6440089553969323E-2</v>
      </c>
      <c r="N52" s="136">
        <f>IFERROR(N17/$B52,0)</f>
        <v>1554.2541628628449</v>
      </c>
      <c r="O52" s="136">
        <f>IFERROR(O17/$B52,0)</f>
        <v>12187.510429844491</v>
      </c>
      <c r="P52" s="136">
        <f>IFERROR(P17/$B52,0)</f>
        <v>3256.1156680398876</v>
      </c>
      <c r="Q52" s="136">
        <f>IFERROR(Q17/$B52,0)</f>
        <v>1947.1722505923037</v>
      </c>
      <c r="R52" s="136">
        <f>IFERROR(R17/$B52,0)</f>
        <v>23035.025688233894</v>
      </c>
      <c r="S52" s="149">
        <f>IFERROR(s_RadSpec!$K$17*$S$17,".")*$B$52</f>
        <v>1.6084885340729257E-2</v>
      </c>
      <c r="T52" s="149">
        <f>IFERROR(s_RadSpec!$R$17*$T$17,".")*$B$52</f>
        <v>2.0512802958330672E-3</v>
      </c>
      <c r="U52" s="149">
        <f>IFERROR(s_RadSpec!$S$17*$U$17,".")*$B$52</f>
        <v>7.6778599253660628E-3</v>
      </c>
      <c r="V52" s="149">
        <f>IFERROR(s_RadSpec!$T$17*$V$17,".")*$B$52</f>
        <v>1.2839131202899663E-2</v>
      </c>
      <c r="W52" s="149">
        <f>IFERROR(s_RadSpec!$P$17*$W$17,".")*$B$52</f>
        <v>1.0853037603847692E-3</v>
      </c>
      <c r="X52" s="136">
        <f>IFERROR(X17/$B52,0)</f>
        <v>1070.3885384400887</v>
      </c>
      <c r="Y52" s="136">
        <f t="shared" ref="Y52" si="111">IFERROR(Y17/$B52,0)</f>
        <v>3.8414787745810267E-2</v>
      </c>
      <c r="Z52" s="136">
        <f t="shared" si="104"/>
        <v>3.8413409140840439E-2</v>
      </c>
      <c r="AA52" s="149">
        <f>IFERROR(s_RadSpec!$L$17*AA17,".")*$B$52</f>
        <v>2.3356004947916665E-2</v>
      </c>
      <c r="AB52" s="149">
        <f>IFERROR(s_RadSpec!$O$17*$AB$17,".")*$B$52</f>
        <v>650.79104863013697</v>
      </c>
      <c r="AC52" s="150">
        <f t="shared" si="56"/>
        <v>650.81440463508488</v>
      </c>
      <c r="AD52" s="136">
        <f>IFERROR(AD17/$B52,0)</f>
        <v>24698.431716518749</v>
      </c>
      <c r="AE52" s="136">
        <f t="shared" ref="AE52:AF52" si="112">IFERROR(AE17/$B52,0)</f>
        <v>0</v>
      </c>
      <c r="AF52" s="136">
        <f t="shared" si="112"/>
        <v>44.232795018515965</v>
      </c>
      <c r="AG52" s="136">
        <f>IFERROR(AG17/$B52,0)</f>
        <v>114204.90549898063</v>
      </c>
      <c r="AH52" s="136">
        <f>IFERROR(AH17/$B52,0)</f>
        <v>44.136655410631207</v>
      </c>
      <c r="AI52" s="149">
        <f>IFERROR(s_RadSpec!$M$17*AI17,".")*$B$52</f>
        <v>1.0122100175000001E-3</v>
      </c>
      <c r="AJ52" s="149">
        <f>IFERROR(s_RadSpec!$L$17*AJ17,".")*$B$52</f>
        <v>1.1678002473958332E-2</v>
      </c>
      <c r="AK52" s="149">
        <f>IFERROR(s_RadSpec!$Q$17*AK17,".")*$B$52</f>
        <v>0.56519150529680362</v>
      </c>
      <c r="AL52" s="149">
        <f>s_b2w!AB52</f>
        <v>2.1890478251149328E-4</v>
      </c>
      <c r="AM52" s="150">
        <f t="shared" si="59"/>
        <v>0.57810062257077344</v>
      </c>
      <c r="AN52" s="136">
        <f>IFERROR(AN17/$B52,0)</f>
        <v>4490.6239484579546</v>
      </c>
      <c r="AO52" s="149">
        <f>IFERROR(s_RadSpec!$J$17*AO17,".")*$B$52</f>
        <v>5.56715509625E-3</v>
      </c>
      <c r="AP52" s="141"/>
    </row>
    <row r="53" spans="1:42" x14ac:dyDescent="0.25">
      <c r="A53" s="148" t="s">
        <v>1076</v>
      </c>
      <c r="B53" s="141">
        <v>2.0000000000000001E-4</v>
      </c>
      <c r="C53" s="136">
        <f>IFERROR(C5/$B53,0)</f>
        <v>0</v>
      </c>
      <c r="D53" s="136">
        <f>IFERROR(D5/$B53,0)</f>
        <v>0</v>
      </c>
      <c r="E53" s="136">
        <f>IFERROR(E5/$B53,0)</f>
        <v>0</v>
      </c>
      <c r="F53" s="136">
        <f>s_b2s!C53</f>
        <v>0</v>
      </c>
      <c r="G53" s="136">
        <f>IFERROR(G5/$B53,0)</f>
        <v>0</v>
      </c>
      <c r="H53" s="136">
        <f t="shared" si="106"/>
        <v>0</v>
      </c>
      <c r="I53" s="149">
        <f>IFERROR(s_RadSpec!$I$5*I5,".")*$B$53</f>
        <v>0</v>
      </c>
      <c r="J53" s="149">
        <f>IFERROR(s_RadSpec!$L$5*$J$5,".")*B53</f>
        <v>0</v>
      </c>
      <c r="K53" s="149">
        <f>IFERROR(s_RadSpec!$K$5*$K$5,".")*B53</f>
        <v>0</v>
      </c>
      <c r="L53" s="149">
        <f>s_b2s!AB53</f>
        <v>0</v>
      </c>
      <c r="M53" s="150">
        <f t="shared" si="52"/>
        <v>0</v>
      </c>
      <c r="N53" s="136">
        <f>IFERROR(N5/$B53,0)</f>
        <v>0</v>
      </c>
      <c r="O53" s="136">
        <f>IFERROR(O5/$B53,0)</f>
        <v>0</v>
      </c>
      <c r="P53" s="136">
        <f>IFERROR(P5/$B53,0)</f>
        <v>0</v>
      </c>
      <c r="Q53" s="136">
        <f>IFERROR(Q5/$B53,0)</f>
        <v>0</v>
      </c>
      <c r="R53" s="136">
        <f>IFERROR(R5/$B53,0)</f>
        <v>0</v>
      </c>
      <c r="S53" s="149">
        <f>IFERROR(s_RadSpec!$K$5*$S$5,".")*$B$53</f>
        <v>0</v>
      </c>
      <c r="T53" s="149">
        <f>IFERROR(s_RadSpec!$R$5*$T$5,".")*$B$53</f>
        <v>0</v>
      </c>
      <c r="U53" s="149">
        <f>IFERROR(s_RadSpec!$S$5*$U$5,".")*$B$53</f>
        <v>0</v>
      </c>
      <c r="V53" s="149">
        <f>IFERROR(s_RadSpec!$T$5*$V$5,".")*$B$53</f>
        <v>0</v>
      </c>
      <c r="W53" s="149">
        <f>IFERROR(s_RadSpec!$P$5*$W$5,".")*$B$53</f>
        <v>0</v>
      </c>
      <c r="X53" s="136">
        <f>IFERROR(X5/$B53,0)</f>
        <v>0</v>
      </c>
      <c r="Y53" s="136">
        <f t="shared" ref="Y53" si="113">IFERROR(Y5/$B53,0)</f>
        <v>2175096.240559685</v>
      </c>
      <c r="Z53" s="136">
        <f t="shared" si="104"/>
        <v>2175096.240559685</v>
      </c>
      <c r="AA53" s="149">
        <f>IFERROR(s_RadSpec!$L$5*AA5,".")*$B$53</f>
        <v>0</v>
      </c>
      <c r="AB53" s="149">
        <f>IFERROR(s_RadSpec!$O$5*$AB$5,".")*$B$53</f>
        <v>1.1493744292237443E-5</v>
      </c>
      <c r="AC53" s="150">
        <f t="shared" si="56"/>
        <v>1.1493744292237443E-5</v>
      </c>
      <c r="AD53" s="136">
        <f>IFERROR(AD5/$B53,0)</f>
        <v>0</v>
      </c>
      <c r="AE53" s="136">
        <f t="shared" ref="AE53:AF53" si="114">IFERROR(AE5/$B53,0)</f>
        <v>0</v>
      </c>
      <c r="AF53" s="136">
        <f t="shared" si="114"/>
        <v>4263188631.4969821</v>
      </c>
      <c r="AG53" s="136">
        <f>IFERROR(AG5/$B53,0)</f>
        <v>0</v>
      </c>
      <c r="AH53" s="136">
        <f>IFERROR(AH5/$B53,0)</f>
        <v>4263188631.4969821</v>
      </c>
      <c r="AI53" s="149">
        <f>IFERROR(s_RadSpec!$M$5*AI5,".")*$B$53</f>
        <v>0</v>
      </c>
      <c r="AJ53" s="149">
        <f>IFERROR(s_RadSpec!$L$5*AJ5,".")*$B$53</f>
        <v>0</v>
      </c>
      <c r="AK53" s="149">
        <f>IFERROR(s_RadSpec!$Q$5*AK5,".")*$B$53</f>
        <v>5.8641552511415525E-9</v>
      </c>
      <c r="AL53" s="149">
        <f>s_b2w!AB53</f>
        <v>0</v>
      </c>
      <c r="AM53" s="150">
        <f t="shared" si="59"/>
        <v>5.8641552511415525E-9</v>
      </c>
      <c r="AN53" s="136">
        <f>IFERROR(AN5/$B53,0)</f>
        <v>0</v>
      </c>
      <c r="AO53" s="149">
        <f>IFERROR(s_RadSpec!$J$5*AO5,".")*$B$53</f>
        <v>0</v>
      </c>
      <c r="AP53" s="141"/>
    </row>
    <row r="54" spans="1:42" x14ac:dyDescent="0.25">
      <c r="A54" s="148" t="s">
        <v>1077</v>
      </c>
      <c r="B54" s="141">
        <v>0.99999979999999999</v>
      </c>
      <c r="C54" s="136">
        <f>IFERROR(C9/$B54,0)</f>
        <v>2998173.2134265364</v>
      </c>
      <c r="D54" s="136">
        <f>IFERROR(D9/$B54,0)</f>
        <v>422130109.63546145</v>
      </c>
      <c r="E54" s="136">
        <f>IFERROR(E9/$B54,0)</f>
        <v>79.071802183642376</v>
      </c>
      <c r="F54" s="136">
        <f>s_b2s!C54</f>
        <v>17610.415350522973</v>
      </c>
      <c r="G54" s="136">
        <f>IFERROR(G9/$B54,0)</f>
        <v>1998.7821422843576</v>
      </c>
      <c r="H54" s="136">
        <f>(IF(AND(C54&lt;&gt;0,D54&lt;&gt;0,E54&lt;&gt;0,F54&lt;&gt;0),1/((1/C54)+(1/D54)+(1/E54)+(1/F54)),IF(AND(C54&lt;&gt;0,D54&lt;&gt;0,E54&lt;&gt;0,F54=0), 1/((1/C54)+(1/D54)+(1/E54)),IF(AND(C54&lt;&gt;0,D54&lt;&gt;0,E54=0,F54&lt;&gt;0),1/((1/C54)+(1/D54)+(1/F54)),IF(AND(C54&lt;&gt;0,D54=0,E54&lt;&gt;0,F54&lt;&gt;0),1/((1/C54)+(1/E54)+(1/F54)),IF(AND(C54=0,D54&lt;&gt;0,E54&lt;&gt;0,F54&lt;&gt;0),1/((1/D54)+(1/E54)+(1/F54)),IF(AND(C54&lt;&gt;0,D54&lt;&gt;0,E54=0,F54=0),1/((1/C54)+(1/D54)),IF(AND(C54&lt;&gt;0,D54=0,E54&lt;&gt;0,F54=0),1/((1/C54)+(1/E54)),IF(AND(C54&lt;&gt;0,D54=0,E54=0,F54&lt;&gt;0),1/((1/C54)+(1/F54)),IF(AND(C54=0,D54=0,E54&lt;&gt;0,F54&lt;&gt;0),1/((1/E54)+(1/F54)),IF(AND(C54=0,D54&lt;&gt;0,E54=0,F54&lt;&gt;0),1/((1/D54)+(1/F54)),IF(AND(C54=0,D54&lt;&gt;0,E54&lt;&gt;0,F54=0),1/((1/D54)+(1/E54)),IF(AND(C54&lt;&gt;0,D54=0,E54=0,F54=0),1/((1/C54)),IF(AND(C54=0,D54&lt;&gt;0,E54=0,F54=0),1/((1/D54)),IF(AND(C54=0,D54=0,E54&lt;&gt;0,F54=0),1/((1/E54)),IF(AND(C54=0,D54=0,E54=0,F54&lt;&gt;0),1/((1/F54)),IF(AND(C54=0,D54=0,E54=0,F54=0),0)))))))))))))))))</f>
        <v>78.716270736847207</v>
      </c>
      <c r="I54" s="149">
        <f>IFERROR(s_RadSpec!$I$9*I9,".")*$B$54</f>
        <v>8.3384108323175001E-6</v>
      </c>
      <c r="J54" s="149">
        <f>IFERROR(s_RadSpec!$L$9*$J$9,".")*B54</f>
        <v>5.9223446585199112E-8</v>
      </c>
      <c r="K54" s="149">
        <f>IFERROR(s_RadSpec!$K$9*$K$9,".")*B54</f>
        <v>0.31616833447071435</v>
      </c>
      <c r="L54" s="149">
        <f>s_b2s!AB54</f>
        <v>1.4196144442020543E-3</v>
      </c>
      <c r="M54" s="150">
        <f t="shared" si="52"/>
        <v>0.31759634654919533</v>
      </c>
      <c r="N54" s="136">
        <f>IFERROR(N9/$B54,0)</f>
        <v>79.071802183642376</v>
      </c>
      <c r="O54" s="136">
        <f>IFERROR(O9/$B54,0)</f>
        <v>908.19570830632085</v>
      </c>
      <c r="P54" s="136">
        <f>IFERROR(P9/$B54,0)</f>
        <v>221.12268470195366</v>
      </c>
      <c r="Q54" s="136">
        <f>IFERROR(Q9/$B54,0)</f>
        <v>112.58175174318031</v>
      </c>
      <c r="R54" s="136">
        <f>IFERROR(R9/$B54,0)</f>
        <v>1578.5452637736412</v>
      </c>
      <c r="S54" s="149">
        <f>IFERROR(s_RadSpec!$K$9*$S$9,".")*$B$54</f>
        <v>0.31616833447071435</v>
      </c>
      <c r="T54" s="149">
        <f>IFERROR(s_RadSpec!$R$9*$T$9,".")*$B$54</f>
        <v>2.7527106516085708E-2</v>
      </c>
      <c r="U54" s="149">
        <f>IFERROR(s_RadSpec!$S$9*$U$9,".")*$B$54</f>
        <v>0.11305940877887288</v>
      </c>
      <c r="V54" s="149">
        <f>IFERROR(s_RadSpec!$T$9*$V$9,".")*$B$54</f>
        <v>0.22206085456042293</v>
      </c>
      <c r="W54" s="149">
        <f>IFERROR(s_RadSpec!$P$9*$W$9,".")*$B$54</f>
        <v>1.583736657651201E-2</v>
      </c>
      <c r="X54" s="136">
        <f>IFERROR(X9/$B54,0)</f>
        <v>1362.5721268895584</v>
      </c>
      <c r="Y54" s="136">
        <f t="shared" ref="Y54" si="115">IFERROR(Y9/$B54,0)</f>
        <v>5.9960470944231785E-3</v>
      </c>
      <c r="Z54" s="136">
        <f t="shared" si="104"/>
        <v>5.9960207087208445E-3</v>
      </c>
      <c r="AA54" s="149">
        <f>IFERROR(s_RadSpec!$L$9*AA9,".")*$B$54</f>
        <v>1.8347652580468745E-2</v>
      </c>
      <c r="AB54" s="149">
        <f>IFERROR(s_RadSpec!$O$9*$AB$9,".")*$B$54</f>
        <v>4169.4135496787667</v>
      </c>
      <c r="AC54" s="150">
        <f t="shared" si="56"/>
        <v>4169.4318973313475</v>
      </c>
      <c r="AD54" s="136">
        <f>IFERROR(AD9/$B54,0)</f>
        <v>32979.9053476919</v>
      </c>
      <c r="AE54" s="136">
        <f t="shared" ref="AE54:AF54" si="116">IFERROR(AE9/$B54,0)</f>
        <v>0</v>
      </c>
      <c r="AF54" s="136">
        <f t="shared" si="116"/>
        <v>6.9207621495696099</v>
      </c>
      <c r="AG54" s="136">
        <f>IFERROR(AG9/$B54,0)</f>
        <v>63318.96325229427</v>
      </c>
      <c r="AH54" s="136">
        <f>IFERROR(AH9/$B54,0)</f>
        <v>6.9185541079762372</v>
      </c>
      <c r="AI54" s="149">
        <f>IFERROR(s_RadSpec!$M$9*AI9,".")*$B$54</f>
        <v>7.580373483925E-4</v>
      </c>
      <c r="AJ54" s="149">
        <f>IFERROR(s_RadSpec!$L$9*AJ9,".")*$B$54</f>
        <v>9.1738262902343725E-3</v>
      </c>
      <c r="AK54" s="149">
        <f>IFERROR(s_RadSpec!$Q$9*AK9,".")*$B$54</f>
        <v>3.6123189122392692</v>
      </c>
      <c r="AL54" s="149">
        <f>s_b2w!AB54</f>
        <v>3.9482642664864169E-4</v>
      </c>
      <c r="AM54" s="150">
        <f t="shared" si="59"/>
        <v>3.6226456023045444</v>
      </c>
      <c r="AN54" s="136">
        <f>IFERROR(AN9/$B54,0)</f>
        <v>5996.3464268530734</v>
      </c>
      <c r="AO54" s="149">
        <f>IFERROR(s_RadSpec!$J$9*AO9,".")*$B$54</f>
        <v>4.1692054161587494E-3</v>
      </c>
      <c r="AP54" s="141"/>
    </row>
    <row r="55" spans="1:42" x14ac:dyDescent="0.25">
      <c r="A55" s="148" t="s">
        <v>1078</v>
      </c>
      <c r="B55" s="141">
        <v>1.9999999999999999E-7</v>
      </c>
      <c r="C55" s="136">
        <f>IFERROR(C24/$B55,0)</f>
        <v>0</v>
      </c>
      <c r="D55" s="136">
        <f>IFERROR(D24/$B55,0)</f>
        <v>0</v>
      </c>
      <c r="E55" s="136">
        <f>IFERROR(E24/$B55,0)</f>
        <v>1496404063004.1741</v>
      </c>
      <c r="F55" s="136">
        <f>s_b2s!C55</f>
        <v>0</v>
      </c>
      <c r="G55" s="136">
        <f>IFERROR(G24/$B55,0)</f>
        <v>0</v>
      </c>
      <c r="H55" s="136">
        <f t="shared" si="106"/>
        <v>1496404063004.1741</v>
      </c>
      <c r="I55" s="149">
        <f>IFERROR(s_RadSpec!$I$24*I24,".")*$B$55</f>
        <v>0</v>
      </c>
      <c r="J55" s="149">
        <f>IFERROR(s_RadSpec!$L$24*$J$24,".")*B55</f>
        <v>0</v>
      </c>
      <c r="K55" s="149">
        <f>IFERROR(s_RadSpec!$K$24*$K$24,".")*B55</f>
        <v>1.6706717535777143E-11</v>
      </c>
      <c r="L55" s="149">
        <f>s_b2s!AB55</f>
        <v>0</v>
      </c>
      <c r="M55" s="150">
        <f t="shared" si="52"/>
        <v>1.6706717535777143E-11</v>
      </c>
      <c r="N55" s="136">
        <f>IFERROR(N24/$B55,0)</f>
        <v>1496404063004.1741</v>
      </c>
      <c r="O55" s="136">
        <f>IFERROR(O24/$B55,0)</f>
        <v>13476354557963.766</v>
      </c>
      <c r="P55" s="136">
        <f>IFERROR(P24/$B55,0)</f>
        <v>3333943743558.2715</v>
      </c>
      <c r="Q55" s="136">
        <f>IFERROR(Q24/$B55,0)</f>
        <v>1787802714277.3079</v>
      </c>
      <c r="R55" s="136">
        <f>IFERROR(R24/$B55,0)</f>
        <v>22690368124204.469</v>
      </c>
      <c r="S55" s="149">
        <f>IFERROR(s_RadSpec!$K$24*$S$24,".")*$B$55</f>
        <v>1.6706717535777143E-11</v>
      </c>
      <c r="T55" s="149">
        <f>IFERROR(s_RadSpec!$R$24*$T$24,".")*$B$55</f>
        <v>1.8551010877957654E-12</v>
      </c>
      <c r="U55" s="149">
        <f>IFERROR(s_RadSpec!$S$24*$U$24,".")*$B$55</f>
        <v>7.4986268284532752E-12</v>
      </c>
      <c r="V55" s="149">
        <f>IFERROR(s_RadSpec!$T$24*$V$24,".")*$B$55</f>
        <v>1.3983645846575342E-11</v>
      </c>
      <c r="W55" s="149">
        <f>IFERROR(s_RadSpec!$P$24*$W$24,".")*$B$55</f>
        <v>1.1017890879139936E-12</v>
      </c>
      <c r="X55" s="136">
        <f>IFERROR(X24/$B55,0)</f>
        <v>0</v>
      </c>
      <c r="Y55" s="136">
        <f t="shared" ref="Y55" si="117">IFERROR(Y24/$B55,0)</f>
        <v>62693950.463190928</v>
      </c>
      <c r="Z55" s="136">
        <f t="shared" si="104"/>
        <v>62693950.463190928</v>
      </c>
      <c r="AA55" s="149">
        <f>IFERROR(s_RadSpec!$L$24*AA24,".")*$B$55</f>
        <v>0</v>
      </c>
      <c r="AB55" s="149">
        <f>IFERROR(s_RadSpec!$O$24*$AB$24,".")*$B$55</f>
        <v>3.9876255707762561E-7</v>
      </c>
      <c r="AC55" s="150">
        <f t="shared" si="56"/>
        <v>3.9876255707762561E-7</v>
      </c>
      <c r="AD55" s="136">
        <f>IFERROR(AD24/$B55,0)</f>
        <v>0</v>
      </c>
      <c r="AE55" s="136">
        <f t="shared" ref="AE55:AF55" si="118">IFERROR(AE24/$B55,0)</f>
        <v>0</v>
      </c>
      <c r="AF55" s="136">
        <f t="shared" si="118"/>
        <v>72110768462.398224</v>
      </c>
      <c r="AG55" s="136">
        <f>IFERROR(AG24/$B55,0)</f>
        <v>0</v>
      </c>
      <c r="AH55" s="136">
        <f>IFERROR(AH24/$B55,0)</f>
        <v>72110768462.398224</v>
      </c>
      <c r="AI55" s="149">
        <f>IFERROR(s_RadSpec!$M$24*AI24,".")*$B$55</f>
        <v>0</v>
      </c>
      <c r="AJ55" s="149">
        <f>IFERROR(s_RadSpec!$L$24*AJ24,".")*$B$55</f>
        <v>0</v>
      </c>
      <c r="AK55" s="149">
        <f>IFERROR(s_RadSpec!$Q$24*AK24,".")*$B$55</f>
        <v>3.466888584474886E-10</v>
      </c>
      <c r="AL55" s="149">
        <f>s_b2w!AB55</f>
        <v>0</v>
      </c>
      <c r="AM55" s="150">
        <f t="shared" si="59"/>
        <v>3.466888584474886E-10</v>
      </c>
      <c r="AN55" s="136">
        <f>IFERROR(AN24/$B55,0)</f>
        <v>0</v>
      </c>
      <c r="AO55" s="149">
        <f>IFERROR(s_RadSpec!$J$24*AO24,".")*$B$55</f>
        <v>0</v>
      </c>
      <c r="AP55" s="141"/>
    </row>
    <row r="56" spans="1:42" x14ac:dyDescent="0.25">
      <c r="A56" s="148" t="s">
        <v>1079</v>
      </c>
      <c r="B56" s="141">
        <v>0.99979000004200003</v>
      </c>
      <c r="C56" s="136">
        <f>IFERROR(C20/$B56,0)</f>
        <v>0</v>
      </c>
      <c r="D56" s="136">
        <f>IFERROR(D20/$B56,0)</f>
        <v>0</v>
      </c>
      <c r="E56" s="136">
        <f>IFERROR(E20/$B56,0)</f>
        <v>2079934.5903760151</v>
      </c>
      <c r="F56" s="136">
        <f>s_b2s!C56</f>
        <v>0</v>
      </c>
      <c r="G56" s="136">
        <f>IFERROR(G20/$B56,0)</f>
        <v>0</v>
      </c>
      <c r="H56" s="136">
        <f t="shared" si="106"/>
        <v>2079934.5903760151</v>
      </c>
      <c r="I56" s="149">
        <f>IFERROR(s_RadSpec!$I$20*I20,".")*$B$56</f>
        <v>0</v>
      </c>
      <c r="J56" s="149">
        <f>IFERROR(s_RadSpec!$L$20*$J$20,".")*B56</f>
        <v>0</v>
      </c>
      <c r="K56" s="149">
        <f>IFERROR(s_RadSpec!$K$20*$K$20,".")*B56</f>
        <v>1.2019608749081118E-5</v>
      </c>
      <c r="L56" s="149">
        <f>s_b2s!AB56</f>
        <v>0</v>
      </c>
      <c r="M56" s="150">
        <f t="shared" si="52"/>
        <v>1.2019608749081118E-5</v>
      </c>
      <c r="N56" s="136">
        <f>IFERROR(N20/$B56,0)</f>
        <v>2079934.5903760151</v>
      </c>
      <c r="O56" s="136">
        <f>IFERROR(O20/$B56,0)</f>
        <v>21083395.931614425</v>
      </c>
      <c r="P56" s="136">
        <f>IFERROR(P20/$B56,0)</f>
        <v>5157906.8732266165</v>
      </c>
      <c r="Q56" s="136">
        <f>IFERROR(Q20/$B56,0)</f>
        <v>2740396.3271293752</v>
      </c>
      <c r="R56" s="136">
        <f>IFERROR(R20/$B56,0)</f>
        <v>36471870.128750049</v>
      </c>
      <c r="S56" s="149">
        <f>IFERROR(s_RadSpec!$K$20*$S$20,".")*$B$56</f>
        <v>1.2019608749081118E-5</v>
      </c>
      <c r="T56" s="149">
        <f>IFERROR(s_RadSpec!$R$20*$T$20,".")*$B$56</f>
        <v>1.1857672303403765E-6</v>
      </c>
      <c r="U56" s="149">
        <f>IFERROR(s_RadSpec!$S$20*$U$20,".")*$B$56</f>
        <v>4.8469273708233551E-6</v>
      </c>
      <c r="V56" s="149">
        <f>IFERROR(s_RadSpec!$T$20*$V$20,".")*$B$56</f>
        <v>9.1227680290274118E-6</v>
      </c>
      <c r="W56" s="149">
        <f>IFERROR(s_RadSpec!$P$20*$W$20,".")*$B$56</f>
        <v>6.8545977795344785E-7</v>
      </c>
      <c r="X56" s="136">
        <f>IFERROR(X20/$B56,0)</f>
        <v>0</v>
      </c>
      <c r="Y56" s="136">
        <f t="shared" ref="Y56" si="119">IFERROR(Y20/$B56,0)</f>
        <v>112.2127391835941</v>
      </c>
      <c r="Z56" s="136">
        <f t="shared" si="104"/>
        <v>112.21273918359408</v>
      </c>
      <c r="AA56" s="149">
        <f>IFERROR(s_RadSpec!$L$20*AA20,".")*$B$56</f>
        <v>0</v>
      </c>
      <c r="AB56" s="149">
        <f>IFERROR(s_RadSpec!$O$20*$AB$20,".")*$B$56</f>
        <v>0.22279110359383411</v>
      </c>
      <c r="AC56" s="150">
        <f t="shared" si="56"/>
        <v>0.22279110359383411</v>
      </c>
      <c r="AD56" s="136">
        <f>IFERROR(AD20/$B56,0)</f>
        <v>0</v>
      </c>
      <c r="AE56" s="136">
        <f t="shared" ref="AE56:AF56" si="120">IFERROR(AE20/$B56,0)</f>
        <v>0</v>
      </c>
      <c r="AF56" s="136">
        <f t="shared" si="120"/>
        <v>129528.67827996891</v>
      </c>
      <c r="AG56" s="136">
        <f>IFERROR(AG20/$B56,0)</f>
        <v>0</v>
      </c>
      <c r="AH56" s="136">
        <f>IFERROR(AH20/$B56,0)</f>
        <v>129528.67827996892</v>
      </c>
      <c r="AI56" s="149">
        <f>IFERROR(s_RadSpec!$M$20*AI20,".")*$B$56</f>
        <v>0</v>
      </c>
      <c r="AJ56" s="149">
        <f>IFERROR(s_RadSpec!$L$20*AJ20,".")*$B$56</f>
        <v>0</v>
      </c>
      <c r="AK56" s="149">
        <f>IFERROR(s_RadSpec!$Q$20*AK20,".")*$B$56</f>
        <v>1.9300745079760571E-4</v>
      </c>
      <c r="AL56" s="149">
        <f>s_b2w!AB56</f>
        <v>0</v>
      </c>
      <c r="AM56" s="150">
        <f t="shared" si="59"/>
        <v>1.9300745079760571E-4</v>
      </c>
      <c r="AN56" s="136">
        <f>IFERROR(AN20/$B56,0)</f>
        <v>0</v>
      </c>
      <c r="AO56" s="149">
        <f>IFERROR(s_RadSpec!$J$20*AO20,".")*$B$56</f>
        <v>0</v>
      </c>
      <c r="AP56" s="141"/>
    </row>
    <row r="57" spans="1:42" x14ac:dyDescent="0.25">
      <c r="A57" s="148" t="s">
        <v>1080</v>
      </c>
      <c r="B57" s="141">
        <v>2.0999995799999999E-4</v>
      </c>
      <c r="C57" s="136">
        <f>IFERROR(C29/$B57,0)</f>
        <v>0</v>
      </c>
      <c r="D57" s="136">
        <f>IFERROR(D29/$B57,0)</f>
        <v>0</v>
      </c>
      <c r="E57" s="136">
        <f>IFERROR(E29/$B57,0)</f>
        <v>223048.22459328643</v>
      </c>
      <c r="F57" s="136">
        <f>s_b2s!C57</f>
        <v>0</v>
      </c>
      <c r="G57" s="136">
        <f>IFERROR(G29/$B57,0)</f>
        <v>0</v>
      </c>
      <c r="H57" s="136">
        <f t="shared" si="106"/>
        <v>223048.22459328643</v>
      </c>
      <c r="I57" s="149">
        <f>IFERROR(s_RadSpec!$I$29*I29,".")*$B$57</f>
        <v>0</v>
      </c>
      <c r="J57" s="149">
        <f>IFERROR(s_RadSpec!$L$29*$J$29,".")*B57</f>
        <v>0</v>
      </c>
      <c r="K57" s="149">
        <f>IFERROR(s_RadSpec!$K$29*$K$29,".")*B57</f>
        <v>1.1208338486255981E-4</v>
      </c>
      <c r="L57" s="149">
        <f>s_b2s!AB57</f>
        <v>0</v>
      </c>
      <c r="M57" s="150">
        <f t="shared" si="52"/>
        <v>1.1208338486255981E-4</v>
      </c>
      <c r="N57" s="136">
        <f>IFERROR(N29/$B57,0)</f>
        <v>223048.22459328643</v>
      </c>
      <c r="O57" s="136">
        <f>IFERROR(O29/$B57,0)</f>
        <v>2437112.0772664649</v>
      </c>
      <c r="P57" s="136">
        <f>IFERROR(P29/$B57,0)</f>
        <v>604532.64906559931</v>
      </c>
      <c r="Q57" s="136">
        <f>IFERROR(Q29/$B57,0)</f>
        <v>319060.34853190853</v>
      </c>
      <c r="R57" s="136">
        <f>IFERROR(R29/$B57,0)</f>
        <v>4344168.1268426226</v>
      </c>
      <c r="S57" s="149">
        <f>IFERROR(s_RadSpec!$K$29*$S$29,".")*$B$57</f>
        <v>1.1208338486255981E-4</v>
      </c>
      <c r="T57" s="149">
        <f>IFERROR(s_RadSpec!$R$29*$T$29,".")*$B$57</f>
        <v>1.0258042801232482E-5</v>
      </c>
      <c r="U57" s="149">
        <f>IFERROR(s_RadSpec!$S$29*$U$29,".")*$B$57</f>
        <v>4.135425942443547E-5</v>
      </c>
      <c r="V57" s="149">
        <f>IFERROR(s_RadSpec!$T$29*$V$29,".")*$B$57</f>
        <v>7.835508271407721E-5</v>
      </c>
      <c r="W57" s="149">
        <f>IFERROR(s_RadSpec!$P$29*$W$29,".")*$B$57</f>
        <v>5.7548417257437517E-6</v>
      </c>
      <c r="X57" s="136">
        <f>IFERROR(X29/$B57,0)</f>
        <v>0</v>
      </c>
      <c r="Y57" s="136">
        <f t="shared" ref="Y57" si="121">IFERROR(Y29/$B57,0)</f>
        <v>15.379471443488022</v>
      </c>
      <c r="Z57" s="136">
        <f t="shared" si="104"/>
        <v>15.37947144348802</v>
      </c>
      <c r="AA57" s="149">
        <f>IFERROR(s_RadSpec!$L$29*AA29,".")*$B$57</f>
        <v>0</v>
      </c>
      <c r="AB57" s="149">
        <f>IFERROR(s_RadSpec!$O$29*$AB$29,".")*$B$57</f>
        <v>1.625543510507671</v>
      </c>
      <c r="AC57" s="150">
        <f t="shared" si="56"/>
        <v>1.625543510507671</v>
      </c>
      <c r="AD57" s="136">
        <f>IFERROR(AD29/$B57,0)</f>
        <v>0</v>
      </c>
      <c r="AE57" s="136">
        <f t="shared" ref="AE57:AF57" si="122">IFERROR(AE29/$B57,0)</f>
        <v>0</v>
      </c>
      <c r="AF57" s="136">
        <f t="shared" si="122"/>
        <v>17807.809039828237</v>
      </c>
      <c r="AG57" s="136">
        <f>IFERROR(AG29/$B57,0)</f>
        <v>0</v>
      </c>
      <c r="AH57" s="136">
        <f>IFERROR(AH29/$B57,0)</f>
        <v>17807.809039828237</v>
      </c>
      <c r="AI57" s="149">
        <f>IFERROR(s_RadSpec!$M$29*AI29,".")*$B$57</f>
        <v>0</v>
      </c>
      <c r="AJ57" s="149">
        <f>IFERROR(s_RadSpec!$L$29*AJ29,".")*$B$57</f>
        <v>0</v>
      </c>
      <c r="AK57" s="149">
        <f>IFERROR(s_RadSpec!$Q$29*AK29,".")*$B$57</f>
        <v>1.403878486347534E-3</v>
      </c>
      <c r="AL57" s="149">
        <f>s_b2w!AB57</f>
        <v>0</v>
      </c>
      <c r="AM57" s="150">
        <f t="shared" si="59"/>
        <v>1.403878486347534E-3</v>
      </c>
      <c r="AN57" s="136">
        <f>IFERROR(AN29/$B57,0)</f>
        <v>0</v>
      </c>
      <c r="AO57" s="149">
        <f>IFERROR(s_RadSpec!$J$29*AO29,".")*$B$57</f>
        <v>0</v>
      </c>
      <c r="AP57" s="141"/>
    </row>
    <row r="58" spans="1:42" x14ac:dyDescent="0.25">
      <c r="A58" s="148" t="s">
        <v>1081</v>
      </c>
      <c r="B58" s="141">
        <v>1</v>
      </c>
      <c r="C58" s="136">
        <f>IFERROR(C16/$B58,0)</f>
        <v>437.96835240685505</v>
      </c>
      <c r="D58" s="136">
        <f>IFERROR(D16/$B58,0)</f>
        <v>692481.68717966415</v>
      </c>
      <c r="E58" s="136">
        <f>IFERROR(E16/$B58,0)</f>
        <v>10156252695.580772</v>
      </c>
      <c r="F58" s="136">
        <f>s_b2s!C58</f>
        <v>14.176026943092898</v>
      </c>
      <c r="G58" s="136">
        <f>IFERROR(G16/$B58,0)</f>
        <v>0.29197890160457007</v>
      </c>
      <c r="H58" s="136">
        <f t="shared" si="106"/>
        <v>13.731295415963858</v>
      </c>
      <c r="I58" s="149">
        <f>IFERROR(s_RadSpec!$I$16*I16,".")*$B$58</f>
        <v>5.7081750000000001E-2</v>
      </c>
      <c r="J58" s="149">
        <f>IFERROR(s_RadSpec!$L$16*$J$16,".")*B58</f>
        <v>3.6102037733040807E-5</v>
      </c>
      <c r="K58" s="149">
        <f>IFERROR(s_RadSpec!$K$16*$K$16,".")*B58</f>
        <v>2.4615378082191766E-9</v>
      </c>
      <c r="L58" s="149">
        <f>s_b2s!AB58</f>
        <v>1.7635406662499999</v>
      </c>
      <c r="M58" s="150">
        <f t="shared" si="52"/>
        <v>1.8206585207492707</v>
      </c>
      <c r="N58" s="136">
        <f>IFERROR(N16/$B58,0)</f>
        <v>10156252695.580772</v>
      </c>
      <c r="O58" s="136">
        <f>IFERROR(O16/$B58,0)</f>
        <v>28452935520.47567</v>
      </c>
      <c r="P58" s="136">
        <f>IFERROR(P16/$B58,0)</f>
        <v>11063712683.84836</v>
      </c>
      <c r="Q58" s="136">
        <f>IFERROR(Q16/$B58,0)</f>
        <v>10922291021.461842</v>
      </c>
      <c r="R58" s="136">
        <f>IFERROR(R16/$B58,0)</f>
        <v>348814609693.77307</v>
      </c>
      <c r="S58" s="149">
        <f>IFERROR(s_RadSpec!$K$16*$S$16,".")*$B$58</f>
        <v>2.4615378082191766E-9</v>
      </c>
      <c r="T58" s="149">
        <f>IFERROR(s_RadSpec!$R$16*$T$16,".")*$B$58</f>
        <v>8.7864396213210325E-10</v>
      </c>
      <c r="U58" s="149">
        <f>IFERROR(s_RadSpec!$S$16*$U$16,".")*$B$58</f>
        <v>2.2596393014161407E-9</v>
      </c>
      <c r="V58" s="149">
        <f>IFERROR(s_RadSpec!$T$16*$V$16,".")*$B$58</f>
        <v>2.2888970776255694E-9</v>
      </c>
      <c r="W58" s="149">
        <f>IFERROR(s_RadSpec!$P$16*$W$16,".")*$B$58</f>
        <v>7.1671309931506851E-11</v>
      </c>
      <c r="X58" s="136">
        <f>IFERROR(X16/$B58,0)</f>
        <v>2.2352261158231306</v>
      </c>
      <c r="Y58" s="136">
        <f t="shared" ref="Y58" si="123">IFERROR(Y16/$B58,0)</f>
        <v>9.0513559055137645</v>
      </c>
      <c r="Z58" s="136">
        <f t="shared" si="104"/>
        <v>1.7925557148627205</v>
      </c>
      <c r="AA58" s="149">
        <f>IFERROR(s_RadSpec!$L$16*AA16,".")*$B$58</f>
        <v>11.18455078125</v>
      </c>
      <c r="AB58" s="149">
        <f>IFERROR(s_RadSpec!$O$16*$AB$16,".")*$B$58</f>
        <v>2.7620171232876713</v>
      </c>
      <c r="AC58" s="150">
        <f t="shared" si="56"/>
        <v>13.946567904537671</v>
      </c>
      <c r="AD58" s="136">
        <f>IFERROR(AD16/$B58,0)</f>
        <v>4.8176518764754066</v>
      </c>
      <c r="AE58" s="136">
        <f t="shared" ref="AE58:AF58" si="124">IFERROR(AE16/$B58,0)</f>
        <v>0</v>
      </c>
      <c r="AF58" s="136">
        <f t="shared" si="124"/>
        <v>9777.9555768279442</v>
      </c>
      <c r="AG58" s="136">
        <f>IFERROR(AG16/$B58,0)</f>
        <v>22.276696901037536</v>
      </c>
      <c r="AH58" s="136">
        <f>IFERROR(AH16/$B58,0)</f>
        <v>3.9594202284252926</v>
      </c>
      <c r="AI58" s="149">
        <f>IFERROR(s_RadSpec!$M$16*AI16,".")*$B$58</f>
        <v>5.1892500000000004</v>
      </c>
      <c r="AJ58" s="149">
        <f>IFERROR(s_RadSpec!$L$16*AJ16,".")*$B$58</f>
        <v>5.5922753906249998</v>
      </c>
      <c r="AK58" s="149">
        <f>IFERROR(s_RadSpec!$Q$16*AK16,".")*$B$58</f>
        <v>2.5567716894977165E-3</v>
      </c>
      <c r="AL58" s="149">
        <f>s_b2w!AB58</f>
        <v>1.1222489631681269</v>
      </c>
      <c r="AM58" s="150">
        <f t="shared" si="59"/>
        <v>11.906331125482625</v>
      </c>
      <c r="AN58" s="136">
        <f>IFERROR(AN16/$B58,0)</f>
        <v>0.87593670481371011</v>
      </c>
      <c r="AO58" s="149">
        <f>IFERROR(s_RadSpec!$J$16*AO16,".")*$B$58</f>
        <v>28.540875</v>
      </c>
      <c r="AP58" s="141"/>
    </row>
    <row r="59" spans="1:42" x14ac:dyDescent="0.25">
      <c r="A59" s="148" t="s">
        <v>1082</v>
      </c>
      <c r="B59" s="141">
        <v>1</v>
      </c>
      <c r="C59" s="136">
        <f>IFERROR(C7/$B59,0)</f>
        <v>248182.06636388457</v>
      </c>
      <c r="D59" s="136">
        <f>IFERROR(D7/$B59,0)</f>
        <v>28600442.285571061</v>
      </c>
      <c r="E59" s="136">
        <f>IFERROR(E7/$B59,0)</f>
        <v>466123.44525583641</v>
      </c>
      <c r="F59" s="136">
        <f>s_b2s!C59</f>
        <v>1457.7507569097479</v>
      </c>
      <c r="G59" s="136">
        <f>IFERROR(G7/$B59,0)</f>
        <v>165.45471090925639</v>
      </c>
      <c r="H59" s="136">
        <f t="shared" si="106"/>
        <v>1444.6734619365864</v>
      </c>
      <c r="I59" s="149">
        <f>IFERROR(s_RadSpec!$I$7*I7,".")*$B$59</f>
        <v>1.0073249999999999E-4</v>
      </c>
      <c r="J59" s="149">
        <f>IFERROR(s_RadSpec!$L$7*$J$7,".")*B59</f>
        <v>8.7411235638871608E-7</v>
      </c>
      <c r="K59" s="149">
        <f>IFERROR(s_RadSpec!$K$7*$K$7,".")*B59</f>
        <v>5.3633860846193882E-5</v>
      </c>
      <c r="L59" s="149">
        <f>s_b2s!AB59</f>
        <v>1.7149708125E-2</v>
      </c>
      <c r="M59" s="150">
        <f t="shared" si="52"/>
        <v>1.7304948598202582E-2</v>
      </c>
      <c r="N59" s="136">
        <f>IFERROR(N7/$B59,0)</f>
        <v>466123.44525583641</v>
      </c>
      <c r="O59" s="136">
        <f>IFERROR(O7/$B59,0)</f>
        <v>1293289.7944504307</v>
      </c>
      <c r="P59" s="136">
        <f>IFERROR(P7/$B59,0)</f>
        <v>655062.26779920189</v>
      </c>
      <c r="Q59" s="136">
        <f>IFERROR(Q7/$B59,0)</f>
        <v>510209.64616092033</v>
      </c>
      <c r="R59" s="136">
        <f>IFERROR(R7/$B59,0)</f>
        <v>169273.6925098786</v>
      </c>
      <c r="S59" s="149">
        <f>IFERROR(s_RadSpec!$K$7*$S$7,".")*$B$59</f>
        <v>5.3633860846193882E-5</v>
      </c>
      <c r="T59" s="149">
        <f>IFERROR(s_RadSpec!$R$7*$T$7,".")*$B$59</f>
        <v>1.9330547652410322E-5</v>
      </c>
      <c r="U59" s="149">
        <f>IFERROR(s_RadSpec!$S$7*$U$7,".")*$B$59</f>
        <v>3.8164310828025471E-5</v>
      </c>
      <c r="V59" s="149">
        <f>IFERROR(s_RadSpec!$T$7*$V$7,".")*$B$59</f>
        <v>4.8999465588533754E-5</v>
      </c>
      <c r="W59" s="149">
        <f>IFERROR(s_RadSpec!$P$7*$W$7,".")*$B$59</f>
        <v>1.4768981304369568E-4</v>
      </c>
      <c r="X59" s="136">
        <f>IFERROR(X7/$B59,0)</f>
        <v>92.317900537078629</v>
      </c>
      <c r="Y59" s="136">
        <f t="shared" ref="Y59" si="125">IFERROR(Y7/$B59,0)</f>
        <v>1.6523986943786755</v>
      </c>
      <c r="Z59" s="136">
        <f t="shared" si="104"/>
        <v>1.6233424769619462</v>
      </c>
      <c r="AA59" s="149">
        <f>IFERROR(s_RadSpec!$L$7*AA7,".")*$B$59</f>
        <v>0.27080338541666665</v>
      </c>
      <c r="AB59" s="149">
        <f>IFERROR(s_RadSpec!$O$7*$AB$7,".")*$B$59</f>
        <v>15.129520547945205</v>
      </c>
      <c r="AC59" s="150">
        <f t="shared" si="56"/>
        <v>15.400323933361872</v>
      </c>
      <c r="AD59" s="136">
        <f>IFERROR(AD7/$B59,0)</f>
        <v>2730.00273000273</v>
      </c>
      <c r="AE59" s="136">
        <f t="shared" ref="AE59:AF59" si="126">IFERROR(AE7/$B59,0)</f>
        <v>0</v>
      </c>
      <c r="AF59" s="136">
        <f t="shared" si="126"/>
        <v>3576.5005297793482</v>
      </c>
      <c r="AG59" s="136">
        <f>IFERROR(AG7/$B59,0)</f>
        <v>5241.4020209370792</v>
      </c>
      <c r="AH59" s="136">
        <f>IFERROR(AH7/$B59,0)</f>
        <v>1195.1835498211308</v>
      </c>
      <c r="AI59" s="149">
        <f>IFERROR(s_RadSpec!$M$7*AI7,".")*$B$59</f>
        <v>9.157499999999999E-3</v>
      </c>
      <c r="AJ59" s="149">
        <f>IFERROR(s_RadSpec!$L$7*AJ7,".")*$B$59</f>
        <v>0.13540169270833333</v>
      </c>
      <c r="AK59" s="149">
        <f>IFERROR(s_RadSpec!$Q$7*AK7,".")*$B$59</f>
        <v>6.9900730593607302E-3</v>
      </c>
      <c r="AL59" s="149">
        <f>s_b2w!AB59</f>
        <v>4.7697161752019929E-3</v>
      </c>
      <c r="AM59" s="150">
        <f t="shared" si="59"/>
        <v>0.15631898194289606</v>
      </c>
      <c r="AN59" s="136">
        <f>IFERROR(AN7/$B59,0)</f>
        <v>496.36413272776906</v>
      </c>
      <c r="AO59" s="149">
        <f>IFERROR(s_RadSpec!$J$7*AO7,".")*$B$59</f>
        <v>5.0366250000000001E-2</v>
      </c>
      <c r="AP59" s="141"/>
    </row>
    <row r="60" spans="1:42" x14ac:dyDescent="0.25">
      <c r="A60" s="148" t="s">
        <v>1083</v>
      </c>
      <c r="B60" s="141">
        <v>1.9000000000000001E-8</v>
      </c>
      <c r="C60" s="136">
        <f>IFERROR(C12/$B60,0)</f>
        <v>0</v>
      </c>
      <c r="D60" s="136">
        <f>IFERROR(D12/$B60,0)</f>
        <v>0</v>
      </c>
      <c r="E60" s="136">
        <f>IFERROR(E12/$B60,0)</f>
        <v>170087898159.88019</v>
      </c>
      <c r="F60" s="136">
        <f>s_b2s!C60</f>
        <v>0</v>
      </c>
      <c r="G60" s="136">
        <f>IFERROR(G12/$B60,0)</f>
        <v>0</v>
      </c>
      <c r="H60" s="136">
        <f t="shared" si="106"/>
        <v>170087898159.88019</v>
      </c>
      <c r="I60" s="149">
        <f>IFERROR(s_RadSpec!$I$12*I12,".")*$B$60</f>
        <v>0</v>
      </c>
      <c r="J60" s="149">
        <f>IFERROR(s_RadSpec!$L$12*$J$12,".")*B60</f>
        <v>0</v>
      </c>
      <c r="K60" s="149">
        <f>IFERROR(s_RadSpec!$K$12*$K$12,".")*B60</f>
        <v>1.4698282635311514E-10</v>
      </c>
      <c r="L60" s="149">
        <f>s_b2s!AB60</f>
        <v>0</v>
      </c>
      <c r="M60" s="150">
        <f t="shared" si="52"/>
        <v>1.4698282635311514E-10</v>
      </c>
      <c r="N60" s="136">
        <f>IFERROR(N12/$B60,0)</f>
        <v>170087898159.88019</v>
      </c>
      <c r="O60" s="136">
        <f>IFERROR(O12/$B60,0)</f>
        <v>1348904854466.0298</v>
      </c>
      <c r="P60" s="136">
        <f>IFERROR(P12/$B60,0)</f>
        <v>350594724400.50006</v>
      </c>
      <c r="Q60" s="136">
        <f>IFERROR(Q12/$B60,0)</f>
        <v>208769303582.15607</v>
      </c>
      <c r="R60" s="136">
        <f>IFERROR(R12/$B60,0)</f>
        <v>1852954768194.2217</v>
      </c>
      <c r="S60" s="149">
        <f>IFERROR(s_RadSpec!$K$12*$S$12,".")*$B$60</f>
        <v>1.4698282635311514E-10</v>
      </c>
      <c r="T60" s="149">
        <f>IFERROR(s_RadSpec!$R$12*$T$12,".")*$B$60</f>
        <v>1.8533553287489923E-11</v>
      </c>
      <c r="U60" s="149">
        <f>IFERROR(s_RadSpec!$S$12*$U$12,".")*$B$60</f>
        <v>7.1307404989475476E-11</v>
      </c>
      <c r="V60" s="149">
        <f>IFERROR(s_RadSpec!$T$12*$V$12,".")*$B$60</f>
        <v>1.1974940554496725E-10</v>
      </c>
      <c r="W60" s="149">
        <f>IFERROR(s_RadSpec!$P$12*$W$12,".")*$B$60</f>
        <v>1.3491964525590388E-11</v>
      </c>
      <c r="X60" s="136">
        <f>IFERROR(X12/$B60,0)</f>
        <v>0</v>
      </c>
      <c r="Y60" s="136">
        <f t="shared" ref="Y60" si="127">IFERROR(Y12/$B60,0)</f>
        <v>4035581.8170172116</v>
      </c>
      <c r="Z60" s="136">
        <f t="shared" si="104"/>
        <v>4035581.8170172111</v>
      </c>
      <c r="AA60" s="149">
        <f>IFERROR(s_RadSpec!$L$12*AA12,".")*$B$60</f>
        <v>0</v>
      </c>
      <c r="AB60" s="149">
        <f>IFERROR(s_RadSpec!$O$12*$AB$12,".")*$B$60</f>
        <v>6.1948936073059364E-6</v>
      </c>
      <c r="AC60" s="150">
        <f t="shared" si="56"/>
        <v>6.1948936073059364E-6</v>
      </c>
      <c r="AD60" s="136">
        <f>IFERROR(AD12/$B60,0)</f>
        <v>0</v>
      </c>
      <c r="AE60" s="136">
        <f t="shared" ref="AE60:AF60" si="128">IFERROR(AE12/$B60,0)</f>
        <v>0</v>
      </c>
      <c r="AF60" s="136">
        <f t="shared" si="128"/>
        <v>4713830861.8940535</v>
      </c>
      <c r="AG60" s="136">
        <f>IFERROR(AG12/$B60,0)</f>
        <v>0</v>
      </c>
      <c r="AH60" s="136">
        <f>IFERROR(AH12/$B60,0)</f>
        <v>4713830861.8940535</v>
      </c>
      <c r="AI60" s="149">
        <f>IFERROR(s_RadSpec!$M$12*AI12,".")*$B$60</f>
        <v>0</v>
      </c>
      <c r="AJ60" s="149">
        <f>IFERROR(s_RadSpec!$L$12*AJ12,".")*$B$60</f>
        <v>0</v>
      </c>
      <c r="AK60" s="149">
        <f>IFERROR(s_RadSpec!$Q$12*AK12,".")*$B$60</f>
        <v>5.3035420091324192E-9</v>
      </c>
      <c r="AL60" s="149">
        <f>s_b2w!AB60</f>
        <v>0</v>
      </c>
      <c r="AM60" s="150">
        <f t="shared" si="59"/>
        <v>5.3035420091324192E-9</v>
      </c>
      <c r="AN60" s="136">
        <f>IFERROR(AN12/$B60,0)</f>
        <v>0</v>
      </c>
      <c r="AO60" s="149">
        <f>IFERROR(s_RadSpec!$J$12*AO12,".")*$B$60</f>
        <v>0</v>
      </c>
      <c r="AP60" s="141"/>
    </row>
    <row r="61" spans="1:42" x14ac:dyDescent="0.25">
      <c r="A61" s="148" t="s">
        <v>1084</v>
      </c>
      <c r="B61" s="141">
        <v>1</v>
      </c>
      <c r="C61" s="136">
        <f>IFERROR(C18/$B61,0)</f>
        <v>255.27298254570982</v>
      </c>
      <c r="D61" s="136">
        <f>IFERROR(D18/$B61,0)</f>
        <v>892236.02001995174</v>
      </c>
      <c r="E61" s="136">
        <f>IFERROR(E18/$B61,0)</f>
        <v>17637150.232935164</v>
      </c>
      <c r="F61" s="136">
        <f>s_b2s!C61</f>
        <v>9.4650716553841239</v>
      </c>
      <c r="G61" s="136">
        <f>IFERROR(G18/$B61,0)</f>
        <v>0.17018198836380657</v>
      </c>
      <c r="H61" s="136">
        <f t="shared" si="106"/>
        <v>9.1265727313328782</v>
      </c>
      <c r="I61" s="149">
        <f>IFERROR(s_RadSpec!$I$18*I18,".")*$B$61</f>
        <v>9.7934375000000004E-2</v>
      </c>
      <c r="J61" s="149">
        <f>IFERROR(s_RadSpec!$L$18*$J$18,".")*B61</f>
        <v>2.8019491971912272E-5</v>
      </c>
      <c r="K61" s="149">
        <f>IFERROR(s_RadSpec!$K$18*$K$18,".")*B61</f>
        <v>1.4174625531802545E-6</v>
      </c>
      <c r="L61" s="149">
        <f>s_b2s!AB61</f>
        <v>2.6412900937499999</v>
      </c>
      <c r="M61" s="150">
        <f t="shared" si="52"/>
        <v>2.7392539057045249</v>
      </c>
      <c r="N61" s="136">
        <f>IFERROR(N18/$B61,0)</f>
        <v>17637150.232935164</v>
      </c>
      <c r="O61" s="136">
        <f>IFERROR(O18/$B61,0)</f>
        <v>179853888.19177029</v>
      </c>
      <c r="P61" s="136">
        <f>IFERROR(P18/$B61,0)</f>
        <v>43932867.045393184</v>
      </c>
      <c r="Q61" s="136">
        <f>IFERROR(Q18/$B61,0)</f>
        <v>23163110.588672746</v>
      </c>
      <c r="R61" s="136">
        <f>IFERROR(R18/$B61,0)</f>
        <v>310492341.61447906</v>
      </c>
      <c r="S61" s="149">
        <f>IFERROR(s_RadSpec!$K$18*$S$18,".")*$B$61</f>
        <v>1.4174625531802545E-6</v>
      </c>
      <c r="T61" s="149">
        <f>IFERROR(s_RadSpec!$R$18*$T$18,".")*$B$61</f>
        <v>1.3900172107118196E-7</v>
      </c>
      <c r="U61" s="149">
        <f>IFERROR(s_RadSpec!$S$18*$U$18,".")*$B$61</f>
        <v>5.6905004570197986E-7</v>
      </c>
      <c r="V61" s="149">
        <f>IFERROR(s_RadSpec!$T$18*$V$18,".")*$B$61</f>
        <v>1.0793023633114944E-6</v>
      </c>
      <c r="W61" s="149">
        <f>IFERROR(s_RadSpec!$P$18*$W$18,".")*$B$61</f>
        <v>8.0517283840260058E-8</v>
      </c>
      <c r="X61" s="136">
        <f>IFERROR(X18/$B61,0)</f>
        <v>2.8800028800028801</v>
      </c>
      <c r="Y61" s="136">
        <f t="shared" ref="Y61" si="129">IFERROR(Y18/$B61,0)</f>
        <v>958.01991719033333</v>
      </c>
      <c r="Z61" s="136">
        <f t="shared" si="104"/>
        <v>2.8713709544343797</v>
      </c>
      <c r="AA61" s="149">
        <f>IFERROR(s_RadSpec!$L$18*AA18,".")*$B$61</f>
        <v>8.6805468749999992</v>
      </c>
      <c r="AB61" s="149">
        <f>IFERROR(s_RadSpec!$O$18*$AB$18,".")*$B$61</f>
        <v>2.609549086757991E-2</v>
      </c>
      <c r="AC61" s="150">
        <f t="shared" si="56"/>
        <v>8.7066423658675784</v>
      </c>
      <c r="AD61" s="136">
        <f>IFERROR(AD18/$B61,0)</f>
        <v>2.8080028080028083</v>
      </c>
      <c r="AE61" s="136">
        <f t="shared" ref="AE61:AF61" si="130">IFERROR(AE18/$B61,0)</f>
        <v>0</v>
      </c>
      <c r="AF61" s="136">
        <f t="shared" si="130"/>
        <v>1104453.0133411873</v>
      </c>
      <c r="AG61" s="136">
        <f>IFERROR(AG18/$B61,0)</f>
        <v>13.520470417263882</v>
      </c>
      <c r="AH61" s="136">
        <f>IFERROR(AH18/$B61,0)</f>
        <v>2.3251064841154432</v>
      </c>
      <c r="AI61" s="149">
        <f>IFERROR(s_RadSpec!$M$18*AI18,".")*$B$61</f>
        <v>8.9031249999999993</v>
      </c>
      <c r="AJ61" s="149">
        <f>IFERROR(s_RadSpec!$L$18*AJ18,".")*$B$61</f>
        <v>4.3402734374999996</v>
      </c>
      <c r="AK61" s="149">
        <f>IFERROR(s_RadSpec!$Q$18*AK18,".")*$B$61</f>
        <v>2.2635639269406392E-5</v>
      </c>
      <c r="AL61" s="149">
        <f>s_b2w!AB61</f>
        <v>1.8490480899302331</v>
      </c>
      <c r="AM61" s="150">
        <f t="shared" si="59"/>
        <v>15.0924691630695</v>
      </c>
      <c r="AN61" s="136">
        <f>IFERROR(AN18/$B61,0)</f>
        <v>0.5105459650914197</v>
      </c>
      <c r="AO61" s="149">
        <f>IFERROR(s_RadSpec!$J$18*AO18,".")*$B$61</f>
        <v>48.967187500000001</v>
      </c>
      <c r="AP61" s="141"/>
    </row>
    <row r="62" spans="1:42" x14ac:dyDescent="0.25">
      <c r="A62" s="148" t="s">
        <v>1085</v>
      </c>
      <c r="B62" s="141">
        <v>1.339E-6</v>
      </c>
      <c r="C62" s="136">
        <f>IFERROR(C27/$B62,0)</f>
        <v>0</v>
      </c>
      <c r="D62" s="136">
        <f>IFERROR(D27/$B62,0)</f>
        <v>0</v>
      </c>
      <c r="E62" s="136">
        <f>IFERROR(E27/$B62,0)</f>
        <v>95441877379.29071</v>
      </c>
      <c r="F62" s="136">
        <f>s_b2s!C62</f>
        <v>0</v>
      </c>
      <c r="G62" s="136">
        <f>IFERROR(G27/$B62,0)</f>
        <v>0</v>
      </c>
      <c r="H62" s="136">
        <f t="shared" si="106"/>
        <v>95441877379.29071</v>
      </c>
      <c r="I62" s="149">
        <f>IFERROR(s_RadSpec!$I$27*I27,".")*$B$62</f>
        <v>0</v>
      </c>
      <c r="J62" s="149">
        <f>IFERROR(s_RadSpec!$L$27*$J$27,".")*B62</f>
        <v>0</v>
      </c>
      <c r="K62" s="149">
        <f>IFERROR(s_RadSpec!$K$27*$K$27,".")*B62</f>
        <v>2.6193952472926294E-10</v>
      </c>
      <c r="L62" s="149">
        <f>s_b2s!AB62</f>
        <v>0</v>
      </c>
      <c r="M62" s="150">
        <f t="shared" si="52"/>
        <v>2.6193952472926294E-10</v>
      </c>
      <c r="N62" s="136">
        <f>IFERROR(N27/$B62,0)</f>
        <v>95441877379.29071</v>
      </c>
      <c r="O62" s="136">
        <f>IFERROR(O27/$B62,0)</f>
        <v>476941559511.65546</v>
      </c>
      <c r="P62" s="136">
        <f>IFERROR(P27/$B62,0)</f>
        <v>209743502386.63846</v>
      </c>
      <c r="Q62" s="136">
        <f>IFERROR(Q27/$B62,0)</f>
        <v>129475932561.97394</v>
      </c>
      <c r="R62" s="136">
        <f>IFERROR(R27/$B62,0)</f>
        <v>158148998432.84109</v>
      </c>
      <c r="S62" s="149">
        <f>IFERROR(s_RadSpec!$K$27*$S$27,".")*$B$62</f>
        <v>2.6193952472926294E-10</v>
      </c>
      <c r="T62" s="149">
        <f>IFERROR(s_RadSpec!$R$27*$T$27,".")*$B$62</f>
        <v>5.2417323467465727E-11</v>
      </c>
      <c r="U62" s="149">
        <f>IFERROR(s_RadSpec!$S$27*$U$27,".")*$B$62</f>
        <v>1.1919320367748659E-10</v>
      </c>
      <c r="V62" s="149">
        <f>IFERROR(s_RadSpec!$T$27*$V$27,".")*$B$62</f>
        <v>1.9308607789353974E-10</v>
      </c>
      <c r="W62" s="149">
        <f>IFERROR(s_RadSpec!$P$27*$W$27,".")*$B$62</f>
        <v>1.5807877538103031E-10</v>
      </c>
      <c r="X62" s="136">
        <f>IFERROR(X27/$B62,0)</f>
        <v>0</v>
      </c>
      <c r="Y62" s="136">
        <f t="shared" ref="Y62" si="131">IFERROR(Y27/$B62,0)</f>
        <v>801979.8660786713</v>
      </c>
      <c r="Z62" s="136">
        <f t="shared" si="104"/>
        <v>801979.86607867142</v>
      </c>
      <c r="AA62" s="149">
        <f>IFERROR(s_RadSpec!$L$27*AA27,".")*$B$62</f>
        <v>0</v>
      </c>
      <c r="AB62" s="149">
        <f>IFERROR(s_RadSpec!$O$27*$AB$27,".")*$B$62</f>
        <v>3.1172852408675795E-5</v>
      </c>
      <c r="AC62" s="150">
        <f t="shared" si="56"/>
        <v>3.1172852408675795E-5</v>
      </c>
      <c r="AD62" s="136">
        <f>IFERROR(AD27/$B62,0)</f>
        <v>0</v>
      </c>
      <c r="AE62" s="136">
        <f t="shared" ref="AE62:AF62" si="132">IFERROR(AE27/$B62,0)</f>
        <v>0</v>
      </c>
      <c r="AF62" s="136">
        <f t="shared" si="132"/>
        <v>1675715825.4380658</v>
      </c>
      <c r="AG62" s="136">
        <f>IFERROR(AG27/$B62,0)</f>
        <v>0</v>
      </c>
      <c r="AH62" s="136">
        <f>IFERROR(AH27/$B62,0)</f>
        <v>1675715825.4380658</v>
      </c>
      <c r="AI62" s="149">
        <f>IFERROR(s_RadSpec!$M$27*AI27,".")*$B$62</f>
        <v>0</v>
      </c>
      <c r="AJ62" s="149">
        <f>IFERROR(s_RadSpec!$L$27*AJ27,".")*$B$62</f>
        <v>0</v>
      </c>
      <c r="AK62" s="149">
        <f>IFERROR(s_RadSpec!$Q$27*AK27,".")*$B$62</f>
        <v>1.4918997374429222E-8</v>
      </c>
      <c r="AL62" s="149">
        <f>s_b2w!AB62</f>
        <v>0</v>
      </c>
      <c r="AM62" s="150">
        <f t="shared" si="59"/>
        <v>1.4918997374429222E-8</v>
      </c>
      <c r="AN62" s="136">
        <f>IFERROR(AN27/$B62,0)</f>
        <v>0</v>
      </c>
      <c r="AO62" s="149">
        <f>IFERROR(s_RadSpec!$J$27*AO27,".")*$B$62</f>
        <v>0</v>
      </c>
      <c r="AP62" s="141"/>
    </row>
    <row r="63" spans="1:42" x14ac:dyDescent="0.25">
      <c r="A63" s="145" t="s">
        <v>23</v>
      </c>
      <c r="B63" s="145" t="s">
        <v>1221</v>
      </c>
      <c r="C63" s="134">
        <f>1/SUM(1/C66,1/C68,1/C72,1/C73,1/C75)</f>
        <v>161.14858437338413</v>
      </c>
      <c r="D63" s="134">
        <f>1/SUM(1/D66,1/D68,1/D72,1/D73,1/D75)</f>
        <v>383846.185452112</v>
      </c>
      <c r="E63" s="134">
        <f>1/SUM(1/E64,1/E66,1/E68,1/E69,1/E70,1/E71,1/E72,1/E73,1/E74,1/E75,1/E76)</f>
        <v>75.194792750772081</v>
      </c>
      <c r="F63" s="134">
        <f>s_b2s!C63</f>
        <v>5.6513214969902084</v>
      </c>
      <c r="G63" s="134">
        <f>1/SUM(1/G66,1/G68,1/G72,1/G73,1/G75)</f>
        <v>0.10743238958225611</v>
      </c>
      <c r="H63" s="134">
        <f>1/SUM(1/H64,1/H65,1/H66,1/H68,1/H69,1/H70,1/H71,1/H72,1/H73,1/H74,1/H75,1/H76)</f>
        <v>5.0901823628880969</v>
      </c>
      <c r="I63" s="146">
        <f>SUM(I64:I76)</f>
        <v>0.15513633022102483</v>
      </c>
      <c r="J63" s="146">
        <f t="shared" ref="J63:K63" si="133">SUM(J64:J76)</f>
        <v>6.515318402175628E-5</v>
      </c>
      <c r="K63" s="146">
        <f t="shared" si="133"/>
        <v>0.3324698304955872</v>
      </c>
      <c r="L63" s="159">
        <f>s_b2s!AB63</f>
        <v>4.4237440770825991</v>
      </c>
      <c r="M63" s="147">
        <f>SUM(I63:L63)</f>
        <v>4.9114153909832332</v>
      </c>
      <c r="N63" s="134">
        <f t="shared" ref="N63:R63" si="134">1/SUM(1/N64,1/N66,1/N68,1/N69,1/N70,1/N71,1/N72,1/N73,1/N74,1/N75,1/N76)</f>
        <v>75.194792750772081</v>
      </c>
      <c r="O63" s="134">
        <f t="shared" si="134"/>
        <v>844.20583822046274</v>
      </c>
      <c r="P63" s="134">
        <f t="shared" si="134"/>
        <v>206.8861328210794</v>
      </c>
      <c r="Q63" s="134">
        <f t="shared" si="134"/>
        <v>106.35250653010462</v>
      </c>
      <c r="R63" s="134">
        <f t="shared" si="134"/>
        <v>1463.7633643668182</v>
      </c>
      <c r="S63" s="146">
        <f>SUM(S64:S76)</f>
        <v>0.3324698304955872</v>
      </c>
      <c r="T63" s="146">
        <f t="shared" ref="T63:W63" si="135">SUM(T64:T76)</f>
        <v>2.961363078547118E-2</v>
      </c>
      <c r="U63" s="146">
        <f t="shared" si="135"/>
        <v>0.12083941856857391</v>
      </c>
      <c r="V63" s="146">
        <f t="shared" si="135"/>
        <v>0.23506733236158747</v>
      </c>
      <c r="W63" s="146">
        <f t="shared" si="135"/>
        <v>1.7079263362226781E-2</v>
      </c>
      <c r="X63" s="134">
        <f>1/SUM(1/X66,1/X68,1/X72,1/X73,1/X75)</f>
        <v>1.238997411868086</v>
      </c>
      <c r="Y63" s="134">
        <f t="shared" ref="Y63:Z63" si="136">1/SUM(1/Y64,1/Y65,1/Y66,1/Y67,1/Y68,1/Y69,1/Y70,1/Y71,1/Y72,1/Y73,1/Y74,1/Y75,1/Y76)</f>
        <v>5.1642379839611898E-3</v>
      </c>
      <c r="Z63" s="134">
        <f t="shared" si="136"/>
        <v>5.1427948669674024E-3</v>
      </c>
      <c r="AA63" s="146">
        <f t="shared" ref="AA63:AB63" si="137">SUM(AA64:AA76)</f>
        <v>20.184708149715885</v>
      </c>
      <c r="AB63" s="146">
        <f t="shared" si="137"/>
        <v>4840.9852678446732</v>
      </c>
      <c r="AC63" s="147">
        <f t="shared" si="56"/>
        <v>4861.1699759943895</v>
      </c>
      <c r="AD63" s="134">
        <f>1/SUM(1/AD66,1/AD68,1/AD72,1/AD73,1/AD75)</f>
        <v>1.7726344281072255</v>
      </c>
      <c r="AE63" s="134">
        <f>1/SUM(1/AE64)</f>
        <v>15227.520571032026</v>
      </c>
      <c r="AF63" s="134">
        <f t="shared" ref="AF63:AH63" si="138">1/SUM(1/AF64,1/AF65,1/AF66,1/AF67,1/AF68,1/AF69,1/AF70,1/AF71,1/AF72,1/AF73,1/AF74,1/AF75,1/AF76)</f>
        <v>5.9672153840008901</v>
      </c>
      <c r="AG63" s="134">
        <f>1/SUM(1/AG66,1/AG68,1/AG72,1/AG73,1/AG75)</f>
        <v>8.3986171831158245</v>
      </c>
      <c r="AH63" s="134">
        <f t="shared" si="138"/>
        <v>1.1752989474540998</v>
      </c>
      <c r="AI63" s="146">
        <f t="shared" ref="AI63:AK63" si="139">SUM(AI64:AI76)</f>
        <v>14.103302747365891</v>
      </c>
      <c r="AJ63" s="146">
        <f t="shared" si="139"/>
        <v>10.092354074857942</v>
      </c>
      <c r="AK63" s="146">
        <f t="shared" si="139"/>
        <v>4.1895588463304367</v>
      </c>
      <c r="AL63" s="146">
        <f>s_b2w!AB63</f>
        <v>2.9766805004827219</v>
      </c>
      <c r="AM63" s="147">
        <f t="shared" si="59"/>
        <v>31.361896169036989</v>
      </c>
      <c r="AN63" s="134">
        <f>1/SUM(1/AN66,1/AN68,1/AN72,1/AN73,1/AN75)</f>
        <v>0.32229716874676823</v>
      </c>
      <c r="AO63" s="146">
        <f t="shared" ref="AO63" si="140">SUM(AO64:AO76)</f>
        <v>77.56816511051241</v>
      </c>
      <c r="AP63" s="141"/>
    </row>
    <row r="64" spans="1:42" x14ac:dyDescent="0.25">
      <c r="A64" s="148" t="s">
        <v>1075</v>
      </c>
      <c r="B64" s="141">
        <v>1</v>
      </c>
      <c r="C64" s="136">
        <f>IFERROR(C25/$B50,0)</f>
        <v>0</v>
      </c>
      <c r="D64" s="136">
        <f>IFERROR(D25/$B50,0)</f>
        <v>2358772354.6054182</v>
      </c>
      <c r="E64" s="136">
        <f>IFERROR(E25/$B50,0)</f>
        <v>667494.71672216873</v>
      </c>
      <c r="F64" s="136">
        <f>s_b2s!C64</f>
        <v>0</v>
      </c>
      <c r="G64" s="136">
        <f>IFERROR(G25/$B50,0)</f>
        <v>0</v>
      </c>
      <c r="H64" s="136">
        <f t="shared" ref="H64:H76" si="141">(IF(AND(C64&lt;&gt;0,D64&lt;&gt;0,E64&lt;&gt;0,F64&lt;&gt;0),1/((1/C64)+(1/D64)+(1/E64)+(1/F64)),IF(AND(C64&lt;&gt;0,D64&lt;&gt;0,E64&lt;&gt;0,F64=0), 1/((1/C64)+(1/D64)+(1/E64)),IF(AND(C64&lt;&gt;0,D64&lt;&gt;0,E64=0,F64&lt;&gt;0),1/((1/C64)+(1/D64)+(1/F64)),IF(AND(C64&lt;&gt;0,D64=0,E64&lt;&gt;0,F64&lt;&gt;0),1/((1/C64)+(1/E64)+(1/F64)),IF(AND(C64=0,D64&lt;&gt;0,E64&lt;&gt;0,F64&lt;&gt;0),1/((1/D64)+(1/E64)+(1/F64)),IF(AND(C64&lt;&gt;0,D64&lt;&gt;0,E64=0,F64=0),1/((1/C64)+(1/D64)),IF(AND(C64&lt;&gt;0,D64=0,E64&lt;&gt;0,F64=0),1/((1/C64)+(1/E64)),IF(AND(C64&lt;&gt;0,D64=0,E64=0,F64&lt;&gt;0),1/((1/C64)+(1/F64)),IF(AND(C64=0,D64=0,E64&lt;&gt;0,F64&lt;&gt;0),1/((1/E64)+(1/F64)),IF(AND(C64=0,D64&lt;&gt;0,E64=0,F64&lt;&gt;0),1/((1/D64)+(1/F64)),IF(AND(C64=0,D64&lt;&gt;0,E64&lt;&gt;0,F64=0),1/((1/D64)+(1/E64)),IF(AND(C64&lt;&gt;0,D64=0,E64=0,F64=0),1/((1/C64)),IF(AND(C64=0,D64&lt;&gt;0,E64=0,F64=0),1/((1/D64)),IF(AND(C64=0,D64=0,E64&lt;&gt;0,F64=0),1/((1/E64)),IF(AND(C64=0,D64=0,E64=0,F64&lt;&gt;0),1/((1/F64)),IF(AND(C64=0,D64=0,E64=0,F64=0),0)))))))))))))))))</f>
        <v>667305.87986880285</v>
      </c>
      <c r="I64" s="149">
        <f>IFERROR(s_RadSpec!$I$25*I25,".")*$B$64</f>
        <v>0</v>
      </c>
      <c r="J64" s="149">
        <f>IFERROR(s_RadSpec!$L$25*$J$25,".")*B64</f>
        <v>1.0598733680759146E-8</v>
      </c>
      <c r="K64" s="149">
        <f>IFERROR(s_RadSpec!$K$25*$K$25,".")*B64</f>
        <v>3.7453479965753423E-5</v>
      </c>
      <c r="L64" s="149">
        <f>s_b2s!AB64</f>
        <v>0</v>
      </c>
      <c r="M64" s="150">
        <f t="shared" si="52"/>
        <v>3.7464078699434182E-5</v>
      </c>
      <c r="N64" s="136">
        <f>IFERROR(N25/$B50,0)</f>
        <v>667494.71672216873</v>
      </c>
      <c r="O64" s="136">
        <f>IFERROR(O25/$B50,0)</f>
        <v>5774121.8536407091</v>
      </c>
      <c r="P64" s="136">
        <f>IFERROR(P25/$B50,0)</f>
        <v>1452402.529998299</v>
      </c>
      <c r="Q64" s="136">
        <f>IFERROR(Q25/$B50,0)</f>
        <v>839282.05673987919</v>
      </c>
      <c r="R64" s="136">
        <f>IFERROR(R25/$B50,0)</f>
        <v>10494724.878274495</v>
      </c>
      <c r="S64" s="149">
        <f>IFERROR(s_RadSpec!$K$25*$S$25,".")*$B$64</f>
        <v>3.7453479965753423E-5</v>
      </c>
      <c r="T64" s="149">
        <f>IFERROR(s_RadSpec!$R$25*$T$25,".")*$B$64</f>
        <v>4.3296626974086035E-6</v>
      </c>
      <c r="U64" s="149">
        <f>IFERROR(s_RadSpec!$S$25*$U$25,".")*$B$64</f>
        <v>1.7212859027468977E-5</v>
      </c>
      <c r="V64" s="149">
        <f>IFERROR(s_RadSpec!$T$25*$V$25,".")*$B$64</f>
        <v>2.978736385370897E-5</v>
      </c>
      <c r="W64" s="149">
        <f>IFERROR(s_RadSpec!$P$25*$W$25,".")*$B$64</f>
        <v>2.3821491549295774E-6</v>
      </c>
      <c r="X64" s="136">
        <f>IFERROR(X25/$B50,0)</f>
        <v>7613.7602855160121</v>
      </c>
      <c r="Y64" s="136">
        <f t="shared" ref="Y64" si="142">IFERROR(Y25/$B50,0)</f>
        <v>24.642708852583716</v>
      </c>
      <c r="Z64" s="136">
        <f t="shared" ref="Z64:Z76" si="143">IFERROR(IF(AND(X64&lt;&gt;0,Y64&lt;&gt;0),1/((1/X64)+(1/Y64)),IF(AND(X64&lt;&gt;0,Y64=0),1/((1/X64)),IF(AND(X64=0,Y64&lt;&gt;0),1/((1/Y64)),IF(AND(X64=".",Y64="."),".")))),".")</f>
        <v>24.563207535352756</v>
      </c>
      <c r="AA64" s="149">
        <f>IFERROR(s_RadSpec!$L$25*AA25,".")*$B$64</f>
        <v>3.283528645833333E-3</v>
      </c>
      <c r="AB64" s="149">
        <f>IFERROR(s_RadSpec!$O$25*$AB$25,".")*$B$64</f>
        <v>1.0144988584474885</v>
      </c>
      <c r="AC64" s="150">
        <f t="shared" si="56"/>
        <v>1.0177823870933218</v>
      </c>
      <c r="AD64" s="136">
        <f>IFERROR(AD25/$B50,0)</f>
        <v>0</v>
      </c>
      <c r="AE64" s="136">
        <f t="shared" ref="AE64:AF64" si="144">IFERROR(AE25/$B50,0)</f>
        <v>15227.520571032024</v>
      </c>
      <c r="AF64" s="136">
        <f t="shared" si="144"/>
        <v>28345.669092400152</v>
      </c>
      <c r="AG64" s="136">
        <f>IFERROR(AG25/$B50,0)</f>
        <v>0</v>
      </c>
      <c r="AH64" s="136">
        <f>IFERROR(AH25/$B50,0)</f>
        <v>9905.9596632290923</v>
      </c>
      <c r="AI64" s="149">
        <f>IFERROR(s_RadSpec!$M$25*AI25,".")*$B$64</f>
        <v>0</v>
      </c>
      <c r="AJ64" s="149">
        <f>IFERROR(s_RadSpec!$L$25*AJ25,".")*$B$64</f>
        <v>1.6417643229166665E-3</v>
      </c>
      <c r="AK64" s="149">
        <f>IFERROR(s_RadSpec!$Q$25*AK25,".")*$B$64</f>
        <v>8.8196894977168947E-4</v>
      </c>
      <c r="AL64" s="149">
        <f>s_b2w!AB64</f>
        <v>0</v>
      </c>
      <c r="AM64" s="150">
        <f t="shared" si="59"/>
        <v>2.5237332726883561E-3</v>
      </c>
      <c r="AN64" s="136">
        <f>IFERROR(AN25/$B50,0)</f>
        <v>0</v>
      </c>
      <c r="AO64" s="149">
        <f>IFERROR(s_RadSpec!$J$25*AO25,".")*$B$64</f>
        <v>0</v>
      </c>
      <c r="AP64" s="141"/>
    </row>
    <row r="65" spans="1:42" x14ac:dyDescent="0.25">
      <c r="A65" s="148" t="s">
        <v>1061</v>
      </c>
      <c r="B65" s="141">
        <v>1</v>
      </c>
      <c r="C65" s="136">
        <f>IFERROR(C21/$B51,0)</f>
        <v>0</v>
      </c>
      <c r="D65" s="136">
        <f>IFERROR(D21/$B51,0)</f>
        <v>2027553664.3917964</v>
      </c>
      <c r="E65" s="136">
        <f>IFERROR(E21/$B51,0)</f>
        <v>0</v>
      </c>
      <c r="F65" s="136">
        <f>s_b2s!C65</f>
        <v>0</v>
      </c>
      <c r="G65" s="136">
        <f>IFERROR(G21/$B51,0)</f>
        <v>0</v>
      </c>
      <c r="H65" s="136">
        <f t="shared" si="141"/>
        <v>2027553664.3917966</v>
      </c>
      <c r="I65" s="149">
        <f>IFERROR(s_RadSpec!$I$21*I21,".")*$B$65</f>
        <v>0</v>
      </c>
      <c r="J65" s="149">
        <f>IFERROR(s_RadSpec!$L$21*$J$21,".")*B65</f>
        <v>1.2330129869829724E-8</v>
      </c>
      <c r="K65" s="149">
        <f>IFERROR(s_RadSpec!$K$21*$K$21,".")*B65</f>
        <v>0</v>
      </c>
      <c r="L65" s="149">
        <f>s_b2s!AB65</f>
        <v>0</v>
      </c>
      <c r="M65" s="150">
        <f t="shared" si="52"/>
        <v>1.2330129869829724E-8</v>
      </c>
      <c r="N65" s="136">
        <f>IFERROR(N21/$B51,0)</f>
        <v>0</v>
      </c>
      <c r="O65" s="136">
        <f>IFERROR(O21/$B51,0)</f>
        <v>0</v>
      </c>
      <c r="P65" s="136">
        <f>IFERROR(P21/$B51,0)</f>
        <v>0</v>
      </c>
      <c r="Q65" s="136">
        <f>IFERROR(Q21/$B51,0)</f>
        <v>0</v>
      </c>
      <c r="R65" s="136">
        <f>IFERROR(R21/$B51,0)</f>
        <v>0</v>
      </c>
      <c r="S65" s="149">
        <f>IFERROR(s_RadSpec!$K$21*$S$21,".")*$B$65</f>
        <v>0</v>
      </c>
      <c r="T65" s="149">
        <f>IFERROR(s_RadSpec!$R$21*$T$21,".")*$B$65</f>
        <v>0</v>
      </c>
      <c r="U65" s="149">
        <f>IFERROR(s_RadSpec!$S$21*$U$21,".")*$B$65</f>
        <v>0</v>
      </c>
      <c r="V65" s="149">
        <f>IFERROR(s_RadSpec!$T$21*$V$21,".")*$B$65</f>
        <v>0</v>
      </c>
      <c r="W65" s="149">
        <f>IFERROR(s_RadSpec!$P$21*$W$21,".")*$B$65</f>
        <v>0</v>
      </c>
      <c r="X65" s="136">
        <f>IFERROR(X21/$B51,0)</f>
        <v>6544.6364658963093</v>
      </c>
      <c r="Y65" s="136">
        <f t="shared" ref="Y65" si="145">IFERROR(Y21/$B51,0)</f>
        <v>162717.1233395795</v>
      </c>
      <c r="Z65" s="136">
        <f t="shared" si="143"/>
        <v>6291.5830501693035</v>
      </c>
      <c r="AA65" s="149">
        <f>IFERROR(s_RadSpec!$L$21*AA21,".")*$B$65</f>
        <v>3.8199218749999995E-3</v>
      </c>
      <c r="AB65" s="149">
        <f>IFERROR(s_RadSpec!$O$21*$AB$21,".")*$B$65</f>
        <v>1.5364086757990868E-4</v>
      </c>
      <c r="AC65" s="150">
        <f t="shared" si="56"/>
        <v>3.9735627425799081E-3</v>
      </c>
      <c r="AD65" s="136">
        <f>IFERROR(AD21/$B51,0)</f>
        <v>0</v>
      </c>
      <c r="AE65" s="136">
        <f t="shared" ref="AE65:AF65" si="146">IFERROR(AE21/$B51,0)</f>
        <v>0</v>
      </c>
      <c r="AF65" s="136">
        <f t="shared" si="146"/>
        <v>372656348.90707898</v>
      </c>
      <c r="AG65" s="136">
        <f>IFERROR(AG21/$B51,0)</f>
        <v>0</v>
      </c>
      <c r="AH65" s="136">
        <f>IFERROR(AH21/$B51,0)</f>
        <v>372656348.90707898</v>
      </c>
      <c r="AI65" s="149">
        <f>IFERROR(s_RadSpec!$M$21*AI21,".")*$B$65</f>
        <v>0</v>
      </c>
      <c r="AJ65" s="149">
        <f>IFERROR(s_RadSpec!$L$21*AJ21,".")*$B$65</f>
        <v>1.9099609374999998E-3</v>
      </c>
      <c r="AK65" s="149">
        <f>IFERROR(s_RadSpec!$Q$21*AK21,".")*$B$65</f>
        <v>6.7085936073059347E-8</v>
      </c>
      <c r="AL65" s="149">
        <f>s_b2w!AB65</f>
        <v>0</v>
      </c>
      <c r="AM65" s="150">
        <f t="shared" si="59"/>
        <v>1.9100280234360728E-3</v>
      </c>
      <c r="AN65" s="136">
        <f>IFERROR(AN21/$B51,0)</f>
        <v>0</v>
      </c>
      <c r="AO65" s="149">
        <f>IFERROR(s_RadSpec!$J$21*AO21,".")*$B$65</f>
        <v>0</v>
      </c>
      <c r="AP65" s="141"/>
    </row>
    <row r="66" spans="1:42" x14ac:dyDescent="0.25">
      <c r="A66" s="148" t="s">
        <v>1062</v>
      </c>
      <c r="B66" s="141">
        <v>0.99980000000000002</v>
      </c>
      <c r="C66" s="136">
        <f>IFERROR(C17/$B52,0)</f>
        <v>2245311.9742289768</v>
      </c>
      <c r="D66" s="136">
        <f>IFERROR(D17/$B52,0)</f>
        <v>331610504.99081546</v>
      </c>
      <c r="E66" s="136">
        <f>IFERROR(E17/$B52,0)</f>
        <v>1554.2541628628449</v>
      </c>
      <c r="F66" s="136">
        <f>s_b2s!C66</f>
        <v>72675.577738435895</v>
      </c>
      <c r="G66" s="136">
        <f>IFERROR(G17/$B52,0)</f>
        <v>1496.8746494859847</v>
      </c>
      <c r="H66" s="136">
        <f t="shared" si="141"/>
        <v>1520.6729816118279</v>
      </c>
      <c r="I66" s="149">
        <f>IFERROR(s_RadSpec!$I$17*I17,".")*$B$66</f>
        <v>1.1134310192500001E-5</v>
      </c>
      <c r="J66" s="149">
        <f>IFERROR(s_RadSpec!$L$17*$J$17,".")*B66</f>
        <v>7.5389650278697943E-8</v>
      </c>
      <c r="K66" s="149">
        <f>IFERROR(s_RadSpec!$K$17*$K$17,".")*B66</f>
        <v>1.6084885340729257E-2</v>
      </c>
      <c r="L66" s="149">
        <f>s_b2s!AB66</f>
        <v>3.4399451339728749E-4</v>
      </c>
      <c r="M66" s="150">
        <f t="shared" si="52"/>
        <v>1.6440089553969323E-2</v>
      </c>
      <c r="N66" s="136">
        <f>IFERROR(N17/$B52,0)</f>
        <v>1554.2541628628449</v>
      </c>
      <c r="O66" s="136">
        <f>IFERROR(O17/$B52,0)</f>
        <v>12187.510429844491</v>
      </c>
      <c r="P66" s="136">
        <f>IFERROR(P17/$B52,0)</f>
        <v>3256.1156680398876</v>
      </c>
      <c r="Q66" s="136">
        <f>IFERROR(Q17/$B52,0)</f>
        <v>1947.1722505923037</v>
      </c>
      <c r="R66" s="136">
        <f>IFERROR(R17/$B52,0)</f>
        <v>23035.025688233894</v>
      </c>
      <c r="S66" s="149">
        <f>IFERROR(s_RadSpec!$K$17*$S$17,".")*$B$66</f>
        <v>1.6084885340729257E-2</v>
      </c>
      <c r="T66" s="149">
        <f>IFERROR(s_RadSpec!$R$17*$T$17,".")*$B$66</f>
        <v>2.0512802958330672E-3</v>
      </c>
      <c r="U66" s="149">
        <f>IFERROR(s_RadSpec!$S$17*$U$17,".")*$B$66</f>
        <v>7.6778599253660628E-3</v>
      </c>
      <c r="V66" s="149">
        <f>IFERROR(s_RadSpec!$T$17*$V$17,".")*$B$66</f>
        <v>1.2839131202899663E-2</v>
      </c>
      <c r="W66" s="149">
        <f>IFERROR(s_RadSpec!$P$17*$W$17,".")*$B$66</f>
        <v>1.0853037603847692E-3</v>
      </c>
      <c r="X66" s="136">
        <f>IFERROR(X17/$B52,0)</f>
        <v>1070.3885384400887</v>
      </c>
      <c r="Y66" s="136">
        <f t="shared" ref="Y66" si="147">IFERROR(Y17/$B52,0)</f>
        <v>3.8414787745810267E-2</v>
      </c>
      <c r="Z66" s="136">
        <f t="shared" si="143"/>
        <v>3.8413409140840439E-2</v>
      </c>
      <c r="AA66" s="149">
        <f>IFERROR(s_RadSpec!$L$17*AA17,".")*$B$66</f>
        <v>2.3356004947916665E-2</v>
      </c>
      <c r="AB66" s="149">
        <f>IFERROR(s_RadSpec!$O$17*$AB$17,".")*$B$66</f>
        <v>650.79104863013697</v>
      </c>
      <c r="AC66" s="150">
        <f t="shared" si="56"/>
        <v>650.81440463508488</v>
      </c>
      <c r="AD66" s="136">
        <f>IFERROR(AD17/$B52,0)</f>
        <v>24698.431716518749</v>
      </c>
      <c r="AE66" s="136">
        <f t="shared" ref="AE66:AF66" si="148">IFERROR(AE17/$B52,0)</f>
        <v>0</v>
      </c>
      <c r="AF66" s="136">
        <f t="shared" si="148"/>
        <v>44.232795018515965</v>
      </c>
      <c r="AG66" s="136">
        <f>IFERROR(AG17/$B52,0)</f>
        <v>114204.90549898063</v>
      </c>
      <c r="AH66" s="136">
        <f>IFERROR(AH17/$B52,0)</f>
        <v>44.136655410631207</v>
      </c>
      <c r="AI66" s="149">
        <f>IFERROR(s_RadSpec!$M$17*AI17,".")*$B$66</f>
        <v>1.0122100175000001E-3</v>
      </c>
      <c r="AJ66" s="149">
        <f>IFERROR(s_RadSpec!$L$17*AJ17,".")*$B$66</f>
        <v>1.1678002473958332E-2</v>
      </c>
      <c r="AK66" s="149">
        <f>IFERROR(s_RadSpec!$Q$17*AK17,".")*$B$66</f>
        <v>0.56519150529680362</v>
      </c>
      <c r="AL66" s="149">
        <f>s_b2w!AB66</f>
        <v>2.1890478251149328E-4</v>
      </c>
      <c r="AM66" s="150">
        <f t="shared" si="59"/>
        <v>0.57810062257077344</v>
      </c>
      <c r="AN66" s="136">
        <f>IFERROR(AN17/$B52,0)</f>
        <v>4490.6239484579546</v>
      </c>
      <c r="AO66" s="149">
        <f>IFERROR(s_RadSpec!$J$17*AO17,".")*$B$66</f>
        <v>5.56715509625E-3</v>
      </c>
      <c r="AP66" s="141"/>
    </row>
    <row r="67" spans="1:42" x14ac:dyDescent="0.25">
      <c r="A67" s="148" t="s">
        <v>1076</v>
      </c>
      <c r="B67" s="141">
        <v>2.0000000000000001E-4</v>
      </c>
      <c r="C67" s="136">
        <f>IFERROR(C5/$B53,0)</f>
        <v>0</v>
      </c>
      <c r="D67" s="136">
        <f>IFERROR(D5/$B53,0)</f>
        <v>0</v>
      </c>
      <c r="E67" s="136">
        <f>IFERROR(E5/$B53,0)</f>
        <v>0</v>
      </c>
      <c r="F67" s="136">
        <f>s_b2s!C67</f>
        <v>0</v>
      </c>
      <c r="G67" s="136">
        <f>IFERROR(G5/$B53,0)</f>
        <v>0</v>
      </c>
      <c r="H67" s="136">
        <f t="shared" si="141"/>
        <v>0</v>
      </c>
      <c r="I67" s="149">
        <f>IFERROR(s_RadSpec!$I$5*I5,".")*$B$67</f>
        <v>0</v>
      </c>
      <c r="J67" s="149">
        <f>IFERROR(s_RadSpec!$L$5*$J$5,".")*B67</f>
        <v>0</v>
      </c>
      <c r="K67" s="149">
        <f>IFERROR(s_RadSpec!$K$5*$K$5,".")*B67</f>
        <v>0</v>
      </c>
      <c r="L67" s="149">
        <f>s_b2s!AB67</f>
        <v>0</v>
      </c>
      <c r="M67" s="150">
        <f t="shared" si="52"/>
        <v>0</v>
      </c>
      <c r="N67" s="136">
        <f>IFERROR(N5/$B53,0)</f>
        <v>0</v>
      </c>
      <c r="O67" s="136">
        <f>IFERROR(O5/$B53,0)</f>
        <v>0</v>
      </c>
      <c r="P67" s="136">
        <f>IFERROR(P5/$B53,0)</f>
        <v>0</v>
      </c>
      <c r="Q67" s="136">
        <f>IFERROR(Q5/$B53,0)</f>
        <v>0</v>
      </c>
      <c r="R67" s="136">
        <f>IFERROR(R5/$B53,0)</f>
        <v>0</v>
      </c>
      <c r="S67" s="149">
        <f>IFERROR(s_RadSpec!$K$5*$S$5,".")*$B$67</f>
        <v>0</v>
      </c>
      <c r="T67" s="149">
        <f>IFERROR(s_RadSpec!$R$5*$T$5,".")*$B$67</f>
        <v>0</v>
      </c>
      <c r="U67" s="149">
        <f>IFERROR(s_RadSpec!$S$5*$U$5,".")*$B$67</f>
        <v>0</v>
      </c>
      <c r="V67" s="149">
        <f>IFERROR(s_RadSpec!$T$5*$V$5,".")*$B$67</f>
        <v>0</v>
      </c>
      <c r="W67" s="149">
        <f>IFERROR(s_RadSpec!$P$5*$W$5,".")*$B$67</f>
        <v>0</v>
      </c>
      <c r="X67" s="136">
        <f>IFERROR(X5/$B53,0)</f>
        <v>0</v>
      </c>
      <c r="Y67" s="136">
        <f t="shared" ref="Y67" si="149">IFERROR(Y5/$B53,0)</f>
        <v>2175096.240559685</v>
      </c>
      <c r="Z67" s="136">
        <f t="shared" si="143"/>
        <v>2175096.240559685</v>
      </c>
      <c r="AA67" s="149">
        <f>IFERROR(s_RadSpec!$L$5*AA5,".")*$B$67</f>
        <v>0</v>
      </c>
      <c r="AB67" s="149">
        <f>IFERROR(s_RadSpec!$O$5*$AB$5,".")*$B$67</f>
        <v>1.1493744292237443E-5</v>
      </c>
      <c r="AC67" s="150">
        <f t="shared" si="56"/>
        <v>1.1493744292237443E-5</v>
      </c>
      <c r="AD67" s="136">
        <f>IFERROR(AD5/$B53,0)</f>
        <v>0</v>
      </c>
      <c r="AE67" s="136">
        <f t="shared" ref="AE67:AF67" si="150">IFERROR(AE5/$B53,0)</f>
        <v>0</v>
      </c>
      <c r="AF67" s="136">
        <f t="shared" si="150"/>
        <v>4263188631.4969821</v>
      </c>
      <c r="AG67" s="136">
        <f>IFERROR(AG5/$B53,0)</f>
        <v>0</v>
      </c>
      <c r="AH67" s="136">
        <f>IFERROR(AH5/$B53,0)</f>
        <v>4263188631.4969821</v>
      </c>
      <c r="AI67" s="149">
        <f>IFERROR(s_RadSpec!$M$5*AI5,".")*$B$67</f>
        <v>0</v>
      </c>
      <c r="AJ67" s="149">
        <f>IFERROR(s_RadSpec!$L$5*AJ5,".")*$B$67</f>
        <v>0</v>
      </c>
      <c r="AK67" s="149">
        <f>IFERROR(s_RadSpec!$Q$5*AK5,".")*$B$67</f>
        <v>5.8641552511415525E-9</v>
      </c>
      <c r="AL67" s="149">
        <f>s_b2w!AB67</f>
        <v>0</v>
      </c>
      <c r="AM67" s="150">
        <f t="shared" si="59"/>
        <v>5.8641552511415525E-9</v>
      </c>
      <c r="AN67" s="136">
        <f>IFERROR(AN5/$B53,0)</f>
        <v>0</v>
      </c>
      <c r="AO67" s="149">
        <f>IFERROR(s_RadSpec!$J$5*AO5,".")*$B$67</f>
        <v>0</v>
      </c>
      <c r="AP67" s="141"/>
    </row>
    <row r="68" spans="1:42" x14ac:dyDescent="0.25">
      <c r="A68" s="148" t="s">
        <v>1077</v>
      </c>
      <c r="B68" s="141">
        <v>0.99999979999999999</v>
      </c>
      <c r="C68" s="136">
        <f>IFERROR(C9/$B54,0)</f>
        <v>2998173.2134265364</v>
      </c>
      <c r="D68" s="136">
        <f>IFERROR(D9/$B54,0)</f>
        <v>422130109.63546145</v>
      </c>
      <c r="E68" s="136">
        <f>IFERROR(E9/$B54,0)</f>
        <v>79.071802183642376</v>
      </c>
      <c r="F68" s="136">
        <f>s_b2s!C68</f>
        <v>17610.415350522973</v>
      </c>
      <c r="G68" s="136">
        <f>IFERROR(G9/$B54,0)</f>
        <v>1998.7821422843576</v>
      </c>
      <c r="H68" s="136">
        <f t="shared" si="141"/>
        <v>78.716270736847207</v>
      </c>
      <c r="I68" s="149">
        <f>IFERROR(s_RadSpec!$I$9*I9,".")*$B$68</f>
        <v>8.3384108323175001E-6</v>
      </c>
      <c r="J68" s="149">
        <f>IFERROR(s_RadSpec!$L$9*$J$9,".")*B68</f>
        <v>5.9223446585199112E-8</v>
      </c>
      <c r="K68" s="149">
        <f>IFERROR(s_RadSpec!$K$9*$K$9,".")*B68</f>
        <v>0.31616833447071435</v>
      </c>
      <c r="L68" s="149">
        <f>s_b2s!AB68</f>
        <v>1.4196144442020543E-3</v>
      </c>
      <c r="M68" s="150">
        <f t="shared" si="52"/>
        <v>0.31759634654919533</v>
      </c>
      <c r="N68" s="136">
        <f>IFERROR(N9/$B54,0)</f>
        <v>79.071802183642376</v>
      </c>
      <c r="O68" s="136">
        <f>IFERROR(O9/$B54,0)</f>
        <v>908.19570830632085</v>
      </c>
      <c r="P68" s="136">
        <f>IFERROR(P9/$B54,0)</f>
        <v>221.12268470195366</v>
      </c>
      <c r="Q68" s="136">
        <f>IFERROR(Q9/$B54,0)</f>
        <v>112.58175174318031</v>
      </c>
      <c r="R68" s="136">
        <f>IFERROR(R9/$B54,0)</f>
        <v>1578.5452637736412</v>
      </c>
      <c r="S68" s="149">
        <f>IFERROR(s_RadSpec!$K$9*$S$9,".")*$B$68</f>
        <v>0.31616833447071435</v>
      </c>
      <c r="T68" s="149">
        <f>IFERROR(s_RadSpec!$R$9*$T$9,".")*$B$68</f>
        <v>2.7527106516085708E-2</v>
      </c>
      <c r="U68" s="149">
        <f>IFERROR(s_RadSpec!$S$9*$U$9,".")*$B$68</f>
        <v>0.11305940877887288</v>
      </c>
      <c r="V68" s="149">
        <f>IFERROR(s_RadSpec!$T$9*$V$9,".")*$B$68</f>
        <v>0.22206085456042293</v>
      </c>
      <c r="W68" s="149">
        <f>IFERROR(s_RadSpec!$P$9*$W$9,".")*$B$68</f>
        <v>1.583736657651201E-2</v>
      </c>
      <c r="X68" s="136">
        <f>IFERROR(X9/$B54,0)</f>
        <v>1362.5721268895584</v>
      </c>
      <c r="Y68" s="136">
        <f t="shared" ref="Y68" si="151">IFERROR(Y9/$B54,0)</f>
        <v>5.9960470944231785E-3</v>
      </c>
      <c r="Z68" s="136">
        <f t="shared" si="143"/>
        <v>5.9960207087208445E-3</v>
      </c>
      <c r="AA68" s="149">
        <f>IFERROR(s_RadSpec!$L$9*AA9,".")*$B$68</f>
        <v>1.8347652580468745E-2</v>
      </c>
      <c r="AB68" s="149">
        <f>IFERROR(s_RadSpec!$O$9*$AB$9,".")*$B$68</f>
        <v>4169.4135496787667</v>
      </c>
      <c r="AC68" s="150">
        <f t="shared" si="56"/>
        <v>4169.4318973313475</v>
      </c>
      <c r="AD68" s="136">
        <f>IFERROR(AD9/$B54,0)</f>
        <v>32979.9053476919</v>
      </c>
      <c r="AE68" s="136">
        <f t="shared" ref="AE68:AF68" si="152">IFERROR(AE9/$B54,0)</f>
        <v>0</v>
      </c>
      <c r="AF68" s="136">
        <f t="shared" si="152"/>
        <v>6.9207621495696099</v>
      </c>
      <c r="AG68" s="136">
        <f>IFERROR(AG9/$B54,0)</f>
        <v>63318.96325229427</v>
      </c>
      <c r="AH68" s="136">
        <f>IFERROR(AH9/$B54,0)</f>
        <v>6.9185541079762372</v>
      </c>
      <c r="AI68" s="149">
        <f>IFERROR(s_RadSpec!$M$9*AI9,".")*$B$68</f>
        <v>7.580373483925E-4</v>
      </c>
      <c r="AJ68" s="149">
        <f>IFERROR(s_RadSpec!$L$9*AJ9,".")*$B$68</f>
        <v>9.1738262902343725E-3</v>
      </c>
      <c r="AK68" s="149">
        <f>IFERROR(s_RadSpec!$Q$9*AK9,".")*$B$68</f>
        <v>3.6123189122392692</v>
      </c>
      <c r="AL68" s="149">
        <f>s_b2w!AB68</f>
        <v>3.9482642664864169E-4</v>
      </c>
      <c r="AM68" s="150">
        <f t="shared" si="59"/>
        <v>3.6226456023045444</v>
      </c>
      <c r="AN68" s="136">
        <f>IFERROR(AN9/$B54,0)</f>
        <v>5996.3464268530734</v>
      </c>
      <c r="AO68" s="149">
        <f>IFERROR(s_RadSpec!$J$9*AO9,".")*$B$68</f>
        <v>4.1692054161587494E-3</v>
      </c>
      <c r="AP68" s="141"/>
    </row>
    <row r="69" spans="1:42" x14ac:dyDescent="0.25">
      <c r="A69" s="148" t="s">
        <v>1078</v>
      </c>
      <c r="B69" s="141">
        <v>1.9999999999999999E-7</v>
      </c>
      <c r="C69" s="136">
        <f>IFERROR(C24/$B55,0)</f>
        <v>0</v>
      </c>
      <c r="D69" s="136">
        <f>IFERROR(D24/$B55,0)</f>
        <v>0</v>
      </c>
      <c r="E69" s="136">
        <f>IFERROR(E24/$B55,0)</f>
        <v>1496404063004.1741</v>
      </c>
      <c r="F69" s="136">
        <f>s_b2s!C69</f>
        <v>0</v>
      </c>
      <c r="G69" s="136">
        <f>IFERROR(G24/$B55,0)</f>
        <v>0</v>
      </c>
      <c r="H69" s="136">
        <f t="shared" si="141"/>
        <v>1496404063004.1741</v>
      </c>
      <c r="I69" s="149">
        <f>IFERROR(s_RadSpec!$I$24*I24,".")*$B$69</f>
        <v>0</v>
      </c>
      <c r="J69" s="149">
        <f>IFERROR(s_RadSpec!$L$24*$J$24,".")*B69</f>
        <v>0</v>
      </c>
      <c r="K69" s="149">
        <f>IFERROR(s_RadSpec!$K$24*$K$24,".")*B69</f>
        <v>1.6706717535777143E-11</v>
      </c>
      <c r="L69" s="149">
        <f>s_b2s!AB69</f>
        <v>0</v>
      </c>
      <c r="M69" s="150">
        <f t="shared" si="52"/>
        <v>1.6706717535777143E-11</v>
      </c>
      <c r="N69" s="136">
        <f>IFERROR(N24/$B55,0)</f>
        <v>1496404063004.1741</v>
      </c>
      <c r="O69" s="136">
        <f>IFERROR(O24/$B55,0)</f>
        <v>13476354557963.766</v>
      </c>
      <c r="P69" s="136">
        <f>IFERROR(P24/$B55,0)</f>
        <v>3333943743558.2715</v>
      </c>
      <c r="Q69" s="136">
        <f>IFERROR(Q24/$B55,0)</f>
        <v>1787802714277.3079</v>
      </c>
      <c r="R69" s="136">
        <f>IFERROR(R24/$B55,0)</f>
        <v>22690368124204.469</v>
      </c>
      <c r="S69" s="149">
        <f>IFERROR(s_RadSpec!$K$24*$S$24,".")*$B$69</f>
        <v>1.6706717535777143E-11</v>
      </c>
      <c r="T69" s="149">
        <f>IFERROR(s_RadSpec!$R$24*$T$24,".")*$B$69</f>
        <v>1.8551010877957654E-12</v>
      </c>
      <c r="U69" s="149">
        <f>IFERROR(s_RadSpec!$S$24*$U$24,".")*$B$69</f>
        <v>7.4986268284532752E-12</v>
      </c>
      <c r="V69" s="149">
        <f>IFERROR(s_RadSpec!$T$24*$V$24,".")*$B$69</f>
        <v>1.3983645846575342E-11</v>
      </c>
      <c r="W69" s="149">
        <f>IFERROR(s_RadSpec!$P$24*$W$24,".")*$B$69</f>
        <v>1.1017890879139936E-12</v>
      </c>
      <c r="X69" s="136">
        <f>IFERROR(X24/$B55,0)</f>
        <v>0</v>
      </c>
      <c r="Y69" s="136">
        <f t="shared" ref="Y69" si="153">IFERROR(Y24/$B55,0)</f>
        <v>62693950.463190928</v>
      </c>
      <c r="Z69" s="136">
        <f t="shared" si="143"/>
        <v>62693950.463190928</v>
      </c>
      <c r="AA69" s="149">
        <f>IFERROR(s_RadSpec!$L$24*AA24,".")*$B$69</f>
        <v>0</v>
      </c>
      <c r="AB69" s="149">
        <f>IFERROR(s_RadSpec!$O$24*$AB$24,".")*$B$69</f>
        <v>3.9876255707762561E-7</v>
      </c>
      <c r="AC69" s="150">
        <f t="shared" si="56"/>
        <v>3.9876255707762561E-7</v>
      </c>
      <c r="AD69" s="136">
        <f>IFERROR(AD24/$B55,0)</f>
        <v>0</v>
      </c>
      <c r="AE69" s="136">
        <f t="shared" ref="AE69:AF69" si="154">IFERROR(AE24/$B55,0)</f>
        <v>0</v>
      </c>
      <c r="AF69" s="136">
        <f t="shared" si="154"/>
        <v>72110768462.398224</v>
      </c>
      <c r="AG69" s="136">
        <f>IFERROR(AG24/$B55,0)</f>
        <v>0</v>
      </c>
      <c r="AH69" s="136">
        <f>IFERROR(AH24/$B55,0)</f>
        <v>72110768462.398224</v>
      </c>
      <c r="AI69" s="149">
        <f>IFERROR(s_RadSpec!$M$24*AI24,".")*$B$69</f>
        <v>0</v>
      </c>
      <c r="AJ69" s="149">
        <f>IFERROR(s_RadSpec!$L$24*AJ24,".")*$B$69</f>
        <v>0</v>
      </c>
      <c r="AK69" s="149">
        <f>IFERROR(s_RadSpec!$Q$24*AK24,".")*$B$69</f>
        <v>3.466888584474886E-10</v>
      </c>
      <c r="AL69" s="149">
        <f>s_b2w!AB69</f>
        <v>0</v>
      </c>
      <c r="AM69" s="150">
        <f t="shared" si="59"/>
        <v>3.466888584474886E-10</v>
      </c>
      <c r="AN69" s="136">
        <f>IFERROR(AN24/$B55,0)</f>
        <v>0</v>
      </c>
      <c r="AO69" s="149">
        <f>IFERROR(s_RadSpec!$J$24*AO24,".")*$B$69</f>
        <v>0</v>
      </c>
      <c r="AP69" s="141"/>
    </row>
    <row r="70" spans="1:42" x14ac:dyDescent="0.25">
      <c r="A70" s="148" t="s">
        <v>1079</v>
      </c>
      <c r="B70" s="141">
        <v>0.99979000004200003</v>
      </c>
      <c r="C70" s="136">
        <f>IFERROR(C20/$B56,0)</f>
        <v>0</v>
      </c>
      <c r="D70" s="136">
        <f>IFERROR(D20/$B56,0)</f>
        <v>0</v>
      </c>
      <c r="E70" s="136">
        <f>IFERROR(E20/$B56,0)</f>
        <v>2079934.5903760151</v>
      </c>
      <c r="F70" s="136">
        <f>s_b2s!C70</f>
        <v>0</v>
      </c>
      <c r="G70" s="136">
        <f>IFERROR(G20/$B56,0)</f>
        <v>0</v>
      </c>
      <c r="H70" s="136">
        <f t="shared" si="141"/>
        <v>2079934.5903760151</v>
      </c>
      <c r="I70" s="149">
        <f>IFERROR(s_RadSpec!$I$20*I20,".")*$B$70</f>
        <v>0</v>
      </c>
      <c r="J70" s="149">
        <f>IFERROR(s_RadSpec!$L$20*$J$20,".")*B70</f>
        <v>0</v>
      </c>
      <c r="K70" s="149">
        <f>IFERROR(s_RadSpec!$K$20*$K$20,".")*B70</f>
        <v>1.2019608749081118E-5</v>
      </c>
      <c r="L70" s="149">
        <f>s_b2s!AB70</f>
        <v>0</v>
      </c>
      <c r="M70" s="150">
        <f t="shared" si="52"/>
        <v>1.2019608749081118E-5</v>
      </c>
      <c r="N70" s="136">
        <f>IFERROR(N20/$B56,0)</f>
        <v>2079934.5903760151</v>
      </c>
      <c r="O70" s="136">
        <f>IFERROR(O20/$B56,0)</f>
        <v>21083395.931614425</v>
      </c>
      <c r="P70" s="136">
        <f>IFERROR(P20/$B56,0)</f>
        <v>5157906.8732266165</v>
      </c>
      <c r="Q70" s="136">
        <f>IFERROR(Q20/$B56,0)</f>
        <v>2740396.3271293752</v>
      </c>
      <c r="R70" s="136">
        <f>IFERROR(R20/$B56,0)</f>
        <v>36471870.128750049</v>
      </c>
      <c r="S70" s="149">
        <f>IFERROR(s_RadSpec!$K$20*$S$20,".")*$B$70</f>
        <v>1.2019608749081118E-5</v>
      </c>
      <c r="T70" s="149">
        <f>IFERROR(s_RadSpec!$R$20*$T$20,".")*$B$70</f>
        <v>1.1857672303403765E-6</v>
      </c>
      <c r="U70" s="149">
        <f>IFERROR(s_RadSpec!$S$20*$U$20,".")*$B$70</f>
        <v>4.8469273708233551E-6</v>
      </c>
      <c r="V70" s="149">
        <f>IFERROR(s_RadSpec!$T$20*$V$20,".")*$B$70</f>
        <v>9.1227680290274118E-6</v>
      </c>
      <c r="W70" s="149">
        <f>IFERROR(s_RadSpec!$P$20*$W$20,".")*$B$70</f>
        <v>6.8545977795344785E-7</v>
      </c>
      <c r="X70" s="136">
        <f>IFERROR(X20/$B56,0)</f>
        <v>0</v>
      </c>
      <c r="Y70" s="136">
        <f t="shared" ref="Y70" si="155">IFERROR(Y20/$B56,0)</f>
        <v>112.2127391835941</v>
      </c>
      <c r="Z70" s="136">
        <f t="shared" si="143"/>
        <v>112.21273918359408</v>
      </c>
      <c r="AA70" s="149">
        <f>IFERROR(s_RadSpec!$L$20*AA20,".")*$B$70</f>
        <v>0</v>
      </c>
      <c r="AB70" s="149">
        <f>IFERROR(s_RadSpec!$O$20*$AB$20,".")*$B$70</f>
        <v>0.22279110359383411</v>
      </c>
      <c r="AC70" s="150">
        <f t="shared" si="56"/>
        <v>0.22279110359383411</v>
      </c>
      <c r="AD70" s="136">
        <f>IFERROR(AD20/$B56,0)</f>
        <v>0</v>
      </c>
      <c r="AE70" s="136">
        <f t="shared" ref="AE70:AF70" si="156">IFERROR(AE20/$B56,0)</f>
        <v>0</v>
      </c>
      <c r="AF70" s="136">
        <f t="shared" si="156"/>
        <v>129528.67827996891</v>
      </c>
      <c r="AG70" s="136">
        <f>IFERROR(AG20/$B56,0)</f>
        <v>0</v>
      </c>
      <c r="AH70" s="136">
        <f>IFERROR(AH20/$B56,0)</f>
        <v>129528.67827996892</v>
      </c>
      <c r="AI70" s="149">
        <f>IFERROR(s_RadSpec!$M$20*AI20,".")*$B$70</f>
        <v>0</v>
      </c>
      <c r="AJ70" s="149">
        <f>IFERROR(s_RadSpec!$L$20*AJ20,".")*$B$70</f>
        <v>0</v>
      </c>
      <c r="AK70" s="149">
        <f>IFERROR(s_RadSpec!$Q$20*AK20,".")*$B$70</f>
        <v>1.9300745079760571E-4</v>
      </c>
      <c r="AL70" s="149">
        <f>s_b2w!AB70</f>
        <v>0</v>
      </c>
      <c r="AM70" s="150">
        <f t="shared" si="59"/>
        <v>1.9300745079760571E-4</v>
      </c>
      <c r="AN70" s="136">
        <f>IFERROR(AN20/$B56,0)</f>
        <v>0</v>
      </c>
      <c r="AO70" s="149">
        <f>IFERROR(s_RadSpec!$J$20*AO20,".")*$B$70</f>
        <v>0</v>
      </c>
      <c r="AP70" s="141"/>
    </row>
    <row r="71" spans="1:42" x14ac:dyDescent="0.25">
      <c r="A71" s="148" t="s">
        <v>1080</v>
      </c>
      <c r="B71" s="141">
        <v>2.0999995799999999E-4</v>
      </c>
      <c r="C71" s="136">
        <f>IFERROR(C29/$B57,0)</f>
        <v>0</v>
      </c>
      <c r="D71" s="136">
        <f>IFERROR(D29/$B57,0)</f>
        <v>0</v>
      </c>
      <c r="E71" s="136">
        <f>IFERROR(E29/$B57,0)</f>
        <v>223048.22459328643</v>
      </c>
      <c r="F71" s="136">
        <f>s_b2s!C71</f>
        <v>0</v>
      </c>
      <c r="G71" s="136">
        <f>IFERROR(G29/$B57,0)</f>
        <v>0</v>
      </c>
      <c r="H71" s="136">
        <f t="shared" si="141"/>
        <v>223048.22459328643</v>
      </c>
      <c r="I71" s="149">
        <f>IFERROR(s_RadSpec!$I$29*I29,".")*$B$71</f>
        <v>0</v>
      </c>
      <c r="J71" s="149">
        <f>IFERROR(s_RadSpec!$L$29*$J$29,".")*B71</f>
        <v>0</v>
      </c>
      <c r="K71" s="149">
        <f>IFERROR(s_RadSpec!$K$29*$K$29,".")*B71</f>
        <v>1.1208338486255981E-4</v>
      </c>
      <c r="L71" s="149">
        <f>s_b2s!AB71</f>
        <v>0</v>
      </c>
      <c r="M71" s="150">
        <f t="shared" si="52"/>
        <v>1.1208338486255981E-4</v>
      </c>
      <c r="N71" s="136">
        <f>IFERROR(N29/$B57,0)</f>
        <v>223048.22459328643</v>
      </c>
      <c r="O71" s="136">
        <f>IFERROR(O29/$B57,0)</f>
        <v>2437112.0772664649</v>
      </c>
      <c r="P71" s="136">
        <f>IFERROR(P29/$B57,0)</f>
        <v>604532.64906559931</v>
      </c>
      <c r="Q71" s="136">
        <f>IFERROR(Q29/$B57,0)</f>
        <v>319060.34853190853</v>
      </c>
      <c r="R71" s="136">
        <f>IFERROR(R29/$B57,0)</f>
        <v>4344168.1268426226</v>
      </c>
      <c r="S71" s="149">
        <f>IFERROR(s_RadSpec!$K$29*$S$29,".")*$B$71</f>
        <v>1.1208338486255981E-4</v>
      </c>
      <c r="T71" s="149">
        <f>IFERROR(s_RadSpec!$R$29*$T$29,".")*$B$71</f>
        <v>1.0258042801232482E-5</v>
      </c>
      <c r="U71" s="149">
        <f>IFERROR(s_RadSpec!$S$29*$U$29,".")*$B$71</f>
        <v>4.135425942443547E-5</v>
      </c>
      <c r="V71" s="149">
        <f>IFERROR(s_RadSpec!$T$29*$V$29,".")*$B$71</f>
        <v>7.835508271407721E-5</v>
      </c>
      <c r="W71" s="149">
        <f>IFERROR(s_RadSpec!$P$29*$W$29,".")*$B$71</f>
        <v>5.7548417257437517E-6</v>
      </c>
      <c r="X71" s="136">
        <f>IFERROR(X29/$B57,0)</f>
        <v>0</v>
      </c>
      <c r="Y71" s="136">
        <f t="shared" ref="Y71" si="157">IFERROR(Y29/$B57,0)</f>
        <v>15.379471443488022</v>
      </c>
      <c r="Z71" s="136">
        <f t="shared" si="143"/>
        <v>15.37947144348802</v>
      </c>
      <c r="AA71" s="149">
        <f>IFERROR(s_RadSpec!$L$29*AA29,".")*$B$71</f>
        <v>0</v>
      </c>
      <c r="AB71" s="149">
        <f>IFERROR(s_RadSpec!$O$29*$AB$29,".")*$B$71</f>
        <v>1.625543510507671</v>
      </c>
      <c r="AC71" s="150">
        <f t="shared" si="56"/>
        <v>1.625543510507671</v>
      </c>
      <c r="AD71" s="136">
        <f>IFERROR(AD29/$B57,0)</f>
        <v>0</v>
      </c>
      <c r="AE71" s="136">
        <f t="shared" ref="AE71:AF71" si="158">IFERROR(AE29/$B57,0)</f>
        <v>0</v>
      </c>
      <c r="AF71" s="136">
        <f t="shared" si="158"/>
        <v>17807.809039828237</v>
      </c>
      <c r="AG71" s="136">
        <f>IFERROR(AG29/$B57,0)</f>
        <v>0</v>
      </c>
      <c r="AH71" s="136">
        <f>IFERROR(AH29/$B57,0)</f>
        <v>17807.809039828237</v>
      </c>
      <c r="AI71" s="149">
        <f>IFERROR(s_RadSpec!$M$29*AI29,".")*$B$71</f>
        <v>0</v>
      </c>
      <c r="AJ71" s="149">
        <f>IFERROR(s_RadSpec!$L$29*AJ29,".")*$B$71</f>
        <v>0</v>
      </c>
      <c r="AK71" s="149">
        <f>IFERROR(s_RadSpec!$Q$29*AK29,".")*$B$71</f>
        <v>1.403878486347534E-3</v>
      </c>
      <c r="AL71" s="149">
        <f>s_b2w!AB71</f>
        <v>0</v>
      </c>
      <c r="AM71" s="150">
        <f t="shared" si="59"/>
        <v>1.403878486347534E-3</v>
      </c>
      <c r="AN71" s="136">
        <f>IFERROR(AN29/$B57,0)</f>
        <v>0</v>
      </c>
      <c r="AO71" s="149">
        <f>IFERROR(s_RadSpec!$J$29*AO29,".")*$B$71</f>
        <v>0</v>
      </c>
      <c r="AP71" s="141"/>
    </row>
    <row r="72" spans="1:42" x14ac:dyDescent="0.25">
      <c r="A72" s="148" t="s">
        <v>1081</v>
      </c>
      <c r="B72" s="141">
        <v>1</v>
      </c>
      <c r="C72" s="136">
        <f>IFERROR(C16/$B58,0)</f>
        <v>437.96835240685505</v>
      </c>
      <c r="D72" s="136">
        <f>IFERROR(D16/$B58,0)</f>
        <v>692481.68717966415</v>
      </c>
      <c r="E72" s="136">
        <f>IFERROR(E16/$B58,0)</f>
        <v>10156252695.580772</v>
      </c>
      <c r="F72" s="136">
        <f>s_b2s!C72</f>
        <v>14.176026943092898</v>
      </c>
      <c r="G72" s="136">
        <f>IFERROR(G16/$B58,0)</f>
        <v>0.29197890160457007</v>
      </c>
      <c r="H72" s="136">
        <f t="shared" si="141"/>
        <v>13.731295415963858</v>
      </c>
      <c r="I72" s="149">
        <f>IFERROR(s_RadSpec!$I$16*I16,".")*$B$72</f>
        <v>5.7081750000000001E-2</v>
      </c>
      <c r="J72" s="149">
        <f>IFERROR(s_RadSpec!$L$16*$J$16,".")*B72</f>
        <v>3.6102037733040807E-5</v>
      </c>
      <c r="K72" s="149">
        <f>IFERROR(s_RadSpec!$K$16*$K$16,".")*B72</f>
        <v>2.4615378082191766E-9</v>
      </c>
      <c r="L72" s="149">
        <f>s_b2s!AB72</f>
        <v>1.7635406662499999</v>
      </c>
      <c r="M72" s="150">
        <f t="shared" si="52"/>
        <v>1.8206585207492707</v>
      </c>
      <c r="N72" s="136">
        <f>IFERROR(N16/$B58,0)</f>
        <v>10156252695.580772</v>
      </c>
      <c r="O72" s="136">
        <f>IFERROR(O16/$B58,0)</f>
        <v>28452935520.47567</v>
      </c>
      <c r="P72" s="136">
        <f>IFERROR(P16/$B58,0)</f>
        <v>11063712683.84836</v>
      </c>
      <c r="Q72" s="136">
        <f>IFERROR(Q16/$B58,0)</f>
        <v>10922291021.461842</v>
      </c>
      <c r="R72" s="136">
        <f>IFERROR(R16/$B58,0)</f>
        <v>348814609693.77307</v>
      </c>
      <c r="S72" s="149">
        <f>IFERROR(s_RadSpec!$K$16*$S$16,".")*$B$72</f>
        <v>2.4615378082191766E-9</v>
      </c>
      <c r="T72" s="149">
        <f>IFERROR(s_RadSpec!$R$16*$T$16,".")*$B$72</f>
        <v>8.7864396213210325E-10</v>
      </c>
      <c r="U72" s="149">
        <f>IFERROR(s_RadSpec!$S$16*$U$16,".")*$B$72</f>
        <v>2.2596393014161407E-9</v>
      </c>
      <c r="V72" s="149">
        <f>IFERROR(s_RadSpec!$T$16*$V$16,".")*$B$72</f>
        <v>2.2888970776255694E-9</v>
      </c>
      <c r="W72" s="149">
        <f>IFERROR(s_RadSpec!$P$16*$W$16,".")*$B$72</f>
        <v>7.1671309931506851E-11</v>
      </c>
      <c r="X72" s="136">
        <f>IFERROR(X16/$B58,0)</f>
        <v>2.2352261158231306</v>
      </c>
      <c r="Y72" s="136">
        <f t="shared" ref="Y72" si="159">IFERROR(Y16/$B58,0)</f>
        <v>9.0513559055137645</v>
      </c>
      <c r="Z72" s="136">
        <f t="shared" si="143"/>
        <v>1.7925557148627205</v>
      </c>
      <c r="AA72" s="149">
        <f>IFERROR(s_RadSpec!$L$16*AA16,".")*$B$72</f>
        <v>11.18455078125</v>
      </c>
      <c r="AB72" s="149">
        <f>IFERROR(s_RadSpec!$O$16*$AB$16,".")*$B$72</f>
        <v>2.7620171232876713</v>
      </c>
      <c r="AC72" s="150">
        <f t="shared" si="56"/>
        <v>13.946567904537671</v>
      </c>
      <c r="AD72" s="136">
        <f>IFERROR(AD16/$B58,0)</f>
        <v>4.8176518764754066</v>
      </c>
      <c r="AE72" s="136">
        <f t="shared" ref="AE72:AF72" si="160">IFERROR(AE16/$B58,0)</f>
        <v>0</v>
      </c>
      <c r="AF72" s="136">
        <f t="shared" si="160"/>
        <v>9777.9555768279442</v>
      </c>
      <c r="AG72" s="136">
        <f>IFERROR(AG16/$B58,0)</f>
        <v>22.276696901037536</v>
      </c>
      <c r="AH72" s="136">
        <f>IFERROR(AH16/$B58,0)</f>
        <v>3.9594202284252926</v>
      </c>
      <c r="AI72" s="149">
        <f>IFERROR(s_RadSpec!$M$16*AI16,".")*$B$72</f>
        <v>5.1892500000000004</v>
      </c>
      <c r="AJ72" s="149">
        <f>IFERROR(s_RadSpec!$L$16*AJ16,".")*$B$72</f>
        <v>5.5922753906249998</v>
      </c>
      <c r="AK72" s="149">
        <f>IFERROR(s_RadSpec!$Q$16*AK16,".")*$B$72</f>
        <v>2.5567716894977165E-3</v>
      </c>
      <c r="AL72" s="149">
        <f>s_b2w!AB72</f>
        <v>1.1222489631681269</v>
      </c>
      <c r="AM72" s="150">
        <f t="shared" si="59"/>
        <v>11.906331125482625</v>
      </c>
      <c r="AN72" s="136">
        <f>IFERROR(AN16/$B58,0)</f>
        <v>0.87593670481371011</v>
      </c>
      <c r="AO72" s="149">
        <f>IFERROR(s_RadSpec!$J$16*AO16,".")*$B$72</f>
        <v>28.540875</v>
      </c>
      <c r="AP72" s="141"/>
    </row>
    <row r="73" spans="1:42" x14ac:dyDescent="0.25">
      <c r="A73" s="148" t="s">
        <v>1082</v>
      </c>
      <c r="B73" s="141">
        <v>1</v>
      </c>
      <c r="C73" s="136">
        <f>IFERROR(C7/$B59,0)</f>
        <v>248182.06636388457</v>
      </c>
      <c r="D73" s="136">
        <f>IFERROR(D7/$B59,0)</f>
        <v>28600442.285571061</v>
      </c>
      <c r="E73" s="136">
        <f>IFERROR(E7/$B59,0)</f>
        <v>466123.44525583641</v>
      </c>
      <c r="F73" s="136">
        <f>s_b2s!C73</f>
        <v>1457.7507569097479</v>
      </c>
      <c r="G73" s="136">
        <f>IFERROR(G7/$B59,0)</f>
        <v>165.45471090925639</v>
      </c>
      <c r="H73" s="136">
        <f t="shared" si="141"/>
        <v>1444.6734619365864</v>
      </c>
      <c r="I73" s="149">
        <f>IFERROR(s_RadSpec!$I$7*I7,".")*$B$73</f>
        <v>1.0073249999999999E-4</v>
      </c>
      <c r="J73" s="149">
        <f>IFERROR(s_RadSpec!$L$7*$J$7,".")*B73</f>
        <v>8.7411235638871608E-7</v>
      </c>
      <c r="K73" s="149">
        <f>IFERROR(s_RadSpec!$K$7*$K$7,".")*B73</f>
        <v>5.3633860846193882E-5</v>
      </c>
      <c r="L73" s="149">
        <f>s_b2s!AB73</f>
        <v>1.7149708125E-2</v>
      </c>
      <c r="M73" s="150">
        <f t="shared" si="52"/>
        <v>1.7304948598202582E-2</v>
      </c>
      <c r="N73" s="136">
        <f>IFERROR(N7/$B59,0)</f>
        <v>466123.44525583641</v>
      </c>
      <c r="O73" s="136">
        <f>IFERROR(O7/$B59,0)</f>
        <v>1293289.7944504307</v>
      </c>
      <c r="P73" s="136">
        <f>IFERROR(P7/$B59,0)</f>
        <v>655062.26779920189</v>
      </c>
      <c r="Q73" s="136">
        <f>IFERROR(Q7/$B59,0)</f>
        <v>510209.64616092033</v>
      </c>
      <c r="R73" s="136">
        <f>IFERROR(R7/$B59,0)</f>
        <v>169273.6925098786</v>
      </c>
      <c r="S73" s="149">
        <f>IFERROR(s_RadSpec!$K$7*$S$7,".")*$B$73</f>
        <v>5.3633860846193882E-5</v>
      </c>
      <c r="T73" s="149">
        <f>IFERROR(s_RadSpec!$R$7*$T$7,".")*$B$73</f>
        <v>1.9330547652410322E-5</v>
      </c>
      <c r="U73" s="149">
        <f>IFERROR(s_RadSpec!$S$7*$U$7,".")*$B$73</f>
        <v>3.8164310828025471E-5</v>
      </c>
      <c r="V73" s="149">
        <f>IFERROR(s_RadSpec!$T$7*$V$7,".")*$B$73</f>
        <v>4.8999465588533754E-5</v>
      </c>
      <c r="W73" s="149">
        <f>IFERROR(s_RadSpec!$P$7*$W$7,".")*$B$73</f>
        <v>1.4768981304369568E-4</v>
      </c>
      <c r="X73" s="136">
        <f>IFERROR(X7/$B59,0)</f>
        <v>92.317900537078629</v>
      </c>
      <c r="Y73" s="136">
        <f t="shared" ref="Y73" si="161">IFERROR(Y7/$B59,0)</f>
        <v>1.6523986943786755</v>
      </c>
      <c r="Z73" s="136">
        <f t="shared" si="143"/>
        <v>1.6233424769619462</v>
      </c>
      <c r="AA73" s="149">
        <f>IFERROR(s_RadSpec!$L$7*AA7,".")*$B$73</f>
        <v>0.27080338541666665</v>
      </c>
      <c r="AB73" s="149">
        <f>IFERROR(s_RadSpec!$O$7*$AB$7,".")*$B$73</f>
        <v>15.129520547945205</v>
      </c>
      <c r="AC73" s="150">
        <f t="shared" si="56"/>
        <v>15.400323933361872</v>
      </c>
      <c r="AD73" s="136">
        <f>IFERROR(AD7/$B59,0)</f>
        <v>2730.00273000273</v>
      </c>
      <c r="AE73" s="136">
        <f t="shared" ref="AE73:AF73" si="162">IFERROR(AE7/$B59,0)</f>
        <v>0</v>
      </c>
      <c r="AF73" s="136">
        <f t="shared" si="162"/>
        <v>3576.5005297793482</v>
      </c>
      <c r="AG73" s="136">
        <f>IFERROR(AG7/$B59,0)</f>
        <v>5241.4020209370792</v>
      </c>
      <c r="AH73" s="136">
        <f>IFERROR(AH7/$B59,0)</f>
        <v>1195.1835498211308</v>
      </c>
      <c r="AI73" s="149">
        <f>IFERROR(s_RadSpec!$M$7*AI7,".")*$B$73</f>
        <v>9.157499999999999E-3</v>
      </c>
      <c r="AJ73" s="149">
        <f>IFERROR(s_RadSpec!$L$7*AJ7,".")*$B$73</f>
        <v>0.13540169270833333</v>
      </c>
      <c r="AK73" s="149">
        <f>IFERROR(s_RadSpec!$Q$7*AK7,".")*$B$73</f>
        <v>6.9900730593607302E-3</v>
      </c>
      <c r="AL73" s="149">
        <f>s_b2w!AB73</f>
        <v>4.7697161752019929E-3</v>
      </c>
      <c r="AM73" s="150">
        <f t="shared" si="59"/>
        <v>0.15631898194289606</v>
      </c>
      <c r="AN73" s="136">
        <f>IFERROR(AN7/$B59,0)</f>
        <v>496.36413272776906</v>
      </c>
      <c r="AO73" s="149">
        <f>IFERROR(s_RadSpec!$J$7*AO7,".")*$B$73</f>
        <v>5.0366250000000001E-2</v>
      </c>
      <c r="AP73" s="141"/>
    </row>
    <row r="74" spans="1:42" x14ac:dyDescent="0.25">
      <c r="A74" s="148" t="s">
        <v>1083</v>
      </c>
      <c r="B74" s="141">
        <v>1.9000000000000001E-8</v>
      </c>
      <c r="C74" s="136">
        <f>IFERROR(C12/$B60,0)</f>
        <v>0</v>
      </c>
      <c r="D74" s="136">
        <f>IFERROR(D12/$B60,0)</f>
        <v>0</v>
      </c>
      <c r="E74" s="136">
        <f>IFERROR(E12/$B60,0)</f>
        <v>170087898159.88019</v>
      </c>
      <c r="F74" s="136">
        <f>s_b2s!C74</f>
        <v>0</v>
      </c>
      <c r="G74" s="136">
        <f>IFERROR(G12/$B60,0)</f>
        <v>0</v>
      </c>
      <c r="H74" s="136">
        <f t="shared" si="141"/>
        <v>170087898159.88019</v>
      </c>
      <c r="I74" s="149">
        <f>IFERROR(s_RadSpec!$I$12*I12,".")*$B$74</f>
        <v>0</v>
      </c>
      <c r="J74" s="149">
        <f>IFERROR(s_RadSpec!$L$12*$J$12,".")*B74</f>
        <v>0</v>
      </c>
      <c r="K74" s="149">
        <f>IFERROR(s_RadSpec!$K$12*$K$12,".")*B74</f>
        <v>1.4698282635311514E-10</v>
      </c>
      <c r="L74" s="149">
        <f>s_b2s!AB74</f>
        <v>0</v>
      </c>
      <c r="M74" s="150">
        <f t="shared" si="52"/>
        <v>1.4698282635311514E-10</v>
      </c>
      <c r="N74" s="136">
        <f>IFERROR(N12/$B60,0)</f>
        <v>170087898159.88019</v>
      </c>
      <c r="O74" s="136">
        <f>IFERROR(O12/$B60,0)</f>
        <v>1348904854466.0298</v>
      </c>
      <c r="P74" s="136">
        <f>IFERROR(P12/$B60,0)</f>
        <v>350594724400.50006</v>
      </c>
      <c r="Q74" s="136">
        <f>IFERROR(Q12/$B60,0)</f>
        <v>208769303582.15607</v>
      </c>
      <c r="R74" s="136">
        <f>IFERROR(R12/$B60,0)</f>
        <v>1852954768194.2217</v>
      </c>
      <c r="S74" s="149">
        <f>IFERROR(s_RadSpec!$K$12*$S$12,".")*$B$74</f>
        <v>1.4698282635311514E-10</v>
      </c>
      <c r="T74" s="149">
        <f>IFERROR(s_RadSpec!$R$12*$T$12,".")*$B$74</f>
        <v>1.8533553287489923E-11</v>
      </c>
      <c r="U74" s="149">
        <f>IFERROR(s_RadSpec!$S$12*$U$12,".")*$B$74</f>
        <v>7.1307404989475476E-11</v>
      </c>
      <c r="V74" s="149">
        <f>IFERROR(s_RadSpec!$T$12*$V$12,".")*$B$74</f>
        <v>1.1974940554496725E-10</v>
      </c>
      <c r="W74" s="149">
        <f>IFERROR(s_RadSpec!$P$12*$W$12,".")*$B$74</f>
        <v>1.3491964525590388E-11</v>
      </c>
      <c r="X74" s="136">
        <f>IFERROR(X12/$B60,0)</f>
        <v>0</v>
      </c>
      <c r="Y74" s="136">
        <f t="shared" ref="Y74" si="163">IFERROR(Y12/$B60,0)</f>
        <v>4035581.8170172116</v>
      </c>
      <c r="Z74" s="136">
        <f t="shared" si="143"/>
        <v>4035581.8170172111</v>
      </c>
      <c r="AA74" s="149">
        <f>IFERROR(s_RadSpec!$L$12*AA12,".")*$B$74</f>
        <v>0</v>
      </c>
      <c r="AB74" s="149">
        <f>IFERROR(s_RadSpec!$O$12*$AB$12,".")*$B$74</f>
        <v>6.1948936073059364E-6</v>
      </c>
      <c r="AC74" s="150">
        <f t="shared" si="56"/>
        <v>6.1948936073059364E-6</v>
      </c>
      <c r="AD74" s="136">
        <f>IFERROR(AD12/$B60,0)</f>
        <v>0</v>
      </c>
      <c r="AE74" s="136">
        <f t="shared" ref="AE74:AF74" si="164">IFERROR(AE12/$B60,0)</f>
        <v>0</v>
      </c>
      <c r="AF74" s="136">
        <f t="shared" si="164"/>
        <v>4713830861.8940535</v>
      </c>
      <c r="AG74" s="136">
        <f>IFERROR(AG12/$B60,0)</f>
        <v>0</v>
      </c>
      <c r="AH74" s="136">
        <f>IFERROR(AH12/$B60,0)</f>
        <v>4713830861.8940535</v>
      </c>
      <c r="AI74" s="149">
        <f>IFERROR(s_RadSpec!$M$12*AI12,".")*$B$74</f>
        <v>0</v>
      </c>
      <c r="AJ74" s="149">
        <f>IFERROR(s_RadSpec!$L$12*AJ12,".")*$B$74</f>
        <v>0</v>
      </c>
      <c r="AK74" s="149">
        <f>IFERROR(s_RadSpec!$Q$12*AK12,".")*$B$74</f>
        <v>5.3035420091324192E-9</v>
      </c>
      <c r="AL74" s="149">
        <f>s_b2w!AB74</f>
        <v>0</v>
      </c>
      <c r="AM74" s="150">
        <f t="shared" si="59"/>
        <v>5.3035420091324192E-9</v>
      </c>
      <c r="AN74" s="136">
        <f>IFERROR(AN12/$B60,0)</f>
        <v>0</v>
      </c>
      <c r="AO74" s="149">
        <f>IFERROR(s_RadSpec!$J$12*AO12,".")*$B$74</f>
        <v>0</v>
      </c>
      <c r="AP74" s="141"/>
    </row>
    <row r="75" spans="1:42" x14ac:dyDescent="0.25">
      <c r="A75" s="148" t="s">
        <v>1084</v>
      </c>
      <c r="B75" s="141">
        <v>1</v>
      </c>
      <c r="C75" s="136">
        <f>IFERROR(C18/$B61,0)</f>
        <v>255.27298254570982</v>
      </c>
      <c r="D75" s="136">
        <f>IFERROR(D18/$B61,0)</f>
        <v>892236.02001995174</v>
      </c>
      <c r="E75" s="136">
        <f>IFERROR(E18/$B61,0)</f>
        <v>17637150.232935164</v>
      </c>
      <c r="F75" s="136">
        <f>s_b2s!C75</f>
        <v>9.4650716553841239</v>
      </c>
      <c r="G75" s="136">
        <f>IFERROR(G18/$B61,0)</f>
        <v>0.17018198836380657</v>
      </c>
      <c r="H75" s="136">
        <f t="shared" si="141"/>
        <v>9.1265727313328782</v>
      </c>
      <c r="I75" s="149">
        <f>IFERROR(s_RadSpec!$I$18*I18,".")*$B$75</f>
        <v>9.7934375000000004E-2</v>
      </c>
      <c r="J75" s="149">
        <f>IFERROR(s_RadSpec!$L$18*$J$18,".")*B75</f>
        <v>2.8019491971912272E-5</v>
      </c>
      <c r="K75" s="149">
        <f>IFERROR(s_RadSpec!$K$18*$K$18,".")*B75</f>
        <v>1.4174625531802545E-6</v>
      </c>
      <c r="L75" s="149">
        <f>s_b2s!AB75</f>
        <v>2.6412900937499999</v>
      </c>
      <c r="M75" s="150">
        <f t="shared" si="52"/>
        <v>2.7392539057045249</v>
      </c>
      <c r="N75" s="136">
        <f>IFERROR(N18/$B61,0)</f>
        <v>17637150.232935164</v>
      </c>
      <c r="O75" s="136">
        <f>IFERROR(O18/$B61,0)</f>
        <v>179853888.19177029</v>
      </c>
      <c r="P75" s="136">
        <f>IFERROR(P18/$B61,0)</f>
        <v>43932867.045393184</v>
      </c>
      <c r="Q75" s="136">
        <f>IFERROR(Q18/$B61,0)</f>
        <v>23163110.588672746</v>
      </c>
      <c r="R75" s="136">
        <f>IFERROR(R18/$B61,0)</f>
        <v>310492341.61447906</v>
      </c>
      <c r="S75" s="149">
        <f>IFERROR(s_RadSpec!$K$18*$S$18,".")*$B$75</f>
        <v>1.4174625531802545E-6</v>
      </c>
      <c r="T75" s="149">
        <f>IFERROR(s_RadSpec!$R$18*$T$18,".")*$B$75</f>
        <v>1.3900172107118196E-7</v>
      </c>
      <c r="U75" s="149">
        <f>IFERROR(s_RadSpec!$S$18*$U$18,".")*$B$75</f>
        <v>5.6905004570197986E-7</v>
      </c>
      <c r="V75" s="149">
        <f>IFERROR(s_RadSpec!$T$18*$V$18,".")*$B$75</f>
        <v>1.0793023633114944E-6</v>
      </c>
      <c r="W75" s="149">
        <f>IFERROR(s_RadSpec!$P$18*$W$18,".")*$B$75</f>
        <v>8.0517283840260058E-8</v>
      </c>
      <c r="X75" s="136">
        <f>IFERROR(X18/$B61,0)</f>
        <v>2.8800028800028801</v>
      </c>
      <c r="Y75" s="136">
        <f t="shared" ref="Y75" si="165">IFERROR(Y18/$B61,0)</f>
        <v>958.01991719033333</v>
      </c>
      <c r="Z75" s="136">
        <f t="shared" si="143"/>
        <v>2.8713709544343797</v>
      </c>
      <c r="AA75" s="149">
        <f>IFERROR(s_RadSpec!$L$18*AA18,".")*$B$75</f>
        <v>8.6805468749999992</v>
      </c>
      <c r="AB75" s="149">
        <f>IFERROR(s_RadSpec!$O$18*$AB$18,".")*$B$75</f>
        <v>2.609549086757991E-2</v>
      </c>
      <c r="AC75" s="150">
        <f t="shared" si="56"/>
        <v>8.7066423658675784</v>
      </c>
      <c r="AD75" s="136">
        <f>IFERROR(AD18/$B61,0)</f>
        <v>2.8080028080028083</v>
      </c>
      <c r="AE75" s="136">
        <f t="shared" ref="AE75:AF75" si="166">IFERROR(AE18/$B61,0)</f>
        <v>0</v>
      </c>
      <c r="AF75" s="136">
        <f t="shared" si="166"/>
        <v>1104453.0133411873</v>
      </c>
      <c r="AG75" s="136">
        <f>IFERROR(AG18/$B61,0)</f>
        <v>13.520470417263882</v>
      </c>
      <c r="AH75" s="136">
        <f>IFERROR(AH18/$B61,0)</f>
        <v>2.3251064841154432</v>
      </c>
      <c r="AI75" s="149">
        <f>IFERROR(s_RadSpec!$M$18*AI18,".")*$B$75</f>
        <v>8.9031249999999993</v>
      </c>
      <c r="AJ75" s="149">
        <f>IFERROR(s_RadSpec!$L$18*AJ18,".")*$B$75</f>
        <v>4.3402734374999996</v>
      </c>
      <c r="AK75" s="149">
        <f>IFERROR(s_RadSpec!$Q$18*AK18,".")*$B$75</f>
        <v>2.2635639269406392E-5</v>
      </c>
      <c r="AL75" s="149">
        <f>s_b2w!AB75</f>
        <v>1.8490480899302331</v>
      </c>
      <c r="AM75" s="150">
        <f t="shared" si="59"/>
        <v>15.0924691630695</v>
      </c>
      <c r="AN75" s="136">
        <f>IFERROR(AN18/$B61,0)</f>
        <v>0.5105459650914197</v>
      </c>
      <c r="AO75" s="149">
        <f>IFERROR(s_RadSpec!$J$18*AO18,".")*$B$75</f>
        <v>48.967187500000001</v>
      </c>
      <c r="AP75" s="141"/>
    </row>
    <row r="76" spans="1:42" x14ac:dyDescent="0.25">
      <c r="A76" s="148" t="s">
        <v>1085</v>
      </c>
      <c r="B76" s="141">
        <v>1.339E-6</v>
      </c>
      <c r="C76" s="136">
        <f>IFERROR(C27/$B62,0)</f>
        <v>0</v>
      </c>
      <c r="D76" s="136">
        <f>IFERROR(D27/$B62,0)</f>
        <v>0</v>
      </c>
      <c r="E76" s="136">
        <f>IFERROR(E27/$B62,0)</f>
        <v>95441877379.29071</v>
      </c>
      <c r="F76" s="136">
        <f>s_b2s!C76</f>
        <v>0</v>
      </c>
      <c r="G76" s="136">
        <f>IFERROR(G27/$B62,0)</f>
        <v>0</v>
      </c>
      <c r="H76" s="136">
        <f t="shared" si="141"/>
        <v>95441877379.29071</v>
      </c>
      <c r="I76" s="149">
        <f>IFERROR(s_RadSpec!$I$27*I27,".")*$B$76</f>
        <v>0</v>
      </c>
      <c r="J76" s="149">
        <f>IFERROR(s_RadSpec!$L$27*$J$27,".")*B76</f>
        <v>0</v>
      </c>
      <c r="K76" s="149">
        <f>IFERROR(s_RadSpec!$K$27*$K$27,".")*B76</f>
        <v>2.6193952472926294E-10</v>
      </c>
      <c r="L76" s="149">
        <f>s_b2s!AB76</f>
        <v>0</v>
      </c>
      <c r="M76" s="150">
        <f t="shared" si="52"/>
        <v>2.6193952472926294E-10</v>
      </c>
      <c r="N76" s="136">
        <f>IFERROR(N27/$B62,0)</f>
        <v>95441877379.29071</v>
      </c>
      <c r="O76" s="136">
        <f>IFERROR(O27/$B62,0)</f>
        <v>476941559511.65546</v>
      </c>
      <c r="P76" s="136">
        <f>IFERROR(P27/$B62,0)</f>
        <v>209743502386.63846</v>
      </c>
      <c r="Q76" s="136">
        <f>IFERROR(Q27/$B62,0)</f>
        <v>129475932561.97394</v>
      </c>
      <c r="R76" s="136">
        <f>IFERROR(R27/$B62,0)</f>
        <v>158148998432.84109</v>
      </c>
      <c r="S76" s="149">
        <f>IFERROR(s_RadSpec!$K$27*$S$27,".")*$B$76</f>
        <v>2.6193952472926294E-10</v>
      </c>
      <c r="T76" s="149">
        <f>IFERROR(s_RadSpec!$R$27*$T$27,".")*$B$76</f>
        <v>5.2417323467465727E-11</v>
      </c>
      <c r="U76" s="149">
        <f>IFERROR(s_RadSpec!$S$27*$U$27,".")*$B$76</f>
        <v>1.1919320367748659E-10</v>
      </c>
      <c r="V76" s="149">
        <f>IFERROR(s_RadSpec!$T$27*$V$27,".")*$B$76</f>
        <v>1.9308607789353974E-10</v>
      </c>
      <c r="W76" s="149">
        <f>IFERROR(s_RadSpec!$P$27*$W$27,".")*$B$76</f>
        <v>1.5807877538103031E-10</v>
      </c>
      <c r="X76" s="136">
        <f>IFERROR(X27/$B62,0)</f>
        <v>0</v>
      </c>
      <c r="Y76" s="136">
        <f t="shared" ref="Y76" si="167">IFERROR(Y27/$B62,0)</f>
        <v>801979.8660786713</v>
      </c>
      <c r="Z76" s="136">
        <f t="shared" si="143"/>
        <v>801979.86607867142</v>
      </c>
      <c r="AA76" s="149">
        <f>IFERROR(s_RadSpec!$L$27*AA27,".")*$B$76</f>
        <v>0</v>
      </c>
      <c r="AB76" s="149">
        <f>IFERROR(s_RadSpec!$O$27*$AB$27,".")*$B$76</f>
        <v>3.1172852408675795E-5</v>
      </c>
      <c r="AC76" s="150">
        <f t="shared" si="56"/>
        <v>3.1172852408675795E-5</v>
      </c>
      <c r="AD76" s="136">
        <f>IFERROR(AD27/$B62,0)</f>
        <v>0</v>
      </c>
      <c r="AE76" s="136">
        <f t="shared" ref="AE76:AF76" si="168">IFERROR(AE27/$B62,0)</f>
        <v>0</v>
      </c>
      <c r="AF76" s="136">
        <f t="shared" si="168"/>
        <v>1675715825.4380658</v>
      </c>
      <c r="AG76" s="136">
        <f>IFERROR(AG27/$B62,0)</f>
        <v>0</v>
      </c>
      <c r="AH76" s="136">
        <f>IFERROR(AH27/$B62,0)</f>
        <v>1675715825.4380658</v>
      </c>
      <c r="AI76" s="149">
        <f>IFERROR(s_RadSpec!$M$27*AI27,".")*$B$76</f>
        <v>0</v>
      </c>
      <c r="AJ76" s="149">
        <f>IFERROR(s_RadSpec!$L$27*AJ27,".")*$B$76</f>
        <v>0</v>
      </c>
      <c r="AK76" s="149">
        <f>IFERROR(s_RadSpec!$Q$27*AK27,".")*$B$76</f>
        <v>1.4918997374429222E-8</v>
      </c>
      <c r="AL76" s="149">
        <f>s_b2w!AB76</f>
        <v>0</v>
      </c>
      <c r="AM76" s="150">
        <f t="shared" si="59"/>
        <v>1.4918997374429222E-8</v>
      </c>
      <c r="AN76" s="136">
        <f>IFERROR(AN27/$B62,0)</f>
        <v>0</v>
      </c>
      <c r="AO76" s="149">
        <f>IFERROR(s_RadSpec!$J$27*AO27,".")*$B$76</f>
        <v>0</v>
      </c>
      <c r="AP76" s="141"/>
    </row>
  </sheetData>
  <sheetProtection algorithmName="SHA-512" hashValue="rMgfYo2p3b5LQKqT47Mxi6Cvuj7G7BgOkxs2cjuJcCadOvl8H/2Ce4UemBwher/myDajTXrN+y4IJJgHEDiMbA==" saltValue="UGj7IfmfcQRXqYXEgPvl9w==" spinCount="100000" sheet="1" objects="1" scenarios="1" formatColumns="0" formatRows="0" autoFilter="0"/>
  <autoFilter ref="A1:AP76" xr:uid="{07DD4F8B-0CD7-41C0-A701-7E5E2F1E8003}"/>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9" tint="-0.499984740745262"/>
  </sheetPr>
  <dimension ref="A1:DN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15.5703125" defaultRowHeight="15" x14ac:dyDescent="0.25"/>
  <cols>
    <col min="1" max="1" width="15.42578125" style="4" bestFit="1" customWidth="1"/>
    <col min="2" max="2" width="13.28515625" style="4" bestFit="1" customWidth="1"/>
    <col min="3" max="3" width="14.5703125" style="3" bestFit="1" customWidth="1"/>
    <col min="4" max="4" width="13.85546875" style="3" bestFit="1" customWidth="1"/>
    <col min="5" max="5" width="10.28515625" style="3" bestFit="1" customWidth="1"/>
    <col min="6" max="6" width="11.28515625" style="3" bestFit="1" customWidth="1"/>
    <col min="7" max="7" width="12" style="3" bestFit="1" customWidth="1"/>
    <col min="8" max="8" width="12.5703125" style="3" bestFit="1" customWidth="1"/>
    <col min="9" max="9" width="10.7109375" style="3" bestFit="1" customWidth="1"/>
    <col min="10" max="10" width="11.28515625" style="3" bestFit="1" customWidth="1"/>
    <col min="11" max="11" width="12.5703125" style="3" bestFit="1" customWidth="1"/>
    <col min="12" max="12" width="13.5703125" style="3" bestFit="1" customWidth="1"/>
    <col min="13" max="13" width="14.7109375" style="3" bestFit="1" customWidth="1"/>
    <col min="14" max="14" width="14.42578125" style="3" bestFit="1" customWidth="1"/>
    <col min="15" max="15" width="13.5703125" style="3" bestFit="1" customWidth="1"/>
    <col min="16" max="16" width="10.7109375" style="3" bestFit="1" customWidth="1"/>
    <col min="17" max="17" width="11.28515625" style="3" bestFit="1" customWidth="1"/>
    <col min="18" max="18" width="11.85546875" style="3" bestFit="1" customWidth="1"/>
    <col min="19" max="19" width="12.42578125" style="3" bestFit="1" customWidth="1"/>
    <col min="20" max="20" width="10.5703125" style="3" bestFit="1" customWidth="1"/>
    <col min="21" max="21" width="11.5703125" style="3" bestFit="1" customWidth="1"/>
    <col min="22" max="22" width="12.5703125" style="3" bestFit="1" customWidth="1"/>
    <col min="23" max="23" width="13.5703125" style="3" bestFit="1" customWidth="1"/>
    <col min="24" max="25" width="14.42578125" style="3" bestFit="1" customWidth="1"/>
    <col min="26" max="26" width="14.5703125" style="3" bestFit="1" customWidth="1"/>
    <col min="27" max="27" width="14.28515625" style="2" bestFit="1" customWidth="1"/>
    <col min="28" max="28" width="19" style="3" bestFit="1" customWidth="1"/>
    <col min="29" max="29" width="15" style="3" bestFit="1" customWidth="1"/>
    <col min="30" max="30" width="15.5703125" style="3" bestFit="1" customWidth="1"/>
    <col min="31" max="31" width="16.28515625" style="3" bestFit="1" customWidth="1"/>
    <col min="32" max="32" width="16.85546875" style="3" bestFit="1" customWidth="1"/>
    <col min="33" max="33" width="18.28515625" style="3" bestFit="1" customWidth="1"/>
    <col min="34" max="34" width="14.5703125" style="3" bestFit="1" customWidth="1"/>
    <col min="35" max="35" width="15.5703125" style="3" bestFit="1" customWidth="1"/>
    <col min="36" max="36" width="18.140625" style="3" bestFit="1" customWidth="1"/>
    <col min="37" max="37" width="16.85546875" style="3" bestFit="1" customWidth="1"/>
    <col min="38" max="38" width="19.140625" style="3" bestFit="1" customWidth="1"/>
    <col min="39" max="40" width="10" style="3" bestFit="1" customWidth="1"/>
    <col min="41" max="41" width="9.85546875" style="3" bestFit="1" customWidth="1"/>
    <col min="42" max="42" width="13.5703125" style="3" bestFit="1" customWidth="1"/>
    <col min="43" max="43" width="10.140625" style="3" bestFit="1" customWidth="1"/>
    <col min="44" max="44" width="10.5703125" style="3" bestFit="1" customWidth="1"/>
    <col min="45" max="45" width="11.42578125" style="3" bestFit="1" customWidth="1"/>
    <col min="46" max="46" width="11.7109375" style="3" bestFit="1" customWidth="1"/>
    <col min="47" max="47" width="13" style="3" bestFit="1" customWidth="1"/>
    <col min="48" max="48" width="10.28515625" style="3" bestFit="1" customWidth="1"/>
    <col min="49" max="49" width="11.140625" style="3" bestFit="1" customWidth="1"/>
    <col min="50" max="50" width="12.85546875" style="3" bestFit="1" customWidth="1"/>
    <col min="51" max="51" width="11.7109375" style="3" bestFit="1" customWidth="1"/>
    <col min="52" max="52" width="13.42578125" style="3" bestFit="1" customWidth="1"/>
    <col min="53" max="55" width="14.140625" style="3" bestFit="1" customWidth="1"/>
    <col min="56" max="56" width="14" style="3" bestFit="1" customWidth="1"/>
    <col min="57" max="57" width="18.42578125" style="3" bestFit="1" customWidth="1"/>
    <col min="58" max="58" width="14.42578125" style="3" bestFit="1" customWidth="1"/>
    <col min="59" max="59" width="15" style="3" bestFit="1" customWidth="1"/>
    <col min="60" max="60" width="15.7109375" style="3" bestFit="1" customWidth="1"/>
    <col min="61" max="61" width="16.28515625" style="3" bestFit="1" customWidth="1"/>
    <col min="62" max="62" width="17.5703125" style="3" bestFit="1" customWidth="1"/>
    <col min="63" max="63" width="14.5703125" style="3" bestFit="1" customWidth="1"/>
    <col min="64" max="64" width="15.42578125" style="3" bestFit="1" customWidth="1"/>
    <col min="65" max="65" width="17.5703125" style="3" bestFit="1" customWidth="1"/>
    <col min="66" max="66" width="16.42578125" style="3" bestFit="1" customWidth="1"/>
    <col min="67" max="67" width="18.42578125" style="3" bestFit="1" customWidth="1"/>
    <col min="68" max="68" width="14.28515625" style="3" bestFit="1" customWidth="1"/>
    <col min="69" max="69" width="16.140625" style="3" bestFit="1" customWidth="1"/>
    <col min="70" max="70" width="16.28515625" style="3" bestFit="1" customWidth="1"/>
    <col min="71" max="71" width="17.42578125" style="3" bestFit="1" customWidth="1"/>
    <col min="72" max="72" width="20.85546875" style="3" bestFit="1" customWidth="1"/>
    <col min="73" max="73" width="16.7109375" style="3" bestFit="1" customWidth="1"/>
    <col min="74" max="74" width="17.5703125" style="3" bestFit="1" customWidth="1"/>
    <col min="75" max="75" width="18.140625" style="3" bestFit="1" customWidth="1"/>
    <col min="76" max="76" width="18.7109375" style="3" bestFit="1" customWidth="1"/>
    <col min="77" max="77" width="20" style="3" bestFit="1" customWidth="1"/>
    <col min="78" max="78" width="16.5703125" style="3" bestFit="1" customWidth="1"/>
    <col min="79" max="79" width="17.28515625" style="3" bestFit="1" customWidth="1"/>
    <col min="80" max="80" width="19.7109375" style="3" bestFit="1" customWidth="1"/>
    <col min="81" max="81" width="18.85546875" style="3" bestFit="1" customWidth="1"/>
    <col min="82" max="82" width="20.7109375" style="3" bestFit="1" customWidth="1"/>
    <col min="83" max="84" width="11.7109375" style="2" bestFit="1" customWidth="1"/>
    <col min="85" max="85" width="12.7109375" style="2" bestFit="1" customWidth="1"/>
    <col min="86" max="86" width="15.42578125" style="2" bestFit="1" customWidth="1"/>
    <col min="87" max="87" width="11.85546875" style="2" bestFit="1" customWidth="1"/>
    <col min="88" max="88" width="12.42578125" style="2" bestFit="1" customWidth="1"/>
    <col min="89" max="89" width="13.140625" style="2" bestFit="1" customWidth="1"/>
    <col min="90" max="90" width="13.42578125" style="2" bestFit="1" customWidth="1"/>
    <col min="91" max="91" width="14.7109375" style="2" bestFit="1" customWidth="1"/>
    <col min="92" max="92" width="12" style="2" bestFit="1" customWidth="1"/>
    <col min="93" max="93" width="12.85546875" style="2" bestFit="1" customWidth="1"/>
    <col min="94" max="94" width="14.5703125" style="2" bestFit="1" customWidth="1"/>
    <col min="95" max="95" width="13.42578125" style="2" bestFit="1" customWidth="1"/>
    <col min="96" max="96" width="15.28515625" style="2" bestFit="1" customWidth="1"/>
    <col min="97" max="97" width="16" style="3" bestFit="1" customWidth="1"/>
    <col min="98" max="99" width="16.28515625" style="3" bestFit="1" customWidth="1"/>
    <col min="100" max="100" width="17.42578125" style="3" bestFit="1" customWidth="1"/>
    <col min="101" max="101" width="20.85546875" style="3" bestFit="1" customWidth="1"/>
    <col min="102" max="102" width="16.7109375" style="3" bestFit="1" customWidth="1"/>
    <col min="103" max="103" width="17.42578125" style="3" bestFit="1" customWidth="1"/>
    <col min="104" max="104" width="18" style="3" bestFit="1" customWidth="1"/>
    <col min="105" max="105" width="18.5703125" style="3" bestFit="1" customWidth="1"/>
    <col min="106" max="106" width="20" style="3" bestFit="1" customWidth="1"/>
    <col min="107" max="107" width="16.85546875" style="3" bestFit="1" customWidth="1"/>
    <col min="108" max="108" width="17.7109375" style="3" bestFit="1" customWidth="1"/>
    <col min="109" max="109" width="20" style="3" bestFit="1" customWidth="1"/>
    <col min="110" max="110" width="18.7109375" style="3" bestFit="1" customWidth="1"/>
    <col min="111" max="111" width="20.85546875" style="3" bestFit="1" customWidth="1"/>
    <col min="112" max="112" width="16.7109375" style="3" bestFit="1" customWidth="1"/>
    <col min="113" max="113" width="13.85546875" style="3" bestFit="1" customWidth="1"/>
    <col min="114" max="114" width="14.140625" style="3" bestFit="1" customWidth="1"/>
    <col min="115" max="115" width="13.28515625" style="3" bestFit="1" customWidth="1"/>
    <col min="116" max="116" width="13.42578125" style="3" bestFit="1" customWidth="1"/>
    <col min="117" max="117" width="13.85546875" style="3" bestFit="1" customWidth="1"/>
    <col min="118" max="118" width="13.7109375" style="3" bestFit="1" customWidth="1"/>
    <col min="119" max="16384" width="15.5703125" style="3"/>
  </cols>
  <sheetData>
    <row r="1" spans="1:118" s="9" customFormat="1" x14ac:dyDescent="0.2">
      <c r="A1" s="125" t="s">
        <v>39</v>
      </c>
      <c r="B1" s="126" t="s">
        <v>335</v>
      </c>
      <c r="C1" s="153" t="s">
        <v>1223</v>
      </c>
      <c r="D1" s="153" t="s">
        <v>1224</v>
      </c>
      <c r="E1" s="153" t="s">
        <v>1225</v>
      </c>
      <c r="F1" s="153" t="s">
        <v>1226</v>
      </c>
      <c r="G1" s="153" t="s">
        <v>1227</v>
      </c>
      <c r="H1" s="153" t="s">
        <v>1228</v>
      </c>
      <c r="I1" s="153" t="s">
        <v>1229</v>
      </c>
      <c r="J1" s="153" t="s">
        <v>1230</v>
      </c>
      <c r="K1" s="153" t="s">
        <v>1231</v>
      </c>
      <c r="L1" s="153" t="s">
        <v>1232</v>
      </c>
      <c r="M1" s="153" t="s">
        <v>1233</v>
      </c>
      <c r="N1" s="154" t="s">
        <v>1261</v>
      </c>
      <c r="O1" s="154" t="s">
        <v>1262</v>
      </c>
      <c r="P1" s="154" t="s">
        <v>1263</v>
      </c>
      <c r="Q1" s="154" t="s">
        <v>1264</v>
      </c>
      <c r="R1" s="154" t="s">
        <v>1265</v>
      </c>
      <c r="S1" s="154" t="s">
        <v>1266</v>
      </c>
      <c r="T1" s="154" t="s">
        <v>1267</v>
      </c>
      <c r="U1" s="154" t="s">
        <v>1268</v>
      </c>
      <c r="V1" s="154" t="s">
        <v>1269</v>
      </c>
      <c r="W1" s="154" t="s">
        <v>1270</v>
      </c>
      <c r="X1" s="154" t="s">
        <v>1271</v>
      </c>
      <c r="Y1" s="153" t="s">
        <v>1146</v>
      </c>
      <c r="Z1" s="153" t="s">
        <v>1147</v>
      </c>
      <c r="AA1" s="155" t="s">
        <v>1148</v>
      </c>
      <c r="AB1" s="153" t="s">
        <v>1152</v>
      </c>
      <c r="AC1" s="153" t="s">
        <v>1158</v>
      </c>
      <c r="AD1" s="153" t="s">
        <v>1155</v>
      </c>
      <c r="AE1" s="153" t="s">
        <v>1156</v>
      </c>
      <c r="AF1" s="153" t="s">
        <v>1157</v>
      </c>
      <c r="AG1" s="153" t="s">
        <v>1153</v>
      </c>
      <c r="AH1" s="153" t="s">
        <v>1154</v>
      </c>
      <c r="AI1" s="153" t="s">
        <v>1234</v>
      </c>
      <c r="AJ1" s="153" t="s">
        <v>1236</v>
      </c>
      <c r="AK1" s="153" t="s">
        <v>1235</v>
      </c>
      <c r="AL1" s="153" t="s">
        <v>1237</v>
      </c>
      <c r="AM1" s="156" t="s">
        <v>1159</v>
      </c>
      <c r="AN1" s="156" t="s">
        <v>1160</v>
      </c>
      <c r="AO1" s="156" t="s">
        <v>1161</v>
      </c>
      <c r="AP1" s="156" t="s">
        <v>1162</v>
      </c>
      <c r="AQ1" s="156" t="s">
        <v>1168</v>
      </c>
      <c r="AR1" s="156" t="s">
        <v>1165</v>
      </c>
      <c r="AS1" s="156" t="s">
        <v>1166</v>
      </c>
      <c r="AT1" s="156" t="s">
        <v>1167</v>
      </c>
      <c r="AU1" s="156" t="s">
        <v>1163</v>
      </c>
      <c r="AV1" s="156" t="s">
        <v>1164</v>
      </c>
      <c r="AW1" s="156" t="s">
        <v>1238</v>
      </c>
      <c r="AX1" s="156" t="s">
        <v>1240</v>
      </c>
      <c r="AY1" s="156" t="s">
        <v>1239</v>
      </c>
      <c r="AZ1" s="156" t="s">
        <v>1241</v>
      </c>
      <c r="BA1" s="153" t="s">
        <v>1149</v>
      </c>
      <c r="BB1" s="154" t="s">
        <v>1202</v>
      </c>
      <c r="BC1" s="154" t="s">
        <v>1203</v>
      </c>
      <c r="BD1" s="154" t="s">
        <v>1204</v>
      </c>
      <c r="BE1" s="154" t="s">
        <v>1205</v>
      </c>
      <c r="BF1" s="154" t="s">
        <v>1277</v>
      </c>
      <c r="BG1" s="154" t="s">
        <v>1274</v>
      </c>
      <c r="BH1" s="154" t="s">
        <v>1275</v>
      </c>
      <c r="BI1" s="154" t="s">
        <v>1276</v>
      </c>
      <c r="BJ1" s="154" t="s">
        <v>1272</v>
      </c>
      <c r="BK1" s="154" t="s">
        <v>1273</v>
      </c>
      <c r="BL1" s="154" t="s">
        <v>1278</v>
      </c>
      <c r="BM1" s="154" t="s">
        <v>1280</v>
      </c>
      <c r="BN1" s="154" t="s">
        <v>1279</v>
      </c>
      <c r="BO1" s="154" t="s">
        <v>1281</v>
      </c>
      <c r="BP1" s="157" t="s">
        <v>1206</v>
      </c>
      <c r="BQ1" s="153" t="s">
        <v>1242</v>
      </c>
      <c r="BR1" s="153" t="s">
        <v>1243</v>
      </c>
      <c r="BS1" s="153" t="s">
        <v>1244</v>
      </c>
      <c r="BT1" s="153" t="s">
        <v>1245</v>
      </c>
      <c r="BU1" s="153" t="s">
        <v>1251</v>
      </c>
      <c r="BV1" s="153" t="s">
        <v>1248</v>
      </c>
      <c r="BW1" s="153" t="s">
        <v>1249</v>
      </c>
      <c r="BX1" s="153" t="s">
        <v>1250</v>
      </c>
      <c r="BY1" s="153" t="s">
        <v>1246</v>
      </c>
      <c r="BZ1" s="153" t="s">
        <v>1247</v>
      </c>
      <c r="CA1" s="153" t="s">
        <v>1252</v>
      </c>
      <c r="CB1" s="153" t="s">
        <v>1254</v>
      </c>
      <c r="CC1" s="153" t="s">
        <v>1253</v>
      </c>
      <c r="CD1" s="153" t="s">
        <v>1255</v>
      </c>
      <c r="CE1" s="156" t="s">
        <v>1169</v>
      </c>
      <c r="CF1" s="156" t="s">
        <v>1170</v>
      </c>
      <c r="CG1" s="156" t="s">
        <v>1171</v>
      </c>
      <c r="CH1" s="156" t="s">
        <v>1172</v>
      </c>
      <c r="CI1" s="156" t="s">
        <v>1178</v>
      </c>
      <c r="CJ1" s="156" t="s">
        <v>1175</v>
      </c>
      <c r="CK1" s="156" t="s">
        <v>1176</v>
      </c>
      <c r="CL1" s="156" t="s">
        <v>1177</v>
      </c>
      <c r="CM1" s="156" t="s">
        <v>1173</v>
      </c>
      <c r="CN1" s="156" t="s">
        <v>1174</v>
      </c>
      <c r="CO1" s="156" t="s">
        <v>1256</v>
      </c>
      <c r="CP1" s="156" t="s">
        <v>1258</v>
      </c>
      <c r="CQ1" s="156" t="s">
        <v>1257</v>
      </c>
      <c r="CR1" s="156" t="s">
        <v>1259</v>
      </c>
      <c r="CS1" s="153" t="s">
        <v>1260</v>
      </c>
      <c r="CT1" s="154" t="s">
        <v>1282</v>
      </c>
      <c r="CU1" s="154" t="s">
        <v>1283</v>
      </c>
      <c r="CV1" s="154" t="s">
        <v>1284</v>
      </c>
      <c r="CW1" s="154" t="s">
        <v>1285</v>
      </c>
      <c r="CX1" s="154" t="s">
        <v>1286</v>
      </c>
      <c r="CY1" s="154" t="s">
        <v>1287</v>
      </c>
      <c r="CZ1" s="154" t="s">
        <v>1288</v>
      </c>
      <c r="DA1" s="154" t="s">
        <v>1289</v>
      </c>
      <c r="DB1" s="154" t="s">
        <v>1290</v>
      </c>
      <c r="DC1" s="154" t="s">
        <v>1291</v>
      </c>
      <c r="DD1" s="154" t="s">
        <v>1292</v>
      </c>
      <c r="DE1" s="154" t="s">
        <v>1293</v>
      </c>
      <c r="DF1" s="154" t="s">
        <v>1294</v>
      </c>
      <c r="DG1" s="154" t="s">
        <v>1295</v>
      </c>
      <c r="DH1" s="157" t="s">
        <v>1296</v>
      </c>
      <c r="DI1" s="153" t="s">
        <v>1186</v>
      </c>
      <c r="DJ1" s="153" t="s">
        <v>1187</v>
      </c>
      <c r="DK1" s="153" t="s">
        <v>1188</v>
      </c>
      <c r="DL1" s="154" t="s">
        <v>1212</v>
      </c>
      <c r="DM1" s="154" t="s">
        <v>1213</v>
      </c>
      <c r="DN1" s="157" t="s">
        <v>1214</v>
      </c>
    </row>
    <row r="2" spans="1:118" customFormat="1" x14ac:dyDescent="0.25">
      <c r="A2" s="128" t="s">
        <v>0</v>
      </c>
      <c r="B2" s="129" t="s">
        <v>1059</v>
      </c>
      <c r="C2" s="141">
        <f>s_dir!AB2</f>
        <v>5.6944259968768911</v>
      </c>
      <c r="D2" s="141">
        <f>IFERROR(s_DL/(s_RadSpec!J2*s_IFP_far_adj*s_CF_far_poultry),".")</f>
        <v>17.083277990630673</v>
      </c>
      <c r="E2" s="141">
        <f>IFERROR(s_DL/(s_RadSpec!J2*s_IFE_far_adj*s_CF_far_egg),".")</f>
        <v>17.083277990630673</v>
      </c>
      <c r="F2" s="141">
        <f>IFERROR(s_DL/(s_RadSpec!J2*s_IFB_far_adj*s_CF_far_beef),".")</f>
        <v>17.083277990630673</v>
      </c>
      <c r="G2" s="141">
        <f>IFERROR(s_DL/(s_RadSpec!J2*s_IFD_far_adj*s_CF_far_dairy),".")</f>
        <v>17.083277990630673</v>
      </c>
      <c r="H2" s="141">
        <f>IFERROR(s_DL/(s_RadSpec!J2*s_IFSW_far_adj*s_CF_far_swine),".")</f>
        <v>17.083277990630673</v>
      </c>
      <c r="I2" s="141">
        <f>IFERROR(s_DL/(s_RadSpec!J2*s_IFFI_far_adj*s_CF_far_fish),".")</f>
        <v>17.083277990630673</v>
      </c>
      <c r="J2" s="141">
        <f>IFERROR(s_DL/(s_RadSpec!J2*s_IFGO_far_adj*s_CF_far_goat),".")</f>
        <v>17.083277990630673</v>
      </c>
      <c r="K2" s="141">
        <f>IFERROR(s_DL/(s_RadSpec!J2*s_IFSH_far_adj*s_CF_far_sheep),".")</f>
        <v>17.083277990630673</v>
      </c>
      <c r="L2" s="141">
        <f>IFERROR(s_DL/(s_RadSpec!J2*s_IFGM_far_adj*s_CF_far_goat_milk),".")</f>
        <v>17.083277990630673</v>
      </c>
      <c r="M2" s="141">
        <f>IFERROR(s_DL/(s_RadSpec!J2*s_IFSM_far_adj*s_CF_far_sheep_milk),".")</f>
        <v>17.083277990630673</v>
      </c>
      <c r="N2" s="142">
        <f>s_dir!BA2</f>
        <v>22687.5</v>
      </c>
      <c r="O2" s="142">
        <f t="shared" ref="O2:O30" si="0">IFERROR(s_C*s_IFP_far_adj*s_CF_far_poultry,".")</f>
        <v>7562.5</v>
      </c>
      <c r="P2" s="142">
        <f t="shared" ref="P2:P30" si="1">IFERROR(s_C*s_IFE_far_adj*s_CF_far_egg,".")</f>
        <v>7562.5</v>
      </c>
      <c r="Q2" s="142">
        <f t="shared" ref="Q2:Q30" si="2">IFERROR(s_C*s_IFB_far_adj*s_CF_far_beef,".")</f>
        <v>7562.5</v>
      </c>
      <c r="R2" s="142">
        <f t="shared" ref="R2:R30" si="3">IFERROR(s_C*s_IFD_far_adj*s_CF_far_dairy,".")</f>
        <v>7562.5</v>
      </c>
      <c r="S2" s="142">
        <f t="shared" ref="S2:S30" si="4">IFERROR(s_C*s_IFS_far_adj*s_CF_far_swine,".")</f>
        <v>7562.5</v>
      </c>
      <c r="T2" s="142">
        <f t="shared" ref="T2:T30" si="5">IFERROR(s_C*s_IFFI_far_adj*s_CF_far_fish,".")</f>
        <v>7562.5</v>
      </c>
      <c r="U2" s="142">
        <f t="shared" ref="U2:U30" si="6">IFERROR(s_C*s_IFGO_far_adj*s_CF_far_goat,".")</f>
        <v>7562.5</v>
      </c>
      <c r="V2" s="142">
        <f t="shared" ref="V2:V30" si="7">IFERROR(s_C*s_IFSH_far_adj*s_CF_far_sheep,".")</f>
        <v>7562.5</v>
      </c>
      <c r="W2" s="142">
        <f t="shared" ref="W2:W30" si="8">IFERROR(s_C*s_IFGM_far_adj*s_CF_far_goat_milk,".")</f>
        <v>7562.5</v>
      </c>
      <c r="X2" s="142">
        <f t="shared" ref="X2:X30" si="9">IFERROR(s_C*s_IFSM_far_adj*s_CF_far_sheep_milk,".")</f>
        <v>7562.5</v>
      </c>
      <c r="Y2" s="141">
        <f>IFERROR((s_DL/(s_RadSpec!I2*s_IFS_far_adj*(1/1000)))*1,".")</f>
        <v>8541.6389953153375</v>
      </c>
      <c r="Z2" s="141">
        <f>IFERROR(IF(A2="H-3",(s_DL/(s_RadSpec!L2*s_IFA_far_adj*(1/17)*1000))*1,(s_DL/(s_RadSpec!L2*s_IFA_far_adj*(1/s_PEF_wind)*1000))*1),".")</f>
        <v>454865.42197095585</v>
      </c>
      <c r="AA2" s="141">
        <f>IFERROR((s_DL/(s_RadSpec!K2*s_EF_far*(1/365)*s_ED_far*s_RadSpec!V2*((s_ET_far_o*(1/24)*s_RadSpec!AA2)+(s_ET_far_i*(1/24)*s_RadSpec!AF2))))*1,".")</f>
        <v>66637.689051180758</v>
      </c>
      <c r="AB2" s="141">
        <f>s_b2s!BA2</f>
        <v>392.71903426737191</v>
      </c>
      <c r="AC2" s="141">
        <f>IFERROR(((I2*s_RadSpec!AX2)/s_RadSpec!AN2)*1,".")</f>
        <v>1936.1048389381431</v>
      </c>
      <c r="AD2" s="141">
        <f>IFERROR((F2/(s_RadSpec!AM2*((s_Q_p_beef*s_f_p_beef*s_f_s_beef*(s_RadSpec!BG2+s_R_es_past))+(s_Q_s_beef*s_f_p_beef))))*1,".")</f>
        <v>8541.6389953153357</v>
      </c>
      <c r="AE2" s="141">
        <f>IFERROR(((G2*s_D_milk)/(s_RadSpec!AL2*((s_Q_p_dairy*s_f_p_dairy*s_f_s_dairy*(s_RadSpec!BG2+s_R_es_past))+(s_Q_s_dairy*s_f_p_dairy))))*1,".")</f>
        <v>87978.881651747972</v>
      </c>
      <c r="AF2" s="141" t="str">
        <f>IFERROR((H2/(s_RadSpec!AQ2*((s_Q_p_swine*s_f_p_swine*s_f_s_swine*(s_RadSpec!BG2+s_R_es_past))+(s_Q_s_swine*s_f_p_swine))))*1,".")</f>
        <v>.</v>
      </c>
      <c r="AG2" s="141" t="str">
        <f>IFERROR((D2/(s_RadSpec!AO2*((s_Q_p_poultry*s_f_p_poultry*s_f_s_poultry*(s_RadSpec!BG2+s_R_es_past))+(s_Q_s_poultry*s_f_p_poultry))))*1,".")</f>
        <v>.</v>
      </c>
      <c r="AH2" s="141" t="str">
        <f>IFERROR((E2/(s_RadSpec!AP2*((s_Q_p_poultry*s_f_p_poultry*s_f_s_poultry*(s_RadSpec!BG2+s_R_es_past))+(s_Q_s_poultry*s_f_p_poultry))))*1,".")</f>
        <v>.</v>
      </c>
      <c r="AI2" s="141" t="str">
        <f>IFERROR((J2/(s_RadSpec!AT2*((s_Q_p_goat*s_f_p_goat*s_f_s_goat*(s_RadSpec!BG2+s_R_es_past))+(s_Q_s_goat*s_f_p_goat))))*1,".")</f>
        <v>.</v>
      </c>
      <c r="AJ2" s="141" t="str">
        <f>IFERROR((L2*s_D_milk/(s_RadSpec!AU2*((s_Q_p_goat_milk*s_f_p_goat_milk*s_f_s_goat_milk*(s_RadSpec!BG2+s_R_es_past))+(s_Q_s_goat_milk*s_f_p_goat_milk))))*1,".")</f>
        <v>.</v>
      </c>
      <c r="AK2" s="141" t="str">
        <f>IFERROR((K2/(s_RadSpec!AR2*((s_Q_p_sheep*s_f_p_sheep*s_f_s_sheep*(s_RadSpec!BG2+s_R_es_past))+(s_Q_s_sheep*s_f_p_sheep))))*1,".")</f>
        <v>.</v>
      </c>
      <c r="AL2" s="141" t="str">
        <f>IFERROR((M2*s_D_milk/(s_RadSpec!AS2*((s_Q_p_sheep_milk*s_f_p_sheep_milk*s_f_s_sheep_milk*(s_RadSpec!BG2+s_R_es_past))+(s_Q_s_sheep_milk*s_f_p_sheep_milk))))*1,".")</f>
        <v>.</v>
      </c>
      <c r="AM2" s="158">
        <f t="shared" ref="AM2:AM30" si="10">IFERROR(1/Y2,".")</f>
        <v>1.1707355000000001E-4</v>
      </c>
      <c r="AN2" s="158">
        <f t="shared" ref="AN2:AN30" si="11">IFERROR(1/Z2,".")</f>
        <v>2.1984524470269629E-6</v>
      </c>
      <c r="AO2" s="158">
        <f t="shared" ref="AO2:AO30" si="12">IFERROR(1/AA2,".")</f>
        <v>1.5006522798711623E-5</v>
      </c>
      <c r="AP2" s="158">
        <f t="shared" ref="AP2:AP30" si="13">IFERROR(1/AB2,".")</f>
        <v>2.5463497124999998E-3</v>
      </c>
      <c r="AQ2" s="158">
        <f t="shared" ref="AQ2:AQ30" si="14">IFERROR(1/AC2,".")</f>
        <v>5.1650095588235301E-4</v>
      </c>
      <c r="AR2" s="158">
        <f t="shared" ref="AR2:AR30" si="15">IFERROR(1/AD2,".")</f>
        <v>1.1707355000000003E-4</v>
      </c>
      <c r="AS2" s="158">
        <f t="shared" ref="AS2:AS30" si="16">IFERROR(1/AE2,".")</f>
        <v>1.1366364077669904E-5</v>
      </c>
      <c r="AT2" s="158" t="str">
        <f t="shared" ref="AT2:AT30" si="17">IFERROR(1/AF2,".")</f>
        <v>.</v>
      </c>
      <c r="AU2" s="158" t="str">
        <f t="shared" ref="AU2:AU30" si="18">IFERROR(1/AG2,".")</f>
        <v>.</v>
      </c>
      <c r="AV2" s="158" t="str">
        <f t="shared" ref="AV2:AV30" si="19">IFERROR(1/AH2,".")</f>
        <v>.</v>
      </c>
      <c r="AW2" s="158" t="str">
        <f t="shared" ref="AW2:AW30" si="20">IFERROR(1/AI2,".")</f>
        <v>.</v>
      </c>
      <c r="AX2" s="158" t="str">
        <f t="shared" ref="AX2:AX30" si="21">IFERROR(1/AJ2,".")</f>
        <v>.</v>
      </c>
      <c r="AY2" s="158" t="str">
        <f t="shared" ref="AY2:AY30" si="22">IFERROR(1/AK2,".")</f>
        <v>.</v>
      </c>
      <c r="AZ2" s="158" t="str">
        <f t="shared" ref="AZ2:AZ30" si="23">IFERROR(1/AL2,".")</f>
        <v>.</v>
      </c>
      <c r="BA2" s="141">
        <f t="shared" ref="BA2:BA30" si="24">IFERROR(1/(SUMIF(AM2:AZ2,"&lt;&gt;0")),".")</f>
        <v>300.70041175294608</v>
      </c>
      <c r="BB2" s="142">
        <f t="shared" ref="BB2:BB30" si="25">IFERROR(s_C*s_IFS_far_adj*(1/1000),".")</f>
        <v>15.125</v>
      </c>
      <c r="BC2" s="142">
        <f t="shared" ref="BC2:BC30" si="26">IFERROR(s_C*s_IFA_far_adj*(1/s_PEF_wind)*1000,".")</f>
        <v>1.618127279505213E-3</v>
      </c>
      <c r="BD2" s="142">
        <f>IFERROR((s_C*s_EF_far*(1/365)*s_ED_far*s_RadSpec!V2*((s_ET_far_o*(1/24)*s_RadSpec!AA2)+(s_ET_far_i*(1/24)*s_RadSpec!AF2))),".")</f>
        <v>7.0967053436299422E-3</v>
      </c>
      <c r="BE2" s="142">
        <f>s_b2s!BZ2</f>
        <v>328.96874999999994</v>
      </c>
      <c r="BF2" s="142">
        <f>IFERROR(((s_C*s_RadSpec!AN2)/s_RadSpec!AX2)*s_IFFI_far_adj*s_CF_far_fish,0)</f>
        <v>66.727941176470594</v>
      </c>
      <c r="BG2" s="142">
        <f>(s_C*s_IFB_far_adj*s_CF_far_beef*s_RadSpec!AM2*((s_Q_p_beef*s_f_p_beef*s_f_s_beef*(s_RadSpec!$AW2+s_R_es_past))+(s_Q_s_beef*s_f_p_beef)))</f>
        <v>15.125000000000002</v>
      </c>
      <c r="BH2" s="142">
        <f>(s_C*s_IFD_far_adj*s_CF_far_dairy*s_RadSpec!AL2*1/s_D_milk*((s_Q_p_dairy*s_f_p_dairy*s_f_s_dairy*(s_RadSpec!$AW2+s_R_es_past))+(s_Q_s_dairy*s_f_p_dairy)))</f>
        <v>1.4684466019417475</v>
      </c>
      <c r="BI2" s="142">
        <f>(s_C*s_IFSW_far_adj*s_CF_far_swine*s_RadSpec!AQ2*((s_Q_p_swine*s_f_p_swine*s_f_s_swine*(s_RadSpec!$AW2+s_R_es_past))+(s_Q_s_swine*s_f_p_swine)))</f>
        <v>0</v>
      </c>
      <c r="BJ2" s="142">
        <f>(s_C*s_IFP_far_adj*s_CF_far_poultry*s_RadSpec!AO2*((s_Q_p_poultry*s_f_p_poultry*s_f_s_poultry*(s_RadSpec!AW2+s_R_es_past))+(s_Q_s_poultry*s_f_p_poultry)))</f>
        <v>0</v>
      </c>
      <c r="BK2" s="142">
        <f>(s_C*s_IFE_far_adj*s_CF_far_egg*s_RadSpec!AP2*((s_Q_p_egg*s_f_p_egg*s_f_s_egg*(s_RadSpec!$AW2+s_R_es_past))+(s_Q_s_egg*s_f_p_egg)))</f>
        <v>0</v>
      </c>
      <c r="BL2" s="142">
        <f>(s_C*s_IFGO_far_adj*s_CF_far_goat*s_RadSpec!AT2*((s_Q_p_goat*s_f_p_goat*s_f_s_goat*(s_RadSpec!$AW2+s_R_es_past))+(s_Q_s_goat*s_f_p_goat)))</f>
        <v>0</v>
      </c>
      <c r="BM2" s="142">
        <f>(s_C*s_IFGM_far_adj*s_CF_far_goat_milk*s_RadSpec!AU2*1/s_D_milk*((s_Q_p_goat_milk*s_f_p_goat_milk*s_f_s_goat_milk*(s_RadSpec!$AW2+s_R_es_past))+(s_Q_s_goat_milk*s_f_p_goat_milk)))</f>
        <v>0</v>
      </c>
      <c r="BN2" s="142">
        <f>(s_C*s_IFSH_far_adj*s_CF_far_sheep*s_RadSpec!AR2*((s_Q_p_sheep*s_f_p_sheep*s_f_s_sheep*(s_RadSpec!$AW2+s_R_es_past))+(s_Q_s_sheep*s_f_p_sheep)))</f>
        <v>0</v>
      </c>
      <c r="BO2" s="142">
        <f>(s_C*s_IFSM_far_adj*s_CF_far_sheep_milk*s_RadSpec!AS2*1/s_D_milk*((s_Q_p_sheep_milk*s_f_p_sheep_milk*s_f_s_sheep_milk*(s_RadSpec!$AW2+s_R_es_past))+(s_Q_s_sheep_milk*s_f_p_sheep_milk)))</f>
        <v>0</v>
      </c>
      <c r="BP2" s="141"/>
      <c r="BQ2" s="141">
        <f>IFERROR(s_DL/(s_RadSpec!M2*s_IFW_far_adj),".")</f>
        <v>93.958028948468709</v>
      </c>
      <c r="BR2" s="141" t="str">
        <f>IFERROR(IF(s_RadSpec!C2=1,s_DL/(s_RadSpec!L2*s_IFA_far_adj*s_K),"."),".")</f>
        <v>.</v>
      </c>
      <c r="BS2" s="141">
        <f>IFERROR((s_DL/(s_RadSpec!Q2*(1/8760)*s_DFA_far_adj)),".")</f>
        <v>845.87076021765529</v>
      </c>
      <c r="BT2" s="141">
        <f>s_b2w!BA2</f>
        <v>478.70386553435469</v>
      </c>
      <c r="BU2" s="141">
        <f>IFERROR(I2/(s_RadSpec!AN2*(1/1000)),".")</f>
        <v>1138.8851993753783</v>
      </c>
      <c r="BV2" s="141">
        <f>IFERROR(F2/(s_RadSpec!AM2*s_Q_w_beef*(1/1000)),".")</f>
        <v>170832779.90630671</v>
      </c>
      <c r="BW2" s="141">
        <f>IFERROR((G2*s_D_milk)/(s_RadSpec!AL2*s_Q_w_dairy*(1/1000)),".")</f>
        <v>1759577633.0349596</v>
      </c>
      <c r="BX2" s="141" t="str">
        <f>IFERROR(H2/(s_RadSpec!AQ2*s_Q_w_swine*(1/1000)),".")</f>
        <v>.</v>
      </c>
      <c r="BY2" s="141" t="str">
        <f>IFERROR(D2/(s_RadSpec!AO2*s_Q_w_poultry*(1/1000)),".")</f>
        <v>.</v>
      </c>
      <c r="BZ2" s="141" t="str">
        <f>IFERROR(E2/(s_RadSpec!AP2*s_Q_w_poultry*(1/1000)),".")</f>
        <v>.</v>
      </c>
      <c r="CA2" s="141" t="str">
        <f>IFERROR(J2/(s_RadSpec!AT2*s_Q_w_goat*(1/1000)),".")</f>
        <v>.</v>
      </c>
      <c r="CB2" s="141" t="str">
        <f>IFERROR(L2*s_D_milk/(s_RadSpec!AU2*s_Q_w_goat_milk*(1/1000)),".")</f>
        <v>.</v>
      </c>
      <c r="CC2" s="141" t="str">
        <f>IFERROR(K2/(s_RadSpec!AR2*s_Q_w_sheep*(1/1000)),".")</f>
        <v>.</v>
      </c>
      <c r="CD2" s="141" t="str">
        <f>IFERROR(M2*s_D_milk/(s_RadSpec!AS2*s_Q_w_sheep_milk*(1/1000)),".")</f>
        <v>.</v>
      </c>
      <c r="CE2" s="158">
        <f t="shared" ref="CE2:CE30" si="27">IFERROR(1/BQ2,".")</f>
        <v>1.0643050000000001E-2</v>
      </c>
      <c r="CF2" s="158" t="str">
        <f t="shared" ref="CF2:CF30" si="28">IFERROR(1/BR2,".")</f>
        <v>.</v>
      </c>
      <c r="CG2" s="158">
        <f t="shared" ref="CG2:CG30" si="29">IFERROR(1/BS2,".")</f>
        <v>1.1822136986301369E-3</v>
      </c>
      <c r="CH2" s="158">
        <f t="shared" ref="CH2:CH30" si="30">IFERROR(1/BT2,".")</f>
        <v>2.0889741487333654E-3</v>
      </c>
      <c r="CI2" s="158">
        <f t="shared" ref="CI2:CI30" si="31">IFERROR(1/BU2,".")</f>
        <v>8.7805162500000013E-4</v>
      </c>
      <c r="CJ2" s="158">
        <f t="shared" ref="CJ2:CJ30" si="32">IFERROR(1/BV2,".")</f>
        <v>5.8536775000000013E-9</v>
      </c>
      <c r="CK2" s="158">
        <f t="shared" ref="CK2:CK30" si="33">IFERROR(1/BW2,".")</f>
        <v>5.6831820388349521E-10</v>
      </c>
      <c r="CL2" s="158" t="str">
        <f t="shared" ref="CL2:CL30" si="34">IFERROR(1/BX2,".")</f>
        <v>.</v>
      </c>
      <c r="CM2" s="158" t="str">
        <f t="shared" ref="CM2:CM30" si="35">IFERROR(1/BY2,".")</f>
        <v>.</v>
      </c>
      <c r="CN2" s="158" t="str">
        <f t="shared" ref="CN2:CN30" si="36">IFERROR(1/BZ2,".")</f>
        <v>.</v>
      </c>
      <c r="CO2" s="158" t="str">
        <f t="shared" ref="CO2:CO30" si="37">IFERROR(1/CA2,".")</f>
        <v>.</v>
      </c>
      <c r="CP2" s="158" t="str">
        <f t="shared" ref="CP2:CP30" si="38">IFERROR(1/CB2,".")</f>
        <v>.</v>
      </c>
      <c r="CQ2" s="158" t="str">
        <f t="shared" ref="CQ2:CQ30" si="39">IFERROR(1/CC2,".")</f>
        <v>.</v>
      </c>
      <c r="CR2" s="158" t="str">
        <f t="shared" ref="CR2:CR30" si="40">IFERROR(1/CD2,".")</f>
        <v>.</v>
      </c>
      <c r="CS2" s="141">
        <f t="shared" ref="CS2:CS30" si="41">IFERROR(1/(SUMIF(CE2:CR2,"&lt;&gt;0")),".")</f>
        <v>67.602758026313751</v>
      </c>
      <c r="CT2" s="142">
        <f t="shared" ref="CT2:CT30" si="42">IFERROR(s_C*s_IFW_far_adj,".")</f>
        <v>1375</v>
      </c>
      <c r="CU2" s="142">
        <f t="shared" ref="CU2:CU30" si="43">IFERROR(s_C*s_IFA_far_adj*s_K,".")</f>
        <v>250.65104166666663</v>
      </c>
      <c r="CV2" s="142">
        <f t="shared" ref="CV2:CV30" si="44">IFERROR((s_C*s_DFA_far_adj*(1/8760)),".")</f>
        <v>0.12557077625570776</v>
      </c>
      <c r="CW2" s="142">
        <f>s_b2w!BZ2</f>
        <v>269.87935361652694</v>
      </c>
      <c r="CX2" s="142">
        <f>IFERROR(s_C*s_RadSpec!AN2*(1/1000)*s_IFFI_far_adj*s_CF_far_fish,0)</f>
        <v>113.4375</v>
      </c>
      <c r="CY2" s="142">
        <f>(s_C*s_IFB_far_adj*s_CF_far_beef*s_RadSpec!AM2*s_Q_w_beef*(1/1000))</f>
        <v>7.5625000000000009E-4</v>
      </c>
      <c r="CZ2" s="142">
        <f>(s_C*s_IFD_far_adj*s_CF_far_dairy*s_RadSpec!AL2*(1/s_D_milk)*s_Q_w_dairy*(1/1000))</f>
        <v>7.3422330097087376E-5</v>
      </c>
      <c r="DA2" s="142">
        <f>(s_C*s_IFSW_far_adj*s_CF_far_swine*s_RadSpec!AQ2*s_Q_w_swine*(1/1000))</f>
        <v>0</v>
      </c>
      <c r="DB2" s="142">
        <f>(s_C*s_IFP_far_adj*s_CF_far_poultry*s_RadSpec!AO2*s_Q_w_poultry*(1/1000))</f>
        <v>0</v>
      </c>
      <c r="DC2" s="142">
        <f>(s_C*s_IFE_far_adj*s_CF_far_egg*s_RadSpec!AP2*s_Q_w_egg*(1/1000))</f>
        <v>0</v>
      </c>
      <c r="DD2" s="142">
        <f>(s_C*s_IFGO_far_adj*s_CF_far_goat*s_RadSpec!AT2*s_Q_p_goat*(1/1000))</f>
        <v>0</v>
      </c>
      <c r="DE2" s="142">
        <f>(s_C*s_IFGM_far_adj*s_CF_far_goat_milk*s_RadSpec!AU2*(1/s_D_milk)*s_Q_p_goat_milk*(1/1000))</f>
        <v>0</v>
      </c>
      <c r="DF2" s="142">
        <f>(s_C*s_IFSH_far_adj*s_CF_far_sheep*s_RadSpec!AR2*s_Q_p_sheep*(1/1000))</f>
        <v>0</v>
      </c>
      <c r="DG2" s="142">
        <f>(s_C*s_IFSM_far_adj*s_CF_far_sheep_milk*s_RadSpec!AS2*(1/s_D_milk)*s_Q_p_sheep_milk*(1/1000))</f>
        <v>0</v>
      </c>
      <c r="DH2" s="141"/>
      <c r="DI2" s="141">
        <f>IFERROR((s_DL/(s_RadSpec!L2*s_IFA_far_adj)),".")</f>
        <v>1.4682367623544095</v>
      </c>
      <c r="DJ2" s="141">
        <f>IFERROR((s_DL/(s_RadSpec!O2*s_EF_far*(1/365)*s_ED_far*s_ET_far*(1/24)*s_GSF_a)),".")</f>
        <v>0.75321353913374245</v>
      </c>
      <c r="DK2" s="141">
        <f t="shared" ref="DK2" si="45">IFERROR(IF(AND(ISNUMBER(DI2),ISNUMBER(DJ2)),1/((1/DI2)+(1/DJ2)),IF(AND(ISNUMBER(DI2),NOT(ISNUMBER(DJ2))),1/((1/DI2)),IF(AND(NOT(ISNUMBER(DI2)),ISNUMBER(DJ2)),1/((1/DJ2)),IF(AND(NOT(ISNUMBER(DI2)),NOT(ISNUMBER(DJ2))),".")))),".")</f>
        <v>0.49782604063588171</v>
      </c>
      <c r="DL2" s="142">
        <f t="shared" ref="DL2:DL30" si="46">s_C*s_IFA_far_adj</f>
        <v>501.30208333333326</v>
      </c>
      <c r="DM2" s="142">
        <f t="shared" ref="DM2:DM30" si="47">s_C*s_EF_far*(1/365)*s_ED_far*s_ET_far*(1/24)*s_GSF_a</f>
        <v>0.3139269406392694</v>
      </c>
      <c r="DN2" s="127"/>
    </row>
    <row r="3" spans="1:118" x14ac:dyDescent="0.25">
      <c r="A3" s="131" t="s">
        <v>1</v>
      </c>
      <c r="B3" s="129" t="s">
        <v>336</v>
      </c>
      <c r="C3" s="141">
        <f>s_dir!AB3</f>
        <v>1.2513381497338718</v>
      </c>
      <c r="D3" s="141">
        <f>IFERROR(s_DL/(s_RadSpec!J3*s_IFP_far_adj*s_CF_far_poultry),".")</f>
        <v>3.7540144492016148</v>
      </c>
      <c r="E3" s="141">
        <f>IFERROR(s_DL/(s_RadSpec!J3*s_IFE_far_adj*s_CF_far_egg),".")</f>
        <v>3.7540144492016148</v>
      </c>
      <c r="F3" s="141">
        <f>IFERROR(s_DL/(s_RadSpec!J3*s_IFB_far_adj*s_CF_far_beef),".")</f>
        <v>3.7540144492016148</v>
      </c>
      <c r="G3" s="141">
        <f>IFERROR(s_DL/(s_RadSpec!J3*s_IFD_far_adj*s_CF_far_dairy),".")</f>
        <v>3.7540144492016148</v>
      </c>
      <c r="H3" s="141">
        <f>IFERROR(s_DL/(s_RadSpec!J3*s_IFSW_far_adj*s_CF_far_swine),".")</f>
        <v>3.7540144492016148</v>
      </c>
      <c r="I3" s="141">
        <f>IFERROR(s_DL/(s_RadSpec!J3*s_IFFI_far_adj*s_CF_far_fish),".")</f>
        <v>3.7540144492016148</v>
      </c>
      <c r="J3" s="141">
        <f>IFERROR(s_DL/(s_RadSpec!J3*s_IFGO_far_adj*s_CF_far_goat),".")</f>
        <v>3.7540144492016148</v>
      </c>
      <c r="K3" s="141">
        <f>IFERROR(s_DL/(s_RadSpec!J3*s_IFSH_far_adj*s_CF_far_sheep),".")</f>
        <v>3.7540144492016148</v>
      </c>
      <c r="L3" s="141">
        <f>IFERROR(s_DL/(s_RadSpec!J3*s_IFGM_far_adj*s_CF_far_goat_milk),".")</f>
        <v>3.7540144492016148</v>
      </c>
      <c r="M3" s="141">
        <f>IFERROR(s_DL/(s_RadSpec!J3*s_IFSM_far_adj*s_CF_far_sheep_milk),".")</f>
        <v>3.7540144492016148</v>
      </c>
      <c r="N3" s="142">
        <f>s_dir!BA3</f>
        <v>22687.5</v>
      </c>
      <c r="O3" s="142">
        <f t="shared" si="0"/>
        <v>7562.5</v>
      </c>
      <c r="P3" s="142">
        <f t="shared" si="1"/>
        <v>7562.5</v>
      </c>
      <c r="Q3" s="142">
        <f t="shared" si="2"/>
        <v>7562.5</v>
      </c>
      <c r="R3" s="142">
        <f t="shared" si="3"/>
        <v>7562.5</v>
      </c>
      <c r="S3" s="142">
        <f t="shared" si="4"/>
        <v>7562.5</v>
      </c>
      <c r="T3" s="142">
        <f t="shared" si="5"/>
        <v>7562.5</v>
      </c>
      <c r="U3" s="142">
        <f t="shared" si="6"/>
        <v>7562.5</v>
      </c>
      <c r="V3" s="142">
        <f t="shared" si="7"/>
        <v>7562.5</v>
      </c>
      <c r="W3" s="142">
        <f t="shared" si="8"/>
        <v>7562.5</v>
      </c>
      <c r="X3" s="142">
        <f t="shared" si="9"/>
        <v>7562.5</v>
      </c>
      <c r="Y3" s="141">
        <f>IFERROR((s_DL/(s_RadSpec!I3*s_IFS_far_adj*(1/1000)))*1,".")</f>
        <v>1877.0072246008076</v>
      </c>
      <c r="Z3" s="141">
        <f>IFERROR(IF(A3="H-3",(s_DL/(s_RadSpec!L3*s_IFA_far_adj*(1/17)*1000))*1,(s_DL/(s_RadSpec!L3*s_IFA_far_adj*(1/s_PEF_wind)*1000))*1),".")</f>
        <v>42565.388111043583</v>
      </c>
      <c r="AA3" s="141">
        <f>IFERROR((s_DL/(s_RadSpec!K3*s_EF_far*(1/365)*s_ED_far*s_RadSpec!V3*((s_ET_far_o*(1/24)*s_RadSpec!AA3)+(s_ET_far_i*(1/24)*s_RadSpec!AF3))))*1,".")</f>
        <v>12433024.99314896</v>
      </c>
      <c r="AB3" s="141">
        <f>s_b2s!BA3</f>
        <v>90.342801944543481</v>
      </c>
      <c r="AC3" s="141">
        <f>IFERROR(((I3*s_RadSpec!AX3)/s_RadSpec!AN3)*1,".")</f>
        <v>6.2566907486693579E-2</v>
      </c>
      <c r="AD3" s="141">
        <f>IFERROR((F3/(s_RadSpec!AM3*((s_Q_p_beef*s_f_p_beef*s_f_s_beef*(s_RadSpec!AW3+s_R_es_past))+(s_Q_s_beef*s_f_p_beef))))*1,".")</f>
        <v>85.802944939405279</v>
      </c>
      <c r="AE3" s="141">
        <f>IFERROR(((G3*s_D_milk)/(s_RadSpec!AL3*((s_Q_p_dairy*s_f_p_dairy*s_f_s_dairy*(s_RadSpec!AW3+s_R_es_past))+(s_Q_s_dairy*s_f_p_dairy))))*1,".")</f>
        <v>105210.75391379457</v>
      </c>
      <c r="AF3" s="141">
        <f>IFERROR((H3/(s_RadSpec!AQ3*((s_Q_p_swine*s_f_p_swine*s_f_s_swine*(s_RadSpec!AW3+s_R_es_past))+(s_Q_s_swine*s_f_p_swine))))*1,".")</f>
        <v>252.36160276295669</v>
      </c>
      <c r="AG3" s="141">
        <f>IFERROR((D3/(s_RadSpec!AO3*((s_Q_p_poultry*s_f_p_poultry*s_f_s_poultry*(s_RadSpec!BG3+s_R_es_past))+(s_Q_s_poultry*s_f_p_poultry))))*1,".")</f>
        <v>7.1502454116171066</v>
      </c>
      <c r="AH3" s="141">
        <f>IFERROR((E3/(s_RadSpec!AP3*((s_Q_p_poultry*s_f_p_poultry*s_f_s_poultry*(s_RadSpec!AW3+s_R_es_past))+(s_Q_s_poultry*s_f_p_poultry))))*1,".")</f>
        <v>14.300490823234213</v>
      </c>
      <c r="AI3" s="141" t="str">
        <f>IFERROR((J3/(s_RadSpec!AT3*((s_Q_p_goat*s_f_p_goat*s_f_s_goat*(s_RadSpec!AW3+s_R_es_past))+(s_Q_s_goat*s_f_p_goat))))*1,".")</f>
        <v>.</v>
      </c>
      <c r="AJ3" s="141">
        <f>IFERROR((L3*s_D_milk/(s_RadSpec!AU3*((s_Q_p_goat_milk*s_f_p_goat_milk*s_f_s_goat_milk*(s_RadSpec!AW3+s_R_es_past))+(s_Q_s_goat_milk*s_f_p_goat_milk))))*1,".")</f>
        <v>6404.1328469266264</v>
      </c>
      <c r="AK3" s="141">
        <f>IFERROR((K3/(s_RadSpec!AR3*((s_Q_p_sheep*s_f_p_sheep*s_f_s_sheep*(s_RadSpec!AW3+s_R_es_past))+(s_Q_s_sheep*s_f_p_sheep))))*1,".")</f>
        <v>390.01338608820583</v>
      </c>
      <c r="AL3" s="141" t="str">
        <f>IFERROR((M3*s_D_milk/(s_RadSpec!AS3*((s_Q_p_sheep_milk*s_f_p_sheep_milk*s_f_s_sheep_milk*(s_RadSpec!AW3+s_R_es_past))+(s_Q_s_sheep_milk*s_f_p_sheep_milk))))*1,".")</f>
        <v>.</v>
      </c>
      <c r="AM3" s="158">
        <f t="shared" si="10"/>
        <v>5.3276300000000001E-4</v>
      </c>
      <c r="AN3" s="158">
        <f t="shared" si="11"/>
        <v>2.3493266345680286E-5</v>
      </c>
      <c r="AO3" s="158">
        <f t="shared" si="12"/>
        <v>8.0430949069195605E-8</v>
      </c>
      <c r="AP3" s="158">
        <f t="shared" si="13"/>
        <v>1.1068950469499999E-2</v>
      </c>
      <c r="AQ3" s="158">
        <f t="shared" si="14"/>
        <v>15.982890000000001</v>
      </c>
      <c r="AR3" s="158">
        <f t="shared" si="15"/>
        <v>1.1654611630244253E-2</v>
      </c>
      <c r="AS3" s="158">
        <f t="shared" si="16"/>
        <v>9.5047318149564775E-6</v>
      </c>
      <c r="AT3" s="158">
        <f t="shared" si="17"/>
        <v>3.962567954283046E-3</v>
      </c>
      <c r="AU3" s="158">
        <f t="shared" si="18"/>
        <v>0.13985533956293103</v>
      </c>
      <c r="AV3" s="158">
        <f t="shared" si="19"/>
        <v>6.9927669781465515E-2</v>
      </c>
      <c r="AW3" s="158" t="str">
        <f t="shared" si="20"/>
        <v>.</v>
      </c>
      <c r="AX3" s="158">
        <f t="shared" si="21"/>
        <v>1.5614916553142785E-4</v>
      </c>
      <c r="AY3" s="158">
        <f t="shared" si="22"/>
        <v>2.5640145586537356E-3</v>
      </c>
      <c r="AZ3" s="158" t="str">
        <f t="shared" si="23"/>
        <v>.</v>
      </c>
      <c r="BA3" s="141">
        <f t="shared" si="24"/>
        <v>6.1642228569355369E-2</v>
      </c>
      <c r="BB3" s="142">
        <f t="shared" si="25"/>
        <v>15.125</v>
      </c>
      <c r="BC3" s="142">
        <f t="shared" si="26"/>
        <v>1.618127279505213E-3</v>
      </c>
      <c r="BD3" s="142">
        <f>IFERROR((s_C*s_EF_far*(1/365)*s_ED_far*s_RadSpec!V3*((s_ET_far_o*(1/24)*s_RadSpec!AA3)+(s_ET_far_i*(1/24)*s_RadSpec!AF3))),".")</f>
        <v>5.4092026694766396E-5</v>
      </c>
      <c r="BE3" s="142">
        <f>s_b2s!BZ3</f>
        <v>314.24456249999997</v>
      </c>
      <c r="BF3" s="142">
        <f>IFERROR(((s_C*s_RadSpec!AN3)/s_RadSpec!AX3)*s_IFFI_far_adj*s_CF_far_fish,0)</f>
        <v>453750</v>
      </c>
      <c r="BG3" s="142">
        <f>(s_C*s_IFB_far_adj*s_CF_far_beef*s_RadSpec!AM3*((s_Q_p_beef*s_f_p_beef*s_f_s_beef*(s_RadSpec!$AW3+s_R_es_past))+(s_Q_s_beef*s_f_p_beef)))</f>
        <v>330.87132722701148</v>
      </c>
      <c r="BH3" s="142">
        <f>(s_C*s_IFD_far_adj*s_CF_far_dairy*s_RadSpec!AL3*1/s_D_milk*((s_Q_p_dairy*s_f_p_dairy*s_f_s_dairy*(s_RadSpec!$AW3+s_R_es_past))+(s_Q_s_dairy*s_f_p_dairy)))</f>
        <v>0.26983681055406761</v>
      </c>
      <c r="BI3" s="142">
        <f>(s_C*s_IFSW_far_adj*s_CF_far_swine*s_RadSpec!AQ3*((s_Q_p_swine*s_f_p_swine*s_f_s_swine*(s_RadSpec!$AW3+s_R_es_past))+(s_Q_s_swine*s_f_p_swine)))</f>
        <v>112.4962512571839</v>
      </c>
      <c r="BJ3" s="142">
        <f>(s_C*s_IFP_far_adj*s_CF_far_poultry*s_RadSpec!AO3*((s_Q_p_poultry*s_f_p_poultry*s_f_s_poultry*(s_RadSpec!AW3+s_R_es_past))+(s_Q_s_poultry*s_f_p_poultry)))</f>
        <v>3970.4559267241375</v>
      </c>
      <c r="BK3" s="142">
        <f>(s_C*s_IFE_far_adj*s_CF_far_egg*s_RadSpec!AP3*((s_Q_p_egg*s_f_p_egg*s_f_s_egg*(s_RadSpec!$AW3+s_R_es_past))+(s_Q_s_egg*s_f_p_egg)))</f>
        <v>1985.2279633620687</v>
      </c>
      <c r="BL3" s="142">
        <f>(s_C*s_IFGO_far_adj*s_CF_far_goat*s_RadSpec!AT3*((s_Q_p_goat*s_f_p_goat*s_f_s_goat*(s_RadSpec!$AW3+s_R_es_past))+(s_Q_s_goat*s_f_p_goat)))</f>
        <v>0</v>
      </c>
      <c r="BM3" s="142">
        <f>(s_C*s_IFGM_far_adj*s_CF_far_goat_milk*s_RadSpec!AU3*1/s_D_milk*((s_Q_p_goat_milk*s_f_p_goat_milk*s_f_s_goat_milk*(s_RadSpec!$AW3+s_R_es_past))+(s_Q_s_goat_milk*s_f_p_goat_milk)))</f>
        <v>4.4330333162453961</v>
      </c>
      <c r="BN3" s="142">
        <f>(s_C*s_IFSH_far_adj*s_CF_far_sheep*s_RadSpec!AR3*((s_Q_p_sheep*s_f_p_sheep*s_f_s_sheep*(s_RadSpec!$AW3+s_R_es_past))+(s_Q_s_sheep*s_f_p_sheep)))</f>
        <v>72.791691989942521</v>
      </c>
      <c r="BO3" s="142">
        <f>(s_C*s_IFSM_far_adj*s_CF_far_sheep_milk*s_RadSpec!AS3*1/s_D_milk*((s_Q_p_sheep_milk*s_f_p_sheep_milk*s_f_s_sheep_milk*(s_RadSpec!$AW3+s_R_es_past))+(s_Q_s_sheep_milk*s_f_p_sheep_milk)))</f>
        <v>0</v>
      </c>
      <c r="BP3" s="141"/>
      <c r="BQ3" s="141">
        <f>IFERROR(s_DL/(s_RadSpec!M3*s_IFW_far_adj),".")</f>
        <v>20.64707947060888</v>
      </c>
      <c r="BR3" s="141" t="str">
        <f>IFERROR(IF(s_RadSpec!C3=1,s_DL/(s_RadSpec!L3*s_IFA_far_adj*s_K),"."),".")</f>
        <v>.</v>
      </c>
      <c r="BS3" s="141">
        <f>IFERROR((s_DL/(s_RadSpec!Q3*(1/8760)*s_DFA_far_adj)),".")</f>
        <v>692.07607654171807</v>
      </c>
      <c r="BT3" s="141">
        <f>s_b2w!BA3</f>
        <v>106.34705538852155</v>
      </c>
      <c r="BU3" s="141">
        <f>IFERROR(I3/(s_RadSpec!AN3*(1/1000)),".")</f>
        <v>15.641726871673395</v>
      </c>
      <c r="BV3" s="141">
        <f>IFERROR(F3/(s_RadSpec!AM3*s_Q_w_beef*(1/1000)),".")</f>
        <v>1501605.7796806458</v>
      </c>
      <c r="BW3" s="141">
        <f>IFERROR((G3*s_D_milk)/(s_RadSpec!AL3*s_Q_w_dairy*(1/1000)),".")</f>
        <v>1841254706.0369823</v>
      </c>
      <c r="BX3" s="141">
        <f>IFERROR(H3/(s_RadSpec!AQ3*s_Q_w_swine*(1/1000)),".")</f>
        <v>4416487.5872960165</v>
      </c>
      <c r="BY3" s="141">
        <f>IFERROR(D3/(s_RadSpec!AO3*s_Q_w_poultry*(1/1000)),".")</f>
        <v>125133.81497338715</v>
      </c>
      <c r="BZ3" s="141">
        <f>IFERROR(E3/(s_RadSpec!AP3*s_Q_w_poultry*(1/1000)),".")</f>
        <v>250267.62994677431</v>
      </c>
      <c r="CA3" s="141" t="str">
        <f>IFERROR(J3/(s_RadSpec!AT3*s_Q_w_goat*(1/1000)),".")</f>
        <v>.</v>
      </c>
      <c r="CB3" s="141">
        <f>IFERROR(L3*s_D_milk/(s_RadSpec!AU3*s_Q_w_goat_milk*(1/1000)),".")</f>
        <v>112076373.41094677</v>
      </c>
      <c r="CC3" s="141">
        <f>IFERROR(K3/(s_RadSpec!AR3*s_Q_w_sheep*(1/1000)),".")</f>
        <v>6825480.8167302087</v>
      </c>
      <c r="CD3" s="141" t="str">
        <f>IFERROR(M3*s_D_milk/(s_RadSpec!AS3*s_Q_w_sheep_milk*(1/1000)),".")</f>
        <v>.</v>
      </c>
      <c r="CE3" s="158">
        <f t="shared" si="27"/>
        <v>4.8433000000000004E-2</v>
      </c>
      <c r="CF3" s="158" t="str">
        <f t="shared" si="28"/>
        <v>.</v>
      </c>
      <c r="CG3" s="158">
        <f t="shared" si="29"/>
        <v>1.4449278538812783E-3</v>
      </c>
      <c r="CH3" s="158">
        <f t="shared" si="30"/>
        <v>9.403175258089317E-3</v>
      </c>
      <c r="CI3" s="158">
        <f t="shared" si="31"/>
        <v>6.3931559999999998E-2</v>
      </c>
      <c r="CJ3" s="158">
        <f t="shared" si="32"/>
        <v>6.6595375000000011E-7</v>
      </c>
      <c r="CK3" s="158">
        <f t="shared" si="33"/>
        <v>5.4310791262135934E-10</v>
      </c>
      <c r="CL3" s="158">
        <f t="shared" si="34"/>
        <v>2.2642427500000006E-7</v>
      </c>
      <c r="CM3" s="158">
        <f t="shared" si="35"/>
        <v>7.9914450000000009E-6</v>
      </c>
      <c r="CN3" s="158">
        <f t="shared" si="36"/>
        <v>3.9957225000000004E-6</v>
      </c>
      <c r="CO3" s="158" t="str">
        <f t="shared" si="37"/>
        <v>.</v>
      </c>
      <c r="CP3" s="158">
        <f t="shared" si="38"/>
        <v>8.92248713592233E-9</v>
      </c>
      <c r="CQ3" s="158">
        <f t="shared" si="39"/>
        <v>1.4650982500000001E-7</v>
      </c>
      <c r="CR3" s="158" t="str">
        <f t="shared" si="40"/>
        <v>.</v>
      </c>
      <c r="CS3" s="141">
        <f t="shared" si="41"/>
        <v>8.1151903466091078</v>
      </c>
      <c r="CT3" s="142">
        <f t="shared" si="42"/>
        <v>1375</v>
      </c>
      <c r="CU3" s="142">
        <f t="shared" si="43"/>
        <v>250.65104166666663</v>
      </c>
      <c r="CV3" s="142">
        <f t="shared" si="44"/>
        <v>0.12557077625570776</v>
      </c>
      <c r="CW3" s="142">
        <f>s_b2w!BZ3</f>
        <v>266.95364689102081</v>
      </c>
      <c r="CX3" s="142">
        <f>IFERROR(s_C*s_RadSpec!AN3*(1/1000)*s_IFFI_far_adj*s_CF_far_fish,0)</f>
        <v>1815</v>
      </c>
      <c r="CY3" s="142">
        <f>(s_C*s_IFB_far_adj*s_CF_far_beef*s_RadSpec!AM3*s_Q_w_beef*(1/1000))</f>
        <v>1.8906249999999999E-2</v>
      </c>
      <c r="CZ3" s="142">
        <f>(s_C*s_IFD_far_adj*s_CF_far_dairy*s_RadSpec!AL3*(1/s_D_milk)*s_Q_w_dairy*(1/1000))</f>
        <v>1.5418689320388351E-5</v>
      </c>
      <c r="DA3" s="142">
        <f>(s_C*s_IFSW_far_adj*s_CF_far_swine*s_RadSpec!AQ3*s_Q_w_swine*(1/1000))</f>
        <v>6.4281249999999998E-3</v>
      </c>
      <c r="DB3" s="142">
        <f>(s_C*s_IFP_far_adj*s_CF_far_poultry*s_RadSpec!AO3*s_Q_w_poultry*(1/1000))</f>
        <v>0.22687499999999999</v>
      </c>
      <c r="DC3" s="142">
        <f>(s_C*s_IFE_far_adj*s_CF_far_egg*s_RadSpec!AP3*s_Q_w_egg*(1/1000))</f>
        <v>0.1134375</v>
      </c>
      <c r="DD3" s="142">
        <f>(s_C*s_IFGO_far_adj*s_CF_far_goat*s_RadSpec!AT3*s_Q_p_goat*(1/1000))</f>
        <v>0</v>
      </c>
      <c r="DE3" s="142">
        <f>(s_C*s_IFGM_far_adj*s_CF_far_goat_milk*s_RadSpec!AU3*(1/s_D_milk)*s_Q_p_goat_milk*(1/1000))</f>
        <v>2.5330703883495146E-4</v>
      </c>
      <c r="DF3" s="142">
        <f>(s_C*s_IFSH_far_adj*s_CF_far_sheep*s_RadSpec!AR3*s_Q_p_sheep*(1/1000))</f>
        <v>4.1593749999999999E-3</v>
      </c>
      <c r="DG3" s="142">
        <f>(s_C*s_IFSM_far_adj*s_CF_far_sheep_milk*s_RadSpec!AS3*(1/s_D_milk)*s_Q_p_sheep_milk*(1/1000))</f>
        <v>0</v>
      </c>
      <c r="DH3" s="141"/>
      <c r="DI3" s="141">
        <f>IFERROR((s_DL/(s_RadSpec!L3*s_IFA_far_adj)),".")</f>
        <v>0.13739463280747685</v>
      </c>
      <c r="DJ3" s="141">
        <f>IFERROR((s_DL/(s_RadSpec!O3*s_EF_far*(1/365)*s_ED_far*s_ET_far*(1/24)*s_GSF_a)),".")</f>
        <v>0.63440307016324149</v>
      </c>
      <c r="DK3" s="141">
        <f>IFERROR(IF(AND(ISNUMBER(DI3),ISNUMBER(DJ3)),1/((1/DI3)+(1/DJ3)),IF(AND(ISNUMBER(DI3),NOT(ISNUMBER(DJ3))),1/((1/DI3)),IF(AND(NOT(ISNUMBER(DI3)),ISNUMBER(DJ3)),1/((1/DJ3)),IF(AND(NOT(ISNUMBER(DI3)),NOT(ISNUMBER(DJ3))),".")))),".")</f>
        <v>0.11293578167117387</v>
      </c>
      <c r="DL3" s="142">
        <f t="shared" si="46"/>
        <v>501.30208333333326</v>
      </c>
      <c r="DM3" s="142">
        <f t="shared" si="47"/>
        <v>0.3139269406392694</v>
      </c>
      <c r="DN3" s="129"/>
    </row>
    <row r="4" spans="1:118" customFormat="1" x14ac:dyDescent="0.25">
      <c r="A4" s="128" t="s">
        <v>2</v>
      </c>
      <c r="B4" s="129" t="s">
        <v>1059</v>
      </c>
      <c r="C4" s="141" t="str">
        <f>s_dir!AB4</f>
        <v>.</v>
      </c>
      <c r="D4" s="141" t="str">
        <f>IFERROR(s_DL/(s_RadSpec!J4*s_IFP_far_adj*s_CF_far_poultry),".")</f>
        <v>.</v>
      </c>
      <c r="E4" s="141" t="str">
        <f>IFERROR(s_DL/(s_RadSpec!J4*s_IFE_far_adj*s_CF_far_egg),".")</f>
        <v>.</v>
      </c>
      <c r="F4" s="141" t="str">
        <f>IFERROR(s_DL/(s_RadSpec!J4*s_IFB_far_adj*s_CF_far_beef),".")</f>
        <v>.</v>
      </c>
      <c r="G4" s="141" t="str">
        <f>IFERROR(s_DL/(s_RadSpec!J4*s_IFD_far_adj*s_CF_far_dairy),".")</f>
        <v>.</v>
      </c>
      <c r="H4" s="141" t="str">
        <f>IFERROR(s_DL/(s_RadSpec!J4*s_IFSW_far_adj*s_CF_far_swine),".")</f>
        <v>.</v>
      </c>
      <c r="I4" s="141" t="str">
        <f>IFERROR(s_DL/(s_RadSpec!J4*s_IFFI_far_adj*s_CF_far_fish),".")</f>
        <v>.</v>
      </c>
      <c r="J4" s="141" t="str">
        <f>IFERROR(s_DL/(s_RadSpec!J4*s_IFGO_far_adj*s_CF_far_goat),".")</f>
        <v>.</v>
      </c>
      <c r="K4" s="141" t="str">
        <f>IFERROR(s_DL/(s_RadSpec!J4*s_IFSH_far_adj*s_CF_far_sheep),".")</f>
        <v>.</v>
      </c>
      <c r="L4" s="141" t="str">
        <f>IFERROR(s_DL/(s_RadSpec!J4*s_IFGM_far_adj*s_CF_far_goat_milk),".")</f>
        <v>.</v>
      </c>
      <c r="M4" s="141" t="str">
        <f>IFERROR(s_DL/(s_RadSpec!J4*s_IFSM_far_adj*s_CF_far_sheep_milk),".")</f>
        <v>.</v>
      </c>
      <c r="N4" s="142">
        <f>s_dir!BA4</f>
        <v>22687.5</v>
      </c>
      <c r="O4" s="142">
        <f t="shared" si="0"/>
        <v>7562.5</v>
      </c>
      <c r="P4" s="142">
        <f t="shared" si="1"/>
        <v>7562.5</v>
      </c>
      <c r="Q4" s="142">
        <f t="shared" si="2"/>
        <v>7562.5</v>
      </c>
      <c r="R4" s="142">
        <f t="shared" si="3"/>
        <v>7562.5</v>
      </c>
      <c r="S4" s="142">
        <f t="shared" si="4"/>
        <v>7562.5</v>
      </c>
      <c r="T4" s="142">
        <f t="shared" si="5"/>
        <v>7562.5</v>
      </c>
      <c r="U4" s="142">
        <f t="shared" si="6"/>
        <v>7562.5</v>
      </c>
      <c r="V4" s="142">
        <f t="shared" si="7"/>
        <v>7562.5</v>
      </c>
      <c r="W4" s="142">
        <f t="shared" si="8"/>
        <v>7562.5</v>
      </c>
      <c r="X4" s="142">
        <f t="shared" si="9"/>
        <v>7562.5</v>
      </c>
      <c r="Y4" s="141" t="str">
        <f>IFERROR((s_DL/(s_RadSpec!I4*s_IFS_far_adj*(1/1000)))*1,".")</f>
        <v>.</v>
      </c>
      <c r="Z4" s="141" t="str">
        <f>IFERROR(IF(A4="H-3",(s_DL/(s_RadSpec!L4*s_IFA_far_adj*(1/17)*1000))*1,(s_DL/(s_RadSpec!L4*s_IFA_far_adj*(1/s_PEF_wind)*1000))*1),".")</f>
        <v>.</v>
      </c>
      <c r="AA4" s="141">
        <f>IFERROR((s_DL/(s_RadSpec!K4*s_EF_far*(1/365)*s_ED_far*s_RadSpec!V4*((s_ET_far_o*(1/24)*s_RadSpec!AA4)+(s_ET_far_i*(1/24)*s_RadSpec!AF4))))*1,".")</f>
        <v>1450487.0428929173</v>
      </c>
      <c r="AB4" s="141" t="str">
        <f>s_b2s!BA4</f>
        <v>.</v>
      </c>
      <c r="AC4" s="141" t="str">
        <f>IFERROR(((I4*s_RadSpec!AX4)/s_RadSpec!AN4)*1,".")</f>
        <v>.</v>
      </c>
      <c r="AD4" s="141" t="str">
        <f>IFERROR((F4/(s_RadSpec!AM4*((s_Q_p_beef*s_f_p_beef*s_f_s_beef*(s_RadSpec!BG4+s_R_es_past))+(s_Q_s_beef*s_f_p_beef))))*1,".")</f>
        <v>.</v>
      </c>
      <c r="AE4" s="141" t="str">
        <f>IFERROR(((G4*s_D_milk)/(s_RadSpec!AL4*((s_Q_p_dairy*s_f_p_dairy*s_f_s_dairy*(s_RadSpec!BG4+s_R_es_past))+(s_Q_s_dairy*s_f_p_dairy))))*1,".")</f>
        <v>.</v>
      </c>
      <c r="AF4" s="141" t="str">
        <f>IFERROR((H4/(s_RadSpec!AQ4*((s_Q_p_swine*s_f_p_swine*s_f_s_swine*(s_RadSpec!BG4+s_R_es_past))+(s_Q_s_swine*s_f_p_swine))))*1,".")</f>
        <v>.</v>
      </c>
      <c r="AG4" s="141" t="str">
        <f>IFERROR((D4/(s_RadSpec!AO4*((s_Q_p_poultry*s_f_p_poultry*s_f_s_poultry*(s_RadSpec!BG4+s_R_es_past))+(s_Q_s_poultry*s_f_p_poultry))))*1,".")</f>
        <v>.</v>
      </c>
      <c r="AH4" s="141" t="str">
        <f>IFERROR((E4/(s_RadSpec!AP4*((s_Q_p_poultry*s_f_p_poultry*s_f_s_poultry*(s_RadSpec!BG4+s_R_es_past))+(s_Q_s_poultry*s_f_p_poultry))))*1,".")</f>
        <v>.</v>
      </c>
      <c r="AI4" s="141" t="str">
        <f>IFERROR((J4/(s_RadSpec!AT4*((s_Q_p_goat*s_f_p_goat*s_f_s_goat*(s_RadSpec!BG4+s_R_es_past))+(s_Q_s_goat*s_f_p_goat))))*1,".")</f>
        <v>.</v>
      </c>
      <c r="AJ4" s="141" t="str">
        <f>IFERROR((L4*s_D_milk/(s_RadSpec!AU4*((s_Q_p_goat_milk*s_f_p_goat_milk*s_f_s_goat_milk*(s_RadSpec!BG4+s_R_es_past))+(s_Q_s_goat_milk*s_f_p_goat_milk))))*1,".")</f>
        <v>.</v>
      </c>
      <c r="AK4" s="141" t="str">
        <f>IFERROR((K4/(s_RadSpec!AR4*((s_Q_p_sheep*s_f_p_sheep*s_f_s_sheep*(s_RadSpec!BG4+s_R_es_past))+(s_Q_s_sheep*s_f_p_sheep))))*1,".")</f>
        <v>.</v>
      </c>
      <c r="AL4" s="141" t="str">
        <f>IFERROR((M4*s_D_milk/(s_RadSpec!AS4*((s_Q_p_sheep_milk*s_f_p_sheep_milk*s_f_s_sheep_milk*(s_RadSpec!BG4+s_R_es_past))+(s_Q_s_sheep_milk*s_f_p_sheep_milk))))*1,".")</f>
        <v>.</v>
      </c>
      <c r="AM4" s="158" t="str">
        <f t="shared" si="10"/>
        <v>.</v>
      </c>
      <c r="AN4" s="158" t="str">
        <f t="shared" si="11"/>
        <v>.</v>
      </c>
      <c r="AO4" s="158">
        <f t="shared" si="12"/>
        <v>6.894236007827788E-7</v>
      </c>
      <c r="AP4" s="158" t="str">
        <f t="shared" si="13"/>
        <v>.</v>
      </c>
      <c r="AQ4" s="158" t="str">
        <f t="shared" si="14"/>
        <v>.</v>
      </c>
      <c r="AR4" s="158" t="str">
        <f t="shared" si="15"/>
        <v>.</v>
      </c>
      <c r="AS4" s="158" t="str">
        <f t="shared" si="16"/>
        <v>.</v>
      </c>
      <c r="AT4" s="158" t="str">
        <f t="shared" si="17"/>
        <v>.</v>
      </c>
      <c r="AU4" s="158" t="str">
        <f t="shared" si="18"/>
        <v>.</v>
      </c>
      <c r="AV4" s="158" t="str">
        <f t="shared" si="19"/>
        <v>.</v>
      </c>
      <c r="AW4" s="158" t="str">
        <f t="shared" si="20"/>
        <v>.</v>
      </c>
      <c r="AX4" s="158" t="str">
        <f t="shared" si="21"/>
        <v>.</v>
      </c>
      <c r="AY4" s="158" t="str">
        <f t="shared" si="22"/>
        <v>.</v>
      </c>
      <c r="AZ4" s="158" t="str">
        <f t="shared" si="23"/>
        <v>.</v>
      </c>
      <c r="BA4" s="141">
        <f t="shared" si="24"/>
        <v>1450487.0428929173</v>
      </c>
      <c r="BB4" s="142">
        <f t="shared" si="25"/>
        <v>15.125</v>
      </c>
      <c r="BC4" s="142">
        <f t="shared" si="26"/>
        <v>1.618127279505213E-3</v>
      </c>
      <c r="BD4" s="142">
        <f>IFERROR((s_C*s_EF_far*(1/365)*s_ED_far*s_RadSpec!V4*((s_ET_far_o*(1/24)*s_RadSpec!AA4)+(s_ET_far_i*(1/24)*s_RadSpec!AF4))),".")</f>
        <v>1.4530332681017609E-2</v>
      </c>
      <c r="BE4" s="142">
        <f>s_b2s!BZ4</f>
        <v>4843.7812500000009</v>
      </c>
      <c r="BF4" s="142">
        <f>IFERROR(((s_C*s_RadSpec!AN4)/s_RadSpec!AX4)*s_IFFI_far_adj*s_CF_far_fish,0)</f>
        <v>0</v>
      </c>
      <c r="BG4" s="142">
        <f>(s_C*s_IFB_far_adj*s_CF_far_beef*s_RadSpec!AM4*((s_Q_p_beef*s_f_p_beef*s_f_s_beef*(s_RadSpec!$AW4+s_R_es_past))+(s_Q_s_beef*s_f_p_beef)))</f>
        <v>15125</v>
      </c>
      <c r="BH4" s="142">
        <f>(s_C*s_IFD_far_adj*s_CF_far_dairy*s_RadSpec!AL4*1/s_D_milk*((s_Q_p_dairy*s_f_p_dairy*s_f_s_dairy*(s_RadSpec!$AW4+s_R_es_past))+(s_Q_s_dairy*s_f_p_dairy)))</f>
        <v>14684.466019417476</v>
      </c>
      <c r="BI4" s="142">
        <f>(s_C*s_IFSW_far_adj*s_CF_far_swine*s_RadSpec!AQ4*((s_Q_p_swine*s_f_p_swine*s_f_s_swine*(s_RadSpec!$AW4+s_R_es_past))+(s_Q_s_swine*s_f_p_swine)))</f>
        <v>0</v>
      </c>
      <c r="BJ4" s="142">
        <f>(s_C*s_IFP_far_adj*s_CF_far_poultry*s_RadSpec!AO4*((s_Q_p_poultry*s_f_p_poultry*s_f_s_poultry*(s_RadSpec!AW4+s_R_es_past))+(s_Q_s_poultry*s_f_p_poultry)))</f>
        <v>0</v>
      </c>
      <c r="BK4" s="142">
        <f>(s_C*s_IFE_far_adj*s_CF_far_egg*s_RadSpec!AP4*((s_Q_p_egg*s_f_p_egg*s_f_s_egg*(s_RadSpec!$AW4+s_R_es_past))+(s_Q_s_egg*s_f_p_egg)))</f>
        <v>0</v>
      </c>
      <c r="BL4" s="142">
        <f>(s_C*s_IFGO_far_adj*s_CF_far_goat*s_RadSpec!AT4*((s_Q_p_goat*s_f_p_goat*s_f_s_goat*(s_RadSpec!$AW4+s_R_es_past))+(s_Q_s_goat*s_f_p_goat)))</f>
        <v>0</v>
      </c>
      <c r="BM4" s="142">
        <f>(s_C*s_IFGM_far_adj*s_CF_far_goat_milk*s_RadSpec!AU4*1/s_D_milk*((s_Q_p_goat_milk*s_f_p_goat_milk*s_f_s_goat_milk*(s_RadSpec!$AW4+s_R_es_past))+(s_Q_s_goat_milk*s_f_p_goat_milk)))</f>
        <v>0</v>
      </c>
      <c r="BN4" s="142">
        <f>(s_C*s_IFSH_far_adj*s_CF_far_sheep*s_RadSpec!AR4*((s_Q_p_sheep*s_f_p_sheep*s_f_s_sheep*(s_RadSpec!$AW4+s_R_es_past))+(s_Q_s_sheep*s_f_p_sheep)))</f>
        <v>0</v>
      </c>
      <c r="BO4" s="142">
        <f>(s_C*s_IFSM_far_adj*s_CF_far_sheep_milk*s_RadSpec!AS4*1/s_D_milk*((s_Q_p_sheep_milk*s_f_p_sheep_milk*s_f_s_sheep_milk*(s_RadSpec!$AW4+s_R_es_past))+(s_Q_s_sheep_milk*s_f_p_sheep_milk)))</f>
        <v>0</v>
      </c>
      <c r="BP4" s="141"/>
      <c r="BQ4" s="141" t="str">
        <f>IFERROR(s_DL/(s_RadSpec!M4*s_IFW_far_adj),".")</f>
        <v>.</v>
      </c>
      <c r="BR4" s="141" t="str">
        <f>IFERROR(IF(s_RadSpec!C4=1,s_DL/(s_RadSpec!L4*s_IFA_far_adj*s_K),"."),".")</f>
        <v>.</v>
      </c>
      <c r="BS4" s="141">
        <f>IFERROR((s_DL/(s_RadSpec!Q4*(1/8760)*s_DFA_far_adj)),".")</f>
        <v>46138.405102781202</v>
      </c>
      <c r="BT4" s="141" t="str">
        <f>s_b2w!BA4</f>
        <v>.</v>
      </c>
      <c r="BU4" s="141" t="str">
        <f>IFERROR(I4/(s_RadSpec!AN4*(1/1000)),".")</f>
        <v>.</v>
      </c>
      <c r="BV4" s="141" t="str">
        <f>IFERROR(F4/(s_RadSpec!AM4*s_Q_w_beef*(1/1000)),".")</f>
        <v>.</v>
      </c>
      <c r="BW4" s="141" t="str">
        <f>IFERROR((G4*s_D_milk)/(s_RadSpec!AL4*s_Q_w_dairy*(1/1000)),".")</f>
        <v>.</v>
      </c>
      <c r="BX4" s="141" t="str">
        <f>IFERROR(H4/(s_RadSpec!AQ4*s_Q_w_swine*(1/1000)),".")</f>
        <v>.</v>
      </c>
      <c r="BY4" s="141" t="str">
        <f>IFERROR(D4/(s_RadSpec!AO4*s_Q_w_poultry*(1/1000)),".")</f>
        <v>.</v>
      </c>
      <c r="BZ4" s="141" t="str">
        <f>IFERROR(E4/(s_RadSpec!AP4*s_Q_w_poultry*(1/1000)),".")</f>
        <v>.</v>
      </c>
      <c r="CA4" s="141" t="str">
        <f>IFERROR(J4/(s_RadSpec!AT4*s_Q_w_goat*(1/1000)),".")</f>
        <v>.</v>
      </c>
      <c r="CB4" s="141" t="str">
        <f>IFERROR(L4*s_D_milk/(s_RadSpec!AU4*s_Q_w_goat_milk*(1/1000)),".")</f>
        <v>.</v>
      </c>
      <c r="CC4" s="141" t="str">
        <f>IFERROR(K4/(s_RadSpec!AR4*s_Q_w_sheep*(1/1000)),".")</f>
        <v>.</v>
      </c>
      <c r="CD4" s="141" t="str">
        <f>IFERROR(M4*s_D_milk/(s_RadSpec!AS4*s_Q_w_sheep_milk*(1/1000)),".")</f>
        <v>.</v>
      </c>
      <c r="CE4" s="158" t="str">
        <f t="shared" si="27"/>
        <v>.</v>
      </c>
      <c r="CF4" s="158" t="str">
        <f t="shared" si="28"/>
        <v>.</v>
      </c>
      <c r="CG4" s="158">
        <f t="shared" si="29"/>
        <v>2.1673917808219176E-5</v>
      </c>
      <c r="CH4" s="158" t="str">
        <f t="shared" si="30"/>
        <v>.</v>
      </c>
      <c r="CI4" s="158" t="str">
        <f t="shared" si="31"/>
        <v>.</v>
      </c>
      <c r="CJ4" s="158" t="str">
        <f t="shared" si="32"/>
        <v>.</v>
      </c>
      <c r="CK4" s="158" t="str">
        <f t="shared" si="33"/>
        <v>.</v>
      </c>
      <c r="CL4" s="158" t="str">
        <f t="shared" si="34"/>
        <v>.</v>
      </c>
      <c r="CM4" s="158" t="str">
        <f t="shared" si="35"/>
        <v>.</v>
      </c>
      <c r="CN4" s="158" t="str">
        <f t="shared" si="36"/>
        <v>.</v>
      </c>
      <c r="CO4" s="158" t="str">
        <f t="shared" si="37"/>
        <v>.</v>
      </c>
      <c r="CP4" s="158" t="str">
        <f t="shared" si="38"/>
        <v>.</v>
      </c>
      <c r="CQ4" s="158" t="str">
        <f t="shared" si="39"/>
        <v>.</v>
      </c>
      <c r="CR4" s="158" t="str">
        <f t="shared" si="40"/>
        <v>.</v>
      </c>
      <c r="CS4" s="141">
        <f t="shared" si="41"/>
        <v>46138.405102781202</v>
      </c>
      <c r="CT4" s="142">
        <f t="shared" si="42"/>
        <v>1375</v>
      </c>
      <c r="CU4" s="142">
        <f t="shared" si="43"/>
        <v>250.65104166666663</v>
      </c>
      <c r="CV4" s="142">
        <f t="shared" si="44"/>
        <v>0.12557077625570776</v>
      </c>
      <c r="CW4" s="142">
        <f>s_b2w!BZ4</f>
        <v>1166.9758688333634</v>
      </c>
      <c r="CX4" s="142">
        <f>IFERROR(s_C*s_RadSpec!AN4*(1/1000)*s_IFFI_far_adj*s_CF_far_fish,0)</f>
        <v>0</v>
      </c>
      <c r="CY4" s="142">
        <f>(s_C*s_IFB_far_adj*s_CF_far_beef*s_RadSpec!AM4*s_Q_w_beef*(1/1000))</f>
        <v>0.37812499999999999</v>
      </c>
      <c r="CZ4" s="142">
        <f>(s_C*s_IFD_far_adj*s_CF_far_dairy*s_RadSpec!AL4*(1/s_D_milk)*s_Q_w_dairy*(1/1000))</f>
        <v>0.36711165048543692</v>
      </c>
      <c r="DA4" s="142">
        <f>(s_C*s_IFSW_far_adj*s_CF_far_swine*s_RadSpec!AQ4*s_Q_w_swine*(1/1000))</f>
        <v>0</v>
      </c>
      <c r="DB4" s="142">
        <f>(s_C*s_IFP_far_adj*s_CF_far_poultry*s_RadSpec!AO4*s_Q_w_poultry*(1/1000))</f>
        <v>0</v>
      </c>
      <c r="DC4" s="142">
        <f>(s_C*s_IFE_far_adj*s_CF_far_egg*s_RadSpec!AP4*s_Q_w_egg*(1/1000))</f>
        <v>0</v>
      </c>
      <c r="DD4" s="142">
        <f>(s_C*s_IFGO_far_adj*s_CF_far_goat*s_RadSpec!AT4*s_Q_p_goat*(1/1000))</f>
        <v>0</v>
      </c>
      <c r="DE4" s="142">
        <f>(s_C*s_IFGM_far_adj*s_CF_far_goat_milk*s_RadSpec!AU4*(1/s_D_milk)*s_Q_p_goat_milk*(1/1000))</f>
        <v>0</v>
      </c>
      <c r="DF4" s="142">
        <f>(s_C*s_IFSH_far_adj*s_CF_far_sheep*s_RadSpec!AR4*s_Q_p_sheep*(1/1000))</f>
        <v>0</v>
      </c>
      <c r="DG4" s="142">
        <f>(s_C*s_IFSM_far_adj*s_CF_far_sheep_milk*s_RadSpec!AS4*(1/s_D_milk)*s_Q_p_sheep_milk*(1/1000))</f>
        <v>0</v>
      </c>
      <c r="DH4" s="141"/>
      <c r="DI4" s="141" t="str">
        <f>IFERROR((s_DL/(s_RadSpec!L4*s_IFA_far_adj)),".")</f>
        <v>.</v>
      </c>
      <c r="DJ4" s="141">
        <f>IFERROR((s_DL/(s_RadSpec!O4*s_EF_far*(1/365)*s_ED_far*s_ET_far*(1/24)*s_GSF_a)),".")</f>
        <v>40.218760674499833</v>
      </c>
      <c r="DK4" s="141">
        <f t="shared" ref="DK4:DK5" si="48">IFERROR(IF(AND(ISNUMBER(DI4),ISNUMBER(DJ4)),1/((1/DI4)+(1/DJ4)),IF(AND(ISNUMBER(DI4),NOT(ISNUMBER(DJ4))),1/((1/DI4)),IF(AND(NOT(ISNUMBER(DI4)),ISNUMBER(DJ4)),1/((1/DJ4)),IF(AND(NOT(ISNUMBER(DI4)),NOT(ISNUMBER(DJ4))),".")))),".")</f>
        <v>40.218760674499833</v>
      </c>
      <c r="DL4" s="142">
        <f t="shared" si="46"/>
        <v>501.30208333333326</v>
      </c>
      <c r="DM4" s="142">
        <f t="shared" si="47"/>
        <v>0.3139269406392694</v>
      </c>
      <c r="DN4" s="127"/>
    </row>
    <row r="5" spans="1:118" customFormat="1" x14ac:dyDescent="0.25">
      <c r="A5" s="128" t="s">
        <v>3</v>
      </c>
      <c r="B5" s="129" t="s">
        <v>1059</v>
      </c>
      <c r="C5" s="141" t="str">
        <f>s_dir!AB5</f>
        <v>.</v>
      </c>
      <c r="D5" s="141" t="str">
        <f>IFERROR(s_DL/(s_RadSpec!J5*s_IFP_far_adj*s_CF_far_poultry),".")</f>
        <v>.</v>
      </c>
      <c r="E5" s="141" t="str">
        <f>IFERROR(s_DL/(s_RadSpec!J5*s_IFE_far_adj*s_CF_far_egg),".")</f>
        <v>.</v>
      </c>
      <c r="F5" s="141" t="str">
        <f>IFERROR(s_DL/(s_RadSpec!J5*s_IFB_far_adj*s_CF_far_beef),".")</f>
        <v>.</v>
      </c>
      <c r="G5" s="141" t="str">
        <f>IFERROR(s_DL/(s_RadSpec!J5*s_IFD_far_adj*s_CF_far_dairy),".")</f>
        <v>.</v>
      </c>
      <c r="H5" s="141" t="str">
        <f>IFERROR(s_DL/(s_RadSpec!J5*s_IFSW_far_adj*s_CF_far_swine),".")</f>
        <v>.</v>
      </c>
      <c r="I5" s="141" t="str">
        <f>IFERROR(s_DL/(s_RadSpec!J5*s_IFFI_far_adj*s_CF_far_fish),".")</f>
        <v>.</v>
      </c>
      <c r="J5" s="141" t="str">
        <f>IFERROR(s_DL/(s_RadSpec!J5*s_IFGO_far_adj*s_CF_far_goat),".")</f>
        <v>.</v>
      </c>
      <c r="K5" s="141" t="str">
        <f>IFERROR(s_DL/(s_RadSpec!J5*s_IFSH_far_adj*s_CF_far_sheep),".")</f>
        <v>.</v>
      </c>
      <c r="L5" s="141" t="str">
        <f>IFERROR(s_DL/(s_RadSpec!J5*s_IFGM_far_adj*s_CF_far_goat_milk),".")</f>
        <v>.</v>
      </c>
      <c r="M5" s="141" t="str">
        <f>IFERROR(s_DL/(s_RadSpec!J5*s_IFSM_far_adj*s_CF_far_sheep_milk),".")</f>
        <v>.</v>
      </c>
      <c r="N5" s="142">
        <f>s_dir!BA5</f>
        <v>22687.5</v>
      </c>
      <c r="O5" s="142">
        <f t="shared" si="0"/>
        <v>7562.5</v>
      </c>
      <c r="P5" s="142">
        <f t="shared" si="1"/>
        <v>7562.5</v>
      </c>
      <c r="Q5" s="142">
        <f t="shared" si="2"/>
        <v>7562.5</v>
      </c>
      <c r="R5" s="142">
        <f t="shared" si="3"/>
        <v>7562.5</v>
      </c>
      <c r="S5" s="142">
        <f t="shared" si="4"/>
        <v>7562.5</v>
      </c>
      <c r="T5" s="142">
        <f t="shared" si="5"/>
        <v>7562.5</v>
      </c>
      <c r="U5" s="142">
        <f t="shared" si="6"/>
        <v>7562.5</v>
      </c>
      <c r="V5" s="142">
        <f t="shared" si="7"/>
        <v>7562.5</v>
      </c>
      <c r="W5" s="142">
        <f t="shared" si="8"/>
        <v>7562.5</v>
      </c>
      <c r="X5" s="142">
        <f t="shared" si="9"/>
        <v>7562.5</v>
      </c>
      <c r="Y5" s="141" t="str">
        <f>IFERROR((s_DL/(s_RadSpec!I5*s_IFS_far_adj*(1/1000)))*1,".")</f>
        <v>.</v>
      </c>
      <c r="Z5" s="141" t="str">
        <f>IFERROR(IF(A5="H-3",(s_DL/(s_RadSpec!L5*s_IFA_far_adj*(1/17)*1000))*1,(s_DL/(s_RadSpec!L5*s_IFA_far_adj*(1/s_PEF_wind)*1000))*1),".")</f>
        <v>.</v>
      </c>
      <c r="AA5" s="141" t="str">
        <f>IFERROR((s_DL/(s_RadSpec!K5*s_EF_far*(1/365)*s_ED_far*s_RadSpec!V5*((s_ET_far_o*(1/24)*s_RadSpec!AA5)+(s_ET_far_i*(1/24)*s_RadSpec!AF5))))*1,".")</f>
        <v>.</v>
      </c>
      <c r="AB5" s="141" t="str">
        <f>s_b2s!BA5</f>
        <v>.</v>
      </c>
      <c r="AC5" s="141" t="str">
        <f>IFERROR(((I5*s_RadSpec!AX5)/s_RadSpec!AN5)*1,".")</f>
        <v>.</v>
      </c>
      <c r="AD5" s="141" t="str">
        <f>IFERROR((F5/(s_RadSpec!AM5*((s_Q_p_beef*s_f_p_beef*s_f_s_beef*(s_RadSpec!BG5+s_R_es_past))+(s_Q_s_beef*s_f_p_beef))))*1,".")</f>
        <v>.</v>
      </c>
      <c r="AE5" s="141" t="str">
        <f>IFERROR(((G5*s_D_milk)/(s_RadSpec!AL5*((s_Q_p_dairy*s_f_p_dairy*s_f_s_dairy*(s_RadSpec!BG5+s_R_es_past))+(s_Q_s_dairy*s_f_p_dairy))))*1,".")</f>
        <v>.</v>
      </c>
      <c r="AF5" s="141" t="str">
        <f>IFERROR((H5/(s_RadSpec!AQ5*((s_Q_p_swine*s_f_p_swine*s_f_s_swine*(s_RadSpec!BG5+s_R_es_past))+(s_Q_s_swine*s_f_p_swine))))*1,".")</f>
        <v>.</v>
      </c>
      <c r="AG5" s="141" t="str">
        <f>IFERROR((D5/(s_RadSpec!AO5*((s_Q_p_poultry*s_f_p_poultry*s_f_s_poultry*(s_RadSpec!BG5+s_R_es_past))+(s_Q_s_poultry*s_f_p_poultry))))*1,".")</f>
        <v>.</v>
      </c>
      <c r="AH5" s="141" t="str">
        <f>IFERROR((E5/(s_RadSpec!AP5*((s_Q_p_poultry*s_f_p_poultry*s_f_s_poultry*(s_RadSpec!BG5+s_R_es_past))+(s_Q_s_poultry*s_f_p_poultry))))*1,".")</f>
        <v>.</v>
      </c>
      <c r="AI5" s="141" t="str">
        <f>IFERROR((J5/(s_RadSpec!AT5*((s_Q_p_goat*s_f_p_goat*s_f_s_goat*(s_RadSpec!BG5+s_R_es_past))+(s_Q_s_goat*s_f_p_goat))))*1,".")</f>
        <v>.</v>
      </c>
      <c r="AJ5" s="141" t="str">
        <f>IFERROR((L5*s_D_milk/(s_RadSpec!AU5*((s_Q_p_goat_milk*s_f_p_goat_milk*s_f_s_goat_milk*(s_RadSpec!BG5+s_R_es_past))+(s_Q_s_goat_milk*s_f_p_goat_milk))))*1,".")</f>
        <v>.</v>
      </c>
      <c r="AK5" s="141" t="str">
        <f>IFERROR((K5/(s_RadSpec!AR5*((s_Q_p_sheep*s_f_p_sheep*s_f_s_sheep*(s_RadSpec!BG5+s_R_es_past))+(s_Q_s_sheep*s_f_p_sheep))))*1,".")</f>
        <v>.</v>
      </c>
      <c r="AL5" s="141" t="str">
        <f>IFERROR((M5*s_D_milk/(s_RadSpec!AS5*((s_Q_p_sheep_milk*s_f_p_sheep_milk*s_f_s_sheep_milk*(s_RadSpec!BG5+s_R_es_past))+(s_Q_s_sheep_milk*s_f_p_sheep_milk))))*1,".")</f>
        <v>.</v>
      </c>
      <c r="AM5" s="158" t="str">
        <f t="shared" si="10"/>
        <v>.</v>
      </c>
      <c r="AN5" s="158" t="str">
        <f t="shared" si="11"/>
        <v>.</v>
      </c>
      <c r="AO5" s="158" t="str">
        <f t="shared" si="12"/>
        <v>.</v>
      </c>
      <c r="AP5" s="158" t="str">
        <f t="shared" si="13"/>
        <v>.</v>
      </c>
      <c r="AQ5" s="158" t="str">
        <f t="shared" si="14"/>
        <v>.</v>
      </c>
      <c r="AR5" s="158" t="str">
        <f t="shared" si="15"/>
        <v>.</v>
      </c>
      <c r="AS5" s="158" t="str">
        <f t="shared" si="16"/>
        <v>.</v>
      </c>
      <c r="AT5" s="158" t="str">
        <f t="shared" si="17"/>
        <v>.</v>
      </c>
      <c r="AU5" s="158" t="str">
        <f t="shared" si="18"/>
        <v>.</v>
      </c>
      <c r="AV5" s="158" t="str">
        <f t="shared" si="19"/>
        <v>.</v>
      </c>
      <c r="AW5" s="158" t="str">
        <f t="shared" si="20"/>
        <v>.</v>
      </c>
      <c r="AX5" s="158" t="str">
        <f t="shared" si="21"/>
        <v>.</v>
      </c>
      <c r="AY5" s="158" t="str">
        <f t="shared" si="22"/>
        <v>.</v>
      </c>
      <c r="AZ5" s="158" t="str">
        <f t="shared" si="23"/>
        <v>.</v>
      </c>
      <c r="BA5" s="141" t="str">
        <f t="shared" si="24"/>
        <v>.</v>
      </c>
      <c r="BB5" s="142">
        <f t="shared" si="25"/>
        <v>15.125</v>
      </c>
      <c r="BC5" s="142">
        <f t="shared" si="26"/>
        <v>1.618127279505213E-3</v>
      </c>
      <c r="BD5" s="142">
        <f>IFERROR((s_C*s_EF_far*(1/365)*s_ED_far*s_RadSpec!V5*((s_ET_far_o*(1/24)*s_RadSpec!AA5)+(s_ET_far_i*(1/24)*s_RadSpec!AF5))),".")</f>
        <v>0</v>
      </c>
      <c r="BE5" s="142">
        <f>s_b2s!BZ5</f>
        <v>4843.7812500000009</v>
      </c>
      <c r="BF5" s="142">
        <f>IFERROR(((s_C*s_RadSpec!AN5)/s_RadSpec!AX5)*s_IFFI_far_adj*s_CF_far_fish,0)</f>
        <v>0</v>
      </c>
      <c r="BG5" s="142">
        <f>(s_C*s_IFB_far_adj*s_CF_far_beef*s_RadSpec!AM5*((s_Q_p_beef*s_f_p_beef*s_f_s_beef*(s_RadSpec!$AW5+s_R_es_past))+(s_Q_s_beef*s_f_p_beef)))</f>
        <v>15125</v>
      </c>
      <c r="BH5" s="142">
        <f>(s_C*s_IFD_far_adj*s_CF_far_dairy*s_RadSpec!AL5*1/s_D_milk*((s_Q_p_dairy*s_f_p_dairy*s_f_s_dairy*(s_RadSpec!$AW5+s_R_es_past))+(s_Q_s_dairy*s_f_p_dairy)))</f>
        <v>14684.466019417476</v>
      </c>
      <c r="BI5" s="142">
        <f>(s_C*s_IFSW_far_adj*s_CF_far_swine*s_RadSpec!AQ5*((s_Q_p_swine*s_f_p_swine*s_f_s_swine*(s_RadSpec!$AW5+s_R_es_past))+(s_Q_s_swine*s_f_p_swine)))</f>
        <v>0</v>
      </c>
      <c r="BJ5" s="142">
        <f>(s_C*s_IFP_far_adj*s_CF_far_poultry*s_RadSpec!AO5*((s_Q_p_poultry*s_f_p_poultry*s_f_s_poultry*(s_RadSpec!AW5+s_R_es_past))+(s_Q_s_poultry*s_f_p_poultry)))</f>
        <v>0</v>
      </c>
      <c r="BK5" s="142">
        <f>(s_C*s_IFE_far_adj*s_CF_far_egg*s_RadSpec!AP5*((s_Q_p_egg*s_f_p_egg*s_f_s_egg*(s_RadSpec!$AW5+s_R_es_past))+(s_Q_s_egg*s_f_p_egg)))</f>
        <v>0</v>
      </c>
      <c r="BL5" s="142">
        <f>(s_C*s_IFGO_far_adj*s_CF_far_goat*s_RadSpec!AT5*((s_Q_p_goat*s_f_p_goat*s_f_s_goat*(s_RadSpec!$AW5+s_R_es_past))+(s_Q_s_goat*s_f_p_goat)))</f>
        <v>0</v>
      </c>
      <c r="BM5" s="142">
        <f>(s_C*s_IFGM_far_adj*s_CF_far_goat_milk*s_RadSpec!AU5*1/s_D_milk*((s_Q_p_goat_milk*s_f_p_goat_milk*s_f_s_goat_milk*(s_RadSpec!$AW5+s_R_es_past))+(s_Q_s_goat_milk*s_f_p_goat_milk)))</f>
        <v>0</v>
      </c>
      <c r="BN5" s="142">
        <f>(s_C*s_IFSH_far_adj*s_CF_far_sheep*s_RadSpec!AR5*((s_Q_p_sheep*s_f_p_sheep*s_f_s_sheep*(s_RadSpec!$AW5+s_R_es_past))+(s_Q_s_sheep*s_f_p_sheep)))</f>
        <v>0</v>
      </c>
      <c r="BO5" s="142">
        <f>(s_C*s_IFSM_far_adj*s_CF_far_sheep_milk*s_RadSpec!AS5*1/s_D_milk*((s_Q_p_sheep_milk*s_f_p_sheep_milk*s_f_s_sheep_milk*(s_RadSpec!$AW5+s_R_es_past))+(s_Q_s_sheep_milk*s_f_p_sheep_milk)))</f>
        <v>0</v>
      </c>
      <c r="BP5" s="141"/>
      <c r="BQ5" s="141" t="str">
        <f>IFERROR(s_DL/(s_RadSpec!M5*s_IFW_far_adj),".")</f>
        <v>.</v>
      </c>
      <c r="BR5" s="141" t="str">
        <f>IFERROR(IF(s_RadSpec!C5=1,s_DL/(s_RadSpec!L5*s_IFA_far_adj*s_K),"."),".")</f>
        <v>.</v>
      </c>
      <c r="BS5" s="141">
        <f>IFERROR((s_DL/(s_RadSpec!Q5*(1/8760)*s_DFA_far_adj)),".")</f>
        <v>852637.72629939648</v>
      </c>
      <c r="BT5" s="141" t="str">
        <f>s_b2w!BA5</f>
        <v>.</v>
      </c>
      <c r="BU5" s="141" t="str">
        <f>IFERROR(I5/(s_RadSpec!AN5*(1/1000)),".")</f>
        <v>.</v>
      </c>
      <c r="BV5" s="141" t="str">
        <f>IFERROR(F5/(s_RadSpec!AM5*s_Q_w_beef*(1/1000)),".")</f>
        <v>.</v>
      </c>
      <c r="BW5" s="141" t="str">
        <f>IFERROR((G5*s_D_milk)/(s_RadSpec!AL5*s_Q_w_dairy*(1/1000)),".")</f>
        <v>.</v>
      </c>
      <c r="BX5" s="141" t="str">
        <f>IFERROR(H5/(s_RadSpec!AQ5*s_Q_w_swine*(1/1000)),".")</f>
        <v>.</v>
      </c>
      <c r="BY5" s="141" t="str">
        <f>IFERROR(D5/(s_RadSpec!AO5*s_Q_w_poultry*(1/1000)),".")</f>
        <v>.</v>
      </c>
      <c r="BZ5" s="141" t="str">
        <f>IFERROR(E5/(s_RadSpec!AP5*s_Q_w_poultry*(1/1000)),".")</f>
        <v>.</v>
      </c>
      <c r="CA5" s="141" t="str">
        <f>IFERROR(J5/(s_RadSpec!AT5*s_Q_w_goat*(1/1000)),".")</f>
        <v>.</v>
      </c>
      <c r="CB5" s="141" t="str">
        <f>IFERROR(L5*s_D_milk/(s_RadSpec!AU5*s_Q_w_goat_milk*(1/1000)),".")</f>
        <v>.</v>
      </c>
      <c r="CC5" s="141" t="str">
        <f>IFERROR(K5/(s_RadSpec!AR5*s_Q_w_sheep*(1/1000)),".")</f>
        <v>.</v>
      </c>
      <c r="CD5" s="141" t="str">
        <f>IFERROR(M5*s_D_milk/(s_RadSpec!AS5*s_Q_w_sheep_milk*(1/1000)),".")</f>
        <v>.</v>
      </c>
      <c r="CE5" s="158" t="str">
        <f t="shared" si="27"/>
        <v>.</v>
      </c>
      <c r="CF5" s="158" t="str">
        <f t="shared" si="28"/>
        <v>.</v>
      </c>
      <c r="CG5" s="158">
        <f t="shared" si="29"/>
        <v>1.1728310502283105E-6</v>
      </c>
      <c r="CH5" s="158" t="str">
        <f t="shared" si="30"/>
        <v>.</v>
      </c>
      <c r="CI5" s="158" t="str">
        <f t="shared" si="31"/>
        <v>.</v>
      </c>
      <c r="CJ5" s="158" t="str">
        <f t="shared" si="32"/>
        <v>.</v>
      </c>
      <c r="CK5" s="158" t="str">
        <f t="shared" si="33"/>
        <v>.</v>
      </c>
      <c r="CL5" s="158" t="str">
        <f t="shared" si="34"/>
        <v>.</v>
      </c>
      <c r="CM5" s="158" t="str">
        <f t="shared" si="35"/>
        <v>.</v>
      </c>
      <c r="CN5" s="158" t="str">
        <f t="shared" si="36"/>
        <v>.</v>
      </c>
      <c r="CO5" s="158" t="str">
        <f t="shared" si="37"/>
        <v>.</v>
      </c>
      <c r="CP5" s="158" t="str">
        <f t="shared" si="38"/>
        <v>.</v>
      </c>
      <c r="CQ5" s="158" t="str">
        <f t="shared" si="39"/>
        <v>.</v>
      </c>
      <c r="CR5" s="158" t="str">
        <f t="shared" si="40"/>
        <v>.</v>
      </c>
      <c r="CS5" s="141">
        <f t="shared" si="41"/>
        <v>852637.72629939648</v>
      </c>
      <c r="CT5" s="142">
        <f t="shared" si="42"/>
        <v>1375</v>
      </c>
      <c r="CU5" s="142">
        <f t="shared" si="43"/>
        <v>250.65104166666663</v>
      </c>
      <c r="CV5" s="142">
        <f t="shared" si="44"/>
        <v>0.12557077625570776</v>
      </c>
      <c r="CW5" s="142">
        <f>s_b2w!BZ5</f>
        <v>1166.9758688333634</v>
      </c>
      <c r="CX5" s="142">
        <f>IFERROR(s_C*s_RadSpec!AN5*(1/1000)*s_IFFI_far_adj*s_CF_far_fish,0)</f>
        <v>0</v>
      </c>
      <c r="CY5" s="142">
        <f>(s_C*s_IFB_far_adj*s_CF_far_beef*s_RadSpec!AM5*s_Q_w_beef*(1/1000))</f>
        <v>0.37812499999999999</v>
      </c>
      <c r="CZ5" s="142">
        <f>(s_C*s_IFD_far_adj*s_CF_far_dairy*s_RadSpec!AL5*(1/s_D_milk)*s_Q_w_dairy*(1/1000))</f>
        <v>0.36711165048543692</v>
      </c>
      <c r="DA5" s="142">
        <f>(s_C*s_IFSW_far_adj*s_CF_far_swine*s_RadSpec!AQ5*s_Q_w_swine*(1/1000))</f>
        <v>0</v>
      </c>
      <c r="DB5" s="142">
        <f>(s_C*s_IFP_far_adj*s_CF_far_poultry*s_RadSpec!AO5*s_Q_w_poultry*(1/1000))</f>
        <v>0</v>
      </c>
      <c r="DC5" s="142">
        <f>(s_C*s_IFE_far_adj*s_CF_far_egg*s_RadSpec!AP5*s_Q_w_egg*(1/1000))</f>
        <v>0</v>
      </c>
      <c r="DD5" s="142">
        <f>(s_C*s_IFGO_far_adj*s_CF_far_goat*s_RadSpec!AT5*s_Q_p_goat*(1/1000))</f>
        <v>0</v>
      </c>
      <c r="DE5" s="142">
        <f>(s_C*s_IFGM_far_adj*s_CF_far_goat_milk*s_RadSpec!AU5*(1/s_D_milk)*s_Q_p_goat_milk*(1/1000))</f>
        <v>0</v>
      </c>
      <c r="DF5" s="142">
        <f>(s_C*s_IFSH_far_adj*s_CF_far_sheep*s_RadSpec!AR5*s_Q_p_sheep*(1/1000))</f>
        <v>0</v>
      </c>
      <c r="DG5" s="142">
        <f>(s_C*s_IFSM_far_adj*s_CF_far_sheep_milk*s_RadSpec!AS5*(1/s_D_milk)*s_Q_p_sheep_milk*(1/1000))</f>
        <v>0</v>
      </c>
      <c r="DH5" s="141"/>
      <c r="DI5" s="141" t="str">
        <f>IFERROR((s_DL/(s_RadSpec!L5*s_IFA_far_adj)),".")</f>
        <v>.</v>
      </c>
      <c r="DJ5" s="141">
        <f>IFERROR((s_DL/(s_RadSpec!O5*s_EF_far*(1/365)*s_ED_far*s_ET_far*(1/24)*s_GSF_a)),".")</f>
        <v>435.01924811193703</v>
      </c>
      <c r="DK5" s="141">
        <f t="shared" si="48"/>
        <v>435.01924811193697</v>
      </c>
      <c r="DL5" s="142">
        <f t="shared" si="46"/>
        <v>501.30208333333326</v>
      </c>
      <c r="DM5" s="142">
        <f t="shared" si="47"/>
        <v>0.3139269406392694</v>
      </c>
      <c r="DN5" s="127"/>
    </row>
    <row r="6" spans="1:118" customFormat="1" x14ac:dyDescent="0.25">
      <c r="A6" s="128" t="s">
        <v>4</v>
      </c>
      <c r="B6" s="129" t="s">
        <v>1059</v>
      </c>
      <c r="C6" s="141" t="str">
        <f>s_dir!AB6</f>
        <v>.</v>
      </c>
      <c r="D6" s="141" t="str">
        <f>IFERROR(s_DL/(s_RadSpec!J6*s_IFP_far_adj*s_CF_far_poultry),".")</f>
        <v>.</v>
      </c>
      <c r="E6" s="141" t="str">
        <f>IFERROR(s_DL/(s_RadSpec!J6*s_IFE_far_adj*s_CF_far_egg),".")</f>
        <v>.</v>
      </c>
      <c r="F6" s="141" t="str">
        <f>IFERROR(s_DL/(s_RadSpec!J6*s_IFB_far_adj*s_CF_far_beef),".")</f>
        <v>.</v>
      </c>
      <c r="G6" s="141" t="str">
        <f>IFERROR(s_DL/(s_RadSpec!J6*s_IFD_far_adj*s_CF_far_dairy),".")</f>
        <v>.</v>
      </c>
      <c r="H6" s="141" t="str">
        <f>IFERROR(s_DL/(s_RadSpec!J6*s_IFSW_far_adj*s_CF_far_swine),".")</f>
        <v>.</v>
      </c>
      <c r="I6" s="141" t="str">
        <f>IFERROR(s_DL/(s_RadSpec!J6*s_IFFI_far_adj*s_CF_far_fish),".")</f>
        <v>.</v>
      </c>
      <c r="J6" s="141" t="str">
        <f>IFERROR(s_DL/(s_RadSpec!J6*s_IFGO_far_adj*s_CF_far_goat),".")</f>
        <v>.</v>
      </c>
      <c r="K6" s="141" t="str">
        <f>IFERROR(s_DL/(s_RadSpec!J6*s_IFSH_far_adj*s_CF_far_sheep),".")</f>
        <v>.</v>
      </c>
      <c r="L6" s="141" t="str">
        <f>IFERROR(s_DL/(s_RadSpec!J6*s_IFGM_far_adj*s_CF_far_goat_milk),".")</f>
        <v>.</v>
      </c>
      <c r="M6" s="141" t="str">
        <f>IFERROR(s_DL/(s_RadSpec!J6*s_IFSM_far_adj*s_CF_far_sheep_milk),".")</f>
        <v>.</v>
      </c>
      <c r="N6" s="142">
        <f>s_dir!BA6</f>
        <v>22687.5</v>
      </c>
      <c r="O6" s="142">
        <f t="shared" si="0"/>
        <v>7562.5</v>
      </c>
      <c r="P6" s="142">
        <f t="shared" si="1"/>
        <v>7562.5</v>
      </c>
      <c r="Q6" s="142">
        <f t="shared" si="2"/>
        <v>7562.5</v>
      </c>
      <c r="R6" s="142">
        <f t="shared" si="3"/>
        <v>7562.5</v>
      </c>
      <c r="S6" s="142">
        <f t="shared" si="4"/>
        <v>7562.5</v>
      </c>
      <c r="T6" s="142">
        <f t="shared" si="5"/>
        <v>7562.5</v>
      </c>
      <c r="U6" s="142">
        <f t="shared" si="6"/>
        <v>7562.5</v>
      </c>
      <c r="V6" s="142">
        <f t="shared" si="7"/>
        <v>7562.5</v>
      </c>
      <c r="W6" s="142">
        <f t="shared" si="8"/>
        <v>7562.5</v>
      </c>
      <c r="X6" s="142">
        <f t="shared" si="9"/>
        <v>7562.5</v>
      </c>
      <c r="Y6" s="141" t="str">
        <f>IFERROR((s_DL/(s_RadSpec!I6*s_IFS_far_adj*(1/1000)))*1,".")</f>
        <v>.</v>
      </c>
      <c r="Z6" s="141" t="str">
        <f>IFERROR(IF(A6="H-3",(s_DL/(s_RadSpec!L6*s_IFA_far_adj*(1/17)*1000))*1,(s_DL/(s_RadSpec!L6*s_IFA_far_adj*(1/s_PEF_wind)*1000))*1),".")</f>
        <v>.</v>
      </c>
      <c r="AA6" s="141">
        <f>IFERROR((s_DL/(s_RadSpec!K6*s_EF_far*(1/365)*s_ED_far*s_RadSpec!V6*((s_ET_far_o*(1/24)*s_RadSpec!AA6)+(s_ET_far_i*(1/24)*s_RadSpec!AF6))))*1,".")</f>
        <v>261.54567768778486</v>
      </c>
      <c r="AB6" s="141" t="str">
        <f>s_b2s!BA6</f>
        <v>.</v>
      </c>
      <c r="AC6" s="141" t="str">
        <f>IFERROR(((I6*s_RadSpec!AX6)/s_RadSpec!AN6)*1,".")</f>
        <v>.</v>
      </c>
      <c r="AD6" s="141" t="str">
        <f>IFERROR((F6/(s_RadSpec!AM6*((s_Q_p_beef*s_f_p_beef*s_f_s_beef*(s_RadSpec!BG6+s_R_es_past))+(s_Q_s_beef*s_f_p_beef))))*1,".")</f>
        <v>.</v>
      </c>
      <c r="AE6" s="141" t="str">
        <f>IFERROR(((G6*s_D_milk)/(s_RadSpec!AL6*((s_Q_p_dairy*s_f_p_dairy*s_f_s_dairy*(s_RadSpec!BG6+s_R_es_past))+(s_Q_s_dairy*s_f_p_dairy))))*1,".")</f>
        <v>.</v>
      </c>
      <c r="AF6" s="141" t="str">
        <f>IFERROR((H6/(s_RadSpec!AQ6*((s_Q_p_swine*s_f_p_swine*s_f_s_swine*(s_RadSpec!BG6+s_R_es_past))+(s_Q_s_swine*s_f_p_swine))))*1,".")</f>
        <v>.</v>
      </c>
      <c r="AG6" s="141" t="str">
        <f>IFERROR((D6/(s_RadSpec!AO6*((s_Q_p_poultry*s_f_p_poultry*s_f_s_poultry*(s_RadSpec!BG6+s_R_es_past))+(s_Q_s_poultry*s_f_p_poultry))))*1,".")</f>
        <v>.</v>
      </c>
      <c r="AH6" s="141" t="str">
        <f>IFERROR((E6/(s_RadSpec!AP6*((s_Q_p_poultry*s_f_p_poultry*s_f_s_poultry*(s_RadSpec!BG6+s_R_es_past))+(s_Q_s_poultry*s_f_p_poultry))))*1,".")</f>
        <v>.</v>
      </c>
      <c r="AI6" s="141" t="str">
        <f>IFERROR((J6/(s_RadSpec!AT6*((s_Q_p_goat*s_f_p_goat*s_f_s_goat*(s_RadSpec!BG6+s_R_es_past))+(s_Q_s_goat*s_f_p_goat))))*1,".")</f>
        <v>.</v>
      </c>
      <c r="AJ6" s="141" t="str">
        <f>IFERROR((L6*s_D_milk/(s_RadSpec!AU6*((s_Q_p_goat_milk*s_f_p_goat_milk*s_f_s_goat_milk*(s_RadSpec!BG6+s_R_es_past))+(s_Q_s_goat_milk*s_f_p_goat_milk))))*1,".")</f>
        <v>.</v>
      </c>
      <c r="AK6" s="141" t="str">
        <f>IFERROR((K6/(s_RadSpec!AR6*((s_Q_p_sheep*s_f_p_sheep*s_f_s_sheep*(s_RadSpec!BG6+s_R_es_past))+(s_Q_s_sheep*s_f_p_sheep))))*1,".")</f>
        <v>.</v>
      </c>
      <c r="AL6" s="141" t="str">
        <f>IFERROR((M6*s_D_milk/(s_RadSpec!AS6*((s_Q_p_sheep_milk*s_f_p_sheep_milk*s_f_s_sheep_milk*(s_RadSpec!BG6+s_R_es_past))+(s_Q_s_sheep_milk*s_f_p_sheep_milk))))*1,".")</f>
        <v>.</v>
      </c>
      <c r="AM6" s="158" t="str">
        <f t="shared" si="10"/>
        <v>.</v>
      </c>
      <c r="AN6" s="158" t="str">
        <f t="shared" si="11"/>
        <v>.</v>
      </c>
      <c r="AO6" s="158">
        <f t="shared" si="12"/>
        <v>3.8234239190667522E-3</v>
      </c>
      <c r="AP6" s="158" t="str">
        <f t="shared" si="13"/>
        <v>.</v>
      </c>
      <c r="AQ6" s="158" t="str">
        <f t="shared" si="14"/>
        <v>.</v>
      </c>
      <c r="AR6" s="158" t="str">
        <f t="shared" si="15"/>
        <v>.</v>
      </c>
      <c r="AS6" s="158" t="str">
        <f t="shared" si="16"/>
        <v>.</v>
      </c>
      <c r="AT6" s="158" t="str">
        <f t="shared" si="17"/>
        <v>.</v>
      </c>
      <c r="AU6" s="158" t="str">
        <f t="shared" si="18"/>
        <v>.</v>
      </c>
      <c r="AV6" s="158" t="str">
        <f t="shared" si="19"/>
        <v>.</v>
      </c>
      <c r="AW6" s="158" t="str">
        <f t="shared" si="20"/>
        <v>.</v>
      </c>
      <c r="AX6" s="158" t="str">
        <f t="shared" si="21"/>
        <v>.</v>
      </c>
      <c r="AY6" s="158" t="str">
        <f t="shared" si="22"/>
        <v>.</v>
      </c>
      <c r="AZ6" s="158" t="str">
        <f t="shared" si="23"/>
        <v>.</v>
      </c>
      <c r="BA6" s="141">
        <f t="shared" si="24"/>
        <v>261.54567768778486</v>
      </c>
      <c r="BB6" s="142">
        <f t="shared" si="25"/>
        <v>15.125</v>
      </c>
      <c r="BC6" s="142">
        <f t="shared" si="26"/>
        <v>1.618127279505213E-3</v>
      </c>
      <c r="BD6" s="142">
        <f>IFERROR((s_C*s_EF_far*(1/365)*s_ED_far*s_RadSpec!V6*((s_ET_far_o*(1/24)*s_RadSpec!AA6)+(s_ET_far_i*(1/24)*s_RadSpec!AF6))),".")</f>
        <v>2.8270729464156066E-2</v>
      </c>
      <c r="BE6" s="142">
        <f>s_b2s!BZ6</f>
        <v>396.57749999999999</v>
      </c>
      <c r="BF6" s="142">
        <f>IFERROR(((s_C*s_RadSpec!AN6)/s_RadSpec!AX6)*s_IFFI_far_adj*s_CF_far_fish,0)</f>
        <v>22687.5</v>
      </c>
      <c r="BG6" s="142">
        <f>(s_C*s_IFB_far_adj*s_CF_far_beef*s_RadSpec!AM6*((s_Q_p_beef*s_f_p_beef*s_f_s_beef*(s_RadSpec!$AW6+s_R_es_past))+(s_Q_s_beef*s_f_p_beef)))</f>
        <v>92.792744252873547</v>
      </c>
      <c r="BH6" s="142">
        <f>(s_C*s_IFD_far_adj*s_CF_far_dairy*s_RadSpec!AL6*1/s_D_milk*((s_Q_p_dairy*s_f_p_dairy*s_f_s_dairy*(s_RadSpec!$AW6+s_R_es_past))+(s_Q_s_dairy*s_f_p_dairy)))</f>
        <v>102.96004910166276</v>
      </c>
      <c r="BI6" s="142">
        <f>(s_C*s_IFSW_far_adj*s_CF_far_swine*s_RadSpec!AQ6*((s_Q_p_swine*s_f_p_swine*s_f_s_swine*(s_RadSpec!$AW6+s_R_es_past))+(s_Q_s_swine*s_f_p_swine)))</f>
        <v>0</v>
      </c>
      <c r="BJ6" s="142">
        <f>(s_C*s_IFP_far_adj*s_CF_far_poultry*s_RadSpec!AO6*((s_Q_p_poultry*s_f_p_poultry*s_f_s_poultry*(s_RadSpec!AW6+s_R_es_past))+(s_Q_s_poultry*s_f_p_poultry)))</f>
        <v>12593.301005747126</v>
      </c>
      <c r="BK6" s="142">
        <f>(s_C*s_IFE_far_adj*s_CF_far_egg*s_RadSpec!AP6*((s_Q_p_egg*s_f_p_egg*s_f_s_egg*(s_RadSpec!$AW6+s_R_es_past))+(s_Q_s_egg*s_f_p_egg)))</f>
        <v>576640.625</v>
      </c>
      <c r="BL6" s="142">
        <f>(s_C*s_IFGO_far_adj*s_CF_far_goat*s_RadSpec!AT6*((s_Q_p_goat*s_f_p_goat*s_f_s_goat*(s_RadSpec!$AW6+s_R_es_past))+(s_Q_s_goat*s_f_p_goat)))</f>
        <v>8.6164691091954015</v>
      </c>
      <c r="BM6" s="142">
        <f>(s_C*s_IFGM_far_adj*s_CF_far_goat_milk*s_RadSpec!AU6*1/s_D_milk*((s_Q_p_goat_milk*s_f_p_goat_milk*s_f_s_goat_milk*(s_RadSpec!$AW6+s_R_es_past))+(s_Q_s_goat_milk*s_f_p_goat_milk)))</f>
        <v>7078.5033757393148</v>
      </c>
      <c r="BN6" s="142">
        <f>(s_C*s_IFSH_far_adj*s_CF_far_sheep*s_RadSpec!AR6*((s_Q_p_sheep*s_f_p_sheep*s_f_s_sheep*(s_RadSpec!$AW6+s_R_es_past))+(s_Q_s_sheep*s_f_p_sheep)))</f>
        <v>3314.0265804597698</v>
      </c>
      <c r="BO6" s="142">
        <f>(s_C*s_IFSM_far_adj*s_CF_far_sheep_milk*s_RadSpec!AS6*1/s_D_milk*((s_Q_p_sheep_milk*s_f_p_sheep_milk*s_f_s_sheep_milk*(s_RadSpec!$AW6+s_R_es_past))+(s_Q_s_sheep_milk*s_f_p_sheep_milk)))</f>
        <v>26383.512582301079</v>
      </c>
      <c r="BP6" s="141"/>
      <c r="BQ6" s="141" t="str">
        <f>IFERROR(s_DL/(s_RadSpec!M6*s_IFW_far_adj),".")</f>
        <v>.</v>
      </c>
      <c r="BR6" s="141" t="str">
        <f>IFERROR(IF(s_RadSpec!C6=1,s_DL/(s_RadSpec!L6*s_IFA_far_adj*s_K),"."),".")</f>
        <v>.</v>
      </c>
      <c r="BS6" s="141">
        <f>IFERROR((s_DL/(s_RadSpec!Q6*(1/8760)*s_DFA_far_adj)),".")</f>
        <v>18.281254852045382</v>
      </c>
      <c r="BT6" s="141" t="str">
        <f>s_b2w!BA6</f>
        <v>.</v>
      </c>
      <c r="BU6" s="141" t="str">
        <f>IFERROR(I6/(s_RadSpec!AN6*(1/1000)),".")</f>
        <v>.</v>
      </c>
      <c r="BV6" s="141" t="str">
        <f>IFERROR(F6/(s_RadSpec!AM6*s_Q_w_beef*(1/1000)),".")</f>
        <v>.</v>
      </c>
      <c r="BW6" s="141" t="str">
        <f>IFERROR((G6*s_D_milk)/(s_RadSpec!AL6*s_Q_w_dairy*(1/1000)),".")</f>
        <v>.</v>
      </c>
      <c r="BX6" s="141" t="str">
        <f>IFERROR(H6/(s_RadSpec!AQ6*s_Q_w_swine*(1/1000)),".")</f>
        <v>.</v>
      </c>
      <c r="BY6" s="141" t="str">
        <f>IFERROR(D6/(s_RadSpec!AO6*s_Q_w_poultry*(1/1000)),".")</f>
        <v>.</v>
      </c>
      <c r="BZ6" s="141" t="str">
        <f>IFERROR(E6/(s_RadSpec!AP6*s_Q_w_poultry*(1/1000)),".")</f>
        <v>.</v>
      </c>
      <c r="CA6" s="141" t="str">
        <f>IFERROR(J6/(s_RadSpec!AT6*s_Q_w_goat*(1/1000)),".")</f>
        <v>.</v>
      </c>
      <c r="CB6" s="141" t="str">
        <f>IFERROR(L6*s_D_milk/(s_RadSpec!AU6*s_Q_w_goat_milk*(1/1000)),".")</f>
        <v>.</v>
      </c>
      <c r="CC6" s="141" t="str">
        <f>IFERROR(K6/(s_RadSpec!AR6*s_Q_w_sheep*(1/1000)),".")</f>
        <v>.</v>
      </c>
      <c r="CD6" s="141" t="str">
        <f>IFERROR(M6*s_D_milk/(s_RadSpec!AS6*s_Q_w_sheep_milk*(1/1000)),".")</f>
        <v>.</v>
      </c>
      <c r="CE6" s="158" t="str">
        <f t="shared" si="27"/>
        <v>.</v>
      </c>
      <c r="CF6" s="158" t="str">
        <f t="shared" si="28"/>
        <v>.</v>
      </c>
      <c r="CG6" s="158">
        <f t="shared" si="29"/>
        <v>5.4700840182648397E-2</v>
      </c>
      <c r="CH6" s="158" t="str">
        <f t="shared" si="30"/>
        <v>.</v>
      </c>
      <c r="CI6" s="158" t="str">
        <f t="shared" si="31"/>
        <v>.</v>
      </c>
      <c r="CJ6" s="158" t="str">
        <f t="shared" si="32"/>
        <v>.</v>
      </c>
      <c r="CK6" s="158" t="str">
        <f t="shared" si="33"/>
        <v>.</v>
      </c>
      <c r="CL6" s="158" t="str">
        <f t="shared" si="34"/>
        <v>.</v>
      </c>
      <c r="CM6" s="158" t="str">
        <f t="shared" si="35"/>
        <v>.</v>
      </c>
      <c r="CN6" s="158" t="str">
        <f t="shared" si="36"/>
        <v>.</v>
      </c>
      <c r="CO6" s="158" t="str">
        <f t="shared" si="37"/>
        <v>.</v>
      </c>
      <c r="CP6" s="158" t="str">
        <f t="shared" si="38"/>
        <v>.</v>
      </c>
      <c r="CQ6" s="158" t="str">
        <f t="shared" si="39"/>
        <v>.</v>
      </c>
      <c r="CR6" s="158" t="str">
        <f t="shared" si="40"/>
        <v>.</v>
      </c>
      <c r="CS6" s="141">
        <f t="shared" si="41"/>
        <v>18.281254852045382</v>
      </c>
      <c r="CT6" s="142">
        <f t="shared" si="42"/>
        <v>1375</v>
      </c>
      <c r="CU6" s="142">
        <f t="shared" si="43"/>
        <v>250.65104166666663</v>
      </c>
      <c r="CV6" s="142">
        <f t="shared" si="44"/>
        <v>0.12557077625570776</v>
      </c>
      <c r="CW6" s="142">
        <f>s_b2w!BZ6</f>
        <v>283.31326123133181</v>
      </c>
      <c r="CX6" s="142">
        <f>IFERROR(s_C*s_RadSpec!AN6*(1/1000)*s_IFFI_far_adj*s_CF_far_fish,0)</f>
        <v>9.0750000000000011</v>
      </c>
      <c r="CY6" s="142">
        <f>(s_C*s_IFB_far_adj*s_CF_far_beef*s_RadSpec!AM6*s_Q_w_beef*(1/1000))</f>
        <v>5.293749999999999E-3</v>
      </c>
      <c r="CZ6" s="142">
        <f>(s_C*s_IFD_far_adj*s_CF_far_dairy*s_RadSpec!AL6*(1/s_D_milk)*s_Q_w_dairy*(1/1000))</f>
        <v>5.8737864077669909E-3</v>
      </c>
      <c r="DA6" s="142">
        <f>(s_C*s_IFSW_far_adj*s_CF_far_swine*s_RadSpec!AQ6*s_Q_w_swine*(1/1000))</f>
        <v>0</v>
      </c>
      <c r="DB6" s="142">
        <f>(s_C*s_IFP_far_adj*s_CF_far_poultry*s_RadSpec!AO6*s_Q_w_poultry*(1/1000))</f>
        <v>0.71843750000000006</v>
      </c>
      <c r="DC6" s="142">
        <f>(s_C*s_IFE_far_adj*s_CF_far_egg*s_RadSpec!AP6*s_Q_w_egg*(1/1000))</f>
        <v>32.896875000000001</v>
      </c>
      <c r="DD6" s="142">
        <f>(s_C*s_IFGO_far_adj*s_CF_far_goat*s_RadSpec!AT6*s_Q_p_goat*(1/1000))</f>
        <v>4.9156250000000003E-4</v>
      </c>
      <c r="DE6" s="142">
        <f>(s_C*s_IFGM_far_adj*s_CF_far_goat_milk*s_RadSpec!AU6*(1/s_D_milk)*s_Q_p_goat_milk*(1/1000))</f>
        <v>0.40382281553398058</v>
      </c>
      <c r="DF6" s="142">
        <f>(s_C*s_IFSH_far_adj*s_CF_far_sheep*s_RadSpec!AR6*s_Q_p_sheep*(1/1000))</f>
        <v>0.18906249999999999</v>
      </c>
      <c r="DG6" s="142">
        <f>(s_C*s_IFSM_far_adj*s_CF_far_sheep_milk*s_RadSpec!AS6*(1/s_D_milk)*s_Q_p_sheep_milk*(1/1000))</f>
        <v>1.5051577669902914</v>
      </c>
      <c r="DH6" s="141"/>
      <c r="DI6" s="141" t="str">
        <f>IFERROR((s_DL/(s_RadSpec!L6*s_IFA_far_adj)),".")</f>
        <v>.</v>
      </c>
      <c r="DJ6" s="141">
        <f>IFERROR((s_DL/(s_RadSpec!O6*s_EF_far*(1/365)*s_ED_far*s_ET_far*(1/24)*s_GSF_a)),".")</f>
        <v>1.5848284875453471E-2</v>
      </c>
      <c r="DK6" s="141">
        <f t="shared" ref="DK6:DK9" si="49">IFERROR(IF(AND(ISNUMBER(DI6),ISNUMBER(DJ6)),1/((1/DI6)+(1/DJ6)),IF(AND(ISNUMBER(DI6),NOT(ISNUMBER(DJ6))),1/((1/DI6)),IF(AND(NOT(ISNUMBER(DI6)),ISNUMBER(DJ6)),1/((1/DJ6)),IF(AND(NOT(ISNUMBER(DI6)),NOT(ISNUMBER(DJ6))),".")))),".")</f>
        <v>1.5848284875453471E-2</v>
      </c>
      <c r="DL6" s="142">
        <f t="shared" si="46"/>
        <v>501.30208333333326</v>
      </c>
      <c r="DM6" s="142">
        <f t="shared" si="47"/>
        <v>0.3139269406392694</v>
      </c>
      <c r="DN6" s="127"/>
    </row>
    <row r="7" spans="1:118" customFormat="1" x14ac:dyDescent="0.25">
      <c r="A7" s="128" t="s">
        <v>5</v>
      </c>
      <c r="B7" s="129" t="s">
        <v>1059</v>
      </c>
      <c r="C7" s="141">
        <f>s_dir!AB7</f>
        <v>165.45471090925639</v>
      </c>
      <c r="D7" s="141">
        <f>IFERROR(s_DL/(s_RadSpec!J7*s_IFP_far_adj*s_CF_far_poultry),".")</f>
        <v>496.36413272776917</v>
      </c>
      <c r="E7" s="141">
        <f>IFERROR(s_DL/(s_RadSpec!J7*s_IFE_far_adj*s_CF_far_egg),".")</f>
        <v>496.36413272776917</v>
      </c>
      <c r="F7" s="141">
        <f>IFERROR(s_DL/(s_RadSpec!J7*s_IFB_far_adj*s_CF_far_beef),".")</f>
        <v>496.36413272776917</v>
      </c>
      <c r="G7" s="141">
        <f>IFERROR(s_DL/(s_RadSpec!J7*s_IFD_far_adj*s_CF_far_dairy),".")</f>
        <v>496.36413272776917</v>
      </c>
      <c r="H7" s="141">
        <f>IFERROR(s_DL/(s_RadSpec!J7*s_IFSW_far_adj*s_CF_far_swine),".")</f>
        <v>496.36413272776917</v>
      </c>
      <c r="I7" s="141">
        <f>IFERROR(s_DL/(s_RadSpec!J7*s_IFFI_far_adj*s_CF_far_fish),".")</f>
        <v>496.36413272776917</v>
      </c>
      <c r="J7" s="141">
        <f>IFERROR(s_DL/(s_RadSpec!J7*s_IFGO_far_adj*s_CF_far_goat),".")</f>
        <v>496.36413272776917</v>
      </c>
      <c r="K7" s="141">
        <f>IFERROR(s_DL/(s_RadSpec!J7*s_IFSH_far_adj*s_CF_far_sheep),".")</f>
        <v>496.36413272776917</v>
      </c>
      <c r="L7" s="141">
        <f>IFERROR(s_DL/(s_RadSpec!J7*s_IFGM_far_adj*s_CF_far_goat_milk),".")</f>
        <v>496.36413272776917</v>
      </c>
      <c r="M7" s="141">
        <f>IFERROR(s_DL/(s_RadSpec!J7*s_IFSM_far_adj*s_CF_far_sheep_milk),".")</f>
        <v>496.36413272776917</v>
      </c>
      <c r="N7" s="142">
        <f>s_dir!BA7</f>
        <v>22687.5</v>
      </c>
      <c r="O7" s="142">
        <f t="shared" si="0"/>
        <v>7562.5</v>
      </c>
      <c r="P7" s="142">
        <f t="shared" si="1"/>
        <v>7562.5</v>
      </c>
      <c r="Q7" s="142">
        <f t="shared" si="2"/>
        <v>7562.5</v>
      </c>
      <c r="R7" s="142">
        <f t="shared" si="3"/>
        <v>7562.5</v>
      </c>
      <c r="S7" s="142">
        <f t="shared" si="4"/>
        <v>7562.5</v>
      </c>
      <c r="T7" s="142">
        <f t="shared" si="5"/>
        <v>7562.5</v>
      </c>
      <c r="U7" s="142">
        <f t="shared" si="6"/>
        <v>7562.5</v>
      </c>
      <c r="V7" s="142">
        <f t="shared" si="7"/>
        <v>7562.5</v>
      </c>
      <c r="W7" s="142">
        <f t="shared" si="8"/>
        <v>7562.5</v>
      </c>
      <c r="X7" s="142">
        <f t="shared" si="9"/>
        <v>7562.5</v>
      </c>
      <c r="Y7" s="141">
        <f>IFERROR((s_DL/(s_RadSpec!I7*s_IFS_far_adj*(1/1000)))*1,".")</f>
        <v>248182.06636388457</v>
      </c>
      <c r="Z7" s="141">
        <f>IFERROR(IF(A7="H-3",(s_DL/(s_RadSpec!L7*s_IFA_far_adj*(1/17)*1000))*1,(s_DL/(s_RadSpec!L7*s_IFA_far_adj*(1/s_PEF_wind)*1000))*1),".")</f>
        <v>28600442.285571061</v>
      </c>
      <c r="AA7" s="141">
        <f>IFERROR((s_DL/(s_RadSpec!K7*s_EF_far*(1/365)*s_ED_far*s_RadSpec!V7*((s_ET_far_o*(1/24)*s_RadSpec!AA7)+(s_ET_far_i*(1/24)*s_RadSpec!AF7))))*1,".")</f>
        <v>349592.5839418773</v>
      </c>
      <c r="AB7" s="141">
        <f>s_b2s!BA7</f>
        <v>1457.7507569097479</v>
      </c>
      <c r="AC7" s="141">
        <f>IFERROR(((I7*s_RadSpec!AX7)/s_RadSpec!AN7)*1,".")</f>
        <v>15883.652247288614</v>
      </c>
      <c r="AD7" s="141">
        <f>IFERROR((F7/(s_RadSpec!AM7*((s_Q_p_beef*s_f_p_beef*s_f_s_beef*(s_RadSpec!BG7+s_R_es_past))+(s_Q_s_beef*s_f_p_beef))))*1,".")</f>
        <v>1654.5471090925639</v>
      </c>
      <c r="AE7" s="141">
        <f>IFERROR(((G7*s_D_milk)/(s_RadSpec!AL7*((s_Q_p_dairy*s_f_p_dairy*s_f_s_dairy*(s_RadSpec!BG7+s_R_es_past))+(s_Q_s_dairy*s_f_p_dairy))))*1,".")</f>
        <v>3408.3670447306822</v>
      </c>
      <c r="AF7" s="141" t="str">
        <f>IFERROR((H7/(s_RadSpec!AQ7*((s_Q_p_swine*s_f_p_swine*s_f_s_swine*(s_RadSpec!BG7+s_R_es_past))+(s_Q_s_swine*s_f_p_swine))))*1,".")</f>
        <v>.</v>
      </c>
      <c r="AG7" s="141" t="str">
        <f>IFERROR((D7/(s_RadSpec!AO7*((s_Q_p_poultry*s_f_p_poultry*s_f_s_poultry*(s_RadSpec!BG7+s_R_es_past))+(s_Q_s_poultry*s_f_p_poultry))))*1,".")</f>
        <v>.</v>
      </c>
      <c r="AH7" s="141" t="str">
        <f>IFERROR((E7/(s_RadSpec!AP7*((s_Q_p_poultry*s_f_p_poultry*s_f_s_poultry*(s_RadSpec!BG7+s_R_es_past))+(s_Q_s_poultry*s_f_p_poultry))))*1,".")</f>
        <v>.</v>
      </c>
      <c r="AI7" s="141" t="str">
        <f>IFERROR((J7/(s_RadSpec!AT7*((s_Q_p_goat*s_f_p_goat*s_f_s_goat*(s_RadSpec!BG7+s_R_es_past))+(s_Q_s_goat*s_f_p_goat))))*1,".")</f>
        <v>.</v>
      </c>
      <c r="AJ7" s="141" t="str">
        <f>IFERROR((L7*s_D_milk/(s_RadSpec!AU7*((s_Q_p_goat_milk*s_f_p_goat_milk*s_f_s_goat_milk*(s_RadSpec!BG7+s_R_es_past))+(s_Q_s_goat_milk*s_f_p_goat_milk))))*1,".")</f>
        <v>.</v>
      </c>
      <c r="AK7" s="141" t="str">
        <f>IFERROR((K7/(s_RadSpec!AR7*((s_Q_p_sheep*s_f_p_sheep*s_f_s_sheep*(s_RadSpec!BG7+s_R_es_past))+(s_Q_s_sheep*s_f_p_sheep))))*1,".")</f>
        <v>.</v>
      </c>
      <c r="AL7" s="141" t="str">
        <f>IFERROR((M7*s_D_milk/(s_RadSpec!AS7*((s_Q_p_sheep_milk*s_f_p_sheep_milk*s_f_s_sheep_milk*(s_RadSpec!BG7+s_R_es_past))+(s_Q_s_sheep_milk*s_f_p_sheep_milk))))*1,".")</f>
        <v>.</v>
      </c>
      <c r="AM7" s="158">
        <f t="shared" si="10"/>
        <v>4.0292999999999997E-6</v>
      </c>
      <c r="AN7" s="158">
        <f t="shared" si="11"/>
        <v>3.4964494255548649E-8</v>
      </c>
      <c r="AO7" s="158">
        <f t="shared" si="12"/>
        <v>2.8604725784636737E-6</v>
      </c>
      <c r="AP7" s="158">
        <f t="shared" si="13"/>
        <v>6.859883249999999E-4</v>
      </c>
      <c r="AQ7" s="158">
        <f t="shared" si="14"/>
        <v>6.2957812499999993E-5</v>
      </c>
      <c r="AR7" s="158">
        <f t="shared" si="15"/>
        <v>6.0439499999999987E-4</v>
      </c>
      <c r="AS7" s="158">
        <f t="shared" si="16"/>
        <v>2.9339563106796108E-4</v>
      </c>
      <c r="AT7" s="158" t="str">
        <f t="shared" si="17"/>
        <v>.</v>
      </c>
      <c r="AU7" s="158" t="str">
        <f t="shared" si="18"/>
        <v>.</v>
      </c>
      <c r="AV7" s="158" t="str">
        <f t="shared" si="19"/>
        <v>.</v>
      </c>
      <c r="AW7" s="158" t="str">
        <f t="shared" si="20"/>
        <v>.</v>
      </c>
      <c r="AX7" s="158" t="str">
        <f t="shared" si="21"/>
        <v>.</v>
      </c>
      <c r="AY7" s="158" t="str">
        <f t="shared" si="22"/>
        <v>.</v>
      </c>
      <c r="AZ7" s="158" t="str">
        <f t="shared" si="23"/>
        <v>.</v>
      </c>
      <c r="BA7" s="141">
        <f t="shared" si="24"/>
        <v>604.71867827180802</v>
      </c>
      <c r="BB7" s="142">
        <f t="shared" si="25"/>
        <v>15.125</v>
      </c>
      <c r="BC7" s="142">
        <f t="shared" si="26"/>
        <v>1.618127279505213E-3</v>
      </c>
      <c r="BD7" s="142">
        <f>IFERROR((s_C*s_EF_far*(1/365)*s_ED_far*s_RadSpec!V7*((s_ET_far_o*(1/24)*s_RadSpec!AA7)+(s_ET_far_i*(1/24)*s_RadSpec!AF7))),".")</f>
        <v>1.3065718744581243E-2</v>
      </c>
      <c r="BE7" s="142">
        <f>s_b2s!BZ7</f>
        <v>2575.03125</v>
      </c>
      <c r="BF7" s="142">
        <f>IFERROR(((s_C*s_RadSpec!AN7)/s_RadSpec!AX7)*s_IFFI_far_adj*s_CF_far_fish,0)</f>
        <v>236.328125</v>
      </c>
      <c r="BG7" s="142">
        <f>(s_C*s_IFB_far_adj*s_CF_far_beef*s_RadSpec!AM7*((s_Q_p_beef*s_f_p_beef*s_f_s_beef*(s_RadSpec!$AW7+s_R_es_past))+(s_Q_s_beef*s_f_p_beef)))</f>
        <v>2268.75</v>
      </c>
      <c r="BH7" s="142">
        <f>(s_C*s_IFD_far_adj*s_CF_far_dairy*s_RadSpec!AL7*1/s_D_milk*((s_Q_p_dairy*s_f_p_dairy*s_f_s_dairy*(s_RadSpec!$AW7+s_R_es_past))+(s_Q_s_dairy*s_f_p_dairy)))</f>
        <v>1101.3349514563108</v>
      </c>
      <c r="BI7" s="142">
        <f>(s_C*s_IFSW_far_adj*s_CF_far_swine*s_RadSpec!AQ7*((s_Q_p_swine*s_f_p_swine*s_f_s_swine*(s_RadSpec!$AW7+s_R_es_past))+(s_Q_s_swine*s_f_p_swine)))</f>
        <v>0</v>
      </c>
      <c r="BJ7" s="142">
        <f>(s_C*s_IFP_far_adj*s_CF_far_poultry*s_RadSpec!AO7*((s_Q_p_poultry*s_f_p_poultry*s_f_s_poultry*(s_RadSpec!AW7+s_R_es_past))+(s_Q_s_poultry*s_f_p_poultry)))</f>
        <v>0</v>
      </c>
      <c r="BK7" s="142">
        <f>(s_C*s_IFE_far_adj*s_CF_far_egg*s_RadSpec!AP7*((s_Q_p_egg*s_f_p_egg*s_f_s_egg*(s_RadSpec!$AW7+s_R_es_past))+(s_Q_s_egg*s_f_p_egg)))</f>
        <v>0</v>
      </c>
      <c r="BL7" s="142">
        <f>(s_C*s_IFGO_far_adj*s_CF_far_goat*s_RadSpec!AT7*((s_Q_p_goat*s_f_p_goat*s_f_s_goat*(s_RadSpec!$AW7+s_R_es_past))+(s_Q_s_goat*s_f_p_goat)))</f>
        <v>0</v>
      </c>
      <c r="BM7" s="142">
        <f>(s_C*s_IFGM_far_adj*s_CF_far_goat_milk*s_RadSpec!AU7*1/s_D_milk*((s_Q_p_goat_milk*s_f_p_goat_milk*s_f_s_goat_milk*(s_RadSpec!$AW7+s_R_es_past))+(s_Q_s_goat_milk*s_f_p_goat_milk)))</f>
        <v>0</v>
      </c>
      <c r="BN7" s="142">
        <f>(s_C*s_IFSH_far_adj*s_CF_far_sheep*s_RadSpec!AR7*((s_Q_p_sheep*s_f_p_sheep*s_f_s_sheep*(s_RadSpec!$AW7+s_R_es_past))+(s_Q_s_sheep*s_f_p_sheep)))</f>
        <v>0</v>
      </c>
      <c r="BO7" s="142">
        <f>(s_C*s_IFSM_far_adj*s_CF_far_sheep_milk*s_RadSpec!AS7*1/s_D_milk*((s_Q_p_sheep_milk*s_f_p_sheep_milk*s_f_s_sheep_milk*(s_RadSpec!$AW7+s_R_es_past))+(s_Q_s_sheep_milk*s_f_p_sheep_milk)))</f>
        <v>0</v>
      </c>
      <c r="BP7" s="141"/>
      <c r="BQ7" s="141">
        <f>IFERROR(s_DL/(s_RadSpec!M7*s_IFW_far_adj),".")</f>
        <v>2730.00273000273</v>
      </c>
      <c r="BR7" s="141" t="str">
        <f>IFERROR(IF(s_RadSpec!C7=1,s_DL/(s_RadSpec!L7*s_IFA_far_adj*s_K),"."),".")</f>
        <v>.</v>
      </c>
      <c r="BS7" s="141">
        <f>IFERROR((s_DL/(s_RadSpec!Q7*(1/8760)*s_DFA_far_adj)),".")</f>
        <v>3576.5005297793482</v>
      </c>
      <c r="BT7" s="141">
        <f>s_b2w!BA7</f>
        <v>5241.4020209370792</v>
      </c>
      <c r="BU7" s="141">
        <f>IFERROR(I7/(s_RadSpec!AN7*(1/1000)),".")</f>
        <v>33090.942181851278</v>
      </c>
      <c r="BV7" s="141">
        <f>IFERROR(F7/(s_RadSpec!AM7*s_Q_w_beef*(1/1000)),".")</f>
        <v>49636413.272776917</v>
      </c>
      <c r="BW7" s="141">
        <f>IFERROR((G7*s_D_milk)/(s_RadSpec!AL7*s_Q_w_dairy*(1/1000)),".")</f>
        <v>102251011.34192045</v>
      </c>
      <c r="BX7" s="141" t="str">
        <f>IFERROR(H7/(s_RadSpec!AQ7*s_Q_w_swine*(1/1000)),".")</f>
        <v>.</v>
      </c>
      <c r="BY7" s="141" t="str">
        <f>IFERROR(D7/(s_RadSpec!AO7*s_Q_w_poultry*(1/1000)),".")</f>
        <v>.</v>
      </c>
      <c r="BZ7" s="141" t="str">
        <f>IFERROR(E7/(s_RadSpec!AP7*s_Q_w_poultry*(1/1000)),".")</f>
        <v>.</v>
      </c>
      <c r="CA7" s="141" t="str">
        <f>IFERROR(J7/(s_RadSpec!AT7*s_Q_w_goat*(1/1000)),".")</f>
        <v>.</v>
      </c>
      <c r="CB7" s="141" t="str">
        <f>IFERROR(L7*s_D_milk/(s_RadSpec!AU7*s_Q_w_goat_milk*(1/1000)),".")</f>
        <v>.</v>
      </c>
      <c r="CC7" s="141" t="str">
        <f>IFERROR(K7/(s_RadSpec!AR7*s_Q_w_sheep*(1/1000)),".")</f>
        <v>.</v>
      </c>
      <c r="CD7" s="141" t="str">
        <f>IFERROR(M7*s_D_milk/(s_RadSpec!AS7*s_Q_w_sheep_milk*(1/1000)),".")</f>
        <v>.</v>
      </c>
      <c r="CE7" s="158">
        <f t="shared" si="27"/>
        <v>3.6630000000000001E-4</v>
      </c>
      <c r="CF7" s="158" t="str">
        <f t="shared" si="28"/>
        <v>.</v>
      </c>
      <c r="CG7" s="158">
        <f t="shared" si="29"/>
        <v>2.7960292237442922E-4</v>
      </c>
      <c r="CH7" s="158">
        <f t="shared" si="30"/>
        <v>1.9078864700807971E-4</v>
      </c>
      <c r="CI7" s="158">
        <f t="shared" si="31"/>
        <v>3.0219749999999995E-5</v>
      </c>
      <c r="CJ7" s="158">
        <f t="shared" si="32"/>
        <v>2.0146499999999998E-8</v>
      </c>
      <c r="CK7" s="158">
        <f t="shared" si="33"/>
        <v>9.7798543689320363E-9</v>
      </c>
      <c r="CL7" s="158" t="str">
        <f t="shared" si="34"/>
        <v>.</v>
      </c>
      <c r="CM7" s="158" t="str">
        <f t="shared" si="35"/>
        <v>.</v>
      </c>
      <c r="CN7" s="158" t="str">
        <f t="shared" si="36"/>
        <v>.</v>
      </c>
      <c r="CO7" s="158" t="str">
        <f t="shared" si="37"/>
        <v>.</v>
      </c>
      <c r="CP7" s="158" t="str">
        <f t="shared" si="38"/>
        <v>.</v>
      </c>
      <c r="CQ7" s="158" t="str">
        <f t="shared" si="39"/>
        <v>.</v>
      </c>
      <c r="CR7" s="158" t="str">
        <f t="shared" si="40"/>
        <v>.</v>
      </c>
      <c r="CS7" s="141">
        <f t="shared" si="41"/>
        <v>1153.4807057772705</v>
      </c>
      <c r="CT7" s="142">
        <f t="shared" si="42"/>
        <v>1375</v>
      </c>
      <c r="CU7" s="142">
        <f t="shared" si="43"/>
        <v>250.65104166666663</v>
      </c>
      <c r="CV7" s="142">
        <f t="shared" si="44"/>
        <v>0.12557077625570776</v>
      </c>
      <c r="CW7" s="142">
        <f>s_b2w!BZ7</f>
        <v>716.17359988017915</v>
      </c>
      <c r="CX7" s="142">
        <f>IFERROR(s_C*s_RadSpec!AN7*(1/1000)*s_IFFI_far_adj*s_CF_far_fish,0)</f>
        <v>113.4375</v>
      </c>
      <c r="CY7" s="142">
        <f>(s_C*s_IFB_far_adj*s_CF_far_beef*s_RadSpec!AM7*s_Q_w_beef*(1/1000))</f>
        <v>7.5624999999999998E-2</v>
      </c>
      <c r="CZ7" s="142">
        <f>(s_C*s_IFD_far_adj*s_CF_far_dairy*s_RadSpec!AL7*(1/s_D_milk)*s_Q_w_dairy*(1/1000))</f>
        <v>3.6711165048543694E-2</v>
      </c>
      <c r="DA7" s="142">
        <f>(s_C*s_IFSW_far_adj*s_CF_far_swine*s_RadSpec!AQ7*s_Q_w_swine*(1/1000))</f>
        <v>0</v>
      </c>
      <c r="DB7" s="142">
        <f>(s_C*s_IFP_far_adj*s_CF_far_poultry*s_RadSpec!AO7*s_Q_w_poultry*(1/1000))</f>
        <v>0</v>
      </c>
      <c r="DC7" s="142">
        <f>(s_C*s_IFE_far_adj*s_CF_far_egg*s_RadSpec!AP7*s_Q_w_egg*(1/1000))</f>
        <v>0</v>
      </c>
      <c r="DD7" s="142">
        <f>(s_C*s_IFGO_far_adj*s_CF_far_goat*s_RadSpec!AT7*s_Q_p_goat*(1/1000))</f>
        <v>0</v>
      </c>
      <c r="DE7" s="142">
        <f>(s_C*s_IFGM_far_adj*s_CF_far_goat_milk*s_RadSpec!AU7*(1/s_D_milk)*s_Q_p_goat_milk*(1/1000))</f>
        <v>0</v>
      </c>
      <c r="DF7" s="142">
        <f>(s_C*s_IFSH_far_adj*s_CF_far_sheep*s_RadSpec!AR7*s_Q_p_sheep*(1/1000))</f>
        <v>0</v>
      </c>
      <c r="DG7" s="142">
        <f>(s_C*s_IFSM_far_adj*s_CF_far_sheep_milk*s_RadSpec!AS7*(1/s_D_milk)*s_Q_p_sheep_milk*(1/1000))</f>
        <v>0</v>
      </c>
      <c r="DH7" s="141"/>
      <c r="DI7" s="141">
        <f>IFERROR((s_DL/(s_RadSpec!L7*s_IFA_far_adj)),".")</f>
        <v>92.317900537078629</v>
      </c>
      <c r="DJ7" s="141">
        <f>IFERROR((s_DL/(s_RadSpec!O7*s_EF_far*(1/365)*s_ED_far*s_ET_far*(1/24)*s_GSF_a)),".")</f>
        <v>1.6523986943786755</v>
      </c>
      <c r="DK7" s="141">
        <f t="shared" si="49"/>
        <v>1.6233424769619462</v>
      </c>
      <c r="DL7" s="142">
        <f t="shared" si="46"/>
        <v>501.30208333333326</v>
      </c>
      <c r="DM7" s="142">
        <f t="shared" si="47"/>
        <v>0.3139269406392694</v>
      </c>
      <c r="DN7" s="127"/>
    </row>
    <row r="8" spans="1:118" customFormat="1" x14ac:dyDescent="0.25">
      <c r="A8" s="128" t="s">
        <v>6</v>
      </c>
      <c r="B8" s="129" t="s">
        <v>1059</v>
      </c>
      <c r="C8" s="141">
        <f>s_dir!AB8</f>
        <v>1111.2629837188861</v>
      </c>
      <c r="D8" s="141">
        <f>IFERROR(s_DL/(s_RadSpec!J8*s_IFP_far_adj*s_CF_far_poultry),".")</f>
        <v>3333.7889511566582</v>
      </c>
      <c r="E8" s="141">
        <f>IFERROR(s_DL/(s_RadSpec!J8*s_IFE_far_adj*s_CF_far_egg),".")</f>
        <v>3333.7889511566582</v>
      </c>
      <c r="F8" s="141">
        <f>IFERROR(s_DL/(s_RadSpec!J8*s_IFB_far_adj*s_CF_far_beef),".")</f>
        <v>3333.7889511566582</v>
      </c>
      <c r="G8" s="141">
        <f>IFERROR(s_DL/(s_RadSpec!J8*s_IFD_far_adj*s_CF_far_dairy),".")</f>
        <v>3333.7889511566582</v>
      </c>
      <c r="H8" s="141">
        <f>IFERROR(s_DL/(s_RadSpec!J8*s_IFSW_far_adj*s_CF_far_swine),".")</f>
        <v>3333.7889511566582</v>
      </c>
      <c r="I8" s="141">
        <f>IFERROR(s_DL/(s_RadSpec!J8*s_IFFI_far_adj*s_CF_far_fish),".")</f>
        <v>3333.7889511566582</v>
      </c>
      <c r="J8" s="141">
        <f>IFERROR(s_DL/(s_RadSpec!J8*s_IFGO_far_adj*s_CF_far_goat),".")</f>
        <v>3333.7889511566582</v>
      </c>
      <c r="K8" s="141">
        <f>IFERROR(s_DL/(s_RadSpec!J8*s_IFSH_far_adj*s_CF_far_sheep),".")</f>
        <v>3333.7889511566582</v>
      </c>
      <c r="L8" s="141">
        <f>IFERROR(s_DL/(s_RadSpec!J8*s_IFGM_far_adj*s_CF_far_goat_milk),".")</f>
        <v>3333.7889511566582</v>
      </c>
      <c r="M8" s="141">
        <f>IFERROR(s_DL/(s_RadSpec!J8*s_IFSM_far_adj*s_CF_far_sheep_milk),".")</f>
        <v>3333.7889511566582</v>
      </c>
      <c r="N8" s="142">
        <f>s_dir!BA8</f>
        <v>22687.5</v>
      </c>
      <c r="O8" s="142">
        <f t="shared" si="0"/>
        <v>7562.5</v>
      </c>
      <c r="P8" s="142">
        <f t="shared" si="1"/>
        <v>7562.5</v>
      </c>
      <c r="Q8" s="142">
        <f t="shared" si="2"/>
        <v>7562.5</v>
      </c>
      <c r="R8" s="142">
        <f t="shared" si="3"/>
        <v>7562.5</v>
      </c>
      <c r="S8" s="142">
        <f t="shared" si="4"/>
        <v>7562.5</v>
      </c>
      <c r="T8" s="142">
        <f t="shared" si="5"/>
        <v>7562.5</v>
      </c>
      <c r="U8" s="142">
        <f t="shared" si="6"/>
        <v>7562.5</v>
      </c>
      <c r="V8" s="142">
        <f t="shared" si="7"/>
        <v>7562.5</v>
      </c>
      <c r="W8" s="142">
        <f t="shared" si="8"/>
        <v>7562.5</v>
      </c>
      <c r="X8" s="142">
        <f t="shared" si="9"/>
        <v>7562.5</v>
      </c>
      <c r="Y8" s="141">
        <f>IFERROR((s_DL/(s_RadSpec!I8*s_IFS_far_adj*(1/1000)))*1,".")</f>
        <v>1666894.4755783291</v>
      </c>
      <c r="Z8" s="141">
        <f>IFERROR(IF(A8="H-3",(s_DL/(s_RadSpec!L8*s_IFA_far_adj*(1/17)*1000))*1,(s_DL/(s_RadSpec!L8*s_IFA_far_adj*(1/s_PEF_wind)*1000))*1),".")</f>
        <v>117624354.18854579</v>
      </c>
      <c r="AA8" s="141">
        <f>IFERROR((s_DL/(s_RadSpec!K8*s_EF_far*(1/365)*s_ED_far*s_RadSpec!V8*((s_ET_far_o*(1/24)*s_RadSpec!AA8)+(s_ET_far_i*(1/24)*s_RadSpec!AF8))))*1,".")</f>
        <v>1600.1038281801677</v>
      </c>
      <c r="AB8" s="141">
        <f>s_b2s!BA8</f>
        <v>9790.8632926774098</v>
      </c>
      <c r="AC8" s="141">
        <f>IFERROR(((I8*s_RadSpec!AX8)/s_RadSpec!AN8)*1,".")</f>
        <v>106681.24643701306</v>
      </c>
      <c r="AD8" s="141">
        <f>IFERROR((F8/(s_RadSpec!AM8*((s_Q_p_beef*s_f_p_beef*s_f_s_beef*(s_RadSpec!BG8+s_R_es_past))+(s_Q_s_beef*s_f_p_beef))))*1,".")</f>
        <v>11112.629837188861</v>
      </c>
      <c r="AE8" s="141">
        <f>IFERROR(((G8*s_D_milk)/(s_RadSpec!AL8*((s_Q_p_dairy*s_f_p_dairy*s_f_s_dairy*(s_RadSpec!BG8+s_R_es_past))+(s_Q_s_dairy*s_f_p_dairy))))*1,".")</f>
        <v>22892.017464609053</v>
      </c>
      <c r="AF8" s="141" t="str">
        <f>IFERROR((H8/(s_RadSpec!AQ8*((s_Q_p_swine*s_f_p_swine*s_f_s_swine*(s_RadSpec!BG8+s_R_es_past))+(s_Q_s_swine*s_f_p_swine))))*1,".")</f>
        <v>.</v>
      </c>
      <c r="AG8" s="141" t="str">
        <f>IFERROR((D8/(s_RadSpec!AO8*((s_Q_p_poultry*s_f_p_poultry*s_f_s_poultry*(s_RadSpec!BG8+s_R_es_past))+(s_Q_s_poultry*s_f_p_poultry))))*1,".")</f>
        <v>.</v>
      </c>
      <c r="AH8" s="141" t="str">
        <f>IFERROR((E8/(s_RadSpec!AP8*((s_Q_p_poultry*s_f_p_poultry*s_f_s_poultry*(s_RadSpec!BG8+s_R_es_past))+(s_Q_s_poultry*s_f_p_poultry))))*1,".")</f>
        <v>.</v>
      </c>
      <c r="AI8" s="141" t="str">
        <f>IFERROR((J8/(s_RadSpec!AT8*((s_Q_p_goat*s_f_p_goat*s_f_s_goat*(s_RadSpec!BG8+s_R_es_past))+(s_Q_s_goat*s_f_p_goat))))*1,".")</f>
        <v>.</v>
      </c>
      <c r="AJ8" s="141" t="str">
        <f>IFERROR((L8*s_D_milk/(s_RadSpec!AU8*((s_Q_p_goat_milk*s_f_p_goat_milk*s_f_s_goat_milk*(s_RadSpec!BG8+s_R_es_past))+(s_Q_s_goat_milk*s_f_p_goat_milk))))*1,".")</f>
        <v>.</v>
      </c>
      <c r="AK8" s="141" t="str">
        <f>IFERROR((K8/(s_RadSpec!AR8*((s_Q_p_sheep*s_f_p_sheep*s_f_s_sheep*(s_RadSpec!BG8+s_R_es_past))+(s_Q_s_sheep*s_f_p_sheep))))*1,".")</f>
        <v>.</v>
      </c>
      <c r="AL8" s="141" t="str">
        <f>IFERROR((M8*s_D_milk/(s_RadSpec!AS8*((s_Q_p_sheep_milk*s_f_p_sheep_milk*s_f_s_sheep_milk*(s_RadSpec!BG8+s_R_es_past))+(s_Q_s_sheep_milk*s_f_p_sheep_milk))))*1,".")</f>
        <v>.</v>
      </c>
      <c r="AM8" s="158">
        <f t="shared" si="10"/>
        <v>5.9991800000000004E-7</v>
      </c>
      <c r="AN8" s="158">
        <f t="shared" si="11"/>
        <v>8.5016407265203884E-9</v>
      </c>
      <c r="AO8" s="158">
        <f t="shared" si="12"/>
        <v>6.249594447488582E-4</v>
      </c>
      <c r="AP8" s="158">
        <f t="shared" si="13"/>
        <v>1.021360395E-4</v>
      </c>
      <c r="AQ8" s="158">
        <f t="shared" si="14"/>
        <v>9.3737187499999993E-6</v>
      </c>
      <c r="AR8" s="158">
        <f t="shared" si="15"/>
        <v>8.9987699999999999E-5</v>
      </c>
      <c r="AS8" s="158">
        <f t="shared" si="16"/>
        <v>4.3683349514563106E-5</v>
      </c>
      <c r="AT8" s="158" t="str">
        <f t="shared" si="17"/>
        <v>.</v>
      </c>
      <c r="AU8" s="158" t="str">
        <f t="shared" si="18"/>
        <v>.</v>
      </c>
      <c r="AV8" s="158" t="str">
        <f t="shared" si="19"/>
        <v>.</v>
      </c>
      <c r="AW8" s="158" t="str">
        <f t="shared" si="20"/>
        <v>.</v>
      </c>
      <c r="AX8" s="158" t="str">
        <f t="shared" si="21"/>
        <v>.</v>
      </c>
      <c r="AY8" s="158" t="str">
        <f t="shared" si="22"/>
        <v>.</v>
      </c>
      <c r="AZ8" s="158" t="str">
        <f t="shared" si="23"/>
        <v>.</v>
      </c>
      <c r="BA8" s="141">
        <f t="shared" si="24"/>
        <v>1148.4370082656537</v>
      </c>
      <c r="BB8" s="142">
        <f t="shared" si="25"/>
        <v>15.125</v>
      </c>
      <c r="BC8" s="142">
        <f t="shared" si="26"/>
        <v>1.618127279505213E-3</v>
      </c>
      <c r="BD8" s="142">
        <f>IFERROR((s_C*s_EF_far*(1/365)*s_ED_far*s_RadSpec!V8*((s_ET_far_o*(1/24)*s_RadSpec!AA8)+(s_ET_far_i*(1/24)*s_RadSpec!AF8))),".")</f>
        <v>2.2728310502283095E-2</v>
      </c>
      <c r="BE8" s="142">
        <f>s_b2s!BZ8</f>
        <v>2575.03125</v>
      </c>
      <c r="BF8" s="142">
        <f>IFERROR(((s_C*s_RadSpec!AN8)/s_RadSpec!AX8)*s_IFFI_far_adj*s_CF_far_fish,0)</f>
        <v>236.328125</v>
      </c>
      <c r="BG8" s="142">
        <f>(s_C*s_IFB_far_adj*s_CF_far_beef*s_RadSpec!AM8*((s_Q_p_beef*s_f_p_beef*s_f_s_beef*(s_RadSpec!$AW8+s_R_es_past))+(s_Q_s_beef*s_f_p_beef)))</f>
        <v>2268.75</v>
      </c>
      <c r="BH8" s="142">
        <f>(s_C*s_IFD_far_adj*s_CF_far_dairy*s_RadSpec!AL8*1/s_D_milk*((s_Q_p_dairy*s_f_p_dairy*s_f_s_dairy*(s_RadSpec!$AW8+s_R_es_past))+(s_Q_s_dairy*s_f_p_dairy)))</f>
        <v>1101.3349514563108</v>
      </c>
      <c r="BI8" s="142">
        <f>(s_C*s_IFSW_far_adj*s_CF_far_swine*s_RadSpec!AQ8*((s_Q_p_swine*s_f_p_swine*s_f_s_swine*(s_RadSpec!$AW8+s_R_es_past))+(s_Q_s_swine*s_f_p_swine)))</f>
        <v>0</v>
      </c>
      <c r="BJ8" s="142">
        <f>(s_C*s_IFP_far_adj*s_CF_far_poultry*s_RadSpec!AO8*((s_Q_p_poultry*s_f_p_poultry*s_f_s_poultry*(s_RadSpec!AW8+s_R_es_past))+(s_Q_s_poultry*s_f_p_poultry)))</f>
        <v>0</v>
      </c>
      <c r="BK8" s="142">
        <f>(s_C*s_IFE_far_adj*s_CF_far_egg*s_RadSpec!AP8*((s_Q_p_egg*s_f_p_egg*s_f_s_egg*(s_RadSpec!$AW8+s_R_es_past))+(s_Q_s_egg*s_f_p_egg)))</f>
        <v>0</v>
      </c>
      <c r="BL8" s="142">
        <f>(s_C*s_IFGO_far_adj*s_CF_far_goat*s_RadSpec!AT8*((s_Q_p_goat*s_f_p_goat*s_f_s_goat*(s_RadSpec!$AW8+s_R_es_past))+(s_Q_s_goat*s_f_p_goat)))</f>
        <v>0</v>
      </c>
      <c r="BM8" s="142">
        <f>(s_C*s_IFGM_far_adj*s_CF_far_goat_milk*s_RadSpec!AU8*1/s_D_milk*((s_Q_p_goat_milk*s_f_p_goat_milk*s_f_s_goat_milk*(s_RadSpec!$AW8+s_R_es_past))+(s_Q_s_goat_milk*s_f_p_goat_milk)))</f>
        <v>0</v>
      </c>
      <c r="BN8" s="142">
        <f>(s_C*s_IFSH_far_adj*s_CF_far_sheep*s_RadSpec!AR8*((s_Q_p_sheep*s_f_p_sheep*s_f_s_sheep*(s_RadSpec!$AW8+s_R_es_past))+(s_Q_s_sheep*s_f_p_sheep)))</f>
        <v>0</v>
      </c>
      <c r="BO8" s="142">
        <f>(s_C*s_IFSM_far_adj*s_CF_far_sheep_milk*s_RadSpec!AS8*1/s_D_milk*((s_Q_p_sheep_milk*s_f_p_sheep_milk*s_f_s_sheep_milk*(s_RadSpec!$AW8+s_R_es_past))+(s_Q_s_sheep_milk*s_f_p_sheep_milk)))</f>
        <v>0</v>
      </c>
      <c r="BP8" s="141"/>
      <c r="BQ8" s="141">
        <f>IFERROR(s_DL/(s_RadSpec!M8*s_IFW_far_adj),".")</f>
        <v>18335.83923136162</v>
      </c>
      <c r="BR8" s="141" t="str">
        <f>IFERROR(IF(s_RadSpec!C8=1,s_DL/(s_RadSpec!L8*s_IFA_far_adj*s_K),"."),".")</f>
        <v>.</v>
      </c>
      <c r="BS8" s="141">
        <f>IFERROR((s_DL/(s_RadSpec!Q8*(1/8760)*s_DFA_far_adj)),".")</f>
        <v>84.587076021765526</v>
      </c>
      <c r="BT8" s="141">
        <f>s_b2w!BA8</f>
        <v>35203.446409278891</v>
      </c>
      <c r="BU8" s="141">
        <f>IFERROR(I8/(s_RadSpec!AN8*(1/1000)),".")</f>
        <v>222252.59674377722</v>
      </c>
      <c r="BV8" s="141">
        <f>IFERROR(F8/(s_RadSpec!AM8*s_Q_w_beef*(1/1000)),".")</f>
        <v>333378895.11566579</v>
      </c>
      <c r="BW8" s="141">
        <f>IFERROR((G8*s_D_milk)/(s_RadSpec!AL8*s_Q_w_dairy*(1/1000)),".")</f>
        <v>686760523.93827152</v>
      </c>
      <c r="BX8" s="141" t="str">
        <f>IFERROR(H8/(s_RadSpec!AQ8*s_Q_w_swine*(1/1000)),".")</f>
        <v>.</v>
      </c>
      <c r="BY8" s="141" t="str">
        <f>IFERROR(D8/(s_RadSpec!AO8*s_Q_w_poultry*(1/1000)),".")</f>
        <v>.</v>
      </c>
      <c r="BZ8" s="141" t="str">
        <f>IFERROR(E8/(s_RadSpec!AP8*s_Q_w_poultry*(1/1000)),".")</f>
        <v>.</v>
      </c>
      <c r="CA8" s="141" t="str">
        <f>IFERROR(J8/(s_RadSpec!AT8*s_Q_w_goat*(1/1000)),".")</f>
        <v>.</v>
      </c>
      <c r="CB8" s="141" t="str">
        <f>IFERROR(L8*s_D_milk/(s_RadSpec!AU8*s_Q_w_goat_milk*(1/1000)),".")</f>
        <v>.</v>
      </c>
      <c r="CC8" s="141" t="str">
        <f>IFERROR(K8/(s_RadSpec!AR8*s_Q_w_sheep*(1/1000)),".")</f>
        <v>.</v>
      </c>
      <c r="CD8" s="141" t="str">
        <f>IFERROR(M8*s_D_milk/(s_RadSpec!AS8*s_Q_w_sheep_milk*(1/1000)),".")</f>
        <v>.</v>
      </c>
      <c r="CE8" s="158">
        <f t="shared" si="27"/>
        <v>5.4537999999999999E-5</v>
      </c>
      <c r="CF8" s="158" t="str">
        <f t="shared" si="28"/>
        <v>.</v>
      </c>
      <c r="CG8" s="158">
        <f t="shared" si="29"/>
        <v>1.1822136986301371E-2</v>
      </c>
      <c r="CH8" s="158">
        <f t="shared" si="30"/>
        <v>2.8406309665647422E-5</v>
      </c>
      <c r="CI8" s="158">
        <f t="shared" si="31"/>
        <v>4.4993849999999994E-6</v>
      </c>
      <c r="CJ8" s="158">
        <f t="shared" si="32"/>
        <v>2.99959E-9</v>
      </c>
      <c r="CK8" s="158">
        <f t="shared" si="33"/>
        <v>1.4561116504854369E-9</v>
      </c>
      <c r="CL8" s="158" t="str">
        <f t="shared" si="34"/>
        <v>.</v>
      </c>
      <c r="CM8" s="158" t="str">
        <f t="shared" si="35"/>
        <v>.</v>
      </c>
      <c r="CN8" s="158" t="str">
        <f t="shared" si="36"/>
        <v>.</v>
      </c>
      <c r="CO8" s="158" t="str">
        <f t="shared" si="37"/>
        <v>.</v>
      </c>
      <c r="CP8" s="158" t="str">
        <f t="shared" si="38"/>
        <v>.</v>
      </c>
      <c r="CQ8" s="158" t="str">
        <f t="shared" si="39"/>
        <v>.</v>
      </c>
      <c r="CR8" s="158" t="str">
        <f t="shared" si="40"/>
        <v>.</v>
      </c>
      <c r="CS8" s="141">
        <f t="shared" si="41"/>
        <v>83.965981058490385</v>
      </c>
      <c r="CT8" s="142">
        <f t="shared" si="42"/>
        <v>1375</v>
      </c>
      <c r="CU8" s="142">
        <f t="shared" si="43"/>
        <v>250.65104166666663</v>
      </c>
      <c r="CV8" s="142">
        <f t="shared" si="44"/>
        <v>0.12557077625570776</v>
      </c>
      <c r="CW8" s="142">
        <f>s_b2w!BZ8</f>
        <v>716.17359988017915</v>
      </c>
      <c r="CX8" s="142">
        <f>IFERROR(s_C*s_RadSpec!AN8*(1/1000)*s_IFFI_far_adj*s_CF_far_fish,0)</f>
        <v>113.4375</v>
      </c>
      <c r="CY8" s="142">
        <f>(s_C*s_IFB_far_adj*s_CF_far_beef*s_RadSpec!AM8*s_Q_w_beef*(1/1000))</f>
        <v>7.5624999999999998E-2</v>
      </c>
      <c r="CZ8" s="142">
        <f>(s_C*s_IFD_far_adj*s_CF_far_dairy*s_RadSpec!AL8*(1/s_D_milk)*s_Q_w_dairy*(1/1000))</f>
        <v>3.6711165048543694E-2</v>
      </c>
      <c r="DA8" s="142">
        <f>(s_C*s_IFSW_far_adj*s_CF_far_swine*s_RadSpec!AQ8*s_Q_w_swine*(1/1000))</f>
        <v>0</v>
      </c>
      <c r="DB8" s="142">
        <f>(s_C*s_IFP_far_adj*s_CF_far_poultry*s_RadSpec!AO8*s_Q_w_poultry*(1/1000))</f>
        <v>0</v>
      </c>
      <c r="DC8" s="142">
        <f>(s_C*s_IFE_far_adj*s_CF_far_egg*s_RadSpec!AP8*s_Q_w_egg*(1/1000))</f>
        <v>0</v>
      </c>
      <c r="DD8" s="142">
        <f>(s_C*s_IFGO_far_adj*s_CF_far_goat*s_RadSpec!AT8*s_Q_p_goat*(1/1000))</f>
        <v>0</v>
      </c>
      <c r="DE8" s="142">
        <f>(s_C*s_IFGM_far_adj*s_CF_far_goat_milk*s_RadSpec!AU8*(1/s_D_milk)*s_Q_p_goat_milk*(1/1000))</f>
        <v>0</v>
      </c>
      <c r="DF8" s="142">
        <f>(s_C*s_IFSH_far_adj*s_CF_far_sheep*s_RadSpec!AR8*s_Q_p_sheep*(1/1000))</f>
        <v>0</v>
      </c>
      <c r="DG8" s="142">
        <f>(s_C*s_IFSM_far_adj*s_CF_far_sheep_milk*s_RadSpec!AS8*(1/s_D_milk)*s_Q_p_sheep_milk*(1/1000))</f>
        <v>0</v>
      </c>
      <c r="DH8" s="141"/>
      <c r="DI8" s="141">
        <f>IFERROR((s_DL/(s_RadSpec!L8*s_IFA_far_adj)),".")</f>
        <v>379.67361911023892</v>
      </c>
      <c r="DJ8" s="141">
        <f>IFERROR((s_DL/(s_RadSpec!O8*s_EF_far*(1/365)*s_ED_far*s_ET_far*(1/24)*s_GSF_a)),".")</f>
        <v>7.1770852382104094E-2</v>
      </c>
      <c r="DK8" s="141">
        <f t="shared" si="49"/>
        <v>7.1757287884975748E-2</v>
      </c>
      <c r="DL8" s="142">
        <f t="shared" si="46"/>
        <v>501.30208333333326</v>
      </c>
      <c r="DM8" s="142">
        <f t="shared" si="47"/>
        <v>0.3139269406392694</v>
      </c>
      <c r="DN8" s="127"/>
    </row>
    <row r="9" spans="1:118" customFormat="1" x14ac:dyDescent="0.25">
      <c r="A9" s="128" t="s">
        <v>7</v>
      </c>
      <c r="B9" s="129" t="s">
        <v>1059</v>
      </c>
      <c r="C9" s="141">
        <f>s_dir!AB9</f>
        <v>1998.7817425279291</v>
      </c>
      <c r="D9" s="141">
        <f>IFERROR(s_DL/(s_RadSpec!J9*s_IFP_far_adj*s_CF_far_poultry),".")</f>
        <v>5996.3452275837872</v>
      </c>
      <c r="E9" s="141">
        <f>IFERROR(s_DL/(s_RadSpec!J9*s_IFE_far_adj*s_CF_far_egg),".")</f>
        <v>5996.3452275837872</v>
      </c>
      <c r="F9" s="141">
        <f>IFERROR(s_DL/(s_RadSpec!J9*s_IFB_far_adj*s_CF_far_beef),".")</f>
        <v>5996.3452275837872</v>
      </c>
      <c r="G9" s="141">
        <f>IFERROR(s_DL/(s_RadSpec!J9*s_IFD_far_adj*s_CF_far_dairy),".")</f>
        <v>5996.3452275837872</v>
      </c>
      <c r="H9" s="141">
        <f>IFERROR(s_DL/(s_RadSpec!J9*s_IFSW_far_adj*s_CF_far_swine),".")</f>
        <v>5996.3452275837872</v>
      </c>
      <c r="I9" s="141">
        <f>IFERROR(s_DL/(s_RadSpec!J9*s_IFFI_far_adj*s_CF_far_fish),".")</f>
        <v>5996.3452275837872</v>
      </c>
      <c r="J9" s="141">
        <f>IFERROR(s_DL/(s_RadSpec!J9*s_IFGO_far_adj*s_CF_far_goat),".")</f>
        <v>5996.3452275837872</v>
      </c>
      <c r="K9" s="141">
        <f>IFERROR(s_DL/(s_RadSpec!J9*s_IFSH_far_adj*s_CF_far_sheep),".")</f>
        <v>5996.3452275837872</v>
      </c>
      <c r="L9" s="141">
        <f>IFERROR(s_DL/(s_RadSpec!J9*s_IFGM_far_adj*s_CF_far_goat_milk),".")</f>
        <v>5996.3452275837872</v>
      </c>
      <c r="M9" s="141">
        <f>IFERROR(s_DL/(s_RadSpec!J9*s_IFSM_far_adj*s_CF_far_sheep_milk),".")</f>
        <v>5996.3452275837872</v>
      </c>
      <c r="N9" s="142">
        <f>s_dir!BA9</f>
        <v>22687.5</v>
      </c>
      <c r="O9" s="142">
        <f t="shared" si="0"/>
        <v>7562.5</v>
      </c>
      <c r="P9" s="142">
        <f t="shared" si="1"/>
        <v>7562.5</v>
      </c>
      <c r="Q9" s="142">
        <f t="shared" si="2"/>
        <v>7562.5</v>
      </c>
      <c r="R9" s="142">
        <f t="shared" si="3"/>
        <v>7562.5</v>
      </c>
      <c r="S9" s="142">
        <f t="shared" si="4"/>
        <v>7562.5</v>
      </c>
      <c r="T9" s="142">
        <f t="shared" si="5"/>
        <v>7562.5</v>
      </c>
      <c r="U9" s="142">
        <f t="shared" si="6"/>
        <v>7562.5</v>
      </c>
      <c r="V9" s="142">
        <f t="shared" si="7"/>
        <v>7562.5</v>
      </c>
      <c r="W9" s="142">
        <f t="shared" si="8"/>
        <v>7562.5</v>
      </c>
      <c r="X9" s="142">
        <f t="shared" si="9"/>
        <v>7562.5</v>
      </c>
      <c r="Y9" s="141">
        <f>IFERROR((s_DL/(s_RadSpec!I9*s_IFS_far_adj*(1/1000)))*1,".")</f>
        <v>2998172.6137918937</v>
      </c>
      <c r="Z9" s="141">
        <f>IFERROR(IF(A9="H-3",(s_DL/(s_RadSpec!L9*s_IFA_far_adj*(1/17)*1000))*1,(s_DL/(s_RadSpec!L9*s_IFA_far_adj*(1/s_PEF_wind)*1000))*1),".")</f>
        <v>422130025.20943952</v>
      </c>
      <c r="AA9" s="141">
        <f>IFERROR((s_DL/(s_RadSpec!K9*s_EF_far*(1/365)*s_ED_far*s_RadSpec!V9*((s_ET_far_o*(1/24)*s_RadSpec!AA9)+(s_ET_far_i*(1/24)*s_RadSpec!AF9))))*1,".")</f>
        <v>59.303839776961446</v>
      </c>
      <c r="AB9" s="141">
        <f>s_b2s!BA9</f>
        <v>17610.411828439905</v>
      </c>
      <c r="AC9" s="141">
        <f>IFERROR(((I9*s_RadSpec!AX9)/s_RadSpec!AN9)*1,".")</f>
        <v>191883.04728268119</v>
      </c>
      <c r="AD9" s="141">
        <f>IFERROR((F9/(s_RadSpec!AM9*((s_Q_p_beef*s_f_p_beef*s_f_s_beef*(s_RadSpec!BG9+s_R_es_past))+(s_Q_s_beef*s_f_p_beef))))*1,".")</f>
        <v>19987.817425279292</v>
      </c>
      <c r="AE9" s="141">
        <f>IFERROR(((G9*s_D_milk)/(s_RadSpec!AL9*((s_Q_p_dairy*s_f_p_dairy*s_f_s_dairy*(s_RadSpec!BG9+s_R_es_past))+(s_Q_s_dairy*s_f_p_dairy))))*1,".")</f>
        <v>41174.903896075339</v>
      </c>
      <c r="AF9" s="141" t="str">
        <f>IFERROR((H9/(s_RadSpec!AQ9*((s_Q_p_swine*s_f_p_swine*s_f_s_swine*(s_RadSpec!BG9+s_R_es_past))+(s_Q_s_swine*s_f_p_swine))))*1,".")</f>
        <v>.</v>
      </c>
      <c r="AG9" s="141" t="str">
        <f>IFERROR((D9/(s_RadSpec!AO9*((s_Q_p_poultry*s_f_p_poultry*s_f_s_poultry*(s_RadSpec!BG9+s_R_es_past))+(s_Q_s_poultry*s_f_p_poultry))))*1,".")</f>
        <v>.</v>
      </c>
      <c r="AH9" s="141" t="str">
        <f>IFERROR((E9/(s_RadSpec!AP9*((s_Q_p_poultry*s_f_p_poultry*s_f_s_poultry*(s_RadSpec!BG9+s_R_es_past))+(s_Q_s_poultry*s_f_p_poultry))))*1,".")</f>
        <v>.</v>
      </c>
      <c r="AI9" s="141" t="str">
        <f>IFERROR((J9/(s_RadSpec!AT9*((s_Q_p_goat*s_f_p_goat*s_f_s_goat*(s_RadSpec!BG9+s_R_es_past))+(s_Q_s_goat*s_f_p_goat))))*1,".")</f>
        <v>.</v>
      </c>
      <c r="AJ9" s="141" t="str">
        <f>IFERROR((L9*s_D_milk/(s_RadSpec!AU9*((s_Q_p_goat_milk*s_f_p_goat_milk*s_f_s_goat_milk*(s_RadSpec!BG9+s_R_es_past))+(s_Q_s_goat_milk*s_f_p_goat_milk))))*1,".")</f>
        <v>.</v>
      </c>
      <c r="AK9" s="141" t="str">
        <f>IFERROR((K9/(s_RadSpec!AR9*((s_Q_p_sheep*s_f_p_sheep*s_f_s_sheep*(s_RadSpec!BG9+s_R_es_past))+(s_Q_s_sheep*s_f_p_sheep))))*1,".")</f>
        <v>.</v>
      </c>
      <c r="AL9" s="141" t="str">
        <f>IFERROR((M9*s_D_milk/(s_RadSpec!AS9*((s_Q_p_sheep_milk*s_f_p_sheep_milk*s_f_s_sheep_milk*(s_RadSpec!BG9+s_R_es_past))+(s_Q_s_sheep_milk*s_f_p_sheep_milk))))*1,".")</f>
        <v>.</v>
      </c>
      <c r="AM9" s="158">
        <f t="shared" si="10"/>
        <v>3.3353650000000002E-7</v>
      </c>
      <c r="AN9" s="158">
        <f t="shared" si="11"/>
        <v>2.3689383371956323E-9</v>
      </c>
      <c r="AO9" s="158">
        <f t="shared" si="12"/>
        <v>1.6862314544234341E-2</v>
      </c>
      <c r="AP9" s="158">
        <f t="shared" si="13"/>
        <v>5.6784589125000001E-5</v>
      </c>
      <c r="AQ9" s="158">
        <f t="shared" si="14"/>
        <v>5.2115078125000001E-6</v>
      </c>
      <c r="AR9" s="158">
        <f t="shared" si="15"/>
        <v>5.0030475E-5</v>
      </c>
      <c r="AS9" s="158">
        <f t="shared" si="16"/>
        <v>2.4286638349514566E-5</v>
      </c>
      <c r="AT9" s="158" t="str">
        <f t="shared" si="17"/>
        <v>.</v>
      </c>
      <c r="AU9" s="158" t="str">
        <f t="shared" si="18"/>
        <v>.</v>
      </c>
      <c r="AV9" s="158" t="str">
        <f t="shared" si="19"/>
        <v>.</v>
      </c>
      <c r="AW9" s="158" t="str">
        <f t="shared" si="20"/>
        <v>.</v>
      </c>
      <c r="AX9" s="158" t="str">
        <f t="shared" si="21"/>
        <v>.</v>
      </c>
      <c r="AY9" s="158" t="str">
        <f t="shared" si="22"/>
        <v>.</v>
      </c>
      <c r="AZ9" s="158" t="str">
        <f t="shared" si="23"/>
        <v>.</v>
      </c>
      <c r="BA9" s="141">
        <f t="shared" si="24"/>
        <v>58.827115582078449</v>
      </c>
      <c r="BB9" s="142">
        <f t="shared" si="25"/>
        <v>15.125</v>
      </c>
      <c r="BC9" s="142">
        <f t="shared" si="26"/>
        <v>1.618127279505213E-3</v>
      </c>
      <c r="BD9" s="142">
        <f>IFERROR((s_C*s_EF_far*(1/365)*s_ED_far*s_RadSpec!V9*((s_ET_far_o*(1/24)*s_RadSpec!AA9)+(s_ET_far_i*(1/24)*s_RadSpec!AF9))),".")</f>
        <v>4.6149974339741835E-2</v>
      </c>
      <c r="BE9" s="142">
        <f>s_b2s!BZ9</f>
        <v>2575.03125</v>
      </c>
      <c r="BF9" s="142">
        <f>IFERROR(((s_C*s_RadSpec!AN9)/s_RadSpec!AX9)*s_IFFI_far_adj*s_CF_far_fish,0)</f>
        <v>236.328125</v>
      </c>
      <c r="BG9" s="142">
        <f>(s_C*s_IFB_far_adj*s_CF_far_beef*s_RadSpec!AM9*((s_Q_p_beef*s_f_p_beef*s_f_s_beef*(s_RadSpec!$AW9+s_R_es_past))+(s_Q_s_beef*s_f_p_beef)))</f>
        <v>2268.75</v>
      </c>
      <c r="BH9" s="142">
        <f>(s_C*s_IFD_far_adj*s_CF_far_dairy*s_RadSpec!AL9*1/s_D_milk*((s_Q_p_dairy*s_f_p_dairy*s_f_s_dairy*(s_RadSpec!$AW9+s_R_es_past))+(s_Q_s_dairy*s_f_p_dairy)))</f>
        <v>1101.3349514563108</v>
      </c>
      <c r="BI9" s="142">
        <f>(s_C*s_IFSW_far_adj*s_CF_far_swine*s_RadSpec!AQ9*((s_Q_p_swine*s_f_p_swine*s_f_s_swine*(s_RadSpec!$AW9+s_R_es_past))+(s_Q_s_swine*s_f_p_swine)))</f>
        <v>0</v>
      </c>
      <c r="BJ9" s="142">
        <f>(s_C*s_IFP_far_adj*s_CF_far_poultry*s_RadSpec!AO9*((s_Q_p_poultry*s_f_p_poultry*s_f_s_poultry*(s_RadSpec!AW9+s_R_es_past))+(s_Q_s_poultry*s_f_p_poultry)))</f>
        <v>0</v>
      </c>
      <c r="BK9" s="142">
        <f>(s_C*s_IFE_far_adj*s_CF_far_egg*s_RadSpec!AP9*((s_Q_p_egg*s_f_p_egg*s_f_s_egg*(s_RadSpec!$AW9+s_R_es_past))+(s_Q_s_egg*s_f_p_egg)))</f>
        <v>0</v>
      </c>
      <c r="BL9" s="142">
        <f>(s_C*s_IFGO_far_adj*s_CF_far_goat*s_RadSpec!AT9*((s_Q_p_goat*s_f_p_goat*s_f_s_goat*(s_RadSpec!$AW9+s_R_es_past))+(s_Q_s_goat*s_f_p_goat)))</f>
        <v>0</v>
      </c>
      <c r="BM9" s="142">
        <f>(s_C*s_IFGM_far_adj*s_CF_far_goat_milk*s_RadSpec!AU9*1/s_D_milk*((s_Q_p_goat_milk*s_f_p_goat_milk*s_f_s_goat_milk*(s_RadSpec!$AW9+s_R_es_past))+(s_Q_s_goat_milk*s_f_p_goat_milk)))</f>
        <v>0</v>
      </c>
      <c r="BN9" s="142">
        <f>(s_C*s_IFSH_far_adj*s_CF_far_sheep*s_RadSpec!AR9*((s_Q_p_sheep*s_f_p_sheep*s_f_s_sheep*(s_RadSpec!$AW9+s_R_es_past))+(s_Q_s_sheep*s_f_p_sheep)))</f>
        <v>0</v>
      </c>
      <c r="BO9" s="142">
        <f>(s_C*s_IFSM_far_adj*s_CF_far_sheep_milk*s_RadSpec!AS9*1/s_D_milk*((s_Q_p_sheep_milk*s_f_p_sheep_milk*s_f_s_sheep_milk*(s_RadSpec!$AW9+s_R_es_past))+(s_Q_s_sheep_milk*s_f_p_sheep_milk)))</f>
        <v>0</v>
      </c>
      <c r="BP9" s="141"/>
      <c r="BQ9" s="141">
        <f>IFERROR(s_DL/(s_RadSpec!M9*s_IFW_far_adj),".")</f>
        <v>32979.898751710833</v>
      </c>
      <c r="BR9" s="141" t="str">
        <f>IFERROR(IF(s_RadSpec!C9=1,s_DL/(s_RadSpec!L9*s_IFA_far_adj*s_K),"."),".")</f>
        <v>.</v>
      </c>
      <c r="BS9" s="141">
        <f>IFERROR((s_DL/(s_RadSpec!Q9*(1/8760)*s_DFA_far_adj)),".")</f>
        <v>6.9207607654171799</v>
      </c>
      <c r="BT9" s="141">
        <f>s_b2w!BA9</f>
        <v>63318.950588501619</v>
      </c>
      <c r="BU9" s="141">
        <f>IFERROR(I9/(s_RadSpec!AN9*(1/1000)),".")</f>
        <v>399756.3485055858</v>
      </c>
      <c r="BV9" s="141">
        <f>IFERROR(F9/(s_RadSpec!AM9*s_Q_w_beef*(1/1000)),".")</f>
        <v>599634522.75837862</v>
      </c>
      <c r="BW9" s="141">
        <f>IFERROR((G9*s_D_milk)/(s_RadSpec!AL9*s_Q_w_dairy*(1/1000)),".")</f>
        <v>1235247116.8822601</v>
      </c>
      <c r="BX9" s="141" t="str">
        <f>IFERROR(H9/(s_RadSpec!AQ9*s_Q_w_swine*(1/1000)),".")</f>
        <v>.</v>
      </c>
      <c r="BY9" s="141" t="str">
        <f>IFERROR(D9/(s_RadSpec!AO9*s_Q_w_poultry*(1/1000)),".")</f>
        <v>.</v>
      </c>
      <c r="BZ9" s="141" t="str">
        <f>IFERROR(E9/(s_RadSpec!AP9*s_Q_w_poultry*(1/1000)),".")</f>
        <v>.</v>
      </c>
      <c r="CA9" s="141" t="str">
        <f>IFERROR(J9/(s_RadSpec!AT9*s_Q_w_goat*(1/1000)),".")</f>
        <v>.</v>
      </c>
      <c r="CB9" s="141" t="str">
        <f>IFERROR(L9*s_D_milk/(s_RadSpec!AU9*s_Q_w_goat_milk*(1/1000)),".")</f>
        <v>.</v>
      </c>
      <c r="CC9" s="141" t="str">
        <f>IFERROR(K9/(s_RadSpec!AR9*s_Q_w_sheep*(1/1000)),".")</f>
        <v>.</v>
      </c>
      <c r="CD9" s="141" t="str">
        <f>IFERROR(M9*s_D_milk/(s_RadSpec!AS9*s_Q_w_sheep_milk*(1/1000)),".")</f>
        <v>.</v>
      </c>
      <c r="CE9" s="158">
        <f t="shared" si="27"/>
        <v>3.0321500000000001E-5</v>
      </c>
      <c r="CF9" s="158" t="str">
        <f t="shared" si="28"/>
        <v>.</v>
      </c>
      <c r="CG9" s="158">
        <f t="shared" si="29"/>
        <v>0.14449278538812785</v>
      </c>
      <c r="CH9" s="158">
        <f t="shared" si="30"/>
        <v>1.5793060224557711E-5</v>
      </c>
      <c r="CI9" s="158">
        <f t="shared" si="31"/>
        <v>2.5015237500000001E-6</v>
      </c>
      <c r="CJ9" s="158">
        <f t="shared" si="32"/>
        <v>1.6676825000000004E-9</v>
      </c>
      <c r="CK9" s="158">
        <f t="shared" si="33"/>
        <v>8.095546116504856E-10</v>
      </c>
      <c r="CL9" s="158" t="str">
        <f t="shared" si="34"/>
        <v>.</v>
      </c>
      <c r="CM9" s="158" t="str">
        <f t="shared" si="35"/>
        <v>.</v>
      </c>
      <c r="CN9" s="158" t="str">
        <f t="shared" si="36"/>
        <v>.</v>
      </c>
      <c r="CO9" s="158" t="str">
        <f t="shared" si="37"/>
        <v>.</v>
      </c>
      <c r="CP9" s="158" t="str">
        <f t="shared" si="38"/>
        <v>.</v>
      </c>
      <c r="CQ9" s="158" t="str">
        <f t="shared" si="39"/>
        <v>.</v>
      </c>
      <c r="CR9" s="158" t="str">
        <f t="shared" si="40"/>
        <v>.</v>
      </c>
      <c r="CS9" s="141">
        <f t="shared" si="41"/>
        <v>6.9184328688995649</v>
      </c>
      <c r="CT9" s="142">
        <f t="shared" si="42"/>
        <v>1375</v>
      </c>
      <c r="CU9" s="142">
        <f t="shared" si="43"/>
        <v>250.65104166666663</v>
      </c>
      <c r="CV9" s="142">
        <f t="shared" si="44"/>
        <v>0.12557077625570776</v>
      </c>
      <c r="CW9" s="142">
        <f>s_b2w!BZ9</f>
        <v>716.17359988017915</v>
      </c>
      <c r="CX9" s="142">
        <f>IFERROR(s_C*s_RadSpec!AN9*(1/1000)*s_IFFI_far_adj*s_CF_far_fish,0)</f>
        <v>113.4375</v>
      </c>
      <c r="CY9" s="142">
        <f>(s_C*s_IFB_far_adj*s_CF_far_beef*s_RadSpec!AM9*s_Q_w_beef*(1/1000))</f>
        <v>7.5624999999999998E-2</v>
      </c>
      <c r="CZ9" s="142">
        <f>(s_C*s_IFD_far_adj*s_CF_far_dairy*s_RadSpec!AL9*(1/s_D_milk)*s_Q_w_dairy*(1/1000))</f>
        <v>3.6711165048543694E-2</v>
      </c>
      <c r="DA9" s="142">
        <f>(s_C*s_IFSW_far_adj*s_CF_far_swine*s_RadSpec!AQ9*s_Q_w_swine*(1/1000))</f>
        <v>0</v>
      </c>
      <c r="DB9" s="142">
        <f>(s_C*s_IFP_far_adj*s_CF_far_poultry*s_RadSpec!AO9*s_Q_w_poultry*(1/1000))</f>
        <v>0</v>
      </c>
      <c r="DC9" s="142">
        <f>(s_C*s_IFE_far_adj*s_CF_far_egg*s_RadSpec!AP9*s_Q_w_egg*(1/1000))</f>
        <v>0</v>
      </c>
      <c r="DD9" s="142">
        <f>(s_C*s_IFGO_far_adj*s_CF_far_goat*s_RadSpec!AT9*s_Q_p_goat*(1/1000))</f>
        <v>0</v>
      </c>
      <c r="DE9" s="142">
        <f>(s_C*s_IFGM_far_adj*s_CF_far_goat_milk*s_RadSpec!AU9*(1/s_D_milk)*s_Q_p_goat_milk*(1/1000))</f>
        <v>0</v>
      </c>
      <c r="DF9" s="142">
        <f>(s_C*s_IFSH_far_adj*s_CF_far_sheep*s_RadSpec!AR9*s_Q_p_sheep*(1/1000))</f>
        <v>0</v>
      </c>
      <c r="DG9" s="142">
        <f>(s_C*s_IFSM_far_adj*s_CF_far_sheep_milk*s_RadSpec!AS9*(1/s_D_milk)*s_Q_p_sheep_milk*(1/1000))</f>
        <v>0</v>
      </c>
      <c r="DH9" s="141"/>
      <c r="DI9" s="141">
        <f>IFERROR((s_DL/(s_RadSpec!L9*s_IFA_far_adj)),".")</f>
        <v>1362.5718543751329</v>
      </c>
      <c r="DJ9" s="141">
        <f>IFERROR((s_DL/(s_RadSpec!O9*s_EF_far*(1/365)*s_ED_far*s_ET_far*(1/24)*s_GSF_a)),".")</f>
        <v>5.9960458952137592E-3</v>
      </c>
      <c r="DK9" s="141">
        <f t="shared" si="49"/>
        <v>5.9960195095167031E-3</v>
      </c>
      <c r="DL9" s="142">
        <f t="shared" si="46"/>
        <v>501.30208333333326</v>
      </c>
      <c r="DM9" s="142">
        <f t="shared" si="47"/>
        <v>0.3139269406392694</v>
      </c>
      <c r="DN9" s="127"/>
    </row>
    <row r="10" spans="1:118" customFormat="1" x14ac:dyDescent="0.25">
      <c r="A10" s="131" t="s">
        <v>8</v>
      </c>
      <c r="B10" s="129" t="s">
        <v>336</v>
      </c>
      <c r="C10" s="141">
        <f>s_dir!AB10</f>
        <v>22.392366889974543</v>
      </c>
      <c r="D10" s="141">
        <f>IFERROR(s_DL/(s_RadSpec!J10*s_IFP_far_adj*s_CF_far_poultry),".")</f>
        <v>67.177100669923632</v>
      </c>
      <c r="E10" s="141">
        <f>IFERROR(s_DL/(s_RadSpec!J10*s_IFE_far_adj*s_CF_far_egg),".")</f>
        <v>67.177100669923632</v>
      </c>
      <c r="F10" s="141">
        <f>IFERROR(s_DL/(s_RadSpec!J10*s_IFB_far_adj*s_CF_far_beef),".")</f>
        <v>67.177100669923632</v>
      </c>
      <c r="G10" s="141">
        <f>IFERROR(s_DL/(s_RadSpec!J10*s_IFD_far_adj*s_CF_far_dairy),".")</f>
        <v>67.177100669923632</v>
      </c>
      <c r="H10" s="141">
        <f>IFERROR(s_DL/(s_RadSpec!J10*s_IFSW_far_adj*s_CF_far_swine),".")</f>
        <v>67.177100669923632</v>
      </c>
      <c r="I10" s="141">
        <f>IFERROR(s_DL/(s_RadSpec!J10*s_IFFI_far_adj*s_CF_far_fish),".")</f>
        <v>67.177100669923632</v>
      </c>
      <c r="J10" s="141">
        <f>IFERROR(s_DL/(s_RadSpec!J10*s_IFGO_far_adj*s_CF_far_goat),".")</f>
        <v>67.177100669923632</v>
      </c>
      <c r="K10" s="141">
        <f>IFERROR(s_DL/(s_RadSpec!J10*s_IFSH_far_adj*s_CF_far_sheep),".")</f>
        <v>67.177100669923632</v>
      </c>
      <c r="L10" s="141">
        <f>IFERROR(s_DL/(s_RadSpec!J10*s_IFGM_far_adj*s_CF_far_goat_milk),".")</f>
        <v>67.177100669923632</v>
      </c>
      <c r="M10" s="141">
        <f>IFERROR(s_DL/(s_RadSpec!J10*s_IFSM_far_adj*s_CF_far_sheep_milk),".")</f>
        <v>67.177100669923632</v>
      </c>
      <c r="N10" s="142">
        <f>s_dir!BA10</f>
        <v>22687.5</v>
      </c>
      <c r="O10" s="142">
        <f t="shared" si="0"/>
        <v>7562.5</v>
      </c>
      <c r="P10" s="142">
        <f t="shared" si="1"/>
        <v>7562.5</v>
      </c>
      <c r="Q10" s="142">
        <f t="shared" si="2"/>
        <v>7562.5</v>
      </c>
      <c r="R10" s="142">
        <f t="shared" si="3"/>
        <v>7562.5</v>
      </c>
      <c r="S10" s="142">
        <f t="shared" si="4"/>
        <v>7562.5</v>
      </c>
      <c r="T10" s="142">
        <f t="shared" si="5"/>
        <v>7562.5</v>
      </c>
      <c r="U10" s="142">
        <f t="shared" si="6"/>
        <v>7562.5</v>
      </c>
      <c r="V10" s="142">
        <f t="shared" si="7"/>
        <v>7562.5</v>
      </c>
      <c r="W10" s="142">
        <f t="shared" si="8"/>
        <v>7562.5</v>
      </c>
      <c r="X10" s="142">
        <f t="shared" si="9"/>
        <v>7562.5</v>
      </c>
      <c r="Y10" s="141">
        <f>IFERROR((s_DL/(s_RadSpec!I10*s_IFS_far_adj*(1/1000)))*1,".")</f>
        <v>33588.550334961816</v>
      </c>
      <c r="Z10" s="141">
        <f>IFERROR(IF(A10="H-3",(s_DL/(s_RadSpec!L10*s_IFA_far_adj*(1/17)*1000))*1,(s_DL/(s_RadSpec!L10*s_IFA_far_adj*(1/s_PEF_wind)*1000))*1),".")</f>
        <v>100135841.0957644</v>
      </c>
      <c r="AA10" s="141">
        <f>IFERROR((s_DL/(s_RadSpec!K10*s_EF_far*(1/365)*s_ED_far*s_RadSpec!V10*((s_ET_far_o*(1/24)*s_RadSpec!AA10)+(s_ET_far_i*(1/24)*s_RadSpec!AF10))))*1,".")</f>
        <v>1193314.448823187</v>
      </c>
      <c r="AB10" s="141">
        <f>s_b2s!BA10</f>
        <v>883.56044548104217</v>
      </c>
      <c r="AC10" s="141">
        <f>IFERROR(((I10*s_RadSpec!AX10)/s_RadSpec!AN10)*1,".")</f>
        <v>0.26870840267969454</v>
      </c>
      <c r="AD10" s="141">
        <f>IFERROR((F10/(s_RadSpec!AM10*((s_Q_p_beef*s_f_p_beef*s_f_s_beef*(s_RadSpec!BG10+s_R_es_past))+(s_Q_s_beef*s_f_p_beef))))*1,".")</f>
        <v>33.31095900987949</v>
      </c>
      <c r="AE10" s="141">
        <f>IFERROR(((G10*s_D_milk)/(s_RadSpec!AL10*((s_Q_p_dairy*s_f_p_dairy*s_f_s_dairy*(s_RadSpec!BG10+s_R_es_past))+(s_Q_s_dairy*s_f_p_dairy))))*1,".")</f>
        <v>164.09268068779764</v>
      </c>
      <c r="AF10" s="141">
        <f>IFERROR((H10/(s_RadSpec!AQ10*((s_Q_p_swine*s_f_p_swine*s_f_s_swine*(s_RadSpec!BG10+s_R_es_past))+(s_Q_s_swine*s_f_p_swine))))*1,".")</f>
        <v>3.6642054910867432</v>
      </c>
      <c r="AG10" s="141">
        <f>IFERROR((D10/(s_RadSpec!AO10*((s_Q_p_poultry*s_f_p_poultry*s_f_s_poultry*(s_RadSpec!BG10+s_R_es_past))+(s_Q_s_poultry*s_f_p_poultry))))*1,".")</f>
        <v>0.2714226289693884</v>
      </c>
      <c r="AH10" s="141">
        <f>IFERROR((E10/(s_RadSpec!AP10*((s_Q_p_poultry*s_f_p_poultry*s_f_s_poultry*(s_RadSpec!BG10+s_R_es_past))+(s_Q_s_poultry*s_f_p_poultry))))*1,".")</f>
        <v>1.8321027455433716</v>
      </c>
      <c r="AI10" s="141">
        <f>IFERROR((J10/(s_RadSpec!AT10*((s_Q_p_goat*s_f_p_goat*s_f_s_goat*(s_RadSpec!BG10+s_R_es_past))+(s_Q_s_goat*s_f_p_goat))))*1,".")</f>
        <v>2.2901284319292143</v>
      </c>
      <c r="AJ10" s="141">
        <f>IFERROR((L10*s_D_milk/(s_RadSpec!AU10*((s_Q_p_goat_milk*s_f_p_goat_milk*s_f_s_goat_milk*(s_RadSpec!BG10+s_R_es_past))+(s_Q_s_goat_milk*s_f_p_goat_milk))))*1,".")</f>
        <v>6.8620575560351735</v>
      </c>
      <c r="AK10" s="141">
        <f>IFERROR((K10/(s_RadSpec!AR10*((s_Q_p_sheep*s_f_p_sheep*s_f_s_sheep*(s_RadSpec!BG10+s_R_es_past))+(s_Q_s_sheep*s_f_p_sheep))))*1,".")</f>
        <v>3.857058411670256</v>
      </c>
      <c r="AL10" s="141">
        <f>IFERROR((M10*s_D_milk/(s_RadSpec!AS10*((s_Q_p_sheep_milk*s_f_p_sheep_milk*s_f_s_sheep_milk*(s_RadSpec!BG10+s_R_es_past))+(s_Q_s_sheep_milk*s_f_p_sheep_milk))))*1,".")</f>
        <v>13.014247089032226</v>
      </c>
      <c r="AM10" s="158">
        <f t="shared" si="10"/>
        <v>2.9772050000000002E-5</v>
      </c>
      <c r="AN10" s="158">
        <f t="shared" si="11"/>
        <v>9.9864343181943723E-9</v>
      </c>
      <c r="AO10" s="158">
        <f t="shared" si="12"/>
        <v>8.3800208820581346E-7</v>
      </c>
      <c r="AP10" s="158">
        <f t="shared" si="13"/>
        <v>1.13178448075E-3</v>
      </c>
      <c r="AQ10" s="158">
        <f t="shared" si="14"/>
        <v>3.72150625</v>
      </c>
      <c r="AR10" s="158">
        <f t="shared" si="15"/>
        <v>3.0020150416666665E-2</v>
      </c>
      <c r="AS10" s="158">
        <f t="shared" si="16"/>
        <v>6.0941170307443372E-3</v>
      </c>
      <c r="AT10" s="158">
        <f t="shared" si="17"/>
        <v>0.27291045833333338</v>
      </c>
      <c r="AU10" s="158">
        <f t="shared" si="18"/>
        <v>3.6842911875000004</v>
      </c>
      <c r="AV10" s="158">
        <f t="shared" si="19"/>
        <v>0.54582091666666677</v>
      </c>
      <c r="AW10" s="158">
        <f t="shared" si="20"/>
        <v>0.43665673333333344</v>
      </c>
      <c r="AX10" s="158">
        <f t="shared" si="21"/>
        <v>0.14572888551779939</v>
      </c>
      <c r="AY10" s="158">
        <f t="shared" si="22"/>
        <v>0.25926493541666673</v>
      </c>
      <c r="AZ10" s="158">
        <f t="shared" si="23"/>
        <v>7.6838866909385128E-2</v>
      </c>
      <c r="BA10" s="141">
        <f t="shared" si="24"/>
        <v>0.108928962552741</v>
      </c>
      <c r="BB10" s="142">
        <f t="shared" si="25"/>
        <v>15.125</v>
      </c>
      <c r="BC10" s="142">
        <f t="shared" si="26"/>
        <v>1.618127279505213E-3</v>
      </c>
      <c r="BD10" s="142">
        <f>IFERROR((s_C*s_EF_far*(1/365)*s_ED_far*s_RadSpec!V10*((s_ET_far_o*(1/24)*s_RadSpec!AA10)+(s_ET_far_i*(1/24)*s_RadSpec!AF10))),".")</f>
        <v>2.4118777146675579E-2</v>
      </c>
      <c r="BE10" s="142">
        <f>s_b2s!BZ10</f>
        <v>574.97687500000006</v>
      </c>
      <c r="BF10" s="142">
        <f>IFERROR(((s_C*s_RadSpec!AN10)/s_RadSpec!AX10)*s_IFFI_far_adj*s_CF_far_fish,0)</f>
        <v>1890625</v>
      </c>
      <c r="BG10" s="142">
        <f>(s_C*s_IFB_far_adj*s_CF_far_beef*s_RadSpec!AM10*((s_Q_p_beef*s_f_p_beef*s_f_s_beef*(s_RadSpec!$AW10+s_R_es_past))+(s_Q_s_beef*s_f_p_beef)))</f>
        <v>15251.041666666668</v>
      </c>
      <c r="BH10" s="142">
        <f>(s_C*s_IFD_far_adj*s_CF_far_dairy*s_RadSpec!AL10*1/s_D_milk*((s_Q_p_dairy*s_f_p_dairy*s_f_s_dairy*(s_RadSpec!$AW10+s_R_es_past))+(s_Q_s_dairy*s_f_p_dairy)))</f>
        <v>3095.974919093851</v>
      </c>
      <c r="BI10" s="142">
        <f>(s_C*s_IFSW_far_adj*s_CF_far_swine*s_RadSpec!AQ10*((s_Q_p_swine*s_f_p_swine*s_f_s_swine*(s_RadSpec!$AW10+s_R_es_past))+(s_Q_s_swine*s_f_p_swine)))</f>
        <v>138645.83333333334</v>
      </c>
      <c r="BJ10" s="142">
        <f>(s_C*s_IFP_far_adj*s_CF_far_poultry*s_RadSpec!AO10*((s_Q_p_poultry*s_f_p_poultry*s_f_s_poultry*(s_RadSpec!AW10+s_R_es_past))+(s_Q_s_poultry*s_f_p_poultry)))</f>
        <v>1871718.75</v>
      </c>
      <c r="BK10" s="142">
        <f>(s_C*s_IFE_far_adj*s_CF_far_egg*s_RadSpec!AP10*((s_Q_p_egg*s_f_p_egg*s_f_s_egg*(s_RadSpec!$AW10+s_R_es_past))+(s_Q_s_egg*s_f_p_egg)))</f>
        <v>277291.66666666669</v>
      </c>
      <c r="BL10" s="142">
        <f>(s_C*s_IFGO_far_adj*s_CF_far_goat*s_RadSpec!AT10*((s_Q_p_goat*s_f_p_goat*s_f_s_goat*(s_RadSpec!$AW10+s_R_es_past))+(s_Q_s_goat*s_f_p_goat)))</f>
        <v>221833.33333333334</v>
      </c>
      <c r="BM10" s="142">
        <f>(s_C*s_IFGM_far_adj*s_CF_far_goat_milk*s_RadSpec!AU10*1/s_D_milk*((s_Q_p_goat_milk*s_f_p_goat_milk*s_f_s_goat_milk*(s_RadSpec!$AW10+s_R_es_past))+(s_Q_s_goat_milk*s_f_p_goat_milk)))</f>
        <v>74034.182847896445</v>
      </c>
      <c r="BN10" s="142">
        <f>(s_C*s_IFSH_far_adj*s_CF_far_sheep*s_RadSpec!AR10*((s_Q_p_sheep*s_f_p_sheep*s_f_s_sheep*(s_RadSpec!$AW10+s_R_es_past))+(s_Q_s_sheep*s_f_p_sheep)))</f>
        <v>131713.54166666669</v>
      </c>
      <c r="BO10" s="142">
        <f>(s_C*s_IFSM_far_adj*s_CF_far_sheep_milk*s_RadSpec!AS10*1/s_D_milk*((s_Q_p_sheep_milk*s_f_p_sheep_milk*s_f_s_sheep_milk*(s_RadSpec!$AW10+s_R_es_past))+(s_Q_s_sheep_milk*s_f_p_sheep_milk)))</f>
        <v>39036.205501618126</v>
      </c>
      <c r="BP10" s="141"/>
      <c r="BQ10" s="141">
        <f>IFERROR(s_DL/(s_RadSpec!M10*s_IFW_far_adj),".")</f>
        <v>369.47405368457999</v>
      </c>
      <c r="BR10" s="141" t="str">
        <f>IFERROR(IF(s_RadSpec!C10=1,s_DL/(s_RadSpec!L10*s_IFA_far_adj*s_K),"."),".")</f>
        <v>.</v>
      </c>
      <c r="BS10" s="141">
        <f>IFERROR((s_DL/(s_RadSpec!Q10*(1/8760)*s_DFA_far_adj)),".")</f>
        <v>10150.449122611863</v>
      </c>
      <c r="BT10" s="141">
        <f>s_b2w!BA10</f>
        <v>1593.7529116748494</v>
      </c>
      <c r="BU10" s="141">
        <f>IFERROR(I10/(s_RadSpec!AN10*(1/1000)),".")</f>
        <v>26.870840267969452</v>
      </c>
      <c r="BV10" s="141">
        <f>IFERROR(F10/(s_RadSpec!AM10*s_Q_w_beef*(1/1000)),".")</f>
        <v>610700.915181124</v>
      </c>
      <c r="BW10" s="141">
        <f>IFERROR((G10*s_D_milk)/(s_RadSpec!AL10*s_Q_w_dairy*(1/1000)),".")</f>
        <v>3008365.8126096237</v>
      </c>
      <c r="BX10" s="141">
        <f>IFERROR(H10/(s_RadSpec!AQ10*s_Q_w_swine*(1/1000)),".")</f>
        <v>67177.100669923631</v>
      </c>
      <c r="BY10" s="141">
        <f>IFERROR(D10/(s_RadSpec!AO10*s_Q_w_poultry*(1/1000)),".")</f>
        <v>4976.0815311054539</v>
      </c>
      <c r="BZ10" s="141">
        <f>IFERROR(E10/(s_RadSpec!AP10*s_Q_w_poultry*(1/1000)),".")</f>
        <v>33588.550334961816</v>
      </c>
      <c r="CA10" s="141">
        <f>IFERROR(J10/(s_RadSpec!AT10*s_Q_w_goat*(1/1000)),".")</f>
        <v>41985.687918702271</v>
      </c>
      <c r="CB10" s="141">
        <f>IFERROR(L10*s_D_milk/(s_RadSpec!AU10*s_Q_w_goat_milk*(1/1000)),".")</f>
        <v>125804.38852731152</v>
      </c>
      <c r="CC10" s="141">
        <f>IFERROR(K10/(s_RadSpec!AR10*s_Q_w_sheep*(1/1000)),".")</f>
        <v>70712.737547288038</v>
      </c>
      <c r="CD10" s="141">
        <f>IFERROR(M10*s_D_milk/(s_RadSpec!AS10*s_Q_w_sheep_milk*(1/1000)),".")</f>
        <v>238594.52996559077</v>
      </c>
      <c r="CE10" s="158">
        <f t="shared" si="27"/>
        <v>2.7065500000000003E-3</v>
      </c>
      <c r="CF10" s="158" t="str">
        <f t="shared" si="28"/>
        <v>.</v>
      </c>
      <c r="CG10" s="158">
        <f t="shared" si="29"/>
        <v>9.8517808219178085E-5</v>
      </c>
      <c r="CH10" s="158">
        <f t="shared" si="30"/>
        <v>6.2744983408319929E-4</v>
      </c>
      <c r="CI10" s="158">
        <f t="shared" si="31"/>
        <v>3.72150625E-2</v>
      </c>
      <c r="CJ10" s="158">
        <f t="shared" si="32"/>
        <v>1.63746275E-6</v>
      </c>
      <c r="CK10" s="158">
        <f t="shared" si="33"/>
        <v>3.3240638349514566E-7</v>
      </c>
      <c r="CL10" s="158">
        <f t="shared" si="34"/>
        <v>1.4886025000000001E-5</v>
      </c>
      <c r="CM10" s="158">
        <f t="shared" si="35"/>
        <v>2.0096133750000002E-4</v>
      </c>
      <c r="CN10" s="158">
        <f t="shared" si="36"/>
        <v>2.9772050000000002E-5</v>
      </c>
      <c r="CO10" s="158">
        <f t="shared" si="37"/>
        <v>2.381764E-5</v>
      </c>
      <c r="CP10" s="158">
        <f t="shared" si="38"/>
        <v>7.9488483009708746E-6</v>
      </c>
      <c r="CQ10" s="158">
        <f t="shared" si="39"/>
        <v>1.414172375E-5</v>
      </c>
      <c r="CR10" s="158">
        <f t="shared" si="40"/>
        <v>4.1912109223300983E-6</v>
      </c>
      <c r="CS10" s="141">
        <f t="shared" si="41"/>
        <v>24.422846110472829</v>
      </c>
      <c r="CT10" s="142">
        <f t="shared" si="42"/>
        <v>1375</v>
      </c>
      <c r="CU10" s="142">
        <f t="shared" si="43"/>
        <v>250.65104166666663</v>
      </c>
      <c r="CV10" s="142">
        <f t="shared" si="44"/>
        <v>0.12557077625570776</v>
      </c>
      <c r="CW10" s="142">
        <f>s_b2w!BZ10</f>
        <v>318.76134631335049</v>
      </c>
      <c r="CX10" s="142">
        <f>IFERROR(s_C*s_RadSpec!AN10*(1/1000)*s_IFFI_far_adj*s_CF_far_fish,0)</f>
        <v>18906.25</v>
      </c>
      <c r="CY10" s="142">
        <f>(s_C*s_IFB_far_adj*s_CF_far_beef*s_RadSpec!AM10*s_Q_w_beef*(1/1000))</f>
        <v>0.83187500000000003</v>
      </c>
      <c r="CZ10" s="142">
        <f>(s_C*s_IFD_far_adj*s_CF_far_dairy*s_RadSpec!AL10*(1/s_D_milk)*s_Q_w_dairy*(1/1000))</f>
        <v>0.16887135922330102</v>
      </c>
      <c r="DA10" s="142">
        <f>(s_C*s_IFSW_far_adj*s_CF_far_swine*s_RadSpec!AQ10*s_Q_w_swine*(1/1000))</f>
        <v>7.5625</v>
      </c>
      <c r="DB10" s="142">
        <f>(s_C*s_IFP_far_adj*s_CF_far_poultry*s_RadSpec!AO10*s_Q_w_poultry*(1/1000))</f>
        <v>102.09375</v>
      </c>
      <c r="DC10" s="142">
        <f>(s_C*s_IFE_far_adj*s_CF_far_egg*s_RadSpec!AP10*s_Q_w_egg*(1/1000))</f>
        <v>15.125</v>
      </c>
      <c r="DD10" s="142">
        <f>(s_C*s_IFGO_far_adj*s_CF_far_goat*s_RadSpec!AT10*s_Q_p_goat*(1/1000))</f>
        <v>12.1</v>
      </c>
      <c r="DE10" s="142">
        <f>(s_C*s_IFGM_far_adj*s_CF_far_goat_milk*s_RadSpec!AU10*(1/s_D_milk)*s_Q_p_goat_milk*(1/1000))</f>
        <v>4.0382281553398061</v>
      </c>
      <c r="DF10" s="142">
        <f>(s_C*s_IFSH_far_adj*s_CF_far_sheep*s_RadSpec!AR10*s_Q_p_sheep*(1/1000))</f>
        <v>7.1843750000000002</v>
      </c>
      <c r="DG10" s="142">
        <f>(s_C*s_IFSM_far_adj*s_CF_far_sheep_milk*s_RadSpec!AS10*(1/s_D_milk)*s_Q_p_sheep_milk*(1/1000))</f>
        <v>2.129247572815534</v>
      </c>
      <c r="DH10" s="141"/>
      <c r="DI10" s="141">
        <f>IFERROR((s_DL/(s_RadSpec!L10*s_IFA_far_adj)),".")</f>
        <v>323.22334480607867</v>
      </c>
      <c r="DJ10" s="141">
        <f>IFERROR((s_DL/(s_RadSpec!O10*s_EF_far*(1/365)*s_ED_far*s_ET_far*(1/24)*s_GSF_a)),".")</f>
        <v>4.5353070547840248</v>
      </c>
      <c r="DK10" s="141">
        <f t="shared" ref="DK10" si="50">IFERROR(IF(AND(ISNUMBER(DI10),ISNUMBER(DJ10)),1/((1/DI10)+(1/DJ10)),IF(AND(ISNUMBER(DI10),NOT(ISNUMBER(DJ10))),1/((1/DI10)),IF(AND(NOT(ISNUMBER(DI10)),ISNUMBER(DJ10)),1/((1/DJ10)),IF(AND(NOT(ISNUMBER(DI10)),NOT(ISNUMBER(DJ10))),".")))),".")</f>
        <v>4.4725504808098746</v>
      </c>
      <c r="DL10" s="142">
        <f t="shared" si="46"/>
        <v>501.30208333333326</v>
      </c>
      <c r="DM10" s="142">
        <f t="shared" si="47"/>
        <v>0.3139269406392694</v>
      </c>
      <c r="DN10" s="127"/>
    </row>
    <row r="11" spans="1:118" customFormat="1" x14ac:dyDescent="0.25">
      <c r="A11" s="128" t="s">
        <v>9</v>
      </c>
      <c r="B11" s="129" t="s">
        <v>1059</v>
      </c>
      <c r="C11" s="141" t="str">
        <f>s_dir!AB11</f>
        <v>.</v>
      </c>
      <c r="D11" s="141" t="str">
        <f>IFERROR(s_DL/(s_RadSpec!J11*s_IFP_far_adj*s_CF_far_poultry),".")</f>
        <v>.</v>
      </c>
      <c r="E11" s="141" t="str">
        <f>IFERROR(s_DL/(s_RadSpec!J11*s_IFE_far_adj*s_CF_far_egg),".")</f>
        <v>.</v>
      </c>
      <c r="F11" s="141" t="str">
        <f>IFERROR(s_DL/(s_RadSpec!J11*s_IFB_far_adj*s_CF_far_beef),".")</f>
        <v>.</v>
      </c>
      <c r="G11" s="141" t="str">
        <f>IFERROR(s_DL/(s_RadSpec!J11*s_IFD_far_adj*s_CF_far_dairy),".")</f>
        <v>.</v>
      </c>
      <c r="H11" s="141" t="str">
        <f>IFERROR(s_DL/(s_RadSpec!J11*s_IFSW_far_adj*s_CF_far_swine),".")</f>
        <v>.</v>
      </c>
      <c r="I11" s="141" t="str">
        <f>IFERROR(s_DL/(s_RadSpec!J11*s_IFFI_far_adj*s_CF_far_fish),".")</f>
        <v>.</v>
      </c>
      <c r="J11" s="141" t="str">
        <f>IFERROR(s_DL/(s_RadSpec!J11*s_IFGO_far_adj*s_CF_far_goat),".")</f>
        <v>.</v>
      </c>
      <c r="K11" s="141" t="str">
        <f>IFERROR(s_DL/(s_RadSpec!J11*s_IFSH_far_adj*s_CF_far_sheep),".")</f>
        <v>.</v>
      </c>
      <c r="L11" s="141" t="str">
        <f>IFERROR(s_DL/(s_RadSpec!J11*s_IFGM_far_adj*s_CF_far_goat_milk),".")</f>
        <v>.</v>
      </c>
      <c r="M11" s="141" t="str">
        <f>IFERROR(s_DL/(s_RadSpec!J11*s_IFSM_far_adj*s_CF_far_sheep_milk),".")</f>
        <v>.</v>
      </c>
      <c r="N11" s="142">
        <f>s_dir!BA11</f>
        <v>22687.5</v>
      </c>
      <c r="O11" s="142">
        <f t="shared" si="0"/>
        <v>7562.5</v>
      </c>
      <c r="P11" s="142">
        <f t="shared" si="1"/>
        <v>7562.5</v>
      </c>
      <c r="Q11" s="142">
        <f t="shared" si="2"/>
        <v>7562.5</v>
      </c>
      <c r="R11" s="142">
        <f t="shared" si="3"/>
        <v>7562.5</v>
      </c>
      <c r="S11" s="142">
        <f t="shared" si="4"/>
        <v>7562.5</v>
      </c>
      <c r="T11" s="142">
        <f t="shared" si="5"/>
        <v>7562.5</v>
      </c>
      <c r="U11" s="142">
        <f t="shared" si="6"/>
        <v>7562.5</v>
      </c>
      <c r="V11" s="142">
        <f t="shared" si="7"/>
        <v>7562.5</v>
      </c>
      <c r="W11" s="142">
        <f t="shared" si="8"/>
        <v>7562.5</v>
      </c>
      <c r="X11" s="142">
        <f t="shared" si="9"/>
        <v>7562.5</v>
      </c>
      <c r="Y11" s="141" t="str">
        <f>IFERROR((s_DL/(s_RadSpec!I11*s_IFS_far_adj*(1/1000)))*1,".")</f>
        <v>.</v>
      </c>
      <c r="Z11" s="141" t="str">
        <f>IFERROR(IF(A11="H-3",(s_DL/(s_RadSpec!L11*s_IFA_far_adj*(1/17)*1000))*1,(s_DL/(s_RadSpec!L11*s_IFA_far_adj*(1/s_PEF_wind)*1000))*1),".")</f>
        <v>.</v>
      </c>
      <c r="AA11" s="141">
        <f>IFERROR((s_DL/(s_RadSpec!K11*s_EF_far*(1/365)*s_ED_far*s_RadSpec!V11*((s_ET_far_o*(1/24)*s_RadSpec!AA11)+(s_ET_far_i*(1/24)*s_RadSpec!AF11))))*1,".")</f>
        <v>23270.799854946821</v>
      </c>
      <c r="AB11" s="141" t="str">
        <f>s_b2s!BA11</f>
        <v>.</v>
      </c>
      <c r="AC11" s="141" t="str">
        <f>IFERROR(((I11*s_RadSpec!AX11)/s_RadSpec!AN11)*1,".")</f>
        <v>.</v>
      </c>
      <c r="AD11" s="141" t="str">
        <f>IFERROR((F11/(s_RadSpec!AM11*((s_Q_p_beef*s_f_p_beef*s_f_s_beef*(s_RadSpec!BG11+s_R_es_past))+(s_Q_s_beef*s_f_p_beef))))*1,".")</f>
        <v>.</v>
      </c>
      <c r="AE11" s="141" t="str">
        <f>IFERROR(((G11*s_D_milk)/(s_RadSpec!AL11*((s_Q_p_dairy*s_f_p_dairy*s_f_s_dairy*(s_RadSpec!BG11+s_R_es_past))+(s_Q_s_dairy*s_f_p_dairy))))*1,".")</f>
        <v>.</v>
      </c>
      <c r="AF11" s="141" t="str">
        <f>IFERROR((H11/(s_RadSpec!AQ11*((s_Q_p_swine*s_f_p_swine*s_f_s_swine*(s_RadSpec!BG11+s_R_es_past))+(s_Q_s_swine*s_f_p_swine))))*1,".")</f>
        <v>.</v>
      </c>
      <c r="AG11" s="141" t="str">
        <f>IFERROR((D11/(s_RadSpec!AO11*((s_Q_p_poultry*s_f_p_poultry*s_f_s_poultry*(s_RadSpec!BG11+s_R_es_past))+(s_Q_s_poultry*s_f_p_poultry))))*1,".")</f>
        <v>.</v>
      </c>
      <c r="AH11" s="141" t="str">
        <f>IFERROR((E11/(s_RadSpec!AP11*((s_Q_p_poultry*s_f_p_poultry*s_f_s_poultry*(s_RadSpec!BG11+s_R_es_past))+(s_Q_s_poultry*s_f_p_poultry))))*1,".")</f>
        <v>.</v>
      </c>
      <c r="AI11" s="141" t="str">
        <f>IFERROR((J11/(s_RadSpec!AT11*((s_Q_p_goat*s_f_p_goat*s_f_s_goat*(s_RadSpec!BG11+s_R_es_past))+(s_Q_s_goat*s_f_p_goat))))*1,".")</f>
        <v>.</v>
      </c>
      <c r="AJ11" s="141" t="str">
        <f>IFERROR((L11*s_D_milk/(s_RadSpec!AU11*((s_Q_p_goat_milk*s_f_p_goat_milk*s_f_s_goat_milk*(s_RadSpec!BG11+s_R_es_past))+(s_Q_s_goat_milk*s_f_p_goat_milk))))*1,".")</f>
        <v>.</v>
      </c>
      <c r="AK11" s="141" t="str">
        <f>IFERROR((K11/(s_RadSpec!AR11*((s_Q_p_sheep*s_f_p_sheep*s_f_s_sheep*(s_RadSpec!BG11+s_R_es_past))+(s_Q_s_sheep*s_f_p_sheep))))*1,".")</f>
        <v>.</v>
      </c>
      <c r="AL11" s="141" t="str">
        <f>IFERROR((M11*s_D_milk/(s_RadSpec!AS11*((s_Q_p_sheep_milk*s_f_p_sheep_milk*s_f_s_sheep_milk*(s_RadSpec!BG11+s_R_es_past))+(s_Q_s_sheep_milk*s_f_p_sheep_milk))))*1,".")</f>
        <v>.</v>
      </c>
      <c r="AM11" s="158" t="str">
        <f t="shared" si="10"/>
        <v>.</v>
      </c>
      <c r="AN11" s="158" t="str">
        <f t="shared" si="11"/>
        <v>.</v>
      </c>
      <c r="AO11" s="158">
        <f t="shared" si="12"/>
        <v>4.297230891216761E-5</v>
      </c>
      <c r="AP11" s="158" t="str">
        <f t="shared" si="13"/>
        <v>.</v>
      </c>
      <c r="AQ11" s="158" t="str">
        <f t="shared" si="14"/>
        <v>.</v>
      </c>
      <c r="AR11" s="158" t="str">
        <f t="shared" si="15"/>
        <v>.</v>
      </c>
      <c r="AS11" s="158" t="str">
        <f t="shared" si="16"/>
        <v>.</v>
      </c>
      <c r="AT11" s="158" t="str">
        <f t="shared" si="17"/>
        <v>.</v>
      </c>
      <c r="AU11" s="158" t="str">
        <f t="shared" si="18"/>
        <v>.</v>
      </c>
      <c r="AV11" s="158" t="str">
        <f t="shared" si="19"/>
        <v>.</v>
      </c>
      <c r="AW11" s="158" t="str">
        <f t="shared" si="20"/>
        <v>.</v>
      </c>
      <c r="AX11" s="158" t="str">
        <f t="shared" si="21"/>
        <v>.</v>
      </c>
      <c r="AY11" s="158" t="str">
        <f t="shared" si="22"/>
        <v>.</v>
      </c>
      <c r="AZ11" s="158" t="str">
        <f t="shared" si="23"/>
        <v>.</v>
      </c>
      <c r="BA11" s="141">
        <f t="shared" si="24"/>
        <v>23270.799854946821</v>
      </c>
      <c r="BB11" s="142">
        <f t="shared" si="25"/>
        <v>15.125</v>
      </c>
      <c r="BC11" s="142">
        <f t="shared" si="26"/>
        <v>1.618127279505213E-3</v>
      </c>
      <c r="BD11" s="142">
        <f>IFERROR((s_C*s_EF_far*(1/365)*s_ED_far*s_RadSpec!V11*((s_ET_far_o*(1/24)*s_RadSpec!AA11)+(s_ET_far_i*(1/24)*s_RadSpec!AF11))),".")</f>
        <v>8.0660757453666389E-3</v>
      </c>
      <c r="BE11" s="142">
        <f>s_b2s!BZ11</f>
        <v>986.90624999999977</v>
      </c>
      <c r="BF11" s="142">
        <f>IFERROR(((s_C*s_RadSpec!AN11)/s_RadSpec!AX11)*s_IFFI_far_adj*s_CF_far_fish,0)</f>
        <v>0</v>
      </c>
      <c r="BG11" s="142">
        <f>(s_C*s_IFB_far_adj*s_CF_far_beef*s_RadSpec!AM11*((s_Q_p_beef*s_f_p_beef*s_f_s_beef*(s_RadSpec!$AW11+s_R_es_past))+(s_Q_s_beef*s_f_p_beef)))</f>
        <v>22687.5</v>
      </c>
      <c r="BH11" s="142">
        <f>(s_C*s_IFD_far_adj*s_CF_far_dairy*s_RadSpec!AL11*1/s_D_milk*((s_Q_p_dairy*s_f_p_dairy*s_f_s_dairy*(s_RadSpec!$AW11+s_R_es_past))+(s_Q_s_dairy*s_f_p_dairy)))</f>
        <v>5873.7864077669901</v>
      </c>
      <c r="BI11" s="142">
        <f>(s_C*s_IFSW_far_adj*s_CF_far_swine*s_RadSpec!AQ11*((s_Q_p_swine*s_f_p_swine*s_f_s_swine*(s_RadSpec!$AW11+s_R_es_past))+(s_Q_s_swine*s_f_p_swine)))</f>
        <v>0</v>
      </c>
      <c r="BJ11" s="142">
        <f>(s_C*s_IFP_far_adj*s_CF_far_poultry*s_RadSpec!AO11*((s_Q_p_poultry*s_f_p_poultry*s_f_s_poultry*(s_RadSpec!AW11+s_R_es_past))+(s_Q_s_poultry*s_f_p_poultry)))</f>
        <v>0</v>
      </c>
      <c r="BK11" s="142">
        <f>(s_C*s_IFE_far_adj*s_CF_far_egg*s_RadSpec!AP11*((s_Q_p_egg*s_f_p_egg*s_f_s_egg*(s_RadSpec!$AW11+s_R_es_past))+(s_Q_s_egg*s_f_p_egg)))</f>
        <v>0</v>
      </c>
      <c r="BL11" s="142">
        <f>(s_C*s_IFGO_far_adj*s_CF_far_goat*s_RadSpec!AT11*((s_Q_p_goat*s_f_p_goat*s_f_s_goat*(s_RadSpec!$AW11+s_R_es_past))+(s_Q_s_goat*s_f_p_goat)))</f>
        <v>0</v>
      </c>
      <c r="BM11" s="142">
        <f>(s_C*s_IFGM_far_adj*s_CF_far_goat_milk*s_RadSpec!AU11*1/s_D_milk*((s_Q_p_goat_milk*s_f_p_goat_milk*s_f_s_goat_milk*(s_RadSpec!$AW11+s_R_es_past))+(s_Q_s_goat_milk*s_f_p_goat_milk)))</f>
        <v>0</v>
      </c>
      <c r="BN11" s="142">
        <f>(s_C*s_IFSH_far_adj*s_CF_far_sheep*s_RadSpec!AR11*((s_Q_p_sheep*s_f_p_sheep*s_f_s_sheep*(s_RadSpec!$AW11+s_R_es_past))+(s_Q_s_sheep*s_f_p_sheep)))</f>
        <v>0</v>
      </c>
      <c r="BO11" s="142">
        <f>(s_C*s_IFSM_far_adj*s_CF_far_sheep_milk*s_RadSpec!AS11*1/s_D_milk*((s_Q_p_sheep_milk*s_f_p_sheep_milk*s_f_s_sheep_milk*(s_RadSpec!$AW11+s_R_es_past))+(s_Q_s_sheep_milk*s_f_p_sheep_milk)))</f>
        <v>0</v>
      </c>
      <c r="BP11" s="141"/>
      <c r="BQ11" s="141" t="str">
        <f>IFERROR(s_DL/(s_RadSpec!M11*s_IFW_far_adj),".")</f>
        <v>.</v>
      </c>
      <c r="BR11" s="141" t="str">
        <f>IFERROR(IF(s_RadSpec!C11=1,s_DL/(s_RadSpec!L11*s_IFA_far_adj*s_K),"."),".")</f>
        <v>.</v>
      </c>
      <c r="BS11" s="141">
        <f>IFERROR((s_DL/(s_RadSpec!Q11*(1/8760)*s_DFA_far_adj)),".")</f>
        <v>387.56260286336203</v>
      </c>
      <c r="BT11" s="141" t="str">
        <f>s_b2w!BA11</f>
        <v>.</v>
      </c>
      <c r="BU11" s="141" t="str">
        <f>IFERROR(I11/(s_RadSpec!AN11*(1/1000)),".")</f>
        <v>.</v>
      </c>
      <c r="BV11" s="141" t="str">
        <f>IFERROR(F11/(s_RadSpec!AM11*s_Q_w_beef*(1/1000)),".")</f>
        <v>.</v>
      </c>
      <c r="BW11" s="141" t="str">
        <f>IFERROR((G11*s_D_milk)/(s_RadSpec!AL11*s_Q_w_dairy*(1/1000)),".")</f>
        <v>.</v>
      </c>
      <c r="BX11" s="141" t="str">
        <f>IFERROR(H11/(s_RadSpec!AQ11*s_Q_w_swine*(1/1000)),".")</f>
        <v>.</v>
      </c>
      <c r="BY11" s="141" t="str">
        <f>IFERROR(D11/(s_RadSpec!AO11*s_Q_w_poultry*(1/1000)),".")</f>
        <v>.</v>
      </c>
      <c r="BZ11" s="141" t="str">
        <f>IFERROR(E11/(s_RadSpec!AP11*s_Q_w_poultry*(1/1000)),".")</f>
        <v>.</v>
      </c>
      <c r="CA11" s="141" t="str">
        <f>IFERROR(J11/(s_RadSpec!AT11*s_Q_w_goat*(1/1000)),".")</f>
        <v>.</v>
      </c>
      <c r="CB11" s="141" t="str">
        <f>IFERROR(L11*s_D_milk/(s_RadSpec!AU11*s_Q_w_goat_milk*(1/1000)),".")</f>
        <v>.</v>
      </c>
      <c r="CC11" s="141" t="str">
        <f>IFERROR(K11/(s_RadSpec!AR11*s_Q_w_sheep*(1/1000)),".")</f>
        <v>.</v>
      </c>
      <c r="CD11" s="141" t="str">
        <f>IFERROR(M11*s_D_milk/(s_RadSpec!AS11*s_Q_w_sheep_milk*(1/1000)),".")</f>
        <v>.</v>
      </c>
      <c r="CE11" s="158" t="str">
        <f t="shared" si="27"/>
        <v>.</v>
      </c>
      <c r="CF11" s="158" t="str">
        <f t="shared" si="28"/>
        <v>.</v>
      </c>
      <c r="CG11" s="158">
        <f t="shared" si="29"/>
        <v>2.5802283105022831E-3</v>
      </c>
      <c r="CH11" s="158" t="str">
        <f t="shared" si="30"/>
        <v>.</v>
      </c>
      <c r="CI11" s="158" t="str">
        <f t="shared" si="31"/>
        <v>.</v>
      </c>
      <c r="CJ11" s="158" t="str">
        <f t="shared" si="32"/>
        <v>.</v>
      </c>
      <c r="CK11" s="158" t="str">
        <f t="shared" si="33"/>
        <v>.</v>
      </c>
      <c r="CL11" s="158" t="str">
        <f t="shared" si="34"/>
        <v>.</v>
      </c>
      <c r="CM11" s="158" t="str">
        <f t="shared" si="35"/>
        <v>.</v>
      </c>
      <c r="CN11" s="158" t="str">
        <f t="shared" si="36"/>
        <v>.</v>
      </c>
      <c r="CO11" s="158" t="str">
        <f t="shared" si="37"/>
        <v>.</v>
      </c>
      <c r="CP11" s="158" t="str">
        <f t="shared" si="38"/>
        <v>.</v>
      </c>
      <c r="CQ11" s="158" t="str">
        <f t="shared" si="39"/>
        <v>.</v>
      </c>
      <c r="CR11" s="158" t="str">
        <f t="shared" si="40"/>
        <v>.</v>
      </c>
      <c r="CS11" s="141">
        <f t="shared" si="41"/>
        <v>387.56260286336203</v>
      </c>
      <c r="CT11" s="142">
        <f t="shared" si="42"/>
        <v>1375</v>
      </c>
      <c r="CU11" s="142">
        <f t="shared" si="43"/>
        <v>250.65104166666663</v>
      </c>
      <c r="CV11" s="142">
        <f t="shared" si="44"/>
        <v>0.12557077625570776</v>
      </c>
      <c r="CW11" s="142">
        <f>s_b2w!BZ11</f>
        <v>400.61201161295031</v>
      </c>
      <c r="CX11" s="142">
        <f>IFERROR(s_C*s_RadSpec!AN11*(1/1000)*s_IFFI_far_adj*s_CF_far_fish,0)</f>
        <v>0</v>
      </c>
      <c r="CY11" s="142">
        <f>(s_C*s_IFB_far_adj*s_CF_far_beef*s_RadSpec!AM11*s_Q_w_beef*(1/1000))</f>
        <v>1.1343750000000001</v>
      </c>
      <c r="CZ11" s="142">
        <f>(s_C*s_IFD_far_adj*s_CF_far_dairy*s_RadSpec!AL11*(1/s_D_milk)*s_Q_w_dairy*(1/1000))</f>
        <v>0.29368932038834955</v>
      </c>
      <c r="DA11" s="142">
        <f>(s_C*s_IFSW_far_adj*s_CF_far_swine*s_RadSpec!AQ11*s_Q_w_swine*(1/1000))</f>
        <v>0</v>
      </c>
      <c r="DB11" s="142">
        <f>(s_C*s_IFP_far_adj*s_CF_far_poultry*s_RadSpec!AO11*s_Q_w_poultry*(1/1000))</f>
        <v>0</v>
      </c>
      <c r="DC11" s="142">
        <f>(s_C*s_IFE_far_adj*s_CF_far_egg*s_RadSpec!AP11*s_Q_w_egg*(1/1000))</f>
        <v>0</v>
      </c>
      <c r="DD11" s="142">
        <f>(s_C*s_IFGO_far_adj*s_CF_far_goat*s_RadSpec!AT11*s_Q_p_goat*(1/1000))</f>
        <v>0</v>
      </c>
      <c r="DE11" s="142">
        <f>(s_C*s_IFGM_far_adj*s_CF_far_goat_milk*s_RadSpec!AU11*(1/s_D_milk)*s_Q_p_goat_milk*(1/1000))</f>
        <v>0</v>
      </c>
      <c r="DF11" s="142">
        <f>(s_C*s_IFSH_far_adj*s_CF_far_sheep*s_RadSpec!AR11*s_Q_p_sheep*(1/1000))</f>
        <v>0</v>
      </c>
      <c r="DG11" s="142">
        <f>(s_C*s_IFSM_far_adj*s_CF_far_sheep_milk*s_RadSpec!AS11*(1/s_D_milk)*s_Q_p_sheep_milk*(1/1000))</f>
        <v>0</v>
      </c>
      <c r="DH11" s="141"/>
      <c r="DI11" s="141" t="str">
        <f>IFERROR((s_DL/(s_RadSpec!L11*s_IFA_far_adj)),".")</f>
        <v>.</v>
      </c>
      <c r="DJ11" s="141">
        <f>IFERROR((s_DL/(s_RadSpec!O11*s_EF_far*(1/365)*s_ED_far*s_ET_far*(1/24)*s_GSF_a)),".")</f>
        <v>0.34105509051975863</v>
      </c>
      <c r="DK11" s="141">
        <f t="shared" ref="DK11" si="51">IFERROR(IF(AND(ISNUMBER(DI11),ISNUMBER(DJ11)),1/((1/DI11)+(1/DJ11)),IF(AND(ISNUMBER(DI11),NOT(ISNUMBER(DJ11))),1/((1/DI11)),IF(AND(NOT(ISNUMBER(DI11)),ISNUMBER(DJ11)),1/((1/DJ11)),IF(AND(NOT(ISNUMBER(DI11)),NOT(ISNUMBER(DJ11))),".")))),".")</f>
        <v>0.34105509051975863</v>
      </c>
      <c r="DL11" s="142">
        <f t="shared" si="46"/>
        <v>501.30208333333326</v>
      </c>
      <c r="DM11" s="142">
        <f t="shared" si="47"/>
        <v>0.3139269406392694</v>
      </c>
      <c r="DN11" s="127"/>
    </row>
    <row r="12" spans="1:118" customFormat="1" x14ac:dyDescent="0.25">
      <c r="A12" s="128" t="s">
        <v>10</v>
      </c>
      <c r="B12" s="129" t="s">
        <v>1059</v>
      </c>
      <c r="C12" s="141" t="str">
        <f>s_dir!AB12</f>
        <v>.</v>
      </c>
      <c r="D12" s="141" t="str">
        <f>IFERROR(s_DL/(s_RadSpec!J12*s_IFP_far_adj*s_CF_far_poultry),".")</f>
        <v>.</v>
      </c>
      <c r="E12" s="141" t="str">
        <f>IFERROR(s_DL/(s_RadSpec!J12*s_IFE_far_adj*s_CF_far_egg),".")</f>
        <v>.</v>
      </c>
      <c r="F12" s="141" t="str">
        <f>IFERROR(s_DL/(s_RadSpec!J12*s_IFB_far_adj*s_CF_far_beef),".")</f>
        <v>.</v>
      </c>
      <c r="G12" s="141" t="str">
        <f>IFERROR(s_DL/(s_RadSpec!J12*s_IFD_far_adj*s_CF_far_dairy),".")</f>
        <v>.</v>
      </c>
      <c r="H12" s="141" t="str">
        <f>IFERROR(s_DL/(s_RadSpec!J12*s_IFSW_far_adj*s_CF_far_swine),".")</f>
        <v>.</v>
      </c>
      <c r="I12" s="141" t="str">
        <f>IFERROR(s_DL/(s_RadSpec!J12*s_IFFI_far_adj*s_CF_far_fish),".")</f>
        <v>.</v>
      </c>
      <c r="J12" s="141" t="str">
        <f>IFERROR(s_DL/(s_RadSpec!J12*s_IFGO_far_adj*s_CF_far_goat),".")</f>
        <v>.</v>
      </c>
      <c r="K12" s="141" t="str">
        <f>IFERROR(s_DL/(s_RadSpec!J12*s_IFSH_far_adj*s_CF_far_sheep),".")</f>
        <v>.</v>
      </c>
      <c r="L12" s="141" t="str">
        <f>IFERROR(s_DL/(s_RadSpec!J12*s_IFGM_far_adj*s_CF_far_goat_milk),".")</f>
        <v>.</v>
      </c>
      <c r="M12" s="141" t="str">
        <f>IFERROR(s_DL/(s_RadSpec!J12*s_IFSM_far_adj*s_CF_far_sheep_milk),".")</f>
        <v>.</v>
      </c>
      <c r="N12" s="142">
        <f>s_dir!BA12</f>
        <v>22687.5</v>
      </c>
      <c r="O12" s="142">
        <f t="shared" si="0"/>
        <v>7562.5</v>
      </c>
      <c r="P12" s="142">
        <f t="shared" si="1"/>
        <v>7562.5</v>
      </c>
      <c r="Q12" s="142">
        <f t="shared" si="2"/>
        <v>7562.5</v>
      </c>
      <c r="R12" s="142">
        <f t="shared" si="3"/>
        <v>7562.5</v>
      </c>
      <c r="S12" s="142">
        <f t="shared" si="4"/>
        <v>7562.5</v>
      </c>
      <c r="T12" s="142">
        <f t="shared" si="5"/>
        <v>7562.5</v>
      </c>
      <c r="U12" s="142">
        <f t="shared" si="6"/>
        <v>7562.5</v>
      </c>
      <c r="V12" s="142">
        <f t="shared" si="7"/>
        <v>7562.5</v>
      </c>
      <c r="W12" s="142">
        <f t="shared" si="8"/>
        <v>7562.5</v>
      </c>
      <c r="X12" s="142">
        <f t="shared" si="9"/>
        <v>7562.5</v>
      </c>
      <c r="Y12" s="141" t="str">
        <f>IFERROR((s_DL/(s_RadSpec!I12*s_IFS_far_adj*(1/1000)))*1,".")</f>
        <v>.</v>
      </c>
      <c r="Z12" s="141" t="str">
        <f>IFERROR(IF(A12="H-3",(s_DL/(s_RadSpec!L12*s_IFA_far_adj*(1/17)*1000))*1,(s_DL/(s_RadSpec!L12*s_IFA_far_adj*(1/s_PEF_wind)*1000))*1),".")</f>
        <v>.</v>
      </c>
      <c r="AA12" s="141">
        <f>IFERROR((s_DL/(s_RadSpec!K12*s_EF_far*(1/365)*s_ED_far*s_RadSpec!V12*((s_ET_far_o*(1/24)*s_RadSpec!AA12)+(s_ET_far_i*(1/24)*s_RadSpec!AF12))))*1,".")</f>
        <v>2423.7525487782932</v>
      </c>
      <c r="AB12" s="141" t="str">
        <f>s_b2s!BA12</f>
        <v>.</v>
      </c>
      <c r="AC12" s="141" t="str">
        <f>IFERROR(((I12*s_RadSpec!AX12)/s_RadSpec!AN12)*1,".")</f>
        <v>.</v>
      </c>
      <c r="AD12" s="141" t="str">
        <f>IFERROR((F12/(s_RadSpec!AM12*((s_Q_p_beef*s_f_p_beef*s_f_s_beef*(s_RadSpec!BG12+s_R_es_past))+(s_Q_s_beef*s_f_p_beef))))*1,".")</f>
        <v>.</v>
      </c>
      <c r="AE12" s="141" t="str">
        <f>IFERROR(((G12*s_D_milk)/(s_RadSpec!AL12*((s_Q_p_dairy*s_f_p_dairy*s_f_s_dairy*(s_RadSpec!BG12+s_R_es_past))+(s_Q_s_dairy*s_f_p_dairy))))*1,".")</f>
        <v>.</v>
      </c>
      <c r="AF12" s="141" t="str">
        <f>IFERROR((H12/(s_RadSpec!AQ12*((s_Q_p_swine*s_f_p_swine*s_f_s_swine*(s_RadSpec!BG12+s_R_es_past))+(s_Q_s_swine*s_f_p_swine))))*1,".")</f>
        <v>.</v>
      </c>
      <c r="AG12" s="141" t="str">
        <f>IFERROR((D12/(s_RadSpec!AO12*((s_Q_p_poultry*s_f_p_poultry*s_f_s_poultry*(s_RadSpec!BG12+s_R_es_past))+(s_Q_s_poultry*s_f_p_poultry))))*1,".")</f>
        <v>.</v>
      </c>
      <c r="AH12" s="141" t="str">
        <f>IFERROR((E12/(s_RadSpec!AP12*((s_Q_p_poultry*s_f_p_poultry*s_f_s_poultry*(s_RadSpec!BG12+s_R_es_past))+(s_Q_s_poultry*s_f_p_poultry))))*1,".")</f>
        <v>.</v>
      </c>
      <c r="AI12" s="141" t="str">
        <f>IFERROR((J12/(s_RadSpec!AT12*((s_Q_p_goat*s_f_p_goat*s_f_s_goat*(s_RadSpec!BG12+s_R_es_past))+(s_Q_s_goat*s_f_p_goat))))*1,".")</f>
        <v>.</v>
      </c>
      <c r="AJ12" s="141" t="str">
        <f>IFERROR((L12*s_D_milk/(s_RadSpec!AU12*((s_Q_p_goat_milk*s_f_p_goat_milk*s_f_s_goat_milk*(s_RadSpec!BG12+s_R_es_past))+(s_Q_s_goat_milk*s_f_p_goat_milk))))*1,".")</f>
        <v>.</v>
      </c>
      <c r="AK12" s="141" t="str">
        <f>IFERROR((K12/(s_RadSpec!AR12*((s_Q_p_sheep*s_f_p_sheep*s_f_s_sheep*(s_RadSpec!BG12+s_R_es_past))+(s_Q_s_sheep*s_f_p_sheep))))*1,".")</f>
        <v>.</v>
      </c>
      <c r="AL12" s="141" t="str">
        <f>IFERROR((M12*s_D_milk/(s_RadSpec!AS12*((s_Q_p_sheep_milk*s_f_p_sheep_milk*s_f_s_sheep_milk*(s_RadSpec!BG12+s_R_es_past))+(s_Q_s_sheep_milk*s_f_p_sheep_milk))))*1,".")</f>
        <v>.</v>
      </c>
      <c r="AM12" s="158" t="str">
        <f t="shared" si="10"/>
        <v>.</v>
      </c>
      <c r="AN12" s="158" t="str">
        <f t="shared" si="11"/>
        <v>.</v>
      </c>
      <c r="AO12" s="158">
        <f t="shared" si="12"/>
        <v>4.1258337221927044E-4</v>
      </c>
      <c r="AP12" s="158" t="str">
        <f t="shared" si="13"/>
        <v>.</v>
      </c>
      <c r="AQ12" s="158" t="str">
        <f t="shared" si="14"/>
        <v>.</v>
      </c>
      <c r="AR12" s="158" t="str">
        <f t="shared" si="15"/>
        <v>.</v>
      </c>
      <c r="AS12" s="158" t="str">
        <f t="shared" si="16"/>
        <v>.</v>
      </c>
      <c r="AT12" s="158" t="str">
        <f t="shared" si="17"/>
        <v>.</v>
      </c>
      <c r="AU12" s="158" t="str">
        <f t="shared" si="18"/>
        <v>.</v>
      </c>
      <c r="AV12" s="158" t="str">
        <f t="shared" si="19"/>
        <v>.</v>
      </c>
      <c r="AW12" s="158" t="str">
        <f t="shared" si="20"/>
        <v>.</v>
      </c>
      <c r="AX12" s="158" t="str">
        <f t="shared" si="21"/>
        <v>.</v>
      </c>
      <c r="AY12" s="158" t="str">
        <f t="shared" si="22"/>
        <v>.</v>
      </c>
      <c r="AZ12" s="158" t="str">
        <f t="shared" si="23"/>
        <v>.</v>
      </c>
      <c r="BA12" s="141">
        <f t="shared" si="24"/>
        <v>2423.7525487782932</v>
      </c>
      <c r="BB12" s="142">
        <f t="shared" si="25"/>
        <v>15.125</v>
      </c>
      <c r="BC12" s="142">
        <f t="shared" si="26"/>
        <v>1.618127279505213E-3</v>
      </c>
      <c r="BD12" s="142">
        <f>IFERROR((s_C*s_EF_far*(1/365)*s_ED_far*s_RadSpec!V12*((s_ET_far_o*(1/24)*s_RadSpec!AA12)+(s_ET_far_i*(1/24)*s_RadSpec!AF12))),".")</f>
        <v>1.6834530712190165E-2</v>
      </c>
      <c r="BE12" s="142">
        <f>s_b2s!BZ12</f>
        <v>7112.53125</v>
      </c>
      <c r="BF12" s="142">
        <f>IFERROR(((s_C*s_RadSpec!AN12)/s_RadSpec!AX12)*s_IFFI_far_adj*s_CF_far_fish,0)</f>
        <v>7322.4206349206343</v>
      </c>
      <c r="BG12" s="142">
        <f>(s_C*s_IFB_far_adj*s_CF_far_beef*s_RadSpec!AM12*((s_Q_p_beef*s_f_p_beef*s_f_s_beef*(s_RadSpec!$AW12+s_R_es_past))+(s_Q_s_beef*s_f_p_beef)))</f>
        <v>16070.3125</v>
      </c>
      <c r="BH12" s="142">
        <f>(s_C*s_IFD_far_adj*s_CF_far_dairy*s_RadSpec!AL12*1/s_D_milk*((s_Q_p_dairy*s_f_p_dairy*s_f_s_dairy*(s_RadSpec!$AW12+s_R_es_past))+(s_Q_s_dairy*s_f_p_dairy)))</f>
        <v>780.11225728155341</v>
      </c>
      <c r="BI12" s="142">
        <f>(s_C*s_IFSW_far_adj*s_CF_far_swine*s_RadSpec!AQ12*((s_Q_p_swine*s_f_p_swine*s_f_s_swine*(s_RadSpec!$AW12+s_R_es_past))+(s_Q_s_swine*s_f_p_swine)))</f>
        <v>0</v>
      </c>
      <c r="BJ12" s="142">
        <f>(s_C*s_IFP_far_adj*s_CF_far_poultry*s_RadSpec!AO12*((s_Q_p_poultry*s_f_p_poultry*s_f_s_poultry*(s_RadSpec!AW12+s_R_es_past))+(s_Q_s_poultry*s_f_p_poultry)))</f>
        <v>48210.9375</v>
      </c>
      <c r="BK12" s="142">
        <f>(s_C*s_IFE_far_adj*s_CF_far_egg*s_RadSpec!AP12*((s_Q_p_egg*s_f_p_egg*s_f_s_egg*(s_RadSpec!$AW12+s_R_es_past))+(s_Q_s_egg*s_f_p_egg)))</f>
        <v>0</v>
      </c>
      <c r="BL12" s="142">
        <f>(s_C*s_IFGO_far_adj*s_CF_far_goat*s_RadSpec!AT12*((s_Q_p_goat*s_f_p_goat*s_f_s_goat*(s_RadSpec!$AW12+s_R_es_past))+(s_Q_s_goat*s_f_p_goat)))</f>
        <v>0</v>
      </c>
      <c r="BM12" s="142">
        <f>(s_C*s_IFGM_far_adj*s_CF_far_goat_milk*s_RadSpec!AU12*1/s_D_milk*((s_Q_p_goat_milk*s_f_p_goat_milk*s_f_s_goat_milk*(s_RadSpec!$AW12+s_R_es_past))+(s_Q_s_goat_milk*s_f_p_goat_milk)))</f>
        <v>0</v>
      </c>
      <c r="BN12" s="142">
        <f>(s_C*s_IFSH_far_adj*s_CF_far_sheep*s_RadSpec!AR12*((s_Q_p_sheep*s_f_p_sheep*s_f_s_sheep*(s_RadSpec!$AW12+s_R_es_past))+(s_Q_s_sheep*s_f_p_sheep)))</f>
        <v>0</v>
      </c>
      <c r="BO12" s="142">
        <f>(s_C*s_IFSM_far_adj*s_CF_far_sheep_milk*s_RadSpec!AS12*1/s_D_milk*((s_Q_p_sheep_milk*s_f_p_sheep_milk*s_f_s_sheep_milk*(s_RadSpec!$AW12+s_R_es_past))+(s_Q_s_sheep_milk*s_f_p_sheep_milk)))</f>
        <v>0</v>
      </c>
      <c r="BP12" s="141"/>
      <c r="BQ12" s="141" t="str">
        <f>IFERROR(s_DL/(s_RadSpec!M12*s_IFW_far_adj),".")</f>
        <v>.</v>
      </c>
      <c r="BR12" s="141" t="str">
        <f>IFERROR(IF(s_RadSpec!C12=1,s_DL/(s_RadSpec!L12*s_IFA_far_adj*s_K),"."),".")</f>
        <v>.</v>
      </c>
      <c r="BS12" s="141">
        <f>IFERROR((s_DL/(s_RadSpec!Q12*(1/8760)*s_DFA_far_adj)),".")</f>
        <v>89.562786375987031</v>
      </c>
      <c r="BT12" s="141" t="str">
        <f>s_b2w!BA12</f>
        <v>.</v>
      </c>
      <c r="BU12" s="141" t="str">
        <f>IFERROR(I12/(s_RadSpec!AN12*(1/1000)),".")</f>
        <v>.</v>
      </c>
      <c r="BV12" s="141" t="str">
        <f>IFERROR(F12/(s_RadSpec!AM12*s_Q_w_beef*(1/1000)),".")</f>
        <v>.</v>
      </c>
      <c r="BW12" s="141" t="str">
        <f>IFERROR((G12*s_D_milk)/(s_RadSpec!AL12*s_Q_w_dairy*(1/1000)),".")</f>
        <v>.</v>
      </c>
      <c r="BX12" s="141" t="str">
        <f>IFERROR(H12/(s_RadSpec!AQ12*s_Q_w_swine*(1/1000)),".")</f>
        <v>.</v>
      </c>
      <c r="BY12" s="141" t="str">
        <f>IFERROR(D12/(s_RadSpec!AO12*s_Q_w_poultry*(1/1000)),".")</f>
        <v>.</v>
      </c>
      <c r="BZ12" s="141" t="str">
        <f>IFERROR(E12/(s_RadSpec!AP12*s_Q_w_poultry*(1/1000)),".")</f>
        <v>.</v>
      </c>
      <c r="CA12" s="141" t="str">
        <f>IFERROR(J12/(s_RadSpec!AT12*s_Q_w_goat*(1/1000)),".")</f>
        <v>.</v>
      </c>
      <c r="CB12" s="141" t="str">
        <f>IFERROR(L12*s_D_milk/(s_RadSpec!AU12*s_Q_w_goat_milk*(1/1000)),".")</f>
        <v>.</v>
      </c>
      <c r="CC12" s="141" t="str">
        <f>IFERROR(K12/(s_RadSpec!AR12*s_Q_w_sheep*(1/1000)),".")</f>
        <v>.</v>
      </c>
      <c r="CD12" s="141" t="str">
        <f>IFERROR(M12*s_D_milk/(s_RadSpec!AS12*s_Q_w_sheep_milk*(1/1000)),".")</f>
        <v>.</v>
      </c>
      <c r="CE12" s="158" t="str">
        <f t="shared" si="27"/>
        <v>.</v>
      </c>
      <c r="CF12" s="158" t="str">
        <f t="shared" si="28"/>
        <v>.</v>
      </c>
      <c r="CG12" s="158">
        <f t="shared" si="29"/>
        <v>1.1165351598173516E-2</v>
      </c>
      <c r="CH12" s="158" t="str">
        <f t="shared" si="30"/>
        <v>.</v>
      </c>
      <c r="CI12" s="158" t="str">
        <f t="shared" si="31"/>
        <v>.</v>
      </c>
      <c r="CJ12" s="158" t="str">
        <f t="shared" si="32"/>
        <v>.</v>
      </c>
      <c r="CK12" s="158" t="str">
        <f t="shared" si="33"/>
        <v>.</v>
      </c>
      <c r="CL12" s="158" t="str">
        <f t="shared" si="34"/>
        <v>.</v>
      </c>
      <c r="CM12" s="158" t="str">
        <f t="shared" si="35"/>
        <v>.</v>
      </c>
      <c r="CN12" s="158" t="str">
        <f t="shared" si="36"/>
        <v>.</v>
      </c>
      <c r="CO12" s="158" t="str">
        <f t="shared" si="37"/>
        <v>.</v>
      </c>
      <c r="CP12" s="158" t="str">
        <f t="shared" si="38"/>
        <v>.</v>
      </c>
      <c r="CQ12" s="158" t="str">
        <f t="shared" si="39"/>
        <v>.</v>
      </c>
      <c r="CR12" s="158" t="str">
        <f t="shared" si="40"/>
        <v>.</v>
      </c>
      <c r="CS12" s="141">
        <f t="shared" si="41"/>
        <v>89.562786375987031</v>
      </c>
      <c r="CT12" s="142">
        <f t="shared" si="42"/>
        <v>1375</v>
      </c>
      <c r="CU12" s="142">
        <f t="shared" si="43"/>
        <v>250.65104166666663</v>
      </c>
      <c r="CV12" s="142">
        <f t="shared" si="44"/>
        <v>0.12557077625570776</v>
      </c>
      <c r="CW12" s="142">
        <f>s_b2w!BZ12</f>
        <v>1617.7781377865476</v>
      </c>
      <c r="CX12" s="142">
        <f>IFERROR(s_C*s_RadSpec!AN12*(1/1000)*s_IFFI_far_adj*s_CF_far_fish,0)</f>
        <v>46131.25</v>
      </c>
      <c r="CY12" s="142">
        <f>(s_C*s_IFB_far_adj*s_CF_far_beef*s_RadSpec!AM12*s_Q_w_beef*(1/1000))</f>
        <v>0.37812499999999999</v>
      </c>
      <c r="CZ12" s="142">
        <f>(s_C*s_IFD_far_adj*s_CF_far_dairy*s_RadSpec!AL12*(1/s_D_milk)*s_Q_w_dairy*(1/1000))</f>
        <v>1.8355582524271847E-2</v>
      </c>
      <c r="DA12" s="142">
        <f>(s_C*s_IFSW_far_adj*s_CF_far_swine*s_RadSpec!AQ12*s_Q_w_swine*(1/1000))</f>
        <v>0</v>
      </c>
      <c r="DB12" s="142">
        <f>(s_C*s_IFP_far_adj*s_CF_far_poultry*s_RadSpec!AO12*s_Q_w_poultry*(1/1000))</f>
        <v>1.1343750000000001</v>
      </c>
      <c r="DC12" s="142">
        <f>(s_C*s_IFE_far_adj*s_CF_far_egg*s_RadSpec!AP12*s_Q_w_egg*(1/1000))</f>
        <v>0</v>
      </c>
      <c r="DD12" s="142">
        <f>(s_C*s_IFGO_far_adj*s_CF_far_goat*s_RadSpec!AT12*s_Q_p_goat*(1/1000))</f>
        <v>0</v>
      </c>
      <c r="DE12" s="142">
        <f>(s_C*s_IFGM_far_adj*s_CF_far_goat_milk*s_RadSpec!AU12*(1/s_D_milk)*s_Q_p_goat_milk*(1/1000))</f>
        <v>0</v>
      </c>
      <c r="DF12" s="142">
        <f>(s_C*s_IFSH_far_adj*s_CF_far_sheep*s_RadSpec!AR12*s_Q_p_sheep*(1/1000))</f>
        <v>0</v>
      </c>
      <c r="DG12" s="142">
        <f>(s_C*s_IFSM_far_adj*s_CF_far_sheep_milk*s_RadSpec!AS12*(1/s_D_milk)*s_Q_p_sheep_milk*(1/1000))</f>
        <v>0</v>
      </c>
      <c r="DH12" s="141"/>
      <c r="DI12" s="141" t="str">
        <f>IFERROR((s_DL/(s_RadSpec!L12*s_IFA_far_adj)),".")</f>
        <v>.</v>
      </c>
      <c r="DJ12" s="141">
        <f>IFERROR((s_DL/(s_RadSpec!O12*s_EF_far*(1/365)*s_ED_far*s_ET_far*(1/24)*s_GSF_a)),".")</f>
        <v>7.6676054523327028E-2</v>
      </c>
      <c r="DK12" s="141">
        <f t="shared" ref="DK12" si="52">IFERROR(IF(AND(ISNUMBER(DI12),ISNUMBER(DJ12)),1/((1/DI12)+(1/DJ12)),IF(AND(ISNUMBER(DI12),NOT(ISNUMBER(DJ12))),1/((1/DI12)),IF(AND(NOT(ISNUMBER(DI12)),ISNUMBER(DJ12)),1/((1/DJ12)),IF(AND(NOT(ISNUMBER(DI12)),NOT(ISNUMBER(DJ12))),".")))),".")</f>
        <v>7.6676054523327028E-2</v>
      </c>
      <c r="DL12" s="142">
        <f t="shared" si="46"/>
        <v>501.30208333333326</v>
      </c>
      <c r="DM12" s="142">
        <f t="shared" si="47"/>
        <v>0.3139269406392694</v>
      </c>
      <c r="DN12" s="127"/>
    </row>
    <row r="13" spans="1:118" customFormat="1" x14ac:dyDescent="0.25">
      <c r="A13" s="128" t="s">
        <v>11</v>
      </c>
      <c r="B13" s="129" t="s">
        <v>1059</v>
      </c>
      <c r="C13" s="141">
        <f>s_dir!AB13</f>
        <v>2.3825478370932913</v>
      </c>
      <c r="D13" s="141">
        <f>IFERROR(s_DL/(s_RadSpec!J13*s_IFP_far_adj*s_CF_far_poultry),".")</f>
        <v>7.1476435112798749</v>
      </c>
      <c r="E13" s="141">
        <f>IFERROR(s_DL/(s_RadSpec!J13*s_IFE_far_adj*s_CF_far_egg),".")</f>
        <v>7.1476435112798749</v>
      </c>
      <c r="F13" s="141">
        <f>IFERROR(s_DL/(s_RadSpec!J13*s_IFB_far_adj*s_CF_far_beef),".")</f>
        <v>7.1476435112798749</v>
      </c>
      <c r="G13" s="141">
        <f>IFERROR(s_DL/(s_RadSpec!J13*s_IFD_far_adj*s_CF_far_dairy),".")</f>
        <v>7.1476435112798749</v>
      </c>
      <c r="H13" s="141">
        <f>IFERROR(s_DL/(s_RadSpec!J13*s_IFSW_far_adj*s_CF_far_swine),".")</f>
        <v>7.1476435112798749</v>
      </c>
      <c r="I13" s="141">
        <f>IFERROR(s_DL/(s_RadSpec!J13*s_IFFI_far_adj*s_CF_far_fish),".")</f>
        <v>7.1476435112798749</v>
      </c>
      <c r="J13" s="141">
        <f>IFERROR(s_DL/(s_RadSpec!J13*s_IFGO_far_adj*s_CF_far_goat),".")</f>
        <v>7.1476435112798749</v>
      </c>
      <c r="K13" s="141">
        <f>IFERROR(s_DL/(s_RadSpec!J13*s_IFSH_far_adj*s_CF_far_sheep),".")</f>
        <v>7.1476435112798749</v>
      </c>
      <c r="L13" s="141">
        <f>IFERROR(s_DL/(s_RadSpec!J13*s_IFGM_far_adj*s_CF_far_goat_milk),".")</f>
        <v>7.1476435112798749</v>
      </c>
      <c r="M13" s="141">
        <f>IFERROR(s_DL/(s_RadSpec!J13*s_IFSM_far_adj*s_CF_far_sheep_milk),".")</f>
        <v>7.1476435112798749</v>
      </c>
      <c r="N13" s="142">
        <f>s_dir!BA13</f>
        <v>22687.5</v>
      </c>
      <c r="O13" s="142">
        <f t="shared" si="0"/>
        <v>7562.5</v>
      </c>
      <c r="P13" s="142">
        <f t="shared" si="1"/>
        <v>7562.5</v>
      </c>
      <c r="Q13" s="142">
        <f t="shared" si="2"/>
        <v>7562.5</v>
      </c>
      <c r="R13" s="142">
        <f t="shared" si="3"/>
        <v>7562.5</v>
      </c>
      <c r="S13" s="142">
        <f t="shared" si="4"/>
        <v>7562.5</v>
      </c>
      <c r="T13" s="142">
        <f t="shared" si="5"/>
        <v>7562.5</v>
      </c>
      <c r="U13" s="142">
        <f t="shared" si="6"/>
        <v>7562.5</v>
      </c>
      <c r="V13" s="142">
        <f t="shared" si="7"/>
        <v>7562.5</v>
      </c>
      <c r="W13" s="142">
        <f t="shared" si="8"/>
        <v>7562.5</v>
      </c>
      <c r="X13" s="142">
        <f t="shared" si="9"/>
        <v>7562.5</v>
      </c>
      <c r="Y13" s="141">
        <f>IFERROR((s_DL/(s_RadSpec!I13*s_IFS_far_adj*(1/1000)))*1,".")</f>
        <v>3573.8217556399372</v>
      </c>
      <c r="Z13" s="141">
        <f>IFERROR(IF(A13="H-3",(s_DL/(s_RadSpec!L13*s_IFA_far_adj*(1/17)*1000))*1,(s_DL/(s_RadSpec!L13*s_IFA_far_adj*(1/s_PEF_wind)*1000))*1),".")</f>
        <v>331401.950293125</v>
      </c>
      <c r="AA13" s="141">
        <f>IFERROR((s_DL/(s_RadSpec!K13*s_EF_far*(1/365)*s_ED_far*s_RadSpec!V13*((s_ET_far_o*(1/24)*s_RadSpec!AA13)+(s_ET_far_i*(1/24)*s_RadSpec!AF13))))*1,".")</f>
        <v>170213.35873318999</v>
      </c>
      <c r="AB13" s="141">
        <f>s_b2s!BA13</f>
        <v>112.20790441569662</v>
      </c>
      <c r="AC13" s="141">
        <f>IFERROR(((I13*s_RadSpec!AX13)/s_RadSpec!AN13)*1,".")</f>
        <v>4.7650956741865834E-2</v>
      </c>
      <c r="AD13" s="141">
        <f>IFERROR((F13/(s_RadSpec!AM13*((s_Q_p_beef*s_f_p_beef*s_f_s_beef*(s_RadSpec!BG13+s_R_es_past))+(s_Q_s_beef*s_f_p_beef))))*1,".")</f>
        <v>81.300210554842181</v>
      </c>
      <c r="AE13" s="141">
        <f>IFERROR(((G13*s_D_milk)/(s_RadSpec!AL13*((s_Q_p_dairy*s_f_p_dairy*s_f_s_dairy*(s_RadSpec!BG13+s_R_es_past))+(s_Q_s_dairy*s_f_p_dairy))))*1,".")</f>
        <v>8373.9216871487442</v>
      </c>
      <c r="AF13" s="141" t="str">
        <f>IFERROR((H13/(s_RadSpec!AQ13*((s_Q_p_swine*s_f_p_swine*s_f_s_swine*(s_RadSpec!BG13+s_R_es_past))+(s_Q_s_swine*s_f_p_swine))))*1,".")</f>
        <v>.</v>
      </c>
      <c r="AG13" s="141" t="str">
        <f>IFERROR((D13/(s_RadSpec!AO13*((s_Q_p_poultry*s_f_p_poultry*s_f_s_poultry*(s_RadSpec!BG13+s_R_es_past))+(s_Q_s_poultry*s_f_p_poultry))))*1,".")</f>
        <v>.</v>
      </c>
      <c r="AH13" s="141" t="str">
        <f>IFERROR((E13/(s_RadSpec!AP13*((s_Q_p_poultry*s_f_p_poultry*s_f_s_poultry*(s_RadSpec!BG13+s_R_es_past))+(s_Q_s_poultry*s_f_p_poultry))))*1,".")</f>
        <v>.</v>
      </c>
      <c r="AI13" s="141" t="str">
        <f>IFERROR((J13/(s_RadSpec!AT13*((s_Q_p_goat*s_f_p_goat*s_f_s_goat*(s_RadSpec!BG13+s_R_es_past))+(s_Q_s_goat*s_f_p_goat))))*1,".")</f>
        <v>.</v>
      </c>
      <c r="AJ13" s="141">
        <f>IFERROR((L13*s_D_milk/(s_RadSpec!AU13*((s_Q_p_goat_milk*s_f_p_goat_milk*s_f_s_goat_milk*(s_RadSpec!BG13+s_R_es_past))+(s_Q_s_goat_milk*s_f_p_goat_milk))))*1,".")</f>
        <v>1579.9852239903291</v>
      </c>
      <c r="AK13" s="141">
        <f>IFERROR((K13/(s_RadSpec!AR13*((s_Q_p_sheep*s_f_p_sheep*s_f_s_sheep*(s_RadSpec!BG13+s_R_es_past))+(s_Q_s_sheep*s_f_p_sheep))))*1,".")</f>
        <v>203.25052638710545</v>
      </c>
      <c r="AL13" s="141" t="str">
        <f>IFERROR((M13*s_D_milk/(s_RadSpec!AS13*((s_Q_p_sheep_milk*s_f_p_sheep_milk*s_f_s_sheep_milk*(s_RadSpec!BG13+s_R_es_past))+(s_Q_s_sheep_milk*s_f_p_sheep_milk))))*1,".")</f>
        <v>.</v>
      </c>
      <c r="AM13" s="158">
        <f t="shared" si="10"/>
        <v>2.798125E-4</v>
      </c>
      <c r="AN13" s="158">
        <f t="shared" si="11"/>
        <v>3.0174837508213217E-6</v>
      </c>
      <c r="AO13" s="158">
        <f t="shared" si="12"/>
        <v>5.8749795400459926E-6</v>
      </c>
      <c r="AP13" s="158">
        <f t="shared" si="13"/>
        <v>8.9120281250000006E-3</v>
      </c>
      <c r="AQ13" s="158">
        <f t="shared" si="14"/>
        <v>20.985937499999999</v>
      </c>
      <c r="AR13" s="158">
        <f t="shared" si="15"/>
        <v>1.2300091145833332E-2</v>
      </c>
      <c r="AS13" s="158">
        <f t="shared" si="16"/>
        <v>1.1941836063915858E-4</v>
      </c>
      <c r="AT13" s="158" t="str">
        <f t="shared" si="17"/>
        <v>.</v>
      </c>
      <c r="AU13" s="158" t="str">
        <f t="shared" si="18"/>
        <v>.</v>
      </c>
      <c r="AV13" s="158" t="str">
        <f t="shared" si="19"/>
        <v>.</v>
      </c>
      <c r="AW13" s="158" t="str">
        <f t="shared" si="20"/>
        <v>.</v>
      </c>
      <c r="AX13" s="158">
        <f t="shared" si="21"/>
        <v>6.3291731138754041E-4</v>
      </c>
      <c r="AY13" s="158">
        <f t="shared" si="22"/>
        <v>4.9200364583333331E-3</v>
      </c>
      <c r="AZ13" s="158" t="str">
        <f t="shared" si="23"/>
        <v>.</v>
      </c>
      <c r="BA13" s="141">
        <f t="shared" si="24"/>
        <v>4.7589336697922202E-2</v>
      </c>
      <c r="BB13" s="142">
        <f t="shared" si="25"/>
        <v>15.125</v>
      </c>
      <c r="BC13" s="142">
        <f t="shared" si="26"/>
        <v>1.618127279505213E-3</v>
      </c>
      <c r="BD13" s="142">
        <f>IFERROR((s_C*s_EF_far*(1/365)*s_ED_far*s_RadSpec!V13*((s_ET_far_o*(1/24)*s_RadSpec!AA13)+(s_ET_far_i*(1/24)*s_RadSpec!AF13))),".")</f>
        <v>2.1901559844015586E-3</v>
      </c>
      <c r="BE13" s="142">
        <f>s_b2s!BZ13</f>
        <v>481.73125000000005</v>
      </c>
      <c r="BF13" s="142">
        <f>IFERROR(((s_C*s_RadSpec!AN13)/s_RadSpec!AX13)*s_IFFI_far_adj*s_CF_far_fish,0)</f>
        <v>1134375</v>
      </c>
      <c r="BG13" s="142">
        <f>(s_C*s_IFB_far_adj*s_CF_far_beef*s_RadSpec!AM13*((s_Q_p_beef*s_f_p_beef*s_f_s_beef*(s_RadSpec!$AW13+s_R_es_past))+(s_Q_s_beef*s_f_p_beef)))</f>
        <v>664.86979166666663</v>
      </c>
      <c r="BH13" s="142">
        <f>(s_C*s_IFD_far_adj*s_CF_far_dairy*s_RadSpec!AL13*1/s_D_milk*((s_Q_p_dairy*s_f_p_dairy*s_f_s_dairy*(s_RadSpec!$AW13+s_R_es_past))+(s_Q_s_dairy*s_f_p_dairy)))</f>
        <v>6.4550465210355989</v>
      </c>
      <c r="BI13" s="142">
        <f>(s_C*s_IFSW_far_adj*s_CF_far_swine*s_RadSpec!AQ13*((s_Q_p_swine*s_f_p_swine*s_f_s_swine*(s_RadSpec!$AW13+s_R_es_past))+(s_Q_s_swine*s_f_p_swine)))</f>
        <v>0</v>
      </c>
      <c r="BJ13" s="142">
        <f>(s_C*s_IFP_far_adj*s_CF_far_poultry*s_RadSpec!AO13*((s_Q_p_poultry*s_f_p_poultry*s_f_s_poultry*(s_RadSpec!AW13+s_R_es_past))+(s_Q_s_poultry*s_f_p_poultry)))</f>
        <v>0</v>
      </c>
      <c r="BK13" s="142">
        <f>(s_C*s_IFE_far_adj*s_CF_far_egg*s_RadSpec!AP13*((s_Q_p_egg*s_f_p_egg*s_f_s_egg*(s_RadSpec!$AW13+s_R_es_past))+(s_Q_s_egg*s_f_p_egg)))</f>
        <v>0</v>
      </c>
      <c r="BL13" s="142">
        <f>(s_C*s_IFGO_far_adj*s_CF_far_goat*s_RadSpec!AT13*((s_Q_p_goat*s_f_p_goat*s_f_s_goat*(s_RadSpec!$AW13+s_R_es_past))+(s_Q_s_goat*s_f_p_goat)))</f>
        <v>0</v>
      </c>
      <c r="BM13" s="142">
        <f>(s_C*s_IFGM_far_adj*s_CF_far_goat_milk*s_RadSpec!AU13*1/s_D_milk*((s_Q_p_goat_milk*s_f_p_goat_milk*s_f_s_goat_milk*(s_RadSpec!$AW13+s_R_es_past))+(s_Q_s_goat_milk*s_f_p_goat_milk)))</f>
        <v>34.211746561488667</v>
      </c>
      <c r="BN13" s="142">
        <f>(s_C*s_IFSH_far_adj*s_CF_far_sheep*s_RadSpec!AR13*((s_Q_p_sheep*s_f_p_sheep*s_f_s_sheep*(s_RadSpec!$AW13+s_R_es_past))+(s_Q_s_sheep*s_f_p_sheep)))</f>
        <v>265.94791666666669</v>
      </c>
      <c r="BO13" s="142">
        <f>(s_C*s_IFSM_far_adj*s_CF_far_sheep_milk*s_RadSpec!AS13*1/s_D_milk*((s_Q_p_sheep_milk*s_f_p_sheep_milk*s_f_s_sheep_milk*(s_RadSpec!$AW13+s_R_es_past))+(s_Q_s_sheep_milk*s_f_p_sheep_milk)))</f>
        <v>0</v>
      </c>
      <c r="BP13" s="141"/>
      <c r="BQ13" s="141">
        <f>IFERROR(s_DL/(s_RadSpec!M13*s_IFW_far_adj),".")</f>
        <v>39.31203931203931</v>
      </c>
      <c r="BR13" s="141" t="str">
        <f>IFERROR(IF(s_RadSpec!C13=1,s_DL/(s_RadSpec!L13*s_IFA_far_adj*s_K),"."),".")</f>
        <v>.</v>
      </c>
      <c r="BS13" s="141">
        <f>IFERROR((s_DL/(s_RadSpec!Q13*(1/8760)*s_DFA_far_adj)),".")</f>
        <v>552.22650667059361</v>
      </c>
      <c r="BT13" s="141">
        <f>s_b2w!BA13</f>
        <v>180.0401251308069</v>
      </c>
      <c r="BU13" s="141">
        <f>IFERROR(I13/(s_RadSpec!AN13*(1/1000)),".")</f>
        <v>238.25478370932916</v>
      </c>
      <c r="BV13" s="141">
        <f>IFERROR(F13/(s_RadSpec!AM13*s_Q_w_beef*(1/1000)),".")</f>
        <v>1429528.7022559748</v>
      </c>
      <c r="BW13" s="141">
        <f>IFERROR((G13*s_D_milk)/(s_RadSpec!AL13*s_Q_w_dairy*(1/1000)),".")</f>
        <v>147241456.33236542</v>
      </c>
      <c r="BX13" s="141" t="str">
        <f>IFERROR(H13/(s_RadSpec!AQ13*s_Q_w_swine*(1/1000)),".")</f>
        <v>.</v>
      </c>
      <c r="BY13" s="141" t="str">
        <f>IFERROR(D13/(s_RadSpec!AO13*s_Q_w_poultry*(1/1000)),".")</f>
        <v>.</v>
      </c>
      <c r="BZ13" s="141" t="str">
        <f>IFERROR(E13/(s_RadSpec!AP13*s_Q_w_poultry*(1/1000)),".")</f>
        <v>.</v>
      </c>
      <c r="CA13" s="141" t="str">
        <f>IFERROR(J13/(s_RadSpec!AT13*s_Q_w_goat*(1/1000)),".")</f>
        <v>.</v>
      </c>
      <c r="CB13" s="141">
        <f>IFERROR(L13*s_D_milk/(s_RadSpec!AU13*s_Q_w_goat_milk*(1/1000)),".")</f>
        <v>27781406.855163287</v>
      </c>
      <c r="CC13" s="141">
        <f>IFERROR(K13/(s_RadSpec!AR13*s_Q_w_sheep*(1/1000)),".")</f>
        <v>3573821.7556399377</v>
      </c>
      <c r="CD13" s="141" t="str">
        <f>IFERROR(M13*s_D_milk/(s_RadSpec!AS13*s_Q_w_sheep_milk*(1/1000)),".")</f>
        <v>.</v>
      </c>
      <c r="CE13" s="158">
        <f t="shared" si="27"/>
        <v>2.5437500000000002E-2</v>
      </c>
      <c r="CF13" s="158" t="str">
        <f t="shared" si="28"/>
        <v>.</v>
      </c>
      <c r="CG13" s="158">
        <f t="shared" si="29"/>
        <v>1.8108511415525115E-3</v>
      </c>
      <c r="CH13" s="158">
        <f t="shared" si="30"/>
        <v>5.554317401598432E-3</v>
      </c>
      <c r="CI13" s="158">
        <f t="shared" si="31"/>
        <v>4.1971875000000004E-3</v>
      </c>
      <c r="CJ13" s="158">
        <f t="shared" si="32"/>
        <v>6.9953125000000011E-7</v>
      </c>
      <c r="CK13" s="158">
        <f t="shared" si="33"/>
        <v>6.7915655339805822E-9</v>
      </c>
      <c r="CL13" s="158" t="str">
        <f t="shared" si="34"/>
        <v>.</v>
      </c>
      <c r="CM13" s="158" t="str">
        <f t="shared" si="35"/>
        <v>.</v>
      </c>
      <c r="CN13" s="158" t="str">
        <f t="shared" si="36"/>
        <v>.</v>
      </c>
      <c r="CO13" s="158" t="str">
        <f t="shared" si="37"/>
        <v>.</v>
      </c>
      <c r="CP13" s="158">
        <f t="shared" si="38"/>
        <v>3.5995297330097089E-8</v>
      </c>
      <c r="CQ13" s="158">
        <f t="shared" si="39"/>
        <v>2.7981249999999998E-7</v>
      </c>
      <c r="CR13" s="158" t="str">
        <f t="shared" si="40"/>
        <v>.</v>
      </c>
      <c r="CS13" s="141">
        <f t="shared" si="41"/>
        <v>27.026385571277316</v>
      </c>
      <c r="CT13" s="142">
        <f t="shared" si="42"/>
        <v>1375</v>
      </c>
      <c r="CU13" s="142">
        <f t="shared" si="43"/>
        <v>250.65104166666663</v>
      </c>
      <c r="CV13" s="142">
        <f t="shared" si="44"/>
        <v>0.12557077625570776</v>
      </c>
      <c r="CW13" s="142">
        <f>s_b2w!BZ13</f>
        <v>300.23337305937468</v>
      </c>
      <c r="CX13" s="142">
        <f>IFERROR(s_C*s_RadSpec!AN13*(1/1000)*s_IFFI_far_adj*s_CF_far_fish,0)</f>
        <v>226.875</v>
      </c>
      <c r="CY13" s="142">
        <f>(s_C*s_IFB_far_adj*s_CF_far_beef*s_RadSpec!AM13*s_Q_w_beef*(1/1000))</f>
        <v>3.7812499999999999E-2</v>
      </c>
      <c r="CZ13" s="142">
        <f>(s_C*s_IFD_far_adj*s_CF_far_dairy*s_RadSpec!AL13*(1/s_D_milk)*s_Q_w_dairy*(1/1000))</f>
        <v>3.6711165048543693E-4</v>
      </c>
      <c r="DA13" s="142">
        <f>(s_C*s_IFSW_far_adj*s_CF_far_swine*s_RadSpec!AQ13*s_Q_w_swine*(1/1000))</f>
        <v>0</v>
      </c>
      <c r="DB13" s="142">
        <f>(s_C*s_IFP_far_adj*s_CF_far_poultry*s_RadSpec!AO13*s_Q_w_poultry*(1/1000))</f>
        <v>0</v>
      </c>
      <c r="DC13" s="142">
        <f>(s_C*s_IFE_far_adj*s_CF_far_egg*s_RadSpec!AP13*s_Q_w_egg*(1/1000))</f>
        <v>0</v>
      </c>
      <c r="DD13" s="142">
        <f>(s_C*s_IFGO_far_adj*s_CF_far_goat*s_RadSpec!AT13*s_Q_p_goat*(1/1000))</f>
        <v>0</v>
      </c>
      <c r="DE13" s="142">
        <f>(s_C*s_IFGM_far_adj*s_CF_far_goat_milk*s_RadSpec!AU13*(1/s_D_milk)*s_Q_p_goat_milk*(1/1000))</f>
        <v>1.9456917475728155E-3</v>
      </c>
      <c r="DF13" s="142">
        <f>(s_C*s_IFSH_far_adj*s_CF_far_sheep*s_RadSpec!AR13*s_Q_p_sheep*(1/1000))</f>
        <v>1.5125000000000001E-2</v>
      </c>
      <c r="DG13" s="142">
        <f>(s_C*s_IFSM_far_adj*s_CF_far_sheep_milk*s_RadSpec!AS13*(1/s_D_milk)*s_Q_p_sheep_milk*(1/1000))</f>
        <v>0</v>
      </c>
      <c r="DH13" s="141"/>
      <c r="DI13" s="141">
        <f>IFERROR((s_DL/(s_RadSpec!L13*s_IFA_far_adj)),".")</f>
        <v>1.0697153554296412</v>
      </c>
      <c r="DJ13" s="141">
        <f>IFERROR((s_DL/(s_RadSpec!O13*s_EF_far*(1/365)*s_ED_far*s_ET_far*(1/24)*s_GSF_a)),".")</f>
        <v>0.49571960831360268</v>
      </c>
      <c r="DK13" s="141">
        <f t="shared" ref="DK13:DK14" si="53">IFERROR(IF(AND(ISNUMBER(DI13),ISNUMBER(DJ13)),1/((1/DI13)+(1/DJ13)),IF(AND(ISNUMBER(DI13),NOT(ISNUMBER(DJ13))),1/((1/DI13)),IF(AND(NOT(ISNUMBER(DI13)),ISNUMBER(DJ13)),1/((1/DJ13)),IF(AND(NOT(ISNUMBER(DI13)),NOT(ISNUMBER(DJ13))),".")))),".")</f>
        <v>0.33874219580009468</v>
      </c>
      <c r="DL13" s="142">
        <f t="shared" si="46"/>
        <v>501.30208333333326</v>
      </c>
      <c r="DM13" s="142">
        <f t="shared" si="47"/>
        <v>0.3139269406392694</v>
      </c>
      <c r="DN13" s="127"/>
    </row>
    <row r="14" spans="1:118" customFormat="1" x14ac:dyDescent="0.25">
      <c r="A14" s="128" t="s">
        <v>12</v>
      </c>
      <c r="B14" s="129" t="s">
        <v>1059</v>
      </c>
      <c r="C14" s="141">
        <f>s_dir!AB14</f>
        <v>225.62006033080414</v>
      </c>
      <c r="D14" s="141">
        <f>IFERROR(s_DL/(s_RadSpec!J14*s_IFP_far_adj*s_CF_far_poultry),".")</f>
        <v>676.86018099241244</v>
      </c>
      <c r="E14" s="141">
        <f>IFERROR(s_DL/(s_RadSpec!J14*s_IFE_far_adj*s_CF_far_egg),".")</f>
        <v>676.86018099241244</v>
      </c>
      <c r="F14" s="141">
        <f>IFERROR(s_DL/(s_RadSpec!J14*s_IFB_far_adj*s_CF_far_beef),".")</f>
        <v>676.86018099241244</v>
      </c>
      <c r="G14" s="141">
        <f>IFERROR(s_DL/(s_RadSpec!J14*s_IFD_far_adj*s_CF_far_dairy),".")</f>
        <v>676.86018099241244</v>
      </c>
      <c r="H14" s="141">
        <f>IFERROR(s_DL/(s_RadSpec!J14*s_IFSW_far_adj*s_CF_far_swine),".")</f>
        <v>676.86018099241244</v>
      </c>
      <c r="I14" s="141">
        <f>IFERROR(s_DL/(s_RadSpec!J14*s_IFFI_far_adj*s_CF_far_fish),".")</f>
        <v>676.86018099241244</v>
      </c>
      <c r="J14" s="141">
        <f>IFERROR(s_DL/(s_RadSpec!J14*s_IFGO_far_adj*s_CF_far_goat),".")</f>
        <v>676.86018099241244</v>
      </c>
      <c r="K14" s="141">
        <f>IFERROR(s_DL/(s_RadSpec!J14*s_IFSH_far_adj*s_CF_far_sheep),".")</f>
        <v>676.86018099241244</v>
      </c>
      <c r="L14" s="141">
        <f>IFERROR(s_DL/(s_RadSpec!J14*s_IFGM_far_adj*s_CF_far_goat_milk),".")</f>
        <v>676.86018099241244</v>
      </c>
      <c r="M14" s="141">
        <f>IFERROR(s_DL/(s_RadSpec!J14*s_IFSM_far_adj*s_CF_far_sheep_milk),".")</f>
        <v>676.86018099241244</v>
      </c>
      <c r="N14" s="142">
        <f>s_dir!BA14</f>
        <v>22687.5</v>
      </c>
      <c r="O14" s="142">
        <f t="shared" si="0"/>
        <v>7562.5</v>
      </c>
      <c r="P14" s="142">
        <f t="shared" si="1"/>
        <v>7562.5</v>
      </c>
      <c r="Q14" s="142">
        <f t="shared" si="2"/>
        <v>7562.5</v>
      </c>
      <c r="R14" s="142">
        <f t="shared" si="3"/>
        <v>7562.5</v>
      </c>
      <c r="S14" s="142">
        <f t="shared" si="4"/>
        <v>7562.5</v>
      </c>
      <c r="T14" s="142">
        <f t="shared" si="5"/>
        <v>7562.5</v>
      </c>
      <c r="U14" s="142">
        <f t="shared" si="6"/>
        <v>7562.5</v>
      </c>
      <c r="V14" s="142">
        <f t="shared" si="7"/>
        <v>7562.5</v>
      </c>
      <c r="W14" s="142">
        <f t="shared" si="8"/>
        <v>7562.5</v>
      </c>
      <c r="X14" s="142">
        <f t="shared" si="9"/>
        <v>7562.5</v>
      </c>
      <c r="Y14" s="141">
        <f>IFERROR((s_DL/(s_RadSpec!I14*s_IFS_far_adj*(1/1000)))*1,".")</f>
        <v>338430.09049620619</v>
      </c>
      <c r="Z14" s="141">
        <f>IFERROR(IF(A14="H-3",(s_DL/(s_RadSpec!L14*s_IFA_far_adj*(1/17)*1000))*1,(s_DL/(s_RadSpec!L14*s_IFA_far_adj*(1/s_PEF_wind)*1000))*1),".")</f>
        <v>915715915.28363478</v>
      </c>
      <c r="AA14" s="141">
        <f>IFERROR((s_DL/(s_RadSpec!K14*s_EF_far*(1/365)*s_ED_far*s_RadSpec!V14*((s_ET_far_o*(1/24)*s_RadSpec!AA14)+(s_ET_far_i*(1/24)*s_RadSpec!AF14))))*1,".")</f>
        <v>1683.1477564097947</v>
      </c>
      <c r="AB14" s="141">
        <f>s_b2s!BA14</f>
        <v>9600.8536310980489</v>
      </c>
      <c r="AC14" s="141">
        <f>IFERROR(((I14*s_RadSpec!AX14)/s_RadSpec!AN14)*1,".")</f>
        <v>135372.03619848247</v>
      </c>
      <c r="AD14" s="141">
        <f>IFERROR((F14/(s_RadSpec!AM14*((s_Q_p_beef*s_f_p_beef*s_f_s_beef*(s_RadSpec!BG14+s_R_es_past))+(s_Q_s_beef*s_f_p_beef))))*1,".")</f>
        <v>1353720.3619848248</v>
      </c>
      <c r="AE14" s="141">
        <f>IFERROR(((G14*s_D_milk)/(s_RadSpec!AL14*((s_Q_p_dairy*s_f_p_dairy*s_f_s_dairy*(s_RadSpec!BG14+s_R_es_past))+(s_Q_s_dairy*s_f_p_dairy))))*1,".")</f>
        <v>1394331.9728443695</v>
      </c>
      <c r="AF14" s="141" t="str">
        <f>IFERROR((H14/(s_RadSpec!AQ14*((s_Q_p_swine*s_f_p_swine*s_f_s_swine*(s_RadSpec!BG14+s_R_es_past))+(s_Q_s_swine*s_f_p_swine))))*1,".")</f>
        <v>.</v>
      </c>
      <c r="AG14" s="141" t="str">
        <f>IFERROR((D14/(s_RadSpec!AO14*((s_Q_p_poultry*s_f_p_poultry*s_f_s_poultry*(s_RadSpec!BG14+s_R_es_past))+(s_Q_s_poultry*s_f_p_poultry))))*1,".")</f>
        <v>.</v>
      </c>
      <c r="AH14" s="141" t="str">
        <f>IFERROR((E14/(s_RadSpec!AP14*((s_Q_p_poultry*s_f_p_poultry*s_f_s_poultry*(s_RadSpec!BG14+s_R_es_past))+(s_Q_s_poultry*s_f_p_poultry))))*1,".")</f>
        <v>.</v>
      </c>
      <c r="AI14" s="141" t="str">
        <f>IFERROR((J14/(s_RadSpec!AT14*((s_Q_p_goat*s_f_p_goat*s_f_s_goat*(s_RadSpec!BG14+s_R_es_past))+(s_Q_s_goat*s_f_p_goat))))*1,".")</f>
        <v>.</v>
      </c>
      <c r="AJ14" s="141" t="str">
        <f>IFERROR((L14*s_D_milk/(s_RadSpec!AU14*((s_Q_p_goat_milk*s_f_p_goat_milk*s_f_s_goat_milk*(s_RadSpec!BG14+s_R_es_past))+(s_Q_s_goat_milk*s_f_p_goat_milk))))*1,".")</f>
        <v>.</v>
      </c>
      <c r="AK14" s="141" t="str">
        <f>IFERROR((K14/(s_RadSpec!AR14*((s_Q_p_sheep*s_f_p_sheep*s_f_s_sheep*(s_RadSpec!BG14+s_R_es_past))+(s_Q_s_sheep*s_f_p_sheep))))*1,".")</f>
        <v>.</v>
      </c>
      <c r="AL14" s="141" t="str">
        <f>IFERROR((M14*s_D_milk/(s_RadSpec!AS14*((s_Q_p_sheep_milk*s_f_p_sheep_milk*s_f_s_sheep_milk*(s_RadSpec!BG14+s_R_es_past))+(s_Q_s_sheep_milk*s_f_p_sheep_milk))))*1,".")</f>
        <v>.</v>
      </c>
      <c r="AM14" s="158">
        <f t="shared" si="10"/>
        <v>2.9548200000000002E-6</v>
      </c>
      <c r="AN14" s="158">
        <f t="shared" si="11"/>
        <v>1.0920417383924785E-9</v>
      </c>
      <c r="AO14" s="158">
        <f t="shared" si="12"/>
        <v>5.9412490447839845E-4</v>
      </c>
      <c r="AP14" s="158">
        <f t="shared" si="13"/>
        <v>1.0415740499999999E-4</v>
      </c>
      <c r="AQ14" s="158">
        <f t="shared" si="14"/>
        <v>7.3870500000000007E-6</v>
      </c>
      <c r="AR14" s="158">
        <f t="shared" si="15"/>
        <v>7.3870500000000005E-7</v>
      </c>
      <c r="AS14" s="158">
        <f t="shared" si="16"/>
        <v>7.1718932038834957E-7</v>
      </c>
      <c r="AT14" s="158" t="str">
        <f t="shared" si="17"/>
        <v>.</v>
      </c>
      <c r="AU14" s="158" t="str">
        <f t="shared" si="18"/>
        <v>.</v>
      </c>
      <c r="AV14" s="158" t="str">
        <f t="shared" si="19"/>
        <v>.</v>
      </c>
      <c r="AW14" s="158" t="str">
        <f t="shared" si="20"/>
        <v>.</v>
      </c>
      <c r="AX14" s="158" t="str">
        <f t="shared" si="21"/>
        <v>.</v>
      </c>
      <c r="AY14" s="158" t="str">
        <f t="shared" si="22"/>
        <v>.</v>
      </c>
      <c r="AZ14" s="158" t="str">
        <f t="shared" si="23"/>
        <v>.</v>
      </c>
      <c r="BA14" s="141">
        <f t="shared" si="24"/>
        <v>1408.2897112420901</v>
      </c>
      <c r="BB14" s="142">
        <f t="shared" si="25"/>
        <v>15.125</v>
      </c>
      <c r="BC14" s="142">
        <f t="shared" si="26"/>
        <v>1.618127279505213E-3</v>
      </c>
      <c r="BD14" s="142">
        <f>IFERROR((s_C*s_EF_far*(1/365)*s_ED_far*s_RadSpec!V14*((s_ET_far_o*(1/24)*s_RadSpec!AA14)+(s_ET_far_i*(1/24)*s_RadSpec!AF14))),".")</f>
        <v>1.4589633825079034E-2</v>
      </c>
      <c r="BE14" s="142">
        <f>s_b2s!BZ14</f>
        <v>533.15625</v>
      </c>
      <c r="BF14" s="142">
        <f>IFERROR(((s_C*s_RadSpec!AN14)/s_RadSpec!AX14)*s_IFFI_far_adj*s_CF_far_fish,0)</f>
        <v>37.8125</v>
      </c>
      <c r="BG14" s="142">
        <f>(s_C*s_IFB_far_adj*s_CF_far_beef*s_RadSpec!AM14*((s_Q_p_beef*s_f_p_beef*s_f_s_beef*(s_RadSpec!$AW14+s_R_es_past))+(s_Q_s_beef*s_f_p_beef)))</f>
        <v>3.7812500000000004</v>
      </c>
      <c r="BH14" s="142">
        <f>(s_C*s_IFD_far_adj*s_CF_far_dairy*s_RadSpec!AL14*1/s_D_milk*((s_Q_p_dairy*s_f_p_dairy*s_f_s_dairy*(s_RadSpec!$AW14+s_R_es_past))+(s_Q_s_dairy*s_f_p_dairy)))</f>
        <v>3.6711165048543695</v>
      </c>
      <c r="BI14" s="142">
        <f>(s_C*s_IFSW_far_adj*s_CF_far_swine*s_RadSpec!AQ14*((s_Q_p_swine*s_f_p_swine*s_f_s_swine*(s_RadSpec!$AW14+s_R_es_past))+(s_Q_s_swine*s_f_p_swine)))</f>
        <v>0</v>
      </c>
      <c r="BJ14" s="142">
        <f>(s_C*s_IFP_far_adj*s_CF_far_poultry*s_RadSpec!AO14*((s_Q_p_poultry*s_f_p_poultry*s_f_s_poultry*(s_RadSpec!AW14+s_R_es_past))+(s_Q_s_poultry*s_f_p_poultry)))</f>
        <v>0</v>
      </c>
      <c r="BK14" s="142">
        <f>(s_C*s_IFE_far_adj*s_CF_far_egg*s_RadSpec!AP14*((s_Q_p_egg*s_f_p_egg*s_f_s_egg*(s_RadSpec!$AW14+s_R_es_past))+(s_Q_s_egg*s_f_p_egg)))</f>
        <v>0</v>
      </c>
      <c r="BL14" s="142">
        <f>(s_C*s_IFGO_far_adj*s_CF_far_goat*s_RadSpec!AT14*((s_Q_p_goat*s_f_p_goat*s_f_s_goat*(s_RadSpec!$AW14+s_R_es_past))+(s_Q_s_goat*s_f_p_goat)))</f>
        <v>0</v>
      </c>
      <c r="BM14" s="142">
        <f>(s_C*s_IFGM_far_adj*s_CF_far_goat_milk*s_RadSpec!AU14*1/s_D_milk*((s_Q_p_goat_milk*s_f_p_goat_milk*s_f_s_goat_milk*(s_RadSpec!$AW14+s_R_es_past))+(s_Q_s_goat_milk*s_f_p_goat_milk)))</f>
        <v>0</v>
      </c>
      <c r="BN14" s="142">
        <f>(s_C*s_IFSH_far_adj*s_CF_far_sheep*s_RadSpec!AR14*((s_Q_p_sheep*s_f_p_sheep*s_f_s_sheep*(s_RadSpec!$AW14+s_R_es_past))+(s_Q_s_sheep*s_f_p_sheep)))</f>
        <v>0</v>
      </c>
      <c r="BO14" s="142">
        <f>(s_C*s_IFSM_far_adj*s_CF_far_sheep_milk*s_RadSpec!AS14*1/s_D_milk*((s_Q_p_sheep_milk*s_f_p_sheep_milk*s_f_s_sheep_milk*(s_RadSpec!$AW14+s_R_es_past))+(s_Q_s_sheep_milk*s_f_p_sheep_milk)))</f>
        <v>0</v>
      </c>
      <c r="BP14" s="141"/>
      <c r="BQ14" s="141">
        <f>IFERROR(s_DL/(s_RadSpec!M14*s_IFW_far_adj),".")</f>
        <v>3722.7309954582679</v>
      </c>
      <c r="BR14" s="141" t="str">
        <f>IFERROR(IF(s_RadSpec!C14=1,s_DL/(s_RadSpec!L14*s_IFA_far_adj*s_K),"."),".")</f>
        <v>.</v>
      </c>
      <c r="BS14" s="141">
        <f>IFERROR((s_DL/(s_RadSpec!Q14*(1/8760)*s_DFA_far_adj)),".")</f>
        <v>52.502323047992398</v>
      </c>
      <c r="BT14" s="141">
        <f>s_b2w!BA14</f>
        <v>16488.096096734134</v>
      </c>
      <c r="BU14" s="141">
        <f>IFERROR(I14/(s_RadSpec!AN14*(1/1000)),".")</f>
        <v>67686.018099241235</v>
      </c>
      <c r="BV14" s="141">
        <f>IFERROR(F14/(s_RadSpec!AM14*s_Q_w_beef*(1/1000)),".")</f>
        <v>27074407239.696495</v>
      </c>
      <c r="BW14" s="141">
        <f>IFERROR((G14*s_D_milk)/(s_RadSpec!AL14*s_Q_w_dairy*(1/1000)),".")</f>
        <v>27886639456.88739</v>
      </c>
      <c r="BX14" s="141" t="str">
        <f>IFERROR(H14/(s_RadSpec!AQ14*s_Q_w_swine*(1/1000)),".")</f>
        <v>.</v>
      </c>
      <c r="BY14" s="141" t="str">
        <f>IFERROR(D14/(s_RadSpec!AO14*s_Q_w_poultry*(1/1000)),".")</f>
        <v>.</v>
      </c>
      <c r="BZ14" s="141" t="str">
        <f>IFERROR(E14/(s_RadSpec!AP14*s_Q_w_poultry*(1/1000)),".")</f>
        <v>.</v>
      </c>
      <c r="CA14" s="141" t="str">
        <f>IFERROR(J14/(s_RadSpec!AT14*s_Q_w_goat*(1/1000)),".")</f>
        <v>.</v>
      </c>
      <c r="CB14" s="141" t="str">
        <f>IFERROR(L14*s_D_milk/(s_RadSpec!AU14*s_Q_w_goat_milk*(1/1000)),".")</f>
        <v>.</v>
      </c>
      <c r="CC14" s="141" t="str">
        <f>IFERROR(K14/(s_RadSpec!AR14*s_Q_w_sheep*(1/1000)),".")</f>
        <v>.</v>
      </c>
      <c r="CD14" s="141" t="str">
        <f>IFERROR(M14*s_D_milk/(s_RadSpec!AS14*s_Q_w_sheep_milk*(1/1000)),".")</f>
        <v>.</v>
      </c>
      <c r="CE14" s="158">
        <f t="shared" si="27"/>
        <v>2.6862000000000001E-4</v>
      </c>
      <c r="CF14" s="158" t="str">
        <f t="shared" si="28"/>
        <v>.</v>
      </c>
      <c r="CG14" s="158">
        <f t="shared" si="29"/>
        <v>1.9046776255707762E-2</v>
      </c>
      <c r="CH14" s="158">
        <f t="shared" si="30"/>
        <v>6.0649816336167164E-5</v>
      </c>
      <c r="CI14" s="158">
        <f t="shared" si="31"/>
        <v>1.4774100000000001E-5</v>
      </c>
      <c r="CJ14" s="158">
        <f t="shared" si="32"/>
        <v>3.6935250000000002E-11</v>
      </c>
      <c r="CK14" s="158">
        <f t="shared" si="33"/>
        <v>3.5859466019417478E-11</v>
      </c>
      <c r="CL14" s="158" t="str">
        <f t="shared" si="34"/>
        <v>.</v>
      </c>
      <c r="CM14" s="158" t="str">
        <f t="shared" si="35"/>
        <v>.</v>
      </c>
      <c r="CN14" s="158" t="str">
        <f t="shared" si="36"/>
        <v>.</v>
      </c>
      <c r="CO14" s="158" t="str">
        <f t="shared" si="37"/>
        <v>.</v>
      </c>
      <c r="CP14" s="158" t="str">
        <f t="shared" si="38"/>
        <v>.</v>
      </c>
      <c r="CQ14" s="158" t="str">
        <f t="shared" si="39"/>
        <v>.</v>
      </c>
      <c r="CR14" s="158" t="str">
        <f t="shared" si="40"/>
        <v>.</v>
      </c>
      <c r="CS14" s="141">
        <f t="shared" si="41"/>
        <v>51.570794188872704</v>
      </c>
      <c r="CT14" s="142">
        <f t="shared" si="42"/>
        <v>1375</v>
      </c>
      <c r="CU14" s="142">
        <f t="shared" si="43"/>
        <v>250.65104166666663</v>
      </c>
      <c r="CV14" s="142">
        <f t="shared" si="44"/>
        <v>0.12557077625570776</v>
      </c>
      <c r="CW14" s="142">
        <f>s_b2w!BZ14</f>
        <v>310.45155782231353</v>
      </c>
      <c r="CX14" s="142">
        <f>IFERROR(s_C*s_RadSpec!AN14*(1/1000)*s_IFFI_far_adj*s_CF_far_fish,0)</f>
        <v>75.625</v>
      </c>
      <c r="CY14" s="142">
        <f>(s_C*s_IFB_far_adj*s_CF_far_beef*s_RadSpec!AM14*s_Q_w_beef*(1/1000))</f>
        <v>1.8906250000000002E-4</v>
      </c>
      <c r="CZ14" s="142">
        <f>(s_C*s_IFD_far_adj*s_CF_far_dairy*s_RadSpec!AL14*(1/s_D_milk)*s_Q_w_dairy*(1/1000))</f>
        <v>1.8355582524271847E-4</v>
      </c>
      <c r="DA14" s="142">
        <f>(s_C*s_IFSW_far_adj*s_CF_far_swine*s_RadSpec!AQ14*s_Q_w_swine*(1/1000))</f>
        <v>0</v>
      </c>
      <c r="DB14" s="142">
        <f>(s_C*s_IFP_far_adj*s_CF_far_poultry*s_RadSpec!AO14*s_Q_w_poultry*(1/1000))</f>
        <v>0</v>
      </c>
      <c r="DC14" s="142">
        <f>(s_C*s_IFE_far_adj*s_CF_far_egg*s_RadSpec!AP14*s_Q_w_egg*(1/1000))</f>
        <v>0</v>
      </c>
      <c r="DD14" s="142">
        <f>(s_C*s_IFGO_far_adj*s_CF_far_goat*s_RadSpec!AT14*s_Q_p_goat*(1/1000))</f>
        <v>0</v>
      </c>
      <c r="DE14" s="142">
        <f>(s_C*s_IFGM_far_adj*s_CF_far_goat_milk*s_RadSpec!AU14*(1/s_D_milk)*s_Q_p_goat_milk*(1/1000))</f>
        <v>0</v>
      </c>
      <c r="DF14" s="142">
        <f>(s_C*s_IFSH_far_adj*s_CF_far_sheep*s_RadSpec!AR14*s_Q_p_sheep*(1/1000))</f>
        <v>0</v>
      </c>
      <c r="DG14" s="142">
        <f>(s_C*s_IFSM_far_adj*s_CF_far_sheep_milk*s_RadSpec!AS14*(1/s_D_milk)*s_Q_p_sheep_milk*(1/1000))</f>
        <v>0</v>
      </c>
      <c r="DH14" s="141"/>
      <c r="DI14" s="141">
        <f>IFERROR((s_DL/(s_RadSpec!L14*s_IFA_far_adj)),".")</f>
        <v>2955.7924294766399</v>
      </c>
      <c r="DJ14" s="141">
        <f>IFERROR((s_DL/(s_RadSpec!O14*s_EF_far*(1/365)*s_ED_far*s_ET_far*(1/24)*s_GSF_a)),".")</f>
        <v>4.5989089875911354E-2</v>
      </c>
      <c r="DK14" s="141">
        <f t="shared" si="53"/>
        <v>4.5988374344110176E-2</v>
      </c>
      <c r="DL14" s="142">
        <f t="shared" si="46"/>
        <v>501.30208333333326</v>
      </c>
      <c r="DM14" s="142">
        <f t="shared" si="47"/>
        <v>0.3139269406392694</v>
      </c>
      <c r="DN14" s="127"/>
    </row>
    <row r="15" spans="1:118" customFormat="1" x14ac:dyDescent="0.25">
      <c r="A15" s="128" t="s">
        <v>13</v>
      </c>
      <c r="B15" s="129" t="s">
        <v>1059</v>
      </c>
      <c r="C15" s="141">
        <f>s_dir!AB15</f>
        <v>3986.8605038375017</v>
      </c>
      <c r="D15" s="141">
        <f>IFERROR(s_DL/(s_RadSpec!J15*s_IFP_far_adj*s_CF_far_poultry),".")</f>
        <v>11960.581511512508</v>
      </c>
      <c r="E15" s="141">
        <f>IFERROR(s_DL/(s_RadSpec!J15*s_IFE_far_adj*s_CF_far_egg),".")</f>
        <v>11960.581511512508</v>
      </c>
      <c r="F15" s="141">
        <f>IFERROR(s_DL/(s_RadSpec!J15*s_IFB_far_adj*s_CF_far_beef),".")</f>
        <v>11960.581511512508</v>
      </c>
      <c r="G15" s="141">
        <f>IFERROR(s_DL/(s_RadSpec!J15*s_IFD_far_adj*s_CF_far_dairy),".")</f>
        <v>11960.581511512508</v>
      </c>
      <c r="H15" s="141">
        <f>IFERROR(s_DL/(s_RadSpec!J15*s_IFSW_far_adj*s_CF_far_swine),".")</f>
        <v>11960.581511512508</v>
      </c>
      <c r="I15" s="141">
        <f>IFERROR(s_DL/(s_RadSpec!J15*s_IFFI_far_adj*s_CF_far_fish),".")</f>
        <v>11960.581511512508</v>
      </c>
      <c r="J15" s="141">
        <f>IFERROR(s_DL/(s_RadSpec!J15*s_IFGO_far_adj*s_CF_far_goat),".")</f>
        <v>11960.581511512508</v>
      </c>
      <c r="K15" s="141">
        <f>IFERROR(s_DL/(s_RadSpec!J15*s_IFSH_far_adj*s_CF_far_sheep),".")</f>
        <v>11960.581511512508</v>
      </c>
      <c r="L15" s="141">
        <f>IFERROR(s_DL/(s_RadSpec!J15*s_IFGM_far_adj*s_CF_far_goat_milk),".")</f>
        <v>11960.581511512508</v>
      </c>
      <c r="M15" s="141">
        <f>IFERROR(s_DL/(s_RadSpec!J15*s_IFSM_far_adj*s_CF_far_sheep_milk),".")</f>
        <v>11960.581511512508</v>
      </c>
      <c r="N15" s="142">
        <f>s_dir!BA15</f>
        <v>22687.5</v>
      </c>
      <c r="O15" s="142">
        <f t="shared" si="0"/>
        <v>7562.5</v>
      </c>
      <c r="P15" s="142">
        <f t="shared" si="1"/>
        <v>7562.5</v>
      </c>
      <c r="Q15" s="142">
        <f t="shared" si="2"/>
        <v>7562.5</v>
      </c>
      <c r="R15" s="142">
        <f t="shared" si="3"/>
        <v>7562.5</v>
      </c>
      <c r="S15" s="142">
        <f t="shared" si="4"/>
        <v>7562.5</v>
      </c>
      <c r="T15" s="142">
        <f t="shared" si="5"/>
        <v>7562.5</v>
      </c>
      <c r="U15" s="142">
        <f t="shared" si="6"/>
        <v>7562.5</v>
      </c>
      <c r="V15" s="142">
        <f t="shared" si="7"/>
        <v>7562.5</v>
      </c>
      <c r="W15" s="142">
        <f t="shared" si="8"/>
        <v>7562.5</v>
      </c>
      <c r="X15" s="142">
        <f t="shared" si="9"/>
        <v>7562.5</v>
      </c>
      <c r="Y15" s="141">
        <f>IFERROR((s_DL/(s_RadSpec!I15*s_IFS_far_adj*(1/1000)))*1,".")</f>
        <v>5980290.7557562534</v>
      </c>
      <c r="Z15" s="141">
        <f>IFERROR(IF(A15="H-3",(s_DL/(s_RadSpec!L15*s_IFA_far_adj*(1/17)*1000))*1,(s_DL/(s_RadSpec!L15*s_IFA_far_adj*(1/s_PEF_wind)*1000))*1),".")</f>
        <v>59823274694.747505</v>
      </c>
      <c r="AA15" s="141" t="str">
        <f>IFERROR((s_DL/(s_RadSpec!K15*s_EF_far*(1/365)*s_ED_far*s_RadSpec!V15*((s_ET_far_o*(1/24)*s_RadSpec!AA15)+(s_ET_far_i*(1/24)*s_RadSpec!AF15))))*1,".")</f>
        <v>.</v>
      </c>
      <c r="AB15" s="141">
        <f>s_b2s!BA15</f>
        <v>193568.23938359777</v>
      </c>
      <c r="AC15" s="141">
        <f>IFERROR(((I15*s_RadSpec!AX15)/s_RadSpec!AN15)*1,".")</f>
        <v>71763.489069075047</v>
      </c>
      <c r="AD15" s="141">
        <f>IFERROR((F15/(s_RadSpec!AM15*((s_Q_p_beef*s_f_p_beef*s_f_s_beef*(s_RadSpec!BG15+s_R_es_past))+(s_Q_s_beef*s_f_p_beef))))*1,".")</f>
        <v>191810.24728139874</v>
      </c>
      <c r="AE15" s="141">
        <f>IFERROR(((G15*s_D_milk)/(s_RadSpec!AL15*((s_Q_p_dairy*s_f_p_dairy*s_f_s_dairy*(s_RadSpec!BG15+s_R_es_past))+(s_Q_s_dairy*s_f_p_dairy))))*1,".")</f>
        <v>727869.41205204464</v>
      </c>
      <c r="AF15" s="141" t="str">
        <f>IFERROR((H15/(s_RadSpec!AQ15*((s_Q_p_swine*s_f_p_swine*s_f_s_swine*(s_RadSpec!BG15+s_R_es_past))+(s_Q_s_swine*s_f_p_swine))))*1,".")</f>
        <v>.</v>
      </c>
      <c r="AG15" s="141" t="str">
        <f>IFERROR((D15/(s_RadSpec!AO15*((s_Q_p_poultry*s_f_p_poultry*s_f_s_poultry*(s_RadSpec!BG15+s_R_es_past))+(s_Q_s_poultry*s_f_p_poultry))))*1,".")</f>
        <v>.</v>
      </c>
      <c r="AH15" s="141" t="str">
        <f>IFERROR((E15/(s_RadSpec!AP15*((s_Q_p_poultry*s_f_p_poultry*s_f_s_poultry*(s_RadSpec!BG15+s_R_es_past))+(s_Q_s_poultry*s_f_p_poultry))))*1,".")</f>
        <v>.</v>
      </c>
      <c r="AI15" s="141" t="str">
        <f>IFERROR((J15/(s_RadSpec!AT15*((s_Q_p_goat*s_f_p_goat*s_f_s_goat*(s_RadSpec!BG15+s_R_es_past))+(s_Q_s_goat*s_f_p_goat))))*1,".")</f>
        <v>.</v>
      </c>
      <c r="AJ15" s="141">
        <f>IFERROR((L15*s_D_milk/(s_RadSpec!AU15*((s_Q_p_goat_milk*s_f_p_goat_milk*s_f_s_goat_milk*(s_RadSpec!BG15+s_R_es_past))+(s_Q_s_goat_milk*s_f_p_goat_milk))))*1,".")</f>
        <v>23049.198048314753</v>
      </c>
      <c r="AK15" s="141">
        <f>IFERROR((K15/(s_RadSpec!AR15*((s_Q_p_sheep*s_f_p_sheep*s_f_s_sheep*(s_RadSpec!BG15+s_R_es_past))+(s_Q_s_sheep*s_f_p_sheep))))*1,".")</f>
        <v>18910.869450278751</v>
      </c>
      <c r="AL15" s="141">
        <f>IFERROR((M15*s_D_milk/(s_RadSpec!AS15*((s_Q_p_sheep_milk*s_f_p_sheep_milk*s_f_s_sheep_milk*(s_RadSpec!BG15+s_R_es_past))+(s_Q_s_sheep_milk*s_f_p_sheep_milk))))*1,".")</f>
        <v>3951.2910939968137</v>
      </c>
      <c r="AM15" s="158">
        <f t="shared" si="10"/>
        <v>1.6721595000000001E-7</v>
      </c>
      <c r="AN15" s="158">
        <f t="shared" si="11"/>
        <v>1.6715902048200652E-11</v>
      </c>
      <c r="AO15" s="158" t="str">
        <f t="shared" si="12"/>
        <v>.</v>
      </c>
      <c r="AP15" s="158">
        <f t="shared" si="13"/>
        <v>5.1661367752500006E-6</v>
      </c>
      <c r="AQ15" s="158">
        <f t="shared" si="14"/>
        <v>1.39346625E-5</v>
      </c>
      <c r="AR15" s="158">
        <f t="shared" si="15"/>
        <v>5.2134857974137936E-6</v>
      </c>
      <c r="AS15" s="158">
        <f t="shared" si="16"/>
        <v>1.3738728176263811E-6</v>
      </c>
      <c r="AT15" s="158" t="str">
        <f t="shared" si="17"/>
        <v>.</v>
      </c>
      <c r="AU15" s="158" t="str">
        <f t="shared" si="18"/>
        <v>.</v>
      </c>
      <c r="AV15" s="158" t="str">
        <f t="shared" si="19"/>
        <v>.</v>
      </c>
      <c r="AW15" s="158" t="str">
        <f t="shared" si="20"/>
        <v>.</v>
      </c>
      <c r="AX15" s="158">
        <f t="shared" si="21"/>
        <v>4.3385457398727813E-5</v>
      </c>
      <c r="AY15" s="158">
        <f t="shared" si="22"/>
        <v>5.2879641659482756E-5</v>
      </c>
      <c r="AZ15" s="158">
        <f t="shared" si="23"/>
        <v>2.5308183482591234E-4</v>
      </c>
      <c r="BA15" s="141">
        <f t="shared" si="24"/>
        <v>2665.2286909247914</v>
      </c>
      <c r="BB15" s="142">
        <f t="shared" si="25"/>
        <v>15.125</v>
      </c>
      <c r="BC15" s="142">
        <f t="shared" si="26"/>
        <v>1.618127279505213E-3</v>
      </c>
      <c r="BD15" s="142">
        <f>IFERROR((s_C*s_EF_far*(1/365)*s_ED_far*s_RadSpec!V15*((s_ET_far_o*(1/24)*s_RadSpec!AA15)+(s_ET_far_i*(1/24)*s_RadSpec!AF15))),".")</f>
        <v>0</v>
      </c>
      <c r="BE15" s="142">
        <f>s_b2s!BZ15</f>
        <v>467.28687500000001</v>
      </c>
      <c r="BF15" s="142">
        <f>IFERROR(((s_C*s_RadSpec!AN15)/s_RadSpec!AX15)*s_IFFI_far_adj*s_CF_far_fish,0)</f>
        <v>1260.4166666666667</v>
      </c>
      <c r="BG15" s="142">
        <f>(s_C*s_IFB_far_adj*s_CF_far_beef*s_RadSpec!AM15*((s_Q_p_beef*s_f_p_beef*s_f_s_beef*(s_RadSpec!$AW15+s_R_es_past))+(s_Q_s_beef*s_f_p_beef)))</f>
        <v>471.56968390804599</v>
      </c>
      <c r="BH15" s="142">
        <f>(s_C*s_IFD_far_adj*s_CF_far_dairy*s_RadSpec!AL15*1/s_D_milk*((s_Q_p_dairy*s_f_p_dairy*s_f_s_dairy*(s_RadSpec!$AW15+s_R_es_past))+(s_Q_s_dairy*s_f_p_dairy)))</f>
        <v>124.26940352639215</v>
      </c>
      <c r="BI15" s="142">
        <f>(s_C*s_IFSW_far_adj*s_CF_far_swine*s_RadSpec!AQ15*((s_Q_p_swine*s_f_p_swine*s_f_s_swine*(s_RadSpec!$AW15+s_R_es_past))+(s_Q_s_swine*s_f_p_swine)))</f>
        <v>0</v>
      </c>
      <c r="BJ15" s="142">
        <f>(s_C*s_IFP_far_adj*s_CF_far_poultry*s_RadSpec!AO15*((s_Q_p_poultry*s_f_p_poultry*s_f_s_poultry*(s_RadSpec!AW15+s_R_es_past))+(s_Q_s_poultry*s_f_p_poultry)))</f>
        <v>0</v>
      </c>
      <c r="BK15" s="142">
        <f>(s_C*s_IFE_far_adj*s_CF_far_egg*s_RadSpec!AP15*((s_Q_p_egg*s_f_p_egg*s_f_s_egg*(s_RadSpec!$AW15+s_R_es_past))+(s_Q_s_egg*s_f_p_egg)))</f>
        <v>0</v>
      </c>
      <c r="BL15" s="142">
        <f>(s_C*s_IFGO_far_adj*s_CF_far_goat*s_RadSpec!AT15*((s_Q_p_goat*s_f_p_goat*s_f_s_goat*(s_RadSpec!$AW15+s_R_es_past))+(s_Q_s_goat*s_f_p_goat)))</f>
        <v>0</v>
      </c>
      <c r="BM15" s="142">
        <f>(s_C*s_IFGM_far_adj*s_CF_far_goat_milk*s_RadSpec!AU15*1/s_D_milk*((s_Q_p_goat_milk*s_f_p_goat_milk*s_f_s_goat_milk*(s_RadSpec!$AW15+s_R_es_past))+(s_Q_s_goat_milk*s_f_p_goat_milk)))</f>
        <v>3924.2969534650151</v>
      </c>
      <c r="BN15" s="142">
        <f>(s_C*s_IFSH_far_adj*s_CF_far_sheep*s_RadSpec!AR15*((s_Q_p_sheep*s_f_p_sheep*s_f_s_sheep*(s_RadSpec!$AW15+s_R_es_past))+(s_Q_s_sheep*s_f_p_sheep)))</f>
        <v>4783.0639367816093</v>
      </c>
      <c r="BO15" s="142">
        <f>(s_C*s_IFSM_far_adj*s_CF_far_sheep_milk*s_RadSpec!AS15*1/s_D_milk*((s_Q_p_sheep_milk*s_f_p_sheep_milk*s_f_s_sheep_milk*(s_RadSpec!$AW15+s_R_es_past))+(s_Q_s_sheep_milk*s_f_p_sheep_milk)))</f>
        <v>22891.732228545919</v>
      </c>
      <c r="BP15" s="141"/>
      <c r="BQ15" s="141">
        <f>IFERROR(s_DL/(s_RadSpec!M15*s_IFW_far_adj),".")</f>
        <v>65783.198313318804</v>
      </c>
      <c r="BR15" s="141" t="str">
        <f>IFERROR(IF(s_RadSpec!C15=1,s_DL/(s_RadSpec!L15*s_IFA_far_adj*s_K),"."),".")</f>
        <v>.</v>
      </c>
      <c r="BS15" s="141">
        <f>IFERROR((s_DL/(s_RadSpec!Q15*(1/8760)*s_DFA_far_adj)),".")</f>
        <v>9516.0460524486225</v>
      </c>
      <c r="BT15" s="141">
        <f>s_b2w!BA15</f>
        <v>304179.79704227962</v>
      </c>
      <c r="BU15" s="141">
        <f>IFERROR(I15/(s_RadSpec!AN15*(1/1000)),".")</f>
        <v>478423.26046050031</v>
      </c>
      <c r="BV15" s="141">
        <f>IFERROR(F15/(s_RadSpec!AM15*s_Q_w_beef*(1/1000)),".")</f>
        <v>3417309003.289288</v>
      </c>
      <c r="BW15" s="141">
        <f>IFERROR((G15*s_D_milk)/(s_RadSpec!AL15*s_Q_w_dairy*(1/1000)),".")</f>
        <v>12967788375.639875</v>
      </c>
      <c r="BX15" s="141" t="str">
        <f>IFERROR(H15/(s_RadSpec!AQ15*s_Q_w_swine*(1/1000)),".")</f>
        <v>.</v>
      </c>
      <c r="BY15" s="141" t="str">
        <f>IFERROR(D15/(s_RadSpec!AO15*s_Q_w_poultry*(1/1000)),".")</f>
        <v>.</v>
      </c>
      <c r="BZ15" s="141" t="str">
        <f>IFERROR(E15/(s_RadSpec!AP15*s_Q_w_poultry*(1/1000)),".")</f>
        <v>.</v>
      </c>
      <c r="CA15" s="141" t="str">
        <f>IFERROR(J15/(s_RadSpec!AT15*s_Q_w_goat*(1/1000)),".")</f>
        <v>.</v>
      </c>
      <c r="CB15" s="141">
        <f>IFERROR(L15*s_D_milk/(s_RadSpec!AU15*s_Q_w_goat_milk*(1/1000)),".")</f>
        <v>410646631.89526278</v>
      </c>
      <c r="CC15" s="141">
        <f>IFERROR(K15/(s_RadSpec!AR15*s_Q_w_sheep*(1/1000)),".")</f>
        <v>336917789.05669034</v>
      </c>
      <c r="CD15" s="141">
        <f>IFERROR(M15*s_D_milk/(s_RadSpec!AS15*s_Q_w_sheep_milk*(1/1000)),".")</f>
        <v>70396565.467759326</v>
      </c>
      <c r="CE15" s="158">
        <f t="shared" si="27"/>
        <v>1.5201449999999998E-5</v>
      </c>
      <c r="CF15" s="158" t="str">
        <f t="shared" si="28"/>
        <v>.</v>
      </c>
      <c r="CG15" s="158">
        <f t="shared" si="29"/>
        <v>1.0508566210045662E-4</v>
      </c>
      <c r="CH15" s="158">
        <f t="shared" si="30"/>
        <v>3.2875293156336891E-6</v>
      </c>
      <c r="CI15" s="158">
        <f t="shared" si="31"/>
        <v>2.0901993749999999E-6</v>
      </c>
      <c r="CJ15" s="158">
        <f t="shared" si="32"/>
        <v>2.9262791250000001E-10</v>
      </c>
      <c r="CK15" s="158">
        <f t="shared" si="33"/>
        <v>7.7114151699029144E-11</v>
      </c>
      <c r="CL15" s="158" t="str">
        <f t="shared" si="34"/>
        <v>.</v>
      </c>
      <c r="CM15" s="158" t="str">
        <f t="shared" si="35"/>
        <v>.</v>
      </c>
      <c r="CN15" s="158" t="str">
        <f t="shared" si="36"/>
        <v>.</v>
      </c>
      <c r="CO15" s="158" t="str">
        <f t="shared" si="37"/>
        <v>.</v>
      </c>
      <c r="CP15" s="158">
        <f t="shared" si="38"/>
        <v>2.4351837378640778E-9</v>
      </c>
      <c r="CQ15" s="158">
        <f t="shared" si="39"/>
        <v>2.9680831125000003E-9</v>
      </c>
      <c r="CR15" s="158">
        <f t="shared" si="40"/>
        <v>1.4205238470873788E-8</v>
      </c>
      <c r="CS15" s="141">
        <f t="shared" si="41"/>
        <v>7956.4103894987611</v>
      </c>
      <c r="CT15" s="142">
        <f t="shared" si="42"/>
        <v>1375</v>
      </c>
      <c r="CU15" s="142">
        <f t="shared" si="43"/>
        <v>250.65104166666663</v>
      </c>
      <c r="CV15" s="142">
        <f t="shared" si="44"/>
        <v>0.12557077625570776</v>
      </c>
      <c r="CW15" s="142">
        <f>s_b2w!BZ15</f>
        <v>297.36326528037273</v>
      </c>
      <c r="CX15" s="142">
        <f>IFERROR(s_C*s_RadSpec!AN15*(1/1000)*s_IFFI_far_adj*s_CF_far_fish,0)</f>
        <v>189.0625</v>
      </c>
      <c r="CY15" s="142">
        <f>(s_C*s_IFB_far_adj*s_CF_far_beef*s_RadSpec!AM15*s_Q_w_beef*(1/1000))</f>
        <v>2.6468749999999999E-2</v>
      </c>
      <c r="CZ15" s="142">
        <f>(s_C*s_IFD_far_adj*s_CF_far_dairy*s_RadSpec!AL15*(1/s_D_milk)*s_Q_w_dairy*(1/1000))</f>
        <v>6.9751213592233012E-3</v>
      </c>
      <c r="DA15" s="142">
        <f>(s_C*s_IFSW_far_adj*s_CF_far_swine*s_RadSpec!AQ15*s_Q_w_swine*(1/1000))</f>
        <v>0</v>
      </c>
      <c r="DB15" s="142">
        <f>(s_C*s_IFP_far_adj*s_CF_far_poultry*s_RadSpec!AO15*s_Q_w_poultry*(1/1000))</f>
        <v>0</v>
      </c>
      <c r="DC15" s="142">
        <f>(s_C*s_IFE_far_adj*s_CF_far_egg*s_RadSpec!AP15*s_Q_w_egg*(1/1000))</f>
        <v>0</v>
      </c>
      <c r="DD15" s="142">
        <f>(s_C*s_IFGO_far_adj*s_CF_far_goat*s_RadSpec!AT15*s_Q_p_goat*(1/1000))</f>
        <v>0</v>
      </c>
      <c r="DE15" s="142">
        <f>(s_C*s_IFGM_far_adj*s_CF_far_goat_milk*s_RadSpec!AU15*(1/s_D_milk)*s_Q_p_goat_milk*(1/1000))</f>
        <v>0.22026699029126212</v>
      </c>
      <c r="DF15" s="142">
        <f>(s_C*s_IFSH_far_adj*s_CF_far_sheep*s_RadSpec!AR15*s_Q_p_sheep*(1/1000))</f>
        <v>0.26846874999999998</v>
      </c>
      <c r="DG15" s="142">
        <f>(s_C*s_IFSM_far_adj*s_CF_far_sheep_milk*s_RadSpec!AS15*(1/s_D_milk)*s_Q_p_sheep_milk*(1/1000))</f>
        <v>1.2848907766990292</v>
      </c>
      <c r="DH15" s="141"/>
      <c r="DI15" s="141">
        <f>IFERROR((s_DL/(s_RadSpec!L15*s_IFA_far_adj)),".")</f>
        <v>193100.47963343095</v>
      </c>
      <c r="DJ15" s="141">
        <f>IFERROR((s_DL/(s_RadSpec!O15*s_EF_far*(1/365)*s_ED_far*s_ET_far*(1/24)*s_GSF_a)),".")</f>
        <v>4.2631886314969822</v>
      </c>
      <c r="DK15" s="141">
        <f t="shared" ref="DK15:DK17" si="54">IFERROR(IF(AND(ISNUMBER(DI15),ISNUMBER(DJ15)),1/((1/DI15)+(1/DJ15)),IF(AND(ISNUMBER(DI15),NOT(ISNUMBER(DJ15))),1/((1/DI15)),IF(AND(NOT(ISNUMBER(DI15)),ISNUMBER(DJ15)),1/((1/DJ15)),IF(AND(NOT(ISNUMBER(DI15)),NOT(ISNUMBER(DJ15))),".")))),".")</f>
        <v>4.2630945127454583</v>
      </c>
      <c r="DL15" s="142">
        <f t="shared" si="46"/>
        <v>501.30208333333326</v>
      </c>
      <c r="DM15" s="142">
        <f t="shared" si="47"/>
        <v>0.3139269406392694</v>
      </c>
      <c r="DN15" s="127"/>
    </row>
    <row r="16" spans="1:118" customFormat="1" x14ac:dyDescent="0.25">
      <c r="A16" s="128" t="s">
        <v>14</v>
      </c>
      <c r="B16" s="129" t="s">
        <v>1059</v>
      </c>
      <c r="C16" s="141">
        <f>s_dir!AB16</f>
        <v>0.29197890160457007</v>
      </c>
      <c r="D16" s="141">
        <f>IFERROR(s_DL/(s_RadSpec!J16*s_IFP_far_adj*s_CF_far_poultry),".")</f>
        <v>0.87593670481371022</v>
      </c>
      <c r="E16" s="141">
        <f>IFERROR(s_DL/(s_RadSpec!J16*s_IFE_far_adj*s_CF_far_egg),".")</f>
        <v>0.87593670481371022</v>
      </c>
      <c r="F16" s="141">
        <f>IFERROR(s_DL/(s_RadSpec!J16*s_IFB_far_adj*s_CF_far_beef),".")</f>
        <v>0.87593670481371022</v>
      </c>
      <c r="G16" s="141">
        <f>IFERROR(s_DL/(s_RadSpec!J16*s_IFD_far_adj*s_CF_far_dairy),".")</f>
        <v>0.87593670481371022</v>
      </c>
      <c r="H16" s="141">
        <f>IFERROR(s_DL/(s_RadSpec!J16*s_IFSW_far_adj*s_CF_far_swine),".")</f>
        <v>0.87593670481371022</v>
      </c>
      <c r="I16" s="141">
        <f>IFERROR(s_DL/(s_RadSpec!J16*s_IFFI_far_adj*s_CF_far_fish),".")</f>
        <v>0.87593670481371022</v>
      </c>
      <c r="J16" s="141">
        <f>IFERROR(s_DL/(s_RadSpec!J16*s_IFGO_far_adj*s_CF_far_goat),".")</f>
        <v>0.87593670481371022</v>
      </c>
      <c r="K16" s="141">
        <f>IFERROR(s_DL/(s_RadSpec!J16*s_IFSH_far_adj*s_CF_far_sheep),".")</f>
        <v>0.87593670481371022</v>
      </c>
      <c r="L16" s="141">
        <f>IFERROR(s_DL/(s_RadSpec!J16*s_IFGM_far_adj*s_CF_far_goat_milk),".")</f>
        <v>0.87593670481371022</v>
      </c>
      <c r="M16" s="141">
        <f>IFERROR(s_DL/(s_RadSpec!J16*s_IFSM_far_adj*s_CF_far_sheep_milk),".")</f>
        <v>0.87593670481371022</v>
      </c>
      <c r="N16" s="142">
        <f>s_dir!BA16</f>
        <v>22687.5</v>
      </c>
      <c r="O16" s="142">
        <f t="shared" si="0"/>
        <v>7562.5</v>
      </c>
      <c r="P16" s="142">
        <f t="shared" si="1"/>
        <v>7562.5</v>
      </c>
      <c r="Q16" s="142">
        <f t="shared" si="2"/>
        <v>7562.5</v>
      </c>
      <c r="R16" s="142">
        <f t="shared" si="3"/>
        <v>7562.5</v>
      </c>
      <c r="S16" s="142">
        <f t="shared" si="4"/>
        <v>7562.5</v>
      </c>
      <c r="T16" s="142">
        <f t="shared" si="5"/>
        <v>7562.5</v>
      </c>
      <c r="U16" s="142">
        <f t="shared" si="6"/>
        <v>7562.5</v>
      </c>
      <c r="V16" s="142">
        <f t="shared" si="7"/>
        <v>7562.5</v>
      </c>
      <c r="W16" s="142">
        <f t="shared" si="8"/>
        <v>7562.5</v>
      </c>
      <c r="X16" s="142">
        <f t="shared" si="9"/>
        <v>7562.5</v>
      </c>
      <c r="Y16" s="141">
        <f>IFERROR((s_DL/(s_RadSpec!I16*s_IFS_far_adj*(1/1000)))*1,".")</f>
        <v>437.96835240685505</v>
      </c>
      <c r="Z16" s="141">
        <f>IFERROR(IF(A16="H-3",(s_DL/(s_RadSpec!L16*s_IFA_far_adj*(1/17)*1000))*1,(s_DL/(s_RadSpec!L16*s_IFA_far_adj*(1/s_PEF_wind)*1000))*1),".")</f>
        <v>692481.68717966415</v>
      </c>
      <c r="AA16" s="141">
        <f>IFERROR((s_DL/(s_RadSpec!K16*s_EF_far*(1/365)*s_ED_far*s_RadSpec!V16*((s_ET_far_o*(1/24)*s_RadSpec!AA16)+(s_ET_far_i*(1/24)*s_RadSpec!AF16))))*1,".")</f>
        <v>7617189521.6855774</v>
      </c>
      <c r="AB16" s="141">
        <f>s_b2s!BA16</f>
        <v>14.176026943092898</v>
      </c>
      <c r="AC16" s="141">
        <f>IFERROR(((I16*s_RadSpec!AX16)/s_RadSpec!AN16)*1,".")</f>
        <v>5.2556202288822611</v>
      </c>
      <c r="AD16" s="141">
        <f>IFERROR((F16/(s_RadSpec!AM16*((s_Q_p_beef*s_f_p_beef*s_f_s_beef*(s_RadSpec!BG16+s_R_es_past))+(s_Q_s_beef*s_f_p_beef))))*1,".")</f>
        <v>14.047279874431851</v>
      </c>
      <c r="AE16" s="141">
        <f>IFERROR(((G16*s_D_milk)/(s_RadSpec!AL16*((s_Q_p_dairy*s_f_p_dairy*s_f_s_dairy*(s_RadSpec!BG16+s_R_es_past))+(s_Q_s_dairy*s_f_p_dairy))))*1,".")</f>
        <v>53.30573047087033</v>
      </c>
      <c r="AF16" s="141" t="str">
        <f>IFERROR((H16/(s_RadSpec!AQ16*((s_Q_p_swine*s_f_p_swine*s_f_s_swine*(s_RadSpec!BG16+s_R_es_past))+(s_Q_s_swine*s_f_p_swine))))*1,".")</f>
        <v>.</v>
      </c>
      <c r="AG16" s="141" t="str">
        <f>IFERROR((D16/(s_RadSpec!AO16*((s_Q_p_poultry*s_f_p_poultry*s_f_s_poultry*(s_RadSpec!BG16+s_R_es_past))+(s_Q_s_poultry*s_f_p_poultry))))*1,".")</f>
        <v>.</v>
      </c>
      <c r="AH16" s="141" t="str">
        <f>IFERROR((E16/(s_RadSpec!AP16*((s_Q_p_poultry*s_f_p_poultry*s_f_s_poultry*(s_RadSpec!BG16+s_R_es_past))+(s_Q_s_poultry*s_f_p_poultry))))*1,".")</f>
        <v>.</v>
      </c>
      <c r="AI16" s="141" t="str">
        <f>IFERROR((J16/(s_RadSpec!AT16*((s_Q_p_goat*s_f_p_goat*s_f_s_goat*(s_RadSpec!BG16+s_R_es_past))+(s_Q_s_goat*s_f_p_goat))))*1,".")</f>
        <v>.</v>
      </c>
      <c r="AJ16" s="141">
        <f>IFERROR((L16*s_D_milk/(s_RadSpec!AU16*((s_Q_p_goat_milk*s_f_p_goat_milk*s_f_s_goat_milk*(s_RadSpec!BG16+s_R_es_past))+(s_Q_s_goat_milk*s_f_p_goat_milk))))*1,".")</f>
        <v>1.6880147982442275</v>
      </c>
      <c r="AK16" s="141">
        <f>IFERROR((K16/(s_RadSpec!AR16*((s_Q_p_sheep*s_f_p_sheep*s_f_s_sheep*(s_RadSpec!BG16+s_R_es_past))+(s_Q_s_sheep*s_f_p_sheep))))*1,".")</f>
        <v>1.384943086211591</v>
      </c>
      <c r="AL16" s="141">
        <f>IFERROR((M16*s_D_milk/(s_RadSpec!AS16*((s_Q_p_sheep_milk*s_f_p_sheep_milk*s_f_s_sheep_milk*(s_RadSpec!BG16+s_R_es_past))+(s_Q_s_sheep_milk*s_f_p_sheep_milk))))*1,".")</f>
        <v>0.28937396541329607</v>
      </c>
      <c r="AM16" s="158">
        <f t="shared" si="10"/>
        <v>2.28327E-3</v>
      </c>
      <c r="AN16" s="158">
        <f t="shared" si="11"/>
        <v>1.4440815093216326E-6</v>
      </c>
      <c r="AO16" s="158">
        <f t="shared" si="12"/>
        <v>1.3128201643835613E-10</v>
      </c>
      <c r="AP16" s="158">
        <f t="shared" si="13"/>
        <v>7.0541626649999994E-2</v>
      </c>
      <c r="AQ16" s="158">
        <f t="shared" si="14"/>
        <v>0.19027249999999998</v>
      </c>
      <c r="AR16" s="158">
        <f t="shared" si="15"/>
        <v>7.1188159482758612E-2</v>
      </c>
      <c r="AS16" s="158">
        <f t="shared" si="16"/>
        <v>1.8759709156344159E-2</v>
      </c>
      <c r="AT16" s="158" t="str">
        <f t="shared" si="17"/>
        <v>.</v>
      </c>
      <c r="AU16" s="158" t="str">
        <f t="shared" si="18"/>
        <v>.</v>
      </c>
      <c r="AV16" s="158" t="str">
        <f t="shared" si="19"/>
        <v>.</v>
      </c>
      <c r="AW16" s="158" t="str">
        <f t="shared" si="20"/>
        <v>.</v>
      </c>
      <c r="AX16" s="158">
        <f t="shared" si="21"/>
        <v>0.59241186809507862</v>
      </c>
      <c r="AY16" s="158">
        <f t="shared" si="22"/>
        <v>0.72205133189655157</v>
      </c>
      <c r="AZ16" s="158">
        <f t="shared" si="23"/>
        <v>3.4557358972212926</v>
      </c>
      <c r="BA16" s="141">
        <f t="shared" si="24"/>
        <v>0.19518876074408595</v>
      </c>
      <c r="BB16" s="142">
        <f t="shared" si="25"/>
        <v>15.125</v>
      </c>
      <c r="BC16" s="142">
        <f t="shared" si="26"/>
        <v>1.618127279505213E-3</v>
      </c>
      <c r="BD16" s="142">
        <f>IFERROR((s_C*s_EF_far*(1/365)*s_ED_far*s_RadSpec!V16*((s_ET_far_o*(1/24)*s_RadSpec!AA16)+(s_ET_far_i*(1/24)*s_RadSpec!AF16))),".")</f>
        <v>1.5687377690802341E-6</v>
      </c>
      <c r="BE16" s="142">
        <f>s_b2s!BZ16</f>
        <v>467.28687500000001</v>
      </c>
      <c r="BF16" s="142">
        <f>IFERROR(((s_C*s_RadSpec!AN16)/s_RadSpec!AX16)*s_IFFI_far_adj*s_CF_far_fish,0)</f>
        <v>1260.4166666666667</v>
      </c>
      <c r="BG16" s="142">
        <f>(s_C*s_IFB_far_adj*s_CF_far_beef*s_RadSpec!AM16*((s_Q_p_beef*s_f_p_beef*s_f_s_beef*(s_RadSpec!$AW16+s_R_es_past))+(s_Q_s_beef*s_f_p_beef)))</f>
        <v>471.56968390804599</v>
      </c>
      <c r="BH16" s="142">
        <f>(s_C*s_IFD_far_adj*s_CF_far_dairy*s_RadSpec!AL16*1/s_D_milk*((s_Q_p_dairy*s_f_p_dairy*s_f_s_dairy*(s_RadSpec!$AW16+s_R_es_past))+(s_Q_s_dairy*s_f_p_dairy)))</f>
        <v>124.26940352639215</v>
      </c>
      <c r="BI16" s="142">
        <f>(s_C*s_IFSW_far_adj*s_CF_far_swine*s_RadSpec!AQ16*((s_Q_p_swine*s_f_p_swine*s_f_s_swine*(s_RadSpec!$AW16+s_R_es_past))+(s_Q_s_swine*s_f_p_swine)))</f>
        <v>0</v>
      </c>
      <c r="BJ16" s="142">
        <f>(s_C*s_IFP_far_adj*s_CF_far_poultry*s_RadSpec!AO16*((s_Q_p_poultry*s_f_p_poultry*s_f_s_poultry*(s_RadSpec!AW16+s_R_es_past))+(s_Q_s_poultry*s_f_p_poultry)))</f>
        <v>0</v>
      </c>
      <c r="BK16" s="142">
        <f>(s_C*s_IFE_far_adj*s_CF_far_egg*s_RadSpec!AP16*((s_Q_p_egg*s_f_p_egg*s_f_s_egg*(s_RadSpec!$AW16+s_R_es_past))+(s_Q_s_egg*s_f_p_egg)))</f>
        <v>0</v>
      </c>
      <c r="BL16" s="142">
        <f>(s_C*s_IFGO_far_adj*s_CF_far_goat*s_RadSpec!AT16*((s_Q_p_goat*s_f_p_goat*s_f_s_goat*(s_RadSpec!$AW16+s_R_es_past))+(s_Q_s_goat*s_f_p_goat)))</f>
        <v>0</v>
      </c>
      <c r="BM16" s="142">
        <f>(s_C*s_IFGM_far_adj*s_CF_far_goat_milk*s_RadSpec!AU16*1/s_D_milk*((s_Q_p_goat_milk*s_f_p_goat_milk*s_f_s_goat_milk*(s_RadSpec!$AW16+s_R_es_past))+(s_Q_s_goat_milk*s_f_p_goat_milk)))</f>
        <v>3924.2969534650151</v>
      </c>
      <c r="BN16" s="142">
        <f>(s_C*s_IFSH_far_adj*s_CF_far_sheep*s_RadSpec!AR16*((s_Q_p_sheep*s_f_p_sheep*s_f_s_sheep*(s_RadSpec!$AW16+s_R_es_past))+(s_Q_s_sheep*s_f_p_sheep)))</f>
        <v>4783.0639367816093</v>
      </c>
      <c r="BO16" s="142">
        <f>(s_C*s_IFSM_far_adj*s_CF_far_sheep_milk*s_RadSpec!AS16*1/s_D_milk*((s_Q_p_sheep_milk*s_f_p_sheep_milk*s_f_s_sheep_milk*(s_RadSpec!$AW16+s_R_es_past))+(s_Q_s_sheep_milk*s_f_p_sheep_milk)))</f>
        <v>22891.732228545919</v>
      </c>
      <c r="BP16" s="141"/>
      <c r="BQ16" s="141">
        <f>IFERROR(s_DL/(s_RadSpec!M16*s_IFW_far_adj),".")</f>
        <v>4.8176518764754066</v>
      </c>
      <c r="BR16" s="141" t="str">
        <f>IFERROR(IF(s_RadSpec!C16=1,s_DL/(s_RadSpec!L16*s_IFA_far_adj*s_K),"."),".")</f>
        <v>.</v>
      </c>
      <c r="BS16" s="141">
        <f>IFERROR((s_DL/(s_RadSpec!Q16*(1/8760)*s_DFA_far_adj)),".")</f>
        <v>9777.9555768279442</v>
      </c>
      <c r="BT16" s="141">
        <f>s_b2w!BA16</f>
        <v>22.276696901037536</v>
      </c>
      <c r="BU16" s="141">
        <f>IFERROR(I16/(s_RadSpec!AN16*(1/1000)),".")</f>
        <v>35.03746819254841</v>
      </c>
      <c r="BV16" s="141">
        <f>IFERROR(F16/(s_RadSpec!AM16*s_Q_w_beef*(1/1000)),".")</f>
        <v>250267.62994677437</v>
      </c>
      <c r="BW16" s="141">
        <f>IFERROR((G16*s_D_milk)/(s_RadSpec!AL16*s_Q_w_dairy*(1/1000)),".")</f>
        <v>949699.79574539093</v>
      </c>
      <c r="BX16" s="141" t="str">
        <f>IFERROR(H16/(s_RadSpec!AQ16*s_Q_w_swine*(1/1000)),".")</f>
        <v>.</v>
      </c>
      <c r="BY16" s="141" t="str">
        <f>IFERROR(D16/(s_RadSpec!AO16*s_Q_w_poultry*(1/1000)),".")</f>
        <v>.</v>
      </c>
      <c r="BZ16" s="141" t="str">
        <f>IFERROR(E16/(s_RadSpec!AP16*s_Q_w_poultry*(1/1000)),".")</f>
        <v>.</v>
      </c>
      <c r="CA16" s="141" t="str">
        <f>IFERROR(J16/(s_RadSpec!AT16*s_Q_w_goat*(1/1000)),".")</f>
        <v>.</v>
      </c>
      <c r="CB16" s="141">
        <f>IFERROR(L16*s_D_milk/(s_RadSpec!AU16*s_Q_w_goat_milk*(1/1000)),".")</f>
        <v>30073.826865270716</v>
      </c>
      <c r="CC16" s="141">
        <f>IFERROR(K16/(s_RadSpec!AR16*s_Q_w_sheep*(1/1000)),".")</f>
        <v>24674.273375034089</v>
      </c>
      <c r="CD16" s="141">
        <f>IFERROR(M16*s_D_milk/(s_RadSpec!AS16*s_Q_w_sheep_milk*(1/1000)),".")</f>
        <v>5155.5131769035506</v>
      </c>
      <c r="CE16" s="158">
        <f t="shared" si="27"/>
        <v>0.20756999999999998</v>
      </c>
      <c r="CF16" s="158" t="str">
        <f t="shared" si="28"/>
        <v>.</v>
      </c>
      <c r="CG16" s="158">
        <f t="shared" si="29"/>
        <v>1.0227086757990865E-4</v>
      </c>
      <c r="CH16" s="158">
        <f t="shared" si="30"/>
        <v>4.4889958526725074E-2</v>
      </c>
      <c r="CI16" s="158">
        <f t="shared" si="31"/>
        <v>2.8540874999999997E-2</v>
      </c>
      <c r="CJ16" s="158">
        <f t="shared" si="32"/>
        <v>3.9957224999999996E-6</v>
      </c>
      <c r="CK16" s="158">
        <f t="shared" si="33"/>
        <v>1.0529643203883497E-6</v>
      </c>
      <c r="CL16" s="158" t="str">
        <f t="shared" si="34"/>
        <v>.</v>
      </c>
      <c r="CM16" s="158" t="str">
        <f t="shared" si="35"/>
        <v>.</v>
      </c>
      <c r="CN16" s="158" t="str">
        <f t="shared" si="36"/>
        <v>.</v>
      </c>
      <c r="CO16" s="158" t="str">
        <f t="shared" si="37"/>
        <v>.</v>
      </c>
      <c r="CP16" s="158">
        <f t="shared" si="38"/>
        <v>3.3251504854368933E-5</v>
      </c>
      <c r="CQ16" s="158">
        <f t="shared" si="39"/>
        <v>4.0528042500000002E-5</v>
      </c>
      <c r="CR16" s="158">
        <f t="shared" si="40"/>
        <v>1.9396711165048546E-4</v>
      </c>
      <c r="CS16" s="141">
        <f t="shared" si="41"/>
        <v>3.5539646463096806</v>
      </c>
      <c r="CT16" s="142">
        <f t="shared" si="42"/>
        <v>1375</v>
      </c>
      <c r="CU16" s="142">
        <f t="shared" si="43"/>
        <v>250.65104166666663</v>
      </c>
      <c r="CV16" s="142">
        <f t="shared" si="44"/>
        <v>0.12557077625570776</v>
      </c>
      <c r="CW16" s="142">
        <f>s_b2w!BZ16</f>
        <v>297.36326528037273</v>
      </c>
      <c r="CX16" s="142">
        <f>IFERROR(s_C*s_RadSpec!AN16*(1/1000)*s_IFFI_far_adj*s_CF_far_fish,0)</f>
        <v>189.0625</v>
      </c>
      <c r="CY16" s="142">
        <f>(s_C*s_IFB_far_adj*s_CF_far_beef*s_RadSpec!AM16*s_Q_w_beef*(1/1000))</f>
        <v>2.6468749999999999E-2</v>
      </c>
      <c r="CZ16" s="142">
        <f>(s_C*s_IFD_far_adj*s_CF_far_dairy*s_RadSpec!AL16*(1/s_D_milk)*s_Q_w_dairy*(1/1000))</f>
        <v>6.9751213592233012E-3</v>
      </c>
      <c r="DA16" s="142">
        <f>(s_C*s_IFSW_far_adj*s_CF_far_swine*s_RadSpec!AQ16*s_Q_w_swine*(1/1000))</f>
        <v>0</v>
      </c>
      <c r="DB16" s="142">
        <f>(s_C*s_IFP_far_adj*s_CF_far_poultry*s_RadSpec!AO16*s_Q_w_poultry*(1/1000))</f>
        <v>0</v>
      </c>
      <c r="DC16" s="142">
        <f>(s_C*s_IFE_far_adj*s_CF_far_egg*s_RadSpec!AP16*s_Q_w_egg*(1/1000))</f>
        <v>0</v>
      </c>
      <c r="DD16" s="142">
        <f>(s_C*s_IFGO_far_adj*s_CF_far_goat*s_RadSpec!AT16*s_Q_p_goat*(1/1000))</f>
        <v>0</v>
      </c>
      <c r="DE16" s="142">
        <f>(s_C*s_IFGM_far_adj*s_CF_far_goat_milk*s_RadSpec!AU16*(1/s_D_milk)*s_Q_p_goat_milk*(1/1000))</f>
        <v>0.22026699029126212</v>
      </c>
      <c r="DF16" s="142">
        <f>(s_C*s_IFSH_far_adj*s_CF_far_sheep*s_RadSpec!AR16*s_Q_p_sheep*(1/1000))</f>
        <v>0.26846874999999998</v>
      </c>
      <c r="DG16" s="142">
        <f>(s_C*s_IFSM_far_adj*s_CF_far_sheep_milk*s_RadSpec!AS16*(1/s_D_milk)*s_Q_p_sheep_milk*(1/1000))</f>
        <v>1.2848907766990292</v>
      </c>
      <c r="DH16" s="141"/>
      <c r="DI16" s="141">
        <f>IFERROR((s_DL/(s_RadSpec!L16*s_IFA_far_adj)),".")</f>
        <v>2.2352261158231306</v>
      </c>
      <c r="DJ16" s="141">
        <f>IFERROR((s_DL/(s_RadSpec!O16*s_EF_far*(1/365)*s_ED_far*s_ET_far*(1/24)*s_GSF_a)),".")</f>
        <v>9.0513559055137645</v>
      </c>
      <c r="DK16" s="141">
        <f t="shared" si="54"/>
        <v>1.7925557148627205</v>
      </c>
      <c r="DL16" s="142">
        <f t="shared" si="46"/>
        <v>501.30208333333326</v>
      </c>
      <c r="DM16" s="142">
        <f t="shared" si="47"/>
        <v>0.3139269406392694</v>
      </c>
      <c r="DN16" s="127"/>
    </row>
    <row r="17" spans="1:118" customFormat="1" x14ac:dyDescent="0.25">
      <c r="A17" s="128" t="s">
        <v>15</v>
      </c>
      <c r="B17" s="129" t="s">
        <v>1059</v>
      </c>
      <c r="C17" s="141">
        <f>s_dir!AB17</f>
        <v>1496.5752745560876</v>
      </c>
      <c r="D17" s="141">
        <f>IFERROR(s_DL/(s_RadSpec!J17*s_IFP_far_adj*s_CF_far_poultry),".")</f>
        <v>4489.7258236682628</v>
      </c>
      <c r="E17" s="141">
        <f>IFERROR(s_DL/(s_RadSpec!J17*s_IFE_far_adj*s_CF_far_egg),".")</f>
        <v>4489.7258236682628</v>
      </c>
      <c r="F17" s="141">
        <f>IFERROR(s_DL/(s_RadSpec!J17*s_IFB_far_adj*s_CF_far_beef),".")</f>
        <v>4489.7258236682628</v>
      </c>
      <c r="G17" s="141">
        <f>IFERROR(s_DL/(s_RadSpec!J17*s_IFD_far_adj*s_CF_far_dairy),".")</f>
        <v>4489.7258236682628</v>
      </c>
      <c r="H17" s="141">
        <f>IFERROR(s_DL/(s_RadSpec!J17*s_IFSW_far_adj*s_CF_far_swine),".")</f>
        <v>4489.7258236682628</v>
      </c>
      <c r="I17" s="141">
        <f>IFERROR(s_DL/(s_RadSpec!J17*s_IFFI_far_adj*s_CF_far_fish),".")</f>
        <v>4489.7258236682628</v>
      </c>
      <c r="J17" s="141">
        <f>IFERROR(s_DL/(s_RadSpec!J17*s_IFGO_far_adj*s_CF_far_goat),".")</f>
        <v>4489.7258236682628</v>
      </c>
      <c r="K17" s="141">
        <f>IFERROR(s_DL/(s_RadSpec!J17*s_IFSH_far_adj*s_CF_far_sheep),".")</f>
        <v>4489.7258236682628</v>
      </c>
      <c r="L17" s="141">
        <f>IFERROR(s_DL/(s_RadSpec!J17*s_IFGM_far_adj*s_CF_far_goat_milk),".")</f>
        <v>4489.7258236682628</v>
      </c>
      <c r="M17" s="141">
        <f>IFERROR(s_DL/(s_RadSpec!J17*s_IFSM_far_adj*s_CF_far_sheep_milk),".")</f>
        <v>4489.7258236682628</v>
      </c>
      <c r="N17" s="142">
        <f>s_dir!BA17</f>
        <v>22687.5</v>
      </c>
      <c r="O17" s="142">
        <f t="shared" si="0"/>
        <v>7562.5</v>
      </c>
      <c r="P17" s="142">
        <f t="shared" si="1"/>
        <v>7562.5</v>
      </c>
      <c r="Q17" s="142">
        <f t="shared" si="2"/>
        <v>7562.5</v>
      </c>
      <c r="R17" s="142">
        <f t="shared" si="3"/>
        <v>7562.5</v>
      </c>
      <c r="S17" s="142">
        <f t="shared" si="4"/>
        <v>7562.5</v>
      </c>
      <c r="T17" s="142">
        <f t="shared" si="5"/>
        <v>7562.5</v>
      </c>
      <c r="U17" s="142">
        <f t="shared" si="6"/>
        <v>7562.5</v>
      </c>
      <c r="V17" s="142">
        <f t="shared" si="7"/>
        <v>7562.5</v>
      </c>
      <c r="W17" s="142">
        <f t="shared" si="8"/>
        <v>7562.5</v>
      </c>
      <c r="X17" s="142">
        <f t="shared" si="9"/>
        <v>7562.5</v>
      </c>
      <c r="Y17" s="141">
        <f>IFERROR((s_DL/(s_RadSpec!I17*s_IFS_far_adj*(1/1000)))*1,".")</f>
        <v>2244862.911834131</v>
      </c>
      <c r="Z17" s="141">
        <f>IFERROR(IF(A17="H-3",(s_DL/(s_RadSpec!L17*s_IFA_far_adj*(1/17)*1000))*1,(s_DL/(s_RadSpec!L17*s_IFA_far_adj*(1/s_PEF_wind)*1000))*1),".")</f>
        <v>331544182.8898173</v>
      </c>
      <c r="AA17" s="141">
        <f>IFERROR((s_DL/(s_RadSpec!K17*s_EF_far*(1/365)*s_ED_far*s_RadSpec!V17*((s_ET_far_o*(1/24)*s_RadSpec!AA17)+(s_ET_far_i*(1/24)*s_RadSpec!AF17))))*1,".")</f>
        <v>1165.4574840227044</v>
      </c>
      <c r="AB17" s="141">
        <f>s_b2s!BA17</f>
        <v>72661.042622888213</v>
      </c>
      <c r="AC17" s="141">
        <f>IFERROR(((I17*s_RadSpec!AX17)/s_RadSpec!AN17)*1,".")</f>
        <v>26938.354942009573</v>
      </c>
      <c r="AD17" s="141">
        <f>IFERROR((F17/(s_RadSpec!AM17*((s_Q_p_beef*s_f_p_beef*s_f_s_beef*(s_RadSpec!BG17+s_R_es_past))+(s_Q_s_beef*s_f_p_beef))))*1,".")</f>
        <v>72001.133024726063</v>
      </c>
      <c r="AE17" s="141">
        <f>IFERROR(((G17*s_D_milk)/(s_RadSpec!AL17*((s_Q_p_dairy*s_f_p_dairy*s_f_s_dairy*(s_RadSpec!BG17+s_R_es_past))+(s_Q_s_dairy*s_f_p_dairy))))*1,".")</f>
        <v>273225.35216224991</v>
      </c>
      <c r="AF17" s="141" t="str">
        <f>IFERROR((H17/(s_RadSpec!AQ17*((s_Q_p_swine*s_f_p_swine*s_f_s_swine*(s_RadSpec!BG17+s_R_es_past))+(s_Q_s_swine*s_f_p_swine))))*1,".")</f>
        <v>.</v>
      </c>
      <c r="AG17" s="141" t="str">
        <f>IFERROR((D17/(s_RadSpec!AO17*((s_Q_p_poultry*s_f_p_poultry*s_f_s_poultry*(s_RadSpec!BG17+s_R_es_past))+(s_Q_s_poultry*s_f_p_poultry))))*1,".")</f>
        <v>.</v>
      </c>
      <c r="AH17" s="141" t="str">
        <f>IFERROR((E17/(s_RadSpec!AP17*((s_Q_p_poultry*s_f_p_poultry*s_f_s_poultry*(s_RadSpec!BG17+s_R_es_past))+(s_Q_s_poultry*s_f_p_poultry))))*1,".")</f>
        <v>.</v>
      </c>
      <c r="AI17" s="141" t="str">
        <f>IFERROR((J17/(s_RadSpec!AT17*((s_Q_p_goat*s_f_p_goat*s_f_s_goat*(s_RadSpec!BG17+s_R_es_past))+(s_Q_s_goat*s_f_p_goat))))*1,".")</f>
        <v>.</v>
      </c>
      <c r="AJ17" s="141">
        <f>IFERROR((L17*s_D_milk/(s_RadSpec!AU17*((s_Q_p_goat_milk*s_f_p_goat_milk*s_f_s_goat_milk*(s_RadSpec!BG17+s_R_es_past))+(s_Q_s_goat_milk*s_f_p_goat_milk))))*1,".")</f>
        <v>8652.1361518045815</v>
      </c>
      <c r="AK17" s="141">
        <f>IFERROR((K17/(s_RadSpec!AR17*((s_Q_p_sheep*s_f_p_sheep*s_f_s_sheep*(s_RadSpec!BG17+s_R_es_past))+(s_Q_s_sheep*s_f_p_sheep))))*1,".")</f>
        <v>7098.703255958907</v>
      </c>
      <c r="AL17" s="141">
        <f>IFERROR((M17*s_D_milk/(s_RadSpec!AS17*((s_Q_p_sheep_milk*s_f_p_sheep_milk*s_f_s_sheep_milk*(s_RadSpec!BG17+s_R_es_past))+(s_Q_s_sheep_milk*s_f_p_sheep_milk))))*1,".")</f>
        <v>1483.2233403093567</v>
      </c>
      <c r="AM17" s="158">
        <f t="shared" si="10"/>
        <v>4.4546150000000011E-7</v>
      </c>
      <c r="AN17" s="158">
        <f t="shared" si="11"/>
        <v>3.0161892489977175E-9</v>
      </c>
      <c r="AO17" s="158">
        <f t="shared" si="12"/>
        <v>8.5803215793714774E-4</v>
      </c>
      <c r="AP17" s="158">
        <f t="shared" si="13"/>
        <v>1.3762533042500001E-5</v>
      </c>
      <c r="AQ17" s="158">
        <f t="shared" si="14"/>
        <v>3.7121791666666676E-5</v>
      </c>
      <c r="AR17" s="158">
        <f t="shared" si="15"/>
        <v>1.388867033045977E-5</v>
      </c>
      <c r="AS17" s="158">
        <f t="shared" si="16"/>
        <v>3.6599824726593021E-6</v>
      </c>
      <c r="AT17" s="158" t="str">
        <f t="shared" si="17"/>
        <v>.</v>
      </c>
      <c r="AU17" s="158" t="str">
        <f t="shared" si="18"/>
        <v>.</v>
      </c>
      <c r="AV17" s="158" t="str">
        <f t="shared" si="19"/>
        <v>.</v>
      </c>
      <c r="AW17" s="158" t="str">
        <f t="shared" si="20"/>
        <v>.</v>
      </c>
      <c r="AX17" s="158">
        <f t="shared" si="21"/>
        <v>1.1557839387345163E-4</v>
      </c>
      <c r="AY17" s="158">
        <f t="shared" si="22"/>
        <v>1.4087079906609197E-4</v>
      </c>
      <c r="AZ17" s="158">
        <f t="shared" si="23"/>
        <v>6.7420729759513453E-4</v>
      </c>
      <c r="BA17" s="141">
        <f t="shared" si="24"/>
        <v>538.33769074044187</v>
      </c>
      <c r="BB17" s="142">
        <f t="shared" si="25"/>
        <v>15.125</v>
      </c>
      <c r="BC17" s="142">
        <f t="shared" si="26"/>
        <v>1.618127279505213E-3</v>
      </c>
      <c r="BD17" s="142">
        <f>IFERROR((s_C*s_EF_far*(1/365)*s_ED_far*s_RadSpec!V17*((s_ET_far_o*(1/24)*s_RadSpec!AA17)+(s_ET_far_i*(1/24)*s_RadSpec!AF17))),".")</f>
        <v>1.7062852538275591E-2</v>
      </c>
      <c r="BE17" s="142">
        <f>s_b2s!BZ17</f>
        <v>467.28687500000001</v>
      </c>
      <c r="BF17" s="142">
        <f>IFERROR(((s_C*s_RadSpec!AN17)/s_RadSpec!AX17)*s_IFFI_far_adj*s_CF_far_fish,0)</f>
        <v>1260.4166666666667</v>
      </c>
      <c r="BG17" s="142">
        <f>(s_C*s_IFB_far_adj*s_CF_far_beef*s_RadSpec!AM17*((s_Q_p_beef*s_f_p_beef*s_f_s_beef*(s_RadSpec!$AW17+s_R_es_past))+(s_Q_s_beef*s_f_p_beef)))</f>
        <v>471.56968390804599</v>
      </c>
      <c r="BH17" s="142">
        <f>(s_C*s_IFD_far_adj*s_CF_far_dairy*s_RadSpec!AL17*1/s_D_milk*((s_Q_p_dairy*s_f_p_dairy*s_f_s_dairy*(s_RadSpec!$AW17+s_R_es_past))+(s_Q_s_dairy*s_f_p_dairy)))</f>
        <v>124.26940352639215</v>
      </c>
      <c r="BI17" s="142">
        <f>(s_C*s_IFSW_far_adj*s_CF_far_swine*s_RadSpec!AQ17*((s_Q_p_swine*s_f_p_swine*s_f_s_swine*(s_RadSpec!$AW17+s_R_es_past))+(s_Q_s_swine*s_f_p_swine)))</f>
        <v>0</v>
      </c>
      <c r="BJ17" s="142">
        <f>(s_C*s_IFP_far_adj*s_CF_far_poultry*s_RadSpec!AO17*((s_Q_p_poultry*s_f_p_poultry*s_f_s_poultry*(s_RadSpec!AW17+s_R_es_past))+(s_Q_s_poultry*s_f_p_poultry)))</f>
        <v>0</v>
      </c>
      <c r="BK17" s="142">
        <f>(s_C*s_IFE_far_adj*s_CF_far_egg*s_RadSpec!AP17*((s_Q_p_egg*s_f_p_egg*s_f_s_egg*(s_RadSpec!$AW17+s_R_es_past))+(s_Q_s_egg*s_f_p_egg)))</f>
        <v>0</v>
      </c>
      <c r="BL17" s="142">
        <f>(s_C*s_IFGO_far_adj*s_CF_far_goat*s_RadSpec!AT17*((s_Q_p_goat*s_f_p_goat*s_f_s_goat*(s_RadSpec!$AW17+s_R_es_past))+(s_Q_s_goat*s_f_p_goat)))</f>
        <v>0</v>
      </c>
      <c r="BM17" s="142">
        <f>(s_C*s_IFGM_far_adj*s_CF_far_goat_milk*s_RadSpec!AU17*1/s_D_milk*((s_Q_p_goat_milk*s_f_p_goat_milk*s_f_s_goat_milk*(s_RadSpec!$AW17+s_R_es_past))+(s_Q_s_goat_milk*s_f_p_goat_milk)))</f>
        <v>3924.2969534650151</v>
      </c>
      <c r="BN17" s="142">
        <f>(s_C*s_IFSH_far_adj*s_CF_far_sheep*s_RadSpec!AR17*((s_Q_p_sheep*s_f_p_sheep*s_f_s_sheep*(s_RadSpec!$AW17+s_R_es_past))+(s_Q_s_sheep*s_f_p_sheep)))</f>
        <v>4783.0639367816093</v>
      </c>
      <c r="BO17" s="142">
        <f>(s_C*s_IFSM_far_adj*s_CF_far_sheep_milk*s_RadSpec!AS17*1/s_D_milk*((s_Q_p_sheep_milk*s_f_p_sheep_milk*s_f_s_sheep_milk*(s_RadSpec!$AW17+s_R_es_past))+(s_Q_s_sheep_milk*s_f_p_sheep_milk)))</f>
        <v>22891.732228545919</v>
      </c>
      <c r="BP17" s="141"/>
      <c r="BQ17" s="141">
        <f>IFERROR(s_DL/(s_RadSpec!M17*s_IFW_far_adj),".")</f>
        <v>24693.492030175446</v>
      </c>
      <c r="BR17" s="141" t="str">
        <f>IFERROR(IF(s_RadSpec!C17=1,s_DL/(s_RadSpec!L17*s_IFA_far_adj*s_K),"."),".")</f>
        <v>.</v>
      </c>
      <c r="BS17" s="141">
        <f>IFERROR((s_DL/(s_RadSpec!Q17*(1/8760)*s_DFA_far_adj)),".")</f>
        <v>44.223948459512265</v>
      </c>
      <c r="BT17" s="141">
        <f>s_b2w!BA17</f>
        <v>114182.06451788083</v>
      </c>
      <c r="BU17" s="141">
        <f>IFERROR(I17/(s_RadSpec!AN17*(1/1000)),".")</f>
        <v>179589.0329467305</v>
      </c>
      <c r="BV17" s="141">
        <f>IFERROR(F17/(s_RadSpec!AM17*s_Q_w_beef*(1/1000)),".")</f>
        <v>1282778806.7623608</v>
      </c>
      <c r="BW17" s="141">
        <f>IFERROR((G17*s_D_milk)/(s_RadSpec!AL17*s_Q_w_dairy*(1/1000)),".")</f>
        <v>4867807998.2929583</v>
      </c>
      <c r="BX17" s="141" t="str">
        <f>IFERROR(H17/(s_RadSpec!AQ17*s_Q_w_swine*(1/1000)),".")</f>
        <v>.</v>
      </c>
      <c r="BY17" s="141" t="str">
        <f>IFERROR(D17/(s_RadSpec!AO17*s_Q_w_poultry*(1/1000)),".")</f>
        <v>.</v>
      </c>
      <c r="BZ17" s="141" t="str">
        <f>IFERROR(E17/(s_RadSpec!AP17*s_Q_w_poultry*(1/1000)),".")</f>
        <v>.</v>
      </c>
      <c r="CA17" s="141" t="str">
        <f>IFERROR(J17/(s_RadSpec!AT17*s_Q_w_goat*(1/1000)),".")</f>
        <v>.</v>
      </c>
      <c r="CB17" s="141">
        <f>IFERROR(L17*s_D_milk/(s_RadSpec!AU17*s_Q_w_goat_milk*(1/1000)),".")</f>
        <v>154147253.27927703</v>
      </c>
      <c r="CC17" s="141">
        <f>IFERROR(K17/(s_RadSpec!AR17*s_Q_w_sheep*(1/1000)),".")</f>
        <v>126471149.96248627</v>
      </c>
      <c r="CD17" s="141">
        <f>IFERROR(M17*s_D_milk/(s_RadSpec!AS17*s_Q_w_sheep_milk*(1/1000)),".")</f>
        <v>26425243.419304628</v>
      </c>
      <c r="CE17" s="158">
        <f t="shared" si="27"/>
        <v>4.0496500000000001E-5</v>
      </c>
      <c r="CF17" s="158" t="str">
        <f t="shared" si="28"/>
        <v>.</v>
      </c>
      <c r="CG17" s="158">
        <f t="shared" si="29"/>
        <v>2.2612182648401827E-2</v>
      </c>
      <c r="CH17" s="158">
        <f t="shared" si="30"/>
        <v>8.7579428890375393E-6</v>
      </c>
      <c r="CI17" s="158">
        <f t="shared" si="31"/>
        <v>5.5682687500000009E-6</v>
      </c>
      <c r="CJ17" s="158">
        <f t="shared" si="32"/>
        <v>7.7955762500000001E-10</v>
      </c>
      <c r="CK17" s="158">
        <f t="shared" si="33"/>
        <v>2.054312742718447E-10</v>
      </c>
      <c r="CL17" s="158" t="str">
        <f t="shared" si="34"/>
        <v>.</v>
      </c>
      <c r="CM17" s="158" t="str">
        <f t="shared" si="35"/>
        <v>.</v>
      </c>
      <c r="CN17" s="158" t="str">
        <f t="shared" si="36"/>
        <v>.</v>
      </c>
      <c r="CO17" s="158" t="str">
        <f t="shared" si="37"/>
        <v>.</v>
      </c>
      <c r="CP17" s="158">
        <f t="shared" si="38"/>
        <v>6.4873033980582526E-9</v>
      </c>
      <c r="CQ17" s="158">
        <f t="shared" si="39"/>
        <v>7.9069416250000009E-9</v>
      </c>
      <c r="CR17" s="158">
        <f t="shared" si="40"/>
        <v>3.7842603155339813E-8</v>
      </c>
      <c r="CS17" s="141">
        <f t="shared" si="41"/>
        <v>44.116884261264005</v>
      </c>
      <c r="CT17" s="142">
        <f t="shared" si="42"/>
        <v>1375</v>
      </c>
      <c r="CU17" s="142">
        <f t="shared" si="43"/>
        <v>250.65104166666663</v>
      </c>
      <c r="CV17" s="142">
        <f t="shared" si="44"/>
        <v>0.12557077625570776</v>
      </c>
      <c r="CW17" s="142">
        <f>s_b2w!BZ17</f>
        <v>297.36326528037273</v>
      </c>
      <c r="CX17" s="142">
        <f>IFERROR(s_C*s_RadSpec!AN17*(1/1000)*s_IFFI_far_adj*s_CF_far_fish,0)</f>
        <v>189.0625</v>
      </c>
      <c r="CY17" s="142">
        <f>(s_C*s_IFB_far_adj*s_CF_far_beef*s_RadSpec!AM17*s_Q_w_beef*(1/1000))</f>
        <v>2.6468749999999999E-2</v>
      </c>
      <c r="CZ17" s="142">
        <f>(s_C*s_IFD_far_adj*s_CF_far_dairy*s_RadSpec!AL17*(1/s_D_milk)*s_Q_w_dairy*(1/1000))</f>
        <v>6.9751213592233012E-3</v>
      </c>
      <c r="DA17" s="142">
        <f>(s_C*s_IFSW_far_adj*s_CF_far_swine*s_RadSpec!AQ17*s_Q_w_swine*(1/1000))</f>
        <v>0</v>
      </c>
      <c r="DB17" s="142">
        <f>(s_C*s_IFP_far_adj*s_CF_far_poultry*s_RadSpec!AO17*s_Q_w_poultry*(1/1000))</f>
        <v>0</v>
      </c>
      <c r="DC17" s="142">
        <f>(s_C*s_IFE_far_adj*s_CF_far_egg*s_RadSpec!AP17*s_Q_w_egg*(1/1000))</f>
        <v>0</v>
      </c>
      <c r="DD17" s="142">
        <f>(s_C*s_IFGO_far_adj*s_CF_far_goat*s_RadSpec!AT17*s_Q_p_goat*(1/1000))</f>
        <v>0</v>
      </c>
      <c r="DE17" s="142">
        <f>(s_C*s_IFGM_far_adj*s_CF_far_goat_milk*s_RadSpec!AU17*(1/s_D_milk)*s_Q_p_goat_milk*(1/1000))</f>
        <v>0.22026699029126212</v>
      </c>
      <c r="DF17" s="142">
        <f>(s_C*s_IFSH_far_adj*s_CF_far_sheep*s_RadSpec!AR17*s_Q_p_sheep*(1/1000))</f>
        <v>0.26846874999999998</v>
      </c>
      <c r="DG17" s="142">
        <f>(s_C*s_IFSM_far_adj*s_CF_far_sheep_milk*s_RadSpec!AS17*(1/s_D_milk)*s_Q_p_sheep_milk*(1/1000))</f>
        <v>1.2848907766990292</v>
      </c>
      <c r="DH17" s="141"/>
      <c r="DI17" s="141">
        <f>IFERROR((s_DL/(s_RadSpec!L17*s_IFA_far_adj)),".")</f>
        <v>1070.1744607324008</v>
      </c>
      <c r="DJ17" s="141">
        <f>IFERROR((s_DL/(s_RadSpec!O17*s_EF_far*(1/365)*s_ED_far*s_ET_far*(1/24)*s_GSF_a)),".")</f>
        <v>3.8407104788261107E-2</v>
      </c>
      <c r="DK17" s="141">
        <f t="shared" si="54"/>
        <v>3.8405726459012274E-2</v>
      </c>
      <c r="DL17" s="142">
        <f t="shared" si="46"/>
        <v>501.30208333333326</v>
      </c>
      <c r="DM17" s="142">
        <f t="shared" si="47"/>
        <v>0.3139269406392694</v>
      </c>
      <c r="DN17" s="127"/>
    </row>
    <row r="18" spans="1:118" customFormat="1" x14ac:dyDescent="0.25">
      <c r="A18" s="128" t="s">
        <v>16</v>
      </c>
      <c r="B18" s="129" t="s">
        <v>1059</v>
      </c>
      <c r="C18" s="141">
        <f>s_dir!AB18</f>
        <v>0.17018198836380657</v>
      </c>
      <c r="D18" s="141">
        <f>IFERROR(s_DL/(s_RadSpec!J18*s_IFP_far_adj*s_CF_far_poultry),".")</f>
        <v>0.5105459650914197</v>
      </c>
      <c r="E18" s="141">
        <f>IFERROR(s_DL/(s_RadSpec!J18*s_IFE_far_adj*s_CF_far_egg),".")</f>
        <v>0.5105459650914197</v>
      </c>
      <c r="F18" s="141">
        <f>IFERROR(s_DL/(s_RadSpec!J18*s_IFB_far_adj*s_CF_far_beef),".")</f>
        <v>0.5105459650914197</v>
      </c>
      <c r="G18" s="141">
        <f>IFERROR(s_DL/(s_RadSpec!J18*s_IFD_far_adj*s_CF_far_dairy),".")</f>
        <v>0.5105459650914197</v>
      </c>
      <c r="H18" s="141">
        <f>IFERROR(s_DL/(s_RadSpec!J18*s_IFSW_far_adj*s_CF_far_swine),".")</f>
        <v>0.5105459650914197</v>
      </c>
      <c r="I18" s="141">
        <f>IFERROR(s_DL/(s_RadSpec!J18*s_IFFI_far_adj*s_CF_far_fish),".")</f>
        <v>0.5105459650914197</v>
      </c>
      <c r="J18" s="141">
        <f>IFERROR(s_DL/(s_RadSpec!J18*s_IFGO_far_adj*s_CF_far_goat),".")</f>
        <v>0.5105459650914197</v>
      </c>
      <c r="K18" s="141">
        <f>IFERROR(s_DL/(s_RadSpec!J18*s_IFSH_far_adj*s_CF_far_sheep),".")</f>
        <v>0.5105459650914197</v>
      </c>
      <c r="L18" s="141">
        <f>IFERROR(s_DL/(s_RadSpec!J18*s_IFGM_far_adj*s_CF_far_goat_milk),".")</f>
        <v>0.5105459650914197</v>
      </c>
      <c r="M18" s="141">
        <f>IFERROR(s_DL/(s_RadSpec!J18*s_IFSM_far_adj*s_CF_far_sheep_milk),".")</f>
        <v>0.5105459650914197</v>
      </c>
      <c r="N18" s="142">
        <f>s_dir!BA18</f>
        <v>22687.5</v>
      </c>
      <c r="O18" s="142">
        <f t="shared" si="0"/>
        <v>7562.5</v>
      </c>
      <c r="P18" s="142">
        <f t="shared" si="1"/>
        <v>7562.5</v>
      </c>
      <c r="Q18" s="142">
        <f t="shared" si="2"/>
        <v>7562.5</v>
      </c>
      <c r="R18" s="142">
        <f t="shared" si="3"/>
        <v>7562.5</v>
      </c>
      <c r="S18" s="142">
        <f t="shared" si="4"/>
        <v>7562.5</v>
      </c>
      <c r="T18" s="142">
        <f t="shared" si="5"/>
        <v>7562.5</v>
      </c>
      <c r="U18" s="142">
        <f t="shared" si="6"/>
        <v>7562.5</v>
      </c>
      <c r="V18" s="142">
        <f t="shared" si="7"/>
        <v>7562.5</v>
      </c>
      <c r="W18" s="142">
        <f t="shared" si="8"/>
        <v>7562.5</v>
      </c>
      <c r="X18" s="142">
        <f t="shared" si="9"/>
        <v>7562.5</v>
      </c>
      <c r="Y18" s="141">
        <f>IFERROR((s_DL/(s_RadSpec!I18*s_IFS_far_adj*(1/1000)))*1,".")</f>
        <v>255.27298254570982</v>
      </c>
      <c r="Z18" s="141">
        <f>IFERROR(IF(A18="H-3",(s_DL/(s_RadSpec!L18*s_IFA_far_adj*(1/17)*1000))*1,(s_DL/(s_RadSpec!L18*s_IFA_far_adj*(1/s_PEF_wind)*1000))*1),".")</f>
        <v>892236.02001995174</v>
      </c>
      <c r="AA18" s="141">
        <f>IFERROR((s_DL/(s_RadSpec!K18*s_EF_far*(1/365)*s_ED_far*s_RadSpec!V18*((s_ET_far_o*(1/24)*s_RadSpec!AA18)+(s_ET_far_i*(1/24)*s_RadSpec!AF18))))*1,".")</f>
        <v>13227862.674701374</v>
      </c>
      <c r="AB18" s="141">
        <f>s_b2s!BA18</f>
        <v>9.4650716553841239</v>
      </c>
      <c r="AC18" s="141">
        <f>IFERROR(((I18*s_RadSpec!AX18)/s_RadSpec!AN18)*1,".")</f>
        <v>2.9781847963666146</v>
      </c>
      <c r="AD18" s="141">
        <f>IFERROR((F18/(s_RadSpec!AM18*((s_Q_p_beef*s_f_p_beef*s_f_s_beef*(s_RadSpec!BG18+s_R_es_past))+(s_Q_s_beef*s_f_p_beef))))*1,".")</f>
        <v>1.1665025005043268</v>
      </c>
      <c r="AE18" s="141">
        <f>IFERROR(((G18*s_D_milk)/(s_RadSpec!AL18*((s_Q_p_dairy*s_f_p_dairy*s_f_s_dairy*(s_RadSpec!BG18+s_R_es_past))+(s_Q_s_dairy*s_f_p_dairy))))*1,".")</f>
        <v>28.607085131415637</v>
      </c>
      <c r="AF18" s="141" t="str">
        <f>IFERROR((H18/(s_RadSpec!AQ18*((s_Q_p_swine*s_f_p_swine*s_f_s_swine*(s_RadSpec!BG18+s_R_es_past))+(s_Q_s_swine*s_f_p_swine))))*1,".")</f>
        <v>.</v>
      </c>
      <c r="AG18" s="141">
        <f>IFERROR((D18/(s_RadSpec!AO18*((s_Q_p_poultry*s_f_p_poultry*s_f_s_poultry*(s_RadSpec!BG18+s_R_es_past))+(s_Q_s_poultry*s_f_p_poultry))))*1,".")</f>
        <v>2.4302135427173477E-3</v>
      </c>
      <c r="AH18" s="141">
        <f>IFERROR((E18/(s_RadSpec!AP18*((s_Q_p_poultry*s_f_p_poultry*s_f_s_poultry*(s_RadSpec!BG18+s_R_es_past))+(s_Q_s_poultry*s_f_p_poultry))))*1,".")</f>
        <v>1.881455645974721E-3</v>
      </c>
      <c r="AI18" s="141" t="str">
        <f>IFERROR((J18/(s_RadSpec!AT18*((s_Q_p_goat*s_f_p_goat*s_f_s_goat*(s_RadSpec!BG18+s_R_es_past))+(s_Q_s_goat*s_f_p_goat))))*1,".")</f>
        <v>.</v>
      </c>
      <c r="AJ18" s="141">
        <f>IFERROR((L18*s_D_milk/(s_RadSpec!AU18*((s_Q_p_goat_milk*s_f_p_goat_milk*s_f_s_goat_milk*(s_RadSpec!BG18+s_R_es_past))+(s_Q_s_goat_milk*s_f_p_goat_milk))))*1,".")</f>
        <v>2.6119512511292542</v>
      </c>
      <c r="AK18" s="141">
        <f>IFERROR((K18/(s_RadSpec!AR18*((s_Q_p_sheep*s_f_p_sheep*s_f_s_sheep*(s_RadSpec!BG18+s_R_es_past))+(s_Q_s_sheep*s_f_p_sheep))))*1,".")</f>
        <v>0.1166502500504327</v>
      </c>
      <c r="AL18" s="141" t="str">
        <f>IFERROR((M18*s_D_milk/(s_RadSpec!AS18*((s_Q_p_sheep_milk*s_f_p_sheep_milk*s_f_s_sheep_milk*(s_RadSpec!BG18+s_R_es_past))+(s_Q_s_sheep_milk*s_f_p_sheep_milk))))*1,".")</f>
        <v>.</v>
      </c>
      <c r="AM18" s="158">
        <f t="shared" si="10"/>
        <v>3.9173749999999999E-3</v>
      </c>
      <c r="AN18" s="158">
        <f t="shared" si="11"/>
        <v>1.1207796788764912E-6</v>
      </c>
      <c r="AO18" s="158">
        <f t="shared" si="12"/>
        <v>7.5598002836280242E-8</v>
      </c>
      <c r="AP18" s="158">
        <f t="shared" si="13"/>
        <v>0.10565160375</v>
      </c>
      <c r="AQ18" s="158">
        <f t="shared" si="14"/>
        <v>0.33577499999999999</v>
      </c>
      <c r="AR18" s="158">
        <f t="shared" si="15"/>
        <v>0.85726348599137936</v>
      </c>
      <c r="AS18" s="158">
        <f t="shared" si="16"/>
        <v>3.4956375156930029E-2</v>
      </c>
      <c r="AT18" s="158" t="str">
        <f t="shared" si="17"/>
        <v>.</v>
      </c>
      <c r="AU18" s="158">
        <f t="shared" si="18"/>
        <v>411.48647327586207</v>
      </c>
      <c r="AV18" s="158">
        <f t="shared" si="19"/>
        <v>531.50336131465519</v>
      </c>
      <c r="AW18" s="158" t="str">
        <f t="shared" si="20"/>
        <v>.</v>
      </c>
      <c r="AX18" s="158">
        <f t="shared" si="21"/>
        <v>0.38285553743304312</v>
      </c>
      <c r="AY18" s="158">
        <f t="shared" si="22"/>
        <v>8.5726348599137925</v>
      </c>
      <c r="AZ18" s="158" t="str">
        <f t="shared" si="23"/>
        <v>.</v>
      </c>
      <c r="BA18" s="141">
        <f t="shared" si="24"/>
        <v>1.0490065545755015E-3</v>
      </c>
      <c r="BB18" s="142">
        <f t="shared" si="25"/>
        <v>15.125</v>
      </c>
      <c r="BC18" s="142">
        <f t="shared" si="26"/>
        <v>1.618127279505213E-3</v>
      </c>
      <c r="BD18" s="142">
        <f>IFERROR((s_C*s_EF_far*(1/365)*s_ED_far*s_RadSpec!V18*((s_ET_far_o*(1/24)*s_RadSpec!AA18)+(s_ET_far_i*(1/24)*s_RadSpec!AF18))),".")</f>
        <v>3.3501674612274449E-2</v>
      </c>
      <c r="BE18" s="142">
        <f>s_b2s!BZ18</f>
        <v>407.92124999999999</v>
      </c>
      <c r="BF18" s="142">
        <f>IFERROR(((s_C*s_RadSpec!AN18)/s_RadSpec!AX18)*s_IFFI_far_adj*s_CF_far_fish,0)</f>
        <v>1296.4285714285713</v>
      </c>
      <c r="BG18" s="142">
        <f>(s_C*s_IFB_far_adj*s_CF_far_beef*s_RadSpec!AM18*((s_Q_p_beef*s_f_p_beef*s_f_s_beef*(s_RadSpec!$AW18+s_R_es_past))+(s_Q_s_beef*s_f_p_beef)))</f>
        <v>3309.8976293103451</v>
      </c>
      <c r="BH18" s="142">
        <f>(s_C*s_IFD_far_adj*s_CF_far_dairy*s_RadSpec!AL18*1/s_D_milk*((s_Q_p_dairy*s_f_p_dairy*s_f_s_dairy*(s_RadSpec!$AW18+s_R_es_past))+(s_Q_s_dairy*s_f_p_dairy)))</f>
        <v>134.96669944760632</v>
      </c>
      <c r="BI18" s="142">
        <f>(s_C*s_IFSW_far_adj*s_CF_far_swine*s_RadSpec!AQ18*((s_Q_p_swine*s_f_p_swine*s_f_s_swine*(s_RadSpec!$AW18+s_R_es_past))+(s_Q_s_swine*s_f_p_swine)))</f>
        <v>0</v>
      </c>
      <c r="BJ18" s="142">
        <f>(s_C*s_IFP_far_adj*s_CF_far_poultry*s_RadSpec!AO18*((s_Q_p_poultry*s_f_p_poultry*s_f_s_poultry*(s_RadSpec!AW18+s_R_es_past))+(s_Q_s_poultry*s_f_p_poultry)))</f>
        <v>1588750.8620689656</v>
      </c>
      <c r="BK18" s="142">
        <f>(s_C*s_IFE_far_adj*s_CF_far_egg*s_RadSpec!AP18*((s_Q_p_egg*s_f_p_egg*s_f_s_egg*(s_RadSpec!$AW18+s_R_es_past))+(s_Q_s_egg*s_f_p_egg)))</f>
        <v>2052136.5301724139</v>
      </c>
      <c r="BL18" s="142">
        <f>(s_C*s_IFGO_far_adj*s_CF_far_goat*s_RadSpec!AT18*((s_Q_p_goat*s_f_p_goat*s_f_s_goat*(s_RadSpec!$AW18+s_R_es_past))+(s_Q_s_goat*s_f_p_goat)))</f>
        <v>0</v>
      </c>
      <c r="BM18" s="142">
        <f>(s_C*s_IFGM_far_adj*s_CF_far_goat_milk*s_RadSpec!AU18*1/s_D_milk*((s_Q_p_goat_milk*s_f_p_goat_milk*s_f_s_goat_milk*(s_RadSpec!$AW18+s_R_es_past))+(s_Q_s_goat_milk*s_f_p_goat_milk)))</f>
        <v>1478.206708235688</v>
      </c>
      <c r="BN18" s="142">
        <f>(s_C*s_IFSH_far_adj*s_CF_far_sheep*s_RadSpec!AR18*((s_Q_p_sheep*s_f_p_sheep*s_f_s_sheep*(s_RadSpec!$AW18+s_R_es_past))+(s_Q_s_sheep*s_f_p_sheep)))</f>
        <v>33098.976293103449</v>
      </c>
      <c r="BO18" s="142">
        <f>(s_C*s_IFSM_far_adj*s_CF_far_sheep_milk*s_RadSpec!AS18*1/s_D_milk*((s_Q_p_sheep_milk*s_f_p_sheep_milk*s_f_s_sheep_milk*(s_RadSpec!$AW18+s_R_es_past))+(s_Q_s_sheep_milk*s_f_p_sheep_milk)))</f>
        <v>0</v>
      </c>
      <c r="BP18" s="141"/>
      <c r="BQ18" s="141">
        <f>IFERROR(s_DL/(s_RadSpec!M18*s_IFW_far_adj),".")</f>
        <v>2.8080028080028083</v>
      </c>
      <c r="BR18" s="141" t="str">
        <f>IFERROR(IF(s_RadSpec!C18=1,s_DL/(s_RadSpec!L18*s_IFA_far_adj*s_K),"."),".")</f>
        <v>.</v>
      </c>
      <c r="BS18" s="141">
        <f>IFERROR((s_DL/(s_RadSpec!Q18*(1/8760)*s_DFA_far_adj)),".")</f>
        <v>1104453.0133411873</v>
      </c>
      <c r="BT18" s="141">
        <f>s_b2w!BA18</f>
        <v>13.520470417263882</v>
      </c>
      <c r="BU18" s="141">
        <f>IFERROR(I18/(s_RadSpec!AN18*(1/1000)),".")</f>
        <v>14.181832363650546</v>
      </c>
      <c r="BV18" s="141">
        <f>IFERROR(F18/(s_RadSpec!AM18*s_Q_w_beef*(1/1000)),".")</f>
        <v>20421.838603656786</v>
      </c>
      <c r="BW18" s="141">
        <f>IFERROR((G18*s_D_milk)/(s_RadSpec!AL18*s_Q_w_dairy*(1/1000)),".")</f>
        <v>500821.28004205931</v>
      </c>
      <c r="BX18" s="141" t="str">
        <f>IFERROR(H18/(s_RadSpec!AQ18*s_Q_w_swine*(1/1000)),".")</f>
        <v>.</v>
      </c>
      <c r="BY18" s="141">
        <f>IFERROR(D18/(s_RadSpec!AO18*s_Q_w_poultry*(1/1000)),".")</f>
        <v>42.545497090951642</v>
      </c>
      <c r="BZ18" s="141">
        <f>IFERROR(E18/(s_RadSpec!AP18*s_Q_w_poultry*(1/1000)),".")</f>
        <v>32.938449360736755</v>
      </c>
      <c r="CA18" s="141" t="str">
        <f>IFERROR(J18/(s_RadSpec!AT18*s_Q_w_goat*(1/1000)),".")</f>
        <v>.</v>
      </c>
      <c r="CB18" s="141">
        <f>IFERROR(L18*s_D_milk/(s_RadSpec!AU18*s_Q_w_goat_milk*(1/1000)),".")</f>
        <v>45727.160351666287</v>
      </c>
      <c r="CC18" s="141">
        <f>IFERROR(K18/(s_RadSpec!AR18*s_Q_w_sheep*(1/1000)),".")</f>
        <v>2042.1838603656788</v>
      </c>
      <c r="CD18" s="141" t="str">
        <f>IFERROR(M18*s_D_milk/(s_RadSpec!AS18*s_Q_w_sheep_milk*(1/1000)),".")</f>
        <v>.</v>
      </c>
      <c r="CE18" s="158">
        <f t="shared" si="27"/>
        <v>0.35612499999999997</v>
      </c>
      <c r="CF18" s="158" t="str">
        <f t="shared" si="28"/>
        <v>.</v>
      </c>
      <c r="CG18" s="158">
        <f t="shared" si="29"/>
        <v>9.0542557077625567E-7</v>
      </c>
      <c r="CH18" s="158">
        <f t="shared" si="30"/>
        <v>7.3961923597209323E-2</v>
      </c>
      <c r="CI18" s="158">
        <f t="shared" si="31"/>
        <v>7.0512749999999999E-2</v>
      </c>
      <c r="CJ18" s="158">
        <f t="shared" si="32"/>
        <v>4.8967187499999997E-5</v>
      </c>
      <c r="CK18" s="158">
        <f t="shared" si="33"/>
        <v>1.9967202669902911E-6</v>
      </c>
      <c r="CL18" s="158" t="str">
        <f t="shared" si="34"/>
        <v>.</v>
      </c>
      <c r="CM18" s="158">
        <f t="shared" si="35"/>
        <v>2.3504249999999997E-2</v>
      </c>
      <c r="CN18" s="158">
        <f t="shared" si="36"/>
        <v>3.0359656249999995E-2</v>
      </c>
      <c r="CO18" s="158" t="str">
        <f t="shared" si="37"/>
        <v>.</v>
      </c>
      <c r="CP18" s="158">
        <f t="shared" si="38"/>
        <v>2.1868841019417473E-5</v>
      </c>
      <c r="CQ18" s="158">
        <f t="shared" si="39"/>
        <v>4.8967187499999998E-4</v>
      </c>
      <c r="CR18" s="158" t="str">
        <f t="shared" si="40"/>
        <v>.</v>
      </c>
      <c r="CS18" s="141">
        <f t="shared" si="41"/>
        <v>1.8017141836406143</v>
      </c>
      <c r="CT18" s="142">
        <f t="shared" si="42"/>
        <v>1375</v>
      </c>
      <c r="CU18" s="142">
        <f t="shared" si="43"/>
        <v>250.65104166666663</v>
      </c>
      <c r="CV18" s="142">
        <f t="shared" si="44"/>
        <v>0.12557077625570776</v>
      </c>
      <c r="CW18" s="142">
        <f>s_b2w!BZ18</f>
        <v>285.56727257609776</v>
      </c>
      <c r="CX18" s="142">
        <f>IFERROR(s_C*s_RadSpec!AN18*(1/1000)*s_IFFI_far_adj*s_CF_far_fish,0)</f>
        <v>272.25</v>
      </c>
      <c r="CY18" s="142">
        <f>(s_C*s_IFB_far_adj*s_CF_far_beef*s_RadSpec!AM18*s_Q_w_beef*(1/1000))</f>
        <v>0.18906249999999999</v>
      </c>
      <c r="CZ18" s="142">
        <f>(s_C*s_IFD_far_adj*s_CF_far_dairy*s_RadSpec!AL18*(1/s_D_milk)*s_Q_w_dairy*(1/1000))</f>
        <v>7.7093446601941744E-3</v>
      </c>
      <c r="DA18" s="142">
        <f>(s_C*s_IFSW_far_adj*s_CF_far_swine*s_RadSpec!AQ18*s_Q_w_swine*(1/1000))</f>
        <v>0</v>
      </c>
      <c r="DB18" s="142">
        <f>(s_C*s_IFP_far_adj*s_CF_far_poultry*s_RadSpec!AO18*s_Q_w_poultry*(1/1000))</f>
        <v>90.75</v>
      </c>
      <c r="DC18" s="142">
        <f>(s_C*s_IFE_far_adj*s_CF_far_egg*s_RadSpec!AP18*s_Q_w_egg*(1/1000))</f>
        <v>117.21875</v>
      </c>
      <c r="DD18" s="142">
        <f>(s_C*s_IFGO_far_adj*s_CF_far_goat*s_RadSpec!AT18*s_Q_p_goat*(1/1000))</f>
        <v>0</v>
      </c>
      <c r="DE18" s="142">
        <f>(s_C*s_IFGM_far_adj*s_CF_far_goat_milk*s_RadSpec!AU18*(1/s_D_milk)*s_Q_p_goat_milk*(1/1000))</f>
        <v>8.4435679611650508E-2</v>
      </c>
      <c r="DF18" s="142">
        <f>(s_C*s_IFSH_far_adj*s_CF_far_sheep*s_RadSpec!AR18*s_Q_p_sheep*(1/1000))</f>
        <v>1.890625</v>
      </c>
      <c r="DG18" s="142">
        <f>(s_C*s_IFSM_far_adj*s_CF_far_sheep_milk*s_RadSpec!AS18*(1/s_D_milk)*s_Q_p_sheep_milk*(1/1000))</f>
        <v>0</v>
      </c>
      <c r="DH18" s="141"/>
      <c r="DI18" s="141">
        <f>IFERROR((s_DL/(s_RadSpec!L18*s_IFA_far_adj)),".")</f>
        <v>2.8800028800028801</v>
      </c>
      <c r="DJ18" s="141">
        <f>IFERROR((s_DL/(s_RadSpec!O18*s_EF_far*(1/365)*s_ED_far*s_ET_far*(1/24)*s_GSF_a)),".")</f>
        <v>958.01991719033333</v>
      </c>
      <c r="DK18" s="141">
        <f t="shared" ref="DK18:DK21" si="55">IFERROR(IF(AND(ISNUMBER(DI18),ISNUMBER(DJ18)),1/((1/DI18)+(1/DJ18)),IF(AND(ISNUMBER(DI18),NOT(ISNUMBER(DJ18))),1/((1/DI18)),IF(AND(NOT(ISNUMBER(DI18)),ISNUMBER(DJ18)),1/((1/DJ18)),IF(AND(NOT(ISNUMBER(DI18)),NOT(ISNUMBER(DJ18))),".")))),".")</f>
        <v>2.8713709544343797</v>
      </c>
      <c r="DL18" s="142">
        <f t="shared" si="46"/>
        <v>501.30208333333326</v>
      </c>
      <c r="DM18" s="142">
        <f t="shared" si="47"/>
        <v>0.3139269406392694</v>
      </c>
      <c r="DN18" s="127"/>
    </row>
    <row r="19" spans="1:118" customFormat="1" x14ac:dyDescent="0.25">
      <c r="A19" s="128" t="s">
        <v>17</v>
      </c>
      <c r="B19" s="129" t="s">
        <v>1059</v>
      </c>
      <c r="C19" s="141" t="str">
        <f>s_dir!AB19</f>
        <v>.</v>
      </c>
      <c r="D19" s="141" t="str">
        <f>IFERROR(s_DL/(s_RadSpec!J19*s_IFP_far_adj*s_CF_far_poultry),".")</f>
        <v>.</v>
      </c>
      <c r="E19" s="141" t="str">
        <f>IFERROR(s_DL/(s_RadSpec!J19*s_IFE_far_adj*s_CF_far_egg),".")</f>
        <v>.</v>
      </c>
      <c r="F19" s="141" t="str">
        <f>IFERROR(s_DL/(s_RadSpec!J19*s_IFB_far_adj*s_CF_far_beef),".")</f>
        <v>.</v>
      </c>
      <c r="G19" s="141" t="str">
        <f>IFERROR(s_DL/(s_RadSpec!J19*s_IFD_far_adj*s_CF_far_dairy),".")</f>
        <v>.</v>
      </c>
      <c r="H19" s="141" t="str">
        <f>IFERROR(s_DL/(s_RadSpec!J19*s_IFSW_far_adj*s_CF_far_swine),".")</f>
        <v>.</v>
      </c>
      <c r="I19" s="141" t="str">
        <f>IFERROR(s_DL/(s_RadSpec!J19*s_IFFI_far_adj*s_CF_far_fish),".")</f>
        <v>.</v>
      </c>
      <c r="J19" s="141" t="str">
        <f>IFERROR(s_DL/(s_RadSpec!J19*s_IFGO_far_adj*s_CF_far_goat),".")</f>
        <v>.</v>
      </c>
      <c r="K19" s="141" t="str">
        <f>IFERROR(s_DL/(s_RadSpec!J19*s_IFSH_far_adj*s_CF_far_sheep),".")</f>
        <v>.</v>
      </c>
      <c r="L19" s="141" t="str">
        <f>IFERROR(s_DL/(s_RadSpec!J19*s_IFGM_far_adj*s_CF_far_goat_milk),".")</f>
        <v>.</v>
      </c>
      <c r="M19" s="141" t="str">
        <f>IFERROR(s_DL/(s_RadSpec!J19*s_IFSM_far_adj*s_CF_far_sheep_milk),".")</f>
        <v>.</v>
      </c>
      <c r="N19" s="142">
        <f>s_dir!BA19</f>
        <v>22687.5</v>
      </c>
      <c r="O19" s="142">
        <f t="shared" si="0"/>
        <v>7562.5</v>
      </c>
      <c r="P19" s="142">
        <f t="shared" si="1"/>
        <v>7562.5</v>
      </c>
      <c r="Q19" s="142">
        <f t="shared" si="2"/>
        <v>7562.5</v>
      </c>
      <c r="R19" s="142">
        <f t="shared" si="3"/>
        <v>7562.5</v>
      </c>
      <c r="S19" s="142">
        <f t="shared" si="4"/>
        <v>7562.5</v>
      </c>
      <c r="T19" s="142">
        <f t="shared" si="5"/>
        <v>7562.5</v>
      </c>
      <c r="U19" s="142">
        <f t="shared" si="6"/>
        <v>7562.5</v>
      </c>
      <c r="V19" s="142">
        <f t="shared" si="7"/>
        <v>7562.5</v>
      </c>
      <c r="W19" s="142">
        <f t="shared" si="8"/>
        <v>7562.5</v>
      </c>
      <c r="X19" s="142">
        <f t="shared" si="9"/>
        <v>7562.5</v>
      </c>
      <c r="Y19" s="141" t="str">
        <f>IFERROR((s_DL/(s_RadSpec!I19*s_IFS_far_adj*(1/1000)))*1,".")</f>
        <v>.</v>
      </c>
      <c r="Z19" s="141" t="str">
        <f>IFERROR(IF(A19="H-3",(s_DL/(s_RadSpec!L19*s_IFA_far_adj*(1/17)*1000))*1,(s_DL/(s_RadSpec!L19*s_IFA_far_adj*(1/s_PEF_wind)*1000))*1),".")</f>
        <v>.</v>
      </c>
      <c r="AA19" s="141">
        <f>IFERROR((s_DL/(s_RadSpec!K19*s_EF_far*(1/365)*s_ED_far*s_RadSpec!V19*((s_ET_far_o*(1/24)*s_RadSpec!AA19)+(s_ET_far_i*(1/24)*s_RadSpec!AF19))))*1,".")</f>
        <v>3514038.9093119306</v>
      </c>
      <c r="AB19" s="141" t="str">
        <f>s_b2s!BA19</f>
        <v>.</v>
      </c>
      <c r="AC19" s="141" t="str">
        <f>IFERROR(((I19*s_RadSpec!AX19)/s_RadSpec!AN19)*1,".")</f>
        <v>.</v>
      </c>
      <c r="AD19" s="141" t="str">
        <f>IFERROR((F19/(s_RadSpec!AM19*((s_Q_p_beef*s_f_p_beef*s_f_s_beef*(s_RadSpec!BG19+s_R_es_past))+(s_Q_s_beef*s_f_p_beef))))*1,".")</f>
        <v>.</v>
      </c>
      <c r="AE19" s="141" t="str">
        <f>IFERROR(((G19*s_D_milk)/(s_RadSpec!AL19*((s_Q_p_dairy*s_f_p_dairy*s_f_s_dairy*(s_RadSpec!BG19+s_R_es_past))+(s_Q_s_dairy*s_f_p_dairy))))*1,".")</f>
        <v>.</v>
      </c>
      <c r="AF19" s="141" t="str">
        <f>IFERROR((H19/(s_RadSpec!AQ19*((s_Q_p_swine*s_f_p_swine*s_f_s_swine*(s_RadSpec!BG19+s_R_es_past))+(s_Q_s_swine*s_f_p_swine))))*1,".")</f>
        <v>.</v>
      </c>
      <c r="AG19" s="141" t="str">
        <f>IFERROR((D19/(s_RadSpec!AO19*((s_Q_p_poultry*s_f_p_poultry*s_f_s_poultry*(s_RadSpec!BG19+s_R_es_past))+(s_Q_s_poultry*s_f_p_poultry))))*1,".")</f>
        <v>.</v>
      </c>
      <c r="AH19" s="141" t="str">
        <f>IFERROR((E19/(s_RadSpec!AP19*((s_Q_p_poultry*s_f_p_poultry*s_f_s_poultry*(s_RadSpec!BG19+s_R_es_past))+(s_Q_s_poultry*s_f_p_poultry))))*1,".")</f>
        <v>.</v>
      </c>
      <c r="AI19" s="141" t="str">
        <f>IFERROR((J19/(s_RadSpec!AT19*((s_Q_p_goat*s_f_p_goat*s_f_s_goat*(s_RadSpec!BG19+s_R_es_past))+(s_Q_s_goat*s_f_p_goat))))*1,".")</f>
        <v>.</v>
      </c>
      <c r="AJ19" s="141" t="str">
        <f>IFERROR((L19*s_D_milk/(s_RadSpec!AU19*((s_Q_p_goat_milk*s_f_p_goat_milk*s_f_s_goat_milk*(s_RadSpec!BG19+s_R_es_past))+(s_Q_s_goat_milk*s_f_p_goat_milk))))*1,".")</f>
        <v>.</v>
      </c>
      <c r="AK19" s="141" t="str">
        <f>IFERROR((K19/(s_RadSpec!AR19*((s_Q_p_sheep*s_f_p_sheep*s_f_s_sheep*(s_RadSpec!BG19+s_R_es_past))+(s_Q_s_sheep*s_f_p_sheep))))*1,".")</f>
        <v>.</v>
      </c>
      <c r="AL19" s="141" t="str">
        <f>IFERROR((M19*s_D_milk/(s_RadSpec!AS19*((s_Q_p_sheep_milk*s_f_p_sheep_milk*s_f_s_sheep_milk*(s_RadSpec!BG19+s_R_es_past))+(s_Q_s_sheep_milk*s_f_p_sheep_milk))))*1,".")</f>
        <v>.</v>
      </c>
      <c r="AM19" s="158" t="str">
        <f t="shared" si="10"/>
        <v>.</v>
      </c>
      <c r="AN19" s="158" t="str">
        <f t="shared" si="11"/>
        <v>.</v>
      </c>
      <c r="AO19" s="158">
        <f t="shared" si="12"/>
        <v>2.8457283081017617E-7</v>
      </c>
      <c r="AP19" s="158" t="str">
        <f t="shared" si="13"/>
        <v>.</v>
      </c>
      <c r="AQ19" s="158" t="str">
        <f t="shared" si="14"/>
        <v>.</v>
      </c>
      <c r="AR19" s="158" t="str">
        <f t="shared" si="15"/>
        <v>.</v>
      </c>
      <c r="AS19" s="158" t="str">
        <f t="shared" si="16"/>
        <v>.</v>
      </c>
      <c r="AT19" s="158" t="str">
        <f t="shared" si="17"/>
        <v>.</v>
      </c>
      <c r="AU19" s="158" t="str">
        <f t="shared" si="18"/>
        <v>.</v>
      </c>
      <c r="AV19" s="158" t="str">
        <f t="shared" si="19"/>
        <v>.</v>
      </c>
      <c r="AW19" s="158" t="str">
        <f t="shared" si="20"/>
        <v>.</v>
      </c>
      <c r="AX19" s="158" t="str">
        <f t="shared" si="21"/>
        <v>.</v>
      </c>
      <c r="AY19" s="158" t="str">
        <f t="shared" si="22"/>
        <v>.</v>
      </c>
      <c r="AZ19" s="158" t="str">
        <f t="shared" si="23"/>
        <v>.</v>
      </c>
      <c r="BA19" s="141">
        <f t="shared" si="24"/>
        <v>3514038.9093119306</v>
      </c>
      <c r="BB19" s="142">
        <f t="shared" si="25"/>
        <v>15.125</v>
      </c>
      <c r="BC19" s="142">
        <f t="shared" si="26"/>
        <v>1.618127279505213E-3</v>
      </c>
      <c r="BD19" s="142">
        <f>IFERROR((s_C*s_EF_far*(1/365)*s_ED_far*s_RadSpec!V19*((s_ET_far_o*(1/24)*s_RadSpec!AA19)+(s_ET_far_i*(1/24)*s_RadSpec!AF19))),".")</f>
        <v>3.2832093933463792E-2</v>
      </c>
      <c r="BE19" s="142">
        <f>s_b2s!BZ19</f>
        <v>407.92124999999999</v>
      </c>
      <c r="BF19" s="142">
        <f>IFERROR(((s_C*s_RadSpec!AN19)/s_RadSpec!AX19)*s_IFFI_far_adj*s_CF_far_fish,0)</f>
        <v>1296.4285714285713</v>
      </c>
      <c r="BG19" s="142">
        <f>(s_C*s_IFB_far_adj*s_CF_far_beef*s_RadSpec!AM19*((s_Q_p_beef*s_f_p_beef*s_f_s_beef*(s_RadSpec!$AW19+s_R_es_past))+(s_Q_s_beef*s_f_p_beef)))</f>
        <v>3309.8976293103451</v>
      </c>
      <c r="BH19" s="142">
        <f>(s_C*s_IFD_far_adj*s_CF_far_dairy*s_RadSpec!AL19*1/s_D_milk*((s_Q_p_dairy*s_f_p_dairy*s_f_s_dairy*(s_RadSpec!$AW19+s_R_es_past))+(s_Q_s_dairy*s_f_p_dairy)))</f>
        <v>134.96669944760632</v>
      </c>
      <c r="BI19" s="142">
        <f>(s_C*s_IFSW_far_adj*s_CF_far_swine*s_RadSpec!AQ19*((s_Q_p_swine*s_f_p_swine*s_f_s_swine*(s_RadSpec!$AW19+s_R_es_past))+(s_Q_s_swine*s_f_p_swine)))</f>
        <v>0</v>
      </c>
      <c r="BJ19" s="142">
        <f>(s_C*s_IFP_far_adj*s_CF_far_poultry*s_RadSpec!AO19*((s_Q_p_poultry*s_f_p_poultry*s_f_s_poultry*(s_RadSpec!AW19+s_R_es_past))+(s_Q_s_poultry*s_f_p_poultry)))</f>
        <v>1588750.8620689656</v>
      </c>
      <c r="BK19" s="142">
        <f>(s_C*s_IFE_far_adj*s_CF_far_egg*s_RadSpec!AP19*((s_Q_p_egg*s_f_p_egg*s_f_s_egg*(s_RadSpec!$AW19+s_R_es_past))+(s_Q_s_egg*s_f_p_egg)))</f>
        <v>2052136.5301724139</v>
      </c>
      <c r="BL19" s="142">
        <f>(s_C*s_IFGO_far_adj*s_CF_far_goat*s_RadSpec!AT19*((s_Q_p_goat*s_f_p_goat*s_f_s_goat*(s_RadSpec!$AW19+s_R_es_past))+(s_Q_s_goat*s_f_p_goat)))</f>
        <v>0</v>
      </c>
      <c r="BM19" s="142">
        <f>(s_C*s_IFGM_far_adj*s_CF_far_goat_milk*s_RadSpec!AU19*1/s_D_milk*((s_Q_p_goat_milk*s_f_p_goat_milk*s_f_s_goat_milk*(s_RadSpec!$AW19+s_R_es_past))+(s_Q_s_goat_milk*s_f_p_goat_milk)))</f>
        <v>1478.206708235688</v>
      </c>
      <c r="BN19" s="142">
        <f>(s_C*s_IFSH_far_adj*s_CF_far_sheep*s_RadSpec!AR19*((s_Q_p_sheep*s_f_p_sheep*s_f_s_sheep*(s_RadSpec!$AW19+s_R_es_past))+(s_Q_s_sheep*s_f_p_sheep)))</f>
        <v>33098.976293103449</v>
      </c>
      <c r="BO19" s="142">
        <f>(s_C*s_IFSM_far_adj*s_CF_far_sheep_milk*s_RadSpec!AS19*1/s_D_milk*((s_Q_p_sheep_milk*s_f_p_sheep_milk*s_f_s_sheep_milk*(s_RadSpec!$AW19+s_R_es_past))+(s_Q_s_sheep_milk*s_f_p_sheep_milk)))</f>
        <v>0</v>
      </c>
      <c r="BP19" s="141"/>
      <c r="BQ19" s="141" t="str">
        <f>IFERROR(s_DL/(s_RadSpec!M19*s_IFW_far_adj),".")</f>
        <v>.</v>
      </c>
      <c r="BR19" s="141" t="str">
        <f>IFERROR(IF(s_RadSpec!C19=1,s_DL/(s_RadSpec!L19*s_IFA_far_adj*s_K),"."),".")</f>
        <v>.</v>
      </c>
      <c r="BS19" s="141">
        <f>IFERROR((s_DL/(s_RadSpec!Q19*(1/8760)*s_DFA_far_adj)),".")</f>
        <v>287276.86196071305</v>
      </c>
      <c r="BT19" s="141" t="str">
        <f>s_b2w!BA19</f>
        <v>.</v>
      </c>
      <c r="BU19" s="141" t="str">
        <f>IFERROR(I19/(s_RadSpec!AN19*(1/1000)),".")</f>
        <v>.</v>
      </c>
      <c r="BV19" s="141" t="str">
        <f>IFERROR(F19/(s_RadSpec!AM19*s_Q_w_beef*(1/1000)),".")</f>
        <v>.</v>
      </c>
      <c r="BW19" s="141" t="str">
        <f>IFERROR((G19*s_D_milk)/(s_RadSpec!AL19*s_Q_w_dairy*(1/1000)),".")</f>
        <v>.</v>
      </c>
      <c r="BX19" s="141" t="str">
        <f>IFERROR(H19/(s_RadSpec!AQ19*s_Q_w_swine*(1/1000)),".")</f>
        <v>.</v>
      </c>
      <c r="BY19" s="141" t="str">
        <f>IFERROR(D19/(s_RadSpec!AO19*s_Q_w_poultry*(1/1000)),".")</f>
        <v>.</v>
      </c>
      <c r="BZ19" s="141" t="str">
        <f>IFERROR(E19/(s_RadSpec!AP19*s_Q_w_poultry*(1/1000)),".")</f>
        <v>.</v>
      </c>
      <c r="CA19" s="141" t="str">
        <f>IFERROR(J19/(s_RadSpec!AT19*s_Q_w_goat*(1/1000)),".")</f>
        <v>.</v>
      </c>
      <c r="CB19" s="141" t="str">
        <f>IFERROR(L19*s_D_milk/(s_RadSpec!AU19*s_Q_w_goat_milk*(1/1000)),".")</f>
        <v>.</v>
      </c>
      <c r="CC19" s="141" t="str">
        <f>IFERROR(K19/(s_RadSpec!AR19*s_Q_w_sheep*(1/1000)),".")</f>
        <v>.</v>
      </c>
      <c r="CD19" s="141" t="str">
        <f>IFERROR(M19*s_D_milk/(s_RadSpec!AS19*s_Q_w_sheep_milk*(1/1000)),".")</f>
        <v>.</v>
      </c>
      <c r="CE19" s="158" t="str">
        <f t="shared" si="27"/>
        <v>.</v>
      </c>
      <c r="CF19" s="158" t="str">
        <f t="shared" si="28"/>
        <v>.</v>
      </c>
      <c r="CG19" s="158">
        <f t="shared" si="29"/>
        <v>3.4809625570776266E-6</v>
      </c>
      <c r="CH19" s="158" t="str">
        <f t="shared" si="30"/>
        <v>.</v>
      </c>
      <c r="CI19" s="158" t="str">
        <f t="shared" si="31"/>
        <v>.</v>
      </c>
      <c r="CJ19" s="158" t="str">
        <f t="shared" si="32"/>
        <v>.</v>
      </c>
      <c r="CK19" s="158" t="str">
        <f t="shared" si="33"/>
        <v>.</v>
      </c>
      <c r="CL19" s="158" t="str">
        <f t="shared" si="34"/>
        <v>.</v>
      </c>
      <c r="CM19" s="158" t="str">
        <f t="shared" si="35"/>
        <v>.</v>
      </c>
      <c r="CN19" s="158" t="str">
        <f t="shared" si="36"/>
        <v>.</v>
      </c>
      <c r="CO19" s="158" t="str">
        <f t="shared" si="37"/>
        <v>.</v>
      </c>
      <c r="CP19" s="158" t="str">
        <f t="shared" si="38"/>
        <v>.</v>
      </c>
      <c r="CQ19" s="158" t="str">
        <f t="shared" si="39"/>
        <v>.</v>
      </c>
      <c r="CR19" s="158" t="str">
        <f t="shared" si="40"/>
        <v>.</v>
      </c>
      <c r="CS19" s="141">
        <f t="shared" si="41"/>
        <v>287276.86196071305</v>
      </c>
      <c r="CT19" s="142">
        <f t="shared" si="42"/>
        <v>1375</v>
      </c>
      <c r="CU19" s="142">
        <f t="shared" si="43"/>
        <v>250.65104166666663</v>
      </c>
      <c r="CV19" s="142">
        <f t="shared" si="44"/>
        <v>0.12557077625570776</v>
      </c>
      <c r="CW19" s="142">
        <f>s_b2w!BZ19</f>
        <v>285.56727257609776</v>
      </c>
      <c r="CX19" s="142">
        <f>IFERROR(s_C*s_RadSpec!AN19*(1/1000)*s_IFFI_far_adj*s_CF_far_fish,0)</f>
        <v>272.25</v>
      </c>
      <c r="CY19" s="142">
        <f>(s_C*s_IFB_far_adj*s_CF_far_beef*s_RadSpec!AM19*s_Q_w_beef*(1/1000))</f>
        <v>0.18906249999999999</v>
      </c>
      <c r="CZ19" s="142">
        <f>(s_C*s_IFD_far_adj*s_CF_far_dairy*s_RadSpec!AL19*(1/s_D_milk)*s_Q_w_dairy*(1/1000))</f>
        <v>7.7093446601941744E-3</v>
      </c>
      <c r="DA19" s="142">
        <f>(s_C*s_IFSW_far_adj*s_CF_far_swine*s_RadSpec!AQ19*s_Q_w_swine*(1/1000))</f>
        <v>0</v>
      </c>
      <c r="DB19" s="142">
        <f>(s_C*s_IFP_far_adj*s_CF_far_poultry*s_RadSpec!AO19*s_Q_w_poultry*(1/1000))</f>
        <v>90.75</v>
      </c>
      <c r="DC19" s="142">
        <f>(s_C*s_IFE_far_adj*s_CF_far_egg*s_RadSpec!AP19*s_Q_w_egg*(1/1000))</f>
        <v>117.21875</v>
      </c>
      <c r="DD19" s="142">
        <f>(s_C*s_IFGO_far_adj*s_CF_far_goat*s_RadSpec!AT19*s_Q_p_goat*(1/1000))</f>
        <v>0</v>
      </c>
      <c r="DE19" s="142">
        <f>(s_C*s_IFGM_far_adj*s_CF_far_goat_milk*s_RadSpec!AU19*(1/s_D_milk)*s_Q_p_goat_milk*(1/1000))</f>
        <v>8.4435679611650508E-2</v>
      </c>
      <c r="DF19" s="142">
        <f>(s_C*s_IFSH_far_adj*s_CF_far_sheep*s_RadSpec!AR19*s_Q_p_sheep*(1/1000))</f>
        <v>1.890625</v>
      </c>
      <c r="DG19" s="142">
        <f>(s_C*s_IFSM_far_adj*s_CF_far_sheep_milk*s_RadSpec!AS19*(1/s_D_milk)*s_Q_p_sheep_milk*(1/1000))</f>
        <v>0</v>
      </c>
      <c r="DH19" s="141"/>
      <c r="DI19" s="141" t="str">
        <f>IFERROR((s_DL/(s_RadSpec!L19*s_IFA_far_adj)),".")</f>
        <v>.</v>
      </c>
      <c r="DJ19" s="141">
        <f>IFERROR((s_DL/(s_RadSpec!O19*s_EF_far*(1/365)*s_ED_far*s_ET_far*(1/24)*s_GSF_a)),".")</f>
        <v>249.30927669573001</v>
      </c>
      <c r="DK19" s="141">
        <f t="shared" si="55"/>
        <v>249.30927669573003</v>
      </c>
      <c r="DL19" s="142">
        <f t="shared" si="46"/>
        <v>501.30208333333326</v>
      </c>
      <c r="DM19" s="142">
        <f t="shared" si="47"/>
        <v>0.3139269406392694</v>
      </c>
      <c r="DN19" s="127"/>
    </row>
    <row r="20" spans="1:118" customFormat="1" x14ac:dyDescent="0.25">
      <c r="A20" s="128" t="s">
        <v>18</v>
      </c>
      <c r="B20" s="129" t="s">
        <v>1059</v>
      </c>
      <c r="C20" s="141" t="str">
        <f>s_dir!AB20</f>
        <v>.</v>
      </c>
      <c r="D20" s="141" t="str">
        <f>IFERROR(s_DL/(s_RadSpec!J20*s_IFP_far_adj*s_CF_far_poultry),".")</f>
        <v>.</v>
      </c>
      <c r="E20" s="141" t="str">
        <f>IFERROR(s_DL/(s_RadSpec!J20*s_IFE_far_adj*s_CF_far_egg),".")</f>
        <v>.</v>
      </c>
      <c r="F20" s="141" t="str">
        <f>IFERROR(s_DL/(s_RadSpec!J20*s_IFB_far_adj*s_CF_far_beef),".")</f>
        <v>.</v>
      </c>
      <c r="G20" s="141" t="str">
        <f>IFERROR(s_DL/(s_RadSpec!J20*s_IFD_far_adj*s_CF_far_dairy),".")</f>
        <v>.</v>
      </c>
      <c r="H20" s="141" t="str">
        <f>IFERROR(s_DL/(s_RadSpec!J20*s_IFSW_far_adj*s_CF_far_swine),".")</f>
        <v>.</v>
      </c>
      <c r="I20" s="141" t="str">
        <f>IFERROR(s_DL/(s_RadSpec!J20*s_IFFI_far_adj*s_CF_far_fish),".")</f>
        <v>.</v>
      </c>
      <c r="J20" s="141" t="str">
        <f>IFERROR(s_DL/(s_RadSpec!J20*s_IFGO_far_adj*s_CF_far_goat),".")</f>
        <v>.</v>
      </c>
      <c r="K20" s="141" t="str">
        <f>IFERROR(s_DL/(s_RadSpec!J20*s_IFSH_far_adj*s_CF_far_sheep),".")</f>
        <v>.</v>
      </c>
      <c r="L20" s="141" t="str">
        <f>IFERROR(s_DL/(s_RadSpec!J20*s_IFGM_far_adj*s_CF_far_goat_milk),".")</f>
        <v>.</v>
      </c>
      <c r="M20" s="141" t="str">
        <f>IFERROR(s_DL/(s_RadSpec!J20*s_IFSM_far_adj*s_CF_far_sheep_milk),".")</f>
        <v>.</v>
      </c>
      <c r="N20" s="142">
        <f>s_dir!BA20</f>
        <v>22687.5</v>
      </c>
      <c r="O20" s="142">
        <f t="shared" si="0"/>
        <v>7562.5</v>
      </c>
      <c r="P20" s="142">
        <f t="shared" si="1"/>
        <v>7562.5</v>
      </c>
      <c r="Q20" s="142">
        <f t="shared" si="2"/>
        <v>7562.5</v>
      </c>
      <c r="R20" s="142">
        <f t="shared" si="3"/>
        <v>7562.5</v>
      </c>
      <c r="S20" s="142">
        <f t="shared" si="4"/>
        <v>7562.5</v>
      </c>
      <c r="T20" s="142">
        <f t="shared" si="5"/>
        <v>7562.5</v>
      </c>
      <c r="U20" s="142">
        <f t="shared" si="6"/>
        <v>7562.5</v>
      </c>
      <c r="V20" s="142">
        <f t="shared" si="7"/>
        <v>7562.5</v>
      </c>
      <c r="W20" s="142">
        <f t="shared" si="8"/>
        <v>7562.5</v>
      </c>
      <c r="X20" s="142">
        <f t="shared" si="9"/>
        <v>7562.5</v>
      </c>
      <c r="Y20" s="141" t="str">
        <f>IFERROR((s_DL/(s_RadSpec!I20*s_IFS_far_adj*(1/1000)))*1,".")</f>
        <v>.</v>
      </c>
      <c r="Z20" s="141" t="str">
        <f>IFERROR(IF(A20="H-3",(s_DL/(s_RadSpec!L20*s_IFA_far_adj*(1/17)*1000))*1,(s_DL/(s_RadSpec!L20*s_IFA_far_adj*(1/s_PEF_wind)*1000))*1),".")</f>
        <v>.</v>
      </c>
      <c r="AA20" s="141">
        <f>IFERROR((s_DL/(s_RadSpec!K20*s_EF_far*(1/365)*s_ED_far*s_RadSpec!V20*((s_ET_far_o*(1/24)*s_RadSpec!AA20)+(s_ET_far_i*(1/24)*s_RadSpec!AF20))))*1,".")</f>
        <v>1559623.3531495451</v>
      </c>
      <c r="AB20" s="141" t="str">
        <f>s_b2s!BA20</f>
        <v>.</v>
      </c>
      <c r="AC20" s="141" t="str">
        <f>IFERROR(((I20*s_RadSpec!AX20)/s_RadSpec!AN20)*1,".")</f>
        <v>.</v>
      </c>
      <c r="AD20" s="141" t="str">
        <f>IFERROR((F20/(s_RadSpec!AM20*((s_Q_p_beef*s_f_p_beef*s_f_s_beef*(s_RadSpec!BG20+s_R_es_past))+(s_Q_s_beef*s_f_p_beef))))*1,".")</f>
        <v>.</v>
      </c>
      <c r="AE20" s="141" t="str">
        <f>IFERROR(((G20*s_D_milk)/(s_RadSpec!AL20*((s_Q_p_dairy*s_f_p_dairy*s_f_s_dairy*(s_RadSpec!BG20+s_R_es_past))+(s_Q_s_dairy*s_f_p_dairy))))*1,".")</f>
        <v>.</v>
      </c>
      <c r="AF20" s="141" t="str">
        <f>IFERROR((H20/(s_RadSpec!AQ20*((s_Q_p_swine*s_f_p_swine*s_f_s_swine*(s_RadSpec!BG20+s_R_es_past))+(s_Q_s_swine*s_f_p_swine))))*1,".")</f>
        <v>.</v>
      </c>
      <c r="AG20" s="141" t="str">
        <f>IFERROR((D20/(s_RadSpec!AO20*((s_Q_p_poultry*s_f_p_poultry*s_f_s_poultry*(s_RadSpec!BG20+s_R_es_past))+(s_Q_s_poultry*s_f_p_poultry))))*1,".")</f>
        <v>.</v>
      </c>
      <c r="AH20" s="141" t="str">
        <f>IFERROR((E20/(s_RadSpec!AP20*((s_Q_p_poultry*s_f_p_poultry*s_f_s_poultry*(s_RadSpec!BG20+s_R_es_past))+(s_Q_s_poultry*s_f_p_poultry))))*1,".")</f>
        <v>.</v>
      </c>
      <c r="AI20" s="141" t="str">
        <f>IFERROR((J20/(s_RadSpec!AT20*((s_Q_p_goat*s_f_p_goat*s_f_s_goat*(s_RadSpec!BG20+s_R_es_past))+(s_Q_s_goat*s_f_p_goat))))*1,".")</f>
        <v>.</v>
      </c>
      <c r="AJ20" s="141" t="str">
        <f>IFERROR((L20*s_D_milk/(s_RadSpec!AU20*((s_Q_p_goat_milk*s_f_p_goat_milk*s_f_s_goat_milk*(s_RadSpec!BG20+s_R_es_past))+(s_Q_s_goat_milk*s_f_p_goat_milk))))*1,".")</f>
        <v>.</v>
      </c>
      <c r="AK20" s="141" t="str">
        <f>IFERROR((K20/(s_RadSpec!AR20*((s_Q_p_sheep*s_f_p_sheep*s_f_s_sheep*(s_RadSpec!BG20+s_R_es_past))+(s_Q_s_sheep*s_f_p_sheep))))*1,".")</f>
        <v>.</v>
      </c>
      <c r="AL20" s="141" t="str">
        <f>IFERROR((M20*s_D_milk/(s_RadSpec!AS20*((s_Q_p_sheep_milk*s_f_p_sheep_milk*s_f_s_sheep_milk*(s_RadSpec!BG20+s_R_es_past))+(s_Q_s_sheep_milk*s_f_p_sheep_milk))))*1,".")</f>
        <v>.</v>
      </c>
      <c r="AM20" s="158" t="str">
        <f t="shared" si="10"/>
        <v>.</v>
      </c>
      <c r="AN20" s="158" t="str">
        <f t="shared" si="11"/>
        <v>.</v>
      </c>
      <c r="AO20" s="158">
        <f t="shared" si="12"/>
        <v>6.4118044781810509E-7</v>
      </c>
      <c r="AP20" s="158" t="str">
        <f t="shared" si="13"/>
        <v>.</v>
      </c>
      <c r="AQ20" s="158" t="str">
        <f t="shared" si="14"/>
        <v>.</v>
      </c>
      <c r="AR20" s="158" t="str">
        <f t="shared" si="15"/>
        <v>.</v>
      </c>
      <c r="AS20" s="158" t="str">
        <f t="shared" si="16"/>
        <v>.</v>
      </c>
      <c r="AT20" s="158" t="str">
        <f t="shared" si="17"/>
        <v>.</v>
      </c>
      <c r="AU20" s="158" t="str">
        <f t="shared" si="18"/>
        <v>.</v>
      </c>
      <c r="AV20" s="158" t="str">
        <f t="shared" si="19"/>
        <v>.</v>
      </c>
      <c r="AW20" s="158" t="str">
        <f t="shared" si="20"/>
        <v>.</v>
      </c>
      <c r="AX20" s="158" t="str">
        <f t="shared" si="21"/>
        <v>.</v>
      </c>
      <c r="AY20" s="158" t="str">
        <f t="shared" si="22"/>
        <v>.</v>
      </c>
      <c r="AZ20" s="158" t="str">
        <f t="shared" si="23"/>
        <v>.</v>
      </c>
      <c r="BA20" s="141">
        <f t="shared" si="24"/>
        <v>1559623.3531495451</v>
      </c>
      <c r="BB20" s="142">
        <f t="shared" si="25"/>
        <v>15.125</v>
      </c>
      <c r="BC20" s="142">
        <f t="shared" si="26"/>
        <v>1.618127279505213E-3</v>
      </c>
      <c r="BD20" s="142">
        <f>IFERROR((s_C*s_EF_far*(1/365)*s_ED_far*s_RadSpec!V20*((s_ET_far_o*(1/24)*s_RadSpec!AA20)+(s_ET_far_i*(1/24)*s_RadSpec!AF20))),".")</f>
        <v>3.3389528315209728E-2</v>
      </c>
      <c r="BE20" s="142">
        <f>s_b2s!BZ20</f>
        <v>407.92124999999999</v>
      </c>
      <c r="BF20" s="142">
        <f>IFERROR(((s_C*s_RadSpec!AN20)/s_RadSpec!AX20)*s_IFFI_far_adj*s_CF_far_fish,0)</f>
        <v>1296.4285714285713</v>
      </c>
      <c r="BG20" s="142">
        <f>(s_C*s_IFB_far_adj*s_CF_far_beef*s_RadSpec!AM20*((s_Q_p_beef*s_f_p_beef*s_f_s_beef*(s_RadSpec!$AW20+s_R_es_past))+(s_Q_s_beef*s_f_p_beef)))</f>
        <v>3309.8976293103451</v>
      </c>
      <c r="BH20" s="142">
        <f>(s_C*s_IFD_far_adj*s_CF_far_dairy*s_RadSpec!AL20*1/s_D_milk*((s_Q_p_dairy*s_f_p_dairy*s_f_s_dairy*(s_RadSpec!$AW20+s_R_es_past))+(s_Q_s_dairy*s_f_p_dairy)))</f>
        <v>134.96669944760632</v>
      </c>
      <c r="BI20" s="142">
        <f>(s_C*s_IFSW_far_adj*s_CF_far_swine*s_RadSpec!AQ20*((s_Q_p_swine*s_f_p_swine*s_f_s_swine*(s_RadSpec!$AW20+s_R_es_past))+(s_Q_s_swine*s_f_p_swine)))</f>
        <v>0</v>
      </c>
      <c r="BJ20" s="142">
        <f>(s_C*s_IFP_far_adj*s_CF_far_poultry*s_RadSpec!AO20*((s_Q_p_poultry*s_f_p_poultry*s_f_s_poultry*(s_RadSpec!AW20+s_R_es_past))+(s_Q_s_poultry*s_f_p_poultry)))</f>
        <v>1588750.8620689656</v>
      </c>
      <c r="BK20" s="142">
        <f>(s_C*s_IFE_far_adj*s_CF_far_egg*s_RadSpec!AP20*((s_Q_p_egg*s_f_p_egg*s_f_s_egg*(s_RadSpec!$AW20+s_R_es_past))+(s_Q_s_egg*s_f_p_egg)))</f>
        <v>2052136.5301724139</v>
      </c>
      <c r="BL20" s="142">
        <f>(s_C*s_IFGO_far_adj*s_CF_far_goat*s_RadSpec!AT20*((s_Q_p_goat*s_f_p_goat*s_f_s_goat*(s_RadSpec!$AW20+s_R_es_past))+(s_Q_s_goat*s_f_p_goat)))</f>
        <v>0</v>
      </c>
      <c r="BM20" s="142">
        <f>(s_C*s_IFGM_far_adj*s_CF_far_goat_milk*s_RadSpec!AU20*1/s_D_milk*((s_Q_p_goat_milk*s_f_p_goat_milk*s_f_s_goat_milk*(s_RadSpec!$AW20+s_R_es_past))+(s_Q_s_goat_milk*s_f_p_goat_milk)))</f>
        <v>1478.206708235688</v>
      </c>
      <c r="BN20" s="142">
        <f>(s_C*s_IFSH_far_adj*s_CF_far_sheep*s_RadSpec!AR20*((s_Q_p_sheep*s_f_p_sheep*s_f_s_sheep*(s_RadSpec!$AW20+s_R_es_past))+(s_Q_s_sheep*s_f_p_sheep)))</f>
        <v>33098.976293103449</v>
      </c>
      <c r="BO20" s="142">
        <f>(s_C*s_IFSM_far_adj*s_CF_far_sheep_milk*s_RadSpec!AS20*1/s_D_milk*((s_Q_p_sheep_milk*s_f_p_sheep_milk*s_f_s_sheep_milk*(s_RadSpec!$AW20+s_R_es_past))+(s_Q_s_sheep_milk*s_f_p_sheep_milk)))</f>
        <v>0</v>
      </c>
      <c r="BP20" s="141"/>
      <c r="BQ20" s="141" t="str">
        <f>IFERROR(s_DL/(s_RadSpec!M20*s_IFW_far_adj),".")</f>
        <v>.</v>
      </c>
      <c r="BR20" s="141" t="str">
        <f>IFERROR(IF(s_RadSpec!C20=1,s_DL/(s_RadSpec!L20*s_IFA_far_adj*s_K),"."),".")</f>
        <v>.</v>
      </c>
      <c r="BS20" s="141">
        <f>IFERROR((s_DL/(s_RadSpec!Q20*(1/8760)*s_DFA_far_adj)),".")</f>
        <v>129501.47726297032</v>
      </c>
      <c r="BT20" s="141" t="str">
        <f>s_b2w!BA20</f>
        <v>.</v>
      </c>
      <c r="BU20" s="141" t="str">
        <f>IFERROR(I20/(s_RadSpec!AN20*(1/1000)),".")</f>
        <v>.</v>
      </c>
      <c r="BV20" s="141" t="str">
        <f>IFERROR(F20/(s_RadSpec!AM20*s_Q_w_beef*(1/1000)),".")</f>
        <v>.</v>
      </c>
      <c r="BW20" s="141" t="str">
        <f>IFERROR((G20*s_D_milk)/(s_RadSpec!AL20*s_Q_w_dairy*(1/1000)),".")</f>
        <v>.</v>
      </c>
      <c r="BX20" s="141" t="str">
        <f>IFERROR(H20/(s_RadSpec!AQ20*s_Q_w_swine*(1/1000)),".")</f>
        <v>.</v>
      </c>
      <c r="BY20" s="141" t="str">
        <f>IFERROR(D20/(s_RadSpec!AO20*s_Q_w_poultry*(1/1000)),".")</f>
        <v>.</v>
      </c>
      <c r="BZ20" s="141" t="str">
        <f>IFERROR(E20/(s_RadSpec!AP20*s_Q_w_poultry*(1/1000)),".")</f>
        <v>.</v>
      </c>
      <c r="CA20" s="141" t="str">
        <f>IFERROR(J20/(s_RadSpec!AT20*s_Q_w_goat*(1/1000)),".")</f>
        <v>.</v>
      </c>
      <c r="CB20" s="141" t="str">
        <f>IFERROR(L20*s_D_milk/(s_RadSpec!AU20*s_Q_w_goat_milk*(1/1000)),".")</f>
        <v>.</v>
      </c>
      <c r="CC20" s="141" t="str">
        <f>IFERROR(K20/(s_RadSpec!AR20*s_Q_w_sheep*(1/1000)),".")</f>
        <v>.</v>
      </c>
      <c r="CD20" s="141" t="str">
        <f>IFERROR(M20*s_D_milk/(s_RadSpec!AS20*s_Q_w_sheep_milk*(1/1000)),".")</f>
        <v>.</v>
      </c>
      <c r="CE20" s="158" t="str">
        <f t="shared" si="27"/>
        <v>.</v>
      </c>
      <c r="CF20" s="158" t="str">
        <f t="shared" si="28"/>
        <v>.</v>
      </c>
      <c r="CG20" s="158">
        <f t="shared" si="29"/>
        <v>7.7219196347031953E-6</v>
      </c>
      <c r="CH20" s="158" t="str">
        <f t="shared" si="30"/>
        <v>.</v>
      </c>
      <c r="CI20" s="158" t="str">
        <f t="shared" si="31"/>
        <v>.</v>
      </c>
      <c r="CJ20" s="158" t="str">
        <f t="shared" si="32"/>
        <v>.</v>
      </c>
      <c r="CK20" s="158" t="str">
        <f t="shared" si="33"/>
        <v>.</v>
      </c>
      <c r="CL20" s="158" t="str">
        <f t="shared" si="34"/>
        <v>.</v>
      </c>
      <c r="CM20" s="158" t="str">
        <f t="shared" si="35"/>
        <v>.</v>
      </c>
      <c r="CN20" s="158" t="str">
        <f t="shared" si="36"/>
        <v>.</v>
      </c>
      <c r="CO20" s="158" t="str">
        <f t="shared" si="37"/>
        <v>.</v>
      </c>
      <c r="CP20" s="158" t="str">
        <f t="shared" si="38"/>
        <v>.</v>
      </c>
      <c r="CQ20" s="158" t="str">
        <f t="shared" si="39"/>
        <v>.</v>
      </c>
      <c r="CR20" s="158" t="str">
        <f t="shared" si="40"/>
        <v>.</v>
      </c>
      <c r="CS20" s="141">
        <f t="shared" si="41"/>
        <v>129501.47726297034</v>
      </c>
      <c r="CT20" s="142">
        <f t="shared" si="42"/>
        <v>1375</v>
      </c>
      <c r="CU20" s="142">
        <f t="shared" si="43"/>
        <v>250.65104166666663</v>
      </c>
      <c r="CV20" s="142">
        <f t="shared" si="44"/>
        <v>0.12557077625570776</v>
      </c>
      <c r="CW20" s="142">
        <f>s_b2w!BZ20</f>
        <v>285.56727257609776</v>
      </c>
      <c r="CX20" s="142">
        <f>IFERROR(s_C*s_RadSpec!AN20*(1/1000)*s_IFFI_far_adj*s_CF_far_fish,0)</f>
        <v>272.25</v>
      </c>
      <c r="CY20" s="142">
        <f>(s_C*s_IFB_far_adj*s_CF_far_beef*s_RadSpec!AM20*s_Q_w_beef*(1/1000))</f>
        <v>0.18906249999999999</v>
      </c>
      <c r="CZ20" s="142">
        <f>(s_C*s_IFD_far_adj*s_CF_far_dairy*s_RadSpec!AL20*(1/s_D_milk)*s_Q_w_dairy*(1/1000))</f>
        <v>7.7093446601941744E-3</v>
      </c>
      <c r="DA20" s="142">
        <f>(s_C*s_IFSW_far_adj*s_CF_far_swine*s_RadSpec!AQ20*s_Q_w_swine*(1/1000))</f>
        <v>0</v>
      </c>
      <c r="DB20" s="142">
        <f>(s_C*s_IFP_far_adj*s_CF_far_poultry*s_RadSpec!AO20*s_Q_w_poultry*(1/1000))</f>
        <v>90.75</v>
      </c>
      <c r="DC20" s="142">
        <f>(s_C*s_IFE_far_adj*s_CF_far_egg*s_RadSpec!AP20*s_Q_w_egg*(1/1000))</f>
        <v>117.21875</v>
      </c>
      <c r="DD20" s="142">
        <f>(s_C*s_IFGO_far_adj*s_CF_far_goat*s_RadSpec!AT20*s_Q_p_goat*(1/1000))</f>
        <v>0</v>
      </c>
      <c r="DE20" s="142">
        <f>(s_C*s_IFGM_far_adj*s_CF_far_goat_milk*s_RadSpec!AU20*(1/s_D_milk)*s_Q_p_goat_milk*(1/1000))</f>
        <v>8.4435679611650508E-2</v>
      </c>
      <c r="DF20" s="142">
        <f>(s_C*s_IFSH_far_adj*s_CF_far_sheep*s_RadSpec!AR20*s_Q_p_sheep*(1/1000))</f>
        <v>1.890625</v>
      </c>
      <c r="DG20" s="142">
        <f>(s_C*s_IFSM_far_adj*s_CF_far_sheep_milk*s_RadSpec!AS20*(1/s_D_milk)*s_Q_p_sheep_milk*(1/1000))</f>
        <v>0</v>
      </c>
      <c r="DH20" s="141"/>
      <c r="DI20" s="141" t="str">
        <f>IFERROR((s_DL/(s_RadSpec!L20*s_IFA_far_adj)),".")</f>
        <v>.</v>
      </c>
      <c r="DJ20" s="141">
        <f>IFERROR((s_DL/(s_RadSpec!O20*s_EF_far*(1/365)*s_ED_far*s_ET_far*(1/24)*s_GSF_a)),".")</f>
        <v>112.18917451307848</v>
      </c>
      <c r="DK20" s="141">
        <f t="shared" si="55"/>
        <v>112.18917451307848</v>
      </c>
      <c r="DL20" s="142">
        <f t="shared" si="46"/>
        <v>501.30208333333326</v>
      </c>
      <c r="DM20" s="142">
        <f t="shared" si="47"/>
        <v>0.3139269406392694</v>
      </c>
      <c r="DN20" s="127"/>
    </row>
    <row r="21" spans="1:118" customFormat="1" x14ac:dyDescent="0.25">
      <c r="A21" s="128" t="s">
        <v>19</v>
      </c>
      <c r="B21" s="129" t="s">
        <v>1059</v>
      </c>
      <c r="C21" s="141" t="str">
        <f>s_dir!AB21</f>
        <v>.</v>
      </c>
      <c r="D21" s="141" t="str">
        <f>IFERROR(s_DL/(s_RadSpec!J21*s_IFP_far_adj*s_CF_far_poultry),".")</f>
        <v>.</v>
      </c>
      <c r="E21" s="141" t="str">
        <f>IFERROR(s_DL/(s_RadSpec!J21*s_IFE_far_adj*s_CF_far_egg),".")</f>
        <v>.</v>
      </c>
      <c r="F21" s="141" t="str">
        <f>IFERROR(s_DL/(s_RadSpec!J21*s_IFB_far_adj*s_CF_far_beef),".")</f>
        <v>.</v>
      </c>
      <c r="G21" s="141" t="str">
        <f>IFERROR(s_DL/(s_RadSpec!J21*s_IFD_far_adj*s_CF_far_dairy),".")</f>
        <v>.</v>
      </c>
      <c r="H21" s="141" t="str">
        <f>IFERROR(s_DL/(s_RadSpec!J21*s_IFSW_far_adj*s_CF_far_swine),".")</f>
        <v>.</v>
      </c>
      <c r="I21" s="141" t="str">
        <f>IFERROR(s_DL/(s_RadSpec!J21*s_IFFI_far_adj*s_CF_far_fish),".")</f>
        <v>.</v>
      </c>
      <c r="J21" s="141" t="str">
        <f>IFERROR(s_DL/(s_RadSpec!J21*s_IFGO_far_adj*s_CF_far_goat),".")</f>
        <v>.</v>
      </c>
      <c r="K21" s="141" t="str">
        <f>IFERROR(s_DL/(s_RadSpec!J21*s_IFSH_far_adj*s_CF_far_sheep),".")</f>
        <v>.</v>
      </c>
      <c r="L21" s="141" t="str">
        <f>IFERROR(s_DL/(s_RadSpec!J21*s_IFGM_far_adj*s_CF_far_goat_milk),".")</f>
        <v>.</v>
      </c>
      <c r="M21" s="141" t="str">
        <f>IFERROR(s_DL/(s_RadSpec!J21*s_IFSM_far_adj*s_CF_far_sheep_milk),".")</f>
        <v>.</v>
      </c>
      <c r="N21" s="142">
        <f>s_dir!BA21</f>
        <v>22687.5</v>
      </c>
      <c r="O21" s="142">
        <f t="shared" si="0"/>
        <v>7562.5</v>
      </c>
      <c r="P21" s="142">
        <f t="shared" si="1"/>
        <v>7562.5</v>
      </c>
      <c r="Q21" s="142">
        <f t="shared" si="2"/>
        <v>7562.5</v>
      </c>
      <c r="R21" s="142">
        <f t="shared" si="3"/>
        <v>7562.5</v>
      </c>
      <c r="S21" s="142">
        <f t="shared" si="4"/>
        <v>7562.5</v>
      </c>
      <c r="T21" s="142">
        <f t="shared" si="5"/>
        <v>7562.5</v>
      </c>
      <c r="U21" s="142">
        <f t="shared" si="6"/>
        <v>7562.5</v>
      </c>
      <c r="V21" s="142">
        <f t="shared" si="7"/>
        <v>7562.5</v>
      </c>
      <c r="W21" s="142">
        <f t="shared" si="8"/>
        <v>7562.5</v>
      </c>
      <c r="X21" s="142">
        <f t="shared" si="9"/>
        <v>7562.5</v>
      </c>
      <c r="Y21" s="141" t="str">
        <f>IFERROR((s_DL/(s_RadSpec!I21*s_IFS_far_adj*(1/1000)))*1,".")</f>
        <v>.</v>
      </c>
      <c r="Z21" s="141">
        <f>IFERROR(IF(A21="H-3",(s_DL/(s_RadSpec!L21*s_IFA_far_adj*(1/17)*1000))*1,(s_DL/(s_RadSpec!L21*s_IFA_far_adj*(1/s_PEF_wind)*1000))*1),".")</f>
        <v>2027553664.3917964</v>
      </c>
      <c r="AA21" s="141" t="str">
        <f>IFERROR((s_DL/(s_RadSpec!K21*s_EF_far*(1/365)*s_ED_far*s_RadSpec!V21*((s_ET_far_o*(1/24)*s_RadSpec!AA21)+(s_ET_far_i*(1/24)*s_RadSpec!AF21))))*1,".")</f>
        <v>.</v>
      </c>
      <c r="AB21" s="141" t="str">
        <f>s_b2s!BA21</f>
        <v>.</v>
      </c>
      <c r="AC21" s="141" t="str">
        <f>IFERROR(((I21*s_RadSpec!AX21)/s_RadSpec!AN21)*1,".")</f>
        <v>.</v>
      </c>
      <c r="AD21" s="141" t="str">
        <f>IFERROR((F21/(s_RadSpec!AM21*((s_Q_p_beef*s_f_p_beef*s_f_s_beef*(s_RadSpec!BG21+s_R_es_past))+(s_Q_s_beef*s_f_p_beef))))*1,".")</f>
        <v>.</v>
      </c>
      <c r="AE21" s="141" t="str">
        <f>IFERROR(((G21*s_D_milk)/(s_RadSpec!AL21*((s_Q_p_dairy*s_f_p_dairy*s_f_s_dairy*(s_RadSpec!BG21+s_R_es_past))+(s_Q_s_dairy*s_f_p_dairy))))*1,".")</f>
        <v>.</v>
      </c>
      <c r="AF21" s="141" t="str">
        <f>IFERROR((H21/(s_RadSpec!AQ21*((s_Q_p_swine*s_f_p_swine*s_f_s_swine*(s_RadSpec!BG21+s_R_es_past))+(s_Q_s_swine*s_f_p_swine))))*1,".")</f>
        <v>.</v>
      </c>
      <c r="AG21" s="141" t="str">
        <f>IFERROR((D21/(s_RadSpec!AO21*((s_Q_p_poultry*s_f_p_poultry*s_f_s_poultry*(s_RadSpec!BG21+s_R_es_past))+(s_Q_s_poultry*s_f_p_poultry))))*1,".")</f>
        <v>.</v>
      </c>
      <c r="AH21" s="141" t="str">
        <f>IFERROR((E21/(s_RadSpec!AP21*((s_Q_p_poultry*s_f_p_poultry*s_f_s_poultry*(s_RadSpec!BG21+s_R_es_past))+(s_Q_s_poultry*s_f_p_poultry))))*1,".")</f>
        <v>.</v>
      </c>
      <c r="AI21" s="141" t="str">
        <f>IFERROR((J21/(s_RadSpec!AT21*((s_Q_p_goat*s_f_p_goat*s_f_s_goat*(s_RadSpec!BG21+s_R_es_past))+(s_Q_s_goat*s_f_p_goat))))*1,".")</f>
        <v>.</v>
      </c>
      <c r="AJ21" s="141" t="str">
        <f>IFERROR((L21*s_D_milk/(s_RadSpec!AU21*((s_Q_p_goat_milk*s_f_p_goat_milk*s_f_s_goat_milk*(s_RadSpec!BG21+s_R_es_past))+(s_Q_s_goat_milk*s_f_p_goat_milk))))*1,".")</f>
        <v>.</v>
      </c>
      <c r="AK21" s="141" t="str">
        <f>IFERROR((K21/(s_RadSpec!AR21*((s_Q_p_sheep*s_f_p_sheep*s_f_s_sheep*(s_RadSpec!BG21+s_R_es_past))+(s_Q_s_sheep*s_f_p_sheep))))*1,".")</f>
        <v>.</v>
      </c>
      <c r="AL21" s="141" t="str">
        <f>IFERROR((M21*s_D_milk/(s_RadSpec!AS21*((s_Q_p_sheep_milk*s_f_p_sheep_milk*s_f_s_sheep_milk*(s_RadSpec!BG21+s_R_es_past))+(s_Q_s_sheep_milk*s_f_p_sheep_milk))))*1,".")</f>
        <v>.</v>
      </c>
      <c r="AM21" s="158" t="str">
        <f t="shared" si="10"/>
        <v>.</v>
      </c>
      <c r="AN21" s="158">
        <f t="shared" si="11"/>
        <v>4.9320519479318892E-10</v>
      </c>
      <c r="AO21" s="158" t="str">
        <f t="shared" si="12"/>
        <v>.</v>
      </c>
      <c r="AP21" s="158" t="str">
        <f t="shared" si="13"/>
        <v>.</v>
      </c>
      <c r="AQ21" s="158" t="str">
        <f t="shared" si="14"/>
        <v>.</v>
      </c>
      <c r="AR21" s="158" t="str">
        <f t="shared" si="15"/>
        <v>.</v>
      </c>
      <c r="AS21" s="158" t="str">
        <f t="shared" si="16"/>
        <v>.</v>
      </c>
      <c r="AT21" s="158" t="str">
        <f t="shared" si="17"/>
        <v>.</v>
      </c>
      <c r="AU21" s="158" t="str">
        <f t="shared" si="18"/>
        <v>.</v>
      </c>
      <c r="AV21" s="158" t="str">
        <f t="shared" si="19"/>
        <v>.</v>
      </c>
      <c r="AW21" s="158" t="str">
        <f t="shared" si="20"/>
        <v>.</v>
      </c>
      <c r="AX21" s="158" t="str">
        <f t="shared" si="21"/>
        <v>.</v>
      </c>
      <c r="AY21" s="158" t="str">
        <f t="shared" si="22"/>
        <v>.</v>
      </c>
      <c r="AZ21" s="158" t="str">
        <f t="shared" si="23"/>
        <v>.</v>
      </c>
      <c r="BA21" s="141">
        <f t="shared" si="24"/>
        <v>2027553664.3917966</v>
      </c>
      <c r="BB21" s="142">
        <f t="shared" si="25"/>
        <v>15.125</v>
      </c>
      <c r="BC21" s="142">
        <f t="shared" si="26"/>
        <v>1.618127279505213E-3</v>
      </c>
      <c r="BD21" s="142">
        <f>IFERROR((s_C*s_EF_far*(1/365)*s_ED_far*s_RadSpec!V21*((s_ET_far_o*(1/24)*s_RadSpec!AA21)+(s_ET_far_i*(1/24)*s_RadSpec!AF21))),".")</f>
        <v>0</v>
      </c>
      <c r="BE21" s="142">
        <f>s_b2s!BZ21</f>
        <v>407.92124999999999</v>
      </c>
      <c r="BF21" s="142">
        <f>IFERROR(((s_C*s_RadSpec!AN21)/s_RadSpec!AX21)*s_IFFI_far_adj*s_CF_far_fish,0)</f>
        <v>1296.4285714285713</v>
      </c>
      <c r="BG21" s="142">
        <f>(s_C*s_IFB_far_adj*s_CF_far_beef*s_RadSpec!AM21*((s_Q_p_beef*s_f_p_beef*s_f_s_beef*(s_RadSpec!$AW21+s_R_es_past))+(s_Q_s_beef*s_f_p_beef)))</f>
        <v>3309.8976293103451</v>
      </c>
      <c r="BH21" s="142">
        <f>(s_C*s_IFD_far_adj*s_CF_far_dairy*s_RadSpec!AL21*1/s_D_milk*((s_Q_p_dairy*s_f_p_dairy*s_f_s_dairy*(s_RadSpec!$AW21+s_R_es_past))+(s_Q_s_dairy*s_f_p_dairy)))</f>
        <v>134.96669944760632</v>
      </c>
      <c r="BI21" s="142">
        <f>(s_C*s_IFSW_far_adj*s_CF_far_swine*s_RadSpec!AQ21*((s_Q_p_swine*s_f_p_swine*s_f_s_swine*(s_RadSpec!$AW21+s_R_es_past))+(s_Q_s_swine*s_f_p_swine)))</f>
        <v>0</v>
      </c>
      <c r="BJ21" s="142">
        <f>(s_C*s_IFP_far_adj*s_CF_far_poultry*s_RadSpec!AO21*((s_Q_p_poultry*s_f_p_poultry*s_f_s_poultry*(s_RadSpec!AW21+s_R_es_past))+(s_Q_s_poultry*s_f_p_poultry)))</f>
        <v>1588750.8620689656</v>
      </c>
      <c r="BK21" s="142">
        <f>(s_C*s_IFE_far_adj*s_CF_far_egg*s_RadSpec!AP21*((s_Q_p_egg*s_f_p_egg*s_f_s_egg*(s_RadSpec!$AW21+s_R_es_past))+(s_Q_s_egg*s_f_p_egg)))</f>
        <v>2052136.5301724139</v>
      </c>
      <c r="BL21" s="142">
        <f>(s_C*s_IFGO_far_adj*s_CF_far_goat*s_RadSpec!AT21*((s_Q_p_goat*s_f_p_goat*s_f_s_goat*(s_RadSpec!$AW21+s_R_es_past))+(s_Q_s_goat*s_f_p_goat)))</f>
        <v>0</v>
      </c>
      <c r="BM21" s="142">
        <f>(s_C*s_IFGM_far_adj*s_CF_far_goat_milk*s_RadSpec!AU21*1/s_D_milk*((s_Q_p_goat_milk*s_f_p_goat_milk*s_f_s_goat_milk*(s_RadSpec!$AW21+s_R_es_past))+(s_Q_s_goat_milk*s_f_p_goat_milk)))</f>
        <v>1478.206708235688</v>
      </c>
      <c r="BN21" s="142">
        <f>(s_C*s_IFSH_far_adj*s_CF_far_sheep*s_RadSpec!AR21*((s_Q_p_sheep*s_f_p_sheep*s_f_s_sheep*(s_RadSpec!$AW21+s_R_es_past))+(s_Q_s_sheep*s_f_p_sheep)))</f>
        <v>33098.976293103449</v>
      </c>
      <c r="BO21" s="142">
        <f>(s_C*s_IFSM_far_adj*s_CF_far_sheep_milk*s_RadSpec!AS21*1/s_D_milk*((s_Q_p_sheep_milk*s_f_p_sheep_milk*s_f_s_sheep_milk*(s_RadSpec!$AW21+s_R_es_past))+(s_Q_s_sheep_milk*s_f_p_sheep_milk)))</f>
        <v>0</v>
      </c>
      <c r="BP21" s="141"/>
      <c r="BQ21" s="141" t="str">
        <f>IFERROR(s_DL/(s_RadSpec!M21*s_IFW_far_adj),".")</f>
        <v>.</v>
      </c>
      <c r="BR21" s="141" t="str">
        <f>IFERROR(IF(s_RadSpec!C21=1,s_DL/(s_RadSpec!L21*s_IFA_far_adj*s_K),"."),".")</f>
        <v>.</v>
      </c>
      <c r="BS21" s="141">
        <f>IFERROR((s_DL/(s_RadSpec!Q21*(1/8760)*s_DFA_far_adj)),".")</f>
        <v>372656348.90707898</v>
      </c>
      <c r="BT21" s="141" t="str">
        <f>s_b2w!BA21</f>
        <v>.</v>
      </c>
      <c r="BU21" s="141" t="str">
        <f>IFERROR(I21/(s_RadSpec!AN21*(1/1000)),".")</f>
        <v>.</v>
      </c>
      <c r="BV21" s="141" t="str">
        <f>IFERROR(F21/(s_RadSpec!AM21*s_Q_w_beef*(1/1000)),".")</f>
        <v>.</v>
      </c>
      <c r="BW21" s="141" t="str">
        <f>IFERROR((G21*s_D_milk)/(s_RadSpec!AL21*s_Q_w_dairy*(1/1000)),".")</f>
        <v>.</v>
      </c>
      <c r="BX21" s="141" t="str">
        <f>IFERROR(H21/(s_RadSpec!AQ21*s_Q_w_swine*(1/1000)),".")</f>
        <v>.</v>
      </c>
      <c r="BY21" s="141" t="str">
        <f>IFERROR(D21/(s_RadSpec!AO21*s_Q_w_poultry*(1/1000)),".")</f>
        <v>.</v>
      </c>
      <c r="BZ21" s="141" t="str">
        <f>IFERROR(E21/(s_RadSpec!AP21*s_Q_w_poultry*(1/1000)),".")</f>
        <v>.</v>
      </c>
      <c r="CA21" s="141" t="str">
        <f>IFERROR(J21/(s_RadSpec!AT21*s_Q_w_goat*(1/1000)),".")</f>
        <v>.</v>
      </c>
      <c r="CB21" s="141" t="str">
        <f>IFERROR(L21*s_D_milk/(s_RadSpec!AU21*s_Q_w_goat_milk*(1/1000)),".")</f>
        <v>.</v>
      </c>
      <c r="CC21" s="141" t="str">
        <f>IFERROR(K21/(s_RadSpec!AR21*s_Q_w_sheep*(1/1000)),".")</f>
        <v>.</v>
      </c>
      <c r="CD21" s="141" t="str">
        <f>IFERROR(M21*s_D_milk/(s_RadSpec!AS21*s_Q_w_sheep_milk*(1/1000)),".")</f>
        <v>.</v>
      </c>
      <c r="CE21" s="158" t="str">
        <f t="shared" si="27"/>
        <v>.</v>
      </c>
      <c r="CF21" s="158" t="str">
        <f t="shared" si="28"/>
        <v>.</v>
      </c>
      <c r="CG21" s="158">
        <f t="shared" si="29"/>
        <v>2.6834374429223738E-9</v>
      </c>
      <c r="CH21" s="158" t="str">
        <f t="shared" si="30"/>
        <v>.</v>
      </c>
      <c r="CI21" s="158" t="str">
        <f t="shared" si="31"/>
        <v>.</v>
      </c>
      <c r="CJ21" s="158" t="str">
        <f t="shared" si="32"/>
        <v>.</v>
      </c>
      <c r="CK21" s="158" t="str">
        <f t="shared" si="33"/>
        <v>.</v>
      </c>
      <c r="CL21" s="158" t="str">
        <f t="shared" si="34"/>
        <v>.</v>
      </c>
      <c r="CM21" s="158" t="str">
        <f t="shared" si="35"/>
        <v>.</v>
      </c>
      <c r="CN21" s="158" t="str">
        <f t="shared" si="36"/>
        <v>.</v>
      </c>
      <c r="CO21" s="158" t="str">
        <f t="shared" si="37"/>
        <v>.</v>
      </c>
      <c r="CP21" s="158" t="str">
        <f t="shared" si="38"/>
        <v>.</v>
      </c>
      <c r="CQ21" s="158" t="str">
        <f t="shared" si="39"/>
        <v>.</v>
      </c>
      <c r="CR21" s="158" t="str">
        <f t="shared" si="40"/>
        <v>.</v>
      </c>
      <c r="CS21" s="141">
        <f t="shared" si="41"/>
        <v>372656348.90707898</v>
      </c>
      <c r="CT21" s="142">
        <f t="shared" si="42"/>
        <v>1375</v>
      </c>
      <c r="CU21" s="142">
        <f t="shared" si="43"/>
        <v>250.65104166666663</v>
      </c>
      <c r="CV21" s="142">
        <f t="shared" si="44"/>
        <v>0.12557077625570776</v>
      </c>
      <c r="CW21" s="142">
        <f>s_b2w!BZ21</f>
        <v>285.56727257609776</v>
      </c>
      <c r="CX21" s="142">
        <f>IFERROR(s_C*s_RadSpec!AN21*(1/1000)*s_IFFI_far_adj*s_CF_far_fish,0)</f>
        <v>272.25</v>
      </c>
      <c r="CY21" s="142">
        <f>(s_C*s_IFB_far_adj*s_CF_far_beef*s_RadSpec!AM21*s_Q_w_beef*(1/1000))</f>
        <v>0.18906249999999999</v>
      </c>
      <c r="CZ21" s="142">
        <f>(s_C*s_IFD_far_adj*s_CF_far_dairy*s_RadSpec!AL21*(1/s_D_milk)*s_Q_w_dairy*(1/1000))</f>
        <v>7.7093446601941744E-3</v>
      </c>
      <c r="DA21" s="142">
        <f>(s_C*s_IFSW_far_adj*s_CF_far_swine*s_RadSpec!AQ21*s_Q_w_swine*(1/1000))</f>
        <v>0</v>
      </c>
      <c r="DB21" s="142">
        <f>(s_C*s_IFP_far_adj*s_CF_far_poultry*s_RadSpec!AO21*s_Q_w_poultry*(1/1000))</f>
        <v>90.75</v>
      </c>
      <c r="DC21" s="142">
        <f>(s_C*s_IFE_far_adj*s_CF_far_egg*s_RadSpec!AP21*s_Q_w_egg*(1/1000))</f>
        <v>117.21875</v>
      </c>
      <c r="DD21" s="142">
        <f>(s_C*s_IFGO_far_adj*s_CF_far_goat*s_RadSpec!AT21*s_Q_p_goat*(1/1000))</f>
        <v>0</v>
      </c>
      <c r="DE21" s="142">
        <f>(s_C*s_IFGM_far_adj*s_CF_far_goat_milk*s_RadSpec!AU21*(1/s_D_milk)*s_Q_p_goat_milk*(1/1000))</f>
        <v>8.4435679611650508E-2</v>
      </c>
      <c r="DF21" s="142">
        <f>(s_C*s_IFSH_far_adj*s_CF_far_sheep*s_RadSpec!AR21*s_Q_p_sheep*(1/1000))</f>
        <v>1.890625</v>
      </c>
      <c r="DG21" s="142">
        <f>(s_C*s_IFSM_far_adj*s_CF_far_sheep_milk*s_RadSpec!AS21*(1/s_D_milk)*s_Q_p_sheep_milk*(1/1000))</f>
        <v>0</v>
      </c>
      <c r="DH21" s="141"/>
      <c r="DI21" s="141">
        <f>IFERROR((s_DL/(s_RadSpec!L21*s_IFA_far_adj)),".")</f>
        <v>6544.6364658963093</v>
      </c>
      <c r="DJ21" s="141">
        <f>IFERROR((s_DL/(s_RadSpec!O21*s_EF_far*(1/365)*s_ED_far*s_ET_far*(1/24)*s_GSF_a)),".")</f>
        <v>162717.1233395795</v>
      </c>
      <c r="DK21" s="141">
        <f t="shared" si="55"/>
        <v>6291.5830501693035</v>
      </c>
      <c r="DL21" s="142">
        <f t="shared" si="46"/>
        <v>501.30208333333326</v>
      </c>
      <c r="DM21" s="142">
        <f t="shared" si="47"/>
        <v>0.3139269406392694</v>
      </c>
      <c r="DN21" s="127"/>
    </row>
    <row r="22" spans="1:118" customFormat="1" x14ac:dyDescent="0.25">
      <c r="A22" s="128" t="s">
        <v>20</v>
      </c>
      <c r="B22" s="129" t="s">
        <v>1059</v>
      </c>
      <c r="C22" s="141">
        <f>s_dir!AB22</f>
        <v>1.2513381497338718</v>
      </c>
      <c r="D22" s="141">
        <f>IFERROR(s_DL/(s_RadSpec!J22*s_IFP_far_adj*s_CF_far_poultry),".")</f>
        <v>3.7540144492016148</v>
      </c>
      <c r="E22" s="141">
        <f>IFERROR(s_DL/(s_RadSpec!J22*s_IFE_far_adj*s_CF_far_egg),".")</f>
        <v>3.7540144492016148</v>
      </c>
      <c r="F22" s="141">
        <f>IFERROR(s_DL/(s_RadSpec!J22*s_IFB_far_adj*s_CF_far_beef),".")</f>
        <v>3.7540144492016148</v>
      </c>
      <c r="G22" s="141">
        <f>IFERROR(s_DL/(s_RadSpec!J22*s_IFD_far_adj*s_CF_far_dairy),".")</f>
        <v>3.7540144492016148</v>
      </c>
      <c r="H22" s="141">
        <f>IFERROR(s_DL/(s_RadSpec!J22*s_IFSW_far_adj*s_CF_far_swine),".")</f>
        <v>3.7540144492016148</v>
      </c>
      <c r="I22" s="141">
        <f>IFERROR(s_DL/(s_RadSpec!J22*s_IFFI_far_adj*s_CF_far_fish),".")</f>
        <v>3.7540144492016148</v>
      </c>
      <c r="J22" s="141">
        <f>IFERROR(s_DL/(s_RadSpec!J22*s_IFGO_far_adj*s_CF_far_goat),".")</f>
        <v>3.7540144492016148</v>
      </c>
      <c r="K22" s="141">
        <f>IFERROR(s_DL/(s_RadSpec!J22*s_IFSH_far_adj*s_CF_far_sheep),".")</f>
        <v>3.7540144492016148</v>
      </c>
      <c r="L22" s="141">
        <f>IFERROR(s_DL/(s_RadSpec!J22*s_IFGM_far_adj*s_CF_far_goat_milk),".")</f>
        <v>3.7540144492016148</v>
      </c>
      <c r="M22" s="141">
        <f>IFERROR(s_DL/(s_RadSpec!J22*s_IFSM_far_adj*s_CF_far_sheep_milk),".")</f>
        <v>3.7540144492016148</v>
      </c>
      <c r="N22" s="142">
        <f>s_dir!BA22</f>
        <v>22687.5</v>
      </c>
      <c r="O22" s="142">
        <f t="shared" si="0"/>
        <v>7562.5</v>
      </c>
      <c r="P22" s="142">
        <f t="shared" si="1"/>
        <v>7562.5</v>
      </c>
      <c r="Q22" s="142">
        <f t="shared" si="2"/>
        <v>7562.5</v>
      </c>
      <c r="R22" s="142">
        <f t="shared" si="3"/>
        <v>7562.5</v>
      </c>
      <c r="S22" s="142">
        <f t="shared" si="4"/>
        <v>7562.5</v>
      </c>
      <c r="T22" s="142">
        <f t="shared" si="5"/>
        <v>7562.5</v>
      </c>
      <c r="U22" s="142">
        <f t="shared" si="6"/>
        <v>7562.5</v>
      </c>
      <c r="V22" s="142">
        <f t="shared" si="7"/>
        <v>7562.5</v>
      </c>
      <c r="W22" s="142">
        <f t="shared" si="8"/>
        <v>7562.5</v>
      </c>
      <c r="X22" s="142">
        <f t="shared" si="9"/>
        <v>7562.5</v>
      </c>
      <c r="Y22" s="141">
        <f>IFERROR((s_DL/(s_RadSpec!I22*s_IFS_far_adj*(1/1000)))*1,".")</f>
        <v>1877.0072246008076</v>
      </c>
      <c r="Z22" s="141">
        <f>IFERROR(IF(A22="H-3",(s_DL/(s_RadSpec!L22*s_IFA_far_adj*(1/17)*1000))*1,(s_DL/(s_RadSpec!L22*s_IFA_far_adj*(1/s_PEF_wind)*1000))*1),".")</f>
        <v>496511.83991597802</v>
      </c>
      <c r="AA22" s="141">
        <f>IFERROR((s_DL/(s_RadSpec!K22*s_EF_far*(1/365)*s_ED_far*s_RadSpec!V22*((s_ET_far_o*(1/24)*s_RadSpec!AA22)+(s_ET_far_i*(1/24)*s_RadSpec!AF22))))*1,".")</f>
        <v>357379967164.38788</v>
      </c>
      <c r="AB22" s="141">
        <f>s_b2s!BA22</f>
        <v>54.907334345496793</v>
      </c>
      <c r="AC22" s="141">
        <f>IFERROR(((I22*s_RadSpec!AX22)/s_RadSpec!AN22)*1,".")</f>
        <v>0.93850361230040369</v>
      </c>
      <c r="AD22" s="141">
        <f>IFERROR((F22/(s_RadSpec!AM22*((s_Q_p_beef*s_f_p_beef*s_f_s_beef*(s_RadSpec!BG22+s_R_es_past))+(s_Q_s_beef*s_f_p_beef))))*1,".")</f>
        <v>24.551720133850065</v>
      </c>
      <c r="AE22" s="141">
        <f>IFERROR(((G22*s_D_milk)/(s_RadSpec!AL22*((s_Q_p_dairy*s_f_p_dairy*s_f_s_dairy*(s_RadSpec!BG22+s_R_es_past))+(s_Q_s_dairy*s_f_p_dairy))))*1,".")</f>
        <v>113.13174198518804</v>
      </c>
      <c r="AF22" s="141" t="str">
        <f>IFERROR((H22/(s_RadSpec!AQ22*((s_Q_p_swine*s_f_p_swine*s_f_s_swine*(s_RadSpec!BG22+s_R_es_past))+(s_Q_s_swine*s_f_p_swine))))*1,".")</f>
        <v>.</v>
      </c>
      <c r="AG22" s="141" t="str">
        <f>IFERROR((D22/(s_RadSpec!AO22*((s_Q_p_poultry*s_f_p_poultry*s_f_s_poultry*(s_RadSpec!BG22+s_R_es_past))+(s_Q_s_poultry*s_f_p_poultry))))*1,".")</f>
        <v>.</v>
      </c>
      <c r="AH22" s="141" t="str">
        <f>IFERROR((E22/(s_RadSpec!AP22*((s_Q_p_poultry*s_f_p_poultry*s_f_s_poultry*(s_RadSpec!BG22+s_R_es_past))+(s_Q_s_poultry*s_f_p_poultry))))*1,".")</f>
        <v>.</v>
      </c>
      <c r="AI22" s="141" t="str">
        <f>IFERROR((J22/(s_RadSpec!AT22*((s_Q_p_goat*s_f_p_goat*s_f_s_goat*(s_RadSpec!BG22+s_R_es_past))+(s_Q_s_goat*s_f_p_goat))))*1,".")</f>
        <v>.</v>
      </c>
      <c r="AJ22" s="141" t="str">
        <f>IFERROR((L22*s_D_milk/(s_RadSpec!AU22*((s_Q_p_goat_milk*s_f_p_goat_milk*s_f_s_goat_milk*(s_RadSpec!BG22+s_R_es_past))+(s_Q_s_goat_milk*s_f_p_goat_milk))))*1,".")</f>
        <v>.</v>
      </c>
      <c r="AK22" s="141">
        <f>IFERROR((K22/(s_RadSpec!AR22*((s_Q_p_sheep*s_f_p_sheep*s_f_s_sheep*(s_RadSpec!BG22+s_R_es_past))+(s_Q_s_sheep*s_f_p_sheep))))*1,".")</f>
        <v>8.3475848455090205</v>
      </c>
      <c r="AL22" s="141" t="str">
        <f>IFERROR((M22*s_D_milk/(s_RadSpec!AS22*((s_Q_p_sheep_milk*s_f_p_sheep_milk*s_f_s_sheep_milk*(s_RadSpec!BG22+s_R_es_past))+(s_Q_s_sheep_milk*s_f_p_sheep_milk))))*1,".")</f>
        <v>.</v>
      </c>
      <c r="AM22" s="158">
        <f t="shared" si="10"/>
        <v>5.3276300000000001E-4</v>
      </c>
      <c r="AN22" s="158">
        <f t="shared" si="11"/>
        <v>2.0140506622545485E-6</v>
      </c>
      <c r="AO22" s="158">
        <f t="shared" si="12"/>
        <v>2.7981422907793242E-12</v>
      </c>
      <c r="AP22" s="158">
        <f t="shared" si="13"/>
        <v>1.8212503154999997E-2</v>
      </c>
      <c r="AQ22" s="158">
        <f t="shared" si="14"/>
        <v>1.065526</v>
      </c>
      <c r="AR22" s="158">
        <f t="shared" si="15"/>
        <v>4.073034372126437E-2</v>
      </c>
      <c r="AS22" s="158">
        <f t="shared" si="16"/>
        <v>8.8392522067849595E-3</v>
      </c>
      <c r="AT22" s="158" t="str">
        <f t="shared" si="17"/>
        <v>.</v>
      </c>
      <c r="AU22" s="158" t="str">
        <f t="shared" si="18"/>
        <v>.</v>
      </c>
      <c r="AV22" s="158" t="str">
        <f t="shared" si="19"/>
        <v>.</v>
      </c>
      <c r="AW22" s="158" t="str">
        <f t="shared" si="20"/>
        <v>.</v>
      </c>
      <c r="AX22" s="158" t="str">
        <f t="shared" si="21"/>
        <v>.</v>
      </c>
      <c r="AY22" s="158">
        <f t="shared" si="22"/>
        <v>0.11979512859195406</v>
      </c>
      <c r="AZ22" s="158" t="str">
        <f t="shared" si="23"/>
        <v>.</v>
      </c>
      <c r="BA22" s="141">
        <f t="shared" si="24"/>
        <v>0.7976784336692142</v>
      </c>
      <c r="BB22" s="142">
        <f t="shared" si="25"/>
        <v>15.125</v>
      </c>
      <c r="BC22" s="142">
        <f t="shared" si="26"/>
        <v>1.618127279505213E-3</v>
      </c>
      <c r="BD22" s="142">
        <f>IFERROR((s_C*s_EF_far*(1/365)*s_ED_far*s_RadSpec!V22*((s_ET_far_o*(1/24)*s_RadSpec!AA22)+(s_ET_far_i*(1/24)*s_RadSpec!AF22))),".")</f>
        <v>7.8508115574997097E-9</v>
      </c>
      <c r="BE22" s="142">
        <f>s_b2s!BZ22</f>
        <v>517.04812500000003</v>
      </c>
      <c r="BF22" s="142">
        <f>IFERROR(((s_C*s_RadSpec!AN22)/s_RadSpec!AX22)*s_IFFI_far_adj*s_CF_far_fish,0)</f>
        <v>30250</v>
      </c>
      <c r="BG22" s="142">
        <f>(s_C*s_IFB_far_adj*s_CF_far_beef*s_RadSpec!AM22*((s_Q_p_beef*s_f_p_beef*s_f_s_beef*(s_RadSpec!$AW22+s_R_es_past))+(s_Q_s_beef*s_f_p_beef)))</f>
        <v>1156.3236350574714</v>
      </c>
      <c r="BH22" s="142">
        <f>(s_C*s_IFD_far_adj*s_CF_far_dairy*s_RadSpec!AL22*1/s_D_milk*((s_Q_p_dairy*s_f_p_dairy*s_f_s_dairy*(s_RadSpec!$AW22+s_R_es_past))+(s_Q_s_dairy*s_f_p_dairy)))</f>
        <v>250.94402131458548</v>
      </c>
      <c r="BI22" s="142">
        <f>(s_C*s_IFSW_far_adj*s_CF_far_swine*s_RadSpec!AQ22*((s_Q_p_swine*s_f_p_swine*s_f_s_swine*(s_RadSpec!$AW22+s_R_es_past))+(s_Q_s_swine*s_f_p_swine)))</f>
        <v>0</v>
      </c>
      <c r="BJ22" s="142">
        <f>(s_C*s_IFP_far_adj*s_CF_far_poultry*s_RadSpec!AO22*((s_Q_p_poultry*s_f_p_poultry*s_f_s_poultry*(s_RadSpec!AW22+s_R_es_past))+(s_Q_s_poultry*s_f_p_poultry)))</f>
        <v>0</v>
      </c>
      <c r="BK22" s="142">
        <f>(s_C*s_IFE_far_adj*s_CF_far_egg*s_RadSpec!AP22*((s_Q_p_egg*s_f_p_egg*s_f_s_egg*(s_RadSpec!$AW22+s_R_es_past))+(s_Q_s_egg*s_f_p_egg)))</f>
        <v>0</v>
      </c>
      <c r="BL22" s="142">
        <f>(s_C*s_IFGO_far_adj*s_CF_far_goat*s_RadSpec!AT22*((s_Q_p_goat*s_f_p_goat*s_f_s_goat*(s_RadSpec!$AW22+s_R_es_past))+(s_Q_s_goat*s_f_p_goat)))</f>
        <v>0</v>
      </c>
      <c r="BM22" s="142">
        <f>(s_C*s_IFGM_far_adj*s_CF_far_goat_milk*s_RadSpec!AU22*1/s_D_milk*((s_Q_p_goat_milk*s_f_p_goat_milk*s_f_s_goat_milk*(s_RadSpec!$AW22+s_R_es_past))+(s_Q_s_goat_milk*s_f_p_goat_milk)))</f>
        <v>0</v>
      </c>
      <c r="BN22" s="142">
        <f>(s_C*s_IFSH_far_adj*s_CF_far_sheep*s_RadSpec!AR22*((s_Q_p_sheep*s_f_p_sheep*s_f_s_sheep*(s_RadSpec!$AW22+s_R_es_past))+(s_Q_s_sheep*s_f_p_sheep)))</f>
        <v>3400.9518678160925</v>
      </c>
      <c r="BO22" s="142">
        <f>(s_C*s_IFSM_far_adj*s_CF_far_sheep_milk*s_RadSpec!AS22*1/s_D_milk*((s_Q_p_sheep_milk*s_f_p_sheep_milk*s_f_s_sheep_milk*(s_RadSpec!$AW22+s_R_es_past))+(s_Q_s_sheep_milk*s_f_p_sheep_milk)))</f>
        <v>0</v>
      </c>
      <c r="BP22" s="141"/>
      <c r="BQ22" s="141">
        <f>IFERROR(s_DL/(s_RadSpec!M22*s_IFW_far_adj),".")</f>
        <v>20.64707947060888</v>
      </c>
      <c r="BR22" s="141" t="str">
        <f>IFERROR(IF(s_RadSpec!C22=1,s_DL/(s_RadSpec!L22*s_IFA_far_adj*s_K),"."),".")</f>
        <v>.</v>
      </c>
      <c r="BS22" s="141">
        <f>IFERROR((s_DL/(s_RadSpec!Q22*(1/8760)*s_DFA_far_adj)),".")</f>
        <v>1962.7940292343383</v>
      </c>
      <c r="BT22" s="141">
        <f>s_b2w!BA22</f>
        <v>92.399201466289966</v>
      </c>
      <c r="BU22" s="141">
        <f>IFERROR(I22/(s_RadSpec!AN22*(1/1000)),".")</f>
        <v>938.50361230040369</v>
      </c>
      <c r="BV22" s="141">
        <f>IFERROR(F22/(s_RadSpec!AM22*s_Q_w_beef*(1/1000)),".")</f>
        <v>441648.7587296018</v>
      </c>
      <c r="BW22" s="141">
        <f>IFERROR((G22*s_D_milk)/(s_RadSpec!AL22*s_Q_w_dairy*(1/1000)),".")</f>
        <v>2035070.9908829804</v>
      </c>
      <c r="BX22" s="141" t="str">
        <f>IFERROR(H22/(s_RadSpec!AQ22*s_Q_w_swine*(1/1000)),".")</f>
        <v>.</v>
      </c>
      <c r="BY22" s="141" t="str">
        <f>IFERROR(D22/(s_RadSpec!AO22*s_Q_w_poultry*(1/1000)),".")</f>
        <v>.</v>
      </c>
      <c r="BZ22" s="141" t="str">
        <f>IFERROR(E22/(s_RadSpec!AP22*s_Q_w_poultry*(1/1000)),".")</f>
        <v>.</v>
      </c>
      <c r="CA22" s="141" t="str">
        <f>IFERROR(J22/(s_RadSpec!AT22*s_Q_w_goat*(1/1000)),".")</f>
        <v>.</v>
      </c>
      <c r="CB22" s="141" t="str">
        <f>IFERROR(L22*s_D_milk/(s_RadSpec!AU22*s_Q_w_goat_milk*(1/1000)),".")</f>
        <v>.</v>
      </c>
      <c r="CC22" s="141">
        <f>IFERROR(K22/(s_RadSpec!AR22*s_Q_w_sheep*(1/1000)),".")</f>
        <v>150160.57796806458</v>
      </c>
      <c r="CD22" s="141" t="str">
        <f>IFERROR(M22*s_D_milk/(s_RadSpec!AS22*s_Q_w_sheep_milk*(1/1000)),".")</f>
        <v>.</v>
      </c>
      <c r="CE22" s="158">
        <f t="shared" si="27"/>
        <v>4.8433000000000004E-2</v>
      </c>
      <c r="CF22" s="158" t="str">
        <f t="shared" si="28"/>
        <v>.</v>
      </c>
      <c r="CG22" s="158">
        <f t="shared" si="29"/>
        <v>5.0947780821917804E-4</v>
      </c>
      <c r="CH22" s="158">
        <f t="shared" si="30"/>
        <v>1.0822604352969764E-2</v>
      </c>
      <c r="CI22" s="158">
        <f t="shared" si="31"/>
        <v>1.065526E-3</v>
      </c>
      <c r="CJ22" s="158">
        <f t="shared" si="32"/>
        <v>2.2642427499999997E-6</v>
      </c>
      <c r="CK22" s="158">
        <f t="shared" si="33"/>
        <v>4.9138334951456322E-7</v>
      </c>
      <c r="CL22" s="158" t="str">
        <f t="shared" si="34"/>
        <v>.</v>
      </c>
      <c r="CM22" s="158" t="str">
        <f t="shared" si="35"/>
        <v>.</v>
      </c>
      <c r="CN22" s="158" t="str">
        <f t="shared" si="36"/>
        <v>.</v>
      </c>
      <c r="CO22" s="158" t="str">
        <f t="shared" si="37"/>
        <v>.</v>
      </c>
      <c r="CP22" s="158" t="str">
        <f t="shared" si="38"/>
        <v>.</v>
      </c>
      <c r="CQ22" s="158">
        <f t="shared" si="39"/>
        <v>6.6595375000000013E-6</v>
      </c>
      <c r="CR22" s="158" t="str">
        <f t="shared" si="40"/>
        <v>.</v>
      </c>
      <c r="CS22" s="141">
        <f t="shared" si="41"/>
        <v>16.436548596663066</v>
      </c>
      <c r="CT22" s="142">
        <f t="shared" si="42"/>
        <v>1375</v>
      </c>
      <c r="CU22" s="142">
        <f t="shared" si="43"/>
        <v>250.65104166666663</v>
      </c>
      <c r="CV22" s="142">
        <f t="shared" si="44"/>
        <v>0.12557077625570776</v>
      </c>
      <c r="CW22" s="142">
        <f>s_b2w!BZ22</f>
        <v>307.25086171274592</v>
      </c>
      <c r="CX22" s="142">
        <f>IFERROR(s_C*s_RadSpec!AN22*(1/1000)*s_IFFI_far_adj*s_CF_far_fish,0)</f>
        <v>30.25</v>
      </c>
      <c r="CY22" s="142">
        <f>(s_C*s_IFB_far_adj*s_CF_far_beef*s_RadSpec!AM22*s_Q_w_beef*(1/1000))</f>
        <v>6.4281249999999998E-2</v>
      </c>
      <c r="CZ22" s="142">
        <f>(s_C*s_IFD_far_adj*s_CF_far_dairy*s_RadSpec!AL22*(1/s_D_milk)*s_Q_w_dairy*(1/1000))</f>
        <v>1.3950242718446602E-2</v>
      </c>
      <c r="DA22" s="142">
        <f>(s_C*s_IFSW_far_adj*s_CF_far_swine*s_RadSpec!AQ22*s_Q_w_swine*(1/1000))</f>
        <v>0</v>
      </c>
      <c r="DB22" s="142">
        <f>(s_C*s_IFP_far_adj*s_CF_far_poultry*s_RadSpec!AO22*s_Q_w_poultry*(1/1000))</f>
        <v>0</v>
      </c>
      <c r="DC22" s="142">
        <f>(s_C*s_IFE_far_adj*s_CF_far_egg*s_RadSpec!AP22*s_Q_w_egg*(1/1000))</f>
        <v>0</v>
      </c>
      <c r="DD22" s="142">
        <f>(s_C*s_IFGO_far_adj*s_CF_far_goat*s_RadSpec!AT22*s_Q_p_goat*(1/1000))</f>
        <v>0</v>
      </c>
      <c r="DE22" s="142">
        <f>(s_C*s_IFGM_far_adj*s_CF_far_goat_milk*s_RadSpec!AU22*(1/s_D_milk)*s_Q_p_goat_milk*(1/1000))</f>
        <v>0</v>
      </c>
      <c r="DF22" s="142">
        <f>(s_C*s_IFSH_far_adj*s_CF_far_sheep*s_RadSpec!AR22*s_Q_p_sheep*(1/1000))</f>
        <v>0.18906249999999999</v>
      </c>
      <c r="DG22" s="142">
        <f>(s_C*s_IFSM_far_adj*s_CF_far_sheep_milk*s_RadSpec!AS22*(1/s_D_milk)*s_Q_p_sheep_milk*(1/1000))</f>
        <v>0</v>
      </c>
      <c r="DH22" s="141"/>
      <c r="DI22" s="141">
        <f>IFERROR((s_DL/(s_RadSpec!L22*s_IFA_far_adj)),".")</f>
        <v>1.6026650985033866</v>
      </c>
      <c r="DJ22" s="141">
        <f>IFERROR((s_DL/(s_RadSpec!O22*s_EF_far*(1/365)*s_ED_far*s_ET_far*(1/24)*s_GSF_a)),".")</f>
        <v>1.7259873002012078</v>
      </c>
      <c r="DK22" s="141">
        <f t="shared" ref="DK22:DK23" si="56">IFERROR(IF(AND(ISNUMBER(DI22),ISNUMBER(DJ22)),1/((1/DI22)+(1/DJ22)),IF(AND(ISNUMBER(DI22),NOT(ISNUMBER(DJ22))),1/((1/DI22)),IF(AND(NOT(ISNUMBER(DI22)),ISNUMBER(DJ22)),1/((1/DJ22)),IF(AND(NOT(ISNUMBER(DI22)),NOT(ISNUMBER(DJ22))),".")))),".")</f>
        <v>0.83102086825559562</v>
      </c>
      <c r="DL22" s="142">
        <f t="shared" si="46"/>
        <v>501.30208333333326</v>
      </c>
      <c r="DM22" s="142">
        <f t="shared" si="47"/>
        <v>0.3139269406392694</v>
      </c>
      <c r="DN22" s="127"/>
    </row>
    <row r="23" spans="1:118" customFormat="1" x14ac:dyDescent="0.25">
      <c r="A23" s="131" t="s">
        <v>21</v>
      </c>
      <c r="B23" s="129" t="s">
        <v>336</v>
      </c>
      <c r="C23" s="141">
        <f>s_dir!AB23</f>
        <v>0.65743593738777373</v>
      </c>
      <c r="D23" s="141">
        <f>IFERROR(s_DL/(s_RadSpec!J23*s_IFP_far_adj*s_CF_far_poultry),".")</f>
        <v>1.9723078121633211</v>
      </c>
      <c r="E23" s="141">
        <f>IFERROR(s_DL/(s_RadSpec!J23*s_IFE_far_adj*s_CF_far_egg),".")</f>
        <v>1.9723078121633211</v>
      </c>
      <c r="F23" s="141">
        <f>IFERROR(s_DL/(s_RadSpec!J23*s_IFB_far_adj*s_CF_far_beef),".")</f>
        <v>1.9723078121633211</v>
      </c>
      <c r="G23" s="141">
        <f>IFERROR(s_DL/(s_RadSpec!J23*s_IFD_far_adj*s_CF_far_dairy),".")</f>
        <v>1.9723078121633211</v>
      </c>
      <c r="H23" s="141">
        <f>IFERROR(s_DL/(s_RadSpec!J23*s_IFSW_far_adj*s_CF_far_swine),".")</f>
        <v>1.9723078121633211</v>
      </c>
      <c r="I23" s="141">
        <f>IFERROR(s_DL/(s_RadSpec!J23*s_IFFI_far_adj*s_CF_far_fish),".")</f>
        <v>1.9723078121633211</v>
      </c>
      <c r="J23" s="141">
        <f>IFERROR(s_DL/(s_RadSpec!J23*s_IFGO_far_adj*s_CF_far_goat),".")</f>
        <v>1.9723078121633211</v>
      </c>
      <c r="K23" s="141">
        <f>IFERROR(s_DL/(s_RadSpec!J23*s_IFSH_far_adj*s_CF_far_sheep),".")</f>
        <v>1.9723078121633211</v>
      </c>
      <c r="L23" s="141">
        <f>IFERROR(s_DL/(s_RadSpec!J23*s_IFGM_far_adj*s_CF_far_goat_milk),".")</f>
        <v>1.9723078121633211</v>
      </c>
      <c r="M23" s="141">
        <f>IFERROR(s_DL/(s_RadSpec!J23*s_IFSM_far_adj*s_CF_far_sheep_milk),".")</f>
        <v>1.9723078121633211</v>
      </c>
      <c r="N23" s="142">
        <f>s_dir!BA23</f>
        <v>22687.5</v>
      </c>
      <c r="O23" s="142">
        <f t="shared" si="0"/>
        <v>7562.5</v>
      </c>
      <c r="P23" s="142">
        <f t="shared" si="1"/>
        <v>7562.5</v>
      </c>
      <c r="Q23" s="142">
        <f t="shared" si="2"/>
        <v>7562.5</v>
      </c>
      <c r="R23" s="142">
        <f t="shared" si="3"/>
        <v>7562.5</v>
      </c>
      <c r="S23" s="142">
        <f t="shared" si="4"/>
        <v>7562.5</v>
      </c>
      <c r="T23" s="142">
        <f t="shared" si="5"/>
        <v>7562.5</v>
      </c>
      <c r="U23" s="142">
        <f t="shared" si="6"/>
        <v>7562.5</v>
      </c>
      <c r="V23" s="142">
        <f t="shared" si="7"/>
        <v>7562.5</v>
      </c>
      <c r="W23" s="142">
        <f t="shared" si="8"/>
        <v>7562.5</v>
      </c>
      <c r="X23" s="142">
        <f t="shared" si="9"/>
        <v>7562.5</v>
      </c>
      <c r="Y23" s="141">
        <f>IFERROR((s_DL/(s_RadSpec!I23*s_IFS_far_adj*(1/1000)))*1,".")</f>
        <v>986.15390608166047</v>
      </c>
      <c r="Z23" s="141">
        <f>IFERROR(IF(A23="H-3",(s_DL/(s_RadSpec!L23*s_IFA_far_adj*(1/17)*1000))*1,(s_DL/(s_RadSpec!L23*s_IFA_far_adj*(1/s_PEF_wind)*1000))*1),".")</f>
        <v>405404.32754304621</v>
      </c>
      <c r="AA23" s="141">
        <f>IFERROR((s_DL/(s_RadSpec!K23*s_EF_far*(1/365)*s_ED_far*s_RadSpec!V23*((s_ET_far_o*(1/24)*s_RadSpec!AA23)+(s_ET_far_i*(1/24)*s_RadSpec!AF23))))*1,".")</f>
        <v>22964.114086609057</v>
      </c>
      <c r="AB23" s="141">
        <f>s_b2s!BA23</f>
        <v>28.847561974013761</v>
      </c>
      <c r="AC23" s="141">
        <f>IFERROR(((I23*s_RadSpec!AX23)/s_RadSpec!AN23)*1,".")</f>
        <v>0.49307695304083027</v>
      </c>
      <c r="AD23" s="141">
        <f>IFERROR((F23/(s_RadSpec!AM23*((s_Q_p_beef*s_f_p_beef*s_f_s_beef*(s_RadSpec!BG23+s_R_es_past))+(s_Q_s_beef*s_f_p_beef))))*1,".")</f>
        <v>12.899137730367144</v>
      </c>
      <c r="AE23" s="141">
        <f>IFERROR(((G23*s_D_milk)/(s_RadSpec!AL23*((s_Q_p_dairy*s_f_p_dairy*s_f_s_dairy*(s_RadSpec!BG23+s_R_es_past))+(s_Q_s_dairy*s_f_p_dairy))))*1,".")</f>
        <v>59.437868857560169</v>
      </c>
      <c r="AF23" s="141" t="str">
        <f>IFERROR((H23/(s_RadSpec!AQ23*((s_Q_p_swine*s_f_p_swine*s_f_s_swine*(s_RadSpec!BG23+s_R_es_past))+(s_Q_s_swine*s_f_p_swine))))*1,".")</f>
        <v>.</v>
      </c>
      <c r="AG23" s="141" t="str">
        <f>IFERROR((D23/(s_RadSpec!AO23*((s_Q_p_poultry*s_f_p_poultry*s_f_s_poultry*(s_RadSpec!BG23+s_R_es_past))+(s_Q_s_poultry*s_f_p_poultry))))*1,".")</f>
        <v>.</v>
      </c>
      <c r="AH23" s="141" t="str">
        <f>IFERROR((E23/(s_RadSpec!AP23*((s_Q_p_poultry*s_f_p_poultry*s_f_s_poultry*(s_RadSpec!BG23+s_R_es_past))+(s_Q_s_poultry*s_f_p_poultry))))*1,".")</f>
        <v>.</v>
      </c>
      <c r="AI23" s="141" t="str">
        <f>IFERROR((J23/(s_RadSpec!AT23*((s_Q_p_goat*s_f_p_goat*s_f_s_goat*(s_RadSpec!BG23+s_R_es_past))+(s_Q_s_goat*s_f_p_goat))))*1,".")</f>
        <v>.</v>
      </c>
      <c r="AJ23" s="141" t="str">
        <f>IFERROR((L23*s_D_milk/(s_RadSpec!AU23*((s_Q_p_goat_milk*s_f_p_goat_milk*s_f_s_goat_milk*(s_RadSpec!BG23+s_R_es_past))+(s_Q_s_goat_milk*s_f_p_goat_milk))))*1,".")</f>
        <v>.</v>
      </c>
      <c r="AK23" s="141">
        <f>IFERROR((K23/(s_RadSpec!AR23*((s_Q_p_sheep*s_f_p_sheep*s_f_s_sheep*(s_RadSpec!BG23+s_R_es_past))+(s_Q_s_sheep*s_f_p_sheep))))*1,".")</f>
        <v>4.3857068283248282</v>
      </c>
      <c r="AL23" s="141" t="str">
        <f>IFERROR((M23*s_D_milk/(s_RadSpec!AS23*((s_Q_p_sheep_milk*s_f_p_sheep_milk*s_f_s_sheep_milk*(s_RadSpec!BG23+s_R_es_past))+(s_Q_s_sheep_milk*s_f_p_sheep_milk))))*1,".")</f>
        <v>.</v>
      </c>
      <c r="AM23" s="158">
        <f t="shared" si="10"/>
        <v>1.0140405000000001E-3</v>
      </c>
      <c r="AN23" s="158">
        <f t="shared" si="11"/>
        <v>2.4666732248777462E-6</v>
      </c>
      <c r="AO23" s="158">
        <f t="shared" si="12"/>
        <v>4.3546204143931021E-5</v>
      </c>
      <c r="AP23" s="158">
        <f t="shared" si="13"/>
        <v>3.46649744925E-2</v>
      </c>
      <c r="AQ23" s="158">
        <f t="shared" si="14"/>
        <v>2.0280809999999998</v>
      </c>
      <c r="AR23" s="158">
        <f t="shared" si="15"/>
        <v>7.7524561788793092E-2</v>
      </c>
      <c r="AS23" s="158">
        <f t="shared" si="16"/>
        <v>1.6824290965015067E-2</v>
      </c>
      <c r="AT23" s="158" t="str">
        <f t="shared" si="17"/>
        <v>.</v>
      </c>
      <c r="AU23" s="158" t="str">
        <f t="shared" si="18"/>
        <v>.</v>
      </c>
      <c r="AV23" s="158" t="str">
        <f t="shared" si="19"/>
        <v>.</v>
      </c>
      <c r="AW23" s="158" t="str">
        <f t="shared" si="20"/>
        <v>.</v>
      </c>
      <c r="AX23" s="158" t="str">
        <f t="shared" si="21"/>
        <v>.</v>
      </c>
      <c r="AY23" s="158">
        <f t="shared" si="22"/>
        <v>0.22801341702586209</v>
      </c>
      <c r="AZ23" s="158" t="str">
        <f t="shared" si="23"/>
        <v>.</v>
      </c>
      <c r="BA23" s="141">
        <f t="shared" si="24"/>
        <v>0.41908192351102636</v>
      </c>
      <c r="BB23" s="142">
        <f t="shared" si="25"/>
        <v>15.125</v>
      </c>
      <c r="BC23" s="142">
        <f t="shared" si="26"/>
        <v>1.618127279505213E-3</v>
      </c>
      <c r="BD23" s="142">
        <f>IFERROR((s_C*s_EF_far*(1/365)*s_ED_far*s_RadSpec!V23*((s_ET_far_o*(1/24)*s_RadSpec!AA23)+(s_ET_far_i*(1/24)*s_RadSpec!AF23))),".")</f>
        <v>3.4281871255771361E-2</v>
      </c>
      <c r="BE23" s="142">
        <f>s_b2s!BZ23</f>
        <v>517.04812500000003</v>
      </c>
      <c r="BF23" s="142">
        <f>IFERROR(((s_C*s_RadSpec!AN23)/s_RadSpec!AX23)*s_IFFI_far_adj*s_CF_far_fish,0)</f>
        <v>30250</v>
      </c>
      <c r="BG23" s="142">
        <f>(s_C*s_IFB_far_adj*s_CF_far_beef*s_RadSpec!AM23*((s_Q_p_beef*s_f_p_beef*s_f_s_beef*(s_RadSpec!$AW23+s_R_es_past))+(s_Q_s_beef*s_f_p_beef)))</f>
        <v>1156.3236350574714</v>
      </c>
      <c r="BH23" s="142">
        <f>(s_C*s_IFD_far_adj*s_CF_far_dairy*s_RadSpec!AL23*1/s_D_milk*((s_Q_p_dairy*s_f_p_dairy*s_f_s_dairy*(s_RadSpec!$AW23+s_R_es_past))+(s_Q_s_dairy*s_f_p_dairy)))</f>
        <v>250.94402131458548</v>
      </c>
      <c r="BI23" s="142">
        <f>(s_C*s_IFSW_far_adj*s_CF_far_swine*s_RadSpec!AQ23*((s_Q_p_swine*s_f_p_swine*s_f_s_swine*(s_RadSpec!$AW23+s_R_es_past))+(s_Q_s_swine*s_f_p_swine)))</f>
        <v>0</v>
      </c>
      <c r="BJ23" s="142">
        <f>(s_C*s_IFP_far_adj*s_CF_far_poultry*s_RadSpec!AO23*((s_Q_p_poultry*s_f_p_poultry*s_f_s_poultry*(s_RadSpec!AW23+s_R_es_past))+(s_Q_s_poultry*s_f_p_poultry)))</f>
        <v>0</v>
      </c>
      <c r="BK23" s="142">
        <f>(s_C*s_IFE_far_adj*s_CF_far_egg*s_RadSpec!AP23*((s_Q_p_egg*s_f_p_egg*s_f_s_egg*(s_RadSpec!$AW23+s_R_es_past))+(s_Q_s_egg*s_f_p_egg)))</f>
        <v>0</v>
      </c>
      <c r="BL23" s="142">
        <f>(s_C*s_IFGO_far_adj*s_CF_far_goat*s_RadSpec!AT23*((s_Q_p_goat*s_f_p_goat*s_f_s_goat*(s_RadSpec!$AW23+s_R_es_past))+(s_Q_s_goat*s_f_p_goat)))</f>
        <v>0</v>
      </c>
      <c r="BM23" s="142">
        <f>(s_C*s_IFGM_far_adj*s_CF_far_goat_milk*s_RadSpec!AU23*1/s_D_milk*((s_Q_p_goat_milk*s_f_p_goat_milk*s_f_s_goat_milk*(s_RadSpec!$AW23+s_R_es_past))+(s_Q_s_goat_milk*s_f_p_goat_milk)))</f>
        <v>0</v>
      </c>
      <c r="BN23" s="142">
        <f>(s_C*s_IFSH_far_adj*s_CF_far_sheep*s_RadSpec!AR23*((s_Q_p_sheep*s_f_p_sheep*s_f_s_sheep*(s_RadSpec!$AW23+s_R_es_past))+(s_Q_s_sheep*s_f_p_sheep)))</f>
        <v>3400.9518678160925</v>
      </c>
      <c r="BO23" s="142">
        <f>(s_C*s_IFSM_far_adj*s_CF_far_sheep_milk*s_RadSpec!AS23*1/s_D_milk*((s_Q_p_sheep_milk*s_f_p_sheep_milk*s_f_s_sheep_milk*(s_RadSpec!$AW23+s_R_es_past))+(s_Q_s_sheep_milk*s_f_p_sheep_milk)))</f>
        <v>0</v>
      </c>
      <c r="BP23" s="141"/>
      <c r="BQ23" s="141">
        <f>IFERROR(s_DL/(s_RadSpec!M23*s_IFW_far_adj),".")</f>
        <v>10.847692966898265</v>
      </c>
      <c r="BR23" s="141">
        <f>IFERROR(IF(s_RadSpec!C23=1,s_DL/(s_RadSpec!L23*s_IFA_far_adj*s_K),"."),".")</f>
        <v>2.6171676657113556</v>
      </c>
      <c r="BS23" s="141">
        <f>IFERROR((s_DL/(s_RadSpec!Q23*(1/8760)*s_DFA_far_adj)),".")</f>
        <v>1558.1829793483125</v>
      </c>
      <c r="BT23" s="141">
        <f>s_b2w!BA23</f>
        <v>48.545275825556324</v>
      </c>
      <c r="BU23" s="141">
        <f>IFERROR(I23/(s_RadSpec!AN23*(1/1000)),".")</f>
        <v>493.07695304083023</v>
      </c>
      <c r="BV23" s="141">
        <f>IFERROR(F23/(s_RadSpec!AM23*s_Q_w_beef*(1/1000)),".")</f>
        <v>232036.21319568489</v>
      </c>
      <c r="BW23" s="141">
        <f>IFERROR((G23*s_D_milk)/(s_RadSpec!AL23*s_Q_w_dairy*(1/1000)),".")</f>
        <v>1069198.4455411686</v>
      </c>
      <c r="BX23" s="141" t="str">
        <f>IFERROR(H23/(s_RadSpec!AQ23*s_Q_w_swine*(1/1000)),".")</f>
        <v>.</v>
      </c>
      <c r="BY23" s="141" t="str">
        <f>IFERROR(D23/(s_RadSpec!AO23*s_Q_w_poultry*(1/1000)),".")</f>
        <v>.</v>
      </c>
      <c r="BZ23" s="141" t="str">
        <f>IFERROR(E23/(s_RadSpec!AP23*s_Q_w_poultry*(1/1000)),".")</f>
        <v>.</v>
      </c>
      <c r="CA23" s="141" t="str">
        <f>IFERROR(J23/(s_RadSpec!AT23*s_Q_w_goat*(1/1000)),".")</f>
        <v>.</v>
      </c>
      <c r="CB23" s="141" t="str">
        <f>IFERROR(L23*s_D_milk/(s_RadSpec!AU23*s_Q_w_goat_milk*(1/1000)),".")</f>
        <v>.</v>
      </c>
      <c r="CC23" s="141">
        <f>IFERROR(K23/(s_RadSpec!AR23*s_Q_w_sheep*(1/1000)),".")</f>
        <v>78892.312486532843</v>
      </c>
      <c r="CD23" s="141" t="str">
        <f>IFERROR(M23*s_D_milk/(s_RadSpec!AS23*s_Q_w_sheep_milk*(1/1000)),".")</f>
        <v>.</v>
      </c>
      <c r="CE23" s="158">
        <f t="shared" si="27"/>
        <v>9.2185500000000004E-2</v>
      </c>
      <c r="CF23" s="158">
        <f t="shared" si="28"/>
        <v>0.38209244791666658</v>
      </c>
      <c r="CG23" s="158">
        <f t="shared" si="29"/>
        <v>6.4177315068493143E-4</v>
      </c>
      <c r="CH23" s="158">
        <f t="shared" si="30"/>
        <v>2.0599326772669339E-2</v>
      </c>
      <c r="CI23" s="158">
        <f t="shared" si="31"/>
        <v>2.0280810000000002E-3</v>
      </c>
      <c r="CJ23" s="158">
        <f t="shared" si="32"/>
        <v>4.3096721249999983E-6</v>
      </c>
      <c r="CK23" s="158">
        <f t="shared" si="33"/>
        <v>9.3528007281553411E-7</v>
      </c>
      <c r="CL23" s="158" t="str">
        <f t="shared" si="34"/>
        <v>.</v>
      </c>
      <c r="CM23" s="158" t="str">
        <f t="shared" si="35"/>
        <v>.</v>
      </c>
      <c r="CN23" s="158" t="str">
        <f t="shared" si="36"/>
        <v>.</v>
      </c>
      <c r="CO23" s="158" t="str">
        <f t="shared" si="37"/>
        <v>.</v>
      </c>
      <c r="CP23" s="158" t="str">
        <f t="shared" si="38"/>
        <v>.</v>
      </c>
      <c r="CQ23" s="158">
        <f t="shared" si="39"/>
        <v>1.267550625E-5</v>
      </c>
      <c r="CR23" s="158" t="str">
        <f t="shared" si="40"/>
        <v>.</v>
      </c>
      <c r="CS23" s="141">
        <f t="shared" si="41"/>
        <v>2.0097874668044486</v>
      </c>
      <c r="CT23" s="142">
        <f t="shared" si="42"/>
        <v>1375</v>
      </c>
      <c r="CU23" s="142">
        <f t="shared" si="43"/>
        <v>250.65104166666663</v>
      </c>
      <c r="CV23" s="142">
        <f t="shared" si="44"/>
        <v>0.12557077625570776</v>
      </c>
      <c r="CW23" s="142">
        <f>s_b2w!BZ23</f>
        <v>307.25086171274592</v>
      </c>
      <c r="CX23" s="142">
        <f>IFERROR(s_C*s_RadSpec!AN23*(1/1000)*s_IFFI_far_adj*s_CF_far_fish,0)</f>
        <v>30.25</v>
      </c>
      <c r="CY23" s="142">
        <f>(s_C*s_IFB_far_adj*s_CF_far_beef*s_RadSpec!AM23*s_Q_w_beef*(1/1000))</f>
        <v>6.4281249999999998E-2</v>
      </c>
      <c r="CZ23" s="142">
        <f>(s_C*s_IFD_far_adj*s_CF_far_dairy*s_RadSpec!AL23*(1/s_D_milk)*s_Q_w_dairy*(1/1000))</f>
        <v>1.3950242718446602E-2</v>
      </c>
      <c r="DA23" s="142">
        <f>(s_C*s_IFSW_far_adj*s_CF_far_swine*s_RadSpec!AQ23*s_Q_w_swine*(1/1000))</f>
        <v>0</v>
      </c>
      <c r="DB23" s="142">
        <f>(s_C*s_IFP_far_adj*s_CF_far_poultry*s_RadSpec!AO23*s_Q_w_poultry*(1/1000))</f>
        <v>0</v>
      </c>
      <c r="DC23" s="142">
        <f>(s_C*s_IFE_far_adj*s_CF_far_egg*s_RadSpec!AP23*s_Q_w_egg*(1/1000))</f>
        <v>0</v>
      </c>
      <c r="DD23" s="142">
        <f>(s_C*s_IFGO_far_adj*s_CF_far_goat*s_RadSpec!AT23*s_Q_p_goat*(1/1000))</f>
        <v>0</v>
      </c>
      <c r="DE23" s="142">
        <f>(s_C*s_IFGM_far_adj*s_CF_far_goat_milk*s_RadSpec!AU23*(1/s_D_milk)*s_Q_p_goat_milk*(1/1000))</f>
        <v>0</v>
      </c>
      <c r="DF23" s="142">
        <f>(s_C*s_IFSH_far_adj*s_CF_far_sheep*s_RadSpec!AR23*s_Q_p_sheep*(1/1000))</f>
        <v>0.18906249999999999</v>
      </c>
      <c r="DG23" s="142">
        <f>(s_C*s_IFSM_far_adj*s_CF_far_sheep_milk*s_RadSpec!AS23*(1/s_D_milk)*s_Q_p_sheep_milk*(1/1000))</f>
        <v>0</v>
      </c>
      <c r="DH23" s="141"/>
      <c r="DI23" s="141">
        <f>IFERROR((s_DL/(s_RadSpec!L23*s_IFA_far_adj)),".")</f>
        <v>1.3085838328556778</v>
      </c>
      <c r="DJ23" s="141">
        <f>IFERROR((s_DL/(s_RadSpec!O23*s_EF_far*(1/365)*s_ED_far*s_ET_far*(1/24)*s_GSF_a)),".")</f>
        <v>1.3708002030536921</v>
      </c>
      <c r="DK23" s="141">
        <f t="shared" si="56"/>
        <v>0.66948483672014281</v>
      </c>
      <c r="DL23" s="142">
        <f t="shared" si="46"/>
        <v>501.30208333333326</v>
      </c>
      <c r="DM23" s="142">
        <f t="shared" si="47"/>
        <v>0.3139269406392694</v>
      </c>
      <c r="DN23" s="127"/>
    </row>
    <row r="24" spans="1:118" customFormat="1" x14ac:dyDescent="0.25">
      <c r="A24" s="128" t="s">
        <v>22</v>
      </c>
      <c r="B24" s="129" t="s">
        <v>1059</v>
      </c>
      <c r="C24" s="141" t="str">
        <f>s_dir!AB24</f>
        <v>.</v>
      </c>
      <c r="D24" s="141" t="str">
        <f>IFERROR(s_DL/(s_RadSpec!J24*s_IFP_far_adj*s_CF_far_poultry),".")</f>
        <v>.</v>
      </c>
      <c r="E24" s="141" t="str">
        <f>IFERROR(s_DL/(s_RadSpec!J24*s_IFE_far_adj*s_CF_far_egg),".")</f>
        <v>.</v>
      </c>
      <c r="F24" s="141" t="str">
        <f>IFERROR(s_DL/(s_RadSpec!J24*s_IFB_far_adj*s_CF_far_beef),".")</f>
        <v>.</v>
      </c>
      <c r="G24" s="141" t="str">
        <f>IFERROR(s_DL/(s_RadSpec!J24*s_IFD_far_adj*s_CF_far_dairy),".")</f>
        <v>.</v>
      </c>
      <c r="H24" s="141" t="str">
        <f>IFERROR(s_DL/(s_RadSpec!J24*s_IFSW_far_adj*s_CF_far_swine),".")</f>
        <v>.</v>
      </c>
      <c r="I24" s="141" t="str">
        <f>IFERROR(s_DL/(s_RadSpec!J24*s_IFFI_far_adj*s_CF_far_fish),".")</f>
        <v>.</v>
      </c>
      <c r="J24" s="141" t="str">
        <f>IFERROR(s_DL/(s_RadSpec!J24*s_IFGO_far_adj*s_CF_far_goat),".")</f>
        <v>.</v>
      </c>
      <c r="K24" s="141" t="str">
        <f>IFERROR(s_DL/(s_RadSpec!J24*s_IFSH_far_adj*s_CF_far_sheep),".")</f>
        <v>.</v>
      </c>
      <c r="L24" s="141" t="str">
        <f>IFERROR(s_DL/(s_RadSpec!J24*s_IFGM_far_adj*s_CF_far_goat_milk),".")</f>
        <v>.</v>
      </c>
      <c r="M24" s="141" t="str">
        <f>IFERROR(s_DL/(s_RadSpec!J24*s_IFSM_far_adj*s_CF_far_sheep_milk),".")</f>
        <v>.</v>
      </c>
      <c r="N24" s="142">
        <f>s_dir!BA24</f>
        <v>22687.5</v>
      </c>
      <c r="O24" s="142">
        <f t="shared" si="0"/>
        <v>7562.5</v>
      </c>
      <c r="P24" s="142">
        <f t="shared" si="1"/>
        <v>7562.5</v>
      </c>
      <c r="Q24" s="142">
        <f t="shared" si="2"/>
        <v>7562.5</v>
      </c>
      <c r="R24" s="142">
        <f t="shared" si="3"/>
        <v>7562.5</v>
      </c>
      <c r="S24" s="142">
        <f t="shared" si="4"/>
        <v>7562.5</v>
      </c>
      <c r="T24" s="142">
        <f t="shared" si="5"/>
        <v>7562.5</v>
      </c>
      <c r="U24" s="142">
        <f t="shared" si="6"/>
        <v>7562.5</v>
      </c>
      <c r="V24" s="142">
        <f t="shared" si="7"/>
        <v>7562.5</v>
      </c>
      <c r="W24" s="142">
        <f t="shared" si="8"/>
        <v>7562.5</v>
      </c>
      <c r="X24" s="142">
        <f t="shared" si="9"/>
        <v>7562.5</v>
      </c>
      <c r="Y24" s="141" t="str">
        <f>IFERROR((s_DL/(s_RadSpec!I24*s_IFS_far_adj*(1/1000)))*1,".")</f>
        <v>.</v>
      </c>
      <c r="Z24" s="141" t="str">
        <f>IFERROR(IF(A24="H-3",(s_DL/(s_RadSpec!L24*s_IFA_far_adj*(1/17)*1000))*1,(s_DL/(s_RadSpec!L24*s_IFA_far_adj*(1/s_PEF_wind)*1000))*1),".")</f>
        <v>.</v>
      </c>
      <c r="AA24" s="141">
        <f>IFERROR((s_DL/(s_RadSpec!K24*s_EF_far*(1/365)*s_ED_far*s_RadSpec!V24*((s_ET_far_o*(1/24)*s_RadSpec!AA24)+(s_ET_far_i*(1/24)*s_RadSpec!AF24))))*1,".")</f>
        <v>224460.60945062616</v>
      </c>
      <c r="AB24" s="141" t="str">
        <f>s_b2s!BA24</f>
        <v>.</v>
      </c>
      <c r="AC24" s="141" t="str">
        <f>IFERROR(((I24*s_RadSpec!AX24)/s_RadSpec!AN24)*1,".")</f>
        <v>.</v>
      </c>
      <c r="AD24" s="141" t="str">
        <f>IFERROR((F24/(s_RadSpec!AM24*((s_Q_p_beef*s_f_p_beef*s_f_s_beef*(s_RadSpec!BG24+s_R_es_past))+(s_Q_s_beef*s_f_p_beef))))*1,".")</f>
        <v>.</v>
      </c>
      <c r="AE24" s="141" t="str">
        <f>IFERROR(((G24*s_D_milk)/(s_RadSpec!AL24*((s_Q_p_dairy*s_f_p_dairy*s_f_s_dairy*(s_RadSpec!BG24+s_R_es_past))+(s_Q_s_dairy*s_f_p_dairy))))*1,".")</f>
        <v>.</v>
      </c>
      <c r="AF24" s="141" t="str">
        <f>IFERROR((H24/(s_RadSpec!AQ24*((s_Q_p_swine*s_f_p_swine*s_f_s_swine*(s_RadSpec!BG24+s_R_es_past))+(s_Q_s_swine*s_f_p_swine))))*1,".")</f>
        <v>.</v>
      </c>
      <c r="AG24" s="141" t="str">
        <f>IFERROR((D24/(s_RadSpec!AO24*((s_Q_p_poultry*s_f_p_poultry*s_f_s_poultry*(s_RadSpec!BG24+s_R_es_past))+(s_Q_s_poultry*s_f_p_poultry))))*1,".")</f>
        <v>.</v>
      </c>
      <c r="AH24" s="141" t="str">
        <f>IFERROR((E24/(s_RadSpec!AP24*((s_Q_p_poultry*s_f_p_poultry*s_f_s_poultry*(s_RadSpec!BG24+s_R_es_past))+(s_Q_s_poultry*s_f_p_poultry))))*1,".")</f>
        <v>.</v>
      </c>
      <c r="AI24" s="141" t="str">
        <f>IFERROR((J24/(s_RadSpec!AT24*((s_Q_p_goat*s_f_p_goat*s_f_s_goat*(s_RadSpec!BG24+s_R_es_past))+(s_Q_s_goat*s_f_p_goat))))*1,".")</f>
        <v>.</v>
      </c>
      <c r="AJ24" s="141" t="str">
        <f>IFERROR((L24*s_D_milk/(s_RadSpec!AU24*((s_Q_p_goat_milk*s_f_p_goat_milk*s_f_s_goat_milk*(s_RadSpec!BG24+s_R_es_past))+(s_Q_s_goat_milk*s_f_p_goat_milk))))*1,".")</f>
        <v>.</v>
      </c>
      <c r="AK24" s="141" t="str">
        <f>IFERROR((K24/(s_RadSpec!AR24*((s_Q_p_sheep*s_f_p_sheep*s_f_s_sheep*(s_RadSpec!BG24+s_R_es_past))+(s_Q_s_sheep*s_f_p_sheep))))*1,".")</f>
        <v>.</v>
      </c>
      <c r="AL24" s="141" t="str">
        <f>IFERROR((M24*s_D_milk/(s_RadSpec!AS24*((s_Q_p_sheep_milk*s_f_p_sheep_milk*s_f_s_sheep_milk*(s_RadSpec!BG24+s_R_es_past))+(s_Q_s_sheep_milk*s_f_p_sheep_milk))))*1,".")</f>
        <v>.</v>
      </c>
      <c r="AM24" s="158" t="str">
        <f t="shared" si="10"/>
        <v>.</v>
      </c>
      <c r="AN24" s="158" t="str">
        <f t="shared" si="11"/>
        <v>.</v>
      </c>
      <c r="AO24" s="158">
        <f t="shared" si="12"/>
        <v>4.4551246762072368E-6</v>
      </c>
      <c r="AP24" s="158" t="str">
        <f t="shared" si="13"/>
        <v>.</v>
      </c>
      <c r="AQ24" s="158" t="str">
        <f t="shared" si="14"/>
        <v>.</v>
      </c>
      <c r="AR24" s="158" t="str">
        <f t="shared" si="15"/>
        <v>.</v>
      </c>
      <c r="AS24" s="158" t="str">
        <f t="shared" si="16"/>
        <v>.</v>
      </c>
      <c r="AT24" s="158" t="str">
        <f t="shared" si="17"/>
        <v>.</v>
      </c>
      <c r="AU24" s="158" t="str">
        <f t="shared" si="18"/>
        <v>.</v>
      </c>
      <c r="AV24" s="158" t="str">
        <f t="shared" si="19"/>
        <v>.</v>
      </c>
      <c r="AW24" s="158" t="str">
        <f t="shared" si="20"/>
        <v>.</v>
      </c>
      <c r="AX24" s="158" t="str">
        <f t="shared" si="21"/>
        <v>.</v>
      </c>
      <c r="AY24" s="158" t="str">
        <f t="shared" si="22"/>
        <v>.</v>
      </c>
      <c r="AZ24" s="158" t="str">
        <f t="shared" si="23"/>
        <v>.</v>
      </c>
      <c r="BA24" s="141">
        <f t="shared" si="24"/>
        <v>224460.60945062619</v>
      </c>
      <c r="BB24" s="142">
        <f t="shared" si="25"/>
        <v>15.125</v>
      </c>
      <c r="BC24" s="142">
        <f t="shared" si="26"/>
        <v>1.618127279505213E-3</v>
      </c>
      <c r="BD24" s="142">
        <f>IFERROR((s_C*s_EF_far*(1/365)*s_ED_far*s_RadSpec!V24*((s_ET_far_o*(1/24)*s_RadSpec!AA24)+(s_ET_far_i*(1/24)*s_RadSpec!AF24))),".")</f>
        <v>2.6150991046146769E-2</v>
      </c>
      <c r="BE24" s="142">
        <f>s_b2s!BZ24</f>
        <v>306.28125</v>
      </c>
      <c r="BF24" s="142">
        <f>IFERROR(((s_C*s_RadSpec!AN24)/s_RadSpec!AX24)*s_IFFI_far_adj*s_CF_far_fish,0)</f>
        <v>0</v>
      </c>
      <c r="BG24" s="142">
        <f>(s_C*s_IFB_far_adj*s_CF_far_beef*s_RadSpec!AM24*((s_Q_p_beef*s_f_p_beef*s_f_s_beef*(s_RadSpec!$AW24+s_R_es_past))+(s_Q_s_beef*s_f_p_beef)))</f>
        <v>0</v>
      </c>
      <c r="BH24" s="142">
        <f>(s_C*s_IFD_far_adj*s_CF_far_dairy*s_RadSpec!AL24*1/s_D_milk*((s_Q_p_dairy*s_f_p_dairy*s_f_s_dairy*(s_RadSpec!$AW24+s_R_es_past))+(s_Q_s_dairy*s_f_p_dairy)))</f>
        <v>0</v>
      </c>
      <c r="BI24" s="142">
        <f>(s_C*s_IFSW_far_adj*s_CF_far_swine*s_RadSpec!AQ24*((s_Q_p_swine*s_f_p_swine*s_f_s_swine*(s_RadSpec!$AW24+s_R_es_past))+(s_Q_s_swine*s_f_p_swine)))</f>
        <v>0</v>
      </c>
      <c r="BJ24" s="142">
        <f>(s_C*s_IFP_far_adj*s_CF_far_poultry*s_RadSpec!AO24*((s_Q_p_poultry*s_f_p_poultry*s_f_s_poultry*(s_RadSpec!AW24+s_R_es_past))+(s_Q_s_poultry*s_f_p_poultry)))</f>
        <v>0</v>
      </c>
      <c r="BK24" s="142">
        <f>(s_C*s_IFE_far_adj*s_CF_far_egg*s_RadSpec!AP24*((s_Q_p_egg*s_f_p_egg*s_f_s_egg*(s_RadSpec!$AW24+s_R_es_past))+(s_Q_s_egg*s_f_p_egg)))</f>
        <v>0</v>
      </c>
      <c r="BL24" s="142">
        <f>(s_C*s_IFGO_far_adj*s_CF_far_goat*s_RadSpec!AT24*((s_Q_p_goat*s_f_p_goat*s_f_s_goat*(s_RadSpec!$AW24+s_R_es_past))+(s_Q_s_goat*s_f_p_goat)))</f>
        <v>0</v>
      </c>
      <c r="BM24" s="142">
        <f>(s_C*s_IFGM_far_adj*s_CF_far_goat_milk*s_RadSpec!AU24*1/s_D_milk*((s_Q_p_goat_milk*s_f_p_goat_milk*s_f_s_goat_milk*(s_RadSpec!$AW24+s_R_es_past))+(s_Q_s_goat_milk*s_f_p_goat_milk)))</f>
        <v>0</v>
      </c>
      <c r="BN24" s="142">
        <f>(s_C*s_IFSH_far_adj*s_CF_far_sheep*s_RadSpec!AR24*((s_Q_p_sheep*s_f_p_sheep*s_f_s_sheep*(s_RadSpec!$AW24+s_R_es_past))+(s_Q_s_sheep*s_f_p_sheep)))</f>
        <v>0</v>
      </c>
      <c r="BO24" s="142">
        <f>(s_C*s_IFSM_far_adj*s_CF_far_sheep_milk*s_RadSpec!AS24*1/s_D_milk*((s_Q_p_sheep_milk*s_f_p_sheep_milk*s_f_s_sheep_milk*(s_RadSpec!$AW24+s_R_es_past))+(s_Q_s_sheep_milk*s_f_p_sheep_milk)))</f>
        <v>0</v>
      </c>
      <c r="BP24" s="141"/>
      <c r="BQ24" s="141" t="str">
        <f>IFERROR(s_DL/(s_RadSpec!M24*s_IFW_far_adj),".")</f>
        <v>.</v>
      </c>
      <c r="BR24" s="141" t="str">
        <f>IFERROR(IF(s_RadSpec!C24=1,s_DL/(s_RadSpec!L24*s_IFA_far_adj*s_K),"."),".")</f>
        <v>.</v>
      </c>
      <c r="BS24" s="141">
        <f>IFERROR((s_DL/(s_RadSpec!Q24*(1/8760)*s_DFA_far_adj)),".")</f>
        <v>14422.153692479644</v>
      </c>
      <c r="BT24" s="141" t="str">
        <f>s_b2w!BA24</f>
        <v>.</v>
      </c>
      <c r="BU24" s="141" t="str">
        <f>IFERROR(I24/(s_RadSpec!AN24*(1/1000)),".")</f>
        <v>.</v>
      </c>
      <c r="BV24" s="141" t="str">
        <f>IFERROR(F24/(s_RadSpec!AM24*s_Q_w_beef*(1/1000)),".")</f>
        <v>.</v>
      </c>
      <c r="BW24" s="141" t="str">
        <f>IFERROR((G24*s_D_milk)/(s_RadSpec!AL24*s_Q_w_dairy*(1/1000)),".")</f>
        <v>.</v>
      </c>
      <c r="BX24" s="141" t="str">
        <f>IFERROR(H24/(s_RadSpec!AQ24*s_Q_w_swine*(1/1000)),".")</f>
        <v>.</v>
      </c>
      <c r="BY24" s="141" t="str">
        <f>IFERROR(D24/(s_RadSpec!AO24*s_Q_w_poultry*(1/1000)),".")</f>
        <v>.</v>
      </c>
      <c r="BZ24" s="141" t="str">
        <f>IFERROR(E24/(s_RadSpec!AP24*s_Q_w_poultry*(1/1000)),".")</f>
        <v>.</v>
      </c>
      <c r="CA24" s="141" t="str">
        <f>IFERROR(J24/(s_RadSpec!AT24*s_Q_w_goat*(1/1000)),".")</f>
        <v>.</v>
      </c>
      <c r="CB24" s="141" t="str">
        <f>IFERROR(L24*s_D_milk/(s_RadSpec!AU24*s_Q_w_goat_milk*(1/1000)),".")</f>
        <v>.</v>
      </c>
      <c r="CC24" s="141" t="str">
        <f>IFERROR(K24/(s_RadSpec!AR24*s_Q_w_sheep*(1/1000)),".")</f>
        <v>.</v>
      </c>
      <c r="CD24" s="141" t="str">
        <f>IFERROR(M24*s_D_milk/(s_RadSpec!AS24*s_Q_w_sheep_milk*(1/1000)),".")</f>
        <v>.</v>
      </c>
      <c r="CE24" s="158" t="str">
        <f t="shared" si="27"/>
        <v>.</v>
      </c>
      <c r="CF24" s="158" t="str">
        <f t="shared" si="28"/>
        <v>.</v>
      </c>
      <c r="CG24" s="158">
        <f t="shared" si="29"/>
        <v>6.9337771689497721E-5</v>
      </c>
      <c r="CH24" s="158" t="str">
        <f t="shared" si="30"/>
        <v>.</v>
      </c>
      <c r="CI24" s="158" t="str">
        <f t="shared" si="31"/>
        <v>.</v>
      </c>
      <c r="CJ24" s="158" t="str">
        <f t="shared" si="32"/>
        <v>.</v>
      </c>
      <c r="CK24" s="158" t="str">
        <f t="shared" si="33"/>
        <v>.</v>
      </c>
      <c r="CL24" s="158" t="str">
        <f t="shared" si="34"/>
        <v>.</v>
      </c>
      <c r="CM24" s="158" t="str">
        <f t="shared" si="35"/>
        <v>.</v>
      </c>
      <c r="CN24" s="158" t="str">
        <f t="shared" si="36"/>
        <v>.</v>
      </c>
      <c r="CO24" s="158" t="str">
        <f t="shared" si="37"/>
        <v>.</v>
      </c>
      <c r="CP24" s="158" t="str">
        <f t="shared" si="38"/>
        <v>.</v>
      </c>
      <c r="CQ24" s="158" t="str">
        <f t="shared" si="39"/>
        <v>.</v>
      </c>
      <c r="CR24" s="158" t="str">
        <f t="shared" si="40"/>
        <v>.</v>
      </c>
      <c r="CS24" s="141">
        <f t="shared" si="41"/>
        <v>14422.153692479644</v>
      </c>
      <c r="CT24" s="142">
        <f t="shared" si="42"/>
        <v>1375</v>
      </c>
      <c r="CU24" s="142">
        <f t="shared" si="43"/>
        <v>250.65104166666663</v>
      </c>
      <c r="CV24" s="142">
        <f t="shared" si="44"/>
        <v>0.12557077625570776</v>
      </c>
      <c r="CW24" s="142">
        <f>s_b2w!BZ24</f>
        <v>0</v>
      </c>
      <c r="CX24" s="142">
        <f>IFERROR(s_C*s_RadSpec!AN24*(1/1000)*s_IFFI_far_adj*s_CF_far_fish,0)</f>
        <v>0</v>
      </c>
      <c r="CY24" s="142">
        <f>(s_C*s_IFB_far_adj*s_CF_far_beef*s_RadSpec!AM24*s_Q_w_beef*(1/1000))</f>
        <v>0</v>
      </c>
      <c r="CZ24" s="142">
        <f>(s_C*s_IFD_far_adj*s_CF_far_dairy*s_RadSpec!AL24*(1/s_D_milk)*s_Q_w_dairy*(1/1000))</f>
        <v>0</v>
      </c>
      <c r="DA24" s="142">
        <f>(s_C*s_IFSW_far_adj*s_CF_far_swine*s_RadSpec!AQ24*s_Q_w_swine*(1/1000))</f>
        <v>0</v>
      </c>
      <c r="DB24" s="142">
        <f>(s_C*s_IFP_far_adj*s_CF_far_poultry*s_RadSpec!AO24*s_Q_w_poultry*(1/1000))</f>
        <v>0</v>
      </c>
      <c r="DC24" s="142">
        <f>(s_C*s_IFE_far_adj*s_CF_far_egg*s_RadSpec!AP24*s_Q_w_egg*(1/1000))</f>
        <v>0</v>
      </c>
      <c r="DD24" s="142">
        <f>(s_C*s_IFGO_far_adj*s_CF_far_goat*s_RadSpec!AT24*s_Q_p_goat*(1/1000))</f>
        <v>0</v>
      </c>
      <c r="DE24" s="142">
        <f>(s_C*s_IFGM_far_adj*s_CF_far_goat_milk*s_RadSpec!AU24*(1/s_D_milk)*s_Q_p_goat_milk*(1/1000))</f>
        <v>0</v>
      </c>
      <c r="DF24" s="142">
        <f>(s_C*s_IFSH_far_adj*s_CF_far_sheep*s_RadSpec!AR24*s_Q_p_sheep*(1/1000))</f>
        <v>0</v>
      </c>
      <c r="DG24" s="142">
        <f>(s_C*s_IFSM_far_adj*s_CF_far_sheep_milk*s_RadSpec!AS24*(1/s_D_milk)*s_Q_p_sheep_milk*(1/1000))</f>
        <v>0</v>
      </c>
      <c r="DH24" s="141"/>
      <c r="DI24" s="141" t="str">
        <f>IFERROR((s_DL/(s_RadSpec!L24*s_IFA_far_adj)),".")</f>
        <v>.</v>
      </c>
      <c r="DJ24" s="141">
        <f>IFERROR((s_DL/(s_RadSpec!O24*s_EF_far*(1/365)*s_ED_far*s_ET_far*(1/24)*s_GSF_a)),".")</f>
        <v>12.538790092638186</v>
      </c>
      <c r="DK24" s="141">
        <f t="shared" ref="DK24:DK25" si="57">IFERROR(IF(AND(ISNUMBER(DI24),ISNUMBER(DJ24)),1/((1/DI24)+(1/DJ24)),IF(AND(ISNUMBER(DI24),NOT(ISNUMBER(DJ24))),1/((1/DI24)),IF(AND(NOT(ISNUMBER(DI24)),ISNUMBER(DJ24)),1/((1/DJ24)),IF(AND(NOT(ISNUMBER(DI24)),NOT(ISNUMBER(DJ24))),".")))),".")</f>
        <v>12.538790092638184</v>
      </c>
      <c r="DL24" s="142">
        <f t="shared" si="46"/>
        <v>501.30208333333326</v>
      </c>
      <c r="DM24" s="142">
        <f t="shared" si="47"/>
        <v>0.3139269406392694</v>
      </c>
      <c r="DN24" s="127"/>
    </row>
    <row r="25" spans="1:118" customFormat="1" x14ac:dyDescent="0.25">
      <c r="A25" s="131" t="s">
        <v>23</v>
      </c>
      <c r="B25" s="129" t="s">
        <v>336</v>
      </c>
      <c r="C25" s="141" t="str">
        <f>s_dir!AB25</f>
        <v>.</v>
      </c>
      <c r="D25" s="141" t="str">
        <f>IFERROR(s_DL/(s_RadSpec!J25*s_IFP_far_adj*s_CF_far_poultry),".")</f>
        <v>.</v>
      </c>
      <c r="E25" s="141" t="str">
        <f>IFERROR(s_DL/(s_RadSpec!J25*s_IFE_far_adj*s_CF_far_egg),".")</f>
        <v>.</v>
      </c>
      <c r="F25" s="141" t="str">
        <f>IFERROR(s_DL/(s_RadSpec!J25*s_IFB_far_adj*s_CF_far_beef),".")</f>
        <v>.</v>
      </c>
      <c r="G25" s="141" t="str">
        <f>IFERROR(s_DL/(s_RadSpec!J25*s_IFD_far_adj*s_CF_far_dairy),".")</f>
        <v>.</v>
      </c>
      <c r="H25" s="141" t="str">
        <f>IFERROR(s_DL/(s_RadSpec!J25*s_IFSW_far_adj*s_CF_far_swine),".")</f>
        <v>.</v>
      </c>
      <c r="I25" s="141" t="str">
        <f>IFERROR(s_DL/(s_RadSpec!J25*s_IFFI_far_adj*s_CF_far_fish),".")</f>
        <v>.</v>
      </c>
      <c r="J25" s="141" t="str">
        <f>IFERROR(s_DL/(s_RadSpec!J25*s_IFGO_far_adj*s_CF_far_goat),".")</f>
        <v>.</v>
      </c>
      <c r="K25" s="141" t="str">
        <f>IFERROR(s_DL/(s_RadSpec!J25*s_IFSH_far_adj*s_CF_far_sheep),".")</f>
        <v>.</v>
      </c>
      <c r="L25" s="141" t="str">
        <f>IFERROR(s_DL/(s_RadSpec!J25*s_IFGM_far_adj*s_CF_far_goat_milk),".")</f>
        <v>.</v>
      </c>
      <c r="M25" s="141" t="str">
        <f>IFERROR(s_DL/(s_RadSpec!J25*s_IFSM_far_adj*s_CF_far_sheep_milk),".")</f>
        <v>.</v>
      </c>
      <c r="N25" s="142">
        <f>s_dir!BA25</f>
        <v>22687.5</v>
      </c>
      <c r="O25" s="142">
        <f t="shared" si="0"/>
        <v>7562.5</v>
      </c>
      <c r="P25" s="142">
        <f t="shared" si="1"/>
        <v>7562.5</v>
      </c>
      <c r="Q25" s="142">
        <f t="shared" si="2"/>
        <v>7562.5</v>
      </c>
      <c r="R25" s="142">
        <f t="shared" si="3"/>
        <v>7562.5</v>
      </c>
      <c r="S25" s="142">
        <f t="shared" si="4"/>
        <v>7562.5</v>
      </c>
      <c r="T25" s="142">
        <f t="shared" si="5"/>
        <v>7562.5</v>
      </c>
      <c r="U25" s="142">
        <f t="shared" si="6"/>
        <v>7562.5</v>
      </c>
      <c r="V25" s="142">
        <f t="shared" si="7"/>
        <v>7562.5</v>
      </c>
      <c r="W25" s="142">
        <f t="shared" si="8"/>
        <v>7562.5</v>
      </c>
      <c r="X25" s="142">
        <f t="shared" si="9"/>
        <v>7562.5</v>
      </c>
      <c r="Y25" s="141" t="str">
        <f>IFERROR((s_DL/(s_RadSpec!I25*s_IFS_far_adj*(1/1000)))*1,".")</f>
        <v>.</v>
      </c>
      <c r="Z25" s="141">
        <f>IFERROR(IF(A25="H-3",(s_DL/(s_RadSpec!L25*s_IFA_far_adj*(1/17)*1000))*1,(s_DL/(s_RadSpec!L25*s_IFA_far_adj*(1/s_PEF_wind)*1000))*1),".")</f>
        <v>2358772354.6054182</v>
      </c>
      <c r="AA25" s="141">
        <f>IFERROR((s_DL/(s_RadSpec!K25*s_EF_far*(1/365)*s_ED_far*s_RadSpec!V25*((s_ET_far_o*(1/24)*s_RadSpec!AA25)+(s_ET_far_i*(1/24)*s_RadSpec!AF25))))*1,".")</f>
        <v>500621.03754162649</v>
      </c>
      <c r="AB25" s="141" t="str">
        <f>s_b2s!BA25</f>
        <v>.</v>
      </c>
      <c r="AC25" s="141" t="str">
        <f>IFERROR(((I25*s_RadSpec!AX25)/s_RadSpec!AN25)*1,".")</f>
        <v>.</v>
      </c>
      <c r="AD25" s="141" t="str">
        <f>IFERROR((F25/(s_RadSpec!AM25*((s_Q_p_beef*s_f_p_beef*s_f_s_beef*(s_RadSpec!BG25+s_R_es_past))+(s_Q_s_beef*s_f_p_beef))))*1,".")</f>
        <v>.</v>
      </c>
      <c r="AE25" s="141" t="str">
        <f>IFERROR(((G25*s_D_milk)/(s_RadSpec!AL25*((s_Q_p_dairy*s_f_p_dairy*s_f_s_dairy*(s_RadSpec!BG25+s_R_es_past))+(s_Q_s_dairy*s_f_p_dairy))))*1,".")</f>
        <v>.</v>
      </c>
      <c r="AF25" s="141" t="str">
        <f>IFERROR((H25/(s_RadSpec!AQ25*((s_Q_p_swine*s_f_p_swine*s_f_s_swine*(s_RadSpec!BG25+s_R_es_past))+(s_Q_s_swine*s_f_p_swine))))*1,".")</f>
        <v>.</v>
      </c>
      <c r="AG25" s="141" t="str">
        <f>IFERROR((D25/(s_RadSpec!AO25*((s_Q_p_poultry*s_f_p_poultry*s_f_s_poultry*(s_RadSpec!BG25+s_R_es_past))+(s_Q_s_poultry*s_f_p_poultry))))*1,".")</f>
        <v>.</v>
      </c>
      <c r="AH25" s="141" t="str">
        <f>IFERROR((E25/(s_RadSpec!AP25*((s_Q_p_poultry*s_f_p_poultry*s_f_s_poultry*(s_RadSpec!BG25+s_R_es_past))+(s_Q_s_poultry*s_f_p_poultry))))*1,".")</f>
        <v>.</v>
      </c>
      <c r="AI25" s="141" t="str">
        <f>IFERROR((J25/(s_RadSpec!AT25*((s_Q_p_goat*s_f_p_goat*s_f_s_goat*(s_RadSpec!BG25+s_R_es_past))+(s_Q_s_goat*s_f_p_goat))))*1,".")</f>
        <v>.</v>
      </c>
      <c r="AJ25" s="141" t="str">
        <f>IFERROR((L25*s_D_milk/(s_RadSpec!AU25*((s_Q_p_goat_milk*s_f_p_goat_milk*s_f_s_goat_milk*(s_RadSpec!BG25+s_R_es_past))+(s_Q_s_goat_milk*s_f_p_goat_milk))))*1,".")</f>
        <v>.</v>
      </c>
      <c r="AK25" s="141" t="str">
        <f>IFERROR((K25/(s_RadSpec!AR25*((s_Q_p_sheep*s_f_p_sheep*s_f_s_sheep*(s_RadSpec!BG25+s_R_es_past))+(s_Q_s_sheep*s_f_p_sheep))))*1,".")</f>
        <v>.</v>
      </c>
      <c r="AL25" s="141" t="str">
        <f>IFERROR((M25*s_D_milk/(s_RadSpec!AS25*((s_Q_p_sheep_milk*s_f_p_sheep_milk*s_f_s_sheep_milk*(s_RadSpec!BG25+s_R_es_past))+(s_Q_s_sheep_milk*s_f_p_sheep_milk))))*1,".")</f>
        <v>.</v>
      </c>
      <c r="AM25" s="158" t="str">
        <f t="shared" si="10"/>
        <v>.</v>
      </c>
      <c r="AN25" s="158">
        <f t="shared" si="11"/>
        <v>4.2394934723036581E-10</v>
      </c>
      <c r="AO25" s="158">
        <f t="shared" si="12"/>
        <v>1.9975189315068494E-6</v>
      </c>
      <c r="AP25" s="158" t="str">
        <f t="shared" si="13"/>
        <v>.</v>
      </c>
      <c r="AQ25" s="158" t="str">
        <f t="shared" si="14"/>
        <v>.</v>
      </c>
      <c r="AR25" s="158" t="str">
        <f t="shared" si="15"/>
        <v>.</v>
      </c>
      <c r="AS25" s="158" t="str">
        <f t="shared" si="16"/>
        <v>.</v>
      </c>
      <c r="AT25" s="158" t="str">
        <f t="shared" si="17"/>
        <v>.</v>
      </c>
      <c r="AU25" s="158" t="str">
        <f t="shared" si="18"/>
        <v>.</v>
      </c>
      <c r="AV25" s="158" t="str">
        <f t="shared" si="19"/>
        <v>.</v>
      </c>
      <c r="AW25" s="158" t="str">
        <f t="shared" si="20"/>
        <v>.</v>
      </c>
      <c r="AX25" s="158" t="str">
        <f t="shared" si="21"/>
        <v>.</v>
      </c>
      <c r="AY25" s="158" t="str">
        <f t="shared" si="22"/>
        <v>.</v>
      </c>
      <c r="AZ25" s="158" t="str">
        <f t="shared" si="23"/>
        <v>.</v>
      </c>
      <c r="BA25" s="141">
        <f t="shared" si="24"/>
        <v>500514.80929851223</v>
      </c>
      <c r="BB25" s="142">
        <f t="shared" si="25"/>
        <v>15.125</v>
      </c>
      <c r="BC25" s="142">
        <f t="shared" si="26"/>
        <v>1.618127279505213E-3</v>
      </c>
      <c r="BD25" s="142">
        <f>IFERROR((s_C*s_EF_far*(1/365)*s_ED_far*s_RadSpec!V25*((s_ET_far_o*(1/24)*s_RadSpec!AA25)+(s_ET_far_i*(1/24)*s_RadSpec!AF25))),".")</f>
        <v>2.3450342465753421E-2</v>
      </c>
      <c r="BE25" s="142">
        <f>s_b2s!BZ25</f>
        <v>306.28125</v>
      </c>
      <c r="BF25" s="142">
        <f>IFERROR(((s_C*s_RadSpec!AN25)/s_RadSpec!AX25)*s_IFFI_far_adj*s_CF_far_fish,0)</f>
        <v>0</v>
      </c>
      <c r="BG25" s="142">
        <f>(s_C*s_IFB_far_adj*s_CF_far_beef*s_RadSpec!AM25*((s_Q_p_beef*s_f_p_beef*s_f_s_beef*(s_RadSpec!$AW25+s_R_es_past))+(s_Q_s_beef*s_f_p_beef)))</f>
        <v>0</v>
      </c>
      <c r="BH25" s="142">
        <f>(s_C*s_IFD_far_adj*s_CF_far_dairy*s_RadSpec!AL25*1/s_D_milk*((s_Q_p_dairy*s_f_p_dairy*s_f_s_dairy*(s_RadSpec!$AW25+s_R_es_past))+(s_Q_s_dairy*s_f_p_dairy)))</f>
        <v>0</v>
      </c>
      <c r="BI25" s="142">
        <f>(s_C*s_IFSW_far_adj*s_CF_far_swine*s_RadSpec!AQ25*((s_Q_p_swine*s_f_p_swine*s_f_s_swine*(s_RadSpec!$AW25+s_R_es_past))+(s_Q_s_swine*s_f_p_swine)))</f>
        <v>0</v>
      </c>
      <c r="BJ25" s="142">
        <f>(s_C*s_IFP_far_adj*s_CF_far_poultry*s_RadSpec!AO25*((s_Q_p_poultry*s_f_p_poultry*s_f_s_poultry*(s_RadSpec!AW25+s_R_es_past))+(s_Q_s_poultry*s_f_p_poultry)))</f>
        <v>0</v>
      </c>
      <c r="BK25" s="142">
        <f>(s_C*s_IFE_far_adj*s_CF_far_egg*s_RadSpec!AP25*((s_Q_p_egg*s_f_p_egg*s_f_s_egg*(s_RadSpec!$AW25+s_R_es_past))+(s_Q_s_egg*s_f_p_egg)))</f>
        <v>0</v>
      </c>
      <c r="BL25" s="142">
        <f>(s_C*s_IFGO_far_adj*s_CF_far_goat*s_RadSpec!AT25*((s_Q_p_goat*s_f_p_goat*s_f_s_goat*(s_RadSpec!$AW25+s_R_es_past))+(s_Q_s_goat*s_f_p_goat)))</f>
        <v>0</v>
      </c>
      <c r="BM25" s="142">
        <f>(s_C*s_IFGM_far_adj*s_CF_far_goat_milk*s_RadSpec!AU25*1/s_D_milk*((s_Q_p_goat_milk*s_f_p_goat_milk*s_f_s_goat_milk*(s_RadSpec!$AW25+s_R_es_past))+(s_Q_s_goat_milk*s_f_p_goat_milk)))</f>
        <v>0</v>
      </c>
      <c r="BN25" s="142">
        <f>(s_C*s_IFSH_far_adj*s_CF_far_sheep*s_RadSpec!AR25*((s_Q_p_sheep*s_f_p_sheep*s_f_s_sheep*(s_RadSpec!$AW25+s_R_es_past))+(s_Q_s_sheep*s_f_p_sheep)))</f>
        <v>0</v>
      </c>
      <c r="BO25" s="142">
        <f>(s_C*s_IFSM_far_adj*s_CF_far_sheep_milk*s_RadSpec!AS25*1/s_D_milk*((s_Q_p_sheep_milk*s_f_p_sheep_milk*s_f_s_sheep_milk*(s_RadSpec!$AW25+s_R_es_past))+(s_Q_s_sheep_milk*s_f_p_sheep_milk)))</f>
        <v>0</v>
      </c>
      <c r="BP25" s="141"/>
      <c r="BQ25" s="141" t="str">
        <f>IFERROR(s_DL/(s_RadSpec!M25*s_IFW_far_adj),".")</f>
        <v>.</v>
      </c>
      <c r="BR25" s="141">
        <f>IFERROR(IF(s_RadSpec!C25=1,s_DL/(s_RadSpec!L25*s_IFA_far_adj*s_K),"."),".")</f>
        <v>15227.520571032024</v>
      </c>
      <c r="BS25" s="141">
        <f>IFERROR((s_DL/(s_RadSpec!Q25*(1/8760)*s_DFA_far_adj)),".")</f>
        <v>28345.669092400152</v>
      </c>
      <c r="BT25" s="141" t="str">
        <f>s_b2w!BA25</f>
        <v>.</v>
      </c>
      <c r="BU25" s="141" t="str">
        <f>IFERROR(I25/(s_RadSpec!AN25*(1/1000)),".")</f>
        <v>.</v>
      </c>
      <c r="BV25" s="141" t="str">
        <f>IFERROR(F25/(s_RadSpec!AM25*s_Q_w_beef*(1/1000)),".")</f>
        <v>.</v>
      </c>
      <c r="BW25" s="141" t="str">
        <f>IFERROR((G25*s_D_milk)/(s_RadSpec!AL25*s_Q_w_dairy*(1/1000)),".")</f>
        <v>.</v>
      </c>
      <c r="BX25" s="141" t="str">
        <f>IFERROR(H25/(s_RadSpec!AQ25*s_Q_w_swine*(1/1000)),".")</f>
        <v>.</v>
      </c>
      <c r="BY25" s="141" t="str">
        <f>IFERROR(D25/(s_RadSpec!AO25*s_Q_w_poultry*(1/1000)),".")</f>
        <v>.</v>
      </c>
      <c r="BZ25" s="141" t="str">
        <f>IFERROR(E25/(s_RadSpec!AP25*s_Q_w_poultry*(1/1000)),".")</f>
        <v>.</v>
      </c>
      <c r="CA25" s="141" t="str">
        <f>IFERROR(J25/(s_RadSpec!AT25*s_Q_w_goat*(1/1000)),".")</f>
        <v>.</v>
      </c>
      <c r="CB25" s="141" t="str">
        <f>IFERROR(L25*s_D_milk/(s_RadSpec!AU25*s_Q_w_goat_milk*(1/1000)),".")</f>
        <v>.</v>
      </c>
      <c r="CC25" s="141" t="str">
        <f>IFERROR(K25/(s_RadSpec!AR25*s_Q_w_sheep*(1/1000)),".")</f>
        <v>.</v>
      </c>
      <c r="CD25" s="141" t="str">
        <f>IFERROR(M25*s_D_milk/(s_RadSpec!AS25*s_Q_w_sheep_milk*(1/1000)),".")</f>
        <v>.</v>
      </c>
      <c r="CE25" s="158" t="str">
        <f t="shared" si="27"/>
        <v>.</v>
      </c>
      <c r="CF25" s="158">
        <f t="shared" si="28"/>
        <v>6.5670572916666649E-5</v>
      </c>
      <c r="CG25" s="158">
        <f t="shared" si="29"/>
        <v>3.5278757990867579E-5</v>
      </c>
      <c r="CH25" s="158" t="str">
        <f t="shared" si="30"/>
        <v>.</v>
      </c>
      <c r="CI25" s="158" t="str">
        <f t="shared" si="31"/>
        <v>.</v>
      </c>
      <c r="CJ25" s="158" t="str">
        <f t="shared" si="32"/>
        <v>.</v>
      </c>
      <c r="CK25" s="158" t="str">
        <f t="shared" si="33"/>
        <v>.</v>
      </c>
      <c r="CL25" s="158" t="str">
        <f t="shared" si="34"/>
        <v>.</v>
      </c>
      <c r="CM25" s="158" t="str">
        <f t="shared" si="35"/>
        <v>.</v>
      </c>
      <c r="CN25" s="158" t="str">
        <f t="shared" si="36"/>
        <v>.</v>
      </c>
      <c r="CO25" s="158" t="str">
        <f t="shared" si="37"/>
        <v>.</v>
      </c>
      <c r="CP25" s="158" t="str">
        <f t="shared" si="38"/>
        <v>.</v>
      </c>
      <c r="CQ25" s="158" t="str">
        <f t="shared" si="39"/>
        <v>.</v>
      </c>
      <c r="CR25" s="158" t="str">
        <f t="shared" si="40"/>
        <v>.</v>
      </c>
      <c r="CS25" s="141">
        <f t="shared" si="41"/>
        <v>9905.9596632290923</v>
      </c>
      <c r="CT25" s="142">
        <f t="shared" si="42"/>
        <v>1375</v>
      </c>
      <c r="CU25" s="142">
        <f t="shared" si="43"/>
        <v>250.65104166666663</v>
      </c>
      <c r="CV25" s="142">
        <f t="shared" si="44"/>
        <v>0.12557077625570776</v>
      </c>
      <c r="CW25" s="142">
        <f>s_b2w!BZ25</f>
        <v>0</v>
      </c>
      <c r="CX25" s="142">
        <f>IFERROR(s_C*s_RadSpec!AN25*(1/1000)*s_IFFI_far_adj*s_CF_far_fish,0)</f>
        <v>0</v>
      </c>
      <c r="CY25" s="142">
        <f>(s_C*s_IFB_far_adj*s_CF_far_beef*s_RadSpec!AM25*s_Q_w_beef*(1/1000))</f>
        <v>0</v>
      </c>
      <c r="CZ25" s="142">
        <f>(s_C*s_IFD_far_adj*s_CF_far_dairy*s_RadSpec!AL25*(1/s_D_milk)*s_Q_w_dairy*(1/1000))</f>
        <v>0</v>
      </c>
      <c r="DA25" s="142">
        <f>(s_C*s_IFSW_far_adj*s_CF_far_swine*s_RadSpec!AQ25*s_Q_w_swine*(1/1000))</f>
        <v>0</v>
      </c>
      <c r="DB25" s="142">
        <f>(s_C*s_IFP_far_adj*s_CF_far_poultry*s_RadSpec!AO25*s_Q_w_poultry*(1/1000))</f>
        <v>0</v>
      </c>
      <c r="DC25" s="142">
        <f>(s_C*s_IFE_far_adj*s_CF_far_egg*s_RadSpec!AP25*s_Q_w_egg*(1/1000))</f>
        <v>0</v>
      </c>
      <c r="DD25" s="142">
        <f>(s_C*s_IFGO_far_adj*s_CF_far_goat*s_RadSpec!AT25*s_Q_p_goat*(1/1000))</f>
        <v>0</v>
      </c>
      <c r="DE25" s="142">
        <f>(s_C*s_IFGM_far_adj*s_CF_far_goat_milk*s_RadSpec!AU25*(1/s_D_milk)*s_Q_p_goat_milk*(1/1000))</f>
        <v>0</v>
      </c>
      <c r="DF25" s="142">
        <f>(s_C*s_IFSH_far_adj*s_CF_far_sheep*s_RadSpec!AR25*s_Q_p_sheep*(1/1000))</f>
        <v>0</v>
      </c>
      <c r="DG25" s="142">
        <f>(s_C*s_IFSM_far_adj*s_CF_far_sheep_milk*s_RadSpec!AS25*(1/s_D_milk)*s_Q_p_sheep_milk*(1/1000))</f>
        <v>0</v>
      </c>
      <c r="DH25" s="141"/>
      <c r="DI25" s="141">
        <f>IFERROR((s_DL/(s_RadSpec!L25*s_IFA_far_adj)),".")</f>
        <v>7613.7602855160121</v>
      </c>
      <c r="DJ25" s="141">
        <f>IFERROR((s_DL/(s_RadSpec!O25*s_EF_far*(1/365)*s_ED_far*s_ET_far*(1/24)*s_GSF_a)),".")</f>
        <v>24.642708852583716</v>
      </c>
      <c r="DK25" s="141">
        <f t="shared" si="57"/>
        <v>24.563207535352756</v>
      </c>
      <c r="DL25" s="142">
        <f t="shared" si="46"/>
        <v>501.30208333333326</v>
      </c>
      <c r="DM25" s="142">
        <f t="shared" si="47"/>
        <v>0.3139269406392694</v>
      </c>
      <c r="DN25" s="127"/>
    </row>
    <row r="26" spans="1:118" customFormat="1" x14ac:dyDescent="0.25">
      <c r="A26" s="128" t="s">
        <v>24</v>
      </c>
      <c r="B26" s="129" t="s">
        <v>1059</v>
      </c>
      <c r="C26" s="141">
        <f>s_dir!AB26</f>
        <v>0.48902870219484634</v>
      </c>
      <c r="D26" s="141">
        <f>IFERROR(s_DL/(s_RadSpec!J26*s_IFP_far_adj*s_CF_far_poultry),".")</f>
        <v>1.4670861065845391</v>
      </c>
      <c r="E26" s="141">
        <f>IFERROR(s_DL/(s_RadSpec!J26*s_IFE_far_adj*s_CF_far_egg),".")</f>
        <v>1.4670861065845391</v>
      </c>
      <c r="F26" s="141">
        <f>IFERROR(s_DL/(s_RadSpec!J26*s_IFB_far_adj*s_CF_far_beef),".")</f>
        <v>1.4670861065845391</v>
      </c>
      <c r="G26" s="141">
        <f>IFERROR(s_DL/(s_RadSpec!J26*s_IFD_far_adj*s_CF_far_dairy),".")</f>
        <v>1.4670861065845391</v>
      </c>
      <c r="H26" s="141">
        <f>IFERROR(s_DL/(s_RadSpec!J26*s_IFSW_far_adj*s_CF_far_swine),".")</f>
        <v>1.4670861065845391</v>
      </c>
      <c r="I26" s="141">
        <f>IFERROR(s_DL/(s_RadSpec!J26*s_IFFI_far_adj*s_CF_far_fish),".")</f>
        <v>1.4670861065845391</v>
      </c>
      <c r="J26" s="141">
        <f>IFERROR(s_DL/(s_RadSpec!J26*s_IFGO_far_adj*s_CF_far_goat),".")</f>
        <v>1.4670861065845391</v>
      </c>
      <c r="K26" s="141">
        <f>IFERROR(s_DL/(s_RadSpec!J26*s_IFSH_far_adj*s_CF_far_sheep),".")</f>
        <v>1.4670861065845391</v>
      </c>
      <c r="L26" s="141">
        <f>IFERROR(s_DL/(s_RadSpec!J26*s_IFGM_far_adj*s_CF_far_goat_milk),".")</f>
        <v>1.4670861065845391</v>
      </c>
      <c r="M26" s="141">
        <f>IFERROR(s_DL/(s_RadSpec!J26*s_IFSM_far_adj*s_CF_far_sheep_milk),".")</f>
        <v>1.4670861065845391</v>
      </c>
      <c r="N26" s="142">
        <f>s_dir!BA26</f>
        <v>22687.5</v>
      </c>
      <c r="O26" s="142">
        <f t="shared" si="0"/>
        <v>7562.5</v>
      </c>
      <c r="P26" s="142">
        <f t="shared" si="1"/>
        <v>7562.5</v>
      </c>
      <c r="Q26" s="142">
        <f t="shared" si="2"/>
        <v>7562.5</v>
      </c>
      <c r="R26" s="142">
        <f t="shared" si="3"/>
        <v>7562.5</v>
      </c>
      <c r="S26" s="142">
        <f t="shared" si="4"/>
        <v>7562.5</v>
      </c>
      <c r="T26" s="142">
        <f t="shared" si="5"/>
        <v>7562.5</v>
      </c>
      <c r="U26" s="142">
        <f t="shared" si="6"/>
        <v>7562.5</v>
      </c>
      <c r="V26" s="142">
        <f t="shared" si="7"/>
        <v>7562.5</v>
      </c>
      <c r="W26" s="142">
        <f t="shared" si="8"/>
        <v>7562.5</v>
      </c>
      <c r="X26" s="142">
        <f t="shared" si="9"/>
        <v>7562.5</v>
      </c>
      <c r="Y26" s="141">
        <f>IFERROR((s_DL/(s_RadSpec!I26*s_IFS_far_adj*(1/1000)))*1,".")</f>
        <v>733.54305329226952</v>
      </c>
      <c r="Z26" s="141">
        <f>IFERROR(IF(A26="H-3",(s_DL/(s_RadSpec!L26*s_IFA_far_adj*(1/17)*1000))*1,(s_DL/(s_RadSpec!L26*s_IFA_far_adj*(1/s_PEF_wind)*1000))*1),".")</f>
        <v>55306.815545607613</v>
      </c>
      <c r="AA26" s="141">
        <f>IFERROR((s_DL/(s_RadSpec!K26*s_EF_far*(1/365)*s_ED_far*s_RadSpec!V26*((s_ET_far_o*(1/24)*s_RadSpec!AA26)+(s_ET_far_i*(1/24)*s_RadSpec!AF26))))*1,".")</f>
        <v>20205.168901302986</v>
      </c>
      <c r="AB26" s="141">
        <f>s_b2s!BA26</f>
        <v>33.913224840141915</v>
      </c>
      <c r="AC26" s="141">
        <f>IFERROR(((I26*s_RadSpec!AX26)/s_RadSpec!AN26)*1,".")</f>
        <v>4.8902870219484633</v>
      </c>
      <c r="AD26" s="141">
        <f>IFERROR((F26/(s_RadSpec!AM26*((s_Q_p_beef*s_f_p_beef*s_f_s_beef*(s_RadSpec!BG26+s_R_es_past))+(s_Q_s_beef*s_f_p_beef))))*1,".")</f>
        <v>72.64817756880602</v>
      </c>
      <c r="AE26" s="141">
        <f>IFERROR(((G26*s_D_milk)/(s_RadSpec!AL26*((s_Q_p_dairy*s_f_p_dairy*s_f_s_dairy*(s_RadSpec!BG26+s_R_es_past))+(s_Q_s_dairy*s_f_p_dairy))))*1,".")</f>
        <v>3442.0706532100289</v>
      </c>
      <c r="AF26" s="141" t="str">
        <f>IFERROR((H26/(s_RadSpec!AQ26*((s_Q_p_swine*s_f_p_swine*s_f_s_swine*(s_RadSpec!BG26+s_R_es_past))+(s_Q_s_swine*s_f_p_swine))))*1,".")</f>
        <v>.</v>
      </c>
      <c r="AG26" s="141" t="str">
        <f>IFERROR((D26/(s_RadSpec!AO26*((s_Q_p_poultry*s_f_p_poultry*s_f_s_poultry*(s_RadSpec!BG26+s_R_es_past))+(s_Q_s_poultry*s_f_p_poultry))))*1,".")</f>
        <v>.</v>
      </c>
      <c r="AH26" s="141" t="str">
        <f>IFERROR((E26/(s_RadSpec!AP26*((s_Q_p_poultry*s_f_p_poultry*s_f_s_poultry*(s_RadSpec!BG26+s_R_es_past))+(s_Q_s_poultry*s_f_p_poultry))))*1,".")</f>
        <v>.</v>
      </c>
      <c r="AI26" s="141" t="str">
        <f>IFERROR((J26/(s_RadSpec!AT26*((s_Q_p_goat*s_f_p_goat*s_f_s_goat*(s_RadSpec!BG26+s_R_es_past))+(s_Q_s_goat*s_f_p_goat))))*1,".")</f>
        <v>.</v>
      </c>
      <c r="AJ26" s="141" t="str">
        <f>IFERROR((L26*s_D_milk/(s_RadSpec!AU26*((s_Q_p_goat_milk*s_f_p_goat_milk*s_f_s_goat_milk*(s_RadSpec!BG26+s_R_es_past))+(s_Q_s_goat_milk*s_f_p_goat_milk))))*1,".")</f>
        <v>.</v>
      </c>
      <c r="AK26" s="141">
        <f>IFERROR((K26/(s_RadSpec!AR26*((s_Q_p_sheep*s_f_p_sheep*s_f_s_sheep*(s_RadSpec!BG26+s_R_es_past))+(s_Q_s_sheep*s_f_p_sheep))))*1,".")</f>
        <v>16.709080840825383</v>
      </c>
      <c r="AL26" s="141" t="str">
        <f>IFERROR((M26*s_D_milk/(s_RadSpec!AS26*((s_Q_p_sheep_milk*s_f_p_sheep_milk*s_f_s_sheep_milk*(s_RadSpec!BG26+s_R_es_past))+(s_Q_s_sheep_milk*s_f_p_sheep_milk))))*1,".")</f>
        <v>.</v>
      </c>
      <c r="AM26" s="158">
        <f t="shared" si="10"/>
        <v>1.3632465000000002E-3</v>
      </c>
      <c r="AN26" s="158">
        <f t="shared" si="11"/>
        <v>1.8080954221191252E-5</v>
      </c>
      <c r="AO26" s="158">
        <f t="shared" si="12"/>
        <v>4.9492286101875257E-5</v>
      </c>
      <c r="AP26" s="158">
        <f t="shared" si="13"/>
        <v>2.9487021794999999E-2</v>
      </c>
      <c r="AQ26" s="158">
        <f t="shared" si="14"/>
        <v>0.20448697500000002</v>
      </c>
      <c r="AR26" s="158">
        <f t="shared" si="15"/>
        <v>1.3764970209375E-2</v>
      </c>
      <c r="AS26" s="158">
        <f t="shared" si="16"/>
        <v>2.9052279884708742E-4</v>
      </c>
      <c r="AT26" s="158" t="str">
        <f t="shared" si="17"/>
        <v>.</v>
      </c>
      <c r="AU26" s="158" t="str">
        <f t="shared" si="18"/>
        <v>.</v>
      </c>
      <c r="AV26" s="158" t="str">
        <f t="shared" si="19"/>
        <v>.</v>
      </c>
      <c r="AW26" s="158" t="str">
        <f t="shared" si="20"/>
        <v>.</v>
      </c>
      <c r="AX26" s="158" t="str">
        <f t="shared" si="21"/>
        <v>.</v>
      </c>
      <c r="AY26" s="158">
        <f t="shared" si="22"/>
        <v>5.9847696562500011E-2</v>
      </c>
      <c r="AZ26" s="158" t="str">
        <f t="shared" si="23"/>
        <v>.</v>
      </c>
      <c r="BA26" s="141">
        <f t="shared" si="24"/>
        <v>3.2330233303342086</v>
      </c>
      <c r="BB26" s="142">
        <f t="shared" si="25"/>
        <v>15.125</v>
      </c>
      <c r="BC26" s="142">
        <f t="shared" si="26"/>
        <v>1.618127279505213E-3</v>
      </c>
      <c r="BD26" s="142">
        <f>IFERROR((s_C*s_EF_far*(1/365)*s_ED_far*s_RadSpec!V26*((s_ET_far_o*(1/24)*s_RadSpec!AA26)+(s_ET_far_i*(1/24)*s_RadSpec!AF26))),".")</f>
        <v>4.3011038701955065E-3</v>
      </c>
      <c r="BE26" s="142">
        <f>s_b2s!BZ26</f>
        <v>327.15375</v>
      </c>
      <c r="BF26" s="142">
        <f>IFERROR(((s_C*s_RadSpec!AN26)/s_RadSpec!AX26)*s_IFFI_far_adj*s_CF_far_fish,0)</f>
        <v>2268.75</v>
      </c>
      <c r="BG26" s="142">
        <f>(s_C*s_IFB_far_adj*s_CF_far_beef*s_RadSpec!AM26*((s_Q_p_beef*s_f_p_beef*s_f_s_beef*(s_RadSpec!$AW26+s_R_es_past))+(s_Q_s_beef*s_f_p_beef)))</f>
        <v>152.72012392241379</v>
      </c>
      <c r="BH26" s="142">
        <f>(s_C*s_IFD_far_adj*s_CF_far_dairy*s_RadSpec!AL26*1/s_D_milk*((s_Q_p_dairy*s_f_p_dairy*s_f_s_dairy*(s_RadSpec!$AW26+s_R_es_past))+(s_Q_s_dairy*s_f_p_dairy)))</f>
        <v>3.2233035863742887</v>
      </c>
      <c r="BI26" s="142">
        <f>(s_C*s_IFSW_far_adj*s_CF_far_swine*s_RadSpec!AQ26*((s_Q_p_swine*s_f_p_swine*s_f_s_swine*(s_RadSpec!$AW26+s_R_es_past))+(s_Q_s_swine*s_f_p_swine)))</f>
        <v>0</v>
      </c>
      <c r="BJ26" s="142">
        <f>(s_C*s_IFP_far_adj*s_CF_far_poultry*s_RadSpec!AO26*((s_Q_p_poultry*s_f_p_poultry*s_f_s_poultry*(s_RadSpec!AW26+s_R_es_past))+(s_Q_s_poultry*s_f_p_poultry)))</f>
        <v>0</v>
      </c>
      <c r="BK26" s="142">
        <f>(s_C*s_IFE_far_adj*s_CF_far_egg*s_RadSpec!AP26*((s_Q_p_egg*s_f_p_egg*s_f_s_egg*(s_RadSpec!$AW26+s_R_es_past))+(s_Q_s_egg*s_f_p_egg)))</f>
        <v>0</v>
      </c>
      <c r="BL26" s="142">
        <f>(s_C*s_IFGO_far_adj*s_CF_far_goat*s_RadSpec!AT26*((s_Q_p_goat*s_f_p_goat*s_f_s_goat*(s_RadSpec!$AW26+s_R_es_past))+(s_Q_s_goat*s_f_p_goat)))</f>
        <v>0</v>
      </c>
      <c r="BM26" s="142">
        <f>(s_C*s_IFGM_far_adj*s_CF_far_goat_milk*s_RadSpec!AU26*1/s_D_milk*((s_Q_p_goat_milk*s_f_p_goat_milk*s_f_s_goat_milk*(s_RadSpec!$AW26+s_R_es_past))+(s_Q_s_goat_milk*s_f_p_goat_milk)))</f>
        <v>0</v>
      </c>
      <c r="BN26" s="142">
        <f>(s_C*s_IFSH_far_adj*s_CF_far_sheep*s_RadSpec!AR26*((s_Q_p_sheep*s_f_p_sheep*s_f_s_sheep*(s_RadSpec!$AW26+s_R_es_past))+(s_Q_s_sheep*s_f_p_sheep)))</f>
        <v>664.00053879310337</v>
      </c>
      <c r="BO26" s="142">
        <f>(s_C*s_IFSM_far_adj*s_CF_far_sheep_milk*s_RadSpec!AS26*1/s_D_milk*((s_Q_p_sheep_milk*s_f_p_sheep_milk*s_f_s_sheep_milk*(s_RadSpec!$AW26+s_R_es_past))+(s_Q_s_sheep_milk*s_f_p_sheep_milk)))</f>
        <v>0</v>
      </c>
      <c r="BP26" s="141"/>
      <c r="BQ26" s="141">
        <f>IFERROR(s_DL/(s_RadSpec!M26*s_IFW_far_adj),".")</f>
        <v>8.0689735862149643</v>
      </c>
      <c r="BR26" s="141" t="str">
        <f>IFERROR(IF(s_RadSpec!C26=1,s_DL/(s_RadSpec!L26*s_IFA_far_adj*s_K),"."),".")</f>
        <v>.</v>
      </c>
      <c r="BS26" s="141">
        <f>IFERROR((s_DL/(s_RadSpec!Q26*(1/8760)*s_DFA_far_adj)),".")</f>
        <v>144.02664295597913</v>
      </c>
      <c r="BT26" s="141">
        <f>s_b2w!BA26</f>
        <v>41.165374407185823</v>
      </c>
      <c r="BU26" s="141">
        <f>IFERROR(I26/(s_RadSpec!AN26*(1/1000)),".")</f>
        <v>244.51435109742317</v>
      </c>
      <c r="BV26" s="141">
        <f>IFERROR(F26/(s_RadSpec!AM26*s_Q_w_beef*(1/1000)),".")</f>
        <v>1275727.049203947</v>
      </c>
      <c r="BW26" s="141">
        <f>IFERROR((G26*s_D_milk)/(s_RadSpec!AL26*s_Q_w_dairy*(1/1000)),".")</f>
        <v>60443947.591283008</v>
      </c>
      <c r="BX26" s="141" t="str">
        <f>IFERROR(H26/(s_RadSpec!AQ26*s_Q_w_swine*(1/1000)),".")</f>
        <v>.</v>
      </c>
      <c r="BY26" s="141" t="str">
        <f>IFERROR(D26/(s_RadSpec!AO26*s_Q_w_poultry*(1/1000)),".")</f>
        <v>.</v>
      </c>
      <c r="BZ26" s="141" t="str">
        <f>IFERROR(E26/(s_RadSpec!AP26*s_Q_w_poultry*(1/1000)),".")</f>
        <v>.</v>
      </c>
      <c r="CA26" s="141" t="str">
        <f>IFERROR(J26/(s_RadSpec!AT26*s_Q_w_goat*(1/1000)),".")</f>
        <v>.</v>
      </c>
      <c r="CB26" s="141" t="str">
        <f>IFERROR(L26*s_D_milk/(s_RadSpec!AU26*s_Q_w_goat_milk*(1/1000)),".")</f>
        <v>.</v>
      </c>
      <c r="CC26" s="141">
        <f>IFERROR(K26/(s_RadSpec!AR26*s_Q_w_sheep*(1/1000)),".")</f>
        <v>293417.22131690779</v>
      </c>
      <c r="CD26" s="141" t="str">
        <f>IFERROR(M26*s_D_milk/(s_RadSpec!AS26*s_Q_w_sheep_milk*(1/1000)),".")</f>
        <v>.</v>
      </c>
      <c r="CE26" s="158">
        <f t="shared" si="27"/>
        <v>0.12393150000000001</v>
      </c>
      <c r="CF26" s="158" t="str">
        <f t="shared" si="28"/>
        <v>.</v>
      </c>
      <c r="CG26" s="158">
        <f t="shared" si="29"/>
        <v>6.9431598173515987E-3</v>
      </c>
      <c r="CH26" s="158">
        <f t="shared" si="30"/>
        <v>2.4292260532080577E-2</v>
      </c>
      <c r="CI26" s="158">
        <f t="shared" si="31"/>
        <v>4.0897395000000008E-3</v>
      </c>
      <c r="CJ26" s="158">
        <f t="shared" si="32"/>
        <v>7.8386673750000012E-7</v>
      </c>
      <c r="CK26" s="158">
        <f t="shared" si="33"/>
        <v>1.6544253640776699E-8</v>
      </c>
      <c r="CL26" s="158" t="str">
        <f t="shared" si="34"/>
        <v>.</v>
      </c>
      <c r="CM26" s="158" t="str">
        <f t="shared" si="35"/>
        <v>.</v>
      </c>
      <c r="CN26" s="158" t="str">
        <f t="shared" si="36"/>
        <v>.</v>
      </c>
      <c r="CO26" s="158" t="str">
        <f t="shared" si="37"/>
        <v>.</v>
      </c>
      <c r="CP26" s="158" t="str">
        <f t="shared" si="38"/>
        <v>.</v>
      </c>
      <c r="CQ26" s="158">
        <f t="shared" si="39"/>
        <v>3.4081162500000007E-6</v>
      </c>
      <c r="CR26" s="158" t="str">
        <f t="shared" si="40"/>
        <v>.</v>
      </c>
      <c r="CS26" s="141">
        <f t="shared" si="41"/>
        <v>6.2790063258657236</v>
      </c>
      <c r="CT26" s="142">
        <f t="shared" si="42"/>
        <v>1375</v>
      </c>
      <c r="CU26" s="142">
        <f t="shared" si="43"/>
        <v>250.65104166666663</v>
      </c>
      <c r="CV26" s="142">
        <f t="shared" si="44"/>
        <v>0.12557077625570776</v>
      </c>
      <c r="CW26" s="142">
        <f>s_b2w!BZ26</f>
        <v>269.51871180136442</v>
      </c>
      <c r="CX26" s="142">
        <f>IFERROR(s_C*s_RadSpec!AN26*(1/1000)*s_IFFI_far_adj*s_CF_far_fish,0)</f>
        <v>45.375</v>
      </c>
      <c r="CY26" s="142">
        <f>(s_C*s_IFB_far_adj*s_CF_far_beef*s_RadSpec!AM26*s_Q_w_beef*(1/1000))</f>
        <v>8.6968749999999997E-3</v>
      </c>
      <c r="CZ26" s="142">
        <f>(s_C*s_IFD_far_adj*s_CF_far_dairy*s_RadSpec!AL26*(1/s_D_milk)*s_Q_w_dairy*(1/1000))</f>
        <v>1.8355582524271847E-4</v>
      </c>
      <c r="DA26" s="142">
        <f>(s_C*s_IFSW_far_adj*s_CF_far_swine*s_RadSpec!AQ26*s_Q_w_swine*(1/1000))</f>
        <v>0</v>
      </c>
      <c r="DB26" s="142">
        <f>(s_C*s_IFP_far_adj*s_CF_far_poultry*s_RadSpec!AO26*s_Q_w_poultry*(1/1000))</f>
        <v>0</v>
      </c>
      <c r="DC26" s="142">
        <f>(s_C*s_IFE_far_adj*s_CF_far_egg*s_RadSpec!AP26*s_Q_w_egg*(1/1000))</f>
        <v>0</v>
      </c>
      <c r="DD26" s="142">
        <f>(s_C*s_IFGO_far_adj*s_CF_far_goat*s_RadSpec!AT26*s_Q_p_goat*(1/1000))</f>
        <v>0</v>
      </c>
      <c r="DE26" s="142">
        <f>(s_C*s_IFGM_far_adj*s_CF_far_goat_milk*s_RadSpec!AU26*(1/s_D_milk)*s_Q_p_goat_milk*(1/1000))</f>
        <v>0</v>
      </c>
      <c r="DF26" s="142">
        <f>(s_C*s_IFSH_far_adj*s_CF_far_sheep*s_RadSpec!AR26*s_Q_p_sheep*(1/1000))</f>
        <v>3.7812499999999999E-2</v>
      </c>
      <c r="DG26" s="142">
        <f>(s_C*s_IFSM_far_adj*s_CF_far_sheep_milk*s_RadSpec!AS26*(1/s_D_milk)*s_Q_p_sheep_milk*(1/1000))</f>
        <v>0</v>
      </c>
      <c r="DH26" s="141"/>
      <c r="DI26" s="141">
        <f>IFERROR((s_DL/(s_RadSpec!L26*s_IFA_far_adj)),".")</f>
        <v>0.17852203282666859</v>
      </c>
      <c r="DJ26" s="141">
        <f>IFERROR((s_DL/(s_RadSpec!O26*s_EF_far*(1/365)*s_ED_far*s_ET_far*(1/24)*s_GSF_a)),".")</f>
        <v>0.12840929612942717</v>
      </c>
      <c r="DK26" s="141">
        <f t="shared" ref="DK26:DK29" si="58">IFERROR(IF(AND(ISNUMBER(DI26),ISNUMBER(DJ26)),1/((1/DI26)+(1/DJ26)),IF(AND(ISNUMBER(DI26),NOT(ISNUMBER(DJ26))),1/((1/DI26)),IF(AND(NOT(ISNUMBER(DI26)),ISNUMBER(DJ26)),1/((1/DJ26)),IF(AND(NOT(ISNUMBER(DI26)),NOT(ISNUMBER(DJ26))),".")))),".")</f>
        <v>7.4687353216217625E-2</v>
      </c>
      <c r="DL26" s="142">
        <f t="shared" si="46"/>
        <v>501.30208333333326</v>
      </c>
      <c r="DM26" s="142">
        <f t="shared" si="47"/>
        <v>0.3139269406392694</v>
      </c>
      <c r="DN26" s="127"/>
    </row>
    <row r="27" spans="1:118" customFormat="1" x14ac:dyDescent="0.25">
      <c r="A27" s="128" t="s">
        <v>25</v>
      </c>
      <c r="B27" s="129" t="s">
        <v>1059</v>
      </c>
      <c r="C27" s="141" t="str">
        <f>s_dir!AB27</f>
        <v>.</v>
      </c>
      <c r="D27" s="141" t="str">
        <f>IFERROR(s_DL/(s_RadSpec!J27*s_IFP_far_adj*s_CF_far_poultry),".")</f>
        <v>.</v>
      </c>
      <c r="E27" s="141" t="str">
        <f>IFERROR(s_DL/(s_RadSpec!J27*s_IFE_far_adj*s_CF_far_egg),".")</f>
        <v>.</v>
      </c>
      <c r="F27" s="141" t="str">
        <f>IFERROR(s_DL/(s_RadSpec!J27*s_IFB_far_adj*s_CF_far_beef),".")</f>
        <v>.</v>
      </c>
      <c r="G27" s="141" t="str">
        <f>IFERROR(s_DL/(s_RadSpec!J27*s_IFD_far_adj*s_CF_far_dairy),".")</f>
        <v>.</v>
      </c>
      <c r="H27" s="141" t="str">
        <f>IFERROR(s_DL/(s_RadSpec!J27*s_IFSW_far_adj*s_CF_far_swine),".")</f>
        <v>.</v>
      </c>
      <c r="I27" s="141" t="str">
        <f>IFERROR(s_DL/(s_RadSpec!J27*s_IFFI_far_adj*s_CF_far_fish),".")</f>
        <v>.</v>
      </c>
      <c r="J27" s="141" t="str">
        <f>IFERROR(s_DL/(s_RadSpec!J27*s_IFGO_far_adj*s_CF_far_goat),".")</f>
        <v>.</v>
      </c>
      <c r="K27" s="141" t="str">
        <f>IFERROR(s_DL/(s_RadSpec!J27*s_IFSH_far_adj*s_CF_far_sheep),".")</f>
        <v>.</v>
      </c>
      <c r="L27" s="141" t="str">
        <f>IFERROR(s_DL/(s_RadSpec!J27*s_IFGM_far_adj*s_CF_far_goat_milk),".")</f>
        <v>.</v>
      </c>
      <c r="M27" s="141" t="str">
        <f>IFERROR(s_DL/(s_RadSpec!J27*s_IFSM_far_adj*s_CF_far_sheep_milk),".")</f>
        <v>.</v>
      </c>
      <c r="N27" s="142">
        <f>s_dir!BA27</f>
        <v>22687.5</v>
      </c>
      <c r="O27" s="142">
        <f t="shared" si="0"/>
        <v>7562.5</v>
      </c>
      <c r="P27" s="142">
        <f t="shared" si="1"/>
        <v>7562.5</v>
      </c>
      <c r="Q27" s="142">
        <f t="shared" si="2"/>
        <v>7562.5</v>
      </c>
      <c r="R27" s="142">
        <f t="shared" si="3"/>
        <v>7562.5</v>
      </c>
      <c r="S27" s="142">
        <f t="shared" si="4"/>
        <v>7562.5</v>
      </c>
      <c r="T27" s="142">
        <f t="shared" si="5"/>
        <v>7562.5</v>
      </c>
      <c r="U27" s="142">
        <f t="shared" si="6"/>
        <v>7562.5</v>
      </c>
      <c r="V27" s="142">
        <f t="shared" si="7"/>
        <v>7562.5</v>
      </c>
      <c r="W27" s="142">
        <f t="shared" si="8"/>
        <v>7562.5</v>
      </c>
      <c r="X27" s="142">
        <f t="shared" si="9"/>
        <v>7562.5</v>
      </c>
      <c r="Y27" s="141" t="str">
        <f>IFERROR((s_DL/(s_RadSpec!I27*s_IFS_far_adj*(1/1000)))*1,".")</f>
        <v>.</v>
      </c>
      <c r="Z27" s="141" t="str">
        <f>IFERROR(IF(A27="H-3",(s_DL/(s_RadSpec!L27*s_IFA_far_adj*(1/17)*1000))*1,(s_DL/(s_RadSpec!L27*s_IFA_far_adj*(1/s_PEF_wind)*1000))*1),".")</f>
        <v>.</v>
      </c>
      <c r="AA27" s="141">
        <f>IFERROR((s_DL/(s_RadSpec!K27*s_EF_far*(1/365)*s_ED_far*s_RadSpec!V27*((s_ET_far_o*(1/24)*s_RadSpec!AA27)+(s_ET_far_i*(1/24)*s_RadSpec!AF27))))*1,".")</f>
        <v>95847.505358152688</v>
      </c>
      <c r="AB27" s="141" t="str">
        <f>s_b2s!BA27</f>
        <v>.</v>
      </c>
      <c r="AC27" s="141" t="str">
        <f>IFERROR(((I27*s_RadSpec!AX27)/s_RadSpec!AN27)*1,".")</f>
        <v>.</v>
      </c>
      <c r="AD27" s="141" t="str">
        <f>IFERROR((F27/(s_RadSpec!AM27*((s_Q_p_beef*s_f_p_beef*s_f_s_beef*(s_RadSpec!BG27+s_R_es_past))+(s_Q_s_beef*s_f_p_beef))))*1,".")</f>
        <v>.</v>
      </c>
      <c r="AE27" s="141" t="str">
        <f>IFERROR(((G27*s_D_milk)/(s_RadSpec!AL27*((s_Q_p_dairy*s_f_p_dairy*s_f_s_dairy*(s_RadSpec!BG27+s_R_es_past))+(s_Q_s_dairy*s_f_p_dairy))))*1,".")</f>
        <v>.</v>
      </c>
      <c r="AF27" s="141" t="str">
        <f>IFERROR((H27/(s_RadSpec!AQ27*((s_Q_p_swine*s_f_p_swine*s_f_s_swine*(s_RadSpec!BG27+s_R_es_past))+(s_Q_s_swine*s_f_p_swine))))*1,".")</f>
        <v>.</v>
      </c>
      <c r="AG27" s="141" t="str">
        <f>IFERROR((D27/(s_RadSpec!AO27*((s_Q_p_poultry*s_f_p_poultry*s_f_s_poultry*(s_RadSpec!BG27+s_R_es_past))+(s_Q_s_poultry*s_f_p_poultry))))*1,".")</f>
        <v>.</v>
      </c>
      <c r="AH27" s="141" t="str">
        <f>IFERROR((E27/(s_RadSpec!AP27*((s_Q_p_poultry*s_f_p_poultry*s_f_s_poultry*(s_RadSpec!BG27+s_R_es_past))+(s_Q_s_poultry*s_f_p_poultry))))*1,".")</f>
        <v>.</v>
      </c>
      <c r="AI27" s="141" t="str">
        <f>IFERROR((J27/(s_RadSpec!AT27*((s_Q_p_goat*s_f_p_goat*s_f_s_goat*(s_RadSpec!BG27+s_R_es_past))+(s_Q_s_goat*s_f_p_goat))))*1,".")</f>
        <v>.</v>
      </c>
      <c r="AJ27" s="141" t="str">
        <f>IFERROR((L27*s_D_milk/(s_RadSpec!AU27*((s_Q_p_goat_milk*s_f_p_goat_milk*s_f_s_goat_milk*(s_RadSpec!BG27+s_R_es_past))+(s_Q_s_goat_milk*s_f_p_goat_milk))))*1,".")</f>
        <v>.</v>
      </c>
      <c r="AK27" s="141" t="str">
        <f>IFERROR((K27/(s_RadSpec!AR27*((s_Q_p_sheep*s_f_p_sheep*s_f_s_sheep*(s_RadSpec!BG27+s_R_es_past))+(s_Q_s_sheep*s_f_p_sheep))))*1,".")</f>
        <v>.</v>
      </c>
      <c r="AL27" s="141" t="str">
        <f>IFERROR((M27*s_D_milk/(s_RadSpec!AS27*((s_Q_p_sheep_milk*s_f_p_sheep_milk*s_f_s_sheep_milk*(s_RadSpec!BG27+s_R_es_past))+(s_Q_s_sheep_milk*s_f_p_sheep_milk))))*1,".")</f>
        <v>.</v>
      </c>
      <c r="AM27" s="158" t="str">
        <f t="shared" si="10"/>
        <v>.</v>
      </c>
      <c r="AN27" s="158" t="str">
        <f t="shared" si="11"/>
        <v>.</v>
      </c>
      <c r="AO27" s="158">
        <f t="shared" si="12"/>
        <v>1.0433239720358992E-5</v>
      </c>
      <c r="AP27" s="158" t="str">
        <f t="shared" si="13"/>
        <v>.</v>
      </c>
      <c r="AQ27" s="158" t="str">
        <f t="shared" si="14"/>
        <v>.</v>
      </c>
      <c r="AR27" s="158" t="str">
        <f t="shared" si="15"/>
        <v>.</v>
      </c>
      <c r="AS27" s="158" t="str">
        <f t="shared" si="16"/>
        <v>.</v>
      </c>
      <c r="AT27" s="158" t="str">
        <f t="shared" si="17"/>
        <v>.</v>
      </c>
      <c r="AU27" s="158" t="str">
        <f t="shared" si="18"/>
        <v>.</v>
      </c>
      <c r="AV27" s="158" t="str">
        <f t="shared" si="19"/>
        <v>.</v>
      </c>
      <c r="AW27" s="158" t="str">
        <f t="shared" si="20"/>
        <v>.</v>
      </c>
      <c r="AX27" s="158" t="str">
        <f t="shared" si="21"/>
        <v>.</v>
      </c>
      <c r="AY27" s="158" t="str">
        <f t="shared" si="22"/>
        <v>.</v>
      </c>
      <c r="AZ27" s="158" t="str">
        <f t="shared" si="23"/>
        <v>.</v>
      </c>
      <c r="BA27" s="141">
        <f t="shared" si="24"/>
        <v>95847.505358152688</v>
      </c>
      <c r="BB27" s="142">
        <f t="shared" si="25"/>
        <v>15.125</v>
      </c>
      <c r="BC27" s="142">
        <f t="shared" si="26"/>
        <v>1.618127279505213E-3</v>
      </c>
      <c r="BD27" s="142">
        <f>IFERROR((s_C*s_EF_far*(1/365)*s_ED_far*s_RadSpec!V27*((s_ET_far_o*(1/24)*s_RadSpec!AA27)+(s_ET_far_i*(1/24)*s_RadSpec!AF27))),".")</f>
        <v>2.0413911195087377E-2</v>
      </c>
      <c r="BE27" s="142">
        <f>s_b2s!BZ27</f>
        <v>3331.8862500000005</v>
      </c>
      <c r="BF27" s="142">
        <f>IFERROR(((s_C*s_RadSpec!AN27)/s_RadSpec!AX27)*s_IFFI_far_adj*s_CF_far_fish,0)</f>
        <v>4537.5</v>
      </c>
      <c r="BG27" s="142">
        <f>(s_C*s_IFB_far_adj*s_CF_far_beef*s_RadSpec!AM27*((s_Q_p_beef*s_f_p_beef*s_f_s_beef*(s_RadSpec!$AW27+s_R_es_past))+(s_Q_s_beef*s_f_p_beef)))</f>
        <v>24578.125</v>
      </c>
      <c r="BH27" s="142">
        <f>(s_C*s_IFD_far_adj*s_CF_far_dairy*s_RadSpec!AL27*1/s_D_milk*((s_Q_p_dairy*s_f_p_dairy*s_f_s_dairy*(s_RadSpec!$AW27+s_R_es_past))+(s_Q_s_dairy*s_f_p_dairy)))</f>
        <v>3579.3385922330099</v>
      </c>
      <c r="BI27" s="142">
        <f>(s_C*s_IFSW_far_adj*s_CF_far_swine*s_RadSpec!AQ27*((s_Q_p_swine*s_f_p_swine*s_f_s_swine*(s_RadSpec!$AW27+s_R_es_past))+(s_Q_s_swine*s_f_p_swine)))</f>
        <v>0</v>
      </c>
      <c r="BJ27" s="142">
        <f>(s_C*s_IFP_far_adj*s_CF_far_poultry*s_RadSpec!AO27*((s_Q_p_poultry*s_f_p_poultry*s_f_s_poultry*(s_RadSpec!AW27+s_R_es_past))+(s_Q_s_poultry*s_f_p_poultry)))</f>
        <v>0</v>
      </c>
      <c r="BK27" s="142">
        <f>(s_C*s_IFE_far_adj*s_CF_far_egg*s_RadSpec!AP27*((s_Q_p_egg*s_f_p_egg*s_f_s_egg*(s_RadSpec!$AW27+s_R_es_past))+(s_Q_s_egg*s_f_p_egg)))</f>
        <v>0</v>
      </c>
      <c r="BL27" s="142">
        <f>(s_C*s_IFGO_far_adj*s_CF_far_goat*s_RadSpec!AT27*((s_Q_p_goat*s_f_p_goat*s_f_s_goat*(s_RadSpec!$AW27+s_R_es_past))+(s_Q_s_goat*s_f_p_goat)))</f>
        <v>0</v>
      </c>
      <c r="BM27" s="142">
        <f>(s_C*s_IFGM_far_adj*s_CF_far_goat_milk*s_RadSpec!AU27*1/s_D_milk*((s_Q_p_goat_milk*s_f_p_goat_milk*s_f_s_goat_milk*(s_RadSpec!$AW27+s_R_es_past))+(s_Q_s_goat_milk*s_f_p_goat_milk)))</f>
        <v>0</v>
      </c>
      <c r="BN27" s="142">
        <f>(s_C*s_IFSH_far_adj*s_CF_far_sheep*s_RadSpec!AR27*((s_Q_p_sheep*s_f_p_sheep*s_f_s_sheep*(s_RadSpec!$AW27+s_R_es_past))+(s_Q_s_sheep*s_f_p_sheep)))</f>
        <v>491562.5</v>
      </c>
      <c r="BO27" s="142">
        <f>(s_C*s_IFSM_far_adj*s_CF_far_sheep_milk*s_RadSpec!AS27*1/s_D_milk*((s_Q_p_sheep_milk*s_f_p_sheep_milk*s_f_s_sheep_milk*(s_RadSpec!$AW27+s_R_es_past))+(s_Q_s_sheep_milk*s_f_p_sheep_milk)))</f>
        <v>0</v>
      </c>
      <c r="BP27" s="141"/>
      <c r="BQ27" s="141" t="str">
        <f>IFERROR(s_DL/(s_RadSpec!M27*s_IFW_far_adj),".")</f>
        <v>.</v>
      </c>
      <c r="BR27" s="141" t="str">
        <f>IFERROR(IF(s_RadSpec!C27=1,s_DL/(s_RadSpec!L27*s_IFA_far_adj*s_K),"."),".")</f>
        <v>.</v>
      </c>
      <c r="BS27" s="141">
        <f>IFERROR((s_DL/(s_RadSpec!Q27*(1/8760)*s_DFA_far_adj)),".")</f>
        <v>2243.78349026157</v>
      </c>
      <c r="BT27" s="141" t="str">
        <f>s_b2w!BA27</f>
        <v>.</v>
      </c>
      <c r="BU27" s="141" t="str">
        <f>IFERROR(I27/(s_RadSpec!AN27*(1/1000)),".")</f>
        <v>.</v>
      </c>
      <c r="BV27" s="141" t="str">
        <f>IFERROR(F27/(s_RadSpec!AM27*s_Q_w_beef*(1/1000)),".")</f>
        <v>.</v>
      </c>
      <c r="BW27" s="141" t="str">
        <f>IFERROR((G27*s_D_milk)/(s_RadSpec!AL27*s_Q_w_dairy*(1/1000)),".")</f>
        <v>.</v>
      </c>
      <c r="BX27" s="141" t="str">
        <f>IFERROR(H27/(s_RadSpec!AQ27*s_Q_w_swine*(1/1000)),".")</f>
        <v>.</v>
      </c>
      <c r="BY27" s="141" t="str">
        <f>IFERROR(D27/(s_RadSpec!AO27*s_Q_w_poultry*(1/1000)),".")</f>
        <v>.</v>
      </c>
      <c r="BZ27" s="141" t="str">
        <f>IFERROR(E27/(s_RadSpec!AP27*s_Q_w_poultry*(1/1000)),".")</f>
        <v>.</v>
      </c>
      <c r="CA27" s="141" t="str">
        <f>IFERROR(J27/(s_RadSpec!AT27*s_Q_w_goat*(1/1000)),".")</f>
        <v>.</v>
      </c>
      <c r="CB27" s="141" t="str">
        <f>IFERROR(L27*s_D_milk/(s_RadSpec!AU27*s_Q_w_goat_milk*(1/1000)),".")</f>
        <v>.</v>
      </c>
      <c r="CC27" s="141" t="str">
        <f>IFERROR(K27/(s_RadSpec!AR27*s_Q_w_sheep*(1/1000)),".")</f>
        <v>.</v>
      </c>
      <c r="CD27" s="141" t="str">
        <f>IFERROR(M27*s_D_milk/(s_RadSpec!AS27*s_Q_w_sheep_milk*(1/1000)),".")</f>
        <v>.</v>
      </c>
      <c r="CE27" s="158" t="str">
        <f t="shared" si="27"/>
        <v>.</v>
      </c>
      <c r="CF27" s="158" t="str">
        <f t="shared" si="28"/>
        <v>.</v>
      </c>
      <c r="CG27" s="158">
        <f t="shared" si="29"/>
        <v>4.4567579908675795E-4</v>
      </c>
      <c r="CH27" s="158" t="str">
        <f t="shared" si="30"/>
        <v>.</v>
      </c>
      <c r="CI27" s="158" t="str">
        <f t="shared" si="31"/>
        <v>.</v>
      </c>
      <c r="CJ27" s="158" t="str">
        <f t="shared" si="32"/>
        <v>.</v>
      </c>
      <c r="CK27" s="158" t="str">
        <f t="shared" si="33"/>
        <v>.</v>
      </c>
      <c r="CL27" s="158" t="str">
        <f t="shared" si="34"/>
        <v>.</v>
      </c>
      <c r="CM27" s="158" t="str">
        <f t="shared" si="35"/>
        <v>.</v>
      </c>
      <c r="CN27" s="158" t="str">
        <f t="shared" si="36"/>
        <v>.</v>
      </c>
      <c r="CO27" s="158" t="str">
        <f t="shared" si="37"/>
        <v>.</v>
      </c>
      <c r="CP27" s="158" t="str">
        <f t="shared" si="38"/>
        <v>.</v>
      </c>
      <c r="CQ27" s="158" t="str">
        <f t="shared" si="39"/>
        <v>.</v>
      </c>
      <c r="CR27" s="158" t="str">
        <f t="shared" si="40"/>
        <v>.</v>
      </c>
      <c r="CS27" s="141">
        <f t="shared" si="41"/>
        <v>2243.78349026157</v>
      </c>
      <c r="CT27" s="142">
        <f t="shared" si="42"/>
        <v>1375</v>
      </c>
      <c r="CU27" s="142">
        <f t="shared" si="43"/>
        <v>250.65104166666663</v>
      </c>
      <c r="CV27" s="142">
        <f t="shared" si="44"/>
        <v>0.12557077625570776</v>
      </c>
      <c r="CW27" s="142">
        <f>s_b2w!BZ27</f>
        <v>866.5612368029615</v>
      </c>
      <c r="CX27" s="142">
        <f>IFERROR(s_C*s_RadSpec!AN27*(1/1000)*s_IFFI_far_adj*s_CF_far_fish,0)</f>
        <v>6806.25</v>
      </c>
      <c r="CY27" s="142">
        <f>(s_C*s_IFB_far_adj*s_CF_far_beef*s_RadSpec!AM27*s_Q_w_beef*(1/1000))</f>
        <v>0.75624999999999998</v>
      </c>
      <c r="CZ27" s="142">
        <f>(s_C*s_IFD_far_adj*s_CF_far_dairy*s_RadSpec!AL27*(1/s_D_milk)*s_Q_w_dairy*(1/1000))</f>
        <v>0.11013349514563106</v>
      </c>
      <c r="DA27" s="142">
        <f>(s_C*s_IFSW_far_adj*s_CF_far_swine*s_RadSpec!AQ27*s_Q_w_swine*(1/1000))</f>
        <v>0</v>
      </c>
      <c r="DB27" s="142">
        <f>(s_C*s_IFP_far_adj*s_CF_far_poultry*s_RadSpec!AO27*s_Q_w_poultry*(1/1000))</f>
        <v>0</v>
      </c>
      <c r="DC27" s="142">
        <f>(s_C*s_IFE_far_adj*s_CF_far_egg*s_RadSpec!AP27*s_Q_w_egg*(1/1000))</f>
        <v>0</v>
      </c>
      <c r="DD27" s="142">
        <f>(s_C*s_IFGO_far_adj*s_CF_far_goat*s_RadSpec!AT27*s_Q_p_goat*(1/1000))</f>
        <v>0</v>
      </c>
      <c r="DE27" s="142">
        <f>(s_C*s_IFGM_far_adj*s_CF_far_goat_milk*s_RadSpec!AU27*(1/s_D_milk)*s_Q_p_goat_milk*(1/1000))</f>
        <v>0</v>
      </c>
      <c r="DF27" s="142">
        <f>(s_C*s_IFSH_far_adj*s_CF_far_sheep*s_RadSpec!AR27*s_Q_p_sheep*(1/1000))</f>
        <v>15.125</v>
      </c>
      <c r="DG27" s="142">
        <f>(s_C*s_IFSM_far_adj*s_CF_far_sheep_milk*s_RadSpec!AS27*(1/s_D_milk)*s_Q_p_sheep_milk*(1/1000))</f>
        <v>0</v>
      </c>
      <c r="DH27" s="141"/>
      <c r="DI27" s="141" t="str">
        <f>IFERROR((s_DL/(s_RadSpec!L27*s_IFA_far_adj)),".")</f>
        <v>.</v>
      </c>
      <c r="DJ27" s="141">
        <f>IFERROR((s_DL/(s_RadSpec!O27*s_EF_far*(1/365)*s_ED_far*s_ET_far*(1/24)*s_GSF_a)),".")</f>
        <v>1.0738510406793409</v>
      </c>
      <c r="DK27" s="141">
        <f t="shared" si="58"/>
        <v>1.0738510406793409</v>
      </c>
      <c r="DL27" s="142">
        <f t="shared" si="46"/>
        <v>501.30208333333326</v>
      </c>
      <c r="DM27" s="142">
        <f t="shared" si="47"/>
        <v>0.3139269406392694</v>
      </c>
      <c r="DN27" s="127"/>
    </row>
    <row r="28" spans="1:118" customFormat="1" x14ac:dyDescent="0.25">
      <c r="A28" s="128" t="s">
        <v>26</v>
      </c>
      <c r="B28" s="129" t="s">
        <v>1059</v>
      </c>
      <c r="C28" s="141" t="str">
        <f>s_dir!AB28</f>
        <v>.</v>
      </c>
      <c r="D28" s="141" t="str">
        <f>IFERROR(s_DL/(s_RadSpec!J28*s_IFP_far_adj*s_CF_far_poultry),".")</f>
        <v>.</v>
      </c>
      <c r="E28" s="141" t="str">
        <f>IFERROR(s_DL/(s_RadSpec!J28*s_IFE_far_adj*s_CF_far_egg),".")</f>
        <v>.</v>
      </c>
      <c r="F28" s="141" t="str">
        <f>IFERROR(s_DL/(s_RadSpec!J28*s_IFB_far_adj*s_CF_far_beef),".")</f>
        <v>.</v>
      </c>
      <c r="G28" s="141" t="str">
        <f>IFERROR(s_DL/(s_RadSpec!J28*s_IFD_far_adj*s_CF_far_dairy),".")</f>
        <v>.</v>
      </c>
      <c r="H28" s="141" t="str">
        <f>IFERROR(s_DL/(s_RadSpec!J28*s_IFSW_far_adj*s_CF_far_swine),".")</f>
        <v>.</v>
      </c>
      <c r="I28" s="141" t="str">
        <f>IFERROR(s_DL/(s_RadSpec!J28*s_IFFI_far_adj*s_CF_far_fish),".")</f>
        <v>.</v>
      </c>
      <c r="J28" s="141" t="str">
        <f>IFERROR(s_DL/(s_RadSpec!J28*s_IFGO_far_adj*s_CF_far_goat),".")</f>
        <v>.</v>
      </c>
      <c r="K28" s="141" t="str">
        <f>IFERROR(s_DL/(s_RadSpec!J28*s_IFSH_far_adj*s_CF_far_sheep),".")</f>
        <v>.</v>
      </c>
      <c r="L28" s="141" t="str">
        <f>IFERROR(s_DL/(s_RadSpec!J28*s_IFGM_far_adj*s_CF_far_goat_milk),".")</f>
        <v>.</v>
      </c>
      <c r="M28" s="141" t="str">
        <f>IFERROR(s_DL/(s_RadSpec!J28*s_IFSM_far_adj*s_CF_far_sheep_milk),".")</f>
        <v>.</v>
      </c>
      <c r="N28" s="142">
        <f>s_dir!BA28</f>
        <v>22687.5</v>
      </c>
      <c r="O28" s="142">
        <f t="shared" si="0"/>
        <v>7562.5</v>
      </c>
      <c r="P28" s="142">
        <f t="shared" si="1"/>
        <v>7562.5</v>
      </c>
      <c r="Q28" s="142">
        <f t="shared" si="2"/>
        <v>7562.5</v>
      </c>
      <c r="R28" s="142">
        <f t="shared" si="3"/>
        <v>7562.5</v>
      </c>
      <c r="S28" s="142">
        <f t="shared" si="4"/>
        <v>7562.5</v>
      </c>
      <c r="T28" s="142">
        <f t="shared" si="5"/>
        <v>7562.5</v>
      </c>
      <c r="U28" s="142">
        <f t="shared" si="6"/>
        <v>7562.5</v>
      </c>
      <c r="V28" s="142">
        <f t="shared" si="7"/>
        <v>7562.5</v>
      </c>
      <c r="W28" s="142">
        <f t="shared" si="8"/>
        <v>7562.5</v>
      </c>
      <c r="X28" s="142">
        <f t="shared" si="9"/>
        <v>7562.5</v>
      </c>
      <c r="Y28" s="141" t="str">
        <f>IFERROR((s_DL/(s_RadSpec!I28*s_IFS_far_adj*(1/1000)))*1,".")</f>
        <v>.</v>
      </c>
      <c r="Z28" s="141" t="str">
        <f>IFERROR(IF(A28="H-3",(s_DL/(s_RadSpec!L28*s_IFA_far_adj*(1/17)*1000))*1,(s_DL/(s_RadSpec!L28*s_IFA_far_adj*(1/s_PEF_wind)*1000))*1),".")</f>
        <v>.</v>
      </c>
      <c r="AA28" s="141">
        <f>IFERROR((s_DL/(s_RadSpec!K28*s_EF_far*(1/365)*s_ED_far*s_RadSpec!V28*((s_ET_far_o*(1/24)*s_RadSpec!AA28)+(s_ET_far_i*(1/24)*s_RadSpec!AF28))))*1,".")</f>
        <v>42.105596672592029</v>
      </c>
      <c r="AB28" s="141" t="str">
        <f>s_b2s!BA28</f>
        <v>.</v>
      </c>
      <c r="AC28" s="141" t="str">
        <f>IFERROR(((I28*s_RadSpec!AX28)/s_RadSpec!AN28)*1,".")</f>
        <v>.</v>
      </c>
      <c r="AD28" s="141" t="str">
        <f>IFERROR((F28/(s_RadSpec!AM28*((s_Q_p_beef*s_f_p_beef*s_f_s_beef*(s_RadSpec!BG28+s_R_es_past))+(s_Q_s_beef*s_f_p_beef))))*1,".")</f>
        <v>.</v>
      </c>
      <c r="AE28" s="141" t="str">
        <f>IFERROR(((G28*s_D_milk)/(s_RadSpec!AL28*((s_Q_p_dairy*s_f_p_dairy*s_f_s_dairy*(s_RadSpec!BG28+s_R_es_past))+(s_Q_s_dairy*s_f_p_dairy))))*1,".")</f>
        <v>.</v>
      </c>
      <c r="AF28" s="141" t="str">
        <f>IFERROR((H28/(s_RadSpec!AQ28*((s_Q_p_swine*s_f_p_swine*s_f_s_swine*(s_RadSpec!BG28+s_R_es_past))+(s_Q_s_swine*s_f_p_swine))))*1,".")</f>
        <v>.</v>
      </c>
      <c r="AG28" s="141" t="str">
        <f>IFERROR((D28/(s_RadSpec!AO28*((s_Q_p_poultry*s_f_p_poultry*s_f_s_poultry*(s_RadSpec!BG28+s_R_es_past))+(s_Q_s_poultry*s_f_p_poultry))))*1,".")</f>
        <v>.</v>
      </c>
      <c r="AH28" s="141" t="str">
        <f>IFERROR((E28/(s_RadSpec!AP28*((s_Q_p_poultry*s_f_p_poultry*s_f_s_poultry*(s_RadSpec!BG28+s_R_es_past))+(s_Q_s_poultry*s_f_p_poultry))))*1,".")</f>
        <v>.</v>
      </c>
      <c r="AI28" s="141" t="str">
        <f>IFERROR((J28/(s_RadSpec!AT28*((s_Q_p_goat*s_f_p_goat*s_f_s_goat*(s_RadSpec!BG28+s_R_es_past))+(s_Q_s_goat*s_f_p_goat))))*1,".")</f>
        <v>.</v>
      </c>
      <c r="AJ28" s="141" t="str">
        <f>IFERROR((L28*s_D_milk/(s_RadSpec!AU28*((s_Q_p_goat_milk*s_f_p_goat_milk*s_f_s_goat_milk*(s_RadSpec!BG28+s_R_es_past))+(s_Q_s_goat_milk*s_f_p_goat_milk))))*1,".")</f>
        <v>.</v>
      </c>
      <c r="AK28" s="141" t="str">
        <f>IFERROR((K28/(s_RadSpec!AR28*((s_Q_p_sheep*s_f_p_sheep*s_f_s_sheep*(s_RadSpec!BG28+s_R_es_past))+(s_Q_s_sheep*s_f_p_sheep))))*1,".")</f>
        <v>.</v>
      </c>
      <c r="AL28" s="141" t="str">
        <f>IFERROR((M28*s_D_milk/(s_RadSpec!AS28*((s_Q_p_sheep_milk*s_f_p_sheep_milk*s_f_s_sheep_milk*(s_RadSpec!BG28+s_R_es_past))+(s_Q_s_sheep_milk*s_f_p_sheep_milk))))*1,".")</f>
        <v>.</v>
      </c>
      <c r="AM28" s="158" t="str">
        <f t="shared" si="10"/>
        <v>.</v>
      </c>
      <c r="AN28" s="158" t="str">
        <f t="shared" si="11"/>
        <v>.</v>
      </c>
      <c r="AO28" s="158">
        <f t="shared" si="12"/>
        <v>2.3749811878356165E-2</v>
      </c>
      <c r="AP28" s="158" t="str">
        <f t="shared" si="13"/>
        <v>.</v>
      </c>
      <c r="AQ28" s="158" t="str">
        <f t="shared" si="14"/>
        <v>.</v>
      </c>
      <c r="AR28" s="158" t="str">
        <f t="shared" si="15"/>
        <v>.</v>
      </c>
      <c r="AS28" s="158" t="str">
        <f t="shared" si="16"/>
        <v>.</v>
      </c>
      <c r="AT28" s="158" t="str">
        <f t="shared" si="17"/>
        <v>.</v>
      </c>
      <c r="AU28" s="158" t="str">
        <f t="shared" si="18"/>
        <v>.</v>
      </c>
      <c r="AV28" s="158" t="str">
        <f t="shared" si="19"/>
        <v>.</v>
      </c>
      <c r="AW28" s="158" t="str">
        <f t="shared" si="20"/>
        <v>.</v>
      </c>
      <c r="AX28" s="158" t="str">
        <f t="shared" si="21"/>
        <v>.</v>
      </c>
      <c r="AY28" s="158" t="str">
        <f t="shared" si="22"/>
        <v>.</v>
      </c>
      <c r="AZ28" s="158" t="str">
        <f t="shared" si="23"/>
        <v>.</v>
      </c>
      <c r="BA28" s="141">
        <f t="shared" si="24"/>
        <v>42.105596672592029</v>
      </c>
      <c r="BB28" s="142">
        <f t="shared" si="25"/>
        <v>15.125</v>
      </c>
      <c r="BC28" s="142">
        <f t="shared" si="26"/>
        <v>1.618127279505213E-3</v>
      </c>
      <c r="BD28" s="142">
        <f>IFERROR((s_C*s_EF_far*(1/365)*s_ED_far*s_RadSpec!V28*((s_ET_far_o*(1/24)*s_RadSpec!AA28)+(s_ET_far_i*(1/24)*s_RadSpec!AF28))),".")</f>
        <v>4.6132191780821917E-2</v>
      </c>
      <c r="BE28" s="142">
        <f>s_b2s!BZ28</f>
        <v>3331.8862500000005</v>
      </c>
      <c r="BF28" s="142">
        <f>IFERROR(((s_C*s_RadSpec!AN28)/s_RadSpec!AX28)*s_IFFI_far_adj*s_CF_far_fish,0)</f>
        <v>4537.5</v>
      </c>
      <c r="BG28" s="142">
        <f>(s_C*s_IFB_far_adj*s_CF_far_beef*s_RadSpec!AM28*((s_Q_p_beef*s_f_p_beef*s_f_s_beef*(s_RadSpec!$AW28+s_R_es_past))+(s_Q_s_beef*s_f_p_beef)))</f>
        <v>24578.125</v>
      </c>
      <c r="BH28" s="142">
        <f>(s_C*s_IFD_far_adj*s_CF_far_dairy*s_RadSpec!AL28*1/s_D_milk*((s_Q_p_dairy*s_f_p_dairy*s_f_s_dairy*(s_RadSpec!$AW28+s_R_es_past))+(s_Q_s_dairy*s_f_p_dairy)))</f>
        <v>3579.3385922330099</v>
      </c>
      <c r="BI28" s="142">
        <f>(s_C*s_IFSW_far_adj*s_CF_far_swine*s_RadSpec!AQ28*((s_Q_p_swine*s_f_p_swine*s_f_s_swine*(s_RadSpec!$AW28+s_R_es_past))+(s_Q_s_swine*s_f_p_swine)))</f>
        <v>0</v>
      </c>
      <c r="BJ28" s="142">
        <f>(s_C*s_IFP_far_adj*s_CF_far_poultry*s_RadSpec!AO28*((s_Q_p_poultry*s_f_p_poultry*s_f_s_poultry*(s_RadSpec!AW28+s_R_es_past))+(s_Q_s_poultry*s_f_p_poultry)))</f>
        <v>0</v>
      </c>
      <c r="BK28" s="142">
        <f>(s_C*s_IFE_far_adj*s_CF_far_egg*s_RadSpec!AP28*((s_Q_p_egg*s_f_p_egg*s_f_s_egg*(s_RadSpec!$AW28+s_R_es_past))+(s_Q_s_egg*s_f_p_egg)))</f>
        <v>0</v>
      </c>
      <c r="BL28" s="142">
        <f>(s_C*s_IFGO_far_adj*s_CF_far_goat*s_RadSpec!AT28*((s_Q_p_goat*s_f_p_goat*s_f_s_goat*(s_RadSpec!$AW28+s_R_es_past))+(s_Q_s_goat*s_f_p_goat)))</f>
        <v>0</v>
      </c>
      <c r="BM28" s="142">
        <f>(s_C*s_IFGM_far_adj*s_CF_far_goat_milk*s_RadSpec!AU28*1/s_D_milk*((s_Q_p_goat_milk*s_f_p_goat_milk*s_f_s_goat_milk*(s_RadSpec!$AW28+s_R_es_past))+(s_Q_s_goat_milk*s_f_p_goat_milk)))</f>
        <v>0</v>
      </c>
      <c r="BN28" s="142">
        <f>(s_C*s_IFSH_far_adj*s_CF_far_sheep*s_RadSpec!AR28*((s_Q_p_sheep*s_f_p_sheep*s_f_s_sheep*(s_RadSpec!$AW28+s_R_es_past))+(s_Q_s_sheep*s_f_p_sheep)))</f>
        <v>491562.5</v>
      </c>
      <c r="BO28" s="142">
        <f>(s_C*s_IFSM_far_adj*s_CF_far_sheep_milk*s_RadSpec!AS28*1/s_D_milk*((s_Q_p_sheep_milk*s_f_p_sheep_milk*s_f_s_sheep_milk*(s_RadSpec!$AW28+s_R_es_past))+(s_Q_s_sheep_milk*s_f_p_sheep_milk)))</f>
        <v>0</v>
      </c>
      <c r="BP28" s="141"/>
      <c r="BQ28" s="141" t="str">
        <f>IFERROR(s_DL/(s_RadSpec!M28*s_IFW_far_adj),".")</f>
        <v>.</v>
      </c>
      <c r="BR28" s="141" t="str">
        <f>IFERROR(IF(s_RadSpec!C28=1,s_DL/(s_RadSpec!L28*s_IFA_far_adj*s_K),"."),".")</f>
        <v>.</v>
      </c>
      <c r="BS28" s="141">
        <f>IFERROR((s_DL/(s_RadSpec!Q28*(1/8760)*s_DFA_far_adj)),".")</f>
        <v>4.8445325357920268</v>
      </c>
      <c r="BT28" s="141" t="str">
        <f>s_b2w!BA28</f>
        <v>.</v>
      </c>
      <c r="BU28" s="141" t="str">
        <f>IFERROR(I28/(s_RadSpec!AN28*(1/1000)),".")</f>
        <v>.</v>
      </c>
      <c r="BV28" s="141" t="str">
        <f>IFERROR(F28/(s_RadSpec!AM28*s_Q_w_beef*(1/1000)),".")</f>
        <v>.</v>
      </c>
      <c r="BW28" s="141" t="str">
        <f>IFERROR((G28*s_D_milk)/(s_RadSpec!AL28*s_Q_w_dairy*(1/1000)),".")</f>
        <v>.</v>
      </c>
      <c r="BX28" s="141" t="str">
        <f>IFERROR(H28/(s_RadSpec!AQ28*s_Q_w_swine*(1/1000)),".")</f>
        <v>.</v>
      </c>
      <c r="BY28" s="141" t="str">
        <f>IFERROR(D28/(s_RadSpec!AO28*s_Q_w_poultry*(1/1000)),".")</f>
        <v>.</v>
      </c>
      <c r="BZ28" s="141" t="str">
        <f>IFERROR(E28/(s_RadSpec!AP28*s_Q_w_poultry*(1/1000)),".")</f>
        <v>.</v>
      </c>
      <c r="CA28" s="141" t="str">
        <f>IFERROR(J28/(s_RadSpec!AT28*s_Q_w_goat*(1/1000)),".")</f>
        <v>.</v>
      </c>
      <c r="CB28" s="141" t="str">
        <f>IFERROR(L28*s_D_milk/(s_RadSpec!AU28*s_Q_w_goat_milk*(1/1000)),".")</f>
        <v>.</v>
      </c>
      <c r="CC28" s="141" t="str">
        <f>IFERROR(K28/(s_RadSpec!AR28*s_Q_w_sheep*(1/1000)),".")</f>
        <v>.</v>
      </c>
      <c r="CD28" s="141" t="str">
        <f>IFERROR(M28*s_D_milk/(s_RadSpec!AS28*s_Q_w_sheep_milk*(1/1000)),".")</f>
        <v>.</v>
      </c>
      <c r="CE28" s="158" t="str">
        <f t="shared" si="27"/>
        <v>.</v>
      </c>
      <c r="CF28" s="158" t="str">
        <f t="shared" si="28"/>
        <v>.</v>
      </c>
      <c r="CG28" s="158">
        <f t="shared" si="29"/>
        <v>0.20641826484018261</v>
      </c>
      <c r="CH28" s="158" t="str">
        <f t="shared" si="30"/>
        <v>.</v>
      </c>
      <c r="CI28" s="158" t="str">
        <f t="shared" si="31"/>
        <v>.</v>
      </c>
      <c r="CJ28" s="158" t="str">
        <f t="shared" si="32"/>
        <v>.</v>
      </c>
      <c r="CK28" s="158" t="str">
        <f t="shared" si="33"/>
        <v>.</v>
      </c>
      <c r="CL28" s="158" t="str">
        <f t="shared" si="34"/>
        <v>.</v>
      </c>
      <c r="CM28" s="158" t="str">
        <f t="shared" si="35"/>
        <v>.</v>
      </c>
      <c r="CN28" s="158" t="str">
        <f t="shared" si="36"/>
        <v>.</v>
      </c>
      <c r="CO28" s="158" t="str">
        <f t="shared" si="37"/>
        <v>.</v>
      </c>
      <c r="CP28" s="158" t="str">
        <f t="shared" si="38"/>
        <v>.</v>
      </c>
      <c r="CQ28" s="158" t="str">
        <f t="shared" si="39"/>
        <v>.</v>
      </c>
      <c r="CR28" s="158" t="str">
        <f t="shared" si="40"/>
        <v>.</v>
      </c>
      <c r="CS28" s="141">
        <f t="shared" si="41"/>
        <v>4.8445325357920268</v>
      </c>
      <c r="CT28" s="142">
        <f t="shared" si="42"/>
        <v>1375</v>
      </c>
      <c r="CU28" s="142">
        <f t="shared" si="43"/>
        <v>250.65104166666663</v>
      </c>
      <c r="CV28" s="142">
        <f t="shared" si="44"/>
        <v>0.12557077625570776</v>
      </c>
      <c r="CW28" s="142">
        <f>s_b2w!BZ28</f>
        <v>866.5612368029615</v>
      </c>
      <c r="CX28" s="142">
        <f>IFERROR(s_C*s_RadSpec!AN28*(1/1000)*s_IFFI_far_adj*s_CF_far_fish,0)</f>
        <v>6806.25</v>
      </c>
      <c r="CY28" s="142">
        <f>(s_C*s_IFB_far_adj*s_CF_far_beef*s_RadSpec!AM28*s_Q_w_beef*(1/1000))</f>
        <v>0.75624999999999998</v>
      </c>
      <c r="CZ28" s="142">
        <f>(s_C*s_IFD_far_adj*s_CF_far_dairy*s_RadSpec!AL28*(1/s_D_milk)*s_Q_w_dairy*(1/1000))</f>
        <v>0.11013349514563106</v>
      </c>
      <c r="DA28" s="142">
        <f>(s_C*s_IFSW_far_adj*s_CF_far_swine*s_RadSpec!AQ28*s_Q_w_swine*(1/1000))</f>
        <v>0</v>
      </c>
      <c r="DB28" s="142">
        <f>(s_C*s_IFP_far_adj*s_CF_far_poultry*s_RadSpec!AO28*s_Q_w_poultry*(1/1000))</f>
        <v>0</v>
      </c>
      <c r="DC28" s="142">
        <f>(s_C*s_IFE_far_adj*s_CF_far_egg*s_RadSpec!AP28*s_Q_w_egg*(1/1000))</f>
        <v>0</v>
      </c>
      <c r="DD28" s="142">
        <f>(s_C*s_IFGO_far_adj*s_CF_far_goat*s_RadSpec!AT28*s_Q_p_goat*(1/1000))</f>
        <v>0</v>
      </c>
      <c r="DE28" s="142">
        <f>(s_C*s_IFGM_far_adj*s_CF_far_goat_milk*s_RadSpec!AU28*(1/s_D_milk)*s_Q_p_goat_milk*(1/1000))</f>
        <v>0</v>
      </c>
      <c r="DF28" s="142">
        <f>(s_C*s_IFSH_far_adj*s_CF_far_sheep*s_RadSpec!AR28*s_Q_p_sheep*(1/1000))</f>
        <v>15.125</v>
      </c>
      <c r="DG28" s="142">
        <f>(s_C*s_IFSM_far_adj*s_CF_far_sheep_milk*s_RadSpec!AS28*(1/s_D_milk)*s_Q_p_sheep_milk*(1/1000))</f>
        <v>0</v>
      </c>
      <c r="DH28" s="141"/>
      <c r="DI28" s="141" t="str">
        <f>IFERROR((s_DL/(s_RadSpec!L28*s_IFA_far_adj)),".")</f>
        <v>.</v>
      </c>
      <c r="DJ28" s="141">
        <f>IFERROR((s_DL/(s_RadSpec!O28*s_EF_far*(1/365)*s_ED_far*s_ET_far*(1/24)*s_GSF_a)),".")</f>
        <v>4.1795966975460624E-3</v>
      </c>
      <c r="DK28" s="141">
        <f t="shared" si="58"/>
        <v>4.1795966975460624E-3</v>
      </c>
      <c r="DL28" s="142">
        <f t="shared" si="46"/>
        <v>501.30208333333326</v>
      </c>
      <c r="DM28" s="142">
        <f t="shared" si="47"/>
        <v>0.3139269406392694</v>
      </c>
      <c r="DN28" s="127"/>
    </row>
    <row r="29" spans="1:118" customFormat="1" x14ac:dyDescent="0.25">
      <c r="A29" s="128" t="s">
        <v>27</v>
      </c>
      <c r="B29" s="129" t="s">
        <v>1059</v>
      </c>
      <c r="C29" s="141" t="str">
        <f>s_dir!AB29</f>
        <v>.</v>
      </c>
      <c r="D29" s="141" t="str">
        <f>IFERROR(s_DL/(s_RadSpec!J29*s_IFP_far_adj*s_CF_far_poultry),".")</f>
        <v>.</v>
      </c>
      <c r="E29" s="141" t="str">
        <f>IFERROR(s_DL/(s_RadSpec!J29*s_IFE_far_adj*s_CF_far_egg),".")</f>
        <v>.</v>
      </c>
      <c r="F29" s="141" t="str">
        <f>IFERROR(s_DL/(s_RadSpec!J29*s_IFB_far_adj*s_CF_far_beef),".")</f>
        <v>.</v>
      </c>
      <c r="G29" s="141" t="str">
        <f>IFERROR(s_DL/(s_RadSpec!J29*s_IFD_far_adj*s_CF_far_dairy),".")</f>
        <v>.</v>
      </c>
      <c r="H29" s="141" t="str">
        <f>IFERROR(s_DL/(s_RadSpec!J29*s_IFSW_far_adj*s_CF_far_swine),".")</f>
        <v>.</v>
      </c>
      <c r="I29" s="141" t="str">
        <f>IFERROR(s_DL/(s_RadSpec!J29*s_IFFI_far_adj*s_CF_far_fish),".")</f>
        <v>.</v>
      </c>
      <c r="J29" s="141" t="str">
        <f>IFERROR(s_DL/(s_RadSpec!J29*s_IFGO_far_adj*s_CF_far_goat),".")</f>
        <v>.</v>
      </c>
      <c r="K29" s="141" t="str">
        <f>IFERROR(s_DL/(s_RadSpec!J29*s_IFSH_far_adj*s_CF_far_sheep),".")</f>
        <v>.</v>
      </c>
      <c r="L29" s="141" t="str">
        <f>IFERROR(s_DL/(s_RadSpec!J29*s_IFGM_far_adj*s_CF_far_goat_milk),".")</f>
        <v>.</v>
      </c>
      <c r="M29" s="141" t="str">
        <f>IFERROR(s_DL/(s_RadSpec!J29*s_IFSM_far_adj*s_CF_far_sheep_milk),".")</f>
        <v>.</v>
      </c>
      <c r="N29" s="142">
        <f>s_dir!BA29</f>
        <v>22687.5</v>
      </c>
      <c r="O29" s="142">
        <f t="shared" si="0"/>
        <v>7562.5</v>
      </c>
      <c r="P29" s="142">
        <f t="shared" si="1"/>
        <v>7562.5</v>
      </c>
      <c r="Q29" s="142">
        <f t="shared" si="2"/>
        <v>7562.5</v>
      </c>
      <c r="R29" s="142">
        <f t="shared" si="3"/>
        <v>7562.5</v>
      </c>
      <c r="S29" s="142">
        <f t="shared" si="4"/>
        <v>7562.5</v>
      </c>
      <c r="T29" s="142">
        <f t="shared" si="5"/>
        <v>7562.5</v>
      </c>
      <c r="U29" s="142">
        <f t="shared" si="6"/>
        <v>7562.5</v>
      </c>
      <c r="V29" s="142">
        <f t="shared" si="7"/>
        <v>7562.5</v>
      </c>
      <c r="W29" s="142">
        <f t="shared" si="8"/>
        <v>7562.5</v>
      </c>
      <c r="X29" s="142">
        <f t="shared" si="9"/>
        <v>7562.5</v>
      </c>
      <c r="Y29" s="141" t="str">
        <f>IFERROR((s_DL/(s_RadSpec!I29*s_IFS_far_adj*(1/1000)))*1,".")</f>
        <v>.</v>
      </c>
      <c r="Z29" s="141" t="str">
        <f>IFERROR(IF(A29="H-3",(s_DL/(s_RadSpec!L29*s_IFA_far_adj*(1/17)*1000))*1,(s_DL/(s_RadSpec!L29*s_IFA_far_adj*(1/s_PEF_wind)*1000))*1),".")</f>
        <v>.</v>
      </c>
      <c r="AA29" s="141">
        <f>IFERROR((s_DL/(s_RadSpec!K29*s_EF_far*(1/365)*s_ED_far*s_RadSpec!V29*((s_ET_far_o*(1/24)*s_RadSpec!AA29)+(s_ET_far_i*(1/24)*s_RadSpec!AF29))))*1,".")</f>
        <v>35.130088347423538</v>
      </c>
      <c r="AB29" s="141" t="str">
        <f>s_b2s!BA29</f>
        <v>.</v>
      </c>
      <c r="AC29" s="141" t="str">
        <f>IFERROR(((I29*s_RadSpec!AX29)/s_RadSpec!AN29)*1,".")</f>
        <v>.</v>
      </c>
      <c r="AD29" s="141" t="str">
        <f>IFERROR((F29/(s_RadSpec!AM29*((s_Q_p_beef*s_f_p_beef*s_f_s_beef*(s_RadSpec!BG29+s_R_es_past))+(s_Q_s_beef*s_f_p_beef))))*1,".")</f>
        <v>.</v>
      </c>
      <c r="AE29" s="141" t="str">
        <f>IFERROR(((G29*s_D_milk)/(s_RadSpec!AL29*((s_Q_p_dairy*s_f_p_dairy*s_f_s_dairy*(s_RadSpec!BG29+s_R_es_past))+(s_Q_s_dairy*s_f_p_dairy))))*1,".")</f>
        <v>.</v>
      </c>
      <c r="AF29" s="141" t="str">
        <f>IFERROR((H29/(s_RadSpec!AQ29*((s_Q_p_swine*s_f_p_swine*s_f_s_swine*(s_RadSpec!BG29+s_R_es_past))+(s_Q_s_swine*s_f_p_swine))))*1,".")</f>
        <v>.</v>
      </c>
      <c r="AG29" s="141" t="str">
        <f>IFERROR((D29/(s_RadSpec!AO29*((s_Q_p_poultry*s_f_p_poultry*s_f_s_poultry*(s_RadSpec!BG29+s_R_es_past))+(s_Q_s_poultry*s_f_p_poultry))))*1,".")</f>
        <v>.</v>
      </c>
      <c r="AH29" s="141" t="str">
        <f>IFERROR((E29/(s_RadSpec!AP29*((s_Q_p_poultry*s_f_p_poultry*s_f_s_poultry*(s_RadSpec!BG29+s_R_es_past))+(s_Q_s_poultry*s_f_p_poultry))))*1,".")</f>
        <v>.</v>
      </c>
      <c r="AI29" s="141" t="str">
        <f>IFERROR((J29/(s_RadSpec!AT29*((s_Q_p_goat*s_f_p_goat*s_f_s_goat*(s_RadSpec!BG29+s_R_es_past))+(s_Q_s_goat*s_f_p_goat))))*1,".")</f>
        <v>.</v>
      </c>
      <c r="AJ29" s="141" t="str">
        <f>IFERROR((L29*s_D_milk/(s_RadSpec!AU29*((s_Q_p_goat_milk*s_f_p_goat_milk*s_f_s_goat_milk*(s_RadSpec!BG29+s_R_es_past))+(s_Q_s_goat_milk*s_f_p_goat_milk))))*1,".")</f>
        <v>.</v>
      </c>
      <c r="AK29" s="141" t="str">
        <f>IFERROR((K29/(s_RadSpec!AR29*((s_Q_p_sheep*s_f_p_sheep*s_f_s_sheep*(s_RadSpec!BG29+s_R_es_past))+(s_Q_s_sheep*s_f_p_sheep))))*1,".")</f>
        <v>.</v>
      </c>
      <c r="AL29" s="141" t="str">
        <f>IFERROR((M29*s_D_milk/(s_RadSpec!AS29*((s_Q_p_sheep_milk*s_f_p_sheep_milk*s_f_s_sheep_milk*(s_RadSpec!BG29+s_R_es_past))+(s_Q_s_sheep_milk*s_f_p_sheep_milk))))*1,".")</f>
        <v>.</v>
      </c>
      <c r="AM29" s="158" t="str">
        <f t="shared" si="10"/>
        <v>.</v>
      </c>
      <c r="AN29" s="158" t="str">
        <f t="shared" si="11"/>
        <v>.</v>
      </c>
      <c r="AO29" s="158">
        <f t="shared" si="12"/>
        <v>2.8465627245521589E-2</v>
      </c>
      <c r="AP29" s="158" t="str">
        <f t="shared" si="13"/>
        <v>.</v>
      </c>
      <c r="AQ29" s="158" t="str">
        <f t="shared" si="14"/>
        <v>.</v>
      </c>
      <c r="AR29" s="158" t="str">
        <f t="shared" si="15"/>
        <v>.</v>
      </c>
      <c r="AS29" s="158" t="str">
        <f t="shared" si="16"/>
        <v>.</v>
      </c>
      <c r="AT29" s="158" t="str">
        <f t="shared" si="17"/>
        <v>.</v>
      </c>
      <c r="AU29" s="158" t="str">
        <f t="shared" si="18"/>
        <v>.</v>
      </c>
      <c r="AV29" s="158" t="str">
        <f t="shared" si="19"/>
        <v>.</v>
      </c>
      <c r="AW29" s="158" t="str">
        <f t="shared" si="20"/>
        <v>.</v>
      </c>
      <c r="AX29" s="158" t="str">
        <f t="shared" si="21"/>
        <v>.</v>
      </c>
      <c r="AY29" s="158" t="str">
        <f t="shared" si="22"/>
        <v>.</v>
      </c>
      <c r="AZ29" s="158" t="str">
        <f t="shared" si="23"/>
        <v>.</v>
      </c>
      <c r="BA29" s="141">
        <f t="shared" si="24"/>
        <v>35.130088347423538</v>
      </c>
      <c r="BB29" s="142">
        <f t="shared" si="25"/>
        <v>15.125</v>
      </c>
      <c r="BC29" s="142">
        <f t="shared" si="26"/>
        <v>1.618127279505213E-3</v>
      </c>
      <c r="BD29" s="142">
        <f>IFERROR((s_C*s_EF_far*(1/365)*s_ED_far*s_RadSpec!V29*((s_ET_far_o*(1/24)*s_RadSpec!AA29)+(s_ET_far_i*(1/24)*s_RadSpec!AF29))),".")</f>
        <v>4.242360379346679E-2</v>
      </c>
      <c r="BE29" s="142">
        <f>s_b2s!BZ29</f>
        <v>3331.8862500000005</v>
      </c>
      <c r="BF29" s="142">
        <f>IFERROR(((s_C*s_RadSpec!AN29)/s_RadSpec!AX29)*s_IFFI_far_adj*s_CF_far_fish,0)</f>
        <v>4537.5</v>
      </c>
      <c r="BG29" s="142">
        <f>(s_C*s_IFB_far_adj*s_CF_far_beef*s_RadSpec!AM29*((s_Q_p_beef*s_f_p_beef*s_f_s_beef*(s_RadSpec!$AW29+s_R_es_past))+(s_Q_s_beef*s_f_p_beef)))</f>
        <v>24578.125</v>
      </c>
      <c r="BH29" s="142">
        <f>(s_C*s_IFD_far_adj*s_CF_far_dairy*s_RadSpec!AL29*1/s_D_milk*((s_Q_p_dairy*s_f_p_dairy*s_f_s_dairy*(s_RadSpec!$AW29+s_R_es_past))+(s_Q_s_dairy*s_f_p_dairy)))</f>
        <v>3579.3385922330099</v>
      </c>
      <c r="BI29" s="142">
        <f>(s_C*s_IFSW_far_adj*s_CF_far_swine*s_RadSpec!AQ29*((s_Q_p_swine*s_f_p_swine*s_f_s_swine*(s_RadSpec!$AW29+s_R_es_past))+(s_Q_s_swine*s_f_p_swine)))</f>
        <v>0</v>
      </c>
      <c r="BJ29" s="142">
        <f>(s_C*s_IFP_far_adj*s_CF_far_poultry*s_RadSpec!AO29*((s_Q_p_poultry*s_f_p_poultry*s_f_s_poultry*(s_RadSpec!AW29+s_R_es_past))+(s_Q_s_poultry*s_f_p_poultry)))</f>
        <v>0</v>
      </c>
      <c r="BK29" s="142">
        <f>(s_C*s_IFE_far_adj*s_CF_far_egg*s_RadSpec!AP29*((s_Q_p_egg*s_f_p_egg*s_f_s_egg*(s_RadSpec!$AW29+s_R_es_past))+(s_Q_s_egg*s_f_p_egg)))</f>
        <v>0</v>
      </c>
      <c r="BL29" s="142">
        <f>(s_C*s_IFGO_far_adj*s_CF_far_goat*s_RadSpec!AT29*((s_Q_p_goat*s_f_p_goat*s_f_s_goat*(s_RadSpec!$AW29+s_R_es_past))+(s_Q_s_goat*s_f_p_goat)))</f>
        <v>0</v>
      </c>
      <c r="BM29" s="142">
        <f>(s_C*s_IFGM_far_adj*s_CF_far_goat_milk*s_RadSpec!AU29*1/s_D_milk*((s_Q_p_goat_milk*s_f_p_goat_milk*s_f_s_goat_milk*(s_RadSpec!$AW29+s_R_es_past))+(s_Q_s_goat_milk*s_f_p_goat_milk)))</f>
        <v>0</v>
      </c>
      <c r="BN29" s="142">
        <f>(s_C*s_IFSH_far_adj*s_CF_far_sheep*s_RadSpec!AR29*((s_Q_p_sheep*s_f_p_sheep*s_f_s_sheep*(s_RadSpec!$AW29+s_R_es_past))+(s_Q_s_sheep*s_f_p_sheep)))</f>
        <v>491562.5</v>
      </c>
      <c r="BO29" s="142">
        <f>(s_C*s_IFSM_far_adj*s_CF_far_sheep_milk*s_RadSpec!AS29*1/s_D_milk*((s_Q_p_sheep_milk*s_f_p_sheep_milk*s_f_s_sheep_milk*(s_RadSpec!$AW29+s_R_es_past))+(s_Q_s_sheep_milk*s_f_p_sheep_milk)))</f>
        <v>0</v>
      </c>
      <c r="BP29" s="141"/>
      <c r="BQ29" s="141" t="str">
        <f>IFERROR(s_DL/(s_RadSpec!M29*s_IFW_far_adj),".")</f>
        <v>.</v>
      </c>
      <c r="BR29" s="141" t="str">
        <f>IFERROR(IF(s_RadSpec!C29=1,s_DL/(s_RadSpec!L29*s_IFA_far_adj*s_K),"."),".")</f>
        <v>.</v>
      </c>
      <c r="BS29" s="141">
        <f>IFERROR((s_DL/(s_RadSpec!Q29*(1/8760)*s_DFA_far_adj)),".")</f>
        <v>3.7396391504359499</v>
      </c>
      <c r="BT29" s="141" t="str">
        <f>s_b2w!BA29</f>
        <v>.</v>
      </c>
      <c r="BU29" s="141" t="str">
        <f>IFERROR(I29/(s_RadSpec!AN29*(1/1000)),".")</f>
        <v>.</v>
      </c>
      <c r="BV29" s="141" t="str">
        <f>IFERROR(F29/(s_RadSpec!AM29*s_Q_w_beef*(1/1000)),".")</f>
        <v>.</v>
      </c>
      <c r="BW29" s="141" t="str">
        <f>IFERROR((G29*s_D_milk)/(s_RadSpec!AL29*s_Q_w_dairy*(1/1000)),".")</f>
        <v>.</v>
      </c>
      <c r="BX29" s="141" t="str">
        <f>IFERROR(H29/(s_RadSpec!AQ29*s_Q_w_swine*(1/1000)),".")</f>
        <v>.</v>
      </c>
      <c r="BY29" s="141" t="str">
        <f>IFERROR(D29/(s_RadSpec!AO29*s_Q_w_poultry*(1/1000)),".")</f>
        <v>.</v>
      </c>
      <c r="BZ29" s="141" t="str">
        <f>IFERROR(E29/(s_RadSpec!AP29*s_Q_w_poultry*(1/1000)),".")</f>
        <v>.</v>
      </c>
      <c r="CA29" s="141" t="str">
        <f>IFERROR(J29/(s_RadSpec!AT29*s_Q_w_goat*(1/1000)),".")</f>
        <v>.</v>
      </c>
      <c r="CB29" s="141" t="str">
        <f>IFERROR(L29*s_D_milk/(s_RadSpec!AU29*s_Q_w_goat_milk*(1/1000)),".")</f>
        <v>.</v>
      </c>
      <c r="CC29" s="141" t="str">
        <f>IFERROR(K29/(s_RadSpec!AR29*s_Q_w_sheep*(1/1000)),".")</f>
        <v>.</v>
      </c>
      <c r="CD29" s="141" t="str">
        <f>IFERROR(M29*s_D_milk/(s_RadSpec!AS29*s_Q_w_sheep_milk*(1/1000)),".")</f>
        <v>.</v>
      </c>
      <c r="CE29" s="158" t="str">
        <f t="shared" si="27"/>
        <v>.</v>
      </c>
      <c r="CF29" s="158" t="str">
        <f t="shared" si="28"/>
        <v>.</v>
      </c>
      <c r="CG29" s="158">
        <f t="shared" si="29"/>
        <v>0.26740547945205478</v>
      </c>
      <c r="CH29" s="158" t="str">
        <f t="shared" si="30"/>
        <v>.</v>
      </c>
      <c r="CI29" s="158" t="str">
        <f t="shared" si="31"/>
        <v>.</v>
      </c>
      <c r="CJ29" s="158" t="str">
        <f t="shared" si="32"/>
        <v>.</v>
      </c>
      <c r="CK29" s="158" t="str">
        <f t="shared" si="33"/>
        <v>.</v>
      </c>
      <c r="CL29" s="158" t="str">
        <f t="shared" si="34"/>
        <v>.</v>
      </c>
      <c r="CM29" s="158" t="str">
        <f t="shared" si="35"/>
        <v>.</v>
      </c>
      <c r="CN29" s="158" t="str">
        <f t="shared" si="36"/>
        <v>.</v>
      </c>
      <c r="CO29" s="158" t="str">
        <f t="shared" si="37"/>
        <v>.</v>
      </c>
      <c r="CP29" s="158" t="str">
        <f t="shared" si="38"/>
        <v>.</v>
      </c>
      <c r="CQ29" s="158" t="str">
        <f t="shared" si="39"/>
        <v>.</v>
      </c>
      <c r="CR29" s="158" t="str">
        <f t="shared" si="40"/>
        <v>.</v>
      </c>
      <c r="CS29" s="141">
        <f t="shared" si="41"/>
        <v>3.7396391504359499</v>
      </c>
      <c r="CT29" s="142">
        <f t="shared" si="42"/>
        <v>1375</v>
      </c>
      <c r="CU29" s="142">
        <f t="shared" si="43"/>
        <v>250.65104166666663</v>
      </c>
      <c r="CV29" s="142">
        <f t="shared" si="44"/>
        <v>0.12557077625570776</v>
      </c>
      <c r="CW29" s="142">
        <f>s_b2w!BZ29</f>
        <v>866.5612368029615</v>
      </c>
      <c r="CX29" s="142">
        <f>IFERROR(s_C*s_RadSpec!AN29*(1/1000)*s_IFFI_far_adj*s_CF_far_fish,0)</f>
        <v>6806.25</v>
      </c>
      <c r="CY29" s="142">
        <f>(s_C*s_IFB_far_adj*s_CF_far_beef*s_RadSpec!AM29*s_Q_w_beef*(1/1000))</f>
        <v>0.75624999999999998</v>
      </c>
      <c r="CZ29" s="142">
        <f>(s_C*s_IFD_far_adj*s_CF_far_dairy*s_RadSpec!AL29*(1/s_D_milk)*s_Q_w_dairy*(1/1000))</f>
        <v>0.11013349514563106</v>
      </c>
      <c r="DA29" s="142">
        <f>(s_C*s_IFSW_far_adj*s_CF_far_swine*s_RadSpec!AQ29*s_Q_w_swine*(1/1000))</f>
        <v>0</v>
      </c>
      <c r="DB29" s="142">
        <f>(s_C*s_IFP_far_adj*s_CF_far_poultry*s_RadSpec!AO29*s_Q_w_poultry*(1/1000))</f>
        <v>0</v>
      </c>
      <c r="DC29" s="142">
        <f>(s_C*s_IFE_far_adj*s_CF_far_egg*s_RadSpec!AP29*s_Q_w_egg*(1/1000))</f>
        <v>0</v>
      </c>
      <c r="DD29" s="142">
        <f>(s_C*s_IFGO_far_adj*s_CF_far_goat*s_RadSpec!AT29*s_Q_p_goat*(1/1000))</f>
        <v>0</v>
      </c>
      <c r="DE29" s="142">
        <f>(s_C*s_IFGM_far_adj*s_CF_far_goat_milk*s_RadSpec!AU29*(1/s_D_milk)*s_Q_p_goat_milk*(1/1000))</f>
        <v>0</v>
      </c>
      <c r="DF29" s="142">
        <f>(s_C*s_IFSH_far_adj*s_CF_far_sheep*s_RadSpec!AR29*s_Q_p_sheep*(1/1000))</f>
        <v>15.125</v>
      </c>
      <c r="DG29" s="142">
        <f>(s_C*s_IFSM_far_adj*s_CF_far_sheep_milk*s_RadSpec!AS29*(1/s_D_milk)*s_Q_p_sheep_milk*(1/1000))</f>
        <v>0</v>
      </c>
      <c r="DH29" s="141"/>
      <c r="DI29" s="141" t="str">
        <f>IFERROR((s_DL/(s_RadSpec!L29*s_IFA_far_adj)),".")</f>
        <v>.</v>
      </c>
      <c r="DJ29" s="141">
        <f>IFERROR((s_DL/(s_RadSpec!O29*s_EF_far*(1/365)*s_ED_far*s_ET_far*(1/24)*s_GSF_a)),".")</f>
        <v>3.2296883571946836E-3</v>
      </c>
      <c r="DK29" s="141">
        <f t="shared" si="58"/>
        <v>3.2296883571946836E-3</v>
      </c>
      <c r="DL29" s="142">
        <f t="shared" si="46"/>
        <v>501.30208333333326</v>
      </c>
      <c r="DM29" s="142">
        <f t="shared" si="47"/>
        <v>0.3139269406392694</v>
      </c>
      <c r="DN29" s="127"/>
    </row>
    <row r="30" spans="1:118" customFormat="1" x14ac:dyDescent="0.25">
      <c r="A30" s="128" t="s">
        <v>28</v>
      </c>
      <c r="B30" s="129" t="s">
        <v>1059</v>
      </c>
      <c r="C30" s="141">
        <f>s_dir!AB30</f>
        <v>4.9471508245292597</v>
      </c>
      <c r="D30" s="141">
        <f>IFERROR(s_DL/(s_RadSpec!J30*s_IFP_far_adj*s_CF_far_poultry),".")</f>
        <v>14.841452473587779</v>
      </c>
      <c r="E30" s="141">
        <f>IFERROR(s_DL/(s_RadSpec!J30*s_IFE_far_adj*s_CF_far_egg),".")</f>
        <v>14.841452473587779</v>
      </c>
      <c r="F30" s="141">
        <f>IFERROR(s_DL/(s_RadSpec!J30*s_IFB_far_adj*s_CF_far_beef),".")</f>
        <v>14.841452473587779</v>
      </c>
      <c r="G30" s="141">
        <f>IFERROR(s_DL/(s_RadSpec!J30*s_IFD_far_adj*s_CF_far_dairy),".")</f>
        <v>14.841452473587779</v>
      </c>
      <c r="H30" s="141">
        <f>IFERROR(s_DL/(s_RadSpec!J30*s_IFSW_far_adj*s_CF_far_swine),".")</f>
        <v>14.841452473587779</v>
      </c>
      <c r="I30" s="141">
        <f>IFERROR(s_DL/(s_RadSpec!J30*s_IFFI_far_adj*s_CF_far_fish),".")</f>
        <v>14.841452473587779</v>
      </c>
      <c r="J30" s="141">
        <f>IFERROR(s_DL/(s_RadSpec!J30*s_IFGO_far_adj*s_CF_far_goat),".")</f>
        <v>14.841452473587779</v>
      </c>
      <c r="K30" s="141">
        <f>IFERROR(s_DL/(s_RadSpec!J30*s_IFSH_far_adj*s_CF_far_sheep),".")</f>
        <v>14.841452473587779</v>
      </c>
      <c r="L30" s="141">
        <f>IFERROR(s_DL/(s_RadSpec!J30*s_IFGM_far_adj*s_CF_far_goat_milk),".")</f>
        <v>14.841452473587779</v>
      </c>
      <c r="M30" s="141">
        <f>IFERROR(s_DL/(s_RadSpec!J30*s_IFSM_far_adj*s_CF_far_sheep_milk),".")</f>
        <v>14.841452473587779</v>
      </c>
      <c r="N30" s="142">
        <f>s_dir!BA30</f>
        <v>22687.5</v>
      </c>
      <c r="O30" s="142">
        <f t="shared" si="0"/>
        <v>7562.5</v>
      </c>
      <c r="P30" s="142">
        <f t="shared" si="1"/>
        <v>7562.5</v>
      </c>
      <c r="Q30" s="142">
        <f t="shared" si="2"/>
        <v>7562.5</v>
      </c>
      <c r="R30" s="142">
        <f t="shared" si="3"/>
        <v>7562.5</v>
      </c>
      <c r="S30" s="142">
        <f t="shared" si="4"/>
        <v>7562.5</v>
      </c>
      <c r="T30" s="142">
        <f t="shared" si="5"/>
        <v>7562.5</v>
      </c>
      <c r="U30" s="142">
        <f t="shared" si="6"/>
        <v>7562.5</v>
      </c>
      <c r="V30" s="142">
        <f t="shared" si="7"/>
        <v>7562.5</v>
      </c>
      <c r="W30" s="142">
        <f t="shared" si="8"/>
        <v>7562.5</v>
      </c>
      <c r="X30" s="142">
        <f t="shared" si="9"/>
        <v>7562.5</v>
      </c>
      <c r="Y30" s="141">
        <f>IFERROR((s_DL/(s_RadSpec!I30*s_IFS_far_adj*(1/1000)))*1,".")</f>
        <v>7420.7262367938902</v>
      </c>
      <c r="Z30" s="141">
        <f>IFERROR(IF(A30="H-3",(s_DL/(s_RadSpec!L30*s_IFA_far_adj*(1/17)*1000))*1,(s_DL/(s_RadSpec!L30*s_IFA_far_adj*(1/s_PEF_wind)*1000))*1),".")</f>
        <v>405404.32754304621</v>
      </c>
      <c r="AA30" s="141">
        <f>IFERROR((s_DL/(s_RadSpec!K30*s_EF_far*(1/365)*s_ED_far*s_RadSpec!V30*((s_ET_far_o*(1/24)*s_RadSpec!AA30)+(s_ET_far_i*(1/24)*s_RadSpec!AF30))))*1,".")</f>
        <v>6017373.2942312891</v>
      </c>
      <c r="AB30" s="141">
        <f>s_b2s!BA30</f>
        <v>309.56453441769975</v>
      </c>
      <c r="AC30" s="141">
        <f>IFERROR(((I30*s_RadSpec!AX30)/s_RadSpec!AN30)*1,".")</f>
        <v>6.1839385306615746</v>
      </c>
      <c r="AD30" s="141">
        <f>IFERROR((F30/(s_RadSpec!AM30*((s_Q_p_beef*s_f_p_beef*s_f_s_beef*(s_RadSpec!BG30+s_R_es_past))+(s_Q_s_beef*s_f_p_beef))))*1,".")</f>
        <v>430.53128111838117</v>
      </c>
      <c r="AE30" s="141">
        <f>IFERROR(((G30*s_D_milk)/(s_RadSpec!AL30*((s_Q_p_dairy*s_f_p_dairy*s_f_s_dairy*(s_RadSpec!BG30+s_R_es_past))+(s_Q_s_dairy*s_f_p_dairy))))*1,".")</f>
        <v>96.080230902918728</v>
      </c>
      <c r="AF30" s="141">
        <f>IFERROR((H30/(s_RadSpec!AQ30*((s_Q_p_swine*s_f_p_swine*s_f_s_swine*(s_RadSpec!BG30+s_R_es_past))+(s_Q_s_swine*s_f_p_swine))))*1,".")</f>
        <v>3.816072719003833</v>
      </c>
      <c r="AG30" s="141">
        <f>IFERROR((D30/(s_RadSpec!AO30*((s_Q_p_poultry*s_f_p_poultry*s_f_s_poultry*(s_RadSpec!BG30+s_R_es_past))+(s_Q_s_poultry*s_f_p_poultry))))*1,".")</f>
        <v>0.2238762661815582</v>
      </c>
      <c r="AH30" s="141">
        <f>IFERROR((E30/(s_RadSpec!AP30*((s_Q_p_poultry*s_f_p_poultry*s_f_s_poultry*(s_RadSpec!BG30+s_R_es_past))+(s_Q_s_poultry*s_f_p_poultry))))*1,".")</f>
        <v>0.1526429087601533</v>
      </c>
      <c r="AI30" s="141" t="str">
        <f>IFERROR((J30/(s_RadSpec!AT30*((s_Q_p_goat*s_f_p_goat*s_f_s_goat*(s_RadSpec!BG30+s_R_es_past))+(s_Q_s_goat*s_f_p_goat))))*1,".")</f>
        <v>.</v>
      </c>
      <c r="AJ30" s="141">
        <f>IFERROR((L30*s_D_milk/(s_RadSpec!AU30*((s_Q_p_goat_milk*s_f_p_goat_milk*s_f_s_goat_milk*(s_RadSpec!BG30+s_R_es_past))+(s_Q_s_goat_milk*s_f_p_goat_milk))))*1,".")</f>
        <v>123.53172544660978</v>
      </c>
      <c r="AK30" s="141">
        <f>IFERROR((K30/(s_RadSpec!AR30*((s_Q_p_sheep*s_f_p_sheep*s_f_s_sheep*(s_RadSpec!BG30+s_R_es_past))+(s_Q_s_sheep*s_f_p_sheep))))*1,".")</f>
        <v>83.953599818084314</v>
      </c>
      <c r="AL30" s="141" t="str">
        <f>IFERROR((M30*s_D_milk/(s_RadSpec!AS30*((s_Q_p_sheep_milk*s_f_p_sheep_milk*s_f_s_sheep_milk*(s_RadSpec!BG30+s_R_es_past))+(s_Q_s_sheep_milk*s_f_p_sheep_milk))))*1,".")</f>
        <v>.</v>
      </c>
      <c r="AM30" s="158">
        <f t="shared" si="10"/>
        <v>1.3475769999999999E-4</v>
      </c>
      <c r="AN30" s="158">
        <f t="shared" si="11"/>
        <v>2.4666732248777462E-6</v>
      </c>
      <c r="AO30" s="158">
        <f t="shared" si="12"/>
        <v>1.6618546849315063E-7</v>
      </c>
      <c r="AP30" s="158">
        <f t="shared" si="13"/>
        <v>3.2303442055500002E-3</v>
      </c>
      <c r="AQ30" s="158">
        <f t="shared" si="14"/>
        <v>0.16170924</v>
      </c>
      <c r="AR30" s="158">
        <f t="shared" si="15"/>
        <v>2.3227115981034482E-3</v>
      </c>
      <c r="AS30" s="158">
        <f t="shared" si="16"/>
        <v>1.0407968326079679E-2</v>
      </c>
      <c r="AT30" s="158">
        <f t="shared" si="17"/>
        <v>0.26204951363218387</v>
      </c>
      <c r="AU30" s="158">
        <f t="shared" si="18"/>
        <v>4.4667530732758616</v>
      </c>
      <c r="AV30" s="158">
        <f t="shared" si="19"/>
        <v>6.5512378408045988</v>
      </c>
      <c r="AW30" s="158" t="str">
        <f t="shared" si="20"/>
        <v>.</v>
      </c>
      <c r="AX30" s="158">
        <f t="shared" si="21"/>
        <v>8.0950864758397509E-3</v>
      </c>
      <c r="AY30" s="158">
        <f t="shared" si="22"/>
        <v>1.1911341528735634E-2</v>
      </c>
      <c r="AZ30" s="158" t="str">
        <f t="shared" si="23"/>
        <v>.</v>
      </c>
      <c r="BA30" s="141">
        <f t="shared" si="24"/>
        <v>8.712429653934152E-2</v>
      </c>
      <c r="BB30" s="142">
        <f t="shared" si="25"/>
        <v>15.125</v>
      </c>
      <c r="BC30" s="142">
        <f t="shared" si="26"/>
        <v>1.618127279505213E-3</v>
      </c>
      <c r="BD30" s="142">
        <f>IFERROR((s_C*s_EF_far*(1/365)*s_ED_far*s_RadSpec!V30*((s_ET_far_o*(1/24)*s_RadSpec!AA30)+(s_ET_far_i*(1/24)*s_RadSpec!AF30))),".")</f>
        <v>4.5205479452054788E-3</v>
      </c>
      <c r="BE30" s="142">
        <f>s_b2s!BZ30</f>
        <v>362.56893749999995</v>
      </c>
      <c r="BF30" s="142">
        <f>IFERROR(((s_C*s_RadSpec!AN30)/s_RadSpec!AX30)*s_IFFI_far_adj*s_CF_far_fish,0)</f>
        <v>18149.999999999996</v>
      </c>
      <c r="BG30" s="142">
        <f>(s_C*s_IFB_far_adj*s_CF_far_beef*s_RadSpec!AM30*((s_Q_p_beef*s_f_p_beef*s_f_s_beef*(s_RadSpec!$AW30+s_R_es_past))+(s_Q_s_beef*s_f_p_beef)))</f>
        <v>260.69762931034484</v>
      </c>
      <c r="BH30" s="142">
        <f>(s_C*s_IFD_far_adj*s_CF_far_dairy*s_RadSpec!AL30*1/s_D_milk*((s_Q_p_dairy*s_f_p_dairy*s_f_s_dairy*(s_RadSpec!$AW30+s_R_es_past))+(s_Q_s_dairy*s_f_p_dairy)))</f>
        <v>1168.174589889521</v>
      </c>
      <c r="BI30" s="142">
        <f>(s_C*s_IFSW_far_adj*s_CF_far_swine*s_RadSpec!AQ30*((s_Q_p_swine*s_f_p_swine*s_f_s_swine*(s_RadSpec!$AW30+s_R_es_past))+(s_Q_s_swine*s_f_p_swine)))</f>
        <v>29412.040229885057</v>
      </c>
      <c r="BJ30" s="142">
        <f>(s_C*s_IFP_far_adj*s_CF_far_poultry*s_RadSpec!AO30*((s_Q_p_poultry*s_f_p_poultry*s_f_s_poultry*(s_RadSpec!AW30+s_R_es_past))+(s_Q_s_poultry*s_f_p_poultry)))</f>
        <v>501341.5948275862</v>
      </c>
      <c r="BK30" s="142">
        <f>(s_C*s_IFE_far_adj*s_CF_far_egg*s_RadSpec!AP30*((s_Q_p_egg*s_f_p_egg*s_f_s_egg*(s_RadSpec!$AW30+s_R_es_past))+(s_Q_s_egg*s_f_p_egg)))</f>
        <v>735301.00574712642</v>
      </c>
      <c r="BL30" s="142">
        <f>(s_C*s_IFGO_far_adj*s_CF_far_goat*s_RadSpec!AT30*((s_Q_p_goat*s_f_p_goat*s_f_s_goat*(s_RadSpec!$AW30+s_R_es_past))+(s_Q_s_goat*s_f_p_goat)))</f>
        <v>0</v>
      </c>
      <c r="BM30" s="142">
        <f>(s_C*s_IFGM_far_adj*s_CF_far_goat_milk*s_RadSpec!AU30*1/s_D_milk*((s_Q_p_goat_milk*s_f_p_goat_milk*s_f_s_goat_milk*(s_RadSpec!$AW30+s_R_es_past))+(s_Q_s_goat_milk*s_f_p_goat_milk)))</f>
        <v>908.58023658073876</v>
      </c>
      <c r="BN30" s="142">
        <f>(s_C*s_IFSH_far_adj*s_CF_far_sheep*s_RadSpec!AR30*((s_Q_p_sheep*s_f_p_sheep*s_f_s_sheep*(s_RadSpec!$AW30+s_R_es_past))+(s_Q_s_sheep*s_f_p_sheep)))</f>
        <v>1336.9109195402298</v>
      </c>
      <c r="BO30" s="142">
        <f>(s_C*s_IFSM_far_adj*s_CF_far_sheep_milk*s_RadSpec!AS30*1/s_D_milk*((s_Q_p_sheep_milk*s_f_p_sheep_milk*s_f_s_sheep_milk*(s_RadSpec!$AW30+s_R_es_past))+(s_Q_s_sheep_milk*s_f_p_sheep_milk)))</f>
        <v>0</v>
      </c>
      <c r="BP30" s="141"/>
      <c r="BQ30" s="141">
        <f>IFERROR(s_DL/(s_RadSpec!M30*s_IFW_far_adj),".")</f>
        <v>81.627988604732792</v>
      </c>
      <c r="BR30" s="141" t="str">
        <f>IFERROR(IF(s_RadSpec!C30=1,s_DL/(s_RadSpec!L30*s_IFA_far_adj*s_K),"."),".")</f>
        <v>.</v>
      </c>
      <c r="BS30" s="141">
        <f>IFERROR((s_DL/(s_RadSpec!Q30*(1/8760)*s_DFA_far_adj)),".")</f>
        <v>45353.070547840245</v>
      </c>
      <c r="BT30" s="141">
        <f>s_b2w!BA30</f>
        <v>405.84399467374664</v>
      </c>
      <c r="BU30" s="141">
        <f>IFERROR(I30/(s_RadSpec!AN30*(1/1000)),".")</f>
        <v>15459.846326653937</v>
      </c>
      <c r="BV30" s="141">
        <f>IFERROR(F30/(s_RadSpec!AM30*s_Q_w_beef*(1/1000)),".")</f>
        <v>7611001.268506554</v>
      </c>
      <c r="BW30" s="141">
        <f>IFERROR((G30*s_D_milk)/(s_RadSpec!AL30*s_Q_w_dairy*(1/1000)),".")</f>
        <v>1698521.7830883791</v>
      </c>
      <c r="BX30" s="141">
        <f>IFERROR(H30/(s_RadSpec!AQ30*s_Q_w_swine*(1/1000)),".")</f>
        <v>67461.147607217179</v>
      </c>
      <c r="BY30" s="141">
        <f>IFERROR(D30/(s_RadSpec!AO30*s_Q_w_poultry*(1/1000)),".")</f>
        <v>3957.7206596234078</v>
      </c>
      <c r="BZ30" s="141">
        <f>IFERROR(E30/(s_RadSpec!AP30*s_Q_w_poultry*(1/1000)),".")</f>
        <v>2698.4459042886874</v>
      </c>
      <c r="CA30" s="141" t="str">
        <f>IFERROR(J30/(s_RadSpec!AT30*s_Q_w_goat*(1/1000)),".")</f>
        <v>.</v>
      </c>
      <c r="CB30" s="141">
        <f>IFERROR(L30*s_D_milk/(s_RadSpec!AU30*s_Q_w_goat_milk*(1/1000)),".")</f>
        <v>2183813.7211136306</v>
      </c>
      <c r="CC30" s="141">
        <f>IFERROR(K30/(s_RadSpec!AR30*s_Q_w_sheep*(1/1000)),".")</f>
        <v>1484145.2473587778</v>
      </c>
      <c r="CD30" s="141" t="str">
        <f>IFERROR(M30*s_D_milk/(s_RadSpec!AS30*s_Q_w_sheep_milk*(1/1000)),".")</f>
        <v>.</v>
      </c>
      <c r="CE30" s="158">
        <f t="shared" si="27"/>
        <v>1.22507E-2</v>
      </c>
      <c r="CF30" s="158" t="str">
        <f t="shared" si="28"/>
        <v>.</v>
      </c>
      <c r="CG30" s="158">
        <f t="shared" si="29"/>
        <v>2.2049223744292237E-5</v>
      </c>
      <c r="CH30" s="158">
        <f t="shared" si="30"/>
        <v>2.4640009785136495E-3</v>
      </c>
      <c r="CI30" s="158">
        <f t="shared" si="31"/>
        <v>6.4683696000000001E-5</v>
      </c>
      <c r="CJ30" s="158">
        <f t="shared" si="32"/>
        <v>1.3138875750000001E-7</v>
      </c>
      <c r="CK30" s="158">
        <f t="shared" si="33"/>
        <v>5.8874723300970879E-7</v>
      </c>
      <c r="CL30" s="158">
        <f t="shared" si="34"/>
        <v>1.4823347000000001E-5</v>
      </c>
      <c r="CM30" s="158">
        <f t="shared" si="35"/>
        <v>2.526706875E-4</v>
      </c>
      <c r="CN30" s="158">
        <f t="shared" si="36"/>
        <v>3.7058367499999997E-4</v>
      </c>
      <c r="CO30" s="158" t="str">
        <f t="shared" si="37"/>
        <v>.</v>
      </c>
      <c r="CP30" s="158">
        <f t="shared" si="38"/>
        <v>4.5791451456310678E-7</v>
      </c>
      <c r="CQ30" s="158">
        <f t="shared" si="39"/>
        <v>6.7378850000000012E-7</v>
      </c>
      <c r="CR30" s="158" t="str">
        <f t="shared" si="40"/>
        <v>.</v>
      </c>
      <c r="CS30" s="141">
        <f t="shared" si="41"/>
        <v>64.761120573820236</v>
      </c>
      <c r="CT30" s="142">
        <f t="shared" si="42"/>
        <v>1375</v>
      </c>
      <c r="CU30" s="142">
        <f t="shared" si="43"/>
        <v>250.65104166666663</v>
      </c>
      <c r="CV30" s="142">
        <f t="shared" si="44"/>
        <v>0.12557077625570776</v>
      </c>
      <c r="CW30" s="142">
        <f>s_b2w!BZ30</f>
        <v>276.5557352197236</v>
      </c>
      <c r="CX30" s="142">
        <f>IFERROR(s_C*s_RadSpec!AN30*(1/1000)*s_IFFI_far_adj*s_CF_far_fish,0)</f>
        <v>7.26</v>
      </c>
      <c r="CY30" s="142">
        <f>(s_C*s_IFB_far_adj*s_CF_far_beef*s_RadSpec!AM30*s_Q_w_beef*(1/1000))</f>
        <v>1.4746875E-2</v>
      </c>
      <c r="CZ30" s="142">
        <f>(s_C*s_IFD_far_adj*s_CF_far_dairy*s_RadSpec!AL30*(1/s_D_milk)*s_Q_w_dairy*(1/1000))</f>
        <v>6.608009708737865E-2</v>
      </c>
      <c r="DA30" s="142">
        <f>(s_C*s_IFSW_far_adj*s_CF_far_swine*s_RadSpec!AQ30*s_Q_w_swine*(1/1000))</f>
        <v>1.6637500000000001</v>
      </c>
      <c r="DB30" s="142">
        <f>(s_C*s_IFP_far_adj*s_CF_far_poultry*s_RadSpec!AO30*s_Q_w_poultry*(1/1000))</f>
        <v>28.359375</v>
      </c>
      <c r="DC30" s="142">
        <f>(s_C*s_IFE_far_adj*s_CF_far_egg*s_RadSpec!AP30*s_Q_w_egg*(1/1000))</f>
        <v>41.59375</v>
      </c>
      <c r="DD30" s="142">
        <f>(s_C*s_IFGO_far_adj*s_CF_far_goat*s_RadSpec!AT30*s_Q_p_goat*(1/1000))</f>
        <v>0</v>
      </c>
      <c r="DE30" s="142">
        <f>(s_C*s_IFGM_far_adj*s_CF_far_goat_milk*s_RadSpec!AU30*(1/s_D_milk)*s_Q_p_goat_milk*(1/1000))</f>
        <v>5.1395631067961169E-2</v>
      </c>
      <c r="DF30" s="142">
        <f>(s_C*s_IFSH_far_adj*s_CF_far_sheep*s_RadSpec!AR30*s_Q_p_sheep*(1/1000))</f>
        <v>7.5624999999999998E-2</v>
      </c>
      <c r="DG30" s="142">
        <f>(s_C*s_IFSM_far_adj*s_CF_far_sheep_milk*s_RadSpec!AS30*(1/s_D_milk)*s_Q_p_sheep_milk*(1/1000))</f>
        <v>0</v>
      </c>
      <c r="DH30" s="141"/>
      <c r="DI30" s="141">
        <f>IFERROR((s_DL/(s_RadSpec!L30*s_IFA_far_adj)),".")</f>
        <v>1.3085838328556778</v>
      </c>
      <c r="DJ30" s="141">
        <f>IFERROR((s_DL/(s_RadSpec!O30*s_EF_far*(1/365)*s_ED_far*s_ET_far*(1/24)*s_GSF_a)),".")</f>
        <v>40.218760674499833</v>
      </c>
      <c r="DK30" s="141">
        <f t="shared" ref="DK30" si="59">IFERROR(IF(AND(ISNUMBER(DI30),ISNUMBER(DJ30)),1/((1/DI30)+(1/DJ30)),IF(AND(ISNUMBER(DI30),NOT(ISNUMBER(DJ30))),1/((1/DI30)),IF(AND(NOT(ISNUMBER(DI30)),ISNUMBER(DJ30)),1/((1/DJ30)),IF(AND(NOT(ISNUMBER(DI30)),NOT(ISNUMBER(DJ30))),".")))),".")</f>
        <v>1.2673485535975024</v>
      </c>
      <c r="DL30" s="142">
        <f t="shared" si="46"/>
        <v>501.30208333333326</v>
      </c>
      <c r="DM30" s="142">
        <f t="shared" si="47"/>
        <v>0.3139269406392694</v>
      </c>
      <c r="DN30" s="127"/>
    </row>
    <row r="31" spans="1:118" x14ac:dyDescent="0.25">
      <c r="A31" s="132" t="s">
        <v>1</v>
      </c>
      <c r="B31" s="132" t="s">
        <v>1059</v>
      </c>
      <c r="C31" s="134">
        <f t="shared" ref="C31:M31" si="60">1/SUM(1/C32,1/C33,1/C34,1/C35,1/C36,1/C37,1/C38,1/C41,1/C44)</f>
        <v>0.22491079750690235</v>
      </c>
      <c r="D31" s="134">
        <f t="shared" si="60"/>
        <v>0.67473239252070694</v>
      </c>
      <c r="E31" s="134">
        <f t="shared" si="60"/>
        <v>0.67473239252070694</v>
      </c>
      <c r="F31" s="134">
        <f t="shared" si="60"/>
        <v>0.67473239252070694</v>
      </c>
      <c r="G31" s="134">
        <f t="shared" si="60"/>
        <v>0.67473239252070694</v>
      </c>
      <c r="H31" s="134">
        <f t="shared" si="60"/>
        <v>0.67473239252070694</v>
      </c>
      <c r="I31" s="134">
        <f t="shared" si="60"/>
        <v>0.67473239252070694</v>
      </c>
      <c r="J31" s="134">
        <f t="shared" si="60"/>
        <v>0.67473239252070694</v>
      </c>
      <c r="K31" s="134">
        <f t="shared" si="60"/>
        <v>0.67473239252070694</v>
      </c>
      <c r="L31" s="134">
        <f t="shared" si="60"/>
        <v>0.67473239252070694</v>
      </c>
      <c r="M31" s="134">
        <f t="shared" si="60"/>
        <v>0.67473239252070694</v>
      </c>
      <c r="N31" s="146">
        <f>s_dir!BA31</f>
        <v>1361209.1625000001</v>
      </c>
      <c r="O31" s="146">
        <f t="shared" ref="O31:X31" si="61">SUM(O32:O44)</f>
        <v>37.051726398674084</v>
      </c>
      <c r="P31" s="146">
        <f t="shared" si="61"/>
        <v>37.051726398674084</v>
      </c>
      <c r="Q31" s="146">
        <f t="shared" si="61"/>
        <v>37.051726398674084</v>
      </c>
      <c r="R31" s="146">
        <f t="shared" si="61"/>
        <v>37.051726398674084</v>
      </c>
      <c r="S31" s="146">
        <f t="shared" si="61"/>
        <v>37.051726398674084</v>
      </c>
      <c r="T31" s="146">
        <f t="shared" si="61"/>
        <v>37.051726398674084</v>
      </c>
      <c r="U31" s="146">
        <f t="shared" si="61"/>
        <v>37.051726398674084</v>
      </c>
      <c r="V31" s="146">
        <f t="shared" si="61"/>
        <v>37.051726398674084</v>
      </c>
      <c r="W31" s="146">
        <f t="shared" si="61"/>
        <v>37.051726398674084</v>
      </c>
      <c r="X31" s="146">
        <f t="shared" si="61"/>
        <v>37.051726398674084</v>
      </c>
      <c r="Y31" s="134">
        <f>1/SUM(1/Y32,1/Y33,1/Y34,1/Y35,1/Y36,1/Y37,1/Y38,1/Y41,1/Y44)</f>
        <v>337.36619626035349</v>
      </c>
      <c r="Z31" s="134">
        <f>1/SUM(1/Z32,1/Z33,1/Z34,1/Z35,1/Z36,1/Z37,1/Z38,1/Z41,1/Z44)</f>
        <v>19500.593684921219</v>
      </c>
      <c r="AA31" s="134">
        <f>1/SUM(1/AA32,1/AA33,1/AA34,1/AA35,1/AA36,1/AA37,1/AA38,1/AA39,1/AA40,1/AA41,1/AA42,1/AA43)</f>
        <v>546.48344765325521</v>
      </c>
      <c r="AB31" s="134">
        <f>1/SUM(1/AB32,1/AB33,1/AB34,1/AB35,1/AB36,1/AB37,1/AB38,1/AB41,1/AB44)</f>
        <v>13.574296246384492</v>
      </c>
      <c r="AC31" s="134">
        <f t="shared" ref="AC31" si="62">1/SUM(1/AC32,1/AC33,1/AC34,1/AC35,1/AC36,1/AC37,1/AC38,1/AC41,1/AC44)</f>
        <v>2.6040922799168927E-2</v>
      </c>
      <c r="AD31" s="134">
        <f>1/SUM(1/AD32,1/AD33,1/AD34,1/AD35,1/AD36,1/AD37,1/AD38,1/AD41,1/AD44)</f>
        <v>12.347854319896445</v>
      </c>
      <c r="AE31" s="134">
        <f>1/SUM(1/AE32,1/AE33,1/AE34,1/AE35,1/AE36,1/AE37,1/AE38,1/AE41,1/AE44)</f>
        <v>50.70016472957105</v>
      </c>
      <c r="AF31" s="134">
        <f>1/SUM(1/AF32,1/AF35)</f>
        <v>3.7592277540031618</v>
      </c>
      <c r="AG31" s="134">
        <f>1/SUM(1/AG32,1/AG35)</f>
        <v>0.21707944552286276</v>
      </c>
      <c r="AH31" s="134">
        <f>1/SUM(1/AH32,1/AH35)</f>
        <v>0.15103081147891229</v>
      </c>
      <c r="AI31" s="134" t="s">
        <v>1432</v>
      </c>
      <c r="AJ31" s="134">
        <f>1/SUM(1/AJ32,1/AJ33,1/AJ35,1/AJ44)</f>
        <v>112.01302500480902</v>
      </c>
      <c r="AK31" s="134">
        <f>1/SUM(1/AK32,1/AK33,1/AK35,1/AK44)</f>
        <v>51.418466208406777</v>
      </c>
      <c r="AL31" s="134">
        <f>1/SUM(1/AL44)</f>
        <v>3951.7653058335136</v>
      </c>
      <c r="AM31" s="129"/>
      <c r="AN31" s="129"/>
      <c r="AO31" s="129"/>
      <c r="AP31" s="129"/>
      <c r="AQ31" s="129"/>
      <c r="AR31" s="129"/>
      <c r="AS31" s="129"/>
      <c r="AT31" s="129"/>
      <c r="AU31" s="129"/>
      <c r="AV31" s="129"/>
      <c r="AW31" s="129"/>
      <c r="AX31" s="129"/>
      <c r="AY31" s="129"/>
      <c r="AZ31" s="129"/>
      <c r="BA31" s="134">
        <f>1/SUM(1/BA32,1/BA33,1/BA34,1/BA35,1/BA36,1/BA37,1/BA38,1/BA39,1/BA40,1/BA41,1/BA42,1/BA43,1/BA44)</f>
        <v>1.9887683090337827E-2</v>
      </c>
      <c r="BB31" s="146">
        <f t="shared" ref="BB31:BD31" si="63">SUM(BB32:BB44)</f>
        <v>7.4103452797348146E-2</v>
      </c>
      <c r="BC31" s="146">
        <f t="shared" si="63"/>
        <v>1.2820122507004072E-3</v>
      </c>
      <c r="BD31" s="146">
        <f t="shared" si="63"/>
        <v>4.5747039745406073E-2</v>
      </c>
      <c r="BE31" s="146">
        <f>s_b2s!BZ31</f>
        <v>1.8417161041891024</v>
      </c>
      <c r="BF31" s="146">
        <f t="shared" ref="BF31:BO31" si="64">SUM(BF32:BF44)</f>
        <v>960.02742271475313</v>
      </c>
      <c r="BG31" s="146">
        <f t="shared" si="64"/>
        <v>2.0246432580368885</v>
      </c>
      <c r="BH31" s="146">
        <f t="shared" si="64"/>
        <v>0.49309504482573518</v>
      </c>
      <c r="BI31" s="146">
        <f t="shared" si="64"/>
        <v>6.6503020396616739</v>
      </c>
      <c r="BJ31" s="146">
        <f t="shared" si="64"/>
        <v>115.16521032096983</v>
      </c>
      <c r="BK31" s="146">
        <f t="shared" si="64"/>
        <v>165.52913776465155</v>
      </c>
      <c r="BL31" s="146">
        <f t="shared" si="64"/>
        <v>0</v>
      </c>
      <c r="BM31" s="146">
        <f t="shared" si="64"/>
        <v>0.22318833009756395</v>
      </c>
      <c r="BN31" s="146">
        <f t="shared" si="64"/>
        <v>4.9772772749069807</v>
      </c>
      <c r="BO31" s="146">
        <f t="shared" si="64"/>
        <v>6.3262866251433281E-3</v>
      </c>
      <c r="BP31" s="147">
        <f t="shared" ref="BP31" si="65">SUM(BB31:BO31)</f>
        <v>1257.0594516435112</v>
      </c>
      <c r="BQ31" s="134">
        <f>1/SUM(1/BQ32,1/BQ33,1/BQ34,1/BQ35,1/BQ36,1/BQ37,1/BQ38,1/BQ41,1/BQ44)</f>
        <v>3.7110281588638885</v>
      </c>
      <c r="BR31" s="134"/>
      <c r="BS31" s="134">
        <f>1/SUM(1/BS32,1/BS33,1/BS34,1/BS35,1/BS36,1/BS37,1/BS38,1/BS39,1/BS40,1/BS41,1/BS42,1/BS43)</f>
        <v>20.121085393299968</v>
      </c>
      <c r="BT31" s="134">
        <f>1/SUM(1/BT32,1/BT33,1/BT34,1/BT35,1/BT36,1/BT37,1/BT38,1/BT41,1/BT44)</f>
        <v>18.275631142034037</v>
      </c>
      <c r="BU31" s="134">
        <f t="shared" ref="BU31" si="66">1/SUM(1/BU32,1/BU33,1/BU34,1/BU35,1/BU36,1/BU37,1/BU38,1/BU41,1/BU44)</f>
        <v>13.468356078572231</v>
      </c>
      <c r="BV31" s="134">
        <f>1/SUM(1/BV32,1/BV33,1/BV34,1/BV35,1/BV36,1/BV37,1/BV38,1/BV41,1/BV44)</f>
        <v>219579.18752509111</v>
      </c>
      <c r="BW31" s="134">
        <f>1/SUM(1/BW32,1/BW33,1/BW34,1/BW35,1/BW36,1/BW37,1/BW38,1/BW41,1/BW44)</f>
        <v>904039.19633399032</v>
      </c>
      <c r="BX31" s="134">
        <f>1/SUM(1/BX32,1/BX35)</f>
        <v>66446.192551853252</v>
      </c>
      <c r="BY31" s="134">
        <f>1/SUM(1/BY32,1/BY35)</f>
        <v>3836.3838675339616</v>
      </c>
      <c r="BZ31" s="134">
        <f>1/SUM(1/BZ32,1/BZ35)</f>
        <v>2669.6609762153298</v>
      </c>
      <c r="CA31" s="134" t="s">
        <v>1432</v>
      </c>
      <c r="CB31" s="134">
        <f>1/SUM(1/CB32,1/CB33,1/CB35,1/CB44)</f>
        <v>1979150.8704958223</v>
      </c>
      <c r="CC31" s="134">
        <f>1/SUM(1/CC32,1/CC33,1/CC35,1/CC44)</f>
        <v>906553.75198710489</v>
      </c>
      <c r="CD31" s="134">
        <f>1/SUM(1/CD44)</f>
        <v>70405014.069447666</v>
      </c>
      <c r="CE31" s="141"/>
      <c r="CF31" s="141"/>
      <c r="CG31" s="141"/>
      <c r="CH31" s="141"/>
      <c r="CI31" s="141"/>
      <c r="CJ31" s="141"/>
      <c r="CK31" s="141"/>
      <c r="CL31" s="141"/>
      <c r="CM31" s="141"/>
      <c r="CN31" s="141"/>
      <c r="CO31" s="141"/>
      <c r="CP31" s="141"/>
      <c r="CQ31" s="141"/>
      <c r="CR31" s="141"/>
      <c r="CS31" s="134">
        <f>1/SUM(1/CS32,1/CS33,1/CS34,1/CS35,1/CS36,1/CS37,1/CS38,1/CS39,1/CS40,1/CS41,1/CS42,1/CS43,1/CS44)</f>
        <v>2.2276442693388767</v>
      </c>
      <c r="CT31" s="146">
        <f>SUM(CT32:CT44)</f>
        <v>6.7366775270316497</v>
      </c>
      <c r="CU31" s="146">
        <f t="shared" ref="CU31:CV31" si="67">SUM(CU32:CU44)</f>
        <v>198.58617436184787</v>
      </c>
      <c r="CV31" s="146">
        <f t="shared" si="67"/>
        <v>1.2451045312171816</v>
      </c>
      <c r="CW31" s="146">
        <f>s_b2w!BZ31</f>
        <v>1.3679418131010466</v>
      </c>
      <c r="CX31" s="146">
        <f t="shared" ref="CX31:DH46" si="68">SUM(CX32:CX44)</f>
        <v>1.8562027803656218</v>
      </c>
      <c r="CY31" s="146">
        <f t="shared" si="68"/>
        <v>1.1385414201490877E-4</v>
      </c>
      <c r="CZ31" s="146">
        <f t="shared" si="68"/>
        <v>2.7653668227416046E-5</v>
      </c>
      <c r="DA31" s="146">
        <f t="shared" si="68"/>
        <v>3.7624428187500004E-4</v>
      </c>
      <c r="DB31" s="146">
        <f t="shared" si="68"/>
        <v>6.5165533125000003E-3</v>
      </c>
      <c r="DC31" s="146">
        <f t="shared" si="68"/>
        <v>9.3644849375000005E-3</v>
      </c>
      <c r="DD31" s="146">
        <f t="shared" si="68"/>
        <v>0</v>
      </c>
      <c r="DE31" s="146">
        <f t="shared" si="68"/>
        <v>1.2631679763623545E-5</v>
      </c>
      <c r="DF31" s="146">
        <f t="shared" si="68"/>
        <v>2.7926830754856316E-4</v>
      </c>
      <c r="DG31" s="146">
        <f t="shared" si="68"/>
        <v>3.5508834605643206E-7</v>
      </c>
      <c r="DH31" s="146">
        <f t="shared" si="68"/>
        <v>0</v>
      </c>
      <c r="DI31" s="134">
        <f>1/SUM(1/DI32,1/DI33,1/DI34,1/DI35,1/DI36,1/DI37,1/DI38,1/DI41,1/DI44)</f>
        <v>6.2944966033856395E-2</v>
      </c>
      <c r="DJ31" s="134">
        <f>1/SUM(1/DJ32,1/DJ33,1/DJ34,1/DJ35,1/DJ36,1/DJ37,1/DJ38,1/DJ39,1/DJ40,1/DJ41,1/DJ42,1/DJ43,1/DJ44)</f>
        <v>1.7487354854657793E-2</v>
      </c>
      <c r="DK31" s="134">
        <f>1/SUM(1/DK32,1/DK33,1/DK34,1/DK35,1/DK36,1/DK37,1/DK38,1/DK39,1/DK40,1/DK41,1/DK42,1/DK43,1/DK44)</f>
        <v>1.3685306418972368E-2</v>
      </c>
      <c r="DL31" s="146">
        <f t="shared" ref="DL31:DM31" si="69">SUM(DL32:DL44)</f>
        <v>397.17234872369573</v>
      </c>
      <c r="DM31" s="146">
        <f t="shared" si="69"/>
        <v>1429.6044317612275</v>
      </c>
      <c r="DN31" s="146">
        <f t="shared" ref="DN31" si="70">SUM(DL31:DM31)</f>
        <v>1826.7767804849232</v>
      </c>
    </row>
    <row r="32" spans="1:118" x14ac:dyDescent="0.25">
      <c r="A32" s="135" t="s">
        <v>1087</v>
      </c>
      <c r="B32" s="129">
        <v>1</v>
      </c>
      <c r="C32" s="136">
        <f t="shared" ref="C32:M32" si="71">IFERROR(C3/$B32,0)</f>
        <v>1.2513381497338718</v>
      </c>
      <c r="D32" s="136">
        <f t="shared" si="71"/>
        <v>3.7540144492016148</v>
      </c>
      <c r="E32" s="136">
        <f t="shared" si="71"/>
        <v>3.7540144492016148</v>
      </c>
      <c r="F32" s="136">
        <f t="shared" si="71"/>
        <v>3.7540144492016148</v>
      </c>
      <c r="G32" s="136">
        <f t="shared" si="71"/>
        <v>3.7540144492016148</v>
      </c>
      <c r="H32" s="136">
        <f t="shared" si="71"/>
        <v>3.7540144492016148</v>
      </c>
      <c r="I32" s="136">
        <f t="shared" si="71"/>
        <v>3.7540144492016148</v>
      </c>
      <c r="J32" s="136">
        <f t="shared" si="71"/>
        <v>3.7540144492016148</v>
      </c>
      <c r="K32" s="136">
        <f t="shared" si="71"/>
        <v>3.7540144492016148</v>
      </c>
      <c r="L32" s="136">
        <f t="shared" si="71"/>
        <v>3.7540144492016148</v>
      </c>
      <c r="M32" s="136">
        <f t="shared" si="71"/>
        <v>3.7540144492016148</v>
      </c>
      <c r="N32" s="149">
        <f>s_dir!BA32</f>
        <v>113437.5</v>
      </c>
      <c r="O32" s="149">
        <f>IFERROR(s_RadSpec!$J$3*O3,".")*$B$32</f>
        <v>6.6595375000000008</v>
      </c>
      <c r="P32" s="149">
        <f>IFERROR(s_RadSpec!$J$3*P3,".")*$B$32</f>
        <v>6.6595375000000008</v>
      </c>
      <c r="Q32" s="149">
        <f>IFERROR(s_RadSpec!$J$3*Q3,".")*$B$32</f>
        <v>6.6595375000000008</v>
      </c>
      <c r="R32" s="149">
        <f>IFERROR(s_RadSpec!$J$3*R3,".")*$B$32</f>
        <v>6.6595375000000008</v>
      </c>
      <c r="S32" s="149">
        <f>IFERROR(s_RadSpec!$J$3*S3,".")*$B$32</f>
        <v>6.6595375000000008</v>
      </c>
      <c r="T32" s="149">
        <f>IFERROR(s_RadSpec!$J$3*T3,".")*$B$32</f>
        <v>6.6595375000000008</v>
      </c>
      <c r="U32" s="149">
        <f>IFERROR(s_RadSpec!$J$3*U3,".")*$B$32</f>
        <v>6.6595375000000008</v>
      </c>
      <c r="V32" s="149">
        <f>IFERROR(s_RadSpec!$J$3*V3,".")*$B$32</f>
        <v>6.6595375000000008</v>
      </c>
      <c r="W32" s="149">
        <f>IFERROR(s_RadSpec!$J$3*W3,".")*$B$32</f>
        <v>6.6595375000000008</v>
      </c>
      <c r="X32" s="149">
        <f>IFERROR(s_RadSpec!$J$3*X3,".")*$B$32</f>
        <v>6.6595375000000008</v>
      </c>
      <c r="Y32" s="136">
        <f>IFERROR(Y3/$B32,0)</f>
        <v>1877.0072246008076</v>
      </c>
      <c r="Z32" s="136">
        <f>IFERROR(Z3/$B32,0)</f>
        <v>42565.388111043583</v>
      </c>
      <c r="AA32" s="136">
        <f>IFERROR(AA3/$B32,0)</f>
        <v>12433024.99314896</v>
      </c>
      <c r="AB32" s="136">
        <f>IFERROR(AB3/$B32,0)</f>
        <v>90.342801944543481</v>
      </c>
      <c r="AC32" s="136">
        <f t="shared" ref="AC32" si="72">IFERROR(AC3/$B32,0)</f>
        <v>6.2566907486693579E-2</v>
      </c>
      <c r="AD32" s="136">
        <f>IFERROR(AD3/$B32,0)</f>
        <v>85.802944939405279</v>
      </c>
      <c r="AE32" s="136">
        <f>IFERROR(AE3/$B32,0)</f>
        <v>105210.75391379457</v>
      </c>
      <c r="AF32" s="136">
        <f t="shared" ref="AF32" si="73">IFERROR(AF3/$B32,0)</f>
        <v>252.36160276295669</v>
      </c>
      <c r="AG32" s="136">
        <f t="shared" ref="AG32:AH32" si="74">IFERROR(AG3/$B32,0)</f>
        <v>7.1502454116171066</v>
      </c>
      <c r="AH32" s="136">
        <f t="shared" si="74"/>
        <v>14.300490823234213</v>
      </c>
      <c r="AI32" s="136">
        <f t="shared" ref="AI32" si="75">IFERROR(AI3/$B32,0)</f>
        <v>0</v>
      </c>
      <c r="AJ32" s="136">
        <f t="shared" ref="AJ32:AL32" si="76">IFERROR(AJ3/$B32,0)</f>
        <v>6404.1328469266264</v>
      </c>
      <c r="AK32" s="136">
        <f t="shared" si="76"/>
        <v>390.01338608820583</v>
      </c>
      <c r="AL32" s="136">
        <f t="shared" si="76"/>
        <v>0</v>
      </c>
      <c r="AM32" s="129"/>
      <c r="AN32" s="129"/>
      <c r="AO32" s="129"/>
      <c r="AP32" s="129"/>
      <c r="AQ32" s="129"/>
      <c r="AR32" s="129"/>
      <c r="AS32" s="129"/>
      <c r="AT32" s="129"/>
      <c r="AU32" s="129"/>
      <c r="AV32" s="129"/>
      <c r="AW32" s="129"/>
      <c r="AX32" s="129"/>
      <c r="AY32" s="129"/>
      <c r="AZ32" s="129"/>
      <c r="BA32" s="136">
        <f>IFERROR(BA3/$B32,0)</f>
        <v>6.1642228569355369E-2</v>
      </c>
      <c r="BB32" s="149">
        <f>IFERROR(s_RadSpec!$I$3*BB3,".")*$B$32</f>
        <v>1.3319075000000001E-2</v>
      </c>
      <c r="BC32" s="149">
        <f>IFERROR(s_RadSpec!$L$3*BC3,".")*$B$32</f>
        <v>5.8733165864200722E-4</v>
      </c>
      <c r="BD32" s="149">
        <f>IFERROR(s_RadSpec!$K$3*BD3,".")*$B$32</f>
        <v>2.0107737267298905E-6</v>
      </c>
      <c r="BE32" s="149">
        <f>s_b2s!BZ32</f>
        <v>0.27672376173749996</v>
      </c>
      <c r="BF32" s="149">
        <f>IFERROR(s_RadSpec!$J$3*BF3,".")*$B$32</f>
        <v>399.57225</v>
      </c>
      <c r="BG32" s="149">
        <f>IFERROR(s_RadSpec!$J$3*BG3,".")*$B$32</f>
        <v>0.29136529075610634</v>
      </c>
      <c r="BH32" s="149">
        <f>IFERROR(s_RadSpec!$J$3*BH3,".")*$B$32</f>
        <v>2.3761829537391195E-4</v>
      </c>
      <c r="BI32" s="149">
        <f>IFERROR(s_RadSpec!$J$3*BI3,".")*$B$32</f>
        <v>9.9064198857076152E-2</v>
      </c>
      <c r="BJ32" s="149">
        <f>IFERROR(s_RadSpec!$J$3*BJ3,".")*$B$32</f>
        <v>3.4963834890732755</v>
      </c>
      <c r="BK32" s="149">
        <f>IFERROR(s_RadSpec!$J$3*BK3,".")*$B$32</f>
        <v>1.7481917445366377</v>
      </c>
      <c r="BL32" s="149">
        <f>IFERROR(s_RadSpec!$J$3*BL3,".")*$B$32</f>
        <v>0</v>
      </c>
      <c r="BM32" s="149">
        <f>IFERROR(s_RadSpec!$J$3*BM3,".")*$B$32</f>
        <v>3.9037291382856961E-3</v>
      </c>
      <c r="BN32" s="149">
        <f>IFERROR(s_RadSpec!$J$3*BN3,".")*$B$32</f>
        <v>6.4100363966343388E-2</v>
      </c>
      <c r="BO32" s="149">
        <f>IFERROR(s_RadSpec!$J$3*BO3,".")*$B$32</f>
        <v>0</v>
      </c>
      <c r="BP32" s="150">
        <f>SUM(BB32:BO32)</f>
        <v>405.56612861379301</v>
      </c>
      <c r="BQ32" s="136">
        <f>IFERROR(BQ3/$B32,0)</f>
        <v>20.64707947060888</v>
      </c>
      <c r="BR32" s="136">
        <f>IFERROR(BR3/$B32,0)</f>
        <v>0</v>
      </c>
      <c r="BS32" s="136">
        <f>IFERROR(BS3/$B32,0)</f>
        <v>692.07607654171807</v>
      </c>
      <c r="BT32" s="136">
        <f>IFERROR(BT3/$B32,0)</f>
        <v>106.34705538852155</v>
      </c>
      <c r="BU32" s="136">
        <f t="shared" ref="BU32" si="77">IFERROR(BU3/$B32,0)</f>
        <v>15.641726871673395</v>
      </c>
      <c r="BV32" s="136">
        <f>IFERROR(BV3/$B32,0)</f>
        <v>1501605.7796806458</v>
      </c>
      <c r="BW32" s="136">
        <f>IFERROR(BW3/$B32,0)</f>
        <v>1841254706.0369823</v>
      </c>
      <c r="BX32" s="136">
        <f t="shared" ref="BX32:CD32" si="78">IFERROR(BX3/$B32,0)</f>
        <v>4416487.5872960165</v>
      </c>
      <c r="BY32" s="136">
        <f t="shared" si="78"/>
        <v>125133.81497338715</v>
      </c>
      <c r="BZ32" s="136">
        <f t="shared" si="78"/>
        <v>250267.62994677431</v>
      </c>
      <c r="CA32" s="136">
        <f t="shared" si="78"/>
        <v>0</v>
      </c>
      <c r="CB32" s="136">
        <f t="shared" si="78"/>
        <v>112076373.41094677</v>
      </c>
      <c r="CC32" s="136">
        <f t="shared" si="78"/>
        <v>6825480.8167302087</v>
      </c>
      <c r="CD32" s="136">
        <f t="shared" si="78"/>
        <v>0</v>
      </c>
      <c r="CE32" s="141"/>
      <c r="CF32" s="141"/>
      <c r="CG32" s="141"/>
      <c r="CH32" s="141"/>
      <c r="CI32" s="141"/>
      <c r="CJ32" s="141"/>
      <c r="CK32" s="141"/>
      <c r="CL32" s="141"/>
      <c r="CM32" s="141"/>
      <c r="CN32" s="141"/>
      <c r="CO32" s="141"/>
      <c r="CP32" s="141"/>
      <c r="CQ32" s="141"/>
      <c r="CR32" s="141"/>
      <c r="CS32" s="136">
        <f>IFERROR(CS3/$B32,0)</f>
        <v>8.1151903466091078</v>
      </c>
      <c r="CT32" s="149">
        <f>IFERROR(s_RadSpec!$M$3*CT3,".")*$B$32</f>
        <v>1.210825</v>
      </c>
      <c r="CU32" s="149">
        <f>IFERROR(s_RadSpec!$L$3*CU3,".")*$B$32</f>
        <v>90.978808593749989</v>
      </c>
      <c r="CV32" s="149">
        <f>IFERROR(s_RadSpec!$Q$3*CV3,".")*$B$32</f>
        <v>3.6123196347031962E-2</v>
      </c>
      <c r="CW32" s="149">
        <f>s_b2w!BZ32</f>
        <v>0.23507938145223295</v>
      </c>
      <c r="CX32" s="149">
        <f>IFERROR(s_RadSpec!$J$3*CX3,".")*$B$32</f>
        <v>1.5982890000000001</v>
      </c>
      <c r="CY32" s="149">
        <f>IFERROR(s_RadSpec!$J$3*CY3,".")*$B$32</f>
        <v>1.664884375E-5</v>
      </c>
      <c r="CZ32" s="149">
        <f>IFERROR(s_RadSpec!$J$3*CZ3,".")*$B$32</f>
        <v>1.3577697815533983E-8</v>
      </c>
      <c r="DA32" s="149">
        <f>IFERROR(s_RadSpec!$J$3*DA3,".")*$B$32</f>
        <v>5.6606068750000001E-6</v>
      </c>
      <c r="DB32" s="149">
        <f>IFERROR(s_RadSpec!$J$3*DB3,".")*$B$32</f>
        <v>1.9978612500000002E-4</v>
      </c>
      <c r="DC32" s="149">
        <f>IFERROR(s_RadSpec!$J$3*DC3,".")*$B$32</f>
        <v>9.9893062500000008E-5</v>
      </c>
      <c r="DD32" s="149">
        <f>IFERROR(s_RadSpec!$J$3*DD3,".")*$B$32</f>
        <v>0</v>
      </c>
      <c r="DE32" s="149">
        <f>IFERROR(s_RadSpec!$J$3*DE3,".")*$B$32</f>
        <v>2.2306217839805826E-7</v>
      </c>
      <c r="DF32" s="149">
        <f>IFERROR(s_RadSpec!$J$3*DF3,".")*$B$32</f>
        <v>3.6627456249999999E-6</v>
      </c>
      <c r="DG32" s="149">
        <f>IFERROR(s_RadSpec!$J$3*DG3,".")*$B$32</f>
        <v>0</v>
      </c>
      <c r="DH32" s="150">
        <f t="shared" si="68"/>
        <v>0</v>
      </c>
      <c r="DI32" s="136">
        <f>IFERROR(DI3/$B32,0)</f>
        <v>0.13739463280747685</v>
      </c>
      <c r="DJ32" s="136">
        <f>IFERROR(DJ3/$B32,0)</f>
        <v>0.63440307016324149</v>
      </c>
      <c r="DK32" s="136">
        <f>IFERROR(DK3/$B32,0)</f>
        <v>0.11293578167117387</v>
      </c>
      <c r="DL32" s="149">
        <f>IFERROR(s_RadSpec!$L$3*DL3,".")*$B$32</f>
        <v>181.95761718749998</v>
      </c>
      <c r="DM32" s="149">
        <f>IFERROR(s_RadSpec!$O$3*DM3,".")*$B$32</f>
        <v>39.407123287671233</v>
      </c>
      <c r="DN32" s="150">
        <f>SUM(DL32:DM32)</f>
        <v>221.3647404751712</v>
      </c>
    </row>
    <row r="33" spans="1:118" x14ac:dyDescent="0.25">
      <c r="A33" s="135" t="s">
        <v>1063</v>
      </c>
      <c r="B33" s="129">
        <v>1</v>
      </c>
      <c r="C33" s="136">
        <f t="shared" ref="C33:M34" si="79">IFERROR(C13/$B33,0)</f>
        <v>2.3825478370932913</v>
      </c>
      <c r="D33" s="136">
        <f t="shared" si="79"/>
        <v>7.1476435112798749</v>
      </c>
      <c r="E33" s="136">
        <f t="shared" si="79"/>
        <v>7.1476435112798749</v>
      </c>
      <c r="F33" s="136">
        <f t="shared" si="79"/>
        <v>7.1476435112798749</v>
      </c>
      <c r="G33" s="136">
        <f t="shared" si="79"/>
        <v>7.1476435112798749</v>
      </c>
      <c r="H33" s="136">
        <f t="shared" si="79"/>
        <v>7.1476435112798749</v>
      </c>
      <c r="I33" s="136">
        <f t="shared" si="79"/>
        <v>7.1476435112798749</v>
      </c>
      <c r="J33" s="136">
        <f t="shared" si="79"/>
        <v>7.1476435112798749</v>
      </c>
      <c r="K33" s="136">
        <f t="shared" si="79"/>
        <v>7.1476435112798749</v>
      </c>
      <c r="L33" s="136">
        <f t="shared" si="79"/>
        <v>7.1476435112798749</v>
      </c>
      <c r="M33" s="136">
        <f t="shared" si="79"/>
        <v>7.1476435112798749</v>
      </c>
      <c r="N33" s="149">
        <f>s_dir!BA33</f>
        <v>113437.5</v>
      </c>
      <c r="O33" s="149">
        <f>IFERROR(s_RadSpec!$J$13*O13,".")*$B$33</f>
        <v>3.4976562500000004</v>
      </c>
      <c r="P33" s="149">
        <f>IFERROR(s_RadSpec!$J$13*P13,".")*$B$33</f>
        <v>3.4976562500000004</v>
      </c>
      <c r="Q33" s="149">
        <f>IFERROR(s_RadSpec!$J$13*Q13,".")*$B$33</f>
        <v>3.4976562500000004</v>
      </c>
      <c r="R33" s="149">
        <f>IFERROR(s_RadSpec!$J$13*R13,".")*$B$33</f>
        <v>3.4976562500000004</v>
      </c>
      <c r="S33" s="149">
        <f>IFERROR(s_RadSpec!$J$13*S13,".")*$B$33</f>
        <v>3.4976562500000004</v>
      </c>
      <c r="T33" s="149">
        <f>IFERROR(s_RadSpec!$J$13*T13,".")*$B$33</f>
        <v>3.4976562500000004</v>
      </c>
      <c r="U33" s="149">
        <f>IFERROR(s_RadSpec!$J$13*U13,".")*$B$33</f>
        <v>3.4976562500000004</v>
      </c>
      <c r="V33" s="149">
        <f>IFERROR(s_RadSpec!$J$13*V13,".")*$B$33</f>
        <v>3.4976562500000004</v>
      </c>
      <c r="W33" s="149">
        <f>IFERROR(s_RadSpec!$J$13*W13,".")*$B$33</f>
        <v>3.4976562500000004</v>
      </c>
      <c r="X33" s="149">
        <f>IFERROR(s_RadSpec!$J$13*X13,".")*$B$33</f>
        <v>3.4976562500000004</v>
      </c>
      <c r="Y33" s="136">
        <f t="shared" ref="Y33:Z34" si="80">IFERROR(Y13/$B33,0)</f>
        <v>3573.8217556399372</v>
      </c>
      <c r="Z33" s="136">
        <f t="shared" si="80"/>
        <v>331401.950293125</v>
      </c>
      <c r="AA33" s="136">
        <f t="shared" ref="AA33:AH34" si="81">IFERROR(AA13/$B33,0)</f>
        <v>170213.35873318999</v>
      </c>
      <c r="AB33" s="136">
        <f t="shared" si="81"/>
        <v>112.20790441569662</v>
      </c>
      <c r="AC33" s="136">
        <f t="shared" si="81"/>
        <v>4.7650956741865834E-2</v>
      </c>
      <c r="AD33" s="136">
        <f t="shared" si="81"/>
        <v>81.300210554842181</v>
      </c>
      <c r="AE33" s="136">
        <f t="shared" si="81"/>
        <v>8373.9216871487442</v>
      </c>
      <c r="AF33" s="136">
        <f t="shared" ref="AF33" si="82">IFERROR(AF13/$B33,0)</f>
        <v>0</v>
      </c>
      <c r="AG33" s="136">
        <f t="shared" si="81"/>
        <v>0</v>
      </c>
      <c r="AH33" s="136">
        <f t="shared" si="81"/>
        <v>0</v>
      </c>
      <c r="AI33" s="136">
        <f t="shared" ref="AI33" si="83">IFERROR(AI13/$B33,0)</f>
        <v>0</v>
      </c>
      <c r="AJ33" s="136">
        <f t="shared" ref="AJ33:AL33" si="84">IFERROR(AJ13/$B33,0)</f>
        <v>1579.9852239903291</v>
      </c>
      <c r="AK33" s="136">
        <f t="shared" si="84"/>
        <v>203.25052638710545</v>
      </c>
      <c r="AL33" s="136">
        <f t="shared" si="84"/>
        <v>0</v>
      </c>
      <c r="AM33" s="129"/>
      <c r="AN33" s="129"/>
      <c r="AO33" s="129"/>
      <c r="AP33" s="129"/>
      <c r="AQ33" s="129"/>
      <c r="AR33" s="129"/>
      <c r="AS33" s="129"/>
      <c r="AT33" s="129"/>
      <c r="AU33" s="129"/>
      <c r="AV33" s="129"/>
      <c r="AW33" s="129"/>
      <c r="AX33" s="129"/>
      <c r="AY33" s="129"/>
      <c r="AZ33" s="129"/>
      <c r="BA33" s="136">
        <f t="shared" ref="BA33:BA34" si="85">IFERROR(BA13/$B33,0)</f>
        <v>4.7589336697922202E-2</v>
      </c>
      <c r="BB33" s="149">
        <f>IFERROR(s_RadSpec!$I$13*BB13,".")*$B$33</f>
        <v>6.9953125000000007E-3</v>
      </c>
      <c r="BC33" s="149">
        <f>IFERROR(s_RadSpec!$L$13*BC13,".")*$B$33</f>
        <v>7.5437093770533035E-5</v>
      </c>
      <c r="BD33" s="149">
        <f>IFERROR(s_RadSpec!$K$13*BD13,".")*$B$33</f>
        <v>1.4687448850114981E-4</v>
      </c>
      <c r="BE33" s="149">
        <f>s_b2s!BZ33</f>
        <v>0.22280070312500003</v>
      </c>
      <c r="BF33" s="149">
        <f>IFERROR(s_RadSpec!$J$13*BF13,".")*$B$33</f>
        <v>524.6484375</v>
      </c>
      <c r="BG33" s="149">
        <f>IFERROR(s_RadSpec!$J$13*BG13,".")*$B$33</f>
        <v>0.30750227864583335</v>
      </c>
      <c r="BH33" s="149">
        <f>IFERROR(s_RadSpec!$J$13*BH13,".")*$B$33</f>
        <v>2.9854590159789644E-3</v>
      </c>
      <c r="BI33" s="149">
        <f>IFERROR(s_RadSpec!$J$13*BI13,".")*$B$33</f>
        <v>0</v>
      </c>
      <c r="BJ33" s="149">
        <f>IFERROR(s_RadSpec!$J$13*BJ13,".")*$B$33</f>
        <v>0</v>
      </c>
      <c r="BK33" s="149">
        <f>IFERROR(s_RadSpec!$J$13*BK13,".")*$B$33</f>
        <v>0</v>
      </c>
      <c r="BL33" s="149">
        <f>IFERROR(s_RadSpec!$J$13*BL13,".")*$B$33</f>
        <v>0</v>
      </c>
      <c r="BM33" s="149">
        <f>IFERROR(s_RadSpec!$J$13*BM13,".")*$B$33</f>
        <v>1.582293278468851E-2</v>
      </c>
      <c r="BN33" s="149">
        <f>IFERROR(s_RadSpec!$J$13*BN13,".")*$B$33</f>
        <v>0.12300091145833335</v>
      </c>
      <c r="BO33" s="149">
        <f>IFERROR(s_RadSpec!$J$13*BO13,".")*$B$33</f>
        <v>0</v>
      </c>
      <c r="BP33" s="150">
        <f t="shared" ref="BP33:BP76" si="86">SUM(BB33:BO33)</f>
        <v>525.3277674091122</v>
      </c>
      <c r="BQ33" s="136">
        <f t="shared" ref="BQ33:CD34" si="87">IFERROR(BQ13/$B33,0)</f>
        <v>39.31203931203931</v>
      </c>
      <c r="BR33" s="136">
        <f t="shared" si="87"/>
        <v>0</v>
      </c>
      <c r="BS33" s="136">
        <f t="shared" si="87"/>
        <v>552.22650667059361</v>
      </c>
      <c r="BT33" s="136">
        <f t="shared" si="87"/>
        <v>180.0401251308069</v>
      </c>
      <c r="BU33" s="136">
        <f t="shared" si="87"/>
        <v>238.25478370932916</v>
      </c>
      <c r="BV33" s="136">
        <f t="shared" si="87"/>
        <v>1429528.7022559748</v>
      </c>
      <c r="BW33" s="136">
        <f t="shared" si="87"/>
        <v>147241456.33236542</v>
      </c>
      <c r="BX33" s="136">
        <f t="shared" si="87"/>
        <v>0</v>
      </c>
      <c r="BY33" s="136">
        <f t="shared" si="87"/>
        <v>0</v>
      </c>
      <c r="BZ33" s="136">
        <f t="shared" si="87"/>
        <v>0</v>
      </c>
      <c r="CA33" s="136">
        <f t="shared" si="87"/>
        <v>0</v>
      </c>
      <c r="CB33" s="136">
        <f t="shared" si="87"/>
        <v>27781406.855163287</v>
      </c>
      <c r="CC33" s="136">
        <f t="shared" si="87"/>
        <v>3573821.7556399377</v>
      </c>
      <c r="CD33" s="136">
        <f t="shared" si="87"/>
        <v>0</v>
      </c>
      <c r="CE33" s="141"/>
      <c r="CF33" s="141"/>
      <c r="CG33" s="141"/>
      <c r="CH33" s="141"/>
      <c r="CI33" s="141"/>
      <c r="CJ33" s="141"/>
      <c r="CK33" s="141"/>
      <c r="CL33" s="141"/>
      <c r="CM33" s="141"/>
      <c r="CN33" s="141"/>
      <c r="CO33" s="141"/>
      <c r="CP33" s="141"/>
      <c r="CQ33" s="141"/>
      <c r="CR33" s="141"/>
      <c r="CS33" s="136">
        <f t="shared" ref="CS33:CS34" si="88">IFERROR(CS13/$B33,0)</f>
        <v>27.026385571277316</v>
      </c>
      <c r="CT33" s="149">
        <f>IFERROR(s_RadSpec!$M$13*CT13,".")*$B$33</f>
        <v>0.63593750000000004</v>
      </c>
      <c r="CU33" s="149">
        <f>IFERROR(s_RadSpec!$L$13*CU13,".")*$B$33</f>
        <v>11.685351562499999</v>
      </c>
      <c r="CV33" s="149">
        <f>IFERROR(s_RadSpec!$Q$13*CV13,".")*$B$33</f>
        <v>4.5271278538812784E-2</v>
      </c>
      <c r="CW33" s="149">
        <f>s_b2w!BZ33</f>
        <v>0.1388579350399608</v>
      </c>
      <c r="CX33" s="149">
        <f>IFERROR(s_RadSpec!$J$13*CX13,".")*$B$33</f>
        <v>0.10492968750000001</v>
      </c>
      <c r="CY33" s="149">
        <f>IFERROR(s_RadSpec!$J$13*CY13,".")*$B$33</f>
        <v>1.748828125E-5</v>
      </c>
      <c r="CZ33" s="149">
        <f>IFERROR(s_RadSpec!$J$13*CZ13,".")*$B$33</f>
        <v>1.6978913834951458E-7</v>
      </c>
      <c r="DA33" s="149">
        <f>IFERROR(s_RadSpec!$J$13*DA13,".")*$B$33</f>
        <v>0</v>
      </c>
      <c r="DB33" s="149">
        <f>IFERROR(s_RadSpec!$J$13*DB13,".")*$B$33</f>
        <v>0</v>
      </c>
      <c r="DC33" s="149">
        <f>IFERROR(s_RadSpec!$J$13*DC13,".")*$B$33</f>
        <v>0</v>
      </c>
      <c r="DD33" s="149">
        <f>IFERROR(s_RadSpec!$J$13*DD13,".")*$B$33</f>
        <v>0</v>
      </c>
      <c r="DE33" s="149">
        <f>IFERROR(s_RadSpec!$J$13*DE13,".")*$B$33</f>
        <v>8.9988243325242722E-7</v>
      </c>
      <c r="DF33" s="149">
        <f>IFERROR(s_RadSpec!$J$13*DF13,".")*$B$33</f>
        <v>6.9953125000000006E-6</v>
      </c>
      <c r="DG33" s="149">
        <f>IFERROR(s_RadSpec!$J$13*DG13,".")*$B$33</f>
        <v>0</v>
      </c>
      <c r="DH33" s="150">
        <f t="shared" si="68"/>
        <v>0</v>
      </c>
      <c r="DI33" s="136">
        <f t="shared" ref="DI33" si="89">IFERROR(DI13/$B33,0)</f>
        <v>1.0697153554296412</v>
      </c>
      <c r="DJ33" s="136">
        <f t="shared" ref="DJ33:DK34" si="90">IFERROR(DJ13/$B33,0)</f>
        <v>0.49571960831360268</v>
      </c>
      <c r="DK33" s="136">
        <f t="shared" si="90"/>
        <v>0.33874219580009468</v>
      </c>
      <c r="DL33" s="149">
        <f>IFERROR(s_RadSpec!$L$13*DL13,".")*$B$33</f>
        <v>23.370703124999999</v>
      </c>
      <c r="DM33" s="149">
        <f>IFERROR(s_RadSpec!$O$13*DM13,".")*$B$33</f>
        <v>50.43173515981735</v>
      </c>
      <c r="DN33" s="150">
        <f t="shared" ref="DN33:DN76" si="91">SUM(DL33:DM33)</f>
        <v>73.802438284817356</v>
      </c>
    </row>
    <row r="34" spans="1:118" x14ac:dyDescent="0.25">
      <c r="A34" s="135" t="s">
        <v>1064</v>
      </c>
      <c r="B34" s="129">
        <v>1</v>
      </c>
      <c r="C34" s="136">
        <f t="shared" si="79"/>
        <v>225.62006033080414</v>
      </c>
      <c r="D34" s="136">
        <f t="shared" si="79"/>
        <v>676.86018099241244</v>
      </c>
      <c r="E34" s="136">
        <f t="shared" si="79"/>
        <v>676.86018099241244</v>
      </c>
      <c r="F34" s="136">
        <f t="shared" si="79"/>
        <v>676.86018099241244</v>
      </c>
      <c r="G34" s="136">
        <f t="shared" si="79"/>
        <v>676.86018099241244</v>
      </c>
      <c r="H34" s="136">
        <f t="shared" si="79"/>
        <v>676.86018099241244</v>
      </c>
      <c r="I34" s="136">
        <f t="shared" si="79"/>
        <v>676.86018099241244</v>
      </c>
      <c r="J34" s="136">
        <f t="shared" si="79"/>
        <v>676.86018099241244</v>
      </c>
      <c r="K34" s="136">
        <f t="shared" si="79"/>
        <v>676.86018099241244</v>
      </c>
      <c r="L34" s="136">
        <f t="shared" si="79"/>
        <v>676.86018099241244</v>
      </c>
      <c r="M34" s="136">
        <f t="shared" si="79"/>
        <v>676.86018099241244</v>
      </c>
      <c r="N34" s="149">
        <f>s_dir!BA34</f>
        <v>113437.5</v>
      </c>
      <c r="O34" s="149">
        <f>IFERROR(s_RadSpec!$J$14*O14,".")*$B$34</f>
        <v>3.6935250000000003E-2</v>
      </c>
      <c r="P34" s="149">
        <f>IFERROR(s_RadSpec!$J$14*P14,".")*$B$34</f>
        <v>3.6935250000000003E-2</v>
      </c>
      <c r="Q34" s="149">
        <f>IFERROR(s_RadSpec!$J$14*Q14,".")*$B$34</f>
        <v>3.6935250000000003E-2</v>
      </c>
      <c r="R34" s="149">
        <f>IFERROR(s_RadSpec!$J$14*R14,".")*$B$34</f>
        <v>3.6935250000000003E-2</v>
      </c>
      <c r="S34" s="149">
        <f>IFERROR(s_RadSpec!$J$14*S14,".")*$B$34</f>
        <v>3.6935250000000003E-2</v>
      </c>
      <c r="T34" s="149">
        <f>IFERROR(s_RadSpec!$J$14*T14,".")*$B$34</f>
        <v>3.6935250000000003E-2</v>
      </c>
      <c r="U34" s="149">
        <f>IFERROR(s_RadSpec!$J$14*U14,".")*$B$34</f>
        <v>3.6935250000000003E-2</v>
      </c>
      <c r="V34" s="149">
        <f>IFERROR(s_RadSpec!$J$14*V14,".")*$B$34</f>
        <v>3.6935250000000003E-2</v>
      </c>
      <c r="W34" s="149">
        <f>IFERROR(s_RadSpec!$J$14*W14,".")*$B$34</f>
        <v>3.6935250000000003E-2</v>
      </c>
      <c r="X34" s="149">
        <f>IFERROR(s_RadSpec!$J$14*X14,".")*$B$34</f>
        <v>3.6935250000000003E-2</v>
      </c>
      <c r="Y34" s="136">
        <f t="shared" si="80"/>
        <v>338430.09049620619</v>
      </c>
      <c r="Z34" s="136">
        <f t="shared" si="80"/>
        <v>915715915.28363478</v>
      </c>
      <c r="AA34" s="136">
        <f t="shared" si="81"/>
        <v>1683.1477564097947</v>
      </c>
      <c r="AB34" s="136">
        <f t="shared" si="81"/>
        <v>9600.8536310980489</v>
      </c>
      <c r="AC34" s="136">
        <f t="shared" si="81"/>
        <v>135372.03619848247</v>
      </c>
      <c r="AD34" s="136">
        <f t="shared" si="81"/>
        <v>1353720.3619848248</v>
      </c>
      <c r="AE34" s="136">
        <f t="shared" si="81"/>
        <v>1394331.9728443695</v>
      </c>
      <c r="AF34" s="136">
        <f t="shared" ref="AF34" si="92">IFERROR(AF14/$B34,0)</f>
        <v>0</v>
      </c>
      <c r="AG34" s="136">
        <f t="shared" si="81"/>
        <v>0</v>
      </c>
      <c r="AH34" s="136">
        <f t="shared" si="81"/>
        <v>0</v>
      </c>
      <c r="AI34" s="136">
        <f t="shared" ref="AI34" si="93">IFERROR(AI14/$B34,0)</f>
        <v>0</v>
      </c>
      <c r="AJ34" s="136">
        <f t="shared" ref="AJ34:AL34" si="94">IFERROR(AJ14/$B34,0)</f>
        <v>0</v>
      </c>
      <c r="AK34" s="136">
        <f t="shared" si="94"/>
        <v>0</v>
      </c>
      <c r="AL34" s="136">
        <f t="shared" si="94"/>
        <v>0</v>
      </c>
      <c r="AM34" s="129"/>
      <c r="AN34" s="129"/>
      <c r="AO34" s="129"/>
      <c r="AP34" s="129"/>
      <c r="AQ34" s="129"/>
      <c r="AR34" s="129"/>
      <c r="AS34" s="129"/>
      <c r="AT34" s="129"/>
      <c r="AU34" s="129"/>
      <c r="AV34" s="129"/>
      <c r="AW34" s="129"/>
      <c r="AX34" s="129"/>
      <c r="AY34" s="129"/>
      <c r="AZ34" s="129"/>
      <c r="BA34" s="136">
        <f t="shared" si="85"/>
        <v>1408.2897112420901</v>
      </c>
      <c r="BB34" s="149">
        <f>IFERROR(s_RadSpec!$I$14*BB14,".")*$B$34</f>
        <v>7.3870500000000004E-5</v>
      </c>
      <c r="BC34" s="149">
        <f>IFERROR(s_RadSpec!$L$14*BC14,".")*$B$34</f>
        <v>2.7301043459811956E-8</v>
      </c>
      <c r="BD34" s="149">
        <f>IFERROR(s_RadSpec!$K$14*BD14,".")*$B$34</f>
        <v>1.4853122611959962E-2</v>
      </c>
      <c r="BE34" s="149">
        <f>s_b2s!BZ34</f>
        <v>2.6039351250000003E-3</v>
      </c>
      <c r="BF34" s="149">
        <f>IFERROR(s_RadSpec!$J$14*BF14,".")*$B$34</f>
        <v>1.8467625E-4</v>
      </c>
      <c r="BG34" s="149">
        <f>IFERROR(s_RadSpec!$J$14*BG14,".")*$B$34</f>
        <v>1.8467625000000004E-5</v>
      </c>
      <c r="BH34" s="149">
        <f>IFERROR(s_RadSpec!$J$14*BH14,".")*$B$34</f>
        <v>1.7929733009708742E-5</v>
      </c>
      <c r="BI34" s="149">
        <f>IFERROR(s_RadSpec!$J$14*BI14,".")*$B$34</f>
        <v>0</v>
      </c>
      <c r="BJ34" s="149">
        <f>IFERROR(s_RadSpec!$J$14*BJ14,".")*$B$34</f>
        <v>0</v>
      </c>
      <c r="BK34" s="149">
        <f>IFERROR(s_RadSpec!$J$14*BK14,".")*$B$34</f>
        <v>0</v>
      </c>
      <c r="BL34" s="149">
        <f>IFERROR(s_RadSpec!$J$14*BL14,".")*$B$34</f>
        <v>0</v>
      </c>
      <c r="BM34" s="149">
        <f>IFERROR(s_RadSpec!$J$14*BM14,".")*$B$34</f>
        <v>0</v>
      </c>
      <c r="BN34" s="149">
        <f>IFERROR(s_RadSpec!$J$14*BN14,".")*$B$34</f>
        <v>0</v>
      </c>
      <c r="BO34" s="149">
        <f>IFERROR(s_RadSpec!$J$14*BO14,".")*$B$34</f>
        <v>0</v>
      </c>
      <c r="BP34" s="150">
        <f t="shared" si="86"/>
        <v>1.7752029146013135E-2</v>
      </c>
      <c r="BQ34" s="136">
        <f t="shared" ref="BQ34:BW34" si="95">IFERROR(BQ14/$B34,0)</f>
        <v>3722.7309954582679</v>
      </c>
      <c r="BR34" s="136">
        <f t="shared" si="95"/>
        <v>0</v>
      </c>
      <c r="BS34" s="136">
        <f t="shared" si="95"/>
        <v>52.502323047992398</v>
      </c>
      <c r="BT34" s="136">
        <f t="shared" si="95"/>
        <v>16488.096096734134</v>
      </c>
      <c r="BU34" s="136">
        <f t="shared" si="95"/>
        <v>67686.018099241235</v>
      </c>
      <c r="BV34" s="136">
        <f t="shared" si="95"/>
        <v>27074407239.696495</v>
      </c>
      <c r="BW34" s="136">
        <f t="shared" si="95"/>
        <v>27886639456.88739</v>
      </c>
      <c r="BX34" s="136">
        <f t="shared" si="87"/>
        <v>0</v>
      </c>
      <c r="BY34" s="136">
        <f t="shared" si="87"/>
        <v>0</v>
      </c>
      <c r="BZ34" s="136">
        <f t="shared" si="87"/>
        <v>0</v>
      </c>
      <c r="CA34" s="136">
        <f t="shared" si="87"/>
        <v>0</v>
      </c>
      <c r="CB34" s="136">
        <f t="shared" si="87"/>
        <v>0</v>
      </c>
      <c r="CC34" s="136">
        <f t="shared" si="87"/>
        <v>0</v>
      </c>
      <c r="CD34" s="136">
        <f t="shared" si="87"/>
        <v>0</v>
      </c>
      <c r="CE34" s="141"/>
      <c r="CF34" s="141"/>
      <c r="CG34" s="141"/>
      <c r="CH34" s="141"/>
      <c r="CI34" s="141"/>
      <c r="CJ34" s="141"/>
      <c r="CK34" s="141"/>
      <c r="CL34" s="141"/>
      <c r="CM34" s="141"/>
      <c r="CN34" s="141"/>
      <c r="CO34" s="141"/>
      <c r="CP34" s="141"/>
      <c r="CQ34" s="141"/>
      <c r="CR34" s="141"/>
      <c r="CS34" s="136">
        <f t="shared" si="88"/>
        <v>51.570794188872704</v>
      </c>
      <c r="CT34" s="149">
        <f>IFERROR(s_RadSpec!$M$14*CT14,".")*$B$34</f>
        <v>6.7155000000000001E-3</v>
      </c>
      <c r="CU34" s="149">
        <f>IFERROR(s_RadSpec!$L$14*CU14,".")*$B$34</f>
        <v>4.2289843749999997E-3</v>
      </c>
      <c r="CV34" s="149">
        <f>IFERROR(s_RadSpec!$Q$14*CV14,".")*$B$34</f>
        <v>0.47616940639269406</v>
      </c>
      <c r="CW34" s="149">
        <f>s_b2w!BZ34</f>
        <v>1.5162454084041792E-3</v>
      </c>
      <c r="CX34" s="149">
        <f>IFERROR(s_RadSpec!$J$14*CX14,".")*$B$34</f>
        <v>3.6935249999999999E-4</v>
      </c>
      <c r="CY34" s="149">
        <f>IFERROR(s_RadSpec!$J$14*CY14,".")*$B$34</f>
        <v>9.2338125000000016E-10</v>
      </c>
      <c r="CZ34" s="149">
        <f>IFERROR(s_RadSpec!$J$14*CZ14,".")*$B$34</f>
        <v>8.9648665048543698E-10</v>
      </c>
      <c r="DA34" s="149">
        <f>IFERROR(s_RadSpec!$J$14*DA14,".")*$B$34</f>
        <v>0</v>
      </c>
      <c r="DB34" s="149">
        <f>IFERROR(s_RadSpec!$J$14*DB14,".")*$B$34</f>
        <v>0</v>
      </c>
      <c r="DC34" s="149">
        <f>IFERROR(s_RadSpec!$J$14*DC14,".")*$B$34</f>
        <v>0</v>
      </c>
      <c r="DD34" s="149">
        <f>IFERROR(s_RadSpec!$J$14*DD14,".")*$B$34</f>
        <v>0</v>
      </c>
      <c r="DE34" s="149">
        <f>IFERROR(s_RadSpec!$J$14*DE14,".")*$B$34</f>
        <v>0</v>
      </c>
      <c r="DF34" s="149">
        <f>IFERROR(s_RadSpec!$J$14*DF14,".")*$B$34</f>
        <v>0</v>
      </c>
      <c r="DG34" s="149">
        <f>IFERROR(s_RadSpec!$J$14*DG14,".")*$B$34</f>
        <v>0</v>
      </c>
      <c r="DH34" s="150">
        <f t="shared" si="68"/>
        <v>0</v>
      </c>
      <c r="DI34" s="136">
        <f t="shared" ref="DI34" si="96">IFERROR(DI14/$B34,0)</f>
        <v>2955.7924294766399</v>
      </c>
      <c r="DJ34" s="136">
        <f t="shared" si="90"/>
        <v>4.5989089875911354E-2</v>
      </c>
      <c r="DK34" s="136">
        <f t="shared" si="90"/>
        <v>4.5988374344110176E-2</v>
      </c>
      <c r="DL34" s="149">
        <f>IFERROR(s_RadSpec!$L$14*DL14,".")*$B$34</f>
        <v>8.4579687499999993E-3</v>
      </c>
      <c r="DM34" s="149">
        <f>IFERROR(s_RadSpec!$O$14*DM14,".")*$B$34</f>
        <v>543.60719178082195</v>
      </c>
      <c r="DN34" s="150">
        <f t="shared" si="91"/>
        <v>543.61564974957196</v>
      </c>
    </row>
    <row r="35" spans="1:118" x14ac:dyDescent="0.25">
      <c r="A35" s="135" t="s">
        <v>1065</v>
      </c>
      <c r="B35" s="129">
        <v>1</v>
      </c>
      <c r="C35" s="136">
        <f t="shared" ref="C35:M35" si="97">IFERROR(C30/$B35,0)</f>
        <v>4.9471508245292597</v>
      </c>
      <c r="D35" s="136">
        <f t="shared" si="97"/>
        <v>14.841452473587779</v>
      </c>
      <c r="E35" s="136">
        <f t="shared" si="97"/>
        <v>14.841452473587779</v>
      </c>
      <c r="F35" s="136">
        <f t="shared" si="97"/>
        <v>14.841452473587779</v>
      </c>
      <c r="G35" s="136">
        <f t="shared" si="97"/>
        <v>14.841452473587779</v>
      </c>
      <c r="H35" s="136">
        <f t="shared" si="97"/>
        <v>14.841452473587779</v>
      </c>
      <c r="I35" s="136">
        <f t="shared" si="97"/>
        <v>14.841452473587779</v>
      </c>
      <c r="J35" s="136">
        <f t="shared" si="97"/>
        <v>14.841452473587779</v>
      </c>
      <c r="K35" s="136">
        <f t="shared" si="97"/>
        <v>14.841452473587779</v>
      </c>
      <c r="L35" s="136">
        <f t="shared" si="97"/>
        <v>14.841452473587779</v>
      </c>
      <c r="M35" s="136">
        <f t="shared" si="97"/>
        <v>14.841452473587779</v>
      </c>
      <c r="N35" s="149">
        <f>s_dir!BA35</f>
        <v>113437.5</v>
      </c>
      <c r="O35" s="149">
        <f>IFERROR(s_RadSpec!$J$30*O30,".")*$B$35</f>
        <v>1.6844712500000001</v>
      </c>
      <c r="P35" s="149">
        <f>IFERROR(s_RadSpec!$J$30*P30,".")*$B$35</f>
        <v>1.6844712500000001</v>
      </c>
      <c r="Q35" s="149">
        <f>IFERROR(s_RadSpec!$J$30*Q30,".")*$B$35</f>
        <v>1.6844712500000001</v>
      </c>
      <c r="R35" s="149">
        <f>IFERROR(s_RadSpec!$J$30*R30,".")*$B$35</f>
        <v>1.6844712500000001</v>
      </c>
      <c r="S35" s="149">
        <f>IFERROR(s_RadSpec!$J$30*S30,".")*$B$35</f>
        <v>1.6844712500000001</v>
      </c>
      <c r="T35" s="149">
        <f>IFERROR(s_RadSpec!$J$30*T30,".")*$B$35</f>
        <v>1.6844712500000001</v>
      </c>
      <c r="U35" s="149">
        <f>IFERROR(s_RadSpec!$J$30*U30,".")*$B$35</f>
        <v>1.6844712500000001</v>
      </c>
      <c r="V35" s="149">
        <f>IFERROR(s_RadSpec!$J$30*V30,".")*$B$35</f>
        <v>1.6844712500000001</v>
      </c>
      <c r="W35" s="149">
        <f>IFERROR(s_RadSpec!$J$30*W30,".")*$B$35</f>
        <v>1.6844712500000001</v>
      </c>
      <c r="X35" s="149">
        <f>IFERROR(s_RadSpec!$J$30*X30,".")*$B$35</f>
        <v>1.6844712500000001</v>
      </c>
      <c r="Y35" s="136">
        <f>IFERROR(Y30/$B35,0)</f>
        <v>7420.7262367938902</v>
      </c>
      <c r="Z35" s="136">
        <f>IFERROR(Z30/$B35,0)</f>
        <v>405404.32754304621</v>
      </c>
      <c r="AA35" s="136">
        <f t="shared" ref="AA35:AH35" si="98">IFERROR(AA30/$B35,0)</f>
        <v>6017373.2942312891</v>
      </c>
      <c r="AB35" s="136">
        <f>IFERROR(AB30/$B35,0)</f>
        <v>309.56453441769975</v>
      </c>
      <c r="AC35" s="136">
        <f t="shared" ref="AC35" si="99">IFERROR(AC30/$B35,0)</f>
        <v>6.1839385306615746</v>
      </c>
      <c r="AD35" s="136">
        <f>IFERROR(AD30/$B35,0)</f>
        <v>430.53128111838117</v>
      </c>
      <c r="AE35" s="136">
        <f>IFERROR(AE30/$B35,0)</f>
        <v>96.080230902918728</v>
      </c>
      <c r="AF35" s="136">
        <f t="shared" ref="AF35" si="100">IFERROR(AF30/$B35,0)</f>
        <v>3.816072719003833</v>
      </c>
      <c r="AG35" s="136">
        <f t="shared" si="98"/>
        <v>0.2238762661815582</v>
      </c>
      <c r="AH35" s="136">
        <f t="shared" si="98"/>
        <v>0.1526429087601533</v>
      </c>
      <c r="AI35" s="136">
        <f t="shared" ref="AI35" si="101">IFERROR(AI30/$B35,0)</f>
        <v>0</v>
      </c>
      <c r="AJ35" s="136">
        <f t="shared" ref="AJ35:AL35" si="102">IFERROR(AJ30/$B35,0)</f>
        <v>123.53172544660978</v>
      </c>
      <c r="AK35" s="136">
        <f t="shared" si="102"/>
        <v>83.953599818084314</v>
      </c>
      <c r="AL35" s="136">
        <f t="shared" si="102"/>
        <v>0</v>
      </c>
      <c r="AM35" s="129"/>
      <c r="AN35" s="129"/>
      <c r="AO35" s="129"/>
      <c r="AP35" s="129"/>
      <c r="AQ35" s="129"/>
      <c r="AR35" s="129"/>
      <c r="AS35" s="129"/>
      <c r="AT35" s="129"/>
      <c r="AU35" s="129"/>
      <c r="AV35" s="129"/>
      <c r="AW35" s="129"/>
      <c r="AX35" s="129"/>
      <c r="AY35" s="129"/>
      <c r="AZ35" s="129"/>
      <c r="BA35" s="136">
        <f t="shared" ref="BA35" si="103">IFERROR(BA30/$B35,0)</f>
        <v>8.712429653934152E-2</v>
      </c>
      <c r="BB35" s="149">
        <f>IFERROR(s_RadSpec!$I$30*BB30,".")*$B$35</f>
        <v>3.3689424999999999E-3</v>
      </c>
      <c r="BC35" s="149">
        <f>IFERROR(s_RadSpec!$L$30*BC30,".")*$B$35</f>
        <v>6.1666830621943665E-5</v>
      </c>
      <c r="BD35" s="149">
        <f>IFERROR(s_RadSpec!$K$30*BD30,".")*$B$35</f>
        <v>4.1546367123287667E-6</v>
      </c>
      <c r="BE35" s="149">
        <f>s_b2s!BZ35</f>
        <v>8.0758605138749995E-2</v>
      </c>
      <c r="BF35" s="149">
        <f>IFERROR(s_RadSpec!$J$30*BF30,".")*$B$35</f>
        <v>4.042730999999999</v>
      </c>
      <c r="BG35" s="149">
        <f>IFERROR(s_RadSpec!$J$30*BG30,".")*$B$35</f>
        <v>5.8067789952586206E-2</v>
      </c>
      <c r="BH35" s="149">
        <f>IFERROR(s_RadSpec!$J$30*BH30,".")*$B$35</f>
        <v>0.26019920815199193</v>
      </c>
      <c r="BI35" s="149">
        <f>IFERROR(s_RadSpec!$J$30*BI30,".")*$B$35</f>
        <v>6.5512378408045979</v>
      </c>
      <c r="BJ35" s="149">
        <f>IFERROR(s_RadSpec!$J$30*BJ30,".")*$B$35</f>
        <v>111.66882683189655</v>
      </c>
      <c r="BK35" s="149">
        <f>IFERROR(s_RadSpec!$J$30*BK30,".")*$B$35</f>
        <v>163.78094602011492</v>
      </c>
      <c r="BL35" s="149">
        <f>IFERROR(s_RadSpec!$J$30*BL30,".")*$B$35</f>
        <v>0</v>
      </c>
      <c r="BM35" s="149">
        <f>IFERROR(s_RadSpec!$J$30*BM30,".")*$B$35</f>
        <v>0.20237716189599375</v>
      </c>
      <c r="BN35" s="149">
        <f>IFERROR(s_RadSpec!$J$30*BN30,".")*$B$35</f>
        <v>0.29778353821839076</v>
      </c>
      <c r="BO35" s="149">
        <f>IFERROR(s_RadSpec!$J$30*BO30,".")*$B$35</f>
        <v>0</v>
      </c>
      <c r="BP35" s="150">
        <f t="shared" si="86"/>
        <v>286.94636276014108</v>
      </c>
      <c r="BQ35" s="136">
        <f>IFERROR(BQ30/$B35,0)</f>
        <v>81.627988604732792</v>
      </c>
      <c r="BR35" s="136">
        <f>IFERROR(BR30/$B35,0)</f>
        <v>0</v>
      </c>
      <c r="BS35" s="136">
        <f t="shared" ref="BS35" si="104">IFERROR(BS30/$B35,0)</f>
        <v>45353.070547840245</v>
      </c>
      <c r="BT35" s="136">
        <f>IFERROR(BT30/$B35,0)</f>
        <v>405.84399467374664</v>
      </c>
      <c r="BU35" s="136">
        <f t="shared" ref="BU35" si="105">IFERROR(BU30/$B35,0)</f>
        <v>15459.846326653937</v>
      </c>
      <c r="BV35" s="136">
        <f>IFERROR(BV30/$B35,0)</f>
        <v>7611001.268506554</v>
      </c>
      <c r="BW35" s="136">
        <f>IFERROR(BW30/$B35,0)</f>
        <v>1698521.7830883791</v>
      </c>
      <c r="BX35" s="136">
        <f t="shared" ref="BX35:CD35" si="106">IFERROR(BX30/$B35,0)</f>
        <v>67461.147607217179</v>
      </c>
      <c r="BY35" s="136">
        <f t="shared" si="106"/>
        <v>3957.7206596234078</v>
      </c>
      <c r="BZ35" s="136">
        <f t="shared" si="106"/>
        <v>2698.4459042886874</v>
      </c>
      <c r="CA35" s="136">
        <f t="shared" si="106"/>
        <v>0</v>
      </c>
      <c r="CB35" s="136">
        <f t="shared" si="106"/>
        <v>2183813.7211136306</v>
      </c>
      <c r="CC35" s="136">
        <f t="shared" si="106"/>
        <v>1484145.2473587778</v>
      </c>
      <c r="CD35" s="136">
        <f t="shared" si="106"/>
        <v>0</v>
      </c>
      <c r="CE35" s="141"/>
      <c r="CF35" s="141"/>
      <c r="CG35" s="141"/>
      <c r="CH35" s="141"/>
      <c r="CI35" s="141"/>
      <c r="CJ35" s="141"/>
      <c r="CK35" s="141"/>
      <c r="CL35" s="141"/>
      <c r="CM35" s="141"/>
      <c r="CN35" s="141"/>
      <c r="CO35" s="141"/>
      <c r="CP35" s="141"/>
      <c r="CQ35" s="141"/>
      <c r="CR35" s="141"/>
      <c r="CS35" s="136">
        <f t="shared" ref="CS35" si="107">IFERROR(CS30/$B35,0)</f>
        <v>64.761120573820236</v>
      </c>
      <c r="CT35" s="149">
        <f>IFERROR(s_RadSpec!$M$30*CT30,".")*$B$35</f>
        <v>0.30626749999999997</v>
      </c>
      <c r="CU35" s="149">
        <f>IFERROR(s_RadSpec!$L$30*CU30,".")*$B$35</f>
        <v>9.5523111979166639</v>
      </c>
      <c r="CV35" s="149">
        <f>IFERROR(s_RadSpec!$Q$30*CV30,".")*$B$35</f>
        <v>5.5123059360730588E-4</v>
      </c>
      <c r="CW35" s="149">
        <f>s_b2w!BZ35</f>
        <v>6.1600024462841234E-2</v>
      </c>
      <c r="CX35" s="149">
        <f>IFERROR(s_RadSpec!$J$30*CX30,".")*$B$35</f>
        <v>1.6170924E-3</v>
      </c>
      <c r="CY35" s="149">
        <f>IFERROR(s_RadSpec!$J$30*CY30,".")*$B$35</f>
        <v>3.2847189374999998E-6</v>
      </c>
      <c r="CZ35" s="149">
        <f>IFERROR(s_RadSpec!$J$30*CZ30,".")*$B$35</f>
        <v>1.471868082524272E-5</v>
      </c>
      <c r="DA35" s="149">
        <f>IFERROR(s_RadSpec!$J$30*DA30,".")*$B$35</f>
        <v>3.7058367500000003E-4</v>
      </c>
      <c r="DB35" s="149">
        <f>IFERROR(s_RadSpec!$J$30*DB30,".")*$B$35</f>
        <v>6.3167671874999999E-3</v>
      </c>
      <c r="DC35" s="149">
        <f>IFERROR(s_RadSpec!$J$30*DC30,".")*$B$35</f>
        <v>9.2645918750000004E-3</v>
      </c>
      <c r="DD35" s="149">
        <f>IFERROR(s_RadSpec!$J$30*DD30,".")*$B$35</f>
        <v>0</v>
      </c>
      <c r="DE35" s="149">
        <f>IFERROR(s_RadSpec!$J$30*DE30,".")*$B$35</f>
        <v>1.1447862864077671E-5</v>
      </c>
      <c r="DF35" s="149">
        <f>IFERROR(s_RadSpec!$J$30*DF30,".")*$B$35</f>
        <v>1.6844712499999999E-5</v>
      </c>
      <c r="DG35" s="149">
        <f>IFERROR(s_RadSpec!$J$30*DG30,".")*$B$35</f>
        <v>0</v>
      </c>
      <c r="DH35" s="150">
        <f t="shared" si="68"/>
        <v>0</v>
      </c>
      <c r="DI35" s="136">
        <f>IFERROR(DI30/$B35,0)</f>
        <v>1.3085838328556778</v>
      </c>
      <c r="DJ35" s="136">
        <f t="shared" ref="DJ35:DK35" si="108">IFERROR(DJ30/$B35,0)</f>
        <v>40.218760674499833</v>
      </c>
      <c r="DK35" s="136">
        <f t="shared" si="108"/>
        <v>1.2673485535975024</v>
      </c>
      <c r="DL35" s="149">
        <f>IFERROR(s_RadSpec!$L$30*DL30,".")*$B$35</f>
        <v>19.104622395833328</v>
      </c>
      <c r="DM35" s="149">
        <f>IFERROR(s_RadSpec!$O$30*DM30,".")*$B$35</f>
        <v>0.6216004566210046</v>
      </c>
      <c r="DN35" s="150">
        <f t="shared" si="91"/>
        <v>19.726222852454331</v>
      </c>
    </row>
    <row r="36" spans="1:118" x14ac:dyDescent="0.25">
      <c r="A36" s="135" t="s">
        <v>1066</v>
      </c>
      <c r="B36" s="129">
        <v>1</v>
      </c>
      <c r="C36" s="136">
        <f t="shared" ref="C36:M36" si="109">IFERROR(C26/$B36,0)</f>
        <v>0.48902870219484634</v>
      </c>
      <c r="D36" s="136">
        <f t="shared" si="109"/>
        <v>1.4670861065845391</v>
      </c>
      <c r="E36" s="136">
        <f t="shared" si="109"/>
        <v>1.4670861065845391</v>
      </c>
      <c r="F36" s="136">
        <f t="shared" si="109"/>
        <v>1.4670861065845391</v>
      </c>
      <c r="G36" s="136">
        <f t="shared" si="109"/>
        <v>1.4670861065845391</v>
      </c>
      <c r="H36" s="136">
        <f t="shared" si="109"/>
        <v>1.4670861065845391</v>
      </c>
      <c r="I36" s="136">
        <f t="shared" si="109"/>
        <v>1.4670861065845391</v>
      </c>
      <c r="J36" s="136">
        <f t="shared" si="109"/>
        <v>1.4670861065845391</v>
      </c>
      <c r="K36" s="136">
        <f t="shared" si="109"/>
        <v>1.4670861065845391</v>
      </c>
      <c r="L36" s="136">
        <f t="shared" si="109"/>
        <v>1.4670861065845391</v>
      </c>
      <c r="M36" s="136">
        <f t="shared" si="109"/>
        <v>1.4670861065845391</v>
      </c>
      <c r="N36" s="149">
        <f>s_dir!BA36</f>
        <v>113437.5</v>
      </c>
      <c r="O36" s="149">
        <f>IFERROR(s_RadSpec!$J$26*O26,".")*$B$37</f>
        <v>17.040581250000002</v>
      </c>
      <c r="P36" s="149">
        <f>IFERROR(s_RadSpec!$J$26*P26,".")*$B$37</f>
        <v>17.040581250000002</v>
      </c>
      <c r="Q36" s="149">
        <f>IFERROR(s_RadSpec!$J$26*Q26,".")*$B$37</f>
        <v>17.040581250000002</v>
      </c>
      <c r="R36" s="149">
        <f>IFERROR(s_RadSpec!$J$26*R26,".")*$B$37</f>
        <v>17.040581250000002</v>
      </c>
      <c r="S36" s="149">
        <f>IFERROR(s_RadSpec!$J$26*S26,".")*$B$37</f>
        <v>17.040581250000002</v>
      </c>
      <c r="T36" s="149">
        <f>IFERROR(s_RadSpec!$J$26*T26,".")*$B$37</f>
        <v>17.040581250000002</v>
      </c>
      <c r="U36" s="149">
        <f>IFERROR(s_RadSpec!$J$26*U26,".")*$B$37</f>
        <v>17.040581250000002</v>
      </c>
      <c r="V36" s="149">
        <f>IFERROR(s_RadSpec!$J$26*V26,".")*$B$37</f>
        <v>17.040581250000002</v>
      </c>
      <c r="W36" s="149">
        <f>IFERROR(s_RadSpec!$J$26*W26,".")*$B$37</f>
        <v>17.040581250000002</v>
      </c>
      <c r="X36" s="149">
        <f>IFERROR(s_RadSpec!$J$26*X26,".")*$B$37</f>
        <v>17.040581250000002</v>
      </c>
      <c r="Y36" s="136">
        <f>IFERROR(Y26/$B36,0)</f>
        <v>733.54305329226952</v>
      </c>
      <c r="Z36" s="136">
        <f>IFERROR(Z26/$B36,0)</f>
        <v>55306.815545607613</v>
      </c>
      <c r="AA36" s="136">
        <f t="shared" ref="AA36:AH36" si="110">IFERROR(AA26/$B36,0)</f>
        <v>20205.168901302986</v>
      </c>
      <c r="AB36" s="136">
        <f>IFERROR(AB26/$B36,0)</f>
        <v>33.913224840141915</v>
      </c>
      <c r="AC36" s="136">
        <f t="shared" ref="AC36" si="111">IFERROR(AC26/$B36,0)</f>
        <v>4.8902870219484633</v>
      </c>
      <c r="AD36" s="136">
        <f>IFERROR(AD26/$B36,0)</f>
        <v>72.64817756880602</v>
      </c>
      <c r="AE36" s="136">
        <f>IFERROR(AE26/$B36,0)</f>
        <v>3442.0706532100289</v>
      </c>
      <c r="AF36" s="136">
        <f t="shared" ref="AF36" si="112">IFERROR(AF26/$B36,0)</f>
        <v>0</v>
      </c>
      <c r="AG36" s="136">
        <f t="shared" si="110"/>
        <v>0</v>
      </c>
      <c r="AH36" s="136">
        <f t="shared" si="110"/>
        <v>0</v>
      </c>
      <c r="AI36" s="136">
        <f t="shared" ref="AI36" si="113">IFERROR(AI26/$B36,0)</f>
        <v>0</v>
      </c>
      <c r="AJ36" s="136">
        <f t="shared" ref="AJ36:AL36" si="114">IFERROR(AJ26/$B36,0)</f>
        <v>0</v>
      </c>
      <c r="AK36" s="136">
        <f t="shared" si="114"/>
        <v>16.709080840825383</v>
      </c>
      <c r="AL36" s="136">
        <f t="shared" si="114"/>
        <v>0</v>
      </c>
      <c r="AM36" s="129"/>
      <c r="AN36" s="129"/>
      <c r="AO36" s="129"/>
      <c r="AP36" s="129"/>
      <c r="AQ36" s="129"/>
      <c r="AR36" s="129"/>
      <c r="AS36" s="129"/>
      <c r="AT36" s="129"/>
      <c r="AU36" s="129"/>
      <c r="AV36" s="129"/>
      <c r="AW36" s="129"/>
      <c r="AX36" s="129"/>
      <c r="AY36" s="129"/>
      <c r="AZ36" s="129"/>
      <c r="BA36" s="136">
        <f t="shared" ref="BA36" si="115">IFERROR(BA26/$B36,0)</f>
        <v>3.2330233303342086</v>
      </c>
      <c r="BB36" s="149">
        <f>IFERROR(s_RadSpec!$I$26*BB26,".")*$B$37</f>
        <v>3.4081162500000005E-2</v>
      </c>
      <c r="BC36" s="149">
        <f>IFERROR(s_RadSpec!$L$26*BC26,".")*$B$37</f>
        <v>4.5202385552978126E-4</v>
      </c>
      <c r="BD36" s="149">
        <f>IFERROR(s_RadSpec!$K$26*BD26,".")*$B$37</f>
        <v>1.2373071525468816E-3</v>
      </c>
      <c r="BE36" s="149">
        <f>s_b2s!BZ36</f>
        <v>0.73717554487500014</v>
      </c>
      <c r="BF36" s="149">
        <f>IFERROR(s_RadSpec!$J$26*BF26,".")*$B$37</f>
        <v>5.1121743750000004</v>
      </c>
      <c r="BG36" s="149">
        <f>IFERROR(s_RadSpec!$J$26*BG26,".")*$B$37</f>
        <v>0.34412425523437501</v>
      </c>
      <c r="BH36" s="149">
        <f>IFERROR(s_RadSpec!$J$26*BH26,".")*$B$37</f>
        <v>7.2630699711771851E-3</v>
      </c>
      <c r="BI36" s="149">
        <f>IFERROR(s_RadSpec!$J$26*BI26,".")*$B$37</f>
        <v>0</v>
      </c>
      <c r="BJ36" s="149">
        <f>IFERROR(s_RadSpec!$J$26*BJ26,".")*$B$37</f>
        <v>0</v>
      </c>
      <c r="BK36" s="149">
        <f>IFERROR(s_RadSpec!$J$26*BK26,".")*$B$37</f>
        <v>0</v>
      </c>
      <c r="BL36" s="149">
        <f>IFERROR(s_RadSpec!$J$26*BL26,".")*$B$37</f>
        <v>0</v>
      </c>
      <c r="BM36" s="149">
        <f>IFERROR(s_RadSpec!$J$26*BM26,".")*$B$37</f>
        <v>0</v>
      </c>
      <c r="BN36" s="149">
        <f>IFERROR(s_RadSpec!$J$26*BN26,".")*$B$37</f>
        <v>1.4961924140625</v>
      </c>
      <c r="BO36" s="149">
        <f>IFERROR(s_RadSpec!$J$26*BO26,".")*$B$37</f>
        <v>0</v>
      </c>
      <c r="BP36" s="150">
        <f t="shared" si="86"/>
        <v>7.7327001526511303</v>
      </c>
      <c r="BQ36" s="136">
        <f>IFERROR(BQ26/$B36,0)</f>
        <v>8.0689735862149643</v>
      </c>
      <c r="BR36" s="136">
        <f>IFERROR(BR26/$B36,0)</f>
        <v>0</v>
      </c>
      <c r="BS36" s="136">
        <f t="shared" ref="BS36" si="116">IFERROR(BS26/$B36,0)</f>
        <v>144.02664295597913</v>
      </c>
      <c r="BT36" s="136">
        <f>IFERROR(BT26/$B36,0)</f>
        <v>41.165374407185823</v>
      </c>
      <c r="BU36" s="136">
        <f t="shared" ref="BU36" si="117">IFERROR(BU26/$B36,0)</f>
        <v>244.51435109742317</v>
      </c>
      <c r="BV36" s="136">
        <f>IFERROR(BV26/$B36,0)</f>
        <v>1275727.049203947</v>
      </c>
      <c r="BW36" s="136">
        <f>IFERROR(BW26/$B36,0)</f>
        <v>60443947.591283008</v>
      </c>
      <c r="BX36" s="136">
        <f t="shared" ref="BX36:CD36" si="118">IFERROR(BX26/$B36,0)</f>
        <v>0</v>
      </c>
      <c r="BY36" s="136">
        <f t="shared" si="118"/>
        <v>0</v>
      </c>
      <c r="BZ36" s="136">
        <f t="shared" si="118"/>
        <v>0</v>
      </c>
      <c r="CA36" s="136">
        <f t="shared" si="118"/>
        <v>0</v>
      </c>
      <c r="CB36" s="136">
        <f t="shared" si="118"/>
        <v>0</v>
      </c>
      <c r="CC36" s="136">
        <f t="shared" si="118"/>
        <v>293417.22131690779</v>
      </c>
      <c r="CD36" s="136">
        <f t="shared" si="118"/>
        <v>0</v>
      </c>
      <c r="CE36" s="141"/>
      <c r="CF36" s="141"/>
      <c r="CG36" s="141"/>
      <c r="CH36" s="141"/>
      <c r="CI36" s="141"/>
      <c r="CJ36" s="141"/>
      <c r="CK36" s="141"/>
      <c r="CL36" s="141"/>
      <c r="CM36" s="141"/>
      <c r="CN36" s="141"/>
      <c r="CO36" s="141"/>
      <c r="CP36" s="141"/>
      <c r="CQ36" s="141"/>
      <c r="CR36" s="141"/>
      <c r="CS36" s="136">
        <f t="shared" ref="CS36" si="119">IFERROR(CS26/$B36,0)</f>
        <v>6.2790063258657236</v>
      </c>
      <c r="CT36" s="149">
        <f>IFERROR(s_RadSpec!$M$26*CT26,".")*$B$37</f>
        <v>3.0982875000000001</v>
      </c>
      <c r="CU36" s="149">
        <f>IFERROR(s_RadSpec!$L$26*CU26,".")*$B$37</f>
        <v>70.019368489583314</v>
      </c>
      <c r="CV36" s="149">
        <f>IFERROR(s_RadSpec!$Q$26*CV26,".")*$B$37</f>
        <v>0.17357899543378993</v>
      </c>
      <c r="CW36" s="149">
        <f>s_b2w!BZ36</f>
        <v>0.60730651330201446</v>
      </c>
      <c r="CX36" s="149">
        <f>IFERROR(s_RadSpec!$J$26*CX26,".")*$B$37</f>
        <v>0.10224348750000001</v>
      </c>
      <c r="CY36" s="149">
        <f>IFERROR(s_RadSpec!$J$26*CY26,".")*$B$37</f>
        <v>1.9596668437500002E-5</v>
      </c>
      <c r="CZ36" s="149">
        <f>IFERROR(s_RadSpec!$J$26*CZ26,".")*$B$37</f>
        <v>4.1360634101941757E-7</v>
      </c>
      <c r="DA36" s="149">
        <f>IFERROR(s_RadSpec!$J$26*DA26,".")*$B$37</f>
        <v>0</v>
      </c>
      <c r="DB36" s="149">
        <f>IFERROR(s_RadSpec!$J$26*DB26,".")*$B$37</f>
        <v>0</v>
      </c>
      <c r="DC36" s="149">
        <f>IFERROR(s_RadSpec!$J$26*DC26,".")*$B$37</f>
        <v>0</v>
      </c>
      <c r="DD36" s="149">
        <f>IFERROR(s_RadSpec!$J$26*DD26,".")*$B$37</f>
        <v>0</v>
      </c>
      <c r="DE36" s="149">
        <f>IFERROR(s_RadSpec!$J$26*DE26,".")*$B$37</f>
        <v>0</v>
      </c>
      <c r="DF36" s="149">
        <f>IFERROR(s_RadSpec!$J$26*DF26,".")*$B$37</f>
        <v>8.5202906249999999E-5</v>
      </c>
      <c r="DG36" s="149">
        <f>IFERROR(s_RadSpec!$J$26*DG26,".")*$B$37</f>
        <v>0</v>
      </c>
      <c r="DH36" s="150">
        <f t="shared" si="68"/>
        <v>0</v>
      </c>
      <c r="DI36" s="136">
        <f>IFERROR(DI26/$B36,0)</f>
        <v>0.17852203282666859</v>
      </c>
      <c r="DJ36" s="136">
        <f t="shared" ref="DJ36:DK36" si="120">IFERROR(DJ26/$B36,0)</f>
        <v>0.12840929612942717</v>
      </c>
      <c r="DK36" s="136">
        <f t="shared" si="120"/>
        <v>7.4687353216217625E-2</v>
      </c>
      <c r="DL36" s="149">
        <f>IFERROR(s_RadSpec!$L$26*DL26,".")*$B$37</f>
        <v>140.03873697916663</v>
      </c>
      <c r="DM36" s="149">
        <f>IFERROR(s_RadSpec!$O$26*DM26,".")*$B$37</f>
        <v>194.68995433789956</v>
      </c>
      <c r="DN36" s="150">
        <f t="shared" si="91"/>
        <v>334.72869131706619</v>
      </c>
    </row>
    <row r="37" spans="1:118" x14ac:dyDescent="0.25">
      <c r="A37" s="135" t="s">
        <v>1067</v>
      </c>
      <c r="B37" s="129">
        <v>1</v>
      </c>
      <c r="C37" s="136">
        <f t="shared" ref="C37:M37" si="121">IFERROR(C22/$B37,0)</f>
        <v>1.2513381497338718</v>
      </c>
      <c r="D37" s="136">
        <f t="shared" si="121"/>
        <v>3.7540144492016148</v>
      </c>
      <c r="E37" s="136">
        <f t="shared" si="121"/>
        <v>3.7540144492016148</v>
      </c>
      <c r="F37" s="136">
        <f t="shared" si="121"/>
        <v>3.7540144492016148</v>
      </c>
      <c r="G37" s="136">
        <f t="shared" si="121"/>
        <v>3.7540144492016148</v>
      </c>
      <c r="H37" s="136">
        <f t="shared" si="121"/>
        <v>3.7540144492016148</v>
      </c>
      <c r="I37" s="136">
        <f t="shared" si="121"/>
        <v>3.7540144492016148</v>
      </c>
      <c r="J37" s="136">
        <f t="shared" si="121"/>
        <v>3.7540144492016148</v>
      </c>
      <c r="K37" s="136">
        <f t="shared" si="121"/>
        <v>3.7540144492016148</v>
      </c>
      <c r="L37" s="136">
        <f t="shared" si="121"/>
        <v>3.7540144492016148</v>
      </c>
      <c r="M37" s="136">
        <f t="shared" si="121"/>
        <v>3.7540144492016148</v>
      </c>
      <c r="N37" s="149">
        <f>s_dir!BA37</f>
        <v>113437.5</v>
      </c>
      <c r="O37" s="149">
        <f>IFERROR(s_RadSpec!$J$22*O22,".")*$B$37</f>
        <v>6.6595375000000008</v>
      </c>
      <c r="P37" s="149">
        <f>IFERROR(s_RadSpec!$J$22*P22,".")*$B$37</f>
        <v>6.6595375000000008</v>
      </c>
      <c r="Q37" s="149">
        <f>IFERROR(s_RadSpec!$J$22*Q22,".")*$B$37</f>
        <v>6.6595375000000008</v>
      </c>
      <c r="R37" s="149">
        <f>IFERROR(s_RadSpec!$J$22*R22,".")*$B$37</f>
        <v>6.6595375000000008</v>
      </c>
      <c r="S37" s="149">
        <f>IFERROR(s_RadSpec!$J$22*S22,".")*$B$37</f>
        <v>6.6595375000000008</v>
      </c>
      <c r="T37" s="149">
        <f>IFERROR(s_RadSpec!$J$22*T22,".")*$B$37</f>
        <v>6.6595375000000008</v>
      </c>
      <c r="U37" s="149">
        <f>IFERROR(s_RadSpec!$J$22*U22,".")*$B$37</f>
        <v>6.6595375000000008</v>
      </c>
      <c r="V37" s="149">
        <f>IFERROR(s_RadSpec!$J$22*V22,".")*$B$37</f>
        <v>6.6595375000000008</v>
      </c>
      <c r="W37" s="149">
        <f>IFERROR(s_RadSpec!$J$22*W22,".")*$B$37</f>
        <v>6.6595375000000008</v>
      </c>
      <c r="X37" s="149">
        <f>IFERROR(s_RadSpec!$J$22*X22,".")*$B$37</f>
        <v>6.6595375000000008</v>
      </c>
      <c r="Y37" s="136">
        <f>IFERROR(Y22/$B37,0)</f>
        <v>1877.0072246008076</v>
      </c>
      <c r="Z37" s="136">
        <f>IFERROR(Z22/$B37,0)</f>
        <v>496511.83991597802</v>
      </c>
      <c r="AA37" s="136">
        <f t="shared" ref="AA37:AH37" si="122">IFERROR(AA22/$B37,0)</f>
        <v>357379967164.38788</v>
      </c>
      <c r="AB37" s="136">
        <f>IFERROR(AB22/$B37,0)</f>
        <v>54.907334345496793</v>
      </c>
      <c r="AC37" s="136">
        <f t="shared" ref="AC37" si="123">IFERROR(AC22/$B37,0)</f>
        <v>0.93850361230040369</v>
      </c>
      <c r="AD37" s="136">
        <f>IFERROR(AD22/$B37,0)</f>
        <v>24.551720133850065</v>
      </c>
      <c r="AE37" s="136">
        <f>IFERROR(AE22/$B37,0)</f>
        <v>113.13174198518804</v>
      </c>
      <c r="AF37" s="136">
        <f t="shared" ref="AF37" si="124">IFERROR(AF22/$B37,0)</f>
        <v>0</v>
      </c>
      <c r="AG37" s="136">
        <f t="shared" si="122"/>
        <v>0</v>
      </c>
      <c r="AH37" s="136">
        <f t="shared" si="122"/>
        <v>0</v>
      </c>
      <c r="AI37" s="136">
        <f t="shared" ref="AI37" si="125">IFERROR(AI22/$B37,0)</f>
        <v>0</v>
      </c>
      <c r="AJ37" s="136">
        <f t="shared" ref="AJ37:AL37" si="126">IFERROR(AJ22/$B37,0)</f>
        <v>0</v>
      </c>
      <c r="AK37" s="136">
        <f t="shared" si="126"/>
        <v>8.3475848455090205</v>
      </c>
      <c r="AL37" s="136">
        <f t="shared" si="126"/>
        <v>0</v>
      </c>
      <c r="AM37" s="129"/>
      <c r="AN37" s="129"/>
      <c r="AO37" s="129"/>
      <c r="AP37" s="129"/>
      <c r="AQ37" s="129"/>
      <c r="AR37" s="129"/>
      <c r="AS37" s="129"/>
      <c r="AT37" s="129"/>
      <c r="AU37" s="129"/>
      <c r="AV37" s="129"/>
      <c r="AW37" s="129"/>
      <c r="AX37" s="129"/>
      <c r="AY37" s="129"/>
      <c r="AZ37" s="129"/>
      <c r="BA37" s="136">
        <f t="shared" ref="BA37" si="127">IFERROR(BA22/$B37,0)</f>
        <v>0.7976784336692142</v>
      </c>
      <c r="BB37" s="149">
        <f>IFERROR(s_RadSpec!$I$22*BB22,".")*$B$37</f>
        <v>1.3319075000000001E-2</v>
      </c>
      <c r="BC37" s="149">
        <f>IFERROR(s_RadSpec!$L$22*BC22,".")*$B$37</f>
        <v>5.0351266556363712E-5</v>
      </c>
      <c r="BD37" s="149">
        <f>IFERROR(s_RadSpec!$K$22*BD22,".")*$B$37</f>
        <v>6.995355726948312E-11</v>
      </c>
      <c r="BE37" s="149">
        <f>s_b2s!BZ37</f>
        <v>0.45531257887500004</v>
      </c>
      <c r="BF37" s="149">
        <f>IFERROR(s_RadSpec!$J$22*BF22,".")*$B$37</f>
        <v>26.638150000000003</v>
      </c>
      <c r="BG37" s="149">
        <f>IFERROR(s_RadSpec!$J$22*BG22,".")*$B$37</f>
        <v>1.0182585930316093</v>
      </c>
      <c r="BH37" s="149">
        <f>IFERROR(s_RadSpec!$J$22*BH22,".")*$B$37</f>
        <v>0.220981305169624</v>
      </c>
      <c r="BI37" s="149">
        <f>IFERROR(s_RadSpec!$J$22*BI22,".")*$B$37</f>
        <v>0</v>
      </c>
      <c r="BJ37" s="149">
        <f>IFERROR(s_RadSpec!$J$22*BJ22,".")*$B$37</f>
        <v>0</v>
      </c>
      <c r="BK37" s="149">
        <f>IFERROR(s_RadSpec!$J$22*BK22,".")*$B$37</f>
        <v>0</v>
      </c>
      <c r="BL37" s="149">
        <f>IFERROR(s_RadSpec!$J$22*BL22,".")*$B$37</f>
        <v>0</v>
      </c>
      <c r="BM37" s="149">
        <f>IFERROR(s_RadSpec!$J$22*BM22,".")*$B$37</f>
        <v>0</v>
      </c>
      <c r="BN37" s="149">
        <f>IFERROR(s_RadSpec!$J$22*BN22,".")*$B$37</f>
        <v>2.9948782147988511</v>
      </c>
      <c r="BO37" s="149">
        <f>IFERROR(s_RadSpec!$J$22*BO22,".")*$B$37</f>
        <v>0</v>
      </c>
      <c r="BP37" s="150">
        <f t="shared" si="86"/>
        <v>31.340950118211598</v>
      </c>
      <c r="BQ37" s="136">
        <f>IFERROR(BQ22/$B37,0)</f>
        <v>20.64707947060888</v>
      </c>
      <c r="BR37" s="136">
        <f>IFERROR(BR22/$B37,0)</f>
        <v>0</v>
      </c>
      <c r="BS37" s="136">
        <f t="shared" ref="BS37" si="128">IFERROR(BS22/$B37,0)</f>
        <v>1962.7940292343383</v>
      </c>
      <c r="BT37" s="136">
        <f>IFERROR(BT22/$B37,0)</f>
        <v>92.399201466289966</v>
      </c>
      <c r="BU37" s="136">
        <f t="shared" ref="BU37" si="129">IFERROR(BU22/$B37,0)</f>
        <v>938.50361230040369</v>
      </c>
      <c r="BV37" s="136">
        <f>IFERROR(BV22/$B37,0)</f>
        <v>441648.7587296018</v>
      </c>
      <c r="BW37" s="136">
        <f>IFERROR(BW22/$B37,0)</f>
        <v>2035070.9908829804</v>
      </c>
      <c r="BX37" s="136">
        <f t="shared" ref="BX37:CD37" si="130">IFERROR(BX22/$B37,0)</f>
        <v>0</v>
      </c>
      <c r="BY37" s="136">
        <f t="shared" si="130"/>
        <v>0</v>
      </c>
      <c r="BZ37" s="136">
        <f t="shared" si="130"/>
        <v>0</v>
      </c>
      <c r="CA37" s="136">
        <f t="shared" si="130"/>
        <v>0</v>
      </c>
      <c r="CB37" s="136">
        <f t="shared" si="130"/>
        <v>0</v>
      </c>
      <c r="CC37" s="136">
        <f t="shared" si="130"/>
        <v>150160.57796806458</v>
      </c>
      <c r="CD37" s="136">
        <f t="shared" si="130"/>
        <v>0</v>
      </c>
      <c r="CE37" s="141"/>
      <c r="CF37" s="141"/>
      <c r="CG37" s="141"/>
      <c r="CH37" s="141"/>
      <c r="CI37" s="141"/>
      <c r="CJ37" s="141"/>
      <c r="CK37" s="141"/>
      <c r="CL37" s="141"/>
      <c r="CM37" s="141"/>
      <c r="CN37" s="141"/>
      <c r="CO37" s="141"/>
      <c r="CP37" s="141"/>
      <c r="CQ37" s="141"/>
      <c r="CR37" s="141"/>
      <c r="CS37" s="136">
        <f t="shared" ref="CS37" si="131">IFERROR(CS22/$B37,0)</f>
        <v>16.436548596663066</v>
      </c>
      <c r="CT37" s="149">
        <f>IFERROR(s_RadSpec!$M$22*CT22,".")*$B$37</f>
        <v>1.210825</v>
      </c>
      <c r="CU37" s="149">
        <f>IFERROR(s_RadSpec!$L$22*CU22,".")*$B$37</f>
        <v>7.7995084635416649</v>
      </c>
      <c r="CV37" s="149">
        <f>IFERROR(s_RadSpec!$Q$22*CV22,".")*$B$37</f>
        <v>1.2736945205479452E-2</v>
      </c>
      <c r="CW37" s="149">
        <f>s_b2w!BZ37</f>
        <v>0.27056510882424412</v>
      </c>
      <c r="CX37" s="149">
        <f>IFERROR(s_RadSpec!$J$22*CX22,".")*$B$37</f>
        <v>2.6638150000000003E-2</v>
      </c>
      <c r="CY37" s="149">
        <f>IFERROR(s_RadSpec!$J$22*CY22,".")*$B$37</f>
        <v>5.6606068750000003E-5</v>
      </c>
      <c r="CZ37" s="149">
        <f>IFERROR(s_RadSpec!$J$22*CZ22,".")*$B$37</f>
        <v>1.2284583737864079E-5</v>
      </c>
      <c r="DA37" s="149">
        <f>IFERROR(s_RadSpec!$J$22*DA22,".")*$B$37</f>
        <v>0</v>
      </c>
      <c r="DB37" s="149">
        <f>IFERROR(s_RadSpec!$J$22*DB22,".")*$B$37</f>
        <v>0</v>
      </c>
      <c r="DC37" s="149">
        <f>IFERROR(s_RadSpec!$J$22*DC22,".")*$B$37</f>
        <v>0</v>
      </c>
      <c r="DD37" s="149">
        <f>IFERROR(s_RadSpec!$J$22*DD22,".")*$B$37</f>
        <v>0</v>
      </c>
      <c r="DE37" s="149">
        <f>IFERROR(s_RadSpec!$J$22*DE22,".")*$B$37</f>
        <v>0</v>
      </c>
      <c r="DF37" s="149">
        <f>IFERROR(s_RadSpec!$J$22*DF22,".")*$B$37</f>
        <v>1.664884375E-4</v>
      </c>
      <c r="DG37" s="149">
        <f>IFERROR(s_RadSpec!$J$22*DG22,".")*$B$37</f>
        <v>0</v>
      </c>
      <c r="DH37" s="150">
        <f t="shared" si="68"/>
        <v>0</v>
      </c>
      <c r="DI37" s="136">
        <f>IFERROR(DI22/$B37,0)</f>
        <v>1.6026650985033866</v>
      </c>
      <c r="DJ37" s="136">
        <f t="shared" ref="DJ37:DK37" si="132">IFERROR(DJ22/$B37,0)</f>
        <v>1.7259873002012078</v>
      </c>
      <c r="DK37" s="136">
        <f t="shared" si="132"/>
        <v>0.83102086825559562</v>
      </c>
      <c r="DL37" s="149">
        <f>IFERROR(s_RadSpec!$L$22*DL22,".")*$B$37</f>
        <v>15.59901692708333</v>
      </c>
      <c r="DM37" s="149">
        <f>IFERROR(s_RadSpec!$O$22*DM22,".")*$B$37</f>
        <v>14.484463470319636</v>
      </c>
      <c r="DN37" s="150">
        <f t="shared" si="91"/>
        <v>30.083480397402965</v>
      </c>
    </row>
    <row r="38" spans="1:118" x14ac:dyDescent="0.25">
      <c r="A38" s="135" t="s">
        <v>1068</v>
      </c>
      <c r="B38" s="129">
        <v>1</v>
      </c>
      <c r="C38" s="136">
        <f t="shared" ref="C38:M38" si="133">IFERROR(C2/$B38,0)</f>
        <v>5.6944259968768911</v>
      </c>
      <c r="D38" s="136">
        <f t="shared" si="133"/>
        <v>17.083277990630673</v>
      </c>
      <c r="E38" s="136">
        <f t="shared" si="133"/>
        <v>17.083277990630673</v>
      </c>
      <c r="F38" s="136">
        <f t="shared" si="133"/>
        <v>17.083277990630673</v>
      </c>
      <c r="G38" s="136">
        <f t="shared" si="133"/>
        <v>17.083277990630673</v>
      </c>
      <c r="H38" s="136">
        <f t="shared" si="133"/>
        <v>17.083277990630673</v>
      </c>
      <c r="I38" s="136">
        <f t="shared" si="133"/>
        <v>17.083277990630673</v>
      </c>
      <c r="J38" s="136">
        <f t="shared" si="133"/>
        <v>17.083277990630673</v>
      </c>
      <c r="K38" s="136">
        <f t="shared" si="133"/>
        <v>17.083277990630673</v>
      </c>
      <c r="L38" s="136">
        <f t="shared" si="133"/>
        <v>17.083277990630673</v>
      </c>
      <c r="M38" s="136">
        <f t="shared" si="133"/>
        <v>17.083277990630673</v>
      </c>
      <c r="N38" s="149">
        <f>s_dir!BA38</f>
        <v>113437.5</v>
      </c>
      <c r="O38" s="149">
        <f>IFERROR(s_RadSpec!$J$2*O2,".")*$B$38</f>
        <v>1.463419375</v>
      </c>
      <c r="P38" s="149">
        <f>IFERROR(s_RadSpec!$J$2*P2,".")*$B$38</f>
        <v>1.463419375</v>
      </c>
      <c r="Q38" s="149">
        <f>IFERROR(s_RadSpec!$J$2*Q2,".")*$B$38</f>
        <v>1.463419375</v>
      </c>
      <c r="R38" s="149">
        <f>IFERROR(s_RadSpec!$J$2*R2,".")*$B$38</f>
        <v>1.463419375</v>
      </c>
      <c r="S38" s="149">
        <f>IFERROR(s_RadSpec!$J$2*S2,".")*$B$38</f>
        <v>1.463419375</v>
      </c>
      <c r="T38" s="149">
        <f>IFERROR(s_RadSpec!$J$2*T2,".")*$B$38</f>
        <v>1.463419375</v>
      </c>
      <c r="U38" s="149">
        <f>IFERROR(s_RadSpec!$J$2*U2,".")*$B$38</f>
        <v>1.463419375</v>
      </c>
      <c r="V38" s="149">
        <f>IFERROR(s_RadSpec!$J$2*V2,".")*$B$38</f>
        <v>1.463419375</v>
      </c>
      <c r="W38" s="149">
        <f>IFERROR(s_RadSpec!$J$2*W2,".")*$B$38</f>
        <v>1.463419375</v>
      </c>
      <c r="X38" s="149">
        <f>IFERROR(s_RadSpec!$J$2*X2,".")*$B$38</f>
        <v>1.463419375</v>
      </c>
      <c r="Y38" s="136">
        <f>IFERROR(Y2/$B38,0)</f>
        <v>8541.6389953153375</v>
      </c>
      <c r="Z38" s="136">
        <f>IFERROR(Z2/$B38,0)</f>
        <v>454865.42197095585</v>
      </c>
      <c r="AA38" s="136">
        <f t="shared" ref="AA38:AH38" si="134">IFERROR(AA2/$B38,0)</f>
        <v>66637.689051180758</v>
      </c>
      <c r="AB38" s="136">
        <f>IFERROR(AB2/$B38,0)</f>
        <v>392.71903426737191</v>
      </c>
      <c r="AC38" s="136">
        <f t="shared" ref="AC38" si="135">IFERROR(AC2/$B38,0)</f>
        <v>1936.1048389381431</v>
      </c>
      <c r="AD38" s="136">
        <f>IFERROR(AD2/$B38,0)</f>
        <v>8541.6389953153357</v>
      </c>
      <c r="AE38" s="136">
        <f>IFERROR(AE2/$B38,0)</f>
        <v>87978.881651747972</v>
      </c>
      <c r="AF38" s="136">
        <f t="shared" ref="AF38" si="136">IFERROR(AF2/$B38,0)</f>
        <v>0</v>
      </c>
      <c r="AG38" s="136">
        <f t="shared" si="134"/>
        <v>0</v>
      </c>
      <c r="AH38" s="136">
        <f t="shared" si="134"/>
        <v>0</v>
      </c>
      <c r="AI38" s="136">
        <f t="shared" ref="AI38" si="137">IFERROR(AI2/$B38,0)</f>
        <v>0</v>
      </c>
      <c r="AJ38" s="136">
        <f t="shared" ref="AJ38:AL38" si="138">IFERROR(AJ2/$B38,0)</f>
        <v>0</v>
      </c>
      <c r="AK38" s="136">
        <f t="shared" si="138"/>
        <v>0</v>
      </c>
      <c r="AL38" s="136">
        <f t="shared" si="138"/>
        <v>0</v>
      </c>
      <c r="AM38" s="129"/>
      <c r="AN38" s="129"/>
      <c r="AO38" s="129"/>
      <c r="AP38" s="129"/>
      <c r="AQ38" s="129"/>
      <c r="AR38" s="129"/>
      <c r="AS38" s="129"/>
      <c r="AT38" s="129"/>
      <c r="AU38" s="129"/>
      <c r="AV38" s="129"/>
      <c r="AW38" s="129"/>
      <c r="AX38" s="129"/>
      <c r="AY38" s="129"/>
      <c r="AZ38" s="129"/>
      <c r="BA38" s="136">
        <f t="shared" ref="BA38" si="139">IFERROR(BA2/$B38,0)</f>
        <v>300.70041175294608</v>
      </c>
      <c r="BB38" s="149">
        <f>IFERROR(s_RadSpec!$I$2*BB2,".")*$B$38</f>
        <v>2.9268387500000002E-3</v>
      </c>
      <c r="BC38" s="149">
        <f>IFERROR(s_RadSpec!$L$2*BC2,".")*$B$38</f>
        <v>5.4961311175674073E-5</v>
      </c>
      <c r="BD38" s="149">
        <f>IFERROR(s_RadSpec!$K$2*BD2,".")*$B$38</f>
        <v>3.751630699677907E-4</v>
      </c>
      <c r="BE38" s="149">
        <f>s_b2s!BZ38</f>
        <v>6.3658742812500002E-2</v>
      </c>
      <c r="BF38" s="149">
        <f>IFERROR(s_RadSpec!$J$2*BF2,".")*$B$38</f>
        <v>1.2912523897058825E-2</v>
      </c>
      <c r="BG38" s="149">
        <f>IFERROR(s_RadSpec!$J$2*BG2,".")*$B$38</f>
        <v>2.9268387500000007E-3</v>
      </c>
      <c r="BH38" s="149">
        <f>IFERROR(s_RadSpec!$J$2*BH2,".")*$B$38</f>
        <v>2.8415910194174755E-4</v>
      </c>
      <c r="BI38" s="149">
        <f>IFERROR(s_RadSpec!$J$2*BI2,".")*$B$38</f>
        <v>0</v>
      </c>
      <c r="BJ38" s="149">
        <f>IFERROR(s_RadSpec!$J$2*BJ2,".")*$B$38</f>
        <v>0</v>
      </c>
      <c r="BK38" s="149">
        <f>IFERROR(s_RadSpec!$J$2*BK2,".")*$B$38</f>
        <v>0</v>
      </c>
      <c r="BL38" s="149">
        <f>IFERROR(s_RadSpec!$J$2*BL2,".")*$B$38</f>
        <v>0</v>
      </c>
      <c r="BM38" s="149">
        <f>IFERROR(s_RadSpec!$J$2*BM2,".")*$B$38</f>
        <v>0</v>
      </c>
      <c r="BN38" s="149">
        <f>IFERROR(s_RadSpec!$J$2*BN2,".")*$B$38</f>
        <v>0</v>
      </c>
      <c r="BO38" s="149">
        <f>IFERROR(s_RadSpec!$J$2*BO2,".")*$B$38</f>
        <v>0</v>
      </c>
      <c r="BP38" s="150">
        <f t="shared" si="86"/>
        <v>8.3139227692644049E-2</v>
      </c>
      <c r="BQ38" s="136">
        <f>IFERROR(BQ2/$B38,0)</f>
        <v>93.958028948468709</v>
      </c>
      <c r="BR38" s="136">
        <f>IFERROR(BR2/$B38,0)</f>
        <v>0</v>
      </c>
      <c r="BS38" s="136">
        <f t="shared" ref="BS38" si="140">IFERROR(BS2/$B38,0)</f>
        <v>845.87076021765529</v>
      </c>
      <c r="BT38" s="136">
        <f>IFERROR(BT2/$B38,0)</f>
        <v>478.70386553435469</v>
      </c>
      <c r="BU38" s="136">
        <f t="shared" ref="BU38" si="141">IFERROR(BU2/$B38,0)</f>
        <v>1138.8851993753783</v>
      </c>
      <c r="BV38" s="136">
        <f>IFERROR(BV2/$B38,0)</f>
        <v>170832779.90630671</v>
      </c>
      <c r="BW38" s="136">
        <f>IFERROR(BW2/$B38,0)</f>
        <v>1759577633.0349596</v>
      </c>
      <c r="BX38" s="136">
        <f t="shared" ref="BX38:CD38" si="142">IFERROR(BX2/$B38,0)</f>
        <v>0</v>
      </c>
      <c r="BY38" s="136">
        <f t="shared" si="142"/>
        <v>0</v>
      </c>
      <c r="BZ38" s="136">
        <f t="shared" si="142"/>
        <v>0</v>
      </c>
      <c r="CA38" s="136">
        <f t="shared" si="142"/>
        <v>0</v>
      </c>
      <c r="CB38" s="136">
        <f t="shared" si="142"/>
        <v>0</v>
      </c>
      <c r="CC38" s="136">
        <f t="shared" si="142"/>
        <v>0</v>
      </c>
      <c r="CD38" s="136">
        <f t="shared" si="142"/>
        <v>0</v>
      </c>
      <c r="CE38" s="141"/>
      <c r="CF38" s="141"/>
      <c r="CG38" s="141"/>
      <c r="CH38" s="141"/>
      <c r="CI38" s="141"/>
      <c r="CJ38" s="141"/>
      <c r="CK38" s="141"/>
      <c r="CL38" s="141"/>
      <c r="CM38" s="141"/>
      <c r="CN38" s="141"/>
      <c r="CO38" s="141"/>
      <c r="CP38" s="141"/>
      <c r="CQ38" s="141"/>
      <c r="CR38" s="141"/>
      <c r="CS38" s="136">
        <f t="shared" ref="CS38" si="143">IFERROR(CS2/$B38,0)</f>
        <v>67.602758026313751</v>
      </c>
      <c r="CT38" s="149">
        <f>IFERROR(s_RadSpec!$M$2*CT2,".")*$B$38</f>
        <v>0.26607625000000001</v>
      </c>
      <c r="CU38" s="149">
        <f>IFERROR(s_RadSpec!$L$2*CU2,".")*$B$38</f>
        <v>8.5136132812499987</v>
      </c>
      <c r="CV38" s="149">
        <f>IFERROR(s_RadSpec!$Q$2*CV2,".")*$B$38</f>
        <v>2.9555342465753424E-2</v>
      </c>
      <c r="CW38" s="149">
        <f>s_b2w!BZ38</f>
        <v>5.2224353718334129E-2</v>
      </c>
      <c r="CX38" s="149">
        <f>IFERROR(s_RadSpec!$J$2*CX2,".")*$B$38</f>
        <v>2.1951290625000001E-2</v>
      </c>
      <c r="CY38" s="149">
        <f>IFERROR(s_RadSpec!$J$2*CY2,".")*$B$38</f>
        <v>1.4634193750000001E-7</v>
      </c>
      <c r="CZ38" s="149">
        <f>IFERROR(s_RadSpec!$J$2*CZ2,".")*$B$38</f>
        <v>1.4207955097087379E-8</v>
      </c>
      <c r="DA38" s="149">
        <f>IFERROR(s_RadSpec!$J$2*DA2,".")*$B$38</f>
        <v>0</v>
      </c>
      <c r="DB38" s="149">
        <f>IFERROR(s_RadSpec!$J$2*DB2,".")*$B$38</f>
        <v>0</v>
      </c>
      <c r="DC38" s="149">
        <f>IFERROR(s_RadSpec!$J$2*DC2,".")*$B$38</f>
        <v>0</v>
      </c>
      <c r="DD38" s="149">
        <f>IFERROR(s_RadSpec!$J$2*DD2,".")*$B$38</f>
        <v>0</v>
      </c>
      <c r="DE38" s="149">
        <f>IFERROR(s_RadSpec!$J$2*DE2,".")*$B$38</f>
        <v>0</v>
      </c>
      <c r="DF38" s="149">
        <f>IFERROR(s_RadSpec!$J$2*DF2,".")*$B$38</f>
        <v>0</v>
      </c>
      <c r="DG38" s="149">
        <f>IFERROR(s_RadSpec!$J$2*DG2,".")*$B$38</f>
        <v>0</v>
      </c>
      <c r="DH38" s="150">
        <f t="shared" si="68"/>
        <v>0</v>
      </c>
      <c r="DI38" s="136">
        <f>IFERROR(DI2/$B38,0)</f>
        <v>1.4682367623544095</v>
      </c>
      <c r="DJ38" s="136">
        <f t="shared" ref="DJ38:DK38" si="144">IFERROR(DJ2/$B38,0)</f>
        <v>0.75321353913374245</v>
      </c>
      <c r="DK38" s="136">
        <f t="shared" si="144"/>
        <v>0.49782604063588171</v>
      </c>
      <c r="DL38" s="149">
        <f>IFERROR(s_RadSpec!$L$2*DL2,".")*$B$38</f>
        <v>17.027226562499997</v>
      </c>
      <c r="DM38" s="149">
        <f>IFERROR(s_RadSpec!$O$2*DM2,".")*$B$38</f>
        <v>33.191118721461187</v>
      </c>
      <c r="DN38" s="150">
        <f t="shared" si="91"/>
        <v>50.218345283961185</v>
      </c>
    </row>
    <row r="39" spans="1:118" x14ac:dyDescent="0.25">
      <c r="A39" s="135" t="s">
        <v>1069</v>
      </c>
      <c r="B39" s="129">
        <v>1</v>
      </c>
      <c r="C39" s="136">
        <f t="shared" ref="C39:M39" si="145">IFERROR(C11/$B39,0)</f>
        <v>0</v>
      </c>
      <c r="D39" s="136">
        <f t="shared" si="145"/>
        <v>0</v>
      </c>
      <c r="E39" s="136">
        <f t="shared" si="145"/>
        <v>0</v>
      </c>
      <c r="F39" s="136">
        <f t="shared" si="145"/>
        <v>0</v>
      </c>
      <c r="G39" s="136">
        <f t="shared" si="145"/>
        <v>0</v>
      </c>
      <c r="H39" s="136">
        <f t="shared" si="145"/>
        <v>0</v>
      </c>
      <c r="I39" s="136">
        <f t="shared" si="145"/>
        <v>0</v>
      </c>
      <c r="J39" s="136">
        <f t="shared" si="145"/>
        <v>0</v>
      </c>
      <c r="K39" s="136">
        <f t="shared" si="145"/>
        <v>0</v>
      </c>
      <c r="L39" s="136">
        <f t="shared" si="145"/>
        <v>0</v>
      </c>
      <c r="M39" s="136">
        <f t="shared" si="145"/>
        <v>0</v>
      </c>
      <c r="N39" s="149">
        <f>s_dir!BA39</f>
        <v>113437.5</v>
      </c>
      <c r="O39" s="149">
        <f>IFERROR(s_RadSpec!$J$11*O11,".")*$B$39</f>
        <v>0</v>
      </c>
      <c r="P39" s="149">
        <f>IFERROR(s_RadSpec!$J$11*P11,".")*$B$39</f>
        <v>0</v>
      </c>
      <c r="Q39" s="149">
        <f>IFERROR(s_RadSpec!$J$11*Q11,".")*$B$39</f>
        <v>0</v>
      </c>
      <c r="R39" s="149">
        <f>IFERROR(s_RadSpec!$J$11*R11,".")*$B$39</f>
        <v>0</v>
      </c>
      <c r="S39" s="149">
        <f>IFERROR(s_RadSpec!$J$11*S11,".")*$B$39</f>
        <v>0</v>
      </c>
      <c r="T39" s="149">
        <f>IFERROR(s_RadSpec!$J$11*T11,".")*$B$39</f>
        <v>0</v>
      </c>
      <c r="U39" s="149">
        <f>IFERROR(s_RadSpec!$J$11*U11,".")*$B$39</f>
        <v>0</v>
      </c>
      <c r="V39" s="149">
        <f>IFERROR(s_RadSpec!$J$11*V11,".")*$B$39</f>
        <v>0</v>
      </c>
      <c r="W39" s="149">
        <f>IFERROR(s_RadSpec!$J$11*W11,".")*$B$39</f>
        <v>0</v>
      </c>
      <c r="X39" s="149">
        <f>IFERROR(s_RadSpec!$J$11*X11,".")*$B$39</f>
        <v>0</v>
      </c>
      <c r="Y39" s="136">
        <f>IFERROR(Y11/$B39,0)</f>
        <v>0</v>
      </c>
      <c r="Z39" s="136">
        <f>IFERROR(Z11/$B39,0)</f>
        <v>0</v>
      </c>
      <c r="AA39" s="136">
        <f t="shared" ref="AA39:AH39" si="146">IFERROR(AA11/$B39,0)</f>
        <v>23270.799854946821</v>
      </c>
      <c r="AB39" s="136">
        <f>IFERROR(AB11/$B39,0)</f>
        <v>0</v>
      </c>
      <c r="AC39" s="136">
        <f t="shared" ref="AC39" si="147">IFERROR(AC11/$B39,0)</f>
        <v>0</v>
      </c>
      <c r="AD39" s="136">
        <f>IFERROR(AD11/$B39,0)</f>
        <v>0</v>
      </c>
      <c r="AE39" s="136">
        <f>IFERROR(AE11/$B39,0)</f>
        <v>0</v>
      </c>
      <c r="AF39" s="136">
        <f t="shared" ref="AF39" si="148">IFERROR(AF11/$B39,0)</f>
        <v>0</v>
      </c>
      <c r="AG39" s="136">
        <f t="shared" si="146"/>
        <v>0</v>
      </c>
      <c r="AH39" s="136">
        <f t="shared" si="146"/>
        <v>0</v>
      </c>
      <c r="AI39" s="136">
        <f t="shared" ref="AI39" si="149">IFERROR(AI11/$B39,0)</f>
        <v>0</v>
      </c>
      <c r="AJ39" s="136">
        <f t="shared" ref="AJ39:AL39" si="150">IFERROR(AJ11/$B39,0)</f>
        <v>0</v>
      </c>
      <c r="AK39" s="136">
        <f t="shared" si="150"/>
        <v>0</v>
      </c>
      <c r="AL39" s="136">
        <f t="shared" si="150"/>
        <v>0</v>
      </c>
      <c r="AM39" s="129"/>
      <c r="AN39" s="129"/>
      <c r="AO39" s="129"/>
      <c r="AP39" s="129"/>
      <c r="AQ39" s="129"/>
      <c r="AR39" s="129"/>
      <c r="AS39" s="129"/>
      <c r="AT39" s="129"/>
      <c r="AU39" s="129"/>
      <c r="AV39" s="129"/>
      <c r="AW39" s="129"/>
      <c r="AX39" s="129"/>
      <c r="AY39" s="129"/>
      <c r="AZ39" s="129"/>
      <c r="BA39" s="136">
        <f t="shared" ref="BA39" si="151">IFERROR(BA11/$B39,0)</f>
        <v>23270.799854946821</v>
      </c>
      <c r="BB39" s="149">
        <f>IFERROR(s_RadSpec!$I$11*BB11,".")*$B$39</f>
        <v>0</v>
      </c>
      <c r="BC39" s="149">
        <f>IFERROR(s_RadSpec!$L$11*BC11,".")*$B$39</f>
        <v>0</v>
      </c>
      <c r="BD39" s="149">
        <f>IFERROR(s_RadSpec!$K$11*BD11,".")*$B$39</f>
        <v>1.0743077228041902E-3</v>
      </c>
      <c r="BE39" s="149">
        <f>s_b2s!BZ39</f>
        <v>0</v>
      </c>
      <c r="BF39" s="149">
        <f>IFERROR(s_RadSpec!$J$11*BF11,".")*$B$39</f>
        <v>0</v>
      </c>
      <c r="BG39" s="149">
        <f>IFERROR(s_RadSpec!$J$11*BG11,".")*$B$39</f>
        <v>0</v>
      </c>
      <c r="BH39" s="149">
        <f>IFERROR(s_RadSpec!$J$11*BH11,".")*$B$39</f>
        <v>0</v>
      </c>
      <c r="BI39" s="149">
        <f>IFERROR(s_RadSpec!$J$11*BI11,".")*$B$39</f>
        <v>0</v>
      </c>
      <c r="BJ39" s="149">
        <f>IFERROR(s_RadSpec!$J$11*BJ11,".")*$B$39</f>
        <v>0</v>
      </c>
      <c r="BK39" s="149">
        <f>IFERROR(s_RadSpec!$J$11*BK11,".")*$B$39</f>
        <v>0</v>
      </c>
      <c r="BL39" s="149">
        <f>IFERROR(s_RadSpec!$J$11*BL11,".")*$B$39</f>
        <v>0</v>
      </c>
      <c r="BM39" s="149">
        <f>IFERROR(s_RadSpec!$J$11*BM11,".")*$B$39</f>
        <v>0</v>
      </c>
      <c r="BN39" s="149">
        <f>IFERROR(s_RadSpec!$J$11*BN11,".")*$B$39</f>
        <v>0</v>
      </c>
      <c r="BO39" s="149">
        <f>IFERROR(s_RadSpec!$J$11*BO11,".")*$B$39</f>
        <v>0</v>
      </c>
      <c r="BP39" s="150">
        <f t="shared" si="86"/>
        <v>1.0743077228041902E-3</v>
      </c>
      <c r="BQ39" s="136">
        <f>IFERROR(BQ11/$B39,0)</f>
        <v>0</v>
      </c>
      <c r="BR39" s="136">
        <f>IFERROR(BR11/$B39,0)</f>
        <v>0</v>
      </c>
      <c r="BS39" s="136">
        <f t="shared" ref="BS39" si="152">IFERROR(BS11/$B39,0)</f>
        <v>387.56260286336203</v>
      </c>
      <c r="BT39" s="136">
        <f>IFERROR(BT11/$B39,0)</f>
        <v>0</v>
      </c>
      <c r="BU39" s="136">
        <f t="shared" ref="BU39" si="153">IFERROR(BU11/$B39,0)</f>
        <v>0</v>
      </c>
      <c r="BV39" s="136">
        <f>IFERROR(BV11/$B39,0)</f>
        <v>0</v>
      </c>
      <c r="BW39" s="136">
        <f>IFERROR(BW11/$B39,0)</f>
        <v>0</v>
      </c>
      <c r="BX39" s="136">
        <f t="shared" ref="BX39:CD39" si="154">IFERROR(BX11/$B39,0)</f>
        <v>0</v>
      </c>
      <c r="BY39" s="136">
        <f t="shared" si="154"/>
        <v>0</v>
      </c>
      <c r="BZ39" s="136">
        <f t="shared" si="154"/>
        <v>0</v>
      </c>
      <c r="CA39" s="136">
        <f t="shared" si="154"/>
        <v>0</v>
      </c>
      <c r="CB39" s="136">
        <f t="shared" si="154"/>
        <v>0</v>
      </c>
      <c r="CC39" s="136">
        <f t="shared" si="154"/>
        <v>0</v>
      </c>
      <c r="CD39" s="136">
        <f t="shared" si="154"/>
        <v>0</v>
      </c>
      <c r="CE39" s="141"/>
      <c r="CF39" s="141"/>
      <c r="CG39" s="141"/>
      <c r="CH39" s="141"/>
      <c r="CI39" s="141"/>
      <c r="CJ39" s="141"/>
      <c r="CK39" s="141"/>
      <c r="CL39" s="141"/>
      <c r="CM39" s="141"/>
      <c r="CN39" s="141"/>
      <c r="CO39" s="141"/>
      <c r="CP39" s="141"/>
      <c r="CQ39" s="141"/>
      <c r="CR39" s="141"/>
      <c r="CS39" s="136">
        <f t="shared" ref="CS39" si="155">IFERROR(CS11/$B39,0)</f>
        <v>387.56260286336203</v>
      </c>
      <c r="CT39" s="149">
        <f>IFERROR(s_RadSpec!$M$11*CT11,".")*$B$39</f>
        <v>0</v>
      </c>
      <c r="CU39" s="149">
        <f>IFERROR(s_RadSpec!$L$11*CU11,".")*$B$39</f>
        <v>0</v>
      </c>
      <c r="CV39" s="149">
        <f>IFERROR(s_RadSpec!$Q$11*CV11,".")*$B$39</f>
        <v>6.4505707762557082E-2</v>
      </c>
      <c r="CW39" s="149">
        <f>s_b2w!BZ39</f>
        <v>0</v>
      </c>
      <c r="CX39" s="149">
        <f>IFERROR(s_RadSpec!$J$11*CX11,".")*$B$39</f>
        <v>0</v>
      </c>
      <c r="CY39" s="149">
        <f>IFERROR(s_RadSpec!$J$11*CY11,".")*$B$39</f>
        <v>0</v>
      </c>
      <c r="CZ39" s="149">
        <f>IFERROR(s_RadSpec!$J$11*CZ11,".")*$B$39</f>
        <v>0</v>
      </c>
      <c r="DA39" s="149">
        <f>IFERROR(s_RadSpec!$J$11*DA11,".")*$B$39</f>
        <v>0</v>
      </c>
      <c r="DB39" s="149">
        <f>IFERROR(s_RadSpec!$J$11*DB11,".")*$B$39</f>
        <v>0</v>
      </c>
      <c r="DC39" s="149">
        <f>IFERROR(s_RadSpec!$J$11*DC11,".")*$B$39</f>
        <v>0</v>
      </c>
      <c r="DD39" s="149">
        <f>IFERROR(s_RadSpec!$J$11*DD11,".")*$B$39</f>
        <v>0</v>
      </c>
      <c r="DE39" s="149">
        <f>IFERROR(s_RadSpec!$J$11*DE11,".")*$B$39</f>
        <v>0</v>
      </c>
      <c r="DF39" s="149">
        <f>IFERROR(s_RadSpec!$J$11*DF11,".")*$B$39</f>
        <v>0</v>
      </c>
      <c r="DG39" s="149">
        <f>IFERROR(s_RadSpec!$J$11*DG11,".")*$B$39</f>
        <v>0</v>
      </c>
      <c r="DH39" s="150">
        <f t="shared" si="68"/>
        <v>0</v>
      </c>
      <c r="DI39" s="136">
        <f>IFERROR(DI11/$B39,0)</f>
        <v>0</v>
      </c>
      <c r="DJ39" s="136">
        <f t="shared" ref="DJ39:DK39" si="156">IFERROR(DJ11/$B39,0)</f>
        <v>0.34105509051975863</v>
      </c>
      <c r="DK39" s="136">
        <f t="shared" si="156"/>
        <v>0.34105509051975863</v>
      </c>
      <c r="DL39" s="149">
        <f>IFERROR(s_RadSpec!$L$11*DL11,".")*$B$39</f>
        <v>0</v>
      </c>
      <c r="DM39" s="149">
        <f>IFERROR(s_RadSpec!$O$11*DM11,".")*$B$39</f>
        <v>73.301940639269404</v>
      </c>
      <c r="DN39" s="150">
        <f t="shared" si="91"/>
        <v>73.301940639269404</v>
      </c>
    </row>
    <row r="40" spans="1:118" x14ac:dyDescent="0.25">
      <c r="A40" s="135" t="s">
        <v>1070</v>
      </c>
      <c r="B40" s="129">
        <v>1</v>
      </c>
      <c r="C40" s="136">
        <f t="shared" ref="C40:M40" si="157">IFERROR(C4/$B40,0)</f>
        <v>0</v>
      </c>
      <c r="D40" s="136">
        <f t="shared" si="157"/>
        <v>0</v>
      </c>
      <c r="E40" s="136">
        <f t="shared" si="157"/>
        <v>0</v>
      </c>
      <c r="F40" s="136">
        <f t="shared" si="157"/>
        <v>0</v>
      </c>
      <c r="G40" s="136">
        <f t="shared" si="157"/>
        <v>0</v>
      </c>
      <c r="H40" s="136">
        <f t="shared" si="157"/>
        <v>0</v>
      </c>
      <c r="I40" s="136">
        <f t="shared" si="157"/>
        <v>0</v>
      </c>
      <c r="J40" s="136">
        <f t="shared" si="157"/>
        <v>0</v>
      </c>
      <c r="K40" s="136">
        <f t="shared" si="157"/>
        <v>0</v>
      </c>
      <c r="L40" s="136">
        <f t="shared" si="157"/>
        <v>0</v>
      </c>
      <c r="M40" s="136">
        <f t="shared" si="157"/>
        <v>0</v>
      </c>
      <c r="N40" s="149">
        <f>s_dir!BA40</f>
        <v>113437.5</v>
      </c>
      <c r="O40" s="149">
        <f>IFERROR(s_RadSpec!$J$4*O4,".")*$B$40</f>
        <v>0</v>
      </c>
      <c r="P40" s="149">
        <f>IFERROR(s_RadSpec!$J$4*P4,".")*$B$40</f>
        <v>0</v>
      </c>
      <c r="Q40" s="149">
        <f>IFERROR(s_RadSpec!$J$4*Q4,".")*$B$40</f>
        <v>0</v>
      </c>
      <c r="R40" s="149">
        <f>IFERROR(s_RadSpec!$J$4*R4,".")*$B$40</f>
        <v>0</v>
      </c>
      <c r="S40" s="149">
        <f>IFERROR(s_RadSpec!$J$4*S4,".")*$B$40</f>
        <v>0</v>
      </c>
      <c r="T40" s="149">
        <f>IFERROR(s_RadSpec!$J$4*T4,".")*$B$40</f>
        <v>0</v>
      </c>
      <c r="U40" s="149">
        <f>IFERROR(s_RadSpec!$J$4*U4,".")*$B$40</f>
        <v>0</v>
      </c>
      <c r="V40" s="149">
        <f>IFERROR(s_RadSpec!$J$4*V4,".")*$B$40</f>
        <v>0</v>
      </c>
      <c r="W40" s="149">
        <f>IFERROR(s_RadSpec!$J$4*W4,".")*$B$40</f>
        <v>0</v>
      </c>
      <c r="X40" s="149">
        <f>IFERROR(s_RadSpec!$J$4*X4,".")*$B$40</f>
        <v>0</v>
      </c>
      <c r="Y40" s="136">
        <f>IFERROR(Y4/$B40,0)</f>
        <v>0</v>
      </c>
      <c r="Z40" s="136">
        <f>IFERROR(Z4/$B40,0)</f>
        <v>0</v>
      </c>
      <c r="AA40" s="136">
        <f t="shared" ref="AA40:AH40" si="158">IFERROR(AA4/$B40,0)</f>
        <v>1450487.0428929173</v>
      </c>
      <c r="AB40" s="136">
        <f>IFERROR(AB4/$B40,0)</f>
        <v>0</v>
      </c>
      <c r="AC40" s="136">
        <f t="shared" ref="AC40" si="159">IFERROR(AC4/$B40,0)</f>
        <v>0</v>
      </c>
      <c r="AD40" s="136">
        <f>IFERROR(AD4/$B40,0)</f>
        <v>0</v>
      </c>
      <c r="AE40" s="136">
        <f>IFERROR(AE4/$B40,0)</f>
        <v>0</v>
      </c>
      <c r="AF40" s="136">
        <f t="shared" ref="AF40" si="160">IFERROR(AF4/$B40,0)</f>
        <v>0</v>
      </c>
      <c r="AG40" s="136">
        <f t="shared" si="158"/>
        <v>0</v>
      </c>
      <c r="AH40" s="136">
        <f t="shared" si="158"/>
        <v>0</v>
      </c>
      <c r="AI40" s="136">
        <f t="shared" ref="AI40" si="161">IFERROR(AI4/$B40,0)</f>
        <v>0</v>
      </c>
      <c r="AJ40" s="136">
        <f t="shared" ref="AJ40:AL40" si="162">IFERROR(AJ4/$B40,0)</f>
        <v>0</v>
      </c>
      <c r="AK40" s="136">
        <f t="shared" si="162"/>
        <v>0</v>
      </c>
      <c r="AL40" s="136">
        <f t="shared" si="162"/>
        <v>0</v>
      </c>
      <c r="AM40" s="129"/>
      <c r="AN40" s="129"/>
      <c r="AO40" s="129"/>
      <c r="AP40" s="129"/>
      <c r="AQ40" s="129"/>
      <c r="AR40" s="129"/>
      <c r="AS40" s="129"/>
      <c r="AT40" s="129"/>
      <c r="AU40" s="129"/>
      <c r="AV40" s="129"/>
      <c r="AW40" s="129"/>
      <c r="AX40" s="129"/>
      <c r="AY40" s="129"/>
      <c r="AZ40" s="129"/>
      <c r="BA40" s="136">
        <f t="shared" ref="BA40" si="163">IFERROR(BA4/$B40,0)</f>
        <v>1450487.0428929173</v>
      </c>
      <c r="BB40" s="149">
        <f>IFERROR(s_RadSpec!$I$4*BB4,".")*$B$40</f>
        <v>0</v>
      </c>
      <c r="BC40" s="149">
        <f>IFERROR(s_RadSpec!$L$4*BC4,".")*$B$40</f>
        <v>0</v>
      </c>
      <c r="BD40" s="149">
        <f>IFERROR(s_RadSpec!$K$4*BD4,".")*$B$40</f>
        <v>1.7235590019569467E-5</v>
      </c>
      <c r="BE40" s="149">
        <f>s_b2s!BZ40</f>
        <v>0</v>
      </c>
      <c r="BF40" s="149">
        <f>IFERROR(s_RadSpec!$J$4*BF4,".")*$B$40</f>
        <v>0</v>
      </c>
      <c r="BG40" s="149">
        <f>IFERROR(s_RadSpec!$J$4*BG4,".")*$B$40</f>
        <v>0</v>
      </c>
      <c r="BH40" s="149">
        <f>IFERROR(s_RadSpec!$J$4*BH4,".")*$B$40</f>
        <v>0</v>
      </c>
      <c r="BI40" s="149">
        <f>IFERROR(s_RadSpec!$J$4*BI4,".")*$B$40</f>
        <v>0</v>
      </c>
      <c r="BJ40" s="149">
        <f>IFERROR(s_RadSpec!$J$4*BJ4,".")*$B$40</f>
        <v>0</v>
      </c>
      <c r="BK40" s="149">
        <f>IFERROR(s_RadSpec!$J$4*BK4,".")*$B$40</f>
        <v>0</v>
      </c>
      <c r="BL40" s="149">
        <f>IFERROR(s_RadSpec!$J$4*BL4,".")*$B$40</f>
        <v>0</v>
      </c>
      <c r="BM40" s="149">
        <f>IFERROR(s_RadSpec!$J$4*BM4,".")*$B$40</f>
        <v>0</v>
      </c>
      <c r="BN40" s="149">
        <f>IFERROR(s_RadSpec!$J$4*BN4,".")*$B$40</f>
        <v>0</v>
      </c>
      <c r="BO40" s="149">
        <f>IFERROR(s_RadSpec!$J$4*BO4,".")*$B$40</f>
        <v>0</v>
      </c>
      <c r="BP40" s="150">
        <f t="shared" si="86"/>
        <v>1.7235590019569467E-5</v>
      </c>
      <c r="BQ40" s="136">
        <f>IFERROR(BQ4/$B40,0)</f>
        <v>0</v>
      </c>
      <c r="BR40" s="136">
        <f>IFERROR(BR4/$B40,0)</f>
        <v>0</v>
      </c>
      <c r="BS40" s="136">
        <f t="shared" ref="BS40" si="164">IFERROR(BS4/$B40,0)</f>
        <v>46138.405102781202</v>
      </c>
      <c r="BT40" s="136">
        <f>IFERROR(BT4/$B40,0)</f>
        <v>0</v>
      </c>
      <c r="BU40" s="136">
        <f t="shared" ref="BU40" si="165">IFERROR(BU4/$B40,0)</f>
        <v>0</v>
      </c>
      <c r="BV40" s="136">
        <f>IFERROR(BV4/$B40,0)</f>
        <v>0</v>
      </c>
      <c r="BW40" s="136">
        <f>IFERROR(BW4/$B40,0)</f>
        <v>0</v>
      </c>
      <c r="BX40" s="136">
        <f t="shared" ref="BX40:CD40" si="166">IFERROR(BX4/$B40,0)</f>
        <v>0</v>
      </c>
      <c r="BY40" s="136">
        <f t="shared" si="166"/>
        <v>0</v>
      </c>
      <c r="BZ40" s="136">
        <f t="shared" si="166"/>
        <v>0</v>
      </c>
      <c r="CA40" s="136">
        <f t="shared" si="166"/>
        <v>0</v>
      </c>
      <c r="CB40" s="136">
        <f t="shared" si="166"/>
        <v>0</v>
      </c>
      <c r="CC40" s="136">
        <f t="shared" si="166"/>
        <v>0</v>
      </c>
      <c r="CD40" s="136">
        <f t="shared" si="166"/>
        <v>0</v>
      </c>
      <c r="CE40" s="141"/>
      <c r="CF40" s="141"/>
      <c r="CG40" s="141"/>
      <c r="CH40" s="141"/>
      <c r="CI40" s="141"/>
      <c r="CJ40" s="141"/>
      <c r="CK40" s="141"/>
      <c r="CL40" s="141"/>
      <c r="CM40" s="141"/>
      <c r="CN40" s="141"/>
      <c r="CO40" s="141"/>
      <c r="CP40" s="141"/>
      <c r="CQ40" s="141"/>
      <c r="CR40" s="141"/>
      <c r="CS40" s="136">
        <f t="shared" ref="CS40" si="167">IFERROR(CS4/$B40,0)</f>
        <v>46138.405102781202</v>
      </c>
      <c r="CT40" s="149">
        <f>IFERROR(s_RadSpec!$M$4*CT4,".")*$B$40</f>
        <v>0</v>
      </c>
      <c r="CU40" s="149">
        <f>IFERROR(s_RadSpec!$L$4*CU4,".")*$B$40</f>
        <v>0</v>
      </c>
      <c r="CV40" s="149">
        <f>IFERROR(s_RadSpec!$Q$4*CV4,".")*$B$40</f>
        <v>5.4184794520547935E-4</v>
      </c>
      <c r="CW40" s="149">
        <f>s_b2w!BZ40</f>
        <v>0</v>
      </c>
      <c r="CX40" s="149">
        <f>IFERROR(s_RadSpec!$J$4*CX4,".")*$B$40</f>
        <v>0</v>
      </c>
      <c r="CY40" s="149">
        <f>IFERROR(s_RadSpec!$J$4*CY4,".")*$B$40</f>
        <v>0</v>
      </c>
      <c r="CZ40" s="149">
        <f>IFERROR(s_RadSpec!$J$4*CZ4,".")*$B$40</f>
        <v>0</v>
      </c>
      <c r="DA40" s="149">
        <f>IFERROR(s_RadSpec!$J$4*DA4,".")*$B$40</f>
        <v>0</v>
      </c>
      <c r="DB40" s="149">
        <f>IFERROR(s_RadSpec!$J$4*DB4,".")*$B$40</f>
        <v>0</v>
      </c>
      <c r="DC40" s="149">
        <f>IFERROR(s_RadSpec!$J$4*DC4,".")*$B$40</f>
        <v>0</v>
      </c>
      <c r="DD40" s="149">
        <f>IFERROR(s_RadSpec!$J$4*DD4,".")*$B$40</f>
        <v>0</v>
      </c>
      <c r="DE40" s="149">
        <f>IFERROR(s_RadSpec!$J$4*DE4,".")*$B$40</f>
        <v>0</v>
      </c>
      <c r="DF40" s="149">
        <f>IFERROR(s_RadSpec!$J$4*DF4,".")*$B$40</f>
        <v>0</v>
      </c>
      <c r="DG40" s="149">
        <f>IFERROR(s_RadSpec!$J$4*DG4,".")*$B$40</f>
        <v>0</v>
      </c>
      <c r="DH40" s="150">
        <f t="shared" si="68"/>
        <v>0</v>
      </c>
      <c r="DI40" s="136">
        <f>IFERROR(DI4/$B40,0)</f>
        <v>0</v>
      </c>
      <c r="DJ40" s="136">
        <f t="shared" ref="DJ40:DK40" si="168">IFERROR(DJ4/$B40,0)</f>
        <v>40.218760674499833</v>
      </c>
      <c r="DK40" s="136">
        <f t="shared" si="168"/>
        <v>40.218760674499833</v>
      </c>
      <c r="DL40" s="149">
        <f>IFERROR(s_RadSpec!$L$4*DL4,".")*$B$40</f>
        <v>0</v>
      </c>
      <c r="DM40" s="149">
        <f>IFERROR(s_RadSpec!$O$4*DM4,".")*$B$40</f>
        <v>0.6216004566210046</v>
      </c>
      <c r="DN40" s="150">
        <f t="shared" si="91"/>
        <v>0.6216004566210046</v>
      </c>
    </row>
    <row r="41" spans="1:118" x14ac:dyDescent="0.25">
      <c r="A41" s="135" t="s">
        <v>1071</v>
      </c>
      <c r="B41" s="138">
        <v>0.99987999999999999</v>
      </c>
      <c r="C41" s="136">
        <f t="shared" ref="C41:M41" si="169">IFERROR(C8/$B41,0)</f>
        <v>1111.3963512810399</v>
      </c>
      <c r="D41" s="136">
        <f t="shared" si="169"/>
        <v>3334.1890538431194</v>
      </c>
      <c r="E41" s="136">
        <f t="shared" si="169"/>
        <v>3334.1890538431194</v>
      </c>
      <c r="F41" s="136">
        <f t="shared" si="169"/>
        <v>3334.1890538431194</v>
      </c>
      <c r="G41" s="136">
        <f t="shared" si="169"/>
        <v>3334.1890538431194</v>
      </c>
      <c r="H41" s="136">
        <f t="shared" si="169"/>
        <v>3334.1890538431194</v>
      </c>
      <c r="I41" s="136">
        <f t="shared" si="169"/>
        <v>3334.1890538431194</v>
      </c>
      <c r="J41" s="136">
        <f t="shared" si="169"/>
        <v>3334.1890538431194</v>
      </c>
      <c r="K41" s="136">
        <f t="shared" si="169"/>
        <v>3334.1890538431194</v>
      </c>
      <c r="L41" s="136">
        <f t="shared" si="169"/>
        <v>3334.1890538431194</v>
      </c>
      <c r="M41" s="136">
        <f t="shared" si="169"/>
        <v>3334.1890538431194</v>
      </c>
      <c r="N41" s="149">
        <f>s_dir!BA41</f>
        <v>113423.88750000001</v>
      </c>
      <c r="O41" s="149">
        <f>IFERROR(s_RadSpec!$J$8*O8,".")*$B$41</f>
        <v>7.4980751229999998E-3</v>
      </c>
      <c r="P41" s="149">
        <f>IFERROR(s_RadSpec!$J$8*P8,".")*$B$41</f>
        <v>7.4980751229999998E-3</v>
      </c>
      <c r="Q41" s="149">
        <f>IFERROR(s_RadSpec!$J$8*Q8,".")*$B$41</f>
        <v>7.4980751229999998E-3</v>
      </c>
      <c r="R41" s="149">
        <f>IFERROR(s_RadSpec!$J$8*R8,".")*$B$41</f>
        <v>7.4980751229999998E-3</v>
      </c>
      <c r="S41" s="149">
        <f>IFERROR(s_RadSpec!$J$8*S8,".")*$B$41</f>
        <v>7.4980751229999998E-3</v>
      </c>
      <c r="T41" s="149">
        <f>IFERROR(s_RadSpec!$J$8*T8,".")*$B$41</f>
        <v>7.4980751229999998E-3</v>
      </c>
      <c r="U41" s="149">
        <f>IFERROR(s_RadSpec!$J$8*U8,".")*$B$41</f>
        <v>7.4980751229999998E-3</v>
      </c>
      <c r="V41" s="149">
        <f>IFERROR(s_RadSpec!$J$8*V8,".")*$B$41</f>
        <v>7.4980751229999998E-3</v>
      </c>
      <c r="W41" s="149">
        <f>IFERROR(s_RadSpec!$J$8*W8,".")*$B$41</f>
        <v>7.4980751229999998E-3</v>
      </c>
      <c r="X41" s="149">
        <f>IFERROR(s_RadSpec!$J$8*X8,".")*$B$41</f>
        <v>7.4980751229999998E-3</v>
      </c>
      <c r="Y41" s="136">
        <f>IFERROR(Y8/$B41,0)</f>
        <v>1667094.5269215596</v>
      </c>
      <c r="Z41" s="136">
        <f>IFERROR(Z8/$B41,0)</f>
        <v>117638470.8050424</v>
      </c>
      <c r="AA41" s="136">
        <f t="shared" ref="AA41:AH41" si="170">IFERROR(AA8/$B41,0)</f>
        <v>1600.2958636838098</v>
      </c>
      <c r="AB41" s="136">
        <f>IFERROR(AB8/$B41,0)</f>
        <v>9792.0383372778833</v>
      </c>
      <c r="AC41" s="136">
        <f t="shared" ref="AC41" si="171">IFERROR(AC8/$B41,0)</f>
        <v>106694.04972297982</v>
      </c>
      <c r="AD41" s="136">
        <f>IFERROR(AD8/$B41,0)</f>
        <v>11113.963512810398</v>
      </c>
      <c r="AE41" s="136">
        <f>IFERROR(AE8/$B41,0)</f>
        <v>22894.764836389419</v>
      </c>
      <c r="AF41" s="136">
        <f t="shared" ref="AF41" si="172">IFERROR(AF8/$B41,0)</f>
        <v>0</v>
      </c>
      <c r="AG41" s="136">
        <f t="shared" si="170"/>
        <v>0</v>
      </c>
      <c r="AH41" s="136">
        <f t="shared" si="170"/>
        <v>0</v>
      </c>
      <c r="AI41" s="136">
        <f t="shared" ref="AI41" si="173">IFERROR(AI8/$B41,0)</f>
        <v>0</v>
      </c>
      <c r="AJ41" s="136">
        <f t="shared" ref="AJ41:AL41" si="174">IFERROR(AJ8/$B41,0)</f>
        <v>0</v>
      </c>
      <c r="AK41" s="136">
        <f t="shared" si="174"/>
        <v>0</v>
      </c>
      <c r="AL41" s="136">
        <f t="shared" si="174"/>
        <v>0</v>
      </c>
      <c r="AM41" s="129"/>
      <c r="AN41" s="129"/>
      <c r="AO41" s="129"/>
      <c r="AP41" s="129"/>
      <c r="AQ41" s="129"/>
      <c r="AR41" s="129"/>
      <c r="AS41" s="129"/>
      <c r="AT41" s="129"/>
      <c r="AU41" s="129"/>
      <c r="AV41" s="129"/>
      <c r="AW41" s="129"/>
      <c r="AX41" s="129"/>
      <c r="AY41" s="129"/>
      <c r="AZ41" s="129"/>
      <c r="BA41" s="136">
        <f t="shared" ref="BA41" si="175">IFERROR(BA8/$B41,0)</f>
        <v>1148.5748372461233</v>
      </c>
      <c r="BB41" s="149">
        <f>IFERROR(s_RadSpec!$I$8*BB8,".")*$B$41</f>
        <v>1.4996150246E-5</v>
      </c>
      <c r="BC41" s="149">
        <f>IFERROR(s_RadSpec!$L$8*BC8,".")*$B$41</f>
        <v>2.1251551324083016E-7</v>
      </c>
      <c r="BD41" s="149">
        <f>IFERROR(s_RadSpec!$K$8*BD8,".")*$B$41</f>
        <v>1.5622111240387209E-2</v>
      </c>
      <c r="BE41" s="149">
        <f>s_b2s!BZ41</f>
        <v>2.5530945793814999E-3</v>
      </c>
      <c r="BF41" s="149">
        <f>IFERROR(s_RadSpec!$J$8*BF8,".")*$B$41</f>
        <v>2.3431484759374999E-4</v>
      </c>
      <c r="BG41" s="149">
        <f>IFERROR(s_RadSpec!$J$8*BG8,".")*$B$41</f>
        <v>2.2494225368999998E-3</v>
      </c>
      <c r="BH41" s="149">
        <f>IFERROR(s_RadSpec!$J$8*BH8,".")*$B$41</f>
        <v>1.0919526878155341E-3</v>
      </c>
      <c r="BI41" s="149">
        <f>IFERROR(s_RadSpec!$J$8*BI8,".")*$B$41</f>
        <v>0</v>
      </c>
      <c r="BJ41" s="149">
        <f>IFERROR(s_RadSpec!$J$8*BJ8,".")*$B$41</f>
        <v>0</v>
      </c>
      <c r="BK41" s="149">
        <f>IFERROR(s_RadSpec!$J$8*BK8,".")*$B$41</f>
        <v>0</v>
      </c>
      <c r="BL41" s="149">
        <f>IFERROR(s_RadSpec!$J$8*BL8,".")*$B$41</f>
        <v>0</v>
      </c>
      <c r="BM41" s="149">
        <f>IFERROR(s_RadSpec!$J$8*BM8,".")*$B$41</f>
        <v>0</v>
      </c>
      <c r="BN41" s="149">
        <f>IFERROR(s_RadSpec!$J$8*BN8,".")*$B$41</f>
        <v>0</v>
      </c>
      <c r="BO41" s="149">
        <f>IFERROR(s_RadSpec!$J$8*BO8,".")*$B$41</f>
        <v>0</v>
      </c>
      <c r="BP41" s="150">
        <f t="shared" si="86"/>
        <v>2.1766104557837236E-2</v>
      </c>
      <c r="BQ41" s="136">
        <f>IFERROR(BQ8/$B41,0)</f>
        <v>18338.039796137156</v>
      </c>
      <c r="BR41" s="136">
        <f>IFERROR(BR8/$B41,0)</f>
        <v>0</v>
      </c>
      <c r="BS41" s="136">
        <f t="shared" ref="BS41" si="176">IFERROR(BS8/$B41,0)</f>
        <v>84.597227689088214</v>
      </c>
      <c r="BT41" s="136">
        <f>IFERROR(BT8/$B41,0)</f>
        <v>35207.671329838471</v>
      </c>
      <c r="BU41" s="136">
        <f t="shared" ref="BU41" si="177">IFERROR(BU8/$B41,0)</f>
        <v>222279.27025620796</v>
      </c>
      <c r="BV41" s="136">
        <f>IFERROR(BV8/$B41,0)</f>
        <v>333418905.38431191</v>
      </c>
      <c r="BW41" s="136">
        <f>IFERROR(BW8/$B41,0)</f>
        <v>686842945.09168255</v>
      </c>
      <c r="BX41" s="136">
        <f t="shared" ref="BX41:CD41" si="178">IFERROR(BX8/$B41,0)</f>
        <v>0</v>
      </c>
      <c r="BY41" s="136">
        <f t="shared" si="178"/>
        <v>0</v>
      </c>
      <c r="BZ41" s="136">
        <f t="shared" si="178"/>
        <v>0</v>
      </c>
      <c r="CA41" s="136">
        <f t="shared" si="178"/>
        <v>0</v>
      </c>
      <c r="CB41" s="136">
        <f t="shared" si="178"/>
        <v>0</v>
      </c>
      <c r="CC41" s="136">
        <f t="shared" si="178"/>
        <v>0</v>
      </c>
      <c r="CD41" s="136">
        <f t="shared" si="178"/>
        <v>0</v>
      </c>
      <c r="CE41" s="141"/>
      <c r="CF41" s="141"/>
      <c r="CG41" s="141"/>
      <c r="CH41" s="141"/>
      <c r="CI41" s="141"/>
      <c r="CJ41" s="141"/>
      <c r="CK41" s="141"/>
      <c r="CL41" s="141"/>
      <c r="CM41" s="141"/>
      <c r="CN41" s="141"/>
      <c r="CO41" s="141"/>
      <c r="CP41" s="141"/>
      <c r="CQ41" s="141"/>
      <c r="CR41" s="141"/>
      <c r="CS41" s="136">
        <f t="shared" ref="CS41" si="179">IFERROR(CS8/$B41,0)</f>
        <v>83.976058185472638</v>
      </c>
      <c r="CT41" s="149">
        <f>IFERROR(s_RadSpec!$M$8*CT8,".")*$B$41</f>
        <v>1.363286386E-3</v>
      </c>
      <c r="CU41" s="149">
        <f>IFERROR(s_RadSpec!$L$8*CU8,".")*$B$41</f>
        <v>3.2919063561197906E-2</v>
      </c>
      <c r="CV41" s="149">
        <f>IFERROR(s_RadSpec!$Q$8*CV8,".")*$B$41</f>
        <v>0.29551795824657534</v>
      </c>
      <c r="CW41" s="149">
        <f>s_b2w!BZ41</f>
        <v>7.1007252271218871E-4</v>
      </c>
      <c r="CX41" s="149">
        <f>IFERROR(s_RadSpec!$J$8*CX8,".")*$B$41</f>
        <v>1.12471126845E-4</v>
      </c>
      <c r="CY41" s="149">
        <f>IFERROR(s_RadSpec!$J$8*CY8,".")*$B$41</f>
        <v>7.498075122999999E-8</v>
      </c>
      <c r="CZ41" s="149">
        <f>IFERROR(s_RadSpec!$J$8*CZ8,".")*$B$41</f>
        <v>3.6398422927184467E-8</v>
      </c>
      <c r="DA41" s="149">
        <f>IFERROR(s_RadSpec!$J$8*DA8,".")*$B$41</f>
        <v>0</v>
      </c>
      <c r="DB41" s="149">
        <f>IFERROR(s_RadSpec!$J$8*DB8,".")*$B$41</f>
        <v>0</v>
      </c>
      <c r="DC41" s="149">
        <f>IFERROR(s_RadSpec!$J$8*DC8,".")*$B$41</f>
        <v>0</v>
      </c>
      <c r="DD41" s="149">
        <f>IFERROR(s_RadSpec!$J$8*DD8,".")*$B$41</f>
        <v>0</v>
      </c>
      <c r="DE41" s="149">
        <f>IFERROR(s_RadSpec!$J$8*DE8,".")*$B$41</f>
        <v>0</v>
      </c>
      <c r="DF41" s="149">
        <f>IFERROR(s_RadSpec!$J$8*DF8,".")*$B$41</f>
        <v>0</v>
      </c>
      <c r="DG41" s="149">
        <f>IFERROR(s_RadSpec!$J$8*DG8,".")*$B$41</f>
        <v>0</v>
      </c>
      <c r="DH41" s="150">
        <f t="shared" si="68"/>
        <v>0</v>
      </c>
      <c r="DI41" s="136">
        <f>IFERROR(DI8/$B41,0)</f>
        <v>379.7191854124884</v>
      </c>
      <c r="DJ41" s="136">
        <f t="shared" ref="DJ41:DK41" si="180">IFERROR(DJ8/$B41,0)</f>
        <v>7.1779465918014262E-2</v>
      </c>
      <c r="DK41" s="136">
        <f t="shared" si="180"/>
        <v>7.1765899792950907E-2</v>
      </c>
      <c r="DL41" s="149">
        <f>IFERROR(s_RadSpec!$L$8*DL8,".")*$B$41</f>
        <v>6.5838127122395812E-2</v>
      </c>
      <c r="DM41" s="149">
        <f>IFERROR(s_RadSpec!$O$8*DM8,".")*$B$41</f>
        <v>348.28902221917809</v>
      </c>
      <c r="DN41" s="150">
        <f t="shared" si="91"/>
        <v>348.35486034630048</v>
      </c>
    </row>
    <row r="42" spans="1:118" x14ac:dyDescent="0.25">
      <c r="A42" s="135" t="s">
        <v>1072</v>
      </c>
      <c r="B42" s="129">
        <v>0.97898250799999997</v>
      </c>
      <c r="C42" s="136">
        <f t="shared" ref="C42:M42" si="181">IFERROR(C19/$B42,0)</f>
        <v>0</v>
      </c>
      <c r="D42" s="136">
        <f t="shared" si="181"/>
        <v>0</v>
      </c>
      <c r="E42" s="136">
        <f t="shared" si="181"/>
        <v>0</v>
      </c>
      <c r="F42" s="136">
        <f t="shared" si="181"/>
        <v>0</v>
      </c>
      <c r="G42" s="136">
        <f t="shared" si="181"/>
        <v>0</v>
      </c>
      <c r="H42" s="136">
        <f t="shared" si="181"/>
        <v>0</v>
      </c>
      <c r="I42" s="136">
        <f t="shared" si="181"/>
        <v>0</v>
      </c>
      <c r="J42" s="136">
        <f t="shared" si="181"/>
        <v>0</v>
      </c>
      <c r="K42" s="136">
        <f t="shared" si="181"/>
        <v>0</v>
      </c>
      <c r="L42" s="136">
        <f t="shared" si="181"/>
        <v>0</v>
      </c>
      <c r="M42" s="136">
        <f t="shared" si="181"/>
        <v>0</v>
      </c>
      <c r="N42" s="149">
        <f>s_dir!BA42</f>
        <v>111053.32825125</v>
      </c>
      <c r="O42" s="152">
        <f>IFERROR(s_RadSpec!$J$19*O19,".")*$B$42</f>
        <v>0</v>
      </c>
      <c r="P42" s="152">
        <f>IFERROR(s_RadSpec!$J$19*P19,".")*$B$42</f>
        <v>0</v>
      </c>
      <c r="Q42" s="152">
        <f>IFERROR(s_RadSpec!$J$19*Q19,".")*$B$42</f>
        <v>0</v>
      </c>
      <c r="R42" s="152">
        <f>IFERROR(s_RadSpec!$J$19*R19,".")*$B$42</f>
        <v>0</v>
      </c>
      <c r="S42" s="152">
        <f>IFERROR(s_RadSpec!$J$19*S19,".")*$B$42</f>
        <v>0</v>
      </c>
      <c r="T42" s="152">
        <f>IFERROR(s_RadSpec!$J$19*T19,".")*$B$42</f>
        <v>0</v>
      </c>
      <c r="U42" s="152">
        <f>IFERROR(s_RadSpec!$J$19*U19,".")*$B$42</f>
        <v>0</v>
      </c>
      <c r="V42" s="152">
        <f>IFERROR(s_RadSpec!$J$19*V19,".")*$B$42</f>
        <v>0</v>
      </c>
      <c r="W42" s="152">
        <f>IFERROR(s_RadSpec!$J$19*W19,".")*$B$42</f>
        <v>0</v>
      </c>
      <c r="X42" s="152">
        <f>IFERROR(s_RadSpec!$J$19*X19,".")*$B$42</f>
        <v>0</v>
      </c>
      <c r="Y42" s="136">
        <f>IFERROR(Y19/$B42,0)</f>
        <v>0</v>
      </c>
      <c r="Z42" s="136">
        <f>IFERROR(Z19/$B42,0)</f>
        <v>0</v>
      </c>
      <c r="AA42" s="136">
        <f t="shared" ref="AA42:AH42" si="182">IFERROR(AA19/$B42,0)</f>
        <v>3589480.7931664605</v>
      </c>
      <c r="AB42" s="136">
        <f>IFERROR(AB19/$B42,0)</f>
        <v>0</v>
      </c>
      <c r="AC42" s="136">
        <f t="shared" ref="AC42" si="183">IFERROR(AC19/$B42,0)</f>
        <v>0</v>
      </c>
      <c r="AD42" s="136">
        <f>IFERROR(AD19/$B42,0)</f>
        <v>0</v>
      </c>
      <c r="AE42" s="136">
        <f>IFERROR(AE19/$B42,0)</f>
        <v>0</v>
      </c>
      <c r="AF42" s="136">
        <f t="shared" ref="AF42" si="184">IFERROR(AF19/$B42,0)</f>
        <v>0</v>
      </c>
      <c r="AG42" s="136">
        <f t="shared" si="182"/>
        <v>0</v>
      </c>
      <c r="AH42" s="136">
        <f t="shared" si="182"/>
        <v>0</v>
      </c>
      <c r="AI42" s="136">
        <f t="shared" ref="AI42" si="185">IFERROR(AI19/$B42,0)</f>
        <v>0</v>
      </c>
      <c r="AJ42" s="136">
        <f t="shared" ref="AJ42:AL42" si="186">IFERROR(AJ19/$B42,0)</f>
        <v>0</v>
      </c>
      <c r="AK42" s="136">
        <f t="shared" si="186"/>
        <v>0</v>
      </c>
      <c r="AL42" s="136">
        <f t="shared" si="186"/>
        <v>0</v>
      </c>
      <c r="AM42" s="129"/>
      <c r="AN42" s="129"/>
      <c r="AO42" s="129"/>
      <c r="AP42" s="129"/>
      <c r="AQ42" s="129"/>
      <c r="AR42" s="129"/>
      <c r="AS42" s="129"/>
      <c r="AT42" s="129"/>
      <c r="AU42" s="129"/>
      <c r="AV42" s="129"/>
      <c r="AW42" s="129"/>
      <c r="AX42" s="129"/>
      <c r="AY42" s="129"/>
      <c r="AZ42" s="129"/>
      <c r="BA42" s="136">
        <f t="shared" ref="BA42" si="187">IFERROR(BA19/$B42,0)</f>
        <v>3589480.7931664605</v>
      </c>
      <c r="BB42" s="152">
        <f>IFERROR(s_RadSpec!$I$19*BB19,".")*$B$42</f>
        <v>0</v>
      </c>
      <c r="BC42" s="152">
        <f>IFERROR(s_RadSpec!$L$19*BC19,".")*$B$42</f>
        <v>0</v>
      </c>
      <c r="BD42" s="152">
        <f>IFERROR(s_RadSpec!$K$19*BD19,".")*$B$42</f>
        <v>6.9647955903801468E-6</v>
      </c>
      <c r="BE42" s="149">
        <f>s_b2s!BZ42</f>
        <v>0</v>
      </c>
      <c r="BF42" s="152">
        <f>IFERROR(s_RadSpec!$J$19*BF19,".")*$B$42</f>
        <v>0</v>
      </c>
      <c r="BG42" s="152">
        <f>IFERROR(s_RadSpec!$J$19*BG19,".")*$B$42</f>
        <v>0</v>
      </c>
      <c r="BH42" s="152">
        <f>IFERROR(s_RadSpec!$J$19*BH19,".")*$B$42</f>
        <v>0</v>
      </c>
      <c r="BI42" s="152">
        <f>IFERROR(s_RadSpec!$J$19*BI19,".")*$B$42</f>
        <v>0</v>
      </c>
      <c r="BJ42" s="152">
        <f>IFERROR(s_RadSpec!$J$19*BJ19,".")*$B$42</f>
        <v>0</v>
      </c>
      <c r="BK42" s="152">
        <f>IFERROR(s_RadSpec!$J$19*BK19,".")*$B$42</f>
        <v>0</v>
      </c>
      <c r="BL42" s="152">
        <f>IFERROR(s_RadSpec!$J$19*BL19,".")*$B$42</f>
        <v>0</v>
      </c>
      <c r="BM42" s="152">
        <f>IFERROR(s_RadSpec!$J$19*BM19,".")*$B$42</f>
        <v>0</v>
      </c>
      <c r="BN42" s="152">
        <f>IFERROR(s_RadSpec!$J$19*BN19,".")*$B$42</f>
        <v>0</v>
      </c>
      <c r="BO42" s="152">
        <f>IFERROR(s_RadSpec!$J$19*BO19,".")*$B$42</f>
        <v>0</v>
      </c>
      <c r="BP42" s="150">
        <f t="shared" si="86"/>
        <v>6.9647955903801468E-6</v>
      </c>
      <c r="BQ42" s="136">
        <f>IFERROR(BQ19/$B42,0)</f>
        <v>0</v>
      </c>
      <c r="BR42" s="136">
        <f>IFERROR(BR19/$B42,0)</f>
        <v>0</v>
      </c>
      <c r="BS42" s="136">
        <f t="shared" ref="BS42" si="188">IFERROR(BS19/$B42,0)</f>
        <v>293444.32572917134</v>
      </c>
      <c r="BT42" s="136">
        <f>IFERROR(BT19/$B42,0)</f>
        <v>0</v>
      </c>
      <c r="BU42" s="136">
        <f t="shared" ref="BU42" si="189">IFERROR(BU19/$B42,0)</f>
        <v>0</v>
      </c>
      <c r="BV42" s="136">
        <f>IFERROR(BV19/$B42,0)</f>
        <v>0</v>
      </c>
      <c r="BW42" s="136">
        <f>IFERROR(BW19/$B42,0)</f>
        <v>0</v>
      </c>
      <c r="BX42" s="136">
        <f t="shared" ref="BX42:CD42" si="190">IFERROR(BX19/$B42,0)</f>
        <v>0</v>
      </c>
      <c r="BY42" s="136">
        <f t="shared" si="190"/>
        <v>0</v>
      </c>
      <c r="BZ42" s="136">
        <f t="shared" si="190"/>
        <v>0</v>
      </c>
      <c r="CA42" s="136">
        <f t="shared" si="190"/>
        <v>0</v>
      </c>
      <c r="CB42" s="136">
        <f t="shared" si="190"/>
        <v>0</v>
      </c>
      <c r="CC42" s="136">
        <f t="shared" si="190"/>
        <v>0</v>
      </c>
      <c r="CD42" s="136">
        <f t="shared" si="190"/>
        <v>0</v>
      </c>
      <c r="CE42" s="141"/>
      <c r="CF42" s="141"/>
      <c r="CG42" s="141"/>
      <c r="CH42" s="141"/>
      <c r="CI42" s="141"/>
      <c r="CJ42" s="141"/>
      <c r="CK42" s="141"/>
      <c r="CL42" s="141"/>
      <c r="CM42" s="141"/>
      <c r="CN42" s="141"/>
      <c r="CO42" s="141"/>
      <c r="CP42" s="141"/>
      <c r="CQ42" s="141"/>
      <c r="CR42" s="141"/>
      <c r="CS42" s="136">
        <f t="shared" ref="CS42" si="191">IFERROR(CS19/$B42,0)</f>
        <v>293444.32572917134</v>
      </c>
      <c r="CT42" s="152">
        <f>IFERROR(s_RadSpec!$M$19*CT19,".")*$B$42</f>
        <v>0</v>
      </c>
      <c r="CU42" s="152">
        <f>IFERROR(s_RadSpec!$L$19*CU19,".")*$B$42</f>
        <v>0</v>
      </c>
      <c r="CV42" s="152">
        <f>IFERROR(s_RadSpec!$Q$19*CV19,".")*$B$42</f>
        <v>8.5195036359548673E-5</v>
      </c>
      <c r="CW42" s="149">
        <f>s_b2w!BZ42</f>
        <v>0</v>
      </c>
      <c r="CX42" s="152">
        <f>IFERROR(s_RadSpec!$J$19*CX19,".")*$B$42</f>
        <v>0</v>
      </c>
      <c r="CY42" s="152">
        <f>IFERROR(s_RadSpec!$J$19*CY19,".")*$B$42</f>
        <v>0</v>
      </c>
      <c r="CZ42" s="152">
        <f>IFERROR(s_RadSpec!$J$19*CZ19,".")*$B$42</f>
        <v>0</v>
      </c>
      <c r="DA42" s="152">
        <f>IFERROR(s_RadSpec!$J$19*DA19,".")*$B$42</f>
        <v>0</v>
      </c>
      <c r="DB42" s="152">
        <f>IFERROR(s_RadSpec!$J$19*DB19,".")*$B$42</f>
        <v>0</v>
      </c>
      <c r="DC42" s="152">
        <f>IFERROR(s_RadSpec!$J$19*DC19,".")*$B$42</f>
        <v>0</v>
      </c>
      <c r="DD42" s="152">
        <f>IFERROR(s_RadSpec!$J$19*DD19,".")*$B$42</f>
        <v>0</v>
      </c>
      <c r="DE42" s="152">
        <f>IFERROR(s_RadSpec!$J$19*DE19,".")*$B$42</f>
        <v>0</v>
      </c>
      <c r="DF42" s="152">
        <f>IFERROR(s_RadSpec!$J$19*DF19,".")*$B$42</f>
        <v>0</v>
      </c>
      <c r="DG42" s="152">
        <f>IFERROR(s_RadSpec!$J$19*DG19,".")*$B$42</f>
        <v>0</v>
      </c>
      <c r="DH42" s="150">
        <f t="shared" si="68"/>
        <v>0</v>
      </c>
      <c r="DI42" s="136">
        <f>IFERROR(DI19/$B42,0)</f>
        <v>0</v>
      </c>
      <c r="DJ42" s="136">
        <f t="shared" ref="DJ42:DK42" si="192">IFERROR(DJ19/$B42,0)</f>
        <v>254.6616253696435</v>
      </c>
      <c r="DK42" s="136">
        <f t="shared" si="192"/>
        <v>254.66162536964353</v>
      </c>
      <c r="DL42" s="152">
        <f>IFERROR(s_RadSpec!$L$19*DL19,".")*$B$42</f>
        <v>0</v>
      </c>
      <c r="DM42" s="152">
        <f>IFERROR(s_RadSpec!$O$19*DM19,".")*$B$42</f>
        <v>9.8169482597593144E-2</v>
      </c>
      <c r="DN42" s="150">
        <f t="shared" si="91"/>
        <v>9.8169482597593144E-2</v>
      </c>
    </row>
    <row r="43" spans="1:118" x14ac:dyDescent="0.25">
      <c r="A43" s="135" t="s">
        <v>1073</v>
      </c>
      <c r="B43" s="129">
        <v>2.0897492E-2</v>
      </c>
      <c r="C43" s="136">
        <f t="shared" ref="C43:M43" si="193">IFERROR(C28/$B43,0)</f>
        <v>0</v>
      </c>
      <c r="D43" s="136">
        <f t="shared" si="193"/>
        <v>0</v>
      </c>
      <c r="E43" s="136">
        <f t="shared" si="193"/>
        <v>0</v>
      </c>
      <c r="F43" s="136">
        <f t="shared" si="193"/>
        <v>0</v>
      </c>
      <c r="G43" s="136">
        <f t="shared" si="193"/>
        <v>0</v>
      </c>
      <c r="H43" s="136">
        <f t="shared" si="193"/>
        <v>0</v>
      </c>
      <c r="I43" s="136">
        <f t="shared" si="193"/>
        <v>0</v>
      </c>
      <c r="J43" s="136">
        <f t="shared" si="193"/>
        <v>0</v>
      </c>
      <c r="K43" s="136">
        <f t="shared" si="193"/>
        <v>0</v>
      </c>
      <c r="L43" s="136">
        <f t="shared" si="193"/>
        <v>0</v>
      </c>
      <c r="M43" s="136">
        <f t="shared" si="193"/>
        <v>0</v>
      </c>
      <c r="N43" s="149">
        <f>s_dir!BA43</f>
        <v>2370.5592487499998</v>
      </c>
      <c r="O43" s="152">
        <f>IFERROR(s_RadSpec!$J$28*O28,".")*$B$43</f>
        <v>0</v>
      </c>
      <c r="P43" s="152">
        <f>IFERROR(s_RadSpec!$J$28*P28,".")*$B$43</f>
        <v>0</v>
      </c>
      <c r="Q43" s="152">
        <f>IFERROR(s_RadSpec!$J$28*Q28,".")*$B$43</f>
        <v>0</v>
      </c>
      <c r="R43" s="152">
        <f>IFERROR(s_RadSpec!$J$28*R28,".")*$B$43</f>
        <v>0</v>
      </c>
      <c r="S43" s="152">
        <f>IFERROR(s_RadSpec!$J$28*S28,".")*$B$43</f>
        <v>0</v>
      </c>
      <c r="T43" s="152">
        <f>IFERROR(s_RadSpec!$J$28*T28,".")*$B$43</f>
        <v>0</v>
      </c>
      <c r="U43" s="152">
        <f>IFERROR(s_RadSpec!$J$28*U28,".")*$B$43</f>
        <v>0</v>
      </c>
      <c r="V43" s="152">
        <f>IFERROR(s_RadSpec!$J$28*V28,".")*$B$43</f>
        <v>0</v>
      </c>
      <c r="W43" s="152">
        <f>IFERROR(s_RadSpec!$J$28*W28,".")*$B$43</f>
        <v>0</v>
      </c>
      <c r="X43" s="152">
        <f>IFERROR(s_RadSpec!$J$28*X28,".")*$B$43</f>
        <v>0</v>
      </c>
      <c r="Y43" s="136">
        <f>IFERROR(Y28/$B43,0)</f>
        <v>0</v>
      </c>
      <c r="Z43" s="136">
        <f>IFERROR(Z28/$B43,0)</f>
        <v>0</v>
      </c>
      <c r="AA43" s="136">
        <f t="shared" ref="AA43:AH43" si="194">IFERROR(AA28/$B43,0)</f>
        <v>2014.8636339993348</v>
      </c>
      <c r="AB43" s="136">
        <f>IFERROR(AB28/$B43,0)</f>
        <v>0</v>
      </c>
      <c r="AC43" s="136">
        <f t="shared" ref="AC43" si="195">IFERROR(AC28/$B43,0)</f>
        <v>0</v>
      </c>
      <c r="AD43" s="136">
        <f>IFERROR(AD28/$B43,0)</f>
        <v>0</v>
      </c>
      <c r="AE43" s="136">
        <f>IFERROR(AE28/$B43,0)</f>
        <v>0</v>
      </c>
      <c r="AF43" s="136">
        <f t="shared" ref="AF43" si="196">IFERROR(AF28/$B43,0)</f>
        <v>0</v>
      </c>
      <c r="AG43" s="136">
        <f t="shared" si="194"/>
        <v>0</v>
      </c>
      <c r="AH43" s="136">
        <f t="shared" si="194"/>
        <v>0</v>
      </c>
      <c r="AI43" s="136">
        <f t="shared" ref="AI43" si="197">IFERROR(AI28/$B43,0)</f>
        <v>0</v>
      </c>
      <c r="AJ43" s="136">
        <f t="shared" ref="AJ43:AL43" si="198">IFERROR(AJ28/$B43,0)</f>
        <v>0</v>
      </c>
      <c r="AK43" s="136">
        <f t="shared" si="198"/>
        <v>0</v>
      </c>
      <c r="AL43" s="136">
        <f t="shared" si="198"/>
        <v>0</v>
      </c>
      <c r="AM43" s="129"/>
      <c r="AN43" s="129"/>
      <c r="AO43" s="129"/>
      <c r="AP43" s="129"/>
      <c r="AQ43" s="129"/>
      <c r="AR43" s="129"/>
      <c r="AS43" s="129"/>
      <c r="AT43" s="129"/>
      <c r="AU43" s="129"/>
      <c r="AV43" s="129"/>
      <c r="AW43" s="129"/>
      <c r="AX43" s="129"/>
      <c r="AY43" s="129"/>
      <c r="AZ43" s="129"/>
      <c r="BA43" s="136">
        <f t="shared" ref="BA43" si="199">IFERROR(BA28/$B43,0)</f>
        <v>2014.8636339993348</v>
      </c>
      <c r="BB43" s="152">
        <f>IFERROR(s_RadSpec!$I$28*BB28,".")*$B$43</f>
        <v>0</v>
      </c>
      <c r="BC43" s="152">
        <f>IFERROR(s_RadSpec!$L$28*BC28,".")*$B$43</f>
        <v>0</v>
      </c>
      <c r="BD43" s="152">
        <f>IFERROR(s_RadSpec!$K$28*BD28,".")*$B$43</f>
        <v>1.2407787593236323E-2</v>
      </c>
      <c r="BE43" s="149">
        <f>s_b2s!BZ43</f>
        <v>0</v>
      </c>
      <c r="BF43" s="152">
        <f>IFERROR(s_RadSpec!$J$28*BF28,".")*$B$43</f>
        <v>0</v>
      </c>
      <c r="BG43" s="152">
        <f>IFERROR(s_RadSpec!$J$28*BG28,".")*$B$43</f>
        <v>0</v>
      </c>
      <c r="BH43" s="152">
        <f>IFERROR(s_RadSpec!$J$28*BH28,".")*$B$43</f>
        <v>0</v>
      </c>
      <c r="BI43" s="152">
        <f>IFERROR(s_RadSpec!$J$28*BI28,".")*$B$43</f>
        <v>0</v>
      </c>
      <c r="BJ43" s="152">
        <f>IFERROR(s_RadSpec!$J$28*BJ28,".")*$B$43</f>
        <v>0</v>
      </c>
      <c r="BK43" s="152">
        <f>IFERROR(s_RadSpec!$J$28*BK28,".")*$B$43</f>
        <v>0</v>
      </c>
      <c r="BL43" s="152">
        <f>IFERROR(s_RadSpec!$J$28*BL28,".")*$B$43</f>
        <v>0</v>
      </c>
      <c r="BM43" s="152">
        <f>IFERROR(s_RadSpec!$J$28*BM28,".")*$B$43</f>
        <v>0</v>
      </c>
      <c r="BN43" s="152">
        <f>IFERROR(s_RadSpec!$J$28*BN28,".")*$B$43</f>
        <v>0</v>
      </c>
      <c r="BO43" s="152">
        <f>IFERROR(s_RadSpec!$J$28*BO28,".")*$B$43</f>
        <v>0</v>
      </c>
      <c r="BP43" s="150">
        <f t="shared" si="86"/>
        <v>1.2407787593236323E-2</v>
      </c>
      <c r="BQ43" s="136">
        <f>IFERROR(BQ28/$B43,0)</f>
        <v>0</v>
      </c>
      <c r="BR43" s="136">
        <f>IFERROR(BR28/$B43,0)</f>
        <v>0</v>
      </c>
      <c r="BS43" s="136">
        <f t="shared" ref="BS43" si="200">IFERROR(BS28/$B43,0)</f>
        <v>231.82363394573983</v>
      </c>
      <c r="BT43" s="136">
        <f>IFERROR(BT28/$B43,0)</f>
        <v>0</v>
      </c>
      <c r="BU43" s="136">
        <f t="shared" ref="BU43" si="201">IFERROR(BU28/$B43,0)</f>
        <v>0</v>
      </c>
      <c r="BV43" s="136">
        <f>IFERROR(BV28/$B43,0)</f>
        <v>0</v>
      </c>
      <c r="BW43" s="136">
        <f>IFERROR(BW28/$B43,0)</f>
        <v>0</v>
      </c>
      <c r="BX43" s="136">
        <f t="shared" ref="BX43:CD43" si="202">IFERROR(BX28/$B43,0)</f>
        <v>0</v>
      </c>
      <c r="BY43" s="136">
        <f t="shared" si="202"/>
        <v>0</v>
      </c>
      <c r="BZ43" s="136">
        <f t="shared" si="202"/>
        <v>0</v>
      </c>
      <c r="CA43" s="136">
        <f t="shared" si="202"/>
        <v>0</v>
      </c>
      <c r="CB43" s="136">
        <f t="shared" si="202"/>
        <v>0</v>
      </c>
      <c r="CC43" s="136">
        <f t="shared" si="202"/>
        <v>0</v>
      </c>
      <c r="CD43" s="136">
        <f t="shared" si="202"/>
        <v>0</v>
      </c>
      <c r="CE43" s="141"/>
      <c r="CF43" s="141"/>
      <c r="CG43" s="141"/>
      <c r="CH43" s="141"/>
      <c r="CI43" s="141"/>
      <c r="CJ43" s="141"/>
      <c r="CK43" s="141"/>
      <c r="CL43" s="141"/>
      <c r="CM43" s="141"/>
      <c r="CN43" s="141"/>
      <c r="CO43" s="141"/>
      <c r="CP43" s="141"/>
      <c r="CQ43" s="141"/>
      <c r="CR43" s="141"/>
      <c r="CS43" s="136">
        <f t="shared" ref="CS43" si="203">IFERROR(CS28/$B43,0)</f>
        <v>231.82363394573983</v>
      </c>
      <c r="CT43" s="152">
        <f>IFERROR(s_RadSpec!$M$28*CT28,".")*$B$43</f>
        <v>0</v>
      </c>
      <c r="CU43" s="152">
        <f>IFERROR(s_RadSpec!$L$28*CU28,".")*$B$43</f>
        <v>0</v>
      </c>
      <c r="CV43" s="152">
        <f>IFERROR(s_RadSpec!$Q$28*CV28,".")*$B$43</f>
        <v>0.10784060095378994</v>
      </c>
      <c r="CW43" s="149">
        <f>s_b2w!BZ43</f>
        <v>0</v>
      </c>
      <c r="CX43" s="152">
        <f>IFERROR(s_RadSpec!$J$28*CX28,".")*$B$43</f>
        <v>0</v>
      </c>
      <c r="CY43" s="152">
        <f>IFERROR(s_RadSpec!$J$28*CY28,".")*$B$43</f>
        <v>0</v>
      </c>
      <c r="CZ43" s="152">
        <f>IFERROR(s_RadSpec!$J$28*CZ28,".")*$B$43</f>
        <v>0</v>
      </c>
      <c r="DA43" s="152">
        <f>IFERROR(s_RadSpec!$J$28*DA28,".")*$B$43</f>
        <v>0</v>
      </c>
      <c r="DB43" s="152">
        <f>IFERROR(s_RadSpec!$J$28*DB28,".")*$B$43</f>
        <v>0</v>
      </c>
      <c r="DC43" s="152">
        <f>IFERROR(s_RadSpec!$J$28*DC28,".")*$B$43</f>
        <v>0</v>
      </c>
      <c r="DD43" s="152">
        <f>IFERROR(s_RadSpec!$J$28*DD28,".")*$B$43</f>
        <v>0</v>
      </c>
      <c r="DE43" s="152">
        <f>IFERROR(s_RadSpec!$J$28*DE28,".")*$B$43</f>
        <v>0</v>
      </c>
      <c r="DF43" s="152">
        <f>IFERROR(s_RadSpec!$J$28*DF28,".")*$B$43</f>
        <v>0</v>
      </c>
      <c r="DG43" s="152">
        <f>IFERROR(s_RadSpec!$J$28*DG28,".")*$B$43</f>
        <v>0</v>
      </c>
      <c r="DH43" s="150">
        <f t="shared" si="68"/>
        <v>0</v>
      </c>
      <c r="DI43" s="136">
        <f>IFERROR(DI28/$B43,0)</f>
        <v>0</v>
      </c>
      <c r="DJ43" s="136">
        <f t="shared" ref="DJ43:DK43" si="204">IFERROR(DJ28/$B43,0)</f>
        <v>0.20000470379632457</v>
      </c>
      <c r="DK43" s="136">
        <f t="shared" si="204"/>
        <v>0.20000470379632457</v>
      </c>
      <c r="DL43" s="152">
        <f>IFERROR(s_RadSpec!$L$28*DL28,".")*$B$43</f>
        <v>0</v>
      </c>
      <c r="DM43" s="152">
        <f>IFERROR(s_RadSpec!$O$28*DM28,".")*$B$43</f>
        <v>124.99706019643834</v>
      </c>
      <c r="DN43" s="150">
        <f t="shared" si="91"/>
        <v>124.99706019643834</v>
      </c>
    </row>
    <row r="44" spans="1:118" x14ac:dyDescent="0.25">
      <c r="A44" s="135" t="s">
        <v>1074</v>
      </c>
      <c r="B44" s="129">
        <v>0.99987999999999999</v>
      </c>
      <c r="C44" s="136">
        <f t="shared" ref="C44:M44" si="205">IFERROR(C15/$B44,0)</f>
        <v>3987.3389845156435</v>
      </c>
      <c r="D44" s="136">
        <f t="shared" si="205"/>
        <v>11962.016953546934</v>
      </c>
      <c r="E44" s="136">
        <f t="shared" si="205"/>
        <v>11962.016953546934</v>
      </c>
      <c r="F44" s="136">
        <f t="shared" si="205"/>
        <v>11962.016953546934</v>
      </c>
      <c r="G44" s="136">
        <f t="shared" si="205"/>
        <v>11962.016953546934</v>
      </c>
      <c r="H44" s="136">
        <f t="shared" si="205"/>
        <v>11962.016953546934</v>
      </c>
      <c r="I44" s="136">
        <f t="shared" si="205"/>
        <v>11962.016953546934</v>
      </c>
      <c r="J44" s="136">
        <f t="shared" si="205"/>
        <v>11962.016953546934</v>
      </c>
      <c r="K44" s="136">
        <f t="shared" si="205"/>
        <v>11962.016953546934</v>
      </c>
      <c r="L44" s="136">
        <f t="shared" si="205"/>
        <v>11962.016953546934</v>
      </c>
      <c r="M44" s="136">
        <f t="shared" si="205"/>
        <v>11962.016953546934</v>
      </c>
      <c r="N44" s="149">
        <f>s_dir!BA44</f>
        <v>113423.88750000001</v>
      </c>
      <c r="O44" s="149">
        <f>IFERROR(s_RadSpec!$J$15*O15,".")*$B$44</f>
        <v>2.0899485510749998E-3</v>
      </c>
      <c r="P44" s="149">
        <f>IFERROR(s_RadSpec!$J$15*P15,".")*$B$44</f>
        <v>2.0899485510749998E-3</v>
      </c>
      <c r="Q44" s="149">
        <f>IFERROR(s_RadSpec!$J$15*Q15,".")*$B$44</f>
        <v>2.0899485510749998E-3</v>
      </c>
      <c r="R44" s="149">
        <f>IFERROR(s_RadSpec!$J$15*R15,".")*$B$44</f>
        <v>2.0899485510749998E-3</v>
      </c>
      <c r="S44" s="149">
        <f>IFERROR(s_RadSpec!$J$15*S15,".")*$B$44</f>
        <v>2.0899485510749998E-3</v>
      </c>
      <c r="T44" s="149">
        <f>IFERROR(s_RadSpec!$J$15*T15,".")*$B$44</f>
        <v>2.0899485510749998E-3</v>
      </c>
      <c r="U44" s="149">
        <f>IFERROR(s_RadSpec!$J$15*U15,".")*$B$44</f>
        <v>2.0899485510749998E-3</v>
      </c>
      <c r="V44" s="149">
        <f>IFERROR(s_RadSpec!$J$15*V15,".")*$B$44</f>
        <v>2.0899485510749998E-3</v>
      </c>
      <c r="W44" s="149">
        <f>IFERROR(s_RadSpec!$J$15*W15,".")*$B$44</f>
        <v>2.0899485510749998E-3</v>
      </c>
      <c r="X44" s="149">
        <f>IFERROR(s_RadSpec!$J$15*X15,".")*$B$44</f>
        <v>2.0899485510749998E-3</v>
      </c>
      <c r="Y44" s="136">
        <f>IFERROR(Y15/$B44,0)</f>
        <v>5981008.476773466</v>
      </c>
      <c r="Z44" s="136">
        <f>IFERROR(Z15/$B44,0)</f>
        <v>59830454349.269417</v>
      </c>
      <c r="AA44" s="136">
        <f t="shared" ref="AA44:AH44" si="206">IFERROR(AA15/$B44,0)</f>
        <v>0</v>
      </c>
      <c r="AB44" s="136">
        <f>IFERROR(AB15/$B44,0)</f>
        <v>193591.47036004098</v>
      </c>
      <c r="AC44" s="136">
        <f t="shared" ref="AC44" si="207">IFERROR(AC15/$B44,0)</f>
        <v>71772.101721281608</v>
      </c>
      <c r="AD44" s="136">
        <f>IFERROR(AD15/$B44,0)</f>
        <v>191833.26727347155</v>
      </c>
      <c r="AE44" s="136">
        <f>IFERROR(AE15/$B44,0)</f>
        <v>727956.76686406834</v>
      </c>
      <c r="AF44" s="136">
        <f t="shared" ref="AF44" si="208">IFERROR(AF15/$B44,0)</f>
        <v>0</v>
      </c>
      <c r="AG44" s="136">
        <f t="shared" si="206"/>
        <v>0</v>
      </c>
      <c r="AH44" s="136">
        <f t="shared" si="206"/>
        <v>0</v>
      </c>
      <c r="AI44" s="136">
        <f t="shared" ref="AI44" si="209">IFERROR(AI15/$B44,0)</f>
        <v>0</v>
      </c>
      <c r="AJ44" s="136">
        <f t="shared" ref="AJ44:AL44" si="210">IFERROR(AJ15/$B44,0)</f>
        <v>23051.964284028836</v>
      </c>
      <c r="AK44" s="136">
        <f t="shared" si="210"/>
        <v>18913.139026961988</v>
      </c>
      <c r="AL44" s="136">
        <f t="shared" si="210"/>
        <v>3951.7653058335136</v>
      </c>
      <c r="AM44" s="129"/>
      <c r="AN44" s="129"/>
      <c r="AO44" s="129"/>
      <c r="AP44" s="129"/>
      <c r="AQ44" s="129"/>
      <c r="AR44" s="129"/>
      <c r="AS44" s="129"/>
      <c r="AT44" s="129"/>
      <c r="AU44" s="129"/>
      <c r="AV44" s="129"/>
      <c r="AW44" s="129"/>
      <c r="AX44" s="129"/>
      <c r="AY44" s="129"/>
      <c r="AZ44" s="129"/>
      <c r="BA44" s="136">
        <f t="shared" ref="BA44" si="211">IFERROR(BA15/$B44,0)</f>
        <v>2665.5485567516016</v>
      </c>
      <c r="BB44" s="149">
        <f>IFERROR(s_RadSpec!$I$15*BB15,".")*$B$44</f>
        <v>4.1798971021499997E-6</v>
      </c>
      <c r="BC44" s="149">
        <f>IFERROR(s_RadSpec!$L$15*BC15,".")*$B$44</f>
        <v>4.1784740349887169E-10</v>
      </c>
      <c r="BD44" s="149">
        <f>IFERROR(s_RadSpec!$K$15*BD15,".")*$B$44</f>
        <v>0</v>
      </c>
      <c r="BE44" s="149">
        <f>s_b2s!BZ44</f>
        <v>1.2913792097092423E-4</v>
      </c>
      <c r="BF44" s="149">
        <f>IFERROR(s_RadSpec!$J$15*BF15,".")*$B$44</f>
        <v>3.4832475851250005E-4</v>
      </c>
      <c r="BG44" s="149">
        <f>IFERROR(s_RadSpec!$J$15*BG15,".")*$B$44</f>
        <v>1.3032150447795258E-4</v>
      </c>
      <c r="BH44" s="149">
        <f>IFERROR(s_RadSpec!$J$15*BH15,".")*$B$44</f>
        <v>3.4342698822206649E-5</v>
      </c>
      <c r="BI44" s="149">
        <f>IFERROR(s_RadSpec!$J$15*BI15,".")*$B$44</f>
        <v>0</v>
      </c>
      <c r="BJ44" s="149">
        <f>IFERROR(s_RadSpec!$J$15*BJ15,".")*$B$44</f>
        <v>0</v>
      </c>
      <c r="BK44" s="149">
        <f>IFERROR(s_RadSpec!$J$15*BK15,".")*$B$44</f>
        <v>0</v>
      </c>
      <c r="BL44" s="149">
        <f>IFERROR(s_RadSpec!$J$15*BL15,".")*$B$44</f>
        <v>0</v>
      </c>
      <c r="BM44" s="149">
        <f>IFERROR(s_RadSpec!$J$15*BM15,".")*$B$44</f>
        <v>1.0845062785959994E-3</v>
      </c>
      <c r="BN44" s="149">
        <f>IFERROR(s_RadSpec!$J$15*BN15,".")*$B$44</f>
        <v>1.3218324025620904E-3</v>
      </c>
      <c r="BO44" s="149">
        <f>IFERROR(s_RadSpec!$J$15*BO15,".")*$B$44</f>
        <v>6.3262866251433281E-3</v>
      </c>
      <c r="BP44" s="150">
        <f t="shared" si="86"/>
        <v>9.378932504034555E-3</v>
      </c>
      <c r="BQ44" s="136">
        <f>IFERROR(BQ15/$B44,0)</f>
        <v>65791.093244508142</v>
      </c>
      <c r="BR44" s="136">
        <f>IFERROR(BR15/$B44,0)</f>
        <v>0</v>
      </c>
      <c r="BS44" s="136">
        <f t="shared" ref="BS44" si="212">IFERROR(BS15/$B44,0)</f>
        <v>9517.1881150224253</v>
      </c>
      <c r="BT44" s="136">
        <f>IFERROR(BT15/$B44,0)</f>
        <v>304216.30299863947</v>
      </c>
      <c r="BU44" s="136">
        <f t="shared" ref="BU44" si="213">IFERROR(BU15/$B44,0)</f>
        <v>478480.67814187735</v>
      </c>
      <c r="BV44" s="136">
        <f>IFERROR(BV15/$B44,0)</f>
        <v>3417719129.5848384</v>
      </c>
      <c r="BW44" s="136">
        <f>IFERROR(BW15/$B44,0)</f>
        <v>12969344697.003515</v>
      </c>
      <c r="BX44" s="136">
        <f t="shared" ref="BX44:CD44" si="214">IFERROR(BX15/$B44,0)</f>
        <v>0</v>
      </c>
      <c r="BY44" s="136">
        <f t="shared" si="214"/>
        <v>0</v>
      </c>
      <c r="BZ44" s="136">
        <f t="shared" si="214"/>
        <v>0</v>
      </c>
      <c r="CA44" s="136">
        <f t="shared" si="214"/>
        <v>0</v>
      </c>
      <c r="CB44" s="136">
        <f t="shared" si="214"/>
        <v>410695915.40511137</v>
      </c>
      <c r="CC44" s="136">
        <f t="shared" si="214"/>
        <v>336958224.04357558</v>
      </c>
      <c r="CD44" s="136">
        <f t="shared" si="214"/>
        <v>70405014.069447666</v>
      </c>
      <c r="CE44" s="141"/>
      <c r="CF44" s="141"/>
      <c r="CG44" s="141"/>
      <c r="CH44" s="141"/>
      <c r="CI44" s="141"/>
      <c r="CJ44" s="141"/>
      <c r="CK44" s="141"/>
      <c r="CL44" s="141"/>
      <c r="CM44" s="141"/>
      <c r="CN44" s="141"/>
      <c r="CO44" s="141"/>
      <c r="CP44" s="141"/>
      <c r="CQ44" s="141"/>
      <c r="CR44" s="141"/>
      <c r="CS44" s="136">
        <f t="shared" ref="CS44" si="215">IFERROR(CS15/$B44,0)</f>
        <v>7957.3652733315612</v>
      </c>
      <c r="CT44" s="149">
        <f>IFERROR(s_RadSpec!$M$15*CT15,".")*$B$44</f>
        <v>3.7999064565000002E-4</v>
      </c>
      <c r="CU44" s="149">
        <f>IFERROR(s_RadSpec!$L$15*CU15,".")*$B$44</f>
        <v>6.4725370044270821E-5</v>
      </c>
      <c r="CV44" s="149">
        <f>IFERROR(s_RadSpec!$Q$15*CV15,".")*$B$44</f>
        <v>2.6268262955251136E-3</v>
      </c>
      <c r="CW44" s="149">
        <f>s_b2w!BZ44</f>
        <v>8.217837030289532E-5</v>
      </c>
      <c r="CX44" s="149">
        <f>IFERROR(s_RadSpec!$J$15*CX15,".")*$B$44</f>
        <v>5.2248713776874999E-5</v>
      </c>
      <c r="CY44" s="149">
        <f>IFERROR(s_RadSpec!$J$15*CY15,".")*$B$44</f>
        <v>7.3148199287624994E-9</v>
      </c>
      <c r="CZ44" s="149">
        <f>IFERROR(s_RadSpec!$J$15*CZ15,".")*$B$44</f>
        <v>1.9276224500206311E-9</v>
      </c>
      <c r="DA44" s="149">
        <f>IFERROR(s_RadSpec!$J$15*DA15,".")*$B$44</f>
        <v>0</v>
      </c>
      <c r="DB44" s="149">
        <f>IFERROR(s_RadSpec!$J$15*DB15,".")*$B$44</f>
        <v>0</v>
      </c>
      <c r="DC44" s="149">
        <f>IFERROR(s_RadSpec!$J$15*DC15,".")*$B$44</f>
        <v>0</v>
      </c>
      <c r="DD44" s="149">
        <f>IFERROR(s_RadSpec!$J$15*DD15,".")*$B$44</f>
        <v>0</v>
      </c>
      <c r="DE44" s="149">
        <f>IFERROR(s_RadSpec!$J$15*DE15,".")*$B$44</f>
        <v>6.087228789538835E-8</v>
      </c>
      <c r="DF44" s="149">
        <f>IFERROR(s_RadSpec!$J$15*DF15,".")*$B$44</f>
        <v>7.4193173563162495E-8</v>
      </c>
      <c r="DG44" s="149">
        <f>IFERROR(s_RadSpec!$J$15*DG15,".")*$B$44</f>
        <v>3.5508834605643206E-7</v>
      </c>
      <c r="DH44" s="150">
        <f t="shared" si="68"/>
        <v>0</v>
      </c>
      <c r="DI44" s="136">
        <f>IFERROR(DI15/$B44,0)</f>
        <v>193123.6544719676</v>
      </c>
      <c r="DJ44" s="136">
        <f t="shared" ref="DJ44:DK44" si="216">IFERROR(DJ15/$B44,0)</f>
        <v>4.2637002755300459</v>
      </c>
      <c r="DK44" s="136">
        <f t="shared" si="216"/>
        <v>4.2636061454829166</v>
      </c>
      <c r="DL44" s="149">
        <f>IFERROR(s_RadSpec!$L$15*DL15,".")*$B$44</f>
        <v>1.2945074008854164E-4</v>
      </c>
      <c r="DM44" s="149">
        <f>IFERROR(s_RadSpec!$O$15*DM15,".")*$B$44</f>
        <v>5.8634515525114148</v>
      </c>
      <c r="DN44" s="150">
        <f t="shared" si="91"/>
        <v>5.863581003251503</v>
      </c>
    </row>
    <row r="45" spans="1:118" x14ac:dyDescent="0.25">
      <c r="A45" s="132" t="s">
        <v>8</v>
      </c>
      <c r="B45" s="132" t="s">
        <v>1059</v>
      </c>
      <c r="C45" s="134">
        <f t="shared" ref="C45:M45" si="217">IFERROR(IF(AND(C46&lt;&gt;0,C47&lt;&gt;0),1/SUM(1/C46,1/C47),IF(AND(C46&lt;&gt;0,C47=0),1/(1/C46),IF(AND(C46=0,C47&lt;&gt;0),1/(1/C47),IF(AND(C46=0,C47=0),".")))),".")</f>
        <v>22.392366889974543</v>
      </c>
      <c r="D45" s="134">
        <f t="shared" si="217"/>
        <v>67.177100669923632</v>
      </c>
      <c r="E45" s="134">
        <f t="shared" si="217"/>
        <v>67.177100669923632</v>
      </c>
      <c r="F45" s="134">
        <f t="shared" si="217"/>
        <v>67.177100669923632</v>
      </c>
      <c r="G45" s="134">
        <f t="shared" si="217"/>
        <v>67.177100669923632</v>
      </c>
      <c r="H45" s="134">
        <f t="shared" si="217"/>
        <v>67.177100669923632</v>
      </c>
      <c r="I45" s="134">
        <f t="shared" si="217"/>
        <v>67.177100669923632</v>
      </c>
      <c r="J45" s="134">
        <f t="shared" si="217"/>
        <v>67.177100669923632</v>
      </c>
      <c r="K45" s="134">
        <f t="shared" si="217"/>
        <v>67.177100669923632</v>
      </c>
      <c r="L45" s="134">
        <f t="shared" si="217"/>
        <v>67.177100669923632</v>
      </c>
      <c r="M45" s="134">
        <f t="shared" si="217"/>
        <v>67.177100669923632</v>
      </c>
      <c r="N45" s="146">
        <f>s_dir!BA45</f>
        <v>220521.36562499998</v>
      </c>
      <c r="O45" s="146">
        <f>SUM(O46:O47)</f>
        <v>0.37215062500000001</v>
      </c>
      <c r="P45" s="146">
        <f t="shared" ref="P45:X45" si="218">SUM(P46:P47)</f>
        <v>0.37215062500000001</v>
      </c>
      <c r="Q45" s="146">
        <f t="shared" si="218"/>
        <v>0.37215062500000001</v>
      </c>
      <c r="R45" s="146">
        <f t="shared" si="218"/>
        <v>0.37215062500000001</v>
      </c>
      <c r="S45" s="146">
        <f t="shared" si="218"/>
        <v>0.37215062500000001</v>
      </c>
      <c r="T45" s="146">
        <f t="shared" si="218"/>
        <v>0.37215062500000001</v>
      </c>
      <c r="U45" s="146">
        <f t="shared" si="218"/>
        <v>0.37215062500000001</v>
      </c>
      <c r="V45" s="146">
        <f t="shared" si="218"/>
        <v>0.37215062500000001</v>
      </c>
      <c r="W45" s="146">
        <f t="shared" si="218"/>
        <v>0.37215062500000001</v>
      </c>
      <c r="X45" s="146">
        <f t="shared" si="218"/>
        <v>0.37215062500000001</v>
      </c>
      <c r="Y45" s="134">
        <f>IFERROR(IF(AND(Y46&lt;&gt;0,Y47&lt;&gt;0),1/SUM(1/Y46,1/Y47),IF(AND(Y46&lt;&gt;0,Y47=0),1/(1/Y46),IF(AND(Y46=0,Y47&lt;&gt;0),1/(1/Y47),IF(AND(Y46=0,Y47=0),".")))),".")</f>
        <v>33588.550334961816</v>
      </c>
      <c r="Z45" s="134">
        <f>IFERROR(IF(AND(Z46&lt;&gt;0,Z47&lt;&gt;0),1/SUM(1/Z46,1/Z47),IF(AND(Z46&lt;&gt;0,Z47=0),1/(1/Z46),IF(AND(Z46=0,Z47&lt;&gt;0),1/(1/Z47),IF(AND(Z46=0,Z47=0),".")))),".")</f>
        <v>100135841.0957644</v>
      </c>
      <c r="AA45" s="134">
        <f t="shared" ref="AA45:AH45" si="219">IFERROR(IF(AND(AA46&lt;&gt;0,AA47&lt;&gt;0),1/SUM(1/AA46,1/AA47),IF(AND(AA46&lt;&gt;0,AA47=0),1/(1/AA46),IF(AND(AA46=0,AA47&lt;&gt;0),1/(1/AA47),IF(AND(AA46=0,AA47=0),".")))),".")</f>
        <v>276.9997203845424</v>
      </c>
      <c r="AB45" s="134">
        <f>IFERROR(IF(AND(AB46&lt;&gt;0,AB47&lt;&gt;0),1/SUM(1/AB46,1/AB47),IF(AND(AB46&lt;&gt;0,AB47=0),1/(1/AB46),IF(AND(AB46=0,AB47&lt;&gt;0),1/(1/AB47),IF(AND(AB46=0,AB47=0),".")))),".")</f>
        <v>883.56044548104217</v>
      </c>
      <c r="AC45" s="134">
        <f t="shared" ref="AC45" si="220">IFERROR(IF(AND(AC46&lt;&gt;0,AC47&lt;&gt;0),1/SUM(1/AC46,1/AC47),IF(AND(AC46&lt;&gt;0,AC47=0),1/(1/AC46),IF(AND(AC46=0,AC47&lt;&gt;0),1/(1/AC47),IF(AND(AC46=0,AC47=0),".")))),".")</f>
        <v>0.26870840267969454</v>
      </c>
      <c r="AD45" s="134">
        <f>IFERROR(IF(AND(AD46&lt;&gt;0,AD47&lt;&gt;0),1/SUM(1/AD46,1/AD47),IF(AND(AD46&lt;&gt;0,AD47=0),1/(1/AD46),IF(AND(AD46=0,AD47&lt;&gt;0),1/(1/AD47),IF(AND(AD46=0,AD47=0),".")))),".")</f>
        <v>33.31095900987949</v>
      </c>
      <c r="AE45" s="134">
        <f>IFERROR(IF(AND(AE46&lt;&gt;0,AE47&lt;&gt;0),1/SUM(1/AE46,1/AE47),IF(AND(AE46&lt;&gt;0,AE47=0),1/(1/AE46),IF(AND(AE46=0,AE47&lt;&gt;0),1/(1/AE47),IF(AND(AE46=0,AE47=0),".")))),".")</f>
        <v>164.09268068779764</v>
      </c>
      <c r="AF45" s="134">
        <f t="shared" ref="AF45" si="221">IFERROR(IF(AND(AF46&lt;&gt;0,AF47&lt;&gt;0),1/SUM(1/AF46,1/AF47),IF(AND(AF46&lt;&gt;0,AF47=0),1/(1/AF46),IF(AND(AF46=0,AF47&lt;&gt;0),1/(1/AF47),IF(AND(AF46=0,AF47=0),".")))),".")</f>
        <v>3.6642054910867432</v>
      </c>
      <c r="AG45" s="134">
        <f t="shared" si="219"/>
        <v>0.2714226289693884</v>
      </c>
      <c r="AH45" s="134">
        <f t="shared" si="219"/>
        <v>1.8321027455433716</v>
      </c>
      <c r="AI45" s="134">
        <f t="shared" ref="AI45" si="222">IFERROR(IF(AND(AI46&lt;&gt;0,AI47&lt;&gt;0),1/SUM(1/AI46,1/AI47),IF(AND(AI46&lt;&gt;0,AI47=0),1/(1/AI46),IF(AND(AI46=0,AI47&lt;&gt;0),1/(1/AI47),IF(AND(AI46=0,AI47=0),".")))),".")</f>
        <v>2.2901284319292143</v>
      </c>
      <c r="AJ45" s="134">
        <f t="shared" ref="AJ45:AL45" si="223">IFERROR(IF(AND(AJ46&lt;&gt;0,AJ47&lt;&gt;0),1/SUM(1/AJ46,1/AJ47),IF(AND(AJ46&lt;&gt;0,AJ47=0),1/(1/AJ46),IF(AND(AJ46=0,AJ47&lt;&gt;0),1/(1/AJ47),IF(AND(AJ46=0,AJ47=0),".")))),".")</f>
        <v>6.8620575560351726</v>
      </c>
      <c r="AK45" s="134">
        <f t="shared" si="223"/>
        <v>3.8570584116702555</v>
      </c>
      <c r="AL45" s="134">
        <f t="shared" si="223"/>
        <v>13.014247089032226</v>
      </c>
      <c r="AM45" s="129"/>
      <c r="AN45" s="129"/>
      <c r="AO45" s="129"/>
      <c r="AP45" s="129"/>
      <c r="AQ45" s="129"/>
      <c r="AR45" s="129"/>
      <c r="AS45" s="129"/>
      <c r="AT45" s="129"/>
      <c r="AU45" s="129"/>
      <c r="AV45" s="129"/>
      <c r="AW45" s="129"/>
      <c r="AX45" s="129"/>
      <c r="AY45" s="129"/>
      <c r="AZ45" s="129"/>
      <c r="BA45" s="134">
        <f t="shared" ref="BA45" si="224">IFERROR(IF(AND(BA46&lt;&gt;0,BA47&lt;&gt;0),1/SUM(1/BA46,1/BA47),IF(AND(BA46&lt;&gt;0,BA47=0),1/(1/BA46),IF(AND(BA46=0,BA47&lt;&gt;0),1/(1/BA47),IF(AND(BA46=0,BA47=0),".")))),".")</f>
        <v>0.10888615347516913</v>
      </c>
      <c r="BB45" s="146">
        <f t="shared" ref="BB45:BD45" si="225">SUM(BB46:BB47)</f>
        <v>7.4430124999999992E-4</v>
      </c>
      <c r="BC45" s="146">
        <f t="shared" si="225"/>
        <v>2.496608579548593E-7</v>
      </c>
      <c r="BD45" s="146">
        <f t="shared" si="225"/>
        <v>9.0252798686200716E-2</v>
      </c>
      <c r="BE45" s="146">
        <f>s_b2s!BZ45</f>
        <v>2.8294612018749998E-2</v>
      </c>
      <c r="BF45" s="146">
        <f t="shared" ref="BF45:BO45" si="226">SUM(BF46:BF47)</f>
        <v>93.037656249999998</v>
      </c>
      <c r="BG45" s="146">
        <f t="shared" si="226"/>
        <v>0.75050376041666667</v>
      </c>
      <c r="BH45" s="146">
        <f t="shared" si="226"/>
        <v>0.1523529257686084</v>
      </c>
      <c r="BI45" s="146">
        <f t="shared" si="226"/>
        <v>6.8227614583333338</v>
      </c>
      <c r="BJ45" s="146">
        <f t="shared" si="226"/>
        <v>92.107279687499997</v>
      </c>
      <c r="BK45" s="146">
        <f t="shared" si="226"/>
        <v>13.645522916666668</v>
      </c>
      <c r="BL45" s="146">
        <f t="shared" si="226"/>
        <v>10.916418333333333</v>
      </c>
      <c r="BM45" s="146">
        <f t="shared" si="226"/>
        <v>3.6432221379449841</v>
      </c>
      <c r="BN45" s="146">
        <f t="shared" si="226"/>
        <v>6.4816233854166674</v>
      </c>
      <c r="BO45" s="146">
        <f t="shared" si="226"/>
        <v>1.920971672734628</v>
      </c>
      <c r="BP45" s="147">
        <f t="shared" si="86"/>
        <v>229.59760448973068</v>
      </c>
      <c r="BQ45" s="134">
        <f>IFERROR(IF(AND(BQ46&lt;&gt;0,BQ47&lt;&gt;0),1/SUM(1/BQ46,1/BQ47),IF(AND(BQ46&lt;&gt;0,BQ47=0),1/(1/BQ46),IF(AND(BQ46=0,BQ47&lt;&gt;0),1/(1/BQ47),IF(AND(BQ46=0,BQ47=0),".")))),".")</f>
        <v>369.47405368457999</v>
      </c>
      <c r="BR45" s="134" t="str">
        <f>IFERROR(IF(AND(BR46&lt;&gt;0,BR47&lt;&gt;0),1/SUM(1/BR46,1/BR47),IF(AND(BR46&lt;&gt;0,BR47=0),1/(1/BR46),IF(AND(BR46=0,BR47&lt;&gt;0),1/(1/BR47),IF(AND(BR46=0,BR47=0),".")))),".")</f>
        <v>.</v>
      </c>
      <c r="BS45" s="134">
        <f t="shared" ref="BS45" si="227">IFERROR(IF(AND(BS46&lt;&gt;0,BS47&lt;&gt;0),1/SUM(1/BS46,1/BS47),IF(AND(BS46&lt;&gt;0,BS47=0),1/(1/BS46),IF(AND(BS46=0,BS47&lt;&gt;0),1/(1/BS47),IF(AND(BS46=0,BS47=0),".")))),".")</f>
        <v>19.32906349121442</v>
      </c>
      <c r="BT45" s="134">
        <f>IFERROR(IF(AND(BT46&lt;&gt;0,BT47&lt;&gt;0),1/SUM(1/BT46,1/BT47),IF(AND(BT46&lt;&gt;0,BT47=0),1/(1/BT46),IF(AND(BT46=0,BT47&lt;&gt;0),1/(1/BT47),IF(AND(BT46=0,BT47=0),".")))),".")</f>
        <v>1593.7529116748494</v>
      </c>
      <c r="BU45" s="134">
        <f t="shared" ref="BU45" si="228">IFERROR(IF(AND(BU46&lt;&gt;0,BU47&lt;&gt;0),1/SUM(1/BU46,1/BU47),IF(AND(BU46&lt;&gt;0,BU47=0),1/(1/BU46),IF(AND(BU46=0,BU47&lt;&gt;0),1/(1/BU47),IF(AND(BU46=0,BU47=0),".")))),".")</f>
        <v>26.870840267969456</v>
      </c>
      <c r="BV45" s="134">
        <f>IFERROR(IF(AND(BV46&lt;&gt;0,BV47&lt;&gt;0),1/SUM(1/BV46,1/BV47),IF(AND(BV46&lt;&gt;0,BV47=0),1/(1/BV46),IF(AND(BV46=0,BV47&lt;&gt;0),1/(1/BV47),IF(AND(BV46=0,BV47=0),".")))),".")</f>
        <v>610700.915181124</v>
      </c>
      <c r="BW45" s="134">
        <f>IFERROR(IF(AND(BW46&lt;&gt;0,BW47&lt;&gt;0),1/SUM(1/BW46,1/BW47),IF(AND(BW46&lt;&gt;0,BW47=0),1/(1/BW46),IF(AND(BW46=0,BW47&lt;&gt;0),1/(1/BW47),IF(AND(BW46=0,BW47=0),".")))),".")</f>
        <v>3008365.8126096237</v>
      </c>
      <c r="BX45" s="134">
        <f t="shared" ref="BX45:CD45" si="229">IFERROR(IF(AND(BX46&lt;&gt;0,BX47&lt;&gt;0),1/SUM(1/BX46,1/BX47),IF(AND(BX46&lt;&gt;0,BX47=0),1/(1/BX46),IF(AND(BX46=0,BX47&lt;&gt;0),1/(1/BX47),IF(AND(BX46=0,BX47=0),".")))),".")</f>
        <v>67177.100669923631</v>
      </c>
      <c r="BY45" s="134">
        <f t="shared" si="229"/>
        <v>4976.0815311054539</v>
      </c>
      <c r="BZ45" s="134">
        <f t="shared" si="229"/>
        <v>33588.550334961816</v>
      </c>
      <c r="CA45" s="134">
        <f t="shared" si="229"/>
        <v>41985.687918702271</v>
      </c>
      <c r="CB45" s="134">
        <f t="shared" si="229"/>
        <v>125804.38852731153</v>
      </c>
      <c r="CC45" s="134">
        <f t="shared" si="229"/>
        <v>70712.737547288038</v>
      </c>
      <c r="CD45" s="134">
        <f t="shared" si="229"/>
        <v>238594.52996559077</v>
      </c>
      <c r="CE45" s="141"/>
      <c r="CF45" s="141"/>
      <c r="CG45" s="141"/>
      <c r="CH45" s="141"/>
      <c r="CI45" s="141"/>
      <c r="CJ45" s="141"/>
      <c r="CK45" s="141"/>
      <c r="CL45" s="141"/>
      <c r="CM45" s="141"/>
      <c r="CN45" s="141"/>
      <c r="CO45" s="141"/>
      <c r="CP45" s="141"/>
      <c r="CQ45" s="141"/>
      <c r="CR45" s="141"/>
      <c r="CS45" s="134">
        <f t="shared" ref="CS45" si="230">IFERROR(IF(AND(CS46&lt;&gt;0,CS47&lt;&gt;0),1/SUM(1/CS46,1/CS47),IF(AND(CS46&lt;&gt;0,CS47=0),1/(1/CS46),IF(AND(CS46=0,CS47&lt;&gt;0),1/(1/CS47),IF(AND(CS46=0,CS47=0),".")))),".")</f>
        <v>10.801198914868555</v>
      </c>
      <c r="CT45" s="146">
        <f t="shared" ref="CT45:CV45" si="231">SUM(CT46:CT47)</f>
        <v>6.7663749999999995E-2</v>
      </c>
      <c r="CU45" s="146">
        <f t="shared" si="231"/>
        <v>3.8672949218749988E-2</v>
      </c>
      <c r="CV45" s="146">
        <f t="shared" si="231"/>
        <v>1.293389098305936</v>
      </c>
      <c r="CW45" s="146">
        <f>s_b2w!BZ45</f>
        <v>1.5686245852079981E-2</v>
      </c>
      <c r="CX45" s="146">
        <f t="shared" ref="CX45:DG45" si="232">SUM(CX46:CX47)</f>
        <v>0.9303765625</v>
      </c>
      <c r="CY45" s="146">
        <f t="shared" si="232"/>
        <v>4.093656875E-5</v>
      </c>
      <c r="CZ45" s="146">
        <f t="shared" si="232"/>
        <v>8.3101595873786429E-6</v>
      </c>
      <c r="DA45" s="146">
        <f t="shared" si="232"/>
        <v>3.7215062499999996E-4</v>
      </c>
      <c r="DB45" s="146">
        <f t="shared" si="232"/>
        <v>5.0240334374999996E-3</v>
      </c>
      <c r="DC45" s="146">
        <f t="shared" si="232"/>
        <v>7.4430124999999992E-4</v>
      </c>
      <c r="DD45" s="146">
        <f t="shared" si="232"/>
        <v>5.9544099999999994E-4</v>
      </c>
      <c r="DE45" s="146">
        <f t="shared" si="232"/>
        <v>1.9872120752427184E-4</v>
      </c>
      <c r="DF45" s="146">
        <f t="shared" si="232"/>
        <v>3.5354309375E-4</v>
      </c>
      <c r="DG45" s="146">
        <f t="shared" si="232"/>
        <v>1.0478027305825242E-4</v>
      </c>
      <c r="DH45" s="147">
        <f t="shared" si="68"/>
        <v>0</v>
      </c>
      <c r="DI45" s="134">
        <f>IFERROR(IF(AND(DI46&lt;&gt;0,DI47&lt;&gt;0),1/SUM(1/DI46,1/DI47),IF(AND(DI46&lt;&gt;0,DI47=0),1/(1/DI46),IF(AND(DI46=0,DI47&lt;&gt;0),1/(1/DI47),IF(AND(DI46=0,DI47=0),".")))),".")</f>
        <v>323.22334480607867</v>
      </c>
      <c r="DJ45" s="134">
        <f t="shared" ref="DJ45:DK45" si="233">IFERROR(IF(AND(DJ46&lt;&gt;0,DJ47&lt;&gt;0),1/SUM(1/DJ46,1/DJ47),IF(AND(DJ46&lt;&gt;0,DJ47=0),1/(1/DJ46),IF(AND(DJ46=0,DJ47&lt;&gt;0),1/(1/DJ47),IF(AND(DJ46=0,DJ47=0),".")))),".")</f>
        <v>1.6726697006826583E-2</v>
      </c>
      <c r="DK45" s="134">
        <f t="shared" si="233"/>
        <v>1.6725831450797417E-2</v>
      </c>
      <c r="DL45" s="146">
        <f t="shared" ref="DL45:DM45" si="234">SUM(DL46:DL47)</f>
        <v>7.7345898437499977E-2</v>
      </c>
      <c r="DM45" s="146">
        <f t="shared" si="234"/>
        <v>1494.6166592123286</v>
      </c>
      <c r="DN45" s="147">
        <f t="shared" si="91"/>
        <v>1494.6940051107661</v>
      </c>
    </row>
    <row r="46" spans="1:118" x14ac:dyDescent="0.25">
      <c r="A46" s="135" t="s">
        <v>1086</v>
      </c>
      <c r="B46" s="129">
        <v>1</v>
      </c>
      <c r="C46" s="136">
        <f t="shared" ref="C46:M46" si="235">IFERROR(C10/$B46,0)</f>
        <v>22.392366889974543</v>
      </c>
      <c r="D46" s="136">
        <f t="shared" si="235"/>
        <v>67.177100669923632</v>
      </c>
      <c r="E46" s="136">
        <f t="shared" si="235"/>
        <v>67.177100669923632</v>
      </c>
      <c r="F46" s="136">
        <f t="shared" si="235"/>
        <v>67.177100669923632</v>
      </c>
      <c r="G46" s="136">
        <f t="shared" si="235"/>
        <v>67.177100669923632</v>
      </c>
      <c r="H46" s="136">
        <f t="shared" si="235"/>
        <v>67.177100669923632</v>
      </c>
      <c r="I46" s="136">
        <f t="shared" si="235"/>
        <v>67.177100669923632</v>
      </c>
      <c r="J46" s="136">
        <f t="shared" si="235"/>
        <v>67.177100669923632</v>
      </c>
      <c r="K46" s="136">
        <f t="shared" si="235"/>
        <v>67.177100669923632</v>
      </c>
      <c r="L46" s="136">
        <f t="shared" si="235"/>
        <v>67.177100669923632</v>
      </c>
      <c r="M46" s="136">
        <f t="shared" si="235"/>
        <v>67.177100669923632</v>
      </c>
      <c r="N46" s="149">
        <f>s_dir!BA46</f>
        <v>113437.5</v>
      </c>
      <c r="O46" s="149">
        <f>IFERROR(s_RadSpec!$J$10*O10,".")*$B$46</f>
        <v>0.37215062500000001</v>
      </c>
      <c r="P46" s="149">
        <f>IFERROR(s_RadSpec!$J$10*P10,".")*$B$46</f>
        <v>0.37215062500000001</v>
      </c>
      <c r="Q46" s="149">
        <f>IFERROR(s_RadSpec!$J$10*Q10,".")*$B$46</f>
        <v>0.37215062500000001</v>
      </c>
      <c r="R46" s="149">
        <f>IFERROR(s_RadSpec!$J$10*R10,".")*$B$46</f>
        <v>0.37215062500000001</v>
      </c>
      <c r="S46" s="149">
        <f>IFERROR(s_RadSpec!$J$10*S10,".")*$B$46</f>
        <v>0.37215062500000001</v>
      </c>
      <c r="T46" s="149">
        <f>IFERROR(s_RadSpec!$J$10*T10,".")*$B$46</f>
        <v>0.37215062500000001</v>
      </c>
      <c r="U46" s="149">
        <f>IFERROR(s_RadSpec!$J$10*U10,".")*$B$46</f>
        <v>0.37215062500000001</v>
      </c>
      <c r="V46" s="149">
        <f>IFERROR(s_RadSpec!$J$10*V10,".")*$B$46</f>
        <v>0.37215062500000001</v>
      </c>
      <c r="W46" s="149">
        <f>IFERROR(s_RadSpec!$J$10*W10,".")*$B$46</f>
        <v>0.37215062500000001</v>
      </c>
      <c r="X46" s="149">
        <f>IFERROR(s_RadSpec!$J$10*X10,".")*$B$46</f>
        <v>0.37215062500000001</v>
      </c>
      <c r="Y46" s="136">
        <f>IFERROR(Y10/$B46,0)</f>
        <v>33588.550334961816</v>
      </c>
      <c r="Z46" s="136">
        <f>IFERROR(Z10/$B46,0)</f>
        <v>100135841.0957644</v>
      </c>
      <c r="AA46" s="136">
        <f t="shared" ref="AA46:AH46" si="236">IFERROR(AA10/$B46,0)</f>
        <v>1193314.448823187</v>
      </c>
      <c r="AB46" s="136">
        <f>IFERROR(AB10/$B46,0)</f>
        <v>883.56044548104217</v>
      </c>
      <c r="AC46" s="136">
        <f t="shared" ref="AC46" si="237">IFERROR(AC10/$B46,0)</f>
        <v>0.26870840267969454</v>
      </c>
      <c r="AD46" s="136">
        <f>IFERROR(AD10/$B46,0)</f>
        <v>33.31095900987949</v>
      </c>
      <c r="AE46" s="136">
        <f>IFERROR(AE10/$B46,0)</f>
        <v>164.09268068779764</v>
      </c>
      <c r="AF46" s="136">
        <f t="shared" ref="AF46" si="238">IFERROR(AF10/$B46,0)</f>
        <v>3.6642054910867432</v>
      </c>
      <c r="AG46" s="136">
        <f t="shared" si="236"/>
        <v>0.2714226289693884</v>
      </c>
      <c r="AH46" s="136">
        <f t="shared" si="236"/>
        <v>1.8321027455433716</v>
      </c>
      <c r="AI46" s="136">
        <f t="shared" ref="AI46" si="239">IFERROR(AI10/$B46,0)</f>
        <v>2.2901284319292143</v>
      </c>
      <c r="AJ46" s="136">
        <f t="shared" ref="AJ46:AL46" si="240">IFERROR(AJ10/$B46,0)</f>
        <v>6.8620575560351735</v>
      </c>
      <c r="AK46" s="136">
        <f t="shared" si="240"/>
        <v>3.857058411670256</v>
      </c>
      <c r="AL46" s="136">
        <f t="shared" si="240"/>
        <v>13.014247089032226</v>
      </c>
      <c r="AM46" s="129"/>
      <c r="AN46" s="129"/>
      <c r="AO46" s="129"/>
      <c r="AP46" s="129"/>
      <c r="AQ46" s="129"/>
      <c r="AR46" s="129"/>
      <c r="AS46" s="129"/>
      <c r="AT46" s="129"/>
      <c r="AU46" s="129"/>
      <c r="AV46" s="129"/>
      <c r="AW46" s="129"/>
      <c r="AX46" s="129"/>
      <c r="AY46" s="129"/>
      <c r="AZ46" s="129"/>
      <c r="BA46" s="136">
        <f t="shared" ref="BA46" si="241">IFERROR(BA10/$B46,0)</f>
        <v>0.108928962552741</v>
      </c>
      <c r="BB46" s="149">
        <f>IFERROR(s_RadSpec!$I$10*BB10,".")*$B$46</f>
        <v>7.4430124999999992E-4</v>
      </c>
      <c r="BC46" s="149">
        <f>IFERROR(s_RadSpec!$L$10*BC10,".")*$B$46</f>
        <v>2.496608579548593E-7</v>
      </c>
      <c r="BD46" s="149">
        <f>IFERROR(s_RadSpec!$K$10*BD10,".")*$B$46</f>
        <v>2.0950052205145342E-5</v>
      </c>
      <c r="BE46" s="149">
        <f>s_b2s!BZ46</f>
        <v>2.8294612018749998E-2</v>
      </c>
      <c r="BF46" s="149">
        <f>IFERROR(s_RadSpec!$J$10*BF10,".")*$B$46</f>
        <v>93.037656249999998</v>
      </c>
      <c r="BG46" s="149">
        <f>IFERROR(s_RadSpec!$J$10*BG10,".")*$B$46</f>
        <v>0.75050376041666667</v>
      </c>
      <c r="BH46" s="149">
        <f>IFERROR(s_RadSpec!$J$10*BH10,".")*$B$46</f>
        <v>0.1523529257686084</v>
      </c>
      <c r="BI46" s="149">
        <f>IFERROR(s_RadSpec!$J$10*BI10,".")*$B$46</f>
        <v>6.8227614583333338</v>
      </c>
      <c r="BJ46" s="149">
        <f>IFERROR(s_RadSpec!$J$10*BJ10,".")*$B$46</f>
        <v>92.107279687499997</v>
      </c>
      <c r="BK46" s="149">
        <f>IFERROR(s_RadSpec!$J$10*BK10,".")*$B$46</f>
        <v>13.645522916666668</v>
      </c>
      <c r="BL46" s="149">
        <f>IFERROR(s_RadSpec!$J$10*BL10,".")*$B$46</f>
        <v>10.916418333333333</v>
      </c>
      <c r="BM46" s="149">
        <f>IFERROR(s_RadSpec!$J$10*BM10,".")*$B$46</f>
        <v>3.6432221379449841</v>
      </c>
      <c r="BN46" s="149">
        <f>IFERROR(s_RadSpec!$J$10*BN10,".")*$B$46</f>
        <v>6.4816233854166674</v>
      </c>
      <c r="BO46" s="149">
        <f>IFERROR(s_RadSpec!$J$10*BO10,".")*$B$46</f>
        <v>1.920971672734628</v>
      </c>
      <c r="BP46" s="150">
        <f t="shared" si="86"/>
        <v>229.50737264109668</v>
      </c>
      <c r="BQ46" s="136">
        <f>IFERROR(BQ10/$B46,0)</f>
        <v>369.47405368457999</v>
      </c>
      <c r="BR46" s="136">
        <f>IFERROR(BR10/$B46,0)</f>
        <v>0</v>
      </c>
      <c r="BS46" s="136">
        <f t="shared" ref="BS46" si="242">IFERROR(BS10/$B46,0)</f>
        <v>10150.449122611863</v>
      </c>
      <c r="BT46" s="136">
        <f>IFERROR(BT10/$B46,0)</f>
        <v>1593.7529116748494</v>
      </c>
      <c r="BU46" s="136">
        <f t="shared" ref="BU46" si="243">IFERROR(BU10/$B46,0)</f>
        <v>26.870840267969452</v>
      </c>
      <c r="BV46" s="136">
        <f>IFERROR(BV10/$B46,0)</f>
        <v>610700.915181124</v>
      </c>
      <c r="BW46" s="136">
        <f>IFERROR(BW10/$B46,0)</f>
        <v>3008365.8126096237</v>
      </c>
      <c r="BX46" s="136">
        <f t="shared" ref="BX46:CD46" si="244">IFERROR(BX10/$B46,0)</f>
        <v>67177.100669923631</v>
      </c>
      <c r="BY46" s="136">
        <f t="shared" si="244"/>
        <v>4976.0815311054539</v>
      </c>
      <c r="BZ46" s="136">
        <f t="shared" si="244"/>
        <v>33588.550334961816</v>
      </c>
      <c r="CA46" s="136">
        <f t="shared" si="244"/>
        <v>41985.687918702271</v>
      </c>
      <c r="CB46" s="136">
        <f t="shared" si="244"/>
        <v>125804.38852731152</v>
      </c>
      <c r="CC46" s="136">
        <f t="shared" si="244"/>
        <v>70712.737547288038</v>
      </c>
      <c r="CD46" s="136">
        <f t="shared" si="244"/>
        <v>238594.52996559077</v>
      </c>
      <c r="CE46" s="141"/>
      <c r="CF46" s="141"/>
      <c r="CG46" s="141"/>
      <c r="CH46" s="141"/>
      <c r="CI46" s="141"/>
      <c r="CJ46" s="141"/>
      <c r="CK46" s="141"/>
      <c r="CL46" s="141"/>
      <c r="CM46" s="141"/>
      <c r="CN46" s="141"/>
      <c r="CO46" s="141"/>
      <c r="CP46" s="141"/>
      <c r="CQ46" s="141"/>
      <c r="CR46" s="141"/>
      <c r="CS46" s="136">
        <f t="shared" ref="CS46" si="245">IFERROR(CS10/$B46,0)</f>
        <v>24.422846110472829</v>
      </c>
      <c r="CT46" s="149">
        <f>IFERROR(s_RadSpec!$M$10*CT10,".")*$B$46</f>
        <v>6.7663749999999995E-2</v>
      </c>
      <c r="CU46" s="149">
        <f>IFERROR(s_RadSpec!$L$10*CU10,".")*$B$46</f>
        <v>3.8672949218749988E-2</v>
      </c>
      <c r="CV46" s="149">
        <f>IFERROR(s_RadSpec!$Q$10*CV10,".")*$B$46</f>
        <v>2.4629452054794518E-3</v>
      </c>
      <c r="CW46" s="149">
        <f>s_b2w!BZ46</f>
        <v>1.5686245852079981E-2</v>
      </c>
      <c r="CX46" s="149">
        <f>IFERROR(s_RadSpec!$J$10*CX10,".")*$B$46</f>
        <v>0.9303765625</v>
      </c>
      <c r="CY46" s="149">
        <f>IFERROR(s_RadSpec!$J$10*CY10,".")*$B$46</f>
        <v>4.093656875E-5</v>
      </c>
      <c r="CZ46" s="149">
        <f>IFERROR(s_RadSpec!$J$10*CZ10,".")*$B$46</f>
        <v>8.3101595873786429E-6</v>
      </c>
      <c r="DA46" s="149">
        <f>IFERROR(s_RadSpec!$J$10*DA10,".")*$B$46</f>
        <v>3.7215062499999996E-4</v>
      </c>
      <c r="DB46" s="149">
        <f>IFERROR(s_RadSpec!$J$10*DB10,".")*$B$46</f>
        <v>5.0240334374999996E-3</v>
      </c>
      <c r="DC46" s="149">
        <f>IFERROR(s_RadSpec!$J$10*DC10,".")*$B$46</f>
        <v>7.4430124999999992E-4</v>
      </c>
      <c r="DD46" s="149">
        <f>IFERROR(s_RadSpec!$J$10*DD10,".")*$B$46</f>
        <v>5.9544099999999994E-4</v>
      </c>
      <c r="DE46" s="149">
        <f>IFERROR(s_RadSpec!$J$10*DE10,".")*$B$46</f>
        <v>1.9872120752427184E-4</v>
      </c>
      <c r="DF46" s="149">
        <f>IFERROR(s_RadSpec!$J$10*DF10,".")*$B$46</f>
        <v>3.5354309375E-4</v>
      </c>
      <c r="DG46" s="149">
        <f>IFERROR(s_RadSpec!$J$10*DG10,".")*$B$46</f>
        <v>1.0478027305825242E-4</v>
      </c>
      <c r="DH46" s="150">
        <f t="shared" si="68"/>
        <v>0</v>
      </c>
      <c r="DI46" s="136">
        <f>IFERROR(DI10/$B46,0)</f>
        <v>323.22334480607867</v>
      </c>
      <c r="DJ46" s="136">
        <f t="shared" ref="DJ46:DK46" si="246">IFERROR(DJ10/$B46,0)</f>
        <v>4.5353070547840248</v>
      </c>
      <c r="DK46" s="136">
        <f t="shared" si="246"/>
        <v>4.4725504808098746</v>
      </c>
      <c r="DL46" s="149">
        <f>IFERROR(s_RadSpec!$L$10*DL10,".")*$B$46</f>
        <v>7.7345898437499977E-2</v>
      </c>
      <c r="DM46" s="149">
        <f>IFERROR(s_RadSpec!$O$10*DM10,".")*$B$46</f>
        <v>5.5123059360730595</v>
      </c>
      <c r="DN46" s="150">
        <f t="shared" si="91"/>
        <v>5.5896518345105592</v>
      </c>
    </row>
    <row r="47" spans="1:118" x14ac:dyDescent="0.25">
      <c r="A47" s="135" t="s">
        <v>1060</v>
      </c>
      <c r="B47" s="129">
        <v>0.94399</v>
      </c>
      <c r="C47" s="136">
        <f t="shared" ref="C47:M47" si="247">IFERROR(C6/$B$47,0)</f>
        <v>0</v>
      </c>
      <c r="D47" s="136">
        <f t="shared" si="247"/>
        <v>0</v>
      </c>
      <c r="E47" s="136">
        <f t="shared" si="247"/>
        <v>0</v>
      </c>
      <c r="F47" s="136">
        <f t="shared" si="247"/>
        <v>0</v>
      </c>
      <c r="G47" s="136">
        <f t="shared" si="247"/>
        <v>0</v>
      </c>
      <c r="H47" s="136">
        <f t="shared" si="247"/>
        <v>0</v>
      </c>
      <c r="I47" s="136">
        <f t="shared" si="247"/>
        <v>0</v>
      </c>
      <c r="J47" s="136">
        <f t="shared" si="247"/>
        <v>0</v>
      </c>
      <c r="K47" s="136">
        <f t="shared" si="247"/>
        <v>0</v>
      </c>
      <c r="L47" s="136">
        <f t="shared" si="247"/>
        <v>0</v>
      </c>
      <c r="M47" s="136">
        <f t="shared" si="247"/>
        <v>0</v>
      </c>
      <c r="N47" s="149">
        <f>s_dir!BA47</f>
        <v>107083.86562499999</v>
      </c>
      <c r="O47" s="149">
        <f>IFERROR(s_RadSpec!$J$6*O6,".")*$B$47</f>
        <v>0</v>
      </c>
      <c r="P47" s="149">
        <f>IFERROR(s_RadSpec!$J$6*P6,".")*$B$47</f>
        <v>0</v>
      </c>
      <c r="Q47" s="149">
        <f>IFERROR(s_RadSpec!$J$6*Q6,".")*$B$47</f>
        <v>0</v>
      </c>
      <c r="R47" s="149">
        <f>IFERROR(s_RadSpec!$J$6*R6,".")*$B$47</f>
        <v>0</v>
      </c>
      <c r="S47" s="149">
        <f>IFERROR(s_RadSpec!$J$6*S6,".")*$B$47</f>
        <v>0</v>
      </c>
      <c r="T47" s="149">
        <f>IFERROR(s_RadSpec!$J$6*T6,".")*$B$47</f>
        <v>0</v>
      </c>
      <c r="U47" s="149">
        <f>IFERROR(s_RadSpec!$J$6*U6,".")*$B$47</f>
        <v>0</v>
      </c>
      <c r="V47" s="149">
        <f>IFERROR(s_RadSpec!$J$6*V6,".")*$B$47</f>
        <v>0</v>
      </c>
      <c r="W47" s="149">
        <f>IFERROR(s_RadSpec!$J$6*W6,".")*$B$47</f>
        <v>0</v>
      </c>
      <c r="X47" s="149">
        <f>IFERROR(s_RadSpec!$J$6*X6,".")*$B$47</f>
        <v>0</v>
      </c>
      <c r="Y47" s="136">
        <f>IFERROR(Y6/$B$47,0)</f>
        <v>0</v>
      </c>
      <c r="Z47" s="136">
        <f>IFERROR(Z6/$B$47,0)</f>
        <v>0</v>
      </c>
      <c r="AA47" s="136">
        <f t="shared" ref="AA47:AH47" si="248">IFERROR(AA6/$B$47,0)</f>
        <v>277.06403424589757</v>
      </c>
      <c r="AB47" s="136">
        <f>IFERROR(AB6/$B$47,0)</f>
        <v>0</v>
      </c>
      <c r="AC47" s="136">
        <f t="shared" ref="AC47" si="249">IFERROR(AC6/$B$47,0)</f>
        <v>0</v>
      </c>
      <c r="AD47" s="136">
        <f>IFERROR(AD6/$B$47,0)</f>
        <v>0</v>
      </c>
      <c r="AE47" s="136">
        <f>IFERROR(AE6/$B$47,0)</f>
        <v>0</v>
      </c>
      <c r="AF47" s="136">
        <f t="shared" ref="AF47" si="250">IFERROR(AF6/$B$47,0)</f>
        <v>0</v>
      </c>
      <c r="AG47" s="136">
        <f t="shared" si="248"/>
        <v>0</v>
      </c>
      <c r="AH47" s="136">
        <f t="shared" si="248"/>
        <v>0</v>
      </c>
      <c r="AI47" s="136">
        <f t="shared" ref="AI47" si="251">IFERROR(AI6/$B$47,0)</f>
        <v>0</v>
      </c>
      <c r="AJ47" s="136">
        <f t="shared" ref="AJ47:AL47" si="252">IFERROR(AJ6/$B$47,0)</f>
        <v>0</v>
      </c>
      <c r="AK47" s="136">
        <f t="shared" si="252"/>
        <v>0</v>
      </c>
      <c r="AL47" s="136">
        <f t="shared" si="252"/>
        <v>0</v>
      </c>
      <c r="AM47" s="129"/>
      <c r="AN47" s="129"/>
      <c r="AO47" s="129"/>
      <c r="AP47" s="129"/>
      <c r="AQ47" s="129"/>
      <c r="AR47" s="129"/>
      <c r="AS47" s="129"/>
      <c r="AT47" s="129"/>
      <c r="AU47" s="129"/>
      <c r="AV47" s="129"/>
      <c r="AW47" s="129"/>
      <c r="AX47" s="129"/>
      <c r="AY47" s="129"/>
      <c r="AZ47" s="129"/>
      <c r="BA47" s="136">
        <f t="shared" ref="BA47" si="253">IFERROR(BA6/$B$47,0)</f>
        <v>277.06403424589757</v>
      </c>
      <c r="BB47" s="149">
        <f>IFERROR(s_RadSpec!$I$6*BB6,".")*$B$47</f>
        <v>0</v>
      </c>
      <c r="BC47" s="149">
        <f>IFERROR(s_RadSpec!$L$6*BC6,".")*$B$47</f>
        <v>0</v>
      </c>
      <c r="BD47" s="149">
        <f>IFERROR(s_RadSpec!$K$6*BD6,".")*$B$47</f>
        <v>9.0231848633995568E-2</v>
      </c>
      <c r="BE47" s="149">
        <f>s_b2s!BZ47</f>
        <v>0</v>
      </c>
      <c r="BF47" s="149">
        <f>IFERROR(s_RadSpec!$J$6*BF6,".")*$B$47</f>
        <v>0</v>
      </c>
      <c r="BG47" s="149">
        <f>IFERROR(s_RadSpec!$J$6*BG6,".")*$B$47</f>
        <v>0</v>
      </c>
      <c r="BH47" s="149">
        <f>IFERROR(s_RadSpec!$J$6*BH6,".")*$B$47</f>
        <v>0</v>
      </c>
      <c r="BI47" s="149">
        <f>IFERROR(s_RadSpec!$J$6*BI6,".")*$B$47</f>
        <v>0</v>
      </c>
      <c r="BJ47" s="149">
        <f>IFERROR(s_RadSpec!$J$6*BJ6,".")*$B$47</f>
        <v>0</v>
      </c>
      <c r="BK47" s="149">
        <f>IFERROR(s_RadSpec!$J$6*BK6,".")*$B$47</f>
        <v>0</v>
      </c>
      <c r="BL47" s="149">
        <f>IFERROR(s_RadSpec!$J$6*BL6,".")*$B$47</f>
        <v>0</v>
      </c>
      <c r="BM47" s="149">
        <f>IFERROR(s_RadSpec!$J$6*BM6,".")*$B$47</f>
        <v>0</v>
      </c>
      <c r="BN47" s="149">
        <f>IFERROR(s_RadSpec!$J$6*BN6,".")*$B$47</f>
        <v>0</v>
      </c>
      <c r="BO47" s="149">
        <f>IFERROR(s_RadSpec!$J$6*BO6,".")*$B$47</f>
        <v>0</v>
      </c>
      <c r="BP47" s="150">
        <f t="shared" si="86"/>
        <v>9.0231848633995568E-2</v>
      </c>
      <c r="BQ47" s="136">
        <f>IFERROR(BQ6/$B$47,0)</f>
        <v>0</v>
      </c>
      <c r="BR47" s="136">
        <f>IFERROR(BR6/$B$47,0)</f>
        <v>0</v>
      </c>
      <c r="BS47" s="136">
        <f t="shared" ref="BS47" si="254">IFERROR(BS6/$B$47,0)</f>
        <v>19.365941219764387</v>
      </c>
      <c r="BT47" s="136">
        <f>IFERROR(BT6/$B$47,0)</f>
        <v>0</v>
      </c>
      <c r="BU47" s="136">
        <f t="shared" ref="BU47" si="255">IFERROR(BU6/$B$47,0)</f>
        <v>0</v>
      </c>
      <c r="BV47" s="136">
        <f>IFERROR(BV6/$B$47,0)</f>
        <v>0</v>
      </c>
      <c r="BW47" s="136">
        <f>IFERROR(BW6/$B$47,0)</f>
        <v>0</v>
      </c>
      <c r="BX47" s="136">
        <f t="shared" ref="BX47:CD47" si="256">IFERROR(BX6/$B$47,0)</f>
        <v>0</v>
      </c>
      <c r="BY47" s="136">
        <f t="shared" si="256"/>
        <v>0</v>
      </c>
      <c r="BZ47" s="136">
        <f t="shared" si="256"/>
        <v>0</v>
      </c>
      <c r="CA47" s="136">
        <f t="shared" si="256"/>
        <v>0</v>
      </c>
      <c r="CB47" s="136">
        <f t="shared" si="256"/>
        <v>0</v>
      </c>
      <c r="CC47" s="136">
        <f t="shared" si="256"/>
        <v>0</v>
      </c>
      <c r="CD47" s="136">
        <f t="shared" si="256"/>
        <v>0</v>
      </c>
      <c r="CE47" s="141"/>
      <c r="CF47" s="141"/>
      <c r="CG47" s="141"/>
      <c r="CH47" s="141"/>
      <c r="CI47" s="141"/>
      <c r="CJ47" s="141"/>
      <c r="CK47" s="141"/>
      <c r="CL47" s="141"/>
      <c r="CM47" s="141"/>
      <c r="CN47" s="141"/>
      <c r="CO47" s="141"/>
      <c r="CP47" s="141"/>
      <c r="CQ47" s="141"/>
      <c r="CR47" s="141"/>
      <c r="CS47" s="136">
        <f t="shared" ref="CS47" si="257">IFERROR(CS6/$B$47,0)</f>
        <v>19.365941219764387</v>
      </c>
      <c r="CT47" s="149">
        <f>IFERROR(s_RadSpec!$M$6*CT6,".")*$B$47</f>
        <v>0</v>
      </c>
      <c r="CU47" s="149">
        <f>IFERROR(s_RadSpec!$L$6*CU6,".")*$B$47</f>
        <v>0</v>
      </c>
      <c r="CV47" s="149">
        <f>IFERROR(s_RadSpec!$Q$6*CV6,".")*$B$47</f>
        <v>1.2909261531004566</v>
      </c>
      <c r="CW47" s="149">
        <f>s_b2w!BZ47</f>
        <v>0</v>
      </c>
      <c r="CX47" s="149">
        <f>IFERROR(s_RadSpec!$J$6*CX6,".")*$B$47</f>
        <v>0</v>
      </c>
      <c r="CY47" s="149">
        <f>IFERROR(s_RadSpec!$J$6*CY6,".")*$B$47</f>
        <v>0</v>
      </c>
      <c r="CZ47" s="149">
        <f>IFERROR(s_RadSpec!$J$6*CZ6,".")*$B$47</f>
        <v>0</v>
      </c>
      <c r="DA47" s="149">
        <f>IFERROR(s_RadSpec!$J$6*DA6,".")*$B$47</f>
        <v>0</v>
      </c>
      <c r="DB47" s="149">
        <f>IFERROR(s_RadSpec!$J$6*DB6,".")*$B$47</f>
        <v>0</v>
      </c>
      <c r="DC47" s="149">
        <f>IFERROR(s_RadSpec!$J$6*DC6,".")*$B$47</f>
        <v>0</v>
      </c>
      <c r="DD47" s="149">
        <f>IFERROR(s_RadSpec!$J$6*DD6,".")*$B$47</f>
        <v>0</v>
      </c>
      <c r="DE47" s="149">
        <f>IFERROR(s_RadSpec!$J$6*DE6,".")*$B$47</f>
        <v>0</v>
      </c>
      <c r="DF47" s="149">
        <f>IFERROR(s_RadSpec!$J$6*DF6,".")*$B$47</f>
        <v>0</v>
      </c>
      <c r="DG47" s="149">
        <f>IFERROR(s_RadSpec!$J$6*DG6,".")*$B$47</f>
        <v>0</v>
      </c>
      <c r="DH47" s="150">
        <f t="shared" ref="DH47:DH76" si="258">SUM(DH48:DH60)</f>
        <v>0</v>
      </c>
      <c r="DI47" s="136">
        <f>IFERROR(DI6/$B$47,0)</f>
        <v>0</v>
      </c>
      <c r="DJ47" s="136">
        <f t="shared" ref="DJ47:DK47" si="259">IFERROR(DJ6/$B$47,0)</f>
        <v>1.6788615213565262E-2</v>
      </c>
      <c r="DK47" s="136">
        <f t="shared" si="259"/>
        <v>1.6788615213565262E-2</v>
      </c>
      <c r="DL47" s="149">
        <f>IFERROR(s_RadSpec!$L$6*DL6,".")*$B$47</f>
        <v>0</v>
      </c>
      <c r="DM47" s="149">
        <f>IFERROR(s_RadSpec!$O$6*DM6,".")*$B$47</f>
        <v>1489.1043532762556</v>
      </c>
      <c r="DN47" s="150">
        <f t="shared" si="91"/>
        <v>1489.1043532762556</v>
      </c>
    </row>
    <row r="48" spans="1:118" x14ac:dyDescent="0.25">
      <c r="A48" s="132" t="s">
        <v>21</v>
      </c>
      <c r="B48" s="132" t="s">
        <v>1059</v>
      </c>
      <c r="C48" s="134">
        <f t="shared" ref="C48:M48" si="260">1/SUM(1/C49,1/C52,1/C54,1/C58,1/C59,1/C61)</f>
        <v>9.2342578794724461E-2</v>
      </c>
      <c r="D48" s="134">
        <f t="shared" si="260"/>
        <v>0.27702773638417333</v>
      </c>
      <c r="E48" s="134">
        <f t="shared" si="260"/>
        <v>0.27702773638417333</v>
      </c>
      <c r="F48" s="134">
        <f t="shared" si="260"/>
        <v>0.27702773638417333</v>
      </c>
      <c r="G48" s="134">
        <f t="shared" si="260"/>
        <v>0.27702773638417333</v>
      </c>
      <c r="H48" s="134">
        <f t="shared" si="260"/>
        <v>0.27702773638417333</v>
      </c>
      <c r="I48" s="134">
        <f t="shared" si="260"/>
        <v>0.27702773638417333</v>
      </c>
      <c r="J48" s="134">
        <f t="shared" si="260"/>
        <v>0.27702773638417333</v>
      </c>
      <c r="K48" s="134">
        <f t="shared" si="260"/>
        <v>0.27702773638417333</v>
      </c>
      <c r="L48" s="134">
        <f t="shared" si="260"/>
        <v>0.27702773638417333</v>
      </c>
      <c r="M48" s="134">
        <f t="shared" si="260"/>
        <v>0.27702773638417333</v>
      </c>
      <c r="N48" s="146">
        <f>s_dir!BA48</f>
        <v>1020937.654048125</v>
      </c>
      <c r="O48" s="146">
        <f>SUM(O49:O62)</f>
        <v>90.243671360512408</v>
      </c>
      <c r="P48" s="146">
        <f t="shared" ref="P48:X48" si="261">SUM(P49:P62)</f>
        <v>90.243671360512408</v>
      </c>
      <c r="Q48" s="146">
        <f t="shared" si="261"/>
        <v>90.243671360512408</v>
      </c>
      <c r="R48" s="146">
        <f t="shared" si="261"/>
        <v>90.243671360512408</v>
      </c>
      <c r="S48" s="146">
        <f t="shared" si="261"/>
        <v>90.243671360512408</v>
      </c>
      <c r="T48" s="146">
        <f t="shared" si="261"/>
        <v>90.243671360512408</v>
      </c>
      <c r="U48" s="146">
        <f t="shared" si="261"/>
        <v>90.243671360512408</v>
      </c>
      <c r="V48" s="146">
        <f t="shared" si="261"/>
        <v>90.243671360512408</v>
      </c>
      <c r="W48" s="146">
        <f t="shared" si="261"/>
        <v>90.243671360512408</v>
      </c>
      <c r="X48" s="146">
        <f t="shared" si="261"/>
        <v>90.243671360512408</v>
      </c>
      <c r="Y48" s="134">
        <f>1/SUM(1/Y49,1/Y52,1/Y54,1/Y58,1/Y59,1/Y61)</f>
        <v>138.51386819208662</v>
      </c>
      <c r="Z48" s="134">
        <f>1/SUM(1/Z49,1/Z52,1/Z54,1/Z58,1/Z59,1/Z61)</f>
        <v>197165.41469531046</v>
      </c>
      <c r="AA48" s="134">
        <f>1/SUM(1/AA49,1/AA50,1/AA52,1/AA54,1/AA55,1/AA56,1/AA57,1/AA58,1/AA59,1/AA60,1/AA61,1/AA62)</f>
        <v>56.257934311332392</v>
      </c>
      <c r="AB48" s="134">
        <f>1/SUM(1/AB49,1/AB52,1/AB54,1/AB58,1/AB59,1/AB61)</f>
        <v>4.7255687928719201</v>
      </c>
      <c r="AC48" s="134">
        <f t="shared" ref="AC48" si="262">1/SUM(1/AC49,1/AC52,1/AC54,1/AC58,1/AC59,1/AC61)</f>
        <v>0.39150684106788353</v>
      </c>
      <c r="AD48" s="134">
        <f>1/SUM(1/AD49,1/AD52,1/AD54,1/AD58,1/AD59,1/AD61)</f>
        <v>0.99339933959047755</v>
      </c>
      <c r="AE48" s="134">
        <f>1/SUM(1/AE49,1/AE52,1/AE54,1/AE58,1/AE59,1/AE61)</f>
        <v>14.111992275273094</v>
      </c>
      <c r="AF48" s="134" t="s">
        <v>1432</v>
      </c>
      <c r="AG48" s="134">
        <f>1/SUM(1/AG61)</f>
        <v>2.4302135427173477E-3</v>
      </c>
      <c r="AH48" s="134">
        <f>1/SUM(1/AH61)</f>
        <v>1.8814556459747207E-3</v>
      </c>
      <c r="AI48" s="134" t="s">
        <v>1432</v>
      </c>
      <c r="AJ48" s="134">
        <f>1/SUM(1/AJ52,1/AJ58,1/AJ61)</f>
        <v>1.0252383322068017</v>
      </c>
      <c r="AK48" s="134">
        <f>1/SUM(1/AK49,1/AK52,1/AK58,1/AK61)</f>
        <v>0.1050106851098789</v>
      </c>
      <c r="AL48" s="134">
        <f>1/SUM(1/AL52,1/AL58)</f>
        <v>0.28931753141926203</v>
      </c>
      <c r="AM48" s="129"/>
      <c r="AN48" s="129"/>
      <c r="AO48" s="129"/>
      <c r="AP48" s="129"/>
      <c r="AQ48" s="129"/>
      <c r="AR48" s="129"/>
      <c r="AS48" s="129"/>
      <c r="AT48" s="129"/>
      <c r="AU48" s="129"/>
      <c r="AV48" s="129"/>
      <c r="AW48" s="129"/>
      <c r="AX48" s="129"/>
      <c r="AY48" s="129"/>
      <c r="AZ48" s="129"/>
      <c r="BA48" s="134" t="e">
        <f>1/SUM(1/BA49,1/BA50,1/BA51,1/BA52,1/BA53,1/BA54,1/BA55,1/BA56,1/BA57,1/BA58,1/BA59,1/BA60,1/BA61,1/BA62)</f>
        <v>#DIV/0!</v>
      </c>
      <c r="BB48" s="146">
        <f>SUM(BB49:BB62)</f>
        <v>0.18048734272102485</v>
      </c>
      <c r="BC48" s="146">
        <f t="shared" ref="BC48:BO48" si="263">SUM(BC49:BC62)</f>
        <v>1.2682001464369994E-4</v>
      </c>
      <c r="BD48" s="146">
        <f t="shared" si="263"/>
        <v>0.44438176243104804</v>
      </c>
      <c r="BE48" s="146">
        <f>s_b2s!BZ48</f>
        <v>4.9372680913784874</v>
      </c>
      <c r="BF48" s="146">
        <f t="shared" si="263"/>
        <v>63.855844592164466</v>
      </c>
      <c r="BG48" s="146">
        <f t="shared" si="263"/>
        <v>25.166112965513033</v>
      </c>
      <c r="BH48" s="146">
        <f t="shared" si="263"/>
        <v>1.7715429198331396</v>
      </c>
      <c r="BI48" s="146">
        <f t="shared" si="263"/>
        <v>0</v>
      </c>
      <c r="BJ48" s="146">
        <f t="shared" si="263"/>
        <v>10287.161831896552</v>
      </c>
      <c r="BK48" s="146">
        <f t="shared" si="263"/>
        <v>13287.58403286638</v>
      </c>
      <c r="BL48" s="146">
        <f t="shared" si="263"/>
        <v>0</v>
      </c>
      <c r="BM48" s="146">
        <f t="shared" si="263"/>
        <v>24.384574020157913</v>
      </c>
      <c r="BN48" s="146">
        <f t="shared" si="263"/>
        <v>238.07101128652783</v>
      </c>
      <c r="BO48" s="146">
        <f t="shared" si="263"/>
        <v>86.410249241935688</v>
      </c>
      <c r="BP48" s="147">
        <f t="shared" si="86"/>
        <v>24019.967463805609</v>
      </c>
      <c r="BQ48" s="134">
        <f>1/SUM(1/BQ49,1/BQ52,1/BQ54,1/BQ58,1/BQ59,1/BQ61)</f>
        <v>1.5236525501129532</v>
      </c>
      <c r="BR48" s="134">
        <f>1/SUM(1/BR49,1/BR50)</f>
        <v>2.6167179280459476</v>
      </c>
      <c r="BS48" s="134">
        <f>1/SUM(1/BS49,1/BS50,1/BS52,1/BS54,1/BS55,1/BS56,1/BS57,1/BS58,1/BS59,1/BS60,1/BS61,1/BS62)</f>
        <v>5.9444506276007072</v>
      </c>
      <c r="BT48" s="134">
        <f>1/SUM(1/BT49,1/BT52,1/BT54,1/BT58,1/BT59,1/BT61)</f>
        <v>7.1599106798954333</v>
      </c>
      <c r="BU48" s="134">
        <f t="shared" ref="BU48" si="264">1/SUM(1/BU49,1/BU52,1/BU54,1/BU58,1/BU59,1/BU61)</f>
        <v>9.8892410512206297</v>
      </c>
      <c r="BV48" s="134">
        <f>1/SUM(1/BV49,1/BV52,1/BV54,1/BV58,1/BV59,1/BV61)</f>
        <v>17453.476451159819</v>
      </c>
      <c r="BW48" s="134">
        <f>1/SUM(1/BW49,1/BW52,1/BW54,1/BW58,1/BW59,1/BW61)</f>
        <v>250265.31506979058</v>
      </c>
      <c r="BX48" s="134" t="s">
        <v>1432</v>
      </c>
      <c r="BY48" s="134">
        <f>1/SUM(1/BY61)</f>
        <v>42.545497090951642</v>
      </c>
      <c r="BZ48" s="134">
        <f>1/SUM(1/BZ61)</f>
        <v>32.938449360736755</v>
      </c>
      <c r="CA48" s="134" t="s">
        <v>1432</v>
      </c>
      <c r="CB48" s="134">
        <f>1/SUM(1/CB52,1/CB58,1/CB61)</f>
        <v>18139.986752400517</v>
      </c>
      <c r="CC48" s="134">
        <f>1/SUM(1/CC49,1/CC52,1/CC58,1/CC61)</f>
        <v>1842.0164082749764</v>
      </c>
      <c r="CD48" s="134">
        <f>1/SUM(1/CD52,1/CD58)</f>
        <v>5154.5077436765077</v>
      </c>
      <c r="CE48" s="141"/>
      <c r="CF48" s="141"/>
      <c r="CG48" s="141"/>
      <c r="CH48" s="141"/>
      <c r="CI48" s="141"/>
      <c r="CJ48" s="141"/>
      <c r="CK48" s="141"/>
      <c r="CL48" s="141"/>
      <c r="CM48" s="141"/>
      <c r="CN48" s="141"/>
      <c r="CO48" s="141"/>
      <c r="CP48" s="141"/>
      <c r="CQ48" s="141"/>
      <c r="CR48" s="141"/>
      <c r="CS48" s="134">
        <f>1/SUM(1/CS49,1/CS50,1/CS51,1/CS52,1/CS53,1/CS54,1/CS55,1/CS56,1/CS57,1/CS58,1/CS59,1/CS60,1/CS61,1/CS62)</f>
        <v>0.66568872160505577</v>
      </c>
      <c r="CT48" s="146">
        <f t="shared" ref="CT48:CV48" si="265">SUM(CT49:CT62)</f>
        <v>16.407940247365893</v>
      </c>
      <c r="CU48" s="146">
        <f t="shared" si="265"/>
        <v>19.644665272774606</v>
      </c>
      <c r="CV48" s="146">
        <f t="shared" si="265"/>
        <v>4.2056031750975595</v>
      </c>
      <c r="CW48" s="146">
        <f>s_b2w!BZ48</f>
        <v>3.4916636697994554</v>
      </c>
      <c r="CX48" s="146">
        <f t="shared" ref="CX48:DG48" si="266">SUM(CX49:CX62)</f>
        <v>2.5279998607086487</v>
      </c>
      <c r="CY48" s="146">
        <f t="shared" si="266"/>
        <v>1.4323793927219985E-3</v>
      </c>
      <c r="CZ48" s="146">
        <f t="shared" si="266"/>
        <v>9.9893986480021572E-5</v>
      </c>
      <c r="DA48" s="146">
        <f t="shared" si="266"/>
        <v>0</v>
      </c>
      <c r="DB48" s="146">
        <f t="shared" si="266"/>
        <v>0.58760625</v>
      </c>
      <c r="DC48" s="146">
        <f t="shared" si="266"/>
        <v>0.75899140624999994</v>
      </c>
      <c r="DD48" s="146">
        <f t="shared" si="266"/>
        <v>0</v>
      </c>
      <c r="DE48" s="146">
        <f t="shared" si="266"/>
        <v>1.3781707969930947E-3</v>
      </c>
      <c r="DF48" s="146">
        <f t="shared" si="266"/>
        <v>1.3572083227755917E-2</v>
      </c>
      <c r="DG48" s="146">
        <f t="shared" si="266"/>
        <v>4.8501236671280043E-3</v>
      </c>
      <c r="DH48" s="147">
        <f t="shared" si="258"/>
        <v>0</v>
      </c>
      <c r="DI48" s="134">
        <f>1/SUM(1/DI49,1/DI52,1/DI54,1/DI58,1/DI59,1/DI61)</f>
        <v>0.63642012810327742</v>
      </c>
      <c r="DJ48" s="134">
        <f>1/SUM(1/DJ49,1/DJ50,1/DJ51,1/DJ52,1/DJ53,1/DJ54,1/DJ55,1/DJ56,1/DJ57,1/DJ58,1/DJ59,1/DJ60,1/DJ61,1/DJ62)</f>
        <v>5.1448556851462039E-3</v>
      </c>
      <c r="DK48" s="134">
        <f>1/SUM(1/DK49,1/DK50,1/DK51,1/DK52,1/DK53,1/DK54,1/DK55,1/DK56,1/DK57,1/DK58,1/DK59,1/DK60,1/DK61,1/DK62)</f>
        <v>5.1035905151066803E-3</v>
      </c>
      <c r="DL48" s="146">
        <f t="shared" ref="DL48:DM48" si="267">SUM(DL49:DL62)</f>
        <v>39.289330545549213</v>
      </c>
      <c r="DM48" s="146">
        <f t="shared" si="267"/>
        <v>4859.2227906757234</v>
      </c>
      <c r="DN48" s="147">
        <f t="shared" si="91"/>
        <v>4898.5121212212725</v>
      </c>
    </row>
    <row r="49" spans="1:118" x14ac:dyDescent="0.25">
      <c r="A49" s="135" t="s">
        <v>1088</v>
      </c>
      <c r="B49" s="129">
        <v>1</v>
      </c>
      <c r="C49" s="136">
        <f t="shared" ref="C49:M49" si="268">IFERROR(C23/$B49,0)</f>
        <v>0.65743593738777373</v>
      </c>
      <c r="D49" s="136">
        <f t="shared" si="268"/>
        <v>1.9723078121633211</v>
      </c>
      <c r="E49" s="136">
        <f t="shared" si="268"/>
        <v>1.9723078121633211</v>
      </c>
      <c r="F49" s="136">
        <f t="shared" si="268"/>
        <v>1.9723078121633211</v>
      </c>
      <c r="G49" s="136">
        <f t="shared" si="268"/>
        <v>1.9723078121633211</v>
      </c>
      <c r="H49" s="136">
        <f t="shared" si="268"/>
        <v>1.9723078121633211</v>
      </c>
      <c r="I49" s="136">
        <f t="shared" si="268"/>
        <v>1.9723078121633211</v>
      </c>
      <c r="J49" s="136">
        <f t="shared" si="268"/>
        <v>1.9723078121633211</v>
      </c>
      <c r="K49" s="136">
        <f t="shared" si="268"/>
        <v>1.9723078121633211</v>
      </c>
      <c r="L49" s="136">
        <f t="shared" si="268"/>
        <v>1.9723078121633211</v>
      </c>
      <c r="M49" s="136">
        <f t="shared" si="268"/>
        <v>1.9723078121633211</v>
      </c>
      <c r="N49" s="149">
        <f>s_dir!BA49</f>
        <v>113437.5</v>
      </c>
      <c r="O49" s="149">
        <f>IFERROR(s_RadSpec!$J$23*O23,".")*$B$49</f>
        <v>12.67550625</v>
      </c>
      <c r="P49" s="149">
        <f>IFERROR(s_RadSpec!$J$23*P23,".")*$B$49</f>
        <v>12.67550625</v>
      </c>
      <c r="Q49" s="149">
        <f>IFERROR(s_RadSpec!$J$23*Q23,".")*$B$49</f>
        <v>12.67550625</v>
      </c>
      <c r="R49" s="149">
        <f>IFERROR(s_RadSpec!$J$23*R23,".")*$B$49</f>
        <v>12.67550625</v>
      </c>
      <c r="S49" s="149">
        <f>IFERROR(s_RadSpec!$J$23*S23,".")*$B$49</f>
        <v>12.67550625</v>
      </c>
      <c r="T49" s="149">
        <f>IFERROR(s_RadSpec!$J$23*T23,".")*$B$49</f>
        <v>12.67550625</v>
      </c>
      <c r="U49" s="149">
        <f>IFERROR(s_RadSpec!$J$23*U23,".")*$B$49</f>
        <v>12.67550625</v>
      </c>
      <c r="V49" s="149">
        <f>IFERROR(s_RadSpec!$J$23*V23,".")*$B$49</f>
        <v>12.67550625</v>
      </c>
      <c r="W49" s="149">
        <f>IFERROR(s_RadSpec!$J$23*W23,".")*$B$49</f>
        <v>12.67550625</v>
      </c>
      <c r="X49" s="149">
        <f>IFERROR(s_RadSpec!$J$23*X23,".")*$B$49</f>
        <v>12.67550625</v>
      </c>
      <c r="Y49" s="136">
        <f>IFERROR(Y23/$B49,0)</f>
        <v>986.15390608166047</v>
      </c>
      <c r="Z49" s="136">
        <f>IFERROR(Z23/$B49,0)</f>
        <v>405404.32754304621</v>
      </c>
      <c r="AA49" s="136">
        <f t="shared" ref="AA49:AH49" si="269">IFERROR(AA23/$B49,0)</f>
        <v>22964.114086609057</v>
      </c>
      <c r="AB49" s="136">
        <f>IFERROR(AB23/$B49,0)</f>
        <v>28.847561974013761</v>
      </c>
      <c r="AC49" s="136">
        <f t="shared" ref="AC49" si="270">IFERROR(AC23/$B49,0)</f>
        <v>0.49307695304083027</v>
      </c>
      <c r="AD49" s="136">
        <f>IFERROR(AD23/$B49,0)</f>
        <v>12.899137730367144</v>
      </c>
      <c r="AE49" s="136">
        <f>IFERROR(AE23/$B49,0)</f>
        <v>59.437868857560169</v>
      </c>
      <c r="AF49" s="136">
        <f t="shared" ref="AF49" si="271">IFERROR(AF23/$B49,0)</f>
        <v>0</v>
      </c>
      <c r="AG49" s="136">
        <f t="shared" si="269"/>
        <v>0</v>
      </c>
      <c r="AH49" s="136">
        <f t="shared" si="269"/>
        <v>0</v>
      </c>
      <c r="AI49" s="136">
        <f t="shared" ref="AI49" si="272">IFERROR(AI23/$B49,0)</f>
        <v>0</v>
      </c>
      <c r="AJ49" s="136">
        <f t="shared" ref="AJ49:AL49" si="273">IFERROR(AJ23/$B49,0)</f>
        <v>0</v>
      </c>
      <c r="AK49" s="136">
        <f t="shared" si="273"/>
        <v>4.3857068283248282</v>
      </c>
      <c r="AL49" s="136">
        <f t="shared" si="273"/>
        <v>0</v>
      </c>
      <c r="AM49" s="129"/>
      <c r="AN49" s="129"/>
      <c r="AO49" s="129"/>
      <c r="AP49" s="129"/>
      <c r="AQ49" s="129"/>
      <c r="AR49" s="129"/>
      <c r="AS49" s="129"/>
      <c r="AT49" s="129"/>
      <c r="AU49" s="129"/>
      <c r="AV49" s="129"/>
      <c r="AW49" s="129"/>
      <c r="AX49" s="129"/>
      <c r="AY49" s="129"/>
      <c r="AZ49" s="129"/>
      <c r="BA49" s="136">
        <f t="shared" ref="BA49" si="274">IFERROR(BA23/$B49,0)</f>
        <v>0.41908192351102636</v>
      </c>
      <c r="BB49" s="149">
        <f>IFERROR(s_RadSpec!$I$23*BB23,".")*$B$49</f>
        <v>2.5351012499999999E-2</v>
      </c>
      <c r="BC49" s="149">
        <f>IFERROR(s_RadSpec!$L$23*BC23,".")*$B$49</f>
        <v>6.1666830621943665E-5</v>
      </c>
      <c r="BD49" s="149">
        <f>IFERROR(s_RadSpec!$K$23*BD23,".")*$B$49</f>
        <v>1.0886551035982754E-3</v>
      </c>
      <c r="BE49" s="149">
        <f>s_b2s!BZ49</f>
        <v>0.89362319062500006</v>
      </c>
      <c r="BF49" s="149">
        <f>IFERROR(s_RadSpec!$J$23*BF23,".")*$B$49</f>
        <v>50.702024999999999</v>
      </c>
      <c r="BG49" s="149">
        <f>IFERROR(s_RadSpec!$J$23*BG23,".")*$B$49</f>
        <v>1.9381140447198277</v>
      </c>
      <c r="BH49" s="149">
        <f>IFERROR(s_RadSpec!$J$23*BH23,".")*$B$49</f>
        <v>0.42060727412537674</v>
      </c>
      <c r="BI49" s="149">
        <f>IFERROR(s_RadSpec!$J$23*BI23,".")*$B$49</f>
        <v>0</v>
      </c>
      <c r="BJ49" s="149">
        <f>IFERROR(s_RadSpec!$J$23*BJ23,".")*$B$49</f>
        <v>0</v>
      </c>
      <c r="BK49" s="149">
        <f>IFERROR(s_RadSpec!$J$23*BK23,".")*$B$49</f>
        <v>0</v>
      </c>
      <c r="BL49" s="149">
        <f>IFERROR(s_RadSpec!$J$23*BL23,".")*$B$49</f>
        <v>0</v>
      </c>
      <c r="BM49" s="149">
        <f>IFERROR(s_RadSpec!$J$23*BM23,".")*$B$49</f>
        <v>0</v>
      </c>
      <c r="BN49" s="149">
        <f>IFERROR(s_RadSpec!$J$23*BN23,".")*$B$49</f>
        <v>5.7003354256465526</v>
      </c>
      <c r="BO49" s="149">
        <f>IFERROR(s_RadSpec!$J$23*BO23,".")*$B$49</f>
        <v>0</v>
      </c>
      <c r="BP49" s="150">
        <f t="shared" si="86"/>
        <v>59.68120626955097</v>
      </c>
      <c r="BQ49" s="136">
        <f>IFERROR(BQ23/$B49,0)</f>
        <v>10.847692966898265</v>
      </c>
      <c r="BR49" s="136">
        <f>IFERROR(BR23/$B49,0)</f>
        <v>2.6171676657113556</v>
      </c>
      <c r="BS49" s="136">
        <f t="shared" ref="BS49" si="275">IFERROR(BS23/$B49,0)</f>
        <v>1558.1829793483125</v>
      </c>
      <c r="BT49" s="136">
        <f>IFERROR(BT23/$B49,0)</f>
        <v>48.545275825556324</v>
      </c>
      <c r="BU49" s="136">
        <f t="shared" ref="BU49" si="276">IFERROR(BU23/$B49,0)</f>
        <v>493.07695304083023</v>
      </c>
      <c r="BV49" s="136">
        <f>IFERROR(BV23/$B49,0)</f>
        <v>232036.21319568489</v>
      </c>
      <c r="BW49" s="136">
        <f>IFERROR(BW23/$B49,0)</f>
        <v>1069198.4455411686</v>
      </c>
      <c r="BX49" s="136">
        <f t="shared" ref="BX49:CD49" si="277">IFERROR(BX23/$B49,0)</f>
        <v>0</v>
      </c>
      <c r="BY49" s="136">
        <f t="shared" si="277"/>
        <v>0</v>
      </c>
      <c r="BZ49" s="136">
        <f t="shared" si="277"/>
        <v>0</v>
      </c>
      <c r="CA49" s="136">
        <f t="shared" si="277"/>
        <v>0</v>
      </c>
      <c r="CB49" s="136">
        <f t="shared" si="277"/>
        <v>0</v>
      </c>
      <c r="CC49" s="136">
        <f t="shared" si="277"/>
        <v>78892.312486532843</v>
      </c>
      <c r="CD49" s="136">
        <f t="shared" si="277"/>
        <v>0</v>
      </c>
      <c r="CE49" s="141"/>
      <c r="CF49" s="141"/>
      <c r="CG49" s="141"/>
      <c r="CH49" s="141"/>
      <c r="CI49" s="141"/>
      <c r="CJ49" s="141"/>
      <c r="CK49" s="141"/>
      <c r="CL49" s="141"/>
      <c r="CM49" s="141"/>
      <c r="CN49" s="141"/>
      <c r="CO49" s="141"/>
      <c r="CP49" s="141"/>
      <c r="CQ49" s="141"/>
      <c r="CR49" s="141"/>
      <c r="CS49" s="136">
        <f t="shared" ref="CS49" si="278">IFERROR(CS23/$B49,0)</f>
        <v>2.0097874668044486</v>
      </c>
      <c r="CT49" s="149">
        <f>IFERROR(s_RadSpec!$M$23*CT23,".")*$B$49</f>
        <v>2.3046375000000001</v>
      </c>
      <c r="CU49" s="149">
        <f>IFERROR(s_RadSpec!$L$23*CU23,".")*$B$49</f>
        <v>9.5523111979166639</v>
      </c>
      <c r="CV49" s="149">
        <f>IFERROR(s_RadSpec!$Q$23*CV23,".")*$B$49</f>
        <v>1.6044328767123289E-2</v>
      </c>
      <c r="CW49" s="149">
        <f>s_b2w!BZ49</f>
        <v>0.51498316931673338</v>
      </c>
      <c r="CX49" s="149">
        <f>IFERROR(s_RadSpec!$J$23*CX23,".")*$B$49</f>
        <v>5.0702024999999998E-2</v>
      </c>
      <c r="CY49" s="149">
        <f>IFERROR(s_RadSpec!$J$23*CY23,".")*$B$49</f>
        <v>1.07741803125E-4</v>
      </c>
      <c r="CZ49" s="149">
        <f>IFERROR(s_RadSpec!$J$23*CZ23,".")*$B$49</f>
        <v>2.338200182038835E-5</v>
      </c>
      <c r="DA49" s="149">
        <f>IFERROR(s_RadSpec!$J$23*DA23,".")*$B$49</f>
        <v>0</v>
      </c>
      <c r="DB49" s="149">
        <f>IFERROR(s_RadSpec!$J$23*DB23,".")*$B$49</f>
        <v>0</v>
      </c>
      <c r="DC49" s="149">
        <f>IFERROR(s_RadSpec!$J$23*DC23,".")*$B$49</f>
        <v>0</v>
      </c>
      <c r="DD49" s="149">
        <f>IFERROR(s_RadSpec!$J$23*DD23,".")*$B$49</f>
        <v>0</v>
      </c>
      <c r="DE49" s="149">
        <f>IFERROR(s_RadSpec!$J$23*DE23,".")*$B$49</f>
        <v>0</v>
      </c>
      <c r="DF49" s="149">
        <f>IFERROR(s_RadSpec!$J$23*DF23,".")*$B$49</f>
        <v>3.1688765625E-4</v>
      </c>
      <c r="DG49" s="149">
        <f>IFERROR(s_RadSpec!$J$23*DG23,".")*$B$49</f>
        <v>0</v>
      </c>
      <c r="DH49" s="150">
        <f t="shared" si="258"/>
        <v>0</v>
      </c>
      <c r="DI49" s="136">
        <f>IFERROR(DI23/$B49,0)</f>
        <v>1.3085838328556778</v>
      </c>
      <c r="DJ49" s="136">
        <f t="shared" ref="DJ49:DK49" si="279">IFERROR(DJ23/$B49,0)</f>
        <v>1.3708002030536921</v>
      </c>
      <c r="DK49" s="136">
        <f t="shared" si="279"/>
        <v>0.66948483672014281</v>
      </c>
      <c r="DL49" s="149">
        <f>IFERROR(s_RadSpec!$L$23*DL23,".")*$B$49</f>
        <v>19.104622395833328</v>
      </c>
      <c r="DM49" s="149">
        <f>IFERROR(s_RadSpec!$O$23*DM23,".")*$B$49</f>
        <v>18.237522831050228</v>
      </c>
      <c r="DN49" s="150">
        <f t="shared" si="91"/>
        <v>37.342145226883559</v>
      </c>
    </row>
    <row r="50" spans="1:118" x14ac:dyDescent="0.25">
      <c r="A50" s="135" t="s">
        <v>1075</v>
      </c>
      <c r="B50" s="129">
        <v>1</v>
      </c>
      <c r="C50" s="136">
        <f t="shared" ref="C50:M50" si="280">IFERROR(C25/$B50,0)</f>
        <v>0</v>
      </c>
      <c r="D50" s="136">
        <f t="shared" si="280"/>
        <v>0</v>
      </c>
      <c r="E50" s="136">
        <f t="shared" si="280"/>
        <v>0</v>
      </c>
      <c r="F50" s="136">
        <f t="shared" si="280"/>
        <v>0</v>
      </c>
      <c r="G50" s="136">
        <f t="shared" si="280"/>
        <v>0</v>
      </c>
      <c r="H50" s="136">
        <f t="shared" si="280"/>
        <v>0</v>
      </c>
      <c r="I50" s="136">
        <f t="shared" si="280"/>
        <v>0</v>
      </c>
      <c r="J50" s="136">
        <f t="shared" si="280"/>
        <v>0</v>
      </c>
      <c r="K50" s="136">
        <f t="shared" si="280"/>
        <v>0</v>
      </c>
      <c r="L50" s="136">
        <f t="shared" si="280"/>
        <v>0</v>
      </c>
      <c r="M50" s="136">
        <f t="shared" si="280"/>
        <v>0</v>
      </c>
      <c r="N50" s="149">
        <f>s_dir!BA50</f>
        <v>113437.5</v>
      </c>
      <c r="O50" s="149">
        <f>IFERROR(s_RadSpec!$J$25*O25,".")*$B$50</f>
        <v>0</v>
      </c>
      <c r="P50" s="149">
        <f>IFERROR(s_RadSpec!$J$25*P25,".")*$B$50</f>
        <v>0</v>
      </c>
      <c r="Q50" s="149">
        <f>IFERROR(s_RadSpec!$J$25*Q25,".")*$B$50</f>
        <v>0</v>
      </c>
      <c r="R50" s="149">
        <f>IFERROR(s_RadSpec!$J$25*R25,".")*$B$50</f>
        <v>0</v>
      </c>
      <c r="S50" s="149">
        <f>IFERROR(s_RadSpec!$J$25*S25,".")*$B$50</f>
        <v>0</v>
      </c>
      <c r="T50" s="149">
        <f>IFERROR(s_RadSpec!$J$25*T25,".")*$B$50</f>
        <v>0</v>
      </c>
      <c r="U50" s="149">
        <f>IFERROR(s_RadSpec!$J$25*U25,".")*$B$50</f>
        <v>0</v>
      </c>
      <c r="V50" s="149">
        <f>IFERROR(s_RadSpec!$J$25*V25,".")*$B$50</f>
        <v>0</v>
      </c>
      <c r="W50" s="149">
        <f>IFERROR(s_RadSpec!$J$25*W25,".")*$B$50</f>
        <v>0</v>
      </c>
      <c r="X50" s="149">
        <f>IFERROR(s_RadSpec!$J$25*X25,".")*$B$50</f>
        <v>0</v>
      </c>
      <c r="Y50" s="136">
        <f>IFERROR(Y25/$B50,0)</f>
        <v>0</v>
      </c>
      <c r="Z50" s="136">
        <f>IFERROR(Z25/$B50,0)</f>
        <v>2358772354.6054182</v>
      </c>
      <c r="AA50" s="136">
        <f t="shared" ref="AA50:AH50" si="281">IFERROR(AA25/$B50,0)</f>
        <v>500621.03754162649</v>
      </c>
      <c r="AB50" s="136">
        <f>IFERROR(AB25/$B50,0)</f>
        <v>0</v>
      </c>
      <c r="AC50" s="136">
        <f t="shared" ref="AC50" si="282">IFERROR(AC25/$B50,0)</f>
        <v>0</v>
      </c>
      <c r="AD50" s="136">
        <f>IFERROR(AD25/$B50,0)</f>
        <v>0</v>
      </c>
      <c r="AE50" s="136">
        <f>IFERROR(AE25/$B50,0)</f>
        <v>0</v>
      </c>
      <c r="AF50" s="136">
        <f t="shared" ref="AF50" si="283">IFERROR(AF25/$B50,0)</f>
        <v>0</v>
      </c>
      <c r="AG50" s="136">
        <f t="shared" si="281"/>
        <v>0</v>
      </c>
      <c r="AH50" s="136">
        <f t="shared" si="281"/>
        <v>0</v>
      </c>
      <c r="AI50" s="136">
        <f t="shared" ref="AI50" si="284">IFERROR(AI25/$B50,0)</f>
        <v>0</v>
      </c>
      <c r="AJ50" s="136">
        <f t="shared" ref="AJ50:AL50" si="285">IFERROR(AJ25/$B50,0)</f>
        <v>0</v>
      </c>
      <c r="AK50" s="136">
        <f t="shared" si="285"/>
        <v>0</v>
      </c>
      <c r="AL50" s="136">
        <f t="shared" si="285"/>
        <v>0</v>
      </c>
      <c r="AM50" s="129"/>
      <c r="AN50" s="129"/>
      <c r="AO50" s="129"/>
      <c r="AP50" s="129"/>
      <c r="AQ50" s="129"/>
      <c r="AR50" s="129"/>
      <c r="AS50" s="129"/>
      <c r="AT50" s="129"/>
      <c r="AU50" s="129"/>
      <c r="AV50" s="129"/>
      <c r="AW50" s="129"/>
      <c r="AX50" s="129"/>
      <c r="AY50" s="129"/>
      <c r="AZ50" s="129"/>
      <c r="BA50" s="136">
        <f t="shared" ref="BA50" si="286">IFERROR(BA25/$B50,0)</f>
        <v>500514.80929851223</v>
      </c>
      <c r="BB50" s="149">
        <f>IFERROR(s_RadSpec!$I$25*BB25,".")*$B$50</f>
        <v>0</v>
      </c>
      <c r="BC50" s="149">
        <f>IFERROR(s_RadSpec!$L$25*BC25,".")*$B$50</f>
        <v>1.0598733680759146E-8</v>
      </c>
      <c r="BD50" s="149">
        <f>IFERROR(s_RadSpec!$K$25*BD25,".")*$B$50</f>
        <v>4.9937973287671228E-5</v>
      </c>
      <c r="BE50" s="149">
        <f>s_b2s!BZ50</f>
        <v>0</v>
      </c>
      <c r="BF50" s="149">
        <f>IFERROR(s_RadSpec!$J$25*BF25,".")*$B$50</f>
        <v>0</v>
      </c>
      <c r="BG50" s="149">
        <f>IFERROR(s_RadSpec!$J$25*BG25,".")*$B$50</f>
        <v>0</v>
      </c>
      <c r="BH50" s="149">
        <f>IFERROR(s_RadSpec!$J$25*BH25,".")*$B$50</f>
        <v>0</v>
      </c>
      <c r="BI50" s="149">
        <f>IFERROR(s_RadSpec!$J$25*BI25,".")*$B$50</f>
        <v>0</v>
      </c>
      <c r="BJ50" s="149">
        <f>IFERROR(s_RadSpec!$J$25*BJ25,".")*$B$50</f>
        <v>0</v>
      </c>
      <c r="BK50" s="149">
        <f>IFERROR(s_RadSpec!$J$25*BK25,".")*$B$50</f>
        <v>0</v>
      </c>
      <c r="BL50" s="149">
        <f>IFERROR(s_RadSpec!$J$25*BL25,".")*$B$50</f>
        <v>0</v>
      </c>
      <c r="BM50" s="149">
        <f>IFERROR(s_RadSpec!$J$25*BM25,".")*$B$50</f>
        <v>0</v>
      </c>
      <c r="BN50" s="149">
        <f>IFERROR(s_RadSpec!$J$25*BN25,".")*$B$50</f>
        <v>0</v>
      </c>
      <c r="BO50" s="149">
        <f>IFERROR(s_RadSpec!$J$25*BO25,".")*$B$50</f>
        <v>0</v>
      </c>
      <c r="BP50" s="150">
        <f t="shared" si="86"/>
        <v>4.9948572021351988E-5</v>
      </c>
      <c r="BQ50" s="136">
        <f>IFERROR(BQ25/$B50,0)</f>
        <v>0</v>
      </c>
      <c r="BR50" s="136">
        <f>IFERROR(BR25/$B50,0)</f>
        <v>15227.520571032024</v>
      </c>
      <c r="BS50" s="136">
        <f t="shared" ref="BS50" si="287">IFERROR(BS25/$B50,0)</f>
        <v>28345.669092400152</v>
      </c>
      <c r="BT50" s="136">
        <f>IFERROR(BT25/$B50,0)</f>
        <v>0</v>
      </c>
      <c r="BU50" s="136">
        <f t="shared" ref="BU50" si="288">IFERROR(BU25/$B50,0)</f>
        <v>0</v>
      </c>
      <c r="BV50" s="136">
        <f>IFERROR(BV25/$B50,0)</f>
        <v>0</v>
      </c>
      <c r="BW50" s="136">
        <f>IFERROR(BW25/$B50,0)</f>
        <v>0</v>
      </c>
      <c r="BX50" s="136">
        <f t="shared" ref="BX50:CD50" si="289">IFERROR(BX25/$B50,0)</f>
        <v>0</v>
      </c>
      <c r="BY50" s="136">
        <f t="shared" si="289"/>
        <v>0</v>
      </c>
      <c r="BZ50" s="136">
        <f t="shared" si="289"/>
        <v>0</v>
      </c>
      <c r="CA50" s="136">
        <f t="shared" si="289"/>
        <v>0</v>
      </c>
      <c r="CB50" s="136">
        <f t="shared" si="289"/>
        <v>0</v>
      </c>
      <c r="CC50" s="136">
        <f t="shared" si="289"/>
        <v>0</v>
      </c>
      <c r="CD50" s="136">
        <f t="shared" si="289"/>
        <v>0</v>
      </c>
      <c r="CE50" s="141"/>
      <c r="CF50" s="141"/>
      <c r="CG50" s="141"/>
      <c r="CH50" s="141"/>
      <c r="CI50" s="141"/>
      <c r="CJ50" s="141"/>
      <c r="CK50" s="141"/>
      <c r="CL50" s="141"/>
      <c r="CM50" s="141"/>
      <c r="CN50" s="141"/>
      <c r="CO50" s="141"/>
      <c r="CP50" s="141"/>
      <c r="CQ50" s="141"/>
      <c r="CR50" s="141"/>
      <c r="CS50" s="136">
        <f t="shared" ref="CS50" si="290">IFERROR(CS25/$B50,0)</f>
        <v>9905.9596632290923</v>
      </c>
      <c r="CT50" s="149">
        <f>IFERROR(s_RadSpec!$M$25*CT25,".")*$B$50</f>
        <v>0</v>
      </c>
      <c r="CU50" s="149">
        <f>IFERROR(s_RadSpec!$L$25*CU25,".")*$B$50</f>
        <v>1.6417643229166665E-3</v>
      </c>
      <c r="CV50" s="149">
        <f>IFERROR(s_RadSpec!$Q$25*CV25,".")*$B$50</f>
        <v>8.8196894977168947E-4</v>
      </c>
      <c r="CW50" s="149">
        <f>s_b2w!BZ50</f>
        <v>0</v>
      </c>
      <c r="CX50" s="149">
        <f>IFERROR(s_RadSpec!$J$25*CX25,".")*$B$50</f>
        <v>0</v>
      </c>
      <c r="CY50" s="149">
        <f>IFERROR(s_RadSpec!$J$25*CY25,".")*$B$50</f>
        <v>0</v>
      </c>
      <c r="CZ50" s="149">
        <f>IFERROR(s_RadSpec!$J$25*CZ25,".")*$B$50</f>
        <v>0</v>
      </c>
      <c r="DA50" s="149">
        <f>IFERROR(s_RadSpec!$J$25*DA25,".")*$B$50</f>
        <v>0</v>
      </c>
      <c r="DB50" s="149">
        <f>IFERROR(s_RadSpec!$J$25*DB25,".")*$B$50</f>
        <v>0</v>
      </c>
      <c r="DC50" s="149">
        <f>IFERROR(s_RadSpec!$J$25*DC25,".")*$B$50</f>
        <v>0</v>
      </c>
      <c r="DD50" s="149">
        <f>IFERROR(s_RadSpec!$J$25*DD25,".")*$B$50</f>
        <v>0</v>
      </c>
      <c r="DE50" s="149">
        <f>IFERROR(s_RadSpec!$J$25*DE25,".")*$B$50</f>
        <v>0</v>
      </c>
      <c r="DF50" s="149">
        <f>IFERROR(s_RadSpec!$J$25*DF25,".")*$B$50</f>
        <v>0</v>
      </c>
      <c r="DG50" s="149">
        <f>IFERROR(s_RadSpec!$J$25*DG25,".")*$B$50</f>
        <v>0</v>
      </c>
      <c r="DH50" s="150">
        <f t="shared" si="258"/>
        <v>0</v>
      </c>
      <c r="DI50" s="136">
        <f>IFERROR(DI25/$B50,0)</f>
        <v>7613.7602855160121</v>
      </c>
      <c r="DJ50" s="136">
        <f t="shared" ref="DJ50:DK50" si="291">IFERROR(DJ25/$B50,0)</f>
        <v>24.642708852583716</v>
      </c>
      <c r="DK50" s="136">
        <f t="shared" si="291"/>
        <v>24.563207535352756</v>
      </c>
      <c r="DL50" s="149">
        <f>IFERROR(s_RadSpec!$L$25*DL25,".")*$B$50</f>
        <v>3.283528645833333E-3</v>
      </c>
      <c r="DM50" s="149">
        <f>IFERROR(s_RadSpec!$O$25*DM25,".")*$B$50</f>
        <v>1.0144988584474885</v>
      </c>
      <c r="DN50" s="150">
        <f t="shared" si="91"/>
        <v>1.0177823870933218</v>
      </c>
    </row>
    <row r="51" spans="1:118" x14ac:dyDescent="0.25">
      <c r="A51" s="135" t="s">
        <v>1061</v>
      </c>
      <c r="B51" s="129">
        <v>1</v>
      </c>
      <c r="C51" s="136">
        <f t="shared" ref="C51:M51" si="292">IFERROR(C21/$B51,0)</f>
        <v>0</v>
      </c>
      <c r="D51" s="136">
        <f t="shared" si="292"/>
        <v>0</v>
      </c>
      <c r="E51" s="136">
        <f t="shared" si="292"/>
        <v>0</v>
      </c>
      <c r="F51" s="136">
        <f t="shared" si="292"/>
        <v>0</v>
      </c>
      <c r="G51" s="136">
        <f t="shared" si="292"/>
        <v>0</v>
      </c>
      <c r="H51" s="136">
        <f t="shared" si="292"/>
        <v>0</v>
      </c>
      <c r="I51" s="136">
        <f t="shared" si="292"/>
        <v>0</v>
      </c>
      <c r="J51" s="136">
        <f t="shared" si="292"/>
        <v>0</v>
      </c>
      <c r="K51" s="136">
        <f t="shared" si="292"/>
        <v>0</v>
      </c>
      <c r="L51" s="136">
        <f t="shared" si="292"/>
        <v>0</v>
      </c>
      <c r="M51" s="136">
        <f t="shared" si="292"/>
        <v>0</v>
      </c>
      <c r="N51" s="149">
        <f>s_dir!BA51</f>
        <v>113437.5</v>
      </c>
      <c r="O51" s="149">
        <f>IFERROR(s_RadSpec!$J$21*O21,".")*$B$51</f>
        <v>0</v>
      </c>
      <c r="P51" s="149">
        <f>IFERROR(s_RadSpec!$J$21*P21,".")*$B$51</f>
        <v>0</v>
      </c>
      <c r="Q51" s="149">
        <f>IFERROR(s_RadSpec!$J$21*Q21,".")*$B$51</f>
        <v>0</v>
      </c>
      <c r="R51" s="149">
        <f>IFERROR(s_RadSpec!$J$21*R21,".")*$B$51</f>
        <v>0</v>
      </c>
      <c r="S51" s="149">
        <f>IFERROR(s_RadSpec!$J$21*S21,".")*$B$51</f>
        <v>0</v>
      </c>
      <c r="T51" s="149">
        <f>IFERROR(s_RadSpec!$J$21*T21,".")*$B$51</f>
        <v>0</v>
      </c>
      <c r="U51" s="149">
        <f>IFERROR(s_RadSpec!$J$21*U21,".")*$B$51</f>
        <v>0</v>
      </c>
      <c r="V51" s="149">
        <f>IFERROR(s_RadSpec!$J$21*V21,".")*$B$51</f>
        <v>0</v>
      </c>
      <c r="W51" s="149">
        <f>IFERROR(s_RadSpec!$J$21*W21,".")*$B$51</f>
        <v>0</v>
      </c>
      <c r="X51" s="149">
        <f>IFERROR(s_RadSpec!$J$21*X21,".")*$B$51</f>
        <v>0</v>
      </c>
      <c r="Y51" s="136">
        <f>IFERROR(Y21/$B51,0)</f>
        <v>0</v>
      </c>
      <c r="Z51" s="136">
        <f>IFERROR(Z21/$B51,0)</f>
        <v>2027553664.3917964</v>
      </c>
      <c r="AA51" s="136">
        <f t="shared" ref="AA51:AH51" si="293">IFERROR(AA21/$B51,0)</f>
        <v>0</v>
      </c>
      <c r="AB51" s="136">
        <f>IFERROR(AB21/$B51,0)</f>
        <v>0</v>
      </c>
      <c r="AC51" s="136">
        <f t="shared" ref="AC51" si="294">IFERROR(AC21/$B51,0)</f>
        <v>0</v>
      </c>
      <c r="AD51" s="136">
        <f>IFERROR(AD21/$B51,0)</f>
        <v>0</v>
      </c>
      <c r="AE51" s="136">
        <f>IFERROR(AE21/$B51,0)</f>
        <v>0</v>
      </c>
      <c r="AF51" s="136">
        <f t="shared" ref="AF51" si="295">IFERROR(AF21/$B51,0)</f>
        <v>0</v>
      </c>
      <c r="AG51" s="136">
        <f t="shared" si="293"/>
        <v>0</v>
      </c>
      <c r="AH51" s="136">
        <f t="shared" si="293"/>
        <v>0</v>
      </c>
      <c r="AI51" s="136">
        <f t="shared" ref="AI51" si="296">IFERROR(AI21/$B51,0)</f>
        <v>0</v>
      </c>
      <c r="AJ51" s="136">
        <f t="shared" ref="AJ51:AL51" si="297">IFERROR(AJ21/$B51,0)</f>
        <v>0</v>
      </c>
      <c r="AK51" s="136">
        <f t="shared" si="297"/>
        <v>0</v>
      </c>
      <c r="AL51" s="136">
        <f t="shared" si="297"/>
        <v>0</v>
      </c>
      <c r="AM51" s="129"/>
      <c r="AN51" s="129"/>
      <c r="AO51" s="129"/>
      <c r="AP51" s="129"/>
      <c r="AQ51" s="129"/>
      <c r="AR51" s="129"/>
      <c r="AS51" s="129"/>
      <c r="AT51" s="129"/>
      <c r="AU51" s="129"/>
      <c r="AV51" s="129"/>
      <c r="AW51" s="129"/>
      <c r="AX51" s="129"/>
      <c r="AY51" s="129"/>
      <c r="AZ51" s="129"/>
      <c r="BA51" s="136">
        <f t="shared" ref="BA51" si="298">IFERROR(BA21/$B51,0)</f>
        <v>2027553664.3917966</v>
      </c>
      <c r="BB51" s="149">
        <f>IFERROR(s_RadSpec!$I$21*BB21,".")*$B$51</f>
        <v>0</v>
      </c>
      <c r="BC51" s="149">
        <f>IFERROR(s_RadSpec!$L$21*BC21,".")*$B$51</f>
        <v>1.2330129869829724E-8</v>
      </c>
      <c r="BD51" s="149">
        <f>IFERROR(s_RadSpec!$K$21*BD21,".")*$B$51</f>
        <v>0</v>
      </c>
      <c r="BE51" s="149">
        <f>s_b2s!BZ51</f>
        <v>0</v>
      </c>
      <c r="BF51" s="149">
        <f>IFERROR(s_RadSpec!$J$21*BF21,".")*$B$51</f>
        <v>0</v>
      </c>
      <c r="BG51" s="149">
        <f>IFERROR(s_RadSpec!$J$21*BG21,".")*$B$51</f>
        <v>0</v>
      </c>
      <c r="BH51" s="149">
        <f>IFERROR(s_RadSpec!$J$21*BH21,".")*$B$51</f>
        <v>0</v>
      </c>
      <c r="BI51" s="149">
        <f>IFERROR(s_RadSpec!$J$21*BI21,".")*$B$51</f>
        <v>0</v>
      </c>
      <c r="BJ51" s="149">
        <f>IFERROR(s_RadSpec!$J$21*BJ21,".")*$B$51</f>
        <v>0</v>
      </c>
      <c r="BK51" s="149">
        <f>IFERROR(s_RadSpec!$J$21*BK21,".")*$B$51</f>
        <v>0</v>
      </c>
      <c r="BL51" s="149">
        <f>IFERROR(s_RadSpec!$J$21*BL21,".")*$B$51</f>
        <v>0</v>
      </c>
      <c r="BM51" s="149">
        <f>IFERROR(s_RadSpec!$J$21*BM21,".")*$B$51</f>
        <v>0</v>
      </c>
      <c r="BN51" s="149">
        <f>IFERROR(s_RadSpec!$J$21*BN21,".")*$B$51</f>
        <v>0</v>
      </c>
      <c r="BO51" s="149">
        <f>IFERROR(s_RadSpec!$J$21*BO21,".")*$B$51</f>
        <v>0</v>
      </c>
      <c r="BP51" s="150">
        <f t="shared" si="86"/>
        <v>1.2330129869829724E-8</v>
      </c>
      <c r="BQ51" s="136">
        <f>IFERROR(BQ21/$B51,0)</f>
        <v>0</v>
      </c>
      <c r="BR51" s="136">
        <f>IFERROR(BR21/$B51,0)</f>
        <v>0</v>
      </c>
      <c r="BS51" s="136">
        <f t="shared" ref="BS51" si="299">IFERROR(BS21/$B51,0)</f>
        <v>372656348.90707898</v>
      </c>
      <c r="BT51" s="136">
        <f>IFERROR(BT21/$B51,0)</f>
        <v>0</v>
      </c>
      <c r="BU51" s="136">
        <f t="shared" ref="BU51" si="300">IFERROR(BU21/$B51,0)</f>
        <v>0</v>
      </c>
      <c r="BV51" s="136">
        <f>IFERROR(BV21/$B51,0)</f>
        <v>0</v>
      </c>
      <c r="BW51" s="136">
        <f>IFERROR(BW21/$B51,0)</f>
        <v>0</v>
      </c>
      <c r="BX51" s="136">
        <f t="shared" ref="BX51:CD51" si="301">IFERROR(BX21/$B51,0)</f>
        <v>0</v>
      </c>
      <c r="BY51" s="136">
        <f t="shared" si="301"/>
        <v>0</v>
      </c>
      <c r="BZ51" s="136">
        <f t="shared" si="301"/>
        <v>0</v>
      </c>
      <c r="CA51" s="136">
        <f t="shared" si="301"/>
        <v>0</v>
      </c>
      <c r="CB51" s="136">
        <f t="shared" si="301"/>
        <v>0</v>
      </c>
      <c r="CC51" s="136">
        <f t="shared" si="301"/>
        <v>0</v>
      </c>
      <c r="CD51" s="136">
        <f t="shared" si="301"/>
        <v>0</v>
      </c>
      <c r="CE51" s="141"/>
      <c r="CF51" s="141"/>
      <c r="CG51" s="141"/>
      <c r="CH51" s="141"/>
      <c r="CI51" s="141"/>
      <c r="CJ51" s="141"/>
      <c r="CK51" s="141"/>
      <c r="CL51" s="141"/>
      <c r="CM51" s="141"/>
      <c r="CN51" s="141"/>
      <c r="CO51" s="141"/>
      <c r="CP51" s="141"/>
      <c r="CQ51" s="141"/>
      <c r="CR51" s="141"/>
      <c r="CS51" s="136">
        <f t="shared" ref="CS51" si="302">IFERROR(CS21/$B51,0)</f>
        <v>372656348.90707898</v>
      </c>
      <c r="CT51" s="149">
        <f>IFERROR(s_RadSpec!$M$21*CT21,".")*$B$51</f>
        <v>0</v>
      </c>
      <c r="CU51" s="149">
        <f>IFERROR(s_RadSpec!$L$21*CU21,".")*$B$51</f>
        <v>1.9099609374999998E-3</v>
      </c>
      <c r="CV51" s="149">
        <f>IFERROR(s_RadSpec!$Q$21*CV21,".")*$B$51</f>
        <v>6.7085936073059347E-8</v>
      </c>
      <c r="CW51" s="149">
        <f>s_b2w!BZ51</f>
        <v>0</v>
      </c>
      <c r="CX51" s="149">
        <f>IFERROR(s_RadSpec!$J$21*CX21,".")*$B$51</f>
        <v>0</v>
      </c>
      <c r="CY51" s="149">
        <f>IFERROR(s_RadSpec!$J$21*CY21,".")*$B$51</f>
        <v>0</v>
      </c>
      <c r="CZ51" s="149">
        <f>IFERROR(s_RadSpec!$J$21*CZ21,".")*$B$51</f>
        <v>0</v>
      </c>
      <c r="DA51" s="149">
        <f>IFERROR(s_RadSpec!$J$21*DA21,".")*$B$51</f>
        <v>0</v>
      </c>
      <c r="DB51" s="149">
        <f>IFERROR(s_RadSpec!$J$21*DB21,".")*$B$51</f>
        <v>0</v>
      </c>
      <c r="DC51" s="149">
        <f>IFERROR(s_RadSpec!$J$21*DC21,".")*$B$51</f>
        <v>0</v>
      </c>
      <c r="DD51" s="149">
        <f>IFERROR(s_RadSpec!$J$21*DD21,".")*$B$51</f>
        <v>0</v>
      </c>
      <c r="DE51" s="149">
        <f>IFERROR(s_RadSpec!$J$21*DE21,".")*$B$51</f>
        <v>0</v>
      </c>
      <c r="DF51" s="149">
        <f>IFERROR(s_RadSpec!$J$21*DF21,".")*$B$51</f>
        <v>0</v>
      </c>
      <c r="DG51" s="149">
        <f>IFERROR(s_RadSpec!$J$21*DG21,".")*$B$51</f>
        <v>0</v>
      </c>
      <c r="DH51" s="150">
        <f t="shared" si="258"/>
        <v>0</v>
      </c>
      <c r="DI51" s="136">
        <f>IFERROR(DI21/$B51,0)</f>
        <v>6544.6364658963093</v>
      </c>
      <c r="DJ51" s="136">
        <f t="shared" ref="DJ51:DK51" si="303">IFERROR(DJ21/$B51,0)</f>
        <v>162717.1233395795</v>
      </c>
      <c r="DK51" s="136">
        <f t="shared" si="303"/>
        <v>6291.5830501693035</v>
      </c>
      <c r="DL51" s="149">
        <f>IFERROR(s_RadSpec!$L$21*DL21,".")*$B$51</f>
        <v>3.8199218749999995E-3</v>
      </c>
      <c r="DM51" s="149">
        <f>IFERROR(s_RadSpec!$O$21*DM21,".")*$B$51</f>
        <v>1.5364086757990868E-4</v>
      </c>
      <c r="DN51" s="150">
        <f t="shared" si="91"/>
        <v>3.9735627425799081E-3</v>
      </c>
    </row>
    <row r="52" spans="1:118" x14ac:dyDescent="0.25">
      <c r="A52" s="135" t="s">
        <v>1062</v>
      </c>
      <c r="B52" s="129">
        <v>0.99980000000000002</v>
      </c>
      <c r="C52" s="136">
        <f t="shared" ref="C52:M52" si="304">IFERROR(C17/$B52,0)</f>
        <v>1496.8746494859847</v>
      </c>
      <c r="D52" s="136">
        <f t="shared" si="304"/>
        <v>4490.6239484579546</v>
      </c>
      <c r="E52" s="136">
        <f t="shared" si="304"/>
        <v>4490.6239484579546</v>
      </c>
      <c r="F52" s="136">
        <f t="shared" si="304"/>
        <v>4490.6239484579546</v>
      </c>
      <c r="G52" s="136">
        <f t="shared" si="304"/>
        <v>4490.6239484579546</v>
      </c>
      <c r="H52" s="136">
        <f t="shared" si="304"/>
        <v>4490.6239484579546</v>
      </c>
      <c r="I52" s="136">
        <f t="shared" si="304"/>
        <v>4490.6239484579546</v>
      </c>
      <c r="J52" s="136">
        <f t="shared" si="304"/>
        <v>4490.6239484579546</v>
      </c>
      <c r="K52" s="136">
        <f t="shared" si="304"/>
        <v>4490.6239484579546</v>
      </c>
      <c r="L52" s="136">
        <f t="shared" si="304"/>
        <v>4490.6239484579546</v>
      </c>
      <c r="M52" s="136">
        <f t="shared" si="304"/>
        <v>4490.6239484579546</v>
      </c>
      <c r="N52" s="149">
        <f>s_dir!BA52</f>
        <v>113414.8125</v>
      </c>
      <c r="O52" s="149">
        <f>IFERROR(s_RadSpec!$J$17*O17,".")*$B$52</f>
        <v>5.56715509625E-3</v>
      </c>
      <c r="P52" s="149">
        <f>IFERROR(s_RadSpec!$J$17*P17,".")*$B$52</f>
        <v>5.56715509625E-3</v>
      </c>
      <c r="Q52" s="149">
        <f>IFERROR(s_RadSpec!$J$17*Q17,".")*$B$52</f>
        <v>5.56715509625E-3</v>
      </c>
      <c r="R52" s="149">
        <f>IFERROR(s_RadSpec!$J$17*R17,".")*$B$52</f>
        <v>5.56715509625E-3</v>
      </c>
      <c r="S52" s="149">
        <f>IFERROR(s_RadSpec!$J$17*S17,".")*$B$52</f>
        <v>5.56715509625E-3</v>
      </c>
      <c r="T52" s="149">
        <f>IFERROR(s_RadSpec!$J$17*T17,".")*$B$52</f>
        <v>5.56715509625E-3</v>
      </c>
      <c r="U52" s="149">
        <f>IFERROR(s_RadSpec!$J$17*U17,".")*$B$52</f>
        <v>5.56715509625E-3</v>
      </c>
      <c r="V52" s="149">
        <f>IFERROR(s_RadSpec!$J$17*V17,".")*$B$52</f>
        <v>5.56715509625E-3</v>
      </c>
      <c r="W52" s="149">
        <f>IFERROR(s_RadSpec!$J$17*W17,".")*$B$52</f>
        <v>5.56715509625E-3</v>
      </c>
      <c r="X52" s="149">
        <f>IFERROR(s_RadSpec!$J$17*X17,".")*$B$52</f>
        <v>5.56715509625E-3</v>
      </c>
      <c r="Y52" s="136">
        <f>IFERROR(Y17/$B52,0)</f>
        <v>2245311.9742289768</v>
      </c>
      <c r="Z52" s="136">
        <f>IFERROR(Z17/$B52,0)</f>
        <v>331610504.99081546</v>
      </c>
      <c r="AA52" s="136">
        <f t="shared" ref="AA52:AH52" si="305">IFERROR(AA17/$B52,0)</f>
        <v>1165.6906221471338</v>
      </c>
      <c r="AB52" s="136">
        <f>IFERROR(AB17/$B52,0)</f>
        <v>72675.577738435895</v>
      </c>
      <c r="AC52" s="136">
        <f t="shared" ref="AC52" si="306">IFERROR(AC17/$B52,0)</f>
        <v>26943.743690747724</v>
      </c>
      <c r="AD52" s="136">
        <f>IFERROR(AD17/$B52,0)</f>
        <v>72015.536131952453</v>
      </c>
      <c r="AE52" s="136">
        <f>IFERROR(AE17/$B52,0)</f>
        <v>273280.00816388265</v>
      </c>
      <c r="AF52" s="136">
        <f t="shared" ref="AF52" si="307">IFERROR(AF17/$B52,0)</f>
        <v>0</v>
      </c>
      <c r="AG52" s="136">
        <f t="shared" si="305"/>
        <v>0</v>
      </c>
      <c r="AH52" s="136">
        <f t="shared" si="305"/>
        <v>0</v>
      </c>
      <c r="AI52" s="136">
        <f t="shared" ref="AI52" si="308">IFERROR(AI17/$B52,0)</f>
        <v>0</v>
      </c>
      <c r="AJ52" s="136">
        <f t="shared" ref="AJ52:AL52" si="309">IFERROR(AJ17/$B52,0)</f>
        <v>8653.866925189619</v>
      </c>
      <c r="AK52" s="136">
        <f t="shared" si="309"/>
        <v>7100.1232806150301</v>
      </c>
      <c r="AL52" s="136">
        <f t="shared" si="309"/>
        <v>1483.5200443182202</v>
      </c>
      <c r="AM52" s="129"/>
      <c r="AN52" s="129"/>
      <c r="AO52" s="129"/>
      <c r="AP52" s="129"/>
      <c r="AQ52" s="129"/>
      <c r="AR52" s="129"/>
      <c r="AS52" s="129"/>
      <c r="AT52" s="129"/>
      <c r="AU52" s="129"/>
      <c r="AV52" s="129"/>
      <c r="AW52" s="129"/>
      <c r="AX52" s="129"/>
      <c r="AY52" s="129"/>
      <c r="AZ52" s="129"/>
      <c r="BA52" s="136">
        <f t="shared" ref="BA52" si="310">IFERROR(BA17/$B52,0)</f>
        <v>538.44537981640519</v>
      </c>
      <c r="BB52" s="149">
        <f>IFERROR(s_RadSpec!$I$17*BB17,".")*$B$52</f>
        <v>1.1134310192500001E-5</v>
      </c>
      <c r="BC52" s="149">
        <f>IFERROR(s_RadSpec!$L$17*BC17,".")*$B$52</f>
        <v>7.5389650278697943E-8</v>
      </c>
      <c r="BD52" s="149">
        <f>IFERROR(s_RadSpec!$K$17*BD17,".")*$B$52</f>
        <v>2.144651378763901E-2</v>
      </c>
      <c r="BE52" s="149">
        <f>s_b2s!BZ52</f>
        <v>3.9248443428562506E-4</v>
      </c>
      <c r="BF52" s="149">
        <f>IFERROR(s_RadSpec!$J$17*BF17,".")*$B$52</f>
        <v>9.2785918270833344E-4</v>
      </c>
      <c r="BG52" s="149">
        <f>IFERROR(s_RadSpec!$J$17*BG17,".")*$B$52</f>
        <v>3.4714731490984203E-4</v>
      </c>
      <c r="BH52" s="149">
        <f>IFERROR(s_RadSpec!$J$17*BH17,".")*$B$52</f>
        <v>9.1481261904119256E-5</v>
      </c>
      <c r="BI52" s="149">
        <f>IFERROR(s_RadSpec!$J$17*BI17,".")*$B$52</f>
        <v>0</v>
      </c>
      <c r="BJ52" s="149">
        <f>IFERROR(s_RadSpec!$J$17*BJ17,".")*$B$52</f>
        <v>0</v>
      </c>
      <c r="BK52" s="149">
        <f>IFERROR(s_RadSpec!$J$17*BK17,".")*$B$52</f>
        <v>0</v>
      </c>
      <c r="BL52" s="149">
        <f>IFERROR(s_RadSpec!$J$17*BL17,".")*$B$52</f>
        <v>0</v>
      </c>
      <c r="BM52" s="149">
        <f>IFERROR(s_RadSpec!$J$17*BM17,".")*$B$52</f>
        <v>2.8888819548669236E-3</v>
      </c>
      <c r="BN52" s="149">
        <f>IFERROR(s_RadSpec!$J$17*BN17,".")*$B$52</f>
        <v>3.5210656226569688E-3</v>
      </c>
      <c r="BO52" s="149">
        <f>IFERROR(s_RadSpec!$J$17*BO17,".")*$B$52</f>
        <v>1.6851811403390388E-2</v>
      </c>
      <c r="BP52" s="150">
        <f t="shared" si="86"/>
        <v>4.6478454662203995E-2</v>
      </c>
      <c r="BQ52" s="136">
        <f>IFERROR(BQ17/$B52,0)</f>
        <v>24698.431716518749</v>
      </c>
      <c r="BR52" s="136">
        <f>IFERROR(BR17/$B52,0)</f>
        <v>0</v>
      </c>
      <c r="BS52" s="136">
        <f t="shared" ref="BS52" si="311">IFERROR(BS17/$B52,0)</f>
        <v>44.232795018515965</v>
      </c>
      <c r="BT52" s="136">
        <f>IFERROR(BT17/$B52,0)</f>
        <v>114204.90549898063</v>
      </c>
      <c r="BU52" s="136">
        <f t="shared" ref="BU52" si="312">IFERROR(BU17/$B52,0)</f>
        <v>179624.95793831817</v>
      </c>
      <c r="BV52" s="136">
        <f>IFERROR(BV17/$B52,0)</f>
        <v>1283035413.8451297</v>
      </c>
      <c r="BW52" s="136">
        <f>IFERROR(BW17/$B52,0)</f>
        <v>4868781754.6438866</v>
      </c>
      <c r="BX52" s="136">
        <f t="shared" ref="BX52:CD52" si="313">IFERROR(BX17/$B52,0)</f>
        <v>0</v>
      </c>
      <c r="BY52" s="136">
        <f t="shared" si="313"/>
        <v>0</v>
      </c>
      <c r="BZ52" s="136">
        <f t="shared" si="313"/>
        <v>0</v>
      </c>
      <c r="CA52" s="136">
        <f t="shared" si="313"/>
        <v>0</v>
      </c>
      <c r="CB52" s="136">
        <f t="shared" si="313"/>
        <v>154178088.89705643</v>
      </c>
      <c r="CC52" s="136">
        <f t="shared" si="313"/>
        <v>126496449.25233673</v>
      </c>
      <c r="CD52" s="136">
        <f t="shared" si="313"/>
        <v>26430529.525209669</v>
      </c>
      <c r="CE52" s="141"/>
      <c r="CF52" s="141"/>
      <c r="CG52" s="141"/>
      <c r="CH52" s="141"/>
      <c r="CI52" s="141"/>
      <c r="CJ52" s="141"/>
      <c r="CK52" s="141"/>
      <c r="CL52" s="141"/>
      <c r="CM52" s="141"/>
      <c r="CN52" s="141"/>
      <c r="CO52" s="141"/>
      <c r="CP52" s="141"/>
      <c r="CQ52" s="141"/>
      <c r="CR52" s="141"/>
      <c r="CS52" s="136">
        <f t="shared" ref="CS52" si="314">IFERROR(CS17/$B52,0)</f>
        <v>44.125709403144633</v>
      </c>
      <c r="CT52" s="149">
        <f>IFERROR(s_RadSpec!$M$17*CT17,".")*$B$52</f>
        <v>1.0122100175000001E-3</v>
      </c>
      <c r="CU52" s="149">
        <f>IFERROR(s_RadSpec!$L$17*CU17,".")*$B$52</f>
        <v>1.1678002473958332E-2</v>
      </c>
      <c r="CV52" s="149">
        <f>IFERROR(s_RadSpec!$Q$17*CV17,".")*$B$52</f>
        <v>0.56519150529680362</v>
      </c>
      <c r="CW52" s="149">
        <f>s_b2w!BZ52</f>
        <v>2.1890478251149328E-4</v>
      </c>
      <c r="CX52" s="149">
        <f>IFERROR(s_RadSpec!$J$17*CX17,".")*$B$52</f>
        <v>1.3917887740625001E-4</v>
      </c>
      <c r="CY52" s="149">
        <f>IFERROR(s_RadSpec!$J$17*CY17,".")*$B$52</f>
        <v>1.9485042836875E-8</v>
      </c>
      <c r="CZ52" s="149">
        <f>IFERROR(s_RadSpec!$J$17*CZ17,".")*$B$52</f>
        <v>5.1347547004247578E-9</v>
      </c>
      <c r="DA52" s="149">
        <f>IFERROR(s_RadSpec!$J$17*DA17,".")*$B$52</f>
        <v>0</v>
      </c>
      <c r="DB52" s="149">
        <f>IFERROR(s_RadSpec!$J$17*DB17,".")*$B$52</f>
        <v>0</v>
      </c>
      <c r="DC52" s="149">
        <f>IFERROR(s_RadSpec!$J$17*DC17,".")*$B$52</f>
        <v>0</v>
      </c>
      <c r="DD52" s="149">
        <f>IFERROR(s_RadSpec!$J$17*DD17,".")*$B$52</f>
        <v>0</v>
      </c>
      <c r="DE52" s="149">
        <f>IFERROR(s_RadSpec!$J$17*DE17,".")*$B$52</f>
        <v>1.62150148434466E-7</v>
      </c>
      <c r="DF52" s="149">
        <f>IFERROR(s_RadSpec!$J$17*DF17,".")*$B$52</f>
        <v>1.97634005916875E-7</v>
      </c>
      <c r="DG52" s="149">
        <f>IFERROR(s_RadSpec!$J$17*DG17,".")*$B$52</f>
        <v>9.4587586586771858E-7</v>
      </c>
      <c r="DH52" s="150">
        <f t="shared" si="258"/>
        <v>0</v>
      </c>
      <c r="DI52" s="136">
        <f>IFERROR(DI17/$B52,0)</f>
        <v>1070.3885384400887</v>
      </c>
      <c r="DJ52" s="136">
        <f t="shared" ref="DJ52:DK52" si="315">IFERROR(DJ17/$B52,0)</f>
        <v>3.8414787745810267E-2</v>
      </c>
      <c r="DK52" s="136">
        <f t="shared" si="315"/>
        <v>3.8413409140840439E-2</v>
      </c>
      <c r="DL52" s="149">
        <f>IFERROR(s_RadSpec!$L$17*DL17,".")*$B$52</f>
        <v>2.3356004947916665E-2</v>
      </c>
      <c r="DM52" s="149">
        <f>IFERROR(s_RadSpec!$O$17*DM17,".")*$B$52</f>
        <v>650.79104863013697</v>
      </c>
      <c r="DN52" s="150">
        <f t="shared" si="91"/>
        <v>650.81440463508488</v>
      </c>
    </row>
    <row r="53" spans="1:118" x14ac:dyDescent="0.25">
      <c r="A53" s="135" t="s">
        <v>1076</v>
      </c>
      <c r="B53" s="129">
        <v>2.0000000000000001E-4</v>
      </c>
      <c r="C53" s="136">
        <f t="shared" ref="C53:M53" si="316">IFERROR(C5/$B53,0)</f>
        <v>0</v>
      </c>
      <c r="D53" s="136">
        <f t="shared" si="316"/>
        <v>0</v>
      </c>
      <c r="E53" s="136">
        <f t="shared" si="316"/>
        <v>0</v>
      </c>
      <c r="F53" s="136">
        <f t="shared" si="316"/>
        <v>0</v>
      </c>
      <c r="G53" s="136">
        <f t="shared" si="316"/>
        <v>0</v>
      </c>
      <c r="H53" s="136">
        <f t="shared" si="316"/>
        <v>0</v>
      </c>
      <c r="I53" s="136">
        <f t="shared" si="316"/>
        <v>0</v>
      </c>
      <c r="J53" s="136">
        <f t="shared" si="316"/>
        <v>0</v>
      </c>
      <c r="K53" s="136">
        <f t="shared" si="316"/>
        <v>0</v>
      </c>
      <c r="L53" s="136">
        <f t="shared" si="316"/>
        <v>0</v>
      </c>
      <c r="M53" s="136">
        <f t="shared" si="316"/>
        <v>0</v>
      </c>
      <c r="N53" s="149">
        <f>s_dir!BA53</f>
        <v>22.687500000000004</v>
      </c>
      <c r="O53" s="149">
        <f>IFERROR(s_RadSpec!$J$5*O5,".")*$B$53</f>
        <v>0</v>
      </c>
      <c r="P53" s="149">
        <f>IFERROR(s_RadSpec!$J$5*P5,".")*$B$53</f>
        <v>0</v>
      </c>
      <c r="Q53" s="149">
        <f>IFERROR(s_RadSpec!$J$5*Q5,".")*$B$53</f>
        <v>0</v>
      </c>
      <c r="R53" s="149">
        <f>IFERROR(s_RadSpec!$J$5*R5,".")*$B$53</f>
        <v>0</v>
      </c>
      <c r="S53" s="149">
        <f>IFERROR(s_RadSpec!$J$5*S5,".")*$B$53</f>
        <v>0</v>
      </c>
      <c r="T53" s="149">
        <f>IFERROR(s_RadSpec!$J$5*T5,".")*$B$53</f>
        <v>0</v>
      </c>
      <c r="U53" s="149">
        <f>IFERROR(s_RadSpec!$J$5*U5,".")*$B$53</f>
        <v>0</v>
      </c>
      <c r="V53" s="149">
        <f>IFERROR(s_RadSpec!$J$5*V5,".")*$B$53</f>
        <v>0</v>
      </c>
      <c r="W53" s="149">
        <f>IFERROR(s_RadSpec!$J$5*W5,".")*$B$53</f>
        <v>0</v>
      </c>
      <c r="X53" s="149">
        <f>IFERROR(s_RadSpec!$J$5*X5,".")*$B$53</f>
        <v>0</v>
      </c>
      <c r="Y53" s="136">
        <f>IFERROR(Y5/$B53,0)</f>
        <v>0</v>
      </c>
      <c r="Z53" s="136">
        <f>IFERROR(Z5/$B53,0)</f>
        <v>0</v>
      </c>
      <c r="AA53" s="136">
        <f t="shared" ref="AA53:AH53" si="317">IFERROR(AA5/$B53,0)</f>
        <v>0</v>
      </c>
      <c r="AB53" s="136">
        <f>IFERROR(AB5/$B53,0)</f>
        <v>0</v>
      </c>
      <c r="AC53" s="136">
        <f t="shared" ref="AC53" si="318">IFERROR(AC5/$B53,0)</f>
        <v>0</v>
      </c>
      <c r="AD53" s="136">
        <f>IFERROR(AD5/$B53,0)</f>
        <v>0</v>
      </c>
      <c r="AE53" s="136">
        <f>IFERROR(AE5/$B53,0)</f>
        <v>0</v>
      </c>
      <c r="AF53" s="136">
        <f t="shared" ref="AF53" si="319">IFERROR(AF5/$B53,0)</f>
        <v>0</v>
      </c>
      <c r="AG53" s="136">
        <f t="shared" si="317"/>
        <v>0</v>
      </c>
      <c r="AH53" s="136">
        <f t="shared" si="317"/>
        <v>0</v>
      </c>
      <c r="AI53" s="136">
        <f t="shared" ref="AI53" si="320">IFERROR(AI5/$B53,0)</f>
        <v>0</v>
      </c>
      <c r="AJ53" s="136">
        <f t="shared" ref="AJ53:AL53" si="321">IFERROR(AJ5/$B53,0)</f>
        <v>0</v>
      </c>
      <c r="AK53" s="136">
        <f t="shared" si="321"/>
        <v>0</v>
      </c>
      <c r="AL53" s="136">
        <f t="shared" si="321"/>
        <v>0</v>
      </c>
      <c r="AM53" s="129"/>
      <c r="AN53" s="129"/>
      <c r="AO53" s="129"/>
      <c r="AP53" s="129"/>
      <c r="AQ53" s="129"/>
      <c r="AR53" s="129"/>
      <c r="AS53" s="129"/>
      <c r="AT53" s="129"/>
      <c r="AU53" s="129"/>
      <c r="AV53" s="129"/>
      <c r="AW53" s="129"/>
      <c r="AX53" s="129"/>
      <c r="AY53" s="129"/>
      <c r="AZ53" s="129"/>
      <c r="BA53" s="136">
        <f t="shared" ref="BA53" si="322">IFERROR(BA5/$B53,0)</f>
        <v>0</v>
      </c>
      <c r="BB53" s="149">
        <f>IFERROR(s_RadSpec!$I$5*BB5,".")*$B$53</f>
        <v>0</v>
      </c>
      <c r="BC53" s="149">
        <f>IFERROR(s_RadSpec!$L$5*BC5,".")*$B$53</f>
        <v>0</v>
      </c>
      <c r="BD53" s="149">
        <f>IFERROR(s_RadSpec!$K$5*BD5,".")*$B$53</f>
        <v>0</v>
      </c>
      <c r="BE53" s="149">
        <f>s_b2s!BZ53</f>
        <v>0</v>
      </c>
      <c r="BF53" s="149">
        <f>IFERROR(s_RadSpec!$J$5*BF5,".")*$B$53</f>
        <v>0</v>
      </c>
      <c r="BG53" s="149">
        <f>IFERROR(s_RadSpec!$J$5*BG5,".")*$B$53</f>
        <v>0</v>
      </c>
      <c r="BH53" s="149">
        <f>IFERROR(s_RadSpec!$J$5*BH5,".")*$B$53</f>
        <v>0</v>
      </c>
      <c r="BI53" s="149">
        <f>IFERROR(s_RadSpec!$J$5*BI5,".")*$B$53</f>
        <v>0</v>
      </c>
      <c r="BJ53" s="149">
        <f>IFERROR(s_RadSpec!$J$5*BJ5,".")*$B$53</f>
        <v>0</v>
      </c>
      <c r="BK53" s="149">
        <f>IFERROR(s_RadSpec!$J$5*BK5,".")*$B$53</f>
        <v>0</v>
      </c>
      <c r="BL53" s="149">
        <f>IFERROR(s_RadSpec!$J$5*BL5,".")*$B$53</f>
        <v>0</v>
      </c>
      <c r="BM53" s="149">
        <f>IFERROR(s_RadSpec!$J$5*BM5,".")*$B$53</f>
        <v>0</v>
      </c>
      <c r="BN53" s="149">
        <f>IFERROR(s_RadSpec!$J$5*BN5,".")*$B$53</f>
        <v>0</v>
      </c>
      <c r="BO53" s="149">
        <f>IFERROR(s_RadSpec!$J$5*BO5,".")*$B$53</f>
        <v>0</v>
      </c>
      <c r="BP53" s="150">
        <f t="shared" si="86"/>
        <v>0</v>
      </c>
      <c r="BQ53" s="136">
        <f>IFERROR(BQ5/$B53,0)</f>
        <v>0</v>
      </c>
      <c r="BR53" s="136">
        <f>IFERROR(BR5/$B53,0)</f>
        <v>0</v>
      </c>
      <c r="BS53" s="136">
        <f t="shared" ref="BS53" si="323">IFERROR(BS5/$B53,0)</f>
        <v>4263188631.4969821</v>
      </c>
      <c r="BT53" s="136">
        <f>IFERROR(BT5/$B53,0)</f>
        <v>0</v>
      </c>
      <c r="BU53" s="136">
        <f t="shared" ref="BU53" si="324">IFERROR(BU5/$B53,0)</f>
        <v>0</v>
      </c>
      <c r="BV53" s="136">
        <f>IFERROR(BV5/$B53,0)</f>
        <v>0</v>
      </c>
      <c r="BW53" s="136">
        <f>IFERROR(BW5/$B53,0)</f>
        <v>0</v>
      </c>
      <c r="BX53" s="136">
        <f t="shared" ref="BX53:CD53" si="325">IFERROR(BX5/$B53,0)</f>
        <v>0</v>
      </c>
      <c r="BY53" s="136">
        <f t="shared" si="325"/>
        <v>0</v>
      </c>
      <c r="BZ53" s="136">
        <f t="shared" si="325"/>
        <v>0</v>
      </c>
      <c r="CA53" s="136">
        <f t="shared" si="325"/>
        <v>0</v>
      </c>
      <c r="CB53" s="136">
        <f t="shared" si="325"/>
        <v>0</v>
      </c>
      <c r="CC53" s="136">
        <f t="shared" si="325"/>
        <v>0</v>
      </c>
      <c r="CD53" s="136">
        <f t="shared" si="325"/>
        <v>0</v>
      </c>
      <c r="CE53" s="141"/>
      <c r="CF53" s="141"/>
      <c r="CG53" s="141"/>
      <c r="CH53" s="141"/>
      <c r="CI53" s="141"/>
      <c r="CJ53" s="141"/>
      <c r="CK53" s="141"/>
      <c r="CL53" s="141"/>
      <c r="CM53" s="141"/>
      <c r="CN53" s="141"/>
      <c r="CO53" s="141"/>
      <c r="CP53" s="141"/>
      <c r="CQ53" s="141"/>
      <c r="CR53" s="141"/>
      <c r="CS53" s="136">
        <f t="shared" ref="CS53" si="326">IFERROR(CS5/$B53,0)</f>
        <v>4263188631.4969821</v>
      </c>
      <c r="CT53" s="149">
        <f>IFERROR(s_RadSpec!$M$5*CT5,".")*$B$53</f>
        <v>0</v>
      </c>
      <c r="CU53" s="149">
        <f>IFERROR(s_RadSpec!$L$5*CU5,".")*$B$53</f>
        <v>0</v>
      </c>
      <c r="CV53" s="149">
        <f>IFERROR(s_RadSpec!$Q$5*CV5,".")*$B$53</f>
        <v>5.8641552511415525E-9</v>
      </c>
      <c r="CW53" s="149">
        <f>s_b2w!BZ53</f>
        <v>0</v>
      </c>
      <c r="CX53" s="149">
        <f>IFERROR(s_RadSpec!$J$5*CX5,".")*$B$53</f>
        <v>0</v>
      </c>
      <c r="CY53" s="149">
        <f>IFERROR(s_RadSpec!$J$5*CY5,".")*$B$53</f>
        <v>0</v>
      </c>
      <c r="CZ53" s="149">
        <f>IFERROR(s_RadSpec!$J$5*CZ5,".")*$B$53</f>
        <v>0</v>
      </c>
      <c r="DA53" s="149">
        <f>IFERROR(s_RadSpec!$J$5*DA5,".")*$B$53</f>
        <v>0</v>
      </c>
      <c r="DB53" s="149">
        <f>IFERROR(s_RadSpec!$J$5*DB5,".")*$B$53</f>
        <v>0</v>
      </c>
      <c r="DC53" s="149">
        <f>IFERROR(s_RadSpec!$J$5*DC5,".")*$B$53</f>
        <v>0</v>
      </c>
      <c r="DD53" s="149">
        <f>IFERROR(s_RadSpec!$J$5*DD5,".")*$B$53</f>
        <v>0</v>
      </c>
      <c r="DE53" s="149">
        <f>IFERROR(s_RadSpec!$J$5*DE5,".")*$B$53</f>
        <v>0</v>
      </c>
      <c r="DF53" s="149">
        <f>IFERROR(s_RadSpec!$J$5*DF5,".")*$B$53</f>
        <v>0</v>
      </c>
      <c r="DG53" s="149">
        <f>IFERROR(s_RadSpec!$J$5*DG5,".")*$B$53</f>
        <v>0</v>
      </c>
      <c r="DH53" s="150">
        <f t="shared" si="258"/>
        <v>0</v>
      </c>
      <c r="DI53" s="136">
        <f>IFERROR(DI5/$B53,0)</f>
        <v>0</v>
      </c>
      <c r="DJ53" s="136">
        <f t="shared" ref="DJ53:DK53" si="327">IFERROR(DJ5/$B53,0)</f>
        <v>2175096.240559685</v>
      </c>
      <c r="DK53" s="136">
        <f t="shared" si="327"/>
        <v>2175096.2405596846</v>
      </c>
      <c r="DL53" s="149">
        <f>IFERROR(s_RadSpec!$L$5*DL5,".")*$B$53</f>
        <v>0</v>
      </c>
      <c r="DM53" s="149">
        <f>IFERROR(s_RadSpec!$O$5*DM5,".")*$B$53</f>
        <v>1.1493744292237443E-5</v>
      </c>
      <c r="DN53" s="150">
        <f t="shared" si="91"/>
        <v>1.1493744292237443E-5</v>
      </c>
    </row>
    <row r="54" spans="1:118" x14ac:dyDescent="0.25">
      <c r="A54" s="135" t="s">
        <v>1077</v>
      </c>
      <c r="B54" s="129">
        <v>0.99999979999999999</v>
      </c>
      <c r="C54" s="136">
        <f t="shared" ref="C54:M54" si="328">IFERROR(C9/$B54,0)</f>
        <v>1998.7821422843576</v>
      </c>
      <c r="D54" s="136">
        <f t="shared" si="328"/>
        <v>5996.3464268530724</v>
      </c>
      <c r="E54" s="136">
        <f t="shared" si="328"/>
        <v>5996.3464268530724</v>
      </c>
      <c r="F54" s="136">
        <f t="shared" si="328"/>
        <v>5996.3464268530724</v>
      </c>
      <c r="G54" s="136">
        <f t="shared" si="328"/>
        <v>5996.3464268530724</v>
      </c>
      <c r="H54" s="136">
        <f t="shared" si="328"/>
        <v>5996.3464268530724</v>
      </c>
      <c r="I54" s="136">
        <f t="shared" si="328"/>
        <v>5996.3464268530724</v>
      </c>
      <c r="J54" s="136">
        <f t="shared" si="328"/>
        <v>5996.3464268530724</v>
      </c>
      <c r="K54" s="136">
        <f t="shared" si="328"/>
        <v>5996.3464268530724</v>
      </c>
      <c r="L54" s="136">
        <f t="shared" si="328"/>
        <v>5996.3464268530724</v>
      </c>
      <c r="M54" s="136">
        <f t="shared" si="328"/>
        <v>5996.3464268530724</v>
      </c>
      <c r="N54" s="149">
        <f>s_dir!BA54</f>
        <v>113437.47731249999</v>
      </c>
      <c r="O54" s="149">
        <f>IFERROR(s_RadSpec!$J$9*O9,".")*$B$54</f>
        <v>4.1692054161587494E-3</v>
      </c>
      <c r="P54" s="149">
        <f>IFERROR(s_RadSpec!$J$9*P9,".")*$B$54</f>
        <v>4.1692054161587494E-3</v>
      </c>
      <c r="Q54" s="149">
        <f>IFERROR(s_RadSpec!$J$9*Q9,".")*$B$54</f>
        <v>4.1692054161587494E-3</v>
      </c>
      <c r="R54" s="149">
        <f>IFERROR(s_RadSpec!$J$9*R9,".")*$B$54</f>
        <v>4.1692054161587494E-3</v>
      </c>
      <c r="S54" s="149">
        <f>IFERROR(s_RadSpec!$J$9*S9,".")*$B$54</f>
        <v>4.1692054161587494E-3</v>
      </c>
      <c r="T54" s="149">
        <f>IFERROR(s_RadSpec!$J$9*T9,".")*$B$54</f>
        <v>4.1692054161587494E-3</v>
      </c>
      <c r="U54" s="149">
        <f>IFERROR(s_RadSpec!$J$9*U9,".")*$B$54</f>
        <v>4.1692054161587494E-3</v>
      </c>
      <c r="V54" s="149">
        <f>IFERROR(s_RadSpec!$J$9*V9,".")*$B$54</f>
        <v>4.1692054161587494E-3</v>
      </c>
      <c r="W54" s="149">
        <f>IFERROR(s_RadSpec!$J$9*W9,".")*$B$54</f>
        <v>4.1692054161587494E-3</v>
      </c>
      <c r="X54" s="149">
        <f>IFERROR(s_RadSpec!$J$9*X9,".")*$B$54</f>
        <v>4.1692054161587494E-3</v>
      </c>
      <c r="Y54" s="136">
        <f>IFERROR(Y9/$B54,0)</f>
        <v>2998173.2134265364</v>
      </c>
      <c r="Z54" s="136">
        <f>IFERROR(Z9/$B54,0)</f>
        <v>422130109.63546145</v>
      </c>
      <c r="AA54" s="136">
        <f t="shared" ref="AA54:AH54" si="329">IFERROR(AA9/$B54,0)</f>
        <v>59.303851637731775</v>
      </c>
      <c r="AB54" s="136">
        <f>IFERROR(AB9/$B54,0)</f>
        <v>17610.415350522973</v>
      </c>
      <c r="AC54" s="136">
        <f t="shared" ref="AC54" si="330">IFERROR(AC9/$B54,0)</f>
        <v>191883.08565929832</v>
      </c>
      <c r="AD54" s="136">
        <f>IFERROR(AD9/$B54,0)</f>
        <v>19987.821422843575</v>
      </c>
      <c r="AE54" s="136">
        <f>IFERROR(AE9/$B54,0)</f>
        <v>41174.912131057768</v>
      </c>
      <c r="AF54" s="136">
        <f t="shared" ref="AF54" si="331">IFERROR(AF9/$B54,0)</f>
        <v>0</v>
      </c>
      <c r="AG54" s="136">
        <f t="shared" si="329"/>
        <v>0</v>
      </c>
      <c r="AH54" s="136">
        <f t="shared" si="329"/>
        <v>0</v>
      </c>
      <c r="AI54" s="136">
        <f t="shared" ref="AI54" si="332">IFERROR(AI9/$B54,0)</f>
        <v>0</v>
      </c>
      <c r="AJ54" s="136">
        <f t="shared" ref="AJ54:AL54" si="333">IFERROR(AJ9/$B54,0)</f>
        <v>0</v>
      </c>
      <c r="AK54" s="136">
        <f t="shared" si="333"/>
        <v>0</v>
      </c>
      <c r="AL54" s="136">
        <f t="shared" si="333"/>
        <v>0</v>
      </c>
      <c r="AM54" s="129"/>
      <c r="AN54" s="129"/>
      <c r="AO54" s="129"/>
      <c r="AP54" s="129"/>
      <c r="AQ54" s="129"/>
      <c r="AR54" s="129"/>
      <c r="AS54" s="129"/>
      <c r="AT54" s="129"/>
      <c r="AU54" s="129"/>
      <c r="AV54" s="129"/>
      <c r="AW54" s="129"/>
      <c r="AX54" s="129"/>
      <c r="AY54" s="129"/>
      <c r="AZ54" s="129"/>
      <c r="BA54" s="136">
        <f t="shared" ref="BA54" si="334">IFERROR(BA9/$B54,0)</f>
        <v>58.827127347503918</v>
      </c>
      <c r="BB54" s="149">
        <f>IFERROR(s_RadSpec!$I$9*BB9,".")*$B$54</f>
        <v>8.3384108323175001E-6</v>
      </c>
      <c r="BC54" s="149">
        <f>IFERROR(s_RadSpec!$L$9*BC9,".")*$B$54</f>
        <v>5.9223446585199112E-8</v>
      </c>
      <c r="BD54" s="149">
        <f>IFERROR(s_RadSpec!$K$9*BD9,".")*$B$54</f>
        <v>0.42155777929428589</v>
      </c>
      <c r="BE54" s="149">
        <f>s_b2s!BZ54</f>
        <v>1.4196144442020543E-3</v>
      </c>
      <c r="BF54" s="149">
        <f>IFERROR(s_RadSpec!$J$9*BF9,".")*$B$54</f>
        <v>1.3028766925496092E-4</v>
      </c>
      <c r="BG54" s="149">
        <f>IFERROR(s_RadSpec!$J$9*BG9,".")*$B$54</f>
        <v>1.250761624847625E-3</v>
      </c>
      <c r="BH54" s="149">
        <f>IFERROR(s_RadSpec!$J$9*BH9,".")*$B$54</f>
        <v>6.0716583730467243E-4</v>
      </c>
      <c r="BI54" s="149">
        <f>IFERROR(s_RadSpec!$J$9*BI9,".")*$B$54</f>
        <v>0</v>
      </c>
      <c r="BJ54" s="149">
        <f>IFERROR(s_RadSpec!$J$9*BJ9,".")*$B$54</f>
        <v>0</v>
      </c>
      <c r="BK54" s="149">
        <f>IFERROR(s_RadSpec!$J$9*BK9,".")*$B$54</f>
        <v>0</v>
      </c>
      <c r="BL54" s="149">
        <f>IFERROR(s_RadSpec!$J$9*BL9,".")*$B$54</f>
        <v>0</v>
      </c>
      <c r="BM54" s="149">
        <f>IFERROR(s_RadSpec!$J$9*BM9,".")*$B$54</f>
        <v>0</v>
      </c>
      <c r="BN54" s="149">
        <f>IFERROR(s_RadSpec!$J$9*BN9,".")*$B$54</f>
        <v>0</v>
      </c>
      <c r="BO54" s="149">
        <f>IFERROR(s_RadSpec!$J$9*BO9,".")*$B$54</f>
        <v>0</v>
      </c>
      <c r="BP54" s="150">
        <f t="shared" si="86"/>
        <v>0.42497400650417411</v>
      </c>
      <c r="BQ54" s="136">
        <f>IFERROR(BQ9/$B54,0)</f>
        <v>32979.9053476919</v>
      </c>
      <c r="BR54" s="136">
        <f>IFERROR(BR9/$B54,0)</f>
        <v>0</v>
      </c>
      <c r="BS54" s="136">
        <f t="shared" ref="BS54" si="335">IFERROR(BS9/$B54,0)</f>
        <v>6.9207621495696099</v>
      </c>
      <c r="BT54" s="136">
        <f>IFERROR(BT9/$B54,0)</f>
        <v>63318.96325229427</v>
      </c>
      <c r="BU54" s="136">
        <f t="shared" ref="BU54" si="336">IFERROR(BU9/$B54,0)</f>
        <v>399756.42845687148</v>
      </c>
      <c r="BV54" s="136">
        <f>IFERROR(BV9/$B54,0)</f>
        <v>599634642.68530715</v>
      </c>
      <c r="BW54" s="136">
        <f>IFERROR(BW9/$B54,0)</f>
        <v>1235247363.9317329</v>
      </c>
      <c r="BX54" s="136">
        <f t="shared" ref="BX54:CD54" si="337">IFERROR(BX9/$B54,0)</f>
        <v>0</v>
      </c>
      <c r="BY54" s="136">
        <f t="shared" si="337"/>
        <v>0</v>
      </c>
      <c r="BZ54" s="136">
        <f t="shared" si="337"/>
        <v>0</v>
      </c>
      <c r="CA54" s="136">
        <f t="shared" si="337"/>
        <v>0</v>
      </c>
      <c r="CB54" s="136">
        <f t="shared" si="337"/>
        <v>0</v>
      </c>
      <c r="CC54" s="136">
        <f t="shared" si="337"/>
        <v>0</v>
      </c>
      <c r="CD54" s="136">
        <f t="shared" si="337"/>
        <v>0</v>
      </c>
      <c r="CE54" s="141"/>
      <c r="CF54" s="141"/>
      <c r="CG54" s="141"/>
      <c r="CH54" s="141"/>
      <c r="CI54" s="141"/>
      <c r="CJ54" s="141"/>
      <c r="CK54" s="141"/>
      <c r="CL54" s="141"/>
      <c r="CM54" s="141"/>
      <c r="CN54" s="141"/>
      <c r="CO54" s="141"/>
      <c r="CP54" s="141"/>
      <c r="CQ54" s="141"/>
      <c r="CR54" s="141"/>
      <c r="CS54" s="136">
        <f t="shared" ref="CS54" si="338">IFERROR(CS9/$B54,0)</f>
        <v>6.9184342525864153</v>
      </c>
      <c r="CT54" s="149">
        <f>IFERROR(s_RadSpec!$M$9*CT9,".")*$B$54</f>
        <v>7.580373483925E-4</v>
      </c>
      <c r="CU54" s="149">
        <f>IFERROR(s_RadSpec!$L$9*CU9,".")*$B$54</f>
        <v>9.1738262902343725E-3</v>
      </c>
      <c r="CV54" s="149">
        <f>IFERROR(s_RadSpec!$Q$9*CV9,".")*$B$54</f>
        <v>3.6123189122392692</v>
      </c>
      <c r="CW54" s="149">
        <f>s_b2w!BZ54</f>
        <v>3.9482642664864169E-4</v>
      </c>
      <c r="CX54" s="149">
        <f>IFERROR(s_RadSpec!$J$9*CX9,".")*$B$54</f>
        <v>6.2538081242381261E-5</v>
      </c>
      <c r="CY54" s="149">
        <f>IFERROR(s_RadSpec!$J$9*CY9,".")*$B$54</f>
        <v>4.16920541615875E-8</v>
      </c>
      <c r="CZ54" s="149">
        <f>IFERROR(s_RadSpec!$J$9*CZ9,".")*$B$54</f>
        <v>2.0238861243489079E-8</v>
      </c>
      <c r="DA54" s="149">
        <f>IFERROR(s_RadSpec!$J$9*DA9,".")*$B$54</f>
        <v>0</v>
      </c>
      <c r="DB54" s="149">
        <f>IFERROR(s_RadSpec!$J$9*DB9,".")*$B$54</f>
        <v>0</v>
      </c>
      <c r="DC54" s="149">
        <f>IFERROR(s_RadSpec!$J$9*DC9,".")*$B$54</f>
        <v>0</v>
      </c>
      <c r="DD54" s="149">
        <f>IFERROR(s_RadSpec!$J$9*DD9,".")*$B$54</f>
        <v>0</v>
      </c>
      <c r="DE54" s="149">
        <f>IFERROR(s_RadSpec!$J$9*DE9,".")*$B$54</f>
        <v>0</v>
      </c>
      <c r="DF54" s="149">
        <f>IFERROR(s_RadSpec!$J$9*DF9,".")*$B$54</f>
        <v>0</v>
      </c>
      <c r="DG54" s="149">
        <f>IFERROR(s_RadSpec!$J$9*DG9,".")*$B$54</f>
        <v>0</v>
      </c>
      <c r="DH54" s="150">
        <f t="shared" si="258"/>
        <v>0</v>
      </c>
      <c r="DI54" s="136">
        <f>IFERROR(DI9/$B54,0)</f>
        <v>1362.5721268895584</v>
      </c>
      <c r="DJ54" s="136">
        <f t="shared" ref="DJ54:DK54" si="339">IFERROR(DJ9/$B54,0)</f>
        <v>5.9960470944231785E-3</v>
      </c>
      <c r="DK54" s="136">
        <f t="shared" si="339"/>
        <v>5.9960207087208445E-3</v>
      </c>
      <c r="DL54" s="149">
        <f>IFERROR(s_RadSpec!$L$9*DL9,".")*$B$54</f>
        <v>1.8347652580468745E-2</v>
      </c>
      <c r="DM54" s="149">
        <f>IFERROR(s_RadSpec!$O$9*DM9,".")*$B$54</f>
        <v>4169.4135496787667</v>
      </c>
      <c r="DN54" s="150">
        <f t="shared" si="91"/>
        <v>4169.4318973313475</v>
      </c>
    </row>
    <row r="55" spans="1:118" x14ac:dyDescent="0.25">
      <c r="A55" s="135" t="s">
        <v>1078</v>
      </c>
      <c r="B55" s="129">
        <v>1.9999999999999999E-7</v>
      </c>
      <c r="C55" s="136">
        <f t="shared" ref="C55:M55" si="340">IFERROR(C24/$B55,0)</f>
        <v>0</v>
      </c>
      <c r="D55" s="136">
        <f t="shared" si="340"/>
        <v>0</v>
      </c>
      <c r="E55" s="136">
        <f t="shared" si="340"/>
        <v>0</v>
      </c>
      <c r="F55" s="136">
        <f t="shared" si="340"/>
        <v>0</v>
      </c>
      <c r="G55" s="136">
        <f t="shared" si="340"/>
        <v>0</v>
      </c>
      <c r="H55" s="136">
        <f t="shared" si="340"/>
        <v>0</v>
      </c>
      <c r="I55" s="136">
        <f t="shared" si="340"/>
        <v>0</v>
      </c>
      <c r="J55" s="136">
        <f t="shared" si="340"/>
        <v>0</v>
      </c>
      <c r="K55" s="136">
        <f t="shared" si="340"/>
        <v>0</v>
      </c>
      <c r="L55" s="136">
        <f t="shared" si="340"/>
        <v>0</v>
      </c>
      <c r="M55" s="136">
        <f t="shared" si="340"/>
        <v>0</v>
      </c>
      <c r="N55" s="149">
        <f>s_dir!BA55</f>
        <v>2.2687499999999999E-2</v>
      </c>
      <c r="O55" s="149">
        <f>IFERROR(s_RadSpec!$J$24*O24,".")*$B$55</f>
        <v>0</v>
      </c>
      <c r="P55" s="149">
        <f>IFERROR(s_RadSpec!$J$24*P24,".")*$B$55</f>
        <v>0</v>
      </c>
      <c r="Q55" s="149">
        <f>IFERROR(s_RadSpec!$J$24*Q24,".")*$B$55</f>
        <v>0</v>
      </c>
      <c r="R55" s="149">
        <f>IFERROR(s_RadSpec!$J$24*R24,".")*$B$55</f>
        <v>0</v>
      </c>
      <c r="S55" s="149">
        <f>IFERROR(s_RadSpec!$J$24*S24,".")*$B$55</f>
        <v>0</v>
      </c>
      <c r="T55" s="149">
        <f>IFERROR(s_RadSpec!$J$24*T24,".")*$B$55</f>
        <v>0</v>
      </c>
      <c r="U55" s="149">
        <f>IFERROR(s_RadSpec!$J$24*U24,".")*$B$55</f>
        <v>0</v>
      </c>
      <c r="V55" s="149">
        <f>IFERROR(s_RadSpec!$J$24*V24,".")*$B$55</f>
        <v>0</v>
      </c>
      <c r="W55" s="149">
        <f>IFERROR(s_RadSpec!$J$24*W24,".")*$B$55</f>
        <v>0</v>
      </c>
      <c r="X55" s="149">
        <f>IFERROR(s_RadSpec!$J$24*X24,".")*$B$55</f>
        <v>0</v>
      </c>
      <c r="Y55" s="136">
        <f>IFERROR(Y24/$B55,0)</f>
        <v>0</v>
      </c>
      <c r="Z55" s="136">
        <f>IFERROR(Z24/$B55,0)</f>
        <v>0</v>
      </c>
      <c r="AA55" s="136">
        <f t="shared" ref="AA55:AH55" si="341">IFERROR(AA24/$B55,0)</f>
        <v>1122303047253.1309</v>
      </c>
      <c r="AB55" s="136">
        <f>IFERROR(AB24/$B55,0)</f>
        <v>0</v>
      </c>
      <c r="AC55" s="136">
        <f t="shared" ref="AC55" si="342">IFERROR(AC24/$B55,0)</f>
        <v>0</v>
      </c>
      <c r="AD55" s="136">
        <f>IFERROR(AD24/$B55,0)</f>
        <v>0</v>
      </c>
      <c r="AE55" s="136">
        <f>IFERROR(AE24/$B55,0)</f>
        <v>0</v>
      </c>
      <c r="AF55" s="136">
        <f t="shared" ref="AF55" si="343">IFERROR(AF24/$B55,0)</f>
        <v>0</v>
      </c>
      <c r="AG55" s="136">
        <f t="shared" si="341"/>
        <v>0</v>
      </c>
      <c r="AH55" s="136">
        <f t="shared" si="341"/>
        <v>0</v>
      </c>
      <c r="AI55" s="136">
        <f t="shared" ref="AI55" si="344">IFERROR(AI24/$B55,0)</f>
        <v>0</v>
      </c>
      <c r="AJ55" s="136">
        <f t="shared" ref="AJ55:AL55" si="345">IFERROR(AJ24/$B55,0)</f>
        <v>0</v>
      </c>
      <c r="AK55" s="136">
        <f t="shared" si="345"/>
        <v>0</v>
      </c>
      <c r="AL55" s="136">
        <f t="shared" si="345"/>
        <v>0</v>
      </c>
      <c r="AM55" s="129"/>
      <c r="AN55" s="129"/>
      <c r="AO55" s="129"/>
      <c r="AP55" s="129"/>
      <c r="AQ55" s="129"/>
      <c r="AR55" s="129"/>
      <c r="AS55" s="129"/>
      <c r="AT55" s="129"/>
      <c r="AU55" s="129"/>
      <c r="AV55" s="129"/>
      <c r="AW55" s="129"/>
      <c r="AX55" s="129"/>
      <c r="AY55" s="129"/>
      <c r="AZ55" s="129"/>
      <c r="BA55" s="136">
        <f t="shared" ref="BA55" si="346">IFERROR(BA24/$B55,0)</f>
        <v>1122303047253.1311</v>
      </c>
      <c r="BB55" s="149">
        <f>IFERROR(s_RadSpec!$I$24*BB24,".")*$B$55</f>
        <v>0</v>
      </c>
      <c r="BC55" s="149">
        <f>IFERROR(s_RadSpec!$L$24*BC24,".")*$B$55</f>
        <v>0</v>
      </c>
      <c r="BD55" s="149">
        <f>IFERROR(s_RadSpec!$K$24*BD24,".")*$B$55</f>
        <v>2.227562338103619E-11</v>
      </c>
      <c r="BE55" s="149">
        <f>s_b2s!BZ55</f>
        <v>0</v>
      </c>
      <c r="BF55" s="149">
        <f>IFERROR(s_RadSpec!$J$24*BF24,".")*$B$55</f>
        <v>0</v>
      </c>
      <c r="BG55" s="149">
        <f>IFERROR(s_RadSpec!$J$24*BG24,".")*$B$55</f>
        <v>0</v>
      </c>
      <c r="BH55" s="149">
        <f>IFERROR(s_RadSpec!$J$24*BH24,".")*$B$55</f>
        <v>0</v>
      </c>
      <c r="BI55" s="149">
        <f>IFERROR(s_RadSpec!$J$24*BI24,".")*$B$55</f>
        <v>0</v>
      </c>
      <c r="BJ55" s="149">
        <f>IFERROR(s_RadSpec!$J$24*BJ24,".")*$B$55</f>
        <v>0</v>
      </c>
      <c r="BK55" s="149">
        <f>IFERROR(s_RadSpec!$J$24*BK24,".")*$B$55</f>
        <v>0</v>
      </c>
      <c r="BL55" s="149">
        <f>IFERROR(s_RadSpec!$J$24*BL24,".")*$B$55</f>
        <v>0</v>
      </c>
      <c r="BM55" s="149">
        <f>IFERROR(s_RadSpec!$J$24*BM24,".")*$B$55</f>
        <v>0</v>
      </c>
      <c r="BN55" s="149">
        <f>IFERROR(s_RadSpec!$J$24*BN24,".")*$B$55</f>
        <v>0</v>
      </c>
      <c r="BO55" s="149">
        <f>IFERROR(s_RadSpec!$J$24*BO24,".")*$B$55</f>
        <v>0</v>
      </c>
      <c r="BP55" s="150">
        <f t="shared" si="86"/>
        <v>2.227562338103619E-11</v>
      </c>
      <c r="BQ55" s="136">
        <f>IFERROR(BQ24/$B55,0)</f>
        <v>0</v>
      </c>
      <c r="BR55" s="136">
        <f>IFERROR(BR24/$B55,0)</f>
        <v>0</v>
      </c>
      <c r="BS55" s="136">
        <f t="shared" ref="BS55" si="347">IFERROR(BS24/$B55,0)</f>
        <v>72110768462.398224</v>
      </c>
      <c r="BT55" s="136">
        <f>IFERROR(BT24/$B55,0)</f>
        <v>0</v>
      </c>
      <c r="BU55" s="136">
        <f t="shared" ref="BU55" si="348">IFERROR(BU24/$B55,0)</f>
        <v>0</v>
      </c>
      <c r="BV55" s="136">
        <f>IFERROR(BV24/$B55,0)</f>
        <v>0</v>
      </c>
      <c r="BW55" s="136">
        <f>IFERROR(BW24/$B55,0)</f>
        <v>0</v>
      </c>
      <c r="BX55" s="136">
        <f t="shared" ref="BX55:CD55" si="349">IFERROR(BX24/$B55,0)</f>
        <v>0</v>
      </c>
      <c r="BY55" s="136">
        <f t="shared" si="349"/>
        <v>0</v>
      </c>
      <c r="BZ55" s="136">
        <f t="shared" si="349"/>
        <v>0</v>
      </c>
      <c r="CA55" s="136">
        <f t="shared" si="349"/>
        <v>0</v>
      </c>
      <c r="CB55" s="136">
        <f t="shared" si="349"/>
        <v>0</v>
      </c>
      <c r="CC55" s="136">
        <f t="shared" si="349"/>
        <v>0</v>
      </c>
      <c r="CD55" s="136">
        <f t="shared" si="349"/>
        <v>0</v>
      </c>
      <c r="CE55" s="141"/>
      <c r="CF55" s="141"/>
      <c r="CG55" s="141"/>
      <c r="CH55" s="141"/>
      <c r="CI55" s="141"/>
      <c r="CJ55" s="141"/>
      <c r="CK55" s="141"/>
      <c r="CL55" s="141"/>
      <c r="CM55" s="141"/>
      <c r="CN55" s="141"/>
      <c r="CO55" s="141"/>
      <c r="CP55" s="141"/>
      <c r="CQ55" s="141"/>
      <c r="CR55" s="141"/>
      <c r="CS55" s="136">
        <f t="shared" ref="CS55" si="350">IFERROR(CS24/$B55,0)</f>
        <v>72110768462.398224</v>
      </c>
      <c r="CT55" s="149">
        <f>IFERROR(s_RadSpec!$M$24*CT24,".")*$B$55</f>
        <v>0</v>
      </c>
      <c r="CU55" s="149">
        <f>IFERROR(s_RadSpec!$L$24*CU24,".")*$B$55</f>
        <v>0</v>
      </c>
      <c r="CV55" s="149">
        <f>IFERROR(s_RadSpec!$Q$24*CV24,".")*$B$55</f>
        <v>3.466888584474886E-10</v>
      </c>
      <c r="CW55" s="149">
        <f>s_b2w!BZ55</f>
        <v>0</v>
      </c>
      <c r="CX55" s="149">
        <f>IFERROR(s_RadSpec!$J$24*CX24,".")*$B$55</f>
        <v>0</v>
      </c>
      <c r="CY55" s="149">
        <f>IFERROR(s_RadSpec!$J$24*CY24,".")*$B$55</f>
        <v>0</v>
      </c>
      <c r="CZ55" s="149">
        <f>IFERROR(s_RadSpec!$J$24*CZ24,".")*$B$55</f>
        <v>0</v>
      </c>
      <c r="DA55" s="149">
        <f>IFERROR(s_RadSpec!$J$24*DA24,".")*$B$55</f>
        <v>0</v>
      </c>
      <c r="DB55" s="149">
        <f>IFERROR(s_RadSpec!$J$24*DB24,".")*$B$55</f>
        <v>0</v>
      </c>
      <c r="DC55" s="149">
        <f>IFERROR(s_RadSpec!$J$24*DC24,".")*$B$55</f>
        <v>0</v>
      </c>
      <c r="DD55" s="149">
        <f>IFERROR(s_RadSpec!$J$24*DD24,".")*$B$55</f>
        <v>0</v>
      </c>
      <c r="DE55" s="149">
        <f>IFERROR(s_RadSpec!$J$24*DE24,".")*$B$55</f>
        <v>0</v>
      </c>
      <c r="DF55" s="149">
        <f>IFERROR(s_RadSpec!$J$24*DF24,".")*$B$55</f>
        <v>0</v>
      </c>
      <c r="DG55" s="149">
        <f>IFERROR(s_RadSpec!$J$24*DG24,".")*$B$55</f>
        <v>0</v>
      </c>
      <c r="DH55" s="150">
        <f t="shared" si="258"/>
        <v>0</v>
      </c>
      <c r="DI55" s="136">
        <f>IFERROR(DI24/$B55,0)</f>
        <v>0</v>
      </c>
      <c r="DJ55" s="136">
        <f t="shared" ref="DJ55:DK55" si="351">IFERROR(DJ24/$B55,0)</f>
        <v>62693950.463190928</v>
      </c>
      <c r="DK55" s="136">
        <f t="shared" si="351"/>
        <v>62693950.463190921</v>
      </c>
      <c r="DL55" s="149">
        <f>IFERROR(s_RadSpec!$L$24*DL24,".")*$B$55</f>
        <v>0</v>
      </c>
      <c r="DM55" s="149">
        <f>IFERROR(s_RadSpec!$O$24*DM24,".")*$B$55</f>
        <v>3.9876255707762561E-7</v>
      </c>
      <c r="DN55" s="150">
        <f t="shared" si="91"/>
        <v>3.9876255707762561E-7</v>
      </c>
    </row>
    <row r="56" spans="1:118" x14ac:dyDescent="0.25">
      <c r="A56" s="135" t="s">
        <v>1079</v>
      </c>
      <c r="B56" s="129">
        <v>0.99979000004200003</v>
      </c>
      <c r="C56" s="136">
        <f t="shared" ref="C56:M56" si="352">IFERROR(C20/$B56,0)</f>
        <v>0</v>
      </c>
      <c r="D56" s="136">
        <f t="shared" si="352"/>
        <v>0</v>
      </c>
      <c r="E56" s="136">
        <f t="shared" si="352"/>
        <v>0</v>
      </c>
      <c r="F56" s="136">
        <f t="shared" si="352"/>
        <v>0</v>
      </c>
      <c r="G56" s="136">
        <f t="shared" si="352"/>
        <v>0</v>
      </c>
      <c r="H56" s="136">
        <f t="shared" si="352"/>
        <v>0</v>
      </c>
      <c r="I56" s="136">
        <f t="shared" si="352"/>
        <v>0</v>
      </c>
      <c r="J56" s="136">
        <f t="shared" si="352"/>
        <v>0</v>
      </c>
      <c r="K56" s="136">
        <f t="shared" si="352"/>
        <v>0</v>
      </c>
      <c r="L56" s="136">
        <f t="shared" si="352"/>
        <v>0</v>
      </c>
      <c r="M56" s="136">
        <f t="shared" si="352"/>
        <v>0</v>
      </c>
      <c r="N56" s="149">
        <f>s_dir!BA56</f>
        <v>113413.67812976439</v>
      </c>
      <c r="O56" s="149">
        <f>IFERROR(s_RadSpec!$J$20*O20,".")*$B$56</f>
        <v>0</v>
      </c>
      <c r="P56" s="149">
        <f>IFERROR(s_RadSpec!$J$20*P20,".")*$B$56</f>
        <v>0</v>
      </c>
      <c r="Q56" s="149">
        <f>IFERROR(s_RadSpec!$J$20*Q20,".")*$B$56</f>
        <v>0</v>
      </c>
      <c r="R56" s="149">
        <f>IFERROR(s_RadSpec!$J$20*R20,".")*$B$56</f>
        <v>0</v>
      </c>
      <c r="S56" s="149">
        <f>IFERROR(s_RadSpec!$J$20*S20,".")*$B$56</f>
        <v>0</v>
      </c>
      <c r="T56" s="149">
        <f>IFERROR(s_RadSpec!$J$20*T20,".")*$B$56</f>
        <v>0</v>
      </c>
      <c r="U56" s="149">
        <f>IFERROR(s_RadSpec!$J$20*U20,".")*$B$56</f>
        <v>0</v>
      </c>
      <c r="V56" s="149">
        <f>IFERROR(s_RadSpec!$J$20*V20,".")*$B$56</f>
        <v>0</v>
      </c>
      <c r="W56" s="149">
        <f>IFERROR(s_RadSpec!$J$20*W20,".")*$B$56</f>
        <v>0</v>
      </c>
      <c r="X56" s="149">
        <f>IFERROR(s_RadSpec!$J$20*X20,".")*$B$56</f>
        <v>0</v>
      </c>
      <c r="Y56" s="136">
        <f>IFERROR(Y20/$B56,0)</f>
        <v>0</v>
      </c>
      <c r="Z56" s="136">
        <f>IFERROR(Z20/$B56,0)</f>
        <v>0</v>
      </c>
      <c r="AA56" s="136">
        <f t="shared" ref="AA56:AH56" si="353">IFERROR(AA20/$B56,0)</f>
        <v>1559950.9427820113</v>
      </c>
      <c r="AB56" s="136">
        <f>IFERROR(AB20/$B56,0)</f>
        <v>0</v>
      </c>
      <c r="AC56" s="136">
        <f t="shared" ref="AC56" si="354">IFERROR(AC20/$B56,0)</f>
        <v>0</v>
      </c>
      <c r="AD56" s="136">
        <f>IFERROR(AD20/$B56,0)</f>
        <v>0</v>
      </c>
      <c r="AE56" s="136">
        <f>IFERROR(AE20/$B56,0)</f>
        <v>0</v>
      </c>
      <c r="AF56" s="136">
        <f t="shared" ref="AF56" si="355">IFERROR(AF20/$B56,0)</f>
        <v>0</v>
      </c>
      <c r="AG56" s="136">
        <f t="shared" si="353"/>
        <v>0</v>
      </c>
      <c r="AH56" s="136">
        <f t="shared" si="353"/>
        <v>0</v>
      </c>
      <c r="AI56" s="136">
        <f t="shared" ref="AI56" si="356">IFERROR(AI20/$B56,0)</f>
        <v>0</v>
      </c>
      <c r="AJ56" s="136">
        <f t="shared" ref="AJ56:AL56" si="357">IFERROR(AJ20/$B56,0)</f>
        <v>0</v>
      </c>
      <c r="AK56" s="136">
        <f t="shared" si="357"/>
        <v>0</v>
      </c>
      <c r="AL56" s="136">
        <f t="shared" si="357"/>
        <v>0</v>
      </c>
      <c r="AM56" s="129"/>
      <c r="AN56" s="129"/>
      <c r="AO56" s="129"/>
      <c r="AP56" s="129"/>
      <c r="AQ56" s="129"/>
      <c r="AR56" s="129"/>
      <c r="AS56" s="129"/>
      <c r="AT56" s="129"/>
      <c r="AU56" s="129"/>
      <c r="AV56" s="129"/>
      <c r="AW56" s="129"/>
      <c r="AX56" s="129"/>
      <c r="AY56" s="129"/>
      <c r="AZ56" s="129"/>
      <c r="BA56" s="136">
        <f t="shared" ref="BA56" si="358">IFERROR(BA20/$B56,0)</f>
        <v>1559950.9427820113</v>
      </c>
      <c r="BB56" s="149">
        <f>IFERROR(s_RadSpec!$I$20*BB20,".")*$B$56</f>
        <v>0</v>
      </c>
      <c r="BC56" s="149">
        <f>IFERROR(s_RadSpec!$L$20*BC20,".")*$B$56</f>
        <v>0</v>
      </c>
      <c r="BD56" s="149">
        <f>IFERROR(s_RadSpec!$K$20*BD20,".")*$B$56</f>
        <v>1.602614499877482E-5</v>
      </c>
      <c r="BE56" s="149">
        <f>s_b2s!BZ56</f>
        <v>0</v>
      </c>
      <c r="BF56" s="149">
        <f>IFERROR(s_RadSpec!$J$20*BF20,".")*$B$56</f>
        <v>0</v>
      </c>
      <c r="BG56" s="149">
        <f>IFERROR(s_RadSpec!$J$20*BG20,".")*$B$56</f>
        <v>0</v>
      </c>
      <c r="BH56" s="149">
        <f>IFERROR(s_RadSpec!$J$20*BH20,".")*$B$56</f>
        <v>0</v>
      </c>
      <c r="BI56" s="149">
        <f>IFERROR(s_RadSpec!$J$20*BI20,".")*$B$56</f>
        <v>0</v>
      </c>
      <c r="BJ56" s="149">
        <f>IFERROR(s_RadSpec!$J$20*BJ20,".")*$B$56</f>
        <v>0</v>
      </c>
      <c r="BK56" s="149">
        <f>IFERROR(s_RadSpec!$J$20*BK20,".")*$B$56</f>
        <v>0</v>
      </c>
      <c r="BL56" s="149">
        <f>IFERROR(s_RadSpec!$J$20*BL20,".")*$B$56</f>
        <v>0</v>
      </c>
      <c r="BM56" s="149">
        <f>IFERROR(s_RadSpec!$J$20*BM20,".")*$B$56</f>
        <v>0</v>
      </c>
      <c r="BN56" s="149">
        <f>IFERROR(s_RadSpec!$J$20*BN20,".")*$B$56</f>
        <v>0</v>
      </c>
      <c r="BO56" s="149">
        <f>IFERROR(s_RadSpec!$J$20*BO20,".")*$B$56</f>
        <v>0</v>
      </c>
      <c r="BP56" s="150">
        <f t="shared" si="86"/>
        <v>1.602614499877482E-5</v>
      </c>
      <c r="BQ56" s="136">
        <f>IFERROR(BQ20/$B56,0)</f>
        <v>0</v>
      </c>
      <c r="BR56" s="136">
        <f>IFERROR(BR20/$B56,0)</f>
        <v>0</v>
      </c>
      <c r="BS56" s="136">
        <f t="shared" ref="BS56" si="359">IFERROR(BS20/$B56,0)</f>
        <v>129528.67827996891</v>
      </c>
      <c r="BT56" s="136">
        <f>IFERROR(BT20/$B56,0)</f>
        <v>0</v>
      </c>
      <c r="BU56" s="136">
        <f t="shared" ref="BU56" si="360">IFERROR(BU20/$B56,0)</f>
        <v>0</v>
      </c>
      <c r="BV56" s="136">
        <f>IFERROR(BV20/$B56,0)</f>
        <v>0</v>
      </c>
      <c r="BW56" s="136">
        <f>IFERROR(BW20/$B56,0)</f>
        <v>0</v>
      </c>
      <c r="BX56" s="136">
        <f t="shared" ref="BX56:CD56" si="361">IFERROR(BX20/$B56,0)</f>
        <v>0</v>
      </c>
      <c r="BY56" s="136">
        <f t="shared" si="361"/>
        <v>0</v>
      </c>
      <c r="BZ56" s="136">
        <f t="shared" si="361"/>
        <v>0</v>
      </c>
      <c r="CA56" s="136">
        <f t="shared" si="361"/>
        <v>0</v>
      </c>
      <c r="CB56" s="136">
        <f t="shared" si="361"/>
        <v>0</v>
      </c>
      <c r="CC56" s="136">
        <f t="shared" si="361"/>
        <v>0</v>
      </c>
      <c r="CD56" s="136">
        <f t="shared" si="361"/>
        <v>0</v>
      </c>
      <c r="CE56" s="141"/>
      <c r="CF56" s="141"/>
      <c r="CG56" s="141"/>
      <c r="CH56" s="141"/>
      <c r="CI56" s="141"/>
      <c r="CJ56" s="141"/>
      <c r="CK56" s="141"/>
      <c r="CL56" s="141"/>
      <c r="CM56" s="141"/>
      <c r="CN56" s="141"/>
      <c r="CO56" s="141"/>
      <c r="CP56" s="141"/>
      <c r="CQ56" s="141"/>
      <c r="CR56" s="141"/>
      <c r="CS56" s="136">
        <f t="shared" ref="CS56" si="362">IFERROR(CS20/$B56,0)</f>
        <v>129528.67827996892</v>
      </c>
      <c r="CT56" s="149">
        <f>IFERROR(s_RadSpec!$M$20*CT20,".")*$B$56</f>
        <v>0</v>
      </c>
      <c r="CU56" s="149">
        <f>IFERROR(s_RadSpec!$L$20*CU20,".")*$B$56</f>
        <v>0</v>
      </c>
      <c r="CV56" s="149">
        <f>IFERROR(s_RadSpec!$Q$20*CV20,".")*$B$56</f>
        <v>1.9300745079760571E-4</v>
      </c>
      <c r="CW56" s="149">
        <f>s_b2w!BZ56</f>
        <v>0</v>
      </c>
      <c r="CX56" s="149">
        <f>IFERROR(s_RadSpec!$J$20*CX20,".")*$B$56</f>
        <v>0</v>
      </c>
      <c r="CY56" s="149">
        <f>IFERROR(s_RadSpec!$J$20*CY20,".")*$B$56</f>
        <v>0</v>
      </c>
      <c r="CZ56" s="149">
        <f>IFERROR(s_RadSpec!$J$20*CZ20,".")*$B$56</f>
        <v>0</v>
      </c>
      <c r="DA56" s="149">
        <f>IFERROR(s_RadSpec!$J$20*DA20,".")*$B$56</f>
        <v>0</v>
      </c>
      <c r="DB56" s="149">
        <f>IFERROR(s_RadSpec!$J$20*DB20,".")*$B$56</f>
        <v>0</v>
      </c>
      <c r="DC56" s="149">
        <f>IFERROR(s_RadSpec!$J$20*DC20,".")*$B$56</f>
        <v>0</v>
      </c>
      <c r="DD56" s="149">
        <f>IFERROR(s_RadSpec!$J$20*DD20,".")*$B$56</f>
        <v>0</v>
      </c>
      <c r="DE56" s="149">
        <f>IFERROR(s_RadSpec!$J$20*DE20,".")*$B$56</f>
        <v>0</v>
      </c>
      <c r="DF56" s="149">
        <f>IFERROR(s_RadSpec!$J$20*DF20,".")*$B$56</f>
        <v>0</v>
      </c>
      <c r="DG56" s="149">
        <f>IFERROR(s_RadSpec!$J$20*DG20,".")*$B$56</f>
        <v>0</v>
      </c>
      <c r="DH56" s="150">
        <f t="shared" si="258"/>
        <v>0</v>
      </c>
      <c r="DI56" s="136">
        <f>IFERROR(DI20/$B56,0)</f>
        <v>0</v>
      </c>
      <c r="DJ56" s="136">
        <f t="shared" ref="DJ56:DK56" si="363">IFERROR(DJ20/$B56,0)</f>
        <v>112.2127391835941</v>
      </c>
      <c r="DK56" s="136">
        <f t="shared" si="363"/>
        <v>112.2127391835941</v>
      </c>
      <c r="DL56" s="149">
        <f>IFERROR(s_RadSpec!$L$20*DL20,".")*$B$56</f>
        <v>0</v>
      </c>
      <c r="DM56" s="149">
        <f>IFERROR(s_RadSpec!$O$20*DM20,".")*$B$56</f>
        <v>0.22279110359383411</v>
      </c>
      <c r="DN56" s="150">
        <f t="shared" si="91"/>
        <v>0.22279110359383411</v>
      </c>
    </row>
    <row r="57" spans="1:118" x14ac:dyDescent="0.25">
      <c r="A57" s="135" t="s">
        <v>1080</v>
      </c>
      <c r="B57" s="129">
        <v>2.0999995799999999E-4</v>
      </c>
      <c r="C57" s="136">
        <f t="shared" ref="C57:M57" si="364">IFERROR(C29/$B57,0)</f>
        <v>0</v>
      </c>
      <c r="D57" s="136">
        <f t="shared" si="364"/>
        <v>0</v>
      </c>
      <c r="E57" s="136">
        <f t="shared" si="364"/>
        <v>0</v>
      </c>
      <c r="F57" s="136">
        <f t="shared" si="364"/>
        <v>0</v>
      </c>
      <c r="G57" s="136">
        <f t="shared" si="364"/>
        <v>0</v>
      </c>
      <c r="H57" s="136">
        <f t="shared" si="364"/>
        <v>0</v>
      </c>
      <c r="I57" s="136">
        <f t="shared" si="364"/>
        <v>0</v>
      </c>
      <c r="J57" s="136">
        <f t="shared" si="364"/>
        <v>0</v>
      </c>
      <c r="K57" s="136">
        <f t="shared" si="364"/>
        <v>0</v>
      </c>
      <c r="L57" s="136">
        <f t="shared" si="364"/>
        <v>0</v>
      </c>
      <c r="M57" s="136">
        <f t="shared" si="364"/>
        <v>0</v>
      </c>
      <c r="N57" s="149">
        <f>s_dir!BA57</f>
        <v>23.821870235624999</v>
      </c>
      <c r="O57" s="149">
        <f>IFERROR(s_RadSpec!$J$29*O29,".")*$B$57</f>
        <v>0</v>
      </c>
      <c r="P57" s="149">
        <f>IFERROR(s_RadSpec!$J$29*P29,".")*$B$57</f>
        <v>0</v>
      </c>
      <c r="Q57" s="149">
        <f>IFERROR(s_RadSpec!$J$29*Q29,".")*$B$57</f>
        <v>0</v>
      </c>
      <c r="R57" s="149">
        <f>IFERROR(s_RadSpec!$J$29*R29,".")*$B$57</f>
        <v>0</v>
      </c>
      <c r="S57" s="149">
        <f>IFERROR(s_RadSpec!$J$29*S29,".")*$B$57</f>
        <v>0</v>
      </c>
      <c r="T57" s="149">
        <f>IFERROR(s_RadSpec!$J$29*T29,".")*$B$57</f>
        <v>0</v>
      </c>
      <c r="U57" s="149">
        <f>IFERROR(s_RadSpec!$J$29*U29,".")*$B$57</f>
        <v>0</v>
      </c>
      <c r="V57" s="149">
        <f>IFERROR(s_RadSpec!$J$29*V29,".")*$B$57</f>
        <v>0</v>
      </c>
      <c r="W57" s="149">
        <f>IFERROR(s_RadSpec!$J$29*W29,".")*$B$57</f>
        <v>0</v>
      </c>
      <c r="X57" s="149">
        <f>IFERROR(s_RadSpec!$J$29*X29,".")*$B$57</f>
        <v>0</v>
      </c>
      <c r="Y57" s="136">
        <f>IFERROR(Y29/$B57,0)</f>
        <v>0</v>
      </c>
      <c r="Z57" s="136">
        <f>IFERROR(Z29/$B57,0)</f>
        <v>0</v>
      </c>
      <c r="AA57" s="136">
        <f t="shared" ref="AA57:AH57" si="365">IFERROR(AA29/$B57,0)</f>
        <v>167286.16844496483</v>
      </c>
      <c r="AB57" s="136">
        <f>IFERROR(AB29/$B57,0)</f>
        <v>0</v>
      </c>
      <c r="AC57" s="136">
        <f t="shared" ref="AC57" si="366">IFERROR(AC29/$B57,0)</f>
        <v>0</v>
      </c>
      <c r="AD57" s="136">
        <f>IFERROR(AD29/$B57,0)</f>
        <v>0</v>
      </c>
      <c r="AE57" s="136">
        <f>IFERROR(AE29/$B57,0)</f>
        <v>0</v>
      </c>
      <c r="AF57" s="136">
        <f t="shared" ref="AF57" si="367">IFERROR(AF29/$B57,0)</f>
        <v>0</v>
      </c>
      <c r="AG57" s="136">
        <f t="shared" si="365"/>
        <v>0</v>
      </c>
      <c r="AH57" s="136">
        <f t="shared" si="365"/>
        <v>0</v>
      </c>
      <c r="AI57" s="136">
        <f t="shared" ref="AI57" si="368">IFERROR(AI29/$B57,0)</f>
        <v>0</v>
      </c>
      <c r="AJ57" s="136">
        <f t="shared" ref="AJ57:AL57" si="369">IFERROR(AJ29/$B57,0)</f>
        <v>0</v>
      </c>
      <c r="AK57" s="136">
        <f t="shared" si="369"/>
        <v>0</v>
      </c>
      <c r="AL57" s="136">
        <f t="shared" si="369"/>
        <v>0</v>
      </c>
      <c r="AM57" s="129"/>
      <c r="AN57" s="129"/>
      <c r="AO57" s="129"/>
      <c r="AP57" s="129"/>
      <c r="AQ57" s="129"/>
      <c r="AR57" s="129"/>
      <c r="AS57" s="129"/>
      <c r="AT57" s="129"/>
      <c r="AU57" s="129"/>
      <c r="AV57" s="129"/>
      <c r="AW57" s="129"/>
      <c r="AX57" s="129"/>
      <c r="AY57" s="129"/>
      <c r="AZ57" s="129"/>
      <c r="BA57" s="136">
        <f t="shared" ref="BA57" si="370">IFERROR(BA29/$B57,0)</f>
        <v>167286.16844496483</v>
      </c>
      <c r="BB57" s="149">
        <f>IFERROR(s_RadSpec!$I$29*BB29,".")*$B$57</f>
        <v>0</v>
      </c>
      <c r="BC57" s="149">
        <f>IFERROR(s_RadSpec!$L$29*BC29,".")*$B$57</f>
        <v>0</v>
      </c>
      <c r="BD57" s="149">
        <f>IFERROR(s_RadSpec!$K$29*BD29,".")*$B$57</f>
        <v>1.4944451315007973E-4</v>
      </c>
      <c r="BE57" s="149">
        <f>s_b2s!BZ57</f>
        <v>0</v>
      </c>
      <c r="BF57" s="149">
        <f>IFERROR(s_RadSpec!$J$29*BF29,".")*$B$57</f>
        <v>0</v>
      </c>
      <c r="BG57" s="149">
        <f>IFERROR(s_RadSpec!$J$29*BG29,".")*$B$57</f>
        <v>0</v>
      </c>
      <c r="BH57" s="149">
        <f>IFERROR(s_RadSpec!$J$29*BH29,".")*$B$57</f>
        <v>0</v>
      </c>
      <c r="BI57" s="149">
        <f>IFERROR(s_RadSpec!$J$29*BI29,".")*$B$57</f>
        <v>0</v>
      </c>
      <c r="BJ57" s="149">
        <f>IFERROR(s_RadSpec!$J$29*BJ29,".")*$B$57</f>
        <v>0</v>
      </c>
      <c r="BK57" s="149">
        <f>IFERROR(s_RadSpec!$J$29*BK29,".")*$B$57</f>
        <v>0</v>
      </c>
      <c r="BL57" s="149">
        <f>IFERROR(s_RadSpec!$J$29*BL29,".")*$B$57</f>
        <v>0</v>
      </c>
      <c r="BM57" s="149">
        <f>IFERROR(s_RadSpec!$J$29*BM29,".")*$B$57</f>
        <v>0</v>
      </c>
      <c r="BN57" s="149">
        <f>IFERROR(s_RadSpec!$J$29*BN29,".")*$B$57</f>
        <v>0</v>
      </c>
      <c r="BO57" s="149">
        <f>IFERROR(s_RadSpec!$J$29*BO29,".")*$B$57</f>
        <v>0</v>
      </c>
      <c r="BP57" s="150">
        <f t="shared" si="86"/>
        <v>1.4944451315007973E-4</v>
      </c>
      <c r="BQ57" s="136">
        <f>IFERROR(BQ29/$B57,0)</f>
        <v>0</v>
      </c>
      <c r="BR57" s="136">
        <f>IFERROR(BR29/$B57,0)</f>
        <v>0</v>
      </c>
      <c r="BS57" s="136">
        <f t="shared" ref="BS57" si="371">IFERROR(BS29/$B57,0)</f>
        <v>17807.809039828237</v>
      </c>
      <c r="BT57" s="136">
        <f>IFERROR(BT29/$B57,0)</f>
        <v>0</v>
      </c>
      <c r="BU57" s="136">
        <f t="shared" ref="BU57" si="372">IFERROR(BU29/$B57,0)</f>
        <v>0</v>
      </c>
      <c r="BV57" s="136">
        <f>IFERROR(BV29/$B57,0)</f>
        <v>0</v>
      </c>
      <c r="BW57" s="136">
        <f>IFERROR(BW29/$B57,0)</f>
        <v>0</v>
      </c>
      <c r="BX57" s="136">
        <f t="shared" ref="BX57:CD57" si="373">IFERROR(BX29/$B57,0)</f>
        <v>0</v>
      </c>
      <c r="BY57" s="136">
        <f t="shared" si="373"/>
        <v>0</v>
      </c>
      <c r="BZ57" s="136">
        <f t="shared" si="373"/>
        <v>0</v>
      </c>
      <c r="CA57" s="136">
        <f t="shared" si="373"/>
        <v>0</v>
      </c>
      <c r="CB57" s="136">
        <f t="shared" si="373"/>
        <v>0</v>
      </c>
      <c r="CC57" s="136">
        <f t="shared" si="373"/>
        <v>0</v>
      </c>
      <c r="CD57" s="136">
        <f t="shared" si="373"/>
        <v>0</v>
      </c>
      <c r="CE57" s="141"/>
      <c r="CF57" s="141"/>
      <c r="CG57" s="141"/>
      <c r="CH57" s="141"/>
      <c r="CI57" s="141"/>
      <c r="CJ57" s="141"/>
      <c r="CK57" s="141"/>
      <c r="CL57" s="141"/>
      <c r="CM57" s="141"/>
      <c r="CN57" s="141"/>
      <c r="CO57" s="141"/>
      <c r="CP57" s="141"/>
      <c r="CQ57" s="141"/>
      <c r="CR57" s="141"/>
      <c r="CS57" s="136">
        <f t="shared" ref="CS57" si="374">IFERROR(CS29/$B57,0)</f>
        <v>17807.809039828237</v>
      </c>
      <c r="CT57" s="149">
        <f>IFERROR(s_RadSpec!$M$29*CT29,".")*$B$57</f>
        <v>0</v>
      </c>
      <c r="CU57" s="149">
        <f>IFERROR(s_RadSpec!$L$29*CU29,".")*$B$57</f>
        <v>0</v>
      </c>
      <c r="CV57" s="149">
        <f>IFERROR(s_RadSpec!$Q$29*CV29,".")*$B$57</f>
        <v>1.403878486347534E-3</v>
      </c>
      <c r="CW57" s="149">
        <f>s_b2w!BZ57</f>
        <v>0</v>
      </c>
      <c r="CX57" s="149">
        <f>IFERROR(s_RadSpec!$J$29*CX29,".")*$B$57</f>
        <v>0</v>
      </c>
      <c r="CY57" s="149">
        <f>IFERROR(s_RadSpec!$J$29*CY29,".")*$B$57</f>
        <v>0</v>
      </c>
      <c r="CZ57" s="149">
        <f>IFERROR(s_RadSpec!$J$29*CZ29,".")*$B$57</f>
        <v>0</v>
      </c>
      <c r="DA57" s="149">
        <f>IFERROR(s_RadSpec!$J$29*DA29,".")*$B$57</f>
        <v>0</v>
      </c>
      <c r="DB57" s="149">
        <f>IFERROR(s_RadSpec!$J$29*DB29,".")*$B$57</f>
        <v>0</v>
      </c>
      <c r="DC57" s="149">
        <f>IFERROR(s_RadSpec!$J$29*DC29,".")*$B$57</f>
        <v>0</v>
      </c>
      <c r="DD57" s="149">
        <f>IFERROR(s_RadSpec!$J$29*DD29,".")*$B$57</f>
        <v>0</v>
      </c>
      <c r="DE57" s="149">
        <f>IFERROR(s_RadSpec!$J$29*DE29,".")*$B$57</f>
        <v>0</v>
      </c>
      <c r="DF57" s="149">
        <f>IFERROR(s_RadSpec!$J$29*DF29,".")*$B$57</f>
        <v>0</v>
      </c>
      <c r="DG57" s="149">
        <f>IFERROR(s_RadSpec!$J$29*DG29,".")*$B$57</f>
        <v>0</v>
      </c>
      <c r="DH57" s="150">
        <f t="shared" si="258"/>
        <v>0</v>
      </c>
      <c r="DI57" s="136">
        <f>IFERROR(DI29/$B57,0)</f>
        <v>0</v>
      </c>
      <c r="DJ57" s="136">
        <f t="shared" ref="DJ57:DK57" si="375">IFERROR(DJ29/$B57,0)</f>
        <v>15.379471443488022</v>
      </c>
      <c r="DK57" s="136">
        <f t="shared" si="375"/>
        <v>15.379471443488022</v>
      </c>
      <c r="DL57" s="149">
        <f>IFERROR(s_RadSpec!$L$29*DL29,".")*$B$57</f>
        <v>0</v>
      </c>
      <c r="DM57" s="149">
        <f>IFERROR(s_RadSpec!$O$29*DM29,".")*$B$57</f>
        <v>1.625543510507671</v>
      </c>
      <c r="DN57" s="150">
        <f t="shared" si="91"/>
        <v>1.625543510507671</v>
      </c>
    </row>
    <row r="58" spans="1:118" x14ac:dyDescent="0.25">
      <c r="A58" s="135" t="s">
        <v>1081</v>
      </c>
      <c r="B58" s="129">
        <v>1</v>
      </c>
      <c r="C58" s="136">
        <f t="shared" ref="C58:M58" si="376">IFERROR(C16/$B58,0)</f>
        <v>0.29197890160457007</v>
      </c>
      <c r="D58" s="136">
        <f t="shared" si="376"/>
        <v>0.87593670481371022</v>
      </c>
      <c r="E58" s="136">
        <f t="shared" si="376"/>
        <v>0.87593670481371022</v>
      </c>
      <c r="F58" s="136">
        <f t="shared" si="376"/>
        <v>0.87593670481371022</v>
      </c>
      <c r="G58" s="136">
        <f t="shared" si="376"/>
        <v>0.87593670481371022</v>
      </c>
      <c r="H58" s="136">
        <f t="shared" si="376"/>
        <v>0.87593670481371022</v>
      </c>
      <c r="I58" s="136">
        <f t="shared" si="376"/>
        <v>0.87593670481371022</v>
      </c>
      <c r="J58" s="136">
        <f t="shared" si="376"/>
        <v>0.87593670481371022</v>
      </c>
      <c r="K58" s="136">
        <f t="shared" si="376"/>
        <v>0.87593670481371022</v>
      </c>
      <c r="L58" s="136">
        <f t="shared" si="376"/>
        <v>0.87593670481371022</v>
      </c>
      <c r="M58" s="136">
        <f t="shared" si="376"/>
        <v>0.87593670481371022</v>
      </c>
      <c r="N58" s="149">
        <f>s_dir!BA58</f>
        <v>113437.5</v>
      </c>
      <c r="O58" s="149">
        <f>IFERROR(s_RadSpec!$J$16*O16,".")*$B$58</f>
        <v>28.540875</v>
      </c>
      <c r="P58" s="149">
        <f>IFERROR(s_RadSpec!$J$16*P16,".")*$B$58</f>
        <v>28.540875</v>
      </c>
      <c r="Q58" s="149">
        <f>IFERROR(s_RadSpec!$J$16*Q16,".")*$B$58</f>
        <v>28.540875</v>
      </c>
      <c r="R58" s="149">
        <f>IFERROR(s_RadSpec!$J$16*R16,".")*$B$58</f>
        <v>28.540875</v>
      </c>
      <c r="S58" s="149">
        <f>IFERROR(s_RadSpec!$J$16*S16,".")*$B$58</f>
        <v>28.540875</v>
      </c>
      <c r="T58" s="149">
        <f>IFERROR(s_RadSpec!$J$16*T16,".")*$B$58</f>
        <v>28.540875</v>
      </c>
      <c r="U58" s="149">
        <f>IFERROR(s_RadSpec!$J$16*U16,".")*$B$58</f>
        <v>28.540875</v>
      </c>
      <c r="V58" s="149">
        <f>IFERROR(s_RadSpec!$J$16*V16,".")*$B$58</f>
        <v>28.540875</v>
      </c>
      <c r="W58" s="149">
        <f>IFERROR(s_RadSpec!$J$16*W16,".")*$B$58</f>
        <v>28.540875</v>
      </c>
      <c r="X58" s="149">
        <f>IFERROR(s_RadSpec!$J$16*X16,".")*$B$58</f>
        <v>28.540875</v>
      </c>
      <c r="Y58" s="136">
        <f>IFERROR(Y16/$B58,0)</f>
        <v>437.96835240685505</v>
      </c>
      <c r="Z58" s="136">
        <f>IFERROR(Z16/$B58,0)</f>
        <v>692481.68717966415</v>
      </c>
      <c r="AA58" s="136">
        <f t="shared" ref="AA58:AH58" si="377">IFERROR(AA16/$B58,0)</f>
        <v>7617189521.6855774</v>
      </c>
      <c r="AB58" s="136">
        <f>IFERROR(AB16/$B58,0)</f>
        <v>14.176026943092898</v>
      </c>
      <c r="AC58" s="136">
        <f t="shared" ref="AC58" si="378">IFERROR(AC16/$B58,0)</f>
        <v>5.2556202288822611</v>
      </c>
      <c r="AD58" s="136">
        <f>IFERROR(AD16/$B58,0)</f>
        <v>14.047279874431851</v>
      </c>
      <c r="AE58" s="136">
        <f>IFERROR(AE16/$B58,0)</f>
        <v>53.30573047087033</v>
      </c>
      <c r="AF58" s="136">
        <f t="shared" ref="AF58" si="379">IFERROR(AF16/$B58,0)</f>
        <v>0</v>
      </c>
      <c r="AG58" s="136">
        <f t="shared" si="377"/>
        <v>0</v>
      </c>
      <c r="AH58" s="136">
        <f t="shared" si="377"/>
        <v>0</v>
      </c>
      <c r="AI58" s="136">
        <f t="shared" ref="AI58" si="380">IFERROR(AI16/$B58,0)</f>
        <v>0</v>
      </c>
      <c r="AJ58" s="136">
        <f t="shared" ref="AJ58:AL58" si="381">IFERROR(AJ16/$B58,0)</f>
        <v>1.6880147982442275</v>
      </c>
      <c r="AK58" s="136">
        <f t="shared" si="381"/>
        <v>1.384943086211591</v>
      </c>
      <c r="AL58" s="136">
        <f t="shared" si="381"/>
        <v>0.28937396541329607</v>
      </c>
      <c r="AM58" s="129"/>
      <c r="AN58" s="129"/>
      <c r="AO58" s="129"/>
      <c r="AP58" s="129"/>
      <c r="AQ58" s="129"/>
      <c r="AR58" s="129"/>
      <c r="AS58" s="129"/>
      <c r="AT58" s="129"/>
      <c r="AU58" s="129"/>
      <c r="AV58" s="129"/>
      <c r="AW58" s="129"/>
      <c r="AX58" s="129"/>
      <c r="AY58" s="129"/>
      <c r="AZ58" s="129"/>
      <c r="BA58" s="136">
        <f t="shared" ref="BA58" si="382">IFERROR(BA16/$B58,0)</f>
        <v>0.19518876074408595</v>
      </c>
      <c r="BB58" s="149">
        <f>IFERROR(s_RadSpec!$I$16*BB16,".")*$B$58</f>
        <v>5.7081750000000001E-2</v>
      </c>
      <c r="BC58" s="149">
        <f>IFERROR(s_RadSpec!$L$16*BC16,".")*$B$58</f>
        <v>3.6102037733040807E-5</v>
      </c>
      <c r="BD58" s="149">
        <f>IFERROR(s_RadSpec!$K$16*BD16,".")*$B$58</f>
        <v>3.2820504109589027E-9</v>
      </c>
      <c r="BE58" s="149">
        <f>s_b2s!BZ58</f>
        <v>2.0121316875000002</v>
      </c>
      <c r="BF58" s="149">
        <f>IFERROR(s_RadSpec!$J$16*BF16,".")*$B$58</f>
        <v>4.7568125000000006</v>
      </c>
      <c r="BG58" s="149">
        <f>IFERROR(s_RadSpec!$J$16*BG16,".")*$B$58</f>
        <v>1.7797039870689655</v>
      </c>
      <c r="BH58" s="149">
        <f>IFERROR(s_RadSpec!$J$16*BH16,".")*$B$58</f>
        <v>0.468992728908604</v>
      </c>
      <c r="BI58" s="149">
        <f>IFERROR(s_RadSpec!$J$16*BI16,".")*$B$58</f>
        <v>0</v>
      </c>
      <c r="BJ58" s="149">
        <f>IFERROR(s_RadSpec!$J$16*BJ16,".")*$B$58</f>
        <v>0</v>
      </c>
      <c r="BK58" s="149">
        <f>IFERROR(s_RadSpec!$J$16*BK16,".")*$B$58</f>
        <v>0</v>
      </c>
      <c r="BL58" s="149">
        <f>IFERROR(s_RadSpec!$J$16*BL16,".")*$B$58</f>
        <v>0</v>
      </c>
      <c r="BM58" s="149">
        <f>IFERROR(s_RadSpec!$J$16*BM16,".")*$B$58</f>
        <v>14.810296702376966</v>
      </c>
      <c r="BN58" s="149">
        <f>IFERROR(s_RadSpec!$J$16*BN16,".")*$B$58</f>
        <v>18.051283297413793</v>
      </c>
      <c r="BO58" s="149">
        <f>IFERROR(s_RadSpec!$J$16*BO16,".")*$B$58</f>
        <v>86.393397430532303</v>
      </c>
      <c r="BP58" s="150">
        <f t="shared" si="86"/>
        <v>128.32973618912041</v>
      </c>
      <c r="BQ58" s="136">
        <f>IFERROR(BQ16/$B58,0)</f>
        <v>4.8176518764754066</v>
      </c>
      <c r="BR58" s="136">
        <f>IFERROR(BR16/$B58,0)</f>
        <v>0</v>
      </c>
      <c r="BS58" s="136">
        <f t="shared" ref="BS58" si="383">IFERROR(BS16/$B58,0)</f>
        <v>9777.9555768279442</v>
      </c>
      <c r="BT58" s="136">
        <f>IFERROR(BT16/$B58,0)</f>
        <v>22.276696901037536</v>
      </c>
      <c r="BU58" s="136">
        <f t="shared" ref="BU58" si="384">IFERROR(BU16/$B58,0)</f>
        <v>35.03746819254841</v>
      </c>
      <c r="BV58" s="136">
        <f>IFERROR(BV16/$B58,0)</f>
        <v>250267.62994677437</v>
      </c>
      <c r="BW58" s="136">
        <f>IFERROR(BW16/$B58,0)</f>
        <v>949699.79574539093</v>
      </c>
      <c r="BX58" s="136">
        <f t="shared" ref="BX58:CD58" si="385">IFERROR(BX16/$B58,0)</f>
        <v>0</v>
      </c>
      <c r="BY58" s="136">
        <f t="shared" si="385"/>
        <v>0</v>
      </c>
      <c r="BZ58" s="136">
        <f t="shared" si="385"/>
        <v>0</v>
      </c>
      <c r="CA58" s="136">
        <f t="shared" si="385"/>
        <v>0</v>
      </c>
      <c r="CB58" s="136">
        <f t="shared" si="385"/>
        <v>30073.826865270716</v>
      </c>
      <c r="CC58" s="136">
        <f t="shared" si="385"/>
        <v>24674.273375034089</v>
      </c>
      <c r="CD58" s="136">
        <f t="shared" si="385"/>
        <v>5155.5131769035506</v>
      </c>
      <c r="CE58" s="141"/>
      <c r="CF58" s="141"/>
      <c r="CG58" s="141"/>
      <c r="CH58" s="141"/>
      <c r="CI58" s="141"/>
      <c r="CJ58" s="141"/>
      <c r="CK58" s="141"/>
      <c r="CL58" s="141"/>
      <c r="CM58" s="141"/>
      <c r="CN58" s="141"/>
      <c r="CO58" s="141"/>
      <c r="CP58" s="141"/>
      <c r="CQ58" s="141"/>
      <c r="CR58" s="141"/>
      <c r="CS58" s="136">
        <f t="shared" ref="CS58" si="386">IFERROR(CS16/$B58,0)</f>
        <v>3.5539646463096806</v>
      </c>
      <c r="CT58" s="149">
        <f>IFERROR(s_RadSpec!$M$16*CT16,".")*$B$58</f>
        <v>5.1892500000000004</v>
      </c>
      <c r="CU58" s="149">
        <f>IFERROR(s_RadSpec!$L$16*CU16,".")*$B$58</f>
        <v>5.5922753906249998</v>
      </c>
      <c r="CV58" s="149">
        <f>IFERROR(s_RadSpec!$Q$16*CV16,".")*$B$58</f>
        <v>2.5567716894977165E-3</v>
      </c>
      <c r="CW58" s="149">
        <f>s_b2w!BZ58</f>
        <v>1.1222489631681269</v>
      </c>
      <c r="CX58" s="149">
        <f>IFERROR(s_RadSpec!$J$16*CX16,".")*$B$58</f>
        <v>0.71352187499999997</v>
      </c>
      <c r="CY58" s="149">
        <f>IFERROR(s_RadSpec!$J$16*CY16,".")*$B$58</f>
        <v>9.9893062499999995E-5</v>
      </c>
      <c r="CZ58" s="149">
        <f>IFERROR(s_RadSpec!$J$16*CZ16,".")*$B$58</f>
        <v>2.6324108009708739E-5</v>
      </c>
      <c r="DA58" s="149">
        <f>IFERROR(s_RadSpec!$J$16*DA16,".")*$B$58</f>
        <v>0</v>
      </c>
      <c r="DB58" s="149">
        <f>IFERROR(s_RadSpec!$J$16*DB16,".")*$B$58</f>
        <v>0</v>
      </c>
      <c r="DC58" s="149">
        <f>IFERROR(s_RadSpec!$J$16*DC16,".")*$B$58</f>
        <v>0</v>
      </c>
      <c r="DD58" s="149">
        <f>IFERROR(s_RadSpec!$J$16*DD16,".")*$B$58</f>
        <v>0</v>
      </c>
      <c r="DE58" s="149">
        <f>IFERROR(s_RadSpec!$J$16*DE16,".")*$B$58</f>
        <v>8.312876213592233E-4</v>
      </c>
      <c r="DF58" s="149">
        <f>IFERROR(s_RadSpec!$J$16*DF16,".")*$B$58</f>
        <v>1.0132010625E-3</v>
      </c>
      <c r="DG58" s="149">
        <f>IFERROR(s_RadSpec!$J$16*DG16,".")*$B$58</f>
        <v>4.8491777912621362E-3</v>
      </c>
      <c r="DH58" s="150">
        <f t="shared" si="258"/>
        <v>0</v>
      </c>
      <c r="DI58" s="136">
        <f>IFERROR(DI16/$B58,0)</f>
        <v>2.2352261158231306</v>
      </c>
      <c r="DJ58" s="136">
        <f t="shared" ref="DJ58:DK58" si="387">IFERROR(DJ16/$B58,0)</f>
        <v>9.0513559055137645</v>
      </c>
      <c r="DK58" s="136">
        <f t="shared" si="387"/>
        <v>1.7925557148627205</v>
      </c>
      <c r="DL58" s="149">
        <f>IFERROR(s_RadSpec!$L$16*DL16,".")*$B$58</f>
        <v>11.18455078125</v>
      </c>
      <c r="DM58" s="149">
        <f>IFERROR(s_RadSpec!$O$16*DM16,".")*$B$58</f>
        <v>2.7620171232876713</v>
      </c>
      <c r="DN58" s="150">
        <f t="shared" si="91"/>
        <v>13.946567904537671</v>
      </c>
    </row>
    <row r="59" spans="1:118" x14ac:dyDescent="0.25">
      <c r="A59" s="135" t="s">
        <v>1082</v>
      </c>
      <c r="B59" s="129">
        <v>1</v>
      </c>
      <c r="C59" s="136">
        <f t="shared" ref="C59:M59" si="388">IFERROR(C7/$B59,0)</f>
        <v>165.45471090925639</v>
      </c>
      <c r="D59" s="136">
        <f t="shared" si="388"/>
        <v>496.36413272776917</v>
      </c>
      <c r="E59" s="136">
        <f t="shared" si="388"/>
        <v>496.36413272776917</v>
      </c>
      <c r="F59" s="136">
        <f t="shared" si="388"/>
        <v>496.36413272776917</v>
      </c>
      <c r="G59" s="136">
        <f t="shared" si="388"/>
        <v>496.36413272776917</v>
      </c>
      <c r="H59" s="136">
        <f t="shared" si="388"/>
        <v>496.36413272776917</v>
      </c>
      <c r="I59" s="136">
        <f t="shared" si="388"/>
        <v>496.36413272776917</v>
      </c>
      <c r="J59" s="136">
        <f t="shared" si="388"/>
        <v>496.36413272776917</v>
      </c>
      <c r="K59" s="136">
        <f t="shared" si="388"/>
        <v>496.36413272776917</v>
      </c>
      <c r="L59" s="136">
        <f t="shared" si="388"/>
        <v>496.36413272776917</v>
      </c>
      <c r="M59" s="136">
        <f t="shared" si="388"/>
        <v>496.36413272776917</v>
      </c>
      <c r="N59" s="149">
        <f>s_dir!BA59</f>
        <v>113437.5</v>
      </c>
      <c r="O59" s="149">
        <f>IFERROR(s_RadSpec!$J$7*O7,".")*$B$59</f>
        <v>5.0366250000000001E-2</v>
      </c>
      <c r="P59" s="149">
        <f>IFERROR(s_RadSpec!$J$7*P7,".")*$B$59</f>
        <v>5.0366250000000001E-2</v>
      </c>
      <c r="Q59" s="149">
        <f>IFERROR(s_RadSpec!$J$7*Q7,".")*$B$59</f>
        <v>5.0366250000000001E-2</v>
      </c>
      <c r="R59" s="149">
        <f>IFERROR(s_RadSpec!$J$7*R7,".")*$B$59</f>
        <v>5.0366250000000001E-2</v>
      </c>
      <c r="S59" s="149">
        <f>IFERROR(s_RadSpec!$J$7*S7,".")*$B$59</f>
        <v>5.0366250000000001E-2</v>
      </c>
      <c r="T59" s="149">
        <f>IFERROR(s_RadSpec!$J$7*T7,".")*$B$59</f>
        <v>5.0366250000000001E-2</v>
      </c>
      <c r="U59" s="149">
        <f>IFERROR(s_RadSpec!$J$7*U7,".")*$B$59</f>
        <v>5.0366250000000001E-2</v>
      </c>
      <c r="V59" s="149">
        <f>IFERROR(s_RadSpec!$J$7*V7,".")*$B$59</f>
        <v>5.0366250000000001E-2</v>
      </c>
      <c r="W59" s="149">
        <f>IFERROR(s_RadSpec!$J$7*W7,".")*$B$59</f>
        <v>5.0366250000000001E-2</v>
      </c>
      <c r="X59" s="149">
        <f>IFERROR(s_RadSpec!$J$7*X7,".")*$B$59</f>
        <v>5.0366250000000001E-2</v>
      </c>
      <c r="Y59" s="136">
        <f>IFERROR(Y7/$B59,0)</f>
        <v>248182.06636388457</v>
      </c>
      <c r="Z59" s="136">
        <f>IFERROR(Z7/$B59,0)</f>
        <v>28600442.285571061</v>
      </c>
      <c r="AA59" s="136">
        <f t="shared" ref="AA59:AH59" si="389">IFERROR(AA7/$B59,0)</f>
        <v>349592.5839418773</v>
      </c>
      <c r="AB59" s="136">
        <f>IFERROR(AB7/$B59,0)</f>
        <v>1457.7507569097479</v>
      </c>
      <c r="AC59" s="136">
        <f t="shared" ref="AC59" si="390">IFERROR(AC7/$B59,0)</f>
        <v>15883.652247288614</v>
      </c>
      <c r="AD59" s="136">
        <f>IFERROR(AD7/$B59,0)</f>
        <v>1654.5471090925639</v>
      </c>
      <c r="AE59" s="136">
        <f>IFERROR(AE7/$B59,0)</f>
        <v>3408.3670447306822</v>
      </c>
      <c r="AF59" s="136">
        <f t="shared" ref="AF59" si="391">IFERROR(AF7/$B59,0)</f>
        <v>0</v>
      </c>
      <c r="AG59" s="136">
        <f t="shared" si="389"/>
        <v>0</v>
      </c>
      <c r="AH59" s="136">
        <f t="shared" si="389"/>
        <v>0</v>
      </c>
      <c r="AI59" s="136">
        <f t="shared" ref="AI59" si="392">IFERROR(AI7/$B59,0)</f>
        <v>0</v>
      </c>
      <c r="AJ59" s="136">
        <f t="shared" ref="AJ59:AL59" si="393">IFERROR(AJ7/$B59,0)</f>
        <v>0</v>
      </c>
      <c r="AK59" s="136">
        <f t="shared" si="393"/>
        <v>0</v>
      </c>
      <c r="AL59" s="136">
        <f t="shared" si="393"/>
        <v>0</v>
      </c>
      <c r="AM59" s="129"/>
      <c r="AN59" s="129"/>
      <c r="AO59" s="129"/>
      <c r="AP59" s="129"/>
      <c r="AQ59" s="129"/>
      <c r="AR59" s="129"/>
      <c r="AS59" s="129"/>
      <c r="AT59" s="129"/>
      <c r="AU59" s="129"/>
      <c r="AV59" s="129"/>
      <c r="AW59" s="129"/>
      <c r="AX59" s="129"/>
      <c r="AY59" s="129"/>
      <c r="AZ59" s="129"/>
      <c r="BA59" s="136">
        <f t="shared" ref="BA59" si="394">IFERROR(BA7/$B59,0)</f>
        <v>604.71867827180802</v>
      </c>
      <c r="BB59" s="149">
        <f>IFERROR(s_RadSpec!$I$7*BB7,".")*$B$59</f>
        <v>1.0073249999999999E-4</v>
      </c>
      <c r="BC59" s="149">
        <f>IFERROR(s_RadSpec!$L$7*BC7,".")*$B$59</f>
        <v>8.7411235638871608E-7</v>
      </c>
      <c r="BD59" s="149">
        <f>IFERROR(s_RadSpec!$K$7*BD7,".")*$B$59</f>
        <v>7.1511814461591838E-5</v>
      </c>
      <c r="BE59" s="149">
        <f>s_b2s!BZ59</f>
        <v>1.7149708125E-2</v>
      </c>
      <c r="BF59" s="149">
        <f>IFERROR(s_RadSpec!$J$7*BF7,".")*$B$59</f>
        <v>1.5739453125E-3</v>
      </c>
      <c r="BG59" s="149">
        <f>IFERROR(s_RadSpec!$J$7*BG7,".")*$B$59</f>
        <v>1.5109875E-2</v>
      </c>
      <c r="BH59" s="149">
        <f>IFERROR(s_RadSpec!$J$7*BH7,".")*$B$59</f>
        <v>7.3348907766990299E-3</v>
      </c>
      <c r="BI59" s="149">
        <f>IFERROR(s_RadSpec!$J$7*BI7,".")*$B$59</f>
        <v>0</v>
      </c>
      <c r="BJ59" s="149">
        <f>IFERROR(s_RadSpec!$J$7*BJ7,".")*$B$59</f>
        <v>0</v>
      </c>
      <c r="BK59" s="149">
        <f>IFERROR(s_RadSpec!$J$7*BK7,".")*$B$59</f>
        <v>0</v>
      </c>
      <c r="BL59" s="149">
        <f>IFERROR(s_RadSpec!$J$7*BL7,".")*$B$59</f>
        <v>0</v>
      </c>
      <c r="BM59" s="149">
        <f>IFERROR(s_RadSpec!$J$7*BM7,".")*$B$59</f>
        <v>0</v>
      </c>
      <c r="BN59" s="149">
        <f>IFERROR(s_RadSpec!$J$7*BN7,".")*$B$59</f>
        <v>0</v>
      </c>
      <c r="BO59" s="149">
        <f>IFERROR(s_RadSpec!$J$7*BO7,".")*$B$59</f>
        <v>0</v>
      </c>
      <c r="BP59" s="150">
        <f t="shared" si="86"/>
        <v>4.1341537641017008E-2</v>
      </c>
      <c r="BQ59" s="136">
        <f>IFERROR(BQ7/$B59,0)</f>
        <v>2730.00273000273</v>
      </c>
      <c r="BR59" s="136">
        <f>IFERROR(BR7/$B59,0)</f>
        <v>0</v>
      </c>
      <c r="BS59" s="136">
        <f t="shared" ref="BS59" si="395">IFERROR(BS7/$B59,0)</f>
        <v>3576.5005297793482</v>
      </c>
      <c r="BT59" s="136">
        <f>IFERROR(BT7/$B59,0)</f>
        <v>5241.4020209370792</v>
      </c>
      <c r="BU59" s="136">
        <f t="shared" ref="BU59" si="396">IFERROR(BU7/$B59,0)</f>
        <v>33090.942181851278</v>
      </c>
      <c r="BV59" s="136">
        <f>IFERROR(BV7/$B59,0)</f>
        <v>49636413.272776917</v>
      </c>
      <c r="BW59" s="136">
        <f>IFERROR(BW7/$B59,0)</f>
        <v>102251011.34192045</v>
      </c>
      <c r="BX59" s="136">
        <f t="shared" ref="BX59:CD59" si="397">IFERROR(BX7/$B59,0)</f>
        <v>0</v>
      </c>
      <c r="BY59" s="136">
        <f t="shared" si="397"/>
        <v>0</v>
      </c>
      <c r="BZ59" s="136">
        <f t="shared" si="397"/>
        <v>0</v>
      </c>
      <c r="CA59" s="136">
        <f t="shared" si="397"/>
        <v>0</v>
      </c>
      <c r="CB59" s="136">
        <f t="shared" si="397"/>
        <v>0</v>
      </c>
      <c r="CC59" s="136">
        <f t="shared" si="397"/>
        <v>0</v>
      </c>
      <c r="CD59" s="136">
        <f t="shared" si="397"/>
        <v>0</v>
      </c>
      <c r="CE59" s="141"/>
      <c r="CF59" s="141"/>
      <c r="CG59" s="141"/>
      <c r="CH59" s="141"/>
      <c r="CI59" s="141"/>
      <c r="CJ59" s="141"/>
      <c r="CK59" s="141"/>
      <c r="CL59" s="141"/>
      <c r="CM59" s="141"/>
      <c r="CN59" s="141"/>
      <c r="CO59" s="141"/>
      <c r="CP59" s="141"/>
      <c r="CQ59" s="141"/>
      <c r="CR59" s="141"/>
      <c r="CS59" s="136">
        <f t="shared" ref="CS59" si="398">IFERROR(CS7/$B59,0)</f>
        <v>1153.4807057772705</v>
      </c>
      <c r="CT59" s="149">
        <f>IFERROR(s_RadSpec!$M$7*CT7,".")*$B$59</f>
        <v>9.157499999999999E-3</v>
      </c>
      <c r="CU59" s="149">
        <f>IFERROR(s_RadSpec!$L$7*CU7,".")*$B$59</f>
        <v>0.13540169270833333</v>
      </c>
      <c r="CV59" s="149">
        <f>IFERROR(s_RadSpec!$Q$7*CV7,".")*$B$59</f>
        <v>6.9900730593607302E-3</v>
      </c>
      <c r="CW59" s="149">
        <f>s_b2w!BZ59</f>
        <v>4.7697161752019929E-3</v>
      </c>
      <c r="CX59" s="149">
        <f>IFERROR(s_RadSpec!$J$7*CX7,".")*$B$59</f>
        <v>7.5549375000000002E-4</v>
      </c>
      <c r="CY59" s="149">
        <f>IFERROR(s_RadSpec!$J$7*CY7,".")*$B$59</f>
        <v>5.0366249999999996E-7</v>
      </c>
      <c r="CZ59" s="149">
        <f>IFERROR(s_RadSpec!$J$7*CZ7,".")*$B$59</f>
        <v>2.4449635922330099E-7</v>
      </c>
      <c r="DA59" s="149">
        <f>IFERROR(s_RadSpec!$J$7*DA7,".")*$B$59</f>
        <v>0</v>
      </c>
      <c r="DB59" s="149">
        <f>IFERROR(s_RadSpec!$J$7*DB7,".")*$B$59</f>
        <v>0</v>
      </c>
      <c r="DC59" s="149">
        <f>IFERROR(s_RadSpec!$J$7*DC7,".")*$B$59</f>
        <v>0</v>
      </c>
      <c r="DD59" s="149">
        <f>IFERROR(s_RadSpec!$J$7*DD7,".")*$B$59</f>
        <v>0</v>
      </c>
      <c r="DE59" s="149">
        <f>IFERROR(s_RadSpec!$J$7*DE7,".")*$B$59</f>
        <v>0</v>
      </c>
      <c r="DF59" s="149">
        <f>IFERROR(s_RadSpec!$J$7*DF7,".")*$B$59</f>
        <v>0</v>
      </c>
      <c r="DG59" s="149">
        <f>IFERROR(s_RadSpec!$J$7*DG7,".")*$B$59</f>
        <v>0</v>
      </c>
      <c r="DH59" s="150">
        <f t="shared" si="258"/>
        <v>0</v>
      </c>
      <c r="DI59" s="136">
        <f>IFERROR(DI7/$B59,0)</f>
        <v>92.317900537078629</v>
      </c>
      <c r="DJ59" s="136">
        <f t="shared" ref="DJ59:DK59" si="399">IFERROR(DJ7/$B59,0)</f>
        <v>1.6523986943786755</v>
      </c>
      <c r="DK59" s="136">
        <f t="shared" si="399"/>
        <v>1.6233424769619462</v>
      </c>
      <c r="DL59" s="149">
        <f>IFERROR(s_RadSpec!$L$7*DL7,".")*$B$59</f>
        <v>0.27080338541666665</v>
      </c>
      <c r="DM59" s="149">
        <f>IFERROR(s_RadSpec!$O$7*DM7,".")*$B$59</f>
        <v>15.129520547945205</v>
      </c>
      <c r="DN59" s="150">
        <f t="shared" si="91"/>
        <v>15.400323933361872</v>
      </c>
    </row>
    <row r="60" spans="1:118" x14ac:dyDescent="0.25">
      <c r="A60" s="135" t="s">
        <v>1083</v>
      </c>
      <c r="B60" s="129">
        <v>1.9000000000000001E-8</v>
      </c>
      <c r="C60" s="136">
        <f t="shared" ref="C60:M60" si="400">IFERROR(C12/$B60,0)</f>
        <v>0</v>
      </c>
      <c r="D60" s="136">
        <f t="shared" si="400"/>
        <v>0</v>
      </c>
      <c r="E60" s="136">
        <f t="shared" si="400"/>
        <v>0</v>
      </c>
      <c r="F60" s="136">
        <f t="shared" si="400"/>
        <v>0</v>
      </c>
      <c r="G60" s="136">
        <f t="shared" si="400"/>
        <v>0</v>
      </c>
      <c r="H60" s="136">
        <f t="shared" si="400"/>
        <v>0</v>
      </c>
      <c r="I60" s="136">
        <f t="shared" si="400"/>
        <v>0</v>
      </c>
      <c r="J60" s="136">
        <f t="shared" si="400"/>
        <v>0</v>
      </c>
      <c r="K60" s="136">
        <f t="shared" si="400"/>
        <v>0</v>
      </c>
      <c r="L60" s="136">
        <f t="shared" si="400"/>
        <v>0</v>
      </c>
      <c r="M60" s="136">
        <f t="shared" si="400"/>
        <v>0</v>
      </c>
      <c r="N60" s="149">
        <f>s_dir!BA60</f>
        <v>2.1553125000000001E-3</v>
      </c>
      <c r="O60" s="149">
        <f>IFERROR(s_RadSpec!$J$12*O12,".")*$B$60</f>
        <v>0</v>
      </c>
      <c r="P60" s="149">
        <f>IFERROR(s_RadSpec!$J$12*P12,".")*$B$60</f>
        <v>0</v>
      </c>
      <c r="Q60" s="149">
        <f>IFERROR(s_RadSpec!$J$12*Q12,".")*$B$60</f>
        <v>0</v>
      </c>
      <c r="R60" s="149">
        <f>IFERROR(s_RadSpec!$J$12*R12,".")*$B$60</f>
        <v>0</v>
      </c>
      <c r="S60" s="149">
        <f>IFERROR(s_RadSpec!$J$12*S12,".")*$B$60</f>
        <v>0</v>
      </c>
      <c r="T60" s="149">
        <f>IFERROR(s_RadSpec!$J$12*T12,".")*$B$60</f>
        <v>0</v>
      </c>
      <c r="U60" s="149">
        <f>IFERROR(s_RadSpec!$J$12*U12,".")*$B$60</f>
        <v>0</v>
      </c>
      <c r="V60" s="149">
        <f>IFERROR(s_RadSpec!$J$12*V12,".")*$B$60</f>
        <v>0</v>
      </c>
      <c r="W60" s="149">
        <f>IFERROR(s_RadSpec!$J$12*W12,".")*$B$60</f>
        <v>0</v>
      </c>
      <c r="X60" s="149">
        <f>IFERROR(s_RadSpec!$J$12*X12,".")*$B$60</f>
        <v>0</v>
      </c>
      <c r="Y60" s="136">
        <f>IFERROR(Y12/$B60,0)</f>
        <v>0</v>
      </c>
      <c r="Z60" s="136">
        <f>IFERROR(Z12/$B60,0)</f>
        <v>0</v>
      </c>
      <c r="AA60" s="136">
        <f t="shared" ref="AA60:AH60" si="401">IFERROR(AA12/$B60,0)</f>
        <v>127565923619.91016</v>
      </c>
      <c r="AB60" s="136">
        <f>IFERROR(AB12/$B60,0)</f>
        <v>0</v>
      </c>
      <c r="AC60" s="136">
        <f t="shared" ref="AC60" si="402">IFERROR(AC12/$B60,0)</f>
        <v>0</v>
      </c>
      <c r="AD60" s="136">
        <f>IFERROR(AD12/$B60,0)</f>
        <v>0</v>
      </c>
      <c r="AE60" s="136">
        <f>IFERROR(AE12/$B60,0)</f>
        <v>0</v>
      </c>
      <c r="AF60" s="136">
        <f t="shared" ref="AF60" si="403">IFERROR(AF12/$B60,0)</f>
        <v>0</v>
      </c>
      <c r="AG60" s="136">
        <f t="shared" si="401"/>
        <v>0</v>
      </c>
      <c r="AH60" s="136">
        <f t="shared" si="401"/>
        <v>0</v>
      </c>
      <c r="AI60" s="136">
        <f t="shared" ref="AI60" si="404">IFERROR(AI12/$B60,0)</f>
        <v>0</v>
      </c>
      <c r="AJ60" s="136">
        <f t="shared" ref="AJ60:AL60" si="405">IFERROR(AJ12/$B60,0)</f>
        <v>0</v>
      </c>
      <c r="AK60" s="136">
        <f t="shared" si="405"/>
        <v>0</v>
      </c>
      <c r="AL60" s="136">
        <f t="shared" si="405"/>
        <v>0</v>
      </c>
      <c r="AM60" s="129"/>
      <c r="AN60" s="129"/>
      <c r="AO60" s="129"/>
      <c r="AP60" s="129"/>
      <c r="AQ60" s="129"/>
      <c r="AR60" s="129"/>
      <c r="AS60" s="129"/>
      <c r="AT60" s="129"/>
      <c r="AU60" s="129"/>
      <c r="AV60" s="129"/>
      <c r="AW60" s="129"/>
      <c r="AX60" s="129"/>
      <c r="AY60" s="129"/>
      <c r="AZ60" s="129"/>
      <c r="BA60" s="136">
        <f t="shared" ref="BA60" si="406">IFERROR(BA12/$B60,0)</f>
        <v>127565923619.91016</v>
      </c>
      <c r="BB60" s="149">
        <f>IFERROR(s_RadSpec!$I$12*BB12,".")*$B$60</f>
        <v>0</v>
      </c>
      <c r="BC60" s="149">
        <f>IFERROR(s_RadSpec!$L$12*BC12,".")*$B$60</f>
        <v>0</v>
      </c>
      <c r="BD60" s="149">
        <f>IFERROR(s_RadSpec!$K$12*BD12,".")*$B$60</f>
        <v>1.9597710180415351E-10</v>
      </c>
      <c r="BE60" s="149">
        <f>s_b2s!BZ60</f>
        <v>0</v>
      </c>
      <c r="BF60" s="149">
        <f>IFERROR(s_RadSpec!$J$12*BF12,".")*$B$60</f>
        <v>0</v>
      </c>
      <c r="BG60" s="149">
        <f>IFERROR(s_RadSpec!$J$12*BG12,".")*$B$60</f>
        <v>0</v>
      </c>
      <c r="BH60" s="149">
        <f>IFERROR(s_RadSpec!$J$12*BH12,".")*$B$60</f>
        <v>0</v>
      </c>
      <c r="BI60" s="149">
        <f>IFERROR(s_RadSpec!$J$12*BI12,".")*$B$60</f>
        <v>0</v>
      </c>
      <c r="BJ60" s="149">
        <f>IFERROR(s_RadSpec!$J$12*BJ12,".")*$B$60</f>
        <v>0</v>
      </c>
      <c r="BK60" s="149">
        <f>IFERROR(s_RadSpec!$J$12*BK12,".")*$B$60</f>
        <v>0</v>
      </c>
      <c r="BL60" s="149">
        <f>IFERROR(s_RadSpec!$J$12*BL12,".")*$B$60</f>
        <v>0</v>
      </c>
      <c r="BM60" s="149">
        <f>IFERROR(s_RadSpec!$J$12*BM12,".")*$B$60</f>
        <v>0</v>
      </c>
      <c r="BN60" s="149">
        <f>IFERROR(s_RadSpec!$J$12*BN12,".")*$B$60</f>
        <v>0</v>
      </c>
      <c r="BO60" s="149">
        <f>IFERROR(s_RadSpec!$J$12*BO12,".")*$B$60</f>
        <v>0</v>
      </c>
      <c r="BP60" s="150">
        <f t="shared" si="86"/>
        <v>1.9597710180415351E-10</v>
      </c>
      <c r="BQ60" s="136">
        <f>IFERROR(BQ12/$B60,0)</f>
        <v>0</v>
      </c>
      <c r="BR60" s="136">
        <f>IFERROR(BR12/$B60,0)</f>
        <v>0</v>
      </c>
      <c r="BS60" s="136">
        <f t="shared" ref="BS60" si="407">IFERROR(BS12/$B60,0)</f>
        <v>4713830861.8940535</v>
      </c>
      <c r="BT60" s="136">
        <f>IFERROR(BT12/$B60,0)</f>
        <v>0</v>
      </c>
      <c r="BU60" s="136">
        <f t="shared" ref="BU60" si="408">IFERROR(BU12/$B60,0)</f>
        <v>0</v>
      </c>
      <c r="BV60" s="136">
        <f>IFERROR(BV12/$B60,0)</f>
        <v>0</v>
      </c>
      <c r="BW60" s="136">
        <f>IFERROR(BW12/$B60,0)</f>
        <v>0</v>
      </c>
      <c r="BX60" s="136">
        <f t="shared" ref="BX60:CD60" si="409">IFERROR(BX12/$B60,0)</f>
        <v>0</v>
      </c>
      <c r="BY60" s="136">
        <f t="shared" si="409"/>
        <v>0</v>
      </c>
      <c r="BZ60" s="136">
        <f t="shared" si="409"/>
        <v>0</v>
      </c>
      <c r="CA60" s="136">
        <f t="shared" si="409"/>
        <v>0</v>
      </c>
      <c r="CB60" s="136">
        <f t="shared" si="409"/>
        <v>0</v>
      </c>
      <c r="CC60" s="136">
        <f t="shared" si="409"/>
        <v>0</v>
      </c>
      <c r="CD60" s="136">
        <f t="shared" si="409"/>
        <v>0</v>
      </c>
      <c r="CE60" s="141"/>
      <c r="CF60" s="141"/>
      <c r="CG60" s="141"/>
      <c r="CH60" s="141"/>
      <c r="CI60" s="141"/>
      <c r="CJ60" s="141"/>
      <c r="CK60" s="141"/>
      <c r="CL60" s="141"/>
      <c r="CM60" s="141"/>
      <c r="CN60" s="141"/>
      <c r="CO60" s="141"/>
      <c r="CP60" s="141"/>
      <c r="CQ60" s="141"/>
      <c r="CR60" s="141"/>
      <c r="CS60" s="136">
        <f t="shared" ref="CS60" si="410">IFERROR(CS12/$B60,0)</f>
        <v>4713830861.8940535</v>
      </c>
      <c r="CT60" s="149">
        <f>IFERROR(s_RadSpec!$M$12*CT12,".")*$B$60</f>
        <v>0</v>
      </c>
      <c r="CU60" s="149">
        <f>IFERROR(s_RadSpec!$L$12*CU12,".")*$B$60</f>
        <v>0</v>
      </c>
      <c r="CV60" s="149">
        <f>IFERROR(s_RadSpec!$Q$12*CV12,".")*$B$60</f>
        <v>5.3035420091324192E-9</v>
      </c>
      <c r="CW60" s="149">
        <f>s_b2w!BZ60</f>
        <v>0</v>
      </c>
      <c r="CX60" s="149">
        <f>IFERROR(s_RadSpec!$J$12*CX12,".")*$B$60</f>
        <v>0</v>
      </c>
      <c r="CY60" s="149">
        <f>IFERROR(s_RadSpec!$J$12*CY12,".")*$B$60</f>
        <v>0</v>
      </c>
      <c r="CZ60" s="149">
        <f>IFERROR(s_RadSpec!$J$12*CZ12,".")*$B$60</f>
        <v>0</v>
      </c>
      <c r="DA60" s="149">
        <f>IFERROR(s_RadSpec!$J$12*DA12,".")*$B$60</f>
        <v>0</v>
      </c>
      <c r="DB60" s="149">
        <f>IFERROR(s_RadSpec!$J$12*DB12,".")*$B$60</f>
        <v>0</v>
      </c>
      <c r="DC60" s="149">
        <f>IFERROR(s_RadSpec!$J$12*DC12,".")*$B$60</f>
        <v>0</v>
      </c>
      <c r="DD60" s="149">
        <f>IFERROR(s_RadSpec!$J$12*DD12,".")*$B$60</f>
        <v>0</v>
      </c>
      <c r="DE60" s="149">
        <f>IFERROR(s_RadSpec!$J$12*DE12,".")*$B$60</f>
        <v>0</v>
      </c>
      <c r="DF60" s="149">
        <f>IFERROR(s_RadSpec!$J$12*DF12,".")*$B$60</f>
        <v>0</v>
      </c>
      <c r="DG60" s="149">
        <f>IFERROR(s_RadSpec!$J$12*DG12,".")*$B$60</f>
        <v>0</v>
      </c>
      <c r="DH60" s="150">
        <f t="shared" si="258"/>
        <v>0</v>
      </c>
      <c r="DI60" s="136">
        <f>IFERROR(DI12/$B60,0)</f>
        <v>0</v>
      </c>
      <c r="DJ60" s="136">
        <f t="shared" ref="DJ60:DK60" si="411">IFERROR(DJ12/$B60,0)</f>
        <v>4035581.8170172116</v>
      </c>
      <c r="DK60" s="136">
        <f t="shared" si="411"/>
        <v>4035581.8170172116</v>
      </c>
      <c r="DL60" s="149">
        <f>IFERROR(s_RadSpec!$L$12*DL12,".")*$B$60</f>
        <v>0</v>
      </c>
      <c r="DM60" s="149">
        <f>IFERROR(s_RadSpec!$O$12*DM12,".")*$B$60</f>
        <v>6.1948936073059364E-6</v>
      </c>
      <c r="DN60" s="150">
        <f t="shared" si="91"/>
        <v>6.1948936073059364E-6</v>
      </c>
    </row>
    <row r="61" spans="1:118" x14ac:dyDescent="0.25">
      <c r="A61" s="135" t="s">
        <v>1084</v>
      </c>
      <c r="B61" s="129">
        <v>1</v>
      </c>
      <c r="C61" s="136">
        <f t="shared" ref="C61:M61" si="412">IFERROR(C18/$B61,0)</f>
        <v>0.17018198836380657</v>
      </c>
      <c r="D61" s="136">
        <f t="shared" si="412"/>
        <v>0.5105459650914197</v>
      </c>
      <c r="E61" s="136">
        <f t="shared" si="412"/>
        <v>0.5105459650914197</v>
      </c>
      <c r="F61" s="136">
        <f t="shared" si="412"/>
        <v>0.5105459650914197</v>
      </c>
      <c r="G61" s="136">
        <f t="shared" si="412"/>
        <v>0.5105459650914197</v>
      </c>
      <c r="H61" s="136">
        <f t="shared" si="412"/>
        <v>0.5105459650914197</v>
      </c>
      <c r="I61" s="136">
        <f t="shared" si="412"/>
        <v>0.5105459650914197</v>
      </c>
      <c r="J61" s="136">
        <f t="shared" si="412"/>
        <v>0.5105459650914197</v>
      </c>
      <c r="K61" s="136">
        <f t="shared" si="412"/>
        <v>0.5105459650914197</v>
      </c>
      <c r="L61" s="136">
        <f t="shared" si="412"/>
        <v>0.5105459650914197</v>
      </c>
      <c r="M61" s="136">
        <f t="shared" si="412"/>
        <v>0.5105459650914197</v>
      </c>
      <c r="N61" s="149">
        <f>s_dir!BA61</f>
        <v>113437.5</v>
      </c>
      <c r="O61" s="149">
        <f>IFERROR(s_RadSpec!$J$18*O18,".")*$B$61</f>
        <v>48.967187500000001</v>
      </c>
      <c r="P61" s="149">
        <f>IFERROR(s_RadSpec!$J$18*P18,".")*$B$61</f>
        <v>48.967187500000001</v>
      </c>
      <c r="Q61" s="149">
        <f>IFERROR(s_RadSpec!$J$18*Q18,".")*$B$61</f>
        <v>48.967187500000001</v>
      </c>
      <c r="R61" s="149">
        <f>IFERROR(s_RadSpec!$J$18*R18,".")*$B$61</f>
        <v>48.967187500000001</v>
      </c>
      <c r="S61" s="149">
        <f>IFERROR(s_RadSpec!$J$18*S18,".")*$B$61</f>
        <v>48.967187500000001</v>
      </c>
      <c r="T61" s="149">
        <f>IFERROR(s_RadSpec!$J$18*T18,".")*$B$61</f>
        <v>48.967187500000001</v>
      </c>
      <c r="U61" s="149">
        <f>IFERROR(s_RadSpec!$J$18*U18,".")*$B$61</f>
        <v>48.967187500000001</v>
      </c>
      <c r="V61" s="149">
        <f>IFERROR(s_RadSpec!$J$18*V18,".")*$B$61</f>
        <v>48.967187500000001</v>
      </c>
      <c r="W61" s="149">
        <f>IFERROR(s_RadSpec!$J$18*W18,".")*$B$61</f>
        <v>48.967187500000001</v>
      </c>
      <c r="X61" s="149">
        <f>IFERROR(s_RadSpec!$J$18*X18,".")*$B$61</f>
        <v>48.967187500000001</v>
      </c>
      <c r="Y61" s="136">
        <f>IFERROR(Y18/$B61,0)</f>
        <v>255.27298254570982</v>
      </c>
      <c r="Z61" s="136">
        <f>IFERROR(Z18/$B61,0)</f>
        <v>892236.02001995174</v>
      </c>
      <c r="AA61" s="136">
        <f t="shared" ref="AA61:AH61" si="413">IFERROR(AA18/$B61,0)</f>
        <v>13227862.674701374</v>
      </c>
      <c r="AB61" s="136">
        <f>IFERROR(AB18/$B61,0)</f>
        <v>9.4650716553841239</v>
      </c>
      <c r="AC61" s="136">
        <f t="shared" ref="AC61" si="414">IFERROR(AC18/$B61,0)</f>
        <v>2.9781847963666146</v>
      </c>
      <c r="AD61" s="136">
        <f>IFERROR(AD18/$B61,0)</f>
        <v>1.1665025005043268</v>
      </c>
      <c r="AE61" s="136">
        <f>IFERROR(AE18/$B61,0)</f>
        <v>28.607085131415637</v>
      </c>
      <c r="AF61" s="136">
        <f t="shared" ref="AF61" si="415">IFERROR(AF18/$B61,0)</f>
        <v>0</v>
      </c>
      <c r="AG61" s="136">
        <f t="shared" si="413"/>
        <v>2.4302135427173477E-3</v>
      </c>
      <c r="AH61" s="136">
        <f t="shared" si="413"/>
        <v>1.881455645974721E-3</v>
      </c>
      <c r="AI61" s="136">
        <f t="shared" ref="AI61" si="416">IFERROR(AI18/$B61,0)</f>
        <v>0</v>
      </c>
      <c r="AJ61" s="136">
        <f t="shared" ref="AJ61:AL61" si="417">IFERROR(AJ18/$B61,0)</f>
        <v>2.6119512511292542</v>
      </c>
      <c r="AK61" s="136">
        <f t="shared" si="417"/>
        <v>0.1166502500504327</v>
      </c>
      <c r="AL61" s="136">
        <f t="shared" si="417"/>
        <v>0</v>
      </c>
      <c r="AM61" s="129"/>
      <c r="AN61" s="129"/>
      <c r="AO61" s="129"/>
      <c r="AP61" s="129"/>
      <c r="AQ61" s="129"/>
      <c r="AR61" s="129"/>
      <c r="AS61" s="129"/>
      <c r="AT61" s="129"/>
      <c r="AU61" s="129"/>
      <c r="AV61" s="129"/>
      <c r="AW61" s="129"/>
      <c r="AX61" s="129"/>
      <c r="AY61" s="129"/>
      <c r="AZ61" s="129"/>
      <c r="BA61" s="136">
        <f t="shared" ref="BA61" si="418">IFERROR(BA18/$B61,0)</f>
        <v>1.0490065545755015E-3</v>
      </c>
      <c r="BB61" s="149">
        <f>IFERROR(s_RadSpec!$I$18*BB18,".")*$B$61</f>
        <v>9.7934375000000004E-2</v>
      </c>
      <c r="BC61" s="149">
        <f>IFERROR(s_RadSpec!$L$18*BC18,".")*$B$61</f>
        <v>2.8019491971912272E-5</v>
      </c>
      <c r="BD61" s="149">
        <f>IFERROR(s_RadSpec!$K$18*BD18,".")*$B$61</f>
        <v>1.8899500709070057E-6</v>
      </c>
      <c r="BE61" s="149">
        <f>s_b2s!BZ61</f>
        <v>2.0125514062500001</v>
      </c>
      <c r="BF61" s="149">
        <f>IFERROR(s_RadSpec!$J$18*BF18,".")*$B$61</f>
        <v>8.3943749999999984</v>
      </c>
      <c r="BG61" s="149">
        <f>IFERROR(s_RadSpec!$J$18*BG18,".")*$B$61</f>
        <v>21.431587149784484</v>
      </c>
      <c r="BH61" s="149">
        <f>IFERROR(s_RadSpec!$J$18*BH18,".")*$B$61</f>
        <v>0.87390937892325093</v>
      </c>
      <c r="BI61" s="149">
        <f>IFERROR(s_RadSpec!$J$18*BI18,".")*$B$61</f>
        <v>0</v>
      </c>
      <c r="BJ61" s="149">
        <f>IFERROR(s_RadSpec!$J$18*BJ18,".")*$B$61</f>
        <v>10287.161831896552</v>
      </c>
      <c r="BK61" s="149">
        <f>IFERROR(s_RadSpec!$J$18*BK18,".")*$B$61</f>
        <v>13287.58403286638</v>
      </c>
      <c r="BL61" s="149">
        <f>IFERROR(s_RadSpec!$J$18*BL18,".")*$B$61</f>
        <v>0</v>
      </c>
      <c r="BM61" s="149">
        <f>IFERROR(s_RadSpec!$J$18*BM18,".")*$B$61</f>
        <v>9.5713884358260799</v>
      </c>
      <c r="BN61" s="149">
        <f>IFERROR(s_RadSpec!$J$18*BN18,".")*$B$61</f>
        <v>214.31587149784482</v>
      </c>
      <c r="BO61" s="149">
        <f>IFERROR(s_RadSpec!$J$18*BO18,".")*$B$61</f>
        <v>0</v>
      </c>
      <c r="BP61" s="150">
        <f t="shared" si="86"/>
        <v>23831.443511916004</v>
      </c>
      <c r="BQ61" s="136">
        <f>IFERROR(BQ18/$B61,0)</f>
        <v>2.8080028080028083</v>
      </c>
      <c r="BR61" s="136">
        <f>IFERROR(BR18/$B61,0)</f>
        <v>0</v>
      </c>
      <c r="BS61" s="136">
        <f t="shared" ref="BS61" si="419">IFERROR(BS18/$B61,0)</f>
        <v>1104453.0133411873</v>
      </c>
      <c r="BT61" s="136">
        <f>IFERROR(BT18/$B61,0)</f>
        <v>13.520470417263882</v>
      </c>
      <c r="BU61" s="136">
        <f t="shared" ref="BU61" si="420">IFERROR(BU18/$B61,0)</f>
        <v>14.181832363650546</v>
      </c>
      <c r="BV61" s="136">
        <f>IFERROR(BV18/$B61,0)</f>
        <v>20421.838603656786</v>
      </c>
      <c r="BW61" s="136">
        <f>IFERROR(BW18/$B61,0)</f>
        <v>500821.28004205931</v>
      </c>
      <c r="BX61" s="136">
        <f t="shared" ref="BX61:CD61" si="421">IFERROR(BX18/$B61,0)</f>
        <v>0</v>
      </c>
      <c r="BY61" s="136">
        <f t="shared" si="421"/>
        <v>42.545497090951642</v>
      </c>
      <c r="BZ61" s="136">
        <f t="shared" si="421"/>
        <v>32.938449360736755</v>
      </c>
      <c r="CA61" s="136">
        <f t="shared" si="421"/>
        <v>0</v>
      </c>
      <c r="CB61" s="136">
        <f t="shared" si="421"/>
        <v>45727.160351666287</v>
      </c>
      <c r="CC61" s="136">
        <f t="shared" si="421"/>
        <v>2042.1838603656788</v>
      </c>
      <c r="CD61" s="136">
        <f t="shared" si="421"/>
        <v>0</v>
      </c>
      <c r="CE61" s="141"/>
      <c r="CF61" s="141"/>
      <c r="CG61" s="141"/>
      <c r="CH61" s="141"/>
      <c r="CI61" s="141"/>
      <c r="CJ61" s="141"/>
      <c r="CK61" s="141"/>
      <c r="CL61" s="141"/>
      <c r="CM61" s="141"/>
      <c r="CN61" s="141"/>
      <c r="CO61" s="141"/>
      <c r="CP61" s="141"/>
      <c r="CQ61" s="141"/>
      <c r="CR61" s="141"/>
      <c r="CS61" s="136">
        <f t="shared" ref="CS61" si="422">IFERROR(CS18/$B61,0)</f>
        <v>1.8017141836406143</v>
      </c>
      <c r="CT61" s="149">
        <f>IFERROR(s_RadSpec!$M$18*CT18,".")*$B$61</f>
        <v>8.9031249999999993</v>
      </c>
      <c r="CU61" s="149">
        <f>IFERROR(s_RadSpec!$L$18*CU18,".")*$B$61</f>
        <v>4.3402734374999996</v>
      </c>
      <c r="CV61" s="149">
        <f>IFERROR(s_RadSpec!$Q$18*CV18,".")*$B$61</f>
        <v>2.2635639269406392E-5</v>
      </c>
      <c r="CW61" s="149">
        <f>s_b2w!BZ61</f>
        <v>1.8490480899302331</v>
      </c>
      <c r="CX61" s="149">
        <f>IFERROR(s_RadSpec!$J$18*CX18,".")*$B$61</f>
        <v>1.7628187499999999</v>
      </c>
      <c r="CY61" s="149">
        <f>IFERROR(s_RadSpec!$J$18*CY18,".")*$B$61</f>
        <v>1.2241796875E-3</v>
      </c>
      <c r="CZ61" s="149">
        <f>IFERROR(s_RadSpec!$J$18*CZ18,".")*$B$61</f>
        <v>4.9918006674757276E-5</v>
      </c>
      <c r="DA61" s="149">
        <f>IFERROR(s_RadSpec!$J$18*DA18,".")*$B$61</f>
        <v>0</v>
      </c>
      <c r="DB61" s="149">
        <f>IFERROR(s_RadSpec!$J$18*DB18,".")*$B$61</f>
        <v>0.58760625</v>
      </c>
      <c r="DC61" s="149">
        <f>IFERROR(s_RadSpec!$J$18*DC18,".")*$B$61</f>
        <v>0.75899140624999994</v>
      </c>
      <c r="DD61" s="149">
        <f>IFERROR(s_RadSpec!$J$18*DD18,".")*$B$61</f>
        <v>0</v>
      </c>
      <c r="DE61" s="149">
        <f>IFERROR(s_RadSpec!$J$18*DE18,".")*$B$61</f>
        <v>5.4672102548543702E-4</v>
      </c>
      <c r="DF61" s="149">
        <f>IFERROR(s_RadSpec!$J$18*DF18,".")*$B$61</f>
        <v>1.2241796875000001E-2</v>
      </c>
      <c r="DG61" s="149">
        <f>IFERROR(s_RadSpec!$J$18*DG18,".")*$B$61</f>
        <v>0</v>
      </c>
      <c r="DH61" s="150">
        <f t="shared" si="258"/>
        <v>0</v>
      </c>
      <c r="DI61" s="136">
        <f>IFERROR(DI18/$B61,0)</f>
        <v>2.8800028800028801</v>
      </c>
      <c r="DJ61" s="136">
        <f t="shared" ref="DJ61:DK61" si="423">IFERROR(DJ18/$B61,0)</f>
        <v>958.01991719033333</v>
      </c>
      <c r="DK61" s="136">
        <f t="shared" si="423"/>
        <v>2.8713709544343797</v>
      </c>
      <c r="DL61" s="149">
        <f>IFERROR(s_RadSpec!$L$18*DL18,".")*$B$61</f>
        <v>8.6805468749999992</v>
      </c>
      <c r="DM61" s="149">
        <f>IFERROR(s_RadSpec!$O$18*DM18,".")*$B$61</f>
        <v>2.609549086757991E-2</v>
      </c>
      <c r="DN61" s="150">
        <f t="shared" si="91"/>
        <v>8.7066423658675784</v>
      </c>
    </row>
    <row r="62" spans="1:118" x14ac:dyDescent="0.25">
      <c r="A62" s="135" t="s">
        <v>1085</v>
      </c>
      <c r="B62" s="129">
        <v>1.339E-6</v>
      </c>
      <c r="C62" s="136">
        <f t="shared" ref="C62:M62" si="424">IFERROR(C27/$B62,0)</f>
        <v>0</v>
      </c>
      <c r="D62" s="136">
        <f t="shared" si="424"/>
        <v>0</v>
      </c>
      <c r="E62" s="136">
        <f t="shared" si="424"/>
        <v>0</v>
      </c>
      <c r="F62" s="136">
        <f t="shared" si="424"/>
        <v>0</v>
      </c>
      <c r="G62" s="136">
        <f t="shared" si="424"/>
        <v>0</v>
      </c>
      <c r="H62" s="136">
        <f t="shared" si="424"/>
        <v>0</v>
      </c>
      <c r="I62" s="136">
        <f t="shared" si="424"/>
        <v>0</v>
      </c>
      <c r="J62" s="136">
        <f t="shared" si="424"/>
        <v>0</v>
      </c>
      <c r="K62" s="136">
        <f t="shared" si="424"/>
        <v>0</v>
      </c>
      <c r="L62" s="136">
        <f t="shared" si="424"/>
        <v>0</v>
      </c>
      <c r="M62" s="136">
        <f t="shared" si="424"/>
        <v>0</v>
      </c>
      <c r="N62" s="149">
        <f>s_dir!BA62</f>
        <v>0.1518928125</v>
      </c>
      <c r="O62" s="149">
        <f>IFERROR(s_RadSpec!$J$27*O27,".")*$B$62</f>
        <v>0</v>
      </c>
      <c r="P62" s="149">
        <f>IFERROR(s_RadSpec!$J$27*P27,".")*$B$62</f>
        <v>0</v>
      </c>
      <c r="Q62" s="149">
        <f>IFERROR(s_RadSpec!$J$27*Q27,".")*$B$62</f>
        <v>0</v>
      </c>
      <c r="R62" s="149">
        <f>IFERROR(s_RadSpec!$J$27*R27,".")*$B$62</f>
        <v>0</v>
      </c>
      <c r="S62" s="149">
        <f>IFERROR(s_RadSpec!$J$27*S27,".")*$B$62</f>
        <v>0</v>
      </c>
      <c r="T62" s="149">
        <f>IFERROR(s_RadSpec!$J$27*T27,".")*$B$62</f>
        <v>0</v>
      </c>
      <c r="U62" s="149">
        <f>IFERROR(s_RadSpec!$J$27*U27,".")*$B$62</f>
        <v>0</v>
      </c>
      <c r="V62" s="149">
        <f>IFERROR(s_RadSpec!$J$27*V27,".")*$B$62</f>
        <v>0</v>
      </c>
      <c r="W62" s="149">
        <f>IFERROR(s_RadSpec!$J$27*W27,".")*$B$62</f>
        <v>0</v>
      </c>
      <c r="X62" s="149">
        <f>IFERROR(s_RadSpec!$J$27*X27,".")*$B$62</f>
        <v>0</v>
      </c>
      <c r="Y62" s="136">
        <f>IFERROR(Y27/$B62,0)</f>
        <v>0</v>
      </c>
      <c r="Z62" s="136">
        <f>IFERROR(Z27/$B62,0)</f>
        <v>0</v>
      </c>
      <c r="AA62" s="136">
        <f t="shared" ref="AA62:AH62" si="425">IFERROR(AA27/$B62,0)</f>
        <v>71581408034.468033</v>
      </c>
      <c r="AB62" s="136">
        <f>IFERROR(AB27/$B62,0)</f>
        <v>0</v>
      </c>
      <c r="AC62" s="136">
        <f t="shared" ref="AC62" si="426">IFERROR(AC27/$B62,0)</f>
        <v>0</v>
      </c>
      <c r="AD62" s="136">
        <f>IFERROR(AD27/$B62,0)</f>
        <v>0</v>
      </c>
      <c r="AE62" s="136">
        <f>IFERROR(AE27/$B62,0)</f>
        <v>0</v>
      </c>
      <c r="AF62" s="136">
        <f t="shared" ref="AF62" si="427">IFERROR(AF27/$B62,0)</f>
        <v>0</v>
      </c>
      <c r="AG62" s="136">
        <f t="shared" si="425"/>
        <v>0</v>
      </c>
      <c r="AH62" s="136">
        <f t="shared" si="425"/>
        <v>0</v>
      </c>
      <c r="AI62" s="136">
        <f t="shared" ref="AI62" si="428">IFERROR(AI27/$B62,0)</f>
        <v>0</v>
      </c>
      <c r="AJ62" s="136">
        <f t="shared" ref="AJ62:AL62" si="429">IFERROR(AJ27/$B62,0)</f>
        <v>0</v>
      </c>
      <c r="AK62" s="136">
        <f t="shared" si="429"/>
        <v>0</v>
      </c>
      <c r="AL62" s="136">
        <f t="shared" si="429"/>
        <v>0</v>
      </c>
      <c r="AM62" s="129"/>
      <c r="AN62" s="129"/>
      <c r="AO62" s="129"/>
      <c r="AP62" s="129"/>
      <c r="AQ62" s="129"/>
      <c r="AR62" s="129"/>
      <c r="AS62" s="129"/>
      <c r="AT62" s="129"/>
      <c r="AU62" s="129"/>
      <c r="AV62" s="129"/>
      <c r="AW62" s="129"/>
      <c r="AX62" s="129"/>
      <c r="AY62" s="129"/>
      <c r="AZ62" s="129"/>
      <c r="BA62" s="136">
        <f t="shared" ref="BA62" si="430">IFERROR(BA27/$B62,0)</f>
        <v>71581408034.468033</v>
      </c>
      <c r="BB62" s="149">
        <f>IFERROR(s_RadSpec!$I$27*BB27,".")*$B$62</f>
        <v>0</v>
      </c>
      <c r="BC62" s="149">
        <f>IFERROR(s_RadSpec!$L$27*BC27,".")*$B$62</f>
        <v>0</v>
      </c>
      <c r="BD62" s="149">
        <f>IFERROR(s_RadSpec!$K$27*BD27,".")*$B$62</f>
        <v>3.4925269963901729E-10</v>
      </c>
      <c r="BE62" s="149">
        <f>s_b2s!BZ62</f>
        <v>0</v>
      </c>
      <c r="BF62" s="149">
        <f>IFERROR(s_RadSpec!$J$27*BF27,".")*$B$62</f>
        <v>0</v>
      </c>
      <c r="BG62" s="149">
        <f>IFERROR(s_RadSpec!$J$27*BG27,".")*$B$62</f>
        <v>0</v>
      </c>
      <c r="BH62" s="149">
        <f>IFERROR(s_RadSpec!$J$27*BH27,".")*$B$62</f>
        <v>0</v>
      </c>
      <c r="BI62" s="149">
        <f>IFERROR(s_RadSpec!$J$27*BI27,".")*$B$62</f>
        <v>0</v>
      </c>
      <c r="BJ62" s="149">
        <f>IFERROR(s_RadSpec!$J$27*BJ27,".")*$B$62</f>
        <v>0</v>
      </c>
      <c r="BK62" s="149">
        <f>IFERROR(s_RadSpec!$J$27*BK27,".")*$B$62</f>
        <v>0</v>
      </c>
      <c r="BL62" s="149">
        <f>IFERROR(s_RadSpec!$J$27*BL27,".")*$B$62</f>
        <v>0</v>
      </c>
      <c r="BM62" s="149">
        <f>IFERROR(s_RadSpec!$J$27*BM27,".")*$B$62</f>
        <v>0</v>
      </c>
      <c r="BN62" s="149">
        <f>IFERROR(s_RadSpec!$J$27*BN27,".")*$B$62</f>
        <v>0</v>
      </c>
      <c r="BO62" s="149">
        <f>IFERROR(s_RadSpec!$J$27*BO27,".")*$B$62</f>
        <v>0</v>
      </c>
      <c r="BP62" s="150">
        <f t="shared" si="86"/>
        <v>3.4925269963901729E-10</v>
      </c>
      <c r="BQ62" s="136">
        <f>IFERROR(BQ27/$B62,0)</f>
        <v>0</v>
      </c>
      <c r="BR62" s="136">
        <f>IFERROR(BR27/$B62,0)</f>
        <v>0</v>
      </c>
      <c r="BS62" s="136">
        <f t="shared" ref="BS62" si="431">IFERROR(BS27/$B62,0)</f>
        <v>1675715825.4380658</v>
      </c>
      <c r="BT62" s="136">
        <f>IFERROR(BT27/$B62,0)</f>
        <v>0</v>
      </c>
      <c r="BU62" s="136">
        <f t="shared" ref="BU62" si="432">IFERROR(BU27/$B62,0)</f>
        <v>0</v>
      </c>
      <c r="BV62" s="136">
        <f>IFERROR(BV27/$B62,0)</f>
        <v>0</v>
      </c>
      <c r="BW62" s="136">
        <f>IFERROR(BW27/$B62,0)</f>
        <v>0</v>
      </c>
      <c r="BX62" s="136">
        <f t="shared" ref="BX62:CD62" si="433">IFERROR(BX27/$B62,0)</f>
        <v>0</v>
      </c>
      <c r="BY62" s="136">
        <f t="shared" si="433"/>
        <v>0</v>
      </c>
      <c r="BZ62" s="136">
        <f t="shared" si="433"/>
        <v>0</v>
      </c>
      <c r="CA62" s="136">
        <f t="shared" si="433"/>
        <v>0</v>
      </c>
      <c r="CB62" s="136">
        <f t="shared" si="433"/>
        <v>0</v>
      </c>
      <c r="CC62" s="136">
        <f t="shared" si="433"/>
        <v>0</v>
      </c>
      <c r="CD62" s="136">
        <f t="shared" si="433"/>
        <v>0</v>
      </c>
      <c r="CE62" s="141"/>
      <c r="CF62" s="141"/>
      <c r="CG62" s="141"/>
      <c r="CH62" s="141"/>
      <c r="CI62" s="141"/>
      <c r="CJ62" s="141"/>
      <c r="CK62" s="141"/>
      <c r="CL62" s="141"/>
      <c r="CM62" s="141"/>
      <c r="CN62" s="141"/>
      <c r="CO62" s="141"/>
      <c r="CP62" s="141"/>
      <c r="CQ62" s="141"/>
      <c r="CR62" s="141"/>
      <c r="CS62" s="136">
        <f t="shared" ref="CS62" si="434">IFERROR(CS27/$B62,0)</f>
        <v>1675715825.4380658</v>
      </c>
      <c r="CT62" s="149">
        <f>IFERROR(s_RadSpec!$M$27*CT27,".")*$B$62</f>
        <v>0</v>
      </c>
      <c r="CU62" s="149">
        <f>IFERROR(s_RadSpec!$L$27*CU27,".")*$B$62</f>
        <v>0</v>
      </c>
      <c r="CV62" s="149">
        <f>IFERROR(s_RadSpec!$Q$27*CV27,".")*$B$62</f>
        <v>1.4918997374429222E-8</v>
      </c>
      <c r="CW62" s="149">
        <f>s_b2w!BZ62</f>
        <v>0</v>
      </c>
      <c r="CX62" s="149">
        <f>IFERROR(s_RadSpec!$J$27*CX27,".")*$B$62</f>
        <v>0</v>
      </c>
      <c r="CY62" s="149">
        <f>IFERROR(s_RadSpec!$J$27*CY27,".")*$B$62</f>
        <v>0</v>
      </c>
      <c r="CZ62" s="149">
        <f>IFERROR(s_RadSpec!$J$27*CZ27,".")*$B$62</f>
        <v>0</v>
      </c>
      <c r="DA62" s="149">
        <f>IFERROR(s_RadSpec!$J$27*DA27,".")*$B$62</f>
        <v>0</v>
      </c>
      <c r="DB62" s="149">
        <f>IFERROR(s_RadSpec!$J$27*DB27,".")*$B$62</f>
        <v>0</v>
      </c>
      <c r="DC62" s="149">
        <f>IFERROR(s_RadSpec!$J$27*DC27,".")*$B$62</f>
        <v>0</v>
      </c>
      <c r="DD62" s="149">
        <f>IFERROR(s_RadSpec!$J$27*DD27,".")*$B$62</f>
        <v>0</v>
      </c>
      <c r="DE62" s="149">
        <f>IFERROR(s_RadSpec!$J$27*DE27,".")*$B$62</f>
        <v>0</v>
      </c>
      <c r="DF62" s="149">
        <f>IFERROR(s_RadSpec!$J$27*DF27,".")*$B$62</f>
        <v>0</v>
      </c>
      <c r="DG62" s="149">
        <f>IFERROR(s_RadSpec!$J$27*DG27,".")*$B$62</f>
        <v>0</v>
      </c>
      <c r="DH62" s="150">
        <f t="shared" si="258"/>
        <v>0</v>
      </c>
      <c r="DI62" s="136">
        <f>IFERROR(DI27/$B62,0)</f>
        <v>0</v>
      </c>
      <c r="DJ62" s="136">
        <f t="shared" ref="DJ62:DK62" si="435">IFERROR(DJ27/$B62,0)</f>
        <v>801979.8660786713</v>
      </c>
      <c r="DK62" s="136">
        <f t="shared" si="435"/>
        <v>801979.8660786713</v>
      </c>
      <c r="DL62" s="149">
        <f>IFERROR(s_RadSpec!$L$27*DL27,".")*$B$62</f>
        <v>0</v>
      </c>
      <c r="DM62" s="149">
        <f>IFERROR(s_RadSpec!$O$27*DM27,".")*$B$62</f>
        <v>3.1172852408675795E-5</v>
      </c>
      <c r="DN62" s="150">
        <f t="shared" si="91"/>
        <v>3.1172852408675795E-5</v>
      </c>
    </row>
    <row r="63" spans="1:118" x14ac:dyDescent="0.25">
      <c r="A63" s="132" t="s">
        <v>23</v>
      </c>
      <c r="B63" s="132" t="s">
        <v>1059</v>
      </c>
      <c r="C63" s="134">
        <f t="shared" ref="C63:M63" si="436">1/SUM(1/C66,1/C68,1/C72,1/C73,1/C75)</f>
        <v>0.10743238958225611</v>
      </c>
      <c r="D63" s="134">
        <f t="shared" si="436"/>
        <v>0.32229716874676828</v>
      </c>
      <c r="E63" s="134">
        <f t="shared" si="436"/>
        <v>0.32229716874676828</v>
      </c>
      <c r="F63" s="134">
        <f t="shared" si="436"/>
        <v>0.32229716874676828</v>
      </c>
      <c r="G63" s="134">
        <f t="shared" si="436"/>
        <v>0.32229716874676828</v>
      </c>
      <c r="H63" s="134">
        <f t="shared" si="436"/>
        <v>0.32229716874676828</v>
      </c>
      <c r="I63" s="134">
        <f t="shared" si="436"/>
        <v>0.32229716874676828</v>
      </c>
      <c r="J63" s="134">
        <f t="shared" si="436"/>
        <v>0.32229716874676828</v>
      </c>
      <c r="K63" s="134">
        <f t="shared" si="436"/>
        <v>0.32229716874676828</v>
      </c>
      <c r="L63" s="134">
        <f t="shared" si="436"/>
        <v>0.32229716874676828</v>
      </c>
      <c r="M63" s="134">
        <f t="shared" si="436"/>
        <v>0.32229716874676828</v>
      </c>
      <c r="N63" s="146">
        <f>s_dir!BA63</f>
        <v>907500.15404812503</v>
      </c>
      <c r="O63" s="146">
        <f>SUM(O64:O76)</f>
        <v>77.56816511051241</v>
      </c>
      <c r="P63" s="146">
        <f t="shared" ref="P63:X63" si="437">SUM(P64:P76)</f>
        <v>77.56816511051241</v>
      </c>
      <c r="Q63" s="146">
        <f t="shared" si="437"/>
        <v>77.56816511051241</v>
      </c>
      <c r="R63" s="146">
        <f t="shared" si="437"/>
        <v>77.56816511051241</v>
      </c>
      <c r="S63" s="146">
        <f t="shared" si="437"/>
        <v>77.56816511051241</v>
      </c>
      <c r="T63" s="146">
        <f t="shared" si="437"/>
        <v>77.56816511051241</v>
      </c>
      <c r="U63" s="146">
        <f t="shared" si="437"/>
        <v>77.56816511051241</v>
      </c>
      <c r="V63" s="146">
        <f t="shared" si="437"/>
        <v>77.56816511051241</v>
      </c>
      <c r="W63" s="146">
        <f t="shared" si="437"/>
        <v>77.56816511051241</v>
      </c>
      <c r="X63" s="146">
        <f t="shared" si="437"/>
        <v>77.56816511051241</v>
      </c>
      <c r="Y63" s="134">
        <f>1/SUM(1/Y66,1/Y68,1/Y72,1/Y73,1/Y75)</f>
        <v>161.14858437338413</v>
      </c>
      <c r="Z63" s="134">
        <f>1/SUM(1/Z66,1/Z68,1/Z72,1/Z73,1/Z75)</f>
        <v>383846.185452112</v>
      </c>
      <c r="AA63" s="134">
        <f>1/SUM(1/AA64,1/AA66,1/AA68,1/AA69,1/AA70,1/AA71,1/AA72,1/AA73,1/AA74,1/AA75,1/AA76)</f>
        <v>56.396094563079068</v>
      </c>
      <c r="AB63" s="134">
        <f>1/SUM(1/AB66,1/AB68,1/AB72,1/AB73,1/AB75)</f>
        <v>5.6513214969902084</v>
      </c>
      <c r="AC63" s="134">
        <f t="shared" ref="AC63" si="438">1/SUM(1/AC66,1/AC68,1/AC72,1/AC73,1/AC75)</f>
        <v>1.9005886331976254</v>
      </c>
      <c r="AD63" s="134">
        <f>1/SUM(1/AD66,1/AD68,1/AD72,1/AD73,1/AD75)</f>
        <v>1.0762872895443669</v>
      </c>
      <c r="AE63" s="134">
        <f>1/SUM(1/AE66,1/AE68,1/AE72,1/AE73,1/AE75)</f>
        <v>18.505692761480407</v>
      </c>
      <c r="AF63" s="134" t="s">
        <v>1432</v>
      </c>
      <c r="AG63" s="134">
        <f>1/SUM(1/AG75)</f>
        <v>2.4302135427173477E-3</v>
      </c>
      <c r="AH63" s="134">
        <f>1/SUM(1/AH75)</f>
        <v>1.8814556459747207E-3</v>
      </c>
      <c r="AI63" s="134" t="s">
        <v>1432</v>
      </c>
      <c r="AJ63" s="134">
        <f>1/SUM(1/AJ66,1/AJ72,1/AJ75)</f>
        <v>1.0252383322068017</v>
      </c>
      <c r="AK63" s="134">
        <f>1/SUM(1/AK66,1/AK72,1/AK75)</f>
        <v>0.10758672499178566</v>
      </c>
      <c r="AL63" s="134">
        <f>1/SUM(1/AL66,1/AL72)</f>
        <v>0.28931753141926203</v>
      </c>
      <c r="AM63" s="129"/>
      <c r="AN63" s="129"/>
      <c r="AO63" s="129"/>
      <c r="AP63" s="129"/>
      <c r="AQ63" s="129"/>
      <c r="AR63" s="129"/>
      <c r="AS63" s="129"/>
      <c r="AT63" s="129"/>
      <c r="AU63" s="129"/>
      <c r="AV63" s="129"/>
      <c r="AW63" s="129"/>
      <c r="AX63" s="129"/>
      <c r="AY63" s="129"/>
      <c r="AZ63" s="129"/>
      <c r="BA63" s="134" t="e">
        <f>1/SUM(1/BA64,1/BA65,1/BA66,1/BA67,1/BA68,1/BA69,1/BA70,1/BA71,1/BA72,1/BA73,1/BA74,1/BA75,1/BA76)</f>
        <v>#DIV/0!</v>
      </c>
      <c r="BB63" s="146">
        <f t="shared" ref="BB63:BD63" si="439">SUM(BB64:BB76)</f>
        <v>0.15513633022102483</v>
      </c>
      <c r="BC63" s="146">
        <f t="shared" si="439"/>
        <v>6.515318402175628E-5</v>
      </c>
      <c r="BD63" s="146">
        <f t="shared" si="439"/>
        <v>0.44329310732744975</v>
      </c>
      <c r="BE63" s="146">
        <f>s_b2s!BZ63</f>
        <v>4.0436449007534874</v>
      </c>
      <c r="BF63" s="146">
        <f t="shared" ref="BF63:BO63" si="440">SUM(BF64:BF76)</f>
        <v>13.153819592164462</v>
      </c>
      <c r="BG63" s="146">
        <f t="shared" si="440"/>
        <v>23.227998920793208</v>
      </c>
      <c r="BH63" s="146">
        <f t="shared" si="440"/>
        <v>1.3509356457077628</v>
      </c>
      <c r="BI63" s="146">
        <f t="shared" si="440"/>
        <v>0</v>
      </c>
      <c r="BJ63" s="146">
        <f t="shared" si="440"/>
        <v>10287.161831896552</v>
      </c>
      <c r="BK63" s="146">
        <f t="shared" si="440"/>
        <v>13287.58403286638</v>
      </c>
      <c r="BL63" s="146">
        <f t="shared" si="440"/>
        <v>0</v>
      </c>
      <c r="BM63" s="146">
        <f t="shared" si="440"/>
        <v>24.384574020157913</v>
      </c>
      <c r="BN63" s="146">
        <f t="shared" si="440"/>
        <v>232.37067586088128</v>
      </c>
      <c r="BO63" s="146">
        <f t="shared" si="440"/>
        <v>86.410249241935688</v>
      </c>
      <c r="BP63" s="147">
        <f t="shared" si="86"/>
        <v>23960.28625753606</v>
      </c>
      <c r="BQ63" s="134">
        <f>1/SUM(1/BQ66,1/BQ68,1/BQ72,1/BQ73,1/BQ75)</f>
        <v>1.7726344281072255</v>
      </c>
      <c r="BR63" s="134">
        <f>1/SUM(1/BR64)</f>
        <v>15227.520571032026</v>
      </c>
      <c r="BS63" s="134">
        <f>1/SUM(1/BS64,1/BS66,1/BS68,1/BS69,1/BS70,1/BS71,1/BS72,1/BS73,1/BS74,1/BS75,1/BS76)</f>
        <v>5.9672154879041717</v>
      </c>
      <c r="BT63" s="134">
        <f>1/SUM(1/BT66,1/BT68,1/BT72,1/BT73,1/BT75)</f>
        <v>8.3986171831158245</v>
      </c>
      <c r="BU63" s="134">
        <f t="shared" ref="BU63" si="441">1/SUM(1/BU66,1/BU68,1/BU72,1/BU73,1/BU75)</f>
        <v>10.091640835284778</v>
      </c>
      <c r="BV63" s="134">
        <f>1/SUM(1/BV66,1/BV68,1/BV72,1/BV73,1/BV75)</f>
        <v>18873.086643725612</v>
      </c>
      <c r="BW63" s="134">
        <f>1/SUM(1/BW66,1/BW68,1/BW72,1/BW73,1/BW75)</f>
        <v>326746.19683718239</v>
      </c>
      <c r="BX63" s="134" t="s">
        <v>1432</v>
      </c>
      <c r="BY63" s="134">
        <f>1/SUM(1/BY75)</f>
        <v>42.545497090951642</v>
      </c>
      <c r="BZ63" s="134">
        <f>1/SUM(1/BZ75)</f>
        <v>32.938449360736755</v>
      </c>
      <c r="CA63" s="134" t="s">
        <v>1432</v>
      </c>
      <c r="CB63" s="134">
        <f>1/SUM(1/CB66,1/CB72,1/CB75)</f>
        <v>18139.986752400517</v>
      </c>
      <c r="CC63" s="134">
        <f>1/SUM(1/CC66,1/CC72,1/CC75)</f>
        <v>1886.0528964009668</v>
      </c>
      <c r="CD63" s="134">
        <f>1/SUM(1/CD66,1/CD72)</f>
        <v>5154.5077436765077</v>
      </c>
      <c r="CE63" s="141"/>
      <c r="CF63" s="141"/>
      <c r="CG63" s="141"/>
      <c r="CH63" s="141"/>
      <c r="CI63" s="141"/>
      <c r="CJ63" s="141"/>
      <c r="CK63" s="141"/>
      <c r="CL63" s="141"/>
      <c r="CM63" s="141"/>
      <c r="CN63" s="141"/>
      <c r="CO63" s="141"/>
      <c r="CP63" s="141"/>
      <c r="CQ63" s="141"/>
      <c r="CR63" s="141"/>
      <c r="CS63" s="134">
        <f>1/SUM(1/CS64,1/CS65,1/CS66,1/CS67,1/CS68,1/CS69,1/CS70,1/CS71,1/CS72,1/CS73,1/CS74,1/CS75,1/CS76)</f>
        <v>0.99538285728884024</v>
      </c>
      <c r="CT63" s="146">
        <f t="shared" ref="CT63:CV63" si="442">SUM(CT64:CT76)</f>
        <v>14.103302747365891</v>
      </c>
      <c r="CU63" s="146">
        <f t="shared" si="442"/>
        <v>10.092354074857942</v>
      </c>
      <c r="CV63" s="146">
        <f t="shared" si="442"/>
        <v>4.1895588463304367</v>
      </c>
      <c r="CW63" s="146">
        <f>s_b2w!BZ63</f>
        <v>2.9766805004827219</v>
      </c>
      <c r="CX63" s="146">
        <f t="shared" ref="CX63:DG63" si="443">SUM(CX64:CX76)</f>
        <v>2.4772978357086486</v>
      </c>
      <c r="CY63" s="146">
        <f t="shared" si="443"/>
        <v>1.3246375895969984E-3</v>
      </c>
      <c r="CZ63" s="146">
        <f t="shared" si="443"/>
        <v>7.6511984659633235E-5</v>
      </c>
      <c r="DA63" s="146">
        <f t="shared" si="443"/>
        <v>0</v>
      </c>
      <c r="DB63" s="146">
        <f t="shared" si="443"/>
        <v>0.58760625</v>
      </c>
      <c r="DC63" s="146">
        <f t="shared" si="443"/>
        <v>0.75899140624999994</v>
      </c>
      <c r="DD63" s="146">
        <f t="shared" si="443"/>
        <v>0</v>
      </c>
      <c r="DE63" s="146">
        <f t="shared" si="443"/>
        <v>1.3781707969930947E-3</v>
      </c>
      <c r="DF63" s="146">
        <f t="shared" si="443"/>
        <v>1.3255195571505918E-2</v>
      </c>
      <c r="DG63" s="146">
        <f t="shared" si="443"/>
        <v>4.8501236671280043E-3</v>
      </c>
      <c r="DH63" s="147">
        <f t="shared" si="258"/>
        <v>0</v>
      </c>
      <c r="DI63" s="134">
        <f>1/SUM(1/DI66,1/DI68,1/DI72,1/DI73,1/DI75)</f>
        <v>1.238997411868086</v>
      </c>
      <c r="DJ63" s="134">
        <f>1/SUM(1/DJ64,1/DJ65,1/DJ66,1/DJ67,1/DJ68,1/DJ69,1/DJ70,1/DJ71,1/DJ72,1/DJ73,1/DJ74,1/DJ75,1/DJ76)</f>
        <v>5.1642379839611898E-3</v>
      </c>
      <c r="DK63" s="134">
        <f>1/SUM(1/DK64,1/DK65,1/DK66,1/DK67,1/DK68,1/DK69,1/DK70,1/DK71,1/DK72,1/DK73,1/DK74,1/DK75,1/DK76)</f>
        <v>5.1427948669674024E-3</v>
      </c>
      <c r="DL63" s="146">
        <f t="shared" ref="DL63:DM63" si="444">SUM(DL64:DL76)</f>
        <v>20.184708149715885</v>
      </c>
      <c r="DM63" s="146">
        <f t="shared" si="444"/>
        <v>4840.9852678446732</v>
      </c>
      <c r="DN63" s="147">
        <f t="shared" si="91"/>
        <v>4861.1699759943895</v>
      </c>
    </row>
    <row r="64" spans="1:118" x14ac:dyDescent="0.25">
      <c r="A64" s="135" t="s">
        <v>1075</v>
      </c>
      <c r="B64" s="129">
        <v>1</v>
      </c>
      <c r="C64" s="136">
        <f t="shared" ref="C64:M64" si="445">IFERROR(C25/$B50,0)</f>
        <v>0</v>
      </c>
      <c r="D64" s="136">
        <f t="shared" si="445"/>
        <v>0</v>
      </c>
      <c r="E64" s="136">
        <f t="shared" si="445"/>
        <v>0</v>
      </c>
      <c r="F64" s="136">
        <f t="shared" si="445"/>
        <v>0</v>
      </c>
      <c r="G64" s="136">
        <f t="shared" si="445"/>
        <v>0</v>
      </c>
      <c r="H64" s="136">
        <f t="shared" si="445"/>
        <v>0</v>
      </c>
      <c r="I64" s="136">
        <f t="shared" si="445"/>
        <v>0</v>
      </c>
      <c r="J64" s="136">
        <f t="shared" si="445"/>
        <v>0</v>
      </c>
      <c r="K64" s="136">
        <f t="shared" si="445"/>
        <v>0</v>
      </c>
      <c r="L64" s="136">
        <f t="shared" si="445"/>
        <v>0</v>
      </c>
      <c r="M64" s="136">
        <f t="shared" si="445"/>
        <v>0</v>
      </c>
      <c r="N64" s="149">
        <f>s_dir!BA64</f>
        <v>113437.5</v>
      </c>
      <c r="O64" s="149">
        <f>IFERROR(s_RadSpec!$J$25*O25,".")*$B$64</f>
        <v>0</v>
      </c>
      <c r="P64" s="149">
        <f>IFERROR(s_RadSpec!$J$25*P25,".")*$B$64</f>
        <v>0</v>
      </c>
      <c r="Q64" s="149">
        <f>IFERROR(s_RadSpec!$J$25*Q25,".")*$B$64</f>
        <v>0</v>
      </c>
      <c r="R64" s="149">
        <f>IFERROR(s_RadSpec!$J$25*R25,".")*$B$64</f>
        <v>0</v>
      </c>
      <c r="S64" s="149">
        <f>IFERROR(s_RadSpec!$J$25*S25,".")*$B$64</f>
        <v>0</v>
      </c>
      <c r="T64" s="149">
        <f>IFERROR(s_RadSpec!$J$25*T25,".")*$B$64</f>
        <v>0</v>
      </c>
      <c r="U64" s="149">
        <f>IFERROR(s_RadSpec!$J$25*U25,".")*$B$64</f>
        <v>0</v>
      </c>
      <c r="V64" s="149">
        <f>IFERROR(s_RadSpec!$J$25*V25,".")*$B$64</f>
        <v>0</v>
      </c>
      <c r="W64" s="149">
        <f>IFERROR(s_RadSpec!$J$25*W25,".")*$B$64</f>
        <v>0</v>
      </c>
      <c r="X64" s="149">
        <f>IFERROR(s_RadSpec!$J$25*X25,".")*$B$64</f>
        <v>0</v>
      </c>
      <c r="Y64" s="136">
        <f>IFERROR(Y25/$B50,0)</f>
        <v>0</v>
      </c>
      <c r="Z64" s="136">
        <f>IFERROR(Z25/$B50,0)</f>
        <v>2358772354.6054182</v>
      </c>
      <c r="AA64" s="136">
        <f t="shared" ref="AA64:AH64" si="446">IFERROR(AA25/$B50,0)</f>
        <v>500621.03754162649</v>
      </c>
      <c r="AB64" s="136">
        <f>IFERROR(AB25/$B50,0)</f>
        <v>0</v>
      </c>
      <c r="AC64" s="136">
        <f t="shared" ref="AC64" si="447">IFERROR(AC25/$B50,0)</f>
        <v>0</v>
      </c>
      <c r="AD64" s="136">
        <f>IFERROR(AD25/$B50,0)</f>
        <v>0</v>
      </c>
      <c r="AE64" s="136">
        <f>IFERROR(AE25/$B50,0)</f>
        <v>0</v>
      </c>
      <c r="AF64" s="136">
        <f t="shared" ref="AF64" si="448">IFERROR(AF25/$B50,0)</f>
        <v>0</v>
      </c>
      <c r="AG64" s="136">
        <f t="shared" si="446"/>
        <v>0</v>
      </c>
      <c r="AH64" s="136">
        <f t="shared" si="446"/>
        <v>0</v>
      </c>
      <c r="AI64" s="136">
        <f t="shared" ref="AI64" si="449">IFERROR(AI25/$B50,0)</f>
        <v>0</v>
      </c>
      <c r="AJ64" s="136">
        <f t="shared" ref="AJ64:AL64" si="450">IFERROR(AJ25/$B50,0)</f>
        <v>0</v>
      </c>
      <c r="AK64" s="136">
        <f t="shared" si="450"/>
        <v>0</v>
      </c>
      <c r="AL64" s="136">
        <f t="shared" si="450"/>
        <v>0</v>
      </c>
      <c r="AM64" s="129"/>
      <c r="AN64" s="129"/>
      <c r="AO64" s="129"/>
      <c r="AP64" s="129"/>
      <c r="AQ64" s="129"/>
      <c r="AR64" s="129"/>
      <c r="AS64" s="129"/>
      <c r="AT64" s="129"/>
      <c r="AU64" s="129"/>
      <c r="AV64" s="129"/>
      <c r="AW64" s="129"/>
      <c r="AX64" s="129"/>
      <c r="AY64" s="129"/>
      <c r="AZ64" s="129"/>
      <c r="BA64" s="136">
        <f t="shared" ref="BA64" si="451">IFERROR(BA25/$B50,0)</f>
        <v>500514.80929851223</v>
      </c>
      <c r="BB64" s="149">
        <f>IFERROR(s_RadSpec!$I$25*BB25,".")*$B$64</f>
        <v>0</v>
      </c>
      <c r="BC64" s="149">
        <f>IFERROR(s_RadSpec!$L$25*BC25,".")*$B$64</f>
        <v>1.0598733680759146E-8</v>
      </c>
      <c r="BD64" s="149">
        <f>IFERROR(s_RadSpec!$K$25*BD25,".")*$B$64</f>
        <v>4.9937973287671228E-5</v>
      </c>
      <c r="BE64" s="149">
        <f>s_b2s!BZ64</f>
        <v>0</v>
      </c>
      <c r="BF64" s="149">
        <f>IFERROR(s_RadSpec!$J$25*BF25,".")*$B$64</f>
        <v>0</v>
      </c>
      <c r="BG64" s="149">
        <f>IFERROR(s_RadSpec!$J$25*BG25,".")*$B$64</f>
        <v>0</v>
      </c>
      <c r="BH64" s="149">
        <f>IFERROR(s_RadSpec!$J$25*BH25,".")*$B$64</f>
        <v>0</v>
      </c>
      <c r="BI64" s="149">
        <f>IFERROR(s_RadSpec!$J$25*BI25,".")*$B$64</f>
        <v>0</v>
      </c>
      <c r="BJ64" s="149">
        <f>IFERROR(s_RadSpec!$J$25*BJ25,".")*$B$64</f>
        <v>0</v>
      </c>
      <c r="BK64" s="149">
        <f>IFERROR(s_RadSpec!$J$25*BK25,".")*$B$64</f>
        <v>0</v>
      </c>
      <c r="BL64" s="149">
        <f>IFERROR(s_RadSpec!$J$25*BL25,".")*$B$64</f>
        <v>0</v>
      </c>
      <c r="BM64" s="149">
        <f>IFERROR(s_RadSpec!$J$25*BM25,".")*$B$64</f>
        <v>0</v>
      </c>
      <c r="BN64" s="149">
        <f>IFERROR(s_RadSpec!$J$25*BN25,".")*$B$64</f>
        <v>0</v>
      </c>
      <c r="BO64" s="149">
        <f>IFERROR(s_RadSpec!$J$25*BO25,".")*$B$64</f>
        <v>0</v>
      </c>
      <c r="BP64" s="150">
        <f t="shared" si="86"/>
        <v>4.9948572021351988E-5</v>
      </c>
      <c r="BQ64" s="136">
        <f>IFERROR(BQ25/$B50,0)</f>
        <v>0</v>
      </c>
      <c r="BR64" s="136">
        <f>IFERROR(BR25/$B50,0)</f>
        <v>15227.520571032024</v>
      </c>
      <c r="BS64" s="136">
        <f t="shared" ref="BS64" si="452">IFERROR(BS25/$B50,0)</f>
        <v>28345.669092400152</v>
      </c>
      <c r="BT64" s="136">
        <f>IFERROR(BT25/$B50,0)</f>
        <v>0</v>
      </c>
      <c r="BU64" s="136">
        <f t="shared" ref="BU64" si="453">IFERROR(BU25/$B50,0)</f>
        <v>0</v>
      </c>
      <c r="BV64" s="136">
        <f>IFERROR(BV25/$B50,0)</f>
        <v>0</v>
      </c>
      <c r="BW64" s="136">
        <f>IFERROR(BW25/$B50,0)</f>
        <v>0</v>
      </c>
      <c r="BX64" s="136">
        <f t="shared" ref="BX64:CD64" si="454">IFERROR(BX25/$B50,0)</f>
        <v>0</v>
      </c>
      <c r="BY64" s="136">
        <f t="shared" si="454"/>
        <v>0</v>
      </c>
      <c r="BZ64" s="136">
        <f t="shared" si="454"/>
        <v>0</v>
      </c>
      <c r="CA64" s="136">
        <f t="shared" si="454"/>
        <v>0</v>
      </c>
      <c r="CB64" s="136">
        <f t="shared" si="454"/>
        <v>0</v>
      </c>
      <c r="CC64" s="136">
        <f t="shared" si="454"/>
        <v>0</v>
      </c>
      <c r="CD64" s="136">
        <f t="shared" si="454"/>
        <v>0</v>
      </c>
      <c r="CE64" s="141"/>
      <c r="CF64" s="141"/>
      <c r="CG64" s="141"/>
      <c r="CH64" s="141"/>
      <c r="CI64" s="141"/>
      <c r="CJ64" s="141"/>
      <c r="CK64" s="141"/>
      <c r="CL64" s="141"/>
      <c r="CM64" s="141"/>
      <c r="CN64" s="141"/>
      <c r="CO64" s="141"/>
      <c r="CP64" s="141"/>
      <c r="CQ64" s="141"/>
      <c r="CR64" s="141"/>
      <c r="CS64" s="136">
        <f t="shared" ref="CS64" si="455">IFERROR(CS25/$B50,0)</f>
        <v>9905.9596632290923</v>
      </c>
      <c r="CT64" s="149">
        <f>IFERROR(s_RadSpec!$M$25*CT25,".")*$B$64</f>
        <v>0</v>
      </c>
      <c r="CU64" s="149">
        <f>IFERROR(s_RadSpec!$L$25*CU25,".")*$B$64</f>
        <v>1.6417643229166665E-3</v>
      </c>
      <c r="CV64" s="149">
        <f>IFERROR(s_RadSpec!$Q$25*CV25,".")*$B$64</f>
        <v>8.8196894977168947E-4</v>
      </c>
      <c r="CW64" s="149">
        <f>s_b2w!BZ64</f>
        <v>0</v>
      </c>
      <c r="CX64" s="149">
        <f>IFERROR(s_RadSpec!$J$25*CX25,".")*$B$64</f>
        <v>0</v>
      </c>
      <c r="CY64" s="149">
        <f>IFERROR(s_RadSpec!$J$25*CY25,".")*$B$64</f>
        <v>0</v>
      </c>
      <c r="CZ64" s="149">
        <f>IFERROR(s_RadSpec!$J$25*CZ25,".")*$B$64</f>
        <v>0</v>
      </c>
      <c r="DA64" s="149">
        <f>IFERROR(s_RadSpec!$J$25*DA25,".")*$B$64</f>
        <v>0</v>
      </c>
      <c r="DB64" s="149">
        <f>IFERROR(s_RadSpec!$J$25*DB25,".")*$B$64</f>
        <v>0</v>
      </c>
      <c r="DC64" s="149">
        <f>IFERROR(s_RadSpec!$J$25*DC25,".")*$B$64</f>
        <v>0</v>
      </c>
      <c r="DD64" s="149">
        <f>IFERROR(s_RadSpec!$J$25*DD25,".")*$B$64</f>
        <v>0</v>
      </c>
      <c r="DE64" s="149">
        <f>IFERROR(s_RadSpec!$J$25*DE25,".")*$B$64</f>
        <v>0</v>
      </c>
      <c r="DF64" s="149">
        <f>IFERROR(s_RadSpec!$J$25*DF25,".")*$B$64</f>
        <v>0</v>
      </c>
      <c r="DG64" s="149">
        <f>IFERROR(s_RadSpec!$J$25*DG25,".")*$B$64</f>
        <v>0</v>
      </c>
      <c r="DH64" s="150">
        <f t="shared" si="258"/>
        <v>0</v>
      </c>
      <c r="DI64" s="136">
        <f>IFERROR(DI25/$B50,0)</f>
        <v>7613.7602855160121</v>
      </c>
      <c r="DJ64" s="136">
        <f t="shared" ref="DJ64:DK64" si="456">IFERROR(DJ25/$B50,0)</f>
        <v>24.642708852583716</v>
      </c>
      <c r="DK64" s="136">
        <f t="shared" si="456"/>
        <v>24.563207535352756</v>
      </c>
      <c r="DL64" s="149">
        <f>IFERROR(s_RadSpec!$L$25*DL25,".")*$B$64</f>
        <v>3.283528645833333E-3</v>
      </c>
      <c r="DM64" s="149">
        <f>IFERROR(s_RadSpec!$O$25*DM25,".")*$B$64</f>
        <v>1.0144988584474885</v>
      </c>
      <c r="DN64" s="150">
        <f t="shared" si="91"/>
        <v>1.0177823870933218</v>
      </c>
    </row>
    <row r="65" spans="1:118" x14ac:dyDescent="0.25">
      <c r="A65" s="135" t="s">
        <v>1061</v>
      </c>
      <c r="B65" s="129">
        <v>1</v>
      </c>
      <c r="C65" s="136">
        <f t="shared" ref="C65:M65" si="457">IFERROR(C21/$B51,0)</f>
        <v>0</v>
      </c>
      <c r="D65" s="136">
        <f t="shared" si="457"/>
        <v>0</v>
      </c>
      <c r="E65" s="136">
        <f t="shared" si="457"/>
        <v>0</v>
      </c>
      <c r="F65" s="136">
        <f t="shared" si="457"/>
        <v>0</v>
      </c>
      <c r="G65" s="136">
        <f t="shared" si="457"/>
        <v>0</v>
      </c>
      <c r="H65" s="136">
        <f t="shared" si="457"/>
        <v>0</v>
      </c>
      <c r="I65" s="136">
        <f t="shared" si="457"/>
        <v>0</v>
      </c>
      <c r="J65" s="136">
        <f t="shared" si="457"/>
        <v>0</v>
      </c>
      <c r="K65" s="136">
        <f t="shared" si="457"/>
        <v>0</v>
      </c>
      <c r="L65" s="136">
        <f t="shared" si="457"/>
        <v>0</v>
      </c>
      <c r="M65" s="136">
        <f t="shared" si="457"/>
        <v>0</v>
      </c>
      <c r="N65" s="149">
        <f>s_dir!BA65</f>
        <v>113437.5</v>
      </c>
      <c r="O65" s="149">
        <f>IFERROR(s_RadSpec!$J$21*O21,".")*$B$65</f>
        <v>0</v>
      </c>
      <c r="P65" s="149">
        <f>IFERROR(s_RadSpec!$J$21*P21,".")*$B$65</f>
        <v>0</v>
      </c>
      <c r="Q65" s="149">
        <f>IFERROR(s_RadSpec!$J$21*Q21,".")*$B$65</f>
        <v>0</v>
      </c>
      <c r="R65" s="149">
        <f>IFERROR(s_RadSpec!$J$21*R21,".")*$B$65</f>
        <v>0</v>
      </c>
      <c r="S65" s="149">
        <f>IFERROR(s_RadSpec!$J$21*S21,".")*$B$65</f>
        <v>0</v>
      </c>
      <c r="T65" s="149">
        <f>IFERROR(s_RadSpec!$J$21*T21,".")*$B$65</f>
        <v>0</v>
      </c>
      <c r="U65" s="149">
        <f>IFERROR(s_RadSpec!$J$21*U21,".")*$B$65</f>
        <v>0</v>
      </c>
      <c r="V65" s="149">
        <f>IFERROR(s_RadSpec!$J$21*V21,".")*$B$65</f>
        <v>0</v>
      </c>
      <c r="W65" s="149">
        <f>IFERROR(s_RadSpec!$J$21*W21,".")*$B$65</f>
        <v>0</v>
      </c>
      <c r="X65" s="149">
        <f>IFERROR(s_RadSpec!$J$21*X21,".")*$B$65</f>
        <v>0</v>
      </c>
      <c r="Y65" s="136">
        <f>IFERROR(Y21/$B51,0)</f>
        <v>0</v>
      </c>
      <c r="Z65" s="136">
        <f>IFERROR(Z21/$B51,0)</f>
        <v>2027553664.3917964</v>
      </c>
      <c r="AA65" s="136">
        <f t="shared" ref="AA65:AH65" si="458">IFERROR(AA21/$B51,0)</f>
        <v>0</v>
      </c>
      <c r="AB65" s="136">
        <f>IFERROR(AB21/$B51,0)</f>
        <v>0</v>
      </c>
      <c r="AC65" s="136">
        <f t="shared" ref="AC65" si="459">IFERROR(AC21/$B51,0)</f>
        <v>0</v>
      </c>
      <c r="AD65" s="136">
        <f>IFERROR(AD21/$B51,0)</f>
        <v>0</v>
      </c>
      <c r="AE65" s="136">
        <f>IFERROR(AE21/$B51,0)</f>
        <v>0</v>
      </c>
      <c r="AF65" s="136">
        <f t="shared" ref="AF65" si="460">IFERROR(AF21/$B51,0)</f>
        <v>0</v>
      </c>
      <c r="AG65" s="136">
        <f t="shared" si="458"/>
        <v>0</v>
      </c>
      <c r="AH65" s="136">
        <f t="shared" si="458"/>
        <v>0</v>
      </c>
      <c r="AI65" s="136">
        <f t="shared" ref="AI65" si="461">IFERROR(AI21/$B51,0)</f>
        <v>0</v>
      </c>
      <c r="AJ65" s="136">
        <f t="shared" ref="AJ65:AL65" si="462">IFERROR(AJ21/$B51,0)</f>
        <v>0</v>
      </c>
      <c r="AK65" s="136">
        <f t="shared" si="462"/>
        <v>0</v>
      </c>
      <c r="AL65" s="136">
        <f t="shared" si="462"/>
        <v>0</v>
      </c>
      <c r="AM65" s="129"/>
      <c r="AN65" s="129"/>
      <c r="AO65" s="129"/>
      <c r="AP65" s="129"/>
      <c r="AQ65" s="129"/>
      <c r="AR65" s="129"/>
      <c r="AS65" s="129"/>
      <c r="AT65" s="129"/>
      <c r="AU65" s="129"/>
      <c r="AV65" s="129"/>
      <c r="AW65" s="129"/>
      <c r="AX65" s="129"/>
      <c r="AY65" s="129"/>
      <c r="AZ65" s="129"/>
      <c r="BA65" s="136">
        <f t="shared" ref="BA65" si="463">IFERROR(BA21/$B51,0)</f>
        <v>2027553664.3917966</v>
      </c>
      <c r="BB65" s="149">
        <f>IFERROR(s_RadSpec!$I$21*BB21,".")*$B$65</f>
        <v>0</v>
      </c>
      <c r="BC65" s="149">
        <f>IFERROR(s_RadSpec!$L$21*BC21,".")*$B$65</f>
        <v>1.2330129869829724E-8</v>
      </c>
      <c r="BD65" s="149">
        <f>IFERROR(s_RadSpec!$K$21*BD21,".")*$B$65</f>
        <v>0</v>
      </c>
      <c r="BE65" s="149">
        <f>s_b2s!BZ65</f>
        <v>0</v>
      </c>
      <c r="BF65" s="149">
        <f>IFERROR(s_RadSpec!$J$21*BF21,".")*$B$65</f>
        <v>0</v>
      </c>
      <c r="BG65" s="149">
        <f>IFERROR(s_RadSpec!$J$21*BG21,".")*$B$65</f>
        <v>0</v>
      </c>
      <c r="BH65" s="149">
        <f>IFERROR(s_RadSpec!$J$21*BH21,".")*$B$65</f>
        <v>0</v>
      </c>
      <c r="BI65" s="149">
        <f>IFERROR(s_RadSpec!$J$21*BI21,".")*$B$65</f>
        <v>0</v>
      </c>
      <c r="BJ65" s="149">
        <f>IFERROR(s_RadSpec!$J$21*BJ21,".")*$B$65</f>
        <v>0</v>
      </c>
      <c r="BK65" s="149">
        <f>IFERROR(s_RadSpec!$J$21*BK21,".")*$B$65</f>
        <v>0</v>
      </c>
      <c r="BL65" s="149">
        <f>IFERROR(s_RadSpec!$J$21*BL21,".")*$B$65</f>
        <v>0</v>
      </c>
      <c r="BM65" s="149">
        <f>IFERROR(s_RadSpec!$J$21*BM21,".")*$B$65</f>
        <v>0</v>
      </c>
      <c r="BN65" s="149">
        <f>IFERROR(s_RadSpec!$J$21*BN21,".")*$B$65</f>
        <v>0</v>
      </c>
      <c r="BO65" s="149">
        <f>IFERROR(s_RadSpec!$J$21*BO21,".")*$B$65</f>
        <v>0</v>
      </c>
      <c r="BP65" s="150">
        <f t="shared" si="86"/>
        <v>1.2330129869829724E-8</v>
      </c>
      <c r="BQ65" s="136">
        <f>IFERROR(BQ21/$B51,0)</f>
        <v>0</v>
      </c>
      <c r="BR65" s="136">
        <f>IFERROR(BR21/$B51,0)</f>
        <v>0</v>
      </c>
      <c r="BS65" s="136">
        <f t="shared" ref="BS65" si="464">IFERROR(BS21/$B51,0)</f>
        <v>372656348.90707898</v>
      </c>
      <c r="BT65" s="136">
        <f>IFERROR(BT21/$B51,0)</f>
        <v>0</v>
      </c>
      <c r="BU65" s="136">
        <f t="shared" ref="BU65" si="465">IFERROR(BU21/$B51,0)</f>
        <v>0</v>
      </c>
      <c r="BV65" s="136">
        <f>IFERROR(BV21/$B51,0)</f>
        <v>0</v>
      </c>
      <c r="BW65" s="136">
        <f>IFERROR(BW21/$B51,0)</f>
        <v>0</v>
      </c>
      <c r="BX65" s="136">
        <f t="shared" ref="BX65:CD65" si="466">IFERROR(BX21/$B51,0)</f>
        <v>0</v>
      </c>
      <c r="BY65" s="136">
        <f t="shared" si="466"/>
        <v>0</v>
      </c>
      <c r="BZ65" s="136">
        <f t="shared" si="466"/>
        <v>0</v>
      </c>
      <c r="CA65" s="136">
        <f t="shared" si="466"/>
        <v>0</v>
      </c>
      <c r="CB65" s="136">
        <f t="shared" si="466"/>
        <v>0</v>
      </c>
      <c r="CC65" s="136">
        <f t="shared" si="466"/>
        <v>0</v>
      </c>
      <c r="CD65" s="136">
        <f t="shared" si="466"/>
        <v>0</v>
      </c>
      <c r="CE65" s="141"/>
      <c r="CF65" s="141"/>
      <c r="CG65" s="141"/>
      <c r="CH65" s="141"/>
      <c r="CI65" s="141"/>
      <c r="CJ65" s="141"/>
      <c r="CK65" s="141"/>
      <c r="CL65" s="141"/>
      <c r="CM65" s="141"/>
      <c r="CN65" s="141"/>
      <c r="CO65" s="141"/>
      <c r="CP65" s="141"/>
      <c r="CQ65" s="141"/>
      <c r="CR65" s="141"/>
      <c r="CS65" s="136">
        <f t="shared" ref="CS65" si="467">IFERROR(CS21/$B51,0)</f>
        <v>372656348.90707898</v>
      </c>
      <c r="CT65" s="149">
        <f>IFERROR(s_RadSpec!$M$21*CT21,".")*$B$65</f>
        <v>0</v>
      </c>
      <c r="CU65" s="149">
        <f>IFERROR(s_RadSpec!$L$21*CU21,".")*$B$65</f>
        <v>1.9099609374999998E-3</v>
      </c>
      <c r="CV65" s="149">
        <f>IFERROR(s_RadSpec!$Q$21*CV21,".")*$B$65</f>
        <v>6.7085936073059347E-8</v>
      </c>
      <c r="CW65" s="149">
        <f>s_b2w!BZ65</f>
        <v>0</v>
      </c>
      <c r="CX65" s="149">
        <f>IFERROR(s_RadSpec!$J$21*CX21,".")*$B$65</f>
        <v>0</v>
      </c>
      <c r="CY65" s="149">
        <f>IFERROR(s_RadSpec!$J$21*CY21,".")*$B$65</f>
        <v>0</v>
      </c>
      <c r="CZ65" s="149">
        <f>IFERROR(s_RadSpec!$J$21*CZ21,".")*$B$65</f>
        <v>0</v>
      </c>
      <c r="DA65" s="149">
        <f>IFERROR(s_RadSpec!$J$21*DA21,".")*$B$65</f>
        <v>0</v>
      </c>
      <c r="DB65" s="149">
        <f>IFERROR(s_RadSpec!$J$21*DB21,".")*$B$65</f>
        <v>0</v>
      </c>
      <c r="DC65" s="149">
        <f>IFERROR(s_RadSpec!$J$21*DC21,".")*$B$65</f>
        <v>0</v>
      </c>
      <c r="DD65" s="149">
        <f>IFERROR(s_RadSpec!$J$21*DD21,".")*$B$65</f>
        <v>0</v>
      </c>
      <c r="DE65" s="149">
        <f>IFERROR(s_RadSpec!$J$21*DE21,".")*$B$65</f>
        <v>0</v>
      </c>
      <c r="DF65" s="149">
        <f>IFERROR(s_RadSpec!$J$21*DF21,".")*$B$65</f>
        <v>0</v>
      </c>
      <c r="DG65" s="149">
        <f>IFERROR(s_RadSpec!$J$21*DG21,".")*$B$65</f>
        <v>0</v>
      </c>
      <c r="DH65" s="150">
        <f t="shared" si="258"/>
        <v>0</v>
      </c>
      <c r="DI65" s="136">
        <f>IFERROR(DI21/$B51,0)</f>
        <v>6544.6364658963093</v>
      </c>
      <c r="DJ65" s="136">
        <f t="shared" ref="DJ65:DK65" si="468">IFERROR(DJ21/$B51,0)</f>
        <v>162717.1233395795</v>
      </c>
      <c r="DK65" s="136">
        <f t="shared" si="468"/>
        <v>6291.5830501693035</v>
      </c>
      <c r="DL65" s="149">
        <f>IFERROR(s_RadSpec!$L$21*DL21,".")*$B$65</f>
        <v>3.8199218749999995E-3</v>
      </c>
      <c r="DM65" s="149">
        <f>IFERROR(s_RadSpec!$O$21*DM21,".")*$B$65</f>
        <v>1.5364086757990868E-4</v>
      </c>
      <c r="DN65" s="150">
        <f t="shared" si="91"/>
        <v>3.9735627425799081E-3</v>
      </c>
    </row>
    <row r="66" spans="1:118" x14ac:dyDescent="0.25">
      <c r="A66" s="135" t="s">
        <v>1062</v>
      </c>
      <c r="B66" s="129">
        <v>0.99980000000000002</v>
      </c>
      <c r="C66" s="136">
        <f t="shared" ref="C66:M66" si="469">IFERROR(C17/$B52,0)</f>
        <v>1496.8746494859847</v>
      </c>
      <c r="D66" s="136">
        <f t="shared" si="469"/>
        <v>4490.6239484579546</v>
      </c>
      <c r="E66" s="136">
        <f t="shared" si="469"/>
        <v>4490.6239484579546</v>
      </c>
      <c r="F66" s="136">
        <f t="shared" si="469"/>
        <v>4490.6239484579546</v>
      </c>
      <c r="G66" s="136">
        <f t="shared" si="469"/>
        <v>4490.6239484579546</v>
      </c>
      <c r="H66" s="136">
        <f t="shared" si="469"/>
        <v>4490.6239484579546</v>
      </c>
      <c r="I66" s="136">
        <f t="shared" si="469"/>
        <v>4490.6239484579546</v>
      </c>
      <c r="J66" s="136">
        <f t="shared" si="469"/>
        <v>4490.6239484579546</v>
      </c>
      <c r="K66" s="136">
        <f t="shared" si="469"/>
        <v>4490.6239484579546</v>
      </c>
      <c r="L66" s="136">
        <f t="shared" si="469"/>
        <v>4490.6239484579546</v>
      </c>
      <c r="M66" s="136">
        <f t="shared" si="469"/>
        <v>4490.6239484579546</v>
      </c>
      <c r="N66" s="149">
        <f>s_dir!BA66</f>
        <v>113414.8125</v>
      </c>
      <c r="O66" s="149">
        <f>IFERROR(s_RadSpec!$J$17*O17,".")*$B$66</f>
        <v>5.56715509625E-3</v>
      </c>
      <c r="P66" s="149">
        <f>IFERROR(s_RadSpec!$J$17*P17,".")*$B$66</f>
        <v>5.56715509625E-3</v>
      </c>
      <c r="Q66" s="149">
        <f>IFERROR(s_RadSpec!$J$17*Q17,".")*$B$66</f>
        <v>5.56715509625E-3</v>
      </c>
      <c r="R66" s="149">
        <f>IFERROR(s_RadSpec!$J$17*R17,".")*$B$66</f>
        <v>5.56715509625E-3</v>
      </c>
      <c r="S66" s="149">
        <f>IFERROR(s_RadSpec!$J$17*S17,".")*$B$66</f>
        <v>5.56715509625E-3</v>
      </c>
      <c r="T66" s="149">
        <f>IFERROR(s_RadSpec!$J$17*T17,".")*$B$66</f>
        <v>5.56715509625E-3</v>
      </c>
      <c r="U66" s="149">
        <f>IFERROR(s_RadSpec!$J$17*U17,".")*$B$66</f>
        <v>5.56715509625E-3</v>
      </c>
      <c r="V66" s="149">
        <f>IFERROR(s_RadSpec!$J$17*V17,".")*$B$66</f>
        <v>5.56715509625E-3</v>
      </c>
      <c r="W66" s="149">
        <f>IFERROR(s_RadSpec!$J$17*W17,".")*$B$66</f>
        <v>5.56715509625E-3</v>
      </c>
      <c r="X66" s="149">
        <f>IFERROR(s_RadSpec!$J$17*X17,".")*$B$66</f>
        <v>5.56715509625E-3</v>
      </c>
      <c r="Y66" s="136">
        <f>IFERROR(Y17/$B52,0)</f>
        <v>2245311.9742289768</v>
      </c>
      <c r="Z66" s="136">
        <f>IFERROR(Z17/$B52,0)</f>
        <v>331610504.99081546</v>
      </c>
      <c r="AA66" s="136">
        <f t="shared" ref="AA66:AH66" si="470">IFERROR(AA17/$B52,0)</f>
        <v>1165.6906221471338</v>
      </c>
      <c r="AB66" s="136">
        <f>IFERROR(AB17/$B52,0)</f>
        <v>72675.577738435895</v>
      </c>
      <c r="AC66" s="136">
        <f t="shared" ref="AC66" si="471">IFERROR(AC17/$B52,0)</f>
        <v>26943.743690747724</v>
      </c>
      <c r="AD66" s="136">
        <f>IFERROR(AD17/$B52,0)</f>
        <v>72015.536131952453</v>
      </c>
      <c r="AE66" s="136">
        <f>IFERROR(AE17/$B52,0)</f>
        <v>273280.00816388265</v>
      </c>
      <c r="AF66" s="136">
        <f t="shared" ref="AF66" si="472">IFERROR(AF17/$B52,0)</f>
        <v>0</v>
      </c>
      <c r="AG66" s="136">
        <f t="shared" si="470"/>
        <v>0</v>
      </c>
      <c r="AH66" s="136">
        <f t="shared" si="470"/>
        <v>0</v>
      </c>
      <c r="AI66" s="136">
        <f t="shared" ref="AI66" si="473">IFERROR(AI17/$B52,0)</f>
        <v>0</v>
      </c>
      <c r="AJ66" s="136">
        <f t="shared" ref="AJ66:AL66" si="474">IFERROR(AJ17/$B52,0)</f>
        <v>8653.866925189619</v>
      </c>
      <c r="AK66" s="136">
        <f t="shared" si="474"/>
        <v>7100.1232806150301</v>
      </c>
      <c r="AL66" s="136">
        <f t="shared" si="474"/>
        <v>1483.5200443182202</v>
      </c>
      <c r="AM66" s="129"/>
      <c r="AN66" s="129"/>
      <c r="AO66" s="129"/>
      <c r="AP66" s="129"/>
      <c r="AQ66" s="129"/>
      <c r="AR66" s="129"/>
      <c r="AS66" s="129"/>
      <c r="AT66" s="129"/>
      <c r="AU66" s="129"/>
      <c r="AV66" s="129"/>
      <c r="AW66" s="129"/>
      <c r="AX66" s="129"/>
      <c r="AY66" s="129"/>
      <c r="AZ66" s="129"/>
      <c r="BA66" s="136">
        <f t="shared" ref="BA66" si="475">IFERROR(BA17/$B52,0)</f>
        <v>538.44537981640519</v>
      </c>
      <c r="BB66" s="149">
        <f>IFERROR(s_RadSpec!$I$17*BB17,".")*$B$66</f>
        <v>1.1134310192500001E-5</v>
      </c>
      <c r="BC66" s="149">
        <f>IFERROR(s_RadSpec!$L$17*BC17,".")*$B$66</f>
        <v>7.5389650278697943E-8</v>
      </c>
      <c r="BD66" s="149">
        <f>IFERROR(s_RadSpec!$K$17*BD17,".")*$B$66</f>
        <v>2.144651378763901E-2</v>
      </c>
      <c r="BE66" s="149">
        <f>s_b2s!BZ66</f>
        <v>3.9248443428562506E-4</v>
      </c>
      <c r="BF66" s="149">
        <f>IFERROR(s_RadSpec!$J$17*BF17,".")*$B$66</f>
        <v>9.2785918270833344E-4</v>
      </c>
      <c r="BG66" s="149">
        <f>IFERROR(s_RadSpec!$J$17*BG17,".")*$B$66</f>
        <v>3.4714731490984203E-4</v>
      </c>
      <c r="BH66" s="149">
        <f>IFERROR(s_RadSpec!$J$17*BH17,".")*$B$66</f>
        <v>9.1481261904119256E-5</v>
      </c>
      <c r="BI66" s="149">
        <f>IFERROR(s_RadSpec!$J$17*BI17,".")*$B$66</f>
        <v>0</v>
      </c>
      <c r="BJ66" s="149">
        <f>IFERROR(s_RadSpec!$J$17*BJ17,".")*$B$66</f>
        <v>0</v>
      </c>
      <c r="BK66" s="149">
        <f>IFERROR(s_RadSpec!$J$17*BK17,".")*$B$66</f>
        <v>0</v>
      </c>
      <c r="BL66" s="149">
        <f>IFERROR(s_RadSpec!$J$17*BL17,".")*$B$66</f>
        <v>0</v>
      </c>
      <c r="BM66" s="149">
        <f>IFERROR(s_RadSpec!$J$17*BM17,".")*$B$66</f>
        <v>2.8888819548669236E-3</v>
      </c>
      <c r="BN66" s="149">
        <f>IFERROR(s_RadSpec!$J$17*BN17,".")*$B$66</f>
        <v>3.5210656226569688E-3</v>
      </c>
      <c r="BO66" s="149">
        <f>IFERROR(s_RadSpec!$J$17*BO17,".")*$B$66</f>
        <v>1.6851811403390388E-2</v>
      </c>
      <c r="BP66" s="150">
        <f t="shared" si="86"/>
        <v>4.6478454662203995E-2</v>
      </c>
      <c r="BQ66" s="136">
        <f>IFERROR(BQ17/$B52,0)</f>
        <v>24698.431716518749</v>
      </c>
      <c r="BR66" s="136">
        <f>IFERROR(BR17/$B52,0)</f>
        <v>0</v>
      </c>
      <c r="BS66" s="136">
        <f t="shared" ref="BS66" si="476">IFERROR(BS17/$B52,0)</f>
        <v>44.232795018515965</v>
      </c>
      <c r="BT66" s="136">
        <f>IFERROR(BT17/$B52,0)</f>
        <v>114204.90549898063</v>
      </c>
      <c r="BU66" s="136">
        <f t="shared" ref="BU66" si="477">IFERROR(BU17/$B52,0)</f>
        <v>179624.95793831817</v>
      </c>
      <c r="BV66" s="136">
        <f>IFERROR(BV17/$B52,0)</f>
        <v>1283035413.8451297</v>
      </c>
      <c r="BW66" s="136">
        <f>IFERROR(BW17/$B52,0)</f>
        <v>4868781754.6438866</v>
      </c>
      <c r="BX66" s="136">
        <f t="shared" ref="BX66:CD66" si="478">IFERROR(BX17/$B52,0)</f>
        <v>0</v>
      </c>
      <c r="BY66" s="136">
        <f t="shared" si="478"/>
        <v>0</v>
      </c>
      <c r="BZ66" s="136">
        <f t="shared" si="478"/>
        <v>0</v>
      </c>
      <c r="CA66" s="136">
        <f t="shared" si="478"/>
        <v>0</v>
      </c>
      <c r="CB66" s="136">
        <f t="shared" si="478"/>
        <v>154178088.89705643</v>
      </c>
      <c r="CC66" s="136">
        <f t="shared" si="478"/>
        <v>126496449.25233673</v>
      </c>
      <c r="CD66" s="136">
        <f t="shared" si="478"/>
        <v>26430529.525209669</v>
      </c>
      <c r="CE66" s="141"/>
      <c r="CF66" s="141"/>
      <c r="CG66" s="141"/>
      <c r="CH66" s="141"/>
      <c r="CI66" s="141"/>
      <c r="CJ66" s="141"/>
      <c r="CK66" s="141"/>
      <c r="CL66" s="141"/>
      <c r="CM66" s="141"/>
      <c r="CN66" s="141"/>
      <c r="CO66" s="141"/>
      <c r="CP66" s="141"/>
      <c r="CQ66" s="141"/>
      <c r="CR66" s="141"/>
      <c r="CS66" s="136">
        <f t="shared" ref="CS66" si="479">IFERROR(CS17/$B52,0)</f>
        <v>44.125709403144633</v>
      </c>
      <c r="CT66" s="149">
        <f>IFERROR(s_RadSpec!$M$17*CT17,".")*$B$66</f>
        <v>1.0122100175000001E-3</v>
      </c>
      <c r="CU66" s="149">
        <f>IFERROR(s_RadSpec!$L$17*CU17,".")*$B$66</f>
        <v>1.1678002473958332E-2</v>
      </c>
      <c r="CV66" s="149">
        <f>IFERROR(s_RadSpec!$Q$17*CV17,".")*$B$66</f>
        <v>0.56519150529680362</v>
      </c>
      <c r="CW66" s="149">
        <f>s_b2w!BZ66</f>
        <v>2.1890478251149328E-4</v>
      </c>
      <c r="CX66" s="149">
        <f>IFERROR(s_RadSpec!$J$17*CX17,".")*$B$66</f>
        <v>1.3917887740625001E-4</v>
      </c>
      <c r="CY66" s="149">
        <f>IFERROR(s_RadSpec!$J$17*CY17,".")*$B$66</f>
        <v>1.9485042836875E-8</v>
      </c>
      <c r="CZ66" s="149">
        <f>IFERROR(s_RadSpec!$J$17*CZ17,".")*$B$66</f>
        <v>5.1347547004247578E-9</v>
      </c>
      <c r="DA66" s="149">
        <f>IFERROR(s_RadSpec!$J$17*DA17,".")*$B$66</f>
        <v>0</v>
      </c>
      <c r="DB66" s="149">
        <f>IFERROR(s_RadSpec!$J$17*DB17,".")*$B$66</f>
        <v>0</v>
      </c>
      <c r="DC66" s="149">
        <f>IFERROR(s_RadSpec!$J$17*DC17,".")*$B$66</f>
        <v>0</v>
      </c>
      <c r="DD66" s="149">
        <f>IFERROR(s_RadSpec!$J$17*DD17,".")*$B$66</f>
        <v>0</v>
      </c>
      <c r="DE66" s="149">
        <f>IFERROR(s_RadSpec!$J$17*DE17,".")*$B$66</f>
        <v>1.62150148434466E-7</v>
      </c>
      <c r="DF66" s="149">
        <f>IFERROR(s_RadSpec!$J$17*DF17,".")*$B$66</f>
        <v>1.97634005916875E-7</v>
      </c>
      <c r="DG66" s="149">
        <f>IFERROR(s_RadSpec!$J$17*DG17,".")*$B$66</f>
        <v>9.4587586586771858E-7</v>
      </c>
      <c r="DH66" s="150">
        <f t="shared" si="258"/>
        <v>0</v>
      </c>
      <c r="DI66" s="136">
        <f>IFERROR(DI17/$B52,0)</f>
        <v>1070.3885384400887</v>
      </c>
      <c r="DJ66" s="136">
        <f t="shared" ref="DJ66:DK66" si="480">IFERROR(DJ17/$B52,0)</f>
        <v>3.8414787745810267E-2</v>
      </c>
      <c r="DK66" s="136">
        <f t="shared" si="480"/>
        <v>3.8413409140840439E-2</v>
      </c>
      <c r="DL66" s="149">
        <f>IFERROR(s_RadSpec!$L$17*DL17,".")*$B$66</f>
        <v>2.3356004947916665E-2</v>
      </c>
      <c r="DM66" s="149">
        <f>IFERROR(s_RadSpec!$O$17*DM17,".")*$B$66</f>
        <v>650.79104863013697</v>
      </c>
      <c r="DN66" s="150">
        <f t="shared" si="91"/>
        <v>650.81440463508488</v>
      </c>
    </row>
    <row r="67" spans="1:118" x14ac:dyDescent="0.25">
      <c r="A67" s="135" t="s">
        <v>1076</v>
      </c>
      <c r="B67" s="129">
        <v>2.0000000000000001E-4</v>
      </c>
      <c r="C67" s="136">
        <f t="shared" ref="C67:M67" si="481">IFERROR(C5/$B53,0)</f>
        <v>0</v>
      </c>
      <c r="D67" s="136">
        <f t="shared" si="481"/>
        <v>0</v>
      </c>
      <c r="E67" s="136">
        <f t="shared" si="481"/>
        <v>0</v>
      </c>
      <c r="F67" s="136">
        <f t="shared" si="481"/>
        <v>0</v>
      </c>
      <c r="G67" s="136">
        <f t="shared" si="481"/>
        <v>0</v>
      </c>
      <c r="H67" s="136">
        <f t="shared" si="481"/>
        <v>0</v>
      </c>
      <c r="I67" s="136">
        <f t="shared" si="481"/>
        <v>0</v>
      </c>
      <c r="J67" s="136">
        <f t="shared" si="481"/>
        <v>0</v>
      </c>
      <c r="K67" s="136">
        <f t="shared" si="481"/>
        <v>0</v>
      </c>
      <c r="L67" s="136">
        <f t="shared" si="481"/>
        <v>0</v>
      </c>
      <c r="M67" s="136">
        <f t="shared" si="481"/>
        <v>0</v>
      </c>
      <c r="N67" s="149">
        <f>s_dir!BA67</f>
        <v>22.687500000000004</v>
      </c>
      <c r="O67" s="149">
        <f>IFERROR(s_RadSpec!$J$5*O5,".")*$B$67</f>
        <v>0</v>
      </c>
      <c r="P67" s="149">
        <f>IFERROR(s_RadSpec!$J$5*P5,".")*$B$67</f>
        <v>0</v>
      </c>
      <c r="Q67" s="149">
        <f>IFERROR(s_RadSpec!$J$5*Q5,".")*$B$67</f>
        <v>0</v>
      </c>
      <c r="R67" s="149">
        <f>IFERROR(s_RadSpec!$J$5*R5,".")*$B$67</f>
        <v>0</v>
      </c>
      <c r="S67" s="149">
        <f>IFERROR(s_RadSpec!$J$5*S5,".")*$B$67</f>
        <v>0</v>
      </c>
      <c r="T67" s="149">
        <f>IFERROR(s_RadSpec!$J$5*T5,".")*$B$67</f>
        <v>0</v>
      </c>
      <c r="U67" s="149">
        <f>IFERROR(s_RadSpec!$J$5*U5,".")*$B$67</f>
        <v>0</v>
      </c>
      <c r="V67" s="149">
        <f>IFERROR(s_RadSpec!$J$5*V5,".")*$B$67</f>
        <v>0</v>
      </c>
      <c r="W67" s="149">
        <f>IFERROR(s_RadSpec!$J$5*W5,".")*$B$67</f>
        <v>0</v>
      </c>
      <c r="X67" s="149">
        <f>IFERROR(s_RadSpec!$J$5*X5,".")*$B$67</f>
        <v>0</v>
      </c>
      <c r="Y67" s="136">
        <f>IFERROR(Y5/$B53,0)</f>
        <v>0</v>
      </c>
      <c r="Z67" s="136">
        <f>IFERROR(Z5/$B53,0)</f>
        <v>0</v>
      </c>
      <c r="AA67" s="136">
        <f t="shared" ref="AA67:AH67" si="482">IFERROR(AA5/$B53,0)</f>
        <v>0</v>
      </c>
      <c r="AB67" s="136">
        <f>IFERROR(AB5/$B53,0)</f>
        <v>0</v>
      </c>
      <c r="AC67" s="136">
        <f t="shared" ref="AC67" si="483">IFERROR(AC5/$B53,0)</f>
        <v>0</v>
      </c>
      <c r="AD67" s="136">
        <f>IFERROR(AD5/$B53,0)</f>
        <v>0</v>
      </c>
      <c r="AE67" s="136">
        <f>IFERROR(AE5/$B53,0)</f>
        <v>0</v>
      </c>
      <c r="AF67" s="136">
        <f t="shared" ref="AF67" si="484">IFERROR(AF5/$B53,0)</f>
        <v>0</v>
      </c>
      <c r="AG67" s="136">
        <f t="shared" si="482"/>
        <v>0</v>
      </c>
      <c r="AH67" s="136">
        <f t="shared" si="482"/>
        <v>0</v>
      </c>
      <c r="AI67" s="136">
        <f t="shared" ref="AI67" si="485">IFERROR(AI5/$B53,0)</f>
        <v>0</v>
      </c>
      <c r="AJ67" s="136">
        <f t="shared" ref="AJ67:AL67" si="486">IFERROR(AJ5/$B53,0)</f>
        <v>0</v>
      </c>
      <c r="AK67" s="136">
        <f t="shared" si="486"/>
        <v>0</v>
      </c>
      <c r="AL67" s="136">
        <f t="shared" si="486"/>
        <v>0</v>
      </c>
      <c r="AM67" s="129"/>
      <c r="AN67" s="129"/>
      <c r="AO67" s="129"/>
      <c r="AP67" s="129"/>
      <c r="AQ67" s="129"/>
      <c r="AR67" s="129"/>
      <c r="AS67" s="129"/>
      <c r="AT67" s="129"/>
      <c r="AU67" s="129"/>
      <c r="AV67" s="129"/>
      <c r="AW67" s="129"/>
      <c r="AX67" s="129"/>
      <c r="AY67" s="129"/>
      <c r="AZ67" s="129"/>
      <c r="BA67" s="136">
        <f t="shared" ref="BA67" si="487">IFERROR(BA5/$B53,0)</f>
        <v>0</v>
      </c>
      <c r="BB67" s="149">
        <f>IFERROR(s_RadSpec!$I$5*BB5,".")*$B$67</f>
        <v>0</v>
      </c>
      <c r="BC67" s="149">
        <f>IFERROR(s_RadSpec!$L$5*BC5,".")*$B$67</f>
        <v>0</v>
      </c>
      <c r="BD67" s="149">
        <f>IFERROR(s_RadSpec!$K$5*BD5,".")*$B$67</f>
        <v>0</v>
      </c>
      <c r="BE67" s="149">
        <f>s_b2s!BZ67</f>
        <v>0</v>
      </c>
      <c r="BF67" s="149">
        <f>IFERROR(s_RadSpec!$J$5*BF5,".")*$B$67</f>
        <v>0</v>
      </c>
      <c r="BG67" s="149">
        <f>IFERROR(s_RadSpec!$J$5*BG5,".")*$B$67</f>
        <v>0</v>
      </c>
      <c r="BH67" s="149">
        <f>IFERROR(s_RadSpec!$J$5*BH5,".")*$B$67</f>
        <v>0</v>
      </c>
      <c r="BI67" s="149">
        <f>IFERROR(s_RadSpec!$J$5*BI5,".")*$B$67</f>
        <v>0</v>
      </c>
      <c r="BJ67" s="149">
        <f>IFERROR(s_RadSpec!$J$5*BJ5,".")*$B$67</f>
        <v>0</v>
      </c>
      <c r="BK67" s="149">
        <f>IFERROR(s_RadSpec!$J$5*BK5,".")*$B$67</f>
        <v>0</v>
      </c>
      <c r="BL67" s="149">
        <f>IFERROR(s_RadSpec!$J$5*BL5,".")*$B$67</f>
        <v>0</v>
      </c>
      <c r="BM67" s="149">
        <f>IFERROR(s_RadSpec!$J$5*BM5,".")*$B$67</f>
        <v>0</v>
      </c>
      <c r="BN67" s="149">
        <f>IFERROR(s_RadSpec!$J$5*BN5,".")*$B$67</f>
        <v>0</v>
      </c>
      <c r="BO67" s="149">
        <f>IFERROR(s_RadSpec!$J$5*BO5,".")*$B$67</f>
        <v>0</v>
      </c>
      <c r="BP67" s="150">
        <f t="shared" si="86"/>
        <v>0</v>
      </c>
      <c r="BQ67" s="136">
        <f>IFERROR(BQ5/$B53,0)</f>
        <v>0</v>
      </c>
      <c r="BR67" s="136">
        <f>IFERROR(BR5/$B53,0)</f>
        <v>0</v>
      </c>
      <c r="BS67" s="136">
        <f t="shared" ref="BS67" si="488">IFERROR(BS5/$B53,0)</f>
        <v>4263188631.4969821</v>
      </c>
      <c r="BT67" s="136">
        <f>IFERROR(BT5/$B53,0)</f>
        <v>0</v>
      </c>
      <c r="BU67" s="136">
        <f t="shared" ref="BU67" si="489">IFERROR(BU5/$B53,0)</f>
        <v>0</v>
      </c>
      <c r="BV67" s="136">
        <f>IFERROR(BV5/$B53,0)</f>
        <v>0</v>
      </c>
      <c r="BW67" s="136">
        <f>IFERROR(BW5/$B53,0)</f>
        <v>0</v>
      </c>
      <c r="BX67" s="136">
        <f t="shared" ref="BX67:CD67" si="490">IFERROR(BX5/$B53,0)</f>
        <v>0</v>
      </c>
      <c r="BY67" s="136">
        <f t="shared" si="490"/>
        <v>0</v>
      </c>
      <c r="BZ67" s="136">
        <f t="shared" si="490"/>
        <v>0</v>
      </c>
      <c r="CA67" s="136">
        <f t="shared" si="490"/>
        <v>0</v>
      </c>
      <c r="CB67" s="136">
        <f t="shared" si="490"/>
        <v>0</v>
      </c>
      <c r="CC67" s="136">
        <f t="shared" si="490"/>
        <v>0</v>
      </c>
      <c r="CD67" s="136">
        <f t="shared" si="490"/>
        <v>0</v>
      </c>
      <c r="CE67" s="141"/>
      <c r="CF67" s="141"/>
      <c r="CG67" s="141"/>
      <c r="CH67" s="141"/>
      <c r="CI67" s="141"/>
      <c r="CJ67" s="141"/>
      <c r="CK67" s="141"/>
      <c r="CL67" s="141"/>
      <c r="CM67" s="141"/>
      <c r="CN67" s="141"/>
      <c r="CO67" s="141"/>
      <c r="CP67" s="141"/>
      <c r="CQ67" s="141"/>
      <c r="CR67" s="141"/>
      <c r="CS67" s="136">
        <f t="shared" ref="CS67" si="491">IFERROR(CS5/$B53,0)</f>
        <v>4263188631.4969821</v>
      </c>
      <c r="CT67" s="149">
        <f>IFERROR(s_RadSpec!$M$5*CT5,".")*$B$67</f>
        <v>0</v>
      </c>
      <c r="CU67" s="149">
        <f>IFERROR(s_RadSpec!$L$5*CU5,".")*$B$67</f>
        <v>0</v>
      </c>
      <c r="CV67" s="149">
        <f>IFERROR(s_RadSpec!$Q$5*CV5,".")*$B$67</f>
        <v>5.8641552511415525E-9</v>
      </c>
      <c r="CW67" s="149">
        <f>s_b2w!BZ67</f>
        <v>0</v>
      </c>
      <c r="CX67" s="149">
        <f>IFERROR(s_RadSpec!$J$5*CX5,".")*$B$67</f>
        <v>0</v>
      </c>
      <c r="CY67" s="149">
        <f>IFERROR(s_RadSpec!$J$5*CY5,".")*$B$67</f>
        <v>0</v>
      </c>
      <c r="CZ67" s="149">
        <f>IFERROR(s_RadSpec!$J$5*CZ5,".")*$B$67</f>
        <v>0</v>
      </c>
      <c r="DA67" s="149">
        <f>IFERROR(s_RadSpec!$J$5*DA5,".")*$B$67</f>
        <v>0</v>
      </c>
      <c r="DB67" s="149">
        <f>IFERROR(s_RadSpec!$J$5*DB5,".")*$B$67</f>
        <v>0</v>
      </c>
      <c r="DC67" s="149">
        <f>IFERROR(s_RadSpec!$J$5*DC5,".")*$B$67</f>
        <v>0</v>
      </c>
      <c r="DD67" s="149">
        <f>IFERROR(s_RadSpec!$J$5*DD5,".")*$B$67</f>
        <v>0</v>
      </c>
      <c r="DE67" s="149">
        <f>IFERROR(s_RadSpec!$J$5*DE5,".")*$B$67</f>
        <v>0</v>
      </c>
      <c r="DF67" s="149">
        <f>IFERROR(s_RadSpec!$J$5*DF5,".")*$B$67</f>
        <v>0</v>
      </c>
      <c r="DG67" s="149">
        <f>IFERROR(s_RadSpec!$J$5*DG5,".")*$B$67</f>
        <v>0</v>
      </c>
      <c r="DH67" s="150">
        <f t="shared" si="258"/>
        <v>0</v>
      </c>
      <c r="DI67" s="136">
        <f>IFERROR(DI5/$B53,0)</f>
        <v>0</v>
      </c>
      <c r="DJ67" s="136">
        <f t="shared" ref="DJ67:DK67" si="492">IFERROR(DJ5/$B53,0)</f>
        <v>2175096.240559685</v>
      </c>
      <c r="DK67" s="136">
        <f t="shared" si="492"/>
        <v>2175096.2405596846</v>
      </c>
      <c r="DL67" s="149">
        <f>IFERROR(s_RadSpec!$L$5*DL5,".")*$B$67</f>
        <v>0</v>
      </c>
      <c r="DM67" s="149">
        <f>IFERROR(s_RadSpec!$O$5*DM5,".")*$B$67</f>
        <v>1.1493744292237443E-5</v>
      </c>
      <c r="DN67" s="150">
        <f t="shared" si="91"/>
        <v>1.1493744292237443E-5</v>
      </c>
    </row>
    <row r="68" spans="1:118" x14ac:dyDescent="0.25">
      <c r="A68" s="135" t="s">
        <v>1077</v>
      </c>
      <c r="B68" s="129">
        <v>0.99999979999999999</v>
      </c>
      <c r="C68" s="136">
        <f t="shared" ref="C68:M68" si="493">IFERROR(C9/$B54,0)</f>
        <v>1998.7821422843576</v>
      </c>
      <c r="D68" s="136">
        <f t="shared" si="493"/>
        <v>5996.3464268530724</v>
      </c>
      <c r="E68" s="136">
        <f t="shared" si="493"/>
        <v>5996.3464268530724</v>
      </c>
      <c r="F68" s="136">
        <f t="shared" si="493"/>
        <v>5996.3464268530724</v>
      </c>
      <c r="G68" s="136">
        <f t="shared" si="493"/>
        <v>5996.3464268530724</v>
      </c>
      <c r="H68" s="136">
        <f t="shared" si="493"/>
        <v>5996.3464268530724</v>
      </c>
      <c r="I68" s="136">
        <f t="shared" si="493"/>
        <v>5996.3464268530724</v>
      </c>
      <c r="J68" s="136">
        <f t="shared" si="493"/>
        <v>5996.3464268530724</v>
      </c>
      <c r="K68" s="136">
        <f t="shared" si="493"/>
        <v>5996.3464268530724</v>
      </c>
      <c r="L68" s="136">
        <f t="shared" si="493"/>
        <v>5996.3464268530724</v>
      </c>
      <c r="M68" s="136">
        <f t="shared" si="493"/>
        <v>5996.3464268530724</v>
      </c>
      <c r="N68" s="149">
        <f>s_dir!BA68</f>
        <v>113437.47731249999</v>
      </c>
      <c r="O68" s="149">
        <f>IFERROR(s_RadSpec!$J$9*O9,".")*$B$68</f>
        <v>4.1692054161587494E-3</v>
      </c>
      <c r="P68" s="149">
        <f>IFERROR(s_RadSpec!$J$9*P9,".")*$B$68</f>
        <v>4.1692054161587494E-3</v>
      </c>
      <c r="Q68" s="149">
        <f>IFERROR(s_RadSpec!$J$9*Q9,".")*$B$68</f>
        <v>4.1692054161587494E-3</v>
      </c>
      <c r="R68" s="149">
        <f>IFERROR(s_RadSpec!$J$9*R9,".")*$B$68</f>
        <v>4.1692054161587494E-3</v>
      </c>
      <c r="S68" s="149">
        <f>IFERROR(s_RadSpec!$J$9*S9,".")*$B$68</f>
        <v>4.1692054161587494E-3</v>
      </c>
      <c r="T68" s="149">
        <f>IFERROR(s_RadSpec!$J$9*T9,".")*$B$68</f>
        <v>4.1692054161587494E-3</v>
      </c>
      <c r="U68" s="149">
        <f>IFERROR(s_RadSpec!$J$9*U9,".")*$B$68</f>
        <v>4.1692054161587494E-3</v>
      </c>
      <c r="V68" s="149">
        <f>IFERROR(s_RadSpec!$J$9*V9,".")*$B$68</f>
        <v>4.1692054161587494E-3</v>
      </c>
      <c r="W68" s="149">
        <f>IFERROR(s_RadSpec!$J$9*W9,".")*$B$68</f>
        <v>4.1692054161587494E-3</v>
      </c>
      <c r="X68" s="149">
        <f>IFERROR(s_RadSpec!$J$9*X9,".")*$B$68</f>
        <v>4.1692054161587494E-3</v>
      </c>
      <c r="Y68" s="136">
        <f>IFERROR(Y9/$B54,0)</f>
        <v>2998173.2134265364</v>
      </c>
      <c r="Z68" s="136">
        <f>IFERROR(Z9/$B54,0)</f>
        <v>422130109.63546145</v>
      </c>
      <c r="AA68" s="136">
        <f t="shared" ref="AA68:AH68" si="494">IFERROR(AA9/$B54,0)</f>
        <v>59.303851637731775</v>
      </c>
      <c r="AB68" s="136">
        <f>IFERROR(AB9/$B54,0)</f>
        <v>17610.415350522973</v>
      </c>
      <c r="AC68" s="136">
        <f t="shared" ref="AC68" si="495">IFERROR(AC9/$B54,0)</f>
        <v>191883.08565929832</v>
      </c>
      <c r="AD68" s="136">
        <f>IFERROR(AD9/$B54,0)</f>
        <v>19987.821422843575</v>
      </c>
      <c r="AE68" s="136">
        <f>IFERROR(AE9/$B54,0)</f>
        <v>41174.912131057768</v>
      </c>
      <c r="AF68" s="136">
        <f t="shared" ref="AF68" si="496">IFERROR(AF9/$B54,0)</f>
        <v>0</v>
      </c>
      <c r="AG68" s="136">
        <f t="shared" si="494"/>
        <v>0</v>
      </c>
      <c r="AH68" s="136">
        <f t="shared" si="494"/>
        <v>0</v>
      </c>
      <c r="AI68" s="136">
        <f t="shared" ref="AI68" si="497">IFERROR(AI9/$B54,0)</f>
        <v>0</v>
      </c>
      <c r="AJ68" s="136">
        <f t="shared" ref="AJ68:AL68" si="498">IFERROR(AJ9/$B54,0)</f>
        <v>0</v>
      </c>
      <c r="AK68" s="136">
        <f t="shared" si="498"/>
        <v>0</v>
      </c>
      <c r="AL68" s="136">
        <f t="shared" si="498"/>
        <v>0</v>
      </c>
      <c r="AM68" s="129"/>
      <c r="AN68" s="129"/>
      <c r="AO68" s="129"/>
      <c r="AP68" s="129"/>
      <c r="AQ68" s="129"/>
      <c r="AR68" s="129"/>
      <c r="AS68" s="129"/>
      <c r="AT68" s="129"/>
      <c r="AU68" s="129"/>
      <c r="AV68" s="129"/>
      <c r="AW68" s="129"/>
      <c r="AX68" s="129"/>
      <c r="AY68" s="129"/>
      <c r="AZ68" s="129"/>
      <c r="BA68" s="136">
        <f t="shared" ref="BA68" si="499">IFERROR(BA9/$B54,0)</f>
        <v>58.827127347503918</v>
      </c>
      <c r="BB68" s="149">
        <f>IFERROR(s_RadSpec!$I$9*BB9,".")*$B$68</f>
        <v>8.3384108323175001E-6</v>
      </c>
      <c r="BC68" s="149">
        <f>IFERROR(s_RadSpec!$L$9*BC9,".")*$B$68</f>
        <v>5.9223446585199112E-8</v>
      </c>
      <c r="BD68" s="149">
        <f>IFERROR(s_RadSpec!$K$9*BD9,".")*$B$68</f>
        <v>0.42155777929428589</v>
      </c>
      <c r="BE68" s="149">
        <f>s_b2s!BZ68</f>
        <v>1.4196144442020543E-3</v>
      </c>
      <c r="BF68" s="149">
        <f>IFERROR(s_RadSpec!$J$9*BF9,".")*$B$68</f>
        <v>1.3028766925496092E-4</v>
      </c>
      <c r="BG68" s="149">
        <f>IFERROR(s_RadSpec!$J$9*BG9,".")*$B$68</f>
        <v>1.250761624847625E-3</v>
      </c>
      <c r="BH68" s="149">
        <f>IFERROR(s_RadSpec!$J$9*BH9,".")*$B$68</f>
        <v>6.0716583730467243E-4</v>
      </c>
      <c r="BI68" s="149">
        <f>IFERROR(s_RadSpec!$J$9*BI9,".")*$B$68</f>
        <v>0</v>
      </c>
      <c r="BJ68" s="149">
        <f>IFERROR(s_RadSpec!$J$9*BJ9,".")*$B$68</f>
        <v>0</v>
      </c>
      <c r="BK68" s="149">
        <f>IFERROR(s_RadSpec!$J$9*BK9,".")*$B$68</f>
        <v>0</v>
      </c>
      <c r="BL68" s="149">
        <f>IFERROR(s_RadSpec!$J$9*BL9,".")*$B$68</f>
        <v>0</v>
      </c>
      <c r="BM68" s="149">
        <f>IFERROR(s_RadSpec!$J$9*BM9,".")*$B$68</f>
        <v>0</v>
      </c>
      <c r="BN68" s="149">
        <f>IFERROR(s_RadSpec!$J$9*BN9,".")*$B$68</f>
        <v>0</v>
      </c>
      <c r="BO68" s="149">
        <f>IFERROR(s_RadSpec!$J$9*BO9,".")*$B$68</f>
        <v>0</v>
      </c>
      <c r="BP68" s="150">
        <f t="shared" si="86"/>
        <v>0.42497400650417411</v>
      </c>
      <c r="BQ68" s="136">
        <f>IFERROR(BQ9/$B54,0)</f>
        <v>32979.9053476919</v>
      </c>
      <c r="BR68" s="136">
        <f>IFERROR(BR9/$B54,0)</f>
        <v>0</v>
      </c>
      <c r="BS68" s="136">
        <f t="shared" ref="BS68" si="500">IFERROR(BS9/$B54,0)</f>
        <v>6.9207621495696099</v>
      </c>
      <c r="BT68" s="136">
        <f>IFERROR(BT9/$B54,0)</f>
        <v>63318.96325229427</v>
      </c>
      <c r="BU68" s="136">
        <f t="shared" ref="BU68" si="501">IFERROR(BU9/$B54,0)</f>
        <v>399756.42845687148</v>
      </c>
      <c r="BV68" s="136">
        <f>IFERROR(BV9/$B54,0)</f>
        <v>599634642.68530715</v>
      </c>
      <c r="BW68" s="136">
        <f>IFERROR(BW9/$B54,0)</f>
        <v>1235247363.9317329</v>
      </c>
      <c r="BX68" s="136">
        <f t="shared" ref="BX68:CD68" si="502">IFERROR(BX9/$B54,0)</f>
        <v>0</v>
      </c>
      <c r="BY68" s="136">
        <f t="shared" si="502"/>
        <v>0</v>
      </c>
      <c r="BZ68" s="136">
        <f t="shared" si="502"/>
        <v>0</v>
      </c>
      <c r="CA68" s="136">
        <f t="shared" si="502"/>
        <v>0</v>
      </c>
      <c r="CB68" s="136">
        <f t="shared" si="502"/>
        <v>0</v>
      </c>
      <c r="CC68" s="136">
        <f t="shared" si="502"/>
        <v>0</v>
      </c>
      <c r="CD68" s="136">
        <f t="shared" si="502"/>
        <v>0</v>
      </c>
      <c r="CE68" s="141"/>
      <c r="CF68" s="141"/>
      <c r="CG68" s="141"/>
      <c r="CH68" s="141"/>
      <c r="CI68" s="141"/>
      <c r="CJ68" s="141"/>
      <c r="CK68" s="141"/>
      <c r="CL68" s="141"/>
      <c r="CM68" s="141"/>
      <c r="CN68" s="141"/>
      <c r="CO68" s="141"/>
      <c r="CP68" s="141"/>
      <c r="CQ68" s="141"/>
      <c r="CR68" s="141"/>
      <c r="CS68" s="136">
        <f t="shared" ref="CS68" si="503">IFERROR(CS9/$B54,0)</f>
        <v>6.9184342525864153</v>
      </c>
      <c r="CT68" s="149">
        <f>IFERROR(s_RadSpec!$M$9*CT9,".")*$B$68</f>
        <v>7.580373483925E-4</v>
      </c>
      <c r="CU68" s="149">
        <f>IFERROR(s_RadSpec!$L$9*CU9,".")*$B$68</f>
        <v>9.1738262902343725E-3</v>
      </c>
      <c r="CV68" s="149">
        <f>IFERROR(s_RadSpec!$Q$9*CV9,".")*$B$68</f>
        <v>3.6123189122392692</v>
      </c>
      <c r="CW68" s="149">
        <f>s_b2w!BZ68</f>
        <v>3.9482642664864169E-4</v>
      </c>
      <c r="CX68" s="149">
        <f>IFERROR(s_RadSpec!$J$9*CX9,".")*$B$68</f>
        <v>6.2538081242381261E-5</v>
      </c>
      <c r="CY68" s="149">
        <f>IFERROR(s_RadSpec!$J$9*CY9,".")*$B$68</f>
        <v>4.16920541615875E-8</v>
      </c>
      <c r="CZ68" s="149">
        <f>IFERROR(s_RadSpec!$J$9*CZ9,".")*$B$68</f>
        <v>2.0238861243489079E-8</v>
      </c>
      <c r="DA68" s="149">
        <f>IFERROR(s_RadSpec!$J$9*DA9,".")*$B$68</f>
        <v>0</v>
      </c>
      <c r="DB68" s="149">
        <f>IFERROR(s_RadSpec!$J$9*DB9,".")*$B$68</f>
        <v>0</v>
      </c>
      <c r="DC68" s="149">
        <f>IFERROR(s_RadSpec!$J$9*DC9,".")*$B$68</f>
        <v>0</v>
      </c>
      <c r="DD68" s="149">
        <f>IFERROR(s_RadSpec!$J$9*DD9,".")*$B$68</f>
        <v>0</v>
      </c>
      <c r="DE68" s="149">
        <f>IFERROR(s_RadSpec!$J$9*DE9,".")*$B$68</f>
        <v>0</v>
      </c>
      <c r="DF68" s="149">
        <f>IFERROR(s_RadSpec!$J$9*DF9,".")*$B$68</f>
        <v>0</v>
      </c>
      <c r="DG68" s="149">
        <f>IFERROR(s_RadSpec!$J$9*DG9,".")*$B$68</f>
        <v>0</v>
      </c>
      <c r="DH68" s="150">
        <f t="shared" si="258"/>
        <v>0</v>
      </c>
      <c r="DI68" s="136">
        <f>IFERROR(DI9/$B54,0)</f>
        <v>1362.5721268895584</v>
      </c>
      <c r="DJ68" s="136">
        <f t="shared" ref="DJ68:DK68" si="504">IFERROR(DJ9/$B54,0)</f>
        <v>5.9960470944231785E-3</v>
      </c>
      <c r="DK68" s="136">
        <f t="shared" si="504"/>
        <v>5.9960207087208445E-3</v>
      </c>
      <c r="DL68" s="149">
        <f>IFERROR(s_RadSpec!$L$9*DL9,".")*$B$68</f>
        <v>1.8347652580468745E-2</v>
      </c>
      <c r="DM68" s="149">
        <f>IFERROR(s_RadSpec!$O$9*DM9,".")*$B$68</f>
        <v>4169.4135496787667</v>
      </c>
      <c r="DN68" s="150">
        <f t="shared" si="91"/>
        <v>4169.4318973313475</v>
      </c>
    </row>
    <row r="69" spans="1:118" x14ac:dyDescent="0.25">
      <c r="A69" s="135" t="s">
        <v>1078</v>
      </c>
      <c r="B69" s="129">
        <v>1.9999999999999999E-7</v>
      </c>
      <c r="C69" s="136">
        <f t="shared" ref="C69:M69" si="505">IFERROR(C24/$B55,0)</f>
        <v>0</v>
      </c>
      <c r="D69" s="136">
        <f t="shared" si="505"/>
        <v>0</v>
      </c>
      <c r="E69" s="136">
        <f t="shared" si="505"/>
        <v>0</v>
      </c>
      <c r="F69" s="136">
        <f t="shared" si="505"/>
        <v>0</v>
      </c>
      <c r="G69" s="136">
        <f t="shared" si="505"/>
        <v>0</v>
      </c>
      <c r="H69" s="136">
        <f t="shared" si="505"/>
        <v>0</v>
      </c>
      <c r="I69" s="136">
        <f t="shared" si="505"/>
        <v>0</v>
      </c>
      <c r="J69" s="136">
        <f t="shared" si="505"/>
        <v>0</v>
      </c>
      <c r="K69" s="136">
        <f t="shared" si="505"/>
        <v>0</v>
      </c>
      <c r="L69" s="136">
        <f t="shared" si="505"/>
        <v>0</v>
      </c>
      <c r="M69" s="136">
        <f t="shared" si="505"/>
        <v>0</v>
      </c>
      <c r="N69" s="149">
        <f>s_dir!BA69</f>
        <v>2.2687499999999999E-2</v>
      </c>
      <c r="O69" s="149">
        <f>IFERROR(s_RadSpec!$J$24*O24,".")*$B$69</f>
        <v>0</v>
      </c>
      <c r="P69" s="149">
        <f>IFERROR(s_RadSpec!$J$24*P24,".")*$B$69</f>
        <v>0</v>
      </c>
      <c r="Q69" s="149">
        <f>IFERROR(s_RadSpec!$J$24*Q24,".")*$B$69</f>
        <v>0</v>
      </c>
      <c r="R69" s="149">
        <f>IFERROR(s_RadSpec!$J$24*R24,".")*$B$69</f>
        <v>0</v>
      </c>
      <c r="S69" s="149">
        <f>IFERROR(s_RadSpec!$J$24*S24,".")*$B$69</f>
        <v>0</v>
      </c>
      <c r="T69" s="149">
        <f>IFERROR(s_RadSpec!$J$24*T24,".")*$B$69</f>
        <v>0</v>
      </c>
      <c r="U69" s="149">
        <f>IFERROR(s_RadSpec!$J$24*U24,".")*$B$69</f>
        <v>0</v>
      </c>
      <c r="V69" s="149">
        <f>IFERROR(s_RadSpec!$J$24*V24,".")*$B$69</f>
        <v>0</v>
      </c>
      <c r="W69" s="149">
        <f>IFERROR(s_RadSpec!$J$24*W24,".")*$B$69</f>
        <v>0</v>
      </c>
      <c r="X69" s="149">
        <f>IFERROR(s_RadSpec!$J$24*X24,".")*$B$69</f>
        <v>0</v>
      </c>
      <c r="Y69" s="136">
        <f>IFERROR(Y24/$B55,0)</f>
        <v>0</v>
      </c>
      <c r="Z69" s="136">
        <f>IFERROR(Z24/$B55,0)</f>
        <v>0</v>
      </c>
      <c r="AA69" s="136">
        <f t="shared" ref="AA69:AH69" si="506">IFERROR(AA24/$B55,0)</f>
        <v>1122303047253.1309</v>
      </c>
      <c r="AB69" s="136">
        <f>IFERROR(AB24/$B55,0)</f>
        <v>0</v>
      </c>
      <c r="AC69" s="136">
        <f t="shared" ref="AC69" si="507">IFERROR(AC24/$B55,0)</f>
        <v>0</v>
      </c>
      <c r="AD69" s="136">
        <f>IFERROR(AD24/$B55,0)</f>
        <v>0</v>
      </c>
      <c r="AE69" s="136">
        <f>IFERROR(AE24/$B55,0)</f>
        <v>0</v>
      </c>
      <c r="AF69" s="136">
        <f t="shared" ref="AF69" si="508">IFERROR(AF24/$B55,0)</f>
        <v>0</v>
      </c>
      <c r="AG69" s="136">
        <f t="shared" si="506"/>
        <v>0</v>
      </c>
      <c r="AH69" s="136">
        <f t="shared" si="506"/>
        <v>0</v>
      </c>
      <c r="AI69" s="136">
        <f t="shared" ref="AI69" si="509">IFERROR(AI24/$B55,0)</f>
        <v>0</v>
      </c>
      <c r="AJ69" s="136">
        <f t="shared" ref="AJ69:AL69" si="510">IFERROR(AJ24/$B55,0)</f>
        <v>0</v>
      </c>
      <c r="AK69" s="136">
        <f t="shared" si="510"/>
        <v>0</v>
      </c>
      <c r="AL69" s="136">
        <f t="shared" si="510"/>
        <v>0</v>
      </c>
      <c r="AM69" s="129"/>
      <c r="AN69" s="129"/>
      <c r="AO69" s="129"/>
      <c r="AP69" s="129"/>
      <c r="AQ69" s="129"/>
      <c r="AR69" s="129"/>
      <c r="AS69" s="129"/>
      <c r="AT69" s="129"/>
      <c r="AU69" s="129"/>
      <c r="AV69" s="129"/>
      <c r="AW69" s="129"/>
      <c r="AX69" s="129"/>
      <c r="AY69" s="129"/>
      <c r="AZ69" s="129"/>
      <c r="BA69" s="136">
        <f t="shared" ref="BA69" si="511">IFERROR(BA24/$B55,0)</f>
        <v>1122303047253.1311</v>
      </c>
      <c r="BB69" s="149">
        <f>IFERROR(s_RadSpec!$I$24*BB24,".")*$B$69</f>
        <v>0</v>
      </c>
      <c r="BC69" s="149">
        <f>IFERROR(s_RadSpec!$L$24*BC24,".")*$B$69</f>
        <v>0</v>
      </c>
      <c r="BD69" s="149">
        <f>IFERROR(s_RadSpec!$K$24*BD24,".")*$B$69</f>
        <v>2.227562338103619E-11</v>
      </c>
      <c r="BE69" s="149">
        <f>s_b2s!BZ69</f>
        <v>0</v>
      </c>
      <c r="BF69" s="149">
        <f>IFERROR(s_RadSpec!$J$24*BF24,".")*$B$69</f>
        <v>0</v>
      </c>
      <c r="BG69" s="149">
        <f>IFERROR(s_RadSpec!$J$24*BG24,".")*$B$69</f>
        <v>0</v>
      </c>
      <c r="BH69" s="149">
        <f>IFERROR(s_RadSpec!$J$24*BH24,".")*$B$69</f>
        <v>0</v>
      </c>
      <c r="BI69" s="149">
        <f>IFERROR(s_RadSpec!$J$24*BI24,".")*$B$69</f>
        <v>0</v>
      </c>
      <c r="BJ69" s="149">
        <f>IFERROR(s_RadSpec!$J$24*BJ24,".")*$B$69</f>
        <v>0</v>
      </c>
      <c r="BK69" s="149">
        <f>IFERROR(s_RadSpec!$J$24*BK24,".")*$B$69</f>
        <v>0</v>
      </c>
      <c r="BL69" s="149">
        <f>IFERROR(s_RadSpec!$J$24*BL24,".")*$B$69</f>
        <v>0</v>
      </c>
      <c r="BM69" s="149">
        <f>IFERROR(s_RadSpec!$J$24*BM24,".")*$B$69</f>
        <v>0</v>
      </c>
      <c r="BN69" s="149">
        <f>IFERROR(s_RadSpec!$J$24*BN24,".")*$B$69</f>
        <v>0</v>
      </c>
      <c r="BO69" s="149">
        <f>IFERROR(s_RadSpec!$J$24*BO24,".")*$B$69</f>
        <v>0</v>
      </c>
      <c r="BP69" s="150">
        <f t="shared" si="86"/>
        <v>2.227562338103619E-11</v>
      </c>
      <c r="BQ69" s="136">
        <f>IFERROR(BQ24/$B55,0)</f>
        <v>0</v>
      </c>
      <c r="BR69" s="136">
        <f>IFERROR(BR24/$B55,0)</f>
        <v>0</v>
      </c>
      <c r="BS69" s="136">
        <f t="shared" ref="BS69" si="512">IFERROR(BS24/$B55,0)</f>
        <v>72110768462.398224</v>
      </c>
      <c r="BT69" s="136">
        <f>IFERROR(BT24/$B55,0)</f>
        <v>0</v>
      </c>
      <c r="BU69" s="136">
        <f t="shared" ref="BU69" si="513">IFERROR(BU24/$B55,0)</f>
        <v>0</v>
      </c>
      <c r="BV69" s="136">
        <f>IFERROR(BV24/$B55,0)</f>
        <v>0</v>
      </c>
      <c r="BW69" s="136">
        <f>IFERROR(BW24/$B55,0)</f>
        <v>0</v>
      </c>
      <c r="BX69" s="136">
        <f t="shared" ref="BX69:CD69" si="514">IFERROR(BX24/$B55,0)</f>
        <v>0</v>
      </c>
      <c r="BY69" s="136">
        <f t="shared" si="514"/>
        <v>0</v>
      </c>
      <c r="BZ69" s="136">
        <f t="shared" si="514"/>
        <v>0</v>
      </c>
      <c r="CA69" s="136">
        <f t="shared" si="514"/>
        <v>0</v>
      </c>
      <c r="CB69" s="136">
        <f t="shared" si="514"/>
        <v>0</v>
      </c>
      <c r="CC69" s="136">
        <f t="shared" si="514"/>
        <v>0</v>
      </c>
      <c r="CD69" s="136">
        <f t="shared" si="514"/>
        <v>0</v>
      </c>
      <c r="CE69" s="141"/>
      <c r="CF69" s="141"/>
      <c r="CG69" s="141"/>
      <c r="CH69" s="141"/>
      <c r="CI69" s="141"/>
      <c r="CJ69" s="141"/>
      <c r="CK69" s="141"/>
      <c r="CL69" s="141"/>
      <c r="CM69" s="141"/>
      <c r="CN69" s="141"/>
      <c r="CO69" s="141"/>
      <c r="CP69" s="141"/>
      <c r="CQ69" s="141"/>
      <c r="CR69" s="141"/>
      <c r="CS69" s="136">
        <f t="shared" ref="CS69" si="515">IFERROR(CS24/$B55,0)</f>
        <v>72110768462.398224</v>
      </c>
      <c r="CT69" s="149">
        <f>IFERROR(s_RadSpec!$M$24*CT24,".")*$B$69</f>
        <v>0</v>
      </c>
      <c r="CU69" s="149">
        <f>IFERROR(s_RadSpec!$L$24*CU24,".")*$B$69</f>
        <v>0</v>
      </c>
      <c r="CV69" s="149">
        <f>IFERROR(s_RadSpec!$Q$24*CV24,".")*$B$69</f>
        <v>3.466888584474886E-10</v>
      </c>
      <c r="CW69" s="149">
        <f>s_b2w!BZ69</f>
        <v>0</v>
      </c>
      <c r="CX69" s="149">
        <f>IFERROR(s_RadSpec!$J$24*CX24,".")*$B$69</f>
        <v>0</v>
      </c>
      <c r="CY69" s="149">
        <f>IFERROR(s_RadSpec!$J$24*CY24,".")*$B$69</f>
        <v>0</v>
      </c>
      <c r="CZ69" s="149">
        <f>IFERROR(s_RadSpec!$J$24*CZ24,".")*$B$69</f>
        <v>0</v>
      </c>
      <c r="DA69" s="149">
        <f>IFERROR(s_RadSpec!$J$24*DA24,".")*$B$69</f>
        <v>0</v>
      </c>
      <c r="DB69" s="149">
        <f>IFERROR(s_RadSpec!$J$24*DB24,".")*$B$69</f>
        <v>0</v>
      </c>
      <c r="DC69" s="149">
        <f>IFERROR(s_RadSpec!$J$24*DC24,".")*$B$69</f>
        <v>0</v>
      </c>
      <c r="DD69" s="149">
        <f>IFERROR(s_RadSpec!$J$24*DD24,".")*$B$69</f>
        <v>0</v>
      </c>
      <c r="DE69" s="149">
        <f>IFERROR(s_RadSpec!$J$24*DE24,".")*$B$69</f>
        <v>0</v>
      </c>
      <c r="DF69" s="149">
        <f>IFERROR(s_RadSpec!$J$24*DF24,".")*$B$69</f>
        <v>0</v>
      </c>
      <c r="DG69" s="149">
        <f>IFERROR(s_RadSpec!$J$24*DG24,".")*$B$69</f>
        <v>0</v>
      </c>
      <c r="DH69" s="150">
        <f t="shared" si="258"/>
        <v>0</v>
      </c>
      <c r="DI69" s="136">
        <f>IFERROR(DI24/$B55,0)</f>
        <v>0</v>
      </c>
      <c r="DJ69" s="136">
        <f t="shared" ref="DJ69:DK69" si="516">IFERROR(DJ24/$B55,0)</f>
        <v>62693950.463190928</v>
      </c>
      <c r="DK69" s="136">
        <f t="shared" si="516"/>
        <v>62693950.463190921</v>
      </c>
      <c r="DL69" s="149">
        <f>IFERROR(s_RadSpec!$L$24*DL24,".")*$B$69</f>
        <v>0</v>
      </c>
      <c r="DM69" s="149">
        <f>IFERROR(s_RadSpec!$O$24*DM24,".")*$B$69</f>
        <v>3.9876255707762561E-7</v>
      </c>
      <c r="DN69" s="150">
        <f t="shared" si="91"/>
        <v>3.9876255707762561E-7</v>
      </c>
    </row>
    <row r="70" spans="1:118" x14ac:dyDescent="0.25">
      <c r="A70" s="135" t="s">
        <v>1079</v>
      </c>
      <c r="B70" s="129">
        <v>0.99979000004200003</v>
      </c>
      <c r="C70" s="136">
        <f t="shared" ref="C70:M70" si="517">IFERROR(C20/$B56,0)</f>
        <v>0</v>
      </c>
      <c r="D70" s="136">
        <f t="shared" si="517"/>
        <v>0</v>
      </c>
      <c r="E70" s="136">
        <f t="shared" si="517"/>
        <v>0</v>
      </c>
      <c r="F70" s="136">
        <f t="shared" si="517"/>
        <v>0</v>
      </c>
      <c r="G70" s="136">
        <f t="shared" si="517"/>
        <v>0</v>
      </c>
      <c r="H70" s="136">
        <f t="shared" si="517"/>
        <v>0</v>
      </c>
      <c r="I70" s="136">
        <f t="shared" si="517"/>
        <v>0</v>
      </c>
      <c r="J70" s="136">
        <f t="shared" si="517"/>
        <v>0</v>
      </c>
      <c r="K70" s="136">
        <f t="shared" si="517"/>
        <v>0</v>
      </c>
      <c r="L70" s="136">
        <f t="shared" si="517"/>
        <v>0</v>
      </c>
      <c r="M70" s="136">
        <f t="shared" si="517"/>
        <v>0</v>
      </c>
      <c r="N70" s="149">
        <f>s_dir!BA70</f>
        <v>113413.67812976439</v>
      </c>
      <c r="O70" s="149">
        <f>IFERROR(s_RadSpec!$J$20*O20,".")*$B$70</f>
        <v>0</v>
      </c>
      <c r="P70" s="149">
        <f>IFERROR(s_RadSpec!$J$20*P20,".")*$B$70</f>
        <v>0</v>
      </c>
      <c r="Q70" s="149">
        <f>IFERROR(s_RadSpec!$J$20*Q20,".")*$B$70</f>
        <v>0</v>
      </c>
      <c r="R70" s="149">
        <f>IFERROR(s_RadSpec!$J$20*R20,".")*$B$70</f>
        <v>0</v>
      </c>
      <c r="S70" s="149">
        <f>IFERROR(s_RadSpec!$J$20*S20,".")*$B$70</f>
        <v>0</v>
      </c>
      <c r="T70" s="149">
        <f>IFERROR(s_RadSpec!$J$20*T20,".")*$B$70</f>
        <v>0</v>
      </c>
      <c r="U70" s="149">
        <f>IFERROR(s_RadSpec!$J$20*U20,".")*$B$70</f>
        <v>0</v>
      </c>
      <c r="V70" s="149">
        <f>IFERROR(s_RadSpec!$J$20*V20,".")*$B$70</f>
        <v>0</v>
      </c>
      <c r="W70" s="149">
        <f>IFERROR(s_RadSpec!$J$20*W20,".")*$B$70</f>
        <v>0</v>
      </c>
      <c r="X70" s="149">
        <f>IFERROR(s_RadSpec!$J$20*X20,".")*$B$70</f>
        <v>0</v>
      </c>
      <c r="Y70" s="136">
        <f>IFERROR(Y20/$B56,0)</f>
        <v>0</v>
      </c>
      <c r="Z70" s="136">
        <f>IFERROR(Z20/$B56,0)</f>
        <v>0</v>
      </c>
      <c r="AA70" s="136">
        <f t="shared" ref="AA70:AH70" si="518">IFERROR(AA20/$B56,0)</f>
        <v>1559950.9427820113</v>
      </c>
      <c r="AB70" s="136">
        <f>IFERROR(AB20/$B56,0)</f>
        <v>0</v>
      </c>
      <c r="AC70" s="136">
        <f t="shared" ref="AC70" si="519">IFERROR(AC20/$B56,0)</f>
        <v>0</v>
      </c>
      <c r="AD70" s="136">
        <f>IFERROR(AD20/$B56,0)</f>
        <v>0</v>
      </c>
      <c r="AE70" s="136">
        <f>IFERROR(AE20/$B56,0)</f>
        <v>0</v>
      </c>
      <c r="AF70" s="136">
        <f t="shared" ref="AF70" si="520">IFERROR(AF20/$B56,0)</f>
        <v>0</v>
      </c>
      <c r="AG70" s="136">
        <f t="shared" si="518"/>
        <v>0</v>
      </c>
      <c r="AH70" s="136">
        <f t="shared" si="518"/>
        <v>0</v>
      </c>
      <c r="AI70" s="136">
        <f t="shared" ref="AI70" si="521">IFERROR(AI20/$B56,0)</f>
        <v>0</v>
      </c>
      <c r="AJ70" s="136">
        <f t="shared" ref="AJ70:AL70" si="522">IFERROR(AJ20/$B56,0)</f>
        <v>0</v>
      </c>
      <c r="AK70" s="136">
        <f t="shared" si="522"/>
        <v>0</v>
      </c>
      <c r="AL70" s="136">
        <f t="shared" si="522"/>
        <v>0</v>
      </c>
      <c r="AM70" s="129"/>
      <c r="AN70" s="129"/>
      <c r="AO70" s="129"/>
      <c r="AP70" s="129"/>
      <c r="AQ70" s="129"/>
      <c r="AR70" s="129"/>
      <c r="AS70" s="129"/>
      <c r="AT70" s="129"/>
      <c r="AU70" s="129"/>
      <c r="AV70" s="129"/>
      <c r="AW70" s="129"/>
      <c r="AX70" s="129"/>
      <c r="AY70" s="129"/>
      <c r="AZ70" s="129"/>
      <c r="BA70" s="136">
        <f t="shared" ref="BA70" si="523">IFERROR(BA20/$B56,0)</f>
        <v>1559950.9427820113</v>
      </c>
      <c r="BB70" s="149">
        <f>IFERROR(s_RadSpec!$I$20*BB20,".")*$B$70</f>
        <v>0</v>
      </c>
      <c r="BC70" s="149">
        <f>IFERROR(s_RadSpec!$L$20*BC20,".")*$B$70</f>
        <v>0</v>
      </c>
      <c r="BD70" s="149">
        <f>IFERROR(s_RadSpec!$K$20*BD20,".")*$B$70</f>
        <v>1.602614499877482E-5</v>
      </c>
      <c r="BE70" s="149">
        <f>s_b2s!BZ70</f>
        <v>0</v>
      </c>
      <c r="BF70" s="149">
        <f>IFERROR(s_RadSpec!$J$20*BF20,".")*$B$70</f>
        <v>0</v>
      </c>
      <c r="BG70" s="149">
        <f>IFERROR(s_RadSpec!$J$20*BG20,".")*$B$70</f>
        <v>0</v>
      </c>
      <c r="BH70" s="149">
        <f>IFERROR(s_RadSpec!$J$20*BH20,".")*$B$70</f>
        <v>0</v>
      </c>
      <c r="BI70" s="149">
        <f>IFERROR(s_RadSpec!$J$20*BI20,".")*$B$70</f>
        <v>0</v>
      </c>
      <c r="BJ70" s="149">
        <f>IFERROR(s_RadSpec!$J$20*BJ20,".")*$B$70</f>
        <v>0</v>
      </c>
      <c r="BK70" s="149">
        <f>IFERROR(s_RadSpec!$J$20*BK20,".")*$B$70</f>
        <v>0</v>
      </c>
      <c r="BL70" s="149">
        <f>IFERROR(s_RadSpec!$J$20*BL20,".")*$B$70</f>
        <v>0</v>
      </c>
      <c r="BM70" s="149">
        <f>IFERROR(s_RadSpec!$J$20*BM20,".")*$B$70</f>
        <v>0</v>
      </c>
      <c r="BN70" s="149">
        <f>IFERROR(s_RadSpec!$J$20*BN20,".")*$B$70</f>
        <v>0</v>
      </c>
      <c r="BO70" s="149">
        <f>IFERROR(s_RadSpec!$J$20*BO20,".")*$B$70</f>
        <v>0</v>
      </c>
      <c r="BP70" s="150">
        <f t="shared" si="86"/>
        <v>1.602614499877482E-5</v>
      </c>
      <c r="BQ70" s="136">
        <f>IFERROR(BQ20/$B56,0)</f>
        <v>0</v>
      </c>
      <c r="BR70" s="136">
        <f>IFERROR(BR20/$B56,0)</f>
        <v>0</v>
      </c>
      <c r="BS70" s="136">
        <f t="shared" ref="BS70" si="524">IFERROR(BS20/$B56,0)</f>
        <v>129528.67827996891</v>
      </c>
      <c r="BT70" s="136">
        <f>IFERROR(BT20/$B56,0)</f>
        <v>0</v>
      </c>
      <c r="BU70" s="136">
        <f t="shared" ref="BU70" si="525">IFERROR(BU20/$B56,0)</f>
        <v>0</v>
      </c>
      <c r="BV70" s="136">
        <f>IFERROR(BV20/$B56,0)</f>
        <v>0</v>
      </c>
      <c r="BW70" s="136">
        <f>IFERROR(BW20/$B56,0)</f>
        <v>0</v>
      </c>
      <c r="BX70" s="136">
        <f t="shared" ref="BX70:CD70" si="526">IFERROR(BX20/$B56,0)</f>
        <v>0</v>
      </c>
      <c r="BY70" s="136">
        <f t="shared" si="526"/>
        <v>0</v>
      </c>
      <c r="BZ70" s="136">
        <f t="shared" si="526"/>
        <v>0</v>
      </c>
      <c r="CA70" s="136">
        <f t="shared" si="526"/>
        <v>0</v>
      </c>
      <c r="CB70" s="136">
        <f t="shared" si="526"/>
        <v>0</v>
      </c>
      <c r="CC70" s="136">
        <f t="shared" si="526"/>
        <v>0</v>
      </c>
      <c r="CD70" s="136">
        <f t="shared" si="526"/>
        <v>0</v>
      </c>
      <c r="CE70" s="141"/>
      <c r="CF70" s="141"/>
      <c r="CG70" s="141"/>
      <c r="CH70" s="141"/>
      <c r="CI70" s="141"/>
      <c r="CJ70" s="141"/>
      <c r="CK70" s="141"/>
      <c r="CL70" s="141"/>
      <c r="CM70" s="141"/>
      <c r="CN70" s="141"/>
      <c r="CO70" s="141"/>
      <c r="CP70" s="141"/>
      <c r="CQ70" s="141"/>
      <c r="CR70" s="141"/>
      <c r="CS70" s="136">
        <f t="shared" ref="CS70" si="527">IFERROR(CS20/$B56,0)</f>
        <v>129528.67827996892</v>
      </c>
      <c r="CT70" s="149">
        <f>IFERROR(s_RadSpec!$M$20*CT20,".")*$B$70</f>
        <v>0</v>
      </c>
      <c r="CU70" s="149">
        <f>IFERROR(s_RadSpec!$L$20*CU20,".")*$B$70</f>
        <v>0</v>
      </c>
      <c r="CV70" s="149">
        <f>IFERROR(s_RadSpec!$Q$20*CV20,".")*$B$70</f>
        <v>1.9300745079760571E-4</v>
      </c>
      <c r="CW70" s="149">
        <f>s_b2w!BZ70</f>
        <v>0</v>
      </c>
      <c r="CX70" s="149">
        <f>IFERROR(s_RadSpec!$J$20*CX20,".")*$B$70</f>
        <v>0</v>
      </c>
      <c r="CY70" s="149">
        <f>IFERROR(s_RadSpec!$J$20*CY20,".")*$B$70</f>
        <v>0</v>
      </c>
      <c r="CZ70" s="149">
        <f>IFERROR(s_RadSpec!$J$20*CZ20,".")*$B$70</f>
        <v>0</v>
      </c>
      <c r="DA70" s="149">
        <f>IFERROR(s_RadSpec!$J$20*DA20,".")*$B$70</f>
        <v>0</v>
      </c>
      <c r="DB70" s="149">
        <f>IFERROR(s_RadSpec!$J$20*DB20,".")*$B$70</f>
        <v>0</v>
      </c>
      <c r="DC70" s="149">
        <f>IFERROR(s_RadSpec!$J$20*DC20,".")*$B$70</f>
        <v>0</v>
      </c>
      <c r="DD70" s="149">
        <f>IFERROR(s_RadSpec!$J$20*DD20,".")*$B$70</f>
        <v>0</v>
      </c>
      <c r="DE70" s="149">
        <f>IFERROR(s_RadSpec!$J$20*DE20,".")*$B$70</f>
        <v>0</v>
      </c>
      <c r="DF70" s="149">
        <f>IFERROR(s_RadSpec!$J$20*DF20,".")*$B$70</f>
        <v>0</v>
      </c>
      <c r="DG70" s="149">
        <f>IFERROR(s_RadSpec!$J$20*DG20,".")*$B$70</f>
        <v>0</v>
      </c>
      <c r="DH70" s="150">
        <f t="shared" si="258"/>
        <v>0</v>
      </c>
      <c r="DI70" s="136">
        <f>IFERROR(DI20/$B56,0)</f>
        <v>0</v>
      </c>
      <c r="DJ70" s="136">
        <f t="shared" ref="DJ70:DK70" si="528">IFERROR(DJ20/$B56,0)</f>
        <v>112.2127391835941</v>
      </c>
      <c r="DK70" s="136">
        <f t="shared" si="528"/>
        <v>112.2127391835941</v>
      </c>
      <c r="DL70" s="149">
        <f>IFERROR(s_RadSpec!$L$20*DL20,".")*$B$70</f>
        <v>0</v>
      </c>
      <c r="DM70" s="149">
        <f>IFERROR(s_RadSpec!$O$20*DM20,".")*$B$70</f>
        <v>0.22279110359383411</v>
      </c>
      <c r="DN70" s="150">
        <f t="shared" si="91"/>
        <v>0.22279110359383411</v>
      </c>
    </row>
    <row r="71" spans="1:118" x14ac:dyDescent="0.25">
      <c r="A71" s="135" t="s">
        <v>1080</v>
      </c>
      <c r="B71" s="129">
        <v>2.0999995799999999E-4</v>
      </c>
      <c r="C71" s="136">
        <f t="shared" ref="C71:M71" si="529">IFERROR(C29/$B57,0)</f>
        <v>0</v>
      </c>
      <c r="D71" s="136">
        <f t="shared" si="529"/>
        <v>0</v>
      </c>
      <c r="E71" s="136">
        <f t="shared" si="529"/>
        <v>0</v>
      </c>
      <c r="F71" s="136">
        <f t="shared" si="529"/>
        <v>0</v>
      </c>
      <c r="G71" s="136">
        <f t="shared" si="529"/>
        <v>0</v>
      </c>
      <c r="H71" s="136">
        <f t="shared" si="529"/>
        <v>0</v>
      </c>
      <c r="I71" s="136">
        <f t="shared" si="529"/>
        <v>0</v>
      </c>
      <c r="J71" s="136">
        <f t="shared" si="529"/>
        <v>0</v>
      </c>
      <c r="K71" s="136">
        <f t="shared" si="529"/>
        <v>0</v>
      </c>
      <c r="L71" s="136">
        <f t="shared" si="529"/>
        <v>0</v>
      </c>
      <c r="M71" s="136">
        <f t="shared" si="529"/>
        <v>0</v>
      </c>
      <c r="N71" s="149">
        <f>s_dir!BA71</f>
        <v>23.821870235624999</v>
      </c>
      <c r="O71" s="149">
        <f>IFERROR(s_RadSpec!$J$29*O29,".")*$B$71</f>
        <v>0</v>
      </c>
      <c r="P71" s="149">
        <f>IFERROR(s_RadSpec!$J$29*P29,".")*$B$71</f>
        <v>0</v>
      </c>
      <c r="Q71" s="149">
        <f>IFERROR(s_RadSpec!$J$29*Q29,".")*$B$71</f>
        <v>0</v>
      </c>
      <c r="R71" s="149">
        <f>IFERROR(s_RadSpec!$J$29*R29,".")*$B$71</f>
        <v>0</v>
      </c>
      <c r="S71" s="149">
        <f>IFERROR(s_RadSpec!$J$29*S29,".")*$B$71</f>
        <v>0</v>
      </c>
      <c r="T71" s="149">
        <f>IFERROR(s_RadSpec!$J$29*T29,".")*$B$71</f>
        <v>0</v>
      </c>
      <c r="U71" s="149">
        <f>IFERROR(s_RadSpec!$J$29*U29,".")*$B$71</f>
        <v>0</v>
      </c>
      <c r="V71" s="149">
        <f>IFERROR(s_RadSpec!$J$29*V29,".")*$B$71</f>
        <v>0</v>
      </c>
      <c r="W71" s="149">
        <f>IFERROR(s_RadSpec!$J$29*W29,".")*$B$71</f>
        <v>0</v>
      </c>
      <c r="X71" s="149">
        <f>IFERROR(s_RadSpec!$J$29*X29,".")*$B$71</f>
        <v>0</v>
      </c>
      <c r="Y71" s="136">
        <f>IFERROR(Y29/$B57,0)</f>
        <v>0</v>
      </c>
      <c r="Z71" s="136">
        <f>IFERROR(Z29/$B57,0)</f>
        <v>0</v>
      </c>
      <c r="AA71" s="136">
        <f t="shared" ref="AA71:AH71" si="530">IFERROR(AA29/$B57,0)</f>
        <v>167286.16844496483</v>
      </c>
      <c r="AB71" s="136">
        <f>IFERROR(AB29/$B57,0)</f>
        <v>0</v>
      </c>
      <c r="AC71" s="136">
        <f t="shared" ref="AC71" si="531">IFERROR(AC29/$B57,0)</f>
        <v>0</v>
      </c>
      <c r="AD71" s="136">
        <f>IFERROR(AD29/$B57,0)</f>
        <v>0</v>
      </c>
      <c r="AE71" s="136">
        <f>IFERROR(AE29/$B57,0)</f>
        <v>0</v>
      </c>
      <c r="AF71" s="136">
        <f t="shared" ref="AF71" si="532">IFERROR(AF29/$B57,0)</f>
        <v>0</v>
      </c>
      <c r="AG71" s="136">
        <f t="shared" si="530"/>
        <v>0</v>
      </c>
      <c r="AH71" s="136">
        <f t="shared" si="530"/>
        <v>0</v>
      </c>
      <c r="AI71" s="136">
        <f t="shared" ref="AI71" si="533">IFERROR(AI29/$B57,0)</f>
        <v>0</v>
      </c>
      <c r="AJ71" s="136">
        <f t="shared" ref="AJ71:AL71" si="534">IFERROR(AJ29/$B57,0)</f>
        <v>0</v>
      </c>
      <c r="AK71" s="136">
        <f t="shared" si="534"/>
        <v>0</v>
      </c>
      <c r="AL71" s="136">
        <f t="shared" si="534"/>
        <v>0</v>
      </c>
      <c r="AM71" s="129"/>
      <c r="AN71" s="129"/>
      <c r="AO71" s="129"/>
      <c r="AP71" s="129"/>
      <c r="AQ71" s="129"/>
      <c r="AR71" s="129"/>
      <c r="AS71" s="129"/>
      <c r="AT71" s="129"/>
      <c r="AU71" s="129"/>
      <c r="AV71" s="129"/>
      <c r="AW71" s="129"/>
      <c r="AX71" s="129"/>
      <c r="AY71" s="129"/>
      <c r="AZ71" s="129"/>
      <c r="BA71" s="136">
        <f t="shared" ref="BA71" si="535">IFERROR(BA29/$B57,0)</f>
        <v>167286.16844496483</v>
      </c>
      <c r="BB71" s="149">
        <f>IFERROR(s_RadSpec!$I$29*BB29,".")*$B$71</f>
        <v>0</v>
      </c>
      <c r="BC71" s="149">
        <f>IFERROR(s_RadSpec!$L$29*BC29,".")*$B$71</f>
        <v>0</v>
      </c>
      <c r="BD71" s="149">
        <f>IFERROR(s_RadSpec!$K$29*BD29,".")*$B$71</f>
        <v>1.4944451315007973E-4</v>
      </c>
      <c r="BE71" s="149">
        <f>s_b2s!BZ71</f>
        <v>0</v>
      </c>
      <c r="BF71" s="149">
        <f>IFERROR(s_RadSpec!$J$29*BF29,".")*$B$71</f>
        <v>0</v>
      </c>
      <c r="BG71" s="149">
        <f>IFERROR(s_RadSpec!$J$29*BG29,".")*$B$71</f>
        <v>0</v>
      </c>
      <c r="BH71" s="149">
        <f>IFERROR(s_RadSpec!$J$29*BH29,".")*$B$71</f>
        <v>0</v>
      </c>
      <c r="BI71" s="149">
        <f>IFERROR(s_RadSpec!$J$29*BI29,".")*$B$71</f>
        <v>0</v>
      </c>
      <c r="BJ71" s="149">
        <f>IFERROR(s_RadSpec!$J$29*BJ29,".")*$B$71</f>
        <v>0</v>
      </c>
      <c r="BK71" s="149">
        <f>IFERROR(s_RadSpec!$J$29*BK29,".")*$B$71</f>
        <v>0</v>
      </c>
      <c r="BL71" s="149">
        <f>IFERROR(s_RadSpec!$J$29*BL29,".")*$B$71</f>
        <v>0</v>
      </c>
      <c r="BM71" s="149">
        <f>IFERROR(s_RadSpec!$J$29*BM29,".")*$B$71</f>
        <v>0</v>
      </c>
      <c r="BN71" s="149">
        <f>IFERROR(s_RadSpec!$J$29*BN29,".")*$B$71</f>
        <v>0</v>
      </c>
      <c r="BO71" s="149">
        <f>IFERROR(s_RadSpec!$J$29*BO29,".")*$B$71</f>
        <v>0</v>
      </c>
      <c r="BP71" s="150">
        <f t="shared" si="86"/>
        <v>1.4944451315007973E-4</v>
      </c>
      <c r="BQ71" s="136">
        <f>IFERROR(BQ29/$B57,0)</f>
        <v>0</v>
      </c>
      <c r="BR71" s="136">
        <f>IFERROR(BR29/$B57,0)</f>
        <v>0</v>
      </c>
      <c r="BS71" s="136">
        <f t="shared" ref="BS71" si="536">IFERROR(BS29/$B57,0)</f>
        <v>17807.809039828237</v>
      </c>
      <c r="BT71" s="136">
        <f>IFERROR(BT29/$B57,0)</f>
        <v>0</v>
      </c>
      <c r="BU71" s="136">
        <f t="shared" ref="BU71" si="537">IFERROR(BU29/$B57,0)</f>
        <v>0</v>
      </c>
      <c r="BV71" s="136">
        <f>IFERROR(BV29/$B57,0)</f>
        <v>0</v>
      </c>
      <c r="BW71" s="136">
        <f>IFERROR(BW29/$B57,0)</f>
        <v>0</v>
      </c>
      <c r="BX71" s="136">
        <f t="shared" ref="BX71:CD71" si="538">IFERROR(BX29/$B57,0)</f>
        <v>0</v>
      </c>
      <c r="BY71" s="136">
        <f t="shared" si="538"/>
        <v>0</v>
      </c>
      <c r="BZ71" s="136">
        <f t="shared" si="538"/>
        <v>0</v>
      </c>
      <c r="CA71" s="136">
        <f t="shared" si="538"/>
        <v>0</v>
      </c>
      <c r="CB71" s="136">
        <f t="shared" si="538"/>
        <v>0</v>
      </c>
      <c r="CC71" s="136">
        <f t="shared" si="538"/>
        <v>0</v>
      </c>
      <c r="CD71" s="136">
        <f t="shared" si="538"/>
        <v>0</v>
      </c>
      <c r="CE71" s="141"/>
      <c r="CF71" s="141"/>
      <c r="CG71" s="141"/>
      <c r="CH71" s="141"/>
      <c r="CI71" s="141"/>
      <c r="CJ71" s="141"/>
      <c r="CK71" s="141"/>
      <c r="CL71" s="141"/>
      <c r="CM71" s="141"/>
      <c r="CN71" s="141"/>
      <c r="CO71" s="141"/>
      <c r="CP71" s="141"/>
      <c r="CQ71" s="141"/>
      <c r="CR71" s="141"/>
      <c r="CS71" s="136">
        <f t="shared" ref="CS71" si="539">IFERROR(CS29/$B57,0)</f>
        <v>17807.809039828237</v>
      </c>
      <c r="CT71" s="149">
        <f>IFERROR(s_RadSpec!$M$29*CT29,".")*$B$71</f>
        <v>0</v>
      </c>
      <c r="CU71" s="149">
        <f>IFERROR(s_RadSpec!$L$29*CU29,".")*$B$71</f>
        <v>0</v>
      </c>
      <c r="CV71" s="149">
        <f>IFERROR(s_RadSpec!$Q$29*CV29,".")*$B$71</f>
        <v>1.403878486347534E-3</v>
      </c>
      <c r="CW71" s="149">
        <f>s_b2w!BZ71</f>
        <v>0</v>
      </c>
      <c r="CX71" s="149">
        <f>IFERROR(s_RadSpec!$J$29*CX29,".")*$B$71</f>
        <v>0</v>
      </c>
      <c r="CY71" s="149">
        <f>IFERROR(s_RadSpec!$J$29*CY29,".")*$B$71</f>
        <v>0</v>
      </c>
      <c r="CZ71" s="149">
        <f>IFERROR(s_RadSpec!$J$29*CZ29,".")*$B$71</f>
        <v>0</v>
      </c>
      <c r="DA71" s="149">
        <f>IFERROR(s_RadSpec!$J$29*DA29,".")*$B$71</f>
        <v>0</v>
      </c>
      <c r="DB71" s="149">
        <f>IFERROR(s_RadSpec!$J$29*DB29,".")*$B$71</f>
        <v>0</v>
      </c>
      <c r="DC71" s="149">
        <f>IFERROR(s_RadSpec!$J$29*DC29,".")*$B$71</f>
        <v>0</v>
      </c>
      <c r="DD71" s="149">
        <f>IFERROR(s_RadSpec!$J$29*DD29,".")*$B$71</f>
        <v>0</v>
      </c>
      <c r="DE71" s="149">
        <f>IFERROR(s_RadSpec!$J$29*DE29,".")*$B$71</f>
        <v>0</v>
      </c>
      <c r="DF71" s="149">
        <f>IFERROR(s_RadSpec!$J$29*DF29,".")*$B$71</f>
        <v>0</v>
      </c>
      <c r="DG71" s="149">
        <f>IFERROR(s_RadSpec!$J$29*DG29,".")*$B$71</f>
        <v>0</v>
      </c>
      <c r="DH71" s="150">
        <f t="shared" si="258"/>
        <v>0</v>
      </c>
      <c r="DI71" s="136">
        <f>IFERROR(DI29/$B57,0)</f>
        <v>0</v>
      </c>
      <c r="DJ71" s="136">
        <f t="shared" ref="DJ71:DK71" si="540">IFERROR(DJ29/$B57,0)</f>
        <v>15.379471443488022</v>
      </c>
      <c r="DK71" s="136">
        <f t="shared" si="540"/>
        <v>15.379471443488022</v>
      </c>
      <c r="DL71" s="149">
        <f>IFERROR(s_RadSpec!$L$29*DL29,".")*$B$71</f>
        <v>0</v>
      </c>
      <c r="DM71" s="149">
        <f>IFERROR(s_RadSpec!$O$29*DM29,".")*$B$71</f>
        <v>1.625543510507671</v>
      </c>
      <c r="DN71" s="150">
        <f t="shared" si="91"/>
        <v>1.625543510507671</v>
      </c>
    </row>
    <row r="72" spans="1:118" x14ac:dyDescent="0.25">
      <c r="A72" s="135" t="s">
        <v>1081</v>
      </c>
      <c r="B72" s="129">
        <v>1</v>
      </c>
      <c r="C72" s="136">
        <f t="shared" ref="C72:M72" si="541">IFERROR(C16/$B58,0)</f>
        <v>0.29197890160457007</v>
      </c>
      <c r="D72" s="136">
        <f t="shared" si="541"/>
        <v>0.87593670481371022</v>
      </c>
      <c r="E72" s="136">
        <f t="shared" si="541"/>
        <v>0.87593670481371022</v>
      </c>
      <c r="F72" s="136">
        <f t="shared" si="541"/>
        <v>0.87593670481371022</v>
      </c>
      <c r="G72" s="136">
        <f t="shared" si="541"/>
        <v>0.87593670481371022</v>
      </c>
      <c r="H72" s="136">
        <f t="shared" si="541"/>
        <v>0.87593670481371022</v>
      </c>
      <c r="I72" s="136">
        <f t="shared" si="541"/>
        <v>0.87593670481371022</v>
      </c>
      <c r="J72" s="136">
        <f t="shared" si="541"/>
        <v>0.87593670481371022</v>
      </c>
      <c r="K72" s="136">
        <f t="shared" si="541"/>
        <v>0.87593670481371022</v>
      </c>
      <c r="L72" s="136">
        <f t="shared" si="541"/>
        <v>0.87593670481371022</v>
      </c>
      <c r="M72" s="136">
        <f t="shared" si="541"/>
        <v>0.87593670481371022</v>
      </c>
      <c r="N72" s="149">
        <f>s_dir!BA72</f>
        <v>113437.5</v>
      </c>
      <c r="O72" s="149">
        <f>IFERROR(s_RadSpec!$J$16*O16,".")*$B$72</f>
        <v>28.540875</v>
      </c>
      <c r="P72" s="149">
        <f>IFERROR(s_RadSpec!$J$16*P16,".")*$B$72</f>
        <v>28.540875</v>
      </c>
      <c r="Q72" s="149">
        <f>IFERROR(s_RadSpec!$J$16*Q16,".")*$B$72</f>
        <v>28.540875</v>
      </c>
      <c r="R72" s="149">
        <f>IFERROR(s_RadSpec!$J$16*R16,".")*$B$72</f>
        <v>28.540875</v>
      </c>
      <c r="S72" s="149">
        <f>IFERROR(s_RadSpec!$J$16*S16,".")*$B$72</f>
        <v>28.540875</v>
      </c>
      <c r="T72" s="149">
        <f>IFERROR(s_RadSpec!$J$16*T16,".")*$B$72</f>
        <v>28.540875</v>
      </c>
      <c r="U72" s="149">
        <f>IFERROR(s_RadSpec!$J$16*U16,".")*$B$72</f>
        <v>28.540875</v>
      </c>
      <c r="V72" s="149">
        <f>IFERROR(s_RadSpec!$J$16*V16,".")*$B$72</f>
        <v>28.540875</v>
      </c>
      <c r="W72" s="149">
        <f>IFERROR(s_RadSpec!$J$16*W16,".")*$B$72</f>
        <v>28.540875</v>
      </c>
      <c r="X72" s="149">
        <f>IFERROR(s_RadSpec!$J$16*X16,".")*$B$72</f>
        <v>28.540875</v>
      </c>
      <c r="Y72" s="136">
        <f>IFERROR(Y16/$B58,0)</f>
        <v>437.96835240685505</v>
      </c>
      <c r="Z72" s="136">
        <f>IFERROR(Z16/$B58,0)</f>
        <v>692481.68717966415</v>
      </c>
      <c r="AA72" s="136">
        <f t="shared" ref="AA72:AH72" si="542">IFERROR(AA16/$B58,0)</f>
        <v>7617189521.6855774</v>
      </c>
      <c r="AB72" s="136">
        <f>IFERROR(AB16/$B58,0)</f>
        <v>14.176026943092898</v>
      </c>
      <c r="AC72" s="136">
        <f t="shared" ref="AC72" si="543">IFERROR(AC16/$B58,0)</f>
        <v>5.2556202288822611</v>
      </c>
      <c r="AD72" s="136">
        <f>IFERROR(AD16/$B58,0)</f>
        <v>14.047279874431851</v>
      </c>
      <c r="AE72" s="136">
        <f>IFERROR(AE16/$B58,0)</f>
        <v>53.30573047087033</v>
      </c>
      <c r="AF72" s="136">
        <f t="shared" ref="AF72" si="544">IFERROR(AF16/$B58,0)</f>
        <v>0</v>
      </c>
      <c r="AG72" s="136">
        <f t="shared" si="542"/>
        <v>0</v>
      </c>
      <c r="AH72" s="136">
        <f t="shared" si="542"/>
        <v>0</v>
      </c>
      <c r="AI72" s="136">
        <f t="shared" ref="AI72" si="545">IFERROR(AI16/$B58,0)</f>
        <v>0</v>
      </c>
      <c r="AJ72" s="136">
        <f t="shared" ref="AJ72:AL72" si="546">IFERROR(AJ16/$B58,0)</f>
        <v>1.6880147982442275</v>
      </c>
      <c r="AK72" s="136">
        <f t="shared" si="546"/>
        <v>1.384943086211591</v>
      </c>
      <c r="AL72" s="136">
        <f t="shared" si="546"/>
        <v>0.28937396541329607</v>
      </c>
      <c r="AM72" s="129"/>
      <c r="AN72" s="129"/>
      <c r="AO72" s="129"/>
      <c r="AP72" s="129"/>
      <c r="AQ72" s="129"/>
      <c r="AR72" s="129"/>
      <c r="AS72" s="129"/>
      <c r="AT72" s="129"/>
      <c r="AU72" s="129"/>
      <c r="AV72" s="129"/>
      <c r="AW72" s="129"/>
      <c r="AX72" s="129"/>
      <c r="AY72" s="129"/>
      <c r="AZ72" s="129"/>
      <c r="BA72" s="136">
        <f t="shared" ref="BA72" si="547">IFERROR(BA16/$B58,0)</f>
        <v>0.19518876074408595</v>
      </c>
      <c r="BB72" s="149">
        <f>IFERROR(s_RadSpec!$I$16*BB16,".")*$B$72</f>
        <v>5.7081750000000001E-2</v>
      </c>
      <c r="BC72" s="149">
        <f>IFERROR(s_RadSpec!$L$16*BC16,".")*$B$72</f>
        <v>3.6102037733040807E-5</v>
      </c>
      <c r="BD72" s="149">
        <f>IFERROR(s_RadSpec!$K$16*BD16,".")*$B$72</f>
        <v>3.2820504109589027E-9</v>
      </c>
      <c r="BE72" s="149">
        <f>s_b2s!BZ72</f>
        <v>2.0121316875000002</v>
      </c>
      <c r="BF72" s="149">
        <f>IFERROR(s_RadSpec!$J$16*BF16,".")*$B$72</f>
        <v>4.7568125000000006</v>
      </c>
      <c r="BG72" s="149">
        <f>IFERROR(s_RadSpec!$J$16*BG16,".")*$B$72</f>
        <v>1.7797039870689655</v>
      </c>
      <c r="BH72" s="149">
        <f>IFERROR(s_RadSpec!$J$16*BH16,".")*$B$72</f>
        <v>0.468992728908604</v>
      </c>
      <c r="BI72" s="149">
        <f>IFERROR(s_RadSpec!$J$16*BI16,".")*$B$72</f>
        <v>0</v>
      </c>
      <c r="BJ72" s="149">
        <f>IFERROR(s_RadSpec!$J$16*BJ16,".")*$B$72</f>
        <v>0</v>
      </c>
      <c r="BK72" s="149">
        <f>IFERROR(s_RadSpec!$J$16*BK16,".")*$B$72</f>
        <v>0</v>
      </c>
      <c r="BL72" s="149">
        <f>IFERROR(s_RadSpec!$J$16*BL16,".")*$B$72</f>
        <v>0</v>
      </c>
      <c r="BM72" s="149">
        <f>IFERROR(s_RadSpec!$J$16*BM16,".")*$B$72</f>
        <v>14.810296702376966</v>
      </c>
      <c r="BN72" s="149">
        <f>IFERROR(s_RadSpec!$J$16*BN16,".")*$B$72</f>
        <v>18.051283297413793</v>
      </c>
      <c r="BO72" s="149">
        <f>IFERROR(s_RadSpec!$J$16*BO16,".")*$B$72</f>
        <v>86.393397430532303</v>
      </c>
      <c r="BP72" s="150">
        <f t="shared" si="86"/>
        <v>128.32973618912041</v>
      </c>
      <c r="BQ72" s="136">
        <f>IFERROR(BQ16/$B58,0)</f>
        <v>4.8176518764754066</v>
      </c>
      <c r="BR72" s="136">
        <f>IFERROR(BR16/$B58,0)</f>
        <v>0</v>
      </c>
      <c r="BS72" s="136">
        <f t="shared" ref="BS72" si="548">IFERROR(BS16/$B58,0)</f>
        <v>9777.9555768279442</v>
      </c>
      <c r="BT72" s="136">
        <f>IFERROR(BT16/$B58,0)</f>
        <v>22.276696901037536</v>
      </c>
      <c r="BU72" s="136">
        <f t="shared" ref="BU72" si="549">IFERROR(BU16/$B58,0)</f>
        <v>35.03746819254841</v>
      </c>
      <c r="BV72" s="136">
        <f>IFERROR(BV16/$B58,0)</f>
        <v>250267.62994677437</v>
      </c>
      <c r="BW72" s="136">
        <f>IFERROR(BW16/$B58,0)</f>
        <v>949699.79574539093</v>
      </c>
      <c r="BX72" s="136">
        <f t="shared" ref="BX72:CD72" si="550">IFERROR(BX16/$B58,0)</f>
        <v>0</v>
      </c>
      <c r="BY72" s="136">
        <f t="shared" si="550"/>
        <v>0</v>
      </c>
      <c r="BZ72" s="136">
        <f t="shared" si="550"/>
        <v>0</v>
      </c>
      <c r="CA72" s="136">
        <f t="shared" si="550"/>
        <v>0</v>
      </c>
      <c r="CB72" s="136">
        <f t="shared" si="550"/>
        <v>30073.826865270716</v>
      </c>
      <c r="CC72" s="136">
        <f t="shared" si="550"/>
        <v>24674.273375034089</v>
      </c>
      <c r="CD72" s="136">
        <f t="shared" si="550"/>
        <v>5155.5131769035506</v>
      </c>
      <c r="CE72" s="141"/>
      <c r="CF72" s="141"/>
      <c r="CG72" s="141"/>
      <c r="CH72" s="141"/>
      <c r="CI72" s="141"/>
      <c r="CJ72" s="141"/>
      <c r="CK72" s="141"/>
      <c r="CL72" s="141"/>
      <c r="CM72" s="141"/>
      <c r="CN72" s="141"/>
      <c r="CO72" s="141"/>
      <c r="CP72" s="141"/>
      <c r="CQ72" s="141"/>
      <c r="CR72" s="141"/>
      <c r="CS72" s="136">
        <f t="shared" ref="CS72" si="551">IFERROR(CS16/$B58,0)</f>
        <v>3.5539646463096806</v>
      </c>
      <c r="CT72" s="149">
        <f>IFERROR(s_RadSpec!$M$16*CT16,".")*$B$72</f>
        <v>5.1892500000000004</v>
      </c>
      <c r="CU72" s="149">
        <f>IFERROR(s_RadSpec!$L$16*CU16,".")*$B$72</f>
        <v>5.5922753906249998</v>
      </c>
      <c r="CV72" s="149">
        <f>IFERROR(s_RadSpec!$Q$16*CV16,".")*$B$72</f>
        <v>2.5567716894977165E-3</v>
      </c>
      <c r="CW72" s="149">
        <f>s_b2w!BZ72</f>
        <v>1.1222489631681269</v>
      </c>
      <c r="CX72" s="149">
        <f>IFERROR(s_RadSpec!$J$16*CX16,".")*$B$72</f>
        <v>0.71352187499999997</v>
      </c>
      <c r="CY72" s="149">
        <f>IFERROR(s_RadSpec!$J$16*CY16,".")*$B$72</f>
        <v>9.9893062499999995E-5</v>
      </c>
      <c r="CZ72" s="149">
        <f>IFERROR(s_RadSpec!$J$16*CZ16,".")*$B$72</f>
        <v>2.6324108009708739E-5</v>
      </c>
      <c r="DA72" s="149">
        <f>IFERROR(s_RadSpec!$J$16*DA16,".")*$B$72</f>
        <v>0</v>
      </c>
      <c r="DB72" s="149">
        <f>IFERROR(s_RadSpec!$J$16*DB16,".")*$B$72</f>
        <v>0</v>
      </c>
      <c r="DC72" s="149">
        <f>IFERROR(s_RadSpec!$J$16*DC16,".")*$B$72</f>
        <v>0</v>
      </c>
      <c r="DD72" s="149">
        <f>IFERROR(s_RadSpec!$J$16*DD16,".")*$B$72</f>
        <v>0</v>
      </c>
      <c r="DE72" s="149">
        <f>IFERROR(s_RadSpec!$J$16*DE16,".")*$B$72</f>
        <v>8.312876213592233E-4</v>
      </c>
      <c r="DF72" s="149">
        <f>IFERROR(s_RadSpec!$J$16*DF16,".")*$B$72</f>
        <v>1.0132010625E-3</v>
      </c>
      <c r="DG72" s="149">
        <f>IFERROR(s_RadSpec!$J$16*DG16,".")*$B$72</f>
        <v>4.8491777912621362E-3</v>
      </c>
      <c r="DH72" s="150">
        <f t="shared" si="258"/>
        <v>0</v>
      </c>
      <c r="DI72" s="136">
        <f>IFERROR(DI16/$B58,0)</f>
        <v>2.2352261158231306</v>
      </c>
      <c r="DJ72" s="136">
        <f t="shared" ref="DJ72:DK72" si="552">IFERROR(DJ16/$B58,0)</f>
        <v>9.0513559055137645</v>
      </c>
      <c r="DK72" s="136">
        <f t="shared" si="552"/>
        <v>1.7925557148627205</v>
      </c>
      <c r="DL72" s="149">
        <f>IFERROR(s_RadSpec!$L$16*DL16,".")*$B$72</f>
        <v>11.18455078125</v>
      </c>
      <c r="DM72" s="149">
        <f>IFERROR(s_RadSpec!$O$16*DM16,".")*$B$72</f>
        <v>2.7620171232876713</v>
      </c>
      <c r="DN72" s="150">
        <f t="shared" si="91"/>
        <v>13.946567904537671</v>
      </c>
    </row>
    <row r="73" spans="1:118" x14ac:dyDescent="0.25">
      <c r="A73" s="135" t="s">
        <v>1082</v>
      </c>
      <c r="B73" s="129">
        <v>1</v>
      </c>
      <c r="C73" s="136">
        <f t="shared" ref="C73:M73" si="553">IFERROR(C7/$B59,0)</f>
        <v>165.45471090925639</v>
      </c>
      <c r="D73" s="136">
        <f t="shared" si="553"/>
        <v>496.36413272776917</v>
      </c>
      <c r="E73" s="136">
        <f t="shared" si="553"/>
        <v>496.36413272776917</v>
      </c>
      <c r="F73" s="136">
        <f t="shared" si="553"/>
        <v>496.36413272776917</v>
      </c>
      <c r="G73" s="136">
        <f t="shared" si="553"/>
        <v>496.36413272776917</v>
      </c>
      <c r="H73" s="136">
        <f t="shared" si="553"/>
        <v>496.36413272776917</v>
      </c>
      <c r="I73" s="136">
        <f t="shared" si="553"/>
        <v>496.36413272776917</v>
      </c>
      <c r="J73" s="136">
        <f t="shared" si="553"/>
        <v>496.36413272776917</v>
      </c>
      <c r="K73" s="136">
        <f t="shared" si="553"/>
        <v>496.36413272776917</v>
      </c>
      <c r="L73" s="136">
        <f t="shared" si="553"/>
        <v>496.36413272776917</v>
      </c>
      <c r="M73" s="136">
        <f t="shared" si="553"/>
        <v>496.36413272776917</v>
      </c>
      <c r="N73" s="149">
        <f>s_dir!BA73</f>
        <v>113437.5</v>
      </c>
      <c r="O73" s="149">
        <f>IFERROR(s_RadSpec!$J$7*O7,".")*$B$73</f>
        <v>5.0366250000000001E-2</v>
      </c>
      <c r="P73" s="149">
        <f>IFERROR(s_RadSpec!$J$7*P7,".")*$B$73</f>
        <v>5.0366250000000001E-2</v>
      </c>
      <c r="Q73" s="149">
        <f>IFERROR(s_RadSpec!$J$7*Q7,".")*$B$73</f>
        <v>5.0366250000000001E-2</v>
      </c>
      <c r="R73" s="149">
        <f>IFERROR(s_RadSpec!$J$7*R7,".")*$B$73</f>
        <v>5.0366250000000001E-2</v>
      </c>
      <c r="S73" s="149">
        <f>IFERROR(s_RadSpec!$J$7*S7,".")*$B$73</f>
        <v>5.0366250000000001E-2</v>
      </c>
      <c r="T73" s="149">
        <f>IFERROR(s_RadSpec!$J$7*T7,".")*$B$73</f>
        <v>5.0366250000000001E-2</v>
      </c>
      <c r="U73" s="149">
        <f>IFERROR(s_RadSpec!$J$7*U7,".")*$B$73</f>
        <v>5.0366250000000001E-2</v>
      </c>
      <c r="V73" s="149">
        <f>IFERROR(s_RadSpec!$J$7*V7,".")*$B$73</f>
        <v>5.0366250000000001E-2</v>
      </c>
      <c r="W73" s="149">
        <f>IFERROR(s_RadSpec!$J$7*W7,".")*$B$73</f>
        <v>5.0366250000000001E-2</v>
      </c>
      <c r="X73" s="149">
        <f>IFERROR(s_RadSpec!$J$7*X7,".")*$B$73</f>
        <v>5.0366250000000001E-2</v>
      </c>
      <c r="Y73" s="136">
        <f>IFERROR(Y7/$B59,0)</f>
        <v>248182.06636388457</v>
      </c>
      <c r="Z73" s="136">
        <f>IFERROR(Z7/$B59,0)</f>
        <v>28600442.285571061</v>
      </c>
      <c r="AA73" s="136">
        <f t="shared" ref="AA73:AH73" si="554">IFERROR(AA7/$B59,0)</f>
        <v>349592.5839418773</v>
      </c>
      <c r="AB73" s="136">
        <f>IFERROR(AB7/$B59,0)</f>
        <v>1457.7507569097479</v>
      </c>
      <c r="AC73" s="136">
        <f t="shared" ref="AC73" si="555">IFERROR(AC7/$B59,0)</f>
        <v>15883.652247288614</v>
      </c>
      <c r="AD73" s="136">
        <f>IFERROR(AD7/$B59,0)</f>
        <v>1654.5471090925639</v>
      </c>
      <c r="AE73" s="136">
        <f>IFERROR(AE7/$B59,0)</f>
        <v>3408.3670447306822</v>
      </c>
      <c r="AF73" s="136">
        <f t="shared" ref="AF73" si="556">IFERROR(AF7/$B59,0)</f>
        <v>0</v>
      </c>
      <c r="AG73" s="136">
        <f t="shared" si="554"/>
        <v>0</v>
      </c>
      <c r="AH73" s="136">
        <f t="shared" si="554"/>
        <v>0</v>
      </c>
      <c r="AI73" s="136">
        <f t="shared" ref="AI73" si="557">IFERROR(AI7/$B59,0)</f>
        <v>0</v>
      </c>
      <c r="AJ73" s="136">
        <f t="shared" ref="AJ73:AL73" si="558">IFERROR(AJ7/$B59,0)</f>
        <v>0</v>
      </c>
      <c r="AK73" s="136">
        <f t="shared" si="558"/>
        <v>0</v>
      </c>
      <c r="AL73" s="136">
        <f t="shared" si="558"/>
        <v>0</v>
      </c>
      <c r="AM73" s="129"/>
      <c r="AN73" s="129"/>
      <c r="AO73" s="129"/>
      <c r="AP73" s="129"/>
      <c r="AQ73" s="129"/>
      <c r="AR73" s="129"/>
      <c r="AS73" s="129"/>
      <c r="AT73" s="129"/>
      <c r="AU73" s="129"/>
      <c r="AV73" s="129"/>
      <c r="AW73" s="129"/>
      <c r="AX73" s="129"/>
      <c r="AY73" s="129"/>
      <c r="AZ73" s="129"/>
      <c r="BA73" s="136">
        <f t="shared" ref="BA73" si="559">IFERROR(BA7/$B59,0)</f>
        <v>604.71867827180802</v>
      </c>
      <c r="BB73" s="149">
        <f>IFERROR(s_RadSpec!$I$7*BB7,".")*$B$73</f>
        <v>1.0073249999999999E-4</v>
      </c>
      <c r="BC73" s="149">
        <f>IFERROR(s_RadSpec!$L$7*BC7,".")*$B$73</f>
        <v>8.7411235638871608E-7</v>
      </c>
      <c r="BD73" s="149">
        <f>IFERROR(s_RadSpec!$K$7*BD7,".")*$B$73</f>
        <v>7.1511814461591838E-5</v>
      </c>
      <c r="BE73" s="149">
        <f>s_b2s!BZ73</f>
        <v>1.7149708125E-2</v>
      </c>
      <c r="BF73" s="149">
        <f>IFERROR(s_RadSpec!$J$7*BF7,".")*$B$73</f>
        <v>1.5739453125E-3</v>
      </c>
      <c r="BG73" s="149">
        <f>IFERROR(s_RadSpec!$J$7*BG7,".")*$B$73</f>
        <v>1.5109875E-2</v>
      </c>
      <c r="BH73" s="149">
        <f>IFERROR(s_RadSpec!$J$7*BH7,".")*$B$73</f>
        <v>7.3348907766990299E-3</v>
      </c>
      <c r="BI73" s="149">
        <f>IFERROR(s_RadSpec!$J$7*BI7,".")*$B$73</f>
        <v>0</v>
      </c>
      <c r="BJ73" s="149">
        <f>IFERROR(s_RadSpec!$J$7*BJ7,".")*$B$73</f>
        <v>0</v>
      </c>
      <c r="BK73" s="149">
        <f>IFERROR(s_RadSpec!$J$7*BK7,".")*$B$73</f>
        <v>0</v>
      </c>
      <c r="BL73" s="149">
        <f>IFERROR(s_RadSpec!$J$7*BL7,".")*$B$73</f>
        <v>0</v>
      </c>
      <c r="BM73" s="149">
        <f>IFERROR(s_RadSpec!$J$7*BM7,".")*$B$73</f>
        <v>0</v>
      </c>
      <c r="BN73" s="149">
        <f>IFERROR(s_RadSpec!$J$7*BN7,".")*$B$73</f>
        <v>0</v>
      </c>
      <c r="BO73" s="149">
        <f>IFERROR(s_RadSpec!$J$7*BO7,".")*$B$73</f>
        <v>0</v>
      </c>
      <c r="BP73" s="150">
        <f t="shared" si="86"/>
        <v>4.1341537641017008E-2</v>
      </c>
      <c r="BQ73" s="136">
        <f>IFERROR(BQ7/$B59,0)</f>
        <v>2730.00273000273</v>
      </c>
      <c r="BR73" s="136">
        <f>IFERROR(BR7/$B59,0)</f>
        <v>0</v>
      </c>
      <c r="BS73" s="136">
        <f t="shared" ref="BS73" si="560">IFERROR(BS7/$B59,0)</f>
        <v>3576.5005297793482</v>
      </c>
      <c r="BT73" s="136">
        <f>IFERROR(BT7/$B59,0)</f>
        <v>5241.4020209370792</v>
      </c>
      <c r="BU73" s="136">
        <f t="shared" ref="BU73" si="561">IFERROR(BU7/$B59,0)</f>
        <v>33090.942181851278</v>
      </c>
      <c r="BV73" s="136">
        <f>IFERROR(BV7/$B59,0)</f>
        <v>49636413.272776917</v>
      </c>
      <c r="BW73" s="136">
        <f>IFERROR(BW7/$B59,0)</f>
        <v>102251011.34192045</v>
      </c>
      <c r="BX73" s="136">
        <f t="shared" ref="BX73:CD73" si="562">IFERROR(BX7/$B59,0)</f>
        <v>0</v>
      </c>
      <c r="BY73" s="136">
        <f t="shared" si="562"/>
        <v>0</v>
      </c>
      <c r="BZ73" s="136">
        <f t="shared" si="562"/>
        <v>0</v>
      </c>
      <c r="CA73" s="136">
        <f t="shared" si="562"/>
        <v>0</v>
      </c>
      <c r="CB73" s="136">
        <f t="shared" si="562"/>
        <v>0</v>
      </c>
      <c r="CC73" s="136">
        <f t="shared" si="562"/>
        <v>0</v>
      </c>
      <c r="CD73" s="136">
        <f t="shared" si="562"/>
        <v>0</v>
      </c>
      <c r="CE73" s="141"/>
      <c r="CF73" s="141"/>
      <c r="CG73" s="141"/>
      <c r="CH73" s="141"/>
      <c r="CI73" s="141"/>
      <c r="CJ73" s="141"/>
      <c r="CK73" s="141"/>
      <c r="CL73" s="141"/>
      <c r="CM73" s="141"/>
      <c r="CN73" s="141"/>
      <c r="CO73" s="141"/>
      <c r="CP73" s="141"/>
      <c r="CQ73" s="141"/>
      <c r="CR73" s="141"/>
      <c r="CS73" s="136">
        <f t="shared" ref="CS73" si="563">IFERROR(CS7/$B59,0)</f>
        <v>1153.4807057772705</v>
      </c>
      <c r="CT73" s="149">
        <f>IFERROR(s_RadSpec!$M$7*CT7,".")*$B$73</f>
        <v>9.157499999999999E-3</v>
      </c>
      <c r="CU73" s="149">
        <f>IFERROR(s_RadSpec!$L$7*CU7,".")*$B$73</f>
        <v>0.13540169270833333</v>
      </c>
      <c r="CV73" s="149">
        <f>IFERROR(s_RadSpec!$Q$7*CV7,".")*$B$73</f>
        <v>6.9900730593607302E-3</v>
      </c>
      <c r="CW73" s="149">
        <f>s_b2w!BZ73</f>
        <v>4.7697161752019929E-3</v>
      </c>
      <c r="CX73" s="149">
        <f>IFERROR(s_RadSpec!$J$7*CX7,".")*$B$73</f>
        <v>7.5549375000000002E-4</v>
      </c>
      <c r="CY73" s="149">
        <f>IFERROR(s_RadSpec!$J$7*CY7,".")*$B$73</f>
        <v>5.0366249999999996E-7</v>
      </c>
      <c r="CZ73" s="149">
        <f>IFERROR(s_RadSpec!$J$7*CZ7,".")*$B$73</f>
        <v>2.4449635922330099E-7</v>
      </c>
      <c r="DA73" s="149">
        <f>IFERROR(s_RadSpec!$J$7*DA7,".")*$B$73</f>
        <v>0</v>
      </c>
      <c r="DB73" s="149">
        <f>IFERROR(s_RadSpec!$J$7*DB7,".")*$B$73</f>
        <v>0</v>
      </c>
      <c r="DC73" s="149">
        <f>IFERROR(s_RadSpec!$J$7*DC7,".")*$B$73</f>
        <v>0</v>
      </c>
      <c r="DD73" s="149">
        <f>IFERROR(s_RadSpec!$J$7*DD7,".")*$B$73</f>
        <v>0</v>
      </c>
      <c r="DE73" s="149">
        <f>IFERROR(s_RadSpec!$J$7*DE7,".")*$B$73</f>
        <v>0</v>
      </c>
      <c r="DF73" s="149">
        <f>IFERROR(s_RadSpec!$J$7*DF7,".")*$B$73</f>
        <v>0</v>
      </c>
      <c r="DG73" s="149">
        <f>IFERROR(s_RadSpec!$J$7*DG7,".")*$B$73</f>
        <v>0</v>
      </c>
      <c r="DH73" s="150">
        <f t="shared" si="258"/>
        <v>0</v>
      </c>
      <c r="DI73" s="136">
        <f>IFERROR(DI7/$B59,0)</f>
        <v>92.317900537078629</v>
      </c>
      <c r="DJ73" s="136">
        <f t="shared" ref="DJ73:DK73" si="564">IFERROR(DJ7/$B59,0)</f>
        <v>1.6523986943786755</v>
      </c>
      <c r="DK73" s="136">
        <f t="shared" si="564"/>
        <v>1.6233424769619462</v>
      </c>
      <c r="DL73" s="149">
        <f>IFERROR(s_RadSpec!$L$7*DL7,".")*$B$73</f>
        <v>0.27080338541666665</v>
      </c>
      <c r="DM73" s="149">
        <f>IFERROR(s_RadSpec!$O$7*DM7,".")*$B$73</f>
        <v>15.129520547945205</v>
      </c>
      <c r="DN73" s="150">
        <f t="shared" si="91"/>
        <v>15.400323933361872</v>
      </c>
    </row>
    <row r="74" spans="1:118" x14ac:dyDescent="0.25">
      <c r="A74" s="135" t="s">
        <v>1083</v>
      </c>
      <c r="B74" s="129">
        <v>1.9000000000000001E-8</v>
      </c>
      <c r="C74" s="136">
        <f t="shared" ref="C74:M74" si="565">IFERROR(C12/$B60,0)</f>
        <v>0</v>
      </c>
      <c r="D74" s="136">
        <f t="shared" si="565"/>
        <v>0</v>
      </c>
      <c r="E74" s="136">
        <f t="shared" si="565"/>
        <v>0</v>
      </c>
      <c r="F74" s="136">
        <f t="shared" si="565"/>
        <v>0</v>
      </c>
      <c r="G74" s="136">
        <f t="shared" si="565"/>
        <v>0</v>
      </c>
      <c r="H74" s="136">
        <f t="shared" si="565"/>
        <v>0</v>
      </c>
      <c r="I74" s="136">
        <f t="shared" si="565"/>
        <v>0</v>
      </c>
      <c r="J74" s="136">
        <f t="shared" si="565"/>
        <v>0</v>
      </c>
      <c r="K74" s="136">
        <f t="shared" si="565"/>
        <v>0</v>
      </c>
      <c r="L74" s="136">
        <f t="shared" si="565"/>
        <v>0</v>
      </c>
      <c r="M74" s="136">
        <f t="shared" si="565"/>
        <v>0</v>
      </c>
      <c r="N74" s="149">
        <f>s_dir!BA74</f>
        <v>2.1553125000000001E-3</v>
      </c>
      <c r="O74" s="149">
        <f>IFERROR(s_RadSpec!$J$12*O12,".")*$B$74</f>
        <v>0</v>
      </c>
      <c r="P74" s="149">
        <f>IFERROR(s_RadSpec!$J$12*P12,".")*$B$74</f>
        <v>0</v>
      </c>
      <c r="Q74" s="149">
        <f>IFERROR(s_RadSpec!$J$12*Q12,".")*$B$74</f>
        <v>0</v>
      </c>
      <c r="R74" s="149">
        <f>IFERROR(s_RadSpec!$J$12*R12,".")*$B$74</f>
        <v>0</v>
      </c>
      <c r="S74" s="149">
        <f>IFERROR(s_RadSpec!$J$12*S12,".")*$B$74</f>
        <v>0</v>
      </c>
      <c r="T74" s="149">
        <f>IFERROR(s_RadSpec!$J$12*T12,".")*$B$74</f>
        <v>0</v>
      </c>
      <c r="U74" s="149">
        <f>IFERROR(s_RadSpec!$J$12*U12,".")*$B$74</f>
        <v>0</v>
      </c>
      <c r="V74" s="149">
        <f>IFERROR(s_RadSpec!$J$12*V12,".")*$B$74</f>
        <v>0</v>
      </c>
      <c r="W74" s="149">
        <f>IFERROR(s_RadSpec!$J$12*W12,".")*$B$74</f>
        <v>0</v>
      </c>
      <c r="X74" s="149">
        <f>IFERROR(s_RadSpec!$J$12*X12,".")*$B$74</f>
        <v>0</v>
      </c>
      <c r="Y74" s="136">
        <f>IFERROR(Y12/$B60,0)</f>
        <v>0</v>
      </c>
      <c r="Z74" s="136">
        <f>IFERROR(Z12/$B60,0)</f>
        <v>0</v>
      </c>
      <c r="AA74" s="136">
        <f t="shared" ref="AA74:AH74" si="566">IFERROR(AA12/$B60,0)</f>
        <v>127565923619.91016</v>
      </c>
      <c r="AB74" s="136">
        <f>IFERROR(AB12/$B60,0)</f>
        <v>0</v>
      </c>
      <c r="AC74" s="136">
        <f t="shared" ref="AC74" si="567">IFERROR(AC12/$B60,0)</f>
        <v>0</v>
      </c>
      <c r="AD74" s="136">
        <f>IFERROR(AD12/$B60,0)</f>
        <v>0</v>
      </c>
      <c r="AE74" s="136">
        <f>IFERROR(AE12/$B60,0)</f>
        <v>0</v>
      </c>
      <c r="AF74" s="136">
        <f t="shared" ref="AF74" si="568">IFERROR(AF12/$B60,0)</f>
        <v>0</v>
      </c>
      <c r="AG74" s="136">
        <f t="shared" si="566"/>
        <v>0</v>
      </c>
      <c r="AH74" s="136">
        <f t="shared" si="566"/>
        <v>0</v>
      </c>
      <c r="AI74" s="136">
        <f t="shared" ref="AI74" si="569">IFERROR(AI12/$B60,0)</f>
        <v>0</v>
      </c>
      <c r="AJ74" s="136">
        <f t="shared" ref="AJ74:AL74" si="570">IFERROR(AJ12/$B60,0)</f>
        <v>0</v>
      </c>
      <c r="AK74" s="136">
        <f t="shared" si="570"/>
        <v>0</v>
      </c>
      <c r="AL74" s="136">
        <f t="shared" si="570"/>
        <v>0</v>
      </c>
      <c r="AM74" s="129"/>
      <c r="AN74" s="129"/>
      <c r="AO74" s="129"/>
      <c r="AP74" s="129"/>
      <c r="AQ74" s="129"/>
      <c r="AR74" s="129"/>
      <c r="AS74" s="129"/>
      <c r="AT74" s="129"/>
      <c r="AU74" s="129"/>
      <c r="AV74" s="129"/>
      <c r="AW74" s="129"/>
      <c r="AX74" s="129"/>
      <c r="AY74" s="129"/>
      <c r="AZ74" s="129"/>
      <c r="BA74" s="136">
        <f t="shared" ref="BA74" si="571">IFERROR(BA12/$B60,0)</f>
        <v>127565923619.91016</v>
      </c>
      <c r="BB74" s="149">
        <f>IFERROR(s_RadSpec!$I$12*BB12,".")*$B$74</f>
        <v>0</v>
      </c>
      <c r="BC74" s="149">
        <f>IFERROR(s_RadSpec!$L$12*BC12,".")*$B$74</f>
        <v>0</v>
      </c>
      <c r="BD74" s="149">
        <f>IFERROR(s_RadSpec!$K$12*BD12,".")*$B$74</f>
        <v>1.9597710180415351E-10</v>
      </c>
      <c r="BE74" s="149">
        <f>s_b2s!BZ74</f>
        <v>0</v>
      </c>
      <c r="BF74" s="149">
        <f>IFERROR(s_RadSpec!$J$12*BF12,".")*$B$74</f>
        <v>0</v>
      </c>
      <c r="BG74" s="149">
        <f>IFERROR(s_RadSpec!$J$12*BG12,".")*$B$74</f>
        <v>0</v>
      </c>
      <c r="BH74" s="149">
        <f>IFERROR(s_RadSpec!$J$12*BH12,".")*$B$74</f>
        <v>0</v>
      </c>
      <c r="BI74" s="149">
        <f>IFERROR(s_RadSpec!$J$12*BI12,".")*$B$74</f>
        <v>0</v>
      </c>
      <c r="BJ74" s="149">
        <f>IFERROR(s_RadSpec!$J$12*BJ12,".")*$B$74</f>
        <v>0</v>
      </c>
      <c r="BK74" s="149">
        <f>IFERROR(s_RadSpec!$J$12*BK12,".")*$B$74</f>
        <v>0</v>
      </c>
      <c r="BL74" s="149">
        <f>IFERROR(s_RadSpec!$J$12*BL12,".")*$B$74</f>
        <v>0</v>
      </c>
      <c r="BM74" s="149">
        <f>IFERROR(s_RadSpec!$J$12*BM12,".")*$B$74</f>
        <v>0</v>
      </c>
      <c r="BN74" s="149">
        <f>IFERROR(s_RadSpec!$J$12*BN12,".")*$B$74</f>
        <v>0</v>
      </c>
      <c r="BO74" s="149">
        <f>IFERROR(s_RadSpec!$J$12*BO12,".")*$B$74</f>
        <v>0</v>
      </c>
      <c r="BP74" s="150">
        <f t="shared" si="86"/>
        <v>1.9597710180415351E-10</v>
      </c>
      <c r="BQ74" s="136">
        <f>IFERROR(BQ12/$B60,0)</f>
        <v>0</v>
      </c>
      <c r="BR74" s="136">
        <f>IFERROR(BR12/$B60,0)</f>
        <v>0</v>
      </c>
      <c r="BS74" s="136">
        <f t="shared" ref="BS74" si="572">IFERROR(BS12/$B60,0)</f>
        <v>4713830861.8940535</v>
      </c>
      <c r="BT74" s="136">
        <f>IFERROR(BT12/$B60,0)</f>
        <v>0</v>
      </c>
      <c r="BU74" s="136">
        <f t="shared" ref="BU74" si="573">IFERROR(BU12/$B60,0)</f>
        <v>0</v>
      </c>
      <c r="BV74" s="136">
        <f>IFERROR(BV12/$B60,0)</f>
        <v>0</v>
      </c>
      <c r="BW74" s="136">
        <f>IFERROR(BW12/$B60,0)</f>
        <v>0</v>
      </c>
      <c r="BX74" s="136">
        <f t="shared" ref="BX74:CD74" si="574">IFERROR(BX12/$B60,0)</f>
        <v>0</v>
      </c>
      <c r="BY74" s="136">
        <f t="shared" si="574"/>
        <v>0</v>
      </c>
      <c r="BZ74" s="136">
        <f t="shared" si="574"/>
        <v>0</v>
      </c>
      <c r="CA74" s="136">
        <f t="shared" si="574"/>
        <v>0</v>
      </c>
      <c r="CB74" s="136">
        <f t="shared" si="574"/>
        <v>0</v>
      </c>
      <c r="CC74" s="136">
        <f t="shared" si="574"/>
        <v>0</v>
      </c>
      <c r="CD74" s="136">
        <f t="shared" si="574"/>
        <v>0</v>
      </c>
      <c r="CE74" s="141"/>
      <c r="CF74" s="141"/>
      <c r="CG74" s="141"/>
      <c r="CH74" s="141"/>
      <c r="CI74" s="141"/>
      <c r="CJ74" s="141"/>
      <c r="CK74" s="141"/>
      <c r="CL74" s="141"/>
      <c r="CM74" s="141"/>
      <c r="CN74" s="141"/>
      <c r="CO74" s="141"/>
      <c r="CP74" s="141"/>
      <c r="CQ74" s="141"/>
      <c r="CR74" s="141"/>
      <c r="CS74" s="136">
        <f t="shared" ref="CS74" si="575">IFERROR(CS12/$B60,0)</f>
        <v>4713830861.8940535</v>
      </c>
      <c r="CT74" s="149">
        <f>IFERROR(s_RadSpec!$M$12*CT12,".")*$B$74</f>
        <v>0</v>
      </c>
      <c r="CU74" s="149">
        <f>IFERROR(s_RadSpec!$L$12*CU12,".")*$B$74</f>
        <v>0</v>
      </c>
      <c r="CV74" s="149">
        <f>IFERROR(s_RadSpec!$Q$12*CV12,".")*$B$74</f>
        <v>5.3035420091324192E-9</v>
      </c>
      <c r="CW74" s="149">
        <f>s_b2w!BZ74</f>
        <v>0</v>
      </c>
      <c r="CX74" s="149">
        <f>IFERROR(s_RadSpec!$J$12*CX12,".")*$B$74</f>
        <v>0</v>
      </c>
      <c r="CY74" s="149">
        <f>IFERROR(s_RadSpec!$J$12*CY12,".")*$B$74</f>
        <v>0</v>
      </c>
      <c r="CZ74" s="149">
        <f>IFERROR(s_RadSpec!$J$12*CZ12,".")*$B$74</f>
        <v>0</v>
      </c>
      <c r="DA74" s="149">
        <f>IFERROR(s_RadSpec!$J$12*DA12,".")*$B$74</f>
        <v>0</v>
      </c>
      <c r="DB74" s="149">
        <f>IFERROR(s_RadSpec!$J$12*DB12,".")*$B$74</f>
        <v>0</v>
      </c>
      <c r="DC74" s="149">
        <f>IFERROR(s_RadSpec!$J$12*DC12,".")*$B$74</f>
        <v>0</v>
      </c>
      <c r="DD74" s="149">
        <f>IFERROR(s_RadSpec!$J$12*DD12,".")*$B$74</f>
        <v>0</v>
      </c>
      <c r="DE74" s="149">
        <f>IFERROR(s_RadSpec!$J$12*DE12,".")*$B$74</f>
        <v>0</v>
      </c>
      <c r="DF74" s="149">
        <f>IFERROR(s_RadSpec!$J$12*DF12,".")*$B$74</f>
        <v>0</v>
      </c>
      <c r="DG74" s="149">
        <f>IFERROR(s_RadSpec!$J$12*DG12,".")*$B$74</f>
        <v>0</v>
      </c>
      <c r="DH74" s="150">
        <f t="shared" si="258"/>
        <v>0</v>
      </c>
      <c r="DI74" s="136">
        <f>IFERROR(DI12/$B60,0)</f>
        <v>0</v>
      </c>
      <c r="DJ74" s="136">
        <f t="shared" ref="DJ74:DK74" si="576">IFERROR(DJ12/$B60,0)</f>
        <v>4035581.8170172116</v>
      </c>
      <c r="DK74" s="136">
        <f t="shared" si="576"/>
        <v>4035581.8170172116</v>
      </c>
      <c r="DL74" s="149">
        <f>IFERROR(s_RadSpec!$L$12*DL12,".")*$B$74</f>
        <v>0</v>
      </c>
      <c r="DM74" s="149">
        <f>IFERROR(s_RadSpec!$O$12*DM12,".")*$B$74</f>
        <v>6.1948936073059364E-6</v>
      </c>
      <c r="DN74" s="150">
        <f t="shared" si="91"/>
        <v>6.1948936073059364E-6</v>
      </c>
    </row>
    <row r="75" spans="1:118" x14ac:dyDescent="0.25">
      <c r="A75" s="135" t="s">
        <v>1084</v>
      </c>
      <c r="B75" s="129">
        <v>1</v>
      </c>
      <c r="C75" s="136">
        <f t="shared" ref="C75:M75" si="577">IFERROR(C18/$B61,0)</f>
        <v>0.17018198836380657</v>
      </c>
      <c r="D75" s="136">
        <f t="shared" si="577"/>
        <v>0.5105459650914197</v>
      </c>
      <c r="E75" s="136">
        <f t="shared" si="577"/>
        <v>0.5105459650914197</v>
      </c>
      <c r="F75" s="136">
        <f t="shared" si="577"/>
        <v>0.5105459650914197</v>
      </c>
      <c r="G75" s="136">
        <f t="shared" si="577"/>
        <v>0.5105459650914197</v>
      </c>
      <c r="H75" s="136">
        <f t="shared" si="577"/>
        <v>0.5105459650914197</v>
      </c>
      <c r="I75" s="136">
        <f t="shared" si="577"/>
        <v>0.5105459650914197</v>
      </c>
      <c r="J75" s="136">
        <f t="shared" si="577"/>
        <v>0.5105459650914197</v>
      </c>
      <c r="K75" s="136">
        <f t="shared" si="577"/>
        <v>0.5105459650914197</v>
      </c>
      <c r="L75" s="136">
        <f t="shared" si="577"/>
        <v>0.5105459650914197</v>
      </c>
      <c r="M75" s="136">
        <f t="shared" si="577"/>
        <v>0.5105459650914197</v>
      </c>
      <c r="N75" s="149">
        <f>s_dir!BA75</f>
        <v>113437.5</v>
      </c>
      <c r="O75" s="149">
        <f>IFERROR(s_RadSpec!$J$18*O18,".")*$B$75</f>
        <v>48.967187500000001</v>
      </c>
      <c r="P75" s="149">
        <f>IFERROR(s_RadSpec!$J$18*P18,".")*$B$75</f>
        <v>48.967187500000001</v>
      </c>
      <c r="Q75" s="149">
        <f>IFERROR(s_RadSpec!$J$18*Q18,".")*$B$75</f>
        <v>48.967187500000001</v>
      </c>
      <c r="R75" s="149">
        <f>IFERROR(s_RadSpec!$J$18*R18,".")*$B$75</f>
        <v>48.967187500000001</v>
      </c>
      <c r="S75" s="149">
        <f>IFERROR(s_RadSpec!$J$18*S18,".")*$B$75</f>
        <v>48.967187500000001</v>
      </c>
      <c r="T75" s="149">
        <f>IFERROR(s_RadSpec!$J$18*T18,".")*$B$75</f>
        <v>48.967187500000001</v>
      </c>
      <c r="U75" s="149">
        <f>IFERROR(s_RadSpec!$J$18*U18,".")*$B$75</f>
        <v>48.967187500000001</v>
      </c>
      <c r="V75" s="149">
        <f>IFERROR(s_RadSpec!$J$18*V18,".")*$B$75</f>
        <v>48.967187500000001</v>
      </c>
      <c r="W75" s="149">
        <f>IFERROR(s_RadSpec!$J$18*W18,".")*$B$75</f>
        <v>48.967187500000001</v>
      </c>
      <c r="X75" s="149">
        <f>IFERROR(s_RadSpec!$J$18*X18,".")*$B$75</f>
        <v>48.967187500000001</v>
      </c>
      <c r="Y75" s="136">
        <f>IFERROR(Y18/$B61,0)</f>
        <v>255.27298254570982</v>
      </c>
      <c r="Z75" s="136">
        <f>IFERROR(Z18/$B61,0)</f>
        <v>892236.02001995174</v>
      </c>
      <c r="AA75" s="136">
        <f t="shared" ref="AA75:AH75" si="578">IFERROR(AA18/$B61,0)</f>
        <v>13227862.674701374</v>
      </c>
      <c r="AB75" s="136">
        <f>IFERROR(AB18/$B61,0)</f>
        <v>9.4650716553841239</v>
      </c>
      <c r="AC75" s="136">
        <f t="shared" ref="AC75" si="579">IFERROR(AC18/$B61,0)</f>
        <v>2.9781847963666146</v>
      </c>
      <c r="AD75" s="136">
        <f>IFERROR(AD18/$B61,0)</f>
        <v>1.1665025005043268</v>
      </c>
      <c r="AE75" s="136">
        <f>IFERROR(AE18/$B61,0)</f>
        <v>28.607085131415637</v>
      </c>
      <c r="AF75" s="136">
        <f t="shared" ref="AF75" si="580">IFERROR(AF18/$B61,0)</f>
        <v>0</v>
      </c>
      <c r="AG75" s="136">
        <f t="shared" si="578"/>
        <v>2.4302135427173477E-3</v>
      </c>
      <c r="AH75" s="136">
        <f t="shared" si="578"/>
        <v>1.881455645974721E-3</v>
      </c>
      <c r="AI75" s="136">
        <f t="shared" ref="AI75" si="581">IFERROR(AI18/$B61,0)</f>
        <v>0</v>
      </c>
      <c r="AJ75" s="136">
        <f t="shared" ref="AJ75:AL75" si="582">IFERROR(AJ18/$B61,0)</f>
        <v>2.6119512511292542</v>
      </c>
      <c r="AK75" s="136">
        <f t="shared" si="582"/>
        <v>0.1166502500504327</v>
      </c>
      <c r="AL75" s="136">
        <f t="shared" si="582"/>
        <v>0</v>
      </c>
      <c r="AM75" s="129"/>
      <c r="AN75" s="129"/>
      <c r="AO75" s="129"/>
      <c r="AP75" s="129"/>
      <c r="AQ75" s="129"/>
      <c r="AR75" s="129"/>
      <c r="AS75" s="129"/>
      <c r="AT75" s="129"/>
      <c r="AU75" s="129"/>
      <c r="AV75" s="129"/>
      <c r="AW75" s="129"/>
      <c r="AX75" s="129"/>
      <c r="AY75" s="129"/>
      <c r="AZ75" s="129"/>
      <c r="BA75" s="136">
        <f t="shared" ref="BA75" si="583">IFERROR(BA18/$B61,0)</f>
        <v>1.0490065545755015E-3</v>
      </c>
      <c r="BB75" s="149">
        <f>IFERROR(s_RadSpec!$I$18*BB18,".")*$B$75</f>
        <v>9.7934375000000004E-2</v>
      </c>
      <c r="BC75" s="149">
        <f>IFERROR(s_RadSpec!$L$18*BC18,".")*$B$75</f>
        <v>2.8019491971912272E-5</v>
      </c>
      <c r="BD75" s="149">
        <f>IFERROR(s_RadSpec!$K$18*BD18,".")*$B$75</f>
        <v>1.8899500709070057E-6</v>
      </c>
      <c r="BE75" s="149">
        <f>s_b2s!BZ75</f>
        <v>2.0125514062500001</v>
      </c>
      <c r="BF75" s="149">
        <f>IFERROR(s_RadSpec!$J$18*BF18,".")*$B$75</f>
        <v>8.3943749999999984</v>
      </c>
      <c r="BG75" s="149">
        <f>IFERROR(s_RadSpec!$J$18*BG18,".")*$B$75</f>
        <v>21.431587149784484</v>
      </c>
      <c r="BH75" s="149">
        <f>IFERROR(s_RadSpec!$J$18*BH18,".")*$B$75</f>
        <v>0.87390937892325093</v>
      </c>
      <c r="BI75" s="149">
        <f>IFERROR(s_RadSpec!$J$18*BI18,".")*$B$75</f>
        <v>0</v>
      </c>
      <c r="BJ75" s="149">
        <f>IFERROR(s_RadSpec!$J$18*BJ18,".")*$B$75</f>
        <v>10287.161831896552</v>
      </c>
      <c r="BK75" s="149">
        <f>IFERROR(s_RadSpec!$J$18*BK18,".")*$B$75</f>
        <v>13287.58403286638</v>
      </c>
      <c r="BL75" s="149">
        <f>IFERROR(s_RadSpec!$J$18*BL18,".")*$B$75</f>
        <v>0</v>
      </c>
      <c r="BM75" s="149">
        <f>IFERROR(s_RadSpec!$J$18*BM18,".")*$B$75</f>
        <v>9.5713884358260799</v>
      </c>
      <c r="BN75" s="149">
        <f>IFERROR(s_RadSpec!$J$18*BN18,".")*$B$75</f>
        <v>214.31587149784482</v>
      </c>
      <c r="BO75" s="149">
        <f>IFERROR(s_RadSpec!$J$18*BO18,".")*$B$75</f>
        <v>0</v>
      </c>
      <c r="BP75" s="150">
        <f t="shared" si="86"/>
        <v>23831.443511916004</v>
      </c>
      <c r="BQ75" s="136">
        <f>IFERROR(BQ18/$B61,0)</f>
        <v>2.8080028080028083</v>
      </c>
      <c r="BR75" s="136">
        <f>IFERROR(BR18/$B61,0)</f>
        <v>0</v>
      </c>
      <c r="BS75" s="136">
        <f t="shared" ref="BS75" si="584">IFERROR(BS18/$B61,0)</f>
        <v>1104453.0133411873</v>
      </c>
      <c r="BT75" s="136">
        <f>IFERROR(BT18/$B61,0)</f>
        <v>13.520470417263882</v>
      </c>
      <c r="BU75" s="136">
        <f t="shared" ref="BU75" si="585">IFERROR(BU18/$B61,0)</f>
        <v>14.181832363650546</v>
      </c>
      <c r="BV75" s="136">
        <f>IFERROR(BV18/$B61,0)</f>
        <v>20421.838603656786</v>
      </c>
      <c r="BW75" s="136">
        <f>IFERROR(BW18/$B61,0)</f>
        <v>500821.28004205931</v>
      </c>
      <c r="BX75" s="136">
        <f t="shared" ref="BX75:CD75" si="586">IFERROR(BX18/$B61,0)</f>
        <v>0</v>
      </c>
      <c r="BY75" s="136">
        <f t="shared" si="586"/>
        <v>42.545497090951642</v>
      </c>
      <c r="BZ75" s="136">
        <f t="shared" si="586"/>
        <v>32.938449360736755</v>
      </c>
      <c r="CA75" s="136">
        <f t="shared" si="586"/>
        <v>0</v>
      </c>
      <c r="CB75" s="136">
        <f t="shared" si="586"/>
        <v>45727.160351666287</v>
      </c>
      <c r="CC75" s="136">
        <f t="shared" si="586"/>
        <v>2042.1838603656788</v>
      </c>
      <c r="CD75" s="136">
        <f t="shared" si="586"/>
        <v>0</v>
      </c>
      <c r="CE75" s="141"/>
      <c r="CF75" s="141"/>
      <c r="CG75" s="141"/>
      <c r="CH75" s="141"/>
      <c r="CI75" s="141"/>
      <c r="CJ75" s="141"/>
      <c r="CK75" s="141"/>
      <c r="CL75" s="141"/>
      <c r="CM75" s="141"/>
      <c r="CN75" s="141"/>
      <c r="CO75" s="141"/>
      <c r="CP75" s="141"/>
      <c r="CQ75" s="141"/>
      <c r="CR75" s="141"/>
      <c r="CS75" s="136">
        <f t="shared" ref="CS75" si="587">IFERROR(CS18/$B61,0)</f>
        <v>1.8017141836406143</v>
      </c>
      <c r="CT75" s="149">
        <f>IFERROR(s_RadSpec!$M$18*CT18,".")*$B$75</f>
        <v>8.9031249999999993</v>
      </c>
      <c r="CU75" s="149">
        <f>IFERROR(s_RadSpec!$L$18*CU18,".")*$B$75</f>
        <v>4.3402734374999996</v>
      </c>
      <c r="CV75" s="149">
        <f>IFERROR(s_RadSpec!$Q$18*CV18,".")*$B$75</f>
        <v>2.2635639269406392E-5</v>
      </c>
      <c r="CW75" s="149">
        <f>s_b2w!BZ75</f>
        <v>1.8490480899302331</v>
      </c>
      <c r="CX75" s="149">
        <f>IFERROR(s_RadSpec!$J$18*CX18,".")*$B$75</f>
        <v>1.7628187499999999</v>
      </c>
      <c r="CY75" s="149">
        <f>IFERROR(s_RadSpec!$J$18*CY18,".")*$B$75</f>
        <v>1.2241796875E-3</v>
      </c>
      <c r="CZ75" s="149">
        <f>IFERROR(s_RadSpec!$J$18*CZ18,".")*$B$75</f>
        <v>4.9918006674757276E-5</v>
      </c>
      <c r="DA75" s="149">
        <f>IFERROR(s_RadSpec!$J$18*DA18,".")*$B$75</f>
        <v>0</v>
      </c>
      <c r="DB75" s="149">
        <f>IFERROR(s_RadSpec!$J$18*DB18,".")*$B$75</f>
        <v>0.58760625</v>
      </c>
      <c r="DC75" s="149">
        <f>IFERROR(s_RadSpec!$J$18*DC18,".")*$B$75</f>
        <v>0.75899140624999994</v>
      </c>
      <c r="DD75" s="149">
        <f>IFERROR(s_RadSpec!$J$18*DD18,".")*$B$75</f>
        <v>0</v>
      </c>
      <c r="DE75" s="149">
        <f>IFERROR(s_RadSpec!$J$18*DE18,".")*$B$75</f>
        <v>5.4672102548543702E-4</v>
      </c>
      <c r="DF75" s="149">
        <f>IFERROR(s_RadSpec!$J$18*DF18,".")*$B$75</f>
        <v>1.2241796875000001E-2</v>
      </c>
      <c r="DG75" s="149">
        <f>IFERROR(s_RadSpec!$J$18*DG18,".")*$B$75</f>
        <v>0</v>
      </c>
      <c r="DH75" s="150">
        <f t="shared" si="258"/>
        <v>0</v>
      </c>
      <c r="DI75" s="136">
        <f>IFERROR(DI18/$B61,0)</f>
        <v>2.8800028800028801</v>
      </c>
      <c r="DJ75" s="136">
        <f t="shared" ref="DJ75:DK75" si="588">IFERROR(DJ18/$B61,0)</f>
        <v>958.01991719033333</v>
      </c>
      <c r="DK75" s="136">
        <f t="shared" si="588"/>
        <v>2.8713709544343797</v>
      </c>
      <c r="DL75" s="149">
        <f>IFERROR(s_RadSpec!$L$18*DL18,".")*$B$75</f>
        <v>8.6805468749999992</v>
      </c>
      <c r="DM75" s="149">
        <f>IFERROR(s_RadSpec!$O$18*DM18,".")*$B$75</f>
        <v>2.609549086757991E-2</v>
      </c>
      <c r="DN75" s="150">
        <f t="shared" si="91"/>
        <v>8.7066423658675784</v>
      </c>
    </row>
    <row r="76" spans="1:118" x14ac:dyDescent="0.25">
      <c r="A76" s="135" t="s">
        <v>1085</v>
      </c>
      <c r="B76" s="129">
        <v>1.339E-6</v>
      </c>
      <c r="C76" s="136">
        <f t="shared" ref="C76:M76" si="589">IFERROR(C27/$B62,0)</f>
        <v>0</v>
      </c>
      <c r="D76" s="136">
        <f t="shared" si="589"/>
        <v>0</v>
      </c>
      <c r="E76" s="136">
        <f t="shared" si="589"/>
        <v>0</v>
      </c>
      <c r="F76" s="136">
        <f t="shared" si="589"/>
        <v>0</v>
      </c>
      <c r="G76" s="136">
        <f t="shared" si="589"/>
        <v>0</v>
      </c>
      <c r="H76" s="136">
        <f t="shared" si="589"/>
        <v>0</v>
      </c>
      <c r="I76" s="136">
        <f t="shared" si="589"/>
        <v>0</v>
      </c>
      <c r="J76" s="136">
        <f t="shared" si="589"/>
        <v>0</v>
      </c>
      <c r="K76" s="136">
        <f t="shared" si="589"/>
        <v>0</v>
      </c>
      <c r="L76" s="136">
        <f t="shared" si="589"/>
        <v>0</v>
      </c>
      <c r="M76" s="136">
        <f t="shared" si="589"/>
        <v>0</v>
      </c>
      <c r="N76" s="149">
        <f>s_dir!BA76</f>
        <v>0.1518928125</v>
      </c>
      <c r="O76" s="149">
        <f>IFERROR(s_RadSpec!$J$27*O27,".")*$B$76</f>
        <v>0</v>
      </c>
      <c r="P76" s="149">
        <f>IFERROR(s_RadSpec!$J$27*P27,".")*$B$76</f>
        <v>0</v>
      </c>
      <c r="Q76" s="149">
        <f>IFERROR(s_RadSpec!$J$27*Q27,".")*$B$76</f>
        <v>0</v>
      </c>
      <c r="R76" s="149">
        <f>IFERROR(s_RadSpec!$J$27*R27,".")*$B$76</f>
        <v>0</v>
      </c>
      <c r="S76" s="149">
        <f>IFERROR(s_RadSpec!$J$27*S27,".")*$B$76</f>
        <v>0</v>
      </c>
      <c r="T76" s="149">
        <f>IFERROR(s_RadSpec!$J$27*T27,".")*$B$76</f>
        <v>0</v>
      </c>
      <c r="U76" s="149">
        <f>IFERROR(s_RadSpec!$J$27*U27,".")*$B$76</f>
        <v>0</v>
      </c>
      <c r="V76" s="149">
        <f>IFERROR(s_RadSpec!$J$27*V27,".")*$B$76</f>
        <v>0</v>
      </c>
      <c r="W76" s="149">
        <f>IFERROR(s_RadSpec!$J$27*W27,".")*$B$76</f>
        <v>0</v>
      </c>
      <c r="X76" s="149">
        <f>IFERROR(s_RadSpec!$J$27*X27,".")*$B$76</f>
        <v>0</v>
      </c>
      <c r="Y76" s="136">
        <f>IFERROR(Y27/$B62,0)</f>
        <v>0</v>
      </c>
      <c r="Z76" s="136">
        <f>IFERROR(Z27/$B62,0)</f>
        <v>0</v>
      </c>
      <c r="AA76" s="136">
        <f t="shared" ref="AA76:AH76" si="590">IFERROR(AA27/$B62,0)</f>
        <v>71581408034.468033</v>
      </c>
      <c r="AB76" s="136">
        <f>IFERROR(AB27/$B62,0)</f>
        <v>0</v>
      </c>
      <c r="AC76" s="136">
        <f t="shared" ref="AC76" si="591">IFERROR(AC27/$B62,0)</f>
        <v>0</v>
      </c>
      <c r="AD76" s="136">
        <f>IFERROR(AD27/$B62,0)</f>
        <v>0</v>
      </c>
      <c r="AE76" s="136">
        <f>IFERROR(AE27/$B62,0)</f>
        <v>0</v>
      </c>
      <c r="AF76" s="136">
        <f t="shared" ref="AF76" si="592">IFERROR(AF27/$B62,0)</f>
        <v>0</v>
      </c>
      <c r="AG76" s="136">
        <f t="shared" si="590"/>
        <v>0</v>
      </c>
      <c r="AH76" s="136">
        <f t="shared" si="590"/>
        <v>0</v>
      </c>
      <c r="AI76" s="136">
        <f t="shared" ref="AI76" si="593">IFERROR(AI27/$B62,0)</f>
        <v>0</v>
      </c>
      <c r="AJ76" s="136">
        <f t="shared" ref="AJ76:AL76" si="594">IFERROR(AJ27/$B62,0)</f>
        <v>0</v>
      </c>
      <c r="AK76" s="136">
        <f t="shared" si="594"/>
        <v>0</v>
      </c>
      <c r="AL76" s="136">
        <f t="shared" si="594"/>
        <v>0</v>
      </c>
      <c r="AM76" s="129"/>
      <c r="AN76" s="129"/>
      <c r="AO76" s="129"/>
      <c r="AP76" s="129"/>
      <c r="AQ76" s="129"/>
      <c r="AR76" s="129"/>
      <c r="AS76" s="129"/>
      <c r="AT76" s="129"/>
      <c r="AU76" s="129"/>
      <c r="AV76" s="129"/>
      <c r="AW76" s="129"/>
      <c r="AX76" s="129"/>
      <c r="AY76" s="129"/>
      <c r="AZ76" s="129"/>
      <c r="BA76" s="136">
        <f t="shared" ref="BA76" si="595">IFERROR(BA27/$B62,0)</f>
        <v>71581408034.468033</v>
      </c>
      <c r="BB76" s="149">
        <f>IFERROR(s_RadSpec!$I$27*BB27,".")*$B$76</f>
        <v>0</v>
      </c>
      <c r="BC76" s="149">
        <f>IFERROR(s_RadSpec!$L$27*BC27,".")*$B$76</f>
        <v>0</v>
      </c>
      <c r="BD76" s="149">
        <f>IFERROR(s_RadSpec!$K$27*BD27,".")*$B$76</f>
        <v>3.4925269963901729E-10</v>
      </c>
      <c r="BE76" s="149">
        <f>s_b2s!BZ76</f>
        <v>0</v>
      </c>
      <c r="BF76" s="149">
        <f>IFERROR(s_RadSpec!$J$27*BF27,".")*$B$76</f>
        <v>0</v>
      </c>
      <c r="BG76" s="149">
        <f>IFERROR(s_RadSpec!$J$27*BG27,".")*$B$76</f>
        <v>0</v>
      </c>
      <c r="BH76" s="149">
        <f>IFERROR(s_RadSpec!$J$27*BH27,".")*$B$76</f>
        <v>0</v>
      </c>
      <c r="BI76" s="149">
        <f>IFERROR(s_RadSpec!$J$27*BI27,".")*$B$76</f>
        <v>0</v>
      </c>
      <c r="BJ76" s="149">
        <f>IFERROR(s_RadSpec!$J$27*BJ27,".")*$B$76</f>
        <v>0</v>
      </c>
      <c r="BK76" s="149">
        <f>IFERROR(s_RadSpec!$J$27*BK27,".")*$B$76</f>
        <v>0</v>
      </c>
      <c r="BL76" s="149">
        <f>IFERROR(s_RadSpec!$J$27*BL27,".")*$B$76</f>
        <v>0</v>
      </c>
      <c r="BM76" s="149">
        <f>IFERROR(s_RadSpec!$J$27*BM27,".")*$B$76</f>
        <v>0</v>
      </c>
      <c r="BN76" s="149">
        <f>IFERROR(s_RadSpec!$J$27*BN27,".")*$B$76</f>
        <v>0</v>
      </c>
      <c r="BO76" s="149">
        <f>IFERROR(s_RadSpec!$J$27*BO27,".")*$B$76</f>
        <v>0</v>
      </c>
      <c r="BP76" s="150">
        <f t="shared" si="86"/>
        <v>3.4925269963901729E-10</v>
      </c>
      <c r="BQ76" s="136">
        <f>IFERROR(BQ27/$B62,0)</f>
        <v>0</v>
      </c>
      <c r="BR76" s="136">
        <f>IFERROR(BR27/$B62,0)</f>
        <v>0</v>
      </c>
      <c r="BS76" s="136">
        <f t="shared" ref="BS76" si="596">IFERROR(BS27/$B62,0)</f>
        <v>1675715825.4380658</v>
      </c>
      <c r="BT76" s="136">
        <f>IFERROR(BT27/$B62,0)</f>
        <v>0</v>
      </c>
      <c r="BU76" s="136">
        <f t="shared" ref="BU76" si="597">IFERROR(BU27/$B62,0)</f>
        <v>0</v>
      </c>
      <c r="BV76" s="136">
        <f>IFERROR(BV27/$B62,0)</f>
        <v>0</v>
      </c>
      <c r="BW76" s="136">
        <f>IFERROR(BW27/$B62,0)</f>
        <v>0</v>
      </c>
      <c r="BX76" s="136">
        <f t="shared" ref="BX76:CD76" si="598">IFERROR(BX27/$B62,0)</f>
        <v>0</v>
      </c>
      <c r="BY76" s="136">
        <f t="shared" si="598"/>
        <v>0</v>
      </c>
      <c r="BZ76" s="136">
        <f t="shared" si="598"/>
        <v>0</v>
      </c>
      <c r="CA76" s="136">
        <f t="shared" si="598"/>
        <v>0</v>
      </c>
      <c r="CB76" s="136">
        <f t="shared" si="598"/>
        <v>0</v>
      </c>
      <c r="CC76" s="136">
        <f t="shared" si="598"/>
        <v>0</v>
      </c>
      <c r="CD76" s="136">
        <f t="shared" si="598"/>
        <v>0</v>
      </c>
      <c r="CE76" s="141"/>
      <c r="CF76" s="141"/>
      <c r="CG76" s="141"/>
      <c r="CH76" s="141"/>
      <c r="CI76" s="141"/>
      <c r="CJ76" s="141"/>
      <c r="CK76" s="141"/>
      <c r="CL76" s="141"/>
      <c r="CM76" s="141"/>
      <c r="CN76" s="141"/>
      <c r="CO76" s="141"/>
      <c r="CP76" s="141"/>
      <c r="CQ76" s="141"/>
      <c r="CR76" s="141"/>
      <c r="CS76" s="136">
        <f t="shared" ref="CS76" si="599">IFERROR(CS27/$B62,0)</f>
        <v>1675715825.4380658</v>
      </c>
      <c r="CT76" s="149">
        <f>IFERROR(s_RadSpec!$M$27*CT27,".")*$B$76</f>
        <v>0</v>
      </c>
      <c r="CU76" s="149">
        <f>IFERROR(s_RadSpec!$L$27*CU27,".")*$B$76</f>
        <v>0</v>
      </c>
      <c r="CV76" s="149">
        <f>IFERROR(s_RadSpec!$Q$27*CV27,".")*$B$76</f>
        <v>1.4918997374429222E-8</v>
      </c>
      <c r="CW76" s="149">
        <f>s_b2w!BZ76</f>
        <v>0</v>
      </c>
      <c r="CX76" s="149">
        <f>IFERROR(s_RadSpec!$J$27*CX27,".")*$B$76</f>
        <v>0</v>
      </c>
      <c r="CY76" s="149">
        <f>IFERROR(s_RadSpec!$J$27*CY27,".")*$B$76</f>
        <v>0</v>
      </c>
      <c r="CZ76" s="149">
        <f>IFERROR(s_RadSpec!$J$27*CZ27,".")*$B$76</f>
        <v>0</v>
      </c>
      <c r="DA76" s="149">
        <f>IFERROR(s_RadSpec!$J$27*DA27,".")*$B$76</f>
        <v>0</v>
      </c>
      <c r="DB76" s="149">
        <f>IFERROR(s_RadSpec!$J$27*DB27,".")*$B$76</f>
        <v>0</v>
      </c>
      <c r="DC76" s="149">
        <f>IFERROR(s_RadSpec!$J$27*DC27,".")*$B$76</f>
        <v>0</v>
      </c>
      <c r="DD76" s="149">
        <f>IFERROR(s_RadSpec!$J$27*DD27,".")*$B$76</f>
        <v>0</v>
      </c>
      <c r="DE76" s="149">
        <f>IFERROR(s_RadSpec!$J$27*DE27,".")*$B$76</f>
        <v>0</v>
      </c>
      <c r="DF76" s="149">
        <f>IFERROR(s_RadSpec!$J$27*DF27,".")*$B$76</f>
        <v>0</v>
      </c>
      <c r="DG76" s="149">
        <f>IFERROR(s_RadSpec!$J$27*DG27,".")*$B$76</f>
        <v>0</v>
      </c>
      <c r="DH76" s="150">
        <f t="shared" si="258"/>
        <v>0</v>
      </c>
      <c r="DI76" s="136">
        <f>IFERROR(DI27/$B62,0)</f>
        <v>0</v>
      </c>
      <c r="DJ76" s="136">
        <f t="shared" ref="DJ76:DK76" si="600">IFERROR(DJ27/$B62,0)</f>
        <v>801979.8660786713</v>
      </c>
      <c r="DK76" s="136">
        <f t="shared" si="600"/>
        <v>801979.8660786713</v>
      </c>
      <c r="DL76" s="149">
        <f>IFERROR(s_RadSpec!$L$27*DL27,".")*$B$76</f>
        <v>0</v>
      </c>
      <c r="DM76" s="149">
        <f>IFERROR(s_RadSpec!$O$27*DM27,".")*$B$76</f>
        <v>3.1172852408675795E-5</v>
      </c>
      <c r="DN76" s="150">
        <f t="shared" si="91"/>
        <v>3.1172852408675795E-5</v>
      </c>
    </row>
  </sheetData>
  <sheetProtection algorithmName="SHA-512" hashValue="PMzLmcBdnKlpX3LPfHp6GU6eQdN6uRHDBsF2qLqDi/er5A+FoAIyldSOKRJLPBpIh7uRFBEgh0ddzrCteg6eJA==" saltValue="vX6UxjK2mVe/ggVkcAACjw==" spinCount="100000" sheet="1" objects="1" scenarios="1" formatColumns="0" formatRows="0" autoFilter="0"/>
  <autoFilter ref="A1:DN76" xr:uid="{8028F647-26EC-40E7-8F65-1DCF467D9183}"/>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9" tint="-0.499984740745262"/>
  </sheetPr>
  <dimension ref="A1:AR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2" bestFit="1" customWidth="1"/>
    <col min="2" max="2" width="10.7109375" style="2" bestFit="1" customWidth="1"/>
    <col min="3" max="3" width="12.85546875" style="2" bestFit="1" customWidth="1"/>
    <col min="4" max="4" width="13" style="2" bestFit="1" customWidth="1"/>
    <col min="5" max="5" width="12.85546875" style="2" bestFit="1" customWidth="1"/>
    <col min="6" max="6" width="12.85546875" style="3" bestFit="1" customWidth="1"/>
    <col min="7" max="7" width="12.5703125" style="2" bestFit="1" customWidth="1"/>
    <col min="8" max="8" width="12.7109375" style="2" bestFit="1" customWidth="1"/>
    <col min="9" max="9" width="12.5703125" style="2" bestFit="1" customWidth="1"/>
    <col min="10" max="10" width="13.5703125" style="2" bestFit="1" customWidth="1"/>
    <col min="11" max="11" width="12" style="2" bestFit="1" customWidth="1"/>
    <col min="12" max="13" width="13.85546875" style="2" bestFit="1" customWidth="1"/>
    <col min="14" max="14" width="14.7109375" style="2" bestFit="1" customWidth="1"/>
    <col min="15" max="16" width="12.28515625" style="2" bestFit="1" customWidth="1"/>
    <col min="17" max="18" width="14" style="2" bestFit="1" customWidth="1"/>
    <col min="19" max="19" width="15" style="2" bestFit="1" customWidth="1"/>
    <col min="20" max="20" width="12.7109375" style="2" bestFit="1" customWidth="1"/>
    <col min="21" max="21" width="12.28515625" style="2" bestFit="1" customWidth="1"/>
    <col min="22" max="22" width="12.5703125" style="2" bestFit="1" customWidth="1"/>
    <col min="23" max="23" width="12.140625" style="2" bestFit="1" customWidth="1"/>
    <col min="24" max="24" width="12.5703125" style="2" bestFit="1" customWidth="1"/>
    <col min="25" max="25" width="12.85546875" style="2" bestFit="1" customWidth="1"/>
    <col min="26" max="26" width="13" style="2" bestFit="1" customWidth="1"/>
    <col min="27" max="27" width="13.140625" style="2" bestFit="1" customWidth="1"/>
    <col min="28" max="28" width="14.28515625" style="2" bestFit="1" customWidth="1"/>
    <col min="29" max="29" width="13.140625" style="3" bestFit="1" customWidth="1"/>
    <col min="30" max="30" width="13.5703125" style="2" bestFit="1" customWidth="1"/>
    <col min="31" max="31" width="14.7109375" style="2" bestFit="1" customWidth="1"/>
    <col min="32" max="32" width="14" style="2" bestFit="1" customWidth="1"/>
    <col min="33" max="33" width="14.42578125" style="3" bestFit="1" customWidth="1"/>
    <col min="34" max="34" width="18.140625" style="3" bestFit="1" customWidth="1"/>
    <col min="35" max="35" width="18.42578125" style="3" bestFit="1" customWidth="1"/>
    <col min="36" max="36" width="13.5703125" style="3" bestFit="1" customWidth="1"/>
    <col min="37" max="37" width="17.28515625" style="3" bestFit="1" customWidth="1"/>
    <col min="38" max="38" width="17.5703125" style="3" bestFit="1" customWidth="1"/>
    <col min="39" max="39" width="14.85546875" style="3" bestFit="1" customWidth="1"/>
    <col min="40" max="40" width="18.5703125" style="3" bestFit="1" customWidth="1"/>
    <col min="41" max="41" width="19" style="3" bestFit="1" customWidth="1"/>
    <col min="42" max="42" width="14" style="3" bestFit="1" customWidth="1"/>
    <col min="43" max="43" width="17.5703125" style="3" bestFit="1" customWidth="1"/>
    <col min="44" max="44" width="18" style="3" bestFit="1" customWidth="1"/>
    <col min="45" max="16384" width="9.140625" style="3"/>
  </cols>
  <sheetData>
    <row r="1" spans="1:44" x14ac:dyDescent="0.25">
      <c r="A1" s="140" t="s">
        <v>39</v>
      </c>
      <c r="B1" s="140" t="s">
        <v>335</v>
      </c>
      <c r="C1" s="141" t="s">
        <v>1146</v>
      </c>
      <c r="D1" s="141" t="s">
        <v>1147</v>
      </c>
      <c r="E1" s="141" t="s">
        <v>1148</v>
      </c>
      <c r="F1" s="141" t="s">
        <v>1149</v>
      </c>
      <c r="G1" s="142" t="s">
        <v>1202</v>
      </c>
      <c r="H1" s="142" t="s">
        <v>1203</v>
      </c>
      <c r="I1" s="142" t="s">
        <v>1204</v>
      </c>
      <c r="J1" s="143" t="s">
        <v>1206</v>
      </c>
      <c r="K1" s="129" t="s">
        <v>1197</v>
      </c>
      <c r="L1" s="129" t="s">
        <v>1198</v>
      </c>
      <c r="M1" s="129" t="s">
        <v>1199</v>
      </c>
      <c r="N1" s="129" t="s">
        <v>1200</v>
      </c>
      <c r="O1" s="129" t="s">
        <v>1201</v>
      </c>
      <c r="P1" s="144" t="s">
        <v>1207</v>
      </c>
      <c r="Q1" s="144" t="s">
        <v>1208</v>
      </c>
      <c r="R1" s="144" t="s">
        <v>1209</v>
      </c>
      <c r="S1" s="144" t="s">
        <v>1210</v>
      </c>
      <c r="T1" s="144" t="s">
        <v>1211</v>
      </c>
      <c r="U1" s="129" t="s">
        <v>1186</v>
      </c>
      <c r="V1" s="129" t="s">
        <v>1187</v>
      </c>
      <c r="W1" s="129" t="s">
        <v>1188</v>
      </c>
      <c r="X1" s="144" t="s">
        <v>1212</v>
      </c>
      <c r="Y1" s="144" t="s">
        <v>1213</v>
      </c>
      <c r="Z1" s="143" t="s">
        <v>1214</v>
      </c>
      <c r="AA1" s="141" t="s">
        <v>1150</v>
      </c>
      <c r="AB1" s="141" t="s">
        <v>1190</v>
      </c>
      <c r="AC1" s="141" t="s">
        <v>1179</v>
      </c>
      <c r="AD1" s="144" t="s">
        <v>1297</v>
      </c>
      <c r="AE1" s="144" t="s">
        <v>1298</v>
      </c>
      <c r="AF1" s="143" t="s">
        <v>1299</v>
      </c>
      <c r="AG1" s="141" t="s">
        <v>1191</v>
      </c>
      <c r="AH1" s="141" t="s">
        <v>1196</v>
      </c>
      <c r="AI1" s="141" t="s">
        <v>1193</v>
      </c>
      <c r="AJ1" s="141" t="s">
        <v>1192</v>
      </c>
      <c r="AK1" s="141" t="s">
        <v>1195</v>
      </c>
      <c r="AL1" s="141" t="s">
        <v>1194</v>
      </c>
      <c r="AM1" s="144" t="s">
        <v>1300</v>
      </c>
      <c r="AN1" s="144" t="s">
        <v>1301</v>
      </c>
      <c r="AO1" s="144" t="s">
        <v>1302</v>
      </c>
      <c r="AP1" s="144" t="s">
        <v>1303</v>
      </c>
      <c r="AQ1" s="144" t="s">
        <v>1304</v>
      </c>
      <c r="AR1" s="144" t="s">
        <v>1305</v>
      </c>
    </row>
    <row r="2" spans="1:44" customFormat="1" x14ac:dyDescent="0.25">
      <c r="A2" s="128" t="s">
        <v>0</v>
      </c>
      <c r="B2" s="129" t="s">
        <v>1059</v>
      </c>
      <c r="C2" s="141">
        <f>IFERROR(((s_DL/(s_RadSpec!I2*s_IFS_rec_adj*(1/1000)))*1),".")</f>
        <v>93958.028948468709</v>
      </c>
      <c r="D2" s="141">
        <f>IFERROR(IF(A2="H-3",(s_DL/((s_RadSpec!L2*s_IFA_rec_adj*(1/17)*1000))*1),(s_DL/((s_RadSpec!L2*s_IFA_rec_adj*(1/s_PEF_wind)*1000))*1)),".")</f>
        <v>5003519.6416805154</v>
      </c>
      <c r="E2" s="141">
        <f>IFERROR((s_DL/(s_RadSpec!K2*s_EF_rec*(1/365)*s_ED_rec*s_RadSpec!V2*s_ET_rec*(1/24)*s_RadSpec!AA2)),".")</f>
        <v>1759234.9909511718</v>
      </c>
      <c r="F2" s="141">
        <f t="shared" ref="F2" si="0">(IF(AND(ISNUMBER(C2),ISNUMBER(D2),ISNUMBER(E2)),1/((1/C2)+(1/D2)+(1/E2)),IF(AND(ISNUMBER(C2),ISNUMBER(D2),NOT(ISNUMBER(E2))), 1/((1/C2)+(1/D2)),IF(AND(ISNUMBER(C2),NOT(ISNUMBER(D2)),ISNUMBER(E2)),1/((1/C2)+(1/E2)),IF(AND(NOT(ISNUMBER(C2)),ISNUMBER(D2),ISNUMBER(E2)),1/((1/D2)+(1/E2)),IF(AND(ISNUMBER(C2),NOT(ISNUMBER(D2)),NOT(ISNUMBER(E2))),1/((1/C2)),IF(AND(NOT(ISNUMBER(C2)),NOT(ISNUMBER(D2)),ISNUMBER(E2)),1/((1/E2)),IF(AND(NOT(ISNUMBER(C2)),ISNUMBER(D2),NOT(ISNUMBER(E2))),1/((1/D2)),IF(AND(NOT(ISNUMBER(C2)),NOT(ISNUMBER(D2)),NOT(ISNUMBER(E2))),".")))))))))</f>
        <v>87632.141107173695</v>
      </c>
      <c r="G2" s="142">
        <f t="shared" ref="G2:G30" si="1">s_C*s_IFS_rec_adj*(1/1000)</f>
        <v>1.375</v>
      </c>
      <c r="H2" s="142">
        <f t="shared" ref="H2:H30" si="2">s_C*s_IFA_rec_adj*(1/s_PEF_wind)*1000</f>
        <v>1.4710247995501936E-4</v>
      </c>
      <c r="I2" s="142">
        <f>IFERROR((s_C*s_EF_rec*(1/365)*s_ED_rec*s_RadSpec!V2*s_ET_rec*(1/24)*s_RadSpec!AA2),".")</f>
        <v>2.6881459634961892E-4</v>
      </c>
      <c r="J2" s="141"/>
      <c r="K2" s="141">
        <f>IFERROR((s_DL/(s_RadSpec!K2*s_EF_rec*(1/365)*s_ED_rec*s_RadSpec!V2*s_ET_rec*(1/24)*s_RadSpec!AA2)),".")</f>
        <v>1759234.9909511718</v>
      </c>
      <c r="L2" s="141">
        <f>IFERROR((s_DL/(s_RadSpec!R2*s_EF_rec*(1/365)*s_ED_rec*s_RadSpec!W2*s_ET_rec*(1/24)*s_RadSpec!AB2)),".")</f>
        <v>12889221.583318062</v>
      </c>
      <c r="M2" s="141">
        <f>IFERROR((s_DL/(s_RadSpec!S2*s_EF_rec*(1/365)*s_ED_rec*s_RadSpec!X2*s_ET_rec*(1/24)*s_RadSpec!AC2)),".")</f>
        <v>3351489.6883126344</v>
      </c>
      <c r="N2" s="141">
        <f>IFERROR((s_DL/(s_RadSpec!T2*s_EF_rec*(1/365)*s_ED_rec*s_RadSpec!Y2*s_ET_rec*(1/24)*s_RadSpec!AD2)),".")</f>
        <v>2066578.3671199966</v>
      </c>
      <c r="O2" s="141">
        <f>IFERROR((s_DL/(s_RadSpec!P2*s_EF_rec*(1/365)*s_ED_rec*s_RadSpec!U2*s_ET_rec*(1/24)*s_RadSpec!Z2)),".")</f>
        <v>96432812.979041085</v>
      </c>
      <c r="P2" s="142">
        <f>IFERROR((s_C*s_EF_rec*(1/365)*s_ED_rec*s_RadSpec!V2*s_ET_rec*(1/24)*s_RadSpec!AA2),".")</f>
        <v>2.6881459634961892E-4</v>
      </c>
      <c r="Q2" s="142">
        <f>IFERROR((s_C*s_EF_rec*(1/365)*s_ED_rec*s_RadSpec!W2*s_ET_rec*(1/24)*s_RadSpec!AB2),".")</f>
        <v>1.3294910346363741E-4</v>
      </c>
      <c r="R2" s="142">
        <f>IFERROR((s_C*s_EF_rec*(1/365)*s_ED_rec*s_RadSpec!X2*s_ET_rec*(1/24)*s_RadSpec!AC2),".")</f>
        <v>1.9574698513054686E-4</v>
      </c>
      <c r="S2" s="142">
        <f>IFERROR((s_C*s_EF_rec*(1/365)*s_ED_rec*s_RadSpec!Y2*s_ET_rec*(1/24)*s_RadSpec!AD2),".")</f>
        <v>2.354933046021241E-4</v>
      </c>
      <c r="T2" s="142">
        <f>IFERROR((s_C*s_EF_rec*(1/365)*s_ED_rec*s_RadSpec!U2*s_ET_rec*(1/24)*s_RadSpec!Z2),".")</f>
        <v>1.6800675004963266E-5</v>
      </c>
      <c r="U2" s="141">
        <f>IFERROR((s_DL/(s_RadSpec!L2*s_IFA_rec_adj)),".")</f>
        <v>16.150604385898504</v>
      </c>
      <c r="V2" s="141">
        <f>IFERROR((s_DL/(s_RadSpec!O2*s_EF_rec*(1/365)*s_ED_rec*s_ET_rec*(1/24)*s_GSF_a)),".")</f>
        <v>8.2853489304711676</v>
      </c>
      <c r="W2" s="141">
        <f>IFERROR(IF(AND(U2&lt;&gt;".",V2&lt;&gt;"."),1/((1/U2)+(1/V2)),IF(AND(U2&lt;&gt;".",V2="."),1/((1/U2)),IF(AND(U2=".",V2&lt;&gt;"."),1/((1/V2)),IF(AND(U2=".",V2="."),".")))),".")</f>
        <v>5.4760864469946986</v>
      </c>
      <c r="X2" s="142">
        <f t="shared" ref="X2:X30" si="3">s_C*s_IFA_rec_adj</f>
        <v>45.572916666666657</v>
      </c>
      <c r="Y2" s="142">
        <f t="shared" ref="Y2:Y30" si="4">IFERROR((s_C*s_EF_rec*(1/365)*s_ED_rec*s_ET_rec*(1/24)*s_GSF_a),".")</f>
        <v>2.8538812785388126E-2</v>
      </c>
      <c r="Z2" s="141"/>
      <c r="AA2" s="141">
        <f>IFERROR((s_DL/(s_RadSpec!M2*s_IFW_rec_adj)),".")</f>
        <v>645.9614490207224</v>
      </c>
      <c r="AB2" s="141">
        <f>IFERROR((s_DL/(s_RadSpec!Q2*(1/8760)*s_DFA_rec_adj)),".")</f>
        <v>9304.5783623942098</v>
      </c>
      <c r="AC2" s="141">
        <f t="shared" ref="AC2:AC30" si="5">IFERROR(IF(AND(AA2&lt;&gt;0,AB2&lt;&gt;0),1/((1/AA2)+(1/AB2)),IF(AND(AA2&lt;&gt;0,AB2=0),1/((1/AA2)),IF(AND(AA2=0,AB2&lt;&gt;0),1/((1/AB2)),IF(AND(AA2=0,AB2=0),0)))),0)</f>
        <v>604.02742317598609</v>
      </c>
      <c r="AD2" s="142">
        <f t="shared" ref="AD2:AD30" si="6">s_C*s_IFW_rec_adj</f>
        <v>200</v>
      </c>
      <c r="AE2" s="142">
        <f t="shared" ref="AE2:AE30" si="7">s_C*(1/8760)*s_DFA_rec_adj</f>
        <v>1.1415525114155251E-2</v>
      </c>
      <c r="AF2" s="141"/>
      <c r="AG2" s="141">
        <f>IFERROR(s_DL/(s_RadSpec!J2*s_EF_rec*s_ED_rec*s_IRGL_rec*s_CF_game),".")</f>
        <v>5167.6915921657792</v>
      </c>
      <c r="AH2" s="141">
        <f>IFERROR((AG2/(s_RadSpec!AM2*((s_Q_p_game*s_f_p_game*s_f_s_game*(s_RadSpec!BG2+s_R_es_past))+(s_Q_s_game*s_f_p_game)))),".")</f>
        <v>29361884.046396468</v>
      </c>
      <c r="AI2" s="141">
        <f>IFERROR(AG2/(s_RadSpec!AM2*s_Q_w_game*(1/1000)),".")</f>
        <v>129192289804.14447</v>
      </c>
      <c r="AJ2" s="141">
        <f>IFERROR(s_DL/(s_RadSpec!J2*s_EF_rec*s_ED_rec*s_IRGF_rec*s_CF_fowl),".")</f>
        <v>5167.6915921657792</v>
      </c>
      <c r="AK2" s="141" t="str">
        <f>IFERROR((AG2/(s_RadSpec!AO2*((s_Q_p_fowl*s_f_p_fowl*s_f_s_fowl*(s_RadSpec!BG2+s_R_es_past))+(s_Q_s_fowl*s_f_p_fowl)))),".")</f>
        <v>.</v>
      </c>
      <c r="AL2" s="141" t="str">
        <f>IFERROR(AG2/(s_RadSpec!AO2*s_Q_w_fowl*(1/1000)),".")</f>
        <v>.</v>
      </c>
      <c r="AM2" s="142">
        <f t="shared" ref="AM2:AM30" si="8">IFERROR(s_C*s_EF_rec*s_ED_rec*s_IRGL_rec*s_CF_game,".")</f>
        <v>25</v>
      </c>
      <c r="AN2" s="142">
        <f>IFERROR((s_C*s_IRGL_rec*s_EF_rec*s_ED_rec*s_CF_game*s_RadSpec!AM2)*((s_Q_p_game*s_f_p_game*s_f_s_game*(s_RadSpec!BG2+s_R_es_past))+(s_Q_s_game*s_f_p_game)),".")</f>
        <v>4.4000000000000003E-3</v>
      </c>
      <c r="AO2" s="142">
        <f>IFERROR(s_C*s_RadSpec!AM2*s_Q_w_game*(1/1000)*s_EF_rec*s_ED_rec*s_IRGL_rec*s_CF_game,".")</f>
        <v>1.0000000000000002E-6</v>
      </c>
      <c r="AP2" s="142">
        <f t="shared" ref="AP2:AP30" si="9">IFERROR(s_C*s_EF_rec*s_ED_rec*s_IRGF_rec*s_CF_fowl,".")</f>
        <v>25</v>
      </c>
      <c r="AQ2" s="142">
        <f>IFERROR((s_C*s_IRGF_rec*s_EF_rec*s_ED_rec*s_CF_fowl*s_RadSpec!AO2)*((s_Q_p_fowl*s_f_p_fowl*s_f_s_fowl*(s_RadSpec!BG2+s_R_es_past))+(s_Q_s_fowl*s_f_p_fowl)),".")</f>
        <v>0</v>
      </c>
      <c r="AR2" s="142">
        <f>IFERROR(s_C*s_RadSpec!AO2*s_Q_w_fowl*(1/1000)*s_EF_rec*s_ED_rec*s_IRGL_rec*s_CF_fowl,".")</f>
        <v>0</v>
      </c>
    </row>
    <row r="3" spans="1:44" x14ac:dyDescent="0.25">
      <c r="A3" s="131" t="s">
        <v>1</v>
      </c>
      <c r="B3" s="129" t="s">
        <v>336</v>
      </c>
      <c r="C3" s="141">
        <f>IFERROR(((s_DL/(s_RadSpec!I3*s_IFS_rec_adj*(1/1000)))*1),".")</f>
        <v>20647.079470608882</v>
      </c>
      <c r="D3" s="141">
        <f>IFERROR(IF(A3="H-3",(s_DL/((s_RadSpec!L3*s_IFA_rec_adj*(1/17)*1000))*1),(s_DL/((s_RadSpec!L3*s_IFA_rec_adj*(1/s_PEF_wind)*1000))*1)),".")</f>
        <v>468219.26922147936</v>
      </c>
      <c r="E3" s="141">
        <f>IFERROR((DL/(s_RadSpec!K3*s_EF_rec*(1/365)*s_ED_rec*s_RadSpec!V3*s_ET_rec*(1/24)*s_RadSpec!AA3)),".")</f>
        <v>65646371.963826485</v>
      </c>
      <c r="F3" s="141">
        <f>IF(AND(C3&lt;&gt;".",D3&lt;&gt;".",E3&lt;&gt;"."),1/((1/C3)+(1/D3)+(1/E3)),IF(AND(C3&lt;&gt;".",D3&lt;&gt;".",E3="."), 1/((1/C3)+(1/D3)),IF(AND(C3&lt;&gt;".",D3=".",E3&lt;&gt;"."),1/((1/C3)+(1/E3)),IF(AND(C3=".",D3&lt;&gt;".",E3&lt;&gt;"."),1/((1/D3)+(1/E3)),IF(AND(C3&lt;&gt;".",D3=".",E3="."),1/((1/C3)),IF(AND(C3=".",D3&lt;&gt;".",E3="."),1/((1/D3)),IF(AND(C3=".",D3=".",E3&lt;&gt;"."),1/((1/E3)),IF(AND(C3=".",D3=".",E3="."),"."))))))))</f>
        <v>19769.102958318392</v>
      </c>
      <c r="G3" s="142">
        <f t="shared" si="1"/>
        <v>1.375</v>
      </c>
      <c r="H3" s="142">
        <f t="shared" si="2"/>
        <v>1.4710247995501936E-4</v>
      </c>
      <c r="I3" s="142">
        <f>IFERROR((s_C*s_EF_rec*(1/365)*s_ED_rec*s_RadSpec!V3*s_ET_rec*(1/24)*s_RadSpec!AA3),".")</f>
        <v>2.0489404051047876E-6</v>
      </c>
      <c r="J3" s="141"/>
      <c r="K3" s="141">
        <f>IFERROR((s_DL/(s_RadSpec!K3*s_EF_rec*(1/365)*s_ED_rec*s_RadSpec!V3*s_ET_rec*(1/24)*s_RadSpec!AA3)),".")</f>
        <v>328231859.81913245</v>
      </c>
      <c r="L3" s="141">
        <f>IFERROR((s_DL/(s_RadSpec!R3*s_EF_rec*(1/365)*s_ED_rec*s_RadSpec!W3*s_ET_rec*(1/24)*s_RadSpec!AB3)),".")</f>
        <v>934558204.93261111</v>
      </c>
      <c r="M3" s="141">
        <f>IFERROR((s_DL/(s_RadSpec!S3*s_EF_rec*(1/365)*s_ED_rec*s_RadSpec!X3*s_ET_rec*(1/24)*s_RadSpec!AC3)),".")</f>
        <v>375328657.17942679</v>
      </c>
      <c r="N3" s="141">
        <f>IFERROR((s_DL/(s_RadSpec!T3*s_EF_rec*(1/365)*s_ED_rec*s_RadSpec!Y3*s_ET_rec*(1/24)*s_RadSpec!AD3)),".")</f>
        <v>359676485.88879061</v>
      </c>
      <c r="O3" s="141">
        <f>IFERROR((s_DL/(s_RadSpec!P3*s_EF_rec*(1/365)*s_ED_rec*s_RadSpec!U3*s_ET_rec*(1/24)*s_RadSpec!Z3)),".")</f>
        <v>1040860689.6222183</v>
      </c>
      <c r="P3" s="142">
        <f>IFERROR((s_C*s_EF_rec*(1/365)*s_ED_rec*s_RadSpec!V3*s_ET_rec*(1/24)*s_RadSpec!AA3),".")</f>
        <v>2.0489404051047876E-6</v>
      </c>
      <c r="Q3" s="142">
        <f>IFERROR((s_C*s_EF_rec*(1/365)*s_ED_rec*s_RadSpec!W3*s_ET_rec*(1/24)*s_RadSpec!AB3),".")</f>
        <v>1.4612708010928333E-6</v>
      </c>
      <c r="R3" s="142">
        <f>IFERROR((s_C*s_EF_rec*(1/365)*s_ED_rec*s_RadSpec!X3*s_ET_rec*(1/24)*s_RadSpec!AC3),".")</f>
        <v>1.9274347440877795E-6</v>
      </c>
      <c r="S3" s="142">
        <f>IFERROR((s_C*s_EF_rec*(1/365)*s_ED_rec*s_RadSpec!Y3*s_ET_rec*(1/24)*s_RadSpec!AD3),".")</f>
        <v>1.8698123069242059E-6</v>
      </c>
      <c r="T3" s="142">
        <f>IFERROR((s_C*s_EF_rec*(1/365)*s_ED_rec*s_RadSpec!U3*s_ET_rec*(1/24)*s_RadSpec!Z3),".")</f>
        <v>9.4248923216425354E-7</v>
      </c>
      <c r="U3" s="141">
        <f>IFERROR((s_DL/(s_RadSpec!L3*s_IFA_rec_adj)),".")</f>
        <v>1.5113409608822455</v>
      </c>
      <c r="V3" s="141">
        <f>IFERROR((s_DL/(s_RadSpec!O3*s_EF_rec*(1/365)*s_ED_rec*s_ET_rec*(1/24)*s_GSF_a)),".")</f>
        <v>6.9784337717956557</v>
      </c>
      <c r="W3" s="141">
        <f>IFERROR(IF(AND(U3&lt;&gt;".",V3&lt;&gt;"."),1/((1/U3)+(1/V3)),IF(AND(U3&lt;&gt;".",V3="."),1/((1/U3)),IF(AND(U3=".",V3&lt;&gt;"."),1/((1/V3)),IF(AND(U3=".",V3="."),".")))),".")</f>
        <v>1.2422935983829126</v>
      </c>
      <c r="X3" s="142">
        <f t="shared" si="3"/>
        <v>45.572916666666657</v>
      </c>
      <c r="Y3" s="142">
        <f t="shared" si="4"/>
        <v>2.8538812785388126E-2</v>
      </c>
      <c r="Z3" s="141"/>
      <c r="AA3" s="141">
        <f>IFERROR((s_DL/(s_RadSpec!M3*s_IFW_rec_adj)),".")</f>
        <v>141.94867136043604</v>
      </c>
      <c r="AB3" s="141">
        <f>IFERROR((s_DL/(s_RadSpec!Q3*(1/8760)*s_DFA_rec_adj)),".")</f>
        <v>7612.8368419588978</v>
      </c>
      <c r="AC3" s="141">
        <f t="shared" si="5"/>
        <v>139.35034994118013</v>
      </c>
      <c r="AD3" s="142">
        <f t="shared" si="6"/>
        <v>200</v>
      </c>
      <c r="AE3" s="142">
        <f t="shared" si="7"/>
        <v>1.1415525114155251E-2</v>
      </c>
      <c r="AF3" s="141"/>
      <c r="AG3" s="141">
        <f>IFERROR(s_DL/(s_RadSpec!J3*s_EF_rec*s_ED_rec*s_IRGL_rec*s_CF_game),".")</f>
        <v>1135.5893708834883</v>
      </c>
      <c r="AH3" s="141">
        <f>IFERROR((AG3/(s_RadSpec!AM3*((s_Q_p_game*s_f_p_game*s_f_s_game*(s_RadSpec!BG3+s_R_es_past))+(s_Q_s_game*s_f_p_game)))),".")</f>
        <v>283890.16388914158</v>
      </c>
      <c r="AI3" s="141">
        <f>IFERROR(AG3/(s_RadSpec!AM3*s_Q_w_game*(1/1000)),".")</f>
        <v>1135589370.8834884</v>
      </c>
      <c r="AJ3" s="141">
        <f>IFERROR(s_DL/(s_RadSpec!J3*s_EF_rec*s_ED_rec*s_IRGF_rec*s_CF_fowl),".")</f>
        <v>1135.5893708834883</v>
      </c>
      <c r="AK3" s="141">
        <f>IFERROR((AG3/(s_RadSpec!AO3*((s_Q_p_fowl*s_f_p_fowl*s_f_s_fowl*(s_RadSpec!BG3+s_R_es_past))+(s_Q_s_fowl*s_f_p_fowl)))),".")</f>
        <v>23657.513657428462</v>
      </c>
      <c r="AL3" s="141">
        <f>IFERROR(AG3/(s_RadSpec!AO3*s_Q_w_fowl*(1/1000)),".")</f>
        <v>94632447.57362403</v>
      </c>
      <c r="AM3" s="142">
        <f t="shared" si="8"/>
        <v>25</v>
      </c>
      <c r="AN3" s="142">
        <f>IFERROR((s_C*s_IRGL_rec*s_EF_rec*s_ED_rec*s_CF_game*s_RadSpec!AM3)*((s_Q_p_game*s_f_p_game*s_f_s_game*(s_RadSpec!BG3+s_R_es_past))+(s_Q_s_game*s_f_p_game)),".")</f>
        <v>0.10000252873563219</v>
      </c>
      <c r="AO3" s="142">
        <f>IFERROR(s_C*s_RadSpec!AM3*s_Q_w_game*(1/1000)*s_EF_rec*s_ED_rec*s_IRGL_rec*s_CF_game,".")</f>
        <v>2.5000000000000001E-5</v>
      </c>
      <c r="AP3" s="142">
        <f t="shared" si="9"/>
        <v>25</v>
      </c>
      <c r="AQ3" s="142">
        <f>IFERROR((s_C*s_IRGF_rec*s_EF_rec*s_ED_rec*s_CF_fowl*s_RadSpec!AO3)*((s_Q_p_fowl*s_f_p_fowl*s_f_s_fowl*(s_RadSpec!BG3+s_R_es_past))+(s_Q_s_fowl*s_f_p_fowl)),".")</f>
        <v>1.2000303448275862</v>
      </c>
      <c r="AR3" s="142">
        <f>IFERROR(s_C*s_RadSpec!AO3*s_Q_w_fowl*(1/1000)*s_EF_rec*s_ED_rec*s_IRGL_rec*s_CF_fowl,".")</f>
        <v>3.0000000000000003E-4</v>
      </c>
    </row>
    <row r="4" spans="1:44" customFormat="1" x14ac:dyDescent="0.25">
      <c r="A4" s="128" t="s">
        <v>2</v>
      </c>
      <c r="B4" s="129" t="s">
        <v>1059</v>
      </c>
      <c r="C4" s="141" t="str">
        <f>IFERROR(((s_DL/(s_RadSpec!I4*s_IFS_rec_adj*(1/1000)))*1),".")</f>
        <v>.</v>
      </c>
      <c r="D4" s="141" t="str">
        <f>IFERROR(IF(A4="H-3",(s_DL/((s_RadSpec!L4*s_IFA_rec_adj*(1/17)*1000))*1),(s_DL/((s_RadSpec!L4*s_IFA_rec_adj*(1/s_PEF_wind)*1000))*1)),".")</f>
        <v>.</v>
      </c>
      <c r="E4" s="141">
        <f>IFERROR((DL/(s_RadSpec!K4*s_EF_rec*(1/365)*s_ED_rec*s_RadSpec!V4*s_ET_rec*(1/24)*s_RadSpec!AA4)),".")</f>
        <v>7658571.586474604</v>
      </c>
      <c r="F4" s="141">
        <f t="shared" ref="F4:F5" si="10">IF(AND(C4&lt;&gt;".",D4&lt;&gt;".",E4&lt;&gt;"."),1/((1/C4)+(1/D4)+(1/E4)),IF(AND(C4&lt;&gt;".",D4&lt;&gt;".",E4="."), 1/((1/C4)+(1/D4)),IF(AND(C4&lt;&gt;".",D4=".",E4&lt;&gt;"."),1/((1/C4)+(1/E4)),IF(AND(C4=".",D4&lt;&gt;".",E4&lt;&gt;"."),1/((1/D4)+(1/E4)),IF(AND(C4&lt;&gt;".",D4=".",E4="."),1/((1/C4)),IF(AND(C4=".",D4&lt;&gt;".",E4="."),1/((1/D4)),IF(AND(C4=".",D4=".",E4&lt;&gt;"."),1/((1/E4)),IF(AND(C4=".",D4=".",E4="."),"."))))))))</f>
        <v>7658571.586474604</v>
      </c>
      <c r="G4" s="142">
        <f t="shared" si="1"/>
        <v>1.375</v>
      </c>
      <c r="H4" s="142">
        <f t="shared" si="2"/>
        <v>1.4710247995501936E-4</v>
      </c>
      <c r="I4" s="142">
        <f>IFERROR((s_C*s_EF_rec*(1/365)*s_ED_rec*s_RadSpec!V4*s_ET_rec*(1/24)*s_RadSpec!AA4),".")</f>
        <v>5.5039138943248508E-4</v>
      </c>
      <c r="J4" s="141"/>
      <c r="K4" s="141">
        <f>IFERROR((s_DL/(s_RadSpec!K4*s_EF_rec*(1/365)*s_ED_rec*s_RadSpec!V4*s_ET_rec*(1/24)*s_RadSpec!AA4)),".")</f>
        <v>38292857.932373025</v>
      </c>
      <c r="L4" s="141">
        <f>IFERROR((s_DL/(s_RadSpec!R4*s_EF_rec*(1/365)*s_ED_rec*s_RadSpec!W4*s_ET_rec*(1/24)*s_RadSpec!AB4)),".")</f>
        <v>275558666.88629007</v>
      </c>
      <c r="M4" s="141">
        <f>IFERROR((s_DL/(s_RadSpec!S4*s_EF_rec*(1/365)*s_ED_rec*s_RadSpec!X4*s_ET_rec*(1/24)*s_RadSpec!AC4)),".")</f>
        <v>71007035.393741637</v>
      </c>
      <c r="N4" s="141">
        <f>IFERROR((s_DL/(s_RadSpec!T4*s_EF_rec*(1/365)*s_ED_rec*s_RadSpec!Y4*s_ET_rec*(1/24)*s_RadSpec!AD4)),".")</f>
        <v>41831933.820747897</v>
      </c>
      <c r="O4" s="141">
        <f>IFERROR((s_DL/(s_RadSpec!P4*s_EF_rec*(1/365)*s_ED_rec*s_RadSpec!U4*s_ET_rec*(1/24)*s_RadSpec!Z4)),".")</f>
        <v>515850574.62150723</v>
      </c>
      <c r="P4" s="142">
        <f>IFERROR((s_C*s_EF_rec*(1/365)*s_ED_rec*s_RadSpec!V4*s_ET_rec*(1/24)*s_RadSpec!AA4),".")</f>
        <v>5.5039138943248508E-4</v>
      </c>
      <c r="Q4" s="142">
        <f>IFERROR((s_C*s_EF_rec*(1/365)*s_ED_rec*s_RadSpec!W4*s_ET_rec*(1/24)*s_RadSpec!AB4),".")</f>
        <v>3.3727687837276863E-4</v>
      </c>
      <c r="R4" s="142">
        <f>IFERROR((s_C*s_EF_rec*(1/365)*s_ED_rec*s_RadSpec!X4*s_ET_rec*(1/24)*s_RadSpec!AC4),".")</f>
        <v>4.6885192433137652E-4</v>
      </c>
      <c r="S4" s="142">
        <f>IFERROR((s_C*s_EF_rec*(1/365)*s_ED_rec*s_RadSpec!Y4*s_ET_rec*(1/24)*s_RadSpec!AD4),".")</f>
        <v>5.3860297761830175E-4</v>
      </c>
      <c r="T4" s="142">
        <f>IFERROR((s_C*s_EF_rec*(1/365)*s_ED_rec*s_RadSpec!U4*s_ET_rec*(1/24)*s_RadSpec!Z4),".")</f>
        <v>1.8263151495501338E-4</v>
      </c>
      <c r="U4" s="141" t="str">
        <f>IFERROR((s_DL/(s_RadSpec!L4*s_IFA_rec_adj)),".")</f>
        <v>.</v>
      </c>
      <c r="V4" s="141">
        <f>IFERROR((s_DL/(s_RadSpec!O4*s_EF_rec*(1/365)*s_ED_rec*s_ET_rec*(1/24)*s_GSF_a)),".")</f>
        <v>442.40636741949817</v>
      </c>
      <c r="W4" s="141">
        <f t="shared" ref="W4:W16" si="11">IFERROR(IF(AND(U4&lt;&gt;".",V4&lt;&gt;"."),1/((1/U4)+(1/V4)),IF(AND(U4&lt;&gt;".",V4="."),1/((1/U4)),IF(AND(U4=".",V4&lt;&gt;"."),1/((1/V4)),IF(AND(U4=".",V4="."),".")))),".")</f>
        <v>442.40636741949817</v>
      </c>
      <c r="X4" s="142">
        <f t="shared" si="3"/>
        <v>45.572916666666657</v>
      </c>
      <c r="Y4" s="142">
        <f t="shared" si="4"/>
        <v>2.8538812785388126E-2</v>
      </c>
      <c r="Z4" s="141"/>
      <c r="AA4" s="141" t="str">
        <f>IFERROR((s_DL/(s_RadSpec!M4*s_IFW_rec_adj)),".")</f>
        <v>.</v>
      </c>
      <c r="AB4" s="141">
        <f>IFERROR((s_DL/(s_RadSpec!Q4*(1/8760)*s_DFA_rec_adj)),".")</f>
        <v>507522.45613059314</v>
      </c>
      <c r="AC4" s="141">
        <f t="shared" si="5"/>
        <v>0</v>
      </c>
      <c r="AD4" s="142">
        <f t="shared" si="6"/>
        <v>200</v>
      </c>
      <c r="AE4" s="142">
        <f t="shared" si="7"/>
        <v>1.1415525114155251E-2</v>
      </c>
      <c r="AF4" s="141"/>
      <c r="AG4" s="141" t="str">
        <f>IFERROR(s_DL/(s_RadSpec!J4*s_EF_rec*s_ED_rec*s_IRGL_rec*s_CF_game),".")</f>
        <v>.</v>
      </c>
      <c r="AH4" s="141" t="str">
        <f>IFERROR((AG4/(s_RadSpec!AM4*((s_Q_p_game*s_f_p_game*s_f_s_game*(s_RadSpec!BG4+s_R_es_past))+(s_Q_s_game*s_f_p_game)))),".")</f>
        <v>.</v>
      </c>
      <c r="AI4" s="141" t="str">
        <f>IFERROR(AG4/(s_RadSpec!AM4*s_Q_w_game*(1/1000)),".")</f>
        <v>.</v>
      </c>
      <c r="AJ4" s="141" t="str">
        <f>IFERROR(s_DL/(s_RadSpec!J4*s_EF_rec*s_ED_rec*s_IRGF_rec*s_CF_fowl),".")</f>
        <v>.</v>
      </c>
      <c r="AK4" s="141" t="str">
        <f>IFERROR((AG4/(s_RadSpec!AO4*((s_Q_p_fowl*s_f_p_fowl*s_f_s_fowl*(s_RadSpec!BG4+s_R_es_past))+(s_Q_s_fowl*s_f_p_fowl)))),".")</f>
        <v>.</v>
      </c>
      <c r="AL4" s="141" t="str">
        <f>IFERROR(AG4/(s_RadSpec!AO4*s_Q_w_fowl*(1/1000)),".")</f>
        <v>.</v>
      </c>
      <c r="AM4" s="142">
        <f t="shared" si="8"/>
        <v>25</v>
      </c>
      <c r="AN4" s="142">
        <f>IFERROR((s_C*s_IRGL_rec*s_EF_rec*s_ED_rec*s_CF_game*s_RadSpec!AM4)*((s_Q_p_game*s_f_p_game*s_f_s_game*(s_RadSpec!BG4+s_R_es_past))+(s_Q_s_game*s_f_p_game)),".")</f>
        <v>3.8</v>
      </c>
      <c r="AO4" s="142">
        <f>IFERROR(s_C*s_RadSpec!AM4*s_Q_w_game*(1/1000)*s_EF_rec*s_ED_rec*s_IRGL_rec*s_CF_game,".")</f>
        <v>5.0000000000000001E-4</v>
      </c>
      <c r="AP4" s="142">
        <f t="shared" si="9"/>
        <v>25</v>
      </c>
      <c r="AQ4" s="142">
        <f>IFERROR((s_C*s_IRGF_rec*s_EF_rec*s_ED_rec*s_CF_fowl*s_RadSpec!AO4)*((s_Q_p_fowl*s_f_p_fowl*s_f_s_fowl*(s_RadSpec!BG4+s_R_es_past))+(s_Q_s_fowl*s_f_p_fowl)),".")</f>
        <v>0</v>
      </c>
      <c r="AR4" s="142">
        <f>IFERROR(s_C*s_RadSpec!AO4*s_Q_w_fowl*(1/1000)*s_EF_rec*s_ED_rec*s_IRGL_rec*s_CF_fowl,".")</f>
        <v>0</v>
      </c>
    </row>
    <row r="5" spans="1:44" customFormat="1" x14ac:dyDescent="0.25">
      <c r="A5" s="128" t="s">
        <v>3</v>
      </c>
      <c r="B5" s="129" t="s">
        <v>1059</v>
      </c>
      <c r="C5" s="141" t="str">
        <f>IFERROR(((s_DL/(s_RadSpec!I5*s_IFS_rec_adj*(1/1000)))*1),".")</f>
        <v>.</v>
      </c>
      <c r="D5" s="141" t="str">
        <f>IFERROR(IF(A5="H-3",(s_DL/((s_RadSpec!L5*s_IFA_rec_adj*(1/17)*1000))*1),(s_DL/((s_RadSpec!L5*s_IFA_rec_adj*(1/s_PEF_wind)*1000))*1)),".")</f>
        <v>.</v>
      </c>
      <c r="E5" s="141" t="str">
        <f>IFERROR((DL/(s_RadSpec!K5*s_EF_rec*(1/365)*s_ED_rec*s_RadSpec!V5*s_ET_rec*(1/24)*s_RadSpec!AA5)),".")</f>
        <v>.</v>
      </c>
      <c r="F5" s="141" t="str">
        <f t="shared" si="10"/>
        <v>.</v>
      </c>
      <c r="G5" s="142">
        <f t="shared" si="1"/>
        <v>1.375</v>
      </c>
      <c r="H5" s="142">
        <f t="shared" si="2"/>
        <v>1.4710247995501936E-4</v>
      </c>
      <c r="I5" s="142">
        <f>IFERROR((s_C*s_EF_rec*(1/365)*s_ED_rec*s_RadSpec!V5*s_ET_rec*(1/24)*s_RadSpec!AA5),".")</f>
        <v>0</v>
      </c>
      <c r="J5" s="141"/>
      <c r="K5" s="141" t="str">
        <f>IFERROR((s_DL/(s_RadSpec!K5*s_EF_rec*(1/365)*s_ED_rec*s_RadSpec!V5*s_ET_rec*(1/24)*s_RadSpec!AA5)),".")</f>
        <v>.</v>
      </c>
      <c r="L5" s="141" t="str">
        <f>IFERROR((s_DL/(s_RadSpec!R5*s_EF_rec*(1/365)*s_ED_rec*s_RadSpec!W5*s_ET_rec*(1/24)*s_RadSpec!AB5)),".")</f>
        <v>.</v>
      </c>
      <c r="M5" s="141" t="str">
        <f>IFERROR((s_DL/(s_RadSpec!S5*s_EF_rec*(1/365)*s_ED_rec*s_RadSpec!X5*s_ET_rec*(1/24)*s_RadSpec!AC5)),".")</f>
        <v>.</v>
      </c>
      <c r="N5" s="141" t="str">
        <f>IFERROR((s_DL/(s_RadSpec!T5*s_EF_rec*(1/365)*s_ED_rec*s_RadSpec!Y5*s_ET_rec*(1/24)*s_RadSpec!AD5)),".")</f>
        <v>.</v>
      </c>
      <c r="O5" s="141" t="str">
        <f>IFERROR((s_DL/(s_RadSpec!P5*s_EF_rec*(1/365)*s_ED_rec*s_RadSpec!U5*s_ET_rec*(1/24)*s_RadSpec!Z5)),".")</f>
        <v>.</v>
      </c>
      <c r="P5" s="142">
        <f>IFERROR((s_C*s_EF_rec*(1/365)*s_ED_rec*s_RadSpec!V5*s_ET_rec*(1/24)*s_RadSpec!AA5),".")</f>
        <v>0</v>
      </c>
      <c r="Q5" s="142">
        <f>IFERROR((s_C*s_EF_rec*(1/365)*s_ED_rec*s_RadSpec!W5*s_ET_rec*(1/24)*s_RadSpec!AB5),".")</f>
        <v>0</v>
      </c>
      <c r="R5" s="142">
        <f>IFERROR((s_C*s_EF_rec*(1/365)*s_ED_rec*s_RadSpec!X5*s_ET_rec*(1/24)*s_RadSpec!AC5),".")</f>
        <v>0</v>
      </c>
      <c r="S5" s="142">
        <f>IFERROR((s_C*s_EF_rec*(1/365)*s_ED_rec*s_RadSpec!Y5*s_ET_rec*(1/24)*s_RadSpec!AD5),".")</f>
        <v>0</v>
      </c>
      <c r="T5" s="142">
        <f>IFERROR((s_C*s_EF_rec*(1/365)*s_ED_rec*s_RadSpec!U5*s_ET_rec*(1/24)*s_RadSpec!Z5),".")</f>
        <v>0</v>
      </c>
      <c r="U5" s="141" t="str">
        <f>IFERROR((s_DL/(s_RadSpec!L5*s_IFA_rec_adj)),".")</f>
        <v>.</v>
      </c>
      <c r="V5" s="141">
        <f>IFERROR((s_DL/(s_RadSpec!O5*s_EF_rec*(1/365)*s_ED_rec*s_ET_rec*(1/24)*s_GSF_a)),".")</f>
        <v>4785.2117292313078</v>
      </c>
      <c r="W5" s="141">
        <f t="shared" si="11"/>
        <v>4785.2117292313078</v>
      </c>
      <c r="X5" s="142">
        <f t="shared" si="3"/>
        <v>45.572916666666657</v>
      </c>
      <c r="Y5" s="142">
        <f t="shared" si="4"/>
        <v>2.8538812785388126E-2</v>
      </c>
      <c r="Z5" s="141"/>
      <c r="AA5" s="141" t="str">
        <f>IFERROR((s_DL/(s_RadSpec!M5*s_IFW_rec_adj)),".")</f>
        <v>.</v>
      </c>
      <c r="AB5" s="141">
        <f>IFERROR((s_DL/(s_RadSpec!Q5*(1/8760)*s_DFA_rec_adj)),".")</f>
        <v>9379014.9892933611</v>
      </c>
      <c r="AC5" s="141">
        <f t="shared" si="5"/>
        <v>0</v>
      </c>
      <c r="AD5" s="142">
        <f t="shared" si="6"/>
        <v>200</v>
      </c>
      <c r="AE5" s="142">
        <f t="shared" si="7"/>
        <v>1.1415525114155251E-2</v>
      </c>
      <c r="AF5" s="141"/>
      <c r="AG5" s="141" t="str">
        <f>IFERROR(s_DL/(s_RadSpec!J5*s_EF_rec*s_ED_rec*s_IRGL_rec*s_CF_game),".")</f>
        <v>.</v>
      </c>
      <c r="AH5" s="141" t="str">
        <f>IFERROR((AG5/(s_RadSpec!AM5*((s_Q_p_game*s_f_p_game*s_f_s_game*(s_RadSpec!BG5+s_R_es_past))+(s_Q_s_game*s_f_p_game)))),".")</f>
        <v>.</v>
      </c>
      <c r="AI5" s="141" t="str">
        <f>IFERROR(AG5/(s_RadSpec!AM5*s_Q_w_game*(1/1000)),".")</f>
        <v>.</v>
      </c>
      <c r="AJ5" s="141" t="str">
        <f>IFERROR(s_DL/(s_RadSpec!J5*s_EF_rec*s_ED_rec*s_IRGF_rec*s_CF_fowl),".")</f>
        <v>.</v>
      </c>
      <c r="AK5" s="141" t="str">
        <f>IFERROR((AG5/(s_RadSpec!AO5*((s_Q_p_fowl*s_f_p_fowl*s_f_s_fowl*(s_RadSpec!BG5+s_R_es_past))+(s_Q_s_fowl*s_f_p_fowl)))),".")</f>
        <v>.</v>
      </c>
      <c r="AL5" s="141" t="str">
        <f>IFERROR(AG5/(s_RadSpec!AO5*s_Q_w_fowl*(1/1000)),".")</f>
        <v>.</v>
      </c>
      <c r="AM5" s="142">
        <f t="shared" si="8"/>
        <v>25</v>
      </c>
      <c r="AN5" s="142">
        <f>IFERROR((s_C*s_IRGL_rec*s_EF_rec*s_ED_rec*s_CF_game*s_RadSpec!AM5)*((s_Q_p_game*s_f_p_game*s_f_s_game*(s_RadSpec!BG5+s_R_es_past))+(s_Q_s_game*s_f_p_game)),".")</f>
        <v>3.8</v>
      </c>
      <c r="AO5" s="142">
        <f>IFERROR(s_C*s_RadSpec!AM5*s_Q_w_game*(1/1000)*s_EF_rec*s_ED_rec*s_IRGL_rec*s_CF_game,".")</f>
        <v>5.0000000000000001E-4</v>
      </c>
      <c r="AP5" s="142">
        <f t="shared" si="9"/>
        <v>25</v>
      </c>
      <c r="AQ5" s="142">
        <f>IFERROR((s_C*s_IRGF_rec*s_EF_rec*s_ED_rec*s_CF_fowl*s_RadSpec!AO5)*((s_Q_p_fowl*s_f_p_fowl*s_f_s_fowl*(s_RadSpec!BG5+s_R_es_past))+(s_Q_s_fowl*s_f_p_fowl)),".")</f>
        <v>0</v>
      </c>
      <c r="AR5" s="142">
        <f>IFERROR(s_C*s_RadSpec!AO5*s_Q_w_fowl*(1/1000)*s_EF_rec*s_ED_rec*s_IRGL_rec*s_CF_fowl,".")</f>
        <v>0</v>
      </c>
    </row>
    <row r="6" spans="1:44" customFormat="1" x14ac:dyDescent="0.25">
      <c r="A6" s="128" t="s">
        <v>4</v>
      </c>
      <c r="B6" s="129" t="s">
        <v>1059</v>
      </c>
      <c r="C6" s="141" t="str">
        <f>IFERROR(((s_DL/(s_RadSpec!I6*s_IFS_rec_adj*(1/1000)))*1),".")</f>
        <v>.</v>
      </c>
      <c r="D6" s="141" t="str">
        <f>IFERROR(IF(A6="H-3",(s_DL/((s_RadSpec!L6*s_IFA_rec_adj*(1/17)*1000))*1),(s_DL/((s_RadSpec!L6*s_IFA_rec_adj*(1/s_PEF_wind)*1000))*1)),".")</f>
        <v>.</v>
      </c>
      <c r="E6" s="141">
        <f>IFERROR((DL/(s_RadSpec!K6*s_EF_rec*(1/365)*s_ED_rec*s_RadSpec!V6*s_ET_rec*(1/24)*s_RadSpec!AA6)),".")</f>
        <v>1380.9611781915039</v>
      </c>
      <c r="F6" s="141">
        <f>IF(AND(C6&lt;&gt;".",D6&lt;&gt;".",E6&lt;&gt;"."),1/((1/C6)+(1/D6)+(1/E6)),IF(AND(C6&lt;&gt;".",D6&lt;&gt;".",E6="."), 1/((1/C6)+(1/D6)),IF(AND(C6&lt;&gt;".",D6=".",E6&lt;&gt;"."),1/((1/C6)+(1/E6)),IF(AND(C6=".",D6&lt;&gt;".",E6&lt;&gt;"."),1/((1/D6)+(1/E6)),IF(AND(C6&lt;&gt;".",D6=".",E6="."),1/((1/C6)),IF(AND(C6=".",D6&lt;&gt;".",E6="."),1/((1/D6)),IF(AND(C6=".",D6=".",E6&lt;&gt;"."),1/((1/E6)),IF(AND(C6=".",D6=".",E6="."),"."))))))))</f>
        <v>1380.9611781915039</v>
      </c>
      <c r="G6" s="142">
        <f t="shared" si="1"/>
        <v>1.375</v>
      </c>
      <c r="H6" s="142">
        <f t="shared" si="2"/>
        <v>1.4710247995501936E-4</v>
      </c>
      <c r="I6" s="142">
        <f>IFERROR((s_C*s_EF_rec*(1/365)*s_ED_rec*s_RadSpec!V6*s_ET_rec*(1/24)*s_RadSpec!AA6),".")</f>
        <v>1.0708609645513662E-3</v>
      </c>
      <c r="J6" s="141"/>
      <c r="K6" s="141">
        <f>IFERROR((s_DL/(s_RadSpec!K6*s_EF_rec*(1/365)*s_ED_rec*s_RadSpec!V6*s_ET_rec*(1/24)*s_RadSpec!AA6)),".")</f>
        <v>6904.8058909575193</v>
      </c>
      <c r="L6" s="141">
        <f>IFERROR((s_DL/(s_RadSpec!R6*s_EF_rec*(1/365)*s_ED_rec*s_RadSpec!W6*s_ET_rec*(1/24)*s_RadSpec!AB6)),".")</f>
        <v>64808.685870911941</v>
      </c>
      <c r="M6" s="141">
        <f>IFERROR((s_DL/(s_RadSpec!S6*s_EF_rec*(1/365)*s_ED_rec*s_RadSpec!X6*s_ET_rec*(1/24)*s_RadSpec!AC6)),".")</f>
        <v>16007.003627342403</v>
      </c>
      <c r="N6" s="141">
        <f>IFERROR((s_DL/(s_RadSpec!T6*s_EF_rec*(1/365)*s_ED_rec*s_RadSpec!Y6*s_ET_rec*(1/24)*s_RadSpec!AD6)),".")</f>
        <v>8468.5147993964638</v>
      </c>
      <c r="O6" s="141">
        <f>IFERROR((s_DL/(s_RadSpec!P6*s_EF_rec*(1/365)*s_ED_rec*s_RadSpec!U6*s_ET_rec*(1/24)*s_RadSpec!Z6)),".")</f>
        <v>108534.56821140177</v>
      </c>
      <c r="P6" s="142">
        <f>IFERROR((s_C*s_EF_rec*(1/365)*s_ED_rec*s_RadSpec!V6*s_ET_rec*(1/24)*s_RadSpec!AA6),".")</f>
        <v>1.0708609645513662E-3</v>
      </c>
      <c r="Q6" s="142">
        <f>IFERROR((s_C*s_EF_rec*(1/365)*s_ED_rec*s_RadSpec!W6*s_ET_rec*(1/24)*s_RadSpec!AB6),".")</f>
        <v>5.7362414143739685E-4</v>
      </c>
      <c r="R6" s="142">
        <f>IFERROR((s_C*s_EF_rec*(1/365)*s_ED_rec*s_RadSpec!X6*s_ET_rec*(1/24)*s_RadSpec!AC6),".")</f>
        <v>8.1173798427717342E-4</v>
      </c>
      <c r="S6" s="142">
        <f>IFERROR((s_C*s_EF_rec*(1/365)*s_ED_rec*s_RadSpec!Y6*s_ET_rec*(1/24)*s_RadSpec!AD6),".")</f>
        <v>9.8158973911526069E-4</v>
      </c>
      <c r="T6" s="142">
        <f>IFERROR((s_C*s_EF_rec*(1/365)*s_ED_rec*s_RadSpec!U6*s_ET_rec*(1/24)*s_RadSpec!Z6),".")</f>
        <v>3.4149283935242826E-4</v>
      </c>
      <c r="U6" s="141" t="str">
        <f>IFERROR((s_DL/(s_RadSpec!L6*s_IFA_rec_adj)),".")</f>
        <v>.</v>
      </c>
      <c r="V6" s="141">
        <f>IFERROR((s_DL/(s_RadSpec!O6*s_EF_rec*(1/365)*s_ED_rec*s_ET_rec*(1/24)*s_GSF_a)),".")</f>
        <v>0.17433113362998814</v>
      </c>
      <c r="W6" s="141">
        <f t="shared" si="11"/>
        <v>0.17433113362998814</v>
      </c>
      <c r="X6" s="142">
        <f t="shared" si="3"/>
        <v>45.572916666666657</v>
      </c>
      <c r="Y6" s="142">
        <f t="shared" si="4"/>
        <v>2.8538812785388126E-2</v>
      </c>
      <c r="Z6" s="141"/>
      <c r="AA6" s="141" t="str">
        <f>IFERROR((s_DL/(s_RadSpec!M6*s_IFW_rec_adj)),".")</f>
        <v>.</v>
      </c>
      <c r="AB6" s="141">
        <f>IFERROR((s_DL/(s_RadSpec!Q6*(1/8760)*s_DFA_rec_adj)),".")</f>
        <v>201.09380337249922</v>
      </c>
      <c r="AC6" s="141">
        <f t="shared" si="5"/>
        <v>0</v>
      </c>
      <c r="AD6" s="142">
        <f t="shared" si="6"/>
        <v>200</v>
      </c>
      <c r="AE6" s="142">
        <f t="shared" si="7"/>
        <v>1.1415525114155251E-2</v>
      </c>
      <c r="AF6" s="141"/>
      <c r="AG6" s="141" t="str">
        <f>IFERROR(s_DL/(s_RadSpec!J6*s_EF_rec*s_ED_rec*s_IRGL_rec*s_CF_game),".")</f>
        <v>.</v>
      </c>
      <c r="AH6" s="141" t="str">
        <f>IFERROR((AG6/(s_RadSpec!AM6*((s_Q_p_game*s_f_p_game*s_f_s_game*(s_RadSpec!BG6+s_R_es_past))+(s_Q_s_game*s_f_p_game)))),".")</f>
        <v>.</v>
      </c>
      <c r="AI6" s="141" t="str">
        <f>IFERROR(AG6/(s_RadSpec!AM6*s_Q_w_game*(1/1000)),".")</f>
        <v>.</v>
      </c>
      <c r="AJ6" s="141" t="str">
        <f>IFERROR(s_DL/(s_RadSpec!J6*s_EF_rec*s_ED_rec*s_IRGF_rec*s_CF_fowl),".")</f>
        <v>.</v>
      </c>
      <c r="AK6" s="141" t="str">
        <f>IFERROR((AG6/(s_RadSpec!AO6*((s_Q_p_fowl*s_f_p_fowl*s_f_s_fowl*(s_RadSpec!BG6+s_R_es_past))+(s_Q_s_fowl*s_f_p_fowl)))),".")</f>
        <v>.</v>
      </c>
      <c r="AL6" s="141" t="str">
        <f>IFERROR(AG6/(s_RadSpec!AO6*s_Q_w_fowl*(1/1000)),".")</f>
        <v>.</v>
      </c>
      <c r="AM6" s="142">
        <f t="shared" si="8"/>
        <v>25</v>
      </c>
      <c r="AN6" s="142">
        <f>IFERROR((s_C*s_IRGL_rec*s_EF_rec*s_ED_rec*s_CF_game*s_RadSpec!AM6)*((s_Q_p_game*s_f_p_game*s_f_s_game*(s_RadSpec!BG6+s_R_es_past))+(s_Q_s_game*s_f_p_game)),".")</f>
        <v>2.8032183908045974E-2</v>
      </c>
      <c r="AO6" s="142">
        <f>IFERROR(s_C*s_RadSpec!AM6*s_Q_w_game*(1/1000)*s_EF_rec*s_ED_rec*s_IRGL_rec*s_CF_game,".")</f>
        <v>6.999999999999999E-6</v>
      </c>
      <c r="AP6" s="142">
        <f t="shared" si="9"/>
        <v>25</v>
      </c>
      <c r="AQ6" s="142">
        <f>IFERROR((s_C*s_IRGF_rec*s_EF_rec*s_ED_rec*s_CF_fowl*s_RadSpec!AO6)*((s_Q_p_fowl*s_f_p_fowl*s_f_s_fowl*(s_RadSpec!BG6+s_R_es_past))+(s_Q_s_fowl*s_f_p_fowl)),".")</f>
        <v>3.8043678160919536</v>
      </c>
      <c r="AR6" s="142">
        <f>IFERROR(s_C*s_RadSpec!AO6*s_Q_w_fowl*(1/1000)*s_EF_rec*s_ED_rec*s_IRGL_rec*s_CF_fowl,".")</f>
        <v>9.5000000000000011E-4</v>
      </c>
    </row>
    <row r="7" spans="1:44" customFormat="1" x14ac:dyDescent="0.25">
      <c r="A7" s="128" t="s">
        <v>5</v>
      </c>
      <c r="B7" s="129" t="s">
        <v>1059</v>
      </c>
      <c r="C7" s="141">
        <f>IFERROR(((s_DL/(s_RadSpec!I7*s_IFS_rec_adj*(1/1000)))*1),".")</f>
        <v>2730002.7300027302</v>
      </c>
      <c r="D7" s="141">
        <f>IFERROR(IF(A7="H-3",(s_DL/((s_RadSpec!L7*s_IFA_rec_adj*(1/17)*1000))*1),(s_DL/((s_RadSpec!L7*s_IFA_rec_adj*(1/s_PEF_wind)*1000))*1)),".")</f>
        <v>314604865.14128166</v>
      </c>
      <c r="E7" s="141">
        <f>IFERROR((DL/(s_RadSpec!K7*s_EF_rec*(1/365)*s_ED_rec*s_RadSpec!V7*s_ET_rec*(1/24)*s_RadSpec!AA7)),".")</f>
        <v>1845848.8432131121</v>
      </c>
      <c r="F7" s="141">
        <f>IF(AND(C7&lt;&gt;".",D7&lt;&gt;".",E7&lt;&gt;"."),1/((1/C7)+(1/D7)+(1/E7)),IF(AND(C7&lt;&gt;".",D7&lt;&gt;".",E7="."), 1/((1/C7)+(1/D7)),IF(AND(C7&lt;&gt;".",D7=".",E7&lt;&gt;"."),1/((1/C7)+(1/E7)),IF(AND(C7=".",D7&lt;&gt;".",E7&lt;&gt;"."),1/((1/D7)+(1/E7)),IF(AND(C7&lt;&gt;".",D7=".",E7="."),1/((1/C7)),IF(AND(C7=".",D7&lt;&gt;".",E7="."),1/((1/D7)),IF(AND(C7=".",D7=".",E7&lt;&gt;"."),1/((1/E7)),IF(AND(C7=".",D7=".",E7="."),"."))))))))</f>
        <v>1097412.0427494859</v>
      </c>
      <c r="G7" s="142">
        <f t="shared" si="1"/>
        <v>1.375</v>
      </c>
      <c r="H7" s="142">
        <f t="shared" si="2"/>
        <v>1.4710247995501936E-4</v>
      </c>
      <c r="I7" s="142">
        <f>IFERROR((s_C*s_EF_rec*(1/365)*s_ED_rec*s_RadSpec!V7*s_ET_rec*(1/24)*s_RadSpec!AA7),".")</f>
        <v>4.9491358880989552E-4</v>
      </c>
      <c r="J7" s="141"/>
      <c r="K7" s="141">
        <f>IFERROR((s_DL/(s_RadSpec!K7*s_EF_rec*(1/365)*s_ED_rec*s_RadSpec!V7*s_ET_rec*(1/24)*s_RadSpec!AA7)),".")</f>
        <v>9229244.2160655614</v>
      </c>
      <c r="L7" s="141">
        <f>IFERROR((s_DL/(s_RadSpec!R7*s_EF_rec*(1/365)*s_ED_rec*s_RadSpec!W7*s_ET_rec*(1/24)*s_RadSpec!AB7)),".")</f>
        <v>25607137.930118531</v>
      </c>
      <c r="M7" s="141">
        <f>IFERROR((s_DL/(s_RadSpec!S7*s_EF_rec*(1/365)*s_ED_rec*s_RadSpec!X7*s_ET_rec*(1/24)*s_RadSpec!AC7)),".")</f>
        <v>12970232.902424194</v>
      </c>
      <c r="N7" s="141">
        <f>IFERROR((s_DL/(s_RadSpec!T7*s_EF_rec*(1/365)*s_ED_rec*s_RadSpec!Y7*s_ET_rec*(1/24)*s_RadSpec!AD7)),".")</f>
        <v>10102150.993986223</v>
      </c>
      <c r="O7" s="141">
        <f>IFERROR((s_DL/(s_RadSpec!P7*s_EF_rec*(1/365)*s_ED_rec*s_RadSpec!U7*s_ET_rec*(1/24)*s_RadSpec!Z7)),".")</f>
        <v>3351619.1116955951</v>
      </c>
      <c r="P7" s="142">
        <f>IFERROR((s_C*s_EF_rec*(1/365)*s_ED_rec*s_RadSpec!V7*s_ET_rec*(1/24)*s_RadSpec!AA7),".")</f>
        <v>4.9491358880989552E-4</v>
      </c>
      <c r="Q7" s="142">
        <f>IFERROR((s_C*s_EF_rec*(1/365)*s_ED_rec*s_RadSpec!W7*s_ET_rec*(1/24)*s_RadSpec!AB7),".")</f>
        <v>3.1109484471400164E-4</v>
      </c>
      <c r="R7" s="142">
        <f>IFERROR((s_C*s_EF_rec*(1/365)*s_ED_rec*s_RadSpec!X7*s_ET_rec*(1/24)*s_RadSpec!AC7),".")</f>
        <v>4.2462845010615702E-4</v>
      </c>
      <c r="S7" s="142">
        <f>IFERROR((s_C*s_EF_rec*(1/365)*s_ED_rec*s_RadSpec!Y7*s_ET_rec*(1/24)*s_RadSpec!AD7),".")</f>
        <v>4.6160168401416509E-4</v>
      </c>
      <c r="T7" s="142">
        <f>IFERROR((s_C*s_EF_rec*(1/365)*s_ED_rec*s_RadSpec!U7*s_ET_rec*(1/24)*s_RadSpec!Z7),".")</f>
        <v>1.8178737681787382E-4</v>
      </c>
      <c r="U7" s="141">
        <f>IFERROR((s_DL/(s_RadSpec!L7*s_IFA_rec_adj)),".")</f>
        <v>1015.4969059078649</v>
      </c>
      <c r="V7" s="141">
        <f>IFERROR((s_DL/(s_RadSpec!O7*s_EF_rec*(1/365)*s_ED_rec*s_ET_rec*(1/24)*s_GSF_a)),".")</f>
        <v>18.176385638165428</v>
      </c>
      <c r="W7" s="141">
        <f t="shared" si="11"/>
        <v>17.856767246581406</v>
      </c>
      <c r="X7" s="142">
        <f t="shared" si="3"/>
        <v>45.572916666666657</v>
      </c>
      <c r="Y7" s="142">
        <f t="shared" si="4"/>
        <v>2.8538812785388126E-2</v>
      </c>
      <c r="Z7" s="141"/>
      <c r="AA7" s="141">
        <f>IFERROR((s_DL/(s_RadSpec!M7*s_IFW_rec_adj)),".")</f>
        <v>18768.768768768772</v>
      </c>
      <c r="AB7" s="141">
        <f>IFERROR((s_DL/(s_RadSpec!Q7*(1/8760)*s_DFA_rec_adj)),".")</f>
        <v>39341.50582757283</v>
      </c>
      <c r="AC7" s="141">
        <f t="shared" si="5"/>
        <v>12706.730970074781</v>
      </c>
      <c r="AD7" s="142">
        <f t="shared" si="6"/>
        <v>200</v>
      </c>
      <c r="AE7" s="142">
        <f t="shared" si="7"/>
        <v>1.1415525114155251E-2</v>
      </c>
      <c r="AF7" s="141"/>
      <c r="AG7" s="141">
        <f>IFERROR(s_DL/(s_RadSpec!J7*s_EF_rec*s_ED_rec*s_IRGL_rec*s_CF_game),".")</f>
        <v>150150.15015015018</v>
      </c>
      <c r="AH7" s="141">
        <f>IFERROR((AG7/(s_RadSpec!AM7*((s_Q_p_game*s_f_p_game*s_f_s_game*(s_RadSpec!BG7+s_R_es_past))+(s_Q_s_game*s_f_p_game)))),".")</f>
        <v>6256256.2562562572</v>
      </c>
      <c r="AI7" s="141">
        <f>IFERROR(AG7/(s_RadSpec!AM7*s_Q_w_game*(1/1000)),".")</f>
        <v>37537537537.537544</v>
      </c>
      <c r="AJ7" s="141">
        <f>IFERROR(s_DL/(s_RadSpec!J7*s_EF_rec*s_ED_rec*s_IRGF_rec*s_CF_fowl),".")</f>
        <v>150150.15015015018</v>
      </c>
      <c r="AK7" s="141" t="str">
        <f>IFERROR((AG7/(s_RadSpec!AO7*((s_Q_p_fowl*s_f_p_fowl*s_f_s_fowl*(s_RadSpec!BG7+s_R_es_past))+(s_Q_s_fowl*s_f_p_fowl)))),".")</f>
        <v>.</v>
      </c>
      <c r="AL7" s="141" t="str">
        <f>IFERROR(AG7/(s_RadSpec!AO7*s_Q_w_fowl*(1/1000)),".")</f>
        <v>.</v>
      </c>
      <c r="AM7" s="142">
        <f t="shared" si="8"/>
        <v>25</v>
      </c>
      <c r="AN7" s="142">
        <f>IFERROR((s_C*s_IRGL_rec*s_EF_rec*s_ED_rec*s_CF_game*s_RadSpec!AM7)*((s_Q_p_game*s_f_p_game*s_f_s_game*(s_RadSpec!BG7+s_R_es_past))+(s_Q_s_game*s_f_p_game)),".")</f>
        <v>0.60000000000000009</v>
      </c>
      <c r="AO7" s="142">
        <f>IFERROR(s_C*s_RadSpec!AM7*s_Q_w_game*(1/1000)*s_EF_rec*s_ED_rec*s_IRGL_rec*s_CF_game,".")</f>
        <v>1E-4</v>
      </c>
      <c r="AP7" s="142">
        <f t="shared" si="9"/>
        <v>25</v>
      </c>
      <c r="AQ7" s="142">
        <f>IFERROR((s_C*s_IRGF_rec*s_EF_rec*s_ED_rec*s_CF_fowl*s_RadSpec!AO7)*((s_Q_p_fowl*s_f_p_fowl*s_f_s_fowl*(s_RadSpec!BG7+s_R_es_past))+(s_Q_s_fowl*s_f_p_fowl)),".")</f>
        <v>0</v>
      </c>
      <c r="AR7" s="142">
        <f>IFERROR(s_C*s_RadSpec!AO7*s_Q_w_fowl*(1/1000)*s_EF_rec*s_ED_rec*s_IRGL_rec*s_CF_fowl,".")</f>
        <v>0</v>
      </c>
    </row>
    <row r="8" spans="1:44" customFormat="1" x14ac:dyDescent="0.25">
      <c r="A8" s="128" t="s">
        <v>6</v>
      </c>
      <c r="B8" s="129" t="s">
        <v>1059</v>
      </c>
      <c r="C8" s="141">
        <f>IFERROR(((s_DL/(s_RadSpec!I8*s_IFS_rec_adj*(1/1000)))*1),".")</f>
        <v>18335839.23136162</v>
      </c>
      <c r="D8" s="141">
        <f>IFERROR(IF(A8="H-3",(s_DL/((s_RadSpec!L8*s_IFA_rec_adj*(1/17)*1000))*1),(s_DL/((s_RadSpec!L8*s_IFA_rec_adj*(1/s_PEF_wind)*1000))*1)),".")</f>
        <v>1293867896.0740037</v>
      </c>
      <c r="E8" s="141">
        <f>IFERROR((DL/(s_RadSpec!K8*s_EF_rec*(1/365)*s_ED_rec*s_RadSpec!V8*s_ET_rec*(1/24)*s_RadSpec!AA8)),".")</f>
        <v>8448.5482127912856</v>
      </c>
      <c r="F8" s="141">
        <f t="shared" ref="F8:F9" si="12">IF(AND(C8&lt;&gt;".",D8&lt;&gt;".",E8&lt;&gt;"."),1/((1/C8)+(1/D8)+(1/E8)),IF(AND(C8&lt;&gt;".",D8&lt;&gt;".",E8="."), 1/((1/C8)+(1/D8)),IF(AND(C8&lt;&gt;".",D8=".",E8&lt;&gt;"."),1/((1/C8)+(1/E8)),IF(AND(C8=".",D8&lt;&gt;".",E8&lt;&gt;"."),1/((1/D8)+(1/E8)),IF(AND(C8&lt;&gt;".",D8=".",E8="."),1/((1/C8)),IF(AND(C8=".",D8&lt;&gt;".",E8="."),1/((1/D8)),IF(AND(C8=".",D8=".",E8&lt;&gt;"."),1/((1/E8)),IF(AND(C8=".",D8=".",E8="."),"."))))))))</f>
        <v>8444.602078899039</v>
      </c>
      <c r="G8" s="142">
        <f t="shared" si="1"/>
        <v>1.375</v>
      </c>
      <c r="H8" s="142">
        <f t="shared" si="2"/>
        <v>1.4710247995501936E-4</v>
      </c>
      <c r="I8" s="142">
        <f>IFERROR((s_C*s_EF_rec*(1/365)*s_ED_rec*s_RadSpec!V8*s_ET_rec*(1/24)*s_RadSpec!AA8),".")</f>
        <v>8.6092085235920811E-4</v>
      </c>
      <c r="J8" s="141"/>
      <c r="K8" s="141">
        <f>IFERROR((s_DL/(s_RadSpec!K8*s_EF_rec*(1/365)*s_ED_rec*s_RadSpec!V8*s_ET_rec*(1/24)*s_RadSpec!AA8)),".")</f>
        <v>42242.741063956426</v>
      </c>
      <c r="L8" s="141">
        <f>IFERROR((s_DL/(s_RadSpec!R8*s_EF_rec*(1/365)*s_ED_rec*s_RadSpec!W8*s_ET_rec*(1/24)*s_RadSpec!AB8)),".")</f>
        <v>358950.39952900459</v>
      </c>
      <c r="M8" s="141">
        <f>IFERROR((s_DL/(s_RadSpec!S8*s_EF_rec*(1/365)*s_ED_rec*s_RadSpec!X8*s_ET_rec*(1/24)*s_RadSpec!AC8)),".")</f>
        <v>93824.462839343454</v>
      </c>
      <c r="N8" s="141">
        <f>IFERROR((s_DL/(s_RadSpec!T8*s_EF_rec*(1/365)*s_ED_rec*s_RadSpec!Y8*s_ET_rec*(1/24)*s_RadSpec!AD8)),".")</f>
        <v>56667.457869358674</v>
      </c>
      <c r="O8" s="141">
        <f>IFERROR((s_DL/(s_RadSpec!P8*s_EF_rec*(1/365)*s_ED_rec*s_RadSpec!U8*s_ET_rec*(1/24)*s_RadSpec!Z8)),".")</f>
        <v>515191.58441996347</v>
      </c>
      <c r="P8" s="142">
        <f>IFERROR((s_C*s_EF_rec*(1/365)*s_ED_rec*s_RadSpec!V8*s_ET_rec*(1/24)*s_RadSpec!AA8),".")</f>
        <v>8.6092085235920811E-4</v>
      </c>
      <c r="Q8" s="142">
        <f>IFERROR((s_C*s_EF_rec*(1/365)*s_ED_rec*s_RadSpec!W8*s_ET_rec*(1/24)*s_RadSpec!AB8),".")</f>
        <v>4.6898782343987811E-4</v>
      </c>
      <c r="R8" s="142">
        <f>IFERROR((s_C*s_EF_rec*(1/365)*s_ED_rec*s_RadSpec!X8*s_ET_rec*(1/24)*s_RadSpec!AC8),".")</f>
        <v>6.4253098499673824E-4</v>
      </c>
      <c r="S8" s="142">
        <f>IFERROR((s_C*s_EF_rec*(1/365)*s_ED_rec*s_RadSpec!Y8*s_ET_rec*(1/24)*s_RadSpec!AD8),".")</f>
        <v>7.0080873368062236E-4</v>
      </c>
      <c r="T8" s="142">
        <f>IFERROR((s_C*s_EF_rec*(1/365)*s_ED_rec*s_RadSpec!U8*s_ET_rec*(1/24)*s_RadSpec!Z8),".")</f>
        <v>2.5311208958469231E-4</v>
      </c>
      <c r="U8" s="141">
        <f>IFERROR((s_DL/(s_RadSpec!L8*s_IFA_rec_adj)),".")</f>
        <v>4176.4098102126281</v>
      </c>
      <c r="V8" s="141">
        <f>IFERROR((s_DL/(s_RadSpec!O8*s_EF_rec*(1/365)*s_ED_rec*s_ET_rec*(1/24)*s_GSF_a)),".")</f>
        <v>0.78947937620314468</v>
      </c>
      <c r="W8" s="141">
        <f t="shared" si="11"/>
        <v>0.78933016673473266</v>
      </c>
      <c r="X8" s="142">
        <f t="shared" si="3"/>
        <v>45.572916666666657</v>
      </c>
      <c r="Y8" s="142">
        <f t="shared" si="4"/>
        <v>2.8538812785388126E-2</v>
      </c>
      <c r="Z8" s="141"/>
      <c r="AA8" s="141">
        <f>IFERROR((s_DL/(s_RadSpec!M8*s_IFW_rec_adj)),".")</f>
        <v>126058.89471561114</v>
      </c>
      <c r="AB8" s="141">
        <f>IFERROR((s_DL/(s_RadSpec!Q8*(1/8760)*s_DFA_rec_adj)),".")</f>
        <v>930.45783623942066</v>
      </c>
      <c r="AC8" s="141">
        <f t="shared" si="5"/>
        <v>923.64032148230081</v>
      </c>
      <c r="AD8" s="142">
        <f t="shared" si="6"/>
        <v>200</v>
      </c>
      <c r="AE8" s="142">
        <f t="shared" si="7"/>
        <v>1.1415525114155251E-2</v>
      </c>
      <c r="AF8" s="141"/>
      <c r="AG8" s="141">
        <f>IFERROR(s_DL/(s_RadSpec!J8*s_EF_rec*s_ED_rec*s_IRGL_rec*s_CF_game),".")</f>
        <v>1008471.1577248891</v>
      </c>
      <c r="AH8" s="141">
        <f>IFERROR((AG8/(s_RadSpec!AM8*((s_Q_p_game*s_f_p_game*s_f_s_game*(s_RadSpec!BG8+s_R_es_past))+(s_Q_s_game*s_f_p_game)))),".")</f>
        <v>42019631.571870379</v>
      </c>
      <c r="AI8" s="141">
        <f>IFERROR(AG8/(s_RadSpec!AM8*s_Q_w_game*(1/1000)),".")</f>
        <v>252117789431.22229</v>
      </c>
      <c r="AJ8" s="141">
        <f>IFERROR(s_DL/(s_RadSpec!J8*s_EF_rec*s_ED_rec*s_IRGF_rec*s_CF_fowl),".")</f>
        <v>1008471.1577248891</v>
      </c>
      <c r="AK8" s="141" t="str">
        <f>IFERROR((AG8/(s_RadSpec!AO8*((s_Q_p_fowl*s_f_p_fowl*s_f_s_fowl*(s_RadSpec!BG8+s_R_es_past))+(s_Q_s_fowl*s_f_p_fowl)))),".")</f>
        <v>.</v>
      </c>
      <c r="AL8" s="141" t="str">
        <f>IFERROR(AG8/(s_RadSpec!AO8*s_Q_w_fowl*(1/1000)),".")</f>
        <v>.</v>
      </c>
      <c r="AM8" s="142">
        <f t="shared" si="8"/>
        <v>25</v>
      </c>
      <c r="AN8" s="142">
        <f>IFERROR((s_C*s_IRGL_rec*s_EF_rec*s_ED_rec*s_CF_game*s_RadSpec!AM8)*((s_Q_p_game*s_f_p_game*s_f_s_game*(s_RadSpec!BG8+s_R_es_past))+(s_Q_s_game*s_f_p_game)),".")</f>
        <v>0.60000000000000009</v>
      </c>
      <c r="AO8" s="142">
        <f>IFERROR(s_C*s_RadSpec!AM8*s_Q_w_game*(1/1000)*s_EF_rec*s_ED_rec*s_IRGL_rec*s_CF_game,".")</f>
        <v>1E-4</v>
      </c>
      <c r="AP8" s="142">
        <f t="shared" si="9"/>
        <v>25</v>
      </c>
      <c r="AQ8" s="142">
        <f>IFERROR((s_C*s_IRGF_rec*s_EF_rec*s_ED_rec*s_CF_fowl*s_RadSpec!AO8)*((s_Q_p_fowl*s_f_p_fowl*s_f_s_fowl*(s_RadSpec!BG8+s_R_es_past))+(s_Q_s_fowl*s_f_p_fowl)),".")</f>
        <v>0</v>
      </c>
      <c r="AR8" s="142">
        <f>IFERROR(s_C*s_RadSpec!AO8*s_Q_w_fowl*(1/1000)*s_EF_rec*s_ED_rec*s_IRGL_rec*s_CF_fowl,".")</f>
        <v>0</v>
      </c>
    </row>
    <row r="9" spans="1:44" customFormat="1" x14ac:dyDescent="0.25">
      <c r="A9" s="128" t="s">
        <v>7</v>
      </c>
      <c r="B9" s="129" t="s">
        <v>1059</v>
      </c>
      <c r="C9" s="141">
        <f>IFERROR(((s_DL/(s_RadSpec!I9*s_IFS_rec_adj*(1/1000)))*1),".")</f>
        <v>32979898.751710832</v>
      </c>
      <c r="D9" s="141">
        <f>IFERROR(IF(A9="H-3",(s_DL/((s_RadSpec!L9*s_IFA_rec_adj*(1/17)*1000))*1),(s_DL/((s_RadSpec!L9*s_IFA_rec_adj*(1/s_PEF_wind)*1000))*1)),".")</f>
        <v>4643430277.3038349</v>
      </c>
      <c r="E9" s="141">
        <f>IFERROR((DL/(s_RadSpec!K9*s_EF_rec*(1/365)*s_ED_rec*s_RadSpec!V9*s_ET_rec*(1/24)*s_RadSpec!AA9)),".")</f>
        <v>313.12427402235642</v>
      </c>
      <c r="F9" s="141">
        <f t="shared" si="12"/>
        <v>313.12128000943733</v>
      </c>
      <c r="G9" s="142">
        <f t="shared" si="1"/>
        <v>1.375</v>
      </c>
      <c r="H9" s="142">
        <f t="shared" si="2"/>
        <v>1.4710247995501936E-4</v>
      </c>
      <c r="I9" s="142">
        <f>IFERROR((s_C*s_EF_rec*(1/365)*s_ED_rec*s_RadSpec!V9*s_ET_rec*(1/24)*s_RadSpec!AA9),".")</f>
        <v>1.7481050886265844E-3</v>
      </c>
      <c r="J9" s="141"/>
      <c r="K9" s="141">
        <f>IFERROR((s_DL/(s_RadSpec!K9*s_EF_rec*(1/365)*s_ED_rec*s_RadSpec!V9*s_ET_rec*(1/24)*s_RadSpec!AA9)),".")</f>
        <v>1565.621370111782</v>
      </c>
      <c r="L9" s="141">
        <f>IFERROR((s_DL/(s_RadSpec!R9*s_EF_rec*(1/365)*s_ED_rec*s_RadSpec!W9*s_ET_rec*(1/24)*s_RadSpec!AB9)),".")</f>
        <v>17982.271428010146</v>
      </c>
      <c r="M9" s="141">
        <f>IFERROR((s_DL/(s_RadSpec!S9*s_EF_rec*(1/365)*s_ED_rec*s_RadSpec!X9*s_ET_rec*(1/24)*s_RadSpec!AC9)),".")</f>
        <v>4378.2282814528508</v>
      </c>
      <c r="N9" s="141">
        <f>IFERROR((s_DL/(s_RadSpec!T9*s_EF_rec*(1/365)*s_ED_rec*s_RadSpec!Y9*s_ET_rec*(1/24)*s_RadSpec!AD9)),".")</f>
        <v>2229.1182386912333</v>
      </c>
      <c r="O9" s="141">
        <f>IFERROR((s_DL/(s_RadSpec!P9*s_EF_rec*(1/365)*s_ED_rec*s_RadSpec!U9*s_ET_rec*(1/24)*s_RadSpec!Z9)),".")</f>
        <v>31255.189971678843</v>
      </c>
      <c r="P9" s="142">
        <f>IFERROR((s_C*s_EF_rec*(1/365)*s_ED_rec*s_RadSpec!V9*s_ET_rec*(1/24)*s_RadSpec!AA9),".")</f>
        <v>1.7481050886265844E-3</v>
      </c>
      <c r="Q9" s="142">
        <f>IFERROR((s_C*s_EF_rec*(1/365)*s_ED_rec*s_RadSpec!W9*s_ET_rec*(1/24)*s_RadSpec!AB9),".")</f>
        <v>8.5349720479665386E-4</v>
      </c>
      <c r="R9" s="142">
        <f>IFERROR((s_C*s_EF_rec*(1/365)*s_ED_rec*s_RadSpec!X9*s_ET_rec*(1/24)*s_RadSpec!AC9),".")</f>
        <v>1.2130094771724668E-3</v>
      </c>
      <c r="S9" s="142">
        <f>IFERROR((s_C*s_EF_rec*(1/365)*s_ED_rec*s_RadSpec!Y9*s_ET_rec*(1/24)*s_RadSpec!AD9),".")</f>
        <v>1.4715325342465752E-3</v>
      </c>
      <c r="T9" s="142">
        <f>IFERROR((s_C*s_EF_rec*(1/365)*s_ED_rec*s_RadSpec!U9*s_ET_rec*(1/24)*s_RadSpec!Z9),".")</f>
        <v>4.8185349148012003E-4</v>
      </c>
      <c r="U9" s="141">
        <f>IFERROR((s_DL/(s_RadSpec!L9*s_IFA_rec_adj)),".")</f>
        <v>14988.290398126466</v>
      </c>
      <c r="V9" s="141">
        <f>IFERROR((s_DL/(s_RadSpec!O9*s_EF_rec*(1/365)*s_ED_rec*s_ET_rec*(1/24)*s_GSF_a)),".")</f>
        <v>6.5956504847351355E-2</v>
      </c>
      <c r="W9" s="141">
        <f t="shared" si="11"/>
        <v>6.5956214604683733E-2</v>
      </c>
      <c r="X9" s="142">
        <f t="shared" si="3"/>
        <v>45.572916666666657</v>
      </c>
      <c r="Y9" s="142">
        <f t="shared" si="4"/>
        <v>2.8538812785388126E-2</v>
      </c>
      <c r="Z9" s="141"/>
      <c r="AA9" s="141">
        <f>IFERROR((s_DL/(s_RadSpec!M9*s_IFW_rec_adj)),".")</f>
        <v>226736.80391801195</v>
      </c>
      <c r="AB9" s="141">
        <f>IFERROR((s_DL/(s_RadSpec!Q9*(1/8760)*s_DFA_rec_adj)),".")</f>
        <v>76.128368419588995</v>
      </c>
      <c r="AC9" s="141">
        <f t="shared" si="5"/>
        <v>76.102816400046692</v>
      </c>
      <c r="AD9" s="142">
        <f t="shared" si="6"/>
        <v>200</v>
      </c>
      <c r="AE9" s="142">
        <f t="shared" si="7"/>
        <v>1.1415525114155251E-2</v>
      </c>
      <c r="AF9" s="141"/>
      <c r="AG9" s="141">
        <f>IFERROR(s_DL/(s_RadSpec!J9*s_EF_rec*s_ED_rec*s_IRGL_rec*s_CF_game),".")</f>
        <v>1813894.4313440956</v>
      </c>
      <c r="AH9" s="141">
        <f>IFERROR((AG9/(s_RadSpec!AM9*((s_Q_p_game*s_f_p_game*s_f_s_game*(s_RadSpec!BG9+s_R_es_past))+(s_Q_s_game*s_f_p_game)))),".")</f>
        <v>75578934.639337316</v>
      </c>
      <c r="AI9" s="141">
        <f>IFERROR(AG9/(s_RadSpec!AM9*s_Q_w_game*(1/1000)),".")</f>
        <v>453473607836.02393</v>
      </c>
      <c r="AJ9" s="141">
        <f>IFERROR(s_DL/(s_RadSpec!J9*s_EF_rec*s_ED_rec*s_IRGF_rec*s_CF_fowl),".")</f>
        <v>1813894.4313440956</v>
      </c>
      <c r="AK9" s="141" t="str">
        <f>IFERROR((AG9/(s_RadSpec!AO9*((s_Q_p_fowl*s_f_p_fowl*s_f_s_fowl*(s_RadSpec!BG9+s_R_es_past))+(s_Q_s_fowl*s_f_p_fowl)))),".")</f>
        <v>.</v>
      </c>
      <c r="AL9" s="141" t="str">
        <f>IFERROR(AG9/(s_RadSpec!AO9*s_Q_w_fowl*(1/1000)),".")</f>
        <v>.</v>
      </c>
      <c r="AM9" s="142">
        <f t="shared" si="8"/>
        <v>25</v>
      </c>
      <c r="AN9" s="142">
        <f>IFERROR((s_C*s_IRGL_rec*s_EF_rec*s_ED_rec*s_CF_game*s_RadSpec!AM9)*((s_Q_p_game*s_f_p_game*s_f_s_game*(s_RadSpec!BG9+s_R_es_past))+(s_Q_s_game*s_f_p_game)),".")</f>
        <v>0.60000000000000009</v>
      </c>
      <c r="AO9" s="142">
        <f>IFERROR(s_C*s_RadSpec!AM9*s_Q_w_game*(1/1000)*s_EF_rec*s_ED_rec*s_IRGL_rec*s_CF_game,".")</f>
        <v>1E-4</v>
      </c>
      <c r="AP9" s="142">
        <f t="shared" si="9"/>
        <v>25</v>
      </c>
      <c r="AQ9" s="142">
        <f>IFERROR((s_C*s_IRGF_rec*s_EF_rec*s_ED_rec*s_CF_fowl*s_RadSpec!AO9)*((s_Q_p_fowl*s_f_p_fowl*s_f_s_fowl*(s_RadSpec!BG9+s_R_es_past))+(s_Q_s_fowl*s_f_p_fowl)),".")</f>
        <v>0</v>
      </c>
      <c r="AR9" s="142">
        <f>IFERROR(s_C*s_RadSpec!AO9*s_Q_w_fowl*(1/1000)*s_EF_rec*s_ED_rec*s_IRGL_rec*s_CF_fowl,".")</f>
        <v>0</v>
      </c>
    </row>
    <row r="10" spans="1:44" customFormat="1" x14ac:dyDescent="0.25">
      <c r="A10" s="131" t="s">
        <v>8</v>
      </c>
      <c r="B10" s="129" t="s">
        <v>336</v>
      </c>
      <c r="C10" s="141">
        <f>IFERROR(((s_DL/(s_RadSpec!I10*s_IFS_rec_adj*(1/1000)))*1),".")</f>
        <v>369474.05368458002</v>
      </c>
      <c r="D10" s="141">
        <f>IFERROR(IF(A10="H-3",(s_DL/((s_RadSpec!L10*s_IFA_rec_adj*(1/17)*1000))*1),(s_DL/((s_RadSpec!L10*s_IFA_rec_adj*(1/s_PEF_wind)*1000))*1)),".")</f>
        <v>1101494252.0534084</v>
      </c>
      <c r="E10" s="141">
        <f>IFERROR((DL/(s_RadSpec!K10*s_EF_rec*(1/365)*s_ED_rec*s_RadSpec!V10*s_ET_rec*(1/24)*s_RadSpec!AA10)),".")</f>
        <v>6300700.2897864264</v>
      </c>
      <c r="F10" s="141">
        <f>IF(AND(C10&lt;&gt;".",D10&lt;&gt;".",E10&lt;&gt;"."),1/((1/C10)+(1/D10)+(1/E10)),IF(AND(C10&lt;&gt;".",D10&lt;&gt;".",E10="."), 1/((1/C10)+(1/D10)),IF(AND(C10&lt;&gt;".",D10=".",E10&lt;&gt;"."),1/((1/C10)+(1/E10)),IF(AND(C10=".",D10&lt;&gt;".",E10&lt;&gt;"."),1/((1/D10)+(1/E10)),IF(AND(C10&lt;&gt;".",D10=".",E10="."),1/((1/C10)),IF(AND(C10=".",D10&lt;&gt;".",E10="."),1/((1/D10)),IF(AND(C10=".",D10=".",E10&lt;&gt;"."),1/((1/E10)),IF(AND(C10=".",D10=".",E10="."),"."))))))))</f>
        <v>348897.61227801349</v>
      </c>
      <c r="G10" s="142">
        <f t="shared" si="1"/>
        <v>1.375</v>
      </c>
      <c r="H10" s="142">
        <f t="shared" si="2"/>
        <v>1.4710247995501936E-4</v>
      </c>
      <c r="I10" s="142">
        <f>IFERROR((s_C*s_EF_rec*(1/365)*s_ED_rec*s_RadSpec!V10*s_ET_rec*(1/24)*s_RadSpec!AA10),".")</f>
        <v>9.1359004343468102E-4</v>
      </c>
      <c r="J10" s="141"/>
      <c r="K10" s="141">
        <f>IFERROR((s_DL/(s_RadSpec!K10*s_EF_rec*(1/365)*s_ED_rec*s_RadSpec!V10*s_ET_rec*(1/24)*s_RadSpec!AA10)),".")</f>
        <v>31503501.44893213</v>
      </c>
      <c r="L10" s="141">
        <f>IFERROR((s_DL/(s_RadSpec!R10*s_EF_rec*(1/365)*s_ED_rec*s_RadSpec!W10*s_ET_rec*(1/24)*s_RadSpec!AB10)),".")</f>
        <v>106173173.25150596</v>
      </c>
      <c r="M10" s="141">
        <f>IFERROR((s_DL/(s_RadSpec!S10*s_EF_rec*(1/365)*s_ED_rec*s_RadSpec!X10*s_ET_rec*(1/24)*s_RadSpec!AC10)),".")</f>
        <v>43471014.959625937</v>
      </c>
      <c r="N10" s="141">
        <f>IFERROR((s_DL/(s_RadSpec!T10*s_EF_rec*(1/365)*s_ED_rec*s_RadSpec!Y10*s_ET_rec*(1/24)*s_RadSpec!AD10)),".")</f>
        <v>32625264.880926661</v>
      </c>
      <c r="O10" s="141">
        <f>IFERROR((s_DL/(s_RadSpec!P10*s_EF_rec*(1/365)*s_ED_rec*s_RadSpec!U10*s_ET_rec*(1/24)*s_RadSpec!Z10)),".")</f>
        <v>19591179.19526026</v>
      </c>
      <c r="P10" s="142">
        <f>IFERROR((s_C*s_EF_rec*(1/365)*s_ED_rec*s_RadSpec!V10*s_ET_rec*(1/24)*s_RadSpec!AA10),".")</f>
        <v>9.1359004343468102E-4</v>
      </c>
      <c r="Q10" s="142">
        <f>IFERROR((s_C*s_EF_rec*(1/365)*s_ED_rec*s_RadSpec!W10*s_ET_rec*(1/24)*s_RadSpec!AB10),".")</f>
        <v>5.8628648004764757E-4</v>
      </c>
      <c r="R10" s="142">
        <f>IFERROR((s_C*s_EF_rec*(1/365)*s_ED_rec*s_RadSpec!X10*s_ET_rec*(1/24)*s_RadSpec!AC10),".")</f>
        <v>8.2097907656213142E-4</v>
      </c>
      <c r="S10" s="142">
        <f>IFERROR((s_C*s_EF_rec*(1/365)*s_ED_rec*s_RadSpec!Y10*s_ET_rec*(1/24)*s_RadSpec!AD10),".")</f>
        <v>8.9762076423936549E-4</v>
      </c>
      <c r="T10" s="142">
        <f>IFERROR((s_C*s_EF_rec*(1/365)*s_ED_rec*s_RadSpec!U10*s_ET_rec*(1/24)*s_RadSpec!Z10),".")</f>
        <v>3.4875511264039464E-4</v>
      </c>
      <c r="U10" s="141">
        <f>IFERROR((s_DL/(s_RadSpec!L10*s_IFA_rec_adj)),".")</f>
        <v>3555.4567928668653</v>
      </c>
      <c r="V10" s="141">
        <f>IFERROR((s_DL/(s_RadSpec!O10*s_EF_rec*(1/365)*s_ED_rec*s_ET_rec*(1/24)*s_GSF_a)),".")</f>
        <v>49.88837760262426</v>
      </c>
      <c r="W10" s="141">
        <f t="shared" si="11"/>
        <v>49.198055288908613</v>
      </c>
      <c r="X10" s="142">
        <f t="shared" si="3"/>
        <v>45.572916666666657</v>
      </c>
      <c r="Y10" s="142">
        <f t="shared" si="4"/>
        <v>2.8538812785388126E-2</v>
      </c>
      <c r="Z10" s="141"/>
      <c r="AA10" s="141">
        <f>IFERROR((s_DL/(s_RadSpec!M10*s_IFW_rec_adj)),".")</f>
        <v>2540.1341190814878</v>
      </c>
      <c r="AB10" s="141">
        <f>IFERROR((s_DL/(s_RadSpec!Q10*(1/8760)*s_DFA_rec_adj)),".")</f>
        <v>111654.94034873051</v>
      </c>
      <c r="AC10" s="141">
        <f t="shared" si="5"/>
        <v>2483.6318454677466</v>
      </c>
      <c r="AD10" s="142">
        <f t="shared" si="6"/>
        <v>200</v>
      </c>
      <c r="AE10" s="142">
        <f t="shared" si="7"/>
        <v>1.1415525114155251E-2</v>
      </c>
      <c r="AF10" s="141"/>
      <c r="AG10" s="141">
        <f>IFERROR(s_DL/(s_RadSpec!J10*s_EF_rec*s_ED_rec*s_IRGL_rec*s_CF_game),".")</f>
        <v>20321.072952651903</v>
      </c>
      <c r="AH10" s="141">
        <f>IFERROR((AG10/(s_RadSpec!AM10*((s_Q_p_game*s_f_p_game*s_f_s_game*(s_RadSpec!BG10+s_R_es_past))+(s_Q_s_game*s_f_p_game)))),".")</f>
        <v>111736.1049449335</v>
      </c>
      <c r="AI10" s="141">
        <f>IFERROR(AG10/(s_RadSpec!AM10*s_Q_w_game*(1/1000)),".")</f>
        <v>461842567.10572505</v>
      </c>
      <c r="AJ10" s="141">
        <f>IFERROR(s_DL/(s_RadSpec!J10*s_EF_rec*s_ED_rec*s_IRGF_rec*s_CF_fowl),".")</f>
        <v>20321.072952651903</v>
      </c>
      <c r="AK10" s="141">
        <f>IFERROR((AG10/(s_RadSpec!AO10*((s_Q_p_fowl*s_f_p_fowl*s_f_s_fowl*(s_RadSpec!BG10+s_R_es_past))+(s_Q_s_fowl*s_f_p_fowl)))),".")</f>
        <v>910.44233658834685</v>
      </c>
      <c r="AL10" s="141">
        <f>IFERROR(AG10/(s_RadSpec!AO10*s_Q_w_fowl*(1/1000)),".")</f>
        <v>3763161.6578985001</v>
      </c>
      <c r="AM10" s="142">
        <f t="shared" si="8"/>
        <v>25</v>
      </c>
      <c r="AN10" s="142">
        <f>IFERROR((s_C*s_IRGL_rec*s_EF_rec*s_ED_rec*s_CF_game*s_RadSpec!AM10)*((s_Q_p_game*s_f_p_game*s_f_s_game*(s_RadSpec!BG10+s_R_es_past))+(s_Q_s_game*s_f_p_game)),".")</f>
        <v>4.546666666666666</v>
      </c>
      <c r="AO10" s="142">
        <f>IFERROR(s_C*s_RadSpec!AM10*s_Q_w_game*(1/1000)*s_EF_rec*s_ED_rec*s_IRGL_rec*s_CF_game,".")</f>
        <v>1.0999999999999998E-3</v>
      </c>
      <c r="AP10" s="142">
        <f t="shared" si="9"/>
        <v>25</v>
      </c>
      <c r="AQ10" s="142">
        <f>IFERROR((s_C*s_IRGF_rec*s_EF_rec*s_ED_rec*s_CF_fowl*s_RadSpec!AO10)*((s_Q_p_fowl*s_f_p_fowl*s_f_s_fowl*(s_RadSpec!BG10+s_R_es_past))+(s_Q_s_fowl*s_f_p_fowl)),".")</f>
        <v>557.99999999999989</v>
      </c>
      <c r="AR10" s="142">
        <f>IFERROR(s_C*s_RadSpec!AO10*s_Q_w_fowl*(1/1000)*s_EF_rec*s_ED_rec*s_IRGL_rec*s_CF_fowl,".")</f>
        <v>0.13500000000000001</v>
      </c>
    </row>
    <row r="11" spans="1:44" customFormat="1" x14ac:dyDescent="0.25">
      <c r="A11" s="128" t="s">
        <v>9</v>
      </c>
      <c r="B11" s="129" t="s">
        <v>1059</v>
      </c>
      <c r="C11" s="141" t="str">
        <f>IFERROR(((s_DL/(s_RadSpec!I11*s_IFS_rec_adj*(1/1000)))*1),".")</f>
        <v>.</v>
      </c>
      <c r="D11" s="141" t="str">
        <f>IFERROR(IF(A11="H-3",(s_DL/((s_RadSpec!L11*s_IFA_rec_adj*(1/17)*1000))*1),(s_DL/((s_RadSpec!L11*s_IFA_rec_adj*(1/s_PEF_wind)*1000))*1)),".")</f>
        <v>.</v>
      </c>
      <c r="E11" s="141">
        <f>IFERROR((DL/(s_RadSpec!K11*s_EF_rec*(1/365)*s_ED_rec*s_RadSpec!V11*s_ET_rec*(1/24)*s_RadSpec!AA11)),".")</f>
        <v>122869.82323411923</v>
      </c>
      <c r="F11" s="141">
        <f>IF(AND(C11&lt;&gt;".",D11&lt;&gt;".",E11&lt;&gt;"."),1/((1/C11)+(1/D11)+(1/E11)),IF(AND(C11&lt;&gt;".",D11&lt;&gt;".",E11="."), 1/((1/C11)+(1/D11)),IF(AND(C11&lt;&gt;".",D11=".",E11&lt;&gt;"."),1/((1/C11)+(1/E11)),IF(AND(C11=".",D11&lt;&gt;".",E11&lt;&gt;"."),1/((1/D11)+(1/E11)),IF(AND(C11&lt;&gt;".",D11=".",E11="."),1/((1/C11)),IF(AND(C11=".",D11&lt;&gt;".",E11="."),1/((1/D11)),IF(AND(C11=".",D11=".",E11&lt;&gt;"."),1/((1/E11)),IF(AND(C11=".",D11=".",E11="."),"."))))))))</f>
        <v>122869.82323411923</v>
      </c>
      <c r="G11" s="142">
        <f t="shared" si="1"/>
        <v>1.375</v>
      </c>
      <c r="H11" s="142">
        <f t="shared" si="2"/>
        <v>1.4710247995501936E-4</v>
      </c>
      <c r="I11" s="142">
        <f>IFERROR((s_C*s_EF_rec*(1/365)*s_ED_rec*s_RadSpec!V11*s_ET_rec*(1/24)*s_RadSpec!AA11),".")</f>
        <v>3.0553317217297876E-4</v>
      </c>
      <c r="J11" s="141"/>
      <c r="K11" s="141">
        <f>IFERROR((s_DL/(s_RadSpec!K11*s_EF_rec*(1/365)*s_ED_rec*s_RadSpec!V11*s_ET_rec*(1/24)*s_RadSpec!AA11)),".")</f>
        <v>614349.1161705961</v>
      </c>
      <c r="L11" s="141">
        <f>IFERROR((s_DL/(s_RadSpec!R11*s_EF_rec*(1/365)*s_ED_rec*s_RadSpec!W11*s_ET_rec*(1/24)*s_RadSpec!AB11)),".")</f>
        <v>3241250.799516046</v>
      </c>
      <c r="M11" s="141">
        <f>IFERROR((s_DL/(s_RadSpec!S11*s_EF_rec*(1/365)*s_ED_rec*s_RadSpec!X11*s_ET_rec*(1/24)*s_RadSpec!AC11)),".")</f>
        <v>899900.97463569976</v>
      </c>
      <c r="N11" s="141">
        <f>IFERROR((s_DL/(s_RadSpec!T11*s_EF_rec*(1/365)*s_ED_rec*s_RadSpec!Y11*s_ET_rec*(1/24)*s_RadSpec!AD11)),".")</f>
        <v>597294.10619287123</v>
      </c>
      <c r="O11" s="141">
        <f>IFERROR((s_DL/(s_RadSpec!P11*s_EF_rec*(1/365)*s_ED_rec*s_RadSpec!U11*s_ET_rec*(1/24)*s_RadSpec!Z11)),".")</f>
        <v>6129292.5653348276</v>
      </c>
      <c r="P11" s="142">
        <f>IFERROR((s_C*s_EF_rec*(1/365)*s_ED_rec*s_RadSpec!V11*s_ET_rec*(1/24)*s_RadSpec!AA11),".")</f>
        <v>3.0553317217297876E-4</v>
      </c>
      <c r="Q11" s="142">
        <f>IFERROR((s_C*s_EF_rec*(1/365)*s_ED_rec*s_RadSpec!W11*s_ET_rec*(1/24)*s_RadSpec!AB11),".")</f>
        <v>2.4146511130136985E-4</v>
      </c>
      <c r="R11" s="142">
        <f>IFERROR((s_C*s_EF_rec*(1/365)*s_ED_rec*s_RadSpec!X11*s_ET_rec*(1/24)*s_RadSpec!AC11),".")</f>
        <v>3.1112901781717259E-4</v>
      </c>
      <c r="S11" s="142">
        <f>IFERROR((s_C*s_EF_rec*(1/365)*s_ED_rec*s_RadSpec!Y11*s_ET_rec*(1/24)*s_RadSpec!AD11),".")</f>
        <v>3.2662602958204965E-4</v>
      </c>
      <c r="T11" s="142">
        <f>IFERROR((s_C*s_EF_rec*(1/365)*s_ED_rec*s_RadSpec!U11*s_ET_rec*(1/24)*s_RadSpec!Z11),".")</f>
        <v>1.2970683607967703E-4</v>
      </c>
      <c r="U11" s="141" t="str">
        <f>IFERROR((s_DL/(s_RadSpec!L11*s_IFA_rec_adj)),".")</f>
        <v>.</v>
      </c>
      <c r="V11" s="141">
        <f>IFERROR((s_DL/(s_RadSpec!O11*s_EF_rec*(1/365)*s_ED_rec*s_ET_rec*(1/24)*s_GSF_a)),".")</f>
        <v>3.7516059957173447</v>
      </c>
      <c r="W11" s="141">
        <f t="shared" si="11"/>
        <v>3.7516059957173447</v>
      </c>
      <c r="X11" s="142">
        <f t="shared" si="3"/>
        <v>45.572916666666657</v>
      </c>
      <c r="Y11" s="142">
        <f t="shared" si="4"/>
        <v>2.8538812785388126E-2</v>
      </c>
      <c r="Z11" s="141"/>
      <c r="AA11" s="141" t="str">
        <f>IFERROR((s_DL/(s_RadSpec!M11*s_IFW_rec_adj)),".")</f>
        <v>.</v>
      </c>
      <c r="AB11" s="141">
        <f>IFERROR((s_DL/(s_RadSpec!Q11*(1/8760)*s_DFA_rec_adj)),".")</f>
        <v>4263.1886314969825</v>
      </c>
      <c r="AC11" s="141">
        <f t="shared" si="5"/>
        <v>0</v>
      </c>
      <c r="AD11" s="142">
        <f t="shared" si="6"/>
        <v>200</v>
      </c>
      <c r="AE11" s="142">
        <f t="shared" si="7"/>
        <v>1.1415525114155251E-2</v>
      </c>
      <c r="AF11" s="141"/>
      <c r="AG11" s="141" t="str">
        <f>IFERROR(s_DL/(s_RadSpec!J11*s_EF_rec*s_ED_rec*s_IRGL_rec*s_CF_game),".")</f>
        <v>.</v>
      </c>
      <c r="AH11" s="141" t="str">
        <f>IFERROR((AG11/(s_RadSpec!AM11*((s_Q_p_game*s_f_p_game*s_f_s_game*(s_RadSpec!BG11+s_R_es_past))+(s_Q_s_game*s_f_p_game)))),".")</f>
        <v>.</v>
      </c>
      <c r="AI11" s="141" t="str">
        <f>IFERROR(AG11/(s_RadSpec!AM11*s_Q_w_game*(1/1000)),".")</f>
        <v>.</v>
      </c>
      <c r="AJ11" s="141" t="str">
        <f>IFERROR(s_DL/(s_RadSpec!J11*s_EF_rec*s_ED_rec*s_IRGF_rec*s_CF_fowl),".")</f>
        <v>.</v>
      </c>
      <c r="AK11" s="141" t="str">
        <f>IFERROR((AG11/(s_RadSpec!AO11*((s_Q_p_fowl*s_f_p_fowl*s_f_s_fowl*(s_RadSpec!BG11+s_R_es_past))+(s_Q_s_fowl*s_f_p_fowl)))),".")</f>
        <v>.</v>
      </c>
      <c r="AL11" s="141" t="str">
        <f>IFERROR(AG11/(s_RadSpec!AO11*s_Q_w_fowl*(1/1000)),".")</f>
        <v>.</v>
      </c>
      <c r="AM11" s="142">
        <f t="shared" si="8"/>
        <v>25</v>
      </c>
      <c r="AN11" s="142">
        <f>IFERROR((s_C*s_IRGL_rec*s_EF_rec*s_ED_rec*s_CF_game*s_RadSpec!AM11)*((s_Q_p_game*s_f_p_game*s_f_s_game*(s_RadSpec!BG11+s_R_es_past))+(s_Q_s_game*s_f_p_game)),".")</f>
        <v>6.6000000000000005</v>
      </c>
      <c r="AO11" s="142">
        <f>IFERROR(s_C*s_RadSpec!AM11*s_Q_w_game*(1/1000)*s_EF_rec*s_ED_rec*s_IRGL_rec*s_CF_game,".")</f>
        <v>1.4999999999999998E-3</v>
      </c>
      <c r="AP11" s="142">
        <f t="shared" si="9"/>
        <v>25</v>
      </c>
      <c r="AQ11" s="142">
        <f>IFERROR((s_C*s_IRGF_rec*s_EF_rec*s_ED_rec*s_CF_fowl*s_RadSpec!AO11)*((s_Q_p_fowl*s_f_p_fowl*s_f_s_fowl*(s_RadSpec!BG11+s_R_es_past))+(s_Q_s_fowl*s_f_p_fowl)),".")</f>
        <v>0</v>
      </c>
      <c r="AR11" s="142">
        <f>IFERROR(s_C*s_RadSpec!AO11*s_Q_w_fowl*(1/1000)*s_EF_rec*s_ED_rec*s_IRGL_rec*s_CF_fowl,".")</f>
        <v>0</v>
      </c>
    </row>
    <row r="12" spans="1:44" customFormat="1" x14ac:dyDescent="0.25">
      <c r="A12" s="128" t="s">
        <v>10</v>
      </c>
      <c r="B12" s="129" t="s">
        <v>1059</v>
      </c>
      <c r="C12" s="141" t="str">
        <f>IFERROR(((s_DL/(s_RadSpec!I12*s_IFS_rec_adj*(1/1000)))*1),".")</f>
        <v>.</v>
      </c>
      <c r="D12" s="141" t="str">
        <f>IFERROR(IF(A12="H-3",(s_DL/((s_RadSpec!L12*s_IFA_rec_adj*(1/17)*1000))*1),(s_DL/((s_RadSpec!L12*s_IFA_rec_adj*(1/s_PEF_wind)*1000))*1)),".")</f>
        <v>.</v>
      </c>
      <c r="E12" s="141">
        <f>IFERROR((DL/(s_RadSpec!K12*s_EF_rec*(1/365)*s_ED_rec*s_RadSpec!V12*s_ET_rec*(1/24)*s_RadSpec!AA12)),".")</f>
        <v>12797.413457549384</v>
      </c>
      <c r="F12" s="141">
        <f>IF(AND(C12&lt;&gt;".",D12&lt;&gt;".",E12&lt;&gt;"."),1/((1/C12)+(1/D12)+(1/E12)),IF(AND(C12&lt;&gt;".",D12&lt;&gt;".",E12="."), 1/((1/C12)+(1/D12)),IF(AND(C12&lt;&gt;".",D12=".",E12&lt;&gt;"."),1/((1/C12)+(1/E12)),IF(AND(C12=".",D12&lt;&gt;".",E12&lt;&gt;"."),1/((1/D12)+(1/E12)),IF(AND(C12&lt;&gt;".",D12=".",E12="."),1/((1/C12)),IF(AND(C12=".",D12&lt;&gt;".",E12="."),1/((1/D12)),IF(AND(C12=".",D12=".",E12&lt;&gt;"."),1/((1/E12)),IF(AND(C12=".",D12=".",E12="."),"."))))))))</f>
        <v>12797.413457549384</v>
      </c>
      <c r="G12" s="142">
        <f t="shared" si="1"/>
        <v>1.375</v>
      </c>
      <c r="H12" s="142">
        <f t="shared" si="2"/>
        <v>1.4710247995501936E-4</v>
      </c>
      <c r="I12" s="142">
        <f>IFERROR((s_C*s_EF_rec*(1/365)*s_ED_rec*s_RadSpec!V12*s_ET_rec*(1/24)*s_RadSpec!AA12),".")</f>
        <v>6.376716178859911E-4</v>
      </c>
      <c r="J12" s="141"/>
      <c r="K12" s="141">
        <f>IFERROR((s_DL/(s_RadSpec!K12*s_EF_rec*(1/365)*s_ED_rec*s_RadSpec!V12*s_ET_rec*(1/24)*s_RadSpec!AA12)),".")</f>
        <v>63987.067287746919</v>
      </c>
      <c r="L12" s="141">
        <f>IFERROR((s_DL/(s_RadSpec!R12*s_EF_rec*(1/365)*s_ED_rec*s_RadSpec!W12*s_ET_rec*(1/24)*s_RadSpec!AB12)),".")</f>
        <v>507458.00625012041</v>
      </c>
      <c r="M12" s="141">
        <f>IFERROR((s_DL/(s_RadSpec!S12*s_EF_rec*(1/365)*s_ED_rec*s_RadSpec!X12*s_ET_rec*(1/24)*s_RadSpec!AC12)),".")</f>
        <v>131893.73531946813</v>
      </c>
      <c r="N12" s="141">
        <f>IFERROR((s_DL/(s_RadSpec!T12*s_EF_rec*(1/365)*s_ED_rec*s_RadSpec!Y12*s_ET_rec*(1/24)*s_RadSpec!AD12)),".")</f>
        <v>78539.012007607133</v>
      </c>
      <c r="O12" s="141">
        <f>IFERROR((s_DL/(s_RadSpec!P12*s_EF_rec*(1/365)*s_ED_rec*s_RadSpec!U12*s_ET_rec*(1/24)*s_RadSpec!Z12)),".")</f>
        <v>697081.5837946661</v>
      </c>
      <c r="P12" s="142">
        <f>IFERROR((s_C*s_EF_rec*(1/365)*s_ED_rec*s_RadSpec!V12*s_ET_rec*(1/24)*s_RadSpec!AA12),".")</f>
        <v>6.376716178859911E-4</v>
      </c>
      <c r="Q12" s="142">
        <f>IFERROR((s_C*s_EF_rec*(1/365)*s_ED_rec*s_RadSpec!W12*s_ET_rec*(1/24)*s_RadSpec!AB12),".")</f>
        <v>3.5543412570507641E-4</v>
      </c>
      <c r="R12" s="142">
        <f>IFERROR((s_C*s_EF_rec*(1/365)*s_ED_rec*s_RadSpec!X12*s_ET_rec*(1/24)*s_RadSpec!AC12),".")</f>
        <v>4.9019471359097169E-4</v>
      </c>
      <c r="S12" s="142">
        <f>IFERROR((s_C*s_EF_rec*(1/365)*s_ED_rec*s_RadSpec!Y12*s_ET_rec*(1/24)*s_RadSpec!AD12),".")</f>
        <v>5.5505922837667944E-4</v>
      </c>
      <c r="T12" s="142">
        <f>IFERROR((s_C*s_EF_rec*(1/365)*s_ED_rec*s_RadSpec!U12*s_ET_rec*(1/24)*s_RadSpec!Z12),".")</f>
        <v>2.0589965543322966E-4</v>
      </c>
      <c r="U12" s="141" t="str">
        <f>IFERROR((s_DL/(s_RadSpec!L12*s_IFA_rec_adj)),".")</f>
        <v>.</v>
      </c>
      <c r="V12" s="141">
        <f>IFERROR((s_DL/(s_RadSpec!O12*s_EF_rec*(1/365)*s_ED_rec*s_ET_rec*(1/24)*s_GSF_a)),".")</f>
        <v>0.84343659975659735</v>
      </c>
      <c r="W12" s="141">
        <f t="shared" si="11"/>
        <v>0.84343659975659746</v>
      </c>
      <c r="X12" s="142">
        <f t="shared" si="3"/>
        <v>45.572916666666657</v>
      </c>
      <c r="Y12" s="142">
        <f t="shared" si="4"/>
        <v>2.8538812785388126E-2</v>
      </c>
      <c r="Z12" s="141"/>
      <c r="AA12" s="141" t="str">
        <f>IFERROR((s_DL/(s_RadSpec!M12*s_IFW_rec_adj)),".")</f>
        <v>.</v>
      </c>
      <c r="AB12" s="141">
        <f>IFERROR((s_DL/(s_RadSpec!Q12*(1/8760)*s_DFA_rec_adj)),".")</f>
        <v>985.19065013585737</v>
      </c>
      <c r="AC12" s="141">
        <f t="shared" si="5"/>
        <v>0</v>
      </c>
      <c r="AD12" s="142">
        <f t="shared" si="6"/>
        <v>200</v>
      </c>
      <c r="AE12" s="142">
        <f t="shared" si="7"/>
        <v>1.1415525114155251E-2</v>
      </c>
      <c r="AF12" s="141"/>
      <c r="AG12" s="141" t="str">
        <f>IFERROR(s_DL/(s_RadSpec!J12*s_EF_rec*s_ED_rec*s_IRGL_rec*s_CF_game),".")</f>
        <v>.</v>
      </c>
      <c r="AH12" s="141" t="str">
        <f>IFERROR((AG12/(s_RadSpec!AM12*((s_Q_p_game*s_f_p_game*s_f_s_game*(s_RadSpec!BG12+s_R_es_past))+(s_Q_s_game*s_f_p_game)))),".")</f>
        <v>.</v>
      </c>
      <c r="AI12" s="141" t="str">
        <f>IFERROR(AG12/(s_RadSpec!AM12*s_Q_w_game*(1/1000)),".")</f>
        <v>.</v>
      </c>
      <c r="AJ12" s="141" t="str">
        <f>IFERROR(s_DL/(s_RadSpec!J12*s_EF_rec*s_ED_rec*s_IRGF_rec*s_CF_fowl),".")</f>
        <v>.</v>
      </c>
      <c r="AK12" s="141" t="str">
        <f>IFERROR((AG12/(s_RadSpec!AO12*((s_Q_p_fowl*s_f_p_fowl*s_f_s_fowl*(s_RadSpec!BG12+s_R_es_past))+(s_Q_s_fowl*s_f_p_fowl)))),".")</f>
        <v>.</v>
      </c>
      <c r="AL12" s="141" t="str">
        <f>IFERROR(AG12/(s_RadSpec!AO12*s_Q_w_fowl*(1/1000)),".")</f>
        <v>.</v>
      </c>
      <c r="AM12" s="142">
        <f t="shared" si="8"/>
        <v>25</v>
      </c>
      <c r="AN12" s="142">
        <f>IFERROR((s_C*s_IRGL_rec*s_EF_rec*s_ED_rec*s_CF_game*s_RadSpec!AM12)*((s_Q_p_game*s_f_p_game*s_f_s_game*(s_RadSpec!BG12+s_R_es_past))+(s_Q_s_game*s_f_p_game)),".")</f>
        <v>4</v>
      </c>
      <c r="AO12" s="142">
        <f>IFERROR(s_C*s_RadSpec!AM12*s_Q_w_game*(1/1000)*s_EF_rec*s_ED_rec*s_IRGL_rec*s_CF_game,".")</f>
        <v>5.0000000000000001E-4</v>
      </c>
      <c r="AP12" s="142">
        <f t="shared" si="9"/>
        <v>25</v>
      </c>
      <c r="AQ12" s="142">
        <f>IFERROR((s_C*s_IRGF_rec*s_EF_rec*s_ED_rec*s_CF_fowl*s_RadSpec!AO12)*((s_Q_p_fowl*s_f_p_fowl*s_f_s_fowl*(s_RadSpec!BG12+s_R_es_past))+(s_Q_s_fowl*s_f_p_fowl)),".")</f>
        <v>12</v>
      </c>
      <c r="AR12" s="142">
        <f>IFERROR(s_C*s_RadSpec!AO12*s_Q_w_fowl*(1/1000)*s_EF_rec*s_ED_rec*s_IRGL_rec*s_CF_fowl,".")</f>
        <v>1.4999999999999998E-3</v>
      </c>
    </row>
    <row r="13" spans="1:44" customFormat="1" x14ac:dyDescent="0.25">
      <c r="A13" s="128" t="s">
        <v>11</v>
      </c>
      <c r="B13" s="129" t="s">
        <v>1059</v>
      </c>
      <c r="C13" s="141">
        <f>IFERROR(((s_DL/(s_RadSpec!I13*s_IFS_rec_adj*(1/1000)))*1),".")</f>
        <v>39312.039312039306</v>
      </c>
      <c r="D13" s="141">
        <f>IFERROR(IF(A13="H-3",(s_DL/((s_RadSpec!L13*s_IFA_rec_adj*(1/17)*1000))*1),(s_DL/((s_RadSpec!L13*s_IFA_rec_adj*(1/s_PEF_wind)*1000))*1)),".")</f>
        <v>3645421.4532243754</v>
      </c>
      <c r="E13" s="141">
        <f>IFERROR((DL/(s_RadSpec!K13*s_EF_rec*(1/365)*s_ED_rec*s_RadSpec!V13*s_ET_rec*(1/24)*s_RadSpec!AA13)),".")</f>
        <v>898726.53411124321</v>
      </c>
      <c r="F13" s="141">
        <f>IF(AND(C13&lt;&gt;".",D13&lt;&gt;".",E13&lt;&gt;"."),1/((1/C13)+(1/D13)+(1/E13)),IF(AND(C13&lt;&gt;".",D13&lt;&gt;".",E13="."), 1/((1/C13)+(1/D13)),IF(AND(C13&lt;&gt;".",D13=".",E13&lt;&gt;"."),1/((1/C13)+(1/E13)),IF(AND(C13=".",D13&lt;&gt;".",E13&lt;&gt;"."),1/((1/D13)+(1/E13)),IF(AND(C13&lt;&gt;".",D13=".",E13="."),1/((1/C13)),IF(AND(C13=".",D13&lt;&gt;".",E13="."),1/((1/D13)),IF(AND(C13=".",D13=".",E13&lt;&gt;"."),1/((1/E13)),IF(AND(C13=".",D13=".",E13="."),"."))))))))</f>
        <v>37279.349740230842</v>
      </c>
      <c r="G13" s="142">
        <f t="shared" si="1"/>
        <v>1.375</v>
      </c>
      <c r="H13" s="142">
        <f t="shared" si="2"/>
        <v>1.4710247995501936E-4</v>
      </c>
      <c r="I13" s="142">
        <f>IFERROR((s_C*s_EF_rec*(1/365)*s_ED_rec*s_RadSpec!V13*s_ET_rec*(1/24)*s_RadSpec!AA13),".")</f>
        <v>8.2960453954604476E-5</v>
      </c>
      <c r="J13" s="141"/>
      <c r="K13" s="141">
        <f>IFERROR((s_DL/(s_RadSpec!K13*s_EF_rec*(1/365)*s_ED_rec*s_RadSpec!V13*s_ET_rec*(1/24)*s_RadSpec!AA13)),".")</f>
        <v>4493632.6705562165</v>
      </c>
      <c r="L13" s="141">
        <f>IFERROR((s_DL/(s_RadSpec!R13*s_EF_rec*(1/365)*s_ED_rec*s_RadSpec!W13*s_ET_rec*(1/24)*s_RadSpec!AB13)),".")</f>
        <v>29317218.974247679</v>
      </c>
      <c r="M13" s="141">
        <f>IFERROR((s_DL/(s_RadSpec!S13*s_EF_rec*(1/365)*s_ED_rec*s_RadSpec!X13*s_ET_rec*(1/24)*s_RadSpec!AC13)),".")</f>
        <v>7307896.0627300264</v>
      </c>
      <c r="N13" s="141">
        <f>IFERROR((s_DL/(s_RadSpec!T13*s_EF_rec*(1/365)*s_ED_rec*s_RadSpec!Y13*s_ET_rec*(1/24)*s_RadSpec!AD13)),".")</f>
        <v>4819505.6991425632</v>
      </c>
      <c r="O13" s="141">
        <f>IFERROR((s_DL/(s_RadSpec!P13*s_EF_rec*(1/365)*s_ED_rec*s_RadSpec!U13*s_ET_rec*(1/24)*s_RadSpec!Z13)),".")</f>
        <v>221652295.9434092</v>
      </c>
      <c r="P13" s="142">
        <f>IFERROR((s_C*s_EF_rec*(1/365)*s_ED_rec*s_RadSpec!V13*s_ET_rec*(1/24)*s_RadSpec!AA13),".")</f>
        <v>8.2960453954604476E-5</v>
      </c>
      <c r="Q13" s="142">
        <f>IFERROR((s_C*s_EF_rec*(1/365)*s_ED_rec*s_RadSpec!W13*s_ET_rec*(1/24)*s_RadSpec!AB13),".")</f>
        <v>3.8041630234139701E-5</v>
      </c>
      <c r="R13" s="142">
        <f>IFERROR((s_C*s_EF_rec*(1/365)*s_ED_rec*s_RadSpec!X13*s_ET_rec*(1/24)*s_RadSpec!AC13),".")</f>
        <v>6.403313157056388E-5</v>
      </c>
      <c r="S13" s="142">
        <f>IFERROR((s_C*s_EF_rec*(1/365)*s_ED_rec*s_RadSpec!Y13*s_ET_rec*(1/24)*s_RadSpec!AD13),".")</f>
        <v>7.7567110212620413E-5</v>
      </c>
      <c r="T13" s="142">
        <f>IFERROR((s_C*s_EF_rec*(1/365)*s_ED_rec*s_RadSpec!U13*s_ET_rec*(1/24)*s_RadSpec!Z13),".")</f>
        <v>3.9542437508826446E-6</v>
      </c>
      <c r="U13" s="141">
        <f>IFERROR((s_DL/(s_RadSpec!L13*s_IFA_rec_adj)),".")</f>
        <v>11.766868909726053</v>
      </c>
      <c r="V13" s="141">
        <f>IFERROR((s_DL/(s_RadSpec!O13*s_EF_rec*(1/365)*s_ED_rec*s_ET_rec*(1/24)*s_GSF_a)),".")</f>
        <v>5.4529156914496291</v>
      </c>
      <c r="W13" s="141">
        <f t="shared" si="11"/>
        <v>3.7261641538010415</v>
      </c>
      <c r="X13" s="142">
        <f t="shared" si="3"/>
        <v>45.572916666666657</v>
      </c>
      <c r="Y13" s="142">
        <f t="shared" si="4"/>
        <v>2.8538812785388126E-2</v>
      </c>
      <c r="Z13" s="141"/>
      <c r="AA13" s="141">
        <f>IFERROR((s_DL/(s_RadSpec!M13*s_IFW_rec_adj)),".")</f>
        <v>270.27027027027026</v>
      </c>
      <c r="AB13" s="141">
        <f>IFERROR((s_DL/(s_RadSpec!Q13*(1/8760)*s_DFA_rec_adj)),".")</f>
        <v>6074.4915733765292</v>
      </c>
      <c r="AC13" s="141">
        <f t="shared" si="5"/>
        <v>258.75746320327085</v>
      </c>
      <c r="AD13" s="142">
        <f t="shared" si="6"/>
        <v>200</v>
      </c>
      <c r="AE13" s="142">
        <f t="shared" si="7"/>
        <v>1.1415525114155251E-2</v>
      </c>
      <c r="AF13" s="141"/>
      <c r="AG13" s="141">
        <f>IFERROR(s_DL/(s_RadSpec!J13*s_EF_rec*s_ED_rec*s_IRGL_rec*s_CF_game),".")</f>
        <v>2162.1621621621621</v>
      </c>
      <c r="AH13" s="141">
        <f>IFERROR((AG13/(s_RadSpec!AM13*((s_Q_p_game*s_f_p_game*s_f_s_game*(s_RadSpec!BG13+s_R_es_past))+(s_Q_s_game*s_f_p_game)))),".")</f>
        <v>269372.36239561817</v>
      </c>
      <c r="AI13" s="141">
        <f>IFERROR(AG13/(s_RadSpec!AM13*s_Q_w_game*(1/1000)),".")</f>
        <v>1081081081.0810812</v>
      </c>
      <c r="AJ13" s="141">
        <f>IFERROR(s_DL/(s_RadSpec!J13*s_EF_rec*s_ED_rec*s_IRGF_rec*s_CF_fowl),".")</f>
        <v>2162.1621621621621</v>
      </c>
      <c r="AK13" s="141" t="str">
        <f>IFERROR((AG13/(s_RadSpec!AO13*((s_Q_p_fowl*s_f_p_fowl*s_f_s_fowl*(s_RadSpec!BG13+s_R_es_past))+(s_Q_s_fowl*s_f_p_fowl)))),".")</f>
        <v>.</v>
      </c>
      <c r="AL13" s="141" t="str">
        <f>IFERROR(AG13/(s_RadSpec!AO13*s_Q_w_fowl*(1/1000)),".")</f>
        <v>.</v>
      </c>
      <c r="AM13" s="142">
        <f t="shared" si="8"/>
        <v>25</v>
      </c>
      <c r="AN13" s="142">
        <f>IFERROR((s_C*s_IRGL_rec*s_EF_rec*s_ED_rec*s_CF_game*s_RadSpec!AM13)*((s_Q_p_game*s_f_p_game*s_f_s_game*(s_RadSpec!BG13+s_R_es_past))+(s_Q_s_game*s_f_p_game)),".")</f>
        <v>0.20066666666666669</v>
      </c>
      <c r="AO13" s="142">
        <f>IFERROR(s_C*s_RadSpec!AM13*s_Q_w_game*(1/1000)*s_EF_rec*s_ED_rec*s_IRGL_rec*s_CF_game,".")</f>
        <v>5.0000000000000002E-5</v>
      </c>
      <c r="AP13" s="142">
        <f t="shared" si="9"/>
        <v>25</v>
      </c>
      <c r="AQ13" s="142">
        <f>IFERROR((s_C*s_IRGF_rec*s_EF_rec*s_ED_rec*s_CF_fowl*s_RadSpec!AO13)*((s_Q_p_fowl*s_f_p_fowl*s_f_s_fowl*(s_RadSpec!BG13+s_R_es_past))+(s_Q_s_fowl*s_f_p_fowl)),".")</f>
        <v>0</v>
      </c>
      <c r="AR13" s="142">
        <f>IFERROR(s_C*s_RadSpec!AO13*s_Q_w_fowl*(1/1000)*s_EF_rec*s_ED_rec*s_IRGL_rec*s_CF_fowl,".")</f>
        <v>0</v>
      </c>
    </row>
    <row r="14" spans="1:44" customFormat="1" x14ac:dyDescent="0.25">
      <c r="A14" s="128" t="s">
        <v>12</v>
      </c>
      <c r="B14" s="129" t="s">
        <v>1059</v>
      </c>
      <c r="C14" s="141">
        <f>IFERROR(((s_DL/(s_RadSpec!I14*s_IFS_rec_adj*(1/1000)))*1),".")</f>
        <v>3722730.9954582681</v>
      </c>
      <c r="D14" s="141">
        <f>IFERROR(IF(A14="H-3",(s_DL/((s_RadSpec!L14*s_IFA_rec_adj*(1/17)*1000))*1),(s_DL/((s_RadSpec!L14*s_IFA_rec_adj*(1/s_PEF_wind)*1000))*1)),".")</f>
        <v>10072875068.119984</v>
      </c>
      <c r="E14" s="141">
        <f>IFERROR((DL/(s_RadSpec!K14*s_EF_rec*(1/365)*s_ED_rec*s_RadSpec!V14*s_ET_rec*(1/24)*s_RadSpec!AA14)),".")</f>
        <v>8887.0201538437159</v>
      </c>
      <c r="F14" s="141">
        <f>IF(AND(C14&lt;&gt;".",D14&lt;&gt;".",E14&lt;&gt;"."),1/((1/C14)+(1/D14)+(1/E14)),IF(AND(C14&lt;&gt;".",D14&lt;&gt;".",E14="."), 1/((1/C14)+(1/D14)),IF(AND(C14&lt;&gt;".",D14=".",E14&lt;&gt;"."),1/((1/C14)+(1/E14)),IF(AND(C14=".",D14&lt;&gt;".",E14&lt;&gt;"."),1/((1/D14)+(1/E14)),IF(AND(C14&lt;&gt;".",D14=".",E14="."),1/((1/C14)),IF(AND(C14=".",D14&lt;&gt;".",E14="."),1/((1/D14)),IF(AND(C14=".",D14=".",E14&lt;&gt;"."),1/((1/E14)),IF(AND(C14=".",D14=".",E14="."),"."))))))))</f>
        <v>8865.8475026151355</v>
      </c>
      <c r="G14" s="142">
        <f t="shared" si="1"/>
        <v>1.375</v>
      </c>
      <c r="H14" s="142">
        <f t="shared" si="2"/>
        <v>1.4710247995501936E-4</v>
      </c>
      <c r="I14" s="142">
        <f>IFERROR((s_C*s_EF_rec*(1/365)*s_ED_rec*s_RadSpec!V14*s_ET_rec*(1/24)*s_RadSpec!AA14),".")</f>
        <v>5.5263764488935744E-4</v>
      </c>
      <c r="J14" s="141"/>
      <c r="K14" s="141">
        <f>IFERROR((s_DL/(s_RadSpec!K14*s_EF_rec*(1/365)*s_ED_rec*s_RadSpec!V14*s_ET_rec*(1/24)*s_RadSpec!AA14)),".")</f>
        <v>44435.100769218581</v>
      </c>
      <c r="L14" s="141">
        <f>IFERROR((s_DL/(s_RadSpec!R14*s_EF_rec*(1/365)*s_ED_rec*s_RadSpec!W14*s_ET_rec*(1/24)*s_RadSpec!AB14)),".")</f>
        <v>346305.60928076948</v>
      </c>
      <c r="M14" s="141">
        <f>IFERROR((s_DL/(s_RadSpec!S14*s_EF_rec*(1/365)*s_ED_rec*s_RadSpec!X14*s_ET_rec*(1/24)*s_RadSpec!AC14)),".")</f>
        <v>92115.962303280758</v>
      </c>
      <c r="N14" s="141">
        <f>IFERROR((s_DL/(s_RadSpec!T14*s_EF_rec*(1/365)*s_ED_rec*s_RadSpec!Y14*s_ET_rec*(1/24)*s_RadSpec!AD14)),".")</f>
        <v>55221.859925400517</v>
      </c>
      <c r="O14" s="141">
        <f>IFERROR((s_DL/(s_RadSpec!P14*s_EF_rec*(1/365)*s_ED_rec*s_RadSpec!U14*s_ET_rec*(1/24)*s_RadSpec!Z14)),".")</f>
        <v>970778.97194881318</v>
      </c>
      <c r="P14" s="142">
        <f>IFERROR((s_C*s_EF_rec*(1/365)*s_ED_rec*s_RadSpec!V14*s_ET_rec*(1/24)*s_RadSpec!AA14),".")</f>
        <v>5.5263764488935744E-4</v>
      </c>
      <c r="Q14" s="142">
        <f>IFERROR((s_C*s_EF_rec*(1/365)*s_ED_rec*s_RadSpec!W14*s_ET_rec*(1/24)*s_RadSpec!AB14),".")</f>
        <v>3.042985547723543E-4</v>
      </c>
      <c r="R14" s="142">
        <f>IFERROR((s_C*s_EF_rec*(1/365)*s_ED_rec*s_RadSpec!X14*s_ET_rec*(1/24)*s_RadSpec!AC14),".")</f>
        <v>4.1157931308318408E-4</v>
      </c>
      <c r="S14" s="142">
        <f>IFERROR((s_C*s_EF_rec*(1/365)*s_ED_rec*s_RadSpec!Y14*s_ET_rec*(1/24)*s_RadSpec!AD14),".")</f>
        <v>4.6968036529680348E-4</v>
      </c>
      <c r="T14" s="142">
        <f>IFERROR((s_C*s_EF_rec*(1/365)*s_ED_rec*s_RadSpec!U14*s_ET_rec*(1/24)*s_RadSpec!Z14),".")</f>
        <v>1.0905705545950255E-4</v>
      </c>
      <c r="U14" s="141">
        <f>IFERROR((s_DL/(s_RadSpec!L14*s_IFA_rec_adj)),".")</f>
        <v>32513.716724243044</v>
      </c>
      <c r="V14" s="141">
        <f>IFERROR((s_DL/(s_RadSpec!O14*s_EF_rec*(1/365)*s_ED_rec*s_ET_rec*(1/24)*s_GSF_a)),".")</f>
        <v>0.50587998863502481</v>
      </c>
      <c r="W14" s="141">
        <f t="shared" si="11"/>
        <v>0.50587211778521191</v>
      </c>
      <c r="X14" s="142">
        <f t="shared" si="3"/>
        <v>45.572916666666657</v>
      </c>
      <c r="Y14" s="142">
        <f t="shared" si="4"/>
        <v>2.8538812785388126E-2</v>
      </c>
      <c r="Z14" s="141"/>
      <c r="AA14" s="141">
        <f>IFERROR((s_DL/(s_RadSpec!M14*s_IFW_rec_adj)),".")</f>
        <v>25593.775593775594</v>
      </c>
      <c r="AB14" s="141">
        <f>IFERROR((s_DL/(s_RadSpec!Q14*(1/8760)*s_DFA_rec_adj)),".")</f>
        <v>577.52555352791649</v>
      </c>
      <c r="AC14" s="141">
        <f t="shared" si="5"/>
        <v>564.78122098210827</v>
      </c>
      <c r="AD14" s="142">
        <f t="shared" si="6"/>
        <v>200</v>
      </c>
      <c r="AE14" s="142">
        <f t="shared" si="7"/>
        <v>1.1415525114155251E-2</v>
      </c>
      <c r="AF14" s="141"/>
      <c r="AG14" s="141">
        <f>IFERROR(s_DL/(s_RadSpec!J14*s_EF_rec*s_ED_rec*s_IRGL_rec*s_CF_game),".")</f>
        <v>204750.20475020475</v>
      </c>
      <c r="AH14" s="141">
        <f>IFERROR((AG14/(s_RadSpec!AM14*((s_Q_p_game*s_f_p_game*s_f_s_game*(s_RadSpec!BG14+s_R_es_past))+(s_Q_s_game*s_f_p_game)))),".")</f>
        <v>4653413744.322835</v>
      </c>
      <c r="AI14" s="141">
        <f>IFERROR(AG14/(s_RadSpec!AM14*s_Q_w_game*(1/1000)),".")</f>
        <v>20475020475020.473</v>
      </c>
      <c r="AJ14" s="141">
        <f>IFERROR(s_DL/(s_RadSpec!J14*s_EF_rec*s_ED_rec*s_IRGF_rec*s_CF_fowl),".")</f>
        <v>204750.20475020475</v>
      </c>
      <c r="AK14" s="141" t="str">
        <f>IFERROR((AG14/(s_RadSpec!AO14*((s_Q_p_fowl*s_f_p_fowl*s_f_s_fowl*(s_RadSpec!BG14+s_R_es_past))+(s_Q_s_fowl*s_f_p_fowl)))),".")</f>
        <v>.</v>
      </c>
      <c r="AL14" s="141" t="str">
        <f>IFERROR(AG14/(s_RadSpec!AO14*s_Q_w_fowl*(1/1000)),".")</f>
        <v>.</v>
      </c>
      <c r="AM14" s="142">
        <f t="shared" si="8"/>
        <v>25</v>
      </c>
      <c r="AN14" s="142">
        <f>IFERROR((s_C*s_IRGL_rec*s_EF_rec*s_ED_rec*s_CF_game*s_RadSpec!AM14)*((s_Q_p_game*s_f_p_game*s_f_s_game*(s_RadSpec!BG14+s_R_es_past))+(s_Q_s_game*s_f_p_game)),".")</f>
        <v>1.1000000000000001E-3</v>
      </c>
      <c r="AO14" s="142">
        <f>IFERROR(s_C*s_RadSpec!AM14*s_Q_w_game*(1/1000)*s_EF_rec*s_ED_rec*s_IRGL_rec*s_CF_game,".")</f>
        <v>2.5000000000000004E-7</v>
      </c>
      <c r="AP14" s="142">
        <f t="shared" si="9"/>
        <v>25</v>
      </c>
      <c r="AQ14" s="142">
        <f>IFERROR((s_C*s_IRGF_rec*s_EF_rec*s_ED_rec*s_CF_fowl*s_RadSpec!AO14)*((s_Q_p_fowl*s_f_p_fowl*s_f_s_fowl*(s_RadSpec!BG14+s_R_es_past))+(s_Q_s_fowl*s_f_p_fowl)),".")</f>
        <v>0</v>
      </c>
      <c r="AR14" s="142">
        <f>IFERROR(s_C*s_RadSpec!AO14*s_Q_w_fowl*(1/1000)*s_EF_rec*s_ED_rec*s_IRGL_rec*s_CF_fowl,".")</f>
        <v>0</v>
      </c>
    </row>
    <row r="15" spans="1:44" customFormat="1" x14ac:dyDescent="0.25">
      <c r="A15" s="128" t="s">
        <v>13</v>
      </c>
      <c r="B15" s="129" t="s">
        <v>1059</v>
      </c>
      <c r="C15" s="141">
        <f>IFERROR(((s_DL/(s_RadSpec!I15*s_IFS_rec_adj*(1/1000)))*1),".")</f>
        <v>65783198.313318804</v>
      </c>
      <c r="D15" s="141">
        <f>IFERROR(IF(A15="H-3",(s_DL/((s_RadSpec!L15*s_IFA_rec_adj*(1/17)*1000))*1),(s_DL/((s_RadSpec!L15*s_IFA_rec_adj*(1/s_PEF_wind)*1000))*1)),".")</f>
        <v>658056021642.22266</v>
      </c>
      <c r="E15" s="141" t="str">
        <f>IFERROR((DL/(s_RadSpec!K15*s_EF_rec*(1/365)*s_ED_rec*s_RadSpec!V15*s_ET_rec*(1/24)*s_RadSpec!AA15)),".")</f>
        <v>.</v>
      </c>
      <c r="F15" s="141">
        <f t="shared" ref="F15:F16" si="13">IF(AND(C15&lt;&gt;".",D15&lt;&gt;".",E15&lt;&gt;"."),1/((1/C15)+(1/D15)+(1/E15)),IF(AND(C15&lt;&gt;".",D15&lt;&gt;".",E15="."), 1/((1/C15)+(1/D15)),IF(AND(C15&lt;&gt;".",D15=".",E15&lt;&gt;"."),1/((1/C15)+(1/E15)),IF(AND(C15=".",D15&lt;&gt;".",E15&lt;&gt;"."),1/((1/D15)+(1/E15)),IF(AND(C15&lt;&gt;".",D15=".",E15="."),1/((1/C15)),IF(AND(C15=".",D15&lt;&gt;".",E15="."),1/((1/D15)),IF(AND(C15=".",D15=".",E15&lt;&gt;"."),1/((1/E15)),IF(AND(C15=".",D15=".",E15="."),"."))))))))</f>
        <v>65776622.89042823</v>
      </c>
      <c r="G15" s="142">
        <f t="shared" si="1"/>
        <v>1.375</v>
      </c>
      <c r="H15" s="142">
        <f t="shared" si="2"/>
        <v>1.4710247995501936E-4</v>
      </c>
      <c r="I15" s="142">
        <f>IFERROR((s_C*s_EF_rec*(1/365)*s_ED_rec*s_RadSpec!V15*s_ET_rec*(1/24)*s_RadSpec!AA15),".")</f>
        <v>0</v>
      </c>
      <c r="J15" s="141"/>
      <c r="K15" s="141" t="str">
        <f>IFERROR((s_DL/(s_RadSpec!K15*s_EF_rec*(1/365)*s_ED_rec*s_RadSpec!V15*s_ET_rec*(1/24)*s_RadSpec!AA15)),".")</f>
        <v>.</v>
      </c>
      <c r="L15" s="141" t="str">
        <f>IFERROR((s_DL/(s_RadSpec!R15*s_EF_rec*(1/365)*s_ED_rec*s_RadSpec!W15*s_ET_rec*(1/24)*s_RadSpec!AB15)),".")</f>
        <v>.</v>
      </c>
      <c r="M15" s="141" t="str">
        <f>IFERROR((s_DL/(s_RadSpec!S15*s_EF_rec*(1/365)*s_ED_rec*s_RadSpec!X15*s_ET_rec*(1/24)*s_RadSpec!AC15)),".")</f>
        <v>.</v>
      </c>
      <c r="N15" s="141" t="str">
        <f>IFERROR((s_DL/(s_RadSpec!T15*s_EF_rec*(1/365)*s_ED_rec*s_RadSpec!Y15*s_ET_rec*(1/24)*s_RadSpec!AD15)),".")</f>
        <v>.</v>
      </c>
      <c r="O15" s="141" t="str">
        <f>IFERROR((s_DL/(s_RadSpec!P15*s_EF_rec*(1/365)*s_ED_rec*s_RadSpec!U15*s_ET_rec*(1/24)*s_RadSpec!Z15)),".")</f>
        <v>.</v>
      </c>
      <c r="P15" s="142">
        <f>IFERROR((s_C*s_EF_rec*(1/365)*s_ED_rec*s_RadSpec!V15*s_ET_rec*(1/24)*s_RadSpec!AA15),".")</f>
        <v>0</v>
      </c>
      <c r="Q15" s="142">
        <f>IFERROR((s_C*s_EF_rec*(1/365)*s_ED_rec*s_RadSpec!W15*s_ET_rec*(1/24)*s_RadSpec!AB15),".")</f>
        <v>0</v>
      </c>
      <c r="R15" s="142">
        <f>IFERROR((s_C*s_EF_rec*(1/365)*s_ED_rec*s_RadSpec!X15*s_ET_rec*(1/24)*s_RadSpec!AC15),".")</f>
        <v>0</v>
      </c>
      <c r="S15" s="142">
        <f>IFERROR((s_C*s_EF_rec*(1/365)*s_ED_rec*s_RadSpec!Y15*s_ET_rec*(1/24)*s_RadSpec!AD15),".")</f>
        <v>0</v>
      </c>
      <c r="T15" s="142">
        <f>IFERROR((s_C*s_EF_rec*(1/365)*s_ED_rec*s_RadSpec!U15*s_ET_rec*(1/24)*s_RadSpec!Z15),".")</f>
        <v>0</v>
      </c>
      <c r="U15" s="141">
        <f>IFERROR((s_DL/(s_RadSpec!L15*s_IFA_rec_adj)),".")</f>
        <v>2124105.2759677405</v>
      </c>
      <c r="V15" s="141">
        <f>IFERROR((s_DL/(s_RadSpec!O15*s_EF_rec*(1/365)*s_ED_rec*s_ET_rec*(1/24)*s_GSF_a)),".")</f>
        <v>46.895074946466806</v>
      </c>
      <c r="W15" s="141">
        <f t="shared" si="11"/>
        <v>46.894039640200042</v>
      </c>
      <c r="X15" s="142">
        <f t="shared" si="3"/>
        <v>45.572916666666657</v>
      </c>
      <c r="Y15" s="142">
        <f t="shared" si="4"/>
        <v>2.8538812785388126E-2</v>
      </c>
      <c r="Z15" s="141"/>
      <c r="AA15" s="141">
        <f>IFERROR((s_DL/(s_RadSpec!M15*s_IFW_rec_adj)),".")</f>
        <v>452259.48840406671</v>
      </c>
      <c r="AB15" s="141">
        <f>IFERROR((s_DL/(s_RadSpec!Q15*(1/8760)*s_DFA_rec_adj)),".")</f>
        <v>104676.50657693484</v>
      </c>
      <c r="AC15" s="141">
        <f t="shared" si="5"/>
        <v>85002.484556639931</v>
      </c>
      <c r="AD15" s="142">
        <f t="shared" si="6"/>
        <v>200</v>
      </c>
      <c r="AE15" s="142">
        <f t="shared" si="7"/>
        <v>1.1415525114155251E-2</v>
      </c>
      <c r="AF15" s="141"/>
      <c r="AG15" s="141">
        <f>IFERROR(s_DL/(s_RadSpec!J15*s_EF_rec*s_ED_rec*s_IRGL_rec*s_CF_game),".")</f>
        <v>3618075.9072325337</v>
      </c>
      <c r="AH15" s="141">
        <f>IFERROR((AG15/(s_RadSpec!AM15*((s_Q_p_game*s_f_p_game*s_f_s_game*(s_RadSpec!BG15+s_R_es_past))+(s_Q_s_game*s_f_p_game)))),".")</f>
        <v>638018088.06800389</v>
      </c>
      <c r="AI15" s="141">
        <f>IFERROR(AG15/(s_RadSpec!AM15*s_Q_w_game*(1/1000)),".")</f>
        <v>2584339933737.5244</v>
      </c>
      <c r="AJ15" s="141">
        <f>IFERROR(s_DL/(s_RadSpec!J15*s_EF_rec*s_ED_rec*s_IRGF_rec*s_CF_fowl),".")</f>
        <v>3618075.9072325337</v>
      </c>
      <c r="AK15" s="141" t="str">
        <f>IFERROR((AG15/(s_RadSpec!AO15*((s_Q_p_fowl*s_f_p_fowl*s_f_s_fowl*(s_RadSpec!BG15+s_R_es_past))+(s_Q_s_fowl*s_f_p_fowl)))),".")</f>
        <v>.</v>
      </c>
      <c r="AL15" s="141" t="str">
        <f>IFERROR(AG15/(s_RadSpec!AO15*s_Q_w_fowl*(1/1000)),".")</f>
        <v>.</v>
      </c>
      <c r="AM15" s="142">
        <f t="shared" si="8"/>
        <v>25</v>
      </c>
      <c r="AN15" s="142">
        <f>IFERROR((s_C*s_IRGL_rec*s_EF_rec*s_ED_rec*s_CF_game*s_RadSpec!AM15)*((s_Q_p_game*s_f_p_game*s_f_s_game*(s_RadSpec!BG15+s_R_es_past))+(s_Q_s_game*s_f_p_game)),".")</f>
        <v>0.14177011494252872</v>
      </c>
      <c r="AO15" s="142">
        <f>IFERROR(s_C*s_RadSpec!AM15*s_Q_w_game*(1/1000)*s_EF_rec*s_ED_rec*s_IRGL_rec*s_CF_game,".")</f>
        <v>3.4999999999999997E-5</v>
      </c>
      <c r="AP15" s="142">
        <f t="shared" si="9"/>
        <v>25</v>
      </c>
      <c r="AQ15" s="142">
        <f>IFERROR((s_C*s_IRGF_rec*s_EF_rec*s_ED_rec*s_CF_fowl*s_RadSpec!AO15)*((s_Q_p_fowl*s_f_p_fowl*s_f_s_fowl*(s_RadSpec!BG15+s_R_es_past))+(s_Q_s_fowl*s_f_p_fowl)),".")</f>
        <v>0</v>
      </c>
      <c r="AR15" s="142">
        <f>IFERROR(s_C*s_RadSpec!AO15*s_Q_w_fowl*(1/1000)*s_EF_rec*s_ED_rec*s_IRGL_rec*s_CF_fowl,".")</f>
        <v>0</v>
      </c>
    </row>
    <row r="16" spans="1:44" customFormat="1" x14ac:dyDescent="0.25">
      <c r="A16" s="128" t="s">
        <v>14</v>
      </c>
      <c r="B16" s="129" t="s">
        <v>1059</v>
      </c>
      <c r="C16" s="141">
        <f>IFERROR(((s_DL/(s_RadSpec!I16*s_IFS_rec_adj*(1/1000)))*1),".")</f>
        <v>4817.6518764754064</v>
      </c>
      <c r="D16" s="141">
        <f>IFERROR(IF(A16="H-3",(s_DL/((s_RadSpec!L16*s_IFA_rec_adj*(1/17)*1000))*1),(s_DL/((s_RadSpec!L16*s_IFA_rec_adj*(1/s_PEF_wind)*1000))*1)),".")</f>
        <v>7617298.5589763047</v>
      </c>
      <c r="E16" s="141">
        <f>IFERROR((DL/(s_RadSpec!K16*s_EF_rec*(1/365)*s_ED_rec*s_RadSpec!V16*s_ET_rec*(1/24)*s_RadSpec!AA16)),".")</f>
        <v>40218760674.499863</v>
      </c>
      <c r="F16" s="141">
        <f t="shared" si="13"/>
        <v>4814.606244260629</v>
      </c>
      <c r="G16" s="142">
        <f t="shared" si="1"/>
        <v>1.375</v>
      </c>
      <c r="H16" s="142">
        <f t="shared" si="2"/>
        <v>1.4710247995501936E-4</v>
      </c>
      <c r="I16" s="142">
        <f>IFERROR((s_C*s_EF_rec*(1/365)*s_ED_rec*s_RadSpec!V16*s_ET_rec*(1/24)*s_RadSpec!AA16),".")</f>
        <v>5.9421885192433095E-8</v>
      </c>
      <c r="J16" s="141"/>
      <c r="K16" s="141">
        <f>IFERROR((s_DL/(s_RadSpec!K16*s_EF_rec*(1/365)*s_ED_rec*s_RadSpec!V16*s_ET_rec*(1/24)*s_RadSpec!AA16)),".")</f>
        <v>201093803372.49933</v>
      </c>
      <c r="L16" s="141">
        <f>IFERROR((s_DL/(s_RadSpec!R16*s_EF_rec*(1/365)*s_ED_rec*s_RadSpec!W16*s_ET_rec*(1/24)*s_RadSpec!AB16)),".")</f>
        <v>563368123305.41821</v>
      </c>
      <c r="M16" s="141">
        <f>IFERROR((s_DL/(s_RadSpec!S16*s_EF_rec*(1/365)*s_ED_rec*s_RadSpec!X16*s_ET_rec*(1/24)*s_RadSpec!AC16)),".")</f>
        <v>219061511140.19751</v>
      </c>
      <c r="N16" s="141">
        <f>IFERROR((s_DL/(s_RadSpec!T16*s_EF_rec*(1/365)*s_ED_rec*s_RadSpec!Y16*s_ET_rec*(1/24)*s_RadSpec!AD16)),".")</f>
        <v>216261362224.94443</v>
      </c>
      <c r="O16" s="141">
        <f>IFERROR((s_DL/(s_RadSpec!P16*s_EF_rec*(1/365)*s_ED_rec*s_RadSpec!U16*s_ET_rec*(1/24)*s_RadSpec!Z16)),".")</f>
        <v>6906529271936.7061</v>
      </c>
      <c r="P16" s="142">
        <f>IFERROR((s_C*s_EF_rec*(1/365)*s_ED_rec*s_RadSpec!V16*s_ET_rec*(1/24)*s_RadSpec!AA16),".")</f>
        <v>5.9421885192433095E-8</v>
      </c>
      <c r="Q16" s="142">
        <f>IFERROR((s_C*s_EF_rec*(1/365)*s_ED_rec*s_RadSpec!W16*s_ET_rec*(1/24)*s_RadSpec!AB16),".")</f>
        <v>3.3364980333649787E-8</v>
      </c>
      <c r="R16" s="142">
        <f>IFERROR((s_C*s_EF_rec*(1/365)*s_ED_rec*s_RadSpec!X16*s_ET_rec*(1/24)*s_RadSpec!AC16),".")</f>
        <v>5.5539807787239271E-8</v>
      </c>
      <c r="S16" s="142">
        <f>IFERROR((s_C*s_EF_rec*(1/365)*s_ED_rec*s_RadSpec!Y16*s_ET_rec*(1/24)*s_RadSpec!AD16),".")</f>
        <v>5.5254312531709759E-8</v>
      </c>
      <c r="T16" s="142">
        <f>IFERROR((s_C*s_EF_rec*(1/365)*s_ED_rec*s_RadSpec!U16*s_ET_rec*(1/24)*s_RadSpec!Z16),".")</f>
        <v>1.4269406392694062E-9</v>
      </c>
      <c r="U16" s="141">
        <f>IFERROR((s_DL/(s_RadSpec!L16*s_IFA_rec_adj)),".")</f>
        <v>24.587487274054439</v>
      </c>
      <c r="V16" s="141">
        <f>IFERROR((s_DL/(s_RadSpec!O16*s_EF_rec*(1/365)*s_ED_rec*s_ET_rec*(1/24)*s_GSF_a)),".")</f>
        <v>99.564914960651407</v>
      </c>
      <c r="W16" s="141">
        <f t="shared" si="11"/>
        <v>19.718112863489925</v>
      </c>
      <c r="X16" s="142">
        <f t="shared" si="3"/>
        <v>45.572916666666657</v>
      </c>
      <c r="Y16" s="142">
        <f t="shared" si="4"/>
        <v>2.8538812785388126E-2</v>
      </c>
      <c r="Z16" s="141"/>
      <c r="AA16" s="141">
        <f>IFERROR((s_DL/(s_RadSpec!M16*s_IFW_rec_adj)),".")</f>
        <v>33.121356650768412</v>
      </c>
      <c r="AB16" s="141">
        <f>IFERROR((s_DL/(s_RadSpec!Q16*(1/8760)*s_DFA_rec_adj)),".")</f>
        <v>107557.51134510738</v>
      </c>
      <c r="AC16" s="141">
        <f t="shared" si="5"/>
        <v>33.111160370303843</v>
      </c>
      <c r="AD16" s="142">
        <f t="shared" si="6"/>
        <v>200</v>
      </c>
      <c r="AE16" s="142">
        <f t="shared" si="7"/>
        <v>1.1415525114155251E-2</v>
      </c>
      <c r="AF16" s="141"/>
      <c r="AG16" s="141">
        <f>IFERROR(s_DL/(s_RadSpec!J16*s_EF_rec*s_ED_rec*s_IRGL_rec*s_CF_game),".")</f>
        <v>264.9708532061473</v>
      </c>
      <c r="AH16" s="141">
        <f>IFERROR((AG16/(s_RadSpec!AM16*((s_Q_p_game*s_f_p_game*s_f_s_game*(s_RadSpec!BG16+s_R_es_past))+(s_Q_s_game*s_f_p_game)))),".")</f>
        <v>46725.442332039107</v>
      </c>
      <c r="AI16" s="141">
        <f>IFERROR(AG16/(s_RadSpec!AM16*s_Q_w_game*(1/1000)),".")</f>
        <v>189264895.14724809</v>
      </c>
      <c r="AJ16" s="141">
        <f>IFERROR(s_DL/(s_RadSpec!J16*s_EF_rec*s_ED_rec*s_IRGF_rec*s_CF_fowl),".")</f>
        <v>264.9708532061473</v>
      </c>
      <c r="AK16" s="141" t="str">
        <f>IFERROR((AG16/(s_RadSpec!AO16*((s_Q_p_fowl*s_f_p_fowl*s_f_s_fowl*(s_RadSpec!BG16+s_R_es_past))+(s_Q_s_fowl*s_f_p_fowl)))),".")</f>
        <v>.</v>
      </c>
      <c r="AL16" s="141" t="str">
        <f>IFERROR(AG16/(s_RadSpec!AO16*s_Q_w_fowl*(1/1000)),".")</f>
        <v>.</v>
      </c>
      <c r="AM16" s="142">
        <f t="shared" si="8"/>
        <v>25</v>
      </c>
      <c r="AN16" s="142">
        <f>IFERROR((s_C*s_IRGL_rec*s_EF_rec*s_ED_rec*s_CF_game*s_RadSpec!AM16)*((s_Q_p_game*s_f_p_game*s_f_s_game*(s_RadSpec!BG16+s_R_es_past))+(s_Q_s_game*s_f_p_game)),".")</f>
        <v>0.14177011494252872</v>
      </c>
      <c r="AO16" s="142">
        <f>IFERROR(s_C*s_RadSpec!AM16*s_Q_w_game*(1/1000)*s_EF_rec*s_ED_rec*s_IRGL_rec*s_CF_game,".")</f>
        <v>3.4999999999999997E-5</v>
      </c>
      <c r="AP16" s="142">
        <f t="shared" si="9"/>
        <v>25</v>
      </c>
      <c r="AQ16" s="142">
        <f>IFERROR((s_C*s_IRGF_rec*s_EF_rec*s_ED_rec*s_CF_fowl*s_RadSpec!AO16)*((s_Q_p_fowl*s_f_p_fowl*s_f_s_fowl*(s_RadSpec!BG16+s_R_es_past))+(s_Q_s_fowl*s_f_p_fowl)),".")</f>
        <v>0</v>
      </c>
      <c r="AR16" s="142">
        <f>IFERROR(s_C*s_RadSpec!AO16*s_Q_w_fowl*(1/1000)*s_EF_rec*s_ED_rec*s_IRGL_rec*s_CF_fowl,".")</f>
        <v>0</v>
      </c>
    </row>
    <row r="17" spans="1:44" customFormat="1" x14ac:dyDescent="0.25">
      <c r="A17" s="128" t="s">
        <v>15</v>
      </c>
      <c r="B17" s="129" t="s">
        <v>1059</v>
      </c>
      <c r="C17" s="141">
        <f>IFERROR(((s_DL/(s_RadSpec!I17*s_IFS_rec_adj*(1/1000)))*1),".")</f>
        <v>24693492.030175447</v>
      </c>
      <c r="D17" s="141">
        <f>IFERROR(IF(A17="H-3",(s_DL/((s_RadSpec!L17*s_IFA_rec_adj*(1/17)*1000))*1),(s_DL/((s_RadSpec!L17*s_IFA_rec_adj*(1/s_PEF_wind)*1000))*1)),".")</f>
        <v>3646986011.787991</v>
      </c>
      <c r="E17" s="141">
        <f>IFERROR((DL/(s_RadSpec!K17*s_EF_rec*(1/365)*s_ED_rec*s_RadSpec!V17*s_ET_rec*(1/24)*s_RadSpec!AA17)),".")</f>
        <v>6153.61551563988</v>
      </c>
      <c r="F17" s="141">
        <f>IF(AND(C17&lt;&gt;".",D17&lt;&gt;".",E17&lt;&gt;"."),1/((1/C17)+(1/D17)+(1/E17)),IF(AND(C17&lt;&gt;".",D17&lt;&gt;".",E17="."), 1/((1/C17)+(1/D17)),IF(AND(C17&lt;&gt;".",D17=".",E17&lt;&gt;"."),1/((1/C17)+(1/E17)),IF(AND(C17=".",D17&lt;&gt;".",E17&lt;&gt;"."),1/((1/D17)+(1/E17)),IF(AND(C17&lt;&gt;".",D17=".",E17="."),1/((1/C17)),IF(AND(C17=".",D17&lt;&gt;".",E17="."),1/((1/D17)),IF(AND(C17=".",D17=".",E17&lt;&gt;"."),1/((1/E17)),IF(AND(C17=".",D17=".",E17="."),"."))))))))</f>
        <v>6152.0720394742366</v>
      </c>
      <c r="G17" s="142">
        <f t="shared" si="1"/>
        <v>1.375</v>
      </c>
      <c r="H17" s="142">
        <f t="shared" si="2"/>
        <v>1.4710247995501936E-4</v>
      </c>
      <c r="I17" s="142">
        <f>IFERROR((s_C*s_EF_rec*(1/365)*s_ED_rec*s_RadSpec!V17*s_ET_rec*(1/24)*s_RadSpec!AA17),".")</f>
        <v>6.4632017190437846E-4</v>
      </c>
      <c r="J17" s="141"/>
      <c r="K17" s="141">
        <f>IFERROR((s_DL/(s_RadSpec!K17*s_EF_rec*(1/365)*s_ED_rec*s_RadSpec!V17*s_ET_rec*(1/24)*s_RadSpec!AA17)),".")</f>
        <v>30768.077578199402</v>
      </c>
      <c r="L17" s="141">
        <f>IFERROR((s_DL/(s_RadSpec!R17*s_EF_rec*(1/365)*s_ED_rec*s_RadSpec!W17*s_ET_rec*(1/24)*s_RadSpec!AB17)),".")</f>
        <v>241264.44396961873</v>
      </c>
      <c r="M17" s="141">
        <f>IFERROR((s_DL/(s_RadSpec!S17*s_EF_rec*(1/365)*s_ED_rec*s_RadSpec!X17*s_ET_rec*(1/24)*s_RadSpec!AC17)),".")</f>
        <v>64458.196009144347</v>
      </c>
      <c r="N17" s="141">
        <f>IFERROR((s_DL/(s_RadSpec!T17*s_EF_rec*(1/365)*s_ED_rec*s_RadSpec!Y17*s_ET_rec*(1/24)*s_RadSpec!AD17)),".")</f>
        <v>38546.299759615271</v>
      </c>
      <c r="O17" s="141">
        <f>IFERROR((s_DL/(s_RadSpec!P17*s_EF_rec*(1/365)*s_ED_rec*s_RadSpec!U17*s_ET_rec*(1/24)*s_RadSpec!Z17)),".")</f>
        <v>456002.28992530575</v>
      </c>
      <c r="P17" s="142">
        <f>IFERROR((s_C*s_EF_rec*(1/365)*s_ED_rec*s_RadSpec!V17*s_ET_rec*(1/24)*s_RadSpec!AA17),".")</f>
        <v>6.4632017190437846E-4</v>
      </c>
      <c r="Q17" s="142">
        <f>IFERROR((s_C*s_EF_rec*(1/365)*s_ED_rec*s_RadSpec!W17*s_ET_rec*(1/24)*s_RadSpec!AB17),".")</f>
        <v>3.6980991823298284E-4</v>
      </c>
      <c r="R17" s="142">
        <f>IFERROR((s_C*s_EF_rec*(1/365)*s_ED_rec*s_RadSpec!X17*s_ET_rec*(1/24)*s_RadSpec!AC17),".")</f>
        <v>4.9084528396118709E-4</v>
      </c>
      <c r="S17" s="142">
        <f>IFERROR((s_C*s_EF_rec*(1/365)*s_ED_rec*s_RadSpec!Y17*s_ET_rec*(1/24)*s_RadSpec!AD17),".")</f>
        <v>5.5198820395738213E-4</v>
      </c>
      <c r="T17" s="142">
        <f>IFERROR((s_C*s_EF_rec*(1/365)*s_ED_rec*s_RadSpec!U17*s_ET_rec*(1/24)*s_RadSpec!Z17),".")</f>
        <v>1.9299772972140988E-4</v>
      </c>
      <c r="U17" s="141">
        <f>IFERROR((s_DL/(s_RadSpec!L17*s_IFA_rec_adj)),".")</f>
        <v>11771.919068056408</v>
      </c>
      <c r="V17" s="141">
        <f>IFERROR((s_DL/(s_RadSpec!O17*s_EF_rec*(1/365)*s_ED_rec*s_ET_rec*(1/24)*s_GSF_a)),".")</f>
        <v>0.42247815267087224</v>
      </c>
      <c r="W17" s="141">
        <f>IFERROR(IF(AND(U17&lt;&gt;".",V17&lt;&gt;"."),1/((1/U17)+(1/V17)),IF(AND(U17&lt;&gt;".",V17="."),1/((1/U17)),IF(AND(U17=".",V17&lt;&gt;"."),1/((1/V17)),IF(AND(U17=".",V17="."),".")))),".")</f>
        <v>0.42246299104913504</v>
      </c>
      <c r="X17" s="142">
        <f t="shared" si="3"/>
        <v>45.572916666666657</v>
      </c>
      <c r="Y17" s="142">
        <f t="shared" si="4"/>
        <v>2.8538812785388126E-2</v>
      </c>
      <c r="Z17" s="141"/>
      <c r="AA17" s="141">
        <f>IFERROR((s_DL/(s_RadSpec!M17*s_IFW_rec_adj)),".")</f>
        <v>169767.75770745619</v>
      </c>
      <c r="AB17" s="141">
        <f>IFERROR((s_DL/(s_RadSpec!Q17*(1/8760)*s_DFA_rec_adj)),".")</f>
        <v>486.46343305463495</v>
      </c>
      <c r="AC17" s="141">
        <f t="shared" si="5"/>
        <v>485.07347238221212</v>
      </c>
      <c r="AD17" s="142">
        <f t="shared" si="6"/>
        <v>200</v>
      </c>
      <c r="AE17" s="142">
        <f t="shared" si="7"/>
        <v>1.1415525114155251E-2</v>
      </c>
      <c r="AF17" s="141"/>
      <c r="AG17" s="141">
        <f>IFERROR(s_DL/(s_RadSpec!J17*s_EF_rec*s_ED_rec*s_IRGL_rec*s_CF_game),".")</f>
        <v>1358142.0616596495</v>
      </c>
      <c r="AH17" s="141">
        <f>IFERROR((AG17/(s_RadSpec!AM17*((s_Q_p_game*s_f_p_game*s_f_s_game*(s_RadSpec!BG17+s_R_es_past))+(s_Q_s_game*s_f_p_game)))),".")</f>
        <v>239497242.10391906</v>
      </c>
      <c r="AI17" s="141">
        <f>IFERROR(AG17/(s_RadSpec!AM17*s_Q_w_game*(1/1000)),".")</f>
        <v>970101472614.0354</v>
      </c>
      <c r="AJ17" s="141">
        <f>IFERROR(s_DL/(s_RadSpec!J17*s_EF_rec*s_ED_rec*s_IRGF_rec*s_CF_fowl),".")</f>
        <v>1358142.0616596495</v>
      </c>
      <c r="AK17" s="141" t="str">
        <f>IFERROR((AG17/(s_RadSpec!AO17*((s_Q_p_fowl*s_f_p_fowl*s_f_s_fowl*(s_RadSpec!BG17+s_R_es_past))+(s_Q_s_fowl*s_f_p_fowl)))),".")</f>
        <v>.</v>
      </c>
      <c r="AL17" s="141" t="str">
        <f>IFERROR(AG17/(s_RadSpec!AO17*s_Q_w_fowl*(1/1000)),".")</f>
        <v>.</v>
      </c>
      <c r="AM17" s="142">
        <f t="shared" si="8"/>
        <v>25</v>
      </c>
      <c r="AN17" s="142">
        <f>IFERROR((s_C*s_IRGL_rec*s_EF_rec*s_ED_rec*s_CF_game*s_RadSpec!AM17)*((s_Q_p_game*s_f_p_game*s_f_s_game*(s_RadSpec!BG17+s_R_es_past))+(s_Q_s_game*s_f_p_game)),".")</f>
        <v>0.14177011494252872</v>
      </c>
      <c r="AO17" s="142">
        <f>IFERROR(s_C*s_RadSpec!AM17*s_Q_w_game*(1/1000)*s_EF_rec*s_ED_rec*s_IRGL_rec*s_CF_game,".")</f>
        <v>3.4999999999999997E-5</v>
      </c>
      <c r="AP17" s="142">
        <f t="shared" si="9"/>
        <v>25</v>
      </c>
      <c r="AQ17" s="142">
        <f>IFERROR((s_C*s_IRGF_rec*s_EF_rec*s_ED_rec*s_CF_fowl*s_RadSpec!AO17)*((s_Q_p_fowl*s_f_p_fowl*s_f_s_fowl*(s_RadSpec!BG17+s_R_es_past))+(s_Q_s_fowl*s_f_p_fowl)),".")</f>
        <v>0</v>
      </c>
      <c r="AR17" s="142">
        <f>IFERROR(s_C*s_RadSpec!AO17*s_Q_w_fowl*(1/1000)*s_EF_rec*s_ED_rec*s_IRGL_rec*s_CF_fowl,".")</f>
        <v>0</v>
      </c>
    </row>
    <row r="18" spans="1:44" customFormat="1" x14ac:dyDescent="0.25">
      <c r="A18" s="128" t="s">
        <v>16</v>
      </c>
      <c r="B18" s="129" t="s">
        <v>1059</v>
      </c>
      <c r="C18" s="141">
        <f>IFERROR(((s_DL/(s_RadSpec!I18*s_IFS_rec_adj*(1/1000)))*1),".")</f>
        <v>2808.0028080028083</v>
      </c>
      <c r="D18" s="141">
        <f>IFERROR(IF(A18="H-3",(s_DL/((s_RadSpec!L18*s_IFA_rec_adj*(1/17)*1000))*1),(s_DL/((s_RadSpec!L18*s_IFA_rec_adj*(1/s_PEF_wind)*1000))*1)),".")</f>
        <v>9814596.2202194724</v>
      </c>
      <c r="E18" s="141">
        <f>IFERROR((DL/(s_RadSpec!K18*s_EF_rec*(1/365)*s_ED_rec*s_RadSpec!V18*s_ET_rec*(1/24)*s_RadSpec!AA18)),".")</f>
        <v>69843114.922423258</v>
      </c>
      <c r="F18" s="141">
        <f>IF(AND(C18&lt;&gt;".",D18&lt;&gt;".",E18&lt;&gt;"."),1/((1/C18)+(1/D18)+(1/E18)),IF(AND(C18&lt;&gt;".",D18&lt;&gt;".",E18="."), 1/((1/C18)+(1/D18)),IF(AND(C18&lt;&gt;".",D18=".",E18&lt;&gt;"."),1/((1/C18)+(1/E18)),IF(AND(C18=".",D18&lt;&gt;".",E18&lt;&gt;"."),1/((1/D18)+(1/E18)),IF(AND(C18&lt;&gt;".",D18=".",E18="."),1/((1/C18)),IF(AND(C18=".",D18&lt;&gt;".",E18="."),1/((1/D18)),IF(AND(C18=".",D18=".",E18&lt;&gt;"."),1/((1/E18)),IF(AND(C18=".",D18=".",E18="."),"."))))))))</f>
        <v>2807.0868297337679</v>
      </c>
      <c r="G18" s="142">
        <f t="shared" si="1"/>
        <v>1.375</v>
      </c>
      <c r="H18" s="142">
        <f t="shared" si="2"/>
        <v>1.4710247995501936E-4</v>
      </c>
      <c r="I18" s="142">
        <f>IFERROR((s_C*s_EF_rec*(1/365)*s_ED_rec*s_RadSpec!V18*s_ET_rec*(1/24)*s_RadSpec!AA18),".")</f>
        <v>1.2690028262225168E-3</v>
      </c>
      <c r="J18" s="141"/>
      <c r="K18" s="141">
        <f>IFERROR((s_DL/(s_RadSpec!K18*s_EF_rec*(1/365)*s_ED_rec*s_RadSpec!V18*s_ET_rec*(1/24)*s_RadSpec!AA18)),".")</f>
        <v>349215574.61211628</v>
      </c>
      <c r="L18" s="141">
        <f>IFERROR((s_DL/(s_RadSpec!R18*s_EF_rec*(1/365)*s_ED_rec*s_RadSpec!W18*s_ET_rec*(1/24)*s_RadSpec!AB18)),".")</f>
        <v>3561106986.197051</v>
      </c>
      <c r="M18" s="141">
        <f>IFERROR((s_DL/(s_RadSpec!S18*s_EF_rec*(1/365)*s_ED_rec*s_RadSpec!X18*s_ET_rec*(1/24)*s_RadSpec!AC18)),".")</f>
        <v>869870767.49878526</v>
      </c>
      <c r="N18" s="141">
        <f>IFERROR((s_DL/(s_RadSpec!T18*s_EF_rec*(1/365)*s_ED_rec*s_RadSpec!Y18*s_ET_rec*(1/24)*s_RadSpec!AD18)),".")</f>
        <v>458629589.65572047</v>
      </c>
      <c r="O18" s="141">
        <f>IFERROR((s_DL/(s_RadSpec!P18*s_EF_rec*(1/365)*s_ED_rec*s_RadSpec!U18*s_ET_rec*(1/24)*s_RadSpec!Z18)),".")</f>
        <v>6147748363.9666862</v>
      </c>
      <c r="P18" s="142">
        <f>IFERROR((s_C*s_EF_rec*(1/365)*s_ED_rec*s_RadSpec!V18*s_ET_rec*(1/24)*s_RadSpec!AA18),".")</f>
        <v>1.2690028262225168E-3</v>
      </c>
      <c r="Q18" s="142">
        <f>IFERROR((s_C*s_EF_rec*(1/365)*s_ED_rec*s_RadSpec!W18*s_ET_rec*(1/24)*s_RadSpec!AB18),".")</f>
        <v>6.4132844010028698E-4</v>
      </c>
      <c r="R18" s="142">
        <f>IFERROR((s_C*s_EF_rec*(1/365)*s_ED_rec*s_RadSpec!X18*s_ET_rec*(1/24)*s_RadSpec!AC18),".")</f>
        <v>9.1579679368307691E-4</v>
      </c>
      <c r="S18" s="142">
        <f>IFERROR((s_C*s_EF_rec*(1/365)*s_ED_rec*s_RadSpec!Y18*s_ET_rec*(1/24)*s_RadSpec!AD18),".")</f>
        <v>1.1053431876838662E-3</v>
      </c>
      <c r="T18" s="142">
        <f>IFERROR((s_C*s_EF_rec*(1/365)*s_ED_rec*s_RadSpec!U18*s_ET_rec*(1/24)*s_RadSpec!Z18),".")</f>
        <v>3.7729277919665668E-4</v>
      </c>
      <c r="U18" s="141">
        <f>IFERROR((s_DL/(s_RadSpec!L18*s_IFA_rec_adj)),".")</f>
        <v>31.680031680031682</v>
      </c>
      <c r="V18" s="141">
        <f>IFERROR((s_DL/(s_RadSpec!O18*s_EF_rec*(1/365)*s_ED_rec*s_ET_rec*(1/24)*s_GSF_a)),".")</f>
        <v>10538.219089093665</v>
      </c>
      <c r="W18" s="141">
        <f t="shared" ref="W18:W20" si="14">IFERROR(IF(AND(U18&lt;&gt;".",V18&lt;&gt;"."),1/((1/U18)+(1/V18)),IF(AND(U18&lt;&gt;".",V18="."),1/((1/U18)),IF(AND(U18=".",V18&lt;&gt;"."),1/((1/V18)),IF(AND(U18=".",V18="."),".")))),".")</f>
        <v>31.585080498778183</v>
      </c>
      <c r="X18" s="142">
        <f t="shared" si="3"/>
        <v>45.572916666666657</v>
      </c>
      <c r="Y18" s="142">
        <f t="shared" si="4"/>
        <v>2.8538812785388126E-2</v>
      </c>
      <c r="Z18" s="141"/>
      <c r="AA18" s="141">
        <f>IFERROR((s_DL/(s_RadSpec!M18*s_IFW_rec_adj)),".")</f>
        <v>19.305019305019304</v>
      </c>
      <c r="AB18" s="141">
        <f>IFERROR((s_DL/(s_RadSpec!Q18*(1/8760)*s_DFA_rec_adj)),".")</f>
        <v>12148983.146753062</v>
      </c>
      <c r="AC18" s="141">
        <f t="shared" si="5"/>
        <v>19.304988628939366</v>
      </c>
      <c r="AD18" s="142">
        <f t="shared" si="6"/>
        <v>200</v>
      </c>
      <c r="AE18" s="142">
        <f t="shared" si="7"/>
        <v>1.1415525114155251E-2</v>
      </c>
      <c r="AF18" s="141"/>
      <c r="AG18" s="141">
        <f>IFERROR(s_DL/(s_RadSpec!J18*s_EF_rec*s_ED_rec*s_IRGL_rec*s_CF_game),".")</f>
        <v>154.44015444015443</v>
      </c>
      <c r="AH18" s="141">
        <f>IFERROR((AG18/(s_RadSpec!AM18*((s_Q_p_game*s_f_p_game*s_f_s_game*(s_RadSpec!BG18+s_R_es_past))+(s_Q_s_game*s_f_p_game)))),".")</f>
        <v>3859.9390502313827</v>
      </c>
      <c r="AI18" s="141">
        <f>IFERROR(AG18/(s_RadSpec!AM18*s_Q_w_game*(1/1000)),".")</f>
        <v>15444015.444015441</v>
      </c>
      <c r="AJ18" s="141">
        <f>IFERROR(s_DL/(s_RadSpec!J18*s_EF_rec*s_ED_rec*s_IRGF_rec*s_CF_fowl),".")</f>
        <v>154.44015444015443</v>
      </c>
      <c r="AK18" s="141">
        <f>IFERROR((AG18/(s_RadSpec!AO18*((s_Q_p_fowl*s_f_p_fowl*s_f_s_fowl*(s_RadSpec!BG18+s_R_es_past))+(s_Q_s_fowl*s_f_p_fowl)))),".")</f>
        <v>8.0415396879820484</v>
      </c>
      <c r="AL18" s="141">
        <f>IFERROR(AG18/(s_RadSpec!AO18*s_Q_w_fowl*(1/1000)),".")</f>
        <v>32175.032175032175</v>
      </c>
      <c r="AM18" s="142">
        <f t="shared" si="8"/>
        <v>25</v>
      </c>
      <c r="AN18" s="142">
        <f>IFERROR((s_C*s_IRGL_rec*s_EF_rec*s_ED_rec*s_CF_game*s_RadSpec!AM18)*((s_Q_p_game*s_f_p_game*s_f_s_game*(s_RadSpec!BG18+s_R_es_past))+(s_Q_s_game*s_f_p_game)),".")</f>
        <v>1.0002758620689656</v>
      </c>
      <c r="AO18" s="142">
        <f>IFERROR(s_C*s_RadSpec!AM18*s_Q_w_game*(1/1000)*s_EF_rec*s_ED_rec*s_IRGL_rec*s_CF_game,".")</f>
        <v>2.5000000000000001E-4</v>
      </c>
      <c r="AP18" s="142">
        <f t="shared" si="9"/>
        <v>25</v>
      </c>
      <c r="AQ18" s="142">
        <f>IFERROR((s_C*s_IRGF_rec*s_EF_rec*s_ED_rec*s_CF_fowl*s_RadSpec!AO18)*((s_Q_p_fowl*s_f_p_fowl*s_f_s_fowl*(s_RadSpec!BG18+s_R_es_past))+(s_Q_s_fowl*s_f_p_fowl)),".")</f>
        <v>480.13241379310347</v>
      </c>
      <c r="AR18" s="142">
        <f>IFERROR(s_C*s_RadSpec!AO18*s_Q_w_fowl*(1/1000)*s_EF_rec*s_ED_rec*s_IRGL_rec*s_CF_fowl,".")</f>
        <v>0.12</v>
      </c>
    </row>
    <row r="19" spans="1:44" customFormat="1" x14ac:dyDescent="0.25">
      <c r="A19" s="128" t="s">
        <v>17</v>
      </c>
      <c r="B19" s="129" t="s">
        <v>1059</v>
      </c>
      <c r="C19" s="141" t="str">
        <f>IFERROR(((s_DL/(s_RadSpec!I19*s_IFS_rec_adj*(1/1000)))*1),".")</f>
        <v>.</v>
      </c>
      <c r="D19" s="141" t="str">
        <f>IFERROR(IF(A19="H-3",(s_DL/((s_RadSpec!L19*s_IFA_rec_adj*(1/17)*1000))*1),(s_DL/((s_RadSpec!L19*s_IFA_rec_adj*(1/s_PEF_wind)*1000))*1)),".")</f>
        <v>.</v>
      </c>
      <c r="E19" s="141">
        <f>IFERROR((DL/(s_RadSpec!K19*s_EF_rec*(1/365)*s_ED_rec*s_RadSpec!V19*s_ET_rec*(1/24)*s_RadSpec!AA19)),".")</f>
        <v>18554125.441167001</v>
      </c>
      <c r="F19" s="141">
        <f t="shared" ref="F19:F20" si="15">IF(AND(C19&lt;&gt;".",D19&lt;&gt;".",E19&lt;&gt;"."),1/((1/C19)+(1/D19)+(1/E19)),IF(AND(C19&lt;&gt;".",D19&lt;&gt;".",E19="."), 1/((1/C19)+(1/D19)),IF(AND(C19&lt;&gt;".",D19=".",E19&lt;&gt;"."),1/((1/C19)+(1/E19)),IF(AND(C19=".",D19&lt;&gt;".",E19&lt;&gt;"."),1/((1/D19)+(1/E19)),IF(AND(C19&lt;&gt;".",D19=".",E19="."),1/((1/C19)),IF(AND(C19=".",D19&lt;&gt;".",E19="."),1/((1/D19)),IF(AND(C19=".",D19=".",E19&lt;&gt;"."),1/((1/E19)),IF(AND(C19=".",D19=".",E19="."),"."))))))))</f>
        <v>18554125.441167001</v>
      </c>
      <c r="G19" s="142">
        <f t="shared" si="1"/>
        <v>1.375</v>
      </c>
      <c r="H19" s="142">
        <f t="shared" si="2"/>
        <v>1.4710247995501936E-4</v>
      </c>
      <c r="I19" s="142">
        <f>IFERROR((s_C*s_EF_rec*(1/365)*s_ED_rec*s_RadSpec!V19*s_ET_rec*(1/24)*s_RadSpec!AA19),".")</f>
        <v>1.2436399217221131E-3</v>
      </c>
      <c r="J19" s="141"/>
      <c r="K19" s="141">
        <f>IFERROR((s_DL/(s_RadSpec!K19*s_EF_rec*(1/365)*s_ED_rec*s_RadSpec!V19*s_ET_rec*(1/24)*s_RadSpec!AA19)),".")</f>
        <v>92770627.205835</v>
      </c>
      <c r="L19" s="141">
        <f>IFERROR((s_DL/(s_RadSpec!R19*s_EF_rec*(1/365)*s_ED_rec*s_RadSpec!W19*s_ET_rec*(1/24)*s_RadSpec!AB19)),".")</f>
        <v>944432964.43750429</v>
      </c>
      <c r="M19" s="141">
        <f>IFERROR((s_DL/(s_RadSpec!S19*s_EF_rec*(1/365)*s_ED_rec*s_RadSpec!X19*s_ET_rec*(1/24)*s_RadSpec!AC19)),".")</f>
        <v>228682725.02802259</v>
      </c>
      <c r="N19" s="141">
        <f>IFERROR((s_DL/(s_RadSpec!T19*s_EF_rec*(1/365)*s_ED_rec*s_RadSpec!Y19*s_ET_rec*(1/24)*s_RadSpec!AD19)),".")</f>
        <v>121151823.19238243</v>
      </c>
      <c r="O19" s="141">
        <f>IFERROR((s_DL/(s_RadSpec!P19*s_EF_rec*(1/365)*s_ED_rec*s_RadSpec!U19*s_ET_rec*(1/24)*s_RadSpec!Z19)),".")</f>
        <v>1645181466.9719732</v>
      </c>
      <c r="P19" s="142">
        <f>IFERROR((s_C*s_EF_rec*(1/365)*s_ED_rec*s_RadSpec!V19*s_ET_rec*(1/24)*s_RadSpec!AA19),".")</f>
        <v>1.2436399217221131E-3</v>
      </c>
      <c r="Q19" s="142">
        <f>IFERROR((s_C*s_EF_rec*(1/365)*s_ED_rec*s_RadSpec!W19*s_ET_rec*(1/24)*s_RadSpec!AB19),".")</f>
        <v>6.2702312816663517E-4</v>
      </c>
      <c r="R19" s="142">
        <f>IFERROR((s_C*s_EF_rec*(1/365)*s_ED_rec*s_RadSpec!X19*s_ET_rec*(1/24)*s_RadSpec!AC19),".")</f>
        <v>9.0453525268941978E-4</v>
      </c>
      <c r="S19" s="142">
        <f>IFERROR((s_C*s_EF_rec*(1/365)*s_ED_rec*s_RadSpec!Y19*s_ET_rec*(1/24)*s_RadSpec!AD19),".")</f>
        <v>1.0830113569839598E-3</v>
      </c>
      <c r="T19" s="142">
        <f>IFERROR((s_C*s_EF_rec*(1/365)*s_ED_rec*s_RadSpec!U19*s_ET_rec*(1/24)*s_RadSpec!Z19),".")</f>
        <v>3.6411911028693317E-4</v>
      </c>
      <c r="U19" s="141" t="str">
        <f>IFERROR((s_DL/(s_RadSpec!L19*s_IFA_rec_adj)),".")</f>
        <v>.</v>
      </c>
      <c r="V19" s="141">
        <f>IFERROR((s_DL/(s_RadSpec!O19*s_EF_rec*(1/365)*s_ED_rec*s_ET_rec*(1/24)*s_GSF_a)),".")</f>
        <v>2742.4020436530295</v>
      </c>
      <c r="W19" s="141">
        <f t="shared" si="14"/>
        <v>2742.4020436530295</v>
      </c>
      <c r="X19" s="142">
        <f t="shared" si="3"/>
        <v>45.572916666666657</v>
      </c>
      <c r="Y19" s="142">
        <f t="shared" si="4"/>
        <v>2.8538812785388126E-2</v>
      </c>
      <c r="Z19" s="141"/>
      <c r="AA19" s="141" t="str">
        <f>IFERROR((s_DL/(s_RadSpec!M19*s_IFW_rec_adj)),".")</f>
        <v>.</v>
      </c>
      <c r="AB19" s="141">
        <f>IFERROR((s_DL/(s_RadSpec!Q19*(1/8760)*s_DFA_rec_adj)),".")</f>
        <v>3160045.4815678438</v>
      </c>
      <c r="AC19" s="141">
        <f t="shared" si="5"/>
        <v>0</v>
      </c>
      <c r="AD19" s="142">
        <f t="shared" si="6"/>
        <v>200</v>
      </c>
      <c r="AE19" s="142">
        <f t="shared" si="7"/>
        <v>1.1415525114155251E-2</v>
      </c>
      <c r="AF19" s="141"/>
      <c r="AG19" s="141" t="str">
        <f>IFERROR(s_DL/(s_RadSpec!J19*s_EF_rec*s_ED_rec*s_IRGL_rec*s_CF_game),".")</f>
        <v>.</v>
      </c>
      <c r="AH19" s="141" t="str">
        <f>IFERROR((AG19/(s_RadSpec!AM19*((s_Q_p_game*s_f_p_game*s_f_s_game*(s_RadSpec!BG19+s_R_es_past))+(s_Q_s_game*s_f_p_game)))),".")</f>
        <v>.</v>
      </c>
      <c r="AI19" s="141" t="str">
        <f>IFERROR(AG19/(s_RadSpec!AM19*s_Q_w_game*(1/1000)),".")</f>
        <v>.</v>
      </c>
      <c r="AJ19" s="141" t="str">
        <f>IFERROR(s_DL/(s_RadSpec!J19*s_EF_rec*s_ED_rec*s_IRGF_rec*s_CF_fowl),".")</f>
        <v>.</v>
      </c>
      <c r="AK19" s="141" t="str">
        <f>IFERROR((AG19/(s_RadSpec!AO19*((s_Q_p_fowl*s_f_p_fowl*s_f_s_fowl*(s_RadSpec!BG19+s_R_es_past))+(s_Q_s_fowl*s_f_p_fowl)))),".")</f>
        <v>.</v>
      </c>
      <c r="AL19" s="141" t="str">
        <f>IFERROR(AG19/(s_RadSpec!AO19*s_Q_w_fowl*(1/1000)),".")</f>
        <v>.</v>
      </c>
      <c r="AM19" s="142">
        <f t="shared" si="8"/>
        <v>25</v>
      </c>
      <c r="AN19" s="142">
        <f>IFERROR((s_C*s_IRGL_rec*s_EF_rec*s_ED_rec*s_CF_game*s_RadSpec!AM19)*((s_Q_p_game*s_f_p_game*s_f_s_game*(s_RadSpec!BG19+s_R_es_past))+(s_Q_s_game*s_f_p_game)),".")</f>
        <v>1.0002758620689656</v>
      </c>
      <c r="AO19" s="142">
        <f>IFERROR(s_C*s_RadSpec!AM19*s_Q_w_game*(1/1000)*s_EF_rec*s_ED_rec*s_IRGL_rec*s_CF_game,".")</f>
        <v>2.5000000000000001E-4</v>
      </c>
      <c r="AP19" s="142">
        <f t="shared" si="9"/>
        <v>25</v>
      </c>
      <c r="AQ19" s="142">
        <f>IFERROR((s_C*s_IRGF_rec*s_EF_rec*s_ED_rec*s_CF_fowl*s_RadSpec!AO19)*((s_Q_p_fowl*s_f_p_fowl*s_f_s_fowl*(s_RadSpec!BG19+s_R_es_past))+(s_Q_s_fowl*s_f_p_fowl)),".")</f>
        <v>480.13241379310347</v>
      </c>
      <c r="AR19" s="142">
        <f>IFERROR(s_C*s_RadSpec!AO19*s_Q_w_fowl*(1/1000)*s_EF_rec*s_ED_rec*s_IRGL_rec*s_CF_fowl,".")</f>
        <v>0.12</v>
      </c>
    </row>
    <row r="20" spans="1:44" customFormat="1" x14ac:dyDescent="0.25">
      <c r="A20" s="128" t="s">
        <v>18</v>
      </c>
      <c r="B20" s="129" t="s">
        <v>1059</v>
      </c>
      <c r="C20" s="141" t="str">
        <f>IFERROR(((s_DL/(s_RadSpec!I20*s_IFS_rec_adj*(1/1000)))*1),".")</f>
        <v>.</v>
      </c>
      <c r="D20" s="141" t="str">
        <f>IFERROR(IF(A20="H-3",(s_DL/((s_RadSpec!L20*s_IFA_rec_adj*(1/17)*1000))*1),(s_DL/((s_RadSpec!L20*s_IFA_rec_adj*(1/s_PEF_wind)*1000))*1)),".")</f>
        <v>.</v>
      </c>
      <c r="E20" s="141">
        <f>IFERROR((DL/(s_RadSpec!K20*s_EF_rec*(1/365)*s_ED_rec*s_RadSpec!V20*s_ET_rec*(1/24)*s_RadSpec!AA20)),".")</f>
        <v>8234811.3046295987</v>
      </c>
      <c r="F20" s="141">
        <f t="shared" si="15"/>
        <v>8234811.3046295987</v>
      </c>
      <c r="G20" s="142">
        <f t="shared" si="1"/>
        <v>1.375</v>
      </c>
      <c r="H20" s="142">
        <f t="shared" si="2"/>
        <v>1.4710247995501936E-4</v>
      </c>
      <c r="I20" s="142">
        <f>IFERROR((s_C*s_EF_rec*(1/365)*s_ED_rec*s_RadSpec!V20*s_ET_rec*(1/24)*s_RadSpec!AA20),".")</f>
        <v>1.2647548604246112E-3</v>
      </c>
      <c r="J20" s="141"/>
      <c r="K20" s="141">
        <f>IFERROR((s_DL/(s_RadSpec!K20*s_EF_rec*(1/365)*s_ED_rec*s_RadSpec!V20*s_ET_rec*(1/24)*s_RadSpec!AA20)),".")</f>
        <v>41174056.523147993</v>
      </c>
      <c r="L20" s="141">
        <f>IFERROR((s_DL/(s_RadSpec!R20*s_EF_rec*(1/365)*s_ED_rec*s_RadSpec!W20*s_ET_rec*(1/24)*s_RadSpec!AB20)),".")</f>
        <v>417363574.70321488</v>
      </c>
      <c r="M20" s="141">
        <f>IFERROR((s_DL/(s_RadSpec!S20*s_EF_rec*(1/365)*s_ED_rec*s_RadSpec!X20*s_ET_rec*(1/24)*s_RadSpec!AC20)),".")</f>
        <v>102105109.51739748</v>
      </c>
      <c r="N20" s="141">
        <f>IFERROR((s_DL/(s_RadSpec!T20*s_EF_rec*(1/365)*s_ED_rec*s_RadSpec!Y20*s_ET_rec*(1/24)*s_RadSpec!AD20)),".")</f>
        <v>54248452.711512335</v>
      </c>
      <c r="O20" s="141">
        <f>IFERROR((s_DL/(s_RadSpec!P20*s_EF_rec*(1/365)*s_ED_rec*s_RadSpec!U20*s_ET_rec*(1/24)*s_RadSpec!Z20)),".")</f>
        <v>721991378.54358578</v>
      </c>
      <c r="P20" s="142">
        <f>IFERROR((s_C*s_EF_rec*(1/365)*s_ED_rec*s_RadSpec!V20*s_ET_rec*(1/24)*s_RadSpec!AA20),".")</f>
        <v>1.2647548604246112E-3</v>
      </c>
      <c r="Q20" s="142">
        <f>IFERROR((s_C*s_EF_rec*(1/365)*s_ED_rec*s_RadSpec!W20*s_ET_rec*(1/24)*s_RadSpec!AB20),".")</f>
        <v>6.4132561899089575E-4</v>
      </c>
      <c r="R20" s="142">
        <f>IFERROR((s_C*s_EF_rec*(1/365)*s_ED_rec*s_RadSpec!X20*s_ET_rec*(1/24)*s_RadSpec!AC20),".")</f>
        <v>9.1659951651893595E-4</v>
      </c>
      <c r="S20" s="142">
        <f>IFERROR((s_C*s_EF_rec*(1/365)*s_ED_rec*s_RadSpec!Y20*s_ET_rec*(1/24)*s_RadSpec!AD20),".")</f>
        <v>1.0916095890410953E-3</v>
      </c>
      <c r="T20" s="142">
        <f>IFERROR((s_C*s_EF_rec*(1/365)*s_ED_rec*s_RadSpec!U20*s_ET_rec*(1/24)*s_RadSpec!Z20),".")</f>
        <v>3.7637325376373235E-4</v>
      </c>
      <c r="U20" s="141" t="str">
        <f>IFERROR((s_DL/(s_RadSpec!L20*s_IFA_rec_adj)),".")</f>
        <v>.</v>
      </c>
      <c r="V20" s="141">
        <f>IFERROR((s_DL/(s_RadSpec!O20*s_EF_rec*(1/365)*s_ED_rec*s_ET_rec*(1/24)*s_GSF_a)),".")</f>
        <v>1234.0809196438636</v>
      </c>
      <c r="W20" s="141">
        <f t="shared" si="14"/>
        <v>1234.0809196438636</v>
      </c>
      <c r="X20" s="142">
        <f t="shared" si="3"/>
        <v>45.572916666666657</v>
      </c>
      <c r="Y20" s="142">
        <f t="shared" si="4"/>
        <v>2.8538812785388126E-2</v>
      </c>
      <c r="Z20" s="141"/>
      <c r="AA20" s="141" t="str">
        <f>IFERROR((s_DL/(s_RadSpec!M20*s_IFW_rec_adj)),".")</f>
        <v>.</v>
      </c>
      <c r="AB20" s="141">
        <f>IFERROR((s_DL/(s_RadSpec!Q20*(1/8760)*s_DFA_rec_adj)),".")</f>
        <v>1424516.2498926735</v>
      </c>
      <c r="AC20" s="141">
        <f t="shared" si="5"/>
        <v>0</v>
      </c>
      <c r="AD20" s="142">
        <f t="shared" si="6"/>
        <v>200</v>
      </c>
      <c r="AE20" s="142">
        <f t="shared" si="7"/>
        <v>1.1415525114155251E-2</v>
      </c>
      <c r="AF20" s="141"/>
      <c r="AG20" s="141" t="str">
        <f>IFERROR(s_DL/(s_RadSpec!J20*s_EF_rec*s_ED_rec*s_IRGL_rec*s_CF_game),".")</f>
        <v>.</v>
      </c>
      <c r="AH20" s="141" t="str">
        <f>IFERROR((AG20/(s_RadSpec!AM20*((s_Q_p_game*s_f_p_game*s_f_s_game*(s_RadSpec!BG20+s_R_es_past))+(s_Q_s_game*s_f_p_game)))),".")</f>
        <v>.</v>
      </c>
      <c r="AI20" s="141" t="str">
        <f>IFERROR(AG20/(s_RadSpec!AM20*s_Q_w_game*(1/1000)),".")</f>
        <v>.</v>
      </c>
      <c r="AJ20" s="141" t="str">
        <f>IFERROR(s_DL/(s_RadSpec!J20*s_EF_rec*s_ED_rec*s_IRGF_rec*s_CF_fowl),".")</f>
        <v>.</v>
      </c>
      <c r="AK20" s="141" t="str">
        <f>IFERROR((AG20/(s_RadSpec!AO20*((s_Q_p_fowl*s_f_p_fowl*s_f_s_fowl*(s_RadSpec!BG20+s_R_es_past))+(s_Q_s_fowl*s_f_p_fowl)))),".")</f>
        <v>.</v>
      </c>
      <c r="AL20" s="141" t="str">
        <f>IFERROR(AG20/(s_RadSpec!AO20*s_Q_w_fowl*(1/1000)),".")</f>
        <v>.</v>
      </c>
      <c r="AM20" s="142">
        <f t="shared" si="8"/>
        <v>25</v>
      </c>
      <c r="AN20" s="142">
        <f>IFERROR((s_C*s_IRGL_rec*s_EF_rec*s_ED_rec*s_CF_game*s_RadSpec!AM20)*((s_Q_p_game*s_f_p_game*s_f_s_game*(s_RadSpec!BG20+s_R_es_past))+(s_Q_s_game*s_f_p_game)),".")</f>
        <v>1.0002758620689656</v>
      </c>
      <c r="AO20" s="142">
        <f>IFERROR(s_C*s_RadSpec!AM20*s_Q_w_game*(1/1000)*s_EF_rec*s_ED_rec*s_IRGL_rec*s_CF_game,".")</f>
        <v>2.5000000000000001E-4</v>
      </c>
      <c r="AP20" s="142">
        <f t="shared" si="9"/>
        <v>25</v>
      </c>
      <c r="AQ20" s="142">
        <f>IFERROR((s_C*s_IRGF_rec*s_EF_rec*s_ED_rec*s_CF_fowl*s_RadSpec!AO20)*((s_Q_p_fowl*s_f_p_fowl*s_f_s_fowl*(s_RadSpec!BG20+s_R_es_past))+(s_Q_s_fowl*s_f_p_fowl)),".")</f>
        <v>480.13241379310347</v>
      </c>
      <c r="AR20" s="142">
        <f>IFERROR(s_C*s_RadSpec!AO20*s_Q_w_fowl*(1/1000)*s_EF_rec*s_ED_rec*s_IRGL_rec*s_CF_fowl,".")</f>
        <v>0.12</v>
      </c>
    </row>
    <row r="21" spans="1:44" customFormat="1" x14ac:dyDescent="0.25">
      <c r="A21" s="128" t="s">
        <v>19</v>
      </c>
      <c r="B21" s="129" t="s">
        <v>1059</v>
      </c>
      <c r="C21" s="141" t="str">
        <f>IFERROR(((s_DL/(s_RadSpec!I21*s_IFS_rec_adj*(1/1000)))*1),".")</f>
        <v>.</v>
      </c>
      <c r="D21" s="141">
        <f>IFERROR(IF(A21="H-3",(s_DL/((s_RadSpec!L21*s_IFA_rec_adj*(1/17)*1000))*1),(s_DL/((s_RadSpec!L21*s_IFA_rec_adj*(1/s_PEF_wind)*1000))*1)),".")</f>
        <v>22303090308.309761</v>
      </c>
      <c r="E21" s="141" t="str">
        <f>IFERROR((DL/(s_RadSpec!K21*s_EF_rec*(1/365)*s_ED_rec*s_RadSpec!V21*s_ET_rec*(1/24)*s_RadSpec!AA21)),".")</f>
        <v>.</v>
      </c>
      <c r="F21" s="141">
        <f>IF(AND(C21&lt;&gt;".",D21&lt;&gt;".",E21&lt;&gt;"."),1/((1/C21)+(1/D21)+(1/E21)),IF(AND(C21&lt;&gt;".",D21&lt;&gt;".",E21="."), 1/((1/C21)+(1/D21)),IF(AND(C21&lt;&gt;".",D21=".",E21&lt;&gt;"."),1/((1/C21)+(1/E21)),IF(AND(C21=".",D21&lt;&gt;".",E21&lt;&gt;"."),1/((1/D21)+(1/E21)),IF(AND(C21&lt;&gt;".",D21=".",E21="."),1/((1/C21)),IF(AND(C21=".",D21&lt;&gt;".",E21="."),1/((1/D21)),IF(AND(C21=".",D21=".",E21&lt;&gt;"."),1/((1/E21)),IF(AND(C21=".",D21=".",E21="."),"."))))))))</f>
        <v>22303090308.309761</v>
      </c>
      <c r="G21" s="142">
        <f t="shared" si="1"/>
        <v>1.375</v>
      </c>
      <c r="H21" s="142">
        <f t="shared" si="2"/>
        <v>1.4710247995501936E-4</v>
      </c>
      <c r="I21" s="142">
        <f>IFERROR((s_C*s_EF_rec*(1/365)*s_ED_rec*s_RadSpec!V21*s_ET_rec*(1/24)*s_RadSpec!AA21),".")</f>
        <v>0</v>
      </c>
      <c r="J21" s="141"/>
      <c r="K21" s="141" t="str">
        <f>IFERROR((s_DL/(s_RadSpec!K21*s_EF_rec*(1/365)*s_ED_rec*s_RadSpec!V21*s_ET_rec*(1/24)*s_RadSpec!AA21)),".")</f>
        <v>.</v>
      </c>
      <c r="L21" s="141" t="str">
        <f>IFERROR((s_DL/(s_RadSpec!R21*s_EF_rec*(1/365)*s_ED_rec*s_RadSpec!W21*s_ET_rec*(1/24)*s_RadSpec!AB21)),".")</f>
        <v>.</v>
      </c>
      <c r="M21" s="141" t="str">
        <f>IFERROR((s_DL/(s_RadSpec!S21*s_EF_rec*(1/365)*s_ED_rec*s_RadSpec!X21*s_ET_rec*(1/24)*s_RadSpec!AC21)),".")</f>
        <v>.</v>
      </c>
      <c r="N21" s="141" t="str">
        <f>IFERROR((s_DL/(s_RadSpec!T21*s_EF_rec*(1/365)*s_ED_rec*s_RadSpec!Y21*s_ET_rec*(1/24)*s_RadSpec!AD21)),".")</f>
        <v>.</v>
      </c>
      <c r="O21" s="141" t="str">
        <f>IFERROR((s_DL/(s_RadSpec!P21*s_EF_rec*(1/365)*s_ED_rec*s_RadSpec!U21*s_ET_rec*(1/24)*s_RadSpec!Z21)),".")</f>
        <v>.</v>
      </c>
      <c r="P21" s="142">
        <f>IFERROR((s_C*s_EF_rec*(1/365)*s_ED_rec*s_RadSpec!V21*s_ET_rec*(1/24)*s_RadSpec!AA21),".")</f>
        <v>0</v>
      </c>
      <c r="Q21" s="142">
        <f>IFERROR((s_C*s_EF_rec*(1/365)*s_ED_rec*s_RadSpec!W21*s_ET_rec*(1/24)*s_RadSpec!AB21),".")</f>
        <v>0</v>
      </c>
      <c r="R21" s="142">
        <f>IFERROR((s_C*s_EF_rec*(1/365)*s_ED_rec*s_RadSpec!X21*s_ET_rec*(1/24)*s_RadSpec!AC21),".")</f>
        <v>0</v>
      </c>
      <c r="S21" s="142">
        <f>IFERROR((s_C*s_EF_rec*(1/365)*s_ED_rec*s_RadSpec!Y21*s_ET_rec*(1/24)*s_RadSpec!AD21),".")</f>
        <v>0</v>
      </c>
      <c r="T21" s="142">
        <f>IFERROR((s_C*s_EF_rec*(1/365)*s_ED_rec*s_RadSpec!U21*s_ET_rec*(1/24)*s_RadSpec!Z21),".")</f>
        <v>0</v>
      </c>
      <c r="U21" s="141">
        <f>IFERROR((s_DL/(s_RadSpec!L21*s_IFA_rec_adj)),".")</f>
        <v>71991.001124859409</v>
      </c>
      <c r="V21" s="141">
        <f>IFERROR((s_DL/(s_RadSpec!O21*s_EF_rec*(1/365)*s_ED_rec*s_ET_rec*(1/24)*s_GSF_a)),".")</f>
        <v>1789888.3567353745</v>
      </c>
      <c r="W21" s="141">
        <f>IFERROR(IF(AND(U21&lt;&gt;".",V21&lt;&gt;"."),1/((1/U21)+(1/V21)),IF(AND(U21&lt;&gt;".",V21="."),1/((1/U21)),IF(AND(U21=".",V21&lt;&gt;"."),1/((1/V21)),IF(AND(U21=".",V21="."),".")))),".")</f>
        <v>69207.413551862337</v>
      </c>
      <c r="X21" s="142">
        <f t="shared" si="3"/>
        <v>45.572916666666657</v>
      </c>
      <c r="Y21" s="142">
        <f t="shared" si="4"/>
        <v>2.8538812785388126E-2</v>
      </c>
      <c r="Z21" s="141"/>
      <c r="AA21" s="141" t="str">
        <f>IFERROR((s_DL/(s_RadSpec!M21*s_IFW_rec_adj)),".")</f>
        <v>.</v>
      </c>
      <c r="AB21" s="141">
        <f>IFERROR((s_DL/(s_RadSpec!Q21*(1/8760)*s_DFA_rec_adj)),".")</f>
        <v>4099219837.9778686</v>
      </c>
      <c r="AC21" s="141">
        <f t="shared" si="5"/>
        <v>0</v>
      </c>
      <c r="AD21" s="142">
        <f t="shared" si="6"/>
        <v>200</v>
      </c>
      <c r="AE21" s="142">
        <f t="shared" si="7"/>
        <v>1.1415525114155251E-2</v>
      </c>
      <c r="AF21" s="141"/>
      <c r="AG21" s="141" t="str">
        <f>IFERROR(s_DL/(s_RadSpec!J21*s_EF_rec*s_ED_rec*s_IRGL_rec*s_CF_game),".")</f>
        <v>.</v>
      </c>
      <c r="AH21" s="141" t="str">
        <f>IFERROR((AG21/(s_RadSpec!AM21*((s_Q_p_game*s_f_p_game*s_f_s_game*(s_RadSpec!BG21+s_R_es_past))+(s_Q_s_game*s_f_p_game)))),".")</f>
        <v>.</v>
      </c>
      <c r="AI21" s="141" t="str">
        <f>IFERROR(AG21/(s_RadSpec!AM21*s_Q_w_game*(1/1000)),".")</f>
        <v>.</v>
      </c>
      <c r="AJ21" s="141" t="str">
        <f>IFERROR(s_DL/(s_RadSpec!J21*s_EF_rec*s_ED_rec*s_IRGF_rec*s_CF_fowl),".")</f>
        <v>.</v>
      </c>
      <c r="AK21" s="141" t="str">
        <f>IFERROR((AG21/(s_RadSpec!AO21*((s_Q_p_fowl*s_f_p_fowl*s_f_s_fowl*(s_RadSpec!BG21+s_R_es_past))+(s_Q_s_fowl*s_f_p_fowl)))),".")</f>
        <v>.</v>
      </c>
      <c r="AL21" s="141" t="str">
        <f>IFERROR(AG21/(s_RadSpec!AO21*s_Q_w_fowl*(1/1000)),".")</f>
        <v>.</v>
      </c>
      <c r="AM21" s="142">
        <f t="shared" si="8"/>
        <v>25</v>
      </c>
      <c r="AN21" s="142">
        <f>IFERROR((s_C*s_IRGL_rec*s_EF_rec*s_ED_rec*s_CF_game*s_RadSpec!AM21)*((s_Q_p_game*s_f_p_game*s_f_s_game*(s_RadSpec!BG21+s_R_es_past))+(s_Q_s_game*s_f_p_game)),".")</f>
        <v>1.0002758620689656</v>
      </c>
      <c r="AO21" s="142">
        <f>IFERROR(s_C*s_RadSpec!AM21*s_Q_w_game*(1/1000)*s_EF_rec*s_ED_rec*s_IRGL_rec*s_CF_game,".")</f>
        <v>2.5000000000000001E-4</v>
      </c>
      <c r="AP21" s="142">
        <f t="shared" si="9"/>
        <v>25</v>
      </c>
      <c r="AQ21" s="142">
        <f>IFERROR((s_C*s_IRGF_rec*s_EF_rec*s_ED_rec*s_CF_fowl*s_RadSpec!AO21)*((s_Q_p_fowl*s_f_p_fowl*s_f_s_fowl*(s_RadSpec!BG21+s_R_es_past))+(s_Q_s_fowl*s_f_p_fowl)),".")</f>
        <v>480.13241379310347</v>
      </c>
      <c r="AR21" s="142">
        <f>IFERROR(s_C*s_RadSpec!AO21*s_Q_w_fowl*(1/1000)*s_EF_rec*s_ED_rec*s_IRGL_rec*s_CF_fowl,".")</f>
        <v>0.12</v>
      </c>
    </row>
    <row r="22" spans="1:44" customFormat="1" x14ac:dyDescent="0.25">
      <c r="A22" s="128" t="s">
        <v>20</v>
      </c>
      <c r="B22" s="129" t="s">
        <v>1059</v>
      </c>
      <c r="C22" s="141">
        <f>IFERROR(((s_DL/(s_RadSpec!I22*s_IFS_rec_adj*(1/1000)))*1),".")</f>
        <v>20647.079470608882</v>
      </c>
      <c r="D22" s="141">
        <f>IFERROR(IF(A22="H-3",(s_DL/((s_RadSpec!L22*s_IFA_rec_adj*(1/17)*1000))*1),(s_DL/((s_RadSpec!L22*s_IFA_rec_adj*(1/s_PEF_wind)*1000))*1)),".")</f>
        <v>5461630.2390757585</v>
      </c>
      <c r="E22" s="141">
        <f>IFERROR((DL/(s_RadSpec!K22*s_EF_rec*(1/365)*s_ED_rec*s_RadSpec!V22*s_ET_rec*(1/24)*s_RadSpec!AA22)),".")</f>
        <v>1886966226627.9675</v>
      </c>
      <c r="F22" s="141">
        <f t="shared" ref="F22:F23" si="16">IF(AND(C22&lt;&gt;".",D22&lt;&gt;".",E22&lt;&gt;"."),1/((1/C22)+(1/D22)+(1/E22)),IF(AND(C22&lt;&gt;".",D22&lt;&gt;".",E22="."), 1/((1/C22)+(1/D22)),IF(AND(C22&lt;&gt;".",D22=".",E22&lt;&gt;"."),1/((1/C22)+(1/E22)),IF(AND(C22=".",D22&lt;&gt;".",E22&lt;&gt;"."),1/((1/D22)+(1/E22)),IF(AND(C22&lt;&gt;".",D22=".",E22="."),1/((1/C22)),IF(AND(C22=".",D22&lt;&gt;".",E22="."),1/((1/D22)),IF(AND(C22=".",D22=".",E22&lt;&gt;"."),1/((1/E22)),IF(AND(C22=".",D22=".",E22="."),"."))))))))</f>
        <v>20569.319245225252</v>
      </c>
      <c r="G22" s="142">
        <f t="shared" si="1"/>
        <v>1.375</v>
      </c>
      <c r="H22" s="142">
        <f t="shared" si="2"/>
        <v>1.4710247995501936E-4</v>
      </c>
      <c r="I22" s="142">
        <f>IFERROR((s_C*s_EF_rec*(1/365)*s_ED_rec*s_RadSpec!V22*s_ET_rec*(1/24)*s_RadSpec!AA22),".")</f>
        <v>2.9737922566286777E-10</v>
      </c>
      <c r="J22" s="141"/>
      <c r="K22" s="141">
        <f>IFERROR((s_DL/(s_RadSpec!K22*s_EF_rec*(1/365)*s_ED_rec*s_RadSpec!V22*s_ET_rec*(1/24)*s_RadSpec!AA22)),".")</f>
        <v>9434831133139.8379</v>
      </c>
      <c r="L22" s="141">
        <f>IFERROR((s_DL/(s_RadSpec!R22*s_EF_rec*(1/365)*s_ED_rec*s_RadSpec!W22*s_ET_rec*(1/24)*s_RadSpec!AB22)),".")</f>
        <v>11918564154101.873</v>
      </c>
      <c r="M22" s="141">
        <f>IFERROR((s_DL/(s_RadSpec!S22*s_EF_rec*(1/365)*s_ED_rec*s_RadSpec!X22*s_ET_rec*(1/24)*s_RadSpec!AC22)),".")</f>
        <v>6669895658209.0732</v>
      </c>
      <c r="N22" s="141">
        <f>IFERROR((s_DL/(s_RadSpec!T22*s_EF_rec*(1/365)*s_ED_rec*s_RadSpec!Y22*s_ET_rec*(1/24)*s_RadSpec!AD22)),".")</f>
        <v>6844326903364.918</v>
      </c>
      <c r="O22" s="141">
        <f>IFERROR((s_DL/(s_RadSpec!P22*s_EF_rec*(1/365)*s_ED_rec*s_RadSpec!U22*s_ET_rec*(1/24)*s_RadSpec!Z22)),".")</f>
        <v>33652210005789.348</v>
      </c>
      <c r="P22" s="142">
        <f>IFERROR((s_C*s_EF_rec*(1/365)*s_ED_rec*s_RadSpec!V22*s_ET_rec*(1/24)*s_RadSpec!AA22),".")</f>
        <v>2.9737922566286777E-10</v>
      </c>
      <c r="Q22" s="142">
        <f>IFERROR((s_C*s_EF_rec*(1/365)*s_ED_rec*s_RadSpec!W22*s_ET_rec*(1/24)*s_RadSpec!AB22),".")</f>
        <v>3.2453616472305655E-10</v>
      </c>
      <c r="R22" s="142">
        <f>IFERROR((s_C*s_EF_rec*(1/365)*s_ED_rec*s_RadSpec!X22*s_ET_rec*(1/24)*s_RadSpec!AC22),".")</f>
        <v>4.2242585050804226E-10</v>
      </c>
      <c r="S22" s="142">
        <f>IFERROR((s_C*s_EF_rec*(1/365)*s_ED_rec*s_RadSpec!Y22*s_ET_rec*(1/24)*s_RadSpec!AD22),".")</f>
        <v>4.0993406893724609E-10</v>
      </c>
      <c r="T22" s="142">
        <f>IFERROR((s_C*s_EF_rec*(1/365)*s_ED_rec*s_RadSpec!U22*s_ET_rec*(1/24)*s_RadSpec!Z22),".")</f>
        <v>5.7772242015483192E-11</v>
      </c>
      <c r="U22" s="141">
        <f>IFERROR((s_DL/(s_RadSpec!L22*s_IFA_rec_adj)),".")</f>
        <v>17.629316083537251</v>
      </c>
      <c r="V22" s="141">
        <f>IFERROR((s_DL/(s_RadSpec!O22*s_EF_rec*(1/365)*s_ED_rec*s_ET_rec*(1/24)*s_GSF_a)),".")</f>
        <v>18.985860302213283</v>
      </c>
      <c r="W22" s="141">
        <f t="shared" ref="W22:W24" si="17">IFERROR(IF(AND(U22&lt;&gt;".",V22&lt;&gt;"."),1/((1/U22)+(1/V22)),IF(AND(U22&lt;&gt;".",V22="."),1/((1/U22)),IF(AND(U22=".",V22&lt;&gt;"."),1/((1/V22)),IF(AND(U22=".",V22="."),".")))),".")</f>
        <v>9.1412295508115502</v>
      </c>
      <c r="X22" s="142">
        <f t="shared" si="3"/>
        <v>45.572916666666657</v>
      </c>
      <c r="Y22" s="142">
        <f t="shared" si="4"/>
        <v>2.8538812785388126E-2</v>
      </c>
      <c r="Z22" s="141"/>
      <c r="AA22" s="141">
        <f>IFERROR((s_DL/(s_RadSpec!M22*s_IFW_rec_adj)),".")</f>
        <v>141.94867136043604</v>
      </c>
      <c r="AB22" s="141">
        <f>IFERROR((s_DL/(s_RadSpec!Q22*(1/8760)*s_DFA_rec_adj)),".")</f>
        <v>21590.734321577722</v>
      </c>
      <c r="AC22" s="141">
        <f t="shared" si="5"/>
        <v>141.02152282072097</v>
      </c>
      <c r="AD22" s="142">
        <f t="shared" si="6"/>
        <v>200</v>
      </c>
      <c r="AE22" s="142">
        <f t="shared" si="7"/>
        <v>1.1415525114155251E-2</v>
      </c>
      <c r="AF22" s="141"/>
      <c r="AG22" s="141">
        <f>IFERROR(s_DL/(s_RadSpec!J22*s_EF_rec*s_ED_rec*s_IRGL_rec*s_CF_game),".")</f>
        <v>1135.5893708834883</v>
      </c>
      <c r="AH22" s="141">
        <f>IFERROR((AG22/(s_RadSpec!AM22*((s_Q_p_game*s_f_p_game*s_f_s_game*(s_RadSpec!BG22+s_R_es_past))+(s_Q_s_game*s_f_p_game)))),".")</f>
        <v>81898.895207626061</v>
      </c>
      <c r="AI22" s="141">
        <f>IFERROR(AG22/(s_RadSpec!AM22*s_Q_w_game*(1/1000)),".")</f>
        <v>333996873.78926128</v>
      </c>
      <c r="AJ22" s="141">
        <f>IFERROR(s_DL/(s_RadSpec!J22*s_EF_rec*s_ED_rec*s_IRGF_rec*s_CF_fowl),".")</f>
        <v>1135.5893708834883</v>
      </c>
      <c r="AK22" s="141" t="str">
        <f>IFERROR((AG22/(s_RadSpec!AO22*((s_Q_p_fowl*s_f_p_fowl*s_f_s_fowl*(s_RadSpec!BG22+s_R_es_past))+(s_Q_s_fowl*s_f_p_fowl)))),".")</f>
        <v>.</v>
      </c>
      <c r="AL22" s="141" t="str">
        <f>IFERROR(AG22/(s_RadSpec!AO22*s_Q_w_fowl*(1/1000)),".")</f>
        <v>.</v>
      </c>
      <c r="AM22" s="142">
        <f t="shared" si="8"/>
        <v>25</v>
      </c>
      <c r="AN22" s="142">
        <f>IFERROR((s_C*s_IRGL_rec*s_EF_rec*s_ED_rec*s_CF_game*s_RadSpec!AM22)*((s_Q_p_game*s_f_p_game*s_f_s_game*(s_RadSpec!BG22+s_R_es_past))+(s_Q_s_game*s_f_p_game)),".")</f>
        <v>0.34664367816091951</v>
      </c>
      <c r="AO22" s="142">
        <f>IFERROR(s_C*s_RadSpec!AM22*s_Q_w_game*(1/1000)*s_EF_rec*s_ED_rec*s_IRGL_rec*s_CF_game,".")</f>
        <v>8.4999999999999979E-5</v>
      </c>
      <c r="AP22" s="142">
        <f t="shared" si="9"/>
        <v>25</v>
      </c>
      <c r="AQ22" s="142">
        <f>IFERROR((s_C*s_IRGF_rec*s_EF_rec*s_ED_rec*s_CF_fowl*s_RadSpec!AO22)*((s_Q_p_fowl*s_f_p_fowl*s_f_s_fowl*(s_RadSpec!BG22+s_R_es_past))+(s_Q_s_fowl*s_f_p_fowl)),".")</f>
        <v>0</v>
      </c>
      <c r="AR22" s="142">
        <f>IFERROR(s_C*s_RadSpec!AO22*s_Q_w_fowl*(1/1000)*s_EF_rec*s_ED_rec*s_IRGL_rec*s_CF_fowl,".")</f>
        <v>0</v>
      </c>
    </row>
    <row r="23" spans="1:44" customFormat="1" x14ac:dyDescent="0.25">
      <c r="A23" s="131" t="s">
        <v>21</v>
      </c>
      <c r="B23" s="129" t="s">
        <v>336</v>
      </c>
      <c r="C23" s="141">
        <f>IFERROR(((s_DL/(s_RadSpec!I23*s_IFS_rec_adj*(1/1000)))*1),".")</f>
        <v>10847.692966898265</v>
      </c>
      <c r="D23" s="141">
        <f>IFERROR(IF(A23="H-3",(s_DL/((s_RadSpec!L23*s_IFA_rec_adj*(1/17)*1000))*1),(s_DL/((s_RadSpec!L23*s_IFA_rec_adj*(1/s_PEF_wind)*1000))*1)),".")</f>
        <v>4459447.6029735077</v>
      </c>
      <c r="E23" s="141">
        <f>IFERROR((DL/(s_RadSpec!K23*s_EF_rec*(1/365)*s_ED_rec*s_RadSpec!V23*s_ET_rec*(1/24)*s_RadSpec!AA23)),".")</f>
        <v>121250.5223772958</v>
      </c>
      <c r="F23" s="141">
        <f t="shared" si="16"/>
        <v>9934.7159840726163</v>
      </c>
      <c r="G23" s="142">
        <f t="shared" si="1"/>
        <v>1.375</v>
      </c>
      <c r="H23" s="142">
        <f t="shared" si="2"/>
        <v>1.4710247995501936E-4</v>
      </c>
      <c r="I23" s="142">
        <f>IFERROR((s_C*s_EF_rec*(1/365)*s_ED_rec*s_RadSpec!V23*s_ET_rec*(1/24)*s_RadSpec!AA23),".")</f>
        <v>1.298555729385279E-3</v>
      </c>
      <c r="J23" s="141"/>
      <c r="K23" s="141">
        <f>IFERROR((s_DL/(s_RadSpec!K23*s_EF_rec*(1/365)*s_ED_rec*s_RadSpec!V23*s_ET_rec*(1/24)*s_RadSpec!AA23)),".")</f>
        <v>606252.61188647896</v>
      </c>
      <c r="L23" s="141">
        <f>IFERROR((s_DL/(s_RadSpec!R23*s_EF_rec*(1/365)*s_ED_rec*s_RadSpec!W23*s_ET_rec*(1/24)*s_RadSpec!AB23)),".")</f>
        <v>4326744.7943226816</v>
      </c>
      <c r="M23" s="141">
        <f>IFERROR((s_DL/(s_RadSpec!S23*s_EF_rec*(1/365)*s_ED_rec*s_RadSpec!X23*s_ET_rec*(1/24)*s_RadSpec!AC23)),".")</f>
        <v>1108760.3317740473</v>
      </c>
      <c r="N23" s="141">
        <f>IFERROR((s_DL/(s_RadSpec!T23*s_EF_rec*(1/365)*s_ED_rec*s_RadSpec!Y23*s_ET_rec*(1/24)*s_RadSpec!AD23)),".")</f>
        <v>639506.51654787257</v>
      </c>
      <c r="O23" s="141">
        <f>IFERROR((s_DL/(s_RadSpec!P23*s_EF_rec*(1/365)*s_ED_rec*s_RadSpec!U23*s_ET_rec*(1/24)*s_RadSpec!Z23)),".")</f>
        <v>6908135.3481583055</v>
      </c>
      <c r="P23" s="142">
        <f>IFERROR((s_C*s_EF_rec*(1/365)*s_ED_rec*s_RadSpec!V23*s_ET_rec*(1/24)*s_RadSpec!AA23),".")</f>
        <v>1.298555729385279E-3</v>
      </c>
      <c r="Q23" s="142">
        <f>IFERROR((s_C*s_EF_rec*(1/365)*s_ED_rec*s_RadSpec!W23*s_ET_rec*(1/24)*s_RadSpec!AB23),".")</f>
        <v>7.2951798031949545E-4</v>
      </c>
      <c r="R23" s="142">
        <f>IFERROR((s_C*s_EF_rec*(1/365)*s_ED_rec*s_RadSpec!X23*s_ET_rec*(1/24)*s_RadSpec!AC23),".")</f>
        <v>1.0316671337981297E-3</v>
      </c>
      <c r="S23" s="142">
        <f>IFERROR((s_C*s_EF_rec*(1/365)*s_ED_rec*s_RadSpec!Y23*s_ET_rec*(1/24)*s_RadSpec!AD23),".")</f>
        <v>1.2606951278982135E-3</v>
      </c>
      <c r="T23" s="142">
        <f>IFERROR((s_C*s_EF_rec*(1/365)*s_ED_rec*s_RadSpec!U23*s_ET_rec*(1/24)*s_RadSpec!Z23),".")</f>
        <v>4.6343432473569464E-4</v>
      </c>
      <c r="U23" s="141">
        <f>IFERROR((s_DL/(s_RadSpec!L23*s_IFA_rec_adj)),".")</f>
        <v>14.394422161412455</v>
      </c>
      <c r="V23" s="141">
        <f>IFERROR((s_DL/(s_RadSpec!O23*s_EF_rec*(1/365)*s_ED_rec*s_ET_rec*(1/24)*s_GSF_a)),".")</f>
        <v>15.078802233590617</v>
      </c>
      <c r="W23" s="141">
        <f t="shared" si="17"/>
        <v>7.3643332039215732</v>
      </c>
      <c r="X23" s="142">
        <f t="shared" si="3"/>
        <v>45.572916666666657</v>
      </c>
      <c r="Y23" s="142">
        <f t="shared" si="4"/>
        <v>2.8538812785388126E-2</v>
      </c>
      <c r="Z23" s="141"/>
      <c r="AA23" s="141">
        <f>IFERROR((s_DL/(s_RadSpec!M23*s_IFW_rec_adj)),".")</f>
        <v>74.577889147425566</v>
      </c>
      <c r="AB23" s="141">
        <f>IFERROR((s_DL/(s_RadSpec!Q23*(1/8760)*s_DFA_rec_adj)),".")</f>
        <v>17140.012772831436</v>
      </c>
      <c r="AC23" s="141">
        <f t="shared" si="5"/>
        <v>74.254799179217969</v>
      </c>
      <c r="AD23" s="142">
        <f t="shared" si="6"/>
        <v>200</v>
      </c>
      <c r="AE23" s="142">
        <f t="shared" si="7"/>
        <v>1.1415525114155251E-2</v>
      </c>
      <c r="AF23" s="141"/>
      <c r="AG23" s="141">
        <f>IFERROR(s_DL/(s_RadSpec!J23*s_EF_rec*s_ED_rec*s_IRGL_rec*s_CF_game),".")</f>
        <v>596.62311317940453</v>
      </c>
      <c r="AH23" s="141">
        <f>IFERROR((AG23/(s_RadSpec!AM23*((s_Q_p_game*s_f_p_game*s_f_s_game*(s_RadSpec!BG23+s_R_es_past))+(s_Q_s_game*s_f_p_game)))),".")</f>
        <v>43028.558630055202</v>
      </c>
      <c r="AI23" s="141">
        <f>IFERROR(AG23/(s_RadSpec!AM23*s_Q_w_game*(1/1000)),".")</f>
        <v>175477386.22923663</v>
      </c>
      <c r="AJ23" s="141">
        <f>IFERROR(s_DL/(s_RadSpec!J23*s_EF_rec*s_ED_rec*s_IRGF_rec*s_CF_fowl),".")</f>
        <v>596.62311317940453</v>
      </c>
      <c r="AK23" s="141" t="str">
        <f>IFERROR((AG23/(s_RadSpec!AO23*((s_Q_p_fowl*s_f_p_fowl*s_f_s_fowl*(s_RadSpec!BG23+s_R_es_past))+(s_Q_s_fowl*s_f_p_fowl)))),".")</f>
        <v>.</v>
      </c>
      <c r="AL23" s="141" t="str">
        <f>IFERROR(AG23/(s_RadSpec!AO23*s_Q_w_fowl*(1/1000)),".")</f>
        <v>.</v>
      </c>
      <c r="AM23" s="142">
        <f t="shared" si="8"/>
        <v>25</v>
      </c>
      <c r="AN23" s="142">
        <f>IFERROR((s_C*s_IRGL_rec*s_EF_rec*s_ED_rec*s_CF_game*s_RadSpec!AM23)*((s_Q_p_game*s_f_p_game*s_f_s_game*(s_RadSpec!BG23+s_R_es_past))+(s_Q_s_game*s_f_p_game)),".")</f>
        <v>0.34664367816091951</v>
      </c>
      <c r="AO23" s="142">
        <f>IFERROR(s_C*s_RadSpec!AM23*s_Q_w_game*(1/1000)*s_EF_rec*s_ED_rec*s_IRGL_rec*s_CF_game,".")</f>
        <v>8.4999999999999979E-5</v>
      </c>
      <c r="AP23" s="142">
        <f t="shared" si="9"/>
        <v>25</v>
      </c>
      <c r="AQ23" s="142">
        <f>IFERROR((s_C*s_IRGF_rec*s_EF_rec*s_ED_rec*s_CF_fowl*s_RadSpec!AO23)*((s_Q_p_fowl*s_f_p_fowl*s_f_s_fowl*(s_RadSpec!BG23+s_R_es_past))+(s_Q_s_fowl*s_f_p_fowl)),".")</f>
        <v>0</v>
      </c>
      <c r="AR23" s="142">
        <f>IFERROR(s_C*s_RadSpec!AO23*s_Q_w_fowl*(1/1000)*s_EF_rec*s_ED_rec*s_IRGL_rec*s_CF_fowl,".")</f>
        <v>0</v>
      </c>
    </row>
    <row r="24" spans="1:44" customFormat="1" x14ac:dyDescent="0.25">
      <c r="A24" s="128" t="s">
        <v>22</v>
      </c>
      <c r="B24" s="129" t="s">
        <v>1059</v>
      </c>
      <c r="C24" s="141" t="str">
        <f>IFERROR(((s_DL/(s_RadSpec!I24*s_IFS_rec_adj*(1/1000)))*1),".")</f>
        <v>.</v>
      </c>
      <c r="D24" s="141" t="str">
        <f>IFERROR(IF(A24="H-3",(s_DL/((s_RadSpec!L24*s_IFA_rec_adj*(1/17)*1000))*1),(s_DL/((s_RadSpec!L24*s_IFA_rec_adj*(1/s_PEF_wind)*1000))*1)),".")</f>
        <v>.</v>
      </c>
      <c r="E24" s="141">
        <f>IFERROR((DL/(s_RadSpec!K24*s_EF_rec*(1/365)*s_ED_rec*s_RadSpec!V24*s_ET_rec*(1/24)*s_RadSpec!AA24)),".")</f>
        <v>1185152.0178993058</v>
      </c>
      <c r="F24" s="141">
        <f>IF(AND(C24&lt;&gt;".",D24&lt;&gt;".",E24&lt;&gt;"."),1/((1/C24)+(1/D24)+(1/E24)),IF(AND(C24&lt;&gt;".",D24&lt;&gt;".",E24="."), 1/((1/C24)+(1/D24)),IF(AND(C24&lt;&gt;".",D24=".",E24&lt;&gt;"."),1/((1/C24)+(1/E24)),IF(AND(C24=".",D24&lt;&gt;".",E24&lt;&gt;"."),1/((1/D24)+(1/E24)),IF(AND(C24&lt;&gt;".",D24=".",E24="."),1/((1/C24)),IF(AND(C24=".",D24&lt;&gt;".",E24="."),1/((1/D24)),IF(AND(C24=".",D24=".",E24&lt;&gt;"."),1/((1/E24)),IF(AND(C24=".",D24=".",E24="."),"."))))))))</f>
        <v>1185152.0178993058</v>
      </c>
      <c r="G24" s="142">
        <f t="shared" si="1"/>
        <v>1.375</v>
      </c>
      <c r="H24" s="142">
        <f t="shared" si="2"/>
        <v>1.4710247995501936E-4</v>
      </c>
      <c r="I24" s="142">
        <f>IFERROR((s_C*s_EF_rec*(1/365)*s_ED_rec*s_RadSpec!V24*s_ET_rec*(1/24)*s_RadSpec!AA24),".")</f>
        <v>9.9056784265707468E-4</v>
      </c>
      <c r="J24" s="141"/>
      <c r="K24" s="141">
        <f>IFERROR((s_DL/(s_RadSpec!K24*s_EF_rec*(1/365)*s_ED_rec*s_RadSpec!V24*s_ET_rec*(1/24)*s_RadSpec!AA24)),".")</f>
        <v>5925760.0894965287</v>
      </c>
      <c r="L24" s="141">
        <f>IFERROR((s_DL/(s_RadSpec!R24*s_EF_rec*(1/365)*s_ED_rec*s_RadSpec!W24*s_ET_rec*(1/24)*s_RadSpec!AB24)),".")</f>
        <v>53366364.049536504</v>
      </c>
      <c r="M24" s="141">
        <f>IFERROR((s_DL/(s_RadSpec!S24*s_EF_rec*(1/365)*s_ED_rec*s_RadSpec!X24*s_ET_rec*(1/24)*s_RadSpec!AC24)),".")</f>
        <v>13202417.224490754</v>
      </c>
      <c r="N24" s="141">
        <f>IFERROR((s_DL/(s_RadSpec!T24*s_EF_rec*(1/365)*s_ED_rec*s_RadSpec!Y24*s_ET_rec*(1/24)*s_RadSpec!AD24)),".")</f>
        <v>7079698.7485381402</v>
      </c>
      <c r="O24" s="141">
        <f>IFERROR((s_DL/(s_RadSpec!P24*s_EF_rec*(1/365)*s_ED_rec*s_RadSpec!U24*s_ET_rec*(1/24)*s_RadSpec!Z24)),".")</f>
        <v>89853857.771849707</v>
      </c>
      <c r="P24" s="142">
        <f>IFERROR((s_C*s_EF_rec*(1/365)*s_ED_rec*s_RadSpec!V24*s_ET_rec*(1/24)*s_RadSpec!AA24),".")</f>
        <v>9.9056784265707468E-4</v>
      </c>
      <c r="Q24" s="142">
        <f>IFERROR((s_C*s_EF_rec*(1/365)*s_ED_rec*s_RadSpec!W24*s_ET_rec*(1/24)*s_RadSpec!AB24),".")</f>
        <v>5.4636495716819489E-4</v>
      </c>
      <c r="R24" s="142">
        <f>IFERROR((s_C*s_EF_rec*(1/365)*s_ED_rec*s_RadSpec!X24*s_ET_rec*(1/24)*s_RadSpec!AC24),".")</f>
        <v>7.7381721621189192E-4</v>
      </c>
      <c r="S24" s="142">
        <f>IFERROR((s_C*s_EF_rec*(1/365)*s_ED_rec*s_RadSpec!Y24*s_ET_rec*(1/24)*s_RadSpec!AD24),".")</f>
        <v>9.2665525114155251E-4</v>
      </c>
      <c r="T24" s="142">
        <f>IFERROR((s_C*s_EF_rec*(1/365)*s_ED_rec*s_RadSpec!U24*s_ET_rec*(1/24)*s_RadSpec!Z24),".")</f>
        <v>3.287382232240912E-4</v>
      </c>
      <c r="U24" s="141" t="str">
        <f>IFERROR((s_DL/(s_RadSpec!L24*s_IFA_rec_adj)),".")</f>
        <v>.</v>
      </c>
      <c r="V24" s="141">
        <f>IFERROR((s_DL/(s_RadSpec!O24*s_EF_rec*(1/365)*s_ED_rec*s_ET_rec*(1/24)*s_GSF_a)),".")</f>
        <v>137.92669101902004</v>
      </c>
      <c r="W24" s="141">
        <f t="shared" si="17"/>
        <v>137.92669101902004</v>
      </c>
      <c r="X24" s="142">
        <f t="shared" si="3"/>
        <v>45.572916666666657</v>
      </c>
      <c r="Y24" s="142">
        <f t="shared" si="4"/>
        <v>2.8538812785388126E-2</v>
      </c>
      <c r="Z24" s="141"/>
      <c r="AA24" s="141" t="str">
        <f>IFERROR((s_DL/(s_RadSpec!M24*s_IFW_rec_adj)),".")</f>
        <v>.</v>
      </c>
      <c r="AB24" s="141">
        <f>IFERROR((s_DL/(s_RadSpec!Q24*(1/8760)*s_DFA_rec_adj)),".")</f>
        <v>158643.69061727606</v>
      </c>
      <c r="AC24" s="141">
        <f t="shared" si="5"/>
        <v>0</v>
      </c>
      <c r="AD24" s="142">
        <f t="shared" si="6"/>
        <v>200</v>
      </c>
      <c r="AE24" s="142">
        <f t="shared" si="7"/>
        <v>1.1415525114155251E-2</v>
      </c>
      <c r="AF24" s="141"/>
      <c r="AG24" s="141" t="str">
        <f>IFERROR(s_DL/(s_RadSpec!J24*s_EF_rec*s_ED_rec*s_IRGL_rec*s_CF_game),".")</f>
        <v>.</v>
      </c>
      <c r="AH24" s="141" t="str">
        <f>IFERROR((AG24/(s_RadSpec!AM24*((s_Q_p_game*s_f_p_game*s_f_s_game*(s_RadSpec!BG24+s_R_es_past))+(s_Q_s_game*s_f_p_game)))),".")</f>
        <v>.</v>
      </c>
      <c r="AI24" s="141" t="str">
        <f>IFERROR(AG24/(s_RadSpec!AM24*s_Q_w_game*(1/1000)),".")</f>
        <v>.</v>
      </c>
      <c r="AJ24" s="141" t="str">
        <f>IFERROR(s_DL/(s_RadSpec!J24*s_EF_rec*s_ED_rec*s_IRGF_rec*s_CF_fowl),".")</f>
        <v>.</v>
      </c>
      <c r="AK24" s="141" t="str">
        <f>IFERROR((AG24/(s_RadSpec!AO24*((s_Q_p_fowl*s_f_p_fowl*s_f_s_fowl*(s_RadSpec!BG24+s_R_es_past))+(s_Q_s_fowl*s_f_p_fowl)))),".")</f>
        <v>.</v>
      </c>
      <c r="AL24" s="141" t="str">
        <f>IFERROR(AG24/(s_RadSpec!AO24*s_Q_w_fowl*(1/1000)),".")</f>
        <v>.</v>
      </c>
      <c r="AM24" s="142">
        <f t="shared" si="8"/>
        <v>25</v>
      </c>
      <c r="AN24" s="142">
        <f>IFERROR((s_C*s_IRGL_rec*s_EF_rec*s_ED_rec*s_CF_game*s_RadSpec!AM24)*((s_Q_p_game*s_f_p_game*s_f_s_game*(s_RadSpec!BG24+s_R_es_past))+(s_Q_s_game*s_f_p_game)),".")</f>
        <v>0</v>
      </c>
      <c r="AO24" s="142">
        <f>IFERROR(s_C*s_RadSpec!AM24*s_Q_w_game*(1/1000)*s_EF_rec*s_ED_rec*s_IRGL_rec*s_CF_game,".")</f>
        <v>0</v>
      </c>
      <c r="AP24" s="142">
        <f t="shared" si="9"/>
        <v>25</v>
      </c>
      <c r="AQ24" s="142">
        <f>IFERROR((s_C*s_IRGF_rec*s_EF_rec*s_ED_rec*s_CF_fowl*s_RadSpec!AO24)*((s_Q_p_fowl*s_f_p_fowl*s_f_s_fowl*(s_RadSpec!BG24+s_R_es_past))+(s_Q_s_fowl*s_f_p_fowl)),".")</f>
        <v>0</v>
      </c>
      <c r="AR24" s="142">
        <f>IFERROR(s_C*s_RadSpec!AO24*s_Q_w_fowl*(1/1000)*s_EF_rec*s_ED_rec*s_IRGL_rec*s_CF_fowl,".")</f>
        <v>0</v>
      </c>
    </row>
    <row r="25" spans="1:44" customFormat="1" x14ac:dyDescent="0.25">
      <c r="A25" s="131" t="s">
        <v>23</v>
      </c>
      <c r="B25" s="129" t="s">
        <v>336</v>
      </c>
      <c r="C25" s="141" t="str">
        <f>IFERROR(((s_DL/(s_RadSpec!I25*s_IFS_rec_adj*(1/1000)))*1),".")</f>
        <v>.</v>
      </c>
      <c r="D25" s="141">
        <f>IFERROR(IF(A25="H-3",(s_DL/((s_RadSpec!L25*s_IFA_rec_adj*(1/17)*1000))*1),(s_DL/((s_RadSpec!L25*s_IFA_rec_adj*(1/s_PEF_wind)*1000))*1)),".")</f>
        <v>25946495900.659599</v>
      </c>
      <c r="E25" s="141">
        <f>IFERROR((DL/(s_RadSpec!K25*s_EF_rec*(1/365)*s_ED_rec*s_RadSpec!V25*s_ET_rec*(1/24)*s_RadSpec!AA25)),".")</f>
        <v>2643279.0782197881</v>
      </c>
      <c r="F25" s="141">
        <f>IF(AND(C25&lt;&gt;".",D25&lt;&gt;".",E25&lt;&gt;"."),1/((1/C25)+(1/D25)+(1/E25)),IF(AND(C25&lt;&gt;".",D25&lt;&gt;".",E25="."), 1/((1/C25)+(1/D25)),IF(AND(C25&lt;&gt;".",D25=".",E25&lt;&gt;"."),1/((1/C25)+(1/E25)),IF(AND(C25=".",D25&lt;&gt;".",E25&lt;&gt;"."),1/((1/D25)+(1/E25)),IF(AND(C25&lt;&gt;".",D25=".",E25="."),1/((1/C25)),IF(AND(C25=".",D25&lt;&gt;".",E25="."),1/((1/D25)),IF(AND(C25=".",D25=".",E25&lt;&gt;"."),1/((1/E25)),IF(AND(C25=".",D25=".",E25="."),"."))))))))</f>
        <v>2643009.8236508039</v>
      </c>
      <c r="G25" s="142">
        <f t="shared" si="1"/>
        <v>1.375</v>
      </c>
      <c r="H25" s="142">
        <f t="shared" si="2"/>
        <v>1.4710247995501936E-4</v>
      </c>
      <c r="I25" s="142">
        <f>IFERROR((s_C*s_EF_rec*(1/365)*s_ED_rec*s_RadSpec!V25*s_ET_rec*(1/24)*s_RadSpec!AA25),".")</f>
        <v>8.8827054794520519E-4</v>
      </c>
      <c r="J25" s="141"/>
      <c r="K25" s="141">
        <f>IFERROR((s_DL/(s_RadSpec!K25*s_EF_rec*(1/365)*s_ED_rec*s_RadSpec!V25*s_ET_rec*(1/24)*s_RadSpec!AA25)),".")</f>
        <v>13216395.391098941</v>
      </c>
      <c r="L25" s="141">
        <f>IFERROR((s_DL/(s_RadSpec!R25*s_EF_rec*(1/365)*s_ED_rec*s_RadSpec!W25*s_ET_rec*(1/24)*s_RadSpec!AB25)),".")</f>
        <v>114327612.70208606</v>
      </c>
      <c r="M25" s="141">
        <f>IFERROR((s_DL/(s_RadSpec!S25*s_EF_rec*(1/365)*s_ED_rec*s_RadSpec!X25*s_ET_rec*(1/24)*s_RadSpec!AC25)),".")</f>
        <v>28757570.093966324</v>
      </c>
      <c r="N25" s="141">
        <f>IFERROR((s_DL/(s_RadSpec!T25*s_EF_rec*(1/365)*s_ED_rec*s_RadSpec!Y25*s_ET_rec*(1/24)*s_RadSpec!AD25)),".")</f>
        <v>16617784.723449612</v>
      </c>
      <c r="O25" s="141">
        <f>IFERROR((s_DL/(s_RadSpec!P25*s_EF_rec*(1/365)*s_ED_rec*s_RadSpec!U25*s_ET_rec*(1/24)*s_RadSpec!Z25)),".")</f>
        <v>207795552.58983502</v>
      </c>
      <c r="P25" s="142">
        <f>IFERROR((s_C*s_EF_rec*(1/365)*s_ED_rec*s_RadSpec!V25*s_ET_rec*(1/24)*s_RadSpec!AA25),".")</f>
        <v>8.8827054794520519E-4</v>
      </c>
      <c r="Q25" s="142">
        <f>IFERROR((s_C*s_EF_rec*(1/365)*s_ED_rec*s_RadSpec!W25*s_ET_rec*(1/24)*s_RadSpec!AB25),".")</f>
        <v>4.9602092603903095E-4</v>
      </c>
      <c r="R25" s="142">
        <f>IFERROR((s_C*s_EF_rec*(1/365)*s_ED_rec*s_RadSpec!X25*s_ET_rec*(1/24)*s_RadSpec!AC25),".")</f>
        <v>6.9150589304071313E-4</v>
      </c>
      <c r="S25" s="142">
        <f>IFERROR((s_C*s_EF_rec*(1/365)*s_ED_rec*s_RadSpec!Y25*s_ET_rec*(1/24)*s_RadSpec!AD25),".")</f>
        <v>7.7438453088653398E-4</v>
      </c>
      <c r="T25" s="142">
        <f>IFERROR((s_C*s_EF_rec*(1/365)*s_ED_rec*s_RadSpec!U25*s_ET_rec*(1/24)*s_RadSpec!Z25),".")</f>
        <v>2.7665995975855129E-4</v>
      </c>
      <c r="U25" s="141">
        <f>IFERROR((s_DL/(s_RadSpec!L25*s_IFA_rec_adj)),".")</f>
        <v>83751.363140676127</v>
      </c>
      <c r="V25" s="141">
        <f>IFERROR((s_DL/(s_RadSpec!O25*s_EF_rec*(1/365)*s_ED_rec*s_ET_rec*(1/24)*s_GSF_a)),".")</f>
        <v>271.06979737842084</v>
      </c>
      <c r="W25" s="141">
        <f>IFERROR(IF(AND(U25&lt;&gt;".",V25&lt;&gt;"."),1/((1/U25)+(1/V25)),IF(AND(U25&lt;&gt;".",V25="."),1/((1/U25)),IF(AND(U25=".",V25&lt;&gt;"."),1/((1/V25)),IF(AND(U25=".",V25="."),".")))),".")</f>
        <v>270.19528288888029</v>
      </c>
      <c r="X25" s="142">
        <f t="shared" si="3"/>
        <v>45.572916666666657</v>
      </c>
      <c r="Y25" s="142">
        <f t="shared" si="4"/>
        <v>2.8538812785388126E-2</v>
      </c>
      <c r="Z25" s="141"/>
      <c r="AA25" s="141" t="str">
        <f>IFERROR((s_DL/(s_RadSpec!M25*s_IFW_rec_adj)),".")</f>
        <v>.</v>
      </c>
      <c r="AB25" s="141">
        <f>IFERROR((s_DL/(s_RadSpec!Q25*(1/8760)*s_DFA_rec_adj)),".")</f>
        <v>311802.36001640168</v>
      </c>
      <c r="AC25" s="141">
        <f t="shared" si="5"/>
        <v>0</v>
      </c>
      <c r="AD25" s="142">
        <f t="shared" si="6"/>
        <v>200</v>
      </c>
      <c r="AE25" s="142">
        <f t="shared" si="7"/>
        <v>1.1415525114155251E-2</v>
      </c>
      <c r="AF25" s="141"/>
      <c r="AG25" s="141" t="str">
        <f>IFERROR(s_DL/(s_RadSpec!J25*s_EF_rec*s_ED_rec*s_IRGL_rec*s_CF_game),".")</f>
        <v>.</v>
      </c>
      <c r="AH25" s="141" t="str">
        <f>IFERROR((AG25/(s_RadSpec!AM25*((s_Q_p_game*s_f_p_game*s_f_s_game*(s_RadSpec!BG25+s_R_es_past))+(s_Q_s_game*s_f_p_game)))),".")</f>
        <v>.</v>
      </c>
      <c r="AI25" s="141" t="str">
        <f>IFERROR(AG25/(s_RadSpec!AM25*s_Q_w_game*(1/1000)),".")</f>
        <v>.</v>
      </c>
      <c r="AJ25" s="141" t="str">
        <f>IFERROR(s_DL/(s_RadSpec!J25*s_EF_rec*s_ED_rec*s_IRGF_rec*s_CF_fowl),".")</f>
        <v>.</v>
      </c>
      <c r="AK25" s="141" t="str">
        <f>IFERROR((AG25/(s_RadSpec!AO25*((s_Q_p_fowl*s_f_p_fowl*s_f_s_fowl*(s_RadSpec!BG25+s_R_es_past))+(s_Q_s_fowl*s_f_p_fowl)))),".")</f>
        <v>.</v>
      </c>
      <c r="AL25" s="141" t="str">
        <f>IFERROR(AG25/(s_RadSpec!AO25*s_Q_w_fowl*(1/1000)),".")</f>
        <v>.</v>
      </c>
      <c r="AM25" s="142">
        <f t="shared" si="8"/>
        <v>25</v>
      </c>
      <c r="AN25" s="142">
        <f>IFERROR((s_C*s_IRGL_rec*s_EF_rec*s_ED_rec*s_CF_game*s_RadSpec!AM25)*((s_Q_p_game*s_f_p_game*s_f_s_game*(s_RadSpec!BG25+s_R_es_past))+(s_Q_s_game*s_f_p_game)),".")</f>
        <v>0</v>
      </c>
      <c r="AO25" s="142">
        <f>IFERROR(s_C*s_RadSpec!AM25*s_Q_w_game*(1/1000)*s_EF_rec*s_ED_rec*s_IRGL_rec*s_CF_game,".")</f>
        <v>0</v>
      </c>
      <c r="AP25" s="142">
        <f t="shared" si="9"/>
        <v>25</v>
      </c>
      <c r="AQ25" s="142">
        <f>IFERROR((s_C*s_IRGF_rec*s_EF_rec*s_ED_rec*s_CF_fowl*s_RadSpec!AO25)*((s_Q_p_fowl*s_f_p_fowl*s_f_s_fowl*(s_RadSpec!BG25+s_R_es_past))+(s_Q_s_fowl*s_f_p_fowl)),".")</f>
        <v>0</v>
      </c>
      <c r="AR25" s="142">
        <f>IFERROR(s_C*s_RadSpec!AO25*s_Q_w_fowl*(1/1000)*s_EF_rec*s_ED_rec*s_IRGL_rec*s_CF_fowl,".")</f>
        <v>0</v>
      </c>
    </row>
    <row r="26" spans="1:44" customFormat="1" x14ac:dyDescent="0.25">
      <c r="A26" s="128" t="s">
        <v>24</v>
      </c>
      <c r="B26" s="129" t="s">
        <v>1059</v>
      </c>
      <c r="C26" s="141">
        <f>IFERROR(((s_DL/(s_RadSpec!I26*s_IFS_rec_adj*(1/1000)))*1),".")</f>
        <v>8068.9735862149646</v>
      </c>
      <c r="D26" s="141">
        <f>IFERROR(IF(A26="H-3",(s_DL/((s_RadSpec!L26*s_IFA_rec_adj*(1/17)*1000))*1),(s_DL/((s_RadSpec!L26*s_IFA_rec_adj*(1/s_PEF_wind)*1000))*1)),".")</f>
        <v>608374.97100168385</v>
      </c>
      <c r="E26" s="141">
        <f>IFERROR((DL/(s_RadSpec!K26*s_EF_rec*(1/365)*s_ED_rec*s_RadSpec!V26*s_ET_rec*(1/24)*s_RadSpec!AA26)),".")</f>
        <v>106683.29179887976</v>
      </c>
      <c r="F26" s="141">
        <f>IF(AND(C26&lt;&gt;".",D26&lt;&gt;".",E26&lt;&gt;"."),1/((1/C26)+(1/D26)+(1/E26)),IF(AND(C26&lt;&gt;".",D26&lt;&gt;".",E26="."), 1/((1/C26)+(1/D26)),IF(AND(C26&lt;&gt;".",D26=".",E26&lt;&gt;"."),1/((1/C26)+(1/E26)),IF(AND(C26=".",D26&lt;&gt;".",E26&lt;&gt;"."),1/((1/D26)+(1/E26)),IF(AND(C26&lt;&gt;".",D26=".",E26="."),1/((1/C26)),IF(AND(C26=".",D26&lt;&gt;".",E26="."),1/((1/D26)),IF(AND(C26=".",D26=".",E26&lt;&gt;"."),1/((1/E26)),IF(AND(C26=".",D26=".",E26="."),"."))))))))</f>
        <v>7410.2198797650608</v>
      </c>
      <c r="G26" s="142">
        <f t="shared" si="1"/>
        <v>1.375</v>
      </c>
      <c r="H26" s="142">
        <f t="shared" si="2"/>
        <v>1.4710247995501936E-4</v>
      </c>
      <c r="I26" s="142">
        <f>IFERROR((s_C*s_EF_rec*(1/365)*s_ED_rec*s_RadSpec!V26*s_ET_rec*(1/24)*s_RadSpec!AA26),".")</f>
        <v>1.629206011437692E-4</v>
      </c>
      <c r="J26" s="141"/>
      <c r="K26" s="141">
        <f>IFERROR((s_DL/(s_RadSpec!K26*s_EF_rec*(1/365)*s_ED_rec*s_RadSpec!V26*s_ET_rec*(1/24)*s_RadSpec!AA26)),".")</f>
        <v>533416.45899439882</v>
      </c>
      <c r="L26" s="141">
        <f>IFERROR((s_DL/(s_RadSpec!R26*s_EF_rec*(1/365)*s_ED_rec*s_RadSpec!W26*s_ET_rec*(1/24)*s_RadSpec!AB26)),".")</f>
        <v>3267506.2703069667</v>
      </c>
      <c r="M26" s="141">
        <f>IFERROR((s_DL/(s_RadSpec!S26*s_EF_rec*(1/365)*s_ED_rec*s_RadSpec!X26*s_ET_rec*(1/24)*s_RadSpec!AC26)),".")</f>
        <v>926509.98274800787</v>
      </c>
      <c r="N26" s="141">
        <f>IFERROR((s_DL/(s_RadSpec!T26*s_EF_rec*(1/365)*s_ED_rec*s_RadSpec!Y26*s_ET_rec*(1/24)*s_RadSpec!AD26)),".")</f>
        <v>610028.63641486398</v>
      </c>
      <c r="O26" s="141">
        <f>IFERROR((s_DL/(s_RadSpec!P26*s_EF_rec*(1/365)*s_ED_rec*s_RadSpec!U26*s_ET_rec*(1/24)*s_RadSpec!Z26)),".")</f>
        <v>18023922.103419576</v>
      </c>
      <c r="P26" s="142">
        <f>IFERROR((s_C*s_EF_rec*(1/365)*s_ED_rec*s_RadSpec!V26*s_ET_rec*(1/24)*s_RadSpec!AA26),".")</f>
        <v>1.629206011437692E-4</v>
      </c>
      <c r="Q26" s="142">
        <f>IFERROR((s_C*s_EF_rec*(1/365)*s_ED_rec*s_RadSpec!W26*s_ET_rec*(1/24)*s_RadSpec!AB26),".")</f>
        <v>8.923475212002607E-5</v>
      </c>
      <c r="R26" s="142">
        <f>IFERROR((s_C*s_EF_rec*(1/365)*s_ED_rec*s_RadSpec!X26*s_ET_rec*(1/24)*s_RadSpec!AC26),".")</f>
        <v>1.2346025567449328E-4</v>
      </c>
      <c r="S26" s="142">
        <f>IFERROR((s_C*s_EF_rec*(1/365)*s_ED_rec*s_RadSpec!Y26*s_ET_rec*(1/24)*s_RadSpec!AD26),".")</f>
        <v>1.4433422558127336E-4</v>
      </c>
      <c r="T26" s="142">
        <f>IFERROR((s_C*s_EF_rec*(1/365)*s_ED_rec*s_RadSpec!U26*s_ET_rec*(1/24)*s_RadSpec!Z26),".")</f>
        <v>1.5309975412715129E-5</v>
      </c>
      <c r="U26" s="141">
        <f>IFERROR((s_DL/(s_RadSpec!L26*s_IFA_rec_adj)),".")</f>
        <v>1.9637423610933546</v>
      </c>
      <c r="V26" s="141">
        <f>IFERROR((s_DL/(s_RadSpec!O26*s_EF_rec*(1/365)*s_ED_rec*s_ET_rec*(1/24)*s_GSF_a)),".")</f>
        <v>1.4125022574236992</v>
      </c>
      <c r="W26" s="141">
        <f>IFERROR(IF(AND(U26&lt;&gt;".",V26&lt;&gt;"."),1/((1/U26)+(1/V26)),IF(AND(U26&lt;&gt;".",V26="."),1/((1/U26)),IF(AND(U26=".",V26&lt;&gt;"."),1/((1/V26)),IF(AND(U26=".",V26="."),".")))),".")</f>
        <v>0.82156088537839378</v>
      </c>
      <c r="X26" s="142">
        <f t="shared" si="3"/>
        <v>45.572916666666657</v>
      </c>
      <c r="Y26" s="142">
        <f t="shared" si="4"/>
        <v>2.8538812785388126E-2</v>
      </c>
      <c r="Z26" s="141"/>
      <c r="AA26" s="141">
        <f>IFERROR((s_DL/(s_RadSpec!M26*s_IFW_rec_adj)),".")</f>
        <v>55.474193405227886</v>
      </c>
      <c r="AB26" s="141">
        <f>IFERROR((s_DL/(s_RadSpec!Q26*(1/8760)*s_DFA_rec_adj)),".")</f>
        <v>1584.2930725157705</v>
      </c>
      <c r="AC26" s="141">
        <f t="shared" si="5"/>
        <v>53.597472118056579</v>
      </c>
      <c r="AD26" s="142">
        <f t="shared" si="6"/>
        <v>200</v>
      </c>
      <c r="AE26" s="142">
        <f t="shared" si="7"/>
        <v>1.1415525114155251E-2</v>
      </c>
      <c r="AF26" s="141"/>
      <c r="AG26" s="141">
        <f>IFERROR(s_DL/(s_RadSpec!J26*s_EF_rec*s_ED_rec*s_IRGL_rec*s_CF_game),".")</f>
        <v>443.79354724182309</v>
      </c>
      <c r="AH26" s="141">
        <f>IFERROR((AG26/(s_RadSpec!AM26*((s_Q_p_game*s_f_p_game*s_f_s_game*(s_RadSpec!BG26+s_R_es_past))+(s_Q_s_game*s_f_p_game)))),".")</f>
        <v>240611.35920067134</v>
      </c>
      <c r="AI26" s="141">
        <f>IFERROR(AG26/(s_RadSpec!AM26*s_Q_w_game*(1/1000)),".")</f>
        <v>964768580.96048486</v>
      </c>
      <c r="AJ26" s="141">
        <f>IFERROR(s_DL/(s_RadSpec!J26*s_EF_rec*s_ED_rec*s_IRGF_rec*s_CF_fowl),".")</f>
        <v>443.79354724182309</v>
      </c>
      <c r="AK26" s="141" t="str">
        <f>IFERROR((AG26/(s_RadSpec!AO26*((s_Q_p_fowl*s_f_p_fowl*s_f_s_fowl*(s_RadSpec!BG26+s_R_es_past))+(s_Q_s_fowl*s_f_p_fowl)))),".")</f>
        <v>.</v>
      </c>
      <c r="AL26" s="141" t="str">
        <f>IFERROR(AG26/(s_RadSpec!AO26*s_Q_w_fowl*(1/1000)),".")</f>
        <v>.</v>
      </c>
      <c r="AM26" s="142">
        <f t="shared" si="8"/>
        <v>25</v>
      </c>
      <c r="AN26" s="142">
        <f>IFERROR((s_C*s_IRGL_rec*s_EF_rec*s_ED_rec*s_CF_game*s_RadSpec!AM26)*((s_Q_p_game*s_f_p_game*s_f_s_game*(s_RadSpec!BG26+s_R_es_past))+(s_Q_s_game*s_f_p_game)),".")</f>
        <v>4.611103448275862E-2</v>
      </c>
      <c r="AO26" s="142">
        <f>IFERROR(s_C*s_RadSpec!AM26*s_Q_w_game*(1/1000)*s_EF_rec*s_ED_rec*s_IRGL_rec*s_CF_game,".")</f>
        <v>1.15E-5</v>
      </c>
      <c r="AP26" s="142">
        <f t="shared" si="9"/>
        <v>25</v>
      </c>
      <c r="AQ26" s="142">
        <f>IFERROR((s_C*s_IRGF_rec*s_EF_rec*s_ED_rec*s_CF_fowl*s_RadSpec!AO26)*((s_Q_p_fowl*s_f_p_fowl*s_f_s_fowl*(s_RadSpec!BG26+s_R_es_past))+(s_Q_s_fowl*s_f_p_fowl)),".")</f>
        <v>0</v>
      </c>
      <c r="AR26" s="142">
        <f>IFERROR(s_C*s_RadSpec!AO26*s_Q_w_fowl*(1/1000)*s_EF_rec*s_ED_rec*s_IRGL_rec*s_CF_fowl,".")</f>
        <v>0</v>
      </c>
    </row>
    <row r="27" spans="1:44" customFormat="1" x14ac:dyDescent="0.25">
      <c r="A27" s="128" t="s">
        <v>25</v>
      </c>
      <c r="B27" s="129" t="s">
        <v>1059</v>
      </c>
      <c r="C27" s="141" t="str">
        <f>IFERROR(((s_DL/(s_RadSpec!I27*s_IFS_rec_adj*(1/1000)))*1),".")</f>
        <v>.</v>
      </c>
      <c r="D27" s="141" t="str">
        <f>IFERROR(IF(A27="H-3",(s_DL/((s_RadSpec!L27*s_IFA_rec_adj*(1/17)*1000))*1),(s_DL/((s_RadSpec!L27*s_IFA_rec_adj*(1/s_PEF_wind)*1000))*1)),".")</f>
        <v>.</v>
      </c>
      <c r="E27" s="141">
        <f>IFERROR((DL/(s_RadSpec!K27*s_EF_rec*(1/365)*s_ED_rec*s_RadSpec!V27*s_ET_rec*(1/24)*s_RadSpec!AA27)),".")</f>
        <v>506074.8282910462</v>
      </c>
      <c r="F27" s="141">
        <f>IF(AND(C27&lt;&gt;".",D27&lt;&gt;".",E27&lt;&gt;"."),1/((1/C27)+(1/D27)+(1/E27)),IF(AND(C27&lt;&gt;".",D27&lt;&gt;".",E27="."), 1/((1/C27)+(1/D27)),IF(AND(C27&lt;&gt;".",D27=".",E27&lt;&gt;"."),1/((1/C27)+(1/E27)),IF(AND(C27=".",D27&lt;&gt;".",E27&lt;&gt;"."),1/((1/D27)+(1/E27)),IF(AND(C27&lt;&gt;".",D27=".",E27="."),1/((1/C27)),IF(AND(C27=".",D27&lt;&gt;".",E27="."),1/((1/D27)),IF(AND(C27=".",D27=".",E27&lt;&gt;"."),1/((1/E27)),IF(AND(C27=".",D27=".",E27="."),"."))))))))</f>
        <v>506074.8282910462</v>
      </c>
      <c r="G27" s="142">
        <f t="shared" si="1"/>
        <v>1.375</v>
      </c>
      <c r="H27" s="142">
        <f t="shared" si="2"/>
        <v>1.4710247995501936E-4</v>
      </c>
      <c r="I27" s="142">
        <f>IFERROR((s_C*s_EF_rec*(1/365)*s_ED_rec*s_RadSpec!V27*s_ET_rec*(1/24)*s_RadSpec!AA27),".")</f>
        <v>7.73254211935128E-4</v>
      </c>
      <c r="J27" s="141"/>
      <c r="K27" s="141">
        <f>IFERROR((s_DL/(s_RadSpec!K27*s_EF_rec*(1/365)*s_ED_rec*s_RadSpec!V27*s_ET_rec*(1/24)*s_RadSpec!AA27)),".")</f>
        <v>2530374.1414552308</v>
      </c>
      <c r="L27" s="141">
        <f>IFERROR((s_DL/(s_RadSpec!R27*s_EF_rec*(1/365)*s_ED_rec*s_RadSpec!W27*s_ET_rec*(1/24)*s_RadSpec!AB27)),".")</f>
        <v>12644770.014084913</v>
      </c>
      <c r="M27" s="141">
        <f>IFERROR((s_DL/(s_RadSpec!S27*s_EF_rec*(1/365)*s_ED_rec*s_RadSpec!X27*s_ET_rec*(1/24)*s_RadSpec!AC27)),".")</f>
        <v>5560761.6839750381</v>
      </c>
      <c r="N27" s="141">
        <f>IFERROR((s_DL/(s_RadSpec!T27*s_EF_rec*(1/365)*s_ED_rec*s_RadSpec!Y27*s_ET_rec*(1/24)*s_RadSpec!AD27)),".")</f>
        <v>3432691.8192695659</v>
      </c>
      <c r="O27" s="141">
        <f>IFERROR((s_DL/(s_RadSpec!P27*s_EF_rec*(1/365)*s_ED_rec*s_RadSpec!U27*s_ET_rec*(1/24)*s_RadSpec!Z27)),".")</f>
        <v>4192877.8762511695</v>
      </c>
      <c r="P27" s="142">
        <f>IFERROR((s_C*s_EF_rec*(1/365)*s_ED_rec*s_RadSpec!V27*s_ET_rec*(1/24)*s_RadSpec!AA27),".")</f>
        <v>7.73254211935128E-4</v>
      </c>
      <c r="Q27" s="142">
        <f>IFERROR((s_C*s_EF_rec*(1/365)*s_ED_rec*s_RadSpec!W27*s_ET_rec*(1/24)*s_RadSpec!AB27),".")</f>
        <v>2.6069107832806443E-4</v>
      </c>
      <c r="R27" s="142">
        <f>IFERROR((s_C*s_EF_rec*(1/365)*s_ED_rec*s_RadSpec!X27*s_ET_rec*(1/24)*s_RadSpec!AC27),".")</f>
        <v>4.2521876574884318E-4</v>
      </c>
      <c r="S27" s="142">
        <f>IFERROR((s_C*s_EF_rec*(1/365)*s_ED_rec*s_RadSpec!Y27*s_ET_rec*(1/24)*s_RadSpec!AD27),".")</f>
        <v>5.8452418877713542E-4</v>
      </c>
      <c r="T27" s="142">
        <f>IFERROR((s_C*s_EF_rec*(1/365)*s_ED_rec*s_RadSpec!U27*s_ET_rec*(1/24)*s_RadSpec!Z27),".")</f>
        <v>8.3341605452981235E-5</v>
      </c>
      <c r="U27" s="141" t="str">
        <f>IFERROR((s_DL/(s_RadSpec!L27*s_IFA_rec_adj)),".")</f>
        <v>.</v>
      </c>
      <c r="V27" s="141">
        <f>IFERROR((s_DL/(s_RadSpec!O27*s_EF_rec*(1/365)*s_ED_rec*s_ET_rec*(1/24)*s_GSF_a)),".")</f>
        <v>11.81236144747275</v>
      </c>
      <c r="W27" s="141">
        <f>IFERROR(IF(AND(U27&lt;&gt;".",V27&lt;&gt;"."),1/((1/U27)+(1/V27)),IF(AND(U27&lt;&gt;".",V27="."),1/((1/U27)),IF(AND(U27=".",V27&lt;&gt;"."),1/((1/V27)),IF(AND(U27=".",V27="."),".")))),".")</f>
        <v>11.81236144747275</v>
      </c>
      <c r="X27" s="142">
        <f t="shared" si="3"/>
        <v>45.572916666666657</v>
      </c>
      <c r="Y27" s="142">
        <f t="shared" si="4"/>
        <v>2.8538812785388126E-2</v>
      </c>
      <c r="Z27" s="141"/>
      <c r="AA27" s="141" t="str">
        <f>IFERROR((s_DL/(s_RadSpec!M27*s_IFW_rec_adj)),".")</f>
        <v>.</v>
      </c>
      <c r="AB27" s="141">
        <f>IFERROR((s_DL/(s_RadSpec!Q27*(1/8760)*s_DFA_rec_adj)),".")</f>
        <v>24681.61839287727</v>
      </c>
      <c r="AC27" s="141">
        <f t="shared" si="5"/>
        <v>0</v>
      </c>
      <c r="AD27" s="142">
        <f t="shared" si="6"/>
        <v>200</v>
      </c>
      <c r="AE27" s="142">
        <f t="shared" si="7"/>
        <v>1.1415525114155251E-2</v>
      </c>
      <c r="AF27" s="141"/>
      <c r="AG27" s="141" t="str">
        <f>IFERROR(s_DL/(s_RadSpec!J27*s_EF_rec*s_ED_rec*s_IRGL_rec*s_CF_game),".")</f>
        <v>.</v>
      </c>
      <c r="AH27" s="141" t="str">
        <f>IFERROR((AG27/(s_RadSpec!AM27*((s_Q_p_game*s_f_p_game*s_f_s_game*(s_RadSpec!BG27+s_R_es_past))+(s_Q_s_game*s_f_p_game)))),".")</f>
        <v>.</v>
      </c>
      <c r="AI27" s="141" t="str">
        <f>IFERROR(AG27/(s_RadSpec!AM27*s_Q_w_game*(1/1000)),".")</f>
        <v>.</v>
      </c>
      <c r="AJ27" s="141" t="str">
        <f>IFERROR(s_DL/(s_RadSpec!J27*s_EF_rec*s_ED_rec*s_IRGF_rec*s_CF_fowl),".")</f>
        <v>.</v>
      </c>
      <c r="AK27" s="141" t="str">
        <f>IFERROR((AG27/(s_RadSpec!AO27*((s_Q_p_fowl*s_f_p_fowl*s_f_s_fowl*(s_RadSpec!BG27+s_R_es_past))+(s_Q_s_fowl*s_f_p_fowl)))),".")</f>
        <v>.</v>
      </c>
      <c r="AL27" s="141" t="str">
        <f>IFERROR(AG27/(s_RadSpec!AO27*s_Q_w_fowl*(1/1000)),".")</f>
        <v>.</v>
      </c>
      <c r="AM27" s="142">
        <f t="shared" si="8"/>
        <v>25</v>
      </c>
      <c r="AN27" s="142">
        <f>IFERROR((s_C*s_IRGL_rec*s_EF_rec*s_ED_rec*s_CF_game*s_RadSpec!AM27)*((s_Q_p_game*s_f_p_game*s_f_s_game*(s_RadSpec!BG27+s_R_es_past))+(s_Q_s_game*s_f_p_game)),".")</f>
        <v>6.4</v>
      </c>
      <c r="AO27" s="142">
        <f>IFERROR(s_C*s_RadSpec!AM27*s_Q_w_game*(1/1000)*s_EF_rec*s_ED_rec*s_IRGL_rec*s_CF_game,".")</f>
        <v>1E-3</v>
      </c>
      <c r="AP27" s="142">
        <f t="shared" si="9"/>
        <v>25</v>
      </c>
      <c r="AQ27" s="142">
        <f>IFERROR((s_C*s_IRGF_rec*s_EF_rec*s_ED_rec*s_CF_fowl*s_RadSpec!AO27)*((s_Q_p_fowl*s_f_p_fowl*s_f_s_fowl*(s_RadSpec!BG27+s_R_es_past))+(s_Q_s_fowl*s_f_p_fowl)),".")</f>
        <v>0</v>
      </c>
      <c r="AR27" s="142">
        <f>IFERROR(s_C*s_RadSpec!AO27*s_Q_w_fowl*(1/1000)*s_EF_rec*s_ED_rec*s_IRGL_rec*s_CF_fowl,".")</f>
        <v>0</v>
      </c>
    </row>
    <row r="28" spans="1:44" customFormat="1" x14ac:dyDescent="0.25">
      <c r="A28" s="128" t="s">
        <v>26</v>
      </c>
      <c r="B28" s="129" t="s">
        <v>1059</v>
      </c>
      <c r="C28" s="141" t="str">
        <f>IFERROR(((s_DL/(s_RadSpec!I28*s_IFS_rec_adj*(1/1000)))*1),".")</f>
        <v>.</v>
      </c>
      <c r="D28" s="141" t="str">
        <f>IFERROR(IF(A28="H-3",(s_DL/((s_RadSpec!L28*s_IFA_rec_adj*(1/17)*1000))*1),(s_DL/((s_RadSpec!L28*s_IFA_rec_adj*(1/s_PEF_wind)*1000))*1)),".")</f>
        <v>.</v>
      </c>
      <c r="E28" s="141">
        <f>IFERROR((DL/(s_RadSpec!K28*s_EF_rec*(1/365)*s_ED_rec*s_RadSpec!V28*s_ET_rec*(1/24)*s_RadSpec!AA28)),".")</f>
        <v>222.31755043128589</v>
      </c>
      <c r="F28" s="141">
        <f t="shared" ref="F28:F29" si="18">IF(AND(C28&lt;&gt;".",D28&lt;&gt;".",E28&lt;&gt;"."),1/((1/C28)+(1/D28)+(1/E28)),IF(AND(C28&lt;&gt;".",D28&lt;&gt;".",E28="."), 1/((1/C28)+(1/D28)),IF(AND(C28&lt;&gt;".",D28=".",E28&lt;&gt;"."),1/((1/C28)+(1/E28)),IF(AND(C28=".",D28&lt;&gt;".",E28&lt;&gt;"."),1/((1/D28)+(1/E28)),IF(AND(C28&lt;&gt;".",D28=".",E28="."),1/((1/C28)),IF(AND(C28=".",D28&lt;&gt;".",E28="."),1/((1/D28)),IF(AND(C28=".",D28=".",E28&lt;&gt;"."),1/((1/E28)),IF(AND(C28=".",D28=".",E28="."),"."))))))))</f>
        <v>222.31755043128589</v>
      </c>
      <c r="G28" s="142">
        <f t="shared" si="1"/>
        <v>1.375</v>
      </c>
      <c r="H28" s="142">
        <f t="shared" si="2"/>
        <v>1.4710247995501936E-4</v>
      </c>
      <c r="I28" s="142">
        <f>IFERROR((s_C*s_EF_rec*(1/365)*s_ED_rec*s_RadSpec!V28*s_ET_rec*(1/24)*s_RadSpec!AA28),".")</f>
        <v>1.7474315068493147E-3</v>
      </c>
      <c r="J28" s="141"/>
      <c r="K28" s="141">
        <f>IFERROR((s_DL/(s_RadSpec!K28*s_EF_rec*(1/365)*s_ED_rec*s_RadSpec!V28*s_ET_rec*(1/24)*s_RadSpec!AA28)),".")</f>
        <v>1111.5877521564294</v>
      </c>
      <c r="L28" s="141">
        <f>IFERROR((s_DL/(s_RadSpec!R28*s_EF_rec*(1/365)*s_ED_rec*s_RadSpec!W28*s_ET_rec*(1/24)*s_RadSpec!AB28)),".")</f>
        <v>13554.081169222894</v>
      </c>
      <c r="M28" s="141">
        <f>IFERROR((s_DL/(s_RadSpec!S28*s_EF_rec*(1/365)*s_ED_rec*s_RadSpec!X28*s_ET_rec*(1/24)*s_RadSpec!AC28)),".")</f>
        <v>3275.4590626919417</v>
      </c>
      <c r="N28" s="141">
        <f>IFERROR((s_DL/(s_RadSpec!T28*s_EF_rec*(1/365)*s_ED_rec*s_RadSpec!Y28*s_ET_rec*(1/24)*s_RadSpec!AD28)),".")</f>
        <v>1773.0507932484675</v>
      </c>
      <c r="O28" s="141">
        <f>IFERROR((s_DL/(s_RadSpec!P28*s_EF_rec*(1/365)*s_ED_rec*s_RadSpec!U28*s_ET_rec*(1/24)*s_RadSpec!Z28)),".")</f>
        <v>23749.900347483126</v>
      </c>
      <c r="P28" s="142">
        <f>IFERROR((s_C*s_EF_rec*(1/365)*s_ED_rec*s_RadSpec!V28*s_ET_rec*(1/24)*s_RadSpec!AA28),".")</f>
        <v>1.7474315068493147E-3</v>
      </c>
      <c r="Q28" s="142">
        <f>IFERROR((s_C*s_EF_rec*(1/365)*s_ED_rec*s_RadSpec!W28*s_ET_rec*(1/24)*s_RadSpec!AB28),".")</f>
        <v>7.8365067057235556E-4</v>
      </c>
      <c r="R28" s="142">
        <f>IFERROR((s_C*s_EF_rec*(1/365)*s_ED_rec*s_RadSpec!X28*s_ET_rec*(1/24)*s_RadSpec!AC28),".")</f>
        <v>1.1287100456621008E-3</v>
      </c>
      <c r="S28" s="142">
        <f>IFERROR((s_C*s_EF_rec*(1/365)*s_ED_rec*s_RadSpec!Y28*s_ET_rec*(1/24)*s_RadSpec!AD28),".")</f>
        <v>1.3036571649207634E-3</v>
      </c>
      <c r="T28" s="142">
        <f>IFERROR((s_C*s_EF_rec*(1/365)*s_ED_rec*s_RadSpec!U28*s_ET_rec*(1/24)*s_RadSpec!Z28),".")</f>
        <v>4.4577153854862429E-4</v>
      </c>
      <c r="U28" s="141" t="str">
        <f>IFERROR((s_DL/(s_RadSpec!L28*s_IFA_rec_adj)),".")</f>
        <v>.</v>
      </c>
      <c r="V28" s="141">
        <f>IFERROR((s_DL/(s_RadSpec!O28*s_EF_rec*(1/365)*s_ED_rec*s_ET_rec*(1/24)*s_GSF_a)),".")</f>
        <v>4.5975563673006682E-2</v>
      </c>
      <c r="W28" s="141">
        <f t="shared" ref="W28:W29" si="19">IFERROR(IF(AND(U28&lt;&gt;".",V28&lt;&gt;"."),1/((1/U28)+(1/V28)),IF(AND(U28&lt;&gt;".",V28="."),1/((1/U28)),IF(AND(U28=".",V28&lt;&gt;"."),1/((1/V28)),IF(AND(U28=".",V28="."),".")))),".")</f>
        <v>4.5975563673006682E-2</v>
      </c>
      <c r="X28" s="142">
        <f t="shared" si="3"/>
        <v>45.572916666666657</v>
      </c>
      <c r="Y28" s="142">
        <f t="shared" si="4"/>
        <v>2.8538812785388126E-2</v>
      </c>
      <c r="Z28" s="141"/>
      <c r="AA28" s="141" t="str">
        <f>IFERROR((s_DL/(s_RadSpec!M28*s_IFW_rec_adj)),".")</f>
        <v>.</v>
      </c>
      <c r="AB28" s="141">
        <f>IFERROR((s_DL/(s_RadSpec!Q28*(1/8760)*s_DFA_rec_adj)),".")</f>
        <v>53.289857893712295</v>
      </c>
      <c r="AC28" s="141">
        <f t="shared" si="5"/>
        <v>0</v>
      </c>
      <c r="AD28" s="142">
        <f t="shared" si="6"/>
        <v>200</v>
      </c>
      <c r="AE28" s="142">
        <f t="shared" si="7"/>
        <v>1.1415525114155251E-2</v>
      </c>
      <c r="AF28" s="141"/>
      <c r="AG28" s="141" t="str">
        <f>IFERROR(s_DL/(s_RadSpec!J28*s_EF_rec*s_ED_rec*s_IRGL_rec*s_CF_game),".")</f>
        <v>.</v>
      </c>
      <c r="AH28" s="141" t="str">
        <f>IFERROR((AG28/(s_RadSpec!AM28*((s_Q_p_game*s_f_p_game*s_f_s_game*(s_RadSpec!BG28+s_R_es_past))+(s_Q_s_game*s_f_p_game)))),".")</f>
        <v>.</v>
      </c>
      <c r="AI28" s="141" t="str">
        <f>IFERROR(AG28/(s_RadSpec!AM28*s_Q_w_game*(1/1000)),".")</f>
        <v>.</v>
      </c>
      <c r="AJ28" s="141" t="str">
        <f>IFERROR(s_DL/(s_RadSpec!J28*s_EF_rec*s_ED_rec*s_IRGF_rec*s_CF_fowl),".")</f>
        <v>.</v>
      </c>
      <c r="AK28" s="141" t="str">
        <f>IFERROR((AG28/(s_RadSpec!AO28*((s_Q_p_fowl*s_f_p_fowl*s_f_s_fowl*(s_RadSpec!BG28+s_R_es_past))+(s_Q_s_fowl*s_f_p_fowl)))),".")</f>
        <v>.</v>
      </c>
      <c r="AL28" s="141" t="str">
        <f>IFERROR(AG28/(s_RadSpec!AO28*s_Q_w_fowl*(1/1000)),".")</f>
        <v>.</v>
      </c>
      <c r="AM28" s="142">
        <f t="shared" si="8"/>
        <v>25</v>
      </c>
      <c r="AN28" s="142">
        <f>IFERROR((s_C*s_IRGL_rec*s_EF_rec*s_ED_rec*s_CF_game*s_RadSpec!AM28)*((s_Q_p_game*s_f_p_game*s_f_s_game*(s_RadSpec!BG28+s_R_es_past))+(s_Q_s_game*s_f_p_game)),".")</f>
        <v>6.4</v>
      </c>
      <c r="AO28" s="142">
        <f>IFERROR(s_C*s_RadSpec!AM28*s_Q_w_game*(1/1000)*s_EF_rec*s_ED_rec*s_IRGL_rec*s_CF_game,".")</f>
        <v>1E-3</v>
      </c>
      <c r="AP28" s="142">
        <f t="shared" si="9"/>
        <v>25</v>
      </c>
      <c r="AQ28" s="142">
        <f>IFERROR((s_C*s_IRGF_rec*s_EF_rec*s_ED_rec*s_CF_fowl*s_RadSpec!AO28)*((s_Q_p_fowl*s_f_p_fowl*s_f_s_fowl*(s_RadSpec!BG28+s_R_es_past))+(s_Q_s_fowl*s_f_p_fowl)),".")</f>
        <v>0</v>
      </c>
      <c r="AR28" s="142">
        <f>IFERROR(s_C*s_RadSpec!AO28*s_Q_w_fowl*(1/1000)*s_EF_rec*s_ED_rec*s_IRGL_rec*s_CF_fowl,".")</f>
        <v>0</v>
      </c>
    </row>
    <row r="29" spans="1:44" customFormat="1" x14ac:dyDescent="0.25">
      <c r="A29" s="128" t="s">
        <v>27</v>
      </c>
      <c r="B29" s="129" t="s">
        <v>1059</v>
      </c>
      <c r="C29" s="141" t="str">
        <f>IFERROR(((s_DL/(s_RadSpec!I29*s_IFS_rec_adj*(1/1000)))*1),".")</f>
        <v>.</v>
      </c>
      <c r="D29" s="141" t="str">
        <f>IFERROR(IF(A29="H-3",(s_DL/((s_RadSpec!L29*s_IFA_rec_adj*(1/17)*1000))*1),(s_DL/((s_RadSpec!L29*s_IFA_rec_adj*(1/s_PEF_wind)*1000))*1)),".")</f>
        <v>.</v>
      </c>
      <c r="E29" s="141">
        <f>IFERROR((DL/(s_RadSpec!K29*s_EF_rec*(1/365)*s_ED_rec*s_RadSpec!V29*s_ET_rec*(1/24)*s_RadSpec!AA29)),".")</f>
        <v>185.48686647439629</v>
      </c>
      <c r="F29" s="141">
        <f t="shared" si="18"/>
        <v>185.48686647439629</v>
      </c>
      <c r="G29" s="142">
        <f t="shared" si="1"/>
        <v>1.375</v>
      </c>
      <c r="H29" s="142">
        <f t="shared" si="2"/>
        <v>1.4710247995501936E-4</v>
      </c>
      <c r="I29" s="142">
        <f>IFERROR((s_C*s_EF_rec*(1/365)*s_ED_rec*s_RadSpec!V29*s_ET_rec*(1/24)*s_RadSpec!AA29),".")</f>
        <v>1.6069546891464691E-3</v>
      </c>
      <c r="J29" s="141"/>
      <c r="K29" s="141">
        <f>IFERROR((s_DL/(s_RadSpec!K29*s_EF_rec*(1/365)*s_ED_rec*s_RadSpec!V29*s_ET_rec*(1/24)*s_RadSpec!AA29)),".")</f>
        <v>927.43433237198144</v>
      </c>
      <c r="L29" s="141">
        <f>IFERROR((s_DL/(s_RadSpec!R29*s_EF_rec*(1/365)*s_ED_rec*s_RadSpec!W29*s_ET_rec*(1/24)*s_RadSpec!AB29)),".")</f>
        <v>10133.509990571556</v>
      </c>
      <c r="M29" s="141">
        <f>IFERROR((s_DL/(s_RadSpec!S29*s_EF_rec*(1/365)*s_ED_rec*s_RadSpec!X29*s_ET_rec*(1/24)*s_RadSpec!AC29)),".")</f>
        <v>2513.6462520854107</v>
      </c>
      <c r="N29" s="141">
        <f>IFERROR((s_DL/(s_RadSpec!T29*s_EF_rec*(1/365)*s_ED_rec*s_RadSpec!Y29*s_ET_rec*(1/24)*s_RadSpec!AD29)),".")</f>
        <v>1326.6526638650901</v>
      </c>
      <c r="O29" s="141">
        <f>IFERROR((s_DL/(s_RadSpec!P29*s_EF_rec*(1/365)*s_ED_rec*s_RadSpec!U29*s_ET_rec*(1/24)*s_RadSpec!Z29)),".")</f>
        <v>18063.047458801408</v>
      </c>
      <c r="P29" s="142">
        <f>IFERROR((s_C*s_EF_rec*(1/365)*s_ED_rec*s_RadSpec!V29*s_ET_rec*(1/24)*s_RadSpec!AA29),".")</f>
        <v>1.6069546891464691E-3</v>
      </c>
      <c r="Q29" s="142">
        <f>IFERROR((s_C*s_EF_rec*(1/365)*s_ED_rec*s_RadSpec!W29*s_ET_rec*(1/24)*s_RadSpec!AB29),".")</f>
        <v>8.0530313305303143E-4</v>
      </c>
      <c r="R29" s="142">
        <f>IFERROR((s_C*s_EF_rec*(1/365)*s_ED_rec*s_RadSpec!X29*s_ET_rec*(1/24)*s_RadSpec!AC29),".")</f>
        <v>1.1304154137431785E-3</v>
      </c>
      <c r="S29" s="142">
        <f>IFERROR((s_C*s_EF_rec*(1/365)*s_ED_rec*s_RadSpec!Y29*s_ET_rec*(1/24)*s_RadSpec!AD29),".")</f>
        <v>1.3326313441452799E-3</v>
      </c>
      <c r="T29" s="142">
        <f>IFERROR((s_C*s_EF_rec*(1/365)*s_ED_rec*s_RadSpec!U29*s_ET_rec*(1/24)*s_RadSpec!Z29),".")</f>
        <v>4.4846705805609907E-4</v>
      </c>
      <c r="U29" s="141" t="str">
        <f>IFERROR((s_DL/(s_RadSpec!L29*s_IFA_rec_adj)),".")</f>
        <v>.</v>
      </c>
      <c r="V29" s="141">
        <f>IFERROR((s_DL/(s_RadSpec!O29*s_EF_rec*(1/365)*s_ED_rec*s_ET_rec*(1/24)*s_GSF_a)),".")</f>
        <v>3.5526571929141521E-2</v>
      </c>
      <c r="W29" s="141">
        <f t="shared" si="19"/>
        <v>3.5526571929141521E-2</v>
      </c>
      <c r="X29" s="142">
        <f t="shared" si="3"/>
        <v>45.572916666666657</v>
      </c>
      <c r="Y29" s="142">
        <f t="shared" si="4"/>
        <v>2.8538812785388126E-2</v>
      </c>
      <c r="Z29" s="141"/>
      <c r="AA29" s="141" t="str">
        <f>IFERROR((s_DL/(s_RadSpec!M29*s_IFW_rec_adj)),".")</f>
        <v>.</v>
      </c>
      <c r="AB29" s="141">
        <f>IFERROR((s_DL/(s_RadSpec!Q29*(1/8760)*s_DFA_rec_adj)),".")</f>
        <v>41.136030654795448</v>
      </c>
      <c r="AC29" s="141">
        <f t="shared" si="5"/>
        <v>0</v>
      </c>
      <c r="AD29" s="142">
        <f t="shared" si="6"/>
        <v>200</v>
      </c>
      <c r="AE29" s="142">
        <f t="shared" si="7"/>
        <v>1.1415525114155251E-2</v>
      </c>
      <c r="AF29" s="141"/>
      <c r="AG29" s="141" t="str">
        <f>IFERROR(s_DL/(s_RadSpec!J29*s_EF_rec*s_ED_rec*s_IRGL_rec*s_CF_game),".")</f>
        <v>.</v>
      </c>
      <c r="AH29" s="141" t="str">
        <f>IFERROR((AG29/(s_RadSpec!AM29*((s_Q_p_game*s_f_p_game*s_f_s_game*(s_RadSpec!BG29+s_R_es_past))+(s_Q_s_game*s_f_p_game)))),".")</f>
        <v>.</v>
      </c>
      <c r="AI29" s="141" t="str">
        <f>IFERROR(AG29/(s_RadSpec!AM29*s_Q_w_game*(1/1000)),".")</f>
        <v>.</v>
      </c>
      <c r="AJ29" s="141" t="str">
        <f>IFERROR(s_DL/(s_RadSpec!J29*s_EF_rec*s_ED_rec*s_IRGF_rec*s_CF_fowl),".")</f>
        <v>.</v>
      </c>
      <c r="AK29" s="141" t="str">
        <f>IFERROR((AG29/(s_RadSpec!AO29*((s_Q_p_fowl*s_f_p_fowl*s_f_s_fowl*(s_RadSpec!BG29+s_R_es_past))+(s_Q_s_fowl*s_f_p_fowl)))),".")</f>
        <v>.</v>
      </c>
      <c r="AL29" s="141" t="str">
        <f>IFERROR(AG29/(s_RadSpec!AO29*s_Q_w_fowl*(1/1000)),".")</f>
        <v>.</v>
      </c>
      <c r="AM29" s="142">
        <f t="shared" si="8"/>
        <v>25</v>
      </c>
      <c r="AN29" s="142">
        <f>IFERROR((s_C*s_IRGL_rec*s_EF_rec*s_ED_rec*s_CF_game*s_RadSpec!AM29)*((s_Q_p_game*s_f_p_game*s_f_s_game*(s_RadSpec!BG29+s_R_es_past))+(s_Q_s_game*s_f_p_game)),".")</f>
        <v>6.4</v>
      </c>
      <c r="AO29" s="142">
        <f>IFERROR(s_C*s_RadSpec!AM29*s_Q_w_game*(1/1000)*s_EF_rec*s_ED_rec*s_IRGL_rec*s_CF_game,".")</f>
        <v>1E-3</v>
      </c>
      <c r="AP29" s="142">
        <f t="shared" si="9"/>
        <v>25</v>
      </c>
      <c r="AQ29" s="142">
        <f>IFERROR((s_C*s_IRGF_rec*s_EF_rec*s_ED_rec*s_CF_fowl*s_RadSpec!AO29)*((s_Q_p_fowl*s_f_p_fowl*s_f_s_fowl*(s_RadSpec!BG29+s_R_es_past))+(s_Q_s_fowl*s_f_p_fowl)),".")</f>
        <v>0</v>
      </c>
      <c r="AR29" s="142">
        <f>IFERROR(s_C*s_RadSpec!AO29*s_Q_w_fowl*(1/1000)*s_EF_rec*s_ED_rec*s_IRGL_rec*s_CF_fowl,".")</f>
        <v>0</v>
      </c>
    </row>
    <row r="30" spans="1:44" customFormat="1" x14ac:dyDescent="0.25">
      <c r="A30" s="128" t="s">
        <v>28</v>
      </c>
      <c r="B30" s="129" t="s">
        <v>1059</v>
      </c>
      <c r="C30" s="141">
        <f>IFERROR(((s_DL/(s_RadSpec!I30*s_IFS_rec_adj*(1/1000)))*1),".")</f>
        <v>81627.988604732789</v>
      </c>
      <c r="D30" s="141">
        <f>IFERROR(IF(A30="H-3",(s_DL/((s_RadSpec!L30*s_IFA_rec_adj*(1/17)*1000))*1),(s_DL/((s_RadSpec!L30*s_IFA_rec_adj*(1/s_PEF_wind)*1000))*1)),".")</f>
        <v>4459447.6029735077</v>
      </c>
      <c r="E30" s="141">
        <f>IFERROR((DL/(s_RadSpec!K30*s_EF_rec*(1/365)*s_ED_rec*s_RadSpec!V30*s_ET_rec*(1/24)*s_RadSpec!AA30)),".")</f>
        <v>31771730.9935412</v>
      </c>
      <c r="F30" s="141">
        <f>IF(AND(C30&lt;&gt;".",D30&lt;&gt;".",E30&lt;&gt;"."),1/((1/C30)+(1/D30)+(1/E30)),IF(AND(C30&lt;&gt;".",D30&lt;&gt;".",E30="."), 1/((1/C30)+(1/D30)),IF(AND(C30&lt;&gt;".",D30=".",E30&lt;&gt;"."),1/((1/C30)+(1/E30)),IF(AND(C30=".",D30&lt;&gt;".",E30&lt;&gt;"."),1/((1/D30)+(1/E30)),IF(AND(C30&lt;&gt;".",D30=".",E30="."),1/((1/C30)),IF(AND(C30=".",D30&lt;&gt;".",E30="."),1/((1/D30)),IF(AND(C30=".",D30=".",E30&lt;&gt;"."),1/((1/E30)),IF(AND(C30=".",D30=".",E30="."),"."))))))))</f>
        <v>79958.948813468975</v>
      </c>
      <c r="G30" s="142">
        <f t="shared" si="1"/>
        <v>1.375</v>
      </c>
      <c r="H30" s="142">
        <f t="shared" si="2"/>
        <v>1.4710247995501936E-4</v>
      </c>
      <c r="I30" s="142">
        <f>IFERROR((s_C*s_EF_rec*(1/365)*s_ED_rec*s_RadSpec!V30*s_ET_rec*(1/24)*s_RadSpec!AA30),".")</f>
        <v>1.7123287671232877E-4</v>
      </c>
      <c r="J30" s="141"/>
      <c r="K30" s="141">
        <f>IFERROR((s_DL/(s_RadSpec!K30*s_EF_rec*(1/365)*s_ED_rec*s_RadSpec!V30*s_ET_rec*(1/24)*s_RadSpec!AA30)),".")</f>
        <v>158858654.96770599</v>
      </c>
      <c r="L30" s="141">
        <f>IFERROR((s_DL/(s_RadSpec!R30*s_EF_rec*(1/365)*s_ED_rec*s_RadSpec!W30*s_ET_rec*(1/24)*s_RadSpec!AB30)),".")</f>
        <v>2640661170.1103244</v>
      </c>
      <c r="M30" s="141">
        <f>IFERROR((s_DL/(s_RadSpec!S30*s_EF_rec*(1/365)*s_ED_rec*s_RadSpec!X30*s_ET_rec*(1/24)*s_RadSpec!AC30)),".")</f>
        <v>393113013.56269222</v>
      </c>
      <c r="N30" s="141">
        <f>IFERROR((s_DL/(s_RadSpec!T30*s_EF_rec*(1/365)*s_ED_rec*s_RadSpec!Y30*s_ET_rec*(1/24)*s_RadSpec!AD30)),".")</f>
        <v>215771806.22669894</v>
      </c>
      <c r="O30" s="141">
        <f>IFERROR((s_DL/(s_RadSpec!P30*s_EF_rec*(1/365)*s_ED_rec*s_RadSpec!U30*s_ET_rec*(1/24)*s_RadSpec!Z30)),".")</f>
        <v>31485648151.476151</v>
      </c>
      <c r="P30" s="142">
        <f>IFERROR((s_C*s_EF_rec*(1/365)*s_ED_rec*s_RadSpec!V30*s_ET_rec*(1/24)*s_RadSpec!AA30),".")</f>
        <v>1.7123287671232877E-4</v>
      </c>
      <c r="Q30" s="142">
        <f>IFERROR((s_C*s_EF_rec*(1/365)*s_ED_rec*s_RadSpec!W30*s_ET_rec*(1/24)*s_RadSpec!AB30),".")</f>
        <v>3.4952838891195062E-5</v>
      </c>
      <c r="R30" s="142">
        <f>IFERROR((s_C*s_EF_rec*(1/365)*s_ED_rec*s_RadSpec!X30*s_ET_rec*(1/24)*s_RadSpec!AC30),".")</f>
        <v>9.6992599590615679E-5</v>
      </c>
      <c r="S30" s="142">
        <f>IFERROR((s_C*s_EF_rec*(1/365)*s_ED_rec*s_RadSpec!Y30*s_ET_rec*(1/24)*s_RadSpec!AD30),".")</f>
        <v>1.3030512194258604E-4</v>
      </c>
      <c r="T30" s="142">
        <f>IFERROR((s_C*s_EF_rec*(1/365)*s_ED_rec*s_RadSpec!U30*s_ET_rec*(1/24)*s_RadSpec!Z30),".")</f>
        <v>1.4269406392694064E-6</v>
      </c>
      <c r="U30" s="141">
        <f>IFERROR((s_DL/(s_RadSpec!L30*s_IFA_rec_adj)),".")</f>
        <v>14.394422161412455</v>
      </c>
      <c r="V30" s="141">
        <f>IFERROR((s_DL/(s_RadSpec!O30*s_EF_rec*(1/365)*s_ED_rec*s_ET_rec*(1/24)*s_GSF_a)),".")</f>
        <v>442.40636741949817</v>
      </c>
      <c r="W30" s="141">
        <f>IFERROR(IF(AND(U30&lt;&gt;".",V30&lt;&gt;"."),1/((1/U30)+(1/V30)),IF(AND(U30&lt;&gt;".",V30="."),1/((1/U30)),IF(AND(U30=".",V30&lt;&gt;"."),1/((1/V30)),IF(AND(U30=".",V30="."),".")))),".")</f>
        <v>13.940834089572528</v>
      </c>
      <c r="X30" s="142">
        <f t="shared" si="3"/>
        <v>45.572916666666657</v>
      </c>
      <c r="Y30" s="142">
        <f t="shared" si="4"/>
        <v>2.8538812785388126E-2</v>
      </c>
      <c r="Z30" s="141"/>
      <c r="AA30" s="141">
        <f>IFERROR((s_DL/(s_RadSpec!M30*s_IFW_rec_adj)),".")</f>
        <v>561.19242165753792</v>
      </c>
      <c r="AB30" s="141">
        <f>IFERROR((s_DL/(s_RadSpec!Q30*(1/8760)*s_DFA_rec_adj)),".")</f>
        <v>498883.77602624265</v>
      </c>
      <c r="AC30" s="141">
        <f t="shared" si="5"/>
        <v>560.56184781252637</v>
      </c>
      <c r="AD30" s="142">
        <f t="shared" si="6"/>
        <v>200</v>
      </c>
      <c r="AE30" s="142">
        <f t="shared" si="7"/>
        <v>1.1415525114155251E-2</v>
      </c>
      <c r="AF30" s="141"/>
      <c r="AG30" s="141">
        <f>IFERROR(s_DL/(s_RadSpec!J30*s_EF_rec*s_ED_rec*s_IRGL_rec*s_CF_game),".")</f>
        <v>4489.5393732603034</v>
      </c>
      <c r="AH30" s="141">
        <f>IFERROR((AG30/(s_RadSpec!AM30*((s_Q_p_game*s_f_p_game*s_f_s_game*(s_RadSpec!BG30+s_R_es_past))+(s_Q_s_game*s_f_p_game)))),".")</f>
        <v>1428772.8678092991</v>
      </c>
      <c r="AI30" s="141">
        <f>IFERROR(AG30/(s_RadSpec!AM30*s_Q_w_game*(1/1000)),".")</f>
        <v>5755819709.3080807</v>
      </c>
      <c r="AJ30" s="141">
        <f>IFERROR(s_DL/(s_RadSpec!J30*s_EF_rec*s_ED_rec*s_IRGF_rec*s_CF_fowl),".")</f>
        <v>4489.5393732603034</v>
      </c>
      <c r="AK30" s="141">
        <f>IFERROR((AG30/(s_RadSpec!AO30*((s_Q_p_fowl*s_f_p_fowl*s_f_s_fowl*(s_RadSpec!BG30+s_R_es_past))+(s_Q_s_fowl*s_f_p_fowl)))),".")</f>
        <v>742.9618912608355</v>
      </c>
      <c r="AL30" s="141">
        <f>IFERROR(AG30/(s_RadSpec!AO30*s_Q_w_fowl*(1/1000)),".")</f>
        <v>2993026.2488402021</v>
      </c>
      <c r="AM30" s="142">
        <f t="shared" si="8"/>
        <v>25</v>
      </c>
      <c r="AN30" s="142">
        <f>IFERROR((s_C*s_IRGL_rec*s_EF_rec*s_ED_rec*s_CF_game*s_RadSpec!AM30)*((s_Q_p_game*s_f_p_game*s_f_s_game*(s_RadSpec!BG30+s_R_es_past))+(s_Q_s_game*s_f_p_game)),".")</f>
        <v>7.8555862068965504E-2</v>
      </c>
      <c r="AO30" s="142">
        <f>IFERROR(s_C*s_RadSpec!AM30*s_Q_w_game*(1/1000)*s_EF_rec*s_ED_rec*s_IRGL_rec*s_CF_game,".")</f>
        <v>1.95E-5</v>
      </c>
      <c r="AP30" s="142">
        <f t="shared" si="9"/>
        <v>25</v>
      </c>
      <c r="AQ30" s="142">
        <f>IFERROR((s_C*s_IRGF_rec*s_EF_rec*s_ED_rec*s_CF_fowl*s_RadSpec!AO30)*((s_Q_p_fowl*s_f_p_fowl*s_f_s_fowl*(s_RadSpec!BG30+s_R_es_past))+(s_Q_s_fowl*s_f_p_fowl)),".")</f>
        <v>151.06896551724137</v>
      </c>
      <c r="AR30" s="142">
        <f>IFERROR(s_C*s_RadSpec!AO30*s_Q_w_fowl*(1/1000)*s_EF_rec*s_ED_rec*s_IRGL_rec*s_CF_fowl,".")</f>
        <v>3.7499999999999999E-2</v>
      </c>
    </row>
    <row r="31" spans="1:44" x14ac:dyDescent="0.25">
      <c r="A31" s="145" t="s">
        <v>1</v>
      </c>
      <c r="B31" s="145" t="s">
        <v>1221</v>
      </c>
      <c r="C31" s="134">
        <f>1/SUM(1/C32,1/C33,1/C34,1/C35,1/C36,1/C37,1/C38,1/C41,1/C44)</f>
        <v>3711.0281588638891</v>
      </c>
      <c r="D31" s="134">
        <f>1/SUM(1/D32,1/D33,1/D34,1/D35,1/D36,1/D37,1/D38,1/D41,1/D44)</f>
        <v>214506.53053413349</v>
      </c>
      <c r="E31" s="134">
        <f>1/SUM(1/E32,1/E33,1/E34,1/E35,1/E36,1/E37,1/E38,1/E39,1/E40,1/E41,1/E42,1/E43)</f>
        <v>2904.4879412887844</v>
      </c>
      <c r="F31" s="134">
        <f>1/SUM(1/F32,1/F33,1/F34,1/F35,1/F36,1/F37,1/F38,1/F39,1/F40,1/F41,1/F42,1/F43,1/F44)</f>
        <v>1617.0142729353511</v>
      </c>
      <c r="G31" s="146">
        <f t="shared" ref="G31:I31" si="20">SUM(G32:G44)</f>
        <v>6.7366775270316509E-3</v>
      </c>
      <c r="H31" s="146">
        <f t="shared" si="20"/>
        <v>1.1654656824549153E-4</v>
      </c>
      <c r="I31" s="146">
        <f t="shared" si="20"/>
        <v>1.7328424145987148E-3</v>
      </c>
      <c r="J31" s="147">
        <f>SUM(G31:I31)</f>
        <v>8.5860665098758567E-3</v>
      </c>
      <c r="K31" s="134">
        <f>1/SUM(1/K32,1/K33,1/K34,1/K35,1/K36,1/K37,1/K38,1/K39,1/K40,1/K41,1/K42,1/K43)</f>
        <v>14427.163018045934</v>
      </c>
      <c r="L31" s="134">
        <f t="shared" ref="L31:O31" si="21">1/SUM(1/L32,1/L33,1/L34,1/L35,1/L36,1/L37,1/L38,1/L39,1/L40,1/L41,1/L42,1/L43)</f>
        <v>125828.11191988901</v>
      </c>
      <c r="M31" s="134">
        <f t="shared" si="21"/>
        <v>32741.625281708377</v>
      </c>
      <c r="N31" s="134">
        <f t="shared" si="21"/>
        <v>19385.889773790175</v>
      </c>
      <c r="O31" s="134">
        <f t="shared" si="21"/>
        <v>244628.46813511749</v>
      </c>
      <c r="P31" s="146">
        <f>SUM(P32:P44)</f>
        <v>1.7328424145987148E-3</v>
      </c>
      <c r="Q31" s="146">
        <f t="shared" ref="Q31:T31" si="22">SUM(Q32:Q44)</f>
        <v>1.9868374100627648E-4</v>
      </c>
      <c r="R31" s="146">
        <f t="shared" si="22"/>
        <v>7.6355403205859303E-4</v>
      </c>
      <c r="S31" s="146">
        <f t="shared" si="22"/>
        <v>1.2895977585614942E-3</v>
      </c>
      <c r="T31" s="146">
        <f t="shared" si="22"/>
        <v>1.0219579180862776E-4</v>
      </c>
      <c r="U31" s="134">
        <f>1/SUM(1/U32,1/U33,1/U34,1/U35,1/U36,1/U37,1/U38,1/U41,1/U44)</f>
        <v>0.69239462637242044</v>
      </c>
      <c r="V31" s="134">
        <f>1/SUM(1/V32,1/V33,1/V34,1/V35,1/V36,1/V37,1/V38,1/V39,1/V40,1/V41,1/V42,1/V43,1/V44)</f>
        <v>0.19236090340123571</v>
      </c>
      <c r="W31" s="134">
        <f>1/SUM(1/W32,1/W33,1/W34,1/W35,1/W36,1/W37,1/W38,1/W39,1/W40,1/W41,1/W42,1/W43,1/W44)</f>
        <v>0.15053837060869601</v>
      </c>
      <c r="X31" s="146">
        <f t="shared" ref="X31:Y31" si="23">SUM(X32:X44)</f>
        <v>36.106577156699615</v>
      </c>
      <c r="Y31" s="146">
        <f t="shared" si="23"/>
        <v>129.96403925102072</v>
      </c>
      <c r="Z31" s="147">
        <f>SUM(X31:Y31)</f>
        <v>166.07061640772034</v>
      </c>
      <c r="AA31" s="134">
        <f>1/SUM(1/AA32,1/AA33,1/AA34,1/AA35,1/AA36,1/AA37,1/AA38,1/AA41,1/AA44)</f>
        <v>25.513318592189233</v>
      </c>
      <c r="AB31" s="134">
        <f>1/SUM(1/AB32,1/AB33,1/AB34,1/AB35,1/AB36,1/AB37,1/AB38,1/AB39,1/AB40,1/AB41,1/AB42,1/AB43,1/AB44)</f>
        <v>220.86499013152519</v>
      </c>
      <c r="AC31" s="134">
        <f>1/SUM(1/AC32,1/AC33,1/AC34,1/AC35,1/AC36,1/AC37,1/AC38,1/AC41,1/AC44)</f>
        <v>23.205154652282545</v>
      </c>
      <c r="AD31" s="146">
        <f t="shared" ref="AD31:AE31" si="24">SUM(AD32:AD44)</f>
        <v>0.97988036756824004</v>
      </c>
      <c r="AE31" s="146">
        <f t="shared" si="24"/>
        <v>0.11319132101974377</v>
      </c>
      <c r="AF31" s="147">
        <f>SUM(AD31:AE31)</f>
        <v>1.0930716885879839</v>
      </c>
      <c r="AG31" s="134">
        <f t="shared" ref="AG31:AJ31" si="25">1/SUM(1/AG32,1/AG33,1/AG34,1/AG35,1/AG36,1/AG37,1/AG38,1/AG41,1/AG44)</f>
        <v>204.10654873751386</v>
      </c>
      <c r="AH31" s="134">
        <f>1/SUM(1/AH32,1/AH33,1/AH34,1/AH35,1/AH36,1/AH37,1/AH38,1/AH41,1/AH44)</f>
        <v>41049.865482501475</v>
      </c>
      <c r="AI31" s="134">
        <f t="shared" si="25"/>
        <v>166056760.56585008</v>
      </c>
      <c r="AJ31" s="134">
        <f t="shared" si="25"/>
        <v>204.10654873751386</v>
      </c>
      <c r="AK31" s="134">
        <f>1/SUM(1/AK32,1/AK35)</f>
        <v>720.33969396945815</v>
      </c>
      <c r="AL31" s="134">
        <f>1/SUM(1/AL32,1/AL35)</f>
        <v>2901265.2998225582</v>
      </c>
      <c r="AM31" s="146">
        <f t="shared" ref="AM31:AR31" si="26">SUM(AM32:AM44)</f>
        <v>0.12248504594603001</v>
      </c>
      <c r="AN31" s="146">
        <f t="shared" si="26"/>
        <v>6.0901539398848612E-4</v>
      </c>
      <c r="AO31" s="146">
        <f t="shared" si="26"/>
        <v>1.5055093158996199E-7</v>
      </c>
      <c r="AP31" s="146">
        <f t="shared" si="26"/>
        <v>0.12248504594603001</v>
      </c>
      <c r="AQ31" s="146">
        <f t="shared" si="26"/>
        <v>3.4705848100965511E-2</v>
      </c>
      <c r="AR31" s="146">
        <f t="shared" si="26"/>
        <v>8.6169299999999992E-6</v>
      </c>
    </row>
    <row r="32" spans="1:44" x14ac:dyDescent="0.25">
      <c r="A32" s="148" t="s">
        <v>1087</v>
      </c>
      <c r="B32" s="141">
        <v>1</v>
      </c>
      <c r="C32" s="136">
        <f>IFERROR(C3/$B32,0)</f>
        <v>20647.079470608882</v>
      </c>
      <c r="D32" s="136">
        <f>IFERROR(D3/$B32,0)</f>
        <v>468219.26922147936</v>
      </c>
      <c r="E32" s="136">
        <f>IFERROR(E3/$B32,0)</f>
        <v>65646371.963826485</v>
      </c>
      <c r="F32" s="136">
        <f>IFERROR(F3/$B32,0)</f>
        <v>19769.102958318392</v>
      </c>
      <c r="G32" s="149">
        <f>IFERROR(s_RadSpec!$I$3*G3,".")*$B$32</f>
        <v>1.210825E-3</v>
      </c>
      <c r="H32" s="149">
        <f>IFERROR(s_RadSpec!$L$3*H3,".")*B32</f>
        <v>5.3393787149273377E-5</v>
      </c>
      <c r="I32" s="149">
        <f>IFERROR(s_RadSpec!$K$3*I3,".")*B32</f>
        <v>7.6165671467041294E-8</v>
      </c>
      <c r="J32" s="150">
        <f t="shared" ref="J32:J76" si="27">SUM(G32:I32)</f>
        <v>1.2642949528207405E-3</v>
      </c>
      <c r="K32" s="136">
        <f>IFERROR(K3/$B32,0)</f>
        <v>328231859.81913245</v>
      </c>
      <c r="L32" s="136">
        <f t="shared" ref="L32:O32" si="28">IFERROR(L3/$B32,0)</f>
        <v>934558204.93261111</v>
      </c>
      <c r="M32" s="136">
        <f t="shared" si="28"/>
        <v>375328657.17942679</v>
      </c>
      <c r="N32" s="136">
        <f t="shared" si="28"/>
        <v>359676485.88879061</v>
      </c>
      <c r="O32" s="136">
        <f t="shared" si="28"/>
        <v>1040860689.6222183</v>
      </c>
      <c r="P32" s="149">
        <f>IFERROR(s_RadSpec!$K$3*P3,".")*$B$32</f>
        <v>7.6165671467041294E-8</v>
      </c>
      <c r="Q32" s="149">
        <f>IFERROR(s_RadSpec!$R$3*Q3,".")*$B$32</f>
        <v>2.6750607793125844E-8</v>
      </c>
      <c r="R32" s="149">
        <f>IFERROR(s_RadSpec!$S$3*R3,".")*$B$32</f>
        <v>6.6608289886185483E-8</v>
      </c>
      <c r="S32" s="149">
        <f>IFERROR(s_RadSpec!$T$3*S3,".")*$B$32</f>
        <v>6.9506906847754902E-8</v>
      </c>
      <c r="T32" s="149">
        <f>IFERROR(s_RadSpec!$P$3*T3,".")*$B$32</f>
        <v>2.4018584090320269E-8</v>
      </c>
      <c r="U32" s="136">
        <f>IFERROR(U3/$B32,0)</f>
        <v>1.5113409608822455</v>
      </c>
      <c r="V32" s="136">
        <f>IFERROR(V3/$B32,0)</f>
        <v>6.9784337717956557</v>
      </c>
      <c r="W32" s="136">
        <f>IFERROR(W3/$B32,0)</f>
        <v>1.2422935983829126</v>
      </c>
      <c r="X32" s="149">
        <f>IFERROR(s_RadSpec!$L$3*X3,".")*$B$32</f>
        <v>16.541601562499999</v>
      </c>
      <c r="Y32" s="149">
        <f>IFERROR(s_RadSpec!$O$3*Y3,".")*$B$32</f>
        <v>3.5824657534246573</v>
      </c>
      <c r="Z32" s="150">
        <f t="shared" ref="Z32:Z76" si="29">SUM(X32:Y32)</f>
        <v>20.124067315924655</v>
      </c>
      <c r="AA32" s="136">
        <f>IFERROR(AA3/$B32,0)</f>
        <v>141.94867136043604</v>
      </c>
      <c r="AB32" s="136">
        <f>IFERROR(AB3/$B32,0)</f>
        <v>7612.8368419588978</v>
      </c>
      <c r="AC32" s="136">
        <f>IFERROR(AC3/$B32,0)</f>
        <v>139.35034994118013</v>
      </c>
      <c r="AD32" s="149">
        <f>IFERROR(s_RadSpec!$M$3*AD3,".")*$B$32</f>
        <v>0.17612</v>
      </c>
      <c r="AE32" s="149">
        <f>IFERROR(s_RadSpec!$Q$3*AE3,".")*$B$32</f>
        <v>3.2839269406392691E-3</v>
      </c>
      <c r="AF32" s="150">
        <f t="shared" ref="AF32:AF76" si="30">SUM(AD32:AE32)</f>
        <v>0.17940392694063928</v>
      </c>
      <c r="AG32" s="136">
        <f t="shared" ref="AG32:AL32" si="31">IFERROR(AG3/$B32,0)</f>
        <v>1135.5893708834883</v>
      </c>
      <c r="AH32" s="136">
        <f t="shared" si="31"/>
        <v>283890.16388914158</v>
      </c>
      <c r="AI32" s="136">
        <f t="shared" si="31"/>
        <v>1135589370.8834884</v>
      </c>
      <c r="AJ32" s="136">
        <f t="shared" si="31"/>
        <v>1135.5893708834883</v>
      </c>
      <c r="AK32" s="136">
        <f t="shared" si="31"/>
        <v>23657.513657428462</v>
      </c>
      <c r="AL32" s="136">
        <f t="shared" si="31"/>
        <v>94632447.57362403</v>
      </c>
      <c r="AM32" s="149">
        <f>IFERROR(s_RadSpec!$J$3*AM3,".")*$B$32</f>
        <v>2.2015E-2</v>
      </c>
      <c r="AN32" s="149">
        <f>IFERROR(s_RadSpec!$J$3*AN3,".")*$B$32</f>
        <v>8.8062226804597711E-5</v>
      </c>
      <c r="AO32" s="149">
        <f>IFERROR(s_RadSpec!$J$3*AO3,".")*$B$32</f>
        <v>2.2015000000000002E-8</v>
      </c>
      <c r="AP32" s="149">
        <f>IFERROR(s_RadSpec!$J$3*AP3,".")*$B$32</f>
        <v>2.2015E-2</v>
      </c>
      <c r="AQ32" s="149">
        <f>IFERROR(s_RadSpec!$J$3*AQ3,".")*$B$32</f>
        <v>1.0567467216551724E-3</v>
      </c>
      <c r="AR32" s="149">
        <f>IFERROR(s_RadSpec!$J$3*AR3,".")*$B$32</f>
        <v>2.6418000000000003E-7</v>
      </c>
    </row>
    <row r="33" spans="1:44" x14ac:dyDescent="0.25">
      <c r="A33" s="148" t="s">
        <v>1063</v>
      </c>
      <c r="B33" s="141">
        <v>1</v>
      </c>
      <c r="C33" s="136">
        <f t="shared" ref="C33:D34" si="32">IFERROR(C13/$B33,0)</f>
        <v>39312.039312039306</v>
      </c>
      <c r="D33" s="136">
        <f t="shared" si="32"/>
        <v>3645421.4532243754</v>
      </c>
      <c r="E33" s="136">
        <f t="shared" ref="E33:F34" si="33">IFERROR(E13/$B33,0)</f>
        <v>898726.53411124321</v>
      </c>
      <c r="F33" s="136">
        <f t="shared" si="33"/>
        <v>37279.349740230842</v>
      </c>
      <c r="G33" s="149">
        <f>IFERROR(s_RadSpec!$I$13*G13,".")*$B$33</f>
        <v>6.359375E-4</v>
      </c>
      <c r="H33" s="149">
        <f>IFERROR(s_RadSpec!$L$13*H13,".")*B33</f>
        <v>6.857917615503003E-6</v>
      </c>
      <c r="I33" s="149">
        <f>IFERROR(s_RadSpec!$K$13*I13,".")*B33</f>
        <v>5.5634275947405218E-6</v>
      </c>
      <c r="J33" s="150">
        <f t="shared" si="27"/>
        <v>6.4835884521024351E-4</v>
      </c>
      <c r="K33" s="136">
        <f t="shared" ref="K33:O34" si="34">IFERROR(K13/$B33,0)</f>
        <v>4493632.6705562165</v>
      </c>
      <c r="L33" s="136">
        <f t="shared" si="34"/>
        <v>29317218.974247679</v>
      </c>
      <c r="M33" s="136">
        <f t="shared" si="34"/>
        <v>7307896.0627300264</v>
      </c>
      <c r="N33" s="136">
        <f t="shared" si="34"/>
        <v>4819505.6991425632</v>
      </c>
      <c r="O33" s="136">
        <f t="shared" si="34"/>
        <v>221652295.9434092</v>
      </c>
      <c r="P33" s="149">
        <f>IFERROR(s_RadSpec!$K$13*P13,".")*$B$33</f>
        <v>5.5634275947405218E-6</v>
      </c>
      <c r="Q33" s="149">
        <f>IFERROR(s_RadSpec!$R$13*Q13,".")*$B$33</f>
        <v>8.5274118332847546E-7</v>
      </c>
      <c r="R33" s="149">
        <f>IFERROR(s_RadSpec!$S$13*R13,".")*$B$33</f>
        <v>3.4209572475310613E-6</v>
      </c>
      <c r="S33" s="149">
        <f>IFERROR(s_RadSpec!$T$13*S13,".")*$B$33</f>
        <v>5.1872539552028629E-6</v>
      </c>
      <c r="T33" s="149">
        <f>IFERROR(s_RadSpec!$P$13*T13,".")*$B$33</f>
        <v>1.1278926705267621E-7</v>
      </c>
      <c r="U33" s="136">
        <f t="shared" ref="U33" si="35">IFERROR(U13/$B33,0)</f>
        <v>11.766868909726053</v>
      </c>
      <c r="V33" s="136">
        <f t="shared" ref="V33:W34" si="36">IFERROR(V13/$B33,0)</f>
        <v>5.4529156914496291</v>
      </c>
      <c r="W33" s="136">
        <f t="shared" si="36"/>
        <v>3.7261641538010415</v>
      </c>
      <c r="X33" s="149">
        <f>IFERROR(s_RadSpec!$L$13*X13,".")*$B$33</f>
        <v>2.1246093749999995</v>
      </c>
      <c r="Y33" s="149">
        <f>IFERROR(s_RadSpec!$O$13*Y13,".")*$B$33</f>
        <v>4.5847031963470313</v>
      </c>
      <c r="Z33" s="150">
        <f t="shared" si="29"/>
        <v>6.7093125713470307</v>
      </c>
      <c r="AA33" s="136">
        <f t="shared" ref="AA33" si="37">IFERROR(AA13/$B33,0)</f>
        <v>270.27027027027026</v>
      </c>
      <c r="AB33" s="136">
        <f t="shared" ref="AB33:AC34" si="38">IFERROR(AB13/$B33,0)</f>
        <v>6074.4915733765292</v>
      </c>
      <c r="AC33" s="136">
        <f t="shared" si="38"/>
        <v>258.75746320327085</v>
      </c>
      <c r="AD33" s="149">
        <f>IFERROR(s_RadSpec!$M$13*AD13,".")*$B$33</f>
        <v>9.2499999999999999E-2</v>
      </c>
      <c r="AE33" s="149">
        <f>IFERROR(s_RadSpec!$Q$13*AE13,".")*$B$33</f>
        <v>4.115570776255708E-3</v>
      </c>
      <c r="AF33" s="150">
        <f t="shared" si="30"/>
        <v>9.661557077625571E-2</v>
      </c>
      <c r="AG33" s="136">
        <f t="shared" ref="AG33:AL34" si="39">IFERROR(AG13/$B33,0)</f>
        <v>2162.1621621621621</v>
      </c>
      <c r="AH33" s="136">
        <f t="shared" si="39"/>
        <v>269372.36239561817</v>
      </c>
      <c r="AI33" s="136">
        <f t="shared" si="39"/>
        <v>1081081081.0810812</v>
      </c>
      <c r="AJ33" s="136">
        <f t="shared" si="39"/>
        <v>2162.1621621621621</v>
      </c>
      <c r="AK33" s="136">
        <f t="shared" si="39"/>
        <v>0</v>
      </c>
      <c r="AL33" s="136">
        <f t="shared" si="39"/>
        <v>0</v>
      </c>
      <c r="AM33" s="149">
        <f>IFERROR(s_RadSpec!$J$13*AM13,".")*$B$33</f>
        <v>1.15625E-2</v>
      </c>
      <c r="AN33" s="149">
        <f>IFERROR(s_RadSpec!$J$13*AN13,".")*$B$33</f>
        <v>9.2808333333333344E-5</v>
      </c>
      <c r="AO33" s="149">
        <f>IFERROR(s_RadSpec!$J$13*AO13,".")*$B$33</f>
        <v>2.3125000000000004E-8</v>
      </c>
      <c r="AP33" s="149">
        <f>IFERROR(s_RadSpec!$J$13*AP13,".")*$B$33</f>
        <v>1.15625E-2</v>
      </c>
      <c r="AQ33" s="149">
        <f>IFERROR(s_RadSpec!$J$13*AQ13,".")*$B$33</f>
        <v>0</v>
      </c>
      <c r="AR33" s="149">
        <f>IFERROR(s_RadSpec!$J$13*AR13,".")*$B$33</f>
        <v>0</v>
      </c>
    </row>
    <row r="34" spans="1:44" x14ac:dyDescent="0.25">
      <c r="A34" s="148" t="s">
        <v>1064</v>
      </c>
      <c r="B34" s="141">
        <v>1</v>
      </c>
      <c r="C34" s="136">
        <f t="shared" si="32"/>
        <v>3722730.9954582681</v>
      </c>
      <c r="D34" s="136">
        <f t="shared" si="32"/>
        <v>10072875068.119984</v>
      </c>
      <c r="E34" s="136">
        <f t="shared" si="33"/>
        <v>8887.0201538437159</v>
      </c>
      <c r="F34" s="136">
        <f t="shared" si="33"/>
        <v>8865.8475026151355</v>
      </c>
      <c r="G34" s="149">
        <f>IFERROR(s_RadSpec!$I$14*G14,".")*$B$34</f>
        <v>6.7155000000000003E-6</v>
      </c>
      <c r="H34" s="149">
        <f>IFERROR(s_RadSpec!$L$14*H14,".")*B33</f>
        <v>2.4819130418010866E-9</v>
      </c>
      <c r="I34" s="149">
        <f>IFERROR(s_RadSpec!$K$14*I14,".")*B33</f>
        <v>5.6261828075605922E-4</v>
      </c>
      <c r="J34" s="150">
        <f t="shared" si="27"/>
        <v>5.6933626266910103E-4</v>
      </c>
      <c r="K34" s="136">
        <f t="shared" si="34"/>
        <v>44435.100769218581</v>
      </c>
      <c r="L34" s="136">
        <f t="shared" si="34"/>
        <v>346305.60928076948</v>
      </c>
      <c r="M34" s="136">
        <f t="shared" si="34"/>
        <v>92115.962303280758</v>
      </c>
      <c r="N34" s="136">
        <f t="shared" si="34"/>
        <v>55221.859925400517</v>
      </c>
      <c r="O34" s="136">
        <f t="shared" si="34"/>
        <v>970778.97194881318</v>
      </c>
      <c r="P34" s="149">
        <f>IFERROR(s_RadSpec!$K$14*P14,".")*$B$33</f>
        <v>5.6261828075605922E-4</v>
      </c>
      <c r="Q34" s="149">
        <f>IFERROR(s_RadSpec!$R$14*Q14,".")*$B$33</f>
        <v>7.2190571939974248E-5</v>
      </c>
      <c r="R34" s="149">
        <f>IFERROR(s_RadSpec!$S$14*R14,".")*$B$33</f>
        <v>2.7139704536430388E-4</v>
      </c>
      <c r="S34" s="149">
        <f>IFERROR(s_RadSpec!$T$14*S14,".")*$B$33</f>
        <v>4.5271926794520528E-4</v>
      </c>
      <c r="T34" s="149">
        <f>IFERROR(s_RadSpec!$P$14*T14,".")*$B$33</f>
        <v>2.575251496209601E-5</v>
      </c>
      <c r="U34" s="136">
        <f t="shared" ref="U34" si="40">IFERROR(U14/$B34,0)</f>
        <v>32513.716724243044</v>
      </c>
      <c r="V34" s="136">
        <f t="shared" si="36"/>
        <v>0.50587998863502481</v>
      </c>
      <c r="W34" s="136">
        <f t="shared" si="36"/>
        <v>0.50587211778521191</v>
      </c>
      <c r="X34" s="149">
        <f>IFERROR(s_RadSpec!$L$14*X14,".")*$B$33</f>
        <v>7.6890624999999984E-4</v>
      </c>
      <c r="Y34" s="149">
        <f>IFERROR(s_RadSpec!$O$14*Y14,".")*$B$33</f>
        <v>49.418835616438351</v>
      </c>
      <c r="Z34" s="150">
        <f t="shared" si="29"/>
        <v>49.419604522688353</v>
      </c>
      <c r="AA34" s="136">
        <f t="shared" ref="AA34" si="41">IFERROR(AA14/$B34,0)</f>
        <v>25593.775593775594</v>
      </c>
      <c r="AB34" s="136">
        <f t="shared" si="38"/>
        <v>577.52555352791649</v>
      </c>
      <c r="AC34" s="136">
        <f t="shared" si="38"/>
        <v>564.78122098210827</v>
      </c>
      <c r="AD34" s="149">
        <f>IFERROR(s_RadSpec!$M$14*AD14,".")*$B$34</f>
        <v>9.7680000000000011E-4</v>
      </c>
      <c r="AE34" s="149">
        <f>IFERROR(s_RadSpec!$Q$14*AE14,".")*$B$34</f>
        <v>4.3288127853881274E-2</v>
      </c>
      <c r="AF34" s="150">
        <f t="shared" si="30"/>
        <v>4.4264927853881274E-2</v>
      </c>
      <c r="AG34" s="136">
        <f t="shared" si="39"/>
        <v>204750.20475020475</v>
      </c>
      <c r="AH34" s="136">
        <f t="shared" si="39"/>
        <v>4653413744.322835</v>
      </c>
      <c r="AI34" s="136">
        <f t="shared" si="39"/>
        <v>20475020475020.473</v>
      </c>
      <c r="AJ34" s="136">
        <f t="shared" si="39"/>
        <v>204750.20475020475</v>
      </c>
      <c r="AK34" s="136">
        <f t="shared" si="39"/>
        <v>0</v>
      </c>
      <c r="AL34" s="136">
        <f t="shared" si="39"/>
        <v>0</v>
      </c>
      <c r="AM34" s="149">
        <f>IFERROR(s_RadSpec!$J$14*AM14,".")*$B$34</f>
        <v>1.2210000000000001E-4</v>
      </c>
      <c r="AN34" s="149">
        <f>IFERROR(s_RadSpec!$J$14*AN14,".")*$B$34</f>
        <v>5.3724000000000002E-9</v>
      </c>
      <c r="AO34" s="149">
        <f>IFERROR(s_RadSpec!$J$14*AO14,".")*$B$34</f>
        <v>1.2210000000000001E-12</v>
      </c>
      <c r="AP34" s="149">
        <f>IFERROR(s_RadSpec!$J$14*AP14,".")*$B$34</f>
        <v>1.2210000000000001E-4</v>
      </c>
      <c r="AQ34" s="149">
        <f>IFERROR(s_RadSpec!$J$14*AQ14,".")*$B$34</f>
        <v>0</v>
      </c>
      <c r="AR34" s="149">
        <f>IFERROR(s_RadSpec!$J$14*AR14,".")*$B$34</f>
        <v>0</v>
      </c>
    </row>
    <row r="35" spans="1:44" x14ac:dyDescent="0.25">
      <c r="A35" s="148" t="s">
        <v>1065</v>
      </c>
      <c r="B35" s="141">
        <v>1</v>
      </c>
      <c r="C35" s="136">
        <f>IFERROR(C30/$B35,0)</f>
        <v>81627.988604732789</v>
      </c>
      <c r="D35" s="136">
        <f>IFERROR(D30/$B35,0)</f>
        <v>4459447.6029735077</v>
      </c>
      <c r="E35" s="136">
        <f t="shared" ref="E35:F35" si="42">IFERROR(E30/$B35,0)</f>
        <v>31771730.9935412</v>
      </c>
      <c r="F35" s="136">
        <f t="shared" si="42"/>
        <v>79958.948813468975</v>
      </c>
      <c r="G35" s="149">
        <f>IFERROR(s_RadSpec!$I$30*G30,".")*$B$35</f>
        <v>3.0626749999999999E-4</v>
      </c>
      <c r="H35" s="149">
        <f>IFERROR(s_RadSpec!$L$30*H30,".")*B35</f>
        <v>5.6060755110857877E-6</v>
      </c>
      <c r="I35" s="149">
        <f>IFERROR(s_RadSpec!$K$30*I30,".")*B35</f>
        <v>1.5737260273972602E-7</v>
      </c>
      <c r="J35" s="150">
        <f t="shared" si="27"/>
        <v>3.1203094811382549E-4</v>
      </c>
      <c r="K35" s="136">
        <f t="shared" ref="K35:O35" si="43">IFERROR(K30/$B35,0)</f>
        <v>158858654.96770599</v>
      </c>
      <c r="L35" s="136">
        <f t="shared" si="43"/>
        <v>2640661170.1103244</v>
      </c>
      <c r="M35" s="136">
        <f t="shared" si="43"/>
        <v>393113013.56269222</v>
      </c>
      <c r="N35" s="136">
        <f t="shared" si="43"/>
        <v>215771806.22669894</v>
      </c>
      <c r="O35" s="136">
        <f t="shared" si="43"/>
        <v>31485648151.476151</v>
      </c>
      <c r="P35" s="149">
        <f>IFERROR(s_RadSpec!$K$30*P30,".")*$B$35</f>
        <v>1.5737260273972602E-7</v>
      </c>
      <c r="Q35" s="149">
        <f>IFERROR(s_RadSpec!$R$30*Q30,".")*$B$35</f>
        <v>9.467325942069095E-9</v>
      </c>
      <c r="R35" s="149">
        <f>IFERROR(s_RadSpec!$S$30*R30,".")*$B$35</f>
        <v>6.3594943788379793E-8</v>
      </c>
      <c r="S35" s="149">
        <f>IFERROR(s_RadSpec!$T$30*S30,".")*$B$35</f>
        <v>1.1586314466744534E-7</v>
      </c>
      <c r="T35" s="149">
        <f>IFERROR(s_RadSpec!$P$30*T30,".")*$B$35</f>
        <v>7.9401255707762566E-10</v>
      </c>
      <c r="U35" s="136">
        <f>IFERROR(U30/$B35,0)</f>
        <v>14.394422161412455</v>
      </c>
      <c r="V35" s="136">
        <f t="shared" ref="V35:W35" si="44">IFERROR(V30/$B35,0)</f>
        <v>442.40636741949817</v>
      </c>
      <c r="W35" s="136">
        <f t="shared" si="44"/>
        <v>13.940834089572528</v>
      </c>
      <c r="X35" s="149">
        <f>IFERROR(s_RadSpec!$L$30*X30,".")*$B$35</f>
        <v>1.7367838541666663</v>
      </c>
      <c r="Y35" s="149">
        <f>IFERROR(s_RadSpec!$O$30*Y30,".")*$B$35</f>
        <v>5.6509132420091319E-2</v>
      </c>
      <c r="Z35" s="150">
        <f t="shared" si="29"/>
        <v>1.7932929865867575</v>
      </c>
      <c r="AA35" s="136">
        <f>IFERROR(AA30/$B35,0)</f>
        <v>561.19242165753792</v>
      </c>
      <c r="AB35" s="136">
        <f t="shared" ref="AB35" si="45">IFERROR(AB30/$B35,0)</f>
        <v>498883.77602624265</v>
      </c>
      <c r="AC35" s="136">
        <f>IFERROR(AC30/$B35,0)</f>
        <v>560.56184781252637</v>
      </c>
      <c r="AD35" s="149">
        <f>IFERROR(s_RadSpec!$M$30*AD30,".")*$B$35</f>
        <v>4.4547999999999997E-2</v>
      </c>
      <c r="AE35" s="149">
        <f>IFERROR(s_RadSpec!$Q$30*AE30,".")*$B$35</f>
        <v>5.011187214611872E-5</v>
      </c>
      <c r="AF35" s="150">
        <f t="shared" si="30"/>
        <v>4.4598111872146115E-2</v>
      </c>
      <c r="AG35" s="136">
        <f t="shared" ref="AG35:AL35" si="46">IFERROR(AG30/$B35,0)</f>
        <v>4489.5393732603034</v>
      </c>
      <c r="AH35" s="136">
        <f t="shared" si="46"/>
        <v>1428772.8678092991</v>
      </c>
      <c r="AI35" s="136">
        <f t="shared" si="46"/>
        <v>5755819709.3080807</v>
      </c>
      <c r="AJ35" s="136">
        <f t="shared" si="46"/>
        <v>4489.5393732603034</v>
      </c>
      <c r="AK35" s="136">
        <f t="shared" si="46"/>
        <v>742.9618912608355</v>
      </c>
      <c r="AL35" s="136">
        <f t="shared" si="46"/>
        <v>2993026.2488402021</v>
      </c>
      <c r="AM35" s="149">
        <f>IFERROR(s_RadSpec!$J$30*AM30,".")*$B$35</f>
        <v>5.5684999999999997E-3</v>
      </c>
      <c r="AN35" s="149">
        <f>IFERROR(s_RadSpec!$J$30*AN30,".")*$B$35</f>
        <v>1.7497532717241378E-5</v>
      </c>
      <c r="AO35" s="149">
        <f>IFERROR(s_RadSpec!$J$30*AO30,".")*$B$35</f>
        <v>4.3434300000000002E-9</v>
      </c>
      <c r="AP35" s="149">
        <f>IFERROR(s_RadSpec!$J$30*AP30,".")*$B$35</f>
        <v>5.5684999999999997E-3</v>
      </c>
      <c r="AQ35" s="149">
        <f>IFERROR(s_RadSpec!$J$30*AQ30,".")*$B$35</f>
        <v>3.3649101379310341E-2</v>
      </c>
      <c r="AR35" s="149">
        <f>IFERROR(s_RadSpec!$J$30*AR30,".")*$B$35</f>
        <v>8.3527499999999989E-6</v>
      </c>
    </row>
    <row r="36" spans="1:44" x14ac:dyDescent="0.25">
      <c r="A36" s="148" t="s">
        <v>1066</v>
      </c>
      <c r="B36" s="141">
        <v>1</v>
      </c>
      <c r="C36" s="136">
        <f>IFERROR(C26/$B36,0)</f>
        <v>8068.9735862149646</v>
      </c>
      <c r="D36" s="136">
        <f>IFERROR(D26/$B36,0)</f>
        <v>608374.97100168385</v>
      </c>
      <c r="E36" s="136">
        <f t="shared" ref="E36:F36" si="47">IFERROR(E26/$B36,0)</f>
        <v>106683.29179887976</v>
      </c>
      <c r="F36" s="136">
        <f t="shared" si="47"/>
        <v>7410.2198797650608</v>
      </c>
      <c r="G36" s="149">
        <f>IFERROR(s_RadSpec!$I$26*G26,".")*$B$37</f>
        <v>3.0982875000000001E-3</v>
      </c>
      <c r="H36" s="149">
        <f>IFERROR(s_RadSpec!$L$26*H26,".")*B37</f>
        <v>4.1093077775434653E-5</v>
      </c>
      <c r="I36" s="149">
        <f>IFERROR(s_RadSpec!$K$26*I26,".")*B37</f>
        <v>4.6867695172230372E-5</v>
      </c>
      <c r="J36" s="150">
        <f t="shared" si="27"/>
        <v>3.1862482729476654E-3</v>
      </c>
      <c r="K36" s="136">
        <f t="shared" ref="K36:O36" si="48">IFERROR(K26/$B36,0)</f>
        <v>533416.45899439882</v>
      </c>
      <c r="L36" s="136">
        <f t="shared" si="48"/>
        <v>3267506.2703069667</v>
      </c>
      <c r="M36" s="136">
        <f t="shared" si="48"/>
        <v>926509.98274800787</v>
      </c>
      <c r="N36" s="136">
        <f t="shared" si="48"/>
        <v>610028.63641486398</v>
      </c>
      <c r="O36" s="136">
        <f t="shared" si="48"/>
        <v>18023922.103419576</v>
      </c>
      <c r="P36" s="149">
        <f>IFERROR(s_RadSpec!$K$26*P26,".")*$B$37</f>
        <v>4.6867695172230372E-5</v>
      </c>
      <c r="Q36" s="149">
        <f>IFERROR(s_RadSpec!$R$26*Q26,".")*$B$37</f>
        <v>7.6510947284735802E-6</v>
      </c>
      <c r="R36" s="149">
        <f>IFERROR(s_RadSpec!$S$26*R26,".")*$B$37</f>
        <v>2.6982979639194553E-5</v>
      </c>
      <c r="S36" s="149">
        <f>IFERROR(s_RadSpec!$T$26*S26,".")*$B$37</f>
        <v>4.0981682674644434E-5</v>
      </c>
      <c r="T36" s="149">
        <f>IFERROR(s_RadSpec!$P$26*T26,".")*$B$37</f>
        <v>1.3870454974534589E-6</v>
      </c>
      <c r="U36" s="136">
        <f>IFERROR(U26/$B36,0)</f>
        <v>1.9637423610933546</v>
      </c>
      <c r="V36" s="136">
        <f t="shared" ref="V36:W36" si="49">IFERROR(V26/$B36,0)</f>
        <v>1.4125022574236992</v>
      </c>
      <c r="W36" s="136">
        <f t="shared" si="49"/>
        <v>0.82156088537839378</v>
      </c>
      <c r="X36" s="149">
        <f>IFERROR(s_RadSpec!$L$26*X26,".")*$B$37</f>
        <v>12.73079427083333</v>
      </c>
      <c r="Y36" s="149">
        <f>IFERROR(s_RadSpec!$O$26*Y26,".")*$B$37</f>
        <v>17.69908675799087</v>
      </c>
      <c r="Z36" s="150">
        <f t="shared" si="29"/>
        <v>30.429881028824198</v>
      </c>
      <c r="AA36" s="136">
        <f>IFERROR(AA26/$B36,0)</f>
        <v>55.474193405227886</v>
      </c>
      <c r="AB36" s="136">
        <f t="shared" ref="AB36" si="50">IFERROR(AB26/$B36,0)</f>
        <v>1584.2930725157705</v>
      </c>
      <c r="AC36" s="136">
        <f>IFERROR(AC26/$B36,0)</f>
        <v>53.597472118056579</v>
      </c>
      <c r="AD36" s="149">
        <f>IFERROR(s_RadSpec!$M$26*AD26,".")*$B$37</f>
        <v>0.45066000000000006</v>
      </c>
      <c r="AE36" s="149">
        <f>IFERROR(s_RadSpec!$Q$26*AE26,".")*$B$37</f>
        <v>1.5779908675799086E-2</v>
      </c>
      <c r="AF36" s="150">
        <f t="shared" si="30"/>
        <v>0.46643990867579915</v>
      </c>
      <c r="AG36" s="136">
        <f t="shared" ref="AG36:AL36" si="51">IFERROR(AG26/$B36,0)</f>
        <v>443.79354724182309</v>
      </c>
      <c r="AH36" s="136">
        <f t="shared" si="51"/>
        <v>240611.35920067134</v>
      </c>
      <c r="AI36" s="136">
        <f t="shared" si="51"/>
        <v>964768580.96048486</v>
      </c>
      <c r="AJ36" s="136">
        <f t="shared" si="51"/>
        <v>443.79354724182309</v>
      </c>
      <c r="AK36" s="136">
        <f t="shared" si="51"/>
        <v>0</v>
      </c>
      <c r="AL36" s="136">
        <f t="shared" si="51"/>
        <v>0</v>
      </c>
      <c r="AM36" s="149">
        <f>IFERROR(s_RadSpec!$J$26*AM26,".")*$B$37</f>
        <v>5.6332500000000008E-2</v>
      </c>
      <c r="AN36" s="149">
        <f>IFERROR(s_RadSpec!$J$26*AN26,".")*$B$37</f>
        <v>1.0390199400000001E-4</v>
      </c>
      <c r="AO36" s="149">
        <f>IFERROR(s_RadSpec!$J$26*AO26,".")*$B$37</f>
        <v>2.5912950000000002E-8</v>
      </c>
      <c r="AP36" s="149">
        <f>IFERROR(s_RadSpec!$J$26*AP26,".")*$B$37</f>
        <v>5.6332500000000008E-2</v>
      </c>
      <c r="AQ36" s="149">
        <f>IFERROR(s_RadSpec!$J$26*AQ26,".")*$B$37</f>
        <v>0</v>
      </c>
      <c r="AR36" s="149">
        <f>IFERROR(s_RadSpec!$J$26*AR26,".")*$B$37</f>
        <v>0</v>
      </c>
    </row>
    <row r="37" spans="1:44" x14ac:dyDescent="0.25">
      <c r="A37" s="148" t="s">
        <v>1067</v>
      </c>
      <c r="B37" s="141">
        <v>1</v>
      </c>
      <c r="C37" s="136">
        <f>IFERROR(C22/$B37,0)</f>
        <v>20647.079470608882</v>
      </c>
      <c r="D37" s="136">
        <f>IFERROR(D22/$B37,0)</f>
        <v>5461630.2390757585</v>
      </c>
      <c r="E37" s="136">
        <f t="shared" ref="E37:F37" si="52">IFERROR(E22/$B37,0)</f>
        <v>1886966226627.9675</v>
      </c>
      <c r="F37" s="136">
        <f t="shared" si="52"/>
        <v>20569.319245225252</v>
      </c>
      <c r="G37" s="149">
        <f>IFERROR(s_RadSpec!$I$22*G22,".")*$B$37</f>
        <v>1.210825E-3</v>
      </c>
      <c r="H37" s="149">
        <f>IFERROR(s_RadSpec!$L$22*H22,".")*B37</f>
        <v>4.5773878687603375E-6</v>
      </c>
      <c r="I37" s="149">
        <f>IFERROR(s_RadSpec!$K$22*I22,".")*B37</f>
        <v>2.6497559571773907E-12</v>
      </c>
      <c r="J37" s="150">
        <f t="shared" si="27"/>
        <v>1.2154023905185164E-3</v>
      </c>
      <c r="K37" s="136">
        <f t="shared" ref="K37:O37" si="53">IFERROR(K22/$B37,0)</f>
        <v>9434831133139.8379</v>
      </c>
      <c r="L37" s="136">
        <f t="shared" si="53"/>
        <v>11918564154101.873</v>
      </c>
      <c r="M37" s="136">
        <f t="shared" si="53"/>
        <v>6669895658209.0732</v>
      </c>
      <c r="N37" s="136">
        <f t="shared" si="53"/>
        <v>6844326903364.918</v>
      </c>
      <c r="O37" s="136">
        <f t="shared" si="53"/>
        <v>33652210005789.348</v>
      </c>
      <c r="P37" s="149">
        <f>IFERROR(s_RadSpec!$K$22*P22,".")*$B$37</f>
        <v>2.6497559571773907E-12</v>
      </c>
      <c r="Q37" s="149">
        <f>IFERROR(s_RadSpec!$R$22*Q22,".")*$B$37</f>
        <v>2.0975681027312369E-12</v>
      </c>
      <c r="R37" s="149">
        <f>IFERROR(s_RadSpec!$S$22*R22,".")*$B$37</f>
        <v>3.7481845715578596E-12</v>
      </c>
      <c r="S37" s="149">
        <f>IFERROR(s_RadSpec!$T$22*S22,".")*$B$37</f>
        <v>3.6526601304956805E-12</v>
      </c>
      <c r="T37" s="149">
        <f>IFERROR(s_RadSpec!$P$22*T22,".")*$B$37</f>
        <v>7.4289326007709836E-13</v>
      </c>
      <c r="U37" s="136">
        <f>IFERROR(U22/$B37,0)</f>
        <v>17.629316083537251</v>
      </c>
      <c r="V37" s="136">
        <f t="shared" ref="V37:W37" si="54">IFERROR(V22/$B37,0)</f>
        <v>18.985860302213283</v>
      </c>
      <c r="W37" s="136">
        <f t="shared" si="54"/>
        <v>9.1412295508115502</v>
      </c>
      <c r="X37" s="149">
        <f>IFERROR(s_RadSpec!$L$22*X22,".")*$B$37</f>
        <v>1.4180924479166663</v>
      </c>
      <c r="Y37" s="149">
        <f>IFERROR(s_RadSpec!$O$22*Y22,".")*$B$37</f>
        <v>1.316769406392694</v>
      </c>
      <c r="Z37" s="150">
        <f t="shared" si="29"/>
        <v>2.7348618543093606</v>
      </c>
      <c r="AA37" s="136">
        <f>IFERROR(AA22/$B37,0)</f>
        <v>141.94867136043604</v>
      </c>
      <c r="AB37" s="136">
        <f t="shared" ref="AB37" si="55">IFERROR(AB22/$B37,0)</f>
        <v>21590.734321577722</v>
      </c>
      <c r="AC37" s="136">
        <f>IFERROR(AC22/$B37,0)</f>
        <v>141.02152282072097</v>
      </c>
      <c r="AD37" s="149">
        <f>IFERROR(s_RadSpec!$M$22*AD22,".")*$B$37</f>
        <v>0.17612</v>
      </c>
      <c r="AE37" s="149">
        <f>IFERROR(s_RadSpec!$Q$22*AE22,".")*$B$37</f>
        <v>1.1579041095890411E-3</v>
      </c>
      <c r="AF37" s="150">
        <f t="shared" si="30"/>
        <v>0.17727790410958905</v>
      </c>
      <c r="AG37" s="136">
        <f t="shared" ref="AG37:AL37" si="56">IFERROR(AG22/$B37,0)</f>
        <v>1135.5893708834883</v>
      </c>
      <c r="AH37" s="136">
        <f t="shared" si="56"/>
        <v>81898.895207626061</v>
      </c>
      <c r="AI37" s="136">
        <f t="shared" si="56"/>
        <v>333996873.78926128</v>
      </c>
      <c r="AJ37" s="136">
        <f t="shared" si="56"/>
        <v>1135.5893708834883</v>
      </c>
      <c r="AK37" s="136">
        <f t="shared" si="56"/>
        <v>0</v>
      </c>
      <c r="AL37" s="136">
        <f t="shared" si="56"/>
        <v>0</v>
      </c>
      <c r="AM37" s="149">
        <f>IFERROR(s_RadSpec!$J$22*AM22,".")*$B$37</f>
        <v>2.2015E-2</v>
      </c>
      <c r="AN37" s="149">
        <f>IFERROR(s_RadSpec!$J$22*AN22,".")*$B$37</f>
        <v>3.0525442298850574E-4</v>
      </c>
      <c r="AO37" s="149">
        <f>IFERROR(s_RadSpec!$J$22*AO22,".")*$B$37</f>
        <v>7.4850999999999986E-8</v>
      </c>
      <c r="AP37" s="149">
        <f>IFERROR(s_RadSpec!$J$22*AP22,".")*$B$37</f>
        <v>2.2015E-2</v>
      </c>
      <c r="AQ37" s="149">
        <f>IFERROR(s_RadSpec!$J$22*AQ22,".")*$B$37</f>
        <v>0</v>
      </c>
      <c r="AR37" s="149">
        <f>IFERROR(s_RadSpec!$J$22*AR22,".")*$B$37</f>
        <v>0</v>
      </c>
    </row>
    <row r="38" spans="1:44" x14ac:dyDescent="0.25">
      <c r="A38" s="148" t="s">
        <v>1068</v>
      </c>
      <c r="B38" s="141">
        <v>1</v>
      </c>
      <c r="C38" s="136">
        <f>IFERROR(C2/$B38,0)</f>
        <v>93958.028948468709</v>
      </c>
      <c r="D38" s="136">
        <f>IFERROR(D2/$B38,0)</f>
        <v>5003519.6416805154</v>
      </c>
      <c r="E38" s="136">
        <f t="shared" ref="E38:F38" si="57">IFERROR(E2/$B38,0)</f>
        <v>1759234.9909511718</v>
      </c>
      <c r="F38" s="136">
        <f t="shared" si="57"/>
        <v>87632.141107173695</v>
      </c>
      <c r="G38" s="149">
        <f>IFERROR(s_RadSpec!$I$2*G2,".")*$B$38</f>
        <v>2.6607625E-4</v>
      </c>
      <c r="H38" s="149">
        <f>IFERROR(s_RadSpec!$L$2*H2,".")*B38</f>
        <v>4.9964828341521878E-6</v>
      </c>
      <c r="I38" s="149">
        <f>IFERROR(s_RadSpec!$K$2*I2,".")*B38</f>
        <v>1.4210722347264794E-5</v>
      </c>
      <c r="J38" s="150">
        <f t="shared" si="27"/>
        <v>2.8528345518141697E-4</v>
      </c>
      <c r="K38" s="136">
        <f t="shared" ref="K38:O38" si="58">IFERROR(K2/$B38,0)</f>
        <v>1759234.9909511718</v>
      </c>
      <c r="L38" s="136">
        <f t="shared" si="58"/>
        <v>12889221.583318062</v>
      </c>
      <c r="M38" s="136">
        <f t="shared" si="58"/>
        <v>3351489.6883126344</v>
      </c>
      <c r="N38" s="136">
        <f t="shared" si="58"/>
        <v>2066578.3671199966</v>
      </c>
      <c r="O38" s="136">
        <f t="shared" si="58"/>
        <v>96432812.979041085</v>
      </c>
      <c r="P38" s="149">
        <f>IFERROR(s_RadSpec!$K$2*P2,".")*$B$38</f>
        <v>1.4210722347264794E-5</v>
      </c>
      <c r="Q38" s="149">
        <f>IFERROR(s_RadSpec!$R$2*Q2,".")*$B$38</f>
        <v>1.9396051063592836E-6</v>
      </c>
      <c r="R38" s="149">
        <f>IFERROR(s_RadSpec!$S$2*R2,".")*$B$38</f>
        <v>7.459369511766775E-6</v>
      </c>
      <c r="S38" s="149">
        <f>IFERROR(s_RadSpec!$T$2*S2,".")*$B$38</f>
        <v>1.2097291057411114E-5</v>
      </c>
      <c r="T38" s="149">
        <f>IFERROR(s_RadSpec!$P$2*T2,".")*$B$38</f>
        <v>2.5924785586658718E-7</v>
      </c>
      <c r="U38" s="136">
        <f>IFERROR(U2/$B38,0)</f>
        <v>16.150604385898504</v>
      </c>
      <c r="V38" s="136">
        <f t="shared" ref="V38:W38" si="59">IFERROR(V2/$B38,0)</f>
        <v>8.2853489304711676</v>
      </c>
      <c r="W38" s="136">
        <f t="shared" si="59"/>
        <v>5.4760864469946986</v>
      </c>
      <c r="X38" s="149">
        <f>IFERROR(s_RadSpec!$L$2*X2,".")*$B$38</f>
        <v>1.5479296874999999</v>
      </c>
      <c r="Y38" s="149">
        <f>IFERROR(s_RadSpec!$O$2*Y2,".")*$B$38</f>
        <v>3.0173744292237443</v>
      </c>
      <c r="Z38" s="150">
        <f t="shared" si="29"/>
        <v>4.5653041167237447</v>
      </c>
      <c r="AA38" s="136">
        <f>IFERROR(AA2/$B38,0)</f>
        <v>645.9614490207224</v>
      </c>
      <c r="AB38" s="136">
        <f t="shared" ref="AB38" si="60">IFERROR(AB2/$B38,0)</f>
        <v>9304.5783623942098</v>
      </c>
      <c r="AC38" s="136">
        <f>IFERROR(AC2/$B38,0)</f>
        <v>604.02742317598609</v>
      </c>
      <c r="AD38" s="149">
        <f>IFERROR(s_RadSpec!$M$2*AD2,".")*$B$38</f>
        <v>3.8702E-2</v>
      </c>
      <c r="AE38" s="149">
        <f>IFERROR(s_RadSpec!$Q$2*AE2,".")*$B$38</f>
        <v>2.6868493150684928E-3</v>
      </c>
      <c r="AF38" s="150">
        <f t="shared" si="30"/>
        <v>4.1388849315068491E-2</v>
      </c>
      <c r="AG38" s="136">
        <f t="shared" ref="AG38:AL38" si="61">IFERROR(AG2/$B38,0)</f>
        <v>5167.6915921657792</v>
      </c>
      <c r="AH38" s="136">
        <f t="shared" si="61"/>
        <v>29361884.046396468</v>
      </c>
      <c r="AI38" s="136">
        <f t="shared" si="61"/>
        <v>129192289804.14447</v>
      </c>
      <c r="AJ38" s="136">
        <f t="shared" si="61"/>
        <v>5167.6915921657792</v>
      </c>
      <c r="AK38" s="136">
        <f t="shared" si="61"/>
        <v>0</v>
      </c>
      <c r="AL38" s="136">
        <f t="shared" si="61"/>
        <v>0</v>
      </c>
      <c r="AM38" s="149">
        <f>IFERROR(s_RadSpec!$J$2*AM2,".")*$B$38</f>
        <v>4.83775E-3</v>
      </c>
      <c r="AN38" s="149">
        <f>IFERROR(s_RadSpec!$J$2*AN2,".")*$B$38</f>
        <v>8.5144400000000006E-7</v>
      </c>
      <c r="AO38" s="149">
        <f>IFERROR(s_RadSpec!$J$2*AO2,".")*$B$38</f>
        <v>1.9351000000000004E-10</v>
      </c>
      <c r="AP38" s="149">
        <f>IFERROR(s_RadSpec!$J$2*AP2,".")*$B$38</f>
        <v>4.83775E-3</v>
      </c>
      <c r="AQ38" s="149">
        <f>IFERROR(s_RadSpec!$J$2*AQ2,".")*$B$38</f>
        <v>0</v>
      </c>
      <c r="AR38" s="149">
        <f>IFERROR(s_RadSpec!$J$2*AR2,".")*$B$38</f>
        <v>0</v>
      </c>
    </row>
    <row r="39" spans="1:44" x14ac:dyDescent="0.25">
      <c r="A39" s="148" t="s">
        <v>1069</v>
      </c>
      <c r="B39" s="141">
        <v>1</v>
      </c>
      <c r="C39" s="136">
        <f>IFERROR(C11/$B39,0)</f>
        <v>0</v>
      </c>
      <c r="D39" s="136">
        <f>IFERROR(D11/$B39,0)</f>
        <v>0</v>
      </c>
      <c r="E39" s="136">
        <f t="shared" ref="E39:F39" si="62">IFERROR(E11/$B39,0)</f>
        <v>122869.82323411923</v>
      </c>
      <c r="F39" s="136">
        <f t="shared" si="62"/>
        <v>122869.82323411923</v>
      </c>
      <c r="G39" s="149">
        <f>IFERROR(s_RadSpec!$I$11*G11,".")*$B$39</f>
        <v>0</v>
      </c>
      <c r="H39" s="149">
        <f>IFERROR(s_RadSpec!$L$11*H11,".")*B39</f>
        <v>0</v>
      </c>
      <c r="I39" s="149">
        <f>IFERROR(s_RadSpec!$K$11*I11,".")*B39</f>
        <v>4.0693474348643567E-5</v>
      </c>
      <c r="J39" s="150">
        <f t="shared" si="27"/>
        <v>4.0693474348643567E-5</v>
      </c>
      <c r="K39" s="136">
        <f t="shared" ref="K39:O39" si="63">IFERROR(K11/$B39,0)</f>
        <v>614349.1161705961</v>
      </c>
      <c r="L39" s="136">
        <f t="shared" si="63"/>
        <v>3241250.799516046</v>
      </c>
      <c r="M39" s="136">
        <f t="shared" si="63"/>
        <v>899900.97463569976</v>
      </c>
      <c r="N39" s="136">
        <f t="shared" si="63"/>
        <v>597294.10619287123</v>
      </c>
      <c r="O39" s="136">
        <f t="shared" si="63"/>
        <v>6129292.5653348276</v>
      </c>
      <c r="P39" s="149">
        <f>IFERROR(s_RadSpec!$K$11*P11,".")*$B$39</f>
        <v>4.0693474348643567E-5</v>
      </c>
      <c r="Q39" s="149">
        <f>IFERROR(s_RadSpec!$R$11*Q11,".")*$B$39</f>
        <v>7.7130717572773972E-6</v>
      </c>
      <c r="R39" s="149">
        <f>IFERROR(s_RadSpec!$S$11*R11,".")*$B$39</f>
        <v>2.7780834452502469E-5</v>
      </c>
      <c r="S39" s="149">
        <f>IFERROR(s_RadSpec!$T$11*S11,".")*$B$39</f>
        <v>4.1855427235585836E-5</v>
      </c>
      <c r="T39" s="149">
        <f>IFERROR(s_RadSpec!$P$11*T11,".")*$B$39</f>
        <v>4.0787741380451314E-6</v>
      </c>
      <c r="U39" s="136">
        <f>IFERROR(U11/$B39,0)</f>
        <v>0</v>
      </c>
      <c r="V39" s="136">
        <f t="shared" ref="V39:W39" si="64">IFERROR(V11/$B39,0)</f>
        <v>3.7516059957173447</v>
      </c>
      <c r="W39" s="136">
        <f t="shared" si="64"/>
        <v>3.7516059957173447</v>
      </c>
      <c r="X39" s="149">
        <f>IFERROR(s_RadSpec!$L$11*X11,".")*$B$39</f>
        <v>0</v>
      </c>
      <c r="Y39" s="149">
        <f>IFERROR(s_RadSpec!$O$11*Y11,".")*$B$39</f>
        <v>6.663812785388127</v>
      </c>
      <c r="Z39" s="150">
        <f t="shared" si="29"/>
        <v>6.663812785388127</v>
      </c>
      <c r="AA39" s="136">
        <f>IFERROR(AA11/$B39,0)</f>
        <v>0</v>
      </c>
      <c r="AB39" s="136">
        <f t="shared" ref="AB39" si="65">IFERROR(AB11/$B39,0)</f>
        <v>4263.1886314969825</v>
      </c>
      <c r="AC39" s="136">
        <f>IFERROR(AC11/$B39,0)</f>
        <v>0</v>
      </c>
      <c r="AD39" s="149">
        <f>IFERROR(s_RadSpec!$M$11*AD11,".")*$B$39</f>
        <v>0</v>
      </c>
      <c r="AE39" s="149">
        <f>IFERROR(s_RadSpec!$Q$11*AE11,".")*$B$39</f>
        <v>5.8641552511415531E-3</v>
      </c>
      <c r="AF39" s="150">
        <f t="shared" si="30"/>
        <v>5.8641552511415531E-3</v>
      </c>
      <c r="AG39" s="136">
        <f t="shared" ref="AG39:AL39" si="66">IFERROR(AG11/$B39,0)</f>
        <v>0</v>
      </c>
      <c r="AH39" s="136">
        <f t="shared" si="66"/>
        <v>0</v>
      </c>
      <c r="AI39" s="136">
        <f t="shared" si="66"/>
        <v>0</v>
      </c>
      <c r="AJ39" s="136">
        <f t="shared" si="66"/>
        <v>0</v>
      </c>
      <c r="AK39" s="136">
        <f t="shared" si="66"/>
        <v>0</v>
      </c>
      <c r="AL39" s="136">
        <f t="shared" si="66"/>
        <v>0</v>
      </c>
      <c r="AM39" s="149">
        <f>IFERROR(s_RadSpec!$J$11*AM11,".")*$B$39</f>
        <v>0</v>
      </c>
      <c r="AN39" s="149">
        <f>IFERROR(s_RadSpec!$J$11*AN11,".")*$B$39</f>
        <v>0</v>
      </c>
      <c r="AO39" s="149">
        <f>IFERROR(s_RadSpec!$J$11*AO11,".")*$B$39</f>
        <v>0</v>
      </c>
      <c r="AP39" s="149">
        <f>IFERROR(s_RadSpec!$J$11*AP11,".")*$B$39</f>
        <v>0</v>
      </c>
      <c r="AQ39" s="149">
        <f>IFERROR(s_RadSpec!$J$11*AQ11,".")*$B$39</f>
        <v>0</v>
      </c>
      <c r="AR39" s="149">
        <f>IFERROR(s_RadSpec!$J$11*AR11,".")*$B$39</f>
        <v>0</v>
      </c>
    </row>
    <row r="40" spans="1:44" x14ac:dyDescent="0.25">
      <c r="A40" s="148" t="s">
        <v>1070</v>
      </c>
      <c r="B40" s="141">
        <v>1</v>
      </c>
      <c r="C40" s="136">
        <f>IFERROR(C4/$B40,0)</f>
        <v>0</v>
      </c>
      <c r="D40" s="136">
        <f>IFERROR(D4/$B40,0)</f>
        <v>0</v>
      </c>
      <c r="E40" s="136">
        <f t="shared" ref="E40:F40" si="67">IFERROR(E4/$B40,0)</f>
        <v>7658571.586474604</v>
      </c>
      <c r="F40" s="136">
        <f t="shared" si="67"/>
        <v>7658571.586474604</v>
      </c>
      <c r="G40" s="149">
        <f>IFERROR(s_RadSpec!$I$4*G4,".")*$B$40</f>
        <v>0</v>
      </c>
      <c r="H40" s="149">
        <f>IFERROR(s_RadSpec!$L$4*H4,".")*B40</f>
        <v>0</v>
      </c>
      <c r="I40" s="149">
        <f>IFERROR(s_RadSpec!$K$4*I4,".")*B40</f>
        <v>6.5286325831702511E-7</v>
      </c>
      <c r="J40" s="150">
        <f t="shared" si="27"/>
        <v>6.5286325831702511E-7</v>
      </c>
      <c r="K40" s="136">
        <f t="shared" ref="K40:O40" si="68">IFERROR(K4/$B40,0)</f>
        <v>38292857.932373025</v>
      </c>
      <c r="L40" s="136">
        <f t="shared" si="68"/>
        <v>275558666.88629007</v>
      </c>
      <c r="M40" s="136">
        <f t="shared" si="68"/>
        <v>71007035.393741637</v>
      </c>
      <c r="N40" s="136">
        <f t="shared" si="68"/>
        <v>41831933.820747897</v>
      </c>
      <c r="O40" s="136">
        <f t="shared" si="68"/>
        <v>515850574.62150723</v>
      </c>
      <c r="P40" s="149">
        <f>IFERROR(s_RadSpec!$K$4*P4,".")*$B$40</f>
        <v>6.5286325831702511E-7</v>
      </c>
      <c r="Q40" s="149">
        <f>IFERROR(s_RadSpec!$R$4*Q4,".")*$B$40</f>
        <v>9.0724782067247789E-8</v>
      </c>
      <c r="R40" s="149">
        <f>IFERROR(s_RadSpec!$S$4*R4,".")*$B$40</f>
        <v>3.5207778864970655E-7</v>
      </c>
      <c r="S40" s="149">
        <f>IFERROR(s_RadSpec!$T$4*S4,".")*$B$40</f>
        <v>5.9762955514144663E-7</v>
      </c>
      <c r="T40" s="149">
        <f>IFERROR(s_RadSpec!$P$4*T4,".")*$B$40</f>
        <v>4.846364670300722E-8</v>
      </c>
      <c r="U40" s="136">
        <f>IFERROR(U4/$B40,0)</f>
        <v>0</v>
      </c>
      <c r="V40" s="136">
        <f t="shared" ref="V40:W40" si="69">IFERROR(V4/$B40,0)</f>
        <v>442.40636741949817</v>
      </c>
      <c r="W40" s="136">
        <f t="shared" si="69"/>
        <v>442.40636741949817</v>
      </c>
      <c r="X40" s="149">
        <f>IFERROR(s_RadSpec!$L$4*X4,".")*$B$40</f>
        <v>0</v>
      </c>
      <c r="Y40" s="149">
        <f>IFERROR(s_RadSpec!$O$4*Y4,".")*$B$40</f>
        <v>5.6509132420091319E-2</v>
      </c>
      <c r="Z40" s="150">
        <f t="shared" si="29"/>
        <v>5.6509132420091319E-2</v>
      </c>
      <c r="AA40" s="136">
        <f>IFERROR(AA4/$B40,0)</f>
        <v>0</v>
      </c>
      <c r="AB40" s="136">
        <f t="shared" ref="AB40" si="70">IFERROR(AB4/$B40,0)</f>
        <v>507522.45613059314</v>
      </c>
      <c r="AC40" s="136">
        <f>IFERROR(AC4/$B40,0)</f>
        <v>0</v>
      </c>
      <c r="AD40" s="149">
        <f>IFERROR(s_RadSpec!$M$4*AD4,".")*$B$40</f>
        <v>0</v>
      </c>
      <c r="AE40" s="149">
        <f>IFERROR(s_RadSpec!$Q$4*AE4,".")*$B$40</f>
        <v>4.9258904109589036E-5</v>
      </c>
      <c r="AF40" s="150">
        <f t="shared" si="30"/>
        <v>4.9258904109589036E-5</v>
      </c>
      <c r="AG40" s="136">
        <f t="shared" ref="AG40:AL40" si="71">IFERROR(AG4/$B40,0)</f>
        <v>0</v>
      </c>
      <c r="AH40" s="136">
        <f t="shared" si="71"/>
        <v>0</v>
      </c>
      <c r="AI40" s="136">
        <f t="shared" si="71"/>
        <v>0</v>
      </c>
      <c r="AJ40" s="136">
        <f t="shared" si="71"/>
        <v>0</v>
      </c>
      <c r="AK40" s="136">
        <f t="shared" si="71"/>
        <v>0</v>
      </c>
      <c r="AL40" s="136">
        <f t="shared" si="71"/>
        <v>0</v>
      </c>
      <c r="AM40" s="149">
        <f>IFERROR(s_RadSpec!$J$4*AM4,".")*$B$40</f>
        <v>0</v>
      </c>
      <c r="AN40" s="149">
        <f>IFERROR(s_RadSpec!$J$4*AN4,".")*$B$40</f>
        <v>0</v>
      </c>
      <c r="AO40" s="149">
        <f>IFERROR(s_RadSpec!$J$4*AO4,".")*$B$40</f>
        <v>0</v>
      </c>
      <c r="AP40" s="149">
        <f>IFERROR(s_RadSpec!$J$4*AP4,".")*$B$40</f>
        <v>0</v>
      </c>
      <c r="AQ40" s="149">
        <f>IFERROR(s_RadSpec!$J$4*AQ4,".")*$B$40</f>
        <v>0</v>
      </c>
      <c r="AR40" s="149">
        <f>IFERROR(s_RadSpec!$J$4*AR4,".")*$B$40</f>
        <v>0</v>
      </c>
    </row>
    <row r="41" spans="1:44" x14ac:dyDescent="0.25">
      <c r="A41" s="148" t="s">
        <v>1071</v>
      </c>
      <c r="B41" s="151">
        <v>0.99987999999999999</v>
      </c>
      <c r="C41" s="136">
        <f>IFERROR(C8/$B41,0)</f>
        <v>18338039.796137158</v>
      </c>
      <c r="D41" s="136">
        <f>IFERROR(D8/$B41,0)</f>
        <v>1294023178.8554664</v>
      </c>
      <c r="E41" s="136">
        <f t="shared" ref="E41:F41" si="72">IFERROR(E8/$B41,0)</f>
        <v>8449.5621602505162</v>
      </c>
      <c r="F41" s="136">
        <f t="shared" si="72"/>
        <v>8445.6155527653718</v>
      </c>
      <c r="G41" s="149">
        <f>IFERROR(s_RadSpec!$I$8*G8,".")*$B$41</f>
        <v>1.3632863860000001E-6</v>
      </c>
      <c r="H41" s="149">
        <f>IFERROR(s_RadSpec!$L$8*H8,".")*B41</f>
        <v>1.9319592112802742E-8</v>
      </c>
      <c r="I41" s="149">
        <f>IFERROR(s_RadSpec!$K$8*I8,".")*B41</f>
        <v>5.9174663789345484E-4</v>
      </c>
      <c r="J41" s="150">
        <f t="shared" si="27"/>
        <v>5.9312924387156765E-4</v>
      </c>
      <c r="K41" s="136">
        <f t="shared" ref="K41:O41" si="73">IFERROR(K8/$B41,0)</f>
        <v>42247.810801252577</v>
      </c>
      <c r="L41" s="136">
        <f t="shared" si="73"/>
        <v>358993.47874645417</v>
      </c>
      <c r="M41" s="136">
        <f t="shared" si="73"/>
        <v>93835.723126118595</v>
      </c>
      <c r="N41" s="136">
        <f t="shared" si="73"/>
        <v>56674.258780412325</v>
      </c>
      <c r="O41" s="136">
        <f t="shared" si="73"/>
        <v>515253.41482974304</v>
      </c>
      <c r="P41" s="149">
        <f>IFERROR(s_RadSpec!$K$8*P8,".")*$B$41</f>
        <v>5.9174663789345484E-4</v>
      </c>
      <c r="Q41" s="149">
        <f>IFERROR(s_RadSpec!$R$8*Q8,".")*$B$41</f>
        <v>6.9639148007077611E-5</v>
      </c>
      <c r="R41" s="149">
        <f>IFERROR(s_RadSpec!$S$8*R8,".")*$B$41</f>
        <v>2.6642305475068484E-4</v>
      </c>
      <c r="S41" s="149">
        <f>IFERROR(s_RadSpec!$T$8*S8,".")*$B$41</f>
        <v>4.4111737035439563E-4</v>
      </c>
      <c r="T41" s="149">
        <f>IFERROR(s_RadSpec!$P$8*T8,".")*$B$41</f>
        <v>4.8519814290334848E-5</v>
      </c>
      <c r="U41" s="136">
        <f>IFERROR(U8/$B41,0)</f>
        <v>4176.9110395373727</v>
      </c>
      <c r="V41" s="136">
        <f t="shared" ref="V41:W41" si="74">IFERROR(V8/$B41,0)</f>
        <v>0.7895741250981565</v>
      </c>
      <c r="W41" s="136">
        <f t="shared" si="74"/>
        <v>0.78942489772245938</v>
      </c>
      <c r="X41" s="149">
        <f>IFERROR(s_RadSpec!$L$8*X8,".")*$B$41</f>
        <v>5.9852842838541654E-3</v>
      </c>
      <c r="Y41" s="149">
        <f>IFERROR(s_RadSpec!$O$8*Y8,".")*$B$41</f>
        <v>31.662638383561646</v>
      </c>
      <c r="Z41" s="150">
        <f t="shared" si="29"/>
        <v>31.668623667845502</v>
      </c>
      <c r="AA41" s="136">
        <f>IFERROR(AA8/$B41,0)</f>
        <v>126074.02359844296</v>
      </c>
      <c r="AB41" s="136">
        <f t="shared" ref="AB41" si="75">IFERROR(AB8/$B41,0)</f>
        <v>930.56950457997027</v>
      </c>
      <c r="AC41" s="136">
        <f>IFERROR(AC8/$B41,0)</f>
        <v>923.75117162289553</v>
      </c>
      <c r="AD41" s="149">
        <f>IFERROR(s_RadSpec!$M$8*AD8,".")*$B$41</f>
        <v>1.9829620159999997E-4</v>
      </c>
      <c r="AE41" s="149">
        <f>IFERROR(s_RadSpec!$Q$8*AE8,".")*$B$41</f>
        <v>2.6865268931506852E-2</v>
      </c>
      <c r="AF41" s="150">
        <f t="shared" si="30"/>
        <v>2.7063565133106853E-2</v>
      </c>
      <c r="AG41" s="136">
        <f t="shared" ref="AG41:AL41" si="76">IFERROR(AG8/$B41,0)</f>
        <v>1008592.1887875437</v>
      </c>
      <c r="AH41" s="136">
        <f t="shared" si="76"/>
        <v>42024674.532814316</v>
      </c>
      <c r="AI41" s="136">
        <f t="shared" si="76"/>
        <v>252148047196.88593</v>
      </c>
      <c r="AJ41" s="136">
        <f t="shared" si="76"/>
        <v>1008592.1887875437</v>
      </c>
      <c r="AK41" s="136">
        <f t="shared" si="76"/>
        <v>0</v>
      </c>
      <c r="AL41" s="136">
        <f t="shared" si="76"/>
        <v>0</v>
      </c>
      <c r="AM41" s="149">
        <f>IFERROR(s_RadSpec!$J$8*AM8,".")*$B$41</f>
        <v>2.4787025199999997E-5</v>
      </c>
      <c r="AN41" s="149">
        <f>IFERROR(s_RadSpec!$J$8*AN8,".")*$B$41</f>
        <v>5.9488860480000003E-7</v>
      </c>
      <c r="AO41" s="149">
        <f>IFERROR(s_RadSpec!$J$8*AO8,".")*$B$41</f>
        <v>9.9148100799999991E-11</v>
      </c>
      <c r="AP41" s="149">
        <f>IFERROR(s_RadSpec!$J$8*AP8,".")*$B$41</f>
        <v>2.4787025199999997E-5</v>
      </c>
      <c r="AQ41" s="149">
        <f>IFERROR(s_RadSpec!$J$8*AQ8,".")*$B$41</f>
        <v>0</v>
      </c>
      <c r="AR41" s="149">
        <f>IFERROR(s_RadSpec!$J$8*AR8,".")*$B$41</f>
        <v>0</v>
      </c>
    </row>
    <row r="42" spans="1:44" x14ac:dyDescent="0.25">
      <c r="A42" s="148" t="s">
        <v>1072</v>
      </c>
      <c r="B42" s="141">
        <v>0.97898250799999997</v>
      </c>
      <c r="C42" s="136">
        <f>IFERROR(C19/$B42,0)</f>
        <v>0</v>
      </c>
      <c r="D42" s="136">
        <f>IFERROR(D19/$B42,0)</f>
        <v>0</v>
      </c>
      <c r="E42" s="136">
        <f t="shared" ref="E42:F42" si="77">IFERROR(E19/$B42,0)</f>
        <v>18952458.587918919</v>
      </c>
      <c r="F42" s="136">
        <f t="shared" si="77"/>
        <v>18952458.587918919</v>
      </c>
      <c r="G42" s="152">
        <f>IFERROR(s_RadSpec!$I$19*G19,".")*$B$42</f>
        <v>0</v>
      </c>
      <c r="H42" s="152">
        <f>IFERROR(s_RadSpec!$L$19*H19,".")*B42</f>
        <v>0</v>
      </c>
      <c r="I42" s="152">
        <f>IFERROR(s_RadSpec!$K$19*I19,".")*B42</f>
        <v>2.6381801478712674E-7</v>
      </c>
      <c r="J42" s="150">
        <f t="shared" si="27"/>
        <v>2.6381801478712674E-7</v>
      </c>
      <c r="K42" s="136">
        <f t="shared" ref="K42:O42" si="78">IFERROR(K19/$B42,0)</f>
        <v>94762292.939594582</v>
      </c>
      <c r="L42" s="136">
        <f t="shared" si="78"/>
        <v>964708722.2905767</v>
      </c>
      <c r="M42" s="136">
        <f t="shared" si="78"/>
        <v>233592248.2365973</v>
      </c>
      <c r="N42" s="136">
        <f t="shared" si="78"/>
        <v>123752796.60500577</v>
      </c>
      <c r="O42" s="136">
        <f t="shared" si="78"/>
        <v>1680501391.5243247</v>
      </c>
      <c r="P42" s="152">
        <f>IFERROR(s_RadSpec!$K$19*P19,".")*$B$42</f>
        <v>2.6381801478712674E-7</v>
      </c>
      <c r="Q42" s="152">
        <f>IFERROR(s_RadSpec!$R$19*Q19,".")*$B$42</f>
        <v>2.5914557858086643E-8</v>
      </c>
      <c r="R42" s="152">
        <f>IFERROR(s_RadSpec!$S$19*R19,".")*$B$42</f>
        <v>1.0702409942421711E-7</v>
      </c>
      <c r="S42" s="152">
        <f>IFERROR(s_RadSpec!$T$19*S19,".")*$B$42</f>
        <v>2.0201563670350825E-7</v>
      </c>
      <c r="T42" s="152">
        <f>IFERROR(s_RadSpec!$P$19*T19,".")*$B$42</f>
        <v>1.487651252542157E-8</v>
      </c>
      <c r="U42" s="136">
        <f>IFERROR(U19/$B42,0)</f>
        <v>0</v>
      </c>
      <c r="V42" s="136">
        <f t="shared" ref="V42:W42" si="79">IFERROR(V19/$B42,0)</f>
        <v>2801.2778790660777</v>
      </c>
      <c r="W42" s="136">
        <f t="shared" si="79"/>
        <v>2801.2778790660777</v>
      </c>
      <c r="X42" s="152">
        <f>IFERROR(s_RadSpec!$L$19*X19,".")*$B$42</f>
        <v>0</v>
      </c>
      <c r="Y42" s="152">
        <f>IFERROR(s_RadSpec!$O$19*Y19,".")*$B$42</f>
        <v>8.9244984179630126E-3</v>
      </c>
      <c r="Z42" s="150">
        <f t="shared" si="29"/>
        <v>8.9244984179630126E-3</v>
      </c>
      <c r="AA42" s="136">
        <f>IFERROR(AA19/$B42,0)</f>
        <v>0</v>
      </c>
      <c r="AB42" s="136">
        <f t="shared" ref="AB42" si="80">IFERROR(AB19/$B42,0)</f>
        <v>3227887.5830208845</v>
      </c>
      <c r="AC42" s="136">
        <f>IFERROR(AC19/$B42,0)</f>
        <v>0</v>
      </c>
      <c r="AD42" s="152">
        <f>IFERROR(s_RadSpec!$M$19*AD19,".")*$B$42</f>
        <v>0</v>
      </c>
      <c r="AE42" s="152">
        <f>IFERROR(s_RadSpec!$Q$19*AE19,".")*$B$42</f>
        <v>7.7450033054135155E-6</v>
      </c>
      <c r="AF42" s="150">
        <f t="shared" si="30"/>
        <v>7.7450033054135155E-6</v>
      </c>
      <c r="AG42" s="136">
        <f t="shared" ref="AG42:AL42" si="81">IFERROR(AG19/$B42,0)</f>
        <v>0</v>
      </c>
      <c r="AH42" s="136">
        <f t="shared" si="81"/>
        <v>0</v>
      </c>
      <c r="AI42" s="136">
        <f t="shared" si="81"/>
        <v>0</v>
      </c>
      <c r="AJ42" s="136">
        <f t="shared" si="81"/>
        <v>0</v>
      </c>
      <c r="AK42" s="136">
        <f t="shared" si="81"/>
        <v>0</v>
      </c>
      <c r="AL42" s="136">
        <f t="shared" si="81"/>
        <v>0</v>
      </c>
      <c r="AM42" s="152">
        <f>IFERROR(s_RadSpec!$J$19*AM19,".")*$B$42</f>
        <v>0</v>
      </c>
      <c r="AN42" s="152">
        <f>IFERROR(s_RadSpec!$J$19*AN19,".")*$B$42</f>
        <v>0</v>
      </c>
      <c r="AO42" s="152">
        <f>IFERROR(s_RadSpec!$J$19*AO19,".")*$B$42</f>
        <v>0</v>
      </c>
      <c r="AP42" s="152">
        <f>IFERROR(s_RadSpec!$J$19*AP19,".")*$B$42</f>
        <v>0</v>
      </c>
      <c r="AQ42" s="152">
        <f>IFERROR(s_RadSpec!$J$19*AQ19,".")*$B$42</f>
        <v>0</v>
      </c>
      <c r="AR42" s="152">
        <f>IFERROR(s_RadSpec!$J$19*AR19,".")*$B$42</f>
        <v>0</v>
      </c>
    </row>
    <row r="43" spans="1:44" x14ac:dyDescent="0.25">
      <c r="A43" s="148" t="s">
        <v>1073</v>
      </c>
      <c r="B43" s="141">
        <v>2.0897492E-2</v>
      </c>
      <c r="C43" s="136">
        <f>IFERROR(C28/$B43,0)</f>
        <v>0</v>
      </c>
      <c r="D43" s="136">
        <f>IFERROR(D28/$B43,0)</f>
        <v>0</v>
      </c>
      <c r="E43" s="136">
        <f t="shared" ref="E43:F43" si="82">IFERROR(E28/$B43,0)</f>
        <v>10638.479987516488</v>
      </c>
      <c r="F43" s="136">
        <f t="shared" si="82"/>
        <v>10638.479987516488</v>
      </c>
      <c r="G43" s="152">
        <f>IFERROR(s_RadSpec!I28*G28,".")*$B$43</f>
        <v>0</v>
      </c>
      <c r="H43" s="152">
        <f>IFERROR(s_RadSpec!J28*H28,".")*B43</f>
        <v>0</v>
      </c>
      <c r="I43" s="152">
        <f>IFERROR(s_RadSpec!K28*I28,".")*B43</f>
        <v>4.6999195428925461E-4</v>
      </c>
      <c r="J43" s="150">
        <f t="shared" si="27"/>
        <v>4.6999195428925461E-4</v>
      </c>
      <c r="K43" s="136">
        <f t="shared" ref="K43:O43" si="83">IFERROR(K28/$B43,0)</f>
        <v>53192.399937582428</v>
      </c>
      <c r="L43" s="136">
        <f t="shared" si="83"/>
        <v>648598.46192178922</v>
      </c>
      <c r="M43" s="136">
        <f t="shared" si="83"/>
        <v>156739.33803596822</v>
      </c>
      <c r="N43" s="136">
        <f t="shared" si="83"/>
        <v>84845.147601849414</v>
      </c>
      <c r="O43" s="136">
        <f t="shared" si="83"/>
        <v>1136495.2477303557</v>
      </c>
      <c r="P43" s="152">
        <f>IFERROR(s_RadSpec!$K$28*P28,".")*$B$43</f>
        <v>4.6999195428925461E-4</v>
      </c>
      <c r="Q43" s="152">
        <f>IFERROR(s_RadSpec!$R$28*Q28,".")*$B$43</f>
        <v>3.8544648912557242E-5</v>
      </c>
      <c r="R43" s="152">
        <f>IFERROR(s_RadSpec!$S$28*R28,".")*$B$43</f>
        <v>1.5950048222267629E-4</v>
      </c>
      <c r="S43" s="152">
        <f>IFERROR(s_RadSpec!$T$28*S28,".")*$B$43</f>
        <v>2.9465444644302869E-4</v>
      </c>
      <c r="T43" s="152">
        <f>IFERROR(s_RadSpec!$P$28*T28,".")*$B$43</f>
        <v>2.1997452299009955E-5</v>
      </c>
      <c r="U43" s="136">
        <f>IFERROR(U28/$B43,0)</f>
        <v>0</v>
      </c>
      <c r="V43" s="136">
        <f t="shared" ref="V43:W43" si="84">IFERROR(V28/$B43,0)</f>
        <v>2.20005174175957</v>
      </c>
      <c r="W43" s="136">
        <f t="shared" si="84"/>
        <v>2.20005174175957</v>
      </c>
      <c r="X43" s="152">
        <f>IFERROR(s_RadSpec!$L$28*X28,".")*$B$43</f>
        <v>0</v>
      </c>
      <c r="Y43" s="152">
        <f>IFERROR(s_RadSpec!$O$28*Y28,".")*$B$43</f>
        <v>11.363369108767122</v>
      </c>
      <c r="Z43" s="150">
        <f t="shared" si="29"/>
        <v>11.363369108767122</v>
      </c>
      <c r="AA43" s="136">
        <f>IFERROR(AA28/$B43,0)</f>
        <v>0</v>
      </c>
      <c r="AB43" s="136">
        <f t="shared" ref="AB43" si="85">IFERROR(AB28/$B43,0)</f>
        <v>2550.0599734031384</v>
      </c>
      <c r="AC43" s="136">
        <f>IFERROR(AC28/$B43,0)</f>
        <v>0</v>
      </c>
      <c r="AD43" s="152">
        <f>IFERROR(s_RadSpec!$M$28*AD28,".")*$B$43</f>
        <v>0</v>
      </c>
      <c r="AE43" s="152">
        <f>IFERROR(s_RadSpec!$Q$28*AE28,".")*$B$43</f>
        <v>9.8036909957990841E-3</v>
      </c>
      <c r="AF43" s="150">
        <f t="shared" si="30"/>
        <v>9.8036909957990841E-3</v>
      </c>
      <c r="AG43" s="136">
        <f t="shared" ref="AG43:AL43" si="86">IFERROR(AG28/$B43,0)</f>
        <v>0</v>
      </c>
      <c r="AH43" s="136">
        <f t="shared" si="86"/>
        <v>0</v>
      </c>
      <c r="AI43" s="136">
        <f t="shared" si="86"/>
        <v>0</v>
      </c>
      <c r="AJ43" s="136">
        <f t="shared" si="86"/>
        <v>0</v>
      </c>
      <c r="AK43" s="136">
        <f t="shared" si="86"/>
        <v>0</v>
      </c>
      <c r="AL43" s="136">
        <f t="shared" si="86"/>
        <v>0</v>
      </c>
      <c r="AM43" s="152">
        <f>IFERROR(s_RadSpec!$J$28*AM28,".")*$B$43</f>
        <v>0</v>
      </c>
      <c r="AN43" s="152">
        <f>IFERROR(s_RadSpec!$J$28*AN28,".")*$B$43</f>
        <v>0</v>
      </c>
      <c r="AO43" s="152">
        <f>IFERROR(s_RadSpec!$J$28*AO28,".")*$B$43</f>
        <v>0</v>
      </c>
      <c r="AP43" s="152">
        <f>IFERROR(s_RadSpec!$J$28*AP28,".")*$B$43</f>
        <v>0</v>
      </c>
      <c r="AQ43" s="152">
        <f>IFERROR(s_RadSpec!$J$28*AQ28,".")*$B$43</f>
        <v>0</v>
      </c>
      <c r="AR43" s="152">
        <f>IFERROR(s_RadSpec!$J$28*AR28,".")*$B$43</f>
        <v>0</v>
      </c>
    </row>
    <row r="44" spans="1:44" x14ac:dyDescent="0.25">
      <c r="A44" s="148" t="s">
        <v>1074</v>
      </c>
      <c r="B44" s="141">
        <v>0.99987999999999999</v>
      </c>
      <c r="C44" s="136">
        <f>IFERROR(C15/$B44,0)</f>
        <v>65791093.244508147</v>
      </c>
      <c r="D44" s="136">
        <f>IFERROR(D15/$B44,0)</f>
        <v>658134997841.96375</v>
      </c>
      <c r="E44" s="136">
        <f t="shared" ref="E44:F44" si="87">IFERROR(E15/$B44,0)</f>
        <v>0</v>
      </c>
      <c r="F44" s="136">
        <f t="shared" si="87"/>
        <v>65784517.032472126</v>
      </c>
      <c r="G44" s="149">
        <f>IFERROR(s_RadSpec!$I$15*G15,".")*$B$44</f>
        <v>3.7999064565000002E-7</v>
      </c>
      <c r="H44" s="149">
        <f>IFERROR(s_RadSpec!$L$15*H15,".")*B44</f>
        <v>3.7986127590806518E-11</v>
      </c>
      <c r="I44" s="149">
        <f>IFERROR(s_RadSpec!$K$15*I15,".")*B44</f>
        <v>0</v>
      </c>
      <c r="J44" s="150">
        <f t="shared" si="27"/>
        <v>3.8002863177759081E-7</v>
      </c>
      <c r="K44" s="136">
        <f t="shared" ref="K44:O44" si="88">IFERROR(K15/$B44,0)</f>
        <v>0</v>
      </c>
      <c r="L44" s="136">
        <f t="shared" si="88"/>
        <v>0</v>
      </c>
      <c r="M44" s="136">
        <f t="shared" si="88"/>
        <v>0</v>
      </c>
      <c r="N44" s="136">
        <f t="shared" si="88"/>
        <v>0</v>
      </c>
      <c r="O44" s="136">
        <f t="shared" si="88"/>
        <v>0</v>
      </c>
      <c r="P44" s="149">
        <f>IFERROR(s_RadSpec!$K$15*P15,".")*$B$44</f>
        <v>0</v>
      </c>
      <c r="Q44" s="149">
        <f>IFERROR(s_RadSpec!$R$15*Q15,".")*$B$44</f>
        <v>0</v>
      </c>
      <c r="R44" s="149">
        <f>IFERROR(s_RadSpec!$S$15*R15,".")*$B$44</f>
        <v>0</v>
      </c>
      <c r="S44" s="149">
        <f>IFERROR(s_RadSpec!$T$15*S15,".")*$B$44</f>
        <v>0</v>
      </c>
      <c r="T44" s="149">
        <f>IFERROR(s_RadSpec!$P$15*T15,".")*$B$44</f>
        <v>0</v>
      </c>
      <c r="U44" s="136">
        <f>IFERROR(U15/$B44,0)</f>
        <v>2124360.1991916434</v>
      </c>
      <c r="V44" s="136">
        <f t="shared" ref="V44:W44" si="89">IFERROR(V15/$B44,0)</f>
        <v>46.900703030830506</v>
      </c>
      <c r="W44" s="136">
        <f t="shared" si="89"/>
        <v>46.899667600312078</v>
      </c>
      <c r="X44" s="149">
        <f>IFERROR(s_RadSpec!$L$15*X15,".")*$B$44</f>
        <v>1.176824909895833E-5</v>
      </c>
      <c r="Y44" s="149">
        <f>IFERROR(s_RadSpec!$O$15*Y15,".")*$B$44</f>
        <v>0.5330410502283105</v>
      </c>
      <c r="Z44" s="150">
        <f t="shared" si="29"/>
        <v>0.53305281847740948</v>
      </c>
      <c r="AA44" s="136">
        <f>IFERROR(AA15/$B44,0)</f>
        <v>452313.76605599344</v>
      </c>
      <c r="AB44" s="136">
        <f t="shared" ref="AB44" si="90">IFERROR(AB15/$B44,0)</f>
        <v>104689.06926524667</v>
      </c>
      <c r="AC44" s="136">
        <f>IFERROR(AC15/$B44,0)</f>
        <v>85012.686078969404</v>
      </c>
      <c r="AD44" s="149">
        <f>IFERROR(s_RadSpec!$M$15*AD15,".")*$B$44</f>
        <v>5.5271366640000003E-5</v>
      </c>
      <c r="AE44" s="149">
        <f>IFERROR(s_RadSpec!$Q$15*AE15,".")*$B$44</f>
        <v>2.3880239050228308E-4</v>
      </c>
      <c r="AF44" s="150">
        <f t="shared" si="30"/>
        <v>2.9407375714228306E-4</v>
      </c>
      <c r="AG44" s="136">
        <f t="shared" ref="AG44:AL44" si="91">IFERROR(AG15/$B44,0)</f>
        <v>3618510.1284479476</v>
      </c>
      <c r="AH44" s="136">
        <f t="shared" si="91"/>
        <v>638094659.42713511</v>
      </c>
      <c r="AI44" s="136">
        <f t="shared" si="91"/>
        <v>2584650091748.5342</v>
      </c>
      <c r="AJ44" s="136">
        <f t="shared" si="91"/>
        <v>3618510.1284479476</v>
      </c>
      <c r="AK44" s="136">
        <f t="shared" si="91"/>
        <v>0</v>
      </c>
      <c r="AL44" s="136">
        <f t="shared" si="91"/>
        <v>0</v>
      </c>
      <c r="AM44" s="149">
        <f>IFERROR(s_RadSpec!$J$15*AM15,".")*$B$44</f>
        <v>6.9089208300000004E-6</v>
      </c>
      <c r="AN44" s="149">
        <f>IFERROR(s_RadSpec!$J$15*AN15,".")*$B$44</f>
        <v>3.9179140007917238E-8</v>
      </c>
      <c r="AO44" s="149">
        <f>IFERROR(s_RadSpec!$J$15*AO15,".")*$B$44</f>
        <v>9.6724891619999992E-12</v>
      </c>
      <c r="AP44" s="149">
        <f>IFERROR(s_RadSpec!$J$15*AP15,".")*$B$44</f>
        <v>6.9089208300000004E-6</v>
      </c>
      <c r="AQ44" s="149">
        <f>IFERROR(s_RadSpec!$J$15*AQ15,".")*$B$44</f>
        <v>0</v>
      </c>
      <c r="AR44" s="149">
        <f>IFERROR(s_RadSpec!$J$15*AR15,".")*$B$44</f>
        <v>0</v>
      </c>
    </row>
    <row r="45" spans="1:44" x14ac:dyDescent="0.25">
      <c r="A45" s="145" t="s">
        <v>8</v>
      </c>
      <c r="B45" s="145" t="s">
        <v>1221</v>
      </c>
      <c r="C45" s="134">
        <f>IFERROR(IF(AND(C46&lt;&gt;0,C47&lt;&gt;0),1/SUM(1/C46,1/C47),IF(AND(C46&lt;&gt;0,C47=0),1/(1/C46),IF(AND(C46=0,C47&lt;&gt;0),1/(1/C47),IF(AND(C46=0,C47=0),".")))),".")</f>
        <v>369474.05368458002</v>
      </c>
      <c r="D45" s="134">
        <f>IFERROR(IF(AND(D46&lt;&gt;0,D47&lt;&gt;0),1/SUM(1/D46,1/D47),IF(AND(D46&lt;&gt;0,D47=0),1/(1/D46),IF(AND(D46=0,D47&lt;&gt;0),1/(1/D47),IF(AND(D46=0,D47=0),".")))),".")</f>
        <v>1101494252.0534084</v>
      </c>
      <c r="E45" s="134">
        <f t="shared" ref="E45:F45" si="92">IFERROR(IF(AND(E46&lt;&gt;0,E47&lt;&gt;0),1/SUM(1/E46,1/E47),IF(AND(E46&lt;&gt;0,E47=0),1/(1/E46),IF(AND(E46=0,E47&lt;&gt;0),1/(1/E47),IF(AND(E46=0,E47=0),".")))),".")</f>
        <v>1462.5585236303837</v>
      </c>
      <c r="F45" s="134">
        <f t="shared" si="92"/>
        <v>1456.7899042893869</v>
      </c>
      <c r="G45" s="146">
        <f t="shared" ref="G45:I45" si="93">SUM(G46:G47)</f>
        <v>6.7663749999999991E-5</v>
      </c>
      <c r="H45" s="146">
        <f t="shared" si="93"/>
        <v>2.2696441632259937E-8</v>
      </c>
      <c r="I45" s="146">
        <f t="shared" si="93"/>
        <v>3.4186666169015423E-3</v>
      </c>
      <c r="J45" s="147">
        <f t="shared" si="27"/>
        <v>3.4863530633431747E-3</v>
      </c>
      <c r="K45" s="134">
        <f t="shared" ref="K45:O45" si="94">IFERROR(IF(AND(K46&lt;&gt;0,K47&lt;&gt;0),1/SUM(1/K46,1/K47),IF(AND(K46&lt;&gt;0,K47=0),1/(1/K46),IF(AND(K46=0,K47&lt;&gt;0),1/(1/K47),IF(AND(K46=0,K47=0),".")))),".")</f>
        <v>7312.7926181519206</v>
      </c>
      <c r="L45" s="134">
        <f t="shared" si="94"/>
        <v>68609.631644788329</v>
      </c>
      <c r="M45" s="134">
        <f t="shared" si="94"/>
        <v>16950.139519955195</v>
      </c>
      <c r="N45" s="134">
        <f t="shared" si="94"/>
        <v>8968.5132780366421</v>
      </c>
      <c r="O45" s="134">
        <f t="shared" si="94"/>
        <v>114303.46751036566</v>
      </c>
      <c r="P45" s="146">
        <f t="shared" ref="P45:T45" si="95">SUM(P46:P47)</f>
        <v>3.4186666169015423E-3</v>
      </c>
      <c r="Q45" s="146">
        <f t="shared" si="95"/>
        <v>3.6438032679481704E-4</v>
      </c>
      <c r="R45" s="146">
        <f t="shared" si="95"/>
        <v>1.4749141132772274E-3</v>
      </c>
      <c r="S45" s="146">
        <f t="shared" si="95"/>
        <v>2.7875300203015268E-3</v>
      </c>
      <c r="T45" s="146">
        <f t="shared" si="95"/>
        <v>2.1871602449621982E-4</v>
      </c>
      <c r="U45" s="134">
        <f>IFERROR(IF(AND(U46&lt;&gt;0,U47&lt;&gt;0),1/SUM(1/U46,1/U47),IF(AND(U46&lt;&gt;0,U47=0),1/(1/U46),IF(AND(U46=0,U47&lt;&gt;0),1/(1/U47),IF(AND(U46=0,U47=0),".")))),".")</f>
        <v>3555.4567928668648</v>
      </c>
      <c r="V45" s="134">
        <f t="shared" ref="V45:W45" si="96">IFERROR(IF(AND(V46&lt;&gt;0,V47&lt;&gt;0),1/SUM(1/V46,1/V47),IF(AND(V46&lt;&gt;0,V47=0),1/(1/V46),IF(AND(V46=0,V47&lt;&gt;0),1/(1/V47),IF(AND(V46=0,V47=0),".")))),".")</f>
        <v>0.18399366707509238</v>
      </c>
      <c r="W45" s="134">
        <f t="shared" si="96"/>
        <v>0.18398414595877152</v>
      </c>
      <c r="X45" s="146">
        <f t="shared" ref="X45:Y45" si="97">SUM(X46:X47)</f>
        <v>7.031445312499998E-3</v>
      </c>
      <c r="Y45" s="146">
        <f t="shared" si="97"/>
        <v>135.87424174657534</v>
      </c>
      <c r="Z45" s="147">
        <f t="shared" si="29"/>
        <v>135.88127319188783</v>
      </c>
      <c r="AA45" s="134">
        <f>IFERROR(IF(AND(AA46&lt;&gt;0,AA47&lt;&gt;0),1/SUM(1/AA46,1/AA47),IF(AND(AA46&lt;&gt;0,AA47=0),1/(1/AA46),IF(AND(AA46=0,AA47&lt;&gt;0),1/(1/AA47),IF(AND(AA46=0,AA47=0),".")))),".")</f>
        <v>2540.1341190814878</v>
      </c>
      <c r="AB45" s="134">
        <f t="shared" ref="AB45" si="98">IFERROR(IF(AND(AB46&lt;&gt;0,AB47&lt;&gt;0),1/SUM(1/AB46,1/AB47),IF(AND(AB46&lt;&gt;0,AB47=0),1/(1/AB46),IF(AND(AB46=0,AB47&lt;&gt;0),1/(1/AB47),IF(AND(AB46=0,AB47=0),".")))),".")</f>
        <v>212.6196984033586</v>
      </c>
      <c r="AC45" s="134">
        <f>IFERROR(IF(AND(AC46&lt;&gt;0,AC47&lt;&gt;0),1/SUM(1/AC46,1/AC47),IF(AND(AC46&lt;&gt;0,AC47=0),1/(1/AC46),IF(AND(AC46=0,AC47&lt;&gt;0),1/(1/AC47),IF(AND(AC46=0,AC47=0),".")))),".")</f>
        <v>2483.6318454677466</v>
      </c>
      <c r="AD45" s="146">
        <f t="shared" ref="AD45:AE45" si="99">SUM(AD46:AD47)</f>
        <v>9.8420000000000001E-3</v>
      </c>
      <c r="AE45" s="146">
        <f t="shared" si="99"/>
        <v>0.11758082711872146</v>
      </c>
      <c r="AF45" s="147">
        <f t="shared" si="30"/>
        <v>0.12742282711872147</v>
      </c>
      <c r="AG45" s="134">
        <f t="shared" ref="AG45:AL45" si="100">IFERROR(IF(AND(AG46&lt;&gt;0,AG47&lt;&gt;0),1/SUM(1/AG46,1/AG47),IF(AND(AG46&lt;&gt;0,AG47=0),1/(1/AG46),IF(AND(AG46=0,AG47&lt;&gt;0),1/(1/AG47),IF(AND(AG46=0,AG47=0),".")))),".")</f>
        <v>20321.072952651903</v>
      </c>
      <c r="AH45" s="134">
        <f t="shared" si="100"/>
        <v>111736.1049449335</v>
      </c>
      <c r="AI45" s="134">
        <f t="shared" si="100"/>
        <v>461842567.10572505</v>
      </c>
      <c r="AJ45" s="134">
        <f t="shared" si="100"/>
        <v>20321.072952651903</v>
      </c>
      <c r="AK45" s="134">
        <f t="shared" si="100"/>
        <v>910.44233658834685</v>
      </c>
      <c r="AL45" s="134">
        <f t="shared" si="100"/>
        <v>3763161.6578985001</v>
      </c>
      <c r="AM45" s="146">
        <f t="shared" ref="AM45:AR45" si="101">SUM(AM46:AM47)</f>
        <v>1.23025E-3</v>
      </c>
      <c r="AN45" s="146">
        <f t="shared" si="101"/>
        <v>2.2374146666666661E-4</v>
      </c>
      <c r="AO45" s="146">
        <f t="shared" si="101"/>
        <v>5.413099999999999E-8</v>
      </c>
      <c r="AP45" s="146">
        <f t="shared" si="101"/>
        <v>1.23025E-3</v>
      </c>
      <c r="AQ45" s="146">
        <f t="shared" si="101"/>
        <v>2.7459179999999993E-2</v>
      </c>
      <c r="AR45" s="146">
        <f t="shared" si="101"/>
        <v>6.6433500000000005E-6</v>
      </c>
    </row>
    <row r="46" spans="1:44" x14ac:dyDescent="0.25">
      <c r="A46" s="148" t="s">
        <v>1086</v>
      </c>
      <c r="B46" s="141">
        <v>1</v>
      </c>
      <c r="C46" s="136">
        <f>IFERROR(C10/$B46,0)</f>
        <v>369474.05368458002</v>
      </c>
      <c r="D46" s="136">
        <f>IFERROR(D10/$B46,0)</f>
        <v>1101494252.0534084</v>
      </c>
      <c r="E46" s="136">
        <f t="shared" ref="E46:F46" si="102">IFERROR(E10/$B46,0)</f>
        <v>6300700.2897864264</v>
      </c>
      <c r="F46" s="136">
        <f t="shared" si="102"/>
        <v>348897.61227801349</v>
      </c>
      <c r="G46" s="149">
        <f>IFERROR(s_RadSpec!$I$10*G10,".")*$B$46</f>
        <v>6.7663749999999991E-5</v>
      </c>
      <c r="H46" s="149">
        <f>IFERROR(s_RadSpec!$L$10*H10,".")*B46</f>
        <v>2.2696441632259937E-8</v>
      </c>
      <c r="I46" s="149">
        <f>IFERROR(s_RadSpec!$K$10*I10,".")*B46</f>
        <v>7.9356258352823264E-7</v>
      </c>
      <c r="J46" s="150">
        <f t="shared" si="27"/>
        <v>6.8480009025160483E-5</v>
      </c>
      <c r="K46" s="136">
        <f t="shared" ref="K46:O46" si="103">IFERROR(K10/$B46,0)</f>
        <v>31503501.44893213</v>
      </c>
      <c r="L46" s="136">
        <f t="shared" si="103"/>
        <v>106173173.25150596</v>
      </c>
      <c r="M46" s="136">
        <f t="shared" si="103"/>
        <v>43471014.959625937</v>
      </c>
      <c r="N46" s="136">
        <f t="shared" si="103"/>
        <v>32625264.880926661</v>
      </c>
      <c r="O46" s="136">
        <f t="shared" si="103"/>
        <v>19591179.19526026</v>
      </c>
      <c r="P46" s="149">
        <f>IFERROR(s_RadSpec!$K$10*P10,".")*$B46</f>
        <v>7.9356258352823264E-7</v>
      </c>
      <c r="Q46" s="149">
        <f>IFERROR(s_RadSpec!$R$10*Q10,".")*$B46</f>
        <v>2.3546437611673621E-7</v>
      </c>
      <c r="R46" s="149">
        <f>IFERROR(s_RadSpec!$S$10*R10,".")*$B46</f>
        <v>5.7509584313177298E-7</v>
      </c>
      <c r="S46" s="149">
        <f>IFERROR(s_RadSpec!$T$10*S10,".")*$B46</f>
        <v>7.662773035328046E-7</v>
      </c>
      <c r="T46" s="149">
        <f>IFERROR(s_RadSpec!$P$10*T10,".")*$B46</f>
        <v>1.2760844944978248E-6</v>
      </c>
      <c r="U46" s="136">
        <f>IFERROR(U10/$B46,0)</f>
        <v>3555.4567928668653</v>
      </c>
      <c r="V46" s="136">
        <f t="shared" ref="V46:W46" si="104">IFERROR(V10/$B46,0)</f>
        <v>49.88837760262426</v>
      </c>
      <c r="W46" s="136">
        <f t="shared" si="104"/>
        <v>49.198055288908613</v>
      </c>
      <c r="X46" s="149">
        <f>IFERROR(s_RadSpec!$L$10*X10,".")*$B$46</f>
        <v>7.031445312499998E-3</v>
      </c>
      <c r="Y46" s="149">
        <f>IFERROR(s_RadSpec!$O$10*Y10,".")*$B$46</f>
        <v>0.50111872146118719</v>
      </c>
      <c r="Z46" s="150">
        <f t="shared" si="29"/>
        <v>0.50815016677368718</v>
      </c>
      <c r="AA46" s="136">
        <f>IFERROR(AA10/$B46,0)</f>
        <v>2540.1341190814878</v>
      </c>
      <c r="AB46" s="136">
        <f t="shared" ref="AB46" si="105">IFERROR(AB10/$B46,0)</f>
        <v>111654.94034873051</v>
      </c>
      <c r="AC46" s="136">
        <f>IFERROR(AC10/$B46,0)</f>
        <v>2483.6318454677466</v>
      </c>
      <c r="AD46" s="149">
        <f>IFERROR(s_RadSpec!$M$10*AD10,".")*$B$46</f>
        <v>9.8420000000000001E-3</v>
      </c>
      <c r="AE46" s="149">
        <f>IFERROR(s_RadSpec!$Q$10*AE10,".")*$B$46</f>
        <v>2.2390410958904108E-4</v>
      </c>
      <c r="AF46" s="150">
        <f t="shared" si="30"/>
        <v>1.0065904109589041E-2</v>
      </c>
      <c r="AG46" s="136">
        <f t="shared" ref="AG46:AL46" si="106">IFERROR(AG10/$B46,0)</f>
        <v>20321.072952651903</v>
      </c>
      <c r="AH46" s="136">
        <f t="shared" si="106"/>
        <v>111736.1049449335</v>
      </c>
      <c r="AI46" s="136">
        <f t="shared" si="106"/>
        <v>461842567.10572505</v>
      </c>
      <c r="AJ46" s="136">
        <f t="shared" si="106"/>
        <v>20321.072952651903</v>
      </c>
      <c r="AK46" s="136">
        <f t="shared" si="106"/>
        <v>910.44233658834685</v>
      </c>
      <c r="AL46" s="136">
        <f t="shared" si="106"/>
        <v>3763161.6578985001</v>
      </c>
      <c r="AM46" s="149">
        <f>IFERROR(s_RadSpec!$J$10*AM10,".")*$B$46</f>
        <v>1.23025E-3</v>
      </c>
      <c r="AN46" s="149">
        <f>IFERROR(s_RadSpec!$J$10*AN10,".")*$B$46</f>
        <v>2.2374146666666661E-4</v>
      </c>
      <c r="AO46" s="149">
        <f>IFERROR(s_RadSpec!$J$10*AO10,".")*$B$46</f>
        <v>5.413099999999999E-8</v>
      </c>
      <c r="AP46" s="149">
        <f>IFERROR(s_RadSpec!$J$10*AP10,".")*$B$46</f>
        <v>1.23025E-3</v>
      </c>
      <c r="AQ46" s="149">
        <f>IFERROR(s_RadSpec!$J$10*AQ10,".")*$B$46</f>
        <v>2.7459179999999993E-2</v>
      </c>
      <c r="AR46" s="149">
        <f>IFERROR(s_RadSpec!$J$10*AR10,".")*$B$46</f>
        <v>6.6433500000000005E-6</v>
      </c>
    </row>
    <row r="47" spans="1:44" x14ac:dyDescent="0.25">
      <c r="A47" s="148" t="s">
        <v>1060</v>
      </c>
      <c r="B47" s="141">
        <v>0.94399</v>
      </c>
      <c r="C47" s="136">
        <f>IFERROR(C6/$B$47,0)</f>
        <v>0</v>
      </c>
      <c r="D47" s="136">
        <f>IFERROR(D6/$B$47,0)</f>
        <v>0</v>
      </c>
      <c r="E47" s="136">
        <f t="shared" ref="E47:F47" si="107">IFERROR(E6/$B$47,0)</f>
        <v>1462.8981008183391</v>
      </c>
      <c r="F47" s="136">
        <f t="shared" si="107"/>
        <v>1462.8981008183391</v>
      </c>
      <c r="G47" s="149">
        <f>IFERROR(s_RadSpec!$I$6*G6,".")*$B$47</f>
        <v>0</v>
      </c>
      <c r="H47" s="149">
        <f>IFERROR(s_RadSpec!$L$6*$H$6,".")*B47</f>
        <v>0</v>
      </c>
      <c r="I47" s="149">
        <f>IFERROR(s_RadSpec!$K$6*$I$6,".")*B47</f>
        <v>3.4178730543180142E-3</v>
      </c>
      <c r="J47" s="150">
        <f t="shared" si="27"/>
        <v>3.4178730543180142E-3</v>
      </c>
      <c r="K47" s="136">
        <f t="shared" ref="K47:O47" si="108">IFERROR(K6/$B$47,0)</f>
        <v>7314.4905040916956</v>
      </c>
      <c r="L47" s="136">
        <f t="shared" si="108"/>
        <v>68653.996197959656</v>
      </c>
      <c r="M47" s="136">
        <f t="shared" si="108"/>
        <v>16956.751265736293</v>
      </c>
      <c r="N47" s="136">
        <f t="shared" si="108"/>
        <v>8970.9793529555009</v>
      </c>
      <c r="O47" s="136">
        <f t="shared" si="108"/>
        <v>114974.27749383127</v>
      </c>
      <c r="P47" s="149">
        <f>IFERROR(s_RadSpec!$K$6*P6,".")*$B47</f>
        <v>3.4178730543180142E-3</v>
      </c>
      <c r="Q47" s="149">
        <f>IFERROR(s_RadSpec!$R$6*Q6,".")*$B47</f>
        <v>3.6414486241870031E-4</v>
      </c>
      <c r="R47" s="149">
        <f>IFERROR(s_RadSpec!$S$6*R6,".")*$B47</f>
        <v>1.4743390174340955E-3</v>
      </c>
      <c r="S47" s="149">
        <f>IFERROR(s_RadSpec!$T$6*S6,".")*$B47</f>
        <v>2.7867637429979941E-3</v>
      </c>
      <c r="T47" s="149">
        <f>IFERROR(s_RadSpec!$P$6*T6,".")*$B47</f>
        <v>2.1743994000172199E-4</v>
      </c>
      <c r="U47" s="136">
        <f>IFERROR(U6/$B$47,0)</f>
        <v>0</v>
      </c>
      <c r="V47" s="136">
        <f t="shared" ref="V47:W47" si="109">IFERROR(V6/$B$47,0)</f>
        <v>0.18467476734921784</v>
      </c>
      <c r="W47" s="136">
        <f t="shared" si="109"/>
        <v>0.18467476734921784</v>
      </c>
      <c r="X47" s="149">
        <f>IFERROR(s_RadSpec!$L$6*X6,".")*$B$47</f>
        <v>0</v>
      </c>
      <c r="Y47" s="149">
        <f>IFERROR(s_RadSpec!$O$6*Y6,".")*$B$47</f>
        <v>135.37312302511415</v>
      </c>
      <c r="Z47" s="150">
        <f t="shared" si="29"/>
        <v>135.37312302511415</v>
      </c>
      <c r="AA47" s="136">
        <f>IFERROR(AA6/$B$47,0)</f>
        <v>0</v>
      </c>
      <c r="AB47" s="136">
        <f t="shared" ref="AB47" si="110">IFERROR(AB6/$B$47,0)</f>
        <v>213.02535341740827</v>
      </c>
      <c r="AC47" s="136">
        <f>IFERROR(AC6/$B$47,0)</f>
        <v>0</v>
      </c>
      <c r="AD47" s="149">
        <f>IFERROR(s_RadSpec!$M$6*AD6,".")*$B$47</f>
        <v>0</v>
      </c>
      <c r="AE47" s="149">
        <f>IFERROR(s_RadSpec!$Q$6*AE6,".")*$B$47</f>
        <v>0.11735692300913242</v>
      </c>
      <c r="AF47" s="150">
        <f t="shared" si="30"/>
        <v>0.11735692300913242</v>
      </c>
      <c r="AG47" s="136">
        <f t="shared" ref="AG47:AL47" si="111">IFERROR(AG6/$B$47,0)</f>
        <v>0</v>
      </c>
      <c r="AH47" s="136">
        <f t="shared" si="111"/>
        <v>0</v>
      </c>
      <c r="AI47" s="136">
        <f t="shared" si="111"/>
        <v>0</v>
      </c>
      <c r="AJ47" s="136">
        <f t="shared" si="111"/>
        <v>0</v>
      </c>
      <c r="AK47" s="136">
        <f t="shared" si="111"/>
        <v>0</v>
      </c>
      <c r="AL47" s="136">
        <f t="shared" si="111"/>
        <v>0</v>
      </c>
      <c r="AM47" s="149">
        <f>IFERROR(s_RadSpec!$J$6*AM6,".")*$B$47</f>
        <v>0</v>
      </c>
      <c r="AN47" s="149">
        <f>IFERROR(s_RadSpec!$J$6*AN6,".")*$B$47</f>
        <v>0</v>
      </c>
      <c r="AO47" s="149">
        <f>IFERROR(s_RadSpec!$J$6*AO6,".")*$B$47</f>
        <v>0</v>
      </c>
      <c r="AP47" s="149">
        <f>IFERROR(s_RadSpec!$J$6*AP6,".")*$B$47</f>
        <v>0</v>
      </c>
      <c r="AQ47" s="149">
        <f>IFERROR(s_RadSpec!$J$6*AQ6,".")*$B$47</f>
        <v>0</v>
      </c>
      <c r="AR47" s="149">
        <f>IFERROR(s_RadSpec!$J$6*AR6,".")*$B$47</f>
        <v>0</v>
      </c>
    </row>
    <row r="48" spans="1:44" x14ac:dyDescent="0.25">
      <c r="A48" s="145" t="s">
        <v>21</v>
      </c>
      <c r="B48" s="145" t="s">
        <v>1221</v>
      </c>
      <c r="C48" s="134">
        <f>1/SUM(1/C49,1/C52,1/C54,1/C58,1/C59,1/C61)</f>
        <v>1523.6525501129531</v>
      </c>
      <c r="D48" s="134">
        <f>1/SUM(1/D49,1/D52,1/D54,1/D58,1/D59,1/D61)</f>
        <v>2168819.5616484149</v>
      </c>
      <c r="E48" s="134">
        <f>1/SUM(1/E49,1/E50,1/E52,1/E54,1/E55,1/E56,1/E57,1/E58,1/E59,1/E60,1/E61,1/E62)</f>
        <v>297.04189316383486</v>
      </c>
      <c r="F48" s="134">
        <f>1/SUM(1/F49,1/F50,1/F51,1/F52,1/F54,1/F55,1/F56,1/F57,1/F58,1/F59,1/F60,1/F61,1/F62)</f>
        <v>248.55173398115303</v>
      </c>
      <c r="G48" s="146">
        <f t="shared" ref="G48:I48" si="112">SUM(G49:G62)</f>
        <v>1.6407940247365891E-2</v>
      </c>
      <c r="H48" s="146">
        <f t="shared" si="112"/>
        <v>1.1529092240336359E-5</v>
      </c>
      <c r="I48" s="146">
        <f t="shared" si="112"/>
        <v>1.6832642516327576E-2</v>
      </c>
      <c r="J48" s="147">
        <f t="shared" si="27"/>
        <v>3.3252111855933804E-2</v>
      </c>
      <c r="K48" s="134">
        <f>1/SUM(1/K49,1/K50,1/K52,1/K54,1/K55,1/K56,1/K57,1/K58,1/K59,1/K60,1/K61,1/K62)</f>
        <v>1485.2094658191741</v>
      </c>
      <c r="L48" s="134">
        <f t="shared" ref="L48:O48" si="113">1/SUM(1/L49,1/L50,1/L52,1/L54,1/L55,1/L56,1/L57,1/L58,1/L59,1/L60,1/L61,1/L62)</f>
        <v>16650.948900127427</v>
      </c>
      <c r="M48" s="134">
        <f t="shared" si="113"/>
        <v>4081.2670768003795</v>
      </c>
      <c r="N48" s="134">
        <f t="shared" si="113"/>
        <v>2098.8684340562381</v>
      </c>
      <c r="O48" s="134">
        <f t="shared" si="113"/>
        <v>28861.42885954375</v>
      </c>
      <c r="P48" s="146">
        <f t="shared" ref="P48:T48" si="114">SUM(P49:P62)</f>
        <v>1.6832642516327576E-2</v>
      </c>
      <c r="Q48" s="146">
        <f t="shared" si="114"/>
        <v>1.5014159343080247E-3</v>
      </c>
      <c r="R48" s="146">
        <f t="shared" si="114"/>
        <v>6.1255486420162038E-3</v>
      </c>
      <c r="S48" s="146">
        <f t="shared" si="114"/>
        <v>1.1911180136091434E-2</v>
      </c>
      <c r="T48" s="146">
        <f t="shared" si="114"/>
        <v>8.6620798026543742E-4</v>
      </c>
      <c r="U48" s="134">
        <f>1/SUM(1/U49,1/U52,1/U54,1/U58,1/U59,1/U61)</f>
        <v>7.0006214091360519</v>
      </c>
      <c r="V48" s="134">
        <f>1/SUM(1/V49,1/V50,1/V51,1/V52,1/V53,1/V54,1/V55,1/V56,1/V57,1/V58,1/V59,1/V60,1/V61,1/V62)</f>
        <v>5.6593412536608219E-2</v>
      </c>
      <c r="W48" s="134">
        <f>1/SUM(1/W49,1/W50,1/W51,1/W52,1/W53,1/W54,1/W55,1/W56,1/W57,1/W58,1/W59,1/W60,1/W61,1/W62)</f>
        <v>5.6139495666173489E-2</v>
      </c>
      <c r="X48" s="146">
        <f t="shared" ref="X48:Y48" si="115">SUM(X49:X62)</f>
        <v>3.5717573223226555</v>
      </c>
      <c r="Y48" s="146">
        <f t="shared" si="115"/>
        <v>441.74752642506581</v>
      </c>
      <c r="Z48" s="147">
        <f t="shared" si="29"/>
        <v>445.31928374738845</v>
      </c>
      <c r="AA48" s="134">
        <f>1/SUM(1/AA49,1/AA52,1/AA54,1/AA58,1/AA59,1/AA61)</f>
        <v>10.475111282026552</v>
      </c>
      <c r="AB48" s="134">
        <f>1/SUM(1/AB49,1/AB50,1/AB51,1/AB52,1/AB53,1/AB54,1/AB55,1/AB56,1/AB57,1/AB58,1/AB59,1/AB60,1/AB61,1/AB62)</f>
        <v>65.388955769375613</v>
      </c>
      <c r="AC48" s="134">
        <f>1/SUM(1/AC49,1/AC52,1/AC54,1/AC58,1/AC59,1/AC61)</f>
        <v>9.0294702997194705</v>
      </c>
      <c r="AD48" s="146">
        <f t="shared" ref="AD48:AE48" si="116">SUM(AD49:AD62)</f>
        <v>2.3866094905259478</v>
      </c>
      <c r="AE48" s="146">
        <f t="shared" si="116"/>
        <v>0.38232756137250551</v>
      </c>
      <c r="AF48" s="147">
        <f t="shared" si="30"/>
        <v>2.7689370518984533</v>
      </c>
      <c r="AG48" s="134">
        <f t="shared" ref="AG48:AJ48" si="117">1/SUM(1/AG49,1/AG52,1/AG54,1/AG58,1/AG59,1/AG61)</f>
        <v>83.800890256212412</v>
      </c>
      <c r="AH48" s="134">
        <f t="shared" si="117"/>
        <v>3290.6569204201592</v>
      </c>
      <c r="AI48" s="134">
        <f t="shared" si="117"/>
        <v>13199191.566189611</v>
      </c>
      <c r="AJ48" s="134">
        <f t="shared" si="117"/>
        <v>83.800890256212412</v>
      </c>
      <c r="AK48" s="134">
        <f>1/SUM(1/AK61)</f>
        <v>8.0415396879820484</v>
      </c>
      <c r="AL48" s="134">
        <f>1/SUM(1/AL61)</f>
        <v>32175.032175032175</v>
      </c>
      <c r="AM48" s="146">
        <f t="shared" ref="AM48:AR48" si="118">SUM(AM49:AM62)</f>
        <v>0.29832618631574348</v>
      </c>
      <c r="AN48" s="146">
        <f t="shared" si="118"/>
        <v>7.5972672340475812E-3</v>
      </c>
      <c r="AO48" s="146">
        <f t="shared" si="118"/>
        <v>1.8940553953348739E-6</v>
      </c>
      <c r="AP48" s="146">
        <f t="shared" si="118"/>
        <v>0.29832618631574348</v>
      </c>
      <c r="AQ48" s="146">
        <f t="shared" si="118"/>
        <v>3.1088573793103449</v>
      </c>
      <c r="AR48" s="146">
        <f t="shared" si="118"/>
        <v>7.7699999999999991E-4</v>
      </c>
    </row>
    <row r="49" spans="1:44" x14ac:dyDescent="0.25">
      <c r="A49" s="148" t="s">
        <v>1088</v>
      </c>
      <c r="B49" s="141">
        <v>1</v>
      </c>
      <c r="C49" s="136">
        <f>IFERROR(C23/$B49,0)</f>
        <v>10847.692966898265</v>
      </c>
      <c r="D49" s="136">
        <f>IFERROR(D23/$B49,0)</f>
        <v>4459447.6029735077</v>
      </c>
      <c r="E49" s="136">
        <f t="shared" ref="E49:F49" si="119">IFERROR(E23/$B49,0)</f>
        <v>121250.5223772958</v>
      </c>
      <c r="F49" s="136">
        <f t="shared" si="119"/>
        <v>9934.7159840726163</v>
      </c>
      <c r="G49" s="149">
        <f>IFERROR(s_RadSpec!$I$23*G23,".")*$B$49</f>
        <v>2.3046375000000002E-3</v>
      </c>
      <c r="H49" s="149">
        <f>IFERROR(s_RadSpec!$L$23*$H$23,".")*B49</f>
        <v>5.6060755110857877E-6</v>
      </c>
      <c r="I49" s="149">
        <f>IFERROR(s_RadSpec!$K$23*$I$23,".")*B49</f>
        <v>4.123693574235892E-5</v>
      </c>
      <c r="J49" s="150">
        <f t="shared" si="27"/>
        <v>2.3514805112534449E-3</v>
      </c>
      <c r="K49" s="136">
        <f t="shared" ref="K49:O49" si="120">IFERROR(K23/$B49,0)</f>
        <v>606252.61188647896</v>
      </c>
      <c r="L49" s="136">
        <f t="shared" si="120"/>
        <v>4326744.7943226816</v>
      </c>
      <c r="M49" s="136">
        <f t="shared" si="120"/>
        <v>1108760.3317740473</v>
      </c>
      <c r="N49" s="136">
        <f t="shared" si="120"/>
        <v>639506.51654787257</v>
      </c>
      <c r="O49" s="136">
        <f t="shared" si="120"/>
        <v>6908135.3481583055</v>
      </c>
      <c r="P49" s="149">
        <f>IFERROR(s_RadSpec!$K$23*$P$23,".")*$B$49</f>
        <v>4.123693574235892E-5</v>
      </c>
      <c r="Q49" s="149">
        <f>IFERROR(s_RadSpec!$R$23*$Q$23,".")*$B$49</f>
        <v>5.7780158498841057E-6</v>
      </c>
      <c r="R49" s="149">
        <f>IFERROR(s_RadSpec!$S$23*$R$23,".")*$B$49</f>
        <v>2.2547704209438402E-5</v>
      </c>
      <c r="S49" s="149">
        <f>IFERROR(s_RadSpec!$T$23*$S$23,".")*$B$49</f>
        <v>3.9092643081970126E-5</v>
      </c>
      <c r="T49" s="149">
        <f>IFERROR(s_RadSpec!$P$23*$T$23,".")*$B$49</f>
        <v>3.6189215671150603E-6</v>
      </c>
      <c r="U49" s="136">
        <f>IFERROR(U23/$B49,0)</f>
        <v>14.394422161412455</v>
      </c>
      <c r="V49" s="136">
        <f t="shared" ref="V49:W49" si="121">IFERROR(V23/$B49,0)</f>
        <v>15.078802233590617</v>
      </c>
      <c r="W49" s="136">
        <f t="shared" si="121"/>
        <v>7.3643332039215732</v>
      </c>
      <c r="X49" s="149">
        <f>IFERROR(s_RadSpec!$L$23*X23,".")*$B$49</f>
        <v>1.7367838541666663</v>
      </c>
      <c r="Y49" s="149">
        <f>IFERROR(s_RadSpec!$O$23*Y23,".")*$B$49</f>
        <v>1.6579566210045662</v>
      </c>
      <c r="Z49" s="150">
        <f t="shared" si="29"/>
        <v>3.3947404751712327</v>
      </c>
      <c r="AA49" s="136">
        <f>IFERROR(AA23/$B49,0)</f>
        <v>74.577889147425566</v>
      </c>
      <c r="AB49" s="136">
        <f t="shared" ref="AB49" si="122">IFERROR(AB23/$B49,0)</f>
        <v>17140.012772831436</v>
      </c>
      <c r="AC49" s="136">
        <f>IFERROR(AC23/$B49,0)</f>
        <v>74.254799179217969</v>
      </c>
      <c r="AD49" s="149">
        <f>IFERROR(s_RadSpec!$M$23*AD23,".")*$B$49</f>
        <v>0.33522000000000002</v>
      </c>
      <c r="AE49" s="149">
        <f>IFERROR(s_RadSpec!$Q$23*AE23,".")*$B$49</f>
        <v>1.4585753424657534E-3</v>
      </c>
      <c r="AF49" s="150">
        <f t="shared" si="30"/>
        <v>0.33667857534246576</v>
      </c>
      <c r="AG49" s="136">
        <f t="shared" ref="AG49:AL49" si="123">IFERROR(AG23/$B49,0)</f>
        <v>596.62311317940453</v>
      </c>
      <c r="AH49" s="136">
        <f t="shared" si="123"/>
        <v>43028.558630055202</v>
      </c>
      <c r="AI49" s="136">
        <f t="shared" si="123"/>
        <v>175477386.22923663</v>
      </c>
      <c r="AJ49" s="136">
        <f t="shared" si="123"/>
        <v>596.62311317940453</v>
      </c>
      <c r="AK49" s="136">
        <f t="shared" si="123"/>
        <v>0</v>
      </c>
      <c r="AL49" s="136">
        <f t="shared" si="123"/>
        <v>0</v>
      </c>
      <c r="AM49" s="149">
        <f>IFERROR(s_RadSpec!$J$23*AM23,".")*$B$49</f>
        <v>4.1902500000000002E-2</v>
      </c>
      <c r="AN49" s="149">
        <f>IFERROR(s_RadSpec!$J$23*AN23,".")*$B$49</f>
        <v>5.810094689655172E-4</v>
      </c>
      <c r="AO49" s="149">
        <f>IFERROR(s_RadSpec!$J$23*AO23,".")*$B$49</f>
        <v>1.4246849999999996E-7</v>
      </c>
      <c r="AP49" s="149">
        <f>IFERROR(s_RadSpec!$J$23*AP23,".")*$B$49</f>
        <v>4.1902500000000002E-2</v>
      </c>
      <c r="AQ49" s="149">
        <f>IFERROR(s_RadSpec!$J$23*AQ23,".")*$B$49</f>
        <v>0</v>
      </c>
      <c r="AR49" s="149">
        <f>IFERROR(s_RadSpec!$J$23*AR23,".")*$B$49</f>
        <v>0</v>
      </c>
    </row>
    <row r="50" spans="1:44" x14ac:dyDescent="0.25">
      <c r="A50" s="148" t="s">
        <v>1075</v>
      </c>
      <c r="B50" s="141">
        <v>1</v>
      </c>
      <c r="C50" s="136">
        <f>IFERROR(C25/$B50,0)</f>
        <v>0</v>
      </c>
      <c r="D50" s="136">
        <f>IFERROR(D25/$B50,0)</f>
        <v>25946495900.659599</v>
      </c>
      <c r="E50" s="136">
        <f t="shared" ref="E50:F50" si="124">IFERROR(E25/$B50,0)</f>
        <v>2643279.0782197881</v>
      </c>
      <c r="F50" s="136">
        <f t="shared" si="124"/>
        <v>2643009.8236508039</v>
      </c>
      <c r="G50" s="149">
        <f>IFERROR(s_RadSpec!$I$25*G25,".")*$B$50</f>
        <v>0</v>
      </c>
      <c r="H50" s="149">
        <f>IFERROR(s_RadSpec!$L$25*$H$25,".")*B50</f>
        <v>9.6352124370537679E-10</v>
      </c>
      <c r="I50" s="149">
        <f>IFERROR(s_RadSpec!$K$25*$I$25,".")*B50</f>
        <v>1.8915898972602734E-6</v>
      </c>
      <c r="J50" s="150">
        <f t="shared" si="27"/>
        <v>1.8925534185039788E-6</v>
      </c>
      <c r="K50" s="136">
        <f t="shared" ref="K50:O50" si="125">IFERROR(K25/$B50,0)</f>
        <v>13216395.391098941</v>
      </c>
      <c r="L50" s="136">
        <f t="shared" si="125"/>
        <v>114327612.70208606</v>
      </c>
      <c r="M50" s="136">
        <f t="shared" si="125"/>
        <v>28757570.093966324</v>
      </c>
      <c r="N50" s="136">
        <f t="shared" si="125"/>
        <v>16617784.723449612</v>
      </c>
      <c r="O50" s="136">
        <f t="shared" si="125"/>
        <v>207795552.58983502</v>
      </c>
      <c r="P50" s="149">
        <f>IFERROR(s_RadSpec!$K$25*$P$25,".")*$B$50</f>
        <v>1.8915898972602734E-6</v>
      </c>
      <c r="Q50" s="149">
        <f>IFERROR(s_RadSpec!$R$25*$Q$25,".")*$B$50</f>
        <v>2.1866983320245471E-7</v>
      </c>
      <c r="R50" s="149">
        <f>IFERROR(s_RadSpec!$S$25*$R$25,".")*$B$50</f>
        <v>8.6933631451863509E-7</v>
      </c>
      <c r="S50" s="149">
        <f>IFERROR(s_RadSpec!$T$25*$S$25,".")*$B$50</f>
        <v>1.5044123158438873E-6</v>
      </c>
      <c r="T50" s="149">
        <f>IFERROR(s_RadSpec!$P$25*$T$25,".")*$B$50</f>
        <v>1.2031056338028169E-7</v>
      </c>
      <c r="U50" s="136">
        <f>IFERROR(U25/$B50,0)</f>
        <v>83751.363140676127</v>
      </c>
      <c r="V50" s="136">
        <f t="shared" ref="V50:W50" si="126">IFERROR(V25/$B50,0)</f>
        <v>271.06979737842084</v>
      </c>
      <c r="W50" s="136">
        <f t="shared" si="126"/>
        <v>270.19528288888029</v>
      </c>
      <c r="X50" s="149">
        <f>IFERROR(s_RadSpec!$L$25*X$25,".")*$B$50</f>
        <v>2.9850260416666659E-4</v>
      </c>
      <c r="Y50" s="149">
        <f>IFERROR(s_RadSpec!$O$25*$Y$25,".")*$B$50</f>
        <v>9.222716894977169E-2</v>
      </c>
      <c r="Z50" s="150">
        <f t="shared" si="29"/>
        <v>9.2525671553938357E-2</v>
      </c>
      <c r="AA50" s="136">
        <f>IFERROR(AA25/$B50,0)</f>
        <v>0</v>
      </c>
      <c r="AB50" s="136">
        <f t="shared" ref="AB50" si="127">IFERROR(AB25/$B50,0)</f>
        <v>311802.36001640168</v>
      </c>
      <c r="AC50" s="136">
        <f>IFERROR(AC25/$B50,0)</f>
        <v>0</v>
      </c>
      <c r="AD50" s="149">
        <f>IFERROR(s_RadSpec!$M$25*AD25,".")*$B$50</f>
        <v>0</v>
      </c>
      <c r="AE50" s="149">
        <f>IFERROR(s_RadSpec!$Q$25*AE25,".")*$B$50</f>
        <v>8.0178995433789952E-5</v>
      </c>
      <c r="AF50" s="150">
        <f t="shared" si="30"/>
        <v>8.0178995433789952E-5</v>
      </c>
      <c r="AG50" s="136">
        <f t="shared" ref="AG50:AL50" si="128">IFERROR(AG25/$B50,0)</f>
        <v>0</v>
      </c>
      <c r="AH50" s="136">
        <f t="shared" si="128"/>
        <v>0</v>
      </c>
      <c r="AI50" s="136">
        <f t="shared" si="128"/>
        <v>0</v>
      </c>
      <c r="AJ50" s="136">
        <f t="shared" si="128"/>
        <v>0</v>
      </c>
      <c r="AK50" s="136">
        <f t="shared" si="128"/>
        <v>0</v>
      </c>
      <c r="AL50" s="136">
        <f t="shared" si="128"/>
        <v>0</v>
      </c>
      <c r="AM50" s="149">
        <f>IFERROR(s_RadSpec!$J$25*AM25,".")*$B$50</f>
        <v>0</v>
      </c>
      <c r="AN50" s="149">
        <f>IFERROR(s_RadSpec!$J$25*AN25,".")*$B$50</f>
        <v>0</v>
      </c>
      <c r="AO50" s="149">
        <f>IFERROR(s_RadSpec!$J$25*AO25,".")*$B$50</f>
        <v>0</v>
      </c>
      <c r="AP50" s="149">
        <f>IFERROR(s_RadSpec!$J$25*AP25,".")*$B$50</f>
        <v>0</v>
      </c>
      <c r="AQ50" s="149">
        <f>IFERROR(s_RadSpec!$J$25*AQ25,".")*$B$50</f>
        <v>0</v>
      </c>
      <c r="AR50" s="149">
        <f>IFERROR(s_RadSpec!$J$25*AR25,".")*$B$50</f>
        <v>0</v>
      </c>
    </row>
    <row r="51" spans="1:44" x14ac:dyDescent="0.25">
      <c r="A51" s="148" t="s">
        <v>1061</v>
      </c>
      <c r="B51" s="141">
        <v>1</v>
      </c>
      <c r="C51" s="136">
        <f>IFERROR(C21/$B51,0)</f>
        <v>0</v>
      </c>
      <c r="D51" s="136">
        <f>IFERROR(D21/$B51,0)</f>
        <v>22303090308.309761</v>
      </c>
      <c r="E51" s="136">
        <f t="shared" ref="E51:F51" si="129">IFERROR(E21/$B51,0)</f>
        <v>0</v>
      </c>
      <c r="F51" s="136">
        <f t="shared" si="129"/>
        <v>22303090308.309761</v>
      </c>
      <c r="G51" s="149">
        <f>IFERROR(s_RadSpec!$I$21*G21,".")*$B$51</f>
        <v>0</v>
      </c>
      <c r="H51" s="149">
        <f>IFERROR(s_RadSpec!$L$21*$H$21,".")*B51</f>
        <v>1.1209208972572475E-9</v>
      </c>
      <c r="I51" s="149">
        <f>IFERROR(s_RadSpec!$K$21*$I$21,".")*B51</f>
        <v>0</v>
      </c>
      <c r="J51" s="150">
        <f t="shared" si="27"/>
        <v>1.1209208972572475E-9</v>
      </c>
      <c r="K51" s="136">
        <f t="shared" ref="K51:O51" si="130">IFERROR(K21/$B51,0)</f>
        <v>0</v>
      </c>
      <c r="L51" s="136">
        <f t="shared" si="130"/>
        <v>0</v>
      </c>
      <c r="M51" s="136">
        <f t="shared" si="130"/>
        <v>0</v>
      </c>
      <c r="N51" s="136">
        <f t="shared" si="130"/>
        <v>0</v>
      </c>
      <c r="O51" s="136">
        <f t="shared" si="130"/>
        <v>0</v>
      </c>
      <c r="P51" s="149">
        <f>IFERROR(s_RadSpec!$K$21*$P$21,".")*$B$51</f>
        <v>0</v>
      </c>
      <c r="Q51" s="149">
        <f>IFERROR(s_RadSpec!$R$21*$Q$21,".")*$B$51</f>
        <v>0</v>
      </c>
      <c r="R51" s="149">
        <f>IFERROR(s_RadSpec!$S$21*$R$21,".")*$B$51</f>
        <v>0</v>
      </c>
      <c r="S51" s="149">
        <f>IFERROR(s_RadSpec!$T$21*$S$21,".")*$B$51</f>
        <v>0</v>
      </c>
      <c r="T51" s="149">
        <f>IFERROR(s_RadSpec!$P$21*$T$21,".")*$B$51</f>
        <v>0</v>
      </c>
      <c r="U51" s="136">
        <f>IFERROR(U21/$B51,0)</f>
        <v>71991.001124859409</v>
      </c>
      <c r="V51" s="136">
        <f t="shared" ref="V51:W51" si="131">IFERROR(V21/$B51,0)</f>
        <v>1789888.3567353745</v>
      </c>
      <c r="W51" s="136">
        <f t="shared" si="131"/>
        <v>69207.413551862337</v>
      </c>
      <c r="X51" s="149">
        <f>IFERROR(s_RadSpec!$L$21*X21,".")*$B$51</f>
        <v>3.4726562499999992E-4</v>
      </c>
      <c r="Y51" s="149">
        <f>IFERROR(s_RadSpec!$O$21*$Y$21,".")*$B$51</f>
        <v>1.3967351598173516E-5</v>
      </c>
      <c r="Z51" s="150">
        <f t="shared" si="29"/>
        <v>3.6123297659817344E-4</v>
      </c>
      <c r="AA51" s="136">
        <f>IFERROR(AA21/$B51,0)</f>
        <v>0</v>
      </c>
      <c r="AB51" s="136">
        <f t="shared" ref="AB51" si="132">IFERROR(AB21/$B51,0)</f>
        <v>4099219837.9778686</v>
      </c>
      <c r="AC51" s="136">
        <f>IFERROR(AC21/$B51,0)</f>
        <v>0</v>
      </c>
      <c r="AD51" s="149">
        <f>IFERROR(s_RadSpec!$M$21*AD21,".")*$B$51</f>
        <v>0</v>
      </c>
      <c r="AE51" s="149">
        <f>IFERROR(s_RadSpec!$Q$21*AE21,".")*$B$51</f>
        <v>6.0987214611872136E-9</v>
      </c>
      <c r="AF51" s="150">
        <f t="shared" si="30"/>
        <v>6.0987214611872136E-9</v>
      </c>
      <c r="AG51" s="136">
        <f t="shared" ref="AG51:AL51" si="133">IFERROR(AG21/$B51,0)</f>
        <v>0</v>
      </c>
      <c r="AH51" s="136">
        <f t="shared" si="133"/>
        <v>0</v>
      </c>
      <c r="AI51" s="136">
        <f t="shared" si="133"/>
        <v>0</v>
      </c>
      <c r="AJ51" s="136">
        <f t="shared" si="133"/>
        <v>0</v>
      </c>
      <c r="AK51" s="136">
        <f t="shared" si="133"/>
        <v>0</v>
      </c>
      <c r="AL51" s="136">
        <f t="shared" si="133"/>
        <v>0</v>
      </c>
      <c r="AM51" s="149">
        <f>IFERROR(s_RadSpec!$J$21*AM21,".")*$B$51</f>
        <v>0</v>
      </c>
      <c r="AN51" s="149">
        <f>IFERROR(s_RadSpec!$J$21*AN21,".")*$B$51</f>
        <v>0</v>
      </c>
      <c r="AO51" s="149">
        <f>IFERROR(s_RadSpec!$J$21*AO21,".")*$B$51</f>
        <v>0</v>
      </c>
      <c r="AP51" s="149">
        <f>IFERROR(s_RadSpec!$J$21*AP21,".")*$B$51</f>
        <v>0</v>
      </c>
      <c r="AQ51" s="149">
        <f>IFERROR(s_RadSpec!$J$21*AQ21,".")*$B$51</f>
        <v>0</v>
      </c>
      <c r="AR51" s="149">
        <f>IFERROR(s_RadSpec!$J$21*AR21,".")*$B$51</f>
        <v>0</v>
      </c>
    </row>
    <row r="52" spans="1:44" x14ac:dyDescent="0.25">
      <c r="A52" s="148" t="s">
        <v>1062</v>
      </c>
      <c r="B52" s="141">
        <v>0.99980000000000002</v>
      </c>
      <c r="C52" s="136">
        <f>IFERROR(C17/$B52,0)</f>
        <v>24698431.716518752</v>
      </c>
      <c r="D52" s="136">
        <f>IFERROR(D17/$B52,0)</f>
        <v>3647715554.8989706</v>
      </c>
      <c r="E52" s="136">
        <f t="shared" ref="E52:F52" si="134">IFERROR(E17/$B52,0)</f>
        <v>6154.8464849368675</v>
      </c>
      <c r="F52" s="136">
        <f t="shared" si="134"/>
        <v>6153.3027000142392</v>
      </c>
      <c r="G52" s="149">
        <f>IFERROR(s_RadSpec!$I$17*G17,".")*$B$52</f>
        <v>1.0122100175E-6</v>
      </c>
      <c r="H52" s="149">
        <f>IFERROR(s_RadSpec!$L$17*$H$17,".")*B52</f>
        <v>6.8536045707907217E-9</v>
      </c>
      <c r="I52" s="149">
        <f>IFERROR(s_RadSpec!$K$17*$I$17,".")*B52</f>
        <v>8.123679465014776E-4</v>
      </c>
      <c r="J52" s="150">
        <f t="shared" si="27"/>
        <v>8.1338701012354843E-4</v>
      </c>
      <c r="K52" s="136">
        <f t="shared" ref="K52:O52" si="135">IFERROR(K17/$B52,0)</f>
        <v>30774.232424684338</v>
      </c>
      <c r="L52" s="136">
        <f t="shared" si="135"/>
        <v>241312.70651092092</v>
      </c>
      <c r="M52" s="136">
        <f t="shared" si="135"/>
        <v>64471.090227189787</v>
      </c>
      <c r="N52" s="136">
        <f t="shared" si="135"/>
        <v>38554.010561727613</v>
      </c>
      <c r="O52" s="136">
        <f t="shared" si="135"/>
        <v>456093.50862703117</v>
      </c>
      <c r="P52" s="149">
        <f>IFERROR(s_RadSpec!$K$17*$P$17,".")*$B$52</f>
        <v>8.123679465014776E-4</v>
      </c>
      <c r="Q52" s="149">
        <f>IFERROR(s_RadSpec!$R$17*$Q$17,".")*$B$52</f>
        <v>1.0360001494106402E-4</v>
      </c>
      <c r="R52" s="149">
        <f>IFERROR(s_RadSpec!$S$17*$R$17,".")*$B$52</f>
        <v>3.8777070330131628E-4</v>
      </c>
      <c r="S52" s="149">
        <f>IFERROR(s_RadSpec!$T$17*$S$17,".")*$B$52</f>
        <v>6.4844096984341718E-4</v>
      </c>
      <c r="T52" s="149">
        <f>IFERROR(s_RadSpec!$P$17*$T$17,".")*$B$52</f>
        <v>5.481332123155399E-5</v>
      </c>
      <c r="U52" s="136">
        <f>IFERROR(U17/$B52,0)</f>
        <v>11774.273922840976</v>
      </c>
      <c r="V52" s="136">
        <f t="shared" ref="V52:W52" si="136">IFERROR(V17/$B52,0)</f>
        <v>0.422562665203913</v>
      </c>
      <c r="W52" s="136">
        <f t="shared" si="136"/>
        <v>0.42254750054924489</v>
      </c>
      <c r="X52" s="149">
        <f>IFERROR(s_RadSpec!$L$17*X17,".")*$B$52</f>
        <v>2.123273177083333E-3</v>
      </c>
      <c r="Y52" s="149">
        <f>IFERROR(s_RadSpec!$O$17*$Y$17,".")*$B$52</f>
        <v>59.162822602739723</v>
      </c>
      <c r="Z52" s="150">
        <f t="shared" si="29"/>
        <v>59.164945875916807</v>
      </c>
      <c r="AA52" s="136">
        <f>IFERROR(AA17/$B52,0)</f>
        <v>169801.71805106639</v>
      </c>
      <c r="AB52" s="136">
        <f t="shared" ref="AB52" si="137">IFERROR(AB17/$B52,0)</f>
        <v>486.56074520367565</v>
      </c>
      <c r="AC52" s="136">
        <f>IFERROR(AC17/$B52,0)</f>
        <v>485.1705064835088</v>
      </c>
      <c r="AD52" s="149">
        <f>IFERROR(s_RadSpec!$M$17*AD17,".")*$B$52</f>
        <v>1.4723054800000002E-4</v>
      </c>
      <c r="AE52" s="149">
        <f>IFERROR(s_RadSpec!$Q$17*AE17,".")*$B$52</f>
        <v>5.138104593607306E-2</v>
      </c>
      <c r="AF52" s="150">
        <f t="shared" si="30"/>
        <v>5.1528276484073057E-2</v>
      </c>
      <c r="AG52" s="136">
        <f t="shared" ref="AG52:AL52" si="138">IFERROR(AG17/$B52,0)</f>
        <v>1358413.7444085311</v>
      </c>
      <c r="AH52" s="136">
        <f t="shared" si="138"/>
        <v>239545151.13414589</v>
      </c>
      <c r="AI52" s="136">
        <f t="shared" si="138"/>
        <v>970295531720.37939</v>
      </c>
      <c r="AJ52" s="136">
        <f t="shared" si="138"/>
        <v>1358413.7444085311</v>
      </c>
      <c r="AK52" s="136">
        <f t="shared" si="138"/>
        <v>0</v>
      </c>
      <c r="AL52" s="136">
        <f t="shared" si="138"/>
        <v>0</v>
      </c>
      <c r="AM52" s="149">
        <f>IFERROR(s_RadSpec!$J$17*AM17,".")*$B$52</f>
        <v>1.8403818500000002E-5</v>
      </c>
      <c r="AN52" s="149">
        <f>IFERROR(s_RadSpec!$J$17*AN17,".")*$B$52</f>
        <v>1.0436445856505747E-7</v>
      </c>
      <c r="AO52" s="149">
        <f>IFERROR(s_RadSpec!$J$17*AO17,".")*$B$52</f>
        <v>2.57653459E-11</v>
      </c>
      <c r="AP52" s="149">
        <f>IFERROR(s_RadSpec!$J$17*AP17,".")*$B$52</f>
        <v>1.8403818500000002E-5</v>
      </c>
      <c r="AQ52" s="149">
        <f>IFERROR(s_RadSpec!$J$17*AQ17,".")*$B$52</f>
        <v>0</v>
      </c>
      <c r="AR52" s="149">
        <f>IFERROR(s_RadSpec!$J$17*AR17,".")*$B$52</f>
        <v>0</v>
      </c>
    </row>
    <row r="53" spans="1:44" x14ac:dyDescent="0.25">
      <c r="A53" s="148" t="s">
        <v>1076</v>
      </c>
      <c r="B53" s="141">
        <v>2.0000000000000001E-4</v>
      </c>
      <c r="C53" s="136">
        <f>IFERROR(C5/$B53,0)</f>
        <v>0</v>
      </c>
      <c r="D53" s="136">
        <f>IFERROR(D5/$B53,0)</f>
        <v>0</v>
      </c>
      <c r="E53" s="136">
        <f t="shared" ref="E53:F53" si="139">IFERROR(E5/$B53,0)</f>
        <v>0</v>
      </c>
      <c r="F53" s="136">
        <f t="shared" si="139"/>
        <v>0</v>
      </c>
      <c r="G53" s="149">
        <f>IFERROR(s_RadSpec!$I$5*G5,".")*$B$53</f>
        <v>0</v>
      </c>
      <c r="H53" s="149">
        <f>IFERROR(s_RadSpec!$L$5*$H$5,".")*B53</f>
        <v>0</v>
      </c>
      <c r="I53" s="149">
        <f>IFERROR(s_RadSpec!$K$5*$I$5,".")*B53</f>
        <v>0</v>
      </c>
      <c r="J53" s="150">
        <f t="shared" si="27"/>
        <v>0</v>
      </c>
      <c r="K53" s="136">
        <f t="shared" ref="K53:O53" si="140">IFERROR(K5/$B53,0)</f>
        <v>0</v>
      </c>
      <c r="L53" s="136">
        <f t="shared" si="140"/>
        <v>0</v>
      </c>
      <c r="M53" s="136">
        <f t="shared" si="140"/>
        <v>0</v>
      </c>
      <c r="N53" s="136">
        <f t="shared" si="140"/>
        <v>0</v>
      </c>
      <c r="O53" s="136">
        <f t="shared" si="140"/>
        <v>0</v>
      </c>
      <c r="P53" s="149">
        <f>IFERROR(s_RadSpec!$K$5*$P$5,".")*$B$53</f>
        <v>0</v>
      </c>
      <c r="Q53" s="149">
        <f>IFERROR(s_RadSpec!$R$5*$Q$5,".")*$B$53</f>
        <v>0</v>
      </c>
      <c r="R53" s="149">
        <f>IFERROR(s_RadSpec!$S$5*$R$5,".")*$B$53</f>
        <v>0</v>
      </c>
      <c r="S53" s="149">
        <f>IFERROR(s_RadSpec!$T$5*$S$5,".")*$B$53</f>
        <v>0</v>
      </c>
      <c r="T53" s="149">
        <f>IFERROR(s_RadSpec!$P$5*$T$5,".")*$B$53</f>
        <v>0</v>
      </c>
      <c r="U53" s="136">
        <f>IFERROR(U5/$B53,0)</f>
        <v>0</v>
      </c>
      <c r="V53" s="136">
        <f t="shared" ref="V53:W53" si="141">IFERROR(V5/$B53,0)</f>
        <v>23926058.646156538</v>
      </c>
      <c r="W53" s="136">
        <f t="shared" si="141"/>
        <v>23926058.646156538</v>
      </c>
      <c r="X53" s="149">
        <f>IFERROR(s_RadSpec!$L$5*X5,".")*$B$53</f>
        <v>0</v>
      </c>
      <c r="Y53" s="149">
        <f>IFERROR(s_RadSpec!$O$5*$Y$5,".")*$B$53</f>
        <v>1.0448858447488585E-6</v>
      </c>
      <c r="Z53" s="150">
        <f t="shared" si="29"/>
        <v>1.0448858447488585E-6</v>
      </c>
      <c r="AA53" s="136">
        <f>IFERROR(AA5/$B53,0)</f>
        <v>0</v>
      </c>
      <c r="AB53" s="136">
        <f t="shared" ref="AB53" si="142">IFERROR(AB5/$B53,0)</f>
        <v>46895074946.466805</v>
      </c>
      <c r="AC53" s="136">
        <f>IFERROR(AC5/$B53,0)</f>
        <v>0</v>
      </c>
      <c r="AD53" s="149">
        <f>IFERROR(s_RadSpec!$M$5*AD5,".")*$B$53</f>
        <v>0</v>
      </c>
      <c r="AE53" s="149">
        <f>IFERROR(s_RadSpec!$Q$5*AE5,".")*$B$53</f>
        <v>5.3310502283105023E-10</v>
      </c>
      <c r="AF53" s="150">
        <f t="shared" si="30"/>
        <v>5.3310502283105023E-10</v>
      </c>
      <c r="AG53" s="136">
        <f t="shared" ref="AG53:AL53" si="143">IFERROR(AG5/$B53,0)</f>
        <v>0</v>
      </c>
      <c r="AH53" s="136">
        <f t="shared" si="143"/>
        <v>0</v>
      </c>
      <c r="AI53" s="136">
        <f t="shared" si="143"/>
        <v>0</v>
      </c>
      <c r="AJ53" s="136">
        <f t="shared" si="143"/>
        <v>0</v>
      </c>
      <c r="AK53" s="136">
        <f t="shared" si="143"/>
        <v>0</v>
      </c>
      <c r="AL53" s="136">
        <f t="shared" si="143"/>
        <v>0</v>
      </c>
      <c r="AM53" s="149">
        <f>IFERROR(s_RadSpec!$J$5*AM5,".")*$B$53</f>
        <v>0</v>
      </c>
      <c r="AN53" s="149">
        <f>IFERROR(s_RadSpec!$J$5*AN5,".")*$B$53</f>
        <v>0</v>
      </c>
      <c r="AO53" s="149">
        <f>IFERROR(s_RadSpec!$J$5*AO5,".")*$B$53</f>
        <v>0</v>
      </c>
      <c r="AP53" s="149">
        <f>IFERROR(s_RadSpec!$J$5*AP5,".")*$B$53</f>
        <v>0</v>
      </c>
      <c r="AQ53" s="149">
        <f>IFERROR(s_RadSpec!$J$5*AQ5,".")*$B$53</f>
        <v>0</v>
      </c>
      <c r="AR53" s="149">
        <f>IFERROR(s_RadSpec!$J$5*AR5,".")*$B$53</f>
        <v>0</v>
      </c>
    </row>
    <row r="54" spans="1:44" x14ac:dyDescent="0.25">
      <c r="A54" s="148" t="s">
        <v>1077</v>
      </c>
      <c r="B54" s="141">
        <v>0.99999979999999999</v>
      </c>
      <c r="C54" s="136">
        <f>IFERROR(C9/$B54,0)</f>
        <v>32979905.347691901</v>
      </c>
      <c r="D54" s="136">
        <f>IFERROR(D9/$B54,0)</f>
        <v>4643431205.9900761</v>
      </c>
      <c r="E54" s="136">
        <f t="shared" ref="E54:F54" si="144">IFERROR(E9/$B54,0)</f>
        <v>313.12433664722374</v>
      </c>
      <c r="F54" s="136">
        <f t="shared" si="144"/>
        <v>313.12134263370586</v>
      </c>
      <c r="G54" s="149">
        <f>IFERROR(s_RadSpec!$I$9*G9,".")*$B$54</f>
        <v>7.5803734839250008E-7</v>
      </c>
      <c r="H54" s="149">
        <f>IFERROR(s_RadSpec!$L$9*$H$9,".")*B54</f>
        <v>5.383949689563555E-9</v>
      </c>
      <c r="I54" s="149">
        <f>IFERROR(s_RadSpec!$K$9*$I$9,".")*B54</f>
        <v>1.5968097700541129E-2</v>
      </c>
      <c r="J54" s="150">
        <f t="shared" si="27"/>
        <v>1.596886112183921E-2</v>
      </c>
      <c r="K54" s="136">
        <f t="shared" ref="K54:O54" si="145">IFERROR(K9/$B54,0)</f>
        <v>1565.6216832361185</v>
      </c>
      <c r="L54" s="136">
        <f t="shared" si="145"/>
        <v>17982.275024465151</v>
      </c>
      <c r="M54" s="136">
        <f t="shared" si="145"/>
        <v>4378.2291570986818</v>
      </c>
      <c r="N54" s="136">
        <f t="shared" si="145"/>
        <v>2229.11868451497</v>
      </c>
      <c r="O54" s="136">
        <f t="shared" si="145"/>
        <v>31255.196222718088</v>
      </c>
      <c r="P54" s="149">
        <f>IFERROR(s_RadSpec!$K$9*$P$9,".")*$B$54</f>
        <v>1.5968097700541129E-2</v>
      </c>
      <c r="Q54" s="149">
        <f>IFERROR(s_RadSpec!$R$9*$Q$9,".")*$B$54</f>
        <v>1.3902579048528135E-3</v>
      </c>
      <c r="R54" s="149">
        <f>IFERROR(s_RadSpec!$S$9*$R$9,".")*$B$54</f>
        <v>5.710071150448125E-3</v>
      </c>
      <c r="S54" s="149">
        <f>IFERROR(s_RadSpec!$T$9*$S$9,".")*$B$54</f>
        <v>1.1215194674768832E-2</v>
      </c>
      <c r="T54" s="149">
        <f>IFERROR(s_RadSpec!$P$9*$T$9,".")*$B$54</f>
        <v>7.9986699881373787E-4</v>
      </c>
      <c r="U54" s="136">
        <f>IFERROR(U9/$B54,0)</f>
        <v>14988.293395785146</v>
      </c>
      <c r="V54" s="136">
        <f t="shared" ref="V54:W54" si="146">IFERROR(V9/$B54,0)</f>
        <v>6.595651803865496E-2</v>
      </c>
      <c r="W54" s="136">
        <f t="shared" si="146"/>
        <v>6.5956227795929287E-2</v>
      </c>
      <c r="X54" s="149">
        <f>IFERROR(s_RadSpec!$L$9*X9,".")*$B$54</f>
        <v>1.6679684164062497E-3</v>
      </c>
      <c r="Y54" s="149">
        <f>IFERROR(s_RadSpec!$O$9*$Y$9,".")*$B$54</f>
        <v>379.03759542534243</v>
      </c>
      <c r="Z54" s="150">
        <f t="shared" si="29"/>
        <v>379.03926339375886</v>
      </c>
      <c r="AA54" s="136">
        <f>IFERROR(AA9/$B54,0)</f>
        <v>226736.84926538181</v>
      </c>
      <c r="AB54" s="136">
        <f t="shared" ref="AB54" si="147">IFERROR(AB9/$B54,0)</f>
        <v>76.128383645265728</v>
      </c>
      <c r="AC54" s="136">
        <f>IFERROR(AC9/$B54,0)</f>
        <v>76.102831620613017</v>
      </c>
      <c r="AD54" s="149">
        <f>IFERROR(s_RadSpec!$M$9*AD9,".")*$B$54</f>
        <v>1.1025997794800001E-4</v>
      </c>
      <c r="AE54" s="149">
        <f>IFERROR(s_RadSpec!$Q$9*AE9,".")*$B$54</f>
        <v>0.32839262838538807</v>
      </c>
      <c r="AF54" s="150">
        <f t="shared" si="30"/>
        <v>0.32850288836333608</v>
      </c>
      <c r="AG54" s="136">
        <f t="shared" ref="AG54:AL54" si="148">IFERROR(AG9/$B54,0)</f>
        <v>1813894.7941230545</v>
      </c>
      <c r="AH54" s="136">
        <f t="shared" si="148"/>
        <v>75578949.755127266</v>
      </c>
      <c r="AI54" s="136">
        <f t="shared" si="148"/>
        <v>453473698530.76361</v>
      </c>
      <c r="AJ54" s="136">
        <f t="shared" si="148"/>
        <v>1813894.7941230545</v>
      </c>
      <c r="AK54" s="136">
        <f t="shared" si="148"/>
        <v>0</v>
      </c>
      <c r="AL54" s="136">
        <f t="shared" si="148"/>
        <v>0</v>
      </c>
      <c r="AM54" s="149">
        <f>IFERROR(s_RadSpec!$J$9*AM9,".")*$B$54</f>
        <v>1.3782497243500001E-5</v>
      </c>
      <c r="AN54" s="149">
        <f>IFERROR(s_RadSpec!$J$9*AN9,".")*$B$54</f>
        <v>3.3077993384400006E-7</v>
      </c>
      <c r="AO54" s="149">
        <f>IFERROR(s_RadSpec!$J$9*AO9,".")*$B$54</f>
        <v>5.5129988974000009E-11</v>
      </c>
      <c r="AP54" s="149">
        <f>IFERROR(s_RadSpec!$J$9*AP9,".")*$B$54</f>
        <v>1.3782497243500001E-5</v>
      </c>
      <c r="AQ54" s="149">
        <f>IFERROR(s_RadSpec!$J$9*AQ9,".")*$B$54</f>
        <v>0</v>
      </c>
      <c r="AR54" s="149">
        <f>IFERROR(s_RadSpec!$J$9*AR9,".")*$B$54</f>
        <v>0</v>
      </c>
    </row>
    <row r="55" spans="1:44" x14ac:dyDescent="0.25">
      <c r="A55" s="148" t="s">
        <v>1078</v>
      </c>
      <c r="B55" s="141">
        <v>1.9999999999999999E-7</v>
      </c>
      <c r="C55" s="136">
        <f>IFERROR(C24/$B55,0)</f>
        <v>0</v>
      </c>
      <c r="D55" s="136">
        <f>IFERROR(D24/$B55,0)</f>
        <v>0</v>
      </c>
      <c r="E55" s="136">
        <f t="shared" ref="E55:F55" si="149">IFERROR(E24/$B55,0)</f>
        <v>5925760089496.5293</v>
      </c>
      <c r="F55" s="136">
        <f t="shared" si="149"/>
        <v>5925760089496.5293</v>
      </c>
      <c r="G55" s="149">
        <f>IFERROR(s_RadSpec!$I$24*G24,".")*$B$55</f>
        <v>0</v>
      </c>
      <c r="H55" s="149">
        <f>IFERROR(s_RadSpec!$L$24*$H$24,".")*B55</f>
        <v>0</v>
      </c>
      <c r="I55" s="149">
        <f>IFERROR(s_RadSpec!$K$24*$I$24,".")*B55</f>
        <v>8.4377361291803753E-13</v>
      </c>
      <c r="J55" s="150">
        <f t="shared" si="27"/>
        <v>8.4377361291803753E-13</v>
      </c>
      <c r="K55" s="136">
        <f t="shared" ref="K55:O55" si="150">IFERROR(K24/$B55,0)</f>
        <v>29628800447482.645</v>
      </c>
      <c r="L55" s="136">
        <f t="shared" si="150"/>
        <v>266831820247682.53</v>
      </c>
      <c r="M55" s="136">
        <f t="shared" si="150"/>
        <v>66012086122453.773</v>
      </c>
      <c r="N55" s="136">
        <f t="shared" si="150"/>
        <v>35398493742690.703</v>
      </c>
      <c r="O55" s="136">
        <f t="shared" si="150"/>
        <v>449269288859248.56</v>
      </c>
      <c r="P55" s="149">
        <f>IFERROR(s_RadSpec!$K$24*$P$24,".")*$B$55</f>
        <v>8.4377361291803753E-13</v>
      </c>
      <c r="Q55" s="149">
        <f>IFERROR(s_RadSpec!$R$24*$Q$24,".")*$B$55</f>
        <v>9.3691974131099255E-14</v>
      </c>
      <c r="R55" s="149">
        <f>IFERROR(s_RadSpec!$S$24*$R$24,".")*$B$55</f>
        <v>3.787185266895593E-13</v>
      </c>
      <c r="S55" s="149">
        <f>IFERROR(s_RadSpec!$T$24*$S$24,".")*$B$55</f>
        <v>7.0624473972602738E-13</v>
      </c>
      <c r="T55" s="149">
        <f>IFERROR(s_RadSpec!$P$24*$T$24,".")*$B$55</f>
        <v>5.564591353100979E-14</v>
      </c>
      <c r="U55" s="136">
        <f>IFERROR(U24/$B55,0)</f>
        <v>0</v>
      </c>
      <c r="V55" s="136">
        <f t="shared" ref="V55:W55" si="151">IFERROR(V24/$B55,0)</f>
        <v>689633455.09510028</v>
      </c>
      <c r="W55" s="136">
        <f t="shared" si="151"/>
        <v>689633455.09510028</v>
      </c>
      <c r="X55" s="149">
        <f>IFERROR(s_RadSpec!$L$24*X24,".")*$B$55</f>
        <v>0</v>
      </c>
      <c r="Y55" s="149">
        <f>IFERROR(s_RadSpec!$O$24*$Y$24,".")*$B$55</f>
        <v>3.6251141552511419E-8</v>
      </c>
      <c r="Z55" s="150">
        <f t="shared" si="29"/>
        <v>3.6251141552511419E-8</v>
      </c>
      <c r="AA55" s="136">
        <f>IFERROR(AA24/$B55,0)</f>
        <v>0</v>
      </c>
      <c r="AB55" s="136">
        <f t="shared" ref="AB55" si="152">IFERROR(AB24/$B55,0)</f>
        <v>793218453086.38037</v>
      </c>
      <c r="AC55" s="136">
        <f>IFERROR(AC24/$B55,0)</f>
        <v>0</v>
      </c>
      <c r="AD55" s="149">
        <f>IFERROR(s_RadSpec!$M$24*AD24,".")*$B$55</f>
        <v>0</v>
      </c>
      <c r="AE55" s="149">
        <f>IFERROR(s_RadSpec!$Q$24*AE24,".")*$B$55</f>
        <v>3.1517168949771686E-11</v>
      </c>
      <c r="AF55" s="150">
        <f t="shared" si="30"/>
        <v>3.1517168949771686E-11</v>
      </c>
      <c r="AG55" s="136">
        <f t="shared" ref="AG55:AL55" si="153">IFERROR(AG24/$B55,0)</f>
        <v>0</v>
      </c>
      <c r="AH55" s="136">
        <f t="shared" si="153"/>
        <v>0</v>
      </c>
      <c r="AI55" s="136">
        <f t="shared" si="153"/>
        <v>0</v>
      </c>
      <c r="AJ55" s="136">
        <f t="shared" si="153"/>
        <v>0</v>
      </c>
      <c r="AK55" s="136">
        <f t="shared" si="153"/>
        <v>0</v>
      </c>
      <c r="AL55" s="136">
        <f t="shared" si="153"/>
        <v>0</v>
      </c>
      <c r="AM55" s="149">
        <f>IFERROR(s_RadSpec!$J$24*AM24,".")*$B$55</f>
        <v>0</v>
      </c>
      <c r="AN55" s="149">
        <f>IFERROR(s_RadSpec!$J$24*AN24,".")*$B$55</f>
        <v>0</v>
      </c>
      <c r="AO55" s="149">
        <f>IFERROR(s_RadSpec!$J$24*AO24,".")*$B$55</f>
        <v>0</v>
      </c>
      <c r="AP55" s="149">
        <f>IFERROR(s_RadSpec!$J$24*AP24,".")*$B$55</f>
        <v>0</v>
      </c>
      <c r="AQ55" s="149">
        <f>IFERROR(s_RadSpec!$J$24*AQ24,".")*$B$55</f>
        <v>0</v>
      </c>
      <c r="AR55" s="149">
        <f>IFERROR(s_RadSpec!$J$24*AR24,".")*$B$55</f>
        <v>0</v>
      </c>
    </row>
    <row r="56" spans="1:44" x14ac:dyDescent="0.25">
      <c r="A56" s="148" t="s">
        <v>1079</v>
      </c>
      <c r="B56" s="141">
        <v>0.99979000004200003</v>
      </c>
      <c r="C56" s="136">
        <f>IFERROR(C20/$B56,0)</f>
        <v>0</v>
      </c>
      <c r="D56" s="136">
        <f>IFERROR(D20/$B56,0)</f>
        <v>0</v>
      </c>
      <c r="E56" s="136">
        <f t="shared" ref="E56:F56" si="154">IFERROR(E20/$B56,0)</f>
        <v>8236540.9778890209</v>
      </c>
      <c r="F56" s="136">
        <f t="shared" si="154"/>
        <v>8236540.9778890209</v>
      </c>
      <c r="G56" s="149">
        <f>IFERROR(s_RadSpec!$I$20*G20,".")*$B$56</f>
        <v>0</v>
      </c>
      <c r="H56" s="149">
        <f>IFERROR(s_RadSpec!$L$20*$H$20,".")*B56</f>
        <v>0</v>
      </c>
      <c r="I56" s="149">
        <f>IFERROR(s_RadSpec!$K$20*$I$20,".")*B56</f>
        <v>6.070509469232888E-7</v>
      </c>
      <c r="J56" s="150">
        <f t="shared" si="27"/>
        <v>6.070509469232888E-7</v>
      </c>
      <c r="K56" s="136">
        <f t="shared" ref="K56:O56" si="155">IFERROR(K20/$B56,0)</f>
        <v>41182704.889445104</v>
      </c>
      <c r="L56" s="136">
        <f t="shared" si="155"/>
        <v>417451239.44596559</v>
      </c>
      <c r="M56" s="136">
        <f t="shared" si="155"/>
        <v>102126556.08988704</v>
      </c>
      <c r="N56" s="136">
        <f t="shared" si="155"/>
        <v>54259847.277161621</v>
      </c>
      <c r="O56" s="136">
        <f t="shared" si="155"/>
        <v>722143028.54925108</v>
      </c>
      <c r="P56" s="149">
        <f>IFERROR(s_RadSpec!$K$20*$P$20,".")*$B$56</f>
        <v>6.070509469232888E-7</v>
      </c>
      <c r="Q56" s="149">
        <f>IFERROR(s_RadSpec!$R$20*$Q$20,".")*$B$56</f>
        <v>5.9887233855574557E-8</v>
      </c>
      <c r="R56" s="149">
        <f>IFERROR(s_RadSpec!$S$20*$R$20,".")*$B$56</f>
        <v>2.447943116577451E-7</v>
      </c>
      <c r="S56" s="149">
        <f>IFERROR(s_RadSpec!$T$20*$S$20,".")*$B$56</f>
        <v>4.6074586005188941E-7</v>
      </c>
      <c r="T56" s="149">
        <f>IFERROR(s_RadSpec!$P$20*$T$20,".")*$B$56</f>
        <v>3.4619180704719585E-8</v>
      </c>
      <c r="U56" s="136">
        <f>IFERROR(U20/$B56,0)</f>
        <v>0</v>
      </c>
      <c r="V56" s="136">
        <f t="shared" ref="V56:W56" si="156">IFERROR(V20/$B56,0)</f>
        <v>1234.3401310195354</v>
      </c>
      <c r="W56" s="136">
        <f t="shared" si="156"/>
        <v>1234.3401310195354</v>
      </c>
      <c r="X56" s="149">
        <f>IFERROR(s_RadSpec!$L$20*X20,".")*$B$56</f>
        <v>0</v>
      </c>
      <c r="Y56" s="149">
        <f>IFERROR(s_RadSpec!$O$20*$Y$20,".")*$B$56</f>
        <v>2.0253736690348551E-2</v>
      </c>
      <c r="Z56" s="150">
        <f t="shared" si="29"/>
        <v>2.0253736690348551E-2</v>
      </c>
      <c r="AA56" s="136">
        <f>IFERROR(AA20/$B56,0)</f>
        <v>0</v>
      </c>
      <c r="AB56" s="136">
        <f t="shared" ref="AB56" si="157">IFERROR(AB20/$B56,0)</f>
        <v>1424815.461079658</v>
      </c>
      <c r="AC56" s="136">
        <f>IFERROR(AC20/$B56,0)</f>
        <v>0</v>
      </c>
      <c r="AD56" s="149">
        <f>IFERROR(s_RadSpec!$M$20*AD20,".")*$B$56</f>
        <v>0</v>
      </c>
      <c r="AE56" s="149">
        <f>IFERROR(s_RadSpec!$Q$20*AE20,".")*$B$56</f>
        <v>1.754613189069143E-5</v>
      </c>
      <c r="AF56" s="150">
        <f t="shared" si="30"/>
        <v>1.754613189069143E-5</v>
      </c>
      <c r="AG56" s="136">
        <f t="shared" ref="AG56:AL56" si="158">IFERROR(AG20/$B56,0)</f>
        <v>0</v>
      </c>
      <c r="AH56" s="136">
        <f t="shared" si="158"/>
        <v>0</v>
      </c>
      <c r="AI56" s="136">
        <f t="shared" si="158"/>
        <v>0</v>
      </c>
      <c r="AJ56" s="136">
        <f t="shared" si="158"/>
        <v>0</v>
      </c>
      <c r="AK56" s="136">
        <f t="shared" si="158"/>
        <v>0</v>
      </c>
      <c r="AL56" s="136">
        <f t="shared" si="158"/>
        <v>0</v>
      </c>
      <c r="AM56" s="149">
        <f>IFERROR(s_RadSpec!$J$20*AM20,".")*$B$56</f>
        <v>0</v>
      </c>
      <c r="AN56" s="149">
        <f>IFERROR(s_RadSpec!$J$20*AN20,".")*$B$56</f>
        <v>0</v>
      </c>
      <c r="AO56" s="149">
        <f>IFERROR(s_RadSpec!$J$20*AO20,".")*$B$56</f>
        <v>0</v>
      </c>
      <c r="AP56" s="149">
        <f>IFERROR(s_RadSpec!$J$20*AP20,".")*$B$56</f>
        <v>0</v>
      </c>
      <c r="AQ56" s="149">
        <f>IFERROR(s_RadSpec!$J$20*AQ20,".")*$B$56</f>
        <v>0</v>
      </c>
      <c r="AR56" s="149">
        <f>IFERROR(s_RadSpec!$J$20*AR20,".")*$B$56</f>
        <v>0</v>
      </c>
    </row>
    <row r="57" spans="1:44" x14ac:dyDescent="0.25">
      <c r="A57" s="148" t="s">
        <v>1080</v>
      </c>
      <c r="B57" s="141">
        <v>2.0999995799999999E-4</v>
      </c>
      <c r="C57" s="136">
        <f>IFERROR(C29/$B57,0)</f>
        <v>0</v>
      </c>
      <c r="D57" s="136">
        <f>IFERROR(D29/$B57,0)</f>
        <v>0</v>
      </c>
      <c r="E57" s="136">
        <f t="shared" ref="E57:F57" si="159">IFERROR(E29/$B57,0)</f>
        <v>883270.96938941441</v>
      </c>
      <c r="F57" s="136">
        <f t="shared" si="159"/>
        <v>883270.96938941441</v>
      </c>
      <c r="G57" s="149">
        <f>IFERROR(s_RadSpec!$I$29*G29,".")*$B$57</f>
        <v>0</v>
      </c>
      <c r="H57" s="149">
        <f>IFERROR(s_RadSpec!$L$29*$H$29,".")*B57</f>
        <v>0</v>
      </c>
      <c r="I57" s="149">
        <f>IFERROR(s_RadSpec!$K$29*$I$29,".")*B57</f>
        <v>5.6607770132605961E-6</v>
      </c>
      <c r="J57" s="150">
        <f t="shared" si="27"/>
        <v>5.6607770132605961E-6</v>
      </c>
      <c r="K57" s="136">
        <f t="shared" ref="K57:O57" si="160">IFERROR(K29/$B57,0)</f>
        <v>4416354.8469470721</v>
      </c>
      <c r="L57" s="136">
        <f t="shared" si="160"/>
        <v>48254819.129876003</v>
      </c>
      <c r="M57" s="136">
        <f t="shared" si="160"/>
        <v>11969746.451498866</v>
      </c>
      <c r="N57" s="136">
        <f t="shared" si="160"/>
        <v>6317394.9009317905</v>
      </c>
      <c r="O57" s="136">
        <f t="shared" si="160"/>
        <v>86014528.911483914</v>
      </c>
      <c r="P57" s="149">
        <f>IFERROR(s_RadSpec!$K$29*$P$29,".")*$B$57</f>
        <v>5.6607770132605961E-6</v>
      </c>
      <c r="Q57" s="149">
        <f>IFERROR(s_RadSpec!$R$29*$Q$29,".")*$B$57</f>
        <v>5.1808296975921608E-7</v>
      </c>
      <c r="R57" s="149">
        <f>IFERROR(s_RadSpec!$S$29*$R$29,".")*$B$57</f>
        <v>2.0885989608300739E-6</v>
      </c>
      <c r="S57" s="149">
        <f>IFERROR(s_RadSpec!$T$29*$S$29,".")*$B$57</f>
        <v>3.9573274098018793E-6</v>
      </c>
      <c r="T57" s="149">
        <f>IFERROR(s_RadSpec!$P$29*$T$29,".")*$B$57</f>
        <v>2.9064857200726022E-7</v>
      </c>
      <c r="U57" s="136">
        <f>IFERROR(U29/$B57,0)</f>
        <v>0</v>
      </c>
      <c r="V57" s="136">
        <f t="shared" ref="V57:W57" si="161">IFERROR(V29/$B57,0)</f>
        <v>169.17418587836823</v>
      </c>
      <c r="W57" s="136">
        <f t="shared" si="161"/>
        <v>169.17418587836823</v>
      </c>
      <c r="X57" s="149">
        <f>IFERROR(s_RadSpec!$L$29*X29,".")*$B$57</f>
        <v>0</v>
      </c>
      <c r="Y57" s="149">
        <f>IFERROR(s_RadSpec!$O$29*$Y$29,".")*$B$57</f>
        <v>0.14777668277342465</v>
      </c>
      <c r="Z57" s="150">
        <f t="shared" si="29"/>
        <v>0.14777668277342465</v>
      </c>
      <c r="AA57" s="136">
        <f>IFERROR(AA29/$B57,0)</f>
        <v>0</v>
      </c>
      <c r="AB57" s="136">
        <f t="shared" ref="AB57" si="162">IFERROR(AB29/$B57,0)</f>
        <v>195885.89943811062</v>
      </c>
      <c r="AC57" s="136">
        <f>IFERROR(AC29/$B57,0)</f>
        <v>0</v>
      </c>
      <c r="AD57" s="149">
        <f>IFERROR(s_RadSpec!$M$29*AD29,".")*$B$57</f>
        <v>0</v>
      </c>
      <c r="AE57" s="149">
        <f>IFERROR(s_RadSpec!$Q$29*AE29,".")*$B$57</f>
        <v>1.276253169406849E-4</v>
      </c>
      <c r="AF57" s="150">
        <f t="shared" si="30"/>
        <v>1.276253169406849E-4</v>
      </c>
      <c r="AG57" s="136">
        <f t="shared" ref="AG57:AL57" si="163">IFERROR(AG29/$B57,0)</f>
        <v>0</v>
      </c>
      <c r="AH57" s="136">
        <f t="shared" si="163"/>
        <v>0</v>
      </c>
      <c r="AI57" s="136">
        <f t="shared" si="163"/>
        <v>0</v>
      </c>
      <c r="AJ57" s="136">
        <f t="shared" si="163"/>
        <v>0</v>
      </c>
      <c r="AK57" s="136">
        <f t="shared" si="163"/>
        <v>0</v>
      </c>
      <c r="AL57" s="136">
        <f t="shared" si="163"/>
        <v>0</v>
      </c>
      <c r="AM57" s="149">
        <f>IFERROR(s_RadSpec!$J$29*AM29,".")*$B$57</f>
        <v>0</v>
      </c>
      <c r="AN57" s="149">
        <f>IFERROR(s_RadSpec!$J$29*AN29,".")*$B$57</f>
        <v>0</v>
      </c>
      <c r="AO57" s="149">
        <f>IFERROR(s_RadSpec!$J$29*AO29,".")*$B$57</f>
        <v>0</v>
      </c>
      <c r="AP57" s="149">
        <f>IFERROR(s_RadSpec!$J$29*AP29,".")*$B$57</f>
        <v>0</v>
      </c>
      <c r="AQ57" s="149">
        <f>IFERROR(s_RadSpec!$J$29*AQ29,".")*$B$57</f>
        <v>0</v>
      </c>
      <c r="AR57" s="149">
        <f>IFERROR(s_RadSpec!$J$29*AR29,".")*$B$57</f>
        <v>0</v>
      </c>
    </row>
    <row r="58" spans="1:44" x14ac:dyDescent="0.25">
      <c r="A58" s="148" t="s">
        <v>1081</v>
      </c>
      <c r="B58" s="141">
        <v>1</v>
      </c>
      <c r="C58" s="136">
        <f>IFERROR(C16/$B58,0)</f>
        <v>4817.6518764754064</v>
      </c>
      <c r="D58" s="136">
        <f>IFERROR(D16/$B58,0)</f>
        <v>7617298.5589763047</v>
      </c>
      <c r="E58" s="136">
        <f t="shared" ref="E58:F58" si="164">IFERROR(E16/$B58,0)</f>
        <v>40218760674.499863</v>
      </c>
      <c r="F58" s="136">
        <f t="shared" si="164"/>
        <v>4814.606244260629</v>
      </c>
      <c r="G58" s="149">
        <f>IFERROR(s_RadSpec!$I$16*G16,".")*$B$58</f>
        <v>5.1892500000000003E-3</v>
      </c>
      <c r="H58" s="149">
        <f>IFERROR(s_RadSpec!$L$16*$H$16,".")*B58</f>
        <v>3.2820034302764373E-6</v>
      </c>
      <c r="I58" s="149">
        <f>IFERROR(s_RadSpec!$K$16*$I$16,".")*B58</f>
        <v>1.2432009132420082E-10</v>
      </c>
      <c r="J58" s="150">
        <f t="shared" si="27"/>
        <v>5.1925321277503681E-3</v>
      </c>
      <c r="K58" s="136">
        <f t="shared" ref="K58:O58" si="165">IFERROR(K16/$B58,0)</f>
        <v>201093803372.49933</v>
      </c>
      <c r="L58" s="136">
        <f t="shared" si="165"/>
        <v>563368123305.41821</v>
      </c>
      <c r="M58" s="136">
        <f t="shared" si="165"/>
        <v>219061511140.19751</v>
      </c>
      <c r="N58" s="136">
        <f t="shared" si="165"/>
        <v>216261362224.94443</v>
      </c>
      <c r="O58" s="136">
        <f t="shared" si="165"/>
        <v>6906529271936.7061</v>
      </c>
      <c r="P58" s="149">
        <f>IFERROR(s_RadSpec!$K$16*$P$16,".")*$B$58</f>
        <v>1.2432009132420082E-10</v>
      </c>
      <c r="Q58" s="149">
        <f>IFERROR(s_RadSpec!$R$16*$Q$16,".")*$B$58</f>
        <v>4.4375957683439556E-11</v>
      </c>
      <c r="R58" s="149">
        <f>IFERROR(s_RadSpec!$S$16*$R$16,".")*$B$58</f>
        <v>1.1412319704121924E-10</v>
      </c>
      <c r="S58" s="149">
        <f>IFERROR(s_RadSpec!$T$16*$S$16,".")*$B$58</f>
        <v>1.1560086250634189E-10</v>
      </c>
      <c r="T58" s="149">
        <f>IFERROR(s_RadSpec!$P$16*$T$16,".")*$B$58</f>
        <v>3.6197631278538807E-12</v>
      </c>
      <c r="U58" s="136">
        <f>IFERROR(U16/$B58,0)</f>
        <v>24.587487274054439</v>
      </c>
      <c r="V58" s="136">
        <f t="shared" ref="V58:W58" si="166">IFERROR(V16/$B58,0)</f>
        <v>99.564914960651407</v>
      </c>
      <c r="W58" s="136">
        <f t="shared" si="166"/>
        <v>19.718112863489925</v>
      </c>
      <c r="X58" s="149">
        <f>IFERROR(s_RadSpec!$L$16*X16,".")*$B$58</f>
        <v>1.0167773437499998</v>
      </c>
      <c r="Y58" s="149">
        <f>IFERROR(s_RadSpec!$O$16*$Y$16,".")*$B$58</f>
        <v>0.25109246575342464</v>
      </c>
      <c r="Z58" s="150">
        <f t="shared" si="29"/>
        <v>1.2678698095034244</v>
      </c>
      <c r="AA58" s="136">
        <f>IFERROR(AA16/$B58,0)</f>
        <v>33.121356650768412</v>
      </c>
      <c r="AB58" s="136">
        <f t="shared" ref="AB58" si="167">IFERROR(AB16/$B58,0)</f>
        <v>107557.51134510738</v>
      </c>
      <c r="AC58" s="136">
        <f>IFERROR(AC16/$B58,0)</f>
        <v>33.111160370303843</v>
      </c>
      <c r="AD58" s="149">
        <f>IFERROR(s_RadSpec!$M$16*AD16,".")*$B$58</f>
        <v>0.75480000000000003</v>
      </c>
      <c r="AE58" s="149">
        <f>IFERROR(s_RadSpec!$Q$16*AE16,".")*$B$58</f>
        <v>2.3243378995433788E-4</v>
      </c>
      <c r="AF58" s="150">
        <f t="shared" si="30"/>
        <v>0.75503243378995433</v>
      </c>
      <c r="AG58" s="136">
        <f t="shared" ref="AG58:AL58" si="168">IFERROR(AG16/$B58,0)</f>
        <v>264.9708532061473</v>
      </c>
      <c r="AH58" s="136">
        <f t="shared" si="168"/>
        <v>46725.442332039107</v>
      </c>
      <c r="AI58" s="136">
        <f t="shared" si="168"/>
        <v>189264895.14724809</v>
      </c>
      <c r="AJ58" s="136">
        <f t="shared" si="168"/>
        <v>264.9708532061473</v>
      </c>
      <c r="AK58" s="136">
        <f t="shared" si="168"/>
        <v>0</v>
      </c>
      <c r="AL58" s="136">
        <f t="shared" si="168"/>
        <v>0</v>
      </c>
      <c r="AM58" s="149">
        <f>IFERROR(s_RadSpec!$J$16*AM16,".")*$B$58</f>
        <v>9.4350000000000003E-2</v>
      </c>
      <c r="AN58" s="149">
        <f>IFERROR(s_RadSpec!$J$16*AN16,".")*$B$58</f>
        <v>5.3504041379310338E-4</v>
      </c>
      <c r="AO58" s="149">
        <f>IFERROR(s_RadSpec!$J$16*AO16,".")*$B$58</f>
        <v>1.3208999999999999E-7</v>
      </c>
      <c r="AP58" s="149">
        <f>IFERROR(s_RadSpec!$J$16*AP16,".")*$B$58</f>
        <v>9.4350000000000003E-2</v>
      </c>
      <c r="AQ58" s="149">
        <f>IFERROR(s_RadSpec!$J$16*AQ16,".")*$B$58</f>
        <v>0</v>
      </c>
      <c r="AR58" s="149">
        <f>IFERROR(s_RadSpec!$J$16*AR16,".")*$B$58</f>
        <v>0</v>
      </c>
    </row>
    <row r="59" spans="1:44" x14ac:dyDescent="0.25">
      <c r="A59" s="148" t="s">
        <v>1082</v>
      </c>
      <c r="B59" s="141">
        <v>1</v>
      </c>
      <c r="C59" s="136">
        <f>IFERROR(C7/$B59,0)</f>
        <v>2730002.7300027302</v>
      </c>
      <c r="D59" s="136">
        <f>IFERROR(D7/$B59,0)</f>
        <v>314604865.14128166</v>
      </c>
      <c r="E59" s="136">
        <f t="shared" ref="E59:F59" si="169">IFERROR(E7/$B59,0)</f>
        <v>1845848.8432131121</v>
      </c>
      <c r="F59" s="136">
        <f t="shared" si="169"/>
        <v>1097412.0427494859</v>
      </c>
      <c r="G59" s="149">
        <f>IFERROR(s_RadSpec!$I$7*G7,".")*$B$59</f>
        <v>9.1575E-6</v>
      </c>
      <c r="H59" s="149">
        <f>IFERROR(s_RadSpec!$L$7*$H$7,".")*B59</f>
        <v>7.9464759671701458E-8</v>
      </c>
      <c r="I59" s="149">
        <f>IFERROR(s_RadSpec!$K$7*$I$7,".")*B59</f>
        <v>2.7087808508178726E-6</v>
      </c>
      <c r="J59" s="150">
        <f t="shared" si="27"/>
        <v>1.1945745610489574E-5</v>
      </c>
      <c r="K59" s="136">
        <f t="shared" ref="K59:O59" si="170">IFERROR(K7/$B59,0)</f>
        <v>9229244.2160655614</v>
      </c>
      <c r="L59" s="136">
        <f t="shared" si="170"/>
        <v>25607137.930118531</v>
      </c>
      <c r="M59" s="136">
        <f t="shared" si="170"/>
        <v>12970232.902424194</v>
      </c>
      <c r="N59" s="136">
        <f t="shared" si="170"/>
        <v>10102150.993986223</v>
      </c>
      <c r="O59" s="136">
        <f t="shared" si="170"/>
        <v>3351619.1116955951</v>
      </c>
      <c r="P59" s="149">
        <f>IFERROR(s_RadSpec!$K$7*$P$7,".")*$B$59</f>
        <v>2.7087808508178726E-6</v>
      </c>
      <c r="Q59" s="149">
        <f>IFERROR(s_RadSpec!$R$7*$Q$7,".")*$B$59</f>
        <v>9.7629028547526859E-7</v>
      </c>
      <c r="R59" s="149">
        <f>IFERROR(s_RadSpec!$S$7*$R$7,".")*$B$59</f>
        <v>1.927490445859872E-6</v>
      </c>
      <c r="S59" s="149">
        <f>IFERROR(s_RadSpec!$T$7*$S$7,".")*$B$59</f>
        <v>2.4747204842693814E-6</v>
      </c>
      <c r="T59" s="149">
        <f>IFERROR(s_RadSpec!$P$7*$T$7,".")*$B$59</f>
        <v>7.4590814668533177E-6</v>
      </c>
      <c r="U59" s="136">
        <f>IFERROR(U7/$B59,0)</f>
        <v>1015.4969059078649</v>
      </c>
      <c r="V59" s="136">
        <f t="shared" ref="V59:W59" si="171">IFERROR(V7/$B59,0)</f>
        <v>18.176385638165428</v>
      </c>
      <c r="W59" s="136">
        <f t="shared" si="171"/>
        <v>17.856767246581406</v>
      </c>
      <c r="X59" s="149">
        <f>IFERROR(s_RadSpec!$L$7*X7,".")*$B$59</f>
        <v>2.461848958333333E-2</v>
      </c>
      <c r="Y59" s="149">
        <f>IFERROR(s_RadSpec!$O$7*$Y$7,".")*$B$59</f>
        <v>1.3754109589041095</v>
      </c>
      <c r="Z59" s="150">
        <f t="shared" si="29"/>
        <v>1.4000294484874427</v>
      </c>
      <c r="AA59" s="136">
        <f>IFERROR(AA7/$B59,0)</f>
        <v>18768.768768768772</v>
      </c>
      <c r="AB59" s="136">
        <f t="shared" ref="AB59" si="172">IFERROR(AB7/$B59,0)</f>
        <v>39341.50582757283</v>
      </c>
      <c r="AC59" s="136">
        <f>IFERROR(AC7/$B59,0)</f>
        <v>12706.730970074781</v>
      </c>
      <c r="AD59" s="149">
        <f>IFERROR(s_RadSpec!$M$7*AD7,".")*$B$59</f>
        <v>1.3319999999999999E-3</v>
      </c>
      <c r="AE59" s="149">
        <f>IFERROR(s_RadSpec!$Q$7*AE7,".")*$B$59</f>
        <v>6.3546118721461179E-4</v>
      </c>
      <c r="AF59" s="150">
        <f t="shared" si="30"/>
        <v>1.9674611872146116E-3</v>
      </c>
      <c r="AG59" s="136">
        <f t="shared" ref="AG59:AL59" si="173">IFERROR(AG7/$B59,0)</f>
        <v>150150.15015015018</v>
      </c>
      <c r="AH59" s="136">
        <f t="shared" si="173"/>
        <v>6256256.2562562572</v>
      </c>
      <c r="AI59" s="136">
        <f t="shared" si="173"/>
        <v>37537537537.537544</v>
      </c>
      <c r="AJ59" s="136">
        <f t="shared" si="173"/>
        <v>150150.15015015018</v>
      </c>
      <c r="AK59" s="136">
        <f t="shared" si="173"/>
        <v>0</v>
      </c>
      <c r="AL59" s="136">
        <f t="shared" si="173"/>
        <v>0</v>
      </c>
      <c r="AM59" s="149">
        <f>IFERROR(s_RadSpec!$J$7*AM7,".")*$B$59</f>
        <v>1.6649999999999998E-4</v>
      </c>
      <c r="AN59" s="149">
        <f>IFERROR(s_RadSpec!$J$7*AN7,".")*$B$59</f>
        <v>3.9960000000000004E-6</v>
      </c>
      <c r="AO59" s="149">
        <f>IFERROR(s_RadSpec!$J$7*AO7,".")*$B$59</f>
        <v>6.6599999999999997E-10</v>
      </c>
      <c r="AP59" s="149">
        <f>IFERROR(s_RadSpec!$J$7*AP7,".")*$B$59</f>
        <v>1.6649999999999998E-4</v>
      </c>
      <c r="AQ59" s="149">
        <f>IFERROR(s_RadSpec!$J$7*AQ7,".")*$B$59</f>
        <v>0</v>
      </c>
      <c r="AR59" s="149">
        <f>IFERROR(s_RadSpec!$J$7*AR7,".")*$B$59</f>
        <v>0</v>
      </c>
    </row>
    <row r="60" spans="1:44" x14ac:dyDescent="0.25">
      <c r="A60" s="148" t="s">
        <v>1083</v>
      </c>
      <c r="B60" s="141">
        <v>1.9000000000000001E-8</v>
      </c>
      <c r="C60" s="136">
        <f>IFERROR(C12/$B60,0)</f>
        <v>0</v>
      </c>
      <c r="D60" s="136">
        <f>IFERROR(D12/$B60,0)</f>
        <v>0</v>
      </c>
      <c r="E60" s="136">
        <f t="shared" ref="E60:F60" si="174">IFERROR(E12/$B60,0)</f>
        <v>673548076713.12549</v>
      </c>
      <c r="F60" s="136">
        <f t="shared" si="174"/>
        <v>673548076713.12549</v>
      </c>
      <c r="G60" s="149">
        <f>IFERROR(s_RadSpec!$I$12*G12,".")*$B$60</f>
        <v>0</v>
      </c>
      <c r="H60" s="149">
        <f>IFERROR(s_RadSpec!$L$12*$H$12,".")*B60</f>
        <v>0</v>
      </c>
      <c r="I60" s="149">
        <f>IFERROR(s_RadSpec!$K$12*$I$12,".")*B60</f>
        <v>7.4233750683391485E-12</v>
      </c>
      <c r="J60" s="150">
        <f t="shared" si="27"/>
        <v>7.4233750683391485E-12</v>
      </c>
      <c r="K60" s="136">
        <f t="shared" ref="K60:O60" si="175">IFERROR(K12/$B60,0)</f>
        <v>3367740383565.627</v>
      </c>
      <c r="L60" s="136">
        <f t="shared" si="175"/>
        <v>26708316118427.387</v>
      </c>
      <c r="M60" s="136">
        <f t="shared" si="175"/>
        <v>6941775543129.9014</v>
      </c>
      <c r="N60" s="136">
        <f t="shared" si="175"/>
        <v>4133632210926.6909</v>
      </c>
      <c r="O60" s="136">
        <f t="shared" si="175"/>
        <v>36688504410245.578</v>
      </c>
      <c r="P60" s="149">
        <f>IFERROR(s_RadSpec!$K$12*$P$12,".")*$B$60</f>
        <v>7.4233750683391485E-12</v>
      </c>
      <c r="Q60" s="149">
        <f>IFERROR(s_RadSpec!$R$12*$Q$12,".")*$B$60</f>
        <v>9.360380448227234E-13</v>
      </c>
      <c r="R60" s="149">
        <f>IFERROR(s_RadSpec!$S$12*$R$12,".")*$B$60</f>
        <v>3.6013840903775494E-12</v>
      </c>
      <c r="S60" s="149">
        <f>IFERROR(s_RadSpec!$T$12*$S$12,".")*$B$60</f>
        <v>6.0479497749983474E-12</v>
      </c>
      <c r="T60" s="149">
        <f>IFERROR(s_RadSpec!$P$12*$T$12,".")*$B$60</f>
        <v>6.8141234977729219E-13</v>
      </c>
      <c r="U60" s="136">
        <f>IFERROR(U12/$B60,0)</f>
        <v>0</v>
      </c>
      <c r="V60" s="136">
        <f t="shared" ref="V60:W60" si="176">IFERROR(V12/$B60,0)</f>
        <v>44391399.98718933</v>
      </c>
      <c r="W60" s="136">
        <f t="shared" si="176"/>
        <v>44391399.987189338</v>
      </c>
      <c r="X60" s="149">
        <f>IFERROR(s_RadSpec!$L$12*X12,".")*$B$60</f>
        <v>0</v>
      </c>
      <c r="Y60" s="149">
        <f>IFERROR(s_RadSpec!$O$12*$Y$12,".")*$B$60</f>
        <v>5.6317214611872144E-7</v>
      </c>
      <c r="Z60" s="150">
        <f t="shared" si="29"/>
        <v>5.6317214611872144E-7</v>
      </c>
      <c r="AA60" s="136">
        <f>IFERROR(AA12/$B60,0)</f>
        <v>0</v>
      </c>
      <c r="AB60" s="136">
        <f t="shared" ref="AB60" si="177">IFERROR(AB12/$B60,0)</f>
        <v>51852139480.834595</v>
      </c>
      <c r="AC60" s="136">
        <f>IFERROR(AC12/$B60,0)</f>
        <v>0</v>
      </c>
      <c r="AD60" s="149">
        <f>IFERROR(s_RadSpec!$M$12*AD12,".")*$B$60</f>
        <v>0</v>
      </c>
      <c r="AE60" s="149">
        <f>IFERROR(s_RadSpec!$Q$12*AE12,".")*$B$60</f>
        <v>4.8214018264840177E-10</v>
      </c>
      <c r="AF60" s="150">
        <f t="shared" si="30"/>
        <v>4.8214018264840177E-10</v>
      </c>
      <c r="AG60" s="136">
        <f t="shared" ref="AG60:AL60" si="178">IFERROR(AG12/$B60,0)</f>
        <v>0</v>
      </c>
      <c r="AH60" s="136">
        <f t="shared" si="178"/>
        <v>0</v>
      </c>
      <c r="AI60" s="136">
        <f t="shared" si="178"/>
        <v>0</v>
      </c>
      <c r="AJ60" s="136">
        <f t="shared" si="178"/>
        <v>0</v>
      </c>
      <c r="AK60" s="136">
        <f t="shared" si="178"/>
        <v>0</v>
      </c>
      <c r="AL60" s="136">
        <f t="shared" si="178"/>
        <v>0</v>
      </c>
      <c r="AM60" s="149">
        <f>IFERROR(s_RadSpec!$J$12*AM12,".")*$B$60</f>
        <v>0</v>
      </c>
      <c r="AN60" s="149">
        <f>IFERROR(s_RadSpec!$J$12*AN12,".")*$B$60</f>
        <v>0</v>
      </c>
      <c r="AO60" s="149">
        <f>IFERROR(s_RadSpec!$J$12*AO12,".")*$B$60</f>
        <v>0</v>
      </c>
      <c r="AP60" s="149">
        <f>IFERROR(s_RadSpec!$J$12*AP12,".")*$B$60</f>
        <v>0</v>
      </c>
      <c r="AQ60" s="149">
        <f>IFERROR(s_RadSpec!$J$12*AQ12,".")*$B$60</f>
        <v>0</v>
      </c>
      <c r="AR60" s="149">
        <f>IFERROR(s_RadSpec!$J$12*AR12,".")*$B$60</f>
        <v>0</v>
      </c>
    </row>
    <row r="61" spans="1:44" x14ac:dyDescent="0.25">
      <c r="A61" s="148" t="s">
        <v>1084</v>
      </c>
      <c r="B61" s="141">
        <v>1</v>
      </c>
      <c r="C61" s="136">
        <f>IFERROR(C18/$B61,0)</f>
        <v>2808.0028080028083</v>
      </c>
      <c r="D61" s="136">
        <f>IFERROR(D18/$B61,0)</f>
        <v>9814596.2202194724</v>
      </c>
      <c r="E61" s="136">
        <f t="shared" ref="E61:F61" si="179">IFERROR(E18/$B61,0)</f>
        <v>69843114.922423258</v>
      </c>
      <c r="F61" s="136">
        <f t="shared" si="179"/>
        <v>2807.0868297337679</v>
      </c>
      <c r="G61" s="149">
        <f>IFERROR(s_RadSpec!$I$18*G18,".")*$B$61</f>
        <v>8.9031249999999996E-3</v>
      </c>
      <c r="H61" s="149">
        <f>IFERROR(s_RadSpec!$L$18*$H$18,".")*B61</f>
        <v>2.5472265429011154E-6</v>
      </c>
      <c r="I61" s="149">
        <f>IFERROR(s_RadSpec!$K$18*$I$18,".")*B61</f>
        <v>7.1589017837386568E-8</v>
      </c>
      <c r="J61" s="150">
        <f t="shared" si="27"/>
        <v>8.9057438155607377E-3</v>
      </c>
      <c r="K61" s="136">
        <f t="shared" ref="K61:O61" si="180">IFERROR(K18/$B61,0)</f>
        <v>349215574.61211628</v>
      </c>
      <c r="L61" s="136">
        <f t="shared" si="180"/>
        <v>3561106986.197051</v>
      </c>
      <c r="M61" s="136">
        <f t="shared" si="180"/>
        <v>869870767.49878526</v>
      </c>
      <c r="N61" s="136">
        <f t="shared" si="180"/>
        <v>458629589.65572047</v>
      </c>
      <c r="O61" s="136">
        <f t="shared" si="180"/>
        <v>6147748363.9666862</v>
      </c>
      <c r="P61" s="149">
        <f>IFERROR(s_RadSpec!$K$18*$P$18,".")*$B$61</f>
        <v>7.1589017837386568E-8</v>
      </c>
      <c r="Q61" s="149">
        <f>IFERROR(s_RadSpec!$R$18*$Q$18,".")*$B$61</f>
        <v>7.0202889429889888E-9</v>
      </c>
      <c r="R61" s="149">
        <f>IFERROR(s_RadSpec!$S$18*$R$18,".")*$B$61</f>
        <v>2.8739901298079794E-8</v>
      </c>
      <c r="S61" s="149">
        <f>IFERROR(s_RadSpec!$T$18*$S$18,".")*$B$61</f>
        <v>5.4510220369267395E-8</v>
      </c>
      <c r="T61" s="149">
        <f>IFERROR(s_RadSpec!$P$18*$T$18,".")*$B$61</f>
        <v>4.0665294868818211E-9</v>
      </c>
      <c r="U61" s="136">
        <f>IFERROR(U18/$B61,0)</f>
        <v>31.680031680031682</v>
      </c>
      <c r="V61" s="136">
        <f t="shared" ref="V61:W61" si="181">IFERROR(V18/$B61,0)</f>
        <v>10538.219089093665</v>
      </c>
      <c r="W61" s="136">
        <f t="shared" si="181"/>
        <v>31.585080498778183</v>
      </c>
      <c r="X61" s="149">
        <f>IFERROR(s_RadSpec!$L$18*X18,".")*$B$61</f>
        <v>0.78914062499999993</v>
      </c>
      <c r="Y61" s="149">
        <f>IFERROR(s_RadSpec!$O$18*$Y$18,".")*$B$61</f>
        <v>2.3723173515981734E-3</v>
      </c>
      <c r="Z61" s="150">
        <f t="shared" si="29"/>
        <v>0.79151294235159808</v>
      </c>
      <c r="AA61" s="136">
        <f>IFERROR(AA18/$B61,0)</f>
        <v>19.305019305019304</v>
      </c>
      <c r="AB61" s="136">
        <f t="shared" ref="AB61" si="182">IFERROR(AB18/$B61,0)</f>
        <v>12148983.146753062</v>
      </c>
      <c r="AC61" s="136">
        <f>IFERROR(AC18/$B61,0)</f>
        <v>19.304988628939366</v>
      </c>
      <c r="AD61" s="149">
        <f>IFERROR(s_RadSpec!$M$18*AD18,".")*$B$61</f>
        <v>1.2949999999999999</v>
      </c>
      <c r="AE61" s="149">
        <f>IFERROR(s_RadSpec!$Q$18*AE18,".")*$B$61</f>
        <v>2.0577853881278536E-6</v>
      </c>
      <c r="AF61" s="150">
        <f t="shared" si="30"/>
        <v>1.295002057785388</v>
      </c>
      <c r="AG61" s="136">
        <f t="shared" ref="AG61:AL61" si="183">IFERROR(AG18/$B61,0)</f>
        <v>154.44015444015443</v>
      </c>
      <c r="AH61" s="136">
        <f t="shared" si="183"/>
        <v>3859.9390502313827</v>
      </c>
      <c r="AI61" s="136">
        <f t="shared" si="183"/>
        <v>15444015.444015441</v>
      </c>
      <c r="AJ61" s="136">
        <f t="shared" si="183"/>
        <v>154.44015444015443</v>
      </c>
      <c r="AK61" s="136">
        <f t="shared" si="183"/>
        <v>8.0415396879820484</v>
      </c>
      <c r="AL61" s="136">
        <f t="shared" si="183"/>
        <v>32175.032175032175</v>
      </c>
      <c r="AM61" s="149">
        <f>IFERROR(s_RadSpec!$J$18*AM18,".")*$B$61</f>
        <v>0.16187499999999999</v>
      </c>
      <c r="AN61" s="149">
        <f>IFERROR(s_RadSpec!$J$18*AN18,".")*$B$61</f>
        <v>6.476786206896552E-3</v>
      </c>
      <c r="AO61" s="149">
        <f>IFERROR(s_RadSpec!$J$18*AO18,".")*$B$61</f>
        <v>1.61875E-6</v>
      </c>
      <c r="AP61" s="149">
        <f>IFERROR(s_RadSpec!$J$18*AP18,".")*$B$61</f>
        <v>0.16187499999999999</v>
      </c>
      <c r="AQ61" s="149">
        <f>IFERROR(s_RadSpec!$J$18*AQ18,".")*$B$61</f>
        <v>3.1088573793103449</v>
      </c>
      <c r="AR61" s="149">
        <f>IFERROR(s_RadSpec!$J$18*AR18,".")*$B$61</f>
        <v>7.7699999999999991E-4</v>
      </c>
    </row>
    <row r="62" spans="1:44" x14ac:dyDescent="0.25">
      <c r="A62" s="148" t="s">
        <v>1085</v>
      </c>
      <c r="B62" s="141">
        <v>1.339E-6</v>
      </c>
      <c r="C62" s="136">
        <f>IFERROR(C27/$B62,0)</f>
        <v>0</v>
      </c>
      <c r="D62" s="136">
        <f>IFERROR(D27/$B62,0)</f>
        <v>0</v>
      </c>
      <c r="E62" s="136">
        <f t="shared" ref="E62:F62" si="184">IFERROR(E27/$B62,0)</f>
        <v>377949834421.99121</v>
      </c>
      <c r="F62" s="136">
        <f t="shared" si="184"/>
        <v>377949834421.99121</v>
      </c>
      <c r="G62" s="149">
        <f>IFERROR(s_RadSpec!$I$27*G27,".")*$B$62</f>
        <v>0</v>
      </c>
      <c r="H62" s="149">
        <f>IFERROR(s_RadSpec!$L$27*$H$27,".")*B62</f>
        <v>0</v>
      </c>
      <c r="I62" s="149">
        <f>IFERROR(s_RadSpec!$K$27*$I$27,".")*B62</f>
        <v>1.3229268925720354E-11</v>
      </c>
      <c r="J62" s="150">
        <f t="shared" si="27"/>
        <v>1.3229268925720354E-11</v>
      </c>
      <c r="K62" s="136">
        <f t="shared" ref="K62:O62" si="185">IFERROR(K27/$B62,0)</f>
        <v>1889749172109.9558</v>
      </c>
      <c r="L62" s="136">
        <f t="shared" si="185"/>
        <v>9443442878330.7793</v>
      </c>
      <c r="M62" s="136">
        <f t="shared" si="185"/>
        <v>4152921347255.4429</v>
      </c>
      <c r="N62" s="136">
        <f t="shared" si="185"/>
        <v>2563623464727.0845</v>
      </c>
      <c r="O62" s="136">
        <f t="shared" si="185"/>
        <v>3131350168970.2534</v>
      </c>
      <c r="P62" s="149">
        <f>IFERROR(s_RadSpec!$K$27*$P$27,".")*$B$62</f>
        <v>1.3229268925720354E-11</v>
      </c>
      <c r="Q62" s="149">
        <f>IFERROR(s_RadSpec!$R$27*$Q$27,".")*$B$62</f>
        <v>2.6473395690639246E-12</v>
      </c>
      <c r="R62" s="149">
        <f>IFERROR(s_RadSpec!$S$27*$R$27,".")*$B$62</f>
        <v>6.0198587715902321E-12</v>
      </c>
      <c r="S62" s="149">
        <f>IFERROR(s_RadSpec!$T$27*$S$27,".")*$B$62</f>
        <v>9.7518221158353408E-12</v>
      </c>
      <c r="T62" s="149">
        <f>IFERROR(s_RadSpec!$P$27*$T$27,".")*$B$62</f>
        <v>7.9837765343954706E-12</v>
      </c>
      <c r="U62" s="136">
        <f>IFERROR(U27/$B62,0)</f>
        <v>0</v>
      </c>
      <c r="V62" s="136">
        <f t="shared" ref="V62:W62" si="186">IFERROR(V27/$B62,0)</f>
        <v>8821778.5268653836</v>
      </c>
      <c r="W62" s="136">
        <f t="shared" si="186"/>
        <v>8821778.5268653836</v>
      </c>
      <c r="X62" s="149">
        <f>IFERROR(s_RadSpec!$L$27*X27,".")*$B$62</f>
        <v>0</v>
      </c>
      <c r="Y62" s="149">
        <f>IFERROR(s_RadSpec!$O$27*$Y$27,".")*$B$62</f>
        <v>2.8338956735159815E-6</v>
      </c>
      <c r="Z62" s="150">
        <f t="shared" si="29"/>
        <v>2.8338956735159815E-6</v>
      </c>
      <c r="AA62" s="136">
        <f>IFERROR(AA27/$B62,0)</f>
        <v>0</v>
      </c>
      <c r="AB62" s="136">
        <f t="shared" ref="AB62" si="187">IFERROR(AB27/$B62,0)</f>
        <v>18432874079.818722</v>
      </c>
      <c r="AC62" s="136">
        <f>IFERROR(AC27/$B62,0)</f>
        <v>0</v>
      </c>
      <c r="AD62" s="149">
        <f>IFERROR(s_RadSpec!$M$27*AD27,".")*$B$62</f>
        <v>0</v>
      </c>
      <c r="AE62" s="149">
        <f>IFERROR(s_RadSpec!$Q$27*AE27,".")*$B$62</f>
        <v>1.356272488584475E-9</v>
      </c>
      <c r="AF62" s="150">
        <f t="shared" si="30"/>
        <v>1.356272488584475E-9</v>
      </c>
      <c r="AG62" s="136">
        <f t="shared" ref="AG62:AL62" si="188">IFERROR(AG27/$B62,0)</f>
        <v>0</v>
      </c>
      <c r="AH62" s="136">
        <f t="shared" si="188"/>
        <v>0</v>
      </c>
      <c r="AI62" s="136">
        <f t="shared" si="188"/>
        <v>0</v>
      </c>
      <c r="AJ62" s="136">
        <f t="shared" si="188"/>
        <v>0</v>
      </c>
      <c r="AK62" s="136">
        <f t="shared" si="188"/>
        <v>0</v>
      </c>
      <c r="AL62" s="136">
        <f t="shared" si="188"/>
        <v>0</v>
      </c>
      <c r="AM62" s="149">
        <f>IFERROR(s_RadSpec!$J$27*AM27,".")*$B$62</f>
        <v>0</v>
      </c>
      <c r="AN62" s="149">
        <f>IFERROR(s_RadSpec!$J$27*AN27,".")*$B$62</f>
        <v>0</v>
      </c>
      <c r="AO62" s="149">
        <f>IFERROR(s_RadSpec!$J$27*AO27,".")*$B$62</f>
        <v>0</v>
      </c>
      <c r="AP62" s="149">
        <f>IFERROR(s_RadSpec!$J$27*AP27,".")*$B$62</f>
        <v>0</v>
      </c>
      <c r="AQ62" s="149">
        <f>IFERROR(s_RadSpec!$J$27*AQ27,".")*$B$62</f>
        <v>0</v>
      </c>
      <c r="AR62" s="149">
        <f>IFERROR(s_RadSpec!$J$27*AR27,".")*$B$62</f>
        <v>0</v>
      </c>
    </row>
    <row r="63" spans="1:44" x14ac:dyDescent="0.25">
      <c r="A63" s="145" t="s">
        <v>23</v>
      </c>
      <c r="B63" s="145" t="s">
        <v>1221</v>
      </c>
      <c r="C63" s="134">
        <f>1/SUM(1/C66,1/C68,1/C72,1/C73,1/C75)</f>
        <v>1772.6344281072256</v>
      </c>
      <c r="D63" s="134">
        <f>1/SUM(1/D66,1/D68,1/D72,1/D73,1/D75)</f>
        <v>4222308.039973232</v>
      </c>
      <c r="E63" s="134">
        <f>1/SUM(1/E64,1/E66,1/E68,1/E69,1/E70,1/E71,1/E72,1/E73,1/E74,1/E75,1/E76)</f>
        <v>297.77137929305735</v>
      </c>
      <c r="F63" s="134">
        <f>1/SUM(1/F64,1/F65,1/F66,1/F68,1/F69,1/F70,1/F71,1/F72,1/F73,1/F74,1/F75,1/F76)</f>
        <v>254.92969360169681</v>
      </c>
      <c r="G63" s="146">
        <f t="shared" ref="G63:I63" si="189">SUM(G64:G76)</f>
        <v>1.4103302747365893E-2</v>
      </c>
      <c r="H63" s="146">
        <f t="shared" si="189"/>
        <v>5.9230167292505709E-6</v>
      </c>
      <c r="I63" s="146">
        <f t="shared" si="189"/>
        <v>1.6791405580585218E-2</v>
      </c>
      <c r="J63" s="147">
        <f t="shared" si="27"/>
        <v>3.0900631344680362E-2</v>
      </c>
      <c r="K63" s="134">
        <f>1/SUM(1/K64,1/K66,1/K68,1/K69,1/K70,1/K71,1/K72,1/K73,1/K74,1/K75,1/K76)</f>
        <v>1488.8568964652864</v>
      </c>
      <c r="L63" s="134">
        <f t="shared" ref="L63:O63" si="190">1/SUM(1/L64,1/L66,1/L68,1/L69,1/L70,1/L71,1/L72,1/L73,1/L74,1/L75,1/L76)</f>
        <v>16715.275596765161</v>
      </c>
      <c r="M63" s="134">
        <f t="shared" si="190"/>
        <v>4096.3454298573715</v>
      </c>
      <c r="N63" s="134">
        <f t="shared" si="190"/>
        <v>2105.7796292960711</v>
      </c>
      <c r="O63" s="134">
        <f t="shared" si="190"/>
        <v>28982.514614462987</v>
      </c>
      <c r="P63" s="146">
        <f t="shared" ref="P63:T63" si="191">SUM(P64:P76)</f>
        <v>1.6791405580585218E-2</v>
      </c>
      <c r="Q63" s="146">
        <f t="shared" si="191"/>
        <v>1.4956379184581407E-3</v>
      </c>
      <c r="R63" s="146">
        <f t="shared" si="191"/>
        <v>6.1030009378067653E-3</v>
      </c>
      <c r="S63" s="146">
        <f t="shared" si="191"/>
        <v>1.1872087493009465E-2</v>
      </c>
      <c r="T63" s="146">
        <f t="shared" si="191"/>
        <v>8.6258905869832233E-4</v>
      </c>
      <c r="U63" s="134">
        <f>1/SUM(1/U66,1/U68,1/U72,1/U73,1/U75)</f>
        <v>13.628971530548947</v>
      </c>
      <c r="V63" s="134">
        <f>1/SUM(1/V64,1/V65,1/V66,1/V67,1/V68,1/V69,1/V70,1/V71,1/V72,1/V73,1/V74,1/V75,1/V76)</f>
        <v>5.6806617823573075E-2</v>
      </c>
      <c r="W63" s="134">
        <f>1/SUM(1/W64,1/W65,1/W66,1/W67,1/W68,1/W69,1/W70,1/W71,1/W72,1/W73,1/W74,1/W75,1/W76)</f>
        <v>5.6570743536641425E-2</v>
      </c>
      <c r="X63" s="146">
        <f t="shared" ref="X63:Y63" si="192">SUM(X64:X76)</f>
        <v>1.8349734681559893</v>
      </c>
      <c r="Y63" s="146">
        <f t="shared" si="192"/>
        <v>440.08956980406123</v>
      </c>
      <c r="Z63" s="147">
        <f t="shared" si="29"/>
        <v>441.92454327221719</v>
      </c>
      <c r="AA63" s="134">
        <f>1/SUM(1/AA66,1/AA68,1/AA72,1/AA73,1/AA75)</f>
        <v>12.186861693237173</v>
      </c>
      <c r="AB63" s="134">
        <f>1/SUM(1/AB64,1/AB65,1/AB66,1/AB67,1/AB68,1/AB69,1/AB70,1/AB71,1/AB72,1/AB73,1/AB74,1/AB75,1/AB76)</f>
        <v>65.639369224009783</v>
      </c>
      <c r="AC63" s="134">
        <f>1/SUM(1/AC66,1/AC68,1/AC72,1/AC73,1/AC75)</f>
        <v>10.279465283173556</v>
      </c>
      <c r="AD63" s="146">
        <f t="shared" ref="AD63:AE63" si="193">SUM(AD64:AD76)</f>
        <v>2.0513894905259482</v>
      </c>
      <c r="AE63" s="146">
        <f t="shared" si="193"/>
        <v>0.38086898603003971</v>
      </c>
      <c r="AF63" s="147">
        <f t="shared" si="30"/>
        <v>2.432258476555988</v>
      </c>
      <c r="AG63" s="134">
        <f t="shared" ref="AG63:AJ63" si="194">1/SUM(1/AG66,1/AG68,1/AG72,1/AG73,1/AG75)</f>
        <v>97.494893545897384</v>
      </c>
      <c r="AH63" s="134">
        <f t="shared" si="194"/>
        <v>3563.1530136218694</v>
      </c>
      <c r="AI63" s="134">
        <f t="shared" si="194"/>
        <v>14272771.774317494</v>
      </c>
      <c r="AJ63" s="134">
        <f t="shared" si="194"/>
        <v>97.494893545897384</v>
      </c>
      <c r="AK63" s="134">
        <f>1/SUM(1/AK75)</f>
        <v>8.0415396879820484</v>
      </c>
      <c r="AL63" s="134">
        <f>1/SUM(1/AL75)</f>
        <v>32175.032175032175</v>
      </c>
      <c r="AM63" s="146">
        <f t="shared" ref="AM63:AR63" si="195">SUM(AM64:AM76)</f>
        <v>0.25642368631574353</v>
      </c>
      <c r="AN63" s="146">
        <f t="shared" si="195"/>
        <v>7.0162577650820642E-3</v>
      </c>
      <c r="AO63" s="146">
        <f t="shared" si="195"/>
        <v>1.7515868953348739E-6</v>
      </c>
      <c r="AP63" s="146">
        <f t="shared" si="195"/>
        <v>0.25642368631574353</v>
      </c>
      <c r="AQ63" s="146">
        <f t="shared" si="195"/>
        <v>3.1088573793103449</v>
      </c>
      <c r="AR63" s="146">
        <f t="shared" si="195"/>
        <v>7.7699999999999991E-4</v>
      </c>
    </row>
    <row r="64" spans="1:44" x14ac:dyDescent="0.25">
      <c r="A64" s="148" t="s">
        <v>1075</v>
      </c>
      <c r="B64" s="141">
        <v>1</v>
      </c>
      <c r="C64" s="136">
        <f>IFERROR(C25/$B50,0)</f>
        <v>0</v>
      </c>
      <c r="D64" s="136">
        <f>IFERROR(D25/$B50,0)</f>
        <v>25946495900.659599</v>
      </c>
      <c r="E64" s="136">
        <f t="shared" ref="E64:F64" si="196">IFERROR(E25/$B50,0)</f>
        <v>2643279.0782197881</v>
      </c>
      <c r="F64" s="136">
        <f t="shared" si="196"/>
        <v>2643009.8236508039</v>
      </c>
      <c r="G64" s="149">
        <f>IFERROR(s_RadSpec!$I$25*G25,".")*$B$64</f>
        <v>0</v>
      </c>
      <c r="H64" s="149">
        <f>IFERROR(s_RadSpec!$L$25*$H$25,".")*B64</f>
        <v>9.6352124370537679E-10</v>
      </c>
      <c r="I64" s="149">
        <f>IFERROR(s_RadSpec!$K$25*$I$25,".")*B64</f>
        <v>1.8915898972602734E-6</v>
      </c>
      <c r="J64" s="150">
        <f t="shared" si="27"/>
        <v>1.8925534185039788E-6</v>
      </c>
      <c r="K64" s="136">
        <f t="shared" ref="K64:O64" si="197">IFERROR(K25/$B50,0)</f>
        <v>13216395.391098941</v>
      </c>
      <c r="L64" s="136">
        <f t="shared" si="197"/>
        <v>114327612.70208606</v>
      </c>
      <c r="M64" s="136">
        <f t="shared" si="197"/>
        <v>28757570.093966324</v>
      </c>
      <c r="N64" s="136">
        <f t="shared" si="197"/>
        <v>16617784.723449612</v>
      </c>
      <c r="O64" s="136">
        <f t="shared" si="197"/>
        <v>207795552.58983502</v>
      </c>
      <c r="P64" s="149">
        <f>IFERROR(s_RadSpec!$K$25*$P$25,".")*$B$64</f>
        <v>1.8915898972602734E-6</v>
      </c>
      <c r="Q64" s="149">
        <f>IFERROR(s_RadSpec!$R$25*$Q$25,".")*$B$64</f>
        <v>2.1866983320245471E-7</v>
      </c>
      <c r="R64" s="149">
        <f>IFERROR(s_RadSpec!$S$25*$R$25,".")*$B$64</f>
        <v>8.6933631451863509E-7</v>
      </c>
      <c r="S64" s="149">
        <f>IFERROR(s_RadSpec!$T$25*$S$25,".")*$B$64</f>
        <v>1.5044123158438873E-6</v>
      </c>
      <c r="T64" s="149">
        <f>IFERROR(s_RadSpec!$P$25*$T$25,".")*$B$64</f>
        <v>1.2031056338028169E-7</v>
      </c>
      <c r="U64" s="136">
        <f>IFERROR(U25/$B50,0)</f>
        <v>83751.363140676127</v>
      </c>
      <c r="V64" s="136">
        <f t="shared" ref="V64:W64" si="198">IFERROR(V25/$B50,0)</f>
        <v>271.06979737842084</v>
      </c>
      <c r="W64" s="136">
        <f t="shared" si="198"/>
        <v>270.19528288888029</v>
      </c>
      <c r="X64" s="149">
        <f>IFERROR(s_RadSpec!$L$25*X25,".")*$B$64</f>
        <v>2.9850260416666659E-4</v>
      </c>
      <c r="Y64" s="149">
        <f>IFERROR(s_RadSpec!$O$25*$Y$25,".")*$B$64</f>
        <v>9.222716894977169E-2</v>
      </c>
      <c r="Z64" s="150">
        <f t="shared" si="29"/>
        <v>9.2525671553938357E-2</v>
      </c>
      <c r="AA64" s="136">
        <f>IFERROR(AA25/$B50,0)</f>
        <v>0</v>
      </c>
      <c r="AB64" s="136">
        <f t="shared" ref="AB64" si="199">IFERROR(AB25/$B50,0)</f>
        <v>311802.36001640168</v>
      </c>
      <c r="AC64" s="136">
        <f>IFERROR(AC25/$B50,0)</f>
        <v>0</v>
      </c>
      <c r="AD64" s="149">
        <f>IFERROR(s_RadSpec!$M$25*AD25,".")*$B$64</f>
        <v>0</v>
      </c>
      <c r="AE64" s="149">
        <f>IFERROR(s_RadSpec!$Q$25*AE25,".")*$B$64</f>
        <v>8.0178995433789952E-5</v>
      </c>
      <c r="AF64" s="150">
        <f t="shared" si="30"/>
        <v>8.0178995433789952E-5</v>
      </c>
      <c r="AG64" s="136">
        <f t="shared" ref="AG64:AL64" si="200">IFERROR(AG25/$B50,0)</f>
        <v>0</v>
      </c>
      <c r="AH64" s="136">
        <f t="shared" si="200"/>
        <v>0</v>
      </c>
      <c r="AI64" s="136">
        <f t="shared" si="200"/>
        <v>0</v>
      </c>
      <c r="AJ64" s="136">
        <f t="shared" si="200"/>
        <v>0</v>
      </c>
      <c r="AK64" s="136">
        <f t="shared" si="200"/>
        <v>0</v>
      </c>
      <c r="AL64" s="136">
        <f t="shared" si="200"/>
        <v>0</v>
      </c>
      <c r="AM64" s="149">
        <f>IFERROR(s_RadSpec!$J$25*AM25,".")*$B$64</f>
        <v>0</v>
      </c>
      <c r="AN64" s="149">
        <f>IFERROR(s_RadSpec!$J$25*AN25,".")*$B$64</f>
        <v>0</v>
      </c>
      <c r="AO64" s="149">
        <f>IFERROR(s_RadSpec!$J$25*AO25,".")*$B$64</f>
        <v>0</v>
      </c>
      <c r="AP64" s="149">
        <f>IFERROR(s_RadSpec!$J$25*AP25,".")*$B$64</f>
        <v>0</v>
      </c>
      <c r="AQ64" s="149">
        <f>IFERROR(s_RadSpec!$J$25*AQ25,".")*$B$64</f>
        <v>0</v>
      </c>
      <c r="AR64" s="149">
        <f>IFERROR(s_RadSpec!$J$25*AR25,".")*$B$64</f>
        <v>0</v>
      </c>
    </row>
    <row r="65" spans="1:44" x14ac:dyDescent="0.25">
      <c r="A65" s="148" t="s">
        <v>1061</v>
      </c>
      <c r="B65" s="141">
        <v>1</v>
      </c>
      <c r="C65" s="136">
        <f>IFERROR(C21/$B51,0)</f>
        <v>0</v>
      </c>
      <c r="D65" s="136">
        <f>IFERROR(D21/$B51,0)</f>
        <v>22303090308.309761</v>
      </c>
      <c r="E65" s="136">
        <f t="shared" ref="E65:F65" si="201">IFERROR(E21/$B51,0)</f>
        <v>0</v>
      </c>
      <c r="F65" s="136">
        <f t="shared" si="201"/>
        <v>22303090308.309761</v>
      </c>
      <c r="G65" s="149">
        <f>IFERROR(s_RadSpec!$I$21*G21,".")*$B$65</f>
        <v>0</v>
      </c>
      <c r="H65" s="149">
        <f>IFERROR(s_RadSpec!$L$21*$H$21,".")*B65</f>
        <v>1.1209208972572475E-9</v>
      </c>
      <c r="I65" s="149">
        <f>IFERROR(s_RadSpec!$K$21*$I$21,".")*B65</f>
        <v>0</v>
      </c>
      <c r="J65" s="150">
        <f t="shared" si="27"/>
        <v>1.1209208972572475E-9</v>
      </c>
      <c r="K65" s="136">
        <f t="shared" ref="K65:O65" si="202">IFERROR(K21/$B51,0)</f>
        <v>0</v>
      </c>
      <c r="L65" s="136">
        <f t="shared" si="202"/>
        <v>0</v>
      </c>
      <c r="M65" s="136">
        <f t="shared" si="202"/>
        <v>0</v>
      </c>
      <c r="N65" s="136">
        <f t="shared" si="202"/>
        <v>0</v>
      </c>
      <c r="O65" s="136">
        <f t="shared" si="202"/>
        <v>0</v>
      </c>
      <c r="P65" s="149">
        <f>IFERROR(s_RadSpec!$K$21*$P$21,".")*$B$65</f>
        <v>0</v>
      </c>
      <c r="Q65" s="149">
        <f>IFERROR(s_RadSpec!$R$21*$Q$21,".")*$B$65</f>
        <v>0</v>
      </c>
      <c r="R65" s="149">
        <f>IFERROR(s_RadSpec!$S$21*$R$21,".")*$B$65</f>
        <v>0</v>
      </c>
      <c r="S65" s="149">
        <f>IFERROR(s_RadSpec!$T$21*$S$21,".")*$B$65</f>
        <v>0</v>
      </c>
      <c r="T65" s="149">
        <f>IFERROR(s_RadSpec!$P$21*$T$21,".")*$B$65</f>
        <v>0</v>
      </c>
      <c r="U65" s="136">
        <f>IFERROR(U21/$B51,0)</f>
        <v>71991.001124859409</v>
      </c>
      <c r="V65" s="136">
        <f t="shared" ref="V65:W65" si="203">IFERROR(V21/$B51,0)</f>
        <v>1789888.3567353745</v>
      </c>
      <c r="W65" s="136">
        <f t="shared" si="203"/>
        <v>69207.413551862337</v>
      </c>
      <c r="X65" s="149">
        <f>IFERROR(s_RadSpec!$L$21*X21,".")*$B$65</f>
        <v>3.4726562499999992E-4</v>
      </c>
      <c r="Y65" s="149">
        <f>IFERROR(s_RadSpec!$O$21*$Y$21,".")*$B$65</f>
        <v>1.3967351598173516E-5</v>
      </c>
      <c r="Z65" s="150">
        <f t="shared" si="29"/>
        <v>3.6123297659817344E-4</v>
      </c>
      <c r="AA65" s="136">
        <f>IFERROR(AA21/$B51,0)</f>
        <v>0</v>
      </c>
      <c r="AB65" s="136">
        <f t="shared" ref="AB65" si="204">IFERROR(AB21/$B51,0)</f>
        <v>4099219837.9778686</v>
      </c>
      <c r="AC65" s="136">
        <f>IFERROR(AC21/$B51,0)</f>
        <v>0</v>
      </c>
      <c r="AD65" s="149">
        <f>IFERROR(s_RadSpec!$M$21*AD21,".")*$B$65</f>
        <v>0</v>
      </c>
      <c r="AE65" s="149">
        <f>IFERROR(s_RadSpec!$Q$21*AE21,".")*$B$65</f>
        <v>6.0987214611872136E-9</v>
      </c>
      <c r="AF65" s="150">
        <f t="shared" si="30"/>
        <v>6.0987214611872136E-9</v>
      </c>
      <c r="AG65" s="136">
        <f t="shared" ref="AG65:AL65" si="205">IFERROR(AG21/$B51,0)</f>
        <v>0</v>
      </c>
      <c r="AH65" s="136">
        <f t="shared" si="205"/>
        <v>0</v>
      </c>
      <c r="AI65" s="136">
        <f t="shared" si="205"/>
        <v>0</v>
      </c>
      <c r="AJ65" s="136">
        <f t="shared" si="205"/>
        <v>0</v>
      </c>
      <c r="AK65" s="136">
        <f t="shared" si="205"/>
        <v>0</v>
      </c>
      <c r="AL65" s="136">
        <f t="shared" si="205"/>
        <v>0</v>
      </c>
      <c r="AM65" s="149">
        <f>IFERROR(s_RadSpec!$J$21*AM21,".")*$B$65</f>
        <v>0</v>
      </c>
      <c r="AN65" s="149">
        <f>IFERROR(s_RadSpec!$J$21*AN21,".")*$B$65</f>
        <v>0</v>
      </c>
      <c r="AO65" s="149">
        <f>IFERROR(s_RadSpec!$J$21*AO21,".")*$B$65</f>
        <v>0</v>
      </c>
      <c r="AP65" s="149">
        <f>IFERROR(s_RadSpec!$J$21*AP21,".")*$B$65</f>
        <v>0</v>
      </c>
      <c r="AQ65" s="149">
        <f>IFERROR(s_RadSpec!$J$21*AQ21,".")*$B$65</f>
        <v>0</v>
      </c>
      <c r="AR65" s="149">
        <f>IFERROR(s_RadSpec!$J$21*AR21,".")*$B$65</f>
        <v>0</v>
      </c>
    </row>
    <row r="66" spans="1:44" x14ac:dyDescent="0.25">
      <c r="A66" s="148" t="s">
        <v>1062</v>
      </c>
      <c r="B66" s="141">
        <v>0.99980000000000002</v>
      </c>
      <c r="C66" s="136">
        <f>IFERROR(C17/$B52,0)</f>
        <v>24698431.716518752</v>
      </c>
      <c r="D66" s="136">
        <f>IFERROR(D17/$B52,0)</f>
        <v>3647715554.8989706</v>
      </c>
      <c r="E66" s="136">
        <f t="shared" ref="E66:F66" si="206">IFERROR(E17/$B52,0)</f>
        <v>6154.8464849368675</v>
      </c>
      <c r="F66" s="136">
        <f t="shared" si="206"/>
        <v>6153.3027000142392</v>
      </c>
      <c r="G66" s="149">
        <f>IFERROR(s_RadSpec!$I$17*G17,".")*$B$66</f>
        <v>1.0122100175E-6</v>
      </c>
      <c r="H66" s="149">
        <f>IFERROR(s_RadSpec!$L$17*$H$17,".")*B66</f>
        <v>6.8536045707907217E-9</v>
      </c>
      <c r="I66" s="149">
        <f>IFERROR(s_RadSpec!$K$17*$I$17,".")*B66</f>
        <v>8.123679465014776E-4</v>
      </c>
      <c r="J66" s="150">
        <f t="shared" si="27"/>
        <v>8.1338701012354843E-4</v>
      </c>
      <c r="K66" s="136">
        <f t="shared" ref="K66:O66" si="207">IFERROR(K17/$B52,0)</f>
        <v>30774.232424684338</v>
      </c>
      <c r="L66" s="136">
        <f t="shared" si="207"/>
        <v>241312.70651092092</v>
      </c>
      <c r="M66" s="136">
        <f t="shared" si="207"/>
        <v>64471.090227189787</v>
      </c>
      <c r="N66" s="136">
        <f t="shared" si="207"/>
        <v>38554.010561727613</v>
      </c>
      <c r="O66" s="136">
        <f t="shared" si="207"/>
        <v>456093.50862703117</v>
      </c>
      <c r="P66" s="149">
        <f>IFERROR(s_RadSpec!$K$17*$P$17,".")*$B$66</f>
        <v>8.123679465014776E-4</v>
      </c>
      <c r="Q66" s="149">
        <f>IFERROR(s_RadSpec!$R$17*$Q$17,".")*$B$66</f>
        <v>1.0360001494106402E-4</v>
      </c>
      <c r="R66" s="149">
        <f>IFERROR(s_RadSpec!$S$17*$R$17,".")*$B$66</f>
        <v>3.8777070330131628E-4</v>
      </c>
      <c r="S66" s="149">
        <f>IFERROR(s_RadSpec!$T$17*$S$17,".")*$B$66</f>
        <v>6.4844096984341718E-4</v>
      </c>
      <c r="T66" s="149">
        <f>IFERROR(s_RadSpec!$P$17*$T$17,".")*$B$66</f>
        <v>5.481332123155399E-5</v>
      </c>
      <c r="U66" s="136">
        <f>IFERROR(U17/$B52,0)</f>
        <v>11774.273922840976</v>
      </c>
      <c r="V66" s="136">
        <f t="shared" ref="V66:W66" si="208">IFERROR(V17/$B52,0)</f>
        <v>0.422562665203913</v>
      </c>
      <c r="W66" s="136">
        <f t="shared" si="208"/>
        <v>0.42254750054924489</v>
      </c>
      <c r="X66" s="149">
        <f>IFERROR(s_RadSpec!$L$17*X17,".")*$B$66</f>
        <v>2.123273177083333E-3</v>
      </c>
      <c r="Y66" s="149">
        <f>IFERROR(s_RadSpec!$O$17*$Y$17,".")*$B$66</f>
        <v>59.162822602739723</v>
      </c>
      <c r="Z66" s="150">
        <f t="shared" si="29"/>
        <v>59.164945875916807</v>
      </c>
      <c r="AA66" s="136">
        <f>IFERROR(AA17/$B52,0)</f>
        <v>169801.71805106639</v>
      </c>
      <c r="AB66" s="136">
        <f t="shared" ref="AB66" si="209">IFERROR(AB17/$B52,0)</f>
        <v>486.56074520367565</v>
      </c>
      <c r="AC66" s="136">
        <f>IFERROR(AC17/$B52,0)</f>
        <v>485.1705064835088</v>
      </c>
      <c r="AD66" s="149">
        <f>IFERROR(s_RadSpec!$M$17*AD17,".")*$B$66</f>
        <v>1.4723054800000002E-4</v>
      </c>
      <c r="AE66" s="149">
        <f>IFERROR(s_RadSpec!$Q$17*AE17,".")*$B$66</f>
        <v>5.138104593607306E-2</v>
      </c>
      <c r="AF66" s="150">
        <f t="shared" si="30"/>
        <v>5.1528276484073057E-2</v>
      </c>
      <c r="AG66" s="136">
        <f t="shared" ref="AG66:AL66" si="210">IFERROR(AG17/$B52,0)</f>
        <v>1358413.7444085311</v>
      </c>
      <c r="AH66" s="136">
        <f t="shared" si="210"/>
        <v>239545151.13414589</v>
      </c>
      <c r="AI66" s="136">
        <f t="shared" si="210"/>
        <v>970295531720.37939</v>
      </c>
      <c r="AJ66" s="136">
        <f t="shared" si="210"/>
        <v>1358413.7444085311</v>
      </c>
      <c r="AK66" s="136">
        <f t="shared" si="210"/>
        <v>0</v>
      </c>
      <c r="AL66" s="136">
        <f t="shared" si="210"/>
        <v>0</v>
      </c>
      <c r="AM66" s="149">
        <f>IFERROR(s_RadSpec!$J$17*AM17,".")*$B$66</f>
        <v>1.8403818500000002E-5</v>
      </c>
      <c r="AN66" s="149">
        <f>IFERROR(s_RadSpec!$J$17*AN17,".")*$B$66</f>
        <v>1.0436445856505747E-7</v>
      </c>
      <c r="AO66" s="149">
        <f>IFERROR(s_RadSpec!$J$17*AO17,".")*$B$66</f>
        <v>2.57653459E-11</v>
      </c>
      <c r="AP66" s="149">
        <f>IFERROR(s_RadSpec!$J$17*AP17,".")*$B$66</f>
        <v>1.8403818500000002E-5</v>
      </c>
      <c r="AQ66" s="149">
        <f>IFERROR(s_RadSpec!$J$17*AQ17,".")*$B$66</f>
        <v>0</v>
      </c>
      <c r="AR66" s="149">
        <f>IFERROR(s_RadSpec!$J$17*AR17,".")*$B$66</f>
        <v>0</v>
      </c>
    </row>
    <row r="67" spans="1:44" x14ac:dyDescent="0.25">
      <c r="A67" s="148" t="s">
        <v>1076</v>
      </c>
      <c r="B67" s="141">
        <v>2.0000000000000001E-4</v>
      </c>
      <c r="C67" s="136">
        <f>IFERROR(C5/$B53,0)</f>
        <v>0</v>
      </c>
      <c r="D67" s="136">
        <f>IFERROR(D5/$B53,0)</f>
        <v>0</v>
      </c>
      <c r="E67" s="136">
        <f t="shared" ref="E67:F67" si="211">IFERROR(E5/$B53,0)</f>
        <v>0</v>
      </c>
      <c r="F67" s="136">
        <f t="shared" si="211"/>
        <v>0</v>
      </c>
      <c r="G67" s="149">
        <f>IFERROR(s_RadSpec!$I$5*G5,".")*$B$67</f>
        <v>0</v>
      </c>
      <c r="H67" s="149">
        <f>IFERROR(s_RadSpec!$L$5*$H$5,".")*B67</f>
        <v>0</v>
      </c>
      <c r="I67" s="149">
        <f>IFERROR(s_RadSpec!$K$5*$I$5,".")*B67</f>
        <v>0</v>
      </c>
      <c r="J67" s="150">
        <f t="shared" si="27"/>
        <v>0</v>
      </c>
      <c r="K67" s="136">
        <f t="shared" ref="K67:O67" si="212">IFERROR(K5/$B53,0)</f>
        <v>0</v>
      </c>
      <c r="L67" s="136">
        <f t="shared" si="212"/>
        <v>0</v>
      </c>
      <c r="M67" s="136">
        <f t="shared" si="212"/>
        <v>0</v>
      </c>
      <c r="N67" s="136">
        <f t="shared" si="212"/>
        <v>0</v>
      </c>
      <c r="O67" s="136">
        <f t="shared" si="212"/>
        <v>0</v>
      </c>
      <c r="P67" s="149">
        <f>IFERROR(s_RadSpec!$K$5*$P$5,".")*$B$67</f>
        <v>0</v>
      </c>
      <c r="Q67" s="149">
        <f>IFERROR(s_RadSpec!$R$5*$Q$5,".")*$B$67</f>
        <v>0</v>
      </c>
      <c r="R67" s="149">
        <f>IFERROR(s_RadSpec!$S$5*$R$5,".")*$B$67</f>
        <v>0</v>
      </c>
      <c r="S67" s="149">
        <f>IFERROR(s_RadSpec!$T$5*$S$5,".")*$B$67</f>
        <v>0</v>
      </c>
      <c r="T67" s="149">
        <f>IFERROR(s_RadSpec!$P$5*$T$5,".")*$B$67</f>
        <v>0</v>
      </c>
      <c r="U67" s="136">
        <f>IFERROR(U5/$B53,0)</f>
        <v>0</v>
      </c>
      <c r="V67" s="136">
        <f t="shared" ref="V67:W67" si="213">IFERROR(V5/$B53,0)</f>
        <v>23926058.646156538</v>
      </c>
      <c r="W67" s="136">
        <f t="shared" si="213"/>
        <v>23926058.646156538</v>
      </c>
      <c r="X67" s="149">
        <f>IFERROR(s_RadSpec!$L$5*X5,".")*$B$67</f>
        <v>0</v>
      </c>
      <c r="Y67" s="149">
        <f>IFERROR(s_RadSpec!$O$5*$Y$5,".")*$B$67</f>
        <v>1.0448858447488585E-6</v>
      </c>
      <c r="Z67" s="150">
        <f t="shared" si="29"/>
        <v>1.0448858447488585E-6</v>
      </c>
      <c r="AA67" s="136">
        <f>IFERROR(AA5/$B53,0)</f>
        <v>0</v>
      </c>
      <c r="AB67" s="136">
        <f t="shared" ref="AB67" si="214">IFERROR(AB5/$B53,0)</f>
        <v>46895074946.466805</v>
      </c>
      <c r="AC67" s="136">
        <f>IFERROR(AC5/$B53,0)</f>
        <v>0</v>
      </c>
      <c r="AD67" s="149">
        <f>IFERROR(s_RadSpec!$M$5*AD5,".")*$B$67</f>
        <v>0</v>
      </c>
      <c r="AE67" s="149">
        <f>IFERROR(s_RadSpec!$Q$5*AE5,".")*$B$67</f>
        <v>5.3310502283105023E-10</v>
      </c>
      <c r="AF67" s="150">
        <f t="shared" si="30"/>
        <v>5.3310502283105023E-10</v>
      </c>
      <c r="AG67" s="136">
        <f t="shared" ref="AG67:AL67" si="215">IFERROR(AG5/$B53,0)</f>
        <v>0</v>
      </c>
      <c r="AH67" s="136">
        <f t="shared" si="215"/>
        <v>0</v>
      </c>
      <c r="AI67" s="136">
        <f t="shared" si="215"/>
        <v>0</v>
      </c>
      <c r="AJ67" s="136">
        <f t="shared" si="215"/>
        <v>0</v>
      </c>
      <c r="AK67" s="136">
        <f t="shared" si="215"/>
        <v>0</v>
      </c>
      <c r="AL67" s="136">
        <f t="shared" si="215"/>
        <v>0</v>
      </c>
      <c r="AM67" s="149">
        <f>IFERROR(s_RadSpec!$J$5*AM5,".")*$B$67</f>
        <v>0</v>
      </c>
      <c r="AN67" s="149">
        <f>IFERROR(s_RadSpec!$J$5*AN5,".")*$B$67</f>
        <v>0</v>
      </c>
      <c r="AO67" s="149">
        <f>IFERROR(s_RadSpec!$J$5*AO5,".")*$B$67</f>
        <v>0</v>
      </c>
      <c r="AP67" s="149">
        <f>IFERROR(s_RadSpec!$J$5*AP5,".")*$B$67</f>
        <v>0</v>
      </c>
      <c r="AQ67" s="149">
        <f>IFERROR(s_RadSpec!$J$5*AQ5,".")*$B$67</f>
        <v>0</v>
      </c>
      <c r="AR67" s="149">
        <f>IFERROR(s_RadSpec!$J$5*AR5,".")*$B$67</f>
        <v>0</v>
      </c>
    </row>
    <row r="68" spans="1:44" x14ac:dyDescent="0.25">
      <c r="A68" s="148" t="s">
        <v>1077</v>
      </c>
      <c r="B68" s="141">
        <v>0.99999979999999999</v>
      </c>
      <c r="C68" s="136">
        <f>IFERROR(C9/$B54,0)</f>
        <v>32979905.347691901</v>
      </c>
      <c r="D68" s="136">
        <f>IFERROR(D9/$B54,0)</f>
        <v>4643431205.9900761</v>
      </c>
      <c r="E68" s="136">
        <f t="shared" ref="E68:F68" si="216">IFERROR(E9/$B54,0)</f>
        <v>313.12433664722374</v>
      </c>
      <c r="F68" s="136">
        <f t="shared" si="216"/>
        <v>313.12134263370586</v>
      </c>
      <c r="G68" s="149">
        <f>IFERROR(s_RadSpec!$I$9*G9,".")*$B$68</f>
        <v>7.5803734839250008E-7</v>
      </c>
      <c r="H68" s="149">
        <f>IFERROR(s_RadSpec!$L$9*$H$9,".")*B68</f>
        <v>5.383949689563555E-9</v>
      </c>
      <c r="I68" s="149">
        <f>IFERROR(s_RadSpec!$K$9*$I$9,".")*B68</f>
        <v>1.5968097700541129E-2</v>
      </c>
      <c r="J68" s="150">
        <f t="shared" si="27"/>
        <v>1.596886112183921E-2</v>
      </c>
      <c r="K68" s="136">
        <f t="shared" ref="K68:O68" si="217">IFERROR(K9/$B54,0)</f>
        <v>1565.6216832361185</v>
      </c>
      <c r="L68" s="136">
        <f t="shared" si="217"/>
        <v>17982.275024465151</v>
      </c>
      <c r="M68" s="136">
        <f t="shared" si="217"/>
        <v>4378.2291570986818</v>
      </c>
      <c r="N68" s="136">
        <f t="shared" si="217"/>
        <v>2229.11868451497</v>
      </c>
      <c r="O68" s="136">
        <f t="shared" si="217"/>
        <v>31255.196222718088</v>
      </c>
      <c r="P68" s="149">
        <f>IFERROR(s_RadSpec!$K$9*$P$9,".")*$B$68</f>
        <v>1.5968097700541129E-2</v>
      </c>
      <c r="Q68" s="149">
        <f>IFERROR(s_RadSpec!$R$9*$Q$9,".")*$B$68</f>
        <v>1.3902579048528135E-3</v>
      </c>
      <c r="R68" s="149">
        <f>IFERROR(s_RadSpec!$S$9*$R$9,".")*$B$68</f>
        <v>5.710071150448125E-3</v>
      </c>
      <c r="S68" s="149">
        <f>IFERROR(s_RadSpec!$T$9*$S$9,".")*$B$68</f>
        <v>1.1215194674768832E-2</v>
      </c>
      <c r="T68" s="149">
        <f>IFERROR(s_RadSpec!$P$9*$T$9,".")*$B$68</f>
        <v>7.9986699881373787E-4</v>
      </c>
      <c r="U68" s="136">
        <f>IFERROR(U9/$B54,0)</f>
        <v>14988.293395785146</v>
      </c>
      <c r="V68" s="136">
        <f t="shared" ref="V68:W68" si="218">IFERROR(V9/$B54,0)</f>
        <v>6.595651803865496E-2</v>
      </c>
      <c r="W68" s="136">
        <f t="shared" si="218"/>
        <v>6.5956227795929287E-2</v>
      </c>
      <c r="X68" s="149">
        <f>IFERROR(s_RadSpec!$L$9*X9,".")*$B$68</f>
        <v>1.6679684164062497E-3</v>
      </c>
      <c r="Y68" s="149">
        <f>IFERROR(s_RadSpec!$O$9*$Y$9,".")*$B$68</f>
        <v>379.03759542534243</v>
      </c>
      <c r="Z68" s="150">
        <f t="shared" si="29"/>
        <v>379.03926339375886</v>
      </c>
      <c r="AA68" s="136">
        <f>IFERROR(AA9/$B54,0)</f>
        <v>226736.84926538181</v>
      </c>
      <c r="AB68" s="136">
        <f t="shared" ref="AB68" si="219">IFERROR(AB9/$B54,0)</f>
        <v>76.128383645265728</v>
      </c>
      <c r="AC68" s="136">
        <f>IFERROR(AC9/$B54,0)</f>
        <v>76.102831620613017</v>
      </c>
      <c r="AD68" s="149">
        <f>IFERROR(s_RadSpec!$M$9*AD9,".")*$B$68</f>
        <v>1.1025997794800001E-4</v>
      </c>
      <c r="AE68" s="149">
        <f>IFERROR(s_RadSpec!$Q$9*AE9,".")*$B$68</f>
        <v>0.32839262838538807</v>
      </c>
      <c r="AF68" s="150">
        <f t="shared" si="30"/>
        <v>0.32850288836333608</v>
      </c>
      <c r="AG68" s="136">
        <f t="shared" ref="AG68:AL68" si="220">IFERROR(AG9/$B54,0)</f>
        <v>1813894.7941230545</v>
      </c>
      <c r="AH68" s="136">
        <f t="shared" si="220"/>
        <v>75578949.755127266</v>
      </c>
      <c r="AI68" s="136">
        <f t="shared" si="220"/>
        <v>453473698530.76361</v>
      </c>
      <c r="AJ68" s="136">
        <f t="shared" si="220"/>
        <v>1813894.7941230545</v>
      </c>
      <c r="AK68" s="136">
        <f t="shared" si="220"/>
        <v>0</v>
      </c>
      <c r="AL68" s="136">
        <f t="shared" si="220"/>
        <v>0</v>
      </c>
      <c r="AM68" s="149">
        <f>IFERROR(s_RadSpec!$J$9*AM9,".")*$B$68</f>
        <v>1.3782497243500001E-5</v>
      </c>
      <c r="AN68" s="149">
        <f>IFERROR(s_RadSpec!$J$9*AN9,".")*$B$68</f>
        <v>3.3077993384400006E-7</v>
      </c>
      <c r="AO68" s="149">
        <f>IFERROR(s_RadSpec!$J$9*AO9,".")*$B$68</f>
        <v>5.5129988974000009E-11</v>
      </c>
      <c r="AP68" s="149">
        <f>IFERROR(s_RadSpec!$J$9*AP9,".")*$B$68</f>
        <v>1.3782497243500001E-5</v>
      </c>
      <c r="AQ68" s="149">
        <f>IFERROR(s_RadSpec!$J$9*AQ9,".")*$B$68</f>
        <v>0</v>
      </c>
      <c r="AR68" s="149">
        <f>IFERROR(s_RadSpec!$J$9*AR9,".")*$B$68</f>
        <v>0</v>
      </c>
    </row>
    <row r="69" spans="1:44" x14ac:dyDescent="0.25">
      <c r="A69" s="148" t="s">
        <v>1078</v>
      </c>
      <c r="B69" s="141">
        <v>1.9999999999999999E-7</v>
      </c>
      <c r="C69" s="136">
        <f>IFERROR(C24/$B55,0)</f>
        <v>0</v>
      </c>
      <c r="D69" s="136">
        <f>IFERROR(D24/$B55,0)</f>
        <v>0</v>
      </c>
      <c r="E69" s="136">
        <f t="shared" ref="E69:F69" si="221">IFERROR(E24/$B55,0)</f>
        <v>5925760089496.5293</v>
      </c>
      <c r="F69" s="136">
        <f t="shared" si="221"/>
        <v>5925760089496.5293</v>
      </c>
      <c r="G69" s="149">
        <f>IFERROR(s_RadSpec!$I$24*G24,".")*$B$69</f>
        <v>0</v>
      </c>
      <c r="H69" s="149">
        <f>IFERROR(s_RadSpec!$L$24*$H$24,".")*B69</f>
        <v>0</v>
      </c>
      <c r="I69" s="149">
        <f>IFERROR(s_RadSpec!$K$24*$I$24,".")*B69</f>
        <v>8.4377361291803753E-13</v>
      </c>
      <c r="J69" s="150">
        <f t="shared" si="27"/>
        <v>8.4377361291803753E-13</v>
      </c>
      <c r="K69" s="136">
        <f t="shared" ref="K69:O69" si="222">IFERROR(K24/$B55,0)</f>
        <v>29628800447482.645</v>
      </c>
      <c r="L69" s="136">
        <f t="shared" si="222"/>
        <v>266831820247682.53</v>
      </c>
      <c r="M69" s="136">
        <f t="shared" si="222"/>
        <v>66012086122453.773</v>
      </c>
      <c r="N69" s="136">
        <f t="shared" si="222"/>
        <v>35398493742690.703</v>
      </c>
      <c r="O69" s="136">
        <f t="shared" si="222"/>
        <v>449269288859248.56</v>
      </c>
      <c r="P69" s="149">
        <f>IFERROR(s_RadSpec!$K$24*$P$24,".")*$B$69</f>
        <v>8.4377361291803753E-13</v>
      </c>
      <c r="Q69" s="149">
        <f>IFERROR(s_RadSpec!$R$24*$Q$24,".")*$B$69</f>
        <v>9.3691974131099255E-14</v>
      </c>
      <c r="R69" s="149">
        <f>IFERROR(s_RadSpec!$S$24*$R$24,".")*$B$69</f>
        <v>3.787185266895593E-13</v>
      </c>
      <c r="S69" s="149">
        <f>IFERROR(s_RadSpec!$T$24*$S$24,".")*$B$69</f>
        <v>7.0624473972602738E-13</v>
      </c>
      <c r="T69" s="149">
        <f>IFERROR(s_RadSpec!$P$24*$T$24,".")*$B$69</f>
        <v>5.564591353100979E-14</v>
      </c>
      <c r="U69" s="136">
        <f>IFERROR(U24/$B55,0)</f>
        <v>0</v>
      </c>
      <c r="V69" s="136">
        <f t="shared" ref="V69:W69" si="223">IFERROR(V24/$B55,0)</f>
        <v>689633455.09510028</v>
      </c>
      <c r="W69" s="136">
        <f t="shared" si="223"/>
        <v>689633455.09510028</v>
      </c>
      <c r="X69" s="149">
        <f>IFERROR(s_RadSpec!$L$24*X24,".")*$B$69</f>
        <v>0</v>
      </c>
      <c r="Y69" s="149">
        <f>IFERROR(s_RadSpec!$O$24*$Y$24,".")*$B$69</f>
        <v>3.6251141552511419E-8</v>
      </c>
      <c r="Z69" s="150">
        <f t="shared" si="29"/>
        <v>3.6251141552511419E-8</v>
      </c>
      <c r="AA69" s="136">
        <f>IFERROR(AA24/$B55,0)</f>
        <v>0</v>
      </c>
      <c r="AB69" s="136">
        <f t="shared" ref="AB69" si="224">IFERROR(AB24/$B55,0)</f>
        <v>793218453086.38037</v>
      </c>
      <c r="AC69" s="136">
        <f>IFERROR(AC24/$B55,0)</f>
        <v>0</v>
      </c>
      <c r="AD69" s="149">
        <f>IFERROR(s_RadSpec!$M$24*AD24,".")*$B$69</f>
        <v>0</v>
      </c>
      <c r="AE69" s="149">
        <f>IFERROR(s_RadSpec!$Q$24*AE24,".")*$B$69</f>
        <v>3.1517168949771686E-11</v>
      </c>
      <c r="AF69" s="150">
        <f t="shared" si="30"/>
        <v>3.1517168949771686E-11</v>
      </c>
      <c r="AG69" s="136">
        <f t="shared" ref="AG69:AL69" si="225">IFERROR(AG24/$B55,0)</f>
        <v>0</v>
      </c>
      <c r="AH69" s="136">
        <f t="shared" si="225"/>
        <v>0</v>
      </c>
      <c r="AI69" s="136">
        <f t="shared" si="225"/>
        <v>0</v>
      </c>
      <c r="AJ69" s="136">
        <f t="shared" si="225"/>
        <v>0</v>
      </c>
      <c r="AK69" s="136">
        <f t="shared" si="225"/>
        <v>0</v>
      </c>
      <c r="AL69" s="136">
        <f t="shared" si="225"/>
        <v>0</v>
      </c>
      <c r="AM69" s="149">
        <f>IFERROR(s_RadSpec!$J$24*AM24,".")*$B$69</f>
        <v>0</v>
      </c>
      <c r="AN69" s="149">
        <f>IFERROR(s_RadSpec!$J$24*AN24,".")*$B$69</f>
        <v>0</v>
      </c>
      <c r="AO69" s="149">
        <f>IFERROR(s_RadSpec!$J$24*AO24,".")*$B$69</f>
        <v>0</v>
      </c>
      <c r="AP69" s="149">
        <f>IFERROR(s_RadSpec!$J$24*AP24,".")*$B$69</f>
        <v>0</v>
      </c>
      <c r="AQ69" s="149">
        <f>IFERROR(s_RadSpec!$J$24*AQ24,".")*$B$69</f>
        <v>0</v>
      </c>
      <c r="AR69" s="149">
        <f>IFERROR(s_RadSpec!$J$24*AR24,".")*$B$69</f>
        <v>0</v>
      </c>
    </row>
    <row r="70" spans="1:44" x14ac:dyDescent="0.25">
      <c r="A70" s="148" t="s">
        <v>1079</v>
      </c>
      <c r="B70" s="141">
        <v>0.99979000004200003</v>
      </c>
      <c r="C70" s="136">
        <f>IFERROR(C20/$B56,0)</f>
        <v>0</v>
      </c>
      <c r="D70" s="136">
        <f>IFERROR(D20/$B56,0)</f>
        <v>0</v>
      </c>
      <c r="E70" s="136">
        <f t="shared" ref="E70:F70" si="226">IFERROR(E20/$B56,0)</f>
        <v>8236540.9778890209</v>
      </c>
      <c r="F70" s="136">
        <f t="shared" si="226"/>
        <v>8236540.9778890209</v>
      </c>
      <c r="G70" s="149">
        <f>IFERROR(s_RadSpec!$I$20*G20,".")*$B$70</f>
        <v>0</v>
      </c>
      <c r="H70" s="149">
        <f>IFERROR(s_RadSpec!$L$20*$H$20,".")*B70</f>
        <v>0</v>
      </c>
      <c r="I70" s="149">
        <f>IFERROR(s_RadSpec!$K$20*$I$20,".")*B70</f>
        <v>6.070509469232888E-7</v>
      </c>
      <c r="J70" s="150">
        <f t="shared" si="27"/>
        <v>6.070509469232888E-7</v>
      </c>
      <c r="K70" s="136">
        <f t="shared" ref="K70:O70" si="227">IFERROR(K20/$B56,0)</f>
        <v>41182704.889445104</v>
      </c>
      <c r="L70" s="136">
        <f t="shared" si="227"/>
        <v>417451239.44596559</v>
      </c>
      <c r="M70" s="136">
        <f t="shared" si="227"/>
        <v>102126556.08988704</v>
      </c>
      <c r="N70" s="136">
        <f t="shared" si="227"/>
        <v>54259847.277161621</v>
      </c>
      <c r="O70" s="136">
        <f t="shared" si="227"/>
        <v>722143028.54925108</v>
      </c>
      <c r="P70" s="149">
        <f>IFERROR(s_RadSpec!$K$20*$P$20,".")*$B$70</f>
        <v>6.070509469232888E-7</v>
      </c>
      <c r="Q70" s="149">
        <f>IFERROR(s_RadSpec!$R$20*$Q$20,".")*$B$70</f>
        <v>5.9887233855574557E-8</v>
      </c>
      <c r="R70" s="149">
        <f>IFERROR(s_RadSpec!$S$20*$R$20,".")*$B$70</f>
        <v>2.447943116577451E-7</v>
      </c>
      <c r="S70" s="149">
        <f>IFERROR(s_RadSpec!$T$20*$S$20,".")*$B$70</f>
        <v>4.6074586005188941E-7</v>
      </c>
      <c r="T70" s="149">
        <f>IFERROR(s_RadSpec!$P$20*$T$20,".")*$B$70</f>
        <v>3.4619180704719585E-8</v>
      </c>
      <c r="U70" s="136">
        <f>IFERROR(U20/$B56,0)</f>
        <v>0</v>
      </c>
      <c r="V70" s="136">
        <f t="shared" ref="V70:W70" si="228">IFERROR(V20/$B56,0)</f>
        <v>1234.3401310195354</v>
      </c>
      <c r="W70" s="136">
        <f t="shared" si="228"/>
        <v>1234.3401310195354</v>
      </c>
      <c r="X70" s="149">
        <f>IFERROR(s_RadSpec!$L$20*X20,".")*$B$70</f>
        <v>0</v>
      </c>
      <c r="Y70" s="149">
        <f>IFERROR(s_RadSpec!$O$20*$Y$20,".")*$B$70</f>
        <v>2.0253736690348551E-2</v>
      </c>
      <c r="Z70" s="150">
        <f t="shared" si="29"/>
        <v>2.0253736690348551E-2</v>
      </c>
      <c r="AA70" s="136">
        <f>IFERROR(AA20/$B56,0)</f>
        <v>0</v>
      </c>
      <c r="AB70" s="136">
        <f t="shared" ref="AB70" si="229">IFERROR(AB20/$B56,0)</f>
        <v>1424815.461079658</v>
      </c>
      <c r="AC70" s="136">
        <f>IFERROR(AC20/$B56,0)</f>
        <v>0</v>
      </c>
      <c r="AD70" s="149">
        <f>IFERROR(s_RadSpec!$M$20*AD20,".")*$B$70</f>
        <v>0</v>
      </c>
      <c r="AE70" s="149">
        <f>IFERROR(s_RadSpec!$Q$20*AE20,".")*$B$70</f>
        <v>1.754613189069143E-5</v>
      </c>
      <c r="AF70" s="150">
        <f t="shared" si="30"/>
        <v>1.754613189069143E-5</v>
      </c>
      <c r="AG70" s="136">
        <f t="shared" ref="AG70:AL70" si="230">IFERROR(AG20/$B56,0)</f>
        <v>0</v>
      </c>
      <c r="AH70" s="136">
        <f t="shared" si="230"/>
        <v>0</v>
      </c>
      <c r="AI70" s="136">
        <f t="shared" si="230"/>
        <v>0</v>
      </c>
      <c r="AJ70" s="136">
        <f t="shared" si="230"/>
        <v>0</v>
      </c>
      <c r="AK70" s="136">
        <f t="shared" si="230"/>
        <v>0</v>
      </c>
      <c r="AL70" s="136">
        <f t="shared" si="230"/>
        <v>0</v>
      </c>
      <c r="AM70" s="149">
        <f>IFERROR(s_RadSpec!$J$20*AM20,".")*$B$70</f>
        <v>0</v>
      </c>
      <c r="AN70" s="149">
        <f>IFERROR(s_RadSpec!$J$20*AN20,".")*$B$70</f>
        <v>0</v>
      </c>
      <c r="AO70" s="149">
        <f>IFERROR(s_RadSpec!$J$20*AO20,".")*$B$70</f>
        <v>0</v>
      </c>
      <c r="AP70" s="149">
        <f>IFERROR(s_RadSpec!$J$20*AP20,".")*$B$70</f>
        <v>0</v>
      </c>
      <c r="AQ70" s="149">
        <f>IFERROR(s_RadSpec!$J$20*AQ20,".")*$B$70</f>
        <v>0</v>
      </c>
      <c r="AR70" s="149">
        <f>IFERROR(s_RadSpec!$J$20*AR20,".")*$B$70</f>
        <v>0</v>
      </c>
    </row>
    <row r="71" spans="1:44" x14ac:dyDescent="0.25">
      <c r="A71" s="148" t="s">
        <v>1080</v>
      </c>
      <c r="B71" s="141">
        <v>2.0999995799999999E-4</v>
      </c>
      <c r="C71" s="136">
        <f>IFERROR(C29/$B57,0)</f>
        <v>0</v>
      </c>
      <c r="D71" s="136">
        <f>IFERROR(D29/$B57,0)</f>
        <v>0</v>
      </c>
      <c r="E71" s="136">
        <f t="shared" ref="E71:F71" si="231">IFERROR(E29/$B57,0)</f>
        <v>883270.96938941441</v>
      </c>
      <c r="F71" s="136">
        <f t="shared" si="231"/>
        <v>883270.96938941441</v>
      </c>
      <c r="G71" s="149">
        <f>IFERROR(s_RadSpec!$I$29*G29,".")*$B$71</f>
        <v>0</v>
      </c>
      <c r="H71" s="149">
        <f>IFERROR(s_RadSpec!$L$29*$H$29,".")*B71</f>
        <v>0</v>
      </c>
      <c r="I71" s="149">
        <f>IFERROR(s_RadSpec!$K$29*$I$29,".")*B71</f>
        <v>5.6607770132605961E-6</v>
      </c>
      <c r="J71" s="150">
        <f t="shared" si="27"/>
        <v>5.6607770132605961E-6</v>
      </c>
      <c r="K71" s="136">
        <f t="shared" ref="K71:O71" si="232">IFERROR(K29/$B57,0)</f>
        <v>4416354.8469470721</v>
      </c>
      <c r="L71" s="136">
        <f t="shared" si="232"/>
        <v>48254819.129876003</v>
      </c>
      <c r="M71" s="136">
        <f t="shared" si="232"/>
        <v>11969746.451498866</v>
      </c>
      <c r="N71" s="136">
        <f t="shared" si="232"/>
        <v>6317394.9009317905</v>
      </c>
      <c r="O71" s="136">
        <f t="shared" si="232"/>
        <v>86014528.911483914</v>
      </c>
      <c r="P71" s="149">
        <f>IFERROR(s_RadSpec!$K$29*$P$29,".")*$B$71</f>
        <v>5.6607770132605961E-6</v>
      </c>
      <c r="Q71" s="149">
        <f>IFERROR(s_RadSpec!$R$29*$Q$29,".")*$B$71</f>
        <v>5.1808296975921608E-7</v>
      </c>
      <c r="R71" s="149">
        <f>IFERROR(s_RadSpec!$S$29*$R$29,".")*$B$71</f>
        <v>2.0885989608300739E-6</v>
      </c>
      <c r="S71" s="149">
        <f>IFERROR(s_RadSpec!$T$29*$S$29,".")*$B$71</f>
        <v>3.9573274098018793E-6</v>
      </c>
      <c r="T71" s="149">
        <f>IFERROR(s_RadSpec!$P$29*$T$29,".")*$B$71</f>
        <v>2.9064857200726022E-7</v>
      </c>
      <c r="U71" s="136">
        <f>IFERROR(U29/$B57,0)</f>
        <v>0</v>
      </c>
      <c r="V71" s="136">
        <f t="shared" ref="V71:W71" si="233">IFERROR(V29/$B57,0)</f>
        <v>169.17418587836823</v>
      </c>
      <c r="W71" s="136">
        <f t="shared" si="233"/>
        <v>169.17418587836823</v>
      </c>
      <c r="X71" s="149">
        <f>IFERROR(s_RadSpec!$L$29*X29,".")*$B$71</f>
        <v>0</v>
      </c>
      <c r="Y71" s="149">
        <f>IFERROR(s_RadSpec!$O$29*$Y$29,".")*$B$71</f>
        <v>0.14777668277342465</v>
      </c>
      <c r="Z71" s="150">
        <f t="shared" si="29"/>
        <v>0.14777668277342465</v>
      </c>
      <c r="AA71" s="136">
        <f>IFERROR(AA29/$B57,0)</f>
        <v>0</v>
      </c>
      <c r="AB71" s="136">
        <f t="shared" ref="AB71" si="234">IFERROR(AB29/$B57,0)</f>
        <v>195885.89943811062</v>
      </c>
      <c r="AC71" s="136">
        <f>IFERROR(AC29/$B57,0)</f>
        <v>0</v>
      </c>
      <c r="AD71" s="149">
        <f>IFERROR(s_RadSpec!$M$29*AD29,".")*$B$71</f>
        <v>0</v>
      </c>
      <c r="AE71" s="149">
        <f>IFERROR(s_RadSpec!$Q$29*AE29,".")*$B$71</f>
        <v>1.276253169406849E-4</v>
      </c>
      <c r="AF71" s="150">
        <f t="shared" si="30"/>
        <v>1.276253169406849E-4</v>
      </c>
      <c r="AG71" s="136">
        <f t="shared" ref="AG71:AL71" si="235">IFERROR(AG29/$B57,0)</f>
        <v>0</v>
      </c>
      <c r="AH71" s="136">
        <f t="shared" si="235"/>
        <v>0</v>
      </c>
      <c r="AI71" s="136">
        <f t="shared" si="235"/>
        <v>0</v>
      </c>
      <c r="AJ71" s="136">
        <f t="shared" si="235"/>
        <v>0</v>
      </c>
      <c r="AK71" s="136">
        <f t="shared" si="235"/>
        <v>0</v>
      </c>
      <c r="AL71" s="136">
        <f t="shared" si="235"/>
        <v>0</v>
      </c>
      <c r="AM71" s="149">
        <f>IFERROR(s_RadSpec!$J$29*AM29,".")*$B$71</f>
        <v>0</v>
      </c>
      <c r="AN71" s="149">
        <f>IFERROR(s_RadSpec!$J$29*AN29,".")*$B$71</f>
        <v>0</v>
      </c>
      <c r="AO71" s="149">
        <f>IFERROR(s_RadSpec!$J$29*AO29,".")*$B$71</f>
        <v>0</v>
      </c>
      <c r="AP71" s="149">
        <f>IFERROR(s_RadSpec!$J$29*AP29,".")*$B$71</f>
        <v>0</v>
      </c>
      <c r="AQ71" s="149">
        <f>IFERROR(s_RadSpec!$J$29*AQ29,".")*$B$71</f>
        <v>0</v>
      </c>
      <c r="AR71" s="149">
        <f>IFERROR(s_RadSpec!$J$29*AR29,".")*$B$71</f>
        <v>0</v>
      </c>
    </row>
    <row r="72" spans="1:44" x14ac:dyDescent="0.25">
      <c r="A72" s="148" t="s">
        <v>1081</v>
      </c>
      <c r="B72" s="141">
        <v>1</v>
      </c>
      <c r="C72" s="136">
        <f>IFERROR(C16/$B58,0)</f>
        <v>4817.6518764754064</v>
      </c>
      <c r="D72" s="136">
        <f>IFERROR(D16/$B58,0)</f>
        <v>7617298.5589763047</v>
      </c>
      <c r="E72" s="136">
        <f t="shared" ref="E72:F72" si="236">IFERROR(E16/$B58,0)</f>
        <v>40218760674.499863</v>
      </c>
      <c r="F72" s="136">
        <f t="shared" si="236"/>
        <v>4814.606244260629</v>
      </c>
      <c r="G72" s="149">
        <f>IFERROR(s_RadSpec!$I$16*G16,".")*$B$72</f>
        <v>5.1892500000000003E-3</v>
      </c>
      <c r="H72" s="149">
        <f>IFERROR(s_RadSpec!$L$16*$H$16,".")*B72</f>
        <v>3.2820034302764373E-6</v>
      </c>
      <c r="I72" s="149">
        <f>IFERROR(s_RadSpec!$K$16*$I$16,".")*B72</f>
        <v>1.2432009132420082E-10</v>
      </c>
      <c r="J72" s="150">
        <f t="shared" si="27"/>
        <v>5.1925321277503681E-3</v>
      </c>
      <c r="K72" s="136">
        <f t="shared" ref="K72:O72" si="237">IFERROR(K16/$B58,0)</f>
        <v>201093803372.49933</v>
      </c>
      <c r="L72" s="136">
        <f t="shared" si="237"/>
        <v>563368123305.41821</v>
      </c>
      <c r="M72" s="136">
        <f t="shared" si="237"/>
        <v>219061511140.19751</v>
      </c>
      <c r="N72" s="136">
        <f t="shared" si="237"/>
        <v>216261362224.94443</v>
      </c>
      <c r="O72" s="136">
        <f t="shared" si="237"/>
        <v>6906529271936.7061</v>
      </c>
      <c r="P72" s="149">
        <f>IFERROR(s_RadSpec!$K$16*$P$16,".")*$B$72</f>
        <v>1.2432009132420082E-10</v>
      </c>
      <c r="Q72" s="149">
        <f>IFERROR(s_RadSpec!$R$16*$Q$16,".")*$B$72</f>
        <v>4.4375957683439556E-11</v>
      </c>
      <c r="R72" s="149">
        <f>IFERROR(s_RadSpec!$S$16*$R$16,".")*$B$72</f>
        <v>1.1412319704121924E-10</v>
      </c>
      <c r="S72" s="149">
        <f>IFERROR(s_RadSpec!$T$16*$S$16,".")*$B$72</f>
        <v>1.1560086250634189E-10</v>
      </c>
      <c r="T72" s="149">
        <f>IFERROR(s_RadSpec!$P$16*$T$16,".")*$B$72</f>
        <v>3.6197631278538807E-12</v>
      </c>
      <c r="U72" s="136">
        <f>IFERROR(U16/$B58,0)</f>
        <v>24.587487274054439</v>
      </c>
      <c r="V72" s="136">
        <f t="shared" ref="V72:W72" si="238">IFERROR(V16/$B58,0)</f>
        <v>99.564914960651407</v>
      </c>
      <c r="W72" s="136">
        <f t="shared" si="238"/>
        <v>19.718112863489925</v>
      </c>
      <c r="X72" s="149">
        <f>IFERROR(s_RadSpec!$L$16*X16,".")*$B$72</f>
        <v>1.0167773437499998</v>
      </c>
      <c r="Y72" s="149">
        <f>IFERROR(s_RadSpec!$O$16*$Y$16,".")*$B$72</f>
        <v>0.25109246575342464</v>
      </c>
      <c r="Z72" s="150">
        <f t="shared" si="29"/>
        <v>1.2678698095034244</v>
      </c>
      <c r="AA72" s="136">
        <f>IFERROR(AA16/$B58,0)</f>
        <v>33.121356650768412</v>
      </c>
      <c r="AB72" s="136">
        <f t="shared" ref="AB72" si="239">IFERROR(AB16/$B58,0)</f>
        <v>107557.51134510738</v>
      </c>
      <c r="AC72" s="136">
        <f>IFERROR(AC16/$B58,0)</f>
        <v>33.111160370303843</v>
      </c>
      <c r="AD72" s="149">
        <f>IFERROR(s_RadSpec!$M$16*AD16,".")*$B$72</f>
        <v>0.75480000000000003</v>
      </c>
      <c r="AE72" s="149">
        <f>IFERROR(s_RadSpec!$Q$16*AE16,".")*$B$72</f>
        <v>2.3243378995433788E-4</v>
      </c>
      <c r="AF72" s="150">
        <f t="shared" si="30"/>
        <v>0.75503243378995433</v>
      </c>
      <c r="AG72" s="136">
        <f t="shared" ref="AG72:AL72" si="240">IFERROR(AG16/$B58,0)</f>
        <v>264.9708532061473</v>
      </c>
      <c r="AH72" s="136">
        <f t="shared" si="240"/>
        <v>46725.442332039107</v>
      </c>
      <c r="AI72" s="136">
        <f t="shared" si="240"/>
        <v>189264895.14724809</v>
      </c>
      <c r="AJ72" s="136">
        <f t="shared" si="240"/>
        <v>264.9708532061473</v>
      </c>
      <c r="AK72" s="136">
        <f t="shared" si="240"/>
        <v>0</v>
      </c>
      <c r="AL72" s="136">
        <f t="shared" si="240"/>
        <v>0</v>
      </c>
      <c r="AM72" s="149">
        <f>IFERROR(s_RadSpec!$J$16*AM16,".")*$B$72</f>
        <v>9.4350000000000003E-2</v>
      </c>
      <c r="AN72" s="149">
        <f>IFERROR(s_RadSpec!$J$16*AN16,".")*$B$72</f>
        <v>5.3504041379310338E-4</v>
      </c>
      <c r="AO72" s="149">
        <f>IFERROR(s_RadSpec!$J$16*AO16,".")*$B$72</f>
        <v>1.3208999999999999E-7</v>
      </c>
      <c r="AP72" s="149">
        <f>IFERROR(s_RadSpec!$J$16*AP16,".")*$B$72</f>
        <v>9.4350000000000003E-2</v>
      </c>
      <c r="AQ72" s="149">
        <f>IFERROR(s_RadSpec!$J$16*AQ16,".")*$B$72</f>
        <v>0</v>
      </c>
      <c r="AR72" s="149">
        <f>IFERROR(s_RadSpec!$J$16*AR16,".")*$B$72</f>
        <v>0</v>
      </c>
    </row>
    <row r="73" spans="1:44" x14ac:dyDescent="0.25">
      <c r="A73" s="148" t="s">
        <v>1082</v>
      </c>
      <c r="B73" s="141">
        <v>1</v>
      </c>
      <c r="C73" s="136">
        <f>IFERROR(C7/$B59,0)</f>
        <v>2730002.7300027302</v>
      </c>
      <c r="D73" s="136">
        <f>IFERROR(D7/$B59,0)</f>
        <v>314604865.14128166</v>
      </c>
      <c r="E73" s="136">
        <f t="shared" ref="E73:F73" si="241">IFERROR(E7/$B59,0)</f>
        <v>1845848.8432131121</v>
      </c>
      <c r="F73" s="136">
        <f t="shared" si="241"/>
        <v>1097412.0427494859</v>
      </c>
      <c r="G73" s="149">
        <f>IFERROR(s_RadSpec!$I$7*G7,".")*$B$73</f>
        <v>9.1575E-6</v>
      </c>
      <c r="H73" s="149">
        <f>IFERROR(s_RadSpec!$L$7*$H$7,".")*B73</f>
        <v>7.9464759671701458E-8</v>
      </c>
      <c r="I73" s="149">
        <f>IFERROR(s_RadSpec!$K$7*$I$7,".")*B73</f>
        <v>2.7087808508178726E-6</v>
      </c>
      <c r="J73" s="150">
        <f t="shared" si="27"/>
        <v>1.1945745610489574E-5</v>
      </c>
      <c r="K73" s="136">
        <f t="shared" ref="K73:O73" si="242">IFERROR(K7/$B59,0)</f>
        <v>9229244.2160655614</v>
      </c>
      <c r="L73" s="136">
        <f t="shared" si="242"/>
        <v>25607137.930118531</v>
      </c>
      <c r="M73" s="136">
        <f t="shared" si="242"/>
        <v>12970232.902424194</v>
      </c>
      <c r="N73" s="136">
        <f t="shared" si="242"/>
        <v>10102150.993986223</v>
      </c>
      <c r="O73" s="136">
        <f t="shared" si="242"/>
        <v>3351619.1116955951</v>
      </c>
      <c r="P73" s="149">
        <f>IFERROR(s_RadSpec!$K$7*$P$7,".")*$B$73</f>
        <v>2.7087808508178726E-6</v>
      </c>
      <c r="Q73" s="149">
        <f>IFERROR(s_RadSpec!$R$7*$Q$7,".")*$B$73</f>
        <v>9.7629028547526859E-7</v>
      </c>
      <c r="R73" s="149">
        <f>IFERROR(s_RadSpec!$S$7*$R$7,".")*$B$73</f>
        <v>1.927490445859872E-6</v>
      </c>
      <c r="S73" s="149">
        <f>IFERROR(s_RadSpec!$T$7*$S$7,".")*$B$73</f>
        <v>2.4747204842693814E-6</v>
      </c>
      <c r="T73" s="149">
        <f>IFERROR(s_RadSpec!$P$7*$T$7,".")*$B$73</f>
        <v>7.4590814668533177E-6</v>
      </c>
      <c r="U73" s="136">
        <f>IFERROR(U7/$B59,0)</f>
        <v>1015.4969059078649</v>
      </c>
      <c r="V73" s="136">
        <f t="shared" ref="V73:W73" si="243">IFERROR(V7/$B59,0)</f>
        <v>18.176385638165428</v>
      </c>
      <c r="W73" s="136">
        <f t="shared" si="243"/>
        <v>17.856767246581406</v>
      </c>
      <c r="X73" s="149">
        <f>IFERROR(s_RadSpec!$L$7*X7,".")*$B$73</f>
        <v>2.461848958333333E-2</v>
      </c>
      <c r="Y73" s="149">
        <f>IFERROR(s_RadSpec!$O$7*$Y$7,".")*$B$73</f>
        <v>1.3754109589041095</v>
      </c>
      <c r="Z73" s="150">
        <f t="shared" si="29"/>
        <v>1.4000294484874427</v>
      </c>
      <c r="AA73" s="136">
        <f>IFERROR(AA7/$B59,0)</f>
        <v>18768.768768768772</v>
      </c>
      <c r="AB73" s="136">
        <f t="shared" ref="AB73" si="244">IFERROR(AB7/$B59,0)</f>
        <v>39341.50582757283</v>
      </c>
      <c r="AC73" s="136">
        <f>IFERROR(AC7/$B59,0)</f>
        <v>12706.730970074781</v>
      </c>
      <c r="AD73" s="149">
        <f>IFERROR(s_RadSpec!$M$7*AD7,".")*$B$73</f>
        <v>1.3319999999999999E-3</v>
      </c>
      <c r="AE73" s="149">
        <f>IFERROR(s_RadSpec!$Q$7*AE7,".")*$B$73</f>
        <v>6.3546118721461179E-4</v>
      </c>
      <c r="AF73" s="150">
        <f t="shared" si="30"/>
        <v>1.9674611872146116E-3</v>
      </c>
      <c r="AG73" s="136">
        <f t="shared" ref="AG73:AL73" si="245">IFERROR(AG7/$B59,0)</f>
        <v>150150.15015015018</v>
      </c>
      <c r="AH73" s="136">
        <f t="shared" si="245"/>
        <v>6256256.2562562572</v>
      </c>
      <c r="AI73" s="136">
        <f t="shared" si="245"/>
        <v>37537537537.537544</v>
      </c>
      <c r="AJ73" s="136">
        <f t="shared" si="245"/>
        <v>150150.15015015018</v>
      </c>
      <c r="AK73" s="136">
        <f t="shared" si="245"/>
        <v>0</v>
      </c>
      <c r="AL73" s="136">
        <f t="shared" si="245"/>
        <v>0</v>
      </c>
      <c r="AM73" s="149">
        <f>IFERROR(s_RadSpec!$J$7*AM7,".")*$B$73</f>
        <v>1.6649999999999998E-4</v>
      </c>
      <c r="AN73" s="149">
        <f>IFERROR(s_RadSpec!$J$7*AN7,".")*$B$73</f>
        <v>3.9960000000000004E-6</v>
      </c>
      <c r="AO73" s="149">
        <f>IFERROR(s_RadSpec!$J$7*AO7,".")*$B$73</f>
        <v>6.6599999999999997E-10</v>
      </c>
      <c r="AP73" s="149">
        <f>IFERROR(s_RadSpec!$J$7*AP7,".")*$B$73</f>
        <v>1.6649999999999998E-4</v>
      </c>
      <c r="AQ73" s="149">
        <f>IFERROR(s_RadSpec!$J$7*AQ7,".")*$B$73</f>
        <v>0</v>
      </c>
      <c r="AR73" s="149">
        <f>IFERROR(s_RadSpec!$J$7*AR7,".")*$B$73</f>
        <v>0</v>
      </c>
    </row>
    <row r="74" spans="1:44" x14ac:dyDescent="0.25">
      <c r="A74" s="148" t="s">
        <v>1083</v>
      </c>
      <c r="B74" s="141">
        <v>1.9000000000000001E-8</v>
      </c>
      <c r="C74" s="136">
        <f>IFERROR(C12/$B60,0)</f>
        <v>0</v>
      </c>
      <c r="D74" s="136">
        <f>IFERROR(D12/$B60,0)</f>
        <v>0</v>
      </c>
      <c r="E74" s="136">
        <f t="shared" ref="E74:F74" si="246">IFERROR(E12/$B60,0)</f>
        <v>673548076713.12549</v>
      </c>
      <c r="F74" s="136">
        <f t="shared" si="246"/>
        <v>673548076713.12549</v>
      </c>
      <c r="G74" s="149">
        <f>IFERROR(s_RadSpec!$I$12*G12,".")*$B$74</f>
        <v>0</v>
      </c>
      <c r="H74" s="149">
        <f>IFERROR(s_RadSpec!$L$12*$H$12,".")*B74</f>
        <v>0</v>
      </c>
      <c r="I74" s="149">
        <f>IFERROR(s_RadSpec!$K$12*$I$12,".")*B74</f>
        <v>7.4233750683391485E-12</v>
      </c>
      <c r="J74" s="150">
        <f t="shared" si="27"/>
        <v>7.4233750683391485E-12</v>
      </c>
      <c r="K74" s="136">
        <f t="shared" ref="K74:O74" si="247">IFERROR(K12/$B60,0)</f>
        <v>3367740383565.627</v>
      </c>
      <c r="L74" s="136">
        <f t="shared" si="247"/>
        <v>26708316118427.387</v>
      </c>
      <c r="M74" s="136">
        <f t="shared" si="247"/>
        <v>6941775543129.9014</v>
      </c>
      <c r="N74" s="136">
        <f t="shared" si="247"/>
        <v>4133632210926.6909</v>
      </c>
      <c r="O74" s="136">
        <f t="shared" si="247"/>
        <v>36688504410245.578</v>
      </c>
      <c r="P74" s="149">
        <f>IFERROR(s_RadSpec!$K$12*$P$12,".")*$B$74</f>
        <v>7.4233750683391485E-12</v>
      </c>
      <c r="Q74" s="149">
        <f>IFERROR(s_RadSpec!$R$12*$Q$12,".")*$B$74</f>
        <v>9.360380448227234E-13</v>
      </c>
      <c r="R74" s="149">
        <f>IFERROR(s_RadSpec!$S$12*$R$12,".")*$B$74</f>
        <v>3.6013840903775494E-12</v>
      </c>
      <c r="S74" s="149">
        <f>IFERROR(s_RadSpec!$T$12*$S$12,".")*$B$74</f>
        <v>6.0479497749983474E-12</v>
      </c>
      <c r="T74" s="149">
        <f>IFERROR(s_RadSpec!$P$12*$T$12,".")*$B$74</f>
        <v>6.8141234977729219E-13</v>
      </c>
      <c r="U74" s="136">
        <f>IFERROR(U12/$B60,0)</f>
        <v>0</v>
      </c>
      <c r="V74" s="136">
        <f t="shared" ref="V74:W74" si="248">IFERROR(V12/$B60,0)</f>
        <v>44391399.98718933</v>
      </c>
      <c r="W74" s="136">
        <f t="shared" si="248"/>
        <v>44391399.987189338</v>
      </c>
      <c r="X74" s="149">
        <f>IFERROR(s_RadSpec!$L$12*X12,".")*$B$74</f>
        <v>0</v>
      </c>
      <c r="Y74" s="149">
        <f>IFERROR(s_RadSpec!$O$12*$Y$12,".")*$B$74</f>
        <v>5.6317214611872144E-7</v>
      </c>
      <c r="Z74" s="150">
        <f t="shared" si="29"/>
        <v>5.6317214611872144E-7</v>
      </c>
      <c r="AA74" s="136">
        <f>IFERROR(AA12/$B60,0)</f>
        <v>0</v>
      </c>
      <c r="AB74" s="136">
        <f t="shared" ref="AB74" si="249">IFERROR(AB12/$B60,0)</f>
        <v>51852139480.834595</v>
      </c>
      <c r="AC74" s="136">
        <f>IFERROR(AC12/$B60,0)</f>
        <v>0</v>
      </c>
      <c r="AD74" s="149">
        <f>IFERROR(s_RadSpec!$M$12*AD12,".")*$B$74</f>
        <v>0</v>
      </c>
      <c r="AE74" s="149">
        <f>IFERROR(s_RadSpec!$Q$12*AE12,".")*$B$74</f>
        <v>4.8214018264840177E-10</v>
      </c>
      <c r="AF74" s="150">
        <f t="shared" si="30"/>
        <v>4.8214018264840177E-10</v>
      </c>
      <c r="AG74" s="136">
        <f t="shared" ref="AG74:AL74" si="250">IFERROR(AG12/$B60,0)</f>
        <v>0</v>
      </c>
      <c r="AH74" s="136">
        <f t="shared" si="250"/>
        <v>0</v>
      </c>
      <c r="AI74" s="136">
        <f t="shared" si="250"/>
        <v>0</v>
      </c>
      <c r="AJ74" s="136">
        <f t="shared" si="250"/>
        <v>0</v>
      </c>
      <c r="AK74" s="136">
        <f t="shared" si="250"/>
        <v>0</v>
      </c>
      <c r="AL74" s="136">
        <f t="shared" si="250"/>
        <v>0</v>
      </c>
      <c r="AM74" s="149">
        <f>IFERROR(s_RadSpec!$J$12*AM12,".")*$B$74</f>
        <v>0</v>
      </c>
      <c r="AN74" s="149">
        <f>IFERROR(s_RadSpec!$J$12*AN12,".")*$B$74</f>
        <v>0</v>
      </c>
      <c r="AO74" s="149">
        <f>IFERROR(s_RadSpec!$J$12*AO12,".")*$B$74</f>
        <v>0</v>
      </c>
      <c r="AP74" s="149">
        <f>IFERROR(s_RadSpec!$J$12*AP12,".")*$B$74</f>
        <v>0</v>
      </c>
      <c r="AQ74" s="149">
        <f>IFERROR(s_RadSpec!$J$12*AQ12,".")*$B$74</f>
        <v>0</v>
      </c>
      <c r="AR74" s="149">
        <f>IFERROR(s_RadSpec!$J$12*AR12,".")*$B$74</f>
        <v>0</v>
      </c>
    </row>
    <row r="75" spans="1:44" x14ac:dyDescent="0.25">
      <c r="A75" s="148" t="s">
        <v>1084</v>
      </c>
      <c r="B75" s="141">
        <v>1</v>
      </c>
      <c r="C75" s="136">
        <f>IFERROR(C18/$B61,0)</f>
        <v>2808.0028080028083</v>
      </c>
      <c r="D75" s="136">
        <f>IFERROR(D18/$B61,0)</f>
        <v>9814596.2202194724</v>
      </c>
      <c r="E75" s="136">
        <f t="shared" ref="E75:F75" si="251">IFERROR(E18/$B61,0)</f>
        <v>69843114.922423258</v>
      </c>
      <c r="F75" s="136">
        <f t="shared" si="251"/>
        <v>2807.0868297337679</v>
      </c>
      <c r="G75" s="149">
        <f>IFERROR(s_RadSpec!$I$18*G18,".")*$B$75</f>
        <v>8.9031249999999996E-3</v>
      </c>
      <c r="H75" s="149">
        <f>IFERROR(s_RadSpec!$L$18*$H$18,".")*B75</f>
        <v>2.5472265429011154E-6</v>
      </c>
      <c r="I75" s="149">
        <f>IFERROR(s_RadSpec!$K$18*$I$18,".")*B75</f>
        <v>7.1589017837386568E-8</v>
      </c>
      <c r="J75" s="150">
        <f t="shared" si="27"/>
        <v>8.9057438155607377E-3</v>
      </c>
      <c r="K75" s="136">
        <f t="shared" ref="K75:O75" si="252">IFERROR(K18/$B61,0)</f>
        <v>349215574.61211628</v>
      </c>
      <c r="L75" s="136">
        <f t="shared" si="252"/>
        <v>3561106986.197051</v>
      </c>
      <c r="M75" s="136">
        <f t="shared" si="252"/>
        <v>869870767.49878526</v>
      </c>
      <c r="N75" s="136">
        <f t="shared" si="252"/>
        <v>458629589.65572047</v>
      </c>
      <c r="O75" s="136">
        <f t="shared" si="252"/>
        <v>6147748363.9666862</v>
      </c>
      <c r="P75" s="149">
        <f>IFERROR(s_RadSpec!$K$18*$P$18,".")*$B$75</f>
        <v>7.1589017837386568E-8</v>
      </c>
      <c r="Q75" s="149">
        <f>IFERROR(s_RadSpec!$R$18*$Q$18,".")*$B$75</f>
        <v>7.0202889429889888E-9</v>
      </c>
      <c r="R75" s="149">
        <f>IFERROR(s_RadSpec!$S$18*$R$18,".")*$B$75</f>
        <v>2.8739901298079794E-8</v>
      </c>
      <c r="S75" s="149">
        <f>IFERROR(s_RadSpec!$T$18*$S$18,".")*$B$75</f>
        <v>5.4510220369267395E-8</v>
      </c>
      <c r="T75" s="149">
        <f>IFERROR(s_RadSpec!$P$18*$T$18,".")*$B$75</f>
        <v>4.0665294868818211E-9</v>
      </c>
      <c r="U75" s="136">
        <f>IFERROR(U18/$B61,0)</f>
        <v>31.680031680031682</v>
      </c>
      <c r="V75" s="136">
        <f t="shared" ref="V75:W75" si="253">IFERROR(V18/$B61,0)</f>
        <v>10538.219089093665</v>
      </c>
      <c r="W75" s="136">
        <f t="shared" si="253"/>
        <v>31.585080498778183</v>
      </c>
      <c r="X75" s="149">
        <f>IFERROR(s_RadSpec!$L$18*X18,".")*$B$75</f>
        <v>0.78914062499999993</v>
      </c>
      <c r="Y75" s="149">
        <f>IFERROR(s_RadSpec!$O$18*$Y$18,".")*$B$75</f>
        <v>2.3723173515981734E-3</v>
      </c>
      <c r="Z75" s="150">
        <f t="shared" si="29"/>
        <v>0.79151294235159808</v>
      </c>
      <c r="AA75" s="136">
        <f>IFERROR(AA18/$B61,0)</f>
        <v>19.305019305019304</v>
      </c>
      <c r="AB75" s="136">
        <f t="shared" ref="AB75" si="254">IFERROR(AB18/$B61,0)</f>
        <v>12148983.146753062</v>
      </c>
      <c r="AC75" s="136">
        <f>IFERROR(AC18/$B61,0)</f>
        <v>19.304988628939366</v>
      </c>
      <c r="AD75" s="149">
        <f>IFERROR(s_RadSpec!$M$18*AD18,".")*$B$75</f>
        <v>1.2949999999999999</v>
      </c>
      <c r="AE75" s="149">
        <f>IFERROR(s_RadSpec!$Q$18*AE18,".")*$B$75</f>
        <v>2.0577853881278536E-6</v>
      </c>
      <c r="AF75" s="150">
        <f t="shared" si="30"/>
        <v>1.295002057785388</v>
      </c>
      <c r="AG75" s="136">
        <f t="shared" ref="AG75:AL75" si="255">IFERROR(AG18/$B61,0)</f>
        <v>154.44015444015443</v>
      </c>
      <c r="AH75" s="136">
        <f t="shared" si="255"/>
        <v>3859.9390502313827</v>
      </c>
      <c r="AI75" s="136">
        <f t="shared" si="255"/>
        <v>15444015.444015441</v>
      </c>
      <c r="AJ75" s="136">
        <f t="shared" si="255"/>
        <v>154.44015444015443</v>
      </c>
      <c r="AK75" s="136">
        <f t="shared" si="255"/>
        <v>8.0415396879820484</v>
      </c>
      <c r="AL75" s="136">
        <f t="shared" si="255"/>
        <v>32175.032175032175</v>
      </c>
      <c r="AM75" s="149">
        <f>IFERROR(s_RadSpec!$J$18*AM18,".")*$B$75</f>
        <v>0.16187499999999999</v>
      </c>
      <c r="AN75" s="149">
        <f>IFERROR(s_RadSpec!$J$18*AN18,".")*$B$75</f>
        <v>6.476786206896552E-3</v>
      </c>
      <c r="AO75" s="149">
        <f>IFERROR(s_RadSpec!$J$18*AO18,".")*$B$75</f>
        <v>1.61875E-6</v>
      </c>
      <c r="AP75" s="149">
        <f>IFERROR(s_RadSpec!$J$18*AP18,".")*$B$75</f>
        <v>0.16187499999999999</v>
      </c>
      <c r="AQ75" s="149">
        <f>IFERROR(s_RadSpec!$J$18*AQ18,".")*$B$75</f>
        <v>3.1088573793103449</v>
      </c>
      <c r="AR75" s="149">
        <f>IFERROR(s_RadSpec!$J$18*AR18,".")*$B$75</f>
        <v>7.7699999999999991E-4</v>
      </c>
    </row>
    <row r="76" spans="1:44" x14ac:dyDescent="0.25">
      <c r="A76" s="148" t="s">
        <v>1085</v>
      </c>
      <c r="B76" s="141">
        <v>1.339E-6</v>
      </c>
      <c r="C76" s="136">
        <f>IFERROR(C27/$B62,0)</f>
        <v>0</v>
      </c>
      <c r="D76" s="136">
        <f>IFERROR(D27/$B62,0)</f>
        <v>0</v>
      </c>
      <c r="E76" s="136">
        <f t="shared" ref="E76:F76" si="256">IFERROR(E27/$B62,0)</f>
        <v>377949834421.99121</v>
      </c>
      <c r="F76" s="136">
        <f t="shared" si="256"/>
        <v>377949834421.99121</v>
      </c>
      <c r="G76" s="149">
        <f>IFERROR(s_RadSpec!$I$27*G27,".")*$B$76</f>
        <v>0</v>
      </c>
      <c r="H76" s="149">
        <f>IFERROR(s_RadSpec!$L$27*$H$27,".")*B76</f>
        <v>0</v>
      </c>
      <c r="I76" s="149">
        <f>IFERROR(s_RadSpec!$K$27*$I$27,".")*B76</f>
        <v>1.3229268925720354E-11</v>
      </c>
      <c r="J76" s="150">
        <f t="shared" si="27"/>
        <v>1.3229268925720354E-11</v>
      </c>
      <c r="K76" s="136">
        <f t="shared" ref="K76:O76" si="257">IFERROR(K27/$B62,0)</f>
        <v>1889749172109.9558</v>
      </c>
      <c r="L76" s="136">
        <f t="shared" si="257"/>
        <v>9443442878330.7793</v>
      </c>
      <c r="M76" s="136">
        <f t="shared" si="257"/>
        <v>4152921347255.4429</v>
      </c>
      <c r="N76" s="136">
        <f t="shared" si="257"/>
        <v>2563623464727.0845</v>
      </c>
      <c r="O76" s="136">
        <f t="shared" si="257"/>
        <v>3131350168970.2534</v>
      </c>
      <c r="P76" s="149">
        <f>IFERROR(s_RadSpec!$K$27*$P$27,".")*$B$76</f>
        <v>1.3229268925720354E-11</v>
      </c>
      <c r="Q76" s="149">
        <f>IFERROR(s_RadSpec!$R$27*$Q$27,".")*$B$76</f>
        <v>2.6473395690639246E-12</v>
      </c>
      <c r="R76" s="149">
        <f>IFERROR(s_RadSpec!$S$27*$R$27,".")*$B$76</f>
        <v>6.0198587715902321E-12</v>
      </c>
      <c r="S76" s="149">
        <f>IFERROR(s_RadSpec!$T$27*$S$27,".")*$B$76</f>
        <v>9.7518221158353408E-12</v>
      </c>
      <c r="T76" s="149">
        <f>IFERROR(s_RadSpec!$P$27*$T$27,".")*$B$76</f>
        <v>7.9837765343954706E-12</v>
      </c>
      <c r="U76" s="136">
        <f>IFERROR(U27/$B62,0)</f>
        <v>0</v>
      </c>
      <c r="V76" s="136">
        <f t="shared" ref="V76:W76" si="258">IFERROR(V27/$B62,0)</f>
        <v>8821778.5268653836</v>
      </c>
      <c r="W76" s="136">
        <f t="shared" si="258"/>
        <v>8821778.5268653836</v>
      </c>
      <c r="X76" s="149">
        <f>IFERROR(s_RadSpec!$L$27*X27,".")*$B$76</f>
        <v>0</v>
      </c>
      <c r="Y76" s="149">
        <f>IFERROR(s_RadSpec!$O$27*$Y$27,".")*$B$76</f>
        <v>2.8338956735159815E-6</v>
      </c>
      <c r="Z76" s="150">
        <f t="shared" si="29"/>
        <v>2.8338956735159815E-6</v>
      </c>
      <c r="AA76" s="136">
        <f>IFERROR(AA27/$B62,0)</f>
        <v>0</v>
      </c>
      <c r="AB76" s="136">
        <f t="shared" ref="AB76" si="259">IFERROR(AB27/$B62,0)</f>
        <v>18432874079.818722</v>
      </c>
      <c r="AC76" s="136">
        <f>IFERROR(AC27/$B62,0)</f>
        <v>0</v>
      </c>
      <c r="AD76" s="149">
        <f>IFERROR(s_RadSpec!$M$27*AD27,".")*$B$76</f>
        <v>0</v>
      </c>
      <c r="AE76" s="149">
        <f>IFERROR(s_RadSpec!$Q$27*AE27,".")*$B$76</f>
        <v>1.356272488584475E-9</v>
      </c>
      <c r="AF76" s="150">
        <f t="shared" si="30"/>
        <v>1.356272488584475E-9</v>
      </c>
      <c r="AG76" s="136">
        <f t="shared" ref="AG76:AL76" si="260">IFERROR(AG27/$B62,0)</f>
        <v>0</v>
      </c>
      <c r="AH76" s="136">
        <f t="shared" si="260"/>
        <v>0</v>
      </c>
      <c r="AI76" s="136">
        <f t="shared" si="260"/>
        <v>0</v>
      </c>
      <c r="AJ76" s="136">
        <f t="shared" si="260"/>
        <v>0</v>
      </c>
      <c r="AK76" s="136">
        <f t="shared" si="260"/>
        <v>0</v>
      </c>
      <c r="AL76" s="136">
        <f t="shared" si="260"/>
        <v>0</v>
      </c>
      <c r="AM76" s="149">
        <f>IFERROR(s_RadSpec!$J$27*AM27,".")*$B$76</f>
        <v>0</v>
      </c>
      <c r="AN76" s="149">
        <f>IFERROR(s_RadSpec!$J$27*AN27,".")*$B$76</f>
        <v>0</v>
      </c>
      <c r="AO76" s="149">
        <f>IFERROR(s_RadSpec!$J$27*AO27,".")*$B$76</f>
        <v>0</v>
      </c>
      <c r="AP76" s="149">
        <f>IFERROR(s_RadSpec!$J$27*AP27,".")*$B$76</f>
        <v>0</v>
      </c>
      <c r="AQ76" s="149">
        <f>IFERROR(s_RadSpec!$J$27*AQ27,".")*$B$76</f>
        <v>0</v>
      </c>
      <c r="AR76" s="149">
        <f>IFERROR(s_RadSpec!$J$27*AR27,".")*$B$76</f>
        <v>0</v>
      </c>
    </row>
  </sheetData>
  <sheetProtection algorithmName="SHA-512" hashValue="WQpPXlXrwBUVQTFzca0+ADcsvFTolPG2aYWsCIXCdKP1EdI0EzZTrQU86DNo3uqooJCUeymEpRyPaQ7hHV/xxg==" saltValue="Ja2Rm36CnzwQvfZhZbwYsA==" spinCount="100000" sheet="1" objects="1" scenarios="1" formatColumns="0" formatRows="0" autoFilter="0"/>
  <autoFilter ref="A1:AR76" xr:uid="{00000000-0009-0000-0000-000016000000}"/>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9" tint="-0.499984740745262"/>
  </sheetPr>
  <dimension ref="A1:F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RowHeight="15" x14ac:dyDescent="0.25"/>
  <cols>
    <col min="1" max="1" width="14.5703125" style="4" bestFit="1" customWidth="1"/>
    <col min="2" max="2" width="11.7109375" style="4" bestFit="1" customWidth="1"/>
    <col min="3" max="4" width="16.28515625" bestFit="1" customWidth="1"/>
    <col min="5" max="5" width="13.85546875" bestFit="1" customWidth="1"/>
    <col min="6" max="6" width="13.7109375" bestFit="1" customWidth="1"/>
  </cols>
  <sheetData>
    <row r="1" spans="1:6" x14ac:dyDescent="0.25">
      <c r="A1" s="50" t="s">
        <v>39</v>
      </c>
      <c r="B1" s="51" t="s">
        <v>335</v>
      </c>
      <c r="C1" t="s">
        <v>1306</v>
      </c>
      <c r="D1" t="s">
        <v>1307</v>
      </c>
      <c r="E1" t="s">
        <v>1308</v>
      </c>
      <c r="F1" t="s">
        <v>1309</v>
      </c>
    </row>
    <row r="2" spans="1:6" x14ac:dyDescent="0.25">
      <c r="A2" s="31" t="s">
        <v>0</v>
      </c>
      <c r="B2" s="3" t="s">
        <v>1059</v>
      </c>
      <c r="C2" s="75">
        <f>IF(s_RadSpec!BA2*s_DAF=0,".",s_RadSpec!BA2*s_DAF)</f>
        <v>109.22353435187127</v>
      </c>
      <c r="D2" s="75">
        <f>IFERROR(s_res!AH2*s_DAF,".")</f>
        <v>523.31784440289289</v>
      </c>
      <c r="E2" s="75">
        <f t="shared" ref="E2:E30" si="0">IFERROR((C2*s_ls2gw*s_ED_s2gw)/(s_ρb*s_d_s*1000),".")</f>
        <v>0.38228237023154943</v>
      </c>
      <c r="F2" s="75">
        <f t="shared" ref="F2:F30" si="1">IFERROR((D2*s_ls2gw*s_ED_s2gw)/(s_ρb*s_d_s*1000),".")</f>
        <v>1.831612455410125</v>
      </c>
    </row>
    <row r="3" spans="1:6" x14ac:dyDescent="0.25">
      <c r="A3" s="32" t="s">
        <v>1</v>
      </c>
      <c r="B3" s="3" t="s">
        <v>336</v>
      </c>
      <c r="C3" s="75">
        <f>IF(s_RadSpec!BA3*s_DAF=0,".",s_RadSpec!BA3*s_DAF)</f>
        <v>109.22353435187127</v>
      </c>
      <c r="D3" s="75">
        <f>IFERROR(s_res!AH3*s_DAF,".")</f>
        <v>122.83119872175682</v>
      </c>
      <c r="E3" s="75">
        <f t="shared" si="0"/>
        <v>0.38228237023154943</v>
      </c>
      <c r="F3" s="75">
        <f t="shared" si="1"/>
        <v>0.42990919552614887</v>
      </c>
    </row>
    <row r="4" spans="1:6" x14ac:dyDescent="0.25">
      <c r="A4" s="31" t="s">
        <v>2</v>
      </c>
      <c r="B4" s="3" t="s">
        <v>1059</v>
      </c>
      <c r="C4" s="75">
        <f>IF(s_RadSpec!BA4*s_DAF=0,".",s_RadSpec!BA4*s_DAF)</f>
        <v>109.22353435187127</v>
      </c>
      <c r="D4" s="75">
        <f>IFERROR(s_res!AH4*s_DAF,".")</f>
        <v>335959.97831227834</v>
      </c>
      <c r="E4" s="75">
        <f t="shared" si="0"/>
        <v>0.38228237023154943</v>
      </c>
      <c r="F4" s="75">
        <f t="shared" si="1"/>
        <v>1175.8599240929741</v>
      </c>
    </row>
    <row r="5" spans="1:6" x14ac:dyDescent="0.25">
      <c r="A5" s="31" t="s">
        <v>3</v>
      </c>
      <c r="B5" s="3" t="s">
        <v>1059</v>
      </c>
      <c r="C5" s="75">
        <f>IF(s_RadSpec!BA5*s_DAF=0,".",s_RadSpec!BA5*s_DAF)</f>
        <v>109.22353435187127</v>
      </c>
      <c r="D5" s="75">
        <f>IFERROR(s_res!AH5*s_DAF,".")</f>
        <v>6208540.3992109029</v>
      </c>
      <c r="E5" s="75">
        <f t="shared" si="0"/>
        <v>0.38228237023154943</v>
      </c>
      <c r="F5" s="75">
        <f t="shared" si="1"/>
        <v>21729.89139723816</v>
      </c>
    </row>
    <row r="6" spans="1:6" x14ac:dyDescent="0.25">
      <c r="A6" s="31" t="s">
        <v>4</v>
      </c>
      <c r="B6" s="3" t="s">
        <v>1059</v>
      </c>
      <c r="C6" s="75" t="str">
        <f>IF(s_RadSpec!BA6*s_DAF=0,".",s_RadSpec!BA6*s_DAF)</f>
        <v>.</v>
      </c>
      <c r="D6" s="75">
        <f>IFERROR(s_res!AH6*s_DAF,".")</f>
        <v>133.11621782184613</v>
      </c>
      <c r="E6" s="75" t="str">
        <f t="shared" si="0"/>
        <v>.</v>
      </c>
      <c r="F6" s="75">
        <f t="shared" si="1"/>
        <v>0.4659067623764615</v>
      </c>
    </row>
    <row r="7" spans="1:6" x14ac:dyDescent="0.25">
      <c r="A7" s="31" t="s">
        <v>5</v>
      </c>
      <c r="B7" s="3" t="s">
        <v>1059</v>
      </c>
      <c r="C7" s="75">
        <f>IF(s_RadSpec!BA7*s_DAF=0,".",s_RadSpec!BA7*s_DAF)</f>
        <v>109.22353435187127</v>
      </c>
      <c r="D7" s="75">
        <f>IFERROR(s_res!AH7*s_DAF,".")</f>
        <v>8702.8114340453139</v>
      </c>
      <c r="E7" s="75">
        <f t="shared" si="0"/>
        <v>0.38228237023154943</v>
      </c>
      <c r="F7" s="75">
        <f t="shared" si="1"/>
        <v>30.459840019158602</v>
      </c>
    </row>
    <row r="8" spans="1:6" x14ac:dyDescent="0.25">
      <c r="A8" s="31" t="s">
        <v>6</v>
      </c>
      <c r="B8" s="3" t="s">
        <v>1059</v>
      </c>
      <c r="C8" s="75">
        <f>IF(s_RadSpec!BA8*s_DAF=0,".",s_RadSpec!BA8*s_DAF)</f>
        <v>109.22353435187127</v>
      </c>
      <c r="D8" s="75">
        <f>IFERROR(s_res!AH8*s_DAF,".")</f>
        <v>611.63538288966845</v>
      </c>
      <c r="E8" s="75">
        <f t="shared" si="0"/>
        <v>0.38228237023154943</v>
      </c>
      <c r="F8" s="75">
        <f t="shared" si="1"/>
        <v>2.1407238401138393</v>
      </c>
    </row>
    <row r="9" spans="1:6" x14ac:dyDescent="0.25">
      <c r="A9" s="31" t="s">
        <v>7</v>
      </c>
      <c r="B9" s="3" t="s">
        <v>1059</v>
      </c>
      <c r="C9" s="75">
        <f>IF(s_RadSpec!BA9*s_DAF=0,".",s_RadSpec!BA9*s_DAF)</f>
        <v>109.22353435187127</v>
      </c>
      <c r="D9" s="75">
        <f>IFERROR(s_res!AH9*s_DAF,".")</f>
        <v>50.377918742935741</v>
      </c>
      <c r="E9" s="75">
        <f t="shared" si="0"/>
        <v>0.38228237023154943</v>
      </c>
      <c r="F9" s="75">
        <f t="shared" si="1"/>
        <v>0.1763227156002751</v>
      </c>
    </row>
    <row r="10" spans="1:6" x14ac:dyDescent="0.25">
      <c r="A10" s="32" t="s">
        <v>8</v>
      </c>
      <c r="B10" s="3" t="s">
        <v>336</v>
      </c>
      <c r="C10" s="75">
        <f>IF(s_RadSpec!BA10*s_DAF=0,".",s_RadSpec!BA10*s_DAF)</f>
        <v>1456.3137913582837</v>
      </c>
      <c r="D10" s="75">
        <f>IFERROR(s_res!AH10*s_DAF,".")</f>
        <v>2121.3493172047533</v>
      </c>
      <c r="E10" s="75">
        <f t="shared" si="0"/>
        <v>5.0970982697539924</v>
      </c>
      <c r="F10" s="75">
        <f t="shared" si="1"/>
        <v>7.4247226102166373</v>
      </c>
    </row>
    <row r="11" spans="1:6" x14ac:dyDescent="0.25">
      <c r="A11" s="31" t="s">
        <v>9</v>
      </c>
      <c r="B11" s="3" t="s">
        <v>1059</v>
      </c>
      <c r="C11" s="75">
        <f>IF(s_RadSpec!BA11*s_DAF=0,".",s_RadSpec!BA11*s_DAF)</f>
        <v>109.22353435187127</v>
      </c>
      <c r="D11" s="75">
        <f>IFERROR(s_res!AH11*s_DAF,".")</f>
        <v>2822.0638178231375</v>
      </c>
      <c r="E11" s="75">
        <f t="shared" si="0"/>
        <v>0.38228237023154943</v>
      </c>
      <c r="F11" s="75">
        <f t="shared" si="1"/>
        <v>9.8772233623809811</v>
      </c>
    </row>
    <row r="12" spans="1:6" x14ac:dyDescent="0.25">
      <c r="A12" s="31" t="s">
        <v>10</v>
      </c>
      <c r="B12" s="3" t="s">
        <v>1059</v>
      </c>
      <c r="C12" s="75" t="str">
        <f>IF(s_RadSpec!BA12*s_DAF=0,".",s_RadSpec!BA12*s_DAF)</f>
        <v>.</v>
      </c>
      <c r="D12" s="75">
        <f>IFERROR(s_res!AH12*s_DAF,".")</f>
        <v>652.15760495912843</v>
      </c>
      <c r="E12" s="75" t="str">
        <f t="shared" si="0"/>
        <v>.</v>
      </c>
      <c r="F12" s="75">
        <f t="shared" si="1"/>
        <v>2.2825516173569498</v>
      </c>
    </row>
    <row r="13" spans="1:6" x14ac:dyDescent="0.25">
      <c r="A13" s="31" t="s">
        <v>11</v>
      </c>
      <c r="B13" s="3" t="s">
        <v>1059</v>
      </c>
      <c r="C13" s="75">
        <f>IF(s_RadSpec!BA13*s_DAF=0,".",s_RadSpec!BA13*s_DAF)</f>
        <v>109.22353435187127</v>
      </c>
      <c r="D13" s="75">
        <f>IFERROR(s_res!AH13*s_DAF,".")</f>
        <v>221.98099362595232</v>
      </c>
      <c r="E13" s="75">
        <f t="shared" si="0"/>
        <v>0.38228237023154943</v>
      </c>
      <c r="F13" s="75">
        <f t="shared" si="1"/>
        <v>0.7769334776908331</v>
      </c>
    </row>
    <row r="14" spans="1:6" x14ac:dyDescent="0.25">
      <c r="A14" s="31" t="s">
        <v>12</v>
      </c>
      <c r="B14" s="3" t="s">
        <v>1059</v>
      </c>
      <c r="C14" s="75">
        <f>IF(s_RadSpec!BA14*s_DAF=0,".",s_RadSpec!BA14*s_DAF)</f>
        <v>2184.4706870374253</v>
      </c>
      <c r="D14" s="75">
        <f>IFERROR(s_res!AH14*s_DAF,".")</f>
        <v>375.80262400889836</v>
      </c>
      <c r="E14" s="75">
        <f t="shared" si="0"/>
        <v>7.6456474046309886</v>
      </c>
      <c r="F14" s="75">
        <f t="shared" si="1"/>
        <v>1.3153091840311444</v>
      </c>
    </row>
    <row r="15" spans="1:6" x14ac:dyDescent="0.25">
      <c r="A15" s="31" t="s">
        <v>13</v>
      </c>
      <c r="B15" s="3" t="s">
        <v>1059</v>
      </c>
      <c r="C15" s="75" t="str">
        <f>IF(s_RadSpec!BA15*s_DAF=0,".",s_RadSpec!BA15*s_DAF)</f>
        <v>.</v>
      </c>
      <c r="D15" s="75">
        <f>IFERROR(s_res!AH15*s_DAF,".")</f>
        <v>58924.459527853469</v>
      </c>
      <c r="E15" s="75" t="str">
        <f t="shared" si="0"/>
        <v>.</v>
      </c>
      <c r="F15" s="75">
        <f t="shared" si="1"/>
        <v>206.23560834748716</v>
      </c>
    </row>
    <row r="16" spans="1:6" x14ac:dyDescent="0.25">
      <c r="A16" s="31" t="s">
        <v>14</v>
      </c>
      <c r="B16" s="3" t="s">
        <v>1059</v>
      </c>
      <c r="C16" s="75" t="str">
        <f>IF(s_RadSpec!BA16*s_DAF=0,".",s_RadSpec!BA16*s_DAF)</f>
        <v>.</v>
      </c>
      <c r="D16" s="75">
        <f>IFERROR(s_res!AH16*s_DAF,".")</f>
        <v>28.830791422193595</v>
      </c>
      <c r="E16" s="75" t="str">
        <f t="shared" si="0"/>
        <v>.</v>
      </c>
      <c r="F16" s="75">
        <f t="shared" si="1"/>
        <v>0.10090776997767759</v>
      </c>
    </row>
    <row r="17" spans="1:6" x14ac:dyDescent="0.25">
      <c r="A17" s="31" t="s">
        <v>15</v>
      </c>
      <c r="B17" s="3" t="s">
        <v>1059</v>
      </c>
      <c r="C17" s="75" t="str">
        <f>IF(s_RadSpec!BA17*s_DAF=0,".",s_RadSpec!BA17*s_DAF)</f>
        <v>.</v>
      </c>
      <c r="D17" s="75">
        <f>IFERROR(s_res!AH17*s_DAF,".")</f>
        <v>321.31982307467325</v>
      </c>
      <c r="E17" s="75" t="str">
        <f t="shared" si="0"/>
        <v>.</v>
      </c>
      <c r="F17" s="75">
        <f t="shared" si="1"/>
        <v>1.1246193807613563</v>
      </c>
    </row>
    <row r="18" spans="1:6" x14ac:dyDescent="0.25">
      <c r="A18" s="31" t="s">
        <v>16</v>
      </c>
      <c r="B18" s="3" t="s">
        <v>1059</v>
      </c>
      <c r="C18" s="75">
        <f>IF(s_RadSpec!BA18*s_DAF=0,".",s_RadSpec!BA18*s_DAF)</f>
        <v>109.22353435187127</v>
      </c>
      <c r="D18" s="75">
        <f>IFERROR(s_res!AH18*s_DAF,".")</f>
        <v>16.93042319596945</v>
      </c>
      <c r="E18" s="75">
        <f t="shared" si="0"/>
        <v>0.38228237023154943</v>
      </c>
      <c r="F18" s="75">
        <f t="shared" si="1"/>
        <v>5.9256481185893072E-2</v>
      </c>
    </row>
    <row r="19" spans="1:6" x14ac:dyDescent="0.25">
      <c r="A19" s="31" t="s">
        <v>17</v>
      </c>
      <c r="B19" s="3" t="s">
        <v>1059</v>
      </c>
      <c r="C19" s="75">
        <f>IF(s_RadSpec!BA19*s_DAF=0,".",s_RadSpec!BA19*s_DAF)</f>
        <v>109.22353435187127</v>
      </c>
      <c r="D19" s="75">
        <f>IFERROR(s_res!AH19*s_DAF,".")</f>
        <v>2091826.2800575814</v>
      </c>
      <c r="E19" s="75">
        <f t="shared" si="0"/>
        <v>0.38228237023154943</v>
      </c>
      <c r="F19" s="75">
        <f t="shared" si="1"/>
        <v>7321.3919802015353</v>
      </c>
    </row>
    <row r="20" spans="1:6" x14ac:dyDescent="0.25">
      <c r="A20" s="31" t="s">
        <v>18</v>
      </c>
      <c r="B20" s="3" t="s">
        <v>1059</v>
      </c>
      <c r="C20" s="75">
        <f>IF(s_RadSpec!BA20*s_DAF=0,".",s_RadSpec!BA20*s_DAF)</f>
        <v>109.22353435187127</v>
      </c>
      <c r="D20" s="75">
        <f>IFERROR(s_res!AH20*s_DAF,".")</f>
        <v>942973.93669667444</v>
      </c>
      <c r="E20" s="75">
        <f t="shared" si="0"/>
        <v>0.38228237023154943</v>
      </c>
      <c r="F20" s="75">
        <f t="shared" si="1"/>
        <v>3300.4087784383605</v>
      </c>
    </row>
    <row r="21" spans="1:6" x14ac:dyDescent="0.25">
      <c r="A21" s="31" t="s">
        <v>19</v>
      </c>
      <c r="B21" s="3" t="s">
        <v>1059</v>
      </c>
      <c r="C21" s="75">
        <f>IF(s_RadSpec!BA21*s_DAF=0,".",s_RadSpec!BA21*s_DAF)</f>
        <v>109.22353435187127</v>
      </c>
      <c r="D21" s="75">
        <f>IFERROR(s_res!AH21*s_DAF,".")</f>
        <v>2713522901.7530179</v>
      </c>
      <c r="E21" s="75">
        <f t="shared" si="0"/>
        <v>0.38228237023154943</v>
      </c>
      <c r="F21" s="75">
        <f t="shared" si="1"/>
        <v>9497330.1561355628</v>
      </c>
    </row>
    <row r="22" spans="1:6" x14ac:dyDescent="0.25">
      <c r="A22" s="31" t="s">
        <v>20</v>
      </c>
      <c r="B22" s="3" t="s">
        <v>1059</v>
      </c>
      <c r="C22" s="75" t="str">
        <f>IF(s_RadSpec!BA22*s_DAF=0,".",s_RadSpec!BA22*s_DAF)</f>
        <v>.</v>
      </c>
      <c r="D22" s="75">
        <f>IFERROR(s_res!AH22*s_DAF,".")</f>
        <v>121.83650876866059</v>
      </c>
      <c r="E22" s="75" t="str">
        <f t="shared" si="0"/>
        <v>.</v>
      </c>
      <c r="F22" s="75">
        <f t="shared" si="1"/>
        <v>0.42642778069031212</v>
      </c>
    </row>
    <row r="23" spans="1:6" x14ac:dyDescent="0.25">
      <c r="A23" s="32" t="s">
        <v>21</v>
      </c>
      <c r="B23" s="3" t="s">
        <v>336</v>
      </c>
      <c r="C23" s="75">
        <f>IF(s_RadSpec!BA23*s_DAF=0,".",s_RadSpec!BA23*s_DAF)</f>
        <v>36.407844783957088</v>
      </c>
      <c r="D23" s="75">
        <f>IFERROR(s_res!AH23*s_DAF,".")</f>
        <v>14.694831588274857</v>
      </c>
      <c r="E23" s="75">
        <f t="shared" si="0"/>
        <v>0.12742745674384981</v>
      </c>
      <c r="F23" s="75">
        <f t="shared" si="1"/>
        <v>5.1431910558961999E-2</v>
      </c>
    </row>
    <row r="24" spans="1:6" x14ac:dyDescent="0.25">
      <c r="A24" s="31" t="s">
        <v>22</v>
      </c>
      <c r="B24" s="3" t="s">
        <v>1059</v>
      </c>
      <c r="C24" s="75" t="str">
        <f>IF(s_RadSpec!BA24*s_DAF=0,".",s_RadSpec!BA24*s_DAF)</f>
        <v>.</v>
      </c>
      <c r="D24" s="75">
        <f>IFERROR(s_res!AH24*s_DAF,".")</f>
        <v>105015.90661723449</v>
      </c>
      <c r="E24" s="75" t="str">
        <f t="shared" si="0"/>
        <v>.</v>
      </c>
      <c r="F24" s="75">
        <f t="shared" si="1"/>
        <v>367.55567316032068</v>
      </c>
    </row>
    <row r="25" spans="1:6" x14ac:dyDescent="0.25">
      <c r="A25" s="32" t="s">
        <v>23</v>
      </c>
      <c r="B25" s="3" t="s">
        <v>336</v>
      </c>
      <c r="C25" s="75" t="str">
        <f>IF(s_RadSpec!BA25*s_DAF=0,".",s_RadSpec!BA25*s_DAF)</f>
        <v>.</v>
      </c>
      <c r="D25" s="75">
        <f>IFERROR(s_res!AH25*s_DAF,".")</f>
        <v>72130.928370996931</v>
      </c>
      <c r="E25" s="75" t="str">
        <f t="shared" si="0"/>
        <v>.</v>
      </c>
      <c r="F25" s="75">
        <f t="shared" si="1"/>
        <v>252.45824929848928</v>
      </c>
    </row>
    <row r="26" spans="1:6" x14ac:dyDescent="0.25">
      <c r="A26" s="31" t="s">
        <v>24</v>
      </c>
      <c r="B26" s="3" t="s">
        <v>1059</v>
      </c>
      <c r="C26" s="75">
        <f>IF(s_RadSpec!BA26*s_DAF=0,".",s_RadSpec!BA26*s_DAF)</f>
        <v>109.22353435187127</v>
      </c>
      <c r="D26" s="75">
        <f>IFERROR(s_res!AH26*s_DAF,".")</f>
        <v>46.927327940733107</v>
      </c>
      <c r="E26" s="75">
        <f t="shared" si="0"/>
        <v>0.38228237023154943</v>
      </c>
      <c r="F26" s="75">
        <f t="shared" si="1"/>
        <v>0.1642456477925659</v>
      </c>
    </row>
    <row r="27" spans="1:6" x14ac:dyDescent="0.25">
      <c r="A27" s="31" t="s">
        <v>25</v>
      </c>
      <c r="B27" s="3" t="s">
        <v>1059</v>
      </c>
      <c r="C27" s="75" t="str">
        <f>IF(s_RadSpec!BA27*s_DAF=0,".",s_RadSpec!BA27*s_DAF)</f>
        <v>.</v>
      </c>
      <c r="D27" s="75">
        <f>IFERROR(s_res!AH27*s_DAF,".")</f>
        <v>16338.264208449746</v>
      </c>
      <c r="E27" s="75" t="str">
        <f t="shared" si="0"/>
        <v>.</v>
      </c>
      <c r="F27" s="75">
        <f t="shared" si="1"/>
        <v>57.183924729574109</v>
      </c>
    </row>
    <row r="28" spans="1:6" x14ac:dyDescent="0.25">
      <c r="A28" s="31" t="s">
        <v>26</v>
      </c>
      <c r="B28" s="3" t="s">
        <v>1059</v>
      </c>
      <c r="C28" s="75" t="str">
        <f>IF(s_RadSpec!BA28*s_DAF=0,".",s_RadSpec!BA28*s_DAF)</f>
        <v>.</v>
      </c>
      <c r="D28" s="75">
        <f>IFERROR(s_res!AH28*s_DAF,".")</f>
        <v>35.275797722789228</v>
      </c>
      <c r="E28" s="75" t="str">
        <f t="shared" si="0"/>
        <v>.</v>
      </c>
      <c r="F28" s="75">
        <f t="shared" si="1"/>
        <v>0.12346529202976231</v>
      </c>
    </row>
    <row r="29" spans="1:6" x14ac:dyDescent="0.25">
      <c r="A29" s="31" t="s">
        <v>27</v>
      </c>
      <c r="B29" s="3" t="s">
        <v>1059</v>
      </c>
      <c r="C29" s="75" t="str">
        <f>IF(s_RadSpec!BA29*s_DAF=0,".",s_RadSpec!BA29*s_DAF)</f>
        <v>.</v>
      </c>
      <c r="D29" s="75">
        <f>IFERROR(s_res!AH29*s_DAF,".")</f>
        <v>27.230440347416241</v>
      </c>
      <c r="E29" s="75" t="str">
        <f t="shared" si="0"/>
        <v>.</v>
      </c>
      <c r="F29" s="75">
        <f t="shared" si="1"/>
        <v>9.5306541215956844E-2</v>
      </c>
    </row>
    <row r="30" spans="1:6" x14ac:dyDescent="0.25">
      <c r="A30" s="31" t="s">
        <v>28</v>
      </c>
      <c r="B30" s="3" t="s">
        <v>1059</v>
      </c>
      <c r="C30" s="75">
        <f>IF(s_RadSpec!BA30*s_DAF=0,".",s_RadSpec!BA30*s_DAF)</f>
        <v>2105887.3930773539</v>
      </c>
      <c r="D30" s="75">
        <f>IFERROR(s_res!AH30*s_DAF,".")</f>
        <v>494.10954632831789</v>
      </c>
      <c r="E30" s="75">
        <f t="shared" si="0"/>
        <v>7370.6058757707387</v>
      </c>
      <c r="F30" s="75">
        <f t="shared" si="1"/>
        <v>1.7293834121491127</v>
      </c>
    </row>
    <row r="31" spans="1:6" x14ac:dyDescent="0.25">
      <c r="A31" s="54" t="s">
        <v>1</v>
      </c>
      <c r="B31" s="54" t="s">
        <v>1059</v>
      </c>
      <c r="C31" s="40">
        <f>1/SUM(1/C32,1/C33,1/C34,1/C35,1/C36,1/C38,1/C39,1/C40,1/C41,1/C42)</f>
        <v>13.603773719183023</v>
      </c>
      <c r="D31" s="40">
        <f>1/SUM(1/D32,1/D33,1/D34,1/D35,1/D36,1/D37,1/D38,1/D39,1/D40,1/D41,1/D42,1/D43,1/D44)</f>
        <v>19.470010710969078</v>
      </c>
      <c r="E31" s="40">
        <f>1/SUM(1/E32,1/E33,1/E34,1/E35,1/E36,1/E38,1/E39,1/E40,1/E41,1/E42)</f>
        <v>4.7613208017140571E-2</v>
      </c>
      <c r="F31" s="40">
        <f>1/SUM(1/F32,1/F33,1/F34,1/F35,1/F36,1/F37,1/F38,1/F39,1/F40,1/F41,1/F42,1/F43,1/F44)</f>
        <v>6.8145037488391791E-2</v>
      </c>
    </row>
    <row r="32" spans="1:6" x14ac:dyDescent="0.25">
      <c r="A32" s="55" t="s">
        <v>1087</v>
      </c>
      <c r="B32" s="3">
        <v>1</v>
      </c>
      <c r="C32" s="42">
        <f>IFERROR(C3/$B32,0)</f>
        <v>109.22353435187127</v>
      </c>
      <c r="D32" s="42">
        <f>IFERROR(D3/$B32,0)</f>
        <v>122.83119872175682</v>
      </c>
      <c r="E32" s="76">
        <f>IFERROR((C32*s_ls2gw*s_ED_s2gw)/(s_ρb*s_d_s*1000),".")</f>
        <v>0.38228237023154943</v>
      </c>
      <c r="F32" s="76">
        <f>IFERROR((D32*s_ls2gw*s_ED_s2gw)/(s_ρb*s_d_s*1000),".")</f>
        <v>0.42990919552614887</v>
      </c>
    </row>
    <row r="33" spans="1:6" x14ac:dyDescent="0.25">
      <c r="A33" s="55" t="s">
        <v>1063</v>
      </c>
      <c r="B33" s="3">
        <v>1</v>
      </c>
      <c r="C33" s="42">
        <f>IFERROR(C13/$B33,0)</f>
        <v>109.22353435187127</v>
      </c>
      <c r="D33" s="42">
        <f>IFERROR(D13/$B33,0)</f>
        <v>221.98099362595232</v>
      </c>
      <c r="E33" s="76">
        <f t="shared" ref="E33:E44" si="2">IFERROR((C33*s_ls2gw*s_ED_s2gw)/(s_ρb*s_d_s*1000),".")</f>
        <v>0.38228237023154943</v>
      </c>
      <c r="F33" s="76">
        <f t="shared" ref="F33:F44" si="3">IFERROR((D33*s_ls2gw*s_ED_s2gw)/(s_ρb*s_d_s*1000),".")</f>
        <v>0.7769334776908331</v>
      </c>
    </row>
    <row r="34" spans="1:6" x14ac:dyDescent="0.25">
      <c r="A34" s="55" t="s">
        <v>1064</v>
      </c>
      <c r="B34" s="3">
        <v>1</v>
      </c>
      <c r="C34" s="42">
        <f>IFERROR(C14/$B34,0)</f>
        <v>2184.4706870374253</v>
      </c>
      <c r="D34" s="42">
        <f>IFERROR(D14/$B34,0)</f>
        <v>375.80262400889836</v>
      </c>
      <c r="E34" s="76">
        <f t="shared" si="2"/>
        <v>7.6456474046309886</v>
      </c>
      <c r="F34" s="76">
        <f t="shared" si="3"/>
        <v>1.3153091840311444</v>
      </c>
    </row>
    <row r="35" spans="1:6" x14ac:dyDescent="0.25">
      <c r="A35" s="55" t="s">
        <v>1065</v>
      </c>
      <c r="B35" s="3">
        <v>1</v>
      </c>
      <c r="C35" s="42">
        <f>IFERROR(C30/$B35,0)</f>
        <v>2105887.3930773539</v>
      </c>
      <c r="D35" s="42">
        <f>IFERROR(D30/$B35,0)</f>
        <v>494.10954632831789</v>
      </c>
      <c r="E35" s="76">
        <f t="shared" si="2"/>
        <v>7370.6058757707387</v>
      </c>
      <c r="F35" s="76">
        <f t="shared" si="3"/>
        <v>1.7293834121491127</v>
      </c>
    </row>
    <row r="36" spans="1:6" x14ac:dyDescent="0.25">
      <c r="A36" s="55" t="s">
        <v>1066</v>
      </c>
      <c r="B36" s="3">
        <v>1</v>
      </c>
      <c r="C36" s="42">
        <f>IFERROR(C26/$B36,0)</f>
        <v>109.22353435187127</v>
      </c>
      <c r="D36" s="42">
        <f>IFERROR(D26/$B36,0)</f>
        <v>46.927327940733107</v>
      </c>
      <c r="E36" s="76">
        <f t="shared" si="2"/>
        <v>0.38228237023154943</v>
      </c>
      <c r="F36" s="76">
        <f t="shared" si="3"/>
        <v>0.1642456477925659</v>
      </c>
    </row>
    <row r="37" spans="1:6" x14ac:dyDescent="0.25">
      <c r="A37" s="55" t="s">
        <v>1067</v>
      </c>
      <c r="B37" s="3">
        <v>1</v>
      </c>
      <c r="C37" s="42">
        <f>IFERROR(C22/$B37,0)</f>
        <v>0</v>
      </c>
      <c r="D37" s="42">
        <f>IFERROR(D22/$B37,0)</f>
        <v>121.83650876866059</v>
      </c>
      <c r="E37" s="76">
        <f t="shared" si="2"/>
        <v>0</v>
      </c>
      <c r="F37" s="76">
        <f t="shared" si="3"/>
        <v>0.42642778069031212</v>
      </c>
    </row>
    <row r="38" spans="1:6" x14ac:dyDescent="0.25">
      <c r="A38" s="55" t="s">
        <v>1068</v>
      </c>
      <c r="B38" s="3">
        <v>1</v>
      </c>
      <c r="C38" s="42">
        <f>IFERROR(C2/$B38,0)</f>
        <v>109.22353435187127</v>
      </c>
      <c r="D38" s="42">
        <f>IFERROR(D2/$B38,0)</f>
        <v>523.31784440289289</v>
      </c>
      <c r="E38" s="76">
        <f t="shared" si="2"/>
        <v>0.38228237023154943</v>
      </c>
      <c r="F38" s="76">
        <f t="shared" si="3"/>
        <v>1.831612455410125</v>
      </c>
    </row>
    <row r="39" spans="1:6" x14ac:dyDescent="0.25">
      <c r="A39" s="55" t="s">
        <v>1069</v>
      </c>
      <c r="B39" s="3">
        <v>1</v>
      </c>
      <c r="C39" s="42">
        <f>IFERROR(C11/$B39,0)</f>
        <v>109.22353435187127</v>
      </c>
      <c r="D39" s="42">
        <f>IFERROR(D11/$B39,0)</f>
        <v>2822.0638178231375</v>
      </c>
      <c r="E39" s="76">
        <f t="shared" si="2"/>
        <v>0.38228237023154943</v>
      </c>
      <c r="F39" s="76">
        <f t="shared" si="3"/>
        <v>9.8772233623809811</v>
      </c>
    </row>
    <row r="40" spans="1:6" x14ac:dyDescent="0.25">
      <c r="A40" s="55" t="s">
        <v>1070</v>
      </c>
      <c r="B40" s="3">
        <v>1</v>
      </c>
      <c r="C40" s="42">
        <f>IFERROR(C4/$B40,0)</f>
        <v>109.22353435187127</v>
      </c>
      <c r="D40" s="42">
        <f>IFERROR(D4/$B40,0)</f>
        <v>335959.97831227834</v>
      </c>
      <c r="E40" s="76">
        <f t="shared" si="2"/>
        <v>0.38228237023154943</v>
      </c>
      <c r="F40" s="76">
        <f t="shared" si="3"/>
        <v>1175.8599240929741</v>
      </c>
    </row>
    <row r="41" spans="1:6" x14ac:dyDescent="0.25">
      <c r="A41" s="55" t="s">
        <v>1071</v>
      </c>
      <c r="B41" s="56">
        <v>0.99987999999999999</v>
      </c>
      <c r="C41" s="42">
        <f>IFERROR(C8/$B41,0)</f>
        <v>109.23664274900115</v>
      </c>
      <c r="D41" s="42">
        <f>IFERROR(D8/$B41,0)</f>
        <v>611.70878794422174</v>
      </c>
      <c r="E41" s="76">
        <f t="shared" si="2"/>
        <v>0.38232824962150402</v>
      </c>
      <c r="F41" s="76">
        <f t="shared" si="3"/>
        <v>2.1409807578047761</v>
      </c>
    </row>
    <row r="42" spans="1:6" x14ac:dyDescent="0.25">
      <c r="A42" s="55" t="s">
        <v>1072</v>
      </c>
      <c r="B42" s="3">
        <v>0.97898250799999997</v>
      </c>
      <c r="C42" s="42">
        <f>IFERROR(C19/$B42,0)</f>
        <v>111.56842278521208</v>
      </c>
      <c r="D42" s="42">
        <f>IFERROR(D19/$B42,0)</f>
        <v>2136735.092776123</v>
      </c>
      <c r="E42" s="76">
        <f t="shared" si="2"/>
        <v>0.39048947974824227</v>
      </c>
      <c r="F42" s="76">
        <f t="shared" si="3"/>
        <v>7478.5728247164307</v>
      </c>
    </row>
    <row r="43" spans="1:6" x14ac:dyDescent="0.25">
      <c r="A43" s="55" t="s">
        <v>1073</v>
      </c>
      <c r="B43" s="3">
        <v>2.0897492E-2</v>
      </c>
      <c r="C43" s="42">
        <f>IFERROR(C28/$B43,0)</f>
        <v>0</v>
      </c>
      <c r="D43" s="42">
        <f>IFERROR(D28/$B43,0)</f>
        <v>1688.0397763898764</v>
      </c>
      <c r="E43" s="76">
        <f t="shared" si="2"/>
        <v>0</v>
      </c>
      <c r="F43" s="76">
        <f t="shared" si="3"/>
        <v>5.9081392173645666</v>
      </c>
    </row>
    <row r="44" spans="1:6" x14ac:dyDescent="0.25">
      <c r="A44" s="55" t="s">
        <v>1074</v>
      </c>
      <c r="B44" s="3">
        <v>0.99987999999999999</v>
      </c>
      <c r="C44" s="42">
        <f>IFERROR(C15/$B44,0)</f>
        <v>0</v>
      </c>
      <c r="D44" s="42">
        <f>IFERROR(D15/$B44,0)</f>
        <v>58931.531311610859</v>
      </c>
      <c r="E44" s="76">
        <f t="shared" si="2"/>
        <v>0</v>
      </c>
      <c r="F44" s="76">
        <f t="shared" si="3"/>
        <v>206.26035959063802</v>
      </c>
    </row>
    <row r="45" spans="1:6" x14ac:dyDescent="0.25">
      <c r="A45" s="54" t="s">
        <v>8</v>
      </c>
      <c r="B45" s="54" t="s">
        <v>1059</v>
      </c>
      <c r="C45" s="40">
        <f t="shared" ref="C45:E45" si="4">IFERROR(IF(AND(C46&lt;&gt;0,C47&lt;&gt;0),1/SUM(1/C46,1/C47),IF(AND(C46&lt;&gt;0,C47=0),1/(1/C46),IF(AND(C46=0,C47&lt;&gt;0),1/(1/C47),IF(AND(C46=0,C47=0),".")))),".")</f>
        <v>1456.3137913582837</v>
      </c>
      <c r="D45" s="40">
        <f t="shared" si="4"/>
        <v>132.22492532698558</v>
      </c>
      <c r="E45" s="77">
        <f t="shared" si="4"/>
        <v>5.0970982697539924</v>
      </c>
      <c r="F45" s="77">
        <f>IFERROR(IF(AND(F46&lt;&gt;0,F47&lt;&gt;0),1/SUM(1/F46,1/F47),IF(AND(F46&lt;&gt;0,F47=0),1/(1/F46),IF(AND(F46=0,F47&lt;&gt;0),1/(1/F47),IF(AND(F46=0,F47=0),".")))),".")</f>
        <v>0.46278723864444965</v>
      </c>
    </row>
    <row r="46" spans="1:6" x14ac:dyDescent="0.25">
      <c r="A46" s="55" t="s">
        <v>1086</v>
      </c>
      <c r="B46" s="3">
        <v>1</v>
      </c>
      <c r="C46" s="42">
        <f>IFERROR(C10/$B46,0)</f>
        <v>1456.3137913582837</v>
      </c>
      <c r="D46" s="42">
        <f>IFERROR(D10/$B46,0)</f>
        <v>2121.3493172047533</v>
      </c>
      <c r="E46" s="76">
        <f>IFERROR((C46*s_ls2gw*s_ED_s2gw)/(s_ρb*s_d_s*1000),".")</f>
        <v>5.0970982697539924</v>
      </c>
      <c r="F46" s="76">
        <f>IFERROR((D46*s_ls2gw*s_ED_s2gw)/(s_ρb*s_d_s*1000),".")</f>
        <v>7.4247226102166373</v>
      </c>
    </row>
    <row r="47" spans="1:6" x14ac:dyDescent="0.25">
      <c r="A47" s="55" t="s">
        <v>1060</v>
      </c>
      <c r="B47" s="3">
        <v>0.94399</v>
      </c>
      <c r="C47" s="42">
        <f>IFERROR(C6/$B$47,0)</f>
        <v>0</v>
      </c>
      <c r="D47" s="42">
        <f>IFERROR(D6/$B$47,0)</f>
        <v>141.01443640488367</v>
      </c>
      <c r="E47" s="76">
        <f>IFERROR((C47*s_ls2gw*s_ED_s2gw)/(s_ρb*s_d_s*1000),".")</f>
        <v>0</v>
      </c>
      <c r="F47" s="76">
        <f>IFERROR((D47*s_ls2gw*s_ED_s2gw)/(s_ρb*s_d_s*1000),".")</f>
        <v>0.49355052741709288</v>
      </c>
    </row>
    <row r="48" spans="1:6" x14ac:dyDescent="0.25">
      <c r="A48" s="54" t="s">
        <v>21</v>
      </c>
      <c r="B48" s="54" t="s">
        <v>1059</v>
      </c>
      <c r="C48" s="40">
        <f>1/SUM(1/C49,1/C51,1/C53,1/C54,1/C56,1/C59,1/C61)</f>
        <v>13.652959201435214</v>
      </c>
      <c r="D48" s="40">
        <f>1/SUM(1/D49,1/D50,1/D51,1/D52,1/D53,1/D54,1/D55,1/D56,1/D57,1/D58,1/D59,1/D60,1/D61,1/D62)</f>
        <v>5.4083115450599184</v>
      </c>
      <c r="E48" s="40">
        <f>1/SUM(1/E49,1/E51,1/E53,1/E54,1/E56,1/E59,1/E61)</f>
        <v>4.7785357205023242E-2</v>
      </c>
      <c r="F48" s="40">
        <f>1/SUM(1/F49,1/F50,1/F51,1/F52,1/F53,1/F54,1/F55,1/F56,1/F57,1/F58,1/F59,1/F60,1/F61,1/F62)</f>
        <v>1.8929090407709712E-2</v>
      </c>
    </row>
    <row r="49" spans="1:6" x14ac:dyDescent="0.25">
      <c r="A49" s="55" t="s">
        <v>1088</v>
      </c>
      <c r="B49" s="3">
        <v>1</v>
      </c>
      <c r="C49" s="42">
        <f>IFERROR(C23/$B49,0)</f>
        <v>36.407844783957088</v>
      </c>
      <c r="D49" s="42">
        <f>IFERROR(D23/$B49,0)</f>
        <v>14.694831588274857</v>
      </c>
      <c r="E49" s="76">
        <f t="shared" ref="E49:E62" si="5">IFERROR((C49*s_ls2gw*s_ED_s2gw)/(s_ρb*s_d_s*1000),".")</f>
        <v>0.12742745674384981</v>
      </c>
      <c r="F49" s="76">
        <f t="shared" ref="F49:F62" si="6">IFERROR((D49*s_ls2gw*s_ED_s2gw)/(s_ρb*s_d_s*1000),".")</f>
        <v>5.1431910558961999E-2</v>
      </c>
    </row>
    <row r="50" spans="1:6" x14ac:dyDescent="0.25">
      <c r="A50" s="55" t="s">
        <v>1075</v>
      </c>
      <c r="B50" s="3">
        <v>1</v>
      </c>
      <c r="C50" s="42">
        <f>IFERROR(C25/$B50,0)</f>
        <v>0</v>
      </c>
      <c r="D50" s="42">
        <f>IFERROR(D25/$B50,0)</f>
        <v>72130.928370996931</v>
      </c>
      <c r="E50" s="76">
        <f t="shared" si="5"/>
        <v>0</v>
      </c>
      <c r="F50" s="76">
        <f t="shared" si="6"/>
        <v>252.45824929848928</v>
      </c>
    </row>
    <row r="51" spans="1:6" x14ac:dyDescent="0.25">
      <c r="A51" s="55" t="s">
        <v>1061</v>
      </c>
      <c r="B51" s="3">
        <v>1</v>
      </c>
      <c r="C51" s="42">
        <f>IFERROR(C21/$B51,0)</f>
        <v>109.22353435187127</v>
      </c>
      <c r="D51" s="42">
        <f>IFERROR(D21/$B51,0)</f>
        <v>2713522901.7530179</v>
      </c>
      <c r="E51" s="76">
        <f t="shared" si="5"/>
        <v>0.38228237023154943</v>
      </c>
      <c r="F51" s="76">
        <f t="shared" si="6"/>
        <v>9497330.1561355628</v>
      </c>
    </row>
    <row r="52" spans="1:6" x14ac:dyDescent="0.25">
      <c r="A52" s="55" t="s">
        <v>1062</v>
      </c>
      <c r="B52" s="3">
        <v>0.99980000000000002</v>
      </c>
      <c r="C52" s="42">
        <f>IFERROR(C17/$B52,0)</f>
        <v>0</v>
      </c>
      <c r="D52" s="42">
        <f>IFERROR(D17/$B52,0)</f>
        <v>321.38409989465219</v>
      </c>
      <c r="E52" s="76">
        <f t="shared" si="5"/>
        <v>0</v>
      </c>
      <c r="F52" s="76">
        <f t="shared" si="6"/>
        <v>1.1248443496312825</v>
      </c>
    </row>
    <row r="53" spans="1:6" x14ac:dyDescent="0.25">
      <c r="A53" s="55" t="s">
        <v>1076</v>
      </c>
      <c r="B53" s="3">
        <v>2.0000000000000001E-4</v>
      </c>
      <c r="C53" s="42">
        <f>IFERROR(C5/$B53,0)</f>
        <v>546117.67175935628</v>
      </c>
      <c r="D53" s="42">
        <f>IFERROR(D5/$B53,0)</f>
        <v>31042701996.054512</v>
      </c>
      <c r="E53" s="76">
        <f t="shared" si="5"/>
        <v>1911.4118511577469</v>
      </c>
      <c r="F53" s="76">
        <f t="shared" si="6"/>
        <v>108649456.9861908</v>
      </c>
    </row>
    <row r="54" spans="1:6" x14ac:dyDescent="0.25">
      <c r="A54" s="55" t="s">
        <v>1077</v>
      </c>
      <c r="B54" s="3">
        <v>0.99999979999999999</v>
      </c>
      <c r="C54" s="42">
        <f>IFERROR(C9/$B54,0)</f>
        <v>109.22355619658251</v>
      </c>
      <c r="D54" s="42">
        <f>IFERROR(D9/$B54,0)</f>
        <v>50.377928818521504</v>
      </c>
      <c r="E54" s="76">
        <f t="shared" si="5"/>
        <v>0.38228244668803879</v>
      </c>
      <c r="F54" s="76">
        <f t="shared" si="6"/>
        <v>0.17632275086482524</v>
      </c>
    </row>
    <row r="55" spans="1:6" x14ac:dyDescent="0.25">
      <c r="A55" s="55" t="s">
        <v>1078</v>
      </c>
      <c r="B55" s="3">
        <v>1.9999999999999999E-7</v>
      </c>
      <c r="C55" s="42">
        <f>IFERROR(C24/$B55,0)</f>
        <v>0</v>
      </c>
      <c r="D55" s="42">
        <f>IFERROR(D24/$B55,0)</f>
        <v>525079533086.17249</v>
      </c>
      <c r="E55" s="76">
        <f t="shared" si="5"/>
        <v>0</v>
      </c>
      <c r="F55" s="76">
        <f t="shared" si="6"/>
        <v>1837778365.8016036</v>
      </c>
    </row>
    <row r="56" spans="1:6" x14ac:dyDescent="0.25">
      <c r="A56" s="55" t="s">
        <v>1079</v>
      </c>
      <c r="B56" s="3">
        <v>0.99979000004200003</v>
      </c>
      <c r="C56" s="42">
        <f>IFERROR(C20/$B56,0)</f>
        <v>109.24647610726544</v>
      </c>
      <c r="D56" s="42">
        <f>IFERROR(D20/$B56,0)</f>
        <v>943172.00277764455</v>
      </c>
      <c r="E56" s="76">
        <f t="shared" si="5"/>
        <v>0.38236266637542904</v>
      </c>
      <c r="F56" s="76">
        <f t="shared" si="6"/>
        <v>3301.1020097217561</v>
      </c>
    </row>
    <row r="57" spans="1:6" x14ac:dyDescent="0.25">
      <c r="A57" s="55" t="s">
        <v>1080</v>
      </c>
      <c r="B57" s="3">
        <v>2.0999995799999999E-4</v>
      </c>
      <c r="C57" s="42">
        <f>IFERROR(C29/$B57,0)</f>
        <v>0</v>
      </c>
      <c r="D57" s="42">
        <f>IFERROR(D29/$B57,0)</f>
        <v>129668.78949288286</v>
      </c>
      <c r="E57" s="76">
        <f t="shared" si="5"/>
        <v>0</v>
      </c>
      <c r="F57" s="76">
        <f t="shared" si="6"/>
        <v>453.84076322509003</v>
      </c>
    </row>
    <row r="58" spans="1:6" x14ac:dyDescent="0.25">
      <c r="A58" s="55" t="s">
        <v>1081</v>
      </c>
      <c r="B58" s="3">
        <v>1</v>
      </c>
      <c r="C58" s="42">
        <f>IFERROR(C16/$B58,0)</f>
        <v>0</v>
      </c>
      <c r="D58" s="42">
        <f>IFERROR(D16/$B58,0)</f>
        <v>28.830791422193595</v>
      </c>
      <c r="E58" s="76">
        <f t="shared" si="5"/>
        <v>0</v>
      </c>
      <c r="F58" s="76">
        <f t="shared" si="6"/>
        <v>0.10090776997767759</v>
      </c>
    </row>
    <row r="59" spans="1:6" x14ac:dyDescent="0.25">
      <c r="A59" s="55" t="s">
        <v>1082</v>
      </c>
      <c r="B59" s="3">
        <v>1</v>
      </c>
      <c r="C59" s="42">
        <f>IFERROR(C7/$B59,0)</f>
        <v>109.22353435187127</v>
      </c>
      <c r="D59" s="42">
        <f>IFERROR(D7/$B59,0)</f>
        <v>8702.8114340453139</v>
      </c>
      <c r="E59" s="76">
        <f t="shared" si="5"/>
        <v>0.38228237023154943</v>
      </c>
      <c r="F59" s="76">
        <f t="shared" si="6"/>
        <v>30.459840019158602</v>
      </c>
    </row>
    <row r="60" spans="1:6" x14ac:dyDescent="0.25">
      <c r="A60" s="55" t="s">
        <v>1083</v>
      </c>
      <c r="B60" s="3">
        <v>1.9000000000000001E-8</v>
      </c>
      <c r="C60" s="42">
        <f>IFERROR(C12/$B60,0)</f>
        <v>0</v>
      </c>
      <c r="D60" s="42">
        <f>IFERROR(D12/$B60,0)</f>
        <v>34324084471.533073</v>
      </c>
      <c r="E60" s="76">
        <f t="shared" si="5"/>
        <v>0</v>
      </c>
      <c r="F60" s="76">
        <f t="shared" si="6"/>
        <v>120134295.65036574</v>
      </c>
    </row>
    <row r="61" spans="1:6" x14ac:dyDescent="0.25">
      <c r="A61" s="55" t="s">
        <v>1084</v>
      </c>
      <c r="B61" s="3">
        <v>1</v>
      </c>
      <c r="C61" s="42">
        <f>IFERROR(C18/$B61,0)</f>
        <v>109.22353435187127</v>
      </c>
      <c r="D61" s="42">
        <f>IFERROR(D18/$B61,0)</f>
        <v>16.93042319596945</v>
      </c>
      <c r="E61" s="76">
        <f t="shared" si="5"/>
        <v>0.38228237023154943</v>
      </c>
      <c r="F61" s="76">
        <f t="shared" si="6"/>
        <v>5.9256481185893072E-2</v>
      </c>
    </row>
    <row r="62" spans="1:6" x14ac:dyDescent="0.25">
      <c r="A62" s="55" t="s">
        <v>1085</v>
      </c>
      <c r="B62" s="3">
        <v>1.339E-6</v>
      </c>
      <c r="C62" s="42">
        <f>IFERROR(C27/$B62,0)</f>
        <v>0</v>
      </c>
      <c r="D62" s="42">
        <f>IFERROR(D27/$B62,0)</f>
        <v>12201840334.913925</v>
      </c>
      <c r="E62" s="76">
        <f t="shared" si="5"/>
        <v>0</v>
      </c>
      <c r="F62" s="76">
        <f t="shared" si="6"/>
        <v>42706441.172198735</v>
      </c>
    </row>
    <row r="63" spans="1:6" x14ac:dyDescent="0.25">
      <c r="A63" s="54" t="s">
        <v>23</v>
      </c>
      <c r="B63" s="54" t="s">
        <v>1059</v>
      </c>
      <c r="C63" s="40">
        <f>1/SUM(1/C65,1/C67,1/C68,1/C70,1/C73,1/C75)</f>
        <v>21.84475143348368</v>
      </c>
      <c r="D63" s="40">
        <f>1/SUM(1/D64,1/D65,1/D66,1/D67,1/D68,1/D69,1/D70,1/D71,1/D72,1/D73,1/D74,1/D75,1/D76)</f>
        <v>8.5580203307314022</v>
      </c>
      <c r="E63" s="40">
        <f>1/SUM(1/E65,1/E67,1/E68,1/E70,1/E73,1/E75)</f>
        <v>7.6456630017192884E-2</v>
      </c>
      <c r="F63" s="40">
        <f>1/SUM(1/F64,1/F65,1/F66,1/F67,1/F68,1/F69,1/F70,1/F71,1/F72,1/F73,1/F74,1/F75,1/F76)</f>
        <v>2.9953071157559897E-2</v>
      </c>
    </row>
    <row r="64" spans="1:6" x14ac:dyDescent="0.25">
      <c r="A64" s="55" t="s">
        <v>1075</v>
      </c>
      <c r="B64" s="3">
        <v>1</v>
      </c>
      <c r="C64" s="42">
        <f>IFERROR(C25/$B50,0)</f>
        <v>0</v>
      </c>
      <c r="D64" s="42">
        <f>IFERROR(D25/$B50,0)</f>
        <v>72130.928370996931</v>
      </c>
      <c r="E64" s="76">
        <f t="shared" ref="E64:E76" si="7">IFERROR((C64*s_ls2gw*s_ED_s2gw)/(s_ρb*s_d_s*1000),".")</f>
        <v>0</v>
      </c>
      <c r="F64" s="76">
        <f t="shared" ref="F64:F76" si="8">IFERROR((D64*s_ls2gw*s_ED_s2gw)/(s_ρb*s_d_s*1000),".")</f>
        <v>252.45824929848928</v>
      </c>
    </row>
    <row r="65" spans="1:6" x14ac:dyDescent="0.25">
      <c r="A65" s="55" t="s">
        <v>1061</v>
      </c>
      <c r="B65" s="3">
        <v>1</v>
      </c>
      <c r="C65" s="42">
        <f>IFERROR(C21/$B51,0)</f>
        <v>109.22353435187127</v>
      </c>
      <c r="D65" s="42">
        <f>IFERROR(D21/$B51,0)</f>
        <v>2713522901.7530179</v>
      </c>
      <c r="E65" s="76">
        <f t="shared" si="7"/>
        <v>0.38228237023154943</v>
      </c>
      <c r="F65" s="76">
        <f t="shared" si="8"/>
        <v>9497330.1561355628</v>
      </c>
    </row>
    <row r="66" spans="1:6" x14ac:dyDescent="0.25">
      <c r="A66" s="55" t="s">
        <v>1062</v>
      </c>
      <c r="B66" s="3">
        <v>0.99980000000000002</v>
      </c>
      <c r="C66" s="42">
        <f>IFERROR(C17/$B52,0)</f>
        <v>0</v>
      </c>
      <c r="D66" s="42">
        <f>IFERROR(D17/$B52,0)</f>
        <v>321.38409989465219</v>
      </c>
      <c r="E66" s="76">
        <f t="shared" si="7"/>
        <v>0</v>
      </c>
      <c r="F66" s="76">
        <f t="shared" si="8"/>
        <v>1.1248443496312825</v>
      </c>
    </row>
    <row r="67" spans="1:6" x14ac:dyDescent="0.25">
      <c r="A67" s="55" t="s">
        <v>1076</v>
      </c>
      <c r="B67" s="3">
        <v>2.0000000000000001E-4</v>
      </c>
      <c r="C67" s="42">
        <f>IFERROR(C5/$B53,0)</f>
        <v>546117.67175935628</v>
      </c>
      <c r="D67" s="42">
        <f>IFERROR(D5/$B53,0)</f>
        <v>31042701996.054512</v>
      </c>
      <c r="E67" s="76">
        <f t="shared" si="7"/>
        <v>1911.4118511577469</v>
      </c>
      <c r="F67" s="76">
        <f t="shared" si="8"/>
        <v>108649456.9861908</v>
      </c>
    </row>
    <row r="68" spans="1:6" x14ac:dyDescent="0.25">
      <c r="A68" s="55" t="s">
        <v>1077</v>
      </c>
      <c r="B68" s="3">
        <v>0.99999979999999999</v>
      </c>
      <c r="C68" s="42">
        <f>IFERROR(C9/$B54,0)</f>
        <v>109.22355619658251</v>
      </c>
      <c r="D68" s="42">
        <f>IFERROR(D9/$B54,0)</f>
        <v>50.377928818521504</v>
      </c>
      <c r="E68" s="76">
        <f t="shared" si="7"/>
        <v>0.38228244668803879</v>
      </c>
      <c r="F68" s="76">
        <f t="shared" si="8"/>
        <v>0.17632275086482524</v>
      </c>
    </row>
    <row r="69" spans="1:6" x14ac:dyDescent="0.25">
      <c r="A69" s="55" t="s">
        <v>1078</v>
      </c>
      <c r="B69" s="3">
        <v>1.9999999999999999E-7</v>
      </c>
      <c r="C69" s="42">
        <f>IFERROR(C24/$B55,0)</f>
        <v>0</v>
      </c>
      <c r="D69" s="42">
        <f>IFERROR(D24/$B55,0)</f>
        <v>525079533086.17249</v>
      </c>
      <c r="E69" s="76">
        <f t="shared" si="7"/>
        <v>0</v>
      </c>
      <c r="F69" s="76">
        <f t="shared" si="8"/>
        <v>1837778365.8016036</v>
      </c>
    </row>
    <row r="70" spans="1:6" x14ac:dyDescent="0.25">
      <c r="A70" s="55" t="s">
        <v>1079</v>
      </c>
      <c r="B70" s="3">
        <v>0.99979000004200003</v>
      </c>
      <c r="C70" s="42">
        <f>IFERROR(C20/$B56,0)</f>
        <v>109.24647610726544</v>
      </c>
      <c r="D70" s="42">
        <f>IFERROR(D20/$B56,0)</f>
        <v>943172.00277764455</v>
      </c>
      <c r="E70" s="76">
        <f t="shared" si="7"/>
        <v>0.38236266637542904</v>
      </c>
      <c r="F70" s="76">
        <f t="shared" si="8"/>
        <v>3301.1020097217561</v>
      </c>
    </row>
    <row r="71" spans="1:6" x14ac:dyDescent="0.25">
      <c r="A71" s="55" t="s">
        <v>1080</v>
      </c>
      <c r="B71" s="3">
        <v>2.0999995799999999E-4</v>
      </c>
      <c r="C71" s="42">
        <f>IFERROR(C29/$B57,0)</f>
        <v>0</v>
      </c>
      <c r="D71" s="42">
        <f>IFERROR(D29/$B57,0)</f>
        <v>129668.78949288286</v>
      </c>
      <c r="E71" s="76">
        <f t="shared" si="7"/>
        <v>0</v>
      </c>
      <c r="F71" s="76">
        <f t="shared" si="8"/>
        <v>453.84076322509003</v>
      </c>
    </row>
    <row r="72" spans="1:6" x14ac:dyDescent="0.25">
      <c r="A72" s="55" t="s">
        <v>1081</v>
      </c>
      <c r="B72" s="3">
        <v>1</v>
      </c>
      <c r="C72" s="42">
        <f>IFERROR(C16/$B58,0)</f>
        <v>0</v>
      </c>
      <c r="D72" s="42">
        <f>IFERROR(D16/$B58,0)</f>
        <v>28.830791422193595</v>
      </c>
      <c r="E72" s="76">
        <f t="shared" si="7"/>
        <v>0</v>
      </c>
      <c r="F72" s="76">
        <f t="shared" si="8"/>
        <v>0.10090776997767759</v>
      </c>
    </row>
    <row r="73" spans="1:6" x14ac:dyDescent="0.25">
      <c r="A73" s="55" t="s">
        <v>1082</v>
      </c>
      <c r="B73" s="3">
        <v>1</v>
      </c>
      <c r="C73" s="42">
        <f>IFERROR(C7/$B59,0)</f>
        <v>109.22353435187127</v>
      </c>
      <c r="D73" s="42">
        <f>IFERROR(D7/$B59,0)</f>
        <v>8702.8114340453139</v>
      </c>
      <c r="E73" s="76">
        <f t="shared" si="7"/>
        <v>0.38228237023154943</v>
      </c>
      <c r="F73" s="76">
        <f t="shared" si="8"/>
        <v>30.459840019158602</v>
      </c>
    </row>
    <row r="74" spans="1:6" x14ac:dyDescent="0.25">
      <c r="A74" s="55" t="s">
        <v>1083</v>
      </c>
      <c r="B74" s="3">
        <v>1.9000000000000001E-8</v>
      </c>
      <c r="C74" s="42">
        <f>IFERROR(C12/$B60,0)</f>
        <v>0</v>
      </c>
      <c r="D74" s="42">
        <f>IFERROR(D12/$B60,0)</f>
        <v>34324084471.533073</v>
      </c>
      <c r="E74" s="76">
        <f t="shared" si="7"/>
        <v>0</v>
      </c>
      <c r="F74" s="76">
        <f t="shared" si="8"/>
        <v>120134295.65036574</v>
      </c>
    </row>
    <row r="75" spans="1:6" x14ac:dyDescent="0.25">
      <c r="A75" s="55" t="s">
        <v>1084</v>
      </c>
      <c r="B75" s="3">
        <v>1</v>
      </c>
      <c r="C75" s="42">
        <f>IFERROR(C18/$B61,0)</f>
        <v>109.22353435187127</v>
      </c>
      <c r="D75" s="42">
        <f>IFERROR(D18/$B61,0)</f>
        <v>16.93042319596945</v>
      </c>
      <c r="E75" s="76">
        <f t="shared" si="7"/>
        <v>0.38228237023154943</v>
      </c>
      <c r="F75" s="76">
        <f t="shared" si="8"/>
        <v>5.9256481185893072E-2</v>
      </c>
    </row>
    <row r="76" spans="1:6" x14ac:dyDescent="0.25">
      <c r="A76" s="55" t="s">
        <v>1085</v>
      </c>
      <c r="B76" s="3">
        <v>1.339E-6</v>
      </c>
      <c r="C76" s="42">
        <f>IFERROR(C27/$B62,0)</f>
        <v>0</v>
      </c>
      <c r="D76" s="42">
        <f>IFERROR(D27/$B62,0)</f>
        <v>12201840334.913925</v>
      </c>
      <c r="E76" s="76">
        <f t="shared" si="7"/>
        <v>0</v>
      </c>
      <c r="F76" s="76">
        <f t="shared" si="8"/>
        <v>42706441.172198735</v>
      </c>
    </row>
  </sheetData>
  <sheetProtection algorithmName="SHA-512" hashValue="FTOJyYHuQ9o4+4gOyHcQbAQYyGy77U8DpXysgj0py/d7rTXdHTO6UopZxK4LFgwS8ZW5RjnnI1vF/Vlw58GtFw==" saltValue="mREonQvvmpCXO/m8A9Z8rQ==" spinCount="100000" sheet="1" objects="1" scenarios="1" formatColumns="0" formatRows="0" autoFilter="0"/>
  <autoFilter ref="A1:F76" xr:uid="{00000000-0009-0000-0000-000017000000}"/>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BH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5703125" style="4" bestFit="1" customWidth="1"/>
    <col min="3" max="3" width="10.28515625" style="4" customWidth="1"/>
    <col min="4" max="4" width="13.28515625" bestFit="1" customWidth="1"/>
    <col min="5" max="5" width="27.85546875" bestFit="1" customWidth="1"/>
    <col min="6" max="6" width="12.85546875" bestFit="1" customWidth="1"/>
    <col min="7" max="7" width="14.85546875" bestFit="1" customWidth="1"/>
    <col min="8" max="8" width="18.28515625" bestFit="1" customWidth="1"/>
    <col min="9" max="9" width="12.85546875" style="4" bestFit="1" customWidth="1"/>
    <col min="10" max="10" width="13.5703125" style="5" bestFit="1" customWidth="1"/>
    <col min="11" max="11" width="11.7109375" style="5" bestFit="1" customWidth="1"/>
    <col min="12" max="12" width="11" style="5" bestFit="1" customWidth="1"/>
    <col min="13" max="13" width="8.7109375" style="5" bestFit="1" customWidth="1"/>
    <col min="14" max="15" width="15.5703125" style="5" bestFit="1" customWidth="1"/>
    <col min="16" max="16" width="14.28515625" style="5" bestFit="1" customWidth="1"/>
    <col min="17" max="19" width="15.42578125" style="5" bestFit="1" customWidth="1"/>
    <col min="20" max="20" width="16.42578125" style="5" bestFit="1" customWidth="1"/>
    <col min="21" max="22" width="9.7109375" style="5" bestFit="1" customWidth="1"/>
    <col min="23" max="24" width="10.7109375" style="5" bestFit="1" customWidth="1"/>
    <col min="25" max="25" width="11.85546875" style="5" bestFit="1" customWidth="1"/>
    <col min="26" max="26" width="9.85546875" style="5" bestFit="1" customWidth="1"/>
    <col min="27" max="27" width="9.7109375" style="5" bestFit="1" customWidth="1"/>
    <col min="28" max="29" width="10.7109375" style="5" bestFit="1" customWidth="1"/>
    <col min="30" max="30" width="11.85546875" style="5" bestFit="1" customWidth="1"/>
    <col min="31" max="31" width="10.42578125" style="5" customWidth="1"/>
    <col min="32" max="32" width="10.28515625" style="5" customWidth="1"/>
    <col min="33" max="34" width="11.28515625" style="5" customWidth="1"/>
    <col min="35" max="35" width="12.42578125" style="5" bestFit="1" customWidth="1"/>
    <col min="36" max="36" width="12.5703125" style="5" bestFit="1" customWidth="1"/>
    <col min="37" max="37" width="10.5703125" style="5" customWidth="1"/>
    <col min="38" max="38" width="11" style="5" bestFit="1" customWidth="1"/>
    <col min="39" max="39" width="10.5703125" style="5" bestFit="1" customWidth="1"/>
    <col min="40" max="40" width="10.28515625" style="5" bestFit="1" customWidth="1"/>
    <col min="41" max="41" width="14.5703125" style="5" bestFit="1" customWidth="1"/>
    <col min="42" max="42" width="10.28515625" style="5" bestFit="1" customWidth="1"/>
    <col min="43" max="43" width="12.42578125" style="5" bestFit="1" customWidth="1"/>
    <col min="44" max="44" width="11.7109375" style="5" bestFit="1" customWidth="1"/>
    <col min="45" max="45" width="16.28515625" style="5" bestFit="1" customWidth="1"/>
    <col min="46" max="46" width="11.5703125" style="5" bestFit="1" customWidth="1"/>
    <col min="47" max="47" width="16.140625" style="5" bestFit="1" customWidth="1"/>
    <col min="48" max="48" width="9.85546875" style="5" bestFit="1" customWidth="1"/>
    <col min="49" max="49" width="9.5703125" style="5" bestFit="1" customWidth="1"/>
    <col min="50" max="50" width="9" style="5" bestFit="1" customWidth="1"/>
    <col min="51" max="51" width="11.85546875" style="5" bestFit="1" customWidth="1"/>
    <col min="52" max="52" width="11.28515625" style="5" bestFit="1" customWidth="1"/>
    <col min="53" max="53" width="9" style="5" bestFit="1" customWidth="1"/>
    <col min="54" max="54" width="8.5703125" style="4" bestFit="1" customWidth="1"/>
    <col min="55" max="55" width="11.5703125" style="4" bestFit="1" customWidth="1"/>
    <col min="56" max="56" width="11.42578125" style="5" bestFit="1" customWidth="1"/>
    <col min="57" max="57" width="11" style="4" bestFit="1" customWidth="1"/>
    <col min="58" max="58" width="12.7109375" style="4" bestFit="1" customWidth="1"/>
    <col min="59" max="60" width="9" style="4" bestFit="1" customWidth="1"/>
    <col min="61" max="16384" width="9.140625" style="4"/>
  </cols>
  <sheetData>
    <row r="1" spans="1:60" s="7" customFormat="1" x14ac:dyDescent="0.25">
      <c r="A1" s="125" t="s">
        <v>39</v>
      </c>
      <c r="B1" s="126" t="s">
        <v>335</v>
      </c>
      <c r="C1" s="126" t="s">
        <v>347</v>
      </c>
      <c r="D1" s="127" t="s">
        <v>1411</v>
      </c>
      <c r="E1" s="127" t="s">
        <v>1412</v>
      </c>
      <c r="F1" s="127" t="s">
        <v>1413</v>
      </c>
      <c r="G1" s="127" t="s">
        <v>1414</v>
      </c>
      <c r="H1" s="127" t="s">
        <v>1415</v>
      </c>
      <c r="I1" s="140" t="s">
        <v>1416</v>
      </c>
      <c r="J1" s="140" t="s">
        <v>1417</v>
      </c>
      <c r="K1" s="140" t="s">
        <v>1418</v>
      </c>
      <c r="L1" s="140" t="s">
        <v>1419</v>
      </c>
      <c r="M1" s="140" t="s">
        <v>1420</v>
      </c>
      <c r="N1" s="140" t="s">
        <v>1421</v>
      </c>
      <c r="O1" s="140" t="s">
        <v>1422</v>
      </c>
      <c r="P1" s="140" t="s">
        <v>1423</v>
      </c>
      <c r="Q1" s="140" t="s">
        <v>1424</v>
      </c>
      <c r="R1" s="140" t="s">
        <v>1425</v>
      </c>
      <c r="S1" s="140" t="s">
        <v>1426</v>
      </c>
      <c r="T1" s="140" t="s">
        <v>1427</v>
      </c>
      <c r="U1" s="160" t="s">
        <v>29</v>
      </c>
      <c r="V1" s="160" t="s">
        <v>30</v>
      </c>
      <c r="W1" s="160" t="s">
        <v>31</v>
      </c>
      <c r="X1" s="160" t="s">
        <v>32</v>
      </c>
      <c r="Y1" s="160" t="s">
        <v>33</v>
      </c>
      <c r="Z1" s="161" t="s">
        <v>34</v>
      </c>
      <c r="AA1" s="161" t="s">
        <v>35</v>
      </c>
      <c r="AB1" s="161" t="s">
        <v>36</v>
      </c>
      <c r="AC1" s="161" t="s">
        <v>37</v>
      </c>
      <c r="AD1" s="161" t="s">
        <v>38</v>
      </c>
      <c r="AE1" s="162" t="s">
        <v>348</v>
      </c>
      <c r="AF1" s="162" t="s">
        <v>349</v>
      </c>
      <c r="AG1" s="162" t="s">
        <v>350</v>
      </c>
      <c r="AH1" s="162" t="s">
        <v>351</v>
      </c>
      <c r="AI1" s="162" t="s">
        <v>352</v>
      </c>
      <c r="AJ1" s="163" t="s">
        <v>324</v>
      </c>
      <c r="AK1" s="163" t="s">
        <v>325</v>
      </c>
      <c r="AL1" s="163" t="s">
        <v>326</v>
      </c>
      <c r="AM1" s="163" t="s">
        <v>327</v>
      </c>
      <c r="AN1" s="163" t="s">
        <v>328</v>
      </c>
      <c r="AO1" s="163" t="s">
        <v>1403</v>
      </c>
      <c r="AP1" s="163" t="s">
        <v>329</v>
      </c>
      <c r="AQ1" s="163" t="s">
        <v>330</v>
      </c>
      <c r="AR1" s="163" t="s">
        <v>1055</v>
      </c>
      <c r="AS1" s="163" t="s">
        <v>1058</v>
      </c>
      <c r="AT1" s="163" t="s">
        <v>1056</v>
      </c>
      <c r="AU1" s="163" t="s">
        <v>1057</v>
      </c>
      <c r="AV1" s="163" t="s">
        <v>331</v>
      </c>
      <c r="AW1" s="163" t="s">
        <v>332</v>
      </c>
      <c r="AX1" s="163" t="s">
        <v>197</v>
      </c>
      <c r="AY1" s="163" t="s">
        <v>333</v>
      </c>
      <c r="AZ1" s="163" t="s">
        <v>334</v>
      </c>
      <c r="BA1" s="164" t="s">
        <v>339</v>
      </c>
      <c r="BB1" s="164" t="s">
        <v>340</v>
      </c>
      <c r="BC1" s="165" t="s">
        <v>345</v>
      </c>
      <c r="BD1" s="165" t="s">
        <v>344</v>
      </c>
      <c r="BE1" s="165" t="s">
        <v>343</v>
      </c>
      <c r="BF1" s="166" t="s">
        <v>346</v>
      </c>
      <c r="BG1" s="164" t="s">
        <v>358</v>
      </c>
      <c r="BH1" s="164" t="s">
        <v>361</v>
      </c>
    </row>
    <row r="2" spans="1:60" s="3" customFormat="1" x14ac:dyDescent="0.25">
      <c r="A2" s="128" t="s">
        <v>0</v>
      </c>
      <c r="B2" s="129" t="s">
        <v>1059</v>
      </c>
      <c r="C2" s="129"/>
      <c r="D2" s="127" t="s">
        <v>1430</v>
      </c>
      <c r="E2" s="127" t="s">
        <v>1429</v>
      </c>
      <c r="F2" s="127" t="s">
        <v>1429</v>
      </c>
      <c r="G2" s="127">
        <v>5.0000000000000001E-3</v>
      </c>
      <c r="H2" s="127">
        <v>5.0000000000000001E-3</v>
      </c>
      <c r="I2" s="141">
        <v>5</v>
      </c>
      <c r="J2" s="141">
        <v>5</v>
      </c>
      <c r="K2" s="141">
        <v>5</v>
      </c>
      <c r="L2" s="141">
        <v>5</v>
      </c>
      <c r="M2" s="141">
        <v>5</v>
      </c>
      <c r="N2" s="141">
        <v>5</v>
      </c>
      <c r="O2" s="141">
        <v>5</v>
      </c>
      <c r="P2" s="141">
        <v>5</v>
      </c>
      <c r="Q2" s="141">
        <v>5</v>
      </c>
      <c r="R2" s="141">
        <v>5</v>
      </c>
      <c r="S2" s="141">
        <v>5</v>
      </c>
      <c r="T2" s="141">
        <v>5</v>
      </c>
      <c r="U2" s="167">
        <v>0.98115942028985503</v>
      </c>
      <c r="V2" s="167">
        <v>0.94192634560906496</v>
      </c>
      <c r="W2" s="167">
        <v>0.931707317073171</v>
      </c>
      <c r="X2" s="167">
        <v>0.91452991452991494</v>
      </c>
      <c r="Y2" s="167">
        <v>0.91685393258426995</v>
      </c>
      <c r="Z2" s="167">
        <v>1.1999999999999999E-3</v>
      </c>
      <c r="AA2" s="167">
        <v>0.02</v>
      </c>
      <c r="AB2" s="167">
        <v>0.01</v>
      </c>
      <c r="AC2" s="167">
        <v>1.4999999999999999E-2</v>
      </c>
      <c r="AD2" s="167">
        <v>1.7999999999999999E-2</v>
      </c>
      <c r="AE2" s="168">
        <f t="shared" ref="AE2:AI17" si="0">0.4*Z2</f>
        <v>4.7999999999999996E-4</v>
      </c>
      <c r="AF2" s="168">
        <f t="shared" si="0"/>
        <v>8.0000000000000002E-3</v>
      </c>
      <c r="AG2" s="168">
        <f t="shared" si="0"/>
        <v>4.0000000000000001E-3</v>
      </c>
      <c r="AH2" s="168">
        <f t="shared" si="0"/>
        <v>6.0000000000000001E-3</v>
      </c>
      <c r="AI2" s="168">
        <f t="shared" si="0"/>
        <v>7.1999999999999998E-3</v>
      </c>
      <c r="AJ2" s="141">
        <v>5</v>
      </c>
      <c r="AK2" s="141">
        <v>225</v>
      </c>
      <c r="AL2" s="141">
        <v>5</v>
      </c>
      <c r="AM2" s="141">
        <v>5</v>
      </c>
      <c r="AN2" s="141">
        <v>5</v>
      </c>
      <c r="AO2" s="141">
        <v>5</v>
      </c>
      <c r="AP2" s="141">
        <v>5</v>
      </c>
      <c r="AQ2" s="141">
        <v>5</v>
      </c>
      <c r="AR2" s="141">
        <v>5</v>
      </c>
      <c r="AS2" s="141">
        <v>5</v>
      </c>
      <c r="AT2" s="141">
        <v>5</v>
      </c>
      <c r="AU2" s="141">
        <v>5</v>
      </c>
      <c r="AV2" s="141">
        <v>5</v>
      </c>
      <c r="AW2" s="141">
        <v>5</v>
      </c>
      <c r="AX2" s="141">
        <v>5</v>
      </c>
      <c r="AY2" s="141">
        <v>5.0000000000000001E-4</v>
      </c>
      <c r="AZ2" s="141">
        <f>LN(2)/AJ2</f>
        <v>0.13862943611198905</v>
      </c>
      <c r="BA2" s="141">
        <v>5</v>
      </c>
      <c r="BB2" s="129">
        <v>225</v>
      </c>
      <c r="BC2" s="168">
        <f>BE2+s_lambda_HL</f>
        <v>5.5000000000000002E-5</v>
      </c>
      <c r="BD2" s="168">
        <f>BE2+(0.693/s_t_w)</f>
        <v>0.1386</v>
      </c>
      <c r="BE2" s="168">
        <v>0</v>
      </c>
      <c r="BF2" s="141">
        <f>AJ2*365</f>
        <v>1825</v>
      </c>
      <c r="BG2" s="168">
        <f t="shared" ref="BG2" si="1">AW2</f>
        <v>5</v>
      </c>
      <c r="BH2" s="168">
        <f t="shared" ref="BH2" si="2">AV2</f>
        <v>5</v>
      </c>
    </row>
    <row r="3" spans="1:60" s="3" customFormat="1" x14ac:dyDescent="0.25">
      <c r="A3" s="131" t="s">
        <v>1</v>
      </c>
      <c r="B3" s="129" t="s">
        <v>336</v>
      </c>
      <c r="C3" s="129"/>
      <c r="D3" s="127" t="s">
        <v>120</v>
      </c>
      <c r="E3" s="127" t="s">
        <v>1429</v>
      </c>
      <c r="F3" s="127" t="s">
        <v>1429</v>
      </c>
      <c r="G3" s="127">
        <v>5.0000000000000001E-3</v>
      </c>
      <c r="H3" s="127">
        <v>5.0000000000000001E-3</v>
      </c>
      <c r="I3" s="141">
        <v>5</v>
      </c>
      <c r="J3" s="141">
        <v>5</v>
      </c>
      <c r="K3" s="141">
        <v>5</v>
      </c>
      <c r="L3" s="141">
        <v>5</v>
      </c>
      <c r="M3" s="141">
        <v>5</v>
      </c>
      <c r="N3" s="141">
        <v>5</v>
      </c>
      <c r="O3" s="141">
        <v>5</v>
      </c>
      <c r="P3" s="141">
        <v>5</v>
      </c>
      <c r="Q3" s="141">
        <v>5</v>
      </c>
      <c r="R3" s="141">
        <v>5</v>
      </c>
      <c r="S3" s="141">
        <v>5</v>
      </c>
      <c r="T3" s="141">
        <v>5</v>
      </c>
      <c r="U3" s="167">
        <v>0.98581560283687897</v>
      </c>
      <c r="V3" s="167">
        <v>0.95726495726495697</v>
      </c>
      <c r="W3" s="167">
        <v>0.93096234309623405</v>
      </c>
      <c r="X3" s="167">
        <v>0.90049751243781095</v>
      </c>
      <c r="Y3" s="167">
        <v>0.87357630979498901</v>
      </c>
      <c r="Z3" s="167">
        <v>6.7000000000000002E-5</v>
      </c>
      <c r="AA3" s="167">
        <v>1.4999999999999999E-4</v>
      </c>
      <c r="AB3" s="167">
        <v>1.1E-4</v>
      </c>
      <c r="AC3" s="167">
        <v>1.4999999999999999E-4</v>
      </c>
      <c r="AD3" s="167">
        <v>1.4999999999999999E-4</v>
      </c>
      <c r="AE3" s="168">
        <f t="shared" si="0"/>
        <v>2.6800000000000001E-5</v>
      </c>
      <c r="AF3" s="168">
        <f t="shared" si="0"/>
        <v>5.9999999999999995E-5</v>
      </c>
      <c r="AG3" s="168">
        <f t="shared" si="0"/>
        <v>4.4000000000000006E-5</v>
      </c>
      <c r="AH3" s="168">
        <f t="shared" si="0"/>
        <v>5.9999999999999995E-5</v>
      </c>
      <c r="AI3" s="168">
        <f t="shared" si="0"/>
        <v>5.9999999999999995E-5</v>
      </c>
      <c r="AJ3" s="141">
        <v>5</v>
      </c>
      <c r="AK3" s="141">
        <v>241</v>
      </c>
      <c r="AL3" s="141">
        <v>5</v>
      </c>
      <c r="AM3" s="141">
        <v>5</v>
      </c>
      <c r="AN3" s="141">
        <v>5</v>
      </c>
      <c r="AO3" s="141">
        <v>5</v>
      </c>
      <c r="AP3" s="141">
        <v>5</v>
      </c>
      <c r="AQ3" s="141">
        <v>5</v>
      </c>
      <c r="AR3" s="141">
        <v>5</v>
      </c>
      <c r="AS3" s="141">
        <v>5</v>
      </c>
      <c r="AT3" s="141">
        <v>5</v>
      </c>
      <c r="AU3" s="141">
        <v>5</v>
      </c>
      <c r="AV3" s="141">
        <v>5</v>
      </c>
      <c r="AW3" s="141">
        <v>5</v>
      </c>
      <c r="AX3" s="141">
        <v>5</v>
      </c>
      <c r="AY3" s="141">
        <v>5.0000000000000001E-4</v>
      </c>
      <c r="AZ3" s="141">
        <f t="shared" ref="AZ3:AZ30" si="3">LN(2)/AJ3</f>
        <v>0.13862943611198905</v>
      </c>
      <c r="BA3" s="141">
        <v>5</v>
      </c>
      <c r="BB3" s="129">
        <v>241</v>
      </c>
      <c r="BC3" s="168">
        <f t="shared" ref="BC3:BC30" si="4">BE3+s_lambda_HL</f>
        <v>5.5000000000000002E-5</v>
      </c>
      <c r="BD3" s="168">
        <f t="shared" ref="BD3:BD30" si="5">BE3+(0.693/s_t_w)</f>
        <v>0.1386</v>
      </c>
      <c r="BE3" s="168">
        <v>0</v>
      </c>
      <c r="BF3" s="141">
        <f t="shared" ref="BF3:BF30" si="6">AJ3*365</f>
        <v>1825</v>
      </c>
      <c r="BG3" s="168">
        <f>AW3</f>
        <v>5</v>
      </c>
      <c r="BH3" s="168">
        <f>AV3</f>
        <v>5</v>
      </c>
    </row>
    <row r="4" spans="1:60" s="3" customFormat="1" x14ac:dyDescent="0.25">
      <c r="A4" s="128" t="s">
        <v>2</v>
      </c>
      <c r="B4" s="129" t="s">
        <v>1059</v>
      </c>
      <c r="C4" s="129"/>
      <c r="D4" s="127" t="s">
        <v>1428</v>
      </c>
      <c r="E4" s="127" t="s">
        <v>1429</v>
      </c>
      <c r="F4" s="127" t="s">
        <v>1429</v>
      </c>
      <c r="G4" s="127" t="s">
        <v>1429</v>
      </c>
      <c r="H4" s="127">
        <v>0</v>
      </c>
      <c r="I4" s="141">
        <v>5</v>
      </c>
      <c r="J4" s="141">
        <v>5</v>
      </c>
      <c r="K4" s="141">
        <v>5</v>
      </c>
      <c r="L4" s="141">
        <v>5</v>
      </c>
      <c r="M4" s="141">
        <v>5</v>
      </c>
      <c r="N4" s="141">
        <v>5</v>
      </c>
      <c r="O4" s="141">
        <v>5</v>
      </c>
      <c r="P4" s="141">
        <v>5</v>
      </c>
      <c r="Q4" s="141">
        <v>5</v>
      </c>
      <c r="R4" s="141">
        <v>5</v>
      </c>
      <c r="S4" s="141">
        <v>5</v>
      </c>
      <c r="T4" s="141">
        <v>5</v>
      </c>
      <c r="U4" s="167">
        <v>0.914201183431953</v>
      </c>
      <c r="V4" s="167">
        <v>0.85714285714285698</v>
      </c>
      <c r="W4" s="167">
        <v>0.90909090909090895</v>
      </c>
      <c r="X4" s="167">
        <v>0.91269841269841301</v>
      </c>
      <c r="Y4" s="167">
        <v>0.89869753979739497</v>
      </c>
      <c r="Z4" s="167">
        <v>1.4E-2</v>
      </c>
      <c r="AA4" s="167">
        <v>4.4999999999999998E-2</v>
      </c>
      <c r="AB4" s="167">
        <v>2.5999999999999999E-2</v>
      </c>
      <c r="AC4" s="167">
        <v>3.5999999999999997E-2</v>
      </c>
      <c r="AD4" s="167">
        <v>4.2000000000000003E-2</v>
      </c>
      <c r="AE4" s="168">
        <f t="shared" si="0"/>
        <v>5.6000000000000008E-3</v>
      </c>
      <c r="AF4" s="168">
        <f t="shared" si="0"/>
        <v>1.7999999999999999E-2</v>
      </c>
      <c r="AG4" s="168">
        <f t="shared" si="0"/>
        <v>1.04E-2</v>
      </c>
      <c r="AH4" s="168">
        <f t="shared" si="0"/>
        <v>1.44E-2</v>
      </c>
      <c r="AI4" s="168">
        <f t="shared" si="0"/>
        <v>1.6800000000000002E-2</v>
      </c>
      <c r="AJ4" s="141">
        <v>5</v>
      </c>
      <c r="AK4" s="141">
        <v>217</v>
      </c>
      <c r="AL4" s="141">
        <v>5</v>
      </c>
      <c r="AM4" s="141">
        <v>5</v>
      </c>
      <c r="AN4" s="141">
        <v>5</v>
      </c>
      <c r="AO4" s="141">
        <v>5</v>
      </c>
      <c r="AP4" s="141">
        <v>5</v>
      </c>
      <c r="AQ4" s="141">
        <v>5</v>
      </c>
      <c r="AR4" s="141">
        <v>5</v>
      </c>
      <c r="AS4" s="141">
        <v>5</v>
      </c>
      <c r="AT4" s="141">
        <v>5</v>
      </c>
      <c r="AU4" s="141">
        <v>5</v>
      </c>
      <c r="AV4" s="141">
        <v>5</v>
      </c>
      <c r="AW4" s="141">
        <v>5</v>
      </c>
      <c r="AX4" s="141">
        <v>5</v>
      </c>
      <c r="AY4" s="141"/>
      <c r="AZ4" s="141">
        <f t="shared" si="3"/>
        <v>0.13862943611198905</v>
      </c>
      <c r="BA4" s="141">
        <v>5</v>
      </c>
      <c r="BB4" s="129">
        <v>217</v>
      </c>
      <c r="BC4" s="168">
        <f t="shared" si="4"/>
        <v>5.5000000000000002E-5</v>
      </c>
      <c r="BD4" s="168">
        <f t="shared" si="5"/>
        <v>0.1386</v>
      </c>
      <c r="BE4" s="168">
        <v>0</v>
      </c>
      <c r="BF4" s="141">
        <f t="shared" si="6"/>
        <v>1825</v>
      </c>
      <c r="BG4" s="168">
        <f t="shared" ref="BG4:BG21" si="7">AW4</f>
        <v>5</v>
      </c>
      <c r="BH4" s="168">
        <f t="shared" ref="BH4:BH30" si="8">AV4</f>
        <v>5</v>
      </c>
    </row>
    <row r="5" spans="1:60" s="3" customFormat="1" x14ac:dyDescent="0.25">
      <c r="A5" s="128" t="s">
        <v>3</v>
      </c>
      <c r="B5" s="129" t="s">
        <v>1059</v>
      </c>
      <c r="C5" s="129"/>
      <c r="D5" s="127" t="s">
        <v>1428</v>
      </c>
      <c r="E5" s="127" t="s">
        <v>1429</v>
      </c>
      <c r="F5" s="127" t="s">
        <v>1429</v>
      </c>
      <c r="G5" s="127" t="s">
        <v>1429</v>
      </c>
      <c r="H5" s="127">
        <v>0</v>
      </c>
      <c r="I5" s="141">
        <v>5</v>
      </c>
      <c r="J5" s="141">
        <v>5</v>
      </c>
      <c r="K5" s="141">
        <v>5</v>
      </c>
      <c r="L5" s="141">
        <v>5</v>
      </c>
      <c r="M5" s="141">
        <v>5</v>
      </c>
      <c r="N5" s="141">
        <v>5</v>
      </c>
      <c r="O5" s="141">
        <v>5</v>
      </c>
      <c r="P5" s="141">
        <v>5</v>
      </c>
      <c r="Q5" s="141">
        <v>5</v>
      </c>
      <c r="R5" s="141">
        <v>5</v>
      </c>
      <c r="S5" s="141">
        <v>5</v>
      </c>
      <c r="T5" s="141">
        <v>5</v>
      </c>
      <c r="U5" s="167">
        <v>0.9</v>
      </c>
      <c r="V5" s="167">
        <v>0.9</v>
      </c>
      <c r="W5" s="167">
        <v>0.9</v>
      </c>
      <c r="X5" s="167">
        <v>0.9</v>
      </c>
      <c r="Y5" s="167">
        <v>0.9</v>
      </c>
      <c r="Z5" s="167">
        <v>0</v>
      </c>
      <c r="AA5" s="167">
        <v>0</v>
      </c>
      <c r="AB5" s="167">
        <v>0</v>
      </c>
      <c r="AC5" s="167">
        <v>0</v>
      </c>
      <c r="AD5" s="167">
        <v>0</v>
      </c>
      <c r="AE5" s="168">
        <f t="shared" si="0"/>
        <v>0</v>
      </c>
      <c r="AF5" s="168">
        <f t="shared" si="0"/>
        <v>0</v>
      </c>
      <c r="AG5" s="168">
        <f t="shared" si="0"/>
        <v>0</v>
      </c>
      <c r="AH5" s="168">
        <f t="shared" si="0"/>
        <v>0</v>
      </c>
      <c r="AI5" s="168">
        <f t="shared" si="0"/>
        <v>0</v>
      </c>
      <c r="AJ5" s="141">
        <v>5</v>
      </c>
      <c r="AK5" s="141">
        <v>218</v>
      </c>
      <c r="AL5" s="141">
        <v>5</v>
      </c>
      <c r="AM5" s="141">
        <v>5</v>
      </c>
      <c r="AN5" s="141">
        <v>5</v>
      </c>
      <c r="AO5" s="141">
        <v>5</v>
      </c>
      <c r="AP5" s="141">
        <v>5</v>
      </c>
      <c r="AQ5" s="141">
        <v>5</v>
      </c>
      <c r="AR5" s="141">
        <v>5</v>
      </c>
      <c r="AS5" s="141">
        <v>5</v>
      </c>
      <c r="AT5" s="141">
        <v>5</v>
      </c>
      <c r="AU5" s="141">
        <v>5</v>
      </c>
      <c r="AV5" s="141">
        <v>5</v>
      </c>
      <c r="AW5" s="141">
        <v>5</v>
      </c>
      <c r="AX5" s="141">
        <v>5</v>
      </c>
      <c r="AY5" s="141"/>
      <c r="AZ5" s="141">
        <f t="shared" si="3"/>
        <v>0.13862943611198905</v>
      </c>
      <c r="BA5" s="141">
        <v>5</v>
      </c>
      <c r="BB5" s="129">
        <v>218</v>
      </c>
      <c r="BC5" s="168">
        <f t="shared" si="4"/>
        <v>5.5000000000000002E-5</v>
      </c>
      <c r="BD5" s="168">
        <f t="shared" si="5"/>
        <v>0.1386</v>
      </c>
      <c r="BE5" s="168">
        <v>0</v>
      </c>
      <c r="BF5" s="141">
        <f t="shared" si="6"/>
        <v>1825</v>
      </c>
      <c r="BG5" s="168">
        <f t="shared" si="7"/>
        <v>5</v>
      </c>
      <c r="BH5" s="168">
        <f t="shared" si="8"/>
        <v>5</v>
      </c>
    </row>
    <row r="6" spans="1:60" s="3" customFormat="1" x14ac:dyDescent="0.25">
      <c r="A6" s="128" t="s">
        <v>4</v>
      </c>
      <c r="B6" s="129" t="s">
        <v>1059</v>
      </c>
      <c r="C6" s="129"/>
      <c r="D6" s="127" t="s">
        <v>1428</v>
      </c>
      <c r="E6" s="127" t="s">
        <v>1429</v>
      </c>
      <c r="F6" s="127" t="s">
        <v>1429</v>
      </c>
      <c r="G6" s="127" t="s">
        <v>1429</v>
      </c>
      <c r="H6" s="127">
        <v>0</v>
      </c>
      <c r="I6" s="141">
        <v>5</v>
      </c>
      <c r="J6" s="141">
        <v>5</v>
      </c>
      <c r="K6" s="141">
        <v>5</v>
      </c>
      <c r="L6" s="141">
        <v>5</v>
      </c>
      <c r="M6" s="141">
        <v>5</v>
      </c>
      <c r="N6" s="141">
        <v>5</v>
      </c>
      <c r="O6" s="141">
        <v>5</v>
      </c>
      <c r="P6" s="141">
        <v>5</v>
      </c>
      <c r="Q6" s="141">
        <v>5</v>
      </c>
      <c r="R6" s="141">
        <v>5</v>
      </c>
      <c r="S6" s="141">
        <v>5</v>
      </c>
      <c r="T6" s="141">
        <v>5</v>
      </c>
      <c r="U6" s="167">
        <v>0.88636363636363602</v>
      </c>
      <c r="V6" s="167">
        <v>0.91519434628975305</v>
      </c>
      <c r="W6" s="167">
        <v>0.93487394957983205</v>
      </c>
      <c r="X6" s="167">
        <v>0.91752577319587603</v>
      </c>
      <c r="Y6" s="167">
        <v>0.95541401273885396</v>
      </c>
      <c r="Z6" s="167">
        <v>2.7E-2</v>
      </c>
      <c r="AA6" s="167">
        <v>8.2000000000000003E-2</v>
      </c>
      <c r="AB6" s="167">
        <v>4.2999999999999997E-2</v>
      </c>
      <c r="AC6" s="167">
        <v>6.2E-2</v>
      </c>
      <c r="AD6" s="167">
        <v>7.1999999999999995E-2</v>
      </c>
      <c r="AE6" s="168">
        <f t="shared" si="0"/>
        <v>1.0800000000000001E-2</v>
      </c>
      <c r="AF6" s="168">
        <f t="shared" si="0"/>
        <v>3.2800000000000003E-2</v>
      </c>
      <c r="AG6" s="168">
        <f t="shared" si="0"/>
        <v>1.72E-2</v>
      </c>
      <c r="AH6" s="168">
        <f t="shared" si="0"/>
        <v>2.4800000000000003E-2</v>
      </c>
      <c r="AI6" s="168">
        <f t="shared" si="0"/>
        <v>2.8799999999999999E-2</v>
      </c>
      <c r="AJ6" s="141">
        <v>5</v>
      </c>
      <c r="AK6" s="141">
        <v>137</v>
      </c>
      <c r="AL6" s="141">
        <v>5</v>
      </c>
      <c r="AM6" s="141">
        <v>5</v>
      </c>
      <c r="AN6" s="141">
        <v>5</v>
      </c>
      <c r="AO6" s="141">
        <v>5</v>
      </c>
      <c r="AP6" s="141">
        <v>5</v>
      </c>
      <c r="AQ6" s="141">
        <v>5</v>
      </c>
      <c r="AR6" s="141">
        <v>5</v>
      </c>
      <c r="AS6" s="141">
        <v>5</v>
      </c>
      <c r="AT6" s="141">
        <v>5</v>
      </c>
      <c r="AU6" s="141">
        <v>5</v>
      </c>
      <c r="AV6" s="141">
        <v>5</v>
      </c>
      <c r="AW6" s="141">
        <v>5</v>
      </c>
      <c r="AX6" s="141">
        <v>5</v>
      </c>
      <c r="AY6" s="141"/>
      <c r="AZ6" s="141">
        <f t="shared" si="3"/>
        <v>0.13862943611198905</v>
      </c>
      <c r="BA6" s="141">
        <v>5</v>
      </c>
      <c r="BB6" s="129">
        <v>137</v>
      </c>
      <c r="BC6" s="168">
        <f t="shared" si="4"/>
        <v>5.5000000000000002E-5</v>
      </c>
      <c r="BD6" s="168">
        <f t="shared" si="5"/>
        <v>0.1386</v>
      </c>
      <c r="BE6" s="168">
        <v>0</v>
      </c>
      <c r="BF6" s="141">
        <f t="shared" si="6"/>
        <v>1825</v>
      </c>
      <c r="BG6" s="168">
        <f t="shared" si="7"/>
        <v>5</v>
      </c>
      <c r="BH6" s="168">
        <f t="shared" si="8"/>
        <v>5</v>
      </c>
    </row>
    <row r="7" spans="1:60" s="3" customFormat="1" x14ac:dyDescent="0.25">
      <c r="A7" s="128" t="s">
        <v>5</v>
      </c>
      <c r="B7" s="129" t="s">
        <v>1059</v>
      </c>
      <c r="C7" s="129"/>
      <c r="D7" s="127" t="s">
        <v>1430</v>
      </c>
      <c r="E7" s="127" t="s">
        <v>1429</v>
      </c>
      <c r="F7" s="127" t="s">
        <v>1429</v>
      </c>
      <c r="G7" s="127">
        <v>0.1</v>
      </c>
      <c r="H7" s="127">
        <v>0.1</v>
      </c>
      <c r="I7" s="141">
        <v>5</v>
      </c>
      <c r="J7" s="141">
        <v>5</v>
      </c>
      <c r="K7" s="141">
        <v>5</v>
      </c>
      <c r="L7" s="141">
        <v>5</v>
      </c>
      <c r="M7" s="141">
        <v>5</v>
      </c>
      <c r="N7" s="141">
        <v>5</v>
      </c>
      <c r="O7" s="141">
        <v>5</v>
      </c>
      <c r="P7" s="141">
        <v>5</v>
      </c>
      <c r="Q7" s="141">
        <v>5</v>
      </c>
      <c r="R7" s="141">
        <v>5</v>
      </c>
      <c r="S7" s="141">
        <v>5</v>
      </c>
      <c r="T7" s="141">
        <v>5</v>
      </c>
      <c r="U7" s="167">
        <v>0.90997566909975702</v>
      </c>
      <c r="V7" s="167">
        <v>0.867088607594937</v>
      </c>
      <c r="W7" s="167">
        <v>0.90839694656488501</v>
      </c>
      <c r="X7" s="167">
        <v>0.92993630573248398</v>
      </c>
      <c r="Y7" s="167">
        <v>0.87429854096520798</v>
      </c>
      <c r="Z7" s="167">
        <v>1.4E-2</v>
      </c>
      <c r="AA7" s="167">
        <v>0.04</v>
      </c>
      <c r="AB7" s="167">
        <v>2.4E-2</v>
      </c>
      <c r="AC7" s="167">
        <v>3.2000000000000001E-2</v>
      </c>
      <c r="AD7" s="167">
        <v>3.6999999999999998E-2</v>
      </c>
      <c r="AE7" s="168">
        <f t="shared" si="0"/>
        <v>5.6000000000000008E-3</v>
      </c>
      <c r="AF7" s="168">
        <f t="shared" si="0"/>
        <v>1.6E-2</v>
      </c>
      <c r="AG7" s="168">
        <f t="shared" si="0"/>
        <v>9.6000000000000009E-3</v>
      </c>
      <c r="AH7" s="168">
        <f t="shared" si="0"/>
        <v>1.2800000000000001E-2</v>
      </c>
      <c r="AI7" s="168">
        <f t="shared" si="0"/>
        <v>1.4800000000000001E-2</v>
      </c>
      <c r="AJ7" s="141">
        <v>5</v>
      </c>
      <c r="AK7" s="141">
        <v>210</v>
      </c>
      <c r="AL7" s="141">
        <v>5</v>
      </c>
      <c r="AM7" s="141">
        <v>5</v>
      </c>
      <c r="AN7" s="141">
        <v>5</v>
      </c>
      <c r="AO7" s="141">
        <v>5</v>
      </c>
      <c r="AP7" s="141">
        <v>5</v>
      </c>
      <c r="AQ7" s="141">
        <v>5</v>
      </c>
      <c r="AR7" s="141">
        <v>5</v>
      </c>
      <c r="AS7" s="141">
        <v>5</v>
      </c>
      <c r="AT7" s="141">
        <v>5</v>
      </c>
      <c r="AU7" s="141">
        <v>5</v>
      </c>
      <c r="AV7" s="141">
        <v>5</v>
      </c>
      <c r="AW7" s="141">
        <v>5</v>
      </c>
      <c r="AX7" s="141">
        <v>5</v>
      </c>
      <c r="AY7" s="141">
        <v>0.05</v>
      </c>
      <c r="AZ7" s="141">
        <f t="shared" si="3"/>
        <v>0.13862943611198905</v>
      </c>
      <c r="BA7" s="141">
        <v>5</v>
      </c>
      <c r="BB7" s="129">
        <v>210</v>
      </c>
      <c r="BC7" s="168">
        <f t="shared" si="4"/>
        <v>5.5000000000000002E-5</v>
      </c>
      <c r="BD7" s="168">
        <f t="shared" si="5"/>
        <v>0.1386</v>
      </c>
      <c r="BE7" s="168">
        <v>0</v>
      </c>
      <c r="BF7" s="141">
        <f t="shared" si="6"/>
        <v>1825</v>
      </c>
      <c r="BG7" s="168">
        <f t="shared" si="7"/>
        <v>5</v>
      </c>
      <c r="BH7" s="168">
        <f t="shared" si="8"/>
        <v>5</v>
      </c>
    </row>
    <row r="8" spans="1:60" s="3" customFormat="1" x14ac:dyDescent="0.25">
      <c r="A8" s="128" t="s">
        <v>6</v>
      </c>
      <c r="B8" s="129" t="s">
        <v>1059</v>
      </c>
      <c r="C8" s="129"/>
      <c r="D8" s="127" t="s">
        <v>1430</v>
      </c>
      <c r="E8" s="127" t="s">
        <v>1429</v>
      </c>
      <c r="F8" s="127" t="s">
        <v>1429</v>
      </c>
      <c r="G8" s="127">
        <v>0.1</v>
      </c>
      <c r="H8" s="127">
        <v>0.1</v>
      </c>
      <c r="I8" s="141">
        <v>5</v>
      </c>
      <c r="J8" s="141">
        <v>5</v>
      </c>
      <c r="K8" s="141">
        <v>5</v>
      </c>
      <c r="L8" s="141">
        <v>5</v>
      </c>
      <c r="M8" s="141">
        <v>5</v>
      </c>
      <c r="N8" s="141">
        <v>5</v>
      </c>
      <c r="O8" s="141">
        <v>5</v>
      </c>
      <c r="P8" s="141">
        <v>5</v>
      </c>
      <c r="Q8" s="141">
        <v>5</v>
      </c>
      <c r="R8" s="141">
        <v>5</v>
      </c>
      <c r="S8" s="141">
        <v>5</v>
      </c>
      <c r="T8" s="141">
        <v>5</v>
      </c>
      <c r="U8" s="167">
        <v>0.88690476190476197</v>
      </c>
      <c r="V8" s="167">
        <v>0.97311827956989205</v>
      </c>
      <c r="W8" s="167">
        <v>0.93904761904761902</v>
      </c>
      <c r="X8" s="167">
        <v>0.93809523809523798</v>
      </c>
      <c r="Y8" s="167">
        <v>0.89295774647887305</v>
      </c>
      <c r="Z8" s="167">
        <v>0.02</v>
      </c>
      <c r="AA8" s="167">
        <v>6.2E-2</v>
      </c>
      <c r="AB8" s="167">
        <v>3.5000000000000003E-2</v>
      </c>
      <c r="AC8" s="167">
        <v>4.8000000000000001E-2</v>
      </c>
      <c r="AD8" s="167">
        <v>5.5E-2</v>
      </c>
      <c r="AE8" s="168">
        <f t="shared" si="0"/>
        <v>8.0000000000000002E-3</v>
      </c>
      <c r="AF8" s="168">
        <f t="shared" si="0"/>
        <v>2.4800000000000003E-2</v>
      </c>
      <c r="AG8" s="168">
        <f t="shared" si="0"/>
        <v>1.4000000000000002E-2</v>
      </c>
      <c r="AH8" s="168">
        <f t="shared" si="0"/>
        <v>1.9200000000000002E-2</v>
      </c>
      <c r="AI8" s="168">
        <f t="shared" si="0"/>
        <v>2.2000000000000002E-2</v>
      </c>
      <c r="AJ8" s="141">
        <v>5</v>
      </c>
      <c r="AK8" s="141">
        <v>213</v>
      </c>
      <c r="AL8" s="141">
        <v>5</v>
      </c>
      <c r="AM8" s="141">
        <v>5</v>
      </c>
      <c r="AN8" s="141">
        <v>5</v>
      </c>
      <c r="AO8" s="141">
        <v>5</v>
      </c>
      <c r="AP8" s="141">
        <v>5</v>
      </c>
      <c r="AQ8" s="141">
        <v>5</v>
      </c>
      <c r="AR8" s="141">
        <v>5</v>
      </c>
      <c r="AS8" s="141">
        <v>5</v>
      </c>
      <c r="AT8" s="141">
        <v>5</v>
      </c>
      <c r="AU8" s="141">
        <v>5</v>
      </c>
      <c r="AV8" s="141">
        <v>5</v>
      </c>
      <c r="AW8" s="141">
        <v>5</v>
      </c>
      <c r="AX8" s="141">
        <v>5</v>
      </c>
      <c r="AY8" s="141">
        <v>0.05</v>
      </c>
      <c r="AZ8" s="141">
        <f t="shared" si="3"/>
        <v>0.13862943611198905</v>
      </c>
      <c r="BA8" s="141">
        <v>5</v>
      </c>
      <c r="BB8" s="129">
        <v>213</v>
      </c>
      <c r="BC8" s="168">
        <f t="shared" si="4"/>
        <v>5.5000000000000002E-5</v>
      </c>
      <c r="BD8" s="168">
        <f t="shared" si="5"/>
        <v>0.1386</v>
      </c>
      <c r="BE8" s="168">
        <v>0</v>
      </c>
      <c r="BF8" s="141">
        <f t="shared" si="6"/>
        <v>1825</v>
      </c>
      <c r="BG8" s="168">
        <f t="shared" si="7"/>
        <v>5</v>
      </c>
      <c r="BH8" s="168">
        <f t="shared" si="8"/>
        <v>5</v>
      </c>
    </row>
    <row r="9" spans="1:60" s="3" customFormat="1" x14ac:dyDescent="0.25">
      <c r="A9" s="128" t="s">
        <v>7</v>
      </c>
      <c r="B9" s="129" t="s">
        <v>1059</v>
      </c>
      <c r="C9" s="129"/>
      <c r="D9" s="127" t="s">
        <v>1430</v>
      </c>
      <c r="E9" s="127" t="s">
        <v>1429</v>
      </c>
      <c r="F9" s="127" t="s">
        <v>1429</v>
      </c>
      <c r="G9" s="127">
        <v>0.1</v>
      </c>
      <c r="H9" s="127">
        <v>0.1</v>
      </c>
      <c r="I9" s="141">
        <v>5</v>
      </c>
      <c r="J9" s="141">
        <v>5</v>
      </c>
      <c r="K9" s="141">
        <v>5</v>
      </c>
      <c r="L9" s="141">
        <v>5</v>
      </c>
      <c r="M9" s="141">
        <v>5</v>
      </c>
      <c r="N9" s="141">
        <v>5</v>
      </c>
      <c r="O9" s="141">
        <v>5</v>
      </c>
      <c r="P9" s="141">
        <v>5</v>
      </c>
      <c r="Q9" s="141">
        <v>5</v>
      </c>
      <c r="R9" s="141">
        <v>5</v>
      </c>
      <c r="S9" s="141">
        <v>5</v>
      </c>
      <c r="T9" s="141">
        <v>5</v>
      </c>
      <c r="U9" s="167">
        <v>0.86585365853658502</v>
      </c>
      <c r="V9" s="167">
        <v>0.94236311239193105</v>
      </c>
      <c r="W9" s="167">
        <v>0.934579439252336</v>
      </c>
      <c r="X9" s="167">
        <v>0.94453004622496095</v>
      </c>
      <c r="Y9" s="167">
        <v>0.9375</v>
      </c>
      <c r="Z9" s="167">
        <v>3.9E-2</v>
      </c>
      <c r="AA9" s="167">
        <v>0.13</v>
      </c>
      <c r="AB9" s="167">
        <v>6.4000000000000001E-2</v>
      </c>
      <c r="AC9" s="167">
        <v>0.09</v>
      </c>
      <c r="AD9" s="167">
        <v>0.11</v>
      </c>
      <c r="AE9" s="168">
        <f t="shared" si="0"/>
        <v>1.5600000000000001E-2</v>
      </c>
      <c r="AF9" s="168">
        <f t="shared" si="0"/>
        <v>5.2000000000000005E-2</v>
      </c>
      <c r="AG9" s="168">
        <f t="shared" si="0"/>
        <v>2.5600000000000001E-2</v>
      </c>
      <c r="AH9" s="168">
        <f t="shared" si="0"/>
        <v>3.5999999999999997E-2</v>
      </c>
      <c r="AI9" s="168">
        <f t="shared" si="0"/>
        <v>4.4000000000000004E-2</v>
      </c>
      <c r="AJ9" s="141">
        <v>5</v>
      </c>
      <c r="AK9" s="141">
        <v>214</v>
      </c>
      <c r="AL9" s="141">
        <v>5</v>
      </c>
      <c r="AM9" s="141">
        <v>5</v>
      </c>
      <c r="AN9" s="141">
        <v>5</v>
      </c>
      <c r="AO9" s="141">
        <v>5</v>
      </c>
      <c r="AP9" s="141">
        <v>5</v>
      </c>
      <c r="AQ9" s="141">
        <v>5</v>
      </c>
      <c r="AR9" s="141">
        <v>5</v>
      </c>
      <c r="AS9" s="141">
        <v>5</v>
      </c>
      <c r="AT9" s="141">
        <v>5</v>
      </c>
      <c r="AU9" s="141">
        <v>5</v>
      </c>
      <c r="AV9" s="141">
        <v>5</v>
      </c>
      <c r="AW9" s="141">
        <v>5</v>
      </c>
      <c r="AX9" s="141">
        <v>5</v>
      </c>
      <c r="AY9" s="141">
        <v>0.05</v>
      </c>
      <c r="AZ9" s="141">
        <f t="shared" si="3"/>
        <v>0.13862943611198905</v>
      </c>
      <c r="BA9" s="141">
        <v>5</v>
      </c>
      <c r="BB9" s="129">
        <v>214</v>
      </c>
      <c r="BC9" s="168">
        <f t="shared" si="4"/>
        <v>5.5000000000000002E-5</v>
      </c>
      <c r="BD9" s="168">
        <f t="shared" si="5"/>
        <v>0.1386</v>
      </c>
      <c r="BE9" s="168">
        <v>0</v>
      </c>
      <c r="BF9" s="141">
        <f t="shared" si="6"/>
        <v>1825</v>
      </c>
      <c r="BG9" s="168">
        <f t="shared" si="7"/>
        <v>5</v>
      </c>
      <c r="BH9" s="168">
        <f t="shared" si="8"/>
        <v>5</v>
      </c>
    </row>
    <row r="10" spans="1:60" s="3" customFormat="1" x14ac:dyDescent="0.25">
      <c r="A10" s="131" t="s">
        <v>8</v>
      </c>
      <c r="B10" s="129" t="s">
        <v>336</v>
      </c>
      <c r="C10" s="129"/>
      <c r="D10" s="127" t="s">
        <v>1430</v>
      </c>
      <c r="E10" s="127" t="s">
        <v>1429</v>
      </c>
      <c r="F10" s="127" t="s">
        <v>1429</v>
      </c>
      <c r="G10" s="127">
        <v>1</v>
      </c>
      <c r="H10" s="127">
        <v>0.02</v>
      </c>
      <c r="I10" s="141">
        <v>5</v>
      </c>
      <c r="J10" s="141">
        <v>5</v>
      </c>
      <c r="K10" s="141">
        <v>5</v>
      </c>
      <c r="L10" s="141">
        <v>5</v>
      </c>
      <c r="M10" s="141">
        <v>5</v>
      </c>
      <c r="N10" s="141">
        <v>5</v>
      </c>
      <c r="O10" s="141">
        <v>5</v>
      </c>
      <c r="P10" s="141">
        <v>5</v>
      </c>
      <c r="Q10" s="141">
        <v>5</v>
      </c>
      <c r="R10" s="141">
        <v>5</v>
      </c>
      <c r="S10" s="141">
        <v>5</v>
      </c>
      <c r="T10" s="141">
        <v>5</v>
      </c>
      <c r="U10" s="167">
        <v>0.90521327014218</v>
      </c>
      <c r="V10" s="167">
        <v>0.85365853658536595</v>
      </c>
      <c r="W10" s="167">
        <v>0.91304347826086996</v>
      </c>
      <c r="X10" s="167">
        <v>0.92797118847538995</v>
      </c>
      <c r="Y10" s="167">
        <v>0.87368421052631595</v>
      </c>
      <c r="Z10" s="167">
        <v>2.7E-2</v>
      </c>
      <c r="AA10" s="167">
        <v>7.4999999999999997E-2</v>
      </c>
      <c r="AB10" s="167">
        <v>4.4999999999999998E-2</v>
      </c>
      <c r="AC10" s="167">
        <v>6.2E-2</v>
      </c>
      <c r="AD10" s="167">
        <v>7.1999999999999995E-2</v>
      </c>
      <c r="AE10" s="168">
        <f t="shared" si="0"/>
        <v>1.0800000000000001E-2</v>
      </c>
      <c r="AF10" s="168">
        <f t="shared" si="0"/>
        <v>0.03</v>
      </c>
      <c r="AG10" s="168">
        <f t="shared" si="0"/>
        <v>1.7999999999999999E-2</v>
      </c>
      <c r="AH10" s="168">
        <f t="shared" si="0"/>
        <v>2.4800000000000003E-2</v>
      </c>
      <c r="AI10" s="168">
        <f t="shared" si="0"/>
        <v>2.8799999999999999E-2</v>
      </c>
      <c r="AJ10" s="141">
        <v>5</v>
      </c>
      <c r="AK10" s="141">
        <v>137</v>
      </c>
      <c r="AL10" s="141">
        <v>5</v>
      </c>
      <c r="AM10" s="141">
        <v>5</v>
      </c>
      <c r="AN10" s="141">
        <v>5</v>
      </c>
      <c r="AO10" s="141">
        <v>5</v>
      </c>
      <c r="AP10" s="141">
        <v>5</v>
      </c>
      <c r="AQ10" s="141">
        <v>5</v>
      </c>
      <c r="AR10" s="141">
        <v>5</v>
      </c>
      <c r="AS10" s="141">
        <v>5</v>
      </c>
      <c r="AT10" s="141">
        <v>5</v>
      </c>
      <c r="AU10" s="141">
        <v>5</v>
      </c>
      <c r="AV10" s="141">
        <v>5</v>
      </c>
      <c r="AW10" s="141">
        <v>5</v>
      </c>
      <c r="AX10" s="141">
        <v>5</v>
      </c>
      <c r="AY10" s="141">
        <v>1</v>
      </c>
      <c r="AZ10" s="141">
        <f t="shared" si="3"/>
        <v>0.13862943611198905</v>
      </c>
      <c r="BA10" s="141">
        <v>5</v>
      </c>
      <c r="BB10" s="129">
        <v>137</v>
      </c>
      <c r="BC10" s="168">
        <f t="shared" si="4"/>
        <v>5.5000000000000002E-5</v>
      </c>
      <c r="BD10" s="168">
        <f t="shared" si="5"/>
        <v>0.1386</v>
      </c>
      <c r="BE10" s="168">
        <v>0</v>
      </c>
      <c r="BF10" s="141">
        <f t="shared" si="6"/>
        <v>1825</v>
      </c>
      <c r="BG10" s="168">
        <f t="shared" si="7"/>
        <v>5</v>
      </c>
      <c r="BH10" s="168">
        <f t="shared" si="8"/>
        <v>5</v>
      </c>
    </row>
    <row r="11" spans="1:60" s="3" customFormat="1" x14ac:dyDescent="0.25">
      <c r="A11" s="128" t="s">
        <v>9</v>
      </c>
      <c r="B11" s="129" t="s">
        <v>1059</v>
      </c>
      <c r="C11" s="129"/>
      <c r="D11" s="127" t="s">
        <v>1428</v>
      </c>
      <c r="E11" s="127" t="s">
        <v>1429</v>
      </c>
      <c r="F11" s="127" t="s">
        <v>1429</v>
      </c>
      <c r="G11" s="127" t="s">
        <v>1429</v>
      </c>
      <c r="H11" s="127">
        <v>0</v>
      </c>
      <c r="I11" s="141">
        <v>5</v>
      </c>
      <c r="J11" s="141">
        <v>5</v>
      </c>
      <c r="K11" s="141">
        <v>5</v>
      </c>
      <c r="L11" s="141">
        <v>5</v>
      </c>
      <c r="M11" s="141">
        <v>5</v>
      </c>
      <c r="N11" s="141">
        <v>5</v>
      </c>
      <c r="O11" s="141">
        <v>5</v>
      </c>
      <c r="P11" s="141">
        <v>5</v>
      </c>
      <c r="Q11" s="141">
        <v>5</v>
      </c>
      <c r="R11" s="141">
        <v>5</v>
      </c>
      <c r="S11" s="141">
        <v>5</v>
      </c>
      <c r="T11" s="141">
        <v>5</v>
      </c>
      <c r="U11" s="167">
        <v>0.92753623188405798</v>
      </c>
      <c r="V11" s="167">
        <v>0.82352941176470595</v>
      </c>
      <c r="W11" s="167">
        <v>0.890625</v>
      </c>
      <c r="X11" s="167">
        <v>0.908496732026144</v>
      </c>
      <c r="Y11" s="167">
        <v>0.88038277511961704</v>
      </c>
      <c r="Z11" s="167">
        <v>9.7999999999999997E-3</v>
      </c>
      <c r="AA11" s="167">
        <v>2.5999999999999999E-2</v>
      </c>
      <c r="AB11" s="167">
        <v>1.9E-2</v>
      </c>
      <c r="AC11" s="167">
        <v>2.4E-2</v>
      </c>
      <c r="AD11" s="167">
        <v>2.5999999999999999E-2</v>
      </c>
      <c r="AE11" s="168">
        <f t="shared" si="0"/>
        <v>3.9199999999999999E-3</v>
      </c>
      <c r="AF11" s="168">
        <f t="shared" si="0"/>
        <v>1.04E-2</v>
      </c>
      <c r="AG11" s="168">
        <f t="shared" si="0"/>
        <v>7.6E-3</v>
      </c>
      <c r="AH11" s="168">
        <f t="shared" si="0"/>
        <v>9.6000000000000009E-3</v>
      </c>
      <c r="AI11" s="168">
        <f t="shared" si="0"/>
        <v>1.04E-2</v>
      </c>
      <c r="AJ11" s="141">
        <v>5</v>
      </c>
      <c r="AK11" s="141">
        <v>221</v>
      </c>
      <c r="AL11" s="141">
        <v>5</v>
      </c>
      <c r="AM11" s="141">
        <v>5</v>
      </c>
      <c r="AN11" s="141">
        <v>5</v>
      </c>
      <c r="AO11" s="141">
        <v>5</v>
      </c>
      <c r="AP11" s="141">
        <v>5</v>
      </c>
      <c r="AQ11" s="141">
        <v>5</v>
      </c>
      <c r="AR11" s="141">
        <v>5</v>
      </c>
      <c r="AS11" s="141">
        <v>5</v>
      </c>
      <c r="AT11" s="141">
        <v>5</v>
      </c>
      <c r="AU11" s="141">
        <v>5</v>
      </c>
      <c r="AV11" s="141">
        <v>5</v>
      </c>
      <c r="AW11" s="141">
        <v>5</v>
      </c>
      <c r="AX11" s="141">
        <v>5</v>
      </c>
      <c r="AY11" s="141"/>
      <c r="AZ11" s="141">
        <f t="shared" si="3"/>
        <v>0.13862943611198905</v>
      </c>
      <c r="BA11" s="141">
        <v>5</v>
      </c>
      <c r="BB11" s="129">
        <v>221</v>
      </c>
      <c r="BC11" s="168">
        <f t="shared" si="4"/>
        <v>5.5000000000000002E-5</v>
      </c>
      <c r="BD11" s="168">
        <f t="shared" si="5"/>
        <v>0.1386</v>
      </c>
      <c r="BE11" s="168">
        <v>0</v>
      </c>
      <c r="BF11" s="141">
        <f t="shared" si="6"/>
        <v>1825</v>
      </c>
      <c r="BG11" s="168">
        <f t="shared" si="7"/>
        <v>5</v>
      </c>
      <c r="BH11" s="168">
        <f t="shared" si="8"/>
        <v>5</v>
      </c>
    </row>
    <row r="12" spans="1:60" s="3" customFormat="1" x14ac:dyDescent="0.25">
      <c r="A12" s="128" t="s">
        <v>10</v>
      </c>
      <c r="B12" s="129" t="s">
        <v>1059</v>
      </c>
      <c r="C12" s="129"/>
      <c r="D12" s="127" t="s">
        <v>1428</v>
      </c>
      <c r="E12" s="127" t="s">
        <v>1429</v>
      </c>
      <c r="F12" s="127" t="s">
        <v>1429</v>
      </c>
      <c r="G12" s="127" t="s">
        <v>1429</v>
      </c>
      <c r="H12" s="127">
        <v>0</v>
      </c>
      <c r="I12" s="141">
        <v>5</v>
      </c>
      <c r="J12" s="141">
        <v>5</v>
      </c>
      <c r="K12" s="141">
        <v>5</v>
      </c>
      <c r="L12" s="141">
        <v>5</v>
      </c>
      <c r="M12" s="141">
        <v>5</v>
      </c>
      <c r="N12" s="141">
        <v>5</v>
      </c>
      <c r="O12" s="141">
        <v>5</v>
      </c>
      <c r="P12" s="141">
        <v>5</v>
      </c>
      <c r="Q12" s="141">
        <v>5</v>
      </c>
      <c r="R12" s="141">
        <v>5</v>
      </c>
      <c r="S12" s="141">
        <v>5</v>
      </c>
      <c r="T12" s="141">
        <v>5</v>
      </c>
      <c r="U12" s="167">
        <v>0.90184049079754602</v>
      </c>
      <c r="V12" s="167">
        <v>0.89376053962900504</v>
      </c>
      <c r="W12" s="167">
        <v>0.92254901960784297</v>
      </c>
      <c r="X12" s="167">
        <v>0.92845528455284598</v>
      </c>
      <c r="Y12" s="167">
        <v>0.88405797101449302</v>
      </c>
      <c r="Z12" s="167">
        <v>1.6E-2</v>
      </c>
      <c r="AA12" s="167">
        <v>0.05</v>
      </c>
      <c r="AB12" s="167">
        <v>2.7E-2</v>
      </c>
      <c r="AC12" s="167">
        <v>3.6999999999999998E-2</v>
      </c>
      <c r="AD12" s="167">
        <v>4.3999999999999997E-2</v>
      </c>
      <c r="AE12" s="168">
        <f t="shared" si="0"/>
        <v>6.4000000000000003E-3</v>
      </c>
      <c r="AF12" s="168">
        <f t="shared" si="0"/>
        <v>2.0000000000000004E-2</v>
      </c>
      <c r="AG12" s="168">
        <f t="shared" si="0"/>
        <v>1.0800000000000001E-2</v>
      </c>
      <c r="AH12" s="168">
        <f t="shared" si="0"/>
        <v>1.4800000000000001E-2</v>
      </c>
      <c r="AI12" s="168">
        <f t="shared" si="0"/>
        <v>1.7600000000000001E-2</v>
      </c>
      <c r="AJ12" s="141">
        <v>5</v>
      </c>
      <c r="AK12" s="141">
        <v>206</v>
      </c>
      <c r="AL12" s="141">
        <v>5</v>
      </c>
      <c r="AM12" s="141">
        <v>5</v>
      </c>
      <c r="AN12" s="141">
        <v>5</v>
      </c>
      <c r="AO12" s="141">
        <v>5</v>
      </c>
      <c r="AP12" s="141">
        <v>5</v>
      </c>
      <c r="AQ12" s="141">
        <v>5</v>
      </c>
      <c r="AR12" s="141">
        <v>5</v>
      </c>
      <c r="AS12" s="141">
        <v>5</v>
      </c>
      <c r="AT12" s="141">
        <v>5</v>
      </c>
      <c r="AU12" s="141">
        <v>5</v>
      </c>
      <c r="AV12" s="141">
        <v>5</v>
      </c>
      <c r="AW12" s="141">
        <v>5</v>
      </c>
      <c r="AX12" s="141">
        <v>5</v>
      </c>
      <c r="AY12" s="141"/>
      <c r="AZ12" s="141">
        <f t="shared" si="3"/>
        <v>0.13862943611198905</v>
      </c>
      <c r="BA12" s="141">
        <v>5</v>
      </c>
      <c r="BB12" s="129">
        <v>206</v>
      </c>
      <c r="BC12" s="168">
        <f t="shared" si="4"/>
        <v>5.5000000000000002E-5</v>
      </c>
      <c r="BD12" s="168">
        <f t="shared" si="5"/>
        <v>0.1386</v>
      </c>
      <c r="BE12" s="168">
        <v>0</v>
      </c>
      <c r="BF12" s="141">
        <f t="shared" si="6"/>
        <v>1825</v>
      </c>
      <c r="BG12" s="168">
        <f t="shared" si="7"/>
        <v>5</v>
      </c>
      <c r="BH12" s="168">
        <f t="shared" si="8"/>
        <v>5</v>
      </c>
    </row>
    <row r="13" spans="1:60" s="3" customFormat="1" x14ac:dyDescent="0.25">
      <c r="A13" s="128" t="s">
        <v>11</v>
      </c>
      <c r="B13" s="129" t="s">
        <v>1059</v>
      </c>
      <c r="C13" s="129"/>
      <c r="D13" s="127" t="s">
        <v>1430</v>
      </c>
      <c r="E13" s="127" t="s">
        <v>1429</v>
      </c>
      <c r="F13" s="127" t="s">
        <v>1429</v>
      </c>
      <c r="G13" s="127">
        <v>5.0000000000000001E-3</v>
      </c>
      <c r="H13" s="127">
        <v>5.0000000000000001E-3</v>
      </c>
      <c r="I13" s="141">
        <v>5</v>
      </c>
      <c r="J13" s="141">
        <v>5</v>
      </c>
      <c r="K13" s="141">
        <v>5</v>
      </c>
      <c r="L13" s="141">
        <v>5</v>
      </c>
      <c r="M13" s="141">
        <v>5</v>
      </c>
      <c r="N13" s="141">
        <v>5</v>
      </c>
      <c r="O13" s="141">
        <v>5</v>
      </c>
      <c r="P13" s="141">
        <v>5</v>
      </c>
      <c r="Q13" s="141">
        <v>5</v>
      </c>
      <c r="R13" s="141">
        <v>5</v>
      </c>
      <c r="S13" s="141">
        <v>5</v>
      </c>
      <c r="T13" s="141">
        <v>5</v>
      </c>
      <c r="U13" s="167">
        <v>0.98969072164948502</v>
      </c>
      <c r="V13" s="167">
        <v>0.98540145985401395</v>
      </c>
      <c r="W13" s="167">
        <v>0.95212765957446799</v>
      </c>
      <c r="X13" s="167">
        <v>0.93488372093023298</v>
      </c>
      <c r="Y13" s="167">
        <v>0.93722466960352402</v>
      </c>
      <c r="Z13" s="167">
        <v>2.7999999999999998E-4</v>
      </c>
      <c r="AA13" s="167">
        <v>5.8999999999999999E-3</v>
      </c>
      <c r="AB13" s="167">
        <v>2.8E-3</v>
      </c>
      <c r="AC13" s="167">
        <v>4.7999999999999996E-3</v>
      </c>
      <c r="AD13" s="167">
        <v>5.7999999999999996E-3</v>
      </c>
      <c r="AE13" s="168">
        <f t="shared" si="0"/>
        <v>1.12E-4</v>
      </c>
      <c r="AF13" s="168">
        <f t="shared" si="0"/>
        <v>2.3600000000000001E-3</v>
      </c>
      <c r="AG13" s="168">
        <f t="shared" si="0"/>
        <v>1.1200000000000001E-3</v>
      </c>
      <c r="AH13" s="168">
        <f t="shared" si="0"/>
        <v>1.9199999999999998E-3</v>
      </c>
      <c r="AI13" s="168">
        <f t="shared" si="0"/>
        <v>2.32E-3</v>
      </c>
      <c r="AJ13" s="141">
        <v>5</v>
      </c>
      <c r="AK13" s="141">
        <v>237</v>
      </c>
      <c r="AL13" s="141">
        <v>5</v>
      </c>
      <c r="AM13" s="141">
        <v>5</v>
      </c>
      <c r="AN13" s="141">
        <v>5</v>
      </c>
      <c r="AO13" s="141">
        <v>5</v>
      </c>
      <c r="AP13" s="141">
        <v>5</v>
      </c>
      <c r="AQ13" s="141">
        <v>5</v>
      </c>
      <c r="AR13" s="141">
        <v>5</v>
      </c>
      <c r="AS13" s="141">
        <v>5</v>
      </c>
      <c r="AT13" s="141">
        <v>5</v>
      </c>
      <c r="AU13" s="141">
        <v>5</v>
      </c>
      <c r="AV13" s="141">
        <v>5</v>
      </c>
      <c r="AW13" s="141">
        <v>5</v>
      </c>
      <c r="AX13" s="141">
        <v>5</v>
      </c>
      <c r="AY13" s="141">
        <v>5.0000000000000001E-4</v>
      </c>
      <c r="AZ13" s="141">
        <f t="shared" si="3"/>
        <v>0.13862943611198905</v>
      </c>
      <c r="BA13" s="141">
        <v>5</v>
      </c>
      <c r="BB13" s="129">
        <v>237</v>
      </c>
      <c r="BC13" s="168">
        <f t="shared" si="4"/>
        <v>5.5000000000000002E-5</v>
      </c>
      <c r="BD13" s="168">
        <f t="shared" si="5"/>
        <v>0.1386</v>
      </c>
      <c r="BE13" s="168">
        <v>0</v>
      </c>
      <c r="BF13" s="141">
        <f t="shared" si="6"/>
        <v>1825</v>
      </c>
      <c r="BG13" s="168">
        <f t="shared" si="7"/>
        <v>5</v>
      </c>
      <c r="BH13" s="168">
        <f t="shared" si="8"/>
        <v>5</v>
      </c>
    </row>
    <row r="14" spans="1:60" s="3" customFormat="1" x14ac:dyDescent="0.25">
      <c r="A14" s="128" t="s">
        <v>12</v>
      </c>
      <c r="B14" s="129" t="s">
        <v>1059</v>
      </c>
      <c r="C14" s="129"/>
      <c r="D14" s="127" t="s">
        <v>1430</v>
      </c>
      <c r="E14" s="127" t="s">
        <v>1429</v>
      </c>
      <c r="F14" s="127" t="s">
        <v>1429</v>
      </c>
      <c r="G14" s="127">
        <v>5.0000000000000001E-3</v>
      </c>
      <c r="H14" s="127">
        <v>5.0000000000000001E-3</v>
      </c>
      <c r="I14" s="141">
        <v>5</v>
      </c>
      <c r="J14" s="141">
        <v>5</v>
      </c>
      <c r="K14" s="141">
        <v>5</v>
      </c>
      <c r="L14" s="141">
        <v>5</v>
      </c>
      <c r="M14" s="141">
        <v>5</v>
      </c>
      <c r="N14" s="141">
        <v>5</v>
      </c>
      <c r="O14" s="141">
        <v>5</v>
      </c>
      <c r="P14" s="141">
        <v>5</v>
      </c>
      <c r="Q14" s="141">
        <v>5</v>
      </c>
      <c r="R14" s="141">
        <v>5</v>
      </c>
      <c r="S14" s="141">
        <v>5</v>
      </c>
      <c r="T14" s="141">
        <v>5</v>
      </c>
      <c r="U14" s="167">
        <v>0.93203883495145601</v>
      </c>
      <c r="V14" s="167">
        <v>0.922115384615385</v>
      </c>
      <c r="W14" s="167">
        <v>0.92718446601941695</v>
      </c>
      <c r="X14" s="167">
        <v>0.93043478260869505</v>
      </c>
      <c r="Y14" s="167">
        <v>0.88959999999999995</v>
      </c>
      <c r="Z14" s="167">
        <v>8.2000000000000007E-3</v>
      </c>
      <c r="AA14" s="167">
        <v>4.2000000000000003E-2</v>
      </c>
      <c r="AB14" s="167">
        <v>2.3E-2</v>
      </c>
      <c r="AC14" s="167">
        <v>3.1E-2</v>
      </c>
      <c r="AD14" s="167">
        <v>3.6999999999999998E-2</v>
      </c>
      <c r="AE14" s="168">
        <f t="shared" si="0"/>
        <v>3.2800000000000004E-3</v>
      </c>
      <c r="AF14" s="168">
        <f t="shared" si="0"/>
        <v>1.6800000000000002E-2</v>
      </c>
      <c r="AG14" s="168">
        <f t="shared" si="0"/>
        <v>9.1999999999999998E-3</v>
      </c>
      <c r="AH14" s="168">
        <f t="shared" si="0"/>
        <v>1.2400000000000001E-2</v>
      </c>
      <c r="AI14" s="168">
        <f t="shared" si="0"/>
        <v>1.4800000000000001E-2</v>
      </c>
      <c r="AJ14" s="141">
        <v>5</v>
      </c>
      <c r="AK14" s="141">
        <v>233</v>
      </c>
      <c r="AL14" s="141">
        <v>5</v>
      </c>
      <c r="AM14" s="141">
        <v>5</v>
      </c>
      <c r="AN14" s="141">
        <v>5</v>
      </c>
      <c r="AO14" s="141">
        <v>5</v>
      </c>
      <c r="AP14" s="141">
        <v>5</v>
      </c>
      <c r="AQ14" s="141">
        <v>5</v>
      </c>
      <c r="AR14" s="141">
        <v>5</v>
      </c>
      <c r="AS14" s="141">
        <v>5</v>
      </c>
      <c r="AT14" s="141">
        <v>5</v>
      </c>
      <c r="AU14" s="141">
        <v>5</v>
      </c>
      <c r="AV14" s="141">
        <v>5</v>
      </c>
      <c r="AW14" s="141">
        <v>5</v>
      </c>
      <c r="AX14" s="141">
        <v>5</v>
      </c>
      <c r="AY14" s="141">
        <v>5.0000000000000001E-4</v>
      </c>
      <c r="AZ14" s="141">
        <f t="shared" si="3"/>
        <v>0.13862943611198905</v>
      </c>
      <c r="BA14" s="141">
        <v>5</v>
      </c>
      <c r="BB14" s="129">
        <v>233</v>
      </c>
      <c r="BC14" s="168">
        <f t="shared" si="4"/>
        <v>5.5000000000000002E-5</v>
      </c>
      <c r="BD14" s="168">
        <f t="shared" si="5"/>
        <v>0.1386</v>
      </c>
      <c r="BE14" s="168">
        <v>0</v>
      </c>
      <c r="BF14" s="141">
        <f t="shared" si="6"/>
        <v>1825</v>
      </c>
      <c r="BG14" s="168">
        <f t="shared" si="7"/>
        <v>5</v>
      </c>
      <c r="BH14" s="168">
        <f t="shared" si="8"/>
        <v>5</v>
      </c>
    </row>
    <row r="15" spans="1:60" s="3" customFormat="1" x14ac:dyDescent="0.25">
      <c r="A15" s="128" t="s">
        <v>13</v>
      </c>
      <c r="B15" s="129" t="s">
        <v>1059</v>
      </c>
      <c r="C15" s="129"/>
      <c r="D15" s="127" t="s">
        <v>1430</v>
      </c>
      <c r="E15" s="127" t="s">
        <v>1429</v>
      </c>
      <c r="F15" s="127" t="s">
        <v>1429</v>
      </c>
      <c r="G15" s="127">
        <v>0.6</v>
      </c>
      <c r="H15" s="127">
        <v>0.02</v>
      </c>
      <c r="I15" s="141">
        <v>5</v>
      </c>
      <c r="J15" s="141">
        <v>5</v>
      </c>
      <c r="K15" s="141">
        <v>5</v>
      </c>
      <c r="L15" s="141">
        <v>5</v>
      </c>
      <c r="M15" s="141">
        <v>5</v>
      </c>
      <c r="N15" s="141">
        <v>5</v>
      </c>
      <c r="O15" s="141">
        <v>5</v>
      </c>
      <c r="P15" s="141">
        <v>5</v>
      </c>
      <c r="Q15" s="141">
        <v>5</v>
      </c>
      <c r="R15" s="141">
        <v>5</v>
      </c>
      <c r="S15" s="141">
        <v>5</v>
      </c>
      <c r="T15" s="141">
        <v>5</v>
      </c>
      <c r="U15" s="167">
        <v>0.9</v>
      </c>
      <c r="V15" s="167">
        <v>0.9</v>
      </c>
      <c r="W15" s="167">
        <v>0.9</v>
      </c>
      <c r="X15" s="167">
        <v>0.9</v>
      </c>
      <c r="Y15" s="167">
        <v>0.9</v>
      </c>
      <c r="Z15" s="167">
        <v>0</v>
      </c>
      <c r="AA15" s="167">
        <v>0</v>
      </c>
      <c r="AB15" s="167">
        <v>0</v>
      </c>
      <c r="AC15" s="167">
        <v>0</v>
      </c>
      <c r="AD15" s="167">
        <v>0</v>
      </c>
      <c r="AE15" s="168">
        <f t="shared" si="0"/>
        <v>0</v>
      </c>
      <c r="AF15" s="168">
        <f t="shared" si="0"/>
        <v>0</v>
      </c>
      <c r="AG15" s="168">
        <f t="shared" si="0"/>
        <v>0</v>
      </c>
      <c r="AH15" s="168">
        <f t="shared" si="0"/>
        <v>0</v>
      </c>
      <c r="AI15" s="168">
        <f t="shared" si="0"/>
        <v>0</v>
      </c>
      <c r="AJ15" s="141">
        <v>5</v>
      </c>
      <c r="AK15" s="141">
        <v>209</v>
      </c>
      <c r="AL15" s="141">
        <v>5</v>
      </c>
      <c r="AM15" s="141">
        <v>5</v>
      </c>
      <c r="AN15" s="141">
        <v>5</v>
      </c>
      <c r="AO15" s="141">
        <v>5</v>
      </c>
      <c r="AP15" s="141">
        <v>5</v>
      </c>
      <c r="AQ15" s="141">
        <v>5</v>
      </c>
      <c r="AR15" s="141">
        <v>5</v>
      </c>
      <c r="AS15" s="141">
        <v>5</v>
      </c>
      <c r="AT15" s="141">
        <v>5</v>
      </c>
      <c r="AU15" s="141">
        <v>5</v>
      </c>
      <c r="AV15" s="141">
        <v>5</v>
      </c>
      <c r="AW15" s="141">
        <v>5</v>
      </c>
      <c r="AX15" s="141">
        <v>5</v>
      </c>
      <c r="AY15" s="141">
        <v>0.2</v>
      </c>
      <c r="AZ15" s="141">
        <f t="shared" si="3"/>
        <v>0.13862943611198905</v>
      </c>
      <c r="BA15" s="141">
        <v>5</v>
      </c>
      <c r="BB15" s="129">
        <v>209</v>
      </c>
      <c r="BC15" s="168">
        <f t="shared" si="4"/>
        <v>5.5000000000000002E-5</v>
      </c>
      <c r="BD15" s="168">
        <f t="shared" si="5"/>
        <v>0.1386</v>
      </c>
      <c r="BE15" s="168">
        <v>0</v>
      </c>
      <c r="BF15" s="141">
        <f t="shared" si="6"/>
        <v>1825</v>
      </c>
      <c r="BG15" s="168">
        <f t="shared" si="7"/>
        <v>5</v>
      </c>
      <c r="BH15" s="168">
        <f t="shared" si="8"/>
        <v>5</v>
      </c>
    </row>
    <row r="16" spans="1:60" s="3" customFormat="1" x14ac:dyDescent="0.25">
      <c r="A16" s="128" t="s">
        <v>14</v>
      </c>
      <c r="B16" s="129" t="s">
        <v>1059</v>
      </c>
      <c r="C16" s="129"/>
      <c r="D16" s="127" t="s">
        <v>1430</v>
      </c>
      <c r="E16" s="127" t="s">
        <v>1429</v>
      </c>
      <c r="F16" s="127" t="s">
        <v>1429</v>
      </c>
      <c r="G16" s="127">
        <v>0.6</v>
      </c>
      <c r="H16" s="127">
        <v>0.02</v>
      </c>
      <c r="I16" s="141">
        <v>5</v>
      </c>
      <c r="J16" s="141">
        <v>5</v>
      </c>
      <c r="K16" s="141">
        <v>5</v>
      </c>
      <c r="L16" s="141">
        <v>5</v>
      </c>
      <c r="M16" s="141">
        <v>5</v>
      </c>
      <c r="N16" s="141">
        <v>5</v>
      </c>
      <c r="O16" s="141">
        <v>5</v>
      </c>
      <c r="P16" s="141">
        <v>5</v>
      </c>
      <c r="Q16" s="141">
        <v>5</v>
      </c>
      <c r="R16" s="141">
        <v>5</v>
      </c>
      <c r="S16" s="141">
        <v>5</v>
      </c>
      <c r="T16" s="141">
        <v>5</v>
      </c>
      <c r="U16" s="167">
        <v>1</v>
      </c>
      <c r="V16" s="167">
        <v>0.94642857142857095</v>
      </c>
      <c r="W16" s="167">
        <v>0.97425742574257401</v>
      </c>
      <c r="X16" s="167">
        <v>0.94932432432432401</v>
      </c>
      <c r="Y16" s="167">
        <v>0.94444444444444398</v>
      </c>
      <c r="Z16" s="167">
        <v>9.9999999999999995E-8</v>
      </c>
      <c r="AA16" s="167">
        <v>4.4000000000000002E-6</v>
      </c>
      <c r="AB16" s="167">
        <v>2.3999999999999999E-6</v>
      </c>
      <c r="AC16" s="167">
        <v>4.0999999999999997E-6</v>
      </c>
      <c r="AD16" s="167">
        <v>4.0999999999999997E-6</v>
      </c>
      <c r="AE16" s="168">
        <f t="shared" si="0"/>
        <v>4.0000000000000001E-8</v>
      </c>
      <c r="AF16" s="168">
        <f t="shared" si="0"/>
        <v>1.7600000000000001E-6</v>
      </c>
      <c r="AG16" s="168">
        <f t="shared" si="0"/>
        <v>9.5999999999999991E-7</v>
      </c>
      <c r="AH16" s="168">
        <f t="shared" si="0"/>
        <v>1.64E-6</v>
      </c>
      <c r="AI16" s="168">
        <f t="shared" si="0"/>
        <v>1.64E-6</v>
      </c>
      <c r="AJ16" s="141">
        <v>5</v>
      </c>
      <c r="AK16" s="141">
        <v>210</v>
      </c>
      <c r="AL16" s="141">
        <v>5</v>
      </c>
      <c r="AM16" s="141">
        <v>5</v>
      </c>
      <c r="AN16" s="141">
        <v>5</v>
      </c>
      <c r="AO16" s="141">
        <v>5</v>
      </c>
      <c r="AP16" s="141">
        <v>5</v>
      </c>
      <c r="AQ16" s="141">
        <v>5</v>
      </c>
      <c r="AR16" s="141">
        <v>5</v>
      </c>
      <c r="AS16" s="141">
        <v>5</v>
      </c>
      <c r="AT16" s="141">
        <v>5</v>
      </c>
      <c r="AU16" s="141">
        <v>5</v>
      </c>
      <c r="AV16" s="141">
        <v>5</v>
      </c>
      <c r="AW16" s="141">
        <v>5</v>
      </c>
      <c r="AX16" s="141">
        <v>5</v>
      </c>
      <c r="AY16" s="141">
        <v>0.2</v>
      </c>
      <c r="AZ16" s="141">
        <f t="shared" si="3"/>
        <v>0.13862943611198905</v>
      </c>
      <c r="BA16" s="141">
        <v>5</v>
      </c>
      <c r="BB16" s="129">
        <v>210</v>
      </c>
      <c r="BC16" s="168">
        <f t="shared" si="4"/>
        <v>5.5000000000000002E-5</v>
      </c>
      <c r="BD16" s="168">
        <f t="shared" si="5"/>
        <v>0.1386</v>
      </c>
      <c r="BE16" s="168">
        <v>0</v>
      </c>
      <c r="BF16" s="141">
        <f t="shared" si="6"/>
        <v>1825</v>
      </c>
      <c r="BG16" s="168">
        <f t="shared" si="7"/>
        <v>5</v>
      </c>
      <c r="BH16" s="168">
        <f t="shared" si="8"/>
        <v>5</v>
      </c>
    </row>
    <row r="17" spans="1:60" s="3" customFormat="1" x14ac:dyDescent="0.25">
      <c r="A17" s="128" t="s">
        <v>15</v>
      </c>
      <c r="B17" s="129" t="s">
        <v>1059</v>
      </c>
      <c r="C17" s="129"/>
      <c r="D17" s="127" t="s">
        <v>1430</v>
      </c>
      <c r="E17" s="127" t="s">
        <v>1429</v>
      </c>
      <c r="F17" s="127" t="s">
        <v>1429</v>
      </c>
      <c r="G17" s="127">
        <v>0.6</v>
      </c>
      <c r="H17" s="127">
        <v>0.02</v>
      </c>
      <c r="I17" s="141">
        <v>5</v>
      </c>
      <c r="J17" s="141">
        <v>5</v>
      </c>
      <c r="K17" s="141">
        <v>5</v>
      </c>
      <c r="L17" s="141">
        <v>5</v>
      </c>
      <c r="M17" s="141">
        <v>5</v>
      </c>
      <c r="N17" s="141">
        <v>5</v>
      </c>
      <c r="O17" s="141">
        <v>5</v>
      </c>
      <c r="P17" s="141">
        <v>5</v>
      </c>
      <c r="Q17" s="141">
        <v>5</v>
      </c>
      <c r="R17" s="141">
        <v>5</v>
      </c>
      <c r="S17" s="141">
        <v>5</v>
      </c>
      <c r="T17" s="141">
        <v>5</v>
      </c>
      <c r="U17" s="167">
        <v>0.901685393258427</v>
      </c>
      <c r="V17" s="167">
        <v>0.92436974789916004</v>
      </c>
      <c r="W17" s="167">
        <v>0.92558139534883699</v>
      </c>
      <c r="X17" s="167">
        <v>0.9296875</v>
      </c>
      <c r="Y17" s="167">
        <v>0.87916666666666698</v>
      </c>
      <c r="Z17" s="167">
        <v>1.4999999999999999E-2</v>
      </c>
      <c r="AA17" s="167">
        <v>4.9000000000000002E-2</v>
      </c>
      <c r="AB17" s="167">
        <v>2.8000000000000001E-2</v>
      </c>
      <c r="AC17" s="167">
        <v>3.6999999999999998E-2</v>
      </c>
      <c r="AD17" s="167">
        <v>4.3999999999999997E-2</v>
      </c>
      <c r="AE17" s="168">
        <f t="shared" si="0"/>
        <v>6.0000000000000001E-3</v>
      </c>
      <c r="AF17" s="168">
        <f t="shared" si="0"/>
        <v>1.9600000000000003E-2</v>
      </c>
      <c r="AG17" s="168">
        <f t="shared" si="0"/>
        <v>1.1200000000000002E-2</v>
      </c>
      <c r="AH17" s="168">
        <f t="shared" si="0"/>
        <v>1.4800000000000001E-2</v>
      </c>
      <c r="AI17" s="168">
        <f t="shared" si="0"/>
        <v>1.7600000000000001E-2</v>
      </c>
      <c r="AJ17" s="141">
        <v>5</v>
      </c>
      <c r="AK17" s="141">
        <v>214</v>
      </c>
      <c r="AL17" s="141">
        <v>5</v>
      </c>
      <c r="AM17" s="141">
        <v>5</v>
      </c>
      <c r="AN17" s="141">
        <v>5</v>
      </c>
      <c r="AO17" s="141">
        <v>5</v>
      </c>
      <c r="AP17" s="141">
        <v>5</v>
      </c>
      <c r="AQ17" s="141">
        <v>5</v>
      </c>
      <c r="AR17" s="141">
        <v>5</v>
      </c>
      <c r="AS17" s="141">
        <v>5</v>
      </c>
      <c r="AT17" s="141">
        <v>5</v>
      </c>
      <c r="AU17" s="141">
        <v>5</v>
      </c>
      <c r="AV17" s="141">
        <v>5</v>
      </c>
      <c r="AW17" s="141">
        <v>5</v>
      </c>
      <c r="AX17" s="141">
        <v>5</v>
      </c>
      <c r="AY17" s="141">
        <v>0.2</v>
      </c>
      <c r="AZ17" s="141">
        <f t="shared" si="3"/>
        <v>0.13862943611198905</v>
      </c>
      <c r="BA17" s="141">
        <v>5</v>
      </c>
      <c r="BB17" s="129">
        <v>214</v>
      </c>
      <c r="BC17" s="168">
        <f t="shared" si="4"/>
        <v>5.5000000000000002E-5</v>
      </c>
      <c r="BD17" s="168">
        <f t="shared" si="5"/>
        <v>0.1386</v>
      </c>
      <c r="BE17" s="168">
        <v>0</v>
      </c>
      <c r="BF17" s="141">
        <f t="shared" si="6"/>
        <v>1825</v>
      </c>
      <c r="BG17" s="168">
        <f t="shared" si="7"/>
        <v>5</v>
      </c>
      <c r="BH17" s="168">
        <f t="shared" si="8"/>
        <v>5</v>
      </c>
    </row>
    <row r="18" spans="1:60" s="3" customFormat="1" x14ac:dyDescent="0.25">
      <c r="A18" s="128" t="s">
        <v>16</v>
      </c>
      <c r="B18" s="129" t="s">
        <v>1059</v>
      </c>
      <c r="C18" s="129"/>
      <c r="D18" s="127" t="s">
        <v>1430</v>
      </c>
      <c r="E18" s="127" t="s">
        <v>1431</v>
      </c>
      <c r="F18" s="127" t="s">
        <v>1429</v>
      </c>
      <c r="G18" s="127">
        <v>1</v>
      </c>
      <c r="H18" s="127">
        <v>0.02</v>
      </c>
      <c r="I18" s="141">
        <v>5</v>
      </c>
      <c r="J18" s="141">
        <v>5</v>
      </c>
      <c r="K18" s="141">
        <v>5</v>
      </c>
      <c r="L18" s="141">
        <v>5</v>
      </c>
      <c r="M18" s="141">
        <v>5</v>
      </c>
      <c r="N18" s="141">
        <v>5</v>
      </c>
      <c r="O18" s="141">
        <v>5</v>
      </c>
      <c r="P18" s="141">
        <v>5</v>
      </c>
      <c r="Q18" s="141">
        <v>5</v>
      </c>
      <c r="R18" s="141">
        <v>5</v>
      </c>
      <c r="S18" s="141">
        <v>5</v>
      </c>
      <c r="T18" s="141">
        <v>5</v>
      </c>
      <c r="U18" s="167">
        <v>0.88135593220339004</v>
      </c>
      <c r="V18" s="167">
        <v>0.93612334801762098</v>
      </c>
      <c r="W18" s="167">
        <v>0.93633952254641895</v>
      </c>
      <c r="X18" s="167">
        <v>0.93013100436681195</v>
      </c>
      <c r="Y18" s="167">
        <v>0.94466403162055301</v>
      </c>
      <c r="Z18" s="167">
        <v>0.03</v>
      </c>
      <c r="AA18" s="167">
        <v>9.5000000000000001E-2</v>
      </c>
      <c r="AB18" s="167">
        <v>4.8000000000000001E-2</v>
      </c>
      <c r="AC18" s="167">
        <v>6.9000000000000006E-2</v>
      </c>
      <c r="AD18" s="167">
        <v>8.2000000000000003E-2</v>
      </c>
      <c r="AE18" s="168">
        <f t="shared" ref="AE18:AI30" si="9">0.4*Z18</f>
        <v>1.2E-2</v>
      </c>
      <c r="AF18" s="168">
        <f t="shared" si="9"/>
        <v>3.8000000000000006E-2</v>
      </c>
      <c r="AG18" s="168">
        <f t="shared" si="9"/>
        <v>1.9200000000000002E-2</v>
      </c>
      <c r="AH18" s="168">
        <f t="shared" si="9"/>
        <v>2.7600000000000003E-2</v>
      </c>
      <c r="AI18" s="168">
        <f t="shared" si="9"/>
        <v>3.2800000000000003E-2</v>
      </c>
      <c r="AJ18" s="141">
        <v>5</v>
      </c>
      <c r="AK18" s="141">
        <v>210</v>
      </c>
      <c r="AL18" s="141">
        <v>5</v>
      </c>
      <c r="AM18" s="141">
        <v>5</v>
      </c>
      <c r="AN18" s="141">
        <v>5</v>
      </c>
      <c r="AO18" s="141">
        <v>5</v>
      </c>
      <c r="AP18" s="141">
        <v>5</v>
      </c>
      <c r="AQ18" s="141">
        <v>5</v>
      </c>
      <c r="AR18" s="141">
        <v>5</v>
      </c>
      <c r="AS18" s="141">
        <v>5</v>
      </c>
      <c r="AT18" s="141">
        <v>5</v>
      </c>
      <c r="AU18" s="141">
        <v>5</v>
      </c>
      <c r="AV18" s="141">
        <v>5</v>
      </c>
      <c r="AW18" s="141">
        <v>5</v>
      </c>
      <c r="AX18" s="141">
        <v>5</v>
      </c>
      <c r="AY18" s="141"/>
      <c r="AZ18" s="141">
        <f t="shared" si="3"/>
        <v>0.13862943611198905</v>
      </c>
      <c r="BA18" s="141">
        <v>5</v>
      </c>
      <c r="BB18" s="129">
        <v>210</v>
      </c>
      <c r="BC18" s="168">
        <f t="shared" si="4"/>
        <v>5.5000000000000002E-5</v>
      </c>
      <c r="BD18" s="168">
        <f t="shared" si="5"/>
        <v>0.1386</v>
      </c>
      <c r="BE18" s="168">
        <v>0</v>
      </c>
      <c r="BF18" s="141">
        <f t="shared" si="6"/>
        <v>1825</v>
      </c>
      <c r="BG18" s="168">
        <f t="shared" si="7"/>
        <v>5</v>
      </c>
      <c r="BH18" s="168">
        <f t="shared" si="8"/>
        <v>5</v>
      </c>
    </row>
    <row r="19" spans="1:60" s="3" customFormat="1" x14ac:dyDescent="0.25">
      <c r="A19" s="128" t="s">
        <v>17</v>
      </c>
      <c r="B19" s="129" t="s">
        <v>1059</v>
      </c>
      <c r="C19" s="129"/>
      <c r="D19" s="127" t="s">
        <v>1428</v>
      </c>
      <c r="E19" s="127" t="s">
        <v>1429</v>
      </c>
      <c r="F19" s="127" t="s">
        <v>1429</v>
      </c>
      <c r="G19" s="127" t="s">
        <v>1429</v>
      </c>
      <c r="H19" s="127">
        <v>0</v>
      </c>
      <c r="I19" s="141">
        <v>5</v>
      </c>
      <c r="J19" s="141">
        <v>5</v>
      </c>
      <c r="K19" s="141">
        <v>5</v>
      </c>
      <c r="L19" s="141">
        <v>5</v>
      </c>
      <c r="M19" s="141">
        <v>5</v>
      </c>
      <c r="N19" s="141">
        <v>5</v>
      </c>
      <c r="O19" s="141">
        <v>5</v>
      </c>
      <c r="P19" s="141">
        <v>5</v>
      </c>
      <c r="Q19" s="141">
        <v>5</v>
      </c>
      <c r="R19" s="141">
        <v>5</v>
      </c>
      <c r="S19" s="141">
        <v>5</v>
      </c>
      <c r="T19" s="141">
        <v>5</v>
      </c>
      <c r="U19" s="167">
        <v>0.87991266375545796</v>
      </c>
      <c r="V19" s="167">
        <v>0.93714285714285706</v>
      </c>
      <c r="W19" s="167">
        <v>0.93493150684931503</v>
      </c>
      <c r="X19" s="167">
        <v>0.93220338983050799</v>
      </c>
      <c r="Y19" s="167">
        <v>0.94871794871794901</v>
      </c>
      <c r="Z19" s="167">
        <v>2.9000000000000001E-2</v>
      </c>
      <c r="AA19" s="167">
        <v>9.2999999999999999E-2</v>
      </c>
      <c r="AB19" s="167">
        <v>4.7E-2</v>
      </c>
      <c r="AC19" s="167">
        <v>6.8000000000000005E-2</v>
      </c>
      <c r="AD19" s="167">
        <v>0.08</v>
      </c>
      <c r="AE19" s="168">
        <f t="shared" si="9"/>
        <v>1.1600000000000001E-2</v>
      </c>
      <c r="AF19" s="168">
        <f t="shared" si="9"/>
        <v>3.7200000000000004E-2</v>
      </c>
      <c r="AG19" s="168">
        <f t="shared" si="9"/>
        <v>1.8800000000000001E-2</v>
      </c>
      <c r="AH19" s="168">
        <f t="shared" si="9"/>
        <v>2.7200000000000002E-2</v>
      </c>
      <c r="AI19" s="168">
        <f t="shared" si="9"/>
        <v>3.2000000000000001E-2</v>
      </c>
      <c r="AJ19" s="141">
        <v>5</v>
      </c>
      <c r="AK19" s="141">
        <v>213</v>
      </c>
      <c r="AL19" s="141">
        <v>5</v>
      </c>
      <c r="AM19" s="141">
        <v>5</v>
      </c>
      <c r="AN19" s="141">
        <v>5</v>
      </c>
      <c r="AO19" s="141">
        <v>5</v>
      </c>
      <c r="AP19" s="141">
        <v>5</v>
      </c>
      <c r="AQ19" s="141">
        <v>5</v>
      </c>
      <c r="AR19" s="141">
        <v>5</v>
      </c>
      <c r="AS19" s="141">
        <v>5</v>
      </c>
      <c r="AT19" s="141">
        <v>5</v>
      </c>
      <c r="AU19" s="141">
        <v>5</v>
      </c>
      <c r="AV19" s="141">
        <v>5</v>
      </c>
      <c r="AW19" s="141">
        <v>5</v>
      </c>
      <c r="AX19" s="141">
        <v>5</v>
      </c>
      <c r="AY19" s="141"/>
      <c r="AZ19" s="141">
        <f t="shared" si="3"/>
        <v>0.13862943611198905</v>
      </c>
      <c r="BA19" s="141">
        <v>5</v>
      </c>
      <c r="BB19" s="129">
        <v>213</v>
      </c>
      <c r="BC19" s="168">
        <f t="shared" si="4"/>
        <v>5.5000000000000002E-5</v>
      </c>
      <c r="BD19" s="168">
        <f t="shared" si="5"/>
        <v>0.1386</v>
      </c>
      <c r="BE19" s="168">
        <v>0</v>
      </c>
      <c r="BF19" s="141">
        <f t="shared" si="6"/>
        <v>1825</v>
      </c>
      <c r="BG19" s="168">
        <f t="shared" si="7"/>
        <v>5</v>
      </c>
      <c r="BH19" s="168">
        <f t="shared" si="8"/>
        <v>5</v>
      </c>
    </row>
    <row r="20" spans="1:60" s="3" customFormat="1" x14ac:dyDescent="0.25">
      <c r="A20" s="128" t="s">
        <v>18</v>
      </c>
      <c r="B20" s="129" t="s">
        <v>1059</v>
      </c>
      <c r="C20" s="129"/>
      <c r="D20" s="127" t="s">
        <v>1428</v>
      </c>
      <c r="E20" s="127" t="s">
        <v>1429</v>
      </c>
      <c r="F20" s="127" t="s">
        <v>1429</v>
      </c>
      <c r="G20" s="127" t="s">
        <v>1429</v>
      </c>
      <c r="H20" s="127">
        <v>0</v>
      </c>
      <c r="I20" s="141">
        <v>5</v>
      </c>
      <c r="J20" s="141">
        <v>5</v>
      </c>
      <c r="K20" s="141">
        <v>5</v>
      </c>
      <c r="L20" s="141">
        <v>5</v>
      </c>
      <c r="M20" s="141">
        <v>5</v>
      </c>
      <c r="N20" s="141">
        <v>5</v>
      </c>
      <c r="O20" s="141">
        <v>5</v>
      </c>
      <c r="P20" s="141">
        <v>5</v>
      </c>
      <c r="Q20" s="141">
        <v>5</v>
      </c>
      <c r="R20" s="141">
        <v>5</v>
      </c>
      <c r="S20" s="141">
        <v>5</v>
      </c>
      <c r="T20" s="141">
        <v>5</v>
      </c>
      <c r="U20" s="167">
        <v>0.87920792079207899</v>
      </c>
      <c r="V20" s="167">
        <v>0.93298969072164994</v>
      </c>
      <c r="W20" s="167">
        <v>0.93633540372670798</v>
      </c>
      <c r="X20" s="167">
        <v>0.930946291560102</v>
      </c>
      <c r="Y20" s="167">
        <v>0.94444444444444398</v>
      </c>
      <c r="Z20" s="167">
        <v>0.03</v>
      </c>
      <c r="AA20" s="167">
        <v>9.5000000000000001E-2</v>
      </c>
      <c r="AB20" s="167">
        <v>4.8000000000000001E-2</v>
      </c>
      <c r="AC20" s="167">
        <v>6.9000000000000006E-2</v>
      </c>
      <c r="AD20" s="167">
        <v>8.1000000000000003E-2</v>
      </c>
      <c r="AE20" s="168">
        <f t="shared" si="9"/>
        <v>1.2E-2</v>
      </c>
      <c r="AF20" s="168">
        <f t="shared" si="9"/>
        <v>3.8000000000000006E-2</v>
      </c>
      <c r="AG20" s="168">
        <f t="shared" si="9"/>
        <v>1.9200000000000002E-2</v>
      </c>
      <c r="AH20" s="168">
        <f t="shared" si="9"/>
        <v>2.7600000000000003E-2</v>
      </c>
      <c r="AI20" s="168">
        <f t="shared" si="9"/>
        <v>3.2400000000000005E-2</v>
      </c>
      <c r="AJ20" s="141">
        <v>5</v>
      </c>
      <c r="AK20" s="141">
        <v>214</v>
      </c>
      <c r="AL20" s="141">
        <v>5</v>
      </c>
      <c r="AM20" s="141">
        <v>5</v>
      </c>
      <c r="AN20" s="141">
        <v>5</v>
      </c>
      <c r="AO20" s="141">
        <v>5</v>
      </c>
      <c r="AP20" s="141">
        <v>5</v>
      </c>
      <c r="AQ20" s="141">
        <v>5</v>
      </c>
      <c r="AR20" s="141">
        <v>5</v>
      </c>
      <c r="AS20" s="141">
        <v>5</v>
      </c>
      <c r="AT20" s="141">
        <v>5</v>
      </c>
      <c r="AU20" s="141">
        <v>5</v>
      </c>
      <c r="AV20" s="141">
        <v>5</v>
      </c>
      <c r="AW20" s="141">
        <v>5</v>
      </c>
      <c r="AX20" s="141">
        <v>5</v>
      </c>
      <c r="AY20" s="141"/>
      <c r="AZ20" s="141">
        <f t="shared" si="3"/>
        <v>0.13862943611198905</v>
      </c>
      <c r="BA20" s="141">
        <v>5</v>
      </c>
      <c r="BB20" s="129">
        <v>214</v>
      </c>
      <c r="BC20" s="168">
        <f t="shared" si="4"/>
        <v>5.5000000000000002E-5</v>
      </c>
      <c r="BD20" s="168">
        <f t="shared" si="5"/>
        <v>0.1386</v>
      </c>
      <c r="BE20" s="168">
        <v>0</v>
      </c>
      <c r="BF20" s="141">
        <f t="shared" si="6"/>
        <v>1825</v>
      </c>
      <c r="BG20" s="168">
        <f t="shared" si="7"/>
        <v>5</v>
      </c>
      <c r="BH20" s="168">
        <f t="shared" si="8"/>
        <v>5</v>
      </c>
    </row>
    <row r="21" spans="1:60" s="3" customFormat="1" x14ac:dyDescent="0.25">
      <c r="A21" s="128" t="s">
        <v>19</v>
      </c>
      <c r="B21" s="129" t="s">
        <v>1059</v>
      </c>
      <c r="C21" s="129"/>
      <c r="D21" s="127" t="s">
        <v>1428</v>
      </c>
      <c r="E21" s="127" t="s">
        <v>1429</v>
      </c>
      <c r="F21" s="127" t="s">
        <v>1429</v>
      </c>
      <c r="G21" s="127" t="s">
        <v>1429</v>
      </c>
      <c r="H21" s="127">
        <v>0</v>
      </c>
      <c r="I21" s="141">
        <v>5</v>
      </c>
      <c r="J21" s="141">
        <v>5</v>
      </c>
      <c r="K21" s="141">
        <v>5</v>
      </c>
      <c r="L21" s="141">
        <v>5</v>
      </c>
      <c r="M21" s="141">
        <v>5</v>
      </c>
      <c r="N21" s="141">
        <v>5</v>
      </c>
      <c r="O21" s="141">
        <v>5</v>
      </c>
      <c r="P21" s="141">
        <v>5</v>
      </c>
      <c r="Q21" s="141">
        <v>5</v>
      </c>
      <c r="R21" s="141">
        <v>5</v>
      </c>
      <c r="S21" s="141">
        <v>5</v>
      </c>
      <c r="T21" s="141">
        <v>5</v>
      </c>
      <c r="U21" s="167">
        <v>0.9</v>
      </c>
      <c r="V21" s="167">
        <v>0.9</v>
      </c>
      <c r="W21" s="167">
        <v>0.9</v>
      </c>
      <c r="X21" s="167">
        <v>0.9</v>
      </c>
      <c r="Y21" s="167">
        <v>0.9</v>
      </c>
      <c r="Z21" s="167">
        <v>0</v>
      </c>
      <c r="AA21" s="167">
        <v>0</v>
      </c>
      <c r="AB21" s="167">
        <v>0</v>
      </c>
      <c r="AC21" s="167">
        <v>0</v>
      </c>
      <c r="AD21" s="167">
        <v>0</v>
      </c>
      <c r="AE21" s="168">
        <f t="shared" si="9"/>
        <v>0</v>
      </c>
      <c r="AF21" s="168">
        <f t="shared" si="9"/>
        <v>0</v>
      </c>
      <c r="AG21" s="168">
        <f t="shared" si="9"/>
        <v>0</v>
      </c>
      <c r="AH21" s="168">
        <f t="shared" si="9"/>
        <v>0</v>
      </c>
      <c r="AI21" s="168">
        <f t="shared" si="9"/>
        <v>0</v>
      </c>
      <c r="AJ21" s="141">
        <v>5</v>
      </c>
      <c r="AK21" s="141">
        <v>218</v>
      </c>
      <c r="AL21" s="141">
        <v>5</v>
      </c>
      <c r="AM21" s="141">
        <v>5</v>
      </c>
      <c r="AN21" s="141">
        <v>5</v>
      </c>
      <c r="AO21" s="141">
        <v>5</v>
      </c>
      <c r="AP21" s="141">
        <v>5</v>
      </c>
      <c r="AQ21" s="141">
        <v>5</v>
      </c>
      <c r="AR21" s="141">
        <v>5</v>
      </c>
      <c r="AS21" s="141">
        <v>5</v>
      </c>
      <c r="AT21" s="141">
        <v>5</v>
      </c>
      <c r="AU21" s="141">
        <v>5</v>
      </c>
      <c r="AV21" s="141">
        <v>5</v>
      </c>
      <c r="AW21" s="141">
        <v>5</v>
      </c>
      <c r="AX21" s="141">
        <v>5</v>
      </c>
      <c r="AY21" s="141"/>
      <c r="AZ21" s="141">
        <f t="shared" si="3"/>
        <v>0.13862943611198905</v>
      </c>
      <c r="BA21" s="141">
        <v>5</v>
      </c>
      <c r="BB21" s="129">
        <v>218</v>
      </c>
      <c r="BC21" s="168">
        <f t="shared" si="4"/>
        <v>5.5000000000000002E-5</v>
      </c>
      <c r="BD21" s="168">
        <f t="shared" si="5"/>
        <v>0.1386</v>
      </c>
      <c r="BE21" s="168">
        <v>0</v>
      </c>
      <c r="BF21" s="141">
        <f t="shared" si="6"/>
        <v>1825</v>
      </c>
      <c r="BG21" s="168">
        <f t="shared" si="7"/>
        <v>5</v>
      </c>
      <c r="BH21" s="168">
        <f t="shared" si="8"/>
        <v>5</v>
      </c>
    </row>
    <row r="22" spans="1:60" s="3" customFormat="1" x14ac:dyDescent="0.25">
      <c r="A22" s="128" t="s">
        <v>20</v>
      </c>
      <c r="B22" s="129" t="s">
        <v>1059</v>
      </c>
      <c r="C22" s="129"/>
      <c r="D22" s="127" t="s">
        <v>1430</v>
      </c>
      <c r="E22" s="127" t="s">
        <v>1429</v>
      </c>
      <c r="F22" s="127" t="s">
        <v>1429</v>
      </c>
      <c r="G22" s="127">
        <v>0.6</v>
      </c>
      <c r="H22" s="127">
        <v>0.02</v>
      </c>
      <c r="I22" s="141">
        <v>5</v>
      </c>
      <c r="J22" s="141">
        <v>5</v>
      </c>
      <c r="K22" s="141">
        <v>5</v>
      </c>
      <c r="L22" s="141">
        <v>5</v>
      </c>
      <c r="M22" s="141">
        <v>5</v>
      </c>
      <c r="N22" s="141">
        <v>5</v>
      </c>
      <c r="O22" s="141">
        <v>5</v>
      </c>
      <c r="P22" s="141">
        <v>5</v>
      </c>
      <c r="Q22" s="141">
        <v>5</v>
      </c>
      <c r="R22" s="141">
        <v>5</v>
      </c>
      <c r="S22" s="141">
        <v>5</v>
      </c>
      <c r="T22" s="141">
        <v>5</v>
      </c>
      <c r="U22" s="167">
        <v>0.98748261474269805</v>
      </c>
      <c r="V22" s="167">
        <v>0.86834733893557403</v>
      </c>
      <c r="W22" s="167">
        <v>0.98884758364312197</v>
      </c>
      <c r="X22" s="167">
        <v>0.95495495495495497</v>
      </c>
      <c r="Y22" s="167">
        <v>0.95760598503740701</v>
      </c>
      <c r="Z22" s="167">
        <v>4.1000000000000003E-9</v>
      </c>
      <c r="AA22" s="167">
        <v>2.4E-8</v>
      </c>
      <c r="AB22" s="167">
        <v>2.3000000000000001E-8</v>
      </c>
      <c r="AC22" s="167">
        <v>3.1E-8</v>
      </c>
      <c r="AD22" s="167">
        <v>2.9999999999999997E-8</v>
      </c>
      <c r="AE22" s="168">
        <f t="shared" si="9"/>
        <v>1.6400000000000001E-9</v>
      </c>
      <c r="AF22" s="168">
        <f t="shared" si="9"/>
        <v>9.5999999999999999E-9</v>
      </c>
      <c r="AG22" s="168">
        <f t="shared" si="9"/>
        <v>9.2000000000000013E-9</v>
      </c>
      <c r="AH22" s="168">
        <f t="shared" si="9"/>
        <v>1.24E-8</v>
      </c>
      <c r="AI22" s="168">
        <f t="shared" si="9"/>
        <v>1.2E-8</v>
      </c>
      <c r="AJ22" s="141">
        <v>5</v>
      </c>
      <c r="AK22" s="141">
        <v>225</v>
      </c>
      <c r="AL22" s="141">
        <v>5</v>
      </c>
      <c r="AM22" s="141">
        <v>5</v>
      </c>
      <c r="AN22" s="141">
        <v>5</v>
      </c>
      <c r="AO22" s="141">
        <v>5</v>
      </c>
      <c r="AP22" s="141">
        <v>5</v>
      </c>
      <c r="AQ22" s="141">
        <v>5</v>
      </c>
      <c r="AR22" s="141">
        <v>5</v>
      </c>
      <c r="AS22" s="141">
        <v>5</v>
      </c>
      <c r="AT22" s="141">
        <v>5</v>
      </c>
      <c r="AU22" s="141">
        <v>5</v>
      </c>
      <c r="AV22" s="141">
        <v>5</v>
      </c>
      <c r="AW22" s="141">
        <v>5</v>
      </c>
      <c r="AX22" s="141">
        <v>5</v>
      </c>
      <c r="AY22" s="141">
        <v>0.2</v>
      </c>
      <c r="AZ22" s="141">
        <f t="shared" si="3"/>
        <v>0.13862943611198905</v>
      </c>
      <c r="BA22" s="141">
        <v>5</v>
      </c>
      <c r="BB22" s="129">
        <v>225</v>
      </c>
      <c r="BC22" s="168">
        <f t="shared" si="4"/>
        <v>5.5000000000000002E-5</v>
      </c>
      <c r="BD22" s="168">
        <f t="shared" si="5"/>
        <v>0.1386</v>
      </c>
      <c r="BE22" s="168">
        <v>0</v>
      </c>
      <c r="BF22" s="141">
        <f t="shared" si="6"/>
        <v>1825</v>
      </c>
      <c r="BG22" s="168">
        <f>AW22</f>
        <v>5</v>
      </c>
      <c r="BH22" s="168">
        <f t="shared" si="8"/>
        <v>5</v>
      </c>
    </row>
    <row r="23" spans="1:60" s="3" customFormat="1" x14ac:dyDescent="0.25">
      <c r="A23" s="131" t="s">
        <v>21</v>
      </c>
      <c r="B23" s="129" t="s">
        <v>336</v>
      </c>
      <c r="C23" s="129">
        <v>1</v>
      </c>
      <c r="D23" s="127" t="s">
        <v>1430</v>
      </c>
      <c r="E23" s="127" t="s">
        <v>1429</v>
      </c>
      <c r="F23" s="127" t="s">
        <v>1429</v>
      </c>
      <c r="G23" s="127">
        <v>0.6</v>
      </c>
      <c r="H23" s="127">
        <v>0.02</v>
      </c>
      <c r="I23" s="141">
        <v>5</v>
      </c>
      <c r="J23" s="141">
        <v>5</v>
      </c>
      <c r="K23" s="141">
        <v>5</v>
      </c>
      <c r="L23" s="141">
        <v>5</v>
      </c>
      <c r="M23" s="141">
        <v>5</v>
      </c>
      <c r="N23" s="141">
        <v>5</v>
      </c>
      <c r="O23" s="141">
        <v>5</v>
      </c>
      <c r="P23" s="141">
        <v>5</v>
      </c>
      <c r="Q23" s="141">
        <v>5</v>
      </c>
      <c r="R23" s="141">
        <v>5</v>
      </c>
      <c r="S23" s="141">
        <v>5</v>
      </c>
      <c r="T23" s="141">
        <v>5</v>
      </c>
      <c r="U23" s="167">
        <v>0.927927927927928</v>
      </c>
      <c r="V23" s="167">
        <v>0.82729805013927604</v>
      </c>
      <c r="W23" s="167">
        <v>0.88145896656534894</v>
      </c>
      <c r="X23" s="167">
        <v>0.89258312020460395</v>
      </c>
      <c r="Y23" s="167">
        <v>0.88349514563106801</v>
      </c>
      <c r="Z23" s="167">
        <v>3.5000000000000003E-2</v>
      </c>
      <c r="AA23" s="167">
        <v>0.11</v>
      </c>
      <c r="AB23" s="167">
        <v>5.8000000000000003E-2</v>
      </c>
      <c r="AC23" s="167">
        <v>8.1000000000000003E-2</v>
      </c>
      <c r="AD23" s="167">
        <v>0.1</v>
      </c>
      <c r="AE23" s="168">
        <f t="shared" si="9"/>
        <v>1.4000000000000002E-2</v>
      </c>
      <c r="AF23" s="168">
        <f t="shared" si="9"/>
        <v>4.4000000000000004E-2</v>
      </c>
      <c r="AG23" s="168">
        <f t="shared" si="9"/>
        <v>2.3200000000000002E-2</v>
      </c>
      <c r="AH23" s="168">
        <f t="shared" si="9"/>
        <v>3.2400000000000005E-2</v>
      </c>
      <c r="AI23" s="168">
        <f t="shared" si="9"/>
        <v>4.0000000000000008E-2</v>
      </c>
      <c r="AJ23" s="141">
        <v>5</v>
      </c>
      <c r="AK23" s="141">
        <v>226</v>
      </c>
      <c r="AL23" s="141">
        <v>5</v>
      </c>
      <c r="AM23" s="141">
        <v>5</v>
      </c>
      <c r="AN23" s="141">
        <v>5</v>
      </c>
      <c r="AO23" s="141">
        <v>5</v>
      </c>
      <c r="AP23" s="141">
        <v>5</v>
      </c>
      <c r="AQ23" s="141">
        <v>5</v>
      </c>
      <c r="AR23" s="141">
        <v>5</v>
      </c>
      <c r="AS23" s="141">
        <v>5</v>
      </c>
      <c r="AT23" s="141">
        <v>5</v>
      </c>
      <c r="AU23" s="141">
        <v>5</v>
      </c>
      <c r="AV23" s="141">
        <v>5</v>
      </c>
      <c r="AW23" s="141">
        <v>5</v>
      </c>
      <c r="AX23" s="141">
        <v>5</v>
      </c>
      <c r="AY23" s="141">
        <v>0.2</v>
      </c>
      <c r="AZ23" s="141">
        <f t="shared" si="3"/>
        <v>0.13862943611198905</v>
      </c>
      <c r="BA23" s="141">
        <v>5</v>
      </c>
      <c r="BB23" s="129">
        <v>226</v>
      </c>
      <c r="BC23" s="168">
        <f t="shared" si="4"/>
        <v>5.5000000000000002E-5</v>
      </c>
      <c r="BD23" s="168">
        <f t="shared" si="5"/>
        <v>0.1386</v>
      </c>
      <c r="BE23" s="168">
        <v>0</v>
      </c>
      <c r="BF23" s="141">
        <f t="shared" si="6"/>
        <v>1825</v>
      </c>
      <c r="BG23" s="168">
        <f t="shared" ref="BG23:BG30" si="10">AW23</f>
        <v>5</v>
      </c>
      <c r="BH23" s="168">
        <f t="shared" si="8"/>
        <v>5</v>
      </c>
    </row>
    <row r="24" spans="1:60" s="3" customFormat="1" x14ac:dyDescent="0.25">
      <c r="A24" s="128" t="s">
        <v>22</v>
      </c>
      <c r="B24" s="129" t="s">
        <v>1059</v>
      </c>
      <c r="C24" s="129"/>
      <c r="D24" s="127" t="s">
        <v>1428</v>
      </c>
      <c r="E24" s="127" t="s">
        <v>1429</v>
      </c>
      <c r="F24" s="127" t="s">
        <v>1429</v>
      </c>
      <c r="G24" s="127" t="s">
        <v>1429</v>
      </c>
      <c r="H24" s="127">
        <v>0</v>
      </c>
      <c r="I24" s="141">
        <v>5</v>
      </c>
      <c r="J24" s="141">
        <v>5</v>
      </c>
      <c r="K24" s="141">
        <v>5</v>
      </c>
      <c r="L24" s="141">
        <v>5</v>
      </c>
      <c r="M24" s="141">
        <v>5</v>
      </c>
      <c r="N24" s="141">
        <v>5</v>
      </c>
      <c r="O24" s="141">
        <v>5</v>
      </c>
      <c r="P24" s="141">
        <v>5</v>
      </c>
      <c r="Q24" s="141">
        <v>5</v>
      </c>
      <c r="R24" s="141">
        <v>5</v>
      </c>
      <c r="S24" s="141">
        <v>5</v>
      </c>
      <c r="T24" s="141">
        <v>5</v>
      </c>
      <c r="U24" s="167">
        <v>0.886075949367089</v>
      </c>
      <c r="V24" s="167">
        <v>0.91340782122904995</v>
      </c>
      <c r="W24" s="167">
        <v>0.93388429752066104</v>
      </c>
      <c r="X24" s="167">
        <v>0.91913746630727799</v>
      </c>
      <c r="Y24" s="167">
        <v>0.95499999999999996</v>
      </c>
      <c r="Z24" s="167">
        <v>2.5999999999999999E-2</v>
      </c>
      <c r="AA24" s="167">
        <v>7.5999999999999998E-2</v>
      </c>
      <c r="AB24" s="167">
        <v>4.1000000000000002E-2</v>
      </c>
      <c r="AC24" s="167">
        <v>5.8999999999999997E-2</v>
      </c>
      <c r="AD24" s="167">
        <v>6.8000000000000005E-2</v>
      </c>
      <c r="AE24" s="168">
        <f t="shared" si="9"/>
        <v>1.04E-2</v>
      </c>
      <c r="AF24" s="168">
        <f t="shared" si="9"/>
        <v>3.04E-2</v>
      </c>
      <c r="AG24" s="168">
        <f t="shared" si="9"/>
        <v>1.6400000000000001E-2</v>
      </c>
      <c r="AH24" s="168">
        <f t="shared" si="9"/>
        <v>2.3599999999999999E-2</v>
      </c>
      <c r="AI24" s="168">
        <f t="shared" si="9"/>
        <v>2.7200000000000002E-2</v>
      </c>
      <c r="AJ24" s="141">
        <v>5</v>
      </c>
      <c r="AK24" s="141">
        <v>218</v>
      </c>
      <c r="AL24" s="141">
        <v>5</v>
      </c>
      <c r="AM24" s="141">
        <v>5</v>
      </c>
      <c r="AN24" s="141">
        <v>5</v>
      </c>
      <c r="AO24" s="141">
        <v>5</v>
      </c>
      <c r="AP24" s="141">
        <v>5</v>
      </c>
      <c r="AQ24" s="141">
        <v>5</v>
      </c>
      <c r="AR24" s="141">
        <v>5</v>
      </c>
      <c r="AS24" s="141">
        <v>5</v>
      </c>
      <c r="AT24" s="141">
        <v>5</v>
      </c>
      <c r="AU24" s="141">
        <v>5</v>
      </c>
      <c r="AV24" s="141">
        <v>5</v>
      </c>
      <c r="AW24" s="141">
        <v>5</v>
      </c>
      <c r="AX24" s="141">
        <v>5</v>
      </c>
      <c r="AY24" s="141"/>
      <c r="AZ24" s="141">
        <f t="shared" si="3"/>
        <v>0.13862943611198905</v>
      </c>
      <c r="BA24" s="141">
        <v>5</v>
      </c>
      <c r="BB24" s="129">
        <v>218</v>
      </c>
      <c r="BC24" s="168">
        <f t="shared" si="4"/>
        <v>5.5000000000000002E-5</v>
      </c>
      <c r="BD24" s="168">
        <f t="shared" si="5"/>
        <v>0.1386</v>
      </c>
      <c r="BE24" s="168">
        <v>0</v>
      </c>
      <c r="BF24" s="141">
        <f t="shared" si="6"/>
        <v>1825</v>
      </c>
      <c r="BG24" s="168">
        <f t="shared" si="10"/>
        <v>5</v>
      </c>
      <c r="BH24" s="168">
        <f t="shared" si="8"/>
        <v>5</v>
      </c>
    </row>
    <row r="25" spans="1:60" s="3" customFormat="1" x14ac:dyDescent="0.25">
      <c r="A25" s="131" t="s">
        <v>23</v>
      </c>
      <c r="B25" s="129" t="s">
        <v>336</v>
      </c>
      <c r="C25" s="129">
        <v>1</v>
      </c>
      <c r="D25" s="127" t="s">
        <v>1428</v>
      </c>
      <c r="E25" s="127" t="s">
        <v>1429</v>
      </c>
      <c r="F25" s="127" t="s">
        <v>1429</v>
      </c>
      <c r="G25" s="127" t="s">
        <v>1429</v>
      </c>
      <c r="H25" s="127">
        <v>0</v>
      </c>
      <c r="I25" s="141">
        <v>5</v>
      </c>
      <c r="J25" s="141">
        <v>5</v>
      </c>
      <c r="K25" s="141">
        <v>5</v>
      </c>
      <c r="L25" s="141">
        <v>5</v>
      </c>
      <c r="M25" s="141">
        <v>5</v>
      </c>
      <c r="N25" s="141">
        <v>5</v>
      </c>
      <c r="O25" s="141">
        <v>5</v>
      </c>
      <c r="P25" s="141">
        <v>5</v>
      </c>
      <c r="Q25" s="141">
        <v>5</v>
      </c>
      <c r="R25" s="141">
        <v>5</v>
      </c>
      <c r="S25" s="141">
        <v>5</v>
      </c>
      <c r="T25" s="141">
        <v>5</v>
      </c>
      <c r="U25" s="167">
        <v>0.881287726358149</v>
      </c>
      <c r="V25" s="167">
        <v>0.94318181818181801</v>
      </c>
      <c r="W25" s="167">
        <v>0.93949044585987296</v>
      </c>
      <c r="X25" s="167">
        <v>0.93193717277486898</v>
      </c>
      <c r="Y25" s="167">
        <v>0.91981132075471705</v>
      </c>
      <c r="Z25" s="167">
        <v>2.1999999999999999E-2</v>
      </c>
      <c r="AA25" s="167">
        <v>6.6000000000000003E-2</v>
      </c>
      <c r="AB25" s="167">
        <v>3.6999999999999998E-2</v>
      </c>
      <c r="AC25" s="167">
        <v>5.1999999999999998E-2</v>
      </c>
      <c r="AD25" s="167">
        <v>5.8999999999999997E-2</v>
      </c>
      <c r="AE25" s="168">
        <f t="shared" si="9"/>
        <v>8.8000000000000005E-3</v>
      </c>
      <c r="AF25" s="168">
        <f t="shared" si="9"/>
        <v>2.6400000000000003E-2</v>
      </c>
      <c r="AG25" s="168">
        <f t="shared" si="9"/>
        <v>1.4800000000000001E-2</v>
      </c>
      <c r="AH25" s="168">
        <f t="shared" si="9"/>
        <v>2.0799999999999999E-2</v>
      </c>
      <c r="AI25" s="168">
        <f t="shared" si="9"/>
        <v>2.3599999999999999E-2</v>
      </c>
      <c r="AJ25" s="141">
        <v>5</v>
      </c>
      <c r="AK25" s="141">
        <v>222</v>
      </c>
      <c r="AL25" s="141">
        <v>5</v>
      </c>
      <c r="AM25" s="141">
        <v>5</v>
      </c>
      <c r="AN25" s="141">
        <v>5</v>
      </c>
      <c r="AO25" s="141">
        <v>5</v>
      </c>
      <c r="AP25" s="141">
        <v>5</v>
      </c>
      <c r="AQ25" s="141">
        <v>5</v>
      </c>
      <c r="AR25" s="141">
        <v>5</v>
      </c>
      <c r="AS25" s="141">
        <v>5</v>
      </c>
      <c r="AT25" s="141">
        <v>5</v>
      </c>
      <c r="AU25" s="141">
        <v>5</v>
      </c>
      <c r="AV25" s="141">
        <v>5</v>
      </c>
      <c r="AW25" s="141">
        <v>5</v>
      </c>
      <c r="AX25" s="141">
        <v>5</v>
      </c>
      <c r="AY25" s="141"/>
      <c r="AZ25" s="141">
        <f t="shared" si="3"/>
        <v>0.13862943611198905</v>
      </c>
      <c r="BA25" s="141">
        <v>5</v>
      </c>
      <c r="BB25" s="129">
        <v>222</v>
      </c>
      <c r="BC25" s="168">
        <f t="shared" si="4"/>
        <v>5.5000000000000002E-5</v>
      </c>
      <c r="BD25" s="168">
        <f t="shared" si="5"/>
        <v>0.1386</v>
      </c>
      <c r="BE25" s="168">
        <v>0</v>
      </c>
      <c r="BF25" s="141">
        <f t="shared" si="6"/>
        <v>1825</v>
      </c>
      <c r="BG25" s="168">
        <f t="shared" si="10"/>
        <v>5</v>
      </c>
      <c r="BH25" s="168">
        <f t="shared" si="8"/>
        <v>5</v>
      </c>
    </row>
    <row r="26" spans="1:60" s="3" customFormat="1" x14ac:dyDescent="0.25">
      <c r="A26" s="128" t="s">
        <v>24</v>
      </c>
      <c r="B26" s="129" t="s">
        <v>1059</v>
      </c>
      <c r="C26" s="129"/>
      <c r="D26" s="127" t="s">
        <v>1430</v>
      </c>
      <c r="E26" s="127" t="s">
        <v>1429</v>
      </c>
      <c r="F26" s="127" t="s">
        <v>1429</v>
      </c>
      <c r="G26" s="127">
        <v>5.0000000000000001E-3</v>
      </c>
      <c r="H26" s="127">
        <v>5.0000000000000001E-3</v>
      </c>
      <c r="I26" s="141">
        <v>5</v>
      </c>
      <c r="J26" s="141">
        <v>5</v>
      </c>
      <c r="K26" s="141">
        <v>5</v>
      </c>
      <c r="L26" s="141">
        <v>5</v>
      </c>
      <c r="M26" s="141">
        <v>5</v>
      </c>
      <c r="N26" s="141">
        <v>5</v>
      </c>
      <c r="O26" s="141">
        <v>5</v>
      </c>
      <c r="P26" s="141">
        <v>5</v>
      </c>
      <c r="Q26" s="141">
        <v>5</v>
      </c>
      <c r="R26" s="141">
        <v>5</v>
      </c>
      <c r="S26" s="141">
        <v>5</v>
      </c>
      <c r="T26" s="141">
        <v>5</v>
      </c>
      <c r="U26" s="167">
        <v>0.97538461538461496</v>
      </c>
      <c r="V26" s="167">
        <v>0.95145631067961201</v>
      </c>
      <c r="W26" s="167">
        <v>0.91964285714285698</v>
      </c>
      <c r="X26" s="167">
        <v>0.91074681238615696</v>
      </c>
      <c r="Y26" s="167">
        <v>0.91954022988505801</v>
      </c>
      <c r="Z26" s="167">
        <v>1.1000000000000001E-3</v>
      </c>
      <c r="AA26" s="167">
        <v>1.2E-2</v>
      </c>
      <c r="AB26" s="167">
        <v>6.7999999999999996E-3</v>
      </c>
      <c r="AC26" s="167">
        <v>9.4999999999999998E-3</v>
      </c>
      <c r="AD26" s="167">
        <v>1.0999999999999999E-2</v>
      </c>
      <c r="AE26" s="168">
        <f t="shared" si="9"/>
        <v>4.4000000000000007E-4</v>
      </c>
      <c r="AF26" s="168">
        <f t="shared" si="9"/>
        <v>4.8000000000000004E-3</v>
      </c>
      <c r="AG26" s="168">
        <f t="shared" si="9"/>
        <v>2.7200000000000002E-3</v>
      </c>
      <c r="AH26" s="168">
        <f t="shared" si="9"/>
        <v>3.8E-3</v>
      </c>
      <c r="AI26" s="168">
        <f t="shared" si="9"/>
        <v>4.4000000000000003E-3</v>
      </c>
      <c r="AJ26" s="141">
        <v>5</v>
      </c>
      <c r="AK26" s="141">
        <v>229</v>
      </c>
      <c r="AL26" s="141">
        <v>5</v>
      </c>
      <c r="AM26" s="141">
        <v>5</v>
      </c>
      <c r="AN26" s="141">
        <v>5</v>
      </c>
      <c r="AO26" s="141">
        <v>5</v>
      </c>
      <c r="AP26" s="141">
        <v>5</v>
      </c>
      <c r="AQ26" s="141">
        <v>5</v>
      </c>
      <c r="AR26" s="141">
        <v>5</v>
      </c>
      <c r="AS26" s="141">
        <v>5</v>
      </c>
      <c r="AT26" s="141">
        <v>5</v>
      </c>
      <c r="AU26" s="141">
        <v>5</v>
      </c>
      <c r="AV26" s="141">
        <v>5</v>
      </c>
      <c r="AW26" s="141">
        <v>5</v>
      </c>
      <c r="AX26" s="141">
        <v>5</v>
      </c>
      <c r="AY26" s="141">
        <v>5.0000000000000001E-4</v>
      </c>
      <c r="AZ26" s="141">
        <f t="shared" si="3"/>
        <v>0.13862943611198905</v>
      </c>
      <c r="BA26" s="141">
        <v>5</v>
      </c>
      <c r="BB26" s="129">
        <v>229</v>
      </c>
      <c r="BC26" s="168">
        <f t="shared" si="4"/>
        <v>5.5000000000000002E-5</v>
      </c>
      <c r="BD26" s="168">
        <f t="shared" si="5"/>
        <v>0.1386</v>
      </c>
      <c r="BE26" s="168">
        <v>0</v>
      </c>
      <c r="BF26" s="141">
        <f t="shared" si="6"/>
        <v>1825</v>
      </c>
      <c r="BG26" s="168">
        <f t="shared" si="10"/>
        <v>5</v>
      </c>
      <c r="BH26" s="168">
        <f t="shared" si="8"/>
        <v>5</v>
      </c>
    </row>
    <row r="27" spans="1:60" s="3" customFormat="1" x14ac:dyDescent="0.25">
      <c r="A27" s="128" t="s">
        <v>25</v>
      </c>
      <c r="B27" s="129" t="s">
        <v>1059</v>
      </c>
      <c r="C27" s="129"/>
      <c r="D27" s="127" t="s">
        <v>1428</v>
      </c>
      <c r="E27" s="127" t="s">
        <v>1429</v>
      </c>
      <c r="F27" s="127" t="s">
        <v>1429</v>
      </c>
      <c r="G27" s="127" t="s">
        <v>1429</v>
      </c>
      <c r="H27" s="127">
        <v>0</v>
      </c>
      <c r="I27" s="141">
        <v>5</v>
      </c>
      <c r="J27" s="141">
        <v>5</v>
      </c>
      <c r="K27" s="141">
        <v>5</v>
      </c>
      <c r="L27" s="141">
        <v>5</v>
      </c>
      <c r="M27" s="141">
        <v>5</v>
      </c>
      <c r="N27" s="141">
        <v>5</v>
      </c>
      <c r="O27" s="141">
        <v>5</v>
      </c>
      <c r="P27" s="141">
        <v>5</v>
      </c>
      <c r="Q27" s="141">
        <v>5</v>
      </c>
      <c r="R27" s="141">
        <v>5</v>
      </c>
      <c r="S27" s="141">
        <v>5</v>
      </c>
      <c r="T27" s="141">
        <v>5</v>
      </c>
      <c r="U27" s="167">
        <v>0.94202898550724601</v>
      </c>
      <c r="V27" s="167">
        <v>0.96767241379310298</v>
      </c>
      <c r="W27" s="167">
        <v>0.91346153846153799</v>
      </c>
      <c r="X27" s="167">
        <v>0.90301003344481601</v>
      </c>
      <c r="Y27" s="167">
        <v>0.91029900332225899</v>
      </c>
      <c r="Z27" s="167">
        <v>6.1999999999999998E-3</v>
      </c>
      <c r="AA27" s="167">
        <v>5.6000000000000001E-2</v>
      </c>
      <c r="AB27" s="167">
        <v>0.02</v>
      </c>
      <c r="AC27" s="167">
        <v>3.3000000000000002E-2</v>
      </c>
      <c r="AD27" s="167">
        <v>4.4999999999999998E-2</v>
      </c>
      <c r="AE27" s="168">
        <f t="shared" si="9"/>
        <v>2.48E-3</v>
      </c>
      <c r="AF27" s="168">
        <f t="shared" si="9"/>
        <v>2.2400000000000003E-2</v>
      </c>
      <c r="AG27" s="168">
        <f t="shared" si="9"/>
        <v>8.0000000000000002E-3</v>
      </c>
      <c r="AH27" s="168">
        <f t="shared" si="9"/>
        <v>1.3200000000000002E-2</v>
      </c>
      <c r="AI27" s="168">
        <f t="shared" si="9"/>
        <v>1.7999999999999999E-2</v>
      </c>
      <c r="AJ27" s="141">
        <v>5</v>
      </c>
      <c r="AK27" s="141">
        <v>206</v>
      </c>
      <c r="AL27" s="141">
        <v>5</v>
      </c>
      <c r="AM27" s="141">
        <v>5</v>
      </c>
      <c r="AN27" s="141">
        <v>5</v>
      </c>
      <c r="AO27" s="141">
        <v>5</v>
      </c>
      <c r="AP27" s="141">
        <v>5</v>
      </c>
      <c r="AQ27" s="141">
        <v>5</v>
      </c>
      <c r="AR27" s="141">
        <v>5</v>
      </c>
      <c r="AS27" s="141">
        <v>5</v>
      </c>
      <c r="AT27" s="141">
        <v>5</v>
      </c>
      <c r="AU27" s="141">
        <v>5</v>
      </c>
      <c r="AV27" s="141">
        <v>5</v>
      </c>
      <c r="AW27" s="141">
        <v>5</v>
      </c>
      <c r="AX27" s="141">
        <v>5</v>
      </c>
      <c r="AY27" s="141"/>
      <c r="AZ27" s="141">
        <f t="shared" si="3"/>
        <v>0.13862943611198905</v>
      </c>
      <c r="BA27" s="141">
        <v>5</v>
      </c>
      <c r="BB27" s="129">
        <v>206</v>
      </c>
      <c r="BC27" s="168">
        <f t="shared" si="4"/>
        <v>5.5000000000000002E-5</v>
      </c>
      <c r="BD27" s="168">
        <f t="shared" si="5"/>
        <v>0.1386</v>
      </c>
      <c r="BE27" s="168">
        <v>0</v>
      </c>
      <c r="BF27" s="141">
        <f t="shared" si="6"/>
        <v>1825</v>
      </c>
      <c r="BG27" s="168">
        <f t="shared" si="10"/>
        <v>5</v>
      </c>
      <c r="BH27" s="168">
        <f t="shared" si="8"/>
        <v>5</v>
      </c>
    </row>
    <row r="28" spans="1:60" s="3" customFormat="1" x14ac:dyDescent="0.25">
      <c r="A28" s="128" t="s">
        <v>26</v>
      </c>
      <c r="B28" s="129" t="s">
        <v>1059</v>
      </c>
      <c r="C28" s="129"/>
      <c r="D28" s="127" t="s">
        <v>1428</v>
      </c>
      <c r="E28" s="127" t="s">
        <v>1429</v>
      </c>
      <c r="F28" s="127" t="s">
        <v>1429</v>
      </c>
      <c r="G28" s="127" t="s">
        <v>1429</v>
      </c>
      <c r="H28" s="127">
        <v>0</v>
      </c>
      <c r="I28" s="141">
        <v>5</v>
      </c>
      <c r="J28" s="141">
        <v>5</v>
      </c>
      <c r="K28" s="141">
        <v>5</v>
      </c>
      <c r="L28" s="141">
        <v>5</v>
      </c>
      <c r="M28" s="141">
        <v>5</v>
      </c>
      <c r="N28" s="141">
        <v>5</v>
      </c>
      <c r="O28" s="141">
        <v>5</v>
      </c>
      <c r="P28" s="141">
        <v>5</v>
      </c>
      <c r="Q28" s="141">
        <v>5</v>
      </c>
      <c r="R28" s="141">
        <v>5</v>
      </c>
      <c r="S28" s="141">
        <v>5</v>
      </c>
      <c r="T28" s="141">
        <v>5</v>
      </c>
      <c r="U28" s="167">
        <v>0.86776859504132198</v>
      </c>
      <c r="V28" s="167">
        <v>0.94199999999999995</v>
      </c>
      <c r="W28" s="167">
        <v>0.93081761006289299</v>
      </c>
      <c r="X28" s="167">
        <v>0.94166666666666698</v>
      </c>
      <c r="Y28" s="167">
        <v>0.91360294117647101</v>
      </c>
      <c r="Z28" s="167">
        <v>3.5999999999999997E-2</v>
      </c>
      <c r="AA28" s="167">
        <v>0.13</v>
      </c>
      <c r="AB28" s="167">
        <v>5.8999999999999997E-2</v>
      </c>
      <c r="AC28" s="167">
        <v>8.4000000000000005E-2</v>
      </c>
      <c r="AD28" s="167">
        <v>0.1</v>
      </c>
      <c r="AE28" s="168">
        <f t="shared" si="9"/>
        <v>1.44E-2</v>
      </c>
      <c r="AF28" s="168">
        <f t="shared" si="9"/>
        <v>5.2000000000000005E-2</v>
      </c>
      <c r="AG28" s="168">
        <f t="shared" si="9"/>
        <v>2.3599999999999999E-2</v>
      </c>
      <c r="AH28" s="168">
        <f t="shared" si="9"/>
        <v>3.3600000000000005E-2</v>
      </c>
      <c r="AI28" s="168">
        <f t="shared" si="9"/>
        <v>4.0000000000000008E-2</v>
      </c>
      <c r="AJ28" s="141">
        <v>5</v>
      </c>
      <c r="AK28" s="141">
        <v>209</v>
      </c>
      <c r="AL28" s="141">
        <v>5</v>
      </c>
      <c r="AM28" s="141">
        <v>5</v>
      </c>
      <c r="AN28" s="141">
        <v>5</v>
      </c>
      <c r="AO28" s="141">
        <v>5</v>
      </c>
      <c r="AP28" s="141">
        <v>5</v>
      </c>
      <c r="AQ28" s="141">
        <v>5</v>
      </c>
      <c r="AR28" s="141">
        <v>5</v>
      </c>
      <c r="AS28" s="141">
        <v>5</v>
      </c>
      <c r="AT28" s="141">
        <v>5</v>
      </c>
      <c r="AU28" s="141">
        <v>5</v>
      </c>
      <c r="AV28" s="141">
        <v>5</v>
      </c>
      <c r="AW28" s="141">
        <v>5</v>
      </c>
      <c r="AX28" s="141">
        <v>5</v>
      </c>
      <c r="AY28" s="141"/>
      <c r="AZ28" s="141">
        <f t="shared" si="3"/>
        <v>0.13862943611198905</v>
      </c>
      <c r="BA28" s="141">
        <v>5</v>
      </c>
      <c r="BB28" s="129">
        <v>209</v>
      </c>
      <c r="BC28" s="168">
        <f t="shared" si="4"/>
        <v>5.5000000000000002E-5</v>
      </c>
      <c r="BD28" s="168">
        <f t="shared" si="5"/>
        <v>0.1386</v>
      </c>
      <c r="BE28" s="168">
        <v>0</v>
      </c>
      <c r="BF28" s="141">
        <f t="shared" si="6"/>
        <v>1825</v>
      </c>
      <c r="BG28" s="168">
        <f t="shared" si="10"/>
        <v>5</v>
      </c>
      <c r="BH28" s="168">
        <f t="shared" si="8"/>
        <v>5</v>
      </c>
    </row>
    <row r="29" spans="1:60" s="3" customFormat="1" x14ac:dyDescent="0.25">
      <c r="A29" s="128" t="s">
        <v>27</v>
      </c>
      <c r="B29" s="129" t="s">
        <v>1059</v>
      </c>
      <c r="C29" s="129"/>
      <c r="D29" s="127" t="s">
        <v>1428</v>
      </c>
      <c r="E29" s="127" t="s">
        <v>1429</v>
      </c>
      <c r="F29" s="127" t="s">
        <v>1429</v>
      </c>
      <c r="G29" s="127" t="s">
        <v>1429</v>
      </c>
      <c r="H29" s="127">
        <v>0</v>
      </c>
      <c r="I29" s="141">
        <v>5</v>
      </c>
      <c r="J29" s="141">
        <v>5</v>
      </c>
      <c r="K29" s="141">
        <v>5</v>
      </c>
      <c r="L29" s="141">
        <v>5</v>
      </c>
      <c r="M29" s="141">
        <v>5</v>
      </c>
      <c r="N29" s="141">
        <v>5</v>
      </c>
      <c r="O29" s="141">
        <v>5</v>
      </c>
      <c r="P29" s="141">
        <v>5</v>
      </c>
      <c r="Q29" s="141">
        <v>5</v>
      </c>
      <c r="R29" s="141">
        <v>5</v>
      </c>
      <c r="S29" s="141">
        <v>5</v>
      </c>
      <c r="T29" s="141">
        <v>5</v>
      </c>
      <c r="U29" s="167">
        <v>0.87301587301587302</v>
      </c>
      <c r="V29" s="167">
        <v>0.93846153846153801</v>
      </c>
      <c r="W29" s="167">
        <v>0.94059405940594099</v>
      </c>
      <c r="X29" s="167">
        <v>0.94308943089430897</v>
      </c>
      <c r="Y29" s="167">
        <v>0.93390804597701205</v>
      </c>
      <c r="Z29" s="167">
        <v>3.5999999999999997E-2</v>
      </c>
      <c r="AA29" s="167">
        <v>0.12</v>
      </c>
      <c r="AB29" s="167">
        <v>0.06</v>
      </c>
      <c r="AC29" s="167">
        <v>8.4000000000000005E-2</v>
      </c>
      <c r="AD29" s="167">
        <v>0.1</v>
      </c>
      <c r="AE29" s="168">
        <f t="shared" si="9"/>
        <v>1.44E-2</v>
      </c>
      <c r="AF29" s="168">
        <f t="shared" si="9"/>
        <v>4.8000000000000001E-2</v>
      </c>
      <c r="AG29" s="168">
        <f t="shared" si="9"/>
        <v>2.4E-2</v>
      </c>
      <c r="AH29" s="168">
        <f t="shared" si="9"/>
        <v>3.3600000000000005E-2</v>
      </c>
      <c r="AI29" s="168">
        <f t="shared" si="9"/>
        <v>4.0000000000000008E-2</v>
      </c>
      <c r="AJ29" s="141">
        <v>5</v>
      </c>
      <c r="AK29" s="141">
        <v>210</v>
      </c>
      <c r="AL29" s="141">
        <v>5</v>
      </c>
      <c r="AM29" s="141">
        <v>5</v>
      </c>
      <c r="AN29" s="141">
        <v>5</v>
      </c>
      <c r="AO29" s="141">
        <v>5</v>
      </c>
      <c r="AP29" s="141">
        <v>5</v>
      </c>
      <c r="AQ29" s="141">
        <v>5</v>
      </c>
      <c r="AR29" s="141">
        <v>5</v>
      </c>
      <c r="AS29" s="141">
        <v>5</v>
      </c>
      <c r="AT29" s="141">
        <v>5</v>
      </c>
      <c r="AU29" s="141">
        <v>5</v>
      </c>
      <c r="AV29" s="141">
        <v>5</v>
      </c>
      <c r="AW29" s="141">
        <v>5</v>
      </c>
      <c r="AX29" s="141">
        <v>5</v>
      </c>
      <c r="AY29" s="141"/>
      <c r="AZ29" s="141">
        <f t="shared" si="3"/>
        <v>0.13862943611198905</v>
      </c>
      <c r="BA29" s="141">
        <v>5</v>
      </c>
      <c r="BB29" s="129">
        <v>210</v>
      </c>
      <c r="BC29" s="168">
        <f t="shared" si="4"/>
        <v>5.5000000000000002E-5</v>
      </c>
      <c r="BD29" s="168">
        <f t="shared" si="5"/>
        <v>0.1386</v>
      </c>
      <c r="BE29" s="168">
        <v>0</v>
      </c>
      <c r="BF29" s="141">
        <f t="shared" si="6"/>
        <v>1825</v>
      </c>
      <c r="BG29" s="168">
        <f t="shared" si="10"/>
        <v>5</v>
      </c>
      <c r="BH29" s="168">
        <f t="shared" si="8"/>
        <v>5</v>
      </c>
    </row>
    <row r="30" spans="1:60" s="3" customFormat="1" x14ac:dyDescent="0.25">
      <c r="A30" s="128" t="s">
        <v>28</v>
      </c>
      <c r="B30" s="129" t="s">
        <v>1059</v>
      </c>
      <c r="C30" s="129"/>
      <c r="D30" s="127" t="s">
        <v>1430</v>
      </c>
      <c r="E30" s="127" t="s">
        <v>1429</v>
      </c>
      <c r="F30" s="127" t="s">
        <v>1429</v>
      </c>
      <c r="G30" s="127">
        <v>0.04</v>
      </c>
      <c r="H30" s="127">
        <v>0.02</v>
      </c>
      <c r="I30" s="141">
        <v>5</v>
      </c>
      <c r="J30" s="141">
        <v>5</v>
      </c>
      <c r="K30" s="141">
        <v>5</v>
      </c>
      <c r="L30" s="141">
        <v>5</v>
      </c>
      <c r="M30" s="141">
        <v>5</v>
      </c>
      <c r="N30" s="141">
        <v>5</v>
      </c>
      <c r="O30" s="141">
        <v>5</v>
      </c>
      <c r="P30" s="141">
        <v>5</v>
      </c>
      <c r="Q30" s="141">
        <v>5</v>
      </c>
      <c r="R30" s="141">
        <v>5</v>
      </c>
      <c r="S30" s="141">
        <v>5</v>
      </c>
      <c r="T30" s="141">
        <v>5</v>
      </c>
      <c r="U30" s="169">
        <v>1</v>
      </c>
      <c r="V30" s="169">
        <v>1</v>
      </c>
      <c r="W30" s="169">
        <v>0.97979797979798</v>
      </c>
      <c r="X30" s="169">
        <v>0.97103448275862103</v>
      </c>
      <c r="Y30" s="169">
        <v>0.96124031007751898</v>
      </c>
      <c r="Z30" s="141">
        <v>1E-4</v>
      </c>
      <c r="AA30" s="141">
        <v>1.2E-2</v>
      </c>
      <c r="AB30" s="141">
        <v>2.5000000000000001E-3</v>
      </c>
      <c r="AC30" s="141">
        <v>7.0000000000000001E-3</v>
      </c>
      <c r="AD30" s="141">
        <v>9.4999999999999998E-3</v>
      </c>
      <c r="AE30" s="168">
        <f t="shared" si="9"/>
        <v>4.0000000000000003E-5</v>
      </c>
      <c r="AF30" s="168">
        <f t="shared" si="9"/>
        <v>4.8000000000000004E-3</v>
      </c>
      <c r="AG30" s="168">
        <f t="shared" si="9"/>
        <v>1E-3</v>
      </c>
      <c r="AH30" s="168">
        <f t="shared" si="9"/>
        <v>2.8000000000000004E-3</v>
      </c>
      <c r="AI30" s="168">
        <f t="shared" si="9"/>
        <v>3.8E-3</v>
      </c>
      <c r="AJ30" s="141">
        <v>5</v>
      </c>
      <c r="AK30" s="141">
        <v>233</v>
      </c>
      <c r="AL30" s="141">
        <v>5</v>
      </c>
      <c r="AM30" s="141">
        <v>5</v>
      </c>
      <c r="AN30" s="141">
        <v>5</v>
      </c>
      <c r="AO30" s="141">
        <v>5</v>
      </c>
      <c r="AP30" s="141">
        <v>5</v>
      </c>
      <c r="AQ30" s="141">
        <v>5</v>
      </c>
      <c r="AR30" s="141">
        <v>5</v>
      </c>
      <c r="AS30" s="141">
        <v>5</v>
      </c>
      <c r="AT30" s="141">
        <v>5</v>
      </c>
      <c r="AU30" s="141">
        <v>5</v>
      </c>
      <c r="AV30" s="141">
        <v>5</v>
      </c>
      <c r="AW30" s="141">
        <v>5</v>
      </c>
      <c r="AX30" s="141">
        <v>5</v>
      </c>
      <c r="AY30" s="141">
        <v>0.02</v>
      </c>
      <c r="AZ30" s="141">
        <f t="shared" si="3"/>
        <v>0.13862943611198905</v>
      </c>
      <c r="BA30" s="141">
        <v>5</v>
      </c>
      <c r="BB30" s="129">
        <v>233</v>
      </c>
      <c r="BC30" s="168">
        <f t="shared" si="4"/>
        <v>5.5000000000000002E-5</v>
      </c>
      <c r="BD30" s="168">
        <f t="shared" si="5"/>
        <v>0.1386</v>
      </c>
      <c r="BE30" s="168">
        <v>0</v>
      </c>
      <c r="BF30" s="141">
        <f t="shared" si="6"/>
        <v>1825</v>
      </c>
      <c r="BG30" s="168">
        <f t="shared" si="10"/>
        <v>5</v>
      </c>
      <c r="BH30" s="168">
        <f t="shared" si="8"/>
        <v>5</v>
      </c>
    </row>
  </sheetData>
  <sheetProtection algorithmName="SHA-512" hashValue="Ew3wdQdGxQPmjwEGB2wcANoCadbJDZrLRz8y6DEKyWsVXgX8ESV885VQ3Q1ck2OT0mLN8F4379tiyeVVAaHoaA==" saltValue="9ueEMVkaz50hbIWfSEB/yA==" spinCount="100000" sheet="1" objects="1" scenarios="1" formatColumns="0" formatRows="0" autoFilter="0"/>
  <autoFilter ref="A1:BI1299" xr:uid="{00000000-0009-0000-0000-00001800000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Z30"/>
  <sheetViews>
    <sheetView zoomScale="90" zoomScaleNormal="90" workbookViewId="0"/>
  </sheetViews>
  <sheetFormatPr defaultRowHeight="15" x14ac:dyDescent="0.25"/>
  <cols>
    <col min="1" max="1" width="15.42578125" style="4" bestFit="1" customWidth="1"/>
    <col min="2" max="2" width="11.5703125" style="4" bestFit="1" customWidth="1"/>
    <col min="3" max="3" width="14.85546875" bestFit="1" customWidth="1"/>
    <col min="4" max="4" width="14.7109375" bestFit="1" customWidth="1"/>
    <col min="5" max="5" width="14" bestFit="1" customWidth="1"/>
    <col min="6" max="6" width="14.5703125" bestFit="1" customWidth="1"/>
    <col min="7" max="7" width="13.7109375" bestFit="1" customWidth="1"/>
    <col min="8" max="8" width="14" bestFit="1" customWidth="1"/>
    <col min="9" max="9" width="13.28515625" bestFit="1" customWidth="1"/>
    <col min="10" max="10" width="14.7109375" bestFit="1" customWidth="1"/>
    <col min="11" max="11" width="13.7109375" bestFit="1" customWidth="1"/>
    <col min="12" max="12" width="15.7109375" bestFit="1" customWidth="1"/>
    <col min="13" max="13" width="13" bestFit="1" customWidth="1"/>
    <col min="14" max="15" width="13.7109375" bestFit="1" customWidth="1"/>
    <col min="16" max="16" width="15" bestFit="1" customWidth="1"/>
    <col min="17" max="17" width="15.140625" bestFit="1" customWidth="1"/>
    <col min="18" max="18" width="13.85546875" bestFit="1" customWidth="1"/>
    <col min="19" max="19" width="13.140625" bestFit="1" customWidth="1"/>
    <col min="20" max="20" width="14.5703125" bestFit="1" customWidth="1"/>
    <col min="21" max="21" width="15" bestFit="1" customWidth="1"/>
    <col min="22" max="22" width="14" bestFit="1" customWidth="1"/>
    <col min="23" max="23" width="14.7109375" bestFit="1" customWidth="1"/>
    <col min="24" max="24" width="13.42578125" bestFit="1" customWidth="1"/>
    <col min="25" max="25" width="13.140625" bestFit="1" customWidth="1"/>
    <col min="26" max="26" width="15.42578125" bestFit="1" customWidth="1"/>
  </cols>
  <sheetData>
    <row r="1" spans="1:26" x14ac:dyDescent="0.25">
      <c r="A1" s="125" t="s">
        <v>39</v>
      </c>
      <c r="B1" s="125" t="s">
        <v>335</v>
      </c>
      <c r="C1" s="127" t="s">
        <v>628</v>
      </c>
      <c r="D1" s="127" t="s">
        <v>629</v>
      </c>
      <c r="E1" s="127" t="s">
        <v>630</v>
      </c>
      <c r="F1" s="127" t="s">
        <v>631</v>
      </c>
      <c r="G1" s="127" t="s">
        <v>632</v>
      </c>
      <c r="H1" s="127" t="s">
        <v>633</v>
      </c>
      <c r="I1" s="127" t="s">
        <v>634</v>
      </c>
      <c r="J1" s="127" t="s">
        <v>635</v>
      </c>
      <c r="K1" s="127" t="s">
        <v>636</v>
      </c>
      <c r="L1" s="127" t="s">
        <v>637</v>
      </c>
      <c r="M1" s="127" t="s">
        <v>638</v>
      </c>
      <c r="N1" s="127" t="s">
        <v>639</v>
      </c>
      <c r="O1" s="127" t="s">
        <v>640</v>
      </c>
      <c r="P1" s="127" t="s">
        <v>641</v>
      </c>
      <c r="Q1" s="127" t="s">
        <v>642</v>
      </c>
      <c r="R1" s="127" t="s">
        <v>643</v>
      </c>
      <c r="S1" s="127" t="s">
        <v>644</v>
      </c>
      <c r="T1" s="127" t="s">
        <v>645</v>
      </c>
      <c r="U1" s="127" t="s">
        <v>646</v>
      </c>
      <c r="V1" s="127" t="s">
        <v>647</v>
      </c>
      <c r="W1" s="127" t="s">
        <v>648</v>
      </c>
      <c r="X1" s="127" t="s">
        <v>649</v>
      </c>
      <c r="Y1" s="127" t="s">
        <v>650</v>
      </c>
      <c r="Z1" s="127" t="s">
        <v>720</v>
      </c>
    </row>
    <row r="2" spans="1:26" x14ac:dyDescent="0.25">
      <c r="A2" s="128" t="s">
        <v>0</v>
      </c>
      <c r="B2" s="129" t="s">
        <v>1059</v>
      </c>
      <c r="C2" s="141">
        <v>5</v>
      </c>
      <c r="D2" s="141">
        <v>5</v>
      </c>
      <c r="E2" s="141">
        <v>5</v>
      </c>
      <c r="F2" s="141">
        <v>5</v>
      </c>
      <c r="G2" s="141">
        <v>5</v>
      </c>
      <c r="H2" s="141">
        <v>5</v>
      </c>
      <c r="I2" s="141">
        <v>5</v>
      </c>
      <c r="J2" s="141">
        <v>5</v>
      </c>
      <c r="K2" s="141">
        <v>5</v>
      </c>
      <c r="L2" s="141">
        <v>5</v>
      </c>
      <c r="M2" s="141">
        <v>5</v>
      </c>
      <c r="N2" s="141">
        <v>5</v>
      </c>
      <c r="O2" s="141">
        <v>5</v>
      </c>
      <c r="P2" s="141">
        <v>5</v>
      </c>
      <c r="Q2" s="141">
        <v>5</v>
      </c>
      <c r="R2" s="141">
        <v>5</v>
      </c>
      <c r="S2" s="141">
        <v>5</v>
      </c>
      <c r="T2" s="141">
        <v>5</v>
      </c>
      <c r="U2" s="141">
        <v>5</v>
      </c>
      <c r="V2" s="141">
        <v>5</v>
      </c>
      <c r="W2" s="141">
        <v>5</v>
      </c>
      <c r="X2" s="141">
        <v>5</v>
      </c>
      <c r="Y2" s="141">
        <v>5</v>
      </c>
      <c r="Z2" s="141">
        <v>5</v>
      </c>
    </row>
    <row r="3" spans="1:26" x14ac:dyDescent="0.25">
      <c r="A3" s="131" t="s">
        <v>1</v>
      </c>
      <c r="B3" s="129" t="s">
        <v>336</v>
      </c>
      <c r="C3" s="141">
        <v>5</v>
      </c>
      <c r="D3" s="141">
        <v>5</v>
      </c>
      <c r="E3" s="141">
        <v>5</v>
      </c>
      <c r="F3" s="141">
        <v>5</v>
      </c>
      <c r="G3" s="141">
        <v>5</v>
      </c>
      <c r="H3" s="141">
        <v>5</v>
      </c>
      <c r="I3" s="141">
        <v>5</v>
      </c>
      <c r="J3" s="141">
        <v>5</v>
      </c>
      <c r="K3" s="141">
        <v>5</v>
      </c>
      <c r="L3" s="141">
        <v>5</v>
      </c>
      <c r="M3" s="141">
        <v>5</v>
      </c>
      <c r="N3" s="141">
        <v>5</v>
      </c>
      <c r="O3" s="141">
        <v>5</v>
      </c>
      <c r="P3" s="141">
        <v>5</v>
      </c>
      <c r="Q3" s="141">
        <v>5</v>
      </c>
      <c r="R3" s="141">
        <v>5</v>
      </c>
      <c r="S3" s="141">
        <v>5</v>
      </c>
      <c r="T3" s="141">
        <v>5</v>
      </c>
      <c r="U3" s="141">
        <v>5</v>
      </c>
      <c r="V3" s="141">
        <v>5</v>
      </c>
      <c r="W3" s="141">
        <v>5</v>
      </c>
      <c r="X3" s="141">
        <v>5</v>
      </c>
      <c r="Y3" s="141">
        <v>5</v>
      </c>
      <c r="Z3" s="141">
        <v>5</v>
      </c>
    </row>
    <row r="4" spans="1:26" x14ac:dyDescent="0.25">
      <c r="A4" s="128" t="s">
        <v>2</v>
      </c>
      <c r="B4" s="129" t="s">
        <v>1059</v>
      </c>
      <c r="C4" s="141">
        <v>5</v>
      </c>
      <c r="D4" s="141">
        <v>5</v>
      </c>
      <c r="E4" s="141">
        <v>5</v>
      </c>
      <c r="F4" s="141">
        <v>5</v>
      </c>
      <c r="G4" s="141">
        <v>5</v>
      </c>
      <c r="H4" s="141">
        <v>5</v>
      </c>
      <c r="I4" s="141">
        <v>5</v>
      </c>
      <c r="J4" s="141">
        <v>5</v>
      </c>
      <c r="K4" s="141">
        <v>5</v>
      </c>
      <c r="L4" s="141">
        <v>5</v>
      </c>
      <c r="M4" s="141">
        <v>5</v>
      </c>
      <c r="N4" s="141">
        <v>5</v>
      </c>
      <c r="O4" s="141">
        <v>5</v>
      </c>
      <c r="P4" s="141">
        <v>5</v>
      </c>
      <c r="Q4" s="141">
        <v>5</v>
      </c>
      <c r="R4" s="141">
        <v>5</v>
      </c>
      <c r="S4" s="141">
        <v>5</v>
      </c>
      <c r="T4" s="141">
        <v>5</v>
      </c>
      <c r="U4" s="141">
        <v>5</v>
      </c>
      <c r="V4" s="141">
        <v>5</v>
      </c>
      <c r="W4" s="141">
        <v>5</v>
      </c>
      <c r="X4" s="141">
        <v>5</v>
      </c>
      <c r="Y4" s="141">
        <v>5</v>
      </c>
      <c r="Z4" s="141">
        <v>5</v>
      </c>
    </row>
    <row r="5" spans="1:26" x14ac:dyDescent="0.25">
      <c r="A5" s="128" t="s">
        <v>3</v>
      </c>
      <c r="B5" s="129" t="s">
        <v>1059</v>
      </c>
      <c r="C5" s="141">
        <v>5</v>
      </c>
      <c r="D5" s="141">
        <v>5</v>
      </c>
      <c r="E5" s="141">
        <v>5</v>
      </c>
      <c r="F5" s="141">
        <v>5</v>
      </c>
      <c r="G5" s="141">
        <v>5</v>
      </c>
      <c r="H5" s="141">
        <v>5</v>
      </c>
      <c r="I5" s="141">
        <v>5</v>
      </c>
      <c r="J5" s="141">
        <v>5</v>
      </c>
      <c r="K5" s="141">
        <v>5</v>
      </c>
      <c r="L5" s="141">
        <v>5</v>
      </c>
      <c r="M5" s="141">
        <v>5</v>
      </c>
      <c r="N5" s="141">
        <v>5</v>
      </c>
      <c r="O5" s="141">
        <v>5</v>
      </c>
      <c r="P5" s="141">
        <v>5</v>
      </c>
      <c r="Q5" s="141">
        <v>5</v>
      </c>
      <c r="R5" s="141">
        <v>5</v>
      </c>
      <c r="S5" s="141">
        <v>5</v>
      </c>
      <c r="T5" s="141">
        <v>5</v>
      </c>
      <c r="U5" s="141">
        <v>5</v>
      </c>
      <c r="V5" s="141">
        <v>5</v>
      </c>
      <c r="W5" s="141">
        <v>5</v>
      </c>
      <c r="X5" s="141">
        <v>5</v>
      </c>
      <c r="Y5" s="141">
        <v>5</v>
      </c>
      <c r="Z5" s="141">
        <v>5</v>
      </c>
    </row>
    <row r="6" spans="1:26" x14ac:dyDescent="0.25">
      <c r="A6" s="128" t="s">
        <v>4</v>
      </c>
      <c r="B6" s="129" t="s">
        <v>1059</v>
      </c>
      <c r="C6" s="141">
        <v>5</v>
      </c>
      <c r="D6" s="141">
        <v>5</v>
      </c>
      <c r="E6" s="141">
        <v>5</v>
      </c>
      <c r="F6" s="141">
        <v>5</v>
      </c>
      <c r="G6" s="141">
        <v>5</v>
      </c>
      <c r="H6" s="141">
        <v>5</v>
      </c>
      <c r="I6" s="141">
        <v>5</v>
      </c>
      <c r="J6" s="141">
        <v>5</v>
      </c>
      <c r="K6" s="141">
        <v>5</v>
      </c>
      <c r="L6" s="141">
        <v>5</v>
      </c>
      <c r="M6" s="141">
        <v>5</v>
      </c>
      <c r="N6" s="141">
        <v>5</v>
      </c>
      <c r="O6" s="141">
        <v>5</v>
      </c>
      <c r="P6" s="141">
        <v>5</v>
      </c>
      <c r="Q6" s="141">
        <v>5</v>
      </c>
      <c r="R6" s="141">
        <v>5</v>
      </c>
      <c r="S6" s="141">
        <v>5</v>
      </c>
      <c r="T6" s="141">
        <v>5</v>
      </c>
      <c r="U6" s="141">
        <v>5</v>
      </c>
      <c r="V6" s="141">
        <v>5</v>
      </c>
      <c r="W6" s="141">
        <v>5</v>
      </c>
      <c r="X6" s="141">
        <v>5</v>
      </c>
      <c r="Y6" s="141">
        <v>5</v>
      </c>
      <c r="Z6" s="141">
        <v>5</v>
      </c>
    </row>
    <row r="7" spans="1:26" x14ac:dyDescent="0.25">
      <c r="A7" s="128" t="s">
        <v>5</v>
      </c>
      <c r="B7" s="129" t="s">
        <v>1059</v>
      </c>
      <c r="C7" s="141">
        <v>5</v>
      </c>
      <c r="D7" s="141">
        <v>5</v>
      </c>
      <c r="E7" s="141">
        <v>5</v>
      </c>
      <c r="F7" s="141">
        <v>5</v>
      </c>
      <c r="G7" s="141">
        <v>5</v>
      </c>
      <c r="H7" s="141">
        <v>5</v>
      </c>
      <c r="I7" s="141">
        <v>5</v>
      </c>
      <c r="J7" s="141">
        <v>5</v>
      </c>
      <c r="K7" s="141">
        <v>5</v>
      </c>
      <c r="L7" s="141">
        <v>5</v>
      </c>
      <c r="M7" s="141">
        <v>5</v>
      </c>
      <c r="N7" s="141">
        <v>5</v>
      </c>
      <c r="O7" s="141">
        <v>5</v>
      </c>
      <c r="P7" s="141">
        <v>5</v>
      </c>
      <c r="Q7" s="141">
        <v>5</v>
      </c>
      <c r="R7" s="141">
        <v>5</v>
      </c>
      <c r="S7" s="141">
        <v>5</v>
      </c>
      <c r="T7" s="141">
        <v>5</v>
      </c>
      <c r="U7" s="141">
        <v>5</v>
      </c>
      <c r="V7" s="141">
        <v>5</v>
      </c>
      <c r="W7" s="141">
        <v>5</v>
      </c>
      <c r="X7" s="141">
        <v>5</v>
      </c>
      <c r="Y7" s="141">
        <v>5</v>
      </c>
      <c r="Z7" s="141">
        <v>5</v>
      </c>
    </row>
    <row r="8" spans="1:26" x14ac:dyDescent="0.25">
      <c r="A8" s="128" t="s">
        <v>6</v>
      </c>
      <c r="B8" s="129" t="s">
        <v>1059</v>
      </c>
      <c r="C8" s="141">
        <v>5</v>
      </c>
      <c r="D8" s="141">
        <v>5</v>
      </c>
      <c r="E8" s="141">
        <v>5</v>
      </c>
      <c r="F8" s="141">
        <v>5</v>
      </c>
      <c r="G8" s="141">
        <v>5</v>
      </c>
      <c r="H8" s="141">
        <v>5</v>
      </c>
      <c r="I8" s="141">
        <v>5</v>
      </c>
      <c r="J8" s="141">
        <v>5</v>
      </c>
      <c r="K8" s="141">
        <v>5</v>
      </c>
      <c r="L8" s="141">
        <v>5</v>
      </c>
      <c r="M8" s="141">
        <v>5</v>
      </c>
      <c r="N8" s="141">
        <v>5</v>
      </c>
      <c r="O8" s="141">
        <v>5</v>
      </c>
      <c r="P8" s="141">
        <v>5</v>
      </c>
      <c r="Q8" s="141">
        <v>5</v>
      </c>
      <c r="R8" s="141">
        <v>5</v>
      </c>
      <c r="S8" s="141">
        <v>5</v>
      </c>
      <c r="T8" s="141">
        <v>5</v>
      </c>
      <c r="U8" s="141">
        <v>5</v>
      </c>
      <c r="V8" s="141">
        <v>5</v>
      </c>
      <c r="W8" s="141">
        <v>5</v>
      </c>
      <c r="X8" s="141">
        <v>5</v>
      </c>
      <c r="Y8" s="141">
        <v>5</v>
      </c>
      <c r="Z8" s="141">
        <v>5</v>
      </c>
    </row>
    <row r="9" spans="1:26" x14ac:dyDescent="0.25">
      <c r="A9" s="128" t="s">
        <v>7</v>
      </c>
      <c r="B9" s="129" t="s">
        <v>1059</v>
      </c>
      <c r="C9" s="141">
        <v>5</v>
      </c>
      <c r="D9" s="141">
        <v>5</v>
      </c>
      <c r="E9" s="141">
        <v>5</v>
      </c>
      <c r="F9" s="141">
        <v>5</v>
      </c>
      <c r="G9" s="141">
        <v>5</v>
      </c>
      <c r="H9" s="141">
        <v>5</v>
      </c>
      <c r="I9" s="141">
        <v>5</v>
      </c>
      <c r="J9" s="141">
        <v>5</v>
      </c>
      <c r="K9" s="141">
        <v>5</v>
      </c>
      <c r="L9" s="141">
        <v>5</v>
      </c>
      <c r="M9" s="141">
        <v>5</v>
      </c>
      <c r="N9" s="141">
        <v>5</v>
      </c>
      <c r="O9" s="141">
        <v>5</v>
      </c>
      <c r="P9" s="141">
        <v>5</v>
      </c>
      <c r="Q9" s="141">
        <v>5</v>
      </c>
      <c r="R9" s="141">
        <v>5</v>
      </c>
      <c r="S9" s="141">
        <v>5</v>
      </c>
      <c r="T9" s="141">
        <v>5</v>
      </c>
      <c r="U9" s="141">
        <v>5</v>
      </c>
      <c r="V9" s="141">
        <v>5</v>
      </c>
      <c r="W9" s="141">
        <v>5</v>
      </c>
      <c r="X9" s="141">
        <v>5</v>
      </c>
      <c r="Y9" s="141">
        <v>5</v>
      </c>
      <c r="Z9" s="141">
        <v>5</v>
      </c>
    </row>
    <row r="10" spans="1:26" x14ac:dyDescent="0.25">
      <c r="A10" s="131" t="s">
        <v>8</v>
      </c>
      <c r="B10" s="129" t="s">
        <v>336</v>
      </c>
      <c r="C10" s="141">
        <v>5</v>
      </c>
      <c r="D10" s="141">
        <v>5</v>
      </c>
      <c r="E10" s="141">
        <v>5</v>
      </c>
      <c r="F10" s="141">
        <v>5</v>
      </c>
      <c r="G10" s="141">
        <v>5</v>
      </c>
      <c r="H10" s="141">
        <v>5</v>
      </c>
      <c r="I10" s="141">
        <v>5</v>
      </c>
      <c r="J10" s="141">
        <v>5</v>
      </c>
      <c r="K10" s="141">
        <v>5</v>
      </c>
      <c r="L10" s="141">
        <v>5</v>
      </c>
      <c r="M10" s="141">
        <v>5</v>
      </c>
      <c r="N10" s="141">
        <v>5</v>
      </c>
      <c r="O10" s="141">
        <v>5</v>
      </c>
      <c r="P10" s="141">
        <v>5</v>
      </c>
      <c r="Q10" s="141">
        <v>5</v>
      </c>
      <c r="R10" s="141">
        <v>5</v>
      </c>
      <c r="S10" s="141">
        <v>5</v>
      </c>
      <c r="T10" s="141">
        <v>5</v>
      </c>
      <c r="U10" s="141">
        <v>5</v>
      </c>
      <c r="V10" s="141">
        <v>5</v>
      </c>
      <c r="W10" s="141">
        <v>5</v>
      </c>
      <c r="X10" s="141">
        <v>5</v>
      </c>
      <c r="Y10" s="141">
        <v>5</v>
      </c>
      <c r="Z10" s="141">
        <v>5</v>
      </c>
    </row>
    <row r="11" spans="1:26" x14ac:dyDescent="0.25">
      <c r="A11" s="128" t="s">
        <v>9</v>
      </c>
      <c r="B11" s="129" t="s">
        <v>1059</v>
      </c>
      <c r="C11" s="141">
        <v>5</v>
      </c>
      <c r="D11" s="141">
        <v>5</v>
      </c>
      <c r="E11" s="141">
        <v>5</v>
      </c>
      <c r="F11" s="141">
        <v>5</v>
      </c>
      <c r="G11" s="141">
        <v>5</v>
      </c>
      <c r="H11" s="141">
        <v>5</v>
      </c>
      <c r="I11" s="141">
        <v>5</v>
      </c>
      <c r="J11" s="141">
        <v>5</v>
      </c>
      <c r="K11" s="141">
        <v>5</v>
      </c>
      <c r="L11" s="141">
        <v>5</v>
      </c>
      <c r="M11" s="141">
        <v>5</v>
      </c>
      <c r="N11" s="141">
        <v>5</v>
      </c>
      <c r="O11" s="141">
        <v>5</v>
      </c>
      <c r="P11" s="141">
        <v>5</v>
      </c>
      <c r="Q11" s="141">
        <v>5</v>
      </c>
      <c r="R11" s="141">
        <v>5</v>
      </c>
      <c r="S11" s="141">
        <v>5</v>
      </c>
      <c r="T11" s="141">
        <v>5</v>
      </c>
      <c r="U11" s="141">
        <v>5</v>
      </c>
      <c r="V11" s="141">
        <v>5</v>
      </c>
      <c r="W11" s="141">
        <v>5</v>
      </c>
      <c r="X11" s="141">
        <v>5</v>
      </c>
      <c r="Y11" s="141">
        <v>5</v>
      </c>
      <c r="Z11" s="141">
        <v>5</v>
      </c>
    </row>
    <row r="12" spans="1:26" x14ac:dyDescent="0.25">
      <c r="A12" s="128" t="s">
        <v>10</v>
      </c>
      <c r="B12" s="129" t="s">
        <v>1059</v>
      </c>
      <c r="C12" s="141">
        <v>5</v>
      </c>
      <c r="D12" s="141">
        <v>5</v>
      </c>
      <c r="E12" s="141">
        <v>5</v>
      </c>
      <c r="F12" s="141">
        <v>5</v>
      </c>
      <c r="G12" s="141">
        <v>5</v>
      </c>
      <c r="H12" s="141">
        <v>5</v>
      </c>
      <c r="I12" s="141">
        <v>5</v>
      </c>
      <c r="J12" s="141">
        <v>5</v>
      </c>
      <c r="K12" s="141">
        <v>5</v>
      </c>
      <c r="L12" s="141">
        <v>5</v>
      </c>
      <c r="M12" s="141">
        <v>5</v>
      </c>
      <c r="N12" s="141">
        <v>5</v>
      </c>
      <c r="O12" s="141">
        <v>5</v>
      </c>
      <c r="P12" s="141">
        <v>5</v>
      </c>
      <c r="Q12" s="141">
        <v>5</v>
      </c>
      <c r="R12" s="141">
        <v>5</v>
      </c>
      <c r="S12" s="141">
        <v>5</v>
      </c>
      <c r="T12" s="141">
        <v>5</v>
      </c>
      <c r="U12" s="141">
        <v>5</v>
      </c>
      <c r="V12" s="141">
        <v>5</v>
      </c>
      <c r="W12" s="141">
        <v>5</v>
      </c>
      <c r="X12" s="141">
        <v>5</v>
      </c>
      <c r="Y12" s="141">
        <v>5</v>
      </c>
      <c r="Z12" s="141">
        <v>5</v>
      </c>
    </row>
    <row r="13" spans="1:26" x14ac:dyDescent="0.25">
      <c r="A13" s="128" t="s">
        <v>11</v>
      </c>
      <c r="B13" s="129" t="s">
        <v>1059</v>
      </c>
      <c r="C13" s="141">
        <v>5</v>
      </c>
      <c r="D13" s="141">
        <v>5</v>
      </c>
      <c r="E13" s="141">
        <v>5</v>
      </c>
      <c r="F13" s="141">
        <v>5</v>
      </c>
      <c r="G13" s="141">
        <v>5</v>
      </c>
      <c r="H13" s="141">
        <v>5</v>
      </c>
      <c r="I13" s="141">
        <v>5</v>
      </c>
      <c r="J13" s="141">
        <v>5</v>
      </c>
      <c r="K13" s="141">
        <v>5</v>
      </c>
      <c r="L13" s="141">
        <v>5</v>
      </c>
      <c r="M13" s="141">
        <v>5</v>
      </c>
      <c r="N13" s="141">
        <v>5</v>
      </c>
      <c r="O13" s="141">
        <v>5</v>
      </c>
      <c r="P13" s="141">
        <v>5</v>
      </c>
      <c r="Q13" s="141">
        <v>5</v>
      </c>
      <c r="R13" s="141">
        <v>5</v>
      </c>
      <c r="S13" s="141">
        <v>5</v>
      </c>
      <c r="T13" s="141">
        <v>5</v>
      </c>
      <c r="U13" s="141">
        <v>5</v>
      </c>
      <c r="V13" s="141">
        <v>5</v>
      </c>
      <c r="W13" s="141">
        <v>5</v>
      </c>
      <c r="X13" s="141">
        <v>5</v>
      </c>
      <c r="Y13" s="141">
        <v>5</v>
      </c>
      <c r="Z13" s="141">
        <v>5</v>
      </c>
    </row>
    <row r="14" spans="1:26" x14ac:dyDescent="0.25">
      <c r="A14" s="128" t="s">
        <v>12</v>
      </c>
      <c r="B14" s="129" t="s">
        <v>1059</v>
      </c>
      <c r="C14" s="141">
        <v>5</v>
      </c>
      <c r="D14" s="141">
        <v>5</v>
      </c>
      <c r="E14" s="141">
        <v>5</v>
      </c>
      <c r="F14" s="141">
        <v>5</v>
      </c>
      <c r="G14" s="141">
        <v>5</v>
      </c>
      <c r="H14" s="141">
        <v>5</v>
      </c>
      <c r="I14" s="141">
        <v>5</v>
      </c>
      <c r="J14" s="141">
        <v>5</v>
      </c>
      <c r="K14" s="141">
        <v>5</v>
      </c>
      <c r="L14" s="141">
        <v>5</v>
      </c>
      <c r="M14" s="141">
        <v>5</v>
      </c>
      <c r="N14" s="141">
        <v>5</v>
      </c>
      <c r="O14" s="141">
        <v>5</v>
      </c>
      <c r="P14" s="141">
        <v>5</v>
      </c>
      <c r="Q14" s="141">
        <v>5</v>
      </c>
      <c r="R14" s="141">
        <v>5</v>
      </c>
      <c r="S14" s="141">
        <v>5</v>
      </c>
      <c r="T14" s="141">
        <v>5</v>
      </c>
      <c r="U14" s="141">
        <v>5</v>
      </c>
      <c r="V14" s="141">
        <v>5</v>
      </c>
      <c r="W14" s="141">
        <v>5</v>
      </c>
      <c r="X14" s="141">
        <v>5</v>
      </c>
      <c r="Y14" s="141">
        <v>5</v>
      </c>
      <c r="Z14" s="141">
        <v>5</v>
      </c>
    </row>
    <row r="15" spans="1:26" x14ac:dyDescent="0.25">
      <c r="A15" s="128" t="s">
        <v>13</v>
      </c>
      <c r="B15" s="129" t="s">
        <v>1059</v>
      </c>
      <c r="C15" s="141">
        <v>5</v>
      </c>
      <c r="D15" s="141">
        <v>5</v>
      </c>
      <c r="E15" s="141">
        <v>5</v>
      </c>
      <c r="F15" s="141">
        <v>5</v>
      </c>
      <c r="G15" s="141">
        <v>5</v>
      </c>
      <c r="H15" s="141">
        <v>5</v>
      </c>
      <c r="I15" s="141">
        <v>5</v>
      </c>
      <c r="J15" s="141">
        <v>5</v>
      </c>
      <c r="K15" s="141">
        <v>5</v>
      </c>
      <c r="L15" s="141">
        <v>5</v>
      </c>
      <c r="M15" s="141">
        <v>5</v>
      </c>
      <c r="N15" s="141">
        <v>5</v>
      </c>
      <c r="O15" s="141">
        <v>5</v>
      </c>
      <c r="P15" s="141">
        <v>5</v>
      </c>
      <c r="Q15" s="141">
        <v>5</v>
      </c>
      <c r="R15" s="141">
        <v>5</v>
      </c>
      <c r="S15" s="141">
        <v>5</v>
      </c>
      <c r="T15" s="141">
        <v>5</v>
      </c>
      <c r="U15" s="141">
        <v>5</v>
      </c>
      <c r="V15" s="141">
        <v>5</v>
      </c>
      <c r="W15" s="141">
        <v>5</v>
      </c>
      <c r="X15" s="141">
        <v>5</v>
      </c>
      <c r="Y15" s="141">
        <v>5</v>
      </c>
      <c r="Z15" s="141">
        <v>5</v>
      </c>
    </row>
    <row r="16" spans="1:26" x14ac:dyDescent="0.25">
      <c r="A16" s="128" t="s">
        <v>14</v>
      </c>
      <c r="B16" s="129" t="s">
        <v>1059</v>
      </c>
      <c r="C16" s="141">
        <v>5</v>
      </c>
      <c r="D16" s="141">
        <v>5</v>
      </c>
      <c r="E16" s="141">
        <v>5</v>
      </c>
      <c r="F16" s="141">
        <v>5</v>
      </c>
      <c r="G16" s="141">
        <v>5</v>
      </c>
      <c r="H16" s="141">
        <v>5</v>
      </c>
      <c r="I16" s="141">
        <v>5</v>
      </c>
      <c r="J16" s="141">
        <v>5</v>
      </c>
      <c r="K16" s="141">
        <v>5</v>
      </c>
      <c r="L16" s="141">
        <v>5</v>
      </c>
      <c r="M16" s="141">
        <v>5</v>
      </c>
      <c r="N16" s="141">
        <v>5</v>
      </c>
      <c r="O16" s="141">
        <v>5</v>
      </c>
      <c r="P16" s="141">
        <v>5</v>
      </c>
      <c r="Q16" s="141">
        <v>5</v>
      </c>
      <c r="R16" s="141">
        <v>5</v>
      </c>
      <c r="S16" s="141">
        <v>5</v>
      </c>
      <c r="T16" s="141">
        <v>5</v>
      </c>
      <c r="U16" s="141">
        <v>5</v>
      </c>
      <c r="V16" s="141">
        <v>5</v>
      </c>
      <c r="W16" s="141">
        <v>5</v>
      </c>
      <c r="X16" s="141">
        <v>5</v>
      </c>
      <c r="Y16" s="141">
        <v>5</v>
      </c>
      <c r="Z16" s="141">
        <v>5</v>
      </c>
    </row>
    <row r="17" spans="1:26" x14ac:dyDescent="0.25">
      <c r="A17" s="128" t="s">
        <v>15</v>
      </c>
      <c r="B17" s="129" t="s">
        <v>1059</v>
      </c>
      <c r="C17" s="141">
        <v>5</v>
      </c>
      <c r="D17" s="141">
        <v>5</v>
      </c>
      <c r="E17" s="141">
        <v>5</v>
      </c>
      <c r="F17" s="141">
        <v>5</v>
      </c>
      <c r="G17" s="141">
        <v>5</v>
      </c>
      <c r="H17" s="141">
        <v>5</v>
      </c>
      <c r="I17" s="141">
        <v>5</v>
      </c>
      <c r="J17" s="141">
        <v>5</v>
      </c>
      <c r="K17" s="141">
        <v>5</v>
      </c>
      <c r="L17" s="141">
        <v>5</v>
      </c>
      <c r="M17" s="141">
        <v>5</v>
      </c>
      <c r="N17" s="141">
        <v>5</v>
      </c>
      <c r="O17" s="141">
        <v>5</v>
      </c>
      <c r="P17" s="141">
        <v>5</v>
      </c>
      <c r="Q17" s="141">
        <v>5</v>
      </c>
      <c r="R17" s="141">
        <v>5</v>
      </c>
      <c r="S17" s="141">
        <v>5</v>
      </c>
      <c r="T17" s="141">
        <v>5</v>
      </c>
      <c r="U17" s="141">
        <v>5</v>
      </c>
      <c r="V17" s="141">
        <v>5</v>
      </c>
      <c r="W17" s="141">
        <v>5</v>
      </c>
      <c r="X17" s="141">
        <v>5</v>
      </c>
      <c r="Y17" s="141">
        <v>5</v>
      </c>
      <c r="Z17" s="141">
        <v>5</v>
      </c>
    </row>
    <row r="18" spans="1:26" x14ac:dyDescent="0.25">
      <c r="A18" s="128" t="s">
        <v>16</v>
      </c>
      <c r="B18" s="129" t="s">
        <v>1059</v>
      </c>
      <c r="C18" s="141">
        <v>5</v>
      </c>
      <c r="D18" s="141">
        <v>5</v>
      </c>
      <c r="E18" s="141">
        <v>5</v>
      </c>
      <c r="F18" s="141">
        <v>5</v>
      </c>
      <c r="G18" s="141">
        <v>5</v>
      </c>
      <c r="H18" s="141">
        <v>5</v>
      </c>
      <c r="I18" s="141">
        <v>5</v>
      </c>
      <c r="J18" s="141">
        <v>5</v>
      </c>
      <c r="K18" s="141">
        <v>5</v>
      </c>
      <c r="L18" s="141">
        <v>5</v>
      </c>
      <c r="M18" s="141">
        <v>5</v>
      </c>
      <c r="N18" s="141">
        <v>5</v>
      </c>
      <c r="O18" s="141">
        <v>5</v>
      </c>
      <c r="P18" s="141">
        <v>5</v>
      </c>
      <c r="Q18" s="141">
        <v>5</v>
      </c>
      <c r="R18" s="141">
        <v>5</v>
      </c>
      <c r="S18" s="141">
        <v>5</v>
      </c>
      <c r="T18" s="141">
        <v>5</v>
      </c>
      <c r="U18" s="141">
        <v>5</v>
      </c>
      <c r="V18" s="141">
        <v>5</v>
      </c>
      <c r="W18" s="141">
        <v>5</v>
      </c>
      <c r="X18" s="141">
        <v>5</v>
      </c>
      <c r="Y18" s="141">
        <v>5</v>
      </c>
      <c r="Z18" s="141">
        <v>5</v>
      </c>
    </row>
    <row r="19" spans="1:26" x14ac:dyDescent="0.25">
      <c r="A19" s="128" t="s">
        <v>17</v>
      </c>
      <c r="B19" s="129" t="s">
        <v>1059</v>
      </c>
      <c r="C19" s="141">
        <v>5</v>
      </c>
      <c r="D19" s="141">
        <v>5</v>
      </c>
      <c r="E19" s="141">
        <v>5</v>
      </c>
      <c r="F19" s="141">
        <v>5</v>
      </c>
      <c r="G19" s="141">
        <v>5</v>
      </c>
      <c r="H19" s="141">
        <v>5</v>
      </c>
      <c r="I19" s="141">
        <v>5</v>
      </c>
      <c r="J19" s="141">
        <v>5</v>
      </c>
      <c r="K19" s="141">
        <v>5</v>
      </c>
      <c r="L19" s="141">
        <v>5</v>
      </c>
      <c r="M19" s="141">
        <v>5</v>
      </c>
      <c r="N19" s="141">
        <v>5</v>
      </c>
      <c r="O19" s="141">
        <v>5</v>
      </c>
      <c r="P19" s="141">
        <v>5</v>
      </c>
      <c r="Q19" s="141">
        <v>5</v>
      </c>
      <c r="R19" s="141">
        <v>5</v>
      </c>
      <c r="S19" s="141">
        <v>5</v>
      </c>
      <c r="T19" s="141">
        <v>5</v>
      </c>
      <c r="U19" s="141">
        <v>5</v>
      </c>
      <c r="V19" s="141">
        <v>5</v>
      </c>
      <c r="W19" s="141">
        <v>5</v>
      </c>
      <c r="X19" s="141">
        <v>5</v>
      </c>
      <c r="Y19" s="141">
        <v>5</v>
      </c>
      <c r="Z19" s="141">
        <v>5</v>
      </c>
    </row>
    <row r="20" spans="1:26" x14ac:dyDescent="0.25">
      <c r="A20" s="128" t="s">
        <v>18</v>
      </c>
      <c r="B20" s="129" t="s">
        <v>1059</v>
      </c>
      <c r="C20" s="141">
        <v>5</v>
      </c>
      <c r="D20" s="141">
        <v>5</v>
      </c>
      <c r="E20" s="141">
        <v>5</v>
      </c>
      <c r="F20" s="141">
        <v>5</v>
      </c>
      <c r="G20" s="141">
        <v>5</v>
      </c>
      <c r="H20" s="141">
        <v>5</v>
      </c>
      <c r="I20" s="141">
        <v>5</v>
      </c>
      <c r="J20" s="141">
        <v>5</v>
      </c>
      <c r="K20" s="141">
        <v>5</v>
      </c>
      <c r="L20" s="141">
        <v>5</v>
      </c>
      <c r="M20" s="141">
        <v>5</v>
      </c>
      <c r="N20" s="141">
        <v>5</v>
      </c>
      <c r="O20" s="141">
        <v>5</v>
      </c>
      <c r="P20" s="141">
        <v>5</v>
      </c>
      <c r="Q20" s="141">
        <v>5</v>
      </c>
      <c r="R20" s="141">
        <v>5</v>
      </c>
      <c r="S20" s="141">
        <v>5</v>
      </c>
      <c r="T20" s="141">
        <v>5</v>
      </c>
      <c r="U20" s="141">
        <v>5</v>
      </c>
      <c r="V20" s="141">
        <v>5</v>
      </c>
      <c r="W20" s="141">
        <v>5</v>
      </c>
      <c r="X20" s="141">
        <v>5</v>
      </c>
      <c r="Y20" s="141">
        <v>5</v>
      </c>
      <c r="Z20" s="141">
        <v>5</v>
      </c>
    </row>
    <row r="21" spans="1:26" x14ac:dyDescent="0.25">
      <c r="A21" s="128" t="s">
        <v>19</v>
      </c>
      <c r="B21" s="129" t="s">
        <v>1059</v>
      </c>
      <c r="C21" s="141">
        <v>5</v>
      </c>
      <c r="D21" s="141">
        <v>5</v>
      </c>
      <c r="E21" s="141">
        <v>5</v>
      </c>
      <c r="F21" s="141">
        <v>5</v>
      </c>
      <c r="G21" s="141">
        <v>5</v>
      </c>
      <c r="H21" s="141">
        <v>5</v>
      </c>
      <c r="I21" s="141">
        <v>5</v>
      </c>
      <c r="J21" s="141">
        <v>5</v>
      </c>
      <c r="K21" s="141">
        <v>5</v>
      </c>
      <c r="L21" s="141">
        <v>5</v>
      </c>
      <c r="M21" s="141">
        <v>5</v>
      </c>
      <c r="N21" s="141">
        <v>5</v>
      </c>
      <c r="O21" s="141">
        <v>5</v>
      </c>
      <c r="P21" s="141">
        <v>5</v>
      </c>
      <c r="Q21" s="141">
        <v>5</v>
      </c>
      <c r="R21" s="141">
        <v>5</v>
      </c>
      <c r="S21" s="141">
        <v>5</v>
      </c>
      <c r="T21" s="141">
        <v>5</v>
      </c>
      <c r="U21" s="141">
        <v>5</v>
      </c>
      <c r="V21" s="141">
        <v>5</v>
      </c>
      <c r="W21" s="141">
        <v>5</v>
      </c>
      <c r="X21" s="141">
        <v>5</v>
      </c>
      <c r="Y21" s="141">
        <v>5</v>
      </c>
      <c r="Z21" s="141">
        <v>5</v>
      </c>
    </row>
    <row r="22" spans="1:26" x14ac:dyDescent="0.25">
      <c r="A22" s="128" t="s">
        <v>20</v>
      </c>
      <c r="B22" s="129" t="s">
        <v>1059</v>
      </c>
      <c r="C22" s="141">
        <v>5</v>
      </c>
      <c r="D22" s="141">
        <v>5</v>
      </c>
      <c r="E22" s="141">
        <v>5</v>
      </c>
      <c r="F22" s="141">
        <v>5</v>
      </c>
      <c r="G22" s="141">
        <v>5</v>
      </c>
      <c r="H22" s="141">
        <v>5</v>
      </c>
      <c r="I22" s="141">
        <v>5</v>
      </c>
      <c r="J22" s="141">
        <v>5</v>
      </c>
      <c r="K22" s="141">
        <v>5</v>
      </c>
      <c r="L22" s="141">
        <v>5</v>
      </c>
      <c r="M22" s="141">
        <v>5</v>
      </c>
      <c r="N22" s="141">
        <v>5</v>
      </c>
      <c r="O22" s="141">
        <v>5</v>
      </c>
      <c r="P22" s="141">
        <v>5</v>
      </c>
      <c r="Q22" s="141">
        <v>5</v>
      </c>
      <c r="R22" s="141">
        <v>5</v>
      </c>
      <c r="S22" s="141">
        <v>5</v>
      </c>
      <c r="T22" s="141">
        <v>5</v>
      </c>
      <c r="U22" s="141">
        <v>5</v>
      </c>
      <c r="V22" s="141">
        <v>5</v>
      </c>
      <c r="W22" s="141">
        <v>5</v>
      </c>
      <c r="X22" s="141">
        <v>5</v>
      </c>
      <c r="Y22" s="141">
        <v>5</v>
      </c>
      <c r="Z22" s="141">
        <v>5</v>
      </c>
    </row>
    <row r="23" spans="1:26" x14ac:dyDescent="0.25">
      <c r="A23" s="131" t="s">
        <v>21</v>
      </c>
      <c r="B23" s="129" t="s">
        <v>336</v>
      </c>
      <c r="C23" s="141">
        <v>5</v>
      </c>
      <c r="D23" s="141">
        <v>5</v>
      </c>
      <c r="E23" s="141">
        <v>5</v>
      </c>
      <c r="F23" s="141">
        <v>5</v>
      </c>
      <c r="G23" s="141">
        <v>5</v>
      </c>
      <c r="H23" s="141">
        <v>5</v>
      </c>
      <c r="I23" s="141">
        <v>5</v>
      </c>
      <c r="J23" s="141">
        <v>5</v>
      </c>
      <c r="K23" s="141">
        <v>5</v>
      </c>
      <c r="L23" s="141">
        <v>5</v>
      </c>
      <c r="M23" s="141">
        <v>5</v>
      </c>
      <c r="N23" s="141">
        <v>5</v>
      </c>
      <c r="O23" s="141">
        <v>5</v>
      </c>
      <c r="P23" s="141">
        <v>5</v>
      </c>
      <c r="Q23" s="141">
        <v>5</v>
      </c>
      <c r="R23" s="141">
        <v>5</v>
      </c>
      <c r="S23" s="141">
        <v>5</v>
      </c>
      <c r="T23" s="141">
        <v>5</v>
      </c>
      <c r="U23" s="141">
        <v>5</v>
      </c>
      <c r="V23" s="141">
        <v>5</v>
      </c>
      <c r="W23" s="141">
        <v>5</v>
      </c>
      <c r="X23" s="141">
        <v>5</v>
      </c>
      <c r="Y23" s="141">
        <v>5</v>
      </c>
      <c r="Z23" s="141">
        <v>5</v>
      </c>
    </row>
    <row r="24" spans="1:26" x14ac:dyDescent="0.25">
      <c r="A24" s="128" t="s">
        <v>22</v>
      </c>
      <c r="B24" s="129" t="s">
        <v>1059</v>
      </c>
      <c r="C24" s="141">
        <v>5</v>
      </c>
      <c r="D24" s="141">
        <v>5</v>
      </c>
      <c r="E24" s="141">
        <v>5</v>
      </c>
      <c r="F24" s="141">
        <v>5</v>
      </c>
      <c r="G24" s="141">
        <v>5</v>
      </c>
      <c r="H24" s="141">
        <v>5</v>
      </c>
      <c r="I24" s="141">
        <v>5</v>
      </c>
      <c r="J24" s="141">
        <v>5</v>
      </c>
      <c r="K24" s="141">
        <v>5</v>
      </c>
      <c r="L24" s="141">
        <v>5</v>
      </c>
      <c r="M24" s="141">
        <v>5</v>
      </c>
      <c r="N24" s="141">
        <v>5</v>
      </c>
      <c r="O24" s="141">
        <v>5</v>
      </c>
      <c r="P24" s="141">
        <v>5</v>
      </c>
      <c r="Q24" s="141">
        <v>5</v>
      </c>
      <c r="R24" s="141">
        <v>5</v>
      </c>
      <c r="S24" s="141">
        <v>5</v>
      </c>
      <c r="T24" s="141">
        <v>5</v>
      </c>
      <c r="U24" s="141">
        <v>5</v>
      </c>
      <c r="V24" s="141">
        <v>5</v>
      </c>
      <c r="W24" s="141">
        <v>5</v>
      </c>
      <c r="X24" s="141">
        <v>5</v>
      </c>
      <c r="Y24" s="141">
        <v>5</v>
      </c>
      <c r="Z24" s="141">
        <v>5</v>
      </c>
    </row>
    <row r="25" spans="1:26" x14ac:dyDescent="0.25">
      <c r="A25" s="131" t="s">
        <v>23</v>
      </c>
      <c r="B25" s="129" t="s">
        <v>336</v>
      </c>
      <c r="C25" s="141">
        <v>5</v>
      </c>
      <c r="D25" s="141">
        <v>5</v>
      </c>
      <c r="E25" s="141">
        <v>5</v>
      </c>
      <c r="F25" s="141">
        <v>5</v>
      </c>
      <c r="G25" s="141">
        <v>5</v>
      </c>
      <c r="H25" s="141">
        <v>5</v>
      </c>
      <c r="I25" s="141">
        <v>5</v>
      </c>
      <c r="J25" s="141">
        <v>5</v>
      </c>
      <c r="K25" s="141">
        <v>5</v>
      </c>
      <c r="L25" s="141">
        <v>5</v>
      </c>
      <c r="M25" s="141">
        <v>5</v>
      </c>
      <c r="N25" s="141">
        <v>5</v>
      </c>
      <c r="O25" s="141">
        <v>5</v>
      </c>
      <c r="P25" s="141">
        <v>5</v>
      </c>
      <c r="Q25" s="141">
        <v>5</v>
      </c>
      <c r="R25" s="141">
        <v>5</v>
      </c>
      <c r="S25" s="141">
        <v>5</v>
      </c>
      <c r="T25" s="141">
        <v>5</v>
      </c>
      <c r="U25" s="141">
        <v>5</v>
      </c>
      <c r="V25" s="141">
        <v>5</v>
      </c>
      <c r="W25" s="141">
        <v>5</v>
      </c>
      <c r="X25" s="141">
        <v>5</v>
      </c>
      <c r="Y25" s="141">
        <v>5</v>
      </c>
      <c r="Z25" s="141">
        <v>5</v>
      </c>
    </row>
    <row r="26" spans="1:26" x14ac:dyDescent="0.25">
      <c r="A26" s="128" t="s">
        <v>24</v>
      </c>
      <c r="B26" s="129" t="s">
        <v>1059</v>
      </c>
      <c r="C26" s="141">
        <v>5</v>
      </c>
      <c r="D26" s="141">
        <v>5</v>
      </c>
      <c r="E26" s="141">
        <v>5</v>
      </c>
      <c r="F26" s="141">
        <v>5</v>
      </c>
      <c r="G26" s="141">
        <v>5</v>
      </c>
      <c r="H26" s="141">
        <v>5</v>
      </c>
      <c r="I26" s="141">
        <v>5</v>
      </c>
      <c r="J26" s="141">
        <v>5</v>
      </c>
      <c r="K26" s="141">
        <v>5</v>
      </c>
      <c r="L26" s="141">
        <v>5</v>
      </c>
      <c r="M26" s="141">
        <v>5</v>
      </c>
      <c r="N26" s="141">
        <v>5</v>
      </c>
      <c r="O26" s="141">
        <v>5</v>
      </c>
      <c r="P26" s="141">
        <v>5</v>
      </c>
      <c r="Q26" s="141">
        <v>5</v>
      </c>
      <c r="R26" s="141">
        <v>5</v>
      </c>
      <c r="S26" s="141">
        <v>5</v>
      </c>
      <c r="T26" s="141">
        <v>5</v>
      </c>
      <c r="U26" s="141">
        <v>5</v>
      </c>
      <c r="V26" s="141">
        <v>5</v>
      </c>
      <c r="W26" s="141">
        <v>5</v>
      </c>
      <c r="X26" s="141">
        <v>5</v>
      </c>
      <c r="Y26" s="141">
        <v>5</v>
      </c>
      <c r="Z26" s="141">
        <v>5</v>
      </c>
    </row>
    <row r="27" spans="1:26" x14ac:dyDescent="0.25">
      <c r="A27" s="128" t="s">
        <v>25</v>
      </c>
      <c r="B27" s="129" t="s">
        <v>1059</v>
      </c>
      <c r="C27" s="141">
        <v>5</v>
      </c>
      <c r="D27" s="141">
        <v>5</v>
      </c>
      <c r="E27" s="141">
        <v>5</v>
      </c>
      <c r="F27" s="141">
        <v>5</v>
      </c>
      <c r="G27" s="141">
        <v>5</v>
      </c>
      <c r="H27" s="141">
        <v>5</v>
      </c>
      <c r="I27" s="141">
        <v>5</v>
      </c>
      <c r="J27" s="141">
        <v>5</v>
      </c>
      <c r="K27" s="141">
        <v>5</v>
      </c>
      <c r="L27" s="141">
        <v>5</v>
      </c>
      <c r="M27" s="141">
        <v>5</v>
      </c>
      <c r="N27" s="141">
        <v>5</v>
      </c>
      <c r="O27" s="141">
        <v>5</v>
      </c>
      <c r="P27" s="141">
        <v>5</v>
      </c>
      <c r="Q27" s="141">
        <v>5</v>
      </c>
      <c r="R27" s="141">
        <v>5</v>
      </c>
      <c r="S27" s="141">
        <v>5</v>
      </c>
      <c r="T27" s="141">
        <v>5</v>
      </c>
      <c r="U27" s="141">
        <v>5</v>
      </c>
      <c r="V27" s="141">
        <v>5</v>
      </c>
      <c r="W27" s="141">
        <v>5</v>
      </c>
      <c r="X27" s="141">
        <v>5</v>
      </c>
      <c r="Y27" s="141">
        <v>5</v>
      </c>
      <c r="Z27" s="141">
        <v>5</v>
      </c>
    </row>
    <row r="28" spans="1:26" x14ac:dyDescent="0.25">
      <c r="A28" s="128" t="s">
        <v>26</v>
      </c>
      <c r="B28" s="129" t="s">
        <v>1059</v>
      </c>
      <c r="C28" s="141">
        <v>5</v>
      </c>
      <c r="D28" s="141">
        <v>5</v>
      </c>
      <c r="E28" s="141">
        <v>5</v>
      </c>
      <c r="F28" s="141">
        <v>5</v>
      </c>
      <c r="G28" s="141">
        <v>5</v>
      </c>
      <c r="H28" s="141">
        <v>5</v>
      </c>
      <c r="I28" s="141">
        <v>5</v>
      </c>
      <c r="J28" s="141">
        <v>5</v>
      </c>
      <c r="K28" s="141">
        <v>5</v>
      </c>
      <c r="L28" s="141">
        <v>5</v>
      </c>
      <c r="M28" s="141">
        <v>5</v>
      </c>
      <c r="N28" s="141">
        <v>5</v>
      </c>
      <c r="O28" s="141">
        <v>5</v>
      </c>
      <c r="P28" s="141">
        <v>5</v>
      </c>
      <c r="Q28" s="141">
        <v>5</v>
      </c>
      <c r="R28" s="141">
        <v>5</v>
      </c>
      <c r="S28" s="141">
        <v>5</v>
      </c>
      <c r="T28" s="141">
        <v>5</v>
      </c>
      <c r="U28" s="141">
        <v>5</v>
      </c>
      <c r="V28" s="141">
        <v>5</v>
      </c>
      <c r="W28" s="141">
        <v>5</v>
      </c>
      <c r="X28" s="141">
        <v>5</v>
      </c>
      <c r="Y28" s="141">
        <v>5</v>
      </c>
      <c r="Z28" s="141">
        <v>5</v>
      </c>
    </row>
    <row r="29" spans="1:26" x14ac:dyDescent="0.25">
      <c r="A29" s="128" t="s">
        <v>27</v>
      </c>
      <c r="B29" s="129" t="s">
        <v>1059</v>
      </c>
      <c r="C29" s="141">
        <v>5</v>
      </c>
      <c r="D29" s="141">
        <v>5</v>
      </c>
      <c r="E29" s="141">
        <v>5</v>
      </c>
      <c r="F29" s="141">
        <v>5</v>
      </c>
      <c r="G29" s="141">
        <v>5</v>
      </c>
      <c r="H29" s="141">
        <v>5</v>
      </c>
      <c r="I29" s="141">
        <v>5</v>
      </c>
      <c r="J29" s="141">
        <v>5</v>
      </c>
      <c r="K29" s="141">
        <v>5</v>
      </c>
      <c r="L29" s="141">
        <v>5</v>
      </c>
      <c r="M29" s="141">
        <v>5</v>
      </c>
      <c r="N29" s="141">
        <v>5</v>
      </c>
      <c r="O29" s="141">
        <v>5</v>
      </c>
      <c r="P29" s="141">
        <v>5</v>
      </c>
      <c r="Q29" s="141">
        <v>5</v>
      </c>
      <c r="R29" s="141">
        <v>5</v>
      </c>
      <c r="S29" s="141">
        <v>5</v>
      </c>
      <c r="T29" s="141">
        <v>5</v>
      </c>
      <c r="U29" s="141">
        <v>5</v>
      </c>
      <c r="V29" s="141">
        <v>5</v>
      </c>
      <c r="W29" s="141">
        <v>5</v>
      </c>
      <c r="X29" s="141">
        <v>5</v>
      </c>
      <c r="Y29" s="141">
        <v>5</v>
      </c>
      <c r="Z29" s="141">
        <v>5</v>
      </c>
    </row>
    <row r="30" spans="1:26" x14ac:dyDescent="0.25">
      <c r="A30" s="128" t="s">
        <v>28</v>
      </c>
      <c r="B30" s="129" t="s">
        <v>1059</v>
      </c>
      <c r="C30" s="141">
        <v>5</v>
      </c>
      <c r="D30" s="141">
        <v>5</v>
      </c>
      <c r="E30" s="141">
        <v>5</v>
      </c>
      <c r="F30" s="141">
        <v>5</v>
      </c>
      <c r="G30" s="141">
        <v>5</v>
      </c>
      <c r="H30" s="141">
        <v>5</v>
      </c>
      <c r="I30" s="141">
        <v>5</v>
      </c>
      <c r="J30" s="141">
        <v>5</v>
      </c>
      <c r="K30" s="141">
        <v>5</v>
      </c>
      <c r="L30" s="141">
        <v>5</v>
      </c>
      <c r="M30" s="141">
        <v>5</v>
      </c>
      <c r="N30" s="141">
        <v>5</v>
      </c>
      <c r="O30" s="141">
        <v>5</v>
      </c>
      <c r="P30" s="141">
        <v>5</v>
      </c>
      <c r="Q30" s="141">
        <v>5</v>
      </c>
      <c r="R30" s="141">
        <v>5</v>
      </c>
      <c r="S30" s="141">
        <v>5</v>
      </c>
      <c r="T30" s="141">
        <v>5</v>
      </c>
      <c r="U30" s="141">
        <v>5</v>
      </c>
      <c r="V30" s="141">
        <v>5</v>
      </c>
      <c r="W30" s="141">
        <v>5</v>
      </c>
      <c r="X30" s="141">
        <v>5</v>
      </c>
      <c r="Y30" s="141">
        <v>5</v>
      </c>
      <c r="Z30" s="141">
        <v>5</v>
      </c>
    </row>
  </sheetData>
  <sheetProtection algorithmName="SHA-512" hashValue="GSlWHakKcC8vpflUTBy007RsJPH4wp5xLmtU4tItzEorEmMXEO0dENP+4TjMHfZP/aiBchAoqaE8Yo2AI8E7iQ==" saltValue="Jqe+UaiKZHjaQbBg8aeIxQ==" spinCount="100000" sheet="1" objects="1" scenarios="1" formatColumns="0" formatRows="0" autoFilter="0"/>
  <autoFilter ref="A1:Z30" xr:uid="{00000000-0009-0000-0000-00001900000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BV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14" style="1" bestFit="1" customWidth="1"/>
    <col min="4" max="4" width="13.85546875" style="1" bestFit="1" customWidth="1"/>
    <col min="5" max="5" width="13.140625" style="1" bestFit="1" customWidth="1"/>
    <col min="6" max="6" width="13.85546875" style="1" bestFit="1" customWidth="1"/>
    <col min="7" max="7" width="13.140625" style="1" bestFit="1" customWidth="1"/>
    <col min="8" max="8" width="13.28515625" style="1" bestFit="1" customWidth="1"/>
    <col min="9" max="9" width="12.5703125" style="1" bestFit="1" customWidth="1"/>
    <col min="10" max="10" width="14" style="1" bestFit="1" customWidth="1"/>
    <col min="11" max="11" width="13.140625" style="1" bestFit="1" customWidth="1"/>
    <col min="12" max="12" width="14.85546875" style="1" bestFit="1" customWidth="1"/>
    <col min="13" max="13" width="12.28515625" style="1" bestFit="1" customWidth="1"/>
    <col min="14" max="14" width="12.85546875" style="1" bestFit="1" customWidth="1"/>
    <col min="15" max="15" width="13" style="1" bestFit="1" customWidth="1"/>
    <col min="16" max="16" width="14.140625" style="1" bestFit="1" customWidth="1"/>
    <col min="17" max="17" width="14.28515625" style="1" bestFit="1" customWidth="1"/>
    <col min="18" max="18" width="13.140625" style="1" bestFit="1" customWidth="1"/>
    <col min="19" max="19" width="12.42578125" style="1" bestFit="1" customWidth="1"/>
    <col min="20" max="20" width="13.85546875" style="1" bestFit="1" customWidth="1"/>
    <col min="21" max="21" width="14.140625" style="1" bestFit="1" customWidth="1"/>
    <col min="22" max="22" width="13.28515625" style="1" bestFit="1" customWidth="1"/>
    <col min="23" max="23" width="14" style="1" bestFit="1" customWidth="1"/>
    <col min="24" max="24" width="12.85546875" style="1" bestFit="1" customWidth="1"/>
    <col min="25" max="25" width="12.42578125" style="1" bestFit="1" customWidth="1"/>
    <col min="26" max="26" width="14.28515625" style="1" bestFit="1" customWidth="1"/>
    <col min="27" max="27" width="13.5703125" style="1" bestFit="1" customWidth="1"/>
    <col min="28" max="28" width="13.42578125" style="1" bestFit="1" customWidth="1"/>
    <col min="29" max="29" width="12.85546875" style="1" bestFit="1" customWidth="1"/>
    <col min="30" max="30" width="13.42578125" style="1" bestFit="1" customWidth="1"/>
    <col min="31" max="31" width="12.7109375" style="1" bestFit="1" customWidth="1"/>
    <col min="32" max="32" width="13" style="1" bestFit="1" customWidth="1"/>
    <col min="33" max="33" width="12.140625" style="1" bestFit="1" customWidth="1"/>
    <col min="34" max="34" width="13.5703125" style="1" bestFit="1" customWidth="1"/>
    <col min="35" max="35" width="12.7109375" style="1" bestFit="1" customWidth="1"/>
    <col min="36" max="36" width="14.42578125" style="1" bestFit="1" customWidth="1"/>
    <col min="37" max="37" width="12" style="1" bestFit="1" customWidth="1"/>
    <col min="38" max="38" width="12.5703125" style="1" bestFit="1" customWidth="1"/>
    <col min="39" max="39" width="12.7109375" style="1" bestFit="1" customWidth="1"/>
    <col min="40" max="40" width="13.85546875" style="1" bestFit="1" customWidth="1"/>
    <col min="41" max="41" width="14" style="1" bestFit="1" customWidth="1"/>
    <col min="42" max="42" width="12.7109375" style="1" bestFit="1" customWidth="1"/>
    <col min="43" max="43" width="12" style="1" bestFit="1" customWidth="1"/>
    <col min="44" max="44" width="13.42578125" style="1" bestFit="1" customWidth="1"/>
    <col min="45" max="45" width="13.85546875" style="1" bestFit="1" customWidth="1"/>
    <col min="46" max="46" width="12.85546875" style="1" bestFit="1" customWidth="1"/>
    <col min="47" max="47" width="13.5703125" style="1" bestFit="1" customWidth="1"/>
    <col min="48" max="48" width="12.42578125" style="1" bestFit="1" customWidth="1"/>
    <col min="49" max="49" width="12" style="1" bestFit="1" customWidth="1"/>
    <col min="50" max="50" width="14" style="1" bestFit="1" customWidth="1"/>
    <col min="51" max="51" width="14.140625" style="1" bestFit="1" customWidth="1"/>
    <col min="52" max="52" width="14" style="1" bestFit="1" customWidth="1"/>
    <col min="53" max="53" width="13.42578125" style="1" bestFit="1" customWidth="1"/>
    <col min="54" max="54" width="14" style="1" bestFit="1" customWidth="1"/>
    <col min="55" max="55" width="13.42578125" style="1" bestFit="1" customWidth="1"/>
    <col min="56" max="56" width="13.5703125" style="1" bestFit="1" customWidth="1"/>
    <col min="57" max="57" width="12.85546875" style="1" bestFit="1" customWidth="1"/>
    <col min="58" max="58" width="14.140625" style="1" bestFit="1" customWidth="1"/>
    <col min="59" max="59" width="13.42578125" style="1" bestFit="1" customWidth="1"/>
    <col min="60" max="60" width="15.140625" style="1" bestFit="1" customWidth="1"/>
    <col min="61" max="61" width="12.5703125" style="1" bestFit="1" customWidth="1"/>
    <col min="62" max="62" width="13.140625" style="1" bestFit="1" customWidth="1"/>
    <col min="63" max="63" width="13.28515625" style="1" bestFit="1" customWidth="1"/>
    <col min="64" max="64" width="14.42578125" style="1" bestFit="1" customWidth="1"/>
    <col min="65" max="65" width="14.5703125" style="1" bestFit="1" customWidth="1"/>
    <col min="66" max="66" width="13.42578125" style="1" bestFit="1" customWidth="1"/>
    <col min="67" max="67" width="12.7109375" style="1" bestFit="1" customWidth="1"/>
    <col min="68" max="68" width="14.140625" style="1" bestFit="1" customWidth="1"/>
    <col min="69" max="69" width="14.5703125" style="1" bestFit="1" customWidth="1"/>
    <col min="70" max="70" width="13.5703125" style="1" bestFit="1" customWidth="1"/>
    <col min="71" max="71" width="14.140625" style="1" bestFit="1" customWidth="1"/>
    <col min="72" max="72" width="13.140625" style="1" bestFit="1" customWidth="1"/>
    <col min="73" max="73" width="12.7109375" style="1" bestFit="1" customWidth="1"/>
    <col min="74" max="74" width="14.5703125" style="1" bestFit="1" customWidth="1"/>
  </cols>
  <sheetData>
    <row r="1" spans="1:74" x14ac:dyDescent="0.25">
      <c r="A1" s="50" t="s">
        <v>39</v>
      </c>
      <c r="B1" s="51" t="s">
        <v>335</v>
      </c>
      <c r="C1" s="1" t="s">
        <v>651</v>
      </c>
      <c r="D1" s="1" t="s">
        <v>652</v>
      </c>
      <c r="E1" s="1" t="s">
        <v>653</v>
      </c>
      <c r="F1" s="1" t="s">
        <v>654</v>
      </c>
      <c r="G1" s="1" t="s">
        <v>655</v>
      </c>
      <c r="H1" s="1" t="s">
        <v>656</v>
      </c>
      <c r="I1" s="1" t="s">
        <v>657</v>
      </c>
      <c r="J1" s="1" t="s">
        <v>658</v>
      </c>
      <c r="K1" s="1" t="s">
        <v>659</v>
      </c>
      <c r="L1" s="1" t="s">
        <v>660</v>
      </c>
      <c r="M1" s="1" t="s">
        <v>661</v>
      </c>
      <c r="N1" s="1" t="s">
        <v>662</v>
      </c>
      <c r="O1" s="1" t="s">
        <v>663</v>
      </c>
      <c r="P1" s="1" t="s">
        <v>664</v>
      </c>
      <c r="Q1" s="1" t="s">
        <v>665</v>
      </c>
      <c r="R1" s="1" t="s">
        <v>666</v>
      </c>
      <c r="S1" s="1" t="s">
        <v>667</v>
      </c>
      <c r="T1" s="1" t="s">
        <v>668</v>
      </c>
      <c r="U1" s="1" t="s">
        <v>669</v>
      </c>
      <c r="V1" s="1" t="s">
        <v>670</v>
      </c>
      <c r="W1" s="1" t="s">
        <v>671</v>
      </c>
      <c r="X1" s="1" t="s">
        <v>672</v>
      </c>
      <c r="Y1" s="1" t="s">
        <v>673</v>
      </c>
      <c r="Z1" s="1" t="s">
        <v>721</v>
      </c>
      <c r="AA1" s="1" t="s">
        <v>674</v>
      </c>
      <c r="AB1" s="1" t="s">
        <v>675</v>
      </c>
      <c r="AC1" s="1" t="s">
        <v>676</v>
      </c>
      <c r="AD1" s="1" t="s">
        <v>677</v>
      </c>
      <c r="AE1" s="1" t="s">
        <v>678</v>
      </c>
      <c r="AF1" s="1" t="s">
        <v>679</v>
      </c>
      <c r="AG1" s="1" t="s">
        <v>680</v>
      </c>
      <c r="AH1" s="1" t="s">
        <v>681</v>
      </c>
      <c r="AI1" s="1" t="s">
        <v>682</v>
      </c>
      <c r="AJ1" s="1" t="s">
        <v>683</v>
      </c>
      <c r="AK1" s="1" t="s">
        <v>684</v>
      </c>
      <c r="AL1" s="1" t="s">
        <v>685</v>
      </c>
      <c r="AM1" s="1" t="s">
        <v>686</v>
      </c>
      <c r="AN1" s="1" t="s">
        <v>687</v>
      </c>
      <c r="AO1" s="1" t="s">
        <v>688</v>
      </c>
      <c r="AP1" s="1" t="s">
        <v>689</v>
      </c>
      <c r="AQ1" s="1" t="s">
        <v>690</v>
      </c>
      <c r="AR1" s="1" t="s">
        <v>691</v>
      </c>
      <c r="AS1" s="1" t="s">
        <v>692</v>
      </c>
      <c r="AT1" s="1" t="s">
        <v>693</v>
      </c>
      <c r="AU1" s="1" t="s">
        <v>694</v>
      </c>
      <c r="AV1" s="1" t="s">
        <v>695</v>
      </c>
      <c r="AW1" s="1" t="s">
        <v>696</v>
      </c>
      <c r="AX1" s="1" t="s">
        <v>722</v>
      </c>
      <c r="AY1" s="1" t="s">
        <v>697</v>
      </c>
      <c r="AZ1" s="1" t="s">
        <v>698</v>
      </c>
      <c r="BA1" s="1" t="s">
        <v>699</v>
      </c>
      <c r="BB1" s="1" t="s">
        <v>700</v>
      </c>
      <c r="BC1" s="1" t="s">
        <v>701</v>
      </c>
      <c r="BD1" s="1" t="s">
        <v>702</v>
      </c>
      <c r="BE1" s="1" t="s">
        <v>703</v>
      </c>
      <c r="BF1" s="1" t="s">
        <v>704</v>
      </c>
      <c r="BG1" s="1" t="s">
        <v>705</v>
      </c>
      <c r="BH1" s="1" t="s">
        <v>706</v>
      </c>
      <c r="BI1" s="1" t="s">
        <v>707</v>
      </c>
      <c r="BJ1" s="1" t="s">
        <v>708</v>
      </c>
      <c r="BK1" s="1" t="s">
        <v>709</v>
      </c>
      <c r="BL1" s="1" t="s">
        <v>710</v>
      </c>
      <c r="BM1" s="1" t="s">
        <v>711</v>
      </c>
      <c r="BN1" s="1" t="s">
        <v>712</v>
      </c>
      <c r="BO1" s="1" t="s">
        <v>713</v>
      </c>
      <c r="BP1" s="1" t="s">
        <v>714</v>
      </c>
      <c r="BQ1" s="1" t="s">
        <v>715</v>
      </c>
      <c r="BR1" s="1" t="s">
        <v>716</v>
      </c>
      <c r="BS1" s="1" t="s">
        <v>717</v>
      </c>
      <c r="BT1" s="1" t="s">
        <v>718</v>
      </c>
      <c r="BU1" s="1" t="s">
        <v>719</v>
      </c>
      <c r="BV1" s="1" t="s">
        <v>723</v>
      </c>
    </row>
    <row r="2" spans="1:74" x14ac:dyDescent="0.25">
      <c r="A2" s="31" t="s">
        <v>0</v>
      </c>
      <c r="B2" s="3" t="s">
        <v>1059</v>
      </c>
      <c r="C2" s="72">
        <f>IFERROR(IF(up_Bv!C2=0,".",((s_Ir*s_F*up_Bv!C2*(1-EXP(-up_RadSpec!$BC2*s_t_b)))/(s_P*up_RadSpec!$BC2))),".")</f>
        <v>993.50362303732038</v>
      </c>
      <c r="D2" s="72">
        <f>IFERROR(IF(up_Bv!D2=0,".",((s_Ir*s_F*up_Bv!D2*(1-EXP(-up_RadSpec!BC2*s_t_b)))/(s_P*up_RadSpec!BC2))),".")</f>
        <v>993.50362303732038</v>
      </c>
      <c r="E2" s="72">
        <f>IFERROR(IF(up_Bv!E2=0,".",((s_Ir*s_F*up_Bv!E2*(1-EXP(-up_RadSpec!BC2*s_t_b)))/(s_P*up_RadSpec!BC2))),".")</f>
        <v>993.50362303732038</v>
      </c>
      <c r="F2" s="72">
        <f>IFERROR(IF(up_Bv!F2=0,".",((s_Ir*s_F*up_Bv!F2*(1-EXP(-up_RadSpec!BC2*s_t_b)))/(s_P*up_RadSpec!BC2))),".")</f>
        <v>993.50362303732038</v>
      </c>
      <c r="G2" s="72">
        <f>IFERROR(IF(up_Bv!G2=0,".",((s_Ir*s_F*up_Bv!G2*(1-EXP(-up_RadSpec!BC2*s_t_b)))/(s_P*up_RadSpec!BC2))),".")</f>
        <v>993.50362303732038</v>
      </c>
      <c r="H2" s="72">
        <f>IFERROR(IF(up_Bv!H2=0,".",((s_Ir*s_F*up_Bv!H2*(1-EXP(-up_RadSpec!BC2*s_t_b)))/(s_P*up_RadSpec!BC2))),".")</f>
        <v>993.50362303732038</v>
      </c>
      <c r="I2" s="72">
        <f>IFERROR(IF(up_Bv!I2=0,".",((s_Ir*s_F*up_Bv!I2*(1-EXP(-up_RadSpec!BC2*s_t_b)))/(s_P*up_RadSpec!BC2))),".")</f>
        <v>993.50362303732038</v>
      </c>
      <c r="J2" s="72">
        <f>IFERROR(IF(up_Bv!J2=0,".",((s_Ir*s_F*up_Bv!J2*(1-EXP(-up_RadSpec!BC2*s_t_b)))/(s_P*up_RadSpec!BC2))),".")</f>
        <v>993.50362303732038</v>
      </c>
      <c r="K2" s="72">
        <f>IFERROR(IF(up_Bv!K2=0,".",((s_Ir*s_F*up_Bv!K2*(1-EXP(-up_RadSpec!BC2*s_t_b)))/(s_P*up_RadSpec!BC2))),".")</f>
        <v>993.50362303732038</v>
      </c>
      <c r="L2" s="72">
        <f>IFERROR(IF(up_Bv!L2=0,".",((s_Ir*s_F*up_Bv!L2*(1-EXP(-up_RadSpec!BC2*s_t_b)))/(s_P*up_RadSpec!BC2))),".")</f>
        <v>993.50362303732038</v>
      </c>
      <c r="M2" s="72">
        <f>IFERROR(IF(up_Bv!M2=0,".",((s_Ir*s_F*up_Bv!M2*(1-EXP(-up_RadSpec!BC2*s_t_b)))/(s_P*up_RadSpec!BC2))),".")</f>
        <v>993.50362303732038</v>
      </c>
      <c r="N2" s="72">
        <f>IFERROR(IF(up_Bv!N2=0,".",((s_Ir*s_F*up_Bv!N2*(1-EXP(-up_RadSpec!BC2*s_t_b)))/(s_P*up_RadSpec!BC2))),".")</f>
        <v>993.50362303732038</v>
      </c>
      <c r="O2" s="72">
        <f>IFERROR(IF(up_Bv!O2=0,".",((s_Ir*s_F*up_Bv!O2*(1-EXP(-up_RadSpec!BC2*s_t_b)))/(s_P*up_RadSpec!BC2))),".")</f>
        <v>993.50362303732038</v>
      </c>
      <c r="P2" s="72">
        <f>IFERROR(IF(up_Bv!P2=0,".",((s_Ir*s_F*up_Bv!P2*(1-EXP(-up_RadSpec!BC2*s_t_b)))/(s_P*up_RadSpec!BC2))),".")</f>
        <v>993.50362303732038</v>
      </c>
      <c r="Q2" s="72">
        <f>IFERROR(IF(up_Bv!Q2=0,".",((s_Ir*s_F*up_Bv!Q2*(1-EXP(-up_RadSpec!BC2*s_t_b)))/(s_P*up_RadSpec!BC2))),".")</f>
        <v>993.50362303732038</v>
      </c>
      <c r="R2" s="72">
        <f>IFERROR(IF(up_Bv!R2=0,".",((s_Ir*s_F*up_Bv!R2*(1-EXP(-up_RadSpec!BC2*s_t_b)))/(s_P*up_RadSpec!BC2))),".")</f>
        <v>993.50362303732038</v>
      </c>
      <c r="S2" s="72">
        <f>IFERROR(IF(up_Bv!S2=0,".",((s_Ir*s_F*up_Bv!S2*(1-EXP(-up_RadSpec!BC2*s_t_b)))/(s_P*up_RadSpec!BC2))),".")</f>
        <v>993.50362303732038</v>
      </c>
      <c r="T2" s="72">
        <f>IFERROR(IF(up_Bv!T2=0,".",((s_Ir*s_F*up_Bv!T2*(1-EXP(-up_RadSpec!BC2*s_t_b)))/(s_P*up_RadSpec!BC2))),".")</f>
        <v>993.50362303732038</v>
      </c>
      <c r="U2" s="72">
        <f>IFERROR(IF(up_Bv!U2=0,".",((s_Ir*s_F*up_Bv!U2*(1-EXP(-up_RadSpec!BC2*s_t_b)))/(s_P*up_RadSpec!BC2))),".")</f>
        <v>993.50362303732038</v>
      </c>
      <c r="V2" s="72">
        <f>IFERROR(IF(up_Bv!V2=0,".",((s_Ir*s_F*up_Bv!V2*(1-EXP(-up_RadSpec!BC2*s_t_b)))/(s_P*up_RadSpec!BC2))),".")</f>
        <v>993.50362303732038</v>
      </c>
      <c r="W2" s="72">
        <f>IFERROR(IF(up_Bv!W2=0,".",((s_Ir*s_F*up_Bv!W2*(1-EXP(-up_RadSpec!BC2*s_t_b)))/(s_P*up_RadSpec!BC2))),".")</f>
        <v>993.50362303732038</v>
      </c>
      <c r="X2" s="72">
        <f>IFERROR(IF(up_Bv!X2=0,".",((s_Ir*s_F*up_Bv!X2*(1-EXP(-up_RadSpec!BC2*s_t_b)))/(s_P*up_RadSpec!BC2))),".")</f>
        <v>993.50362303732038</v>
      </c>
      <c r="Y2" s="72">
        <f>IFERROR(IF(up_Bv!Y2=0,".",((s_Ir*s_F*up_Bv!Y2*(1-EXP(-up_RadSpec!BC2*s_t_b)))/(s_P*up_RadSpec!BC2))),".")</f>
        <v>993.50362303732038</v>
      </c>
      <c r="Z2" s="72">
        <f>IFERROR(IF(up_Bv!Z2=0,".",((s_Ir*s_F*up_Bv!Z2*(1-EXP(-up_RadSpec!BC2*s_t_b)))/(s_P*up_RadSpec!BC2))),".")</f>
        <v>993.50362303732038</v>
      </c>
      <c r="AA2" s="72">
        <f>IFERROR(IF(up_Bv!C2=0,".",((s_Ir*s_F*s_MLF_apple*(1-EXP(-up_RadSpec!BC2*s_t_b)))/(s_P*up_RadSpec!BC2))),".")</f>
        <v>2.6824597822007652</v>
      </c>
      <c r="AB2" s="72">
        <f>IFERROR(IF(up_Bv!D2=0,".",((s_Ir*s_F*s_MLF_asparagus*(1-EXP(-up_RadSpec!BC2*s_t_b)))/(s_P*up_RadSpec!BC2))),".")</f>
        <v>2.6824597822007652</v>
      </c>
      <c r="AC2" s="72">
        <f>IFERROR(IF(up_Bv!E2=0,".",((s_Ir*s_F*s_MLF_beet*(1-EXP(-up_RadSpec!BC2*s_t_b)))/(s_P*up_RadSpec!BC2))),".")</f>
        <v>2.6824597822007652</v>
      </c>
      <c r="AD2" s="72">
        <f>IFERROR(IF(up_Bv!F2=0,".",((s_Ir*s_F*s_MLF_berries*(1-EXP(-up_RadSpec!BC2*s_t_b)))/(s_P*up_RadSpec!BC2))),".")</f>
        <v>2.6824597822007652</v>
      </c>
      <c r="AE2" s="72">
        <f>IFERROR(IF(up_Bv!G2=0,".",((s_Ir*s_F*s_MLF_broccoli*(1-EXP(-up_RadSpec!BC2*s_t_b)))/(s_P*up_RadSpec!BC2))),".")</f>
        <v>2.6824597822007652</v>
      </c>
      <c r="AF2" s="72">
        <f>IFERROR(IF(up_Bv!H2=0,".",((s_Ir*s_F*s_MLF_cabbage*(1-EXP(-up_RadSpec!BC2*s_t_b)))/(s_P*up_RadSpec!BC2))),".")</f>
        <v>2.6824597822007652</v>
      </c>
      <c r="AG2" s="72">
        <f>IFERROR(IF(up_Bv!I2=0,".",((s_Ir*s_F*s_MLF_carrot*(1-EXP(-up_RadSpec!BC2*s_t_b)))/(s_P*up_RadSpec!BC2))),".")</f>
        <v>2.6824597822007652</v>
      </c>
      <c r="AH2" s="72">
        <f>IFERROR(IF(up_Bv!J2=0,".",((s_Ir*s_F*s_MLF_citrus*(1-EXP(-up_RadSpec!BC2*s_t_b)))/(s_P*up_RadSpec!BC2))),".")</f>
        <v>2.6824597822007652</v>
      </c>
      <c r="AI2" s="72">
        <f>IFERROR(IF(up_Bv!K2=0,".",((s_Ir*s_F*s_MLF_corn*(1-EXP(-up_RadSpec!BC2*s_t_b)))/(s_P*up_RadSpec!BC2))),".")</f>
        <v>2.6824597822007652</v>
      </c>
      <c r="AJ2" s="72">
        <f>IFERROR(IF(up_Bv!L2=0,".",((s_Ir*s_F*s_MLF_cucumber*(1-EXP(-up_RadSpec!BC2*s_t_b)))/(s_P*up_RadSpec!BC2))),".")</f>
        <v>2.6824597822007652</v>
      </c>
      <c r="AK2" s="72">
        <f>IFERROR(IF(up_Bv!M2=0,".",((s_Ir*s_F*s_MLF_lettuce*(1-EXP(-up_RadSpec!BC2*s_t_b)))/(s_P*up_RadSpec!BC2))),".")</f>
        <v>2.6824597822007652</v>
      </c>
      <c r="AL2" s="72">
        <f>IFERROR(IF(up_Bv!N2=0,".",((s_Ir*s_F*s_MLF_lima_bean*(1-EXP(-up_RadSpec!BC2*s_t_b)))/(s_P*up_RadSpec!BC2))),".")</f>
        <v>2.6824597822007652</v>
      </c>
      <c r="AM2" s="72">
        <f>IFERROR(IF(up_Bv!O2=0,".",((s_Ir*s_F*s_MLF_okra*(1-EXP(-up_RadSpec!BC2*s_t_b)))/(s_P*up_RadSpec!BC2))),".")</f>
        <v>2.6824597822007652</v>
      </c>
      <c r="AN2" s="72">
        <f>IFERROR(IF(up_Bv!P2=0,".",((s_Ir*s_F*s_MLF_onion*(1-EXP(-up_RadSpec!BC2*s_t_b)))/(s_P*up_RadSpec!BC2))),".")</f>
        <v>2.6824597822007652</v>
      </c>
      <c r="AO2" s="72">
        <f>IFERROR(IF(up_Bv!Q2=0,".",((s_Ir*s_F*s_MLF_peach*(1-EXP(-up_RadSpec!BC2*s_t_b)))/(s_P*up_RadSpec!BC2))),".")</f>
        <v>2.6824597822007652</v>
      </c>
      <c r="AP2" s="72">
        <f>IFERROR(IF(up_Bv!R2=0,".",((s_Ir*s_F*s_MLF_pear*(1-EXP(-up_RadSpec!BC2*s_t_b)))/(s_P*up_RadSpec!BC2))),".")</f>
        <v>2.6824597822007652</v>
      </c>
      <c r="AQ2" s="72">
        <f>IFERROR(IF(up_Bv!S2=0,".",((s_Ir*s_F*s_MLF_peas*(1-EXP(-up_RadSpec!BC2*s_t_b)))/(s_P*up_RadSpec!BC2))),".")</f>
        <v>2.6824597822007652</v>
      </c>
      <c r="AR2" s="72">
        <f>IFERROR(IF(up_Bv!T2=0,".",((s_Ir*s_F*s_MLF_potato*(1-EXP(-up_RadSpec!BC2*s_t_b)))/(s_P*up_RadSpec!BC2))),".")</f>
        <v>2.6824597822007652</v>
      </c>
      <c r="AS2" s="72">
        <f>IFERROR(IF(up_Bv!U2=0,".",((s_Ir*s_F*s_MLF_pumpkin*(1-EXP(-up_RadSpec!BC2*s_t_b)))/(s_P*up_RadSpec!BC2))),".")</f>
        <v>2.6824597822007652</v>
      </c>
      <c r="AT2" s="72">
        <f>IFERROR(IF(up_Bv!V2=0,".",((s_Ir*s_F*s_MLF_snap_bean*(1-EXP(-up_RadSpec!BC2*s_t_b)))/(s_P*up_RadSpec!BC2))),".")</f>
        <v>2.6824597822007652</v>
      </c>
      <c r="AU2" s="72">
        <f>IFERROR(IF(up_Bv!W2=0,".",((s_Ir*s_F*s_MLF_strawberry*(1-EXP(-up_RadSpec!BC2*s_t_b)))/(s_P*up_RadSpec!BC2))),".")</f>
        <v>2.6824597822007652</v>
      </c>
      <c r="AV2" s="72">
        <f>IFERROR(IF(up_Bv!X2=0,".",((s_Ir*s_F*s_MLF_tomato*(1-EXP(-up_RadSpec!BC2*s_t_b)))/(s_P*up_RadSpec!BC2))),".")</f>
        <v>2.6824597822007652</v>
      </c>
      <c r="AW2" s="72">
        <f>IFERROR(IF(up_Bv!Y2=0,".",((s_Ir*s_F*s_MLF_rice*(1-EXP(-up_RadSpec!BC2*s_t_b)))/(s_P*up_RadSpec!BC2))),".")</f>
        <v>2.6824597822007652</v>
      </c>
      <c r="AX2" s="72">
        <f>IFERROR(IF(up_Bv!Z2=0,".",((s_Ir*s_F*s_MLF_cereal*(1-EXP(-up_RadSpec!BC2*s_t_b)))/(s_P*up_RadSpec!BC2))),".")</f>
        <v>2.6824597822007652</v>
      </c>
      <c r="AY2" s="72">
        <f>IFERROR(IF(up_Bv!C2=0,".",((s_Ir*s_F*s_I_f*s_T*(1-EXP(-up_RadSpec!BD2*s_t_v)))/(s_Y_v*up_RadSpec!BD2))),".")</f>
        <v>9.0143481925428208</v>
      </c>
      <c r="AZ2" s="72">
        <f>IFERROR(IF(up_Bv!D2=0,".",((s_Ir*s_F*s_I_f*s_T*(1-EXP(-up_RadSpec!BD2*s_t_v)))/(s_Y_v*up_RadSpec!BD2))),".")</f>
        <v>9.0143481925428208</v>
      </c>
      <c r="BA2" s="72">
        <f>IFERROR(IF(up_Bv!E2=0,".",((s_Ir*s_F*s_I_f*s_T*(1-EXP(-up_RadSpec!BD2*s_t_v)))/(s_Y_v*up_RadSpec!BD2))),".")</f>
        <v>9.0143481925428208</v>
      </c>
      <c r="BB2" s="72">
        <f>IFERROR(IF(up_Bv!F2=0,".",((s_Ir*s_F*s_I_f*s_T*(1-EXP(-up_RadSpec!BD2*s_t_v)))/(s_Y_v*up_RadSpec!BD2))),".")</f>
        <v>9.0143481925428208</v>
      </c>
      <c r="BC2" s="72">
        <f>IFERROR(IF(up_Bv!G2=0,".",((s_Ir*s_F*s_I_f*s_T*(1-EXP(-up_RadSpec!BD2*s_t_v)))/(s_Y_v*up_RadSpec!BD2))),".")</f>
        <v>9.0143481925428208</v>
      </c>
      <c r="BD2" s="72">
        <f>IFERROR(IF(up_Bv!H2=0,".",((s_Ir*s_F*s_I_f*s_T*(1-EXP(-up_RadSpec!BD2*s_t_v)))/(s_Y_v*up_RadSpec!BD2))),".")</f>
        <v>9.0143481925428208</v>
      </c>
      <c r="BE2" s="72">
        <f>IFERROR(IF(up_Bv!I2=0,".",((s_Ir*s_F*s_I_f*s_T*(1-EXP(-up_RadSpec!BD2*s_t_v)))/(s_Y_v*up_RadSpec!BD2))),".")</f>
        <v>9.0143481925428208</v>
      </c>
      <c r="BF2" s="72">
        <f>IFERROR(IF(up_Bv!J2=0,".",((s_Ir*s_F*s_I_f*s_T*(1-EXP(-up_RadSpec!BD2*s_t_v)))/(s_Y_v*up_RadSpec!BD2))),".")</f>
        <v>9.0143481925428208</v>
      </c>
      <c r="BG2" s="72">
        <f>IFERROR(IF(up_Bv!K2=0,".",((s_Ir*s_F*s_I_f*s_T*(1-EXP(-up_RadSpec!BD2*s_t_v)))/(s_Y_v*up_RadSpec!BD2))),".")</f>
        <v>9.0143481925428208</v>
      </c>
      <c r="BH2" s="72">
        <f>IFERROR(IF(up_Bv!L2=0,".",((s_Ir*s_F*s_I_f*s_T*(1-EXP(-up_RadSpec!BD2*s_t_v)))/(s_Y_v*up_RadSpec!BD2))),".")</f>
        <v>9.0143481925428208</v>
      </c>
      <c r="BI2" s="72">
        <f>IFERROR(IF(up_Bv!M2=0,".",((s_Ir*s_F*s_I_f*s_T*(1-EXP(-up_RadSpec!BD2*s_t_v)))/(s_Y_v*up_RadSpec!BD2))),".")</f>
        <v>9.0143481925428208</v>
      </c>
      <c r="BJ2" s="72">
        <f>IFERROR(IF(up_Bv!N2=0,".",((s_Ir*s_F*s_I_f*s_T*(1-EXP(-up_RadSpec!BD2*s_t_v)))/(s_Y_v*up_RadSpec!BD2))),".")</f>
        <v>9.0143481925428208</v>
      </c>
      <c r="BK2" s="72">
        <f>IFERROR(IF(up_Bv!O2=0,".",((s_Ir*s_F*s_I_f*s_T*(1-EXP(-up_RadSpec!BD2*s_t_v)))/(s_Y_v*up_RadSpec!BD2))),".")</f>
        <v>9.0143481925428208</v>
      </c>
      <c r="BL2" s="72">
        <f>IFERROR(IF(up_Bv!P2=0,".",((s_Ir*s_F*s_I_f*s_T*(1-EXP(-up_RadSpec!BD2*s_t_v)))/(s_Y_v*up_RadSpec!BD2))),".")</f>
        <v>9.0143481925428208</v>
      </c>
      <c r="BM2" s="72">
        <f>IFERROR(IF(up_Bv!Q2=0,".",((s_Ir*s_F*s_I_f*s_T*(1-EXP(-up_RadSpec!BD2*s_t_v)))/(s_Y_v*up_RadSpec!BD2))),".")</f>
        <v>9.0143481925428208</v>
      </c>
      <c r="BN2" s="72">
        <f>IFERROR(IF(up_Bv!R2=0,".",((s_Ir*s_F*s_I_f*s_T*(1-EXP(-up_RadSpec!BD2*s_t_v)))/(s_Y_v*up_RadSpec!BD2))),".")</f>
        <v>9.0143481925428208</v>
      </c>
      <c r="BO2" s="72">
        <f>IFERROR(IF(up_Bv!S2=0,".",((s_Ir*s_F*s_I_f*s_T*(1-EXP(-up_RadSpec!BD2*s_t_v)))/(s_Y_v*up_RadSpec!BD2))),".")</f>
        <v>9.0143481925428208</v>
      </c>
      <c r="BP2" s="72">
        <f>IFERROR(IF(up_Bv!T2=0,".",((s_Ir*s_F*s_I_f*s_T*(1-EXP(-up_RadSpec!BD2*s_t_v)))/(s_Y_v*up_RadSpec!BD2))),".")</f>
        <v>9.0143481925428208</v>
      </c>
      <c r="BQ2" s="72">
        <f>IFERROR(IF(up_Bv!U2=0,".",((s_Ir*s_F*s_I_f*s_T*(1-EXP(-up_RadSpec!BD2*s_t_v)))/(s_Y_v*up_RadSpec!BD2))),".")</f>
        <v>9.0143481925428208</v>
      </c>
      <c r="BR2" s="72">
        <f>IFERROR(IF(up_Bv!V2=0,".",((s_Ir*s_F*s_I_f*s_T*(1-EXP(-up_RadSpec!BD2*s_t_v)))/(s_Y_v*up_RadSpec!BD2))),".")</f>
        <v>9.0143481925428208</v>
      </c>
      <c r="BS2" s="72">
        <f>IFERROR(IF(up_Bv!W2=0,".",((s_Ir*s_F*s_I_f*s_T*(1-EXP(-up_RadSpec!BD2*s_t_v)))/(s_Y_v*up_RadSpec!BD2))),".")</f>
        <v>9.0143481925428208</v>
      </c>
      <c r="BT2" s="72">
        <f>IFERROR(IF(up_Bv!X2=0,".",((s_Ir*s_F*s_I_f*s_T*(1-EXP(-up_RadSpec!BD2*s_t_v)))/(s_Y_v*up_RadSpec!BD2))),".")</f>
        <v>9.0143481925428208</v>
      </c>
      <c r="BU2" s="72">
        <f>IFERROR(IF(up_Bv!Y2=0,".",((s_Ir*s_F*s_I_f*s_T*(1-EXP(-up_RadSpec!BD2*s_t_v)))/(s_Y_v*up_RadSpec!BD2))),".")</f>
        <v>9.0143481925428208</v>
      </c>
      <c r="BV2" s="72">
        <f>IFERROR(IF(up_Bv!Z2=0,".",((s_Ir*s_F*s_I_f*s_T*(1-EXP(-up_RadSpec!BD2*s_t_v)))/(s_Y_v*up_RadSpec!BD2))),".")</f>
        <v>9.0143481925428208</v>
      </c>
    </row>
    <row r="3" spans="1:74" x14ac:dyDescent="0.25">
      <c r="A3" s="32" t="s">
        <v>1</v>
      </c>
      <c r="B3" s="3" t="s">
        <v>336</v>
      </c>
      <c r="C3" s="72">
        <f>IFERROR(IF(up_Bv!C3=0,".",((s_Ir*s_F*up_Bv!C3*(1-EXP(-up_RadSpec!$BC3*s_t_b)))/(s_P*up_RadSpec!$BC3))),".")</f>
        <v>993.50362303732038</v>
      </c>
      <c r="D3" s="72">
        <f>IFERROR(IF(up_Bv!D3=0,".",((s_Ir*s_F*up_Bv!D3*(1-EXP(-up_RadSpec!BC3*s_t_b)))/(s_P*up_RadSpec!BC3))),".")</f>
        <v>993.50362303732038</v>
      </c>
      <c r="E3" s="72">
        <f>IFERROR(IF(up_Bv!E3=0,".",((s_Ir*s_F*up_Bv!E3*(1-EXP(-up_RadSpec!BC3*s_t_b)))/(s_P*up_RadSpec!BC3))),".")</f>
        <v>993.50362303732038</v>
      </c>
      <c r="F3" s="72">
        <f>IFERROR(IF(up_Bv!F3=0,".",((s_Ir*s_F*up_Bv!F3*(1-EXP(-up_RadSpec!BC3*s_t_b)))/(s_P*up_RadSpec!BC3))),".")</f>
        <v>993.50362303732038</v>
      </c>
      <c r="G3" s="72">
        <f>IFERROR(IF(up_Bv!G3=0,".",((s_Ir*s_F*up_Bv!G3*(1-EXP(-up_RadSpec!BC3*s_t_b)))/(s_P*up_RadSpec!BC3))),".")</f>
        <v>993.50362303732038</v>
      </c>
      <c r="H3" s="72">
        <f>IFERROR(IF(up_Bv!H3=0,".",((s_Ir*s_F*up_Bv!H3*(1-EXP(-up_RadSpec!BC3*s_t_b)))/(s_P*up_RadSpec!BC3))),".")</f>
        <v>993.50362303732038</v>
      </c>
      <c r="I3" s="72">
        <f>IFERROR(IF(up_Bv!I3=0,".",((s_Ir*s_F*up_Bv!I3*(1-EXP(-up_RadSpec!BC3*s_t_b)))/(s_P*up_RadSpec!BC3))),".")</f>
        <v>993.50362303732038</v>
      </c>
      <c r="J3" s="72">
        <f>IFERROR(IF(up_Bv!J3=0,".",((s_Ir*s_F*up_Bv!J3*(1-EXP(-up_RadSpec!BC3*s_t_b)))/(s_P*up_RadSpec!BC3))),".")</f>
        <v>993.50362303732038</v>
      </c>
      <c r="K3" s="72">
        <f>IFERROR(IF(up_Bv!K3=0,".",((s_Ir*s_F*up_Bv!K3*(1-EXP(-up_RadSpec!BC3*s_t_b)))/(s_P*up_RadSpec!BC3))),".")</f>
        <v>993.50362303732038</v>
      </c>
      <c r="L3" s="72">
        <f>IFERROR(IF(up_Bv!L3=0,".",((s_Ir*s_F*up_Bv!L3*(1-EXP(-up_RadSpec!BC3*s_t_b)))/(s_P*up_RadSpec!BC3))),".")</f>
        <v>993.50362303732038</v>
      </c>
      <c r="M3" s="72">
        <f>IFERROR(IF(up_Bv!M3=0,".",((s_Ir*s_F*up_Bv!M3*(1-EXP(-up_RadSpec!BC3*s_t_b)))/(s_P*up_RadSpec!BC3))),".")</f>
        <v>993.50362303732038</v>
      </c>
      <c r="N3" s="72">
        <f>IFERROR(IF(up_Bv!N3=0,".",((s_Ir*s_F*up_Bv!N3*(1-EXP(-up_RadSpec!BC3*s_t_b)))/(s_P*up_RadSpec!BC3))),".")</f>
        <v>993.50362303732038</v>
      </c>
      <c r="O3" s="72">
        <f>IFERROR(IF(up_Bv!O3=0,".",((s_Ir*s_F*up_Bv!O3*(1-EXP(-up_RadSpec!BC3*s_t_b)))/(s_P*up_RadSpec!BC3))),".")</f>
        <v>993.50362303732038</v>
      </c>
      <c r="P3" s="72">
        <f>IFERROR(IF(up_Bv!P3=0,".",((s_Ir*s_F*up_Bv!P3*(1-EXP(-up_RadSpec!BC3*s_t_b)))/(s_P*up_RadSpec!BC3))),".")</f>
        <v>993.50362303732038</v>
      </c>
      <c r="Q3" s="72">
        <f>IFERROR(IF(up_Bv!Q3=0,".",((s_Ir*s_F*up_Bv!Q3*(1-EXP(-up_RadSpec!BC3*s_t_b)))/(s_P*up_RadSpec!BC3))),".")</f>
        <v>993.50362303732038</v>
      </c>
      <c r="R3" s="72">
        <f>IFERROR(IF(up_Bv!R3=0,".",((s_Ir*s_F*up_Bv!R3*(1-EXP(-up_RadSpec!BC3*s_t_b)))/(s_P*up_RadSpec!BC3))),".")</f>
        <v>993.50362303732038</v>
      </c>
      <c r="S3" s="72">
        <f>IFERROR(IF(up_Bv!S3=0,".",((s_Ir*s_F*up_Bv!S3*(1-EXP(-up_RadSpec!BC3*s_t_b)))/(s_P*up_RadSpec!BC3))),".")</f>
        <v>993.50362303732038</v>
      </c>
      <c r="T3" s="72">
        <f>IFERROR(IF(up_Bv!T3=0,".",((s_Ir*s_F*up_Bv!T3*(1-EXP(-up_RadSpec!BC3*s_t_b)))/(s_P*up_RadSpec!BC3))),".")</f>
        <v>993.50362303732038</v>
      </c>
      <c r="U3" s="72">
        <f>IFERROR(IF(up_Bv!U3=0,".",((s_Ir*s_F*up_Bv!U3*(1-EXP(-up_RadSpec!BC3*s_t_b)))/(s_P*up_RadSpec!BC3))),".")</f>
        <v>993.50362303732038</v>
      </c>
      <c r="V3" s="72">
        <f>IFERROR(IF(up_Bv!V3=0,".",((s_Ir*s_F*up_Bv!V3*(1-EXP(-up_RadSpec!BC3*s_t_b)))/(s_P*up_RadSpec!BC3))),".")</f>
        <v>993.50362303732038</v>
      </c>
      <c r="W3" s="72">
        <f>IFERROR(IF(up_Bv!W3=0,".",((s_Ir*s_F*up_Bv!W3*(1-EXP(-up_RadSpec!BC3*s_t_b)))/(s_P*up_RadSpec!BC3))),".")</f>
        <v>993.50362303732038</v>
      </c>
      <c r="X3" s="72">
        <f>IFERROR(IF(up_Bv!X3=0,".",((s_Ir*s_F*up_Bv!X3*(1-EXP(-up_RadSpec!BC3*s_t_b)))/(s_P*up_RadSpec!BC3))),".")</f>
        <v>993.50362303732038</v>
      </c>
      <c r="Y3" s="72">
        <f>IFERROR(IF(up_Bv!Y3=0,".",((s_Ir*s_F*up_Bv!Y3*(1-EXP(-up_RadSpec!BC3*s_t_b)))/(s_P*up_RadSpec!BC3))),".")</f>
        <v>993.50362303732038</v>
      </c>
      <c r="Z3" s="72">
        <f>IFERROR(IF(up_Bv!Z3=0,".",((s_Ir*s_F*up_Bv!Z3*(1-EXP(-up_RadSpec!BC3*s_t_b)))/(s_P*up_RadSpec!BC3))),".")</f>
        <v>993.50362303732038</v>
      </c>
      <c r="AA3" s="72">
        <f>IFERROR(IF(up_Bv!C3=0,".",((s_Ir*s_F*s_MLF_apple*(1-EXP(-up_RadSpec!BC3*s_t_b)))/(s_P*up_RadSpec!BC3))),".")</f>
        <v>2.6824597822007652</v>
      </c>
      <c r="AB3" s="72">
        <f>IFERROR(IF(up_Bv!D3=0,".",((s_Ir*s_F*s_MLF_asparagus*(1-EXP(-up_RadSpec!BC3*s_t_b)))/(s_P*up_RadSpec!BC3))),".")</f>
        <v>2.6824597822007652</v>
      </c>
      <c r="AC3" s="72">
        <f>IFERROR(IF(up_Bv!E3=0,".",((s_Ir*s_F*s_MLF_beet*(1-EXP(-up_RadSpec!BC3*s_t_b)))/(s_P*up_RadSpec!BC3))),".")</f>
        <v>2.6824597822007652</v>
      </c>
      <c r="AD3" s="72">
        <f>IFERROR(IF(up_Bv!F3=0,".",((s_Ir*s_F*s_MLF_berries*(1-EXP(-up_RadSpec!BC3*s_t_b)))/(s_P*up_RadSpec!BC3))),".")</f>
        <v>2.6824597822007652</v>
      </c>
      <c r="AE3" s="72">
        <f>IFERROR(IF(up_Bv!G3=0,".",((s_Ir*s_F*s_MLF_broccoli*(1-EXP(-up_RadSpec!BC3*s_t_b)))/(s_P*up_RadSpec!BC3))),".")</f>
        <v>2.6824597822007652</v>
      </c>
      <c r="AF3" s="72">
        <f>IFERROR(IF(up_Bv!H3=0,".",((s_Ir*s_F*s_MLF_cabbage*(1-EXP(-up_RadSpec!BC3*s_t_b)))/(s_P*up_RadSpec!BC3))),".")</f>
        <v>2.6824597822007652</v>
      </c>
      <c r="AG3" s="72">
        <f>IFERROR(IF(up_Bv!I3=0,".",((s_Ir*s_F*s_MLF_carrot*(1-EXP(-up_RadSpec!BC3*s_t_b)))/(s_P*up_RadSpec!BC3))),".")</f>
        <v>2.6824597822007652</v>
      </c>
      <c r="AH3" s="72">
        <f>IFERROR(IF(up_Bv!J3=0,".",((s_Ir*s_F*s_MLF_citrus*(1-EXP(-up_RadSpec!BC3*s_t_b)))/(s_P*up_RadSpec!BC3))),".")</f>
        <v>2.6824597822007652</v>
      </c>
      <c r="AI3" s="72">
        <f>IFERROR(IF(up_Bv!K3=0,".",((s_Ir*s_F*s_MLF_corn*(1-EXP(-up_RadSpec!BC3*s_t_b)))/(s_P*up_RadSpec!BC3))),".")</f>
        <v>2.6824597822007652</v>
      </c>
      <c r="AJ3" s="72">
        <f>IFERROR(IF(up_Bv!L3=0,".",((s_Ir*s_F*s_MLF_cucumber*(1-EXP(-up_RadSpec!BC3*s_t_b)))/(s_P*up_RadSpec!BC3))),".")</f>
        <v>2.6824597822007652</v>
      </c>
      <c r="AK3" s="72">
        <f>IFERROR(IF(up_Bv!M3=0,".",((s_Ir*s_F*s_MLF_lettuce*(1-EXP(-up_RadSpec!BC3*s_t_b)))/(s_P*up_RadSpec!BC3))),".")</f>
        <v>2.6824597822007652</v>
      </c>
      <c r="AL3" s="72">
        <f>IFERROR(IF(up_Bv!N3=0,".",((s_Ir*s_F*s_MLF_lima_bean*(1-EXP(-up_RadSpec!BC3*s_t_b)))/(s_P*up_RadSpec!BC3))),".")</f>
        <v>2.6824597822007652</v>
      </c>
      <c r="AM3" s="72">
        <f>IFERROR(IF(up_Bv!O3=0,".",((s_Ir*s_F*s_MLF_okra*(1-EXP(-up_RadSpec!BC3*s_t_b)))/(s_P*up_RadSpec!BC3))),".")</f>
        <v>2.6824597822007652</v>
      </c>
      <c r="AN3" s="72">
        <f>IFERROR(IF(up_Bv!P3=0,".",((s_Ir*s_F*s_MLF_onion*(1-EXP(-up_RadSpec!BC3*s_t_b)))/(s_P*up_RadSpec!BC3))),".")</f>
        <v>2.6824597822007652</v>
      </c>
      <c r="AO3" s="72">
        <f>IFERROR(IF(up_Bv!Q3=0,".",((s_Ir*s_F*s_MLF_peach*(1-EXP(-up_RadSpec!BC3*s_t_b)))/(s_P*up_RadSpec!BC3))),".")</f>
        <v>2.6824597822007652</v>
      </c>
      <c r="AP3" s="72">
        <f>IFERROR(IF(up_Bv!R3=0,".",((s_Ir*s_F*s_MLF_pear*(1-EXP(-up_RadSpec!BC3*s_t_b)))/(s_P*up_RadSpec!BC3))),".")</f>
        <v>2.6824597822007652</v>
      </c>
      <c r="AQ3" s="72">
        <f>IFERROR(IF(up_Bv!S3=0,".",((s_Ir*s_F*s_MLF_peas*(1-EXP(-up_RadSpec!BC3*s_t_b)))/(s_P*up_RadSpec!BC3))),".")</f>
        <v>2.6824597822007652</v>
      </c>
      <c r="AR3" s="72">
        <f>IFERROR(IF(up_Bv!T3=0,".",((s_Ir*s_F*s_MLF_potato*(1-EXP(-up_RadSpec!BC3*s_t_b)))/(s_P*up_RadSpec!BC3))),".")</f>
        <v>2.6824597822007652</v>
      </c>
      <c r="AS3" s="72">
        <f>IFERROR(IF(up_Bv!U3=0,".",((s_Ir*s_F*s_MLF_pumpkin*(1-EXP(-up_RadSpec!BC3*s_t_b)))/(s_P*up_RadSpec!BC3))),".")</f>
        <v>2.6824597822007652</v>
      </c>
      <c r="AT3" s="72">
        <f>IFERROR(IF(up_Bv!V3=0,".",((s_Ir*s_F*s_MLF_snap_bean*(1-EXP(-up_RadSpec!BC3*s_t_b)))/(s_P*up_RadSpec!BC3))),".")</f>
        <v>2.6824597822007652</v>
      </c>
      <c r="AU3" s="72">
        <f>IFERROR(IF(up_Bv!W3=0,".",((s_Ir*s_F*s_MLF_strawberry*(1-EXP(-up_RadSpec!BC3*s_t_b)))/(s_P*up_RadSpec!BC3))),".")</f>
        <v>2.6824597822007652</v>
      </c>
      <c r="AV3" s="72">
        <f>IFERROR(IF(up_Bv!X3=0,".",((s_Ir*s_F*s_MLF_tomato*(1-EXP(-up_RadSpec!BC3*s_t_b)))/(s_P*up_RadSpec!BC3))),".")</f>
        <v>2.6824597822007652</v>
      </c>
      <c r="AW3" s="72">
        <f>IFERROR(IF(up_Bv!Y3=0,".",((s_Ir*s_F*s_MLF_rice*(1-EXP(-up_RadSpec!BC3*s_t_b)))/(s_P*up_RadSpec!BC3))),".")</f>
        <v>2.6824597822007652</v>
      </c>
      <c r="AX3" s="72">
        <f>IFERROR(IF(up_Bv!Z3=0,".",((s_Ir*s_F*s_MLF_cereal*(1-EXP(-up_RadSpec!BC3*s_t_b)))/(s_P*up_RadSpec!BC3))),".")</f>
        <v>2.6824597822007652</v>
      </c>
      <c r="AY3" s="72">
        <f>IFERROR(IF(up_Bv!C3=0,".",((s_Ir*s_F*s_I_f*s_T*(1-EXP(-up_RadSpec!BD3*s_t_v)))/(s_Y_v*up_RadSpec!BD3))),".")</f>
        <v>9.0143481925428208</v>
      </c>
      <c r="AZ3" s="72">
        <f>IFERROR(IF(up_Bv!D3=0,".",((s_Ir*s_F*s_I_f*s_T*(1-EXP(-up_RadSpec!BD3*s_t_v)))/(s_Y_v*up_RadSpec!BD3))),".")</f>
        <v>9.0143481925428208</v>
      </c>
      <c r="BA3" s="72">
        <f>IFERROR(IF(up_Bv!E3=0,".",((s_Ir*s_F*s_I_f*s_T*(1-EXP(-up_RadSpec!BD3*s_t_v)))/(s_Y_v*up_RadSpec!BD3))),".")</f>
        <v>9.0143481925428208</v>
      </c>
      <c r="BB3" s="72">
        <f>IFERROR(IF(up_Bv!F3=0,".",((s_Ir*s_F*s_I_f*s_T*(1-EXP(-up_RadSpec!BD3*s_t_v)))/(s_Y_v*up_RadSpec!BD3))),".")</f>
        <v>9.0143481925428208</v>
      </c>
      <c r="BC3" s="72">
        <f>IFERROR(IF(up_Bv!G3=0,".",((s_Ir*s_F*s_I_f*s_T*(1-EXP(-up_RadSpec!BD3*s_t_v)))/(s_Y_v*up_RadSpec!BD3))),".")</f>
        <v>9.0143481925428208</v>
      </c>
      <c r="BD3" s="72">
        <f>IFERROR(IF(up_Bv!H3=0,".",((s_Ir*s_F*s_I_f*s_T*(1-EXP(-up_RadSpec!BD3*s_t_v)))/(s_Y_v*up_RadSpec!BD3))),".")</f>
        <v>9.0143481925428208</v>
      </c>
      <c r="BE3" s="72">
        <f>IFERROR(IF(up_Bv!I3=0,".",((s_Ir*s_F*s_I_f*s_T*(1-EXP(-up_RadSpec!BD3*s_t_v)))/(s_Y_v*up_RadSpec!BD3))),".")</f>
        <v>9.0143481925428208</v>
      </c>
      <c r="BF3" s="72">
        <f>IFERROR(IF(up_Bv!J3=0,".",((s_Ir*s_F*s_I_f*s_T*(1-EXP(-up_RadSpec!BD3*s_t_v)))/(s_Y_v*up_RadSpec!BD3))),".")</f>
        <v>9.0143481925428208</v>
      </c>
      <c r="BG3" s="72">
        <f>IFERROR(IF(up_Bv!K3=0,".",((s_Ir*s_F*s_I_f*s_T*(1-EXP(-up_RadSpec!BD3*s_t_v)))/(s_Y_v*up_RadSpec!BD3))),".")</f>
        <v>9.0143481925428208</v>
      </c>
      <c r="BH3" s="72">
        <f>IFERROR(IF(up_Bv!L3=0,".",((s_Ir*s_F*s_I_f*s_T*(1-EXP(-up_RadSpec!BD3*s_t_v)))/(s_Y_v*up_RadSpec!BD3))),".")</f>
        <v>9.0143481925428208</v>
      </c>
      <c r="BI3" s="72">
        <f>IFERROR(IF(up_Bv!M3=0,".",((s_Ir*s_F*s_I_f*s_T*(1-EXP(-up_RadSpec!BD3*s_t_v)))/(s_Y_v*up_RadSpec!BD3))),".")</f>
        <v>9.0143481925428208</v>
      </c>
      <c r="BJ3" s="72">
        <f>IFERROR(IF(up_Bv!N3=0,".",((s_Ir*s_F*s_I_f*s_T*(1-EXP(-up_RadSpec!BD3*s_t_v)))/(s_Y_v*up_RadSpec!BD3))),".")</f>
        <v>9.0143481925428208</v>
      </c>
      <c r="BK3" s="72">
        <f>IFERROR(IF(up_Bv!O3=0,".",((s_Ir*s_F*s_I_f*s_T*(1-EXP(-up_RadSpec!BD3*s_t_v)))/(s_Y_v*up_RadSpec!BD3))),".")</f>
        <v>9.0143481925428208</v>
      </c>
      <c r="BL3" s="72">
        <f>IFERROR(IF(up_Bv!P3=0,".",((s_Ir*s_F*s_I_f*s_T*(1-EXP(-up_RadSpec!BD3*s_t_v)))/(s_Y_v*up_RadSpec!BD3))),".")</f>
        <v>9.0143481925428208</v>
      </c>
      <c r="BM3" s="72">
        <f>IFERROR(IF(up_Bv!Q3=0,".",((s_Ir*s_F*s_I_f*s_T*(1-EXP(-up_RadSpec!BD3*s_t_v)))/(s_Y_v*up_RadSpec!BD3))),".")</f>
        <v>9.0143481925428208</v>
      </c>
      <c r="BN3" s="72">
        <f>IFERROR(IF(up_Bv!R3=0,".",((s_Ir*s_F*s_I_f*s_T*(1-EXP(-up_RadSpec!BD3*s_t_v)))/(s_Y_v*up_RadSpec!BD3))),".")</f>
        <v>9.0143481925428208</v>
      </c>
      <c r="BO3" s="72">
        <f>IFERROR(IF(up_Bv!S3=0,".",((s_Ir*s_F*s_I_f*s_T*(1-EXP(-up_RadSpec!BD3*s_t_v)))/(s_Y_v*up_RadSpec!BD3))),".")</f>
        <v>9.0143481925428208</v>
      </c>
      <c r="BP3" s="72">
        <f>IFERROR(IF(up_Bv!T3=0,".",((s_Ir*s_F*s_I_f*s_T*(1-EXP(-up_RadSpec!BD3*s_t_v)))/(s_Y_v*up_RadSpec!BD3))),".")</f>
        <v>9.0143481925428208</v>
      </c>
      <c r="BQ3" s="72">
        <f>IFERROR(IF(up_Bv!U3=0,".",((s_Ir*s_F*s_I_f*s_T*(1-EXP(-up_RadSpec!BD3*s_t_v)))/(s_Y_v*up_RadSpec!BD3))),".")</f>
        <v>9.0143481925428208</v>
      </c>
      <c r="BR3" s="72">
        <f>IFERROR(IF(up_Bv!V3=0,".",((s_Ir*s_F*s_I_f*s_T*(1-EXP(-up_RadSpec!BD3*s_t_v)))/(s_Y_v*up_RadSpec!BD3))),".")</f>
        <v>9.0143481925428208</v>
      </c>
      <c r="BS3" s="72">
        <f>IFERROR(IF(up_Bv!W3=0,".",((s_Ir*s_F*s_I_f*s_T*(1-EXP(-up_RadSpec!BD3*s_t_v)))/(s_Y_v*up_RadSpec!BD3))),".")</f>
        <v>9.0143481925428208</v>
      </c>
      <c r="BT3" s="72">
        <f>IFERROR(IF(up_Bv!X3=0,".",((s_Ir*s_F*s_I_f*s_T*(1-EXP(-up_RadSpec!BD3*s_t_v)))/(s_Y_v*up_RadSpec!BD3))),".")</f>
        <v>9.0143481925428208</v>
      </c>
      <c r="BU3" s="72">
        <f>IFERROR(IF(up_Bv!Y3=0,".",((s_Ir*s_F*s_I_f*s_T*(1-EXP(-up_RadSpec!BD3*s_t_v)))/(s_Y_v*up_RadSpec!BD3))),".")</f>
        <v>9.0143481925428208</v>
      </c>
      <c r="BV3" s="72">
        <f>IFERROR(IF(up_Bv!Z3=0,".",((s_Ir*s_F*s_I_f*s_T*(1-EXP(-up_RadSpec!BD3*s_t_v)))/(s_Y_v*up_RadSpec!BD3))),".")</f>
        <v>9.0143481925428208</v>
      </c>
    </row>
    <row r="4" spans="1:74" x14ac:dyDescent="0.25">
      <c r="A4" s="31" t="s">
        <v>2</v>
      </c>
      <c r="B4" s="3" t="s">
        <v>1059</v>
      </c>
      <c r="C4" s="72">
        <f>IFERROR(IF(up_Bv!C4=0,".",((s_Ir*s_F*up_Bv!C4*(1-EXP(-up_RadSpec!$BC4*s_t_b)))/(s_P*up_RadSpec!$BC4))),".")</f>
        <v>993.50362303732038</v>
      </c>
      <c r="D4" s="72">
        <f>IFERROR(IF(up_Bv!D4=0,".",((s_Ir*s_F*up_Bv!D4*(1-EXP(-up_RadSpec!BC4*s_t_b)))/(s_P*up_RadSpec!BC4))),".")</f>
        <v>993.50362303732038</v>
      </c>
      <c r="E4" s="72">
        <f>IFERROR(IF(up_Bv!E4=0,".",((s_Ir*s_F*up_Bv!E4*(1-EXP(-up_RadSpec!BC4*s_t_b)))/(s_P*up_RadSpec!BC4))),".")</f>
        <v>993.50362303732038</v>
      </c>
      <c r="F4" s="72">
        <f>IFERROR(IF(up_Bv!F4=0,".",((s_Ir*s_F*up_Bv!F4*(1-EXP(-up_RadSpec!BC4*s_t_b)))/(s_P*up_RadSpec!BC4))),".")</f>
        <v>993.50362303732038</v>
      </c>
      <c r="G4" s="72">
        <f>IFERROR(IF(up_Bv!G4=0,".",((s_Ir*s_F*up_Bv!G4*(1-EXP(-up_RadSpec!BC4*s_t_b)))/(s_P*up_RadSpec!BC4))),".")</f>
        <v>993.50362303732038</v>
      </c>
      <c r="H4" s="72">
        <f>IFERROR(IF(up_Bv!H4=0,".",((s_Ir*s_F*up_Bv!H4*(1-EXP(-up_RadSpec!BC4*s_t_b)))/(s_P*up_RadSpec!BC4))),".")</f>
        <v>993.50362303732038</v>
      </c>
      <c r="I4" s="72">
        <f>IFERROR(IF(up_Bv!I4=0,".",((s_Ir*s_F*up_Bv!I4*(1-EXP(-up_RadSpec!BC4*s_t_b)))/(s_P*up_RadSpec!BC4))),".")</f>
        <v>993.50362303732038</v>
      </c>
      <c r="J4" s="72">
        <f>IFERROR(IF(up_Bv!J4=0,".",((s_Ir*s_F*up_Bv!J4*(1-EXP(-up_RadSpec!BC4*s_t_b)))/(s_P*up_RadSpec!BC4))),".")</f>
        <v>993.50362303732038</v>
      </c>
      <c r="K4" s="72">
        <f>IFERROR(IF(up_Bv!K4=0,".",((s_Ir*s_F*up_Bv!K4*(1-EXP(-up_RadSpec!BC4*s_t_b)))/(s_P*up_RadSpec!BC4))),".")</f>
        <v>993.50362303732038</v>
      </c>
      <c r="L4" s="72">
        <f>IFERROR(IF(up_Bv!L4=0,".",((s_Ir*s_F*up_Bv!L4*(1-EXP(-up_RadSpec!BC4*s_t_b)))/(s_P*up_RadSpec!BC4))),".")</f>
        <v>993.50362303732038</v>
      </c>
      <c r="M4" s="72">
        <f>IFERROR(IF(up_Bv!M4=0,".",((s_Ir*s_F*up_Bv!M4*(1-EXP(-up_RadSpec!BC4*s_t_b)))/(s_P*up_RadSpec!BC4))),".")</f>
        <v>993.50362303732038</v>
      </c>
      <c r="N4" s="72">
        <f>IFERROR(IF(up_Bv!N4=0,".",((s_Ir*s_F*up_Bv!N4*(1-EXP(-up_RadSpec!BC4*s_t_b)))/(s_P*up_RadSpec!BC4))),".")</f>
        <v>993.50362303732038</v>
      </c>
      <c r="O4" s="72">
        <f>IFERROR(IF(up_Bv!O4=0,".",((s_Ir*s_F*up_Bv!O4*(1-EXP(-up_RadSpec!BC4*s_t_b)))/(s_P*up_RadSpec!BC4))),".")</f>
        <v>993.50362303732038</v>
      </c>
      <c r="P4" s="72">
        <f>IFERROR(IF(up_Bv!P4=0,".",((s_Ir*s_F*up_Bv!P4*(1-EXP(-up_RadSpec!BC4*s_t_b)))/(s_P*up_RadSpec!BC4))),".")</f>
        <v>993.50362303732038</v>
      </c>
      <c r="Q4" s="72">
        <f>IFERROR(IF(up_Bv!Q4=0,".",((s_Ir*s_F*up_Bv!Q4*(1-EXP(-up_RadSpec!BC4*s_t_b)))/(s_P*up_RadSpec!BC4))),".")</f>
        <v>993.50362303732038</v>
      </c>
      <c r="R4" s="72">
        <f>IFERROR(IF(up_Bv!R4=0,".",((s_Ir*s_F*up_Bv!R4*(1-EXP(-up_RadSpec!BC4*s_t_b)))/(s_P*up_RadSpec!BC4))),".")</f>
        <v>993.50362303732038</v>
      </c>
      <c r="S4" s="72">
        <f>IFERROR(IF(up_Bv!S4=0,".",((s_Ir*s_F*up_Bv!S4*(1-EXP(-up_RadSpec!BC4*s_t_b)))/(s_P*up_RadSpec!BC4))),".")</f>
        <v>993.50362303732038</v>
      </c>
      <c r="T4" s="72">
        <f>IFERROR(IF(up_Bv!T4=0,".",((s_Ir*s_F*up_Bv!T4*(1-EXP(-up_RadSpec!BC4*s_t_b)))/(s_P*up_RadSpec!BC4))),".")</f>
        <v>993.50362303732038</v>
      </c>
      <c r="U4" s="72">
        <f>IFERROR(IF(up_Bv!U4=0,".",((s_Ir*s_F*up_Bv!U4*(1-EXP(-up_RadSpec!BC4*s_t_b)))/(s_P*up_RadSpec!BC4))),".")</f>
        <v>993.50362303732038</v>
      </c>
      <c r="V4" s="72">
        <f>IFERROR(IF(up_Bv!V4=0,".",((s_Ir*s_F*up_Bv!V4*(1-EXP(-up_RadSpec!BC4*s_t_b)))/(s_P*up_RadSpec!BC4))),".")</f>
        <v>993.50362303732038</v>
      </c>
      <c r="W4" s="72">
        <f>IFERROR(IF(up_Bv!W4=0,".",((s_Ir*s_F*up_Bv!W4*(1-EXP(-up_RadSpec!BC4*s_t_b)))/(s_P*up_RadSpec!BC4))),".")</f>
        <v>993.50362303732038</v>
      </c>
      <c r="X4" s="72">
        <f>IFERROR(IF(up_Bv!X4=0,".",((s_Ir*s_F*up_Bv!X4*(1-EXP(-up_RadSpec!BC4*s_t_b)))/(s_P*up_RadSpec!BC4))),".")</f>
        <v>993.50362303732038</v>
      </c>
      <c r="Y4" s="72">
        <f>IFERROR(IF(up_Bv!Y4=0,".",((s_Ir*s_F*up_Bv!Y4*(1-EXP(-up_RadSpec!BC4*s_t_b)))/(s_P*up_RadSpec!BC4))),".")</f>
        <v>993.50362303732038</v>
      </c>
      <c r="Z4" s="72">
        <f>IFERROR(IF(up_Bv!Z4=0,".",((s_Ir*s_F*up_Bv!Z4*(1-EXP(-up_RadSpec!BC4*s_t_b)))/(s_P*up_RadSpec!BC4))),".")</f>
        <v>993.50362303732038</v>
      </c>
      <c r="AA4" s="72">
        <f>IFERROR(IF(up_Bv!C4=0,".",((s_Ir*s_F*s_MLF_apple*(1-EXP(-up_RadSpec!BC4*s_t_b)))/(s_P*up_RadSpec!BC4))),".")</f>
        <v>2.6824597822007652</v>
      </c>
      <c r="AB4" s="72">
        <f>IFERROR(IF(up_Bv!D4=0,".",((s_Ir*s_F*s_MLF_asparagus*(1-EXP(-up_RadSpec!BC4*s_t_b)))/(s_P*up_RadSpec!BC4))),".")</f>
        <v>2.6824597822007652</v>
      </c>
      <c r="AC4" s="72">
        <f>IFERROR(IF(up_Bv!E4=0,".",((s_Ir*s_F*s_MLF_beet*(1-EXP(-up_RadSpec!BC4*s_t_b)))/(s_P*up_RadSpec!BC4))),".")</f>
        <v>2.6824597822007652</v>
      </c>
      <c r="AD4" s="72">
        <f>IFERROR(IF(up_Bv!F4=0,".",((s_Ir*s_F*s_MLF_berries*(1-EXP(-up_RadSpec!BC4*s_t_b)))/(s_P*up_RadSpec!BC4))),".")</f>
        <v>2.6824597822007652</v>
      </c>
      <c r="AE4" s="72">
        <f>IFERROR(IF(up_Bv!G4=0,".",((s_Ir*s_F*s_MLF_broccoli*(1-EXP(-up_RadSpec!BC4*s_t_b)))/(s_P*up_RadSpec!BC4))),".")</f>
        <v>2.6824597822007652</v>
      </c>
      <c r="AF4" s="72">
        <f>IFERROR(IF(up_Bv!H4=0,".",((s_Ir*s_F*s_MLF_cabbage*(1-EXP(-up_RadSpec!BC4*s_t_b)))/(s_P*up_RadSpec!BC4))),".")</f>
        <v>2.6824597822007652</v>
      </c>
      <c r="AG4" s="72">
        <f>IFERROR(IF(up_Bv!I4=0,".",((s_Ir*s_F*s_MLF_carrot*(1-EXP(-up_RadSpec!BC4*s_t_b)))/(s_P*up_RadSpec!BC4))),".")</f>
        <v>2.6824597822007652</v>
      </c>
      <c r="AH4" s="72">
        <f>IFERROR(IF(up_Bv!J4=0,".",((s_Ir*s_F*s_MLF_citrus*(1-EXP(-up_RadSpec!BC4*s_t_b)))/(s_P*up_RadSpec!BC4))),".")</f>
        <v>2.6824597822007652</v>
      </c>
      <c r="AI4" s="72">
        <f>IFERROR(IF(up_Bv!K4=0,".",((s_Ir*s_F*s_MLF_corn*(1-EXP(-up_RadSpec!BC4*s_t_b)))/(s_P*up_RadSpec!BC4))),".")</f>
        <v>2.6824597822007652</v>
      </c>
      <c r="AJ4" s="72">
        <f>IFERROR(IF(up_Bv!L4=0,".",((s_Ir*s_F*s_MLF_cucumber*(1-EXP(-up_RadSpec!BC4*s_t_b)))/(s_P*up_RadSpec!BC4))),".")</f>
        <v>2.6824597822007652</v>
      </c>
      <c r="AK4" s="72">
        <f>IFERROR(IF(up_Bv!M4=0,".",((s_Ir*s_F*s_MLF_lettuce*(1-EXP(-up_RadSpec!BC4*s_t_b)))/(s_P*up_RadSpec!BC4))),".")</f>
        <v>2.6824597822007652</v>
      </c>
      <c r="AL4" s="72">
        <f>IFERROR(IF(up_Bv!N4=0,".",((s_Ir*s_F*s_MLF_lima_bean*(1-EXP(-up_RadSpec!BC4*s_t_b)))/(s_P*up_RadSpec!BC4))),".")</f>
        <v>2.6824597822007652</v>
      </c>
      <c r="AM4" s="72">
        <f>IFERROR(IF(up_Bv!O4=0,".",((s_Ir*s_F*s_MLF_okra*(1-EXP(-up_RadSpec!BC4*s_t_b)))/(s_P*up_RadSpec!BC4))),".")</f>
        <v>2.6824597822007652</v>
      </c>
      <c r="AN4" s="72">
        <f>IFERROR(IF(up_Bv!P4=0,".",((s_Ir*s_F*s_MLF_onion*(1-EXP(-up_RadSpec!BC4*s_t_b)))/(s_P*up_RadSpec!BC4))),".")</f>
        <v>2.6824597822007652</v>
      </c>
      <c r="AO4" s="72">
        <f>IFERROR(IF(up_Bv!Q4=0,".",((s_Ir*s_F*s_MLF_peach*(1-EXP(-up_RadSpec!BC4*s_t_b)))/(s_P*up_RadSpec!BC4))),".")</f>
        <v>2.6824597822007652</v>
      </c>
      <c r="AP4" s="72">
        <f>IFERROR(IF(up_Bv!R4=0,".",((s_Ir*s_F*s_MLF_pear*(1-EXP(-up_RadSpec!BC4*s_t_b)))/(s_P*up_RadSpec!BC4))),".")</f>
        <v>2.6824597822007652</v>
      </c>
      <c r="AQ4" s="72">
        <f>IFERROR(IF(up_Bv!S4=0,".",((s_Ir*s_F*s_MLF_peas*(1-EXP(-up_RadSpec!BC4*s_t_b)))/(s_P*up_RadSpec!BC4))),".")</f>
        <v>2.6824597822007652</v>
      </c>
      <c r="AR4" s="72">
        <f>IFERROR(IF(up_Bv!T4=0,".",((s_Ir*s_F*s_MLF_potato*(1-EXP(-up_RadSpec!BC4*s_t_b)))/(s_P*up_RadSpec!BC4))),".")</f>
        <v>2.6824597822007652</v>
      </c>
      <c r="AS4" s="72">
        <f>IFERROR(IF(up_Bv!U4=0,".",((s_Ir*s_F*s_MLF_pumpkin*(1-EXP(-up_RadSpec!BC4*s_t_b)))/(s_P*up_RadSpec!BC4))),".")</f>
        <v>2.6824597822007652</v>
      </c>
      <c r="AT4" s="72">
        <f>IFERROR(IF(up_Bv!V4=0,".",((s_Ir*s_F*s_MLF_snap_bean*(1-EXP(-up_RadSpec!BC4*s_t_b)))/(s_P*up_RadSpec!BC4))),".")</f>
        <v>2.6824597822007652</v>
      </c>
      <c r="AU4" s="72">
        <f>IFERROR(IF(up_Bv!W4=0,".",((s_Ir*s_F*s_MLF_strawberry*(1-EXP(-up_RadSpec!BC4*s_t_b)))/(s_P*up_RadSpec!BC4))),".")</f>
        <v>2.6824597822007652</v>
      </c>
      <c r="AV4" s="72">
        <f>IFERROR(IF(up_Bv!X4=0,".",((s_Ir*s_F*s_MLF_tomato*(1-EXP(-up_RadSpec!BC4*s_t_b)))/(s_P*up_RadSpec!BC4))),".")</f>
        <v>2.6824597822007652</v>
      </c>
      <c r="AW4" s="72">
        <f>IFERROR(IF(up_Bv!Y4=0,".",((s_Ir*s_F*s_MLF_rice*(1-EXP(-up_RadSpec!BC4*s_t_b)))/(s_P*up_RadSpec!BC4))),".")</f>
        <v>2.6824597822007652</v>
      </c>
      <c r="AX4" s="72">
        <f>IFERROR(IF(up_Bv!Z4=0,".",((s_Ir*s_F*s_MLF_cereal*(1-EXP(-up_RadSpec!BC4*s_t_b)))/(s_P*up_RadSpec!BC4))),".")</f>
        <v>2.6824597822007652</v>
      </c>
      <c r="AY4" s="72">
        <f>IFERROR(IF(up_Bv!C4=0,".",((s_Ir*s_F*s_I_f*s_T*(1-EXP(-up_RadSpec!BD4*s_t_v)))/(s_Y_v*up_RadSpec!BD4))),".")</f>
        <v>9.0143481925428208</v>
      </c>
      <c r="AZ4" s="72">
        <f>IFERROR(IF(up_Bv!D4=0,".",((s_Ir*s_F*s_I_f*s_T*(1-EXP(-up_RadSpec!BD4*s_t_v)))/(s_Y_v*up_RadSpec!BD4))),".")</f>
        <v>9.0143481925428208</v>
      </c>
      <c r="BA4" s="72">
        <f>IFERROR(IF(up_Bv!E4=0,".",((s_Ir*s_F*s_I_f*s_T*(1-EXP(-up_RadSpec!BD4*s_t_v)))/(s_Y_v*up_RadSpec!BD4))),".")</f>
        <v>9.0143481925428208</v>
      </c>
      <c r="BB4" s="72">
        <f>IFERROR(IF(up_Bv!F4=0,".",((s_Ir*s_F*s_I_f*s_T*(1-EXP(-up_RadSpec!BD4*s_t_v)))/(s_Y_v*up_RadSpec!BD4))),".")</f>
        <v>9.0143481925428208</v>
      </c>
      <c r="BC4" s="72">
        <f>IFERROR(IF(up_Bv!G4=0,".",((s_Ir*s_F*s_I_f*s_T*(1-EXP(-up_RadSpec!BD4*s_t_v)))/(s_Y_v*up_RadSpec!BD4))),".")</f>
        <v>9.0143481925428208</v>
      </c>
      <c r="BD4" s="72">
        <f>IFERROR(IF(up_Bv!H4=0,".",((s_Ir*s_F*s_I_f*s_T*(1-EXP(-up_RadSpec!BD4*s_t_v)))/(s_Y_v*up_RadSpec!BD4))),".")</f>
        <v>9.0143481925428208</v>
      </c>
      <c r="BE4" s="72">
        <f>IFERROR(IF(up_Bv!I4=0,".",((s_Ir*s_F*s_I_f*s_T*(1-EXP(-up_RadSpec!BD4*s_t_v)))/(s_Y_v*up_RadSpec!BD4))),".")</f>
        <v>9.0143481925428208</v>
      </c>
      <c r="BF4" s="72">
        <f>IFERROR(IF(up_Bv!J4=0,".",((s_Ir*s_F*s_I_f*s_T*(1-EXP(-up_RadSpec!BD4*s_t_v)))/(s_Y_v*up_RadSpec!BD4))),".")</f>
        <v>9.0143481925428208</v>
      </c>
      <c r="BG4" s="72">
        <f>IFERROR(IF(up_Bv!K4=0,".",((s_Ir*s_F*s_I_f*s_T*(1-EXP(-up_RadSpec!BD4*s_t_v)))/(s_Y_v*up_RadSpec!BD4))),".")</f>
        <v>9.0143481925428208</v>
      </c>
      <c r="BH4" s="72">
        <f>IFERROR(IF(up_Bv!L4=0,".",((s_Ir*s_F*s_I_f*s_T*(1-EXP(-up_RadSpec!BD4*s_t_v)))/(s_Y_v*up_RadSpec!BD4))),".")</f>
        <v>9.0143481925428208</v>
      </c>
      <c r="BI4" s="72">
        <f>IFERROR(IF(up_Bv!M4=0,".",((s_Ir*s_F*s_I_f*s_T*(1-EXP(-up_RadSpec!BD4*s_t_v)))/(s_Y_v*up_RadSpec!BD4))),".")</f>
        <v>9.0143481925428208</v>
      </c>
      <c r="BJ4" s="72">
        <f>IFERROR(IF(up_Bv!N4=0,".",((s_Ir*s_F*s_I_f*s_T*(1-EXP(-up_RadSpec!BD4*s_t_v)))/(s_Y_v*up_RadSpec!BD4))),".")</f>
        <v>9.0143481925428208</v>
      </c>
      <c r="BK4" s="72">
        <f>IFERROR(IF(up_Bv!O4=0,".",((s_Ir*s_F*s_I_f*s_T*(1-EXP(-up_RadSpec!BD4*s_t_v)))/(s_Y_v*up_RadSpec!BD4))),".")</f>
        <v>9.0143481925428208</v>
      </c>
      <c r="BL4" s="72">
        <f>IFERROR(IF(up_Bv!P4=0,".",((s_Ir*s_F*s_I_f*s_T*(1-EXP(-up_RadSpec!BD4*s_t_v)))/(s_Y_v*up_RadSpec!BD4))),".")</f>
        <v>9.0143481925428208</v>
      </c>
      <c r="BM4" s="72">
        <f>IFERROR(IF(up_Bv!Q4=0,".",((s_Ir*s_F*s_I_f*s_T*(1-EXP(-up_RadSpec!BD4*s_t_v)))/(s_Y_v*up_RadSpec!BD4))),".")</f>
        <v>9.0143481925428208</v>
      </c>
      <c r="BN4" s="72">
        <f>IFERROR(IF(up_Bv!R4=0,".",((s_Ir*s_F*s_I_f*s_T*(1-EXP(-up_RadSpec!BD4*s_t_v)))/(s_Y_v*up_RadSpec!BD4))),".")</f>
        <v>9.0143481925428208</v>
      </c>
      <c r="BO4" s="72">
        <f>IFERROR(IF(up_Bv!S4=0,".",((s_Ir*s_F*s_I_f*s_T*(1-EXP(-up_RadSpec!BD4*s_t_v)))/(s_Y_v*up_RadSpec!BD4))),".")</f>
        <v>9.0143481925428208</v>
      </c>
      <c r="BP4" s="72">
        <f>IFERROR(IF(up_Bv!T4=0,".",((s_Ir*s_F*s_I_f*s_T*(1-EXP(-up_RadSpec!BD4*s_t_v)))/(s_Y_v*up_RadSpec!BD4))),".")</f>
        <v>9.0143481925428208</v>
      </c>
      <c r="BQ4" s="72">
        <f>IFERROR(IF(up_Bv!U4=0,".",((s_Ir*s_F*s_I_f*s_T*(1-EXP(-up_RadSpec!BD4*s_t_v)))/(s_Y_v*up_RadSpec!BD4))),".")</f>
        <v>9.0143481925428208</v>
      </c>
      <c r="BR4" s="72">
        <f>IFERROR(IF(up_Bv!V4=0,".",((s_Ir*s_F*s_I_f*s_T*(1-EXP(-up_RadSpec!BD4*s_t_v)))/(s_Y_v*up_RadSpec!BD4))),".")</f>
        <v>9.0143481925428208</v>
      </c>
      <c r="BS4" s="72">
        <f>IFERROR(IF(up_Bv!W4=0,".",((s_Ir*s_F*s_I_f*s_T*(1-EXP(-up_RadSpec!BD4*s_t_v)))/(s_Y_v*up_RadSpec!BD4))),".")</f>
        <v>9.0143481925428208</v>
      </c>
      <c r="BT4" s="72">
        <f>IFERROR(IF(up_Bv!X4=0,".",((s_Ir*s_F*s_I_f*s_T*(1-EXP(-up_RadSpec!BD4*s_t_v)))/(s_Y_v*up_RadSpec!BD4))),".")</f>
        <v>9.0143481925428208</v>
      </c>
      <c r="BU4" s="72">
        <f>IFERROR(IF(up_Bv!Y4=0,".",((s_Ir*s_F*s_I_f*s_T*(1-EXP(-up_RadSpec!BD4*s_t_v)))/(s_Y_v*up_RadSpec!BD4))),".")</f>
        <v>9.0143481925428208</v>
      </c>
      <c r="BV4" s="72">
        <f>IFERROR(IF(up_Bv!Z4=0,".",((s_Ir*s_F*s_I_f*s_T*(1-EXP(-up_RadSpec!BD4*s_t_v)))/(s_Y_v*up_RadSpec!BD4))),".")</f>
        <v>9.0143481925428208</v>
      </c>
    </row>
    <row r="5" spans="1:74" x14ac:dyDescent="0.25">
      <c r="A5" s="31" t="s">
        <v>3</v>
      </c>
      <c r="B5" s="3" t="s">
        <v>1059</v>
      </c>
      <c r="C5" s="72">
        <f>IFERROR(IF(up_Bv!C5=0,".",((s_Ir*s_F*up_Bv!C5*(1-EXP(-up_RadSpec!$BC5*s_t_b)))/(s_P*up_RadSpec!$BC5))),".")</f>
        <v>993.50362303732038</v>
      </c>
      <c r="D5" s="72">
        <f>IFERROR(IF(up_Bv!D5=0,".",((s_Ir*s_F*up_Bv!D5*(1-EXP(-up_RadSpec!BC5*s_t_b)))/(s_P*up_RadSpec!BC5))),".")</f>
        <v>993.50362303732038</v>
      </c>
      <c r="E5" s="72">
        <f>IFERROR(IF(up_Bv!E5=0,".",((s_Ir*s_F*up_Bv!E5*(1-EXP(-up_RadSpec!BC5*s_t_b)))/(s_P*up_RadSpec!BC5))),".")</f>
        <v>993.50362303732038</v>
      </c>
      <c r="F5" s="72">
        <f>IFERROR(IF(up_Bv!F5=0,".",((s_Ir*s_F*up_Bv!F5*(1-EXP(-up_RadSpec!BC5*s_t_b)))/(s_P*up_RadSpec!BC5))),".")</f>
        <v>993.50362303732038</v>
      </c>
      <c r="G5" s="72">
        <f>IFERROR(IF(up_Bv!G5=0,".",((s_Ir*s_F*up_Bv!G5*(1-EXP(-up_RadSpec!BC5*s_t_b)))/(s_P*up_RadSpec!BC5))),".")</f>
        <v>993.50362303732038</v>
      </c>
      <c r="H5" s="72">
        <f>IFERROR(IF(up_Bv!H5=0,".",((s_Ir*s_F*up_Bv!H5*(1-EXP(-up_RadSpec!BC5*s_t_b)))/(s_P*up_RadSpec!BC5))),".")</f>
        <v>993.50362303732038</v>
      </c>
      <c r="I5" s="72">
        <f>IFERROR(IF(up_Bv!I5=0,".",((s_Ir*s_F*up_Bv!I5*(1-EXP(-up_RadSpec!BC5*s_t_b)))/(s_P*up_RadSpec!BC5))),".")</f>
        <v>993.50362303732038</v>
      </c>
      <c r="J5" s="72">
        <f>IFERROR(IF(up_Bv!J5=0,".",((s_Ir*s_F*up_Bv!J5*(1-EXP(-up_RadSpec!BC5*s_t_b)))/(s_P*up_RadSpec!BC5))),".")</f>
        <v>993.50362303732038</v>
      </c>
      <c r="K5" s="72">
        <f>IFERROR(IF(up_Bv!K5=0,".",((s_Ir*s_F*up_Bv!K5*(1-EXP(-up_RadSpec!BC5*s_t_b)))/(s_P*up_RadSpec!BC5))),".")</f>
        <v>993.50362303732038</v>
      </c>
      <c r="L5" s="72">
        <f>IFERROR(IF(up_Bv!L5=0,".",((s_Ir*s_F*up_Bv!L5*(1-EXP(-up_RadSpec!BC5*s_t_b)))/(s_P*up_RadSpec!BC5))),".")</f>
        <v>993.50362303732038</v>
      </c>
      <c r="M5" s="72">
        <f>IFERROR(IF(up_Bv!M5=0,".",((s_Ir*s_F*up_Bv!M5*(1-EXP(-up_RadSpec!BC5*s_t_b)))/(s_P*up_RadSpec!BC5))),".")</f>
        <v>993.50362303732038</v>
      </c>
      <c r="N5" s="72">
        <f>IFERROR(IF(up_Bv!N5=0,".",((s_Ir*s_F*up_Bv!N5*(1-EXP(-up_RadSpec!BC5*s_t_b)))/(s_P*up_RadSpec!BC5))),".")</f>
        <v>993.50362303732038</v>
      </c>
      <c r="O5" s="72">
        <f>IFERROR(IF(up_Bv!O5=0,".",((s_Ir*s_F*up_Bv!O5*(1-EXP(-up_RadSpec!BC5*s_t_b)))/(s_P*up_RadSpec!BC5))),".")</f>
        <v>993.50362303732038</v>
      </c>
      <c r="P5" s="72">
        <f>IFERROR(IF(up_Bv!P5=0,".",((s_Ir*s_F*up_Bv!P5*(1-EXP(-up_RadSpec!BC5*s_t_b)))/(s_P*up_RadSpec!BC5))),".")</f>
        <v>993.50362303732038</v>
      </c>
      <c r="Q5" s="72">
        <f>IFERROR(IF(up_Bv!Q5=0,".",((s_Ir*s_F*up_Bv!Q5*(1-EXP(-up_RadSpec!BC5*s_t_b)))/(s_P*up_RadSpec!BC5))),".")</f>
        <v>993.50362303732038</v>
      </c>
      <c r="R5" s="72">
        <f>IFERROR(IF(up_Bv!R5=0,".",((s_Ir*s_F*up_Bv!R5*(1-EXP(-up_RadSpec!BC5*s_t_b)))/(s_P*up_RadSpec!BC5))),".")</f>
        <v>993.50362303732038</v>
      </c>
      <c r="S5" s="72">
        <f>IFERROR(IF(up_Bv!S5=0,".",((s_Ir*s_F*up_Bv!S5*(1-EXP(-up_RadSpec!BC5*s_t_b)))/(s_P*up_RadSpec!BC5))),".")</f>
        <v>993.50362303732038</v>
      </c>
      <c r="T5" s="72">
        <f>IFERROR(IF(up_Bv!T5=0,".",((s_Ir*s_F*up_Bv!T5*(1-EXP(-up_RadSpec!BC5*s_t_b)))/(s_P*up_RadSpec!BC5))),".")</f>
        <v>993.50362303732038</v>
      </c>
      <c r="U5" s="72">
        <f>IFERROR(IF(up_Bv!U5=0,".",((s_Ir*s_F*up_Bv!U5*(1-EXP(-up_RadSpec!BC5*s_t_b)))/(s_P*up_RadSpec!BC5))),".")</f>
        <v>993.50362303732038</v>
      </c>
      <c r="V5" s="72">
        <f>IFERROR(IF(up_Bv!V5=0,".",((s_Ir*s_F*up_Bv!V5*(1-EXP(-up_RadSpec!BC5*s_t_b)))/(s_P*up_RadSpec!BC5))),".")</f>
        <v>993.50362303732038</v>
      </c>
      <c r="W5" s="72">
        <f>IFERROR(IF(up_Bv!W5=0,".",((s_Ir*s_F*up_Bv!W5*(1-EXP(-up_RadSpec!BC5*s_t_b)))/(s_P*up_RadSpec!BC5))),".")</f>
        <v>993.50362303732038</v>
      </c>
      <c r="X5" s="72">
        <f>IFERROR(IF(up_Bv!X5=0,".",((s_Ir*s_F*up_Bv!X5*(1-EXP(-up_RadSpec!BC5*s_t_b)))/(s_P*up_RadSpec!BC5))),".")</f>
        <v>993.50362303732038</v>
      </c>
      <c r="Y5" s="72">
        <f>IFERROR(IF(up_Bv!Y5=0,".",((s_Ir*s_F*up_Bv!Y5*(1-EXP(-up_RadSpec!BC5*s_t_b)))/(s_P*up_RadSpec!BC5))),".")</f>
        <v>993.50362303732038</v>
      </c>
      <c r="Z5" s="72">
        <f>IFERROR(IF(up_Bv!Z5=0,".",((s_Ir*s_F*up_Bv!Z5*(1-EXP(-up_RadSpec!BC5*s_t_b)))/(s_P*up_RadSpec!BC5))),".")</f>
        <v>993.50362303732038</v>
      </c>
      <c r="AA5" s="72">
        <f>IFERROR(IF(up_Bv!C5=0,".",((s_Ir*s_F*s_MLF_apple*(1-EXP(-up_RadSpec!BC5*s_t_b)))/(s_P*up_RadSpec!BC5))),".")</f>
        <v>2.6824597822007652</v>
      </c>
      <c r="AB5" s="72">
        <f>IFERROR(IF(up_Bv!D5=0,".",((s_Ir*s_F*s_MLF_asparagus*(1-EXP(-up_RadSpec!BC5*s_t_b)))/(s_P*up_RadSpec!BC5))),".")</f>
        <v>2.6824597822007652</v>
      </c>
      <c r="AC5" s="72">
        <f>IFERROR(IF(up_Bv!E5=0,".",((s_Ir*s_F*s_MLF_beet*(1-EXP(-up_RadSpec!BC5*s_t_b)))/(s_P*up_RadSpec!BC5))),".")</f>
        <v>2.6824597822007652</v>
      </c>
      <c r="AD5" s="72">
        <f>IFERROR(IF(up_Bv!F5=0,".",((s_Ir*s_F*s_MLF_berries*(1-EXP(-up_RadSpec!BC5*s_t_b)))/(s_P*up_RadSpec!BC5))),".")</f>
        <v>2.6824597822007652</v>
      </c>
      <c r="AE5" s="72">
        <f>IFERROR(IF(up_Bv!G5=0,".",((s_Ir*s_F*s_MLF_broccoli*(1-EXP(-up_RadSpec!BC5*s_t_b)))/(s_P*up_RadSpec!BC5))),".")</f>
        <v>2.6824597822007652</v>
      </c>
      <c r="AF5" s="72">
        <f>IFERROR(IF(up_Bv!H5=0,".",((s_Ir*s_F*s_MLF_cabbage*(1-EXP(-up_RadSpec!BC5*s_t_b)))/(s_P*up_RadSpec!BC5))),".")</f>
        <v>2.6824597822007652</v>
      </c>
      <c r="AG5" s="72">
        <f>IFERROR(IF(up_Bv!I5=0,".",((s_Ir*s_F*s_MLF_carrot*(1-EXP(-up_RadSpec!BC5*s_t_b)))/(s_P*up_RadSpec!BC5))),".")</f>
        <v>2.6824597822007652</v>
      </c>
      <c r="AH5" s="72">
        <f>IFERROR(IF(up_Bv!J5=0,".",((s_Ir*s_F*s_MLF_citrus*(1-EXP(-up_RadSpec!BC5*s_t_b)))/(s_P*up_RadSpec!BC5))),".")</f>
        <v>2.6824597822007652</v>
      </c>
      <c r="AI5" s="72">
        <f>IFERROR(IF(up_Bv!K5=0,".",((s_Ir*s_F*s_MLF_corn*(1-EXP(-up_RadSpec!BC5*s_t_b)))/(s_P*up_RadSpec!BC5))),".")</f>
        <v>2.6824597822007652</v>
      </c>
      <c r="AJ5" s="72">
        <f>IFERROR(IF(up_Bv!L5=0,".",((s_Ir*s_F*s_MLF_cucumber*(1-EXP(-up_RadSpec!BC5*s_t_b)))/(s_P*up_RadSpec!BC5))),".")</f>
        <v>2.6824597822007652</v>
      </c>
      <c r="AK5" s="72">
        <f>IFERROR(IF(up_Bv!M5=0,".",((s_Ir*s_F*s_MLF_lettuce*(1-EXP(-up_RadSpec!BC5*s_t_b)))/(s_P*up_RadSpec!BC5))),".")</f>
        <v>2.6824597822007652</v>
      </c>
      <c r="AL5" s="72">
        <f>IFERROR(IF(up_Bv!N5=0,".",((s_Ir*s_F*s_MLF_lima_bean*(1-EXP(-up_RadSpec!BC5*s_t_b)))/(s_P*up_RadSpec!BC5))),".")</f>
        <v>2.6824597822007652</v>
      </c>
      <c r="AM5" s="72">
        <f>IFERROR(IF(up_Bv!O5=0,".",((s_Ir*s_F*s_MLF_okra*(1-EXP(-up_RadSpec!BC5*s_t_b)))/(s_P*up_RadSpec!BC5))),".")</f>
        <v>2.6824597822007652</v>
      </c>
      <c r="AN5" s="72">
        <f>IFERROR(IF(up_Bv!P5=0,".",((s_Ir*s_F*s_MLF_onion*(1-EXP(-up_RadSpec!BC5*s_t_b)))/(s_P*up_RadSpec!BC5))),".")</f>
        <v>2.6824597822007652</v>
      </c>
      <c r="AO5" s="72">
        <f>IFERROR(IF(up_Bv!Q5=0,".",((s_Ir*s_F*s_MLF_peach*(1-EXP(-up_RadSpec!BC5*s_t_b)))/(s_P*up_RadSpec!BC5))),".")</f>
        <v>2.6824597822007652</v>
      </c>
      <c r="AP5" s="72">
        <f>IFERROR(IF(up_Bv!R5=0,".",((s_Ir*s_F*s_MLF_pear*(1-EXP(-up_RadSpec!BC5*s_t_b)))/(s_P*up_RadSpec!BC5))),".")</f>
        <v>2.6824597822007652</v>
      </c>
      <c r="AQ5" s="72">
        <f>IFERROR(IF(up_Bv!S5=0,".",((s_Ir*s_F*s_MLF_peas*(1-EXP(-up_RadSpec!BC5*s_t_b)))/(s_P*up_RadSpec!BC5))),".")</f>
        <v>2.6824597822007652</v>
      </c>
      <c r="AR5" s="72">
        <f>IFERROR(IF(up_Bv!T5=0,".",((s_Ir*s_F*s_MLF_potato*(1-EXP(-up_RadSpec!BC5*s_t_b)))/(s_P*up_RadSpec!BC5))),".")</f>
        <v>2.6824597822007652</v>
      </c>
      <c r="AS5" s="72">
        <f>IFERROR(IF(up_Bv!U5=0,".",((s_Ir*s_F*s_MLF_pumpkin*(1-EXP(-up_RadSpec!BC5*s_t_b)))/(s_P*up_RadSpec!BC5))),".")</f>
        <v>2.6824597822007652</v>
      </c>
      <c r="AT5" s="72">
        <f>IFERROR(IF(up_Bv!V5=0,".",((s_Ir*s_F*s_MLF_snap_bean*(1-EXP(-up_RadSpec!BC5*s_t_b)))/(s_P*up_RadSpec!BC5))),".")</f>
        <v>2.6824597822007652</v>
      </c>
      <c r="AU5" s="72">
        <f>IFERROR(IF(up_Bv!W5=0,".",((s_Ir*s_F*s_MLF_strawberry*(1-EXP(-up_RadSpec!BC5*s_t_b)))/(s_P*up_RadSpec!BC5))),".")</f>
        <v>2.6824597822007652</v>
      </c>
      <c r="AV5" s="72">
        <f>IFERROR(IF(up_Bv!X5=0,".",((s_Ir*s_F*s_MLF_tomato*(1-EXP(-up_RadSpec!BC5*s_t_b)))/(s_P*up_RadSpec!BC5))),".")</f>
        <v>2.6824597822007652</v>
      </c>
      <c r="AW5" s="72">
        <f>IFERROR(IF(up_Bv!Y5=0,".",((s_Ir*s_F*s_MLF_rice*(1-EXP(-up_RadSpec!BC5*s_t_b)))/(s_P*up_RadSpec!BC5))),".")</f>
        <v>2.6824597822007652</v>
      </c>
      <c r="AX5" s="72">
        <f>IFERROR(IF(up_Bv!Z5=0,".",((s_Ir*s_F*s_MLF_cereal*(1-EXP(-up_RadSpec!BC5*s_t_b)))/(s_P*up_RadSpec!BC5))),".")</f>
        <v>2.6824597822007652</v>
      </c>
      <c r="AY5" s="72">
        <f>IFERROR(IF(up_Bv!C5=0,".",((s_Ir*s_F*s_I_f*s_T*(1-EXP(-up_RadSpec!BD5*s_t_v)))/(s_Y_v*up_RadSpec!BD5))),".")</f>
        <v>9.0143481925428208</v>
      </c>
      <c r="AZ5" s="72">
        <f>IFERROR(IF(up_Bv!D5=0,".",((s_Ir*s_F*s_I_f*s_T*(1-EXP(-up_RadSpec!BD5*s_t_v)))/(s_Y_v*up_RadSpec!BD5))),".")</f>
        <v>9.0143481925428208</v>
      </c>
      <c r="BA5" s="72">
        <f>IFERROR(IF(up_Bv!E5=0,".",((s_Ir*s_F*s_I_f*s_T*(1-EXP(-up_RadSpec!BD5*s_t_v)))/(s_Y_v*up_RadSpec!BD5))),".")</f>
        <v>9.0143481925428208</v>
      </c>
      <c r="BB5" s="72">
        <f>IFERROR(IF(up_Bv!F5=0,".",((s_Ir*s_F*s_I_f*s_T*(1-EXP(-up_RadSpec!BD5*s_t_v)))/(s_Y_v*up_RadSpec!BD5))),".")</f>
        <v>9.0143481925428208</v>
      </c>
      <c r="BC5" s="72">
        <f>IFERROR(IF(up_Bv!G5=0,".",((s_Ir*s_F*s_I_f*s_T*(1-EXP(-up_RadSpec!BD5*s_t_v)))/(s_Y_v*up_RadSpec!BD5))),".")</f>
        <v>9.0143481925428208</v>
      </c>
      <c r="BD5" s="72">
        <f>IFERROR(IF(up_Bv!H5=0,".",((s_Ir*s_F*s_I_f*s_T*(1-EXP(-up_RadSpec!BD5*s_t_v)))/(s_Y_v*up_RadSpec!BD5))),".")</f>
        <v>9.0143481925428208</v>
      </c>
      <c r="BE5" s="72">
        <f>IFERROR(IF(up_Bv!I5=0,".",((s_Ir*s_F*s_I_f*s_T*(1-EXP(-up_RadSpec!BD5*s_t_v)))/(s_Y_v*up_RadSpec!BD5))),".")</f>
        <v>9.0143481925428208</v>
      </c>
      <c r="BF5" s="72">
        <f>IFERROR(IF(up_Bv!J5=0,".",((s_Ir*s_F*s_I_f*s_T*(1-EXP(-up_RadSpec!BD5*s_t_v)))/(s_Y_v*up_RadSpec!BD5))),".")</f>
        <v>9.0143481925428208</v>
      </c>
      <c r="BG5" s="72">
        <f>IFERROR(IF(up_Bv!K5=0,".",((s_Ir*s_F*s_I_f*s_T*(1-EXP(-up_RadSpec!BD5*s_t_v)))/(s_Y_v*up_RadSpec!BD5))),".")</f>
        <v>9.0143481925428208</v>
      </c>
      <c r="BH5" s="72">
        <f>IFERROR(IF(up_Bv!L5=0,".",((s_Ir*s_F*s_I_f*s_T*(1-EXP(-up_RadSpec!BD5*s_t_v)))/(s_Y_v*up_RadSpec!BD5))),".")</f>
        <v>9.0143481925428208</v>
      </c>
      <c r="BI5" s="72">
        <f>IFERROR(IF(up_Bv!M5=0,".",((s_Ir*s_F*s_I_f*s_T*(1-EXP(-up_RadSpec!BD5*s_t_v)))/(s_Y_v*up_RadSpec!BD5))),".")</f>
        <v>9.0143481925428208</v>
      </c>
      <c r="BJ5" s="72">
        <f>IFERROR(IF(up_Bv!N5=0,".",((s_Ir*s_F*s_I_f*s_T*(1-EXP(-up_RadSpec!BD5*s_t_v)))/(s_Y_v*up_RadSpec!BD5))),".")</f>
        <v>9.0143481925428208</v>
      </c>
      <c r="BK5" s="72">
        <f>IFERROR(IF(up_Bv!O5=0,".",((s_Ir*s_F*s_I_f*s_T*(1-EXP(-up_RadSpec!BD5*s_t_v)))/(s_Y_v*up_RadSpec!BD5))),".")</f>
        <v>9.0143481925428208</v>
      </c>
      <c r="BL5" s="72">
        <f>IFERROR(IF(up_Bv!P5=0,".",((s_Ir*s_F*s_I_f*s_T*(1-EXP(-up_RadSpec!BD5*s_t_v)))/(s_Y_v*up_RadSpec!BD5))),".")</f>
        <v>9.0143481925428208</v>
      </c>
      <c r="BM5" s="72">
        <f>IFERROR(IF(up_Bv!Q5=0,".",((s_Ir*s_F*s_I_f*s_T*(1-EXP(-up_RadSpec!BD5*s_t_v)))/(s_Y_v*up_RadSpec!BD5))),".")</f>
        <v>9.0143481925428208</v>
      </c>
      <c r="BN5" s="72">
        <f>IFERROR(IF(up_Bv!R5=0,".",((s_Ir*s_F*s_I_f*s_T*(1-EXP(-up_RadSpec!BD5*s_t_v)))/(s_Y_v*up_RadSpec!BD5))),".")</f>
        <v>9.0143481925428208</v>
      </c>
      <c r="BO5" s="72">
        <f>IFERROR(IF(up_Bv!S5=0,".",((s_Ir*s_F*s_I_f*s_T*(1-EXP(-up_RadSpec!BD5*s_t_v)))/(s_Y_v*up_RadSpec!BD5))),".")</f>
        <v>9.0143481925428208</v>
      </c>
      <c r="BP5" s="72">
        <f>IFERROR(IF(up_Bv!T5=0,".",((s_Ir*s_F*s_I_f*s_T*(1-EXP(-up_RadSpec!BD5*s_t_v)))/(s_Y_v*up_RadSpec!BD5))),".")</f>
        <v>9.0143481925428208</v>
      </c>
      <c r="BQ5" s="72">
        <f>IFERROR(IF(up_Bv!U5=0,".",((s_Ir*s_F*s_I_f*s_T*(1-EXP(-up_RadSpec!BD5*s_t_v)))/(s_Y_v*up_RadSpec!BD5))),".")</f>
        <v>9.0143481925428208</v>
      </c>
      <c r="BR5" s="72">
        <f>IFERROR(IF(up_Bv!V5=0,".",((s_Ir*s_F*s_I_f*s_T*(1-EXP(-up_RadSpec!BD5*s_t_v)))/(s_Y_v*up_RadSpec!BD5))),".")</f>
        <v>9.0143481925428208</v>
      </c>
      <c r="BS5" s="72">
        <f>IFERROR(IF(up_Bv!W5=0,".",((s_Ir*s_F*s_I_f*s_T*(1-EXP(-up_RadSpec!BD5*s_t_v)))/(s_Y_v*up_RadSpec!BD5))),".")</f>
        <v>9.0143481925428208</v>
      </c>
      <c r="BT5" s="72">
        <f>IFERROR(IF(up_Bv!X5=0,".",((s_Ir*s_F*s_I_f*s_T*(1-EXP(-up_RadSpec!BD5*s_t_v)))/(s_Y_v*up_RadSpec!BD5))),".")</f>
        <v>9.0143481925428208</v>
      </c>
      <c r="BU5" s="72">
        <f>IFERROR(IF(up_Bv!Y5=0,".",((s_Ir*s_F*s_I_f*s_T*(1-EXP(-up_RadSpec!BD5*s_t_v)))/(s_Y_v*up_RadSpec!BD5))),".")</f>
        <v>9.0143481925428208</v>
      </c>
      <c r="BV5" s="72">
        <f>IFERROR(IF(up_Bv!Z5=0,".",((s_Ir*s_F*s_I_f*s_T*(1-EXP(-up_RadSpec!BD5*s_t_v)))/(s_Y_v*up_RadSpec!BD5))),".")</f>
        <v>9.0143481925428208</v>
      </c>
    </row>
    <row r="6" spans="1:74" x14ac:dyDescent="0.25">
      <c r="A6" s="31" t="s">
        <v>4</v>
      </c>
      <c r="B6" s="3" t="s">
        <v>1059</v>
      </c>
      <c r="C6" s="72">
        <f>IFERROR(IF(up_Bv!C6=0,".",((s_Ir*s_F*up_Bv!C6*(1-EXP(-up_RadSpec!$BC6*s_t_b)))/(s_P*up_RadSpec!$BC6))),".")</f>
        <v>993.50362303732038</v>
      </c>
      <c r="D6" s="72">
        <f>IFERROR(IF(up_Bv!D6=0,".",((s_Ir*s_F*up_Bv!D6*(1-EXP(-up_RadSpec!BC6*s_t_b)))/(s_P*up_RadSpec!BC6))),".")</f>
        <v>993.50362303732038</v>
      </c>
      <c r="E6" s="72">
        <f>IFERROR(IF(up_Bv!E6=0,".",((s_Ir*s_F*up_Bv!E6*(1-EXP(-up_RadSpec!BC6*s_t_b)))/(s_P*up_RadSpec!BC6))),".")</f>
        <v>993.50362303732038</v>
      </c>
      <c r="F6" s="72">
        <f>IFERROR(IF(up_Bv!F6=0,".",((s_Ir*s_F*up_Bv!F6*(1-EXP(-up_RadSpec!BC6*s_t_b)))/(s_P*up_RadSpec!BC6))),".")</f>
        <v>993.50362303732038</v>
      </c>
      <c r="G6" s="72">
        <f>IFERROR(IF(up_Bv!G6=0,".",((s_Ir*s_F*up_Bv!G6*(1-EXP(-up_RadSpec!BC6*s_t_b)))/(s_P*up_RadSpec!BC6))),".")</f>
        <v>993.50362303732038</v>
      </c>
      <c r="H6" s="72">
        <f>IFERROR(IF(up_Bv!H6=0,".",((s_Ir*s_F*up_Bv!H6*(1-EXP(-up_RadSpec!BC6*s_t_b)))/(s_P*up_RadSpec!BC6))),".")</f>
        <v>993.50362303732038</v>
      </c>
      <c r="I6" s="72">
        <f>IFERROR(IF(up_Bv!I6=0,".",((s_Ir*s_F*up_Bv!I6*(1-EXP(-up_RadSpec!BC6*s_t_b)))/(s_P*up_RadSpec!BC6))),".")</f>
        <v>993.50362303732038</v>
      </c>
      <c r="J6" s="72">
        <f>IFERROR(IF(up_Bv!J6=0,".",((s_Ir*s_F*up_Bv!J6*(1-EXP(-up_RadSpec!BC6*s_t_b)))/(s_P*up_RadSpec!BC6))),".")</f>
        <v>993.50362303732038</v>
      </c>
      <c r="K6" s="72">
        <f>IFERROR(IF(up_Bv!K6=0,".",((s_Ir*s_F*up_Bv!K6*(1-EXP(-up_RadSpec!BC6*s_t_b)))/(s_P*up_RadSpec!BC6))),".")</f>
        <v>993.50362303732038</v>
      </c>
      <c r="L6" s="72">
        <f>IFERROR(IF(up_Bv!L6=0,".",((s_Ir*s_F*up_Bv!L6*(1-EXP(-up_RadSpec!BC6*s_t_b)))/(s_P*up_RadSpec!BC6))),".")</f>
        <v>993.50362303732038</v>
      </c>
      <c r="M6" s="72">
        <f>IFERROR(IF(up_Bv!M6=0,".",((s_Ir*s_F*up_Bv!M6*(1-EXP(-up_RadSpec!BC6*s_t_b)))/(s_P*up_RadSpec!BC6))),".")</f>
        <v>993.50362303732038</v>
      </c>
      <c r="N6" s="72">
        <f>IFERROR(IF(up_Bv!N6=0,".",((s_Ir*s_F*up_Bv!N6*(1-EXP(-up_RadSpec!BC6*s_t_b)))/(s_P*up_RadSpec!BC6))),".")</f>
        <v>993.50362303732038</v>
      </c>
      <c r="O6" s="72">
        <f>IFERROR(IF(up_Bv!O6=0,".",((s_Ir*s_F*up_Bv!O6*(1-EXP(-up_RadSpec!BC6*s_t_b)))/(s_P*up_RadSpec!BC6))),".")</f>
        <v>993.50362303732038</v>
      </c>
      <c r="P6" s="72">
        <f>IFERROR(IF(up_Bv!P6=0,".",((s_Ir*s_F*up_Bv!P6*(1-EXP(-up_RadSpec!BC6*s_t_b)))/(s_P*up_RadSpec!BC6))),".")</f>
        <v>993.50362303732038</v>
      </c>
      <c r="Q6" s="72">
        <f>IFERROR(IF(up_Bv!Q6=0,".",((s_Ir*s_F*up_Bv!Q6*(1-EXP(-up_RadSpec!BC6*s_t_b)))/(s_P*up_RadSpec!BC6))),".")</f>
        <v>993.50362303732038</v>
      </c>
      <c r="R6" s="72">
        <f>IFERROR(IF(up_Bv!R6=0,".",((s_Ir*s_F*up_Bv!R6*(1-EXP(-up_RadSpec!BC6*s_t_b)))/(s_P*up_RadSpec!BC6))),".")</f>
        <v>993.50362303732038</v>
      </c>
      <c r="S6" s="72">
        <f>IFERROR(IF(up_Bv!S6=0,".",((s_Ir*s_F*up_Bv!S6*(1-EXP(-up_RadSpec!BC6*s_t_b)))/(s_P*up_RadSpec!BC6))),".")</f>
        <v>993.50362303732038</v>
      </c>
      <c r="T6" s="72">
        <f>IFERROR(IF(up_Bv!T6=0,".",((s_Ir*s_F*up_Bv!T6*(1-EXP(-up_RadSpec!BC6*s_t_b)))/(s_P*up_RadSpec!BC6))),".")</f>
        <v>993.50362303732038</v>
      </c>
      <c r="U6" s="72">
        <f>IFERROR(IF(up_Bv!U6=0,".",((s_Ir*s_F*up_Bv!U6*(1-EXP(-up_RadSpec!BC6*s_t_b)))/(s_P*up_RadSpec!BC6))),".")</f>
        <v>993.50362303732038</v>
      </c>
      <c r="V6" s="72">
        <f>IFERROR(IF(up_Bv!V6=0,".",((s_Ir*s_F*up_Bv!V6*(1-EXP(-up_RadSpec!BC6*s_t_b)))/(s_P*up_RadSpec!BC6))),".")</f>
        <v>993.50362303732038</v>
      </c>
      <c r="W6" s="72">
        <f>IFERROR(IF(up_Bv!W6=0,".",((s_Ir*s_F*up_Bv!W6*(1-EXP(-up_RadSpec!BC6*s_t_b)))/(s_P*up_RadSpec!BC6))),".")</f>
        <v>993.50362303732038</v>
      </c>
      <c r="X6" s="72">
        <f>IFERROR(IF(up_Bv!X6=0,".",((s_Ir*s_F*up_Bv!X6*(1-EXP(-up_RadSpec!BC6*s_t_b)))/(s_P*up_RadSpec!BC6))),".")</f>
        <v>993.50362303732038</v>
      </c>
      <c r="Y6" s="72">
        <f>IFERROR(IF(up_Bv!Y6=0,".",((s_Ir*s_F*up_Bv!Y6*(1-EXP(-up_RadSpec!BC6*s_t_b)))/(s_P*up_RadSpec!BC6))),".")</f>
        <v>993.50362303732038</v>
      </c>
      <c r="Z6" s="72">
        <f>IFERROR(IF(up_Bv!Z6=0,".",((s_Ir*s_F*up_Bv!Z6*(1-EXP(-up_RadSpec!BC6*s_t_b)))/(s_P*up_RadSpec!BC6))),".")</f>
        <v>993.50362303732038</v>
      </c>
      <c r="AA6" s="72">
        <f>IFERROR(IF(up_Bv!C6=0,".",((s_Ir*s_F*s_MLF_apple*(1-EXP(-up_RadSpec!BC6*s_t_b)))/(s_P*up_RadSpec!BC6))),".")</f>
        <v>2.6824597822007652</v>
      </c>
      <c r="AB6" s="72">
        <f>IFERROR(IF(up_Bv!D6=0,".",((s_Ir*s_F*s_MLF_asparagus*(1-EXP(-up_RadSpec!BC6*s_t_b)))/(s_P*up_RadSpec!BC6))),".")</f>
        <v>2.6824597822007652</v>
      </c>
      <c r="AC6" s="72">
        <f>IFERROR(IF(up_Bv!E6=0,".",((s_Ir*s_F*s_MLF_beet*(1-EXP(-up_RadSpec!BC6*s_t_b)))/(s_P*up_RadSpec!BC6))),".")</f>
        <v>2.6824597822007652</v>
      </c>
      <c r="AD6" s="72">
        <f>IFERROR(IF(up_Bv!F6=0,".",((s_Ir*s_F*s_MLF_berries*(1-EXP(-up_RadSpec!BC6*s_t_b)))/(s_P*up_RadSpec!BC6))),".")</f>
        <v>2.6824597822007652</v>
      </c>
      <c r="AE6" s="72">
        <f>IFERROR(IF(up_Bv!G6=0,".",((s_Ir*s_F*s_MLF_broccoli*(1-EXP(-up_RadSpec!BC6*s_t_b)))/(s_P*up_RadSpec!BC6))),".")</f>
        <v>2.6824597822007652</v>
      </c>
      <c r="AF6" s="72">
        <f>IFERROR(IF(up_Bv!H6=0,".",((s_Ir*s_F*s_MLF_cabbage*(1-EXP(-up_RadSpec!BC6*s_t_b)))/(s_P*up_RadSpec!BC6))),".")</f>
        <v>2.6824597822007652</v>
      </c>
      <c r="AG6" s="72">
        <f>IFERROR(IF(up_Bv!I6=0,".",((s_Ir*s_F*s_MLF_carrot*(1-EXP(-up_RadSpec!BC6*s_t_b)))/(s_P*up_RadSpec!BC6))),".")</f>
        <v>2.6824597822007652</v>
      </c>
      <c r="AH6" s="72">
        <f>IFERROR(IF(up_Bv!J6=0,".",((s_Ir*s_F*s_MLF_citrus*(1-EXP(-up_RadSpec!BC6*s_t_b)))/(s_P*up_RadSpec!BC6))),".")</f>
        <v>2.6824597822007652</v>
      </c>
      <c r="AI6" s="72">
        <f>IFERROR(IF(up_Bv!K6=0,".",((s_Ir*s_F*s_MLF_corn*(1-EXP(-up_RadSpec!BC6*s_t_b)))/(s_P*up_RadSpec!BC6))),".")</f>
        <v>2.6824597822007652</v>
      </c>
      <c r="AJ6" s="72">
        <f>IFERROR(IF(up_Bv!L6=0,".",((s_Ir*s_F*s_MLF_cucumber*(1-EXP(-up_RadSpec!BC6*s_t_b)))/(s_P*up_RadSpec!BC6))),".")</f>
        <v>2.6824597822007652</v>
      </c>
      <c r="AK6" s="72">
        <f>IFERROR(IF(up_Bv!M6=0,".",((s_Ir*s_F*s_MLF_lettuce*(1-EXP(-up_RadSpec!BC6*s_t_b)))/(s_P*up_RadSpec!BC6))),".")</f>
        <v>2.6824597822007652</v>
      </c>
      <c r="AL6" s="72">
        <f>IFERROR(IF(up_Bv!N6=0,".",((s_Ir*s_F*s_MLF_lima_bean*(1-EXP(-up_RadSpec!BC6*s_t_b)))/(s_P*up_RadSpec!BC6))),".")</f>
        <v>2.6824597822007652</v>
      </c>
      <c r="AM6" s="72">
        <f>IFERROR(IF(up_Bv!O6=0,".",((s_Ir*s_F*s_MLF_okra*(1-EXP(-up_RadSpec!BC6*s_t_b)))/(s_P*up_RadSpec!BC6))),".")</f>
        <v>2.6824597822007652</v>
      </c>
      <c r="AN6" s="72">
        <f>IFERROR(IF(up_Bv!P6=0,".",((s_Ir*s_F*s_MLF_onion*(1-EXP(-up_RadSpec!BC6*s_t_b)))/(s_P*up_RadSpec!BC6))),".")</f>
        <v>2.6824597822007652</v>
      </c>
      <c r="AO6" s="72">
        <f>IFERROR(IF(up_Bv!Q6=0,".",((s_Ir*s_F*s_MLF_peach*(1-EXP(-up_RadSpec!BC6*s_t_b)))/(s_P*up_RadSpec!BC6))),".")</f>
        <v>2.6824597822007652</v>
      </c>
      <c r="AP6" s="72">
        <f>IFERROR(IF(up_Bv!R6=0,".",((s_Ir*s_F*s_MLF_pear*(1-EXP(-up_RadSpec!BC6*s_t_b)))/(s_P*up_RadSpec!BC6))),".")</f>
        <v>2.6824597822007652</v>
      </c>
      <c r="AQ6" s="72">
        <f>IFERROR(IF(up_Bv!S6=0,".",((s_Ir*s_F*s_MLF_peas*(1-EXP(-up_RadSpec!BC6*s_t_b)))/(s_P*up_RadSpec!BC6))),".")</f>
        <v>2.6824597822007652</v>
      </c>
      <c r="AR6" s="72">
        <f>IFERROR(IF(up_Bv!T6=0,".",((s_Ir*s_F*s_MLF_potato*(1-EXP(-up_RadSpec!BC6*s_t_b)))/(s_P*up_RadSpec!BC6))),".")</f>
        <v>2.6824597822007652</v>
      </c>
      <c r="AS6" s="72">
        <f>IFERROR(IF(up_Bv!U6=0,".",((s_Ir*s_F*s_MLF_pumpkin*(1-EXP(-up_RadSpec!BC6*s_t_b)))/(s_P*up_RadSpec!BC6))),".")</f>
        <v>2.6824597822007652</v>
      </c>
      <c r="AT6" s="72">
        <f>IFERROR(IF(up_Bv!V6=0,".",((s_Ir*s_F*s_MLF_snap_bean*(1-EXP(-up_RadSpec!BC6*s_t_b)))/(s_P*up_RadSpec!BC6))),".")</f>
        <v>2.6824597822007652</v>
      </c>
      <c r="AU6" s="72">
        <f>IFERROR(IF(up_Bv!W6=0,".",((s_Ir*s_F*s_MLF_strawberry*(1-EXP(-up_RadSpec!BC6*s_t_b)))/(s_P*up_RadSpec!BC6))),".")</f>
        <v>2.6824597822007652</v>
      </c>
      <c r="AV6" s="72">
        <f>IFERROR(IF(up_Bv!X6=0,".",((s_Ir*s_F*s_MLF_tomato*(1-EXP(-up_RadSpec!BC6*s_t_b)))/(s_P*up_RadSpec!BC6))),".")</f>
        <v>2.6824597822007652</v>
      </c>
      <c r="AW6" s="72">
        <f>IFERROR(IF(up_Bv!Y6=0,".",((s_Ir*s_F*s_MLF_rice*(1-EXP(-up_RadSpec!BC6*s_t_b)))/(s_P*up_RadSpec!BC6))),".")</f>
        <v>2.6824597822007652</v>
      </c>
      <c r="AX6" s="72">
        <f>IFERROR(IF(up_Bv!Z6=0,".",((s_Ir*s_F*s_MLF_cereal*(1-EXP(-up_RadSpec!BC6*s_t_b)))/(s_P*up_RadSpec!BC6))),".")</f>
        <v>2.6824597822007652</v>
      </c>
      <c r="AY6" s="72">
        <f>IFERROR(IF(up_Bv!C6=0,".",((s_Ir*s_F*s_I_f*s_T*(1-EXP(-up_RadSpec!BD6*s_t_v)))/(s_Y_v*up_RadSpec!BD6))),".")</f>
        <v>9.0143481925428208</v>
      </c>
      <c r="AZ6" s="72">
        <f>IFERROR(IF(up_Bv!D6=0,".",((s_Ir*s_F*s_I_f*s_T*(1-EXP(-up_RadSpec!BD6*s_t_v)))/(s_Y_v*up_RadSpec!BD6))),".")</f>
        <v>9.0143481925428208</v>
      </c>
      <c r="BA6" s="72">
        <f>IFERROR(IF(up_Bv!E6=0,".",((s_Ir*s_F*s_I_f*s_T*(1-EXP(-up_RadSpec!BD6*s_t_v)))/(s_Y_v*up_RadSpec!BD6))),".")</f>
        <v>9.0143481925428208</v>
      </c>
      <c r="BB6" s="72">
        <f>IFERROR(IF(up_Bv!F6=0,".",((s_Ir*s_F*s_I_f*s_T*(1-EXP(-up_RadSpec!BD6*s_t_v)))/(s_Y_v*up_RadSpec!BD6))),".")</f>
        <v>9.0143481925428208</v>
      </c>
      <c r="BC6" s="72">
        <f>IFERROR(IF(up_Bv!G6=0,".",((s_Ir*s_F*s_I_f*s_T*(1-EXP(-up_RadSpec!BD6*s_t_v)))/(s_Y_v*up_RadSpec!BD6))),".")</f>
        <v>9.0143481925428208</v>
      </c>
      <c r="BD6" s="72">
        <f>IFERROR(IF(up_Bv!H6=0,".",((s_Ir*s_F*s_I_f*s_T*(1-EXP(-up_RadSpec!BD6*s_t_v)))/(s_Y_v*up_RadSpec!BD6))),".")</f>
        <v>9.0143481925428208</v>
      </c>
      <c r="BE6" s="72">
        <f>IFERROR(IF(up_Bv!I6=0,".",((s_Ir*s_F*s_I_f*s_T*(1-EXP(-up_RadSpec!BD6*s_t_v)))/(s_Y_v*up_RadSpec!BD6))),".")</f>
        <v>9.0143481925428208</v>
      </c>
      <c r="BF6" s="72">
        <f>IFERROR(IF(up_Bv!J6=0,".",((s_Ir*s_F*s_I_f*s_T*(1-EXP(-up_RadSpec!BD6*s_t_v)))/(s_Y_v*up_RadSpec!BD6))),".")</f>
        <v>9.0143481925428208</v>
      </c>
      <c r="BG6" s="72">
        <f>IFERROR(IF(up_Bv!K6=0,".",((s_Ir*s_F*s_I_f*s_T*(1-EXP(-up_RadSpec!BD6*s_t_v)))/(s_Y_v*up_RadSpec!BD6))),".")</f>
        <v>9.0143481925428208</v>
      </c>
      <c r="BH6" s="72">
        <f>IFERROR(IF(up_Bv!L6=0,".",((s_Ir*s_F*s_I_f*s_T*(1-EXP(-up_RadSpec!BD6*s_t_v)))/(s_Y_v*up_RadSpec!BD6))),".")</f>
        <v>9.0143481925428208</v>
      </c>
      <c r="BI6" s="72">
        <f>IFERROR(IF(up_Bv!M6=0,".",((s_Ir*s_F*s_I_f*s_T*(1-EXP(-up_RadSpec!BD6*s_t_v)))/(s_Y_v*up_RadSpec!BD6))),".")</f>
        <v>9.0143481925428208</v>
      </c>
      <c r="BJ6" s="72">
        <f>IFERROR(IF(up_Bv!N6=0,".",((s_Ir*s_F*s_I_f*s_T*(1-EXP(-up_RadSpec!BD6*s_t_v)))/(s_Y_v*up_RadSpec!BD6))),".")</f>
        <v>9.0143481925428208</v>
      </c>
      <c r="BK6" s="72">
        <f>IFERROR(IF(up_Bv!O6=0,".",((s_Ir*s_F*s_I_f*s_T*(1-EXP(-up_RadSpec!BD6*s_t_v)))/(s_Y_v*up_RadSpec!BD6))),".")</f>
        <v>9.0143481925428208</v>
      </c>
      <c r="BL6" s="72">
        <f>IFERROR(IF(up_Bv!P6=0,".",((s_Ir*s_F*s_I_f*s_T*(1-EXP(-up_RadSpec!BD6*s_t_v)))/(s_Y_v*up_RadSpec!BD6))),".")</f>
        <v>9.0143481925428208</v>
      </c>
      <c r="BM6" s="72">
        <f>IFERROR(IF(up_Bv!Q6=0,".",((s_Ir*s_F*s_I_f*s_T*(1-EXP(-up_RadSpec!BD6*s_t_v)))/(s_Y_v*up_RadSpec!BD6))),".")</f>
        <v>9.0143481925428208</v>
      </c>
      <c r="BN6" s="72">
        <f>IFERROR(IF(up_Bv!R6=0,".",((s_Ir*s_F*s_I_f*s_T*(1-EXP(-up_RadSpec!BD6*s_t_v)))/(s_Y_v*up_RadSpec!BD6))),".")</f>
        <v>9.0143481925428208</v>
      </c>
      <c r="BO6" s="72">
        <f>IFERROR(IF(up_Bv!S6=0,".",((s_Ir*s_F*s_I_f*s_T*(1-EXP(-up_RadSpec!BD6*s_t_v)))/(s_Y_v*up_RadSpec!BD6))),".")</f>
        <v>9.0143481925428208</v>
      </c>
      <c r="BP6" s="72">
        <f>IFERROR(IF(up_Bv!T6=0,".",((s_Ir*s_F*s_I_f*s_T*(1-EXP(-up_RadSpec!BD6*s_t_v)))/(s_Y_v*up_RadSpec!BD6))),".")</f>
        <v>9.0143481925428208</v>
      </c>
      <c r="BQ6" s="72">
        <f>IFERROR(IF(up_Bv!U6=0,".",((s_Ir*s_F*s_I_f*s_T*(1-EXP(-up_RadSpec!BD6*s_t_v)))/(s_Y_v*up_RadSpec!BD6))),".")</f>
        <v>9.0143481925428208</v>
      </c>
      <c r="BR6" s="72">
        <f>IFERROR(IF(up_Bv!V6=0,".",((s_Ir*s_F*s_I_f*s_T*(1-EXP(-up_RadSpec!BD6*s_t_v)))/(s_Y_v*up_RadSpec!BD6))),".")</f>
        <v>9.0143481925428208</v>
      </c>
      <c r="BS6" s="72">
        <f>IFERROR(IF(up_Bv!W6=0,".",((s_Ir*s_F*s_I_f*s_T*(1-EXP(-up_RadSpec!BD6*s_t_v)))/(s_Y_v*up_RadSpec!BD6))),".")</f>
        <v>9.0143481925428208</v>
      </c>
      <c r="BT6" s="72">
        <f>IFERROR(IF(up_Bv!X6=0,".",((s_Ir*s_F*s_I_f*s_T*(1-EXP(-up_RadSpec!BD6*s_t_v)))/(s_Y_v*up_RadSpec!BD6))),".")</f>
        <v>9.0143481925428208</v>
      </c>
      <c r="BU6" s="72">
        <f>IFERROR(IF(up_Bv!Y6=0,".",((s_Ir*s_F*s_I_f*s_T*(1-EXP(-up_RadSpec!BD6*s_t_v)))/(s_Y_v*up_RadSpec!BD6))),".")</f>
        <v>9.0143481925428208</v>
      </c>
      <c r="BV6" s="72">
        <f>IFERROR(IF(up_Bv!Z6=0,".",((s_Ir*s_F*s_I_f*s_T*(1-EXP(-up_RadSpec!BD6*s_t_v)))/(s_Y_v*up_RadSpec!BD6))),".")</f>
        <v>9.0143481925428208</v>
      </c>
    </row>
    <row r="7" spans="1:74" x14ac:dyDescent="0.25">
      <c r="A7" s="31" t="s">
        <v>5</v>
      </c>
      <c r="B7" s="3" t="s">
        <v>1059</v>
      </c>
      <c r="C7" s="72">
        <f>IFERROR(IF(up_Bv!C7=0,".",((s_Ir*s_F*up_Bv!C7*(1-EXP(-up_RadSpec!$BC7*s_t_b)))/(s_P*up_RadSpec!$BC7))),".")</f>
        <v>993.50362303732038</v>
      </c>
      <c r="D7" s="72">
        <f>IFERROR(IF(up_Bv!D7=0,".",((s_Ir*s_F*up_Bv!D7*(1-EXP(-up_RadSpec!BC7*s_t_b)))/(s_P*up_RadSpec!BC7))),".")</f>
        <v>993.50362303732038</v>
      </c>
      <c r="E7" s="72">
        <f>IFERROR(IF(up_Bv!E7=0,".",((s_Ir*s_F*up_Bv!E7*(1-EXP(-up_RadSpec!BC7*s_t_b)))/(s_P*up_RadSpec!BC7))),".")</f>
        <v>993.50362303732038</v>
      </c>
      <c r="F7" s="72">
        <f>IFERROR(IF(up_Bv!F7=0,".",((s_Ir*s_F*up_Bv!F7*(1-EXP(-up_RadSpec!BC7*s_t_b)))/(s_P*up_RadSpec!BC7))),".")</f>
        <v>993.50362303732038</v>
      </c>
      <c r="G7" s="72">
        <f>IFERROR(IF(up_Bv!G7=0,".",((s_Ir*s_F*up_Bv!G7*(1-EXP(-up_RadSpec!BC7*s_t_b)))/(s_P*up_RadSpec!BC7))),".")</f>
        <v>993.50362303732038</v>
      </c>
      <c r="H7" s="72">
        <f>IFERROR(IF(up_Bv!H7=0,".",((s_Ir*s_F*up_Bv!H7*(1-EXP(-up_RadSpec!BC7*s_t_b)))/(s_P*up_RadSpec!BC7))),".")</f>
        <v>993.50362303732038</v>
      </c>
      <c r="I7" s="72">
        <f>IFERROR(IF(up_Bv!I7=0,".",((s_Ir*s_F*up_Bv!I7*(1-EXP(-up_RadSpec!BC7*s_t_b)))/(s_P*up_RadSpec!BC7))),".")</f>
        <v>993.50362303732038</v>
      </c>
      <c r="J7" s="72">
        <f>IFERROR(IF(up_Bv!J7=0,".",((s_Ir*s_F*up_Bv!J7*(1-EXP(-up_RadSpec!BC7*s_t_b)))/(s_P*up_RadSpec!BC7))),".")</f>
        <v>993.50362303732038</v>
      </c>
      <c r="K7" s="72">
        <f>IFERROR(IF(up_Bv!K7=0,".",((s_Ir*s_F*up_Bv!K7*(1-EXP(-up_RadSpec!BC7*s_t_b)))/(s_P*up_RadSpec!BC7))),".")</f>
        <v>993.50362303732038</v>
      </c>
      <c r="L7" s="72">
        <f>IFERROR(IF(up_Bv!L7=0,".",((s_Ir*s_F*up_Bv!L7*(1-EXP(-up_RadSpec!BC7*s_t_b)))/(s_P*up_RadSpec!BC7))),".")</f>
        <v>993.50362303732038</v>
      </c>
      <c r="M7" s="72">
        <f>IFERROR(IF(up_Bv!M7=0,".",((s_Ir*s_F*up_Bv!M7*(1-EXP(-up_RadSpec!BC7*s_t_b)))/(s_P*up_RadSpec!BC7))),".")</f>
        <v>993.50362303732038</v>
      </c>
      <c r="N7" s="72">
        <f>IFERROR(IF(up_Bv!N7=0,".",((s_Ir*s_F*up_Bv!N7*(1-EXP(-up_RadSpec!BC7*s_t_b)))/(s_P*up_RadSpec!BC7))),".")</f>
        <v>993.50362303732038</v>
      </c>
      <c r="O7" s="72">
        <f>IFERROR(IF(up_Bv!O7=0,".",((s_Ir*s_F*up_Bv!O7*(1-EXP(-up_RadSpec!BC7*s_t_b)))/(s_P*up_RadSpec!BC7))),".")</f>
        <v>993.50362303732038</v>
      </c>
      <c r="P7" s="72">
        <f>IFERROR(IF(up_Bv!P7=0,".",((s_Ir*s_F*up_Bv!P7*(1-EXP(-up_RadSpec!BC7*s_t_b)))/(s_P*up_RadSpec!BC7))),".")</f>
        <v>993.50362303732038</v>
      </c>
      <c r="Q7" s="72">
        <f>IFERROR(IF(up_Bv!Q7=0,".",((s_Ir*s_F*up_Bv!Q7*(1-EXP(-up_RadSpec!BC7*s_t_b)))/(s_P*up_RadSpec!BC7))),".")</f>
        <v>993.50362303732038</v>
      </c>
      <c r="R7" s="72">
        <f>IFERROR(IF(up_Bv!R7=0,".",((s_Ir*s_F*up_Bv!R7*(1-EXP(-up_RadSpec!BC7*s_t_b)))/(s_P*up_RadSpec!BC7))),".")</f>
        <v>993.50362303732038</v>
      </c>
      <c r="S7" s="72">
        <f>IFERROR(IF(up_Bv!S7=0,".",((s_Ir*s_F*up_Bv!S7*(1-EXP(-up_RadSpec!BC7*s_t_b)))/(s_P*up_RadSpec!BC7))),".")</f>
        <v>993.50362303732038</v>
      </c>
      <c r="T7" s="72">
        <f>IFERROR(IF(up_Bv!T7=0,".",((s_Ir*s_F*up_Bv!T7*(1-EXP(-up_RadSpec!BC7*s_t_b)))/(s_P*up_RadSpec!BC7))),".")</f>
        <v>993.50362303732038</v>
      </c>
      <c r="U7" s="72">
        <f>IFERROR(IF(up_Bv!U7=0,".",((s_Ir*s_F*up_Bv!U7*(1-EXP(-up_RadSpec!BC7*s_t_b)))/(s_P*up_RadSpec!BC7))),".")</f>
        <v>993.50362303732038</v>
      </c>
      <c r="V7" s="72">
        <f>IFERROR(IF(up_Bv!V7=0,".",((s_Ir*s_F*up_Bv!V7*(1-EXP(-up_RadSpec!BC7*s_t_b)))/(s_P*up_RadSpec!BC7))),".")</f>
        <v>993.50362303732038</v>
      </c>
      <c r="W7" s="72">
        <f>IFERROR(IF(up_Bv!W7=0,".",((s_Ir*s_F*up_Bv!W7*(1-EXP(-up_RadSpec!BC7*s_t_b)))/(s_P*up_RadSpec!BC7))),".")</f>
        <v>993.50362303732038</v>
      </c>
      <c r="X7" s="72">
        <f>IFERROR(IF(up_Bv!X7=0,".",((s_Ir*s_F*up_Bv!X7*(1-EXP(-up_RadSpec!BC7*s_t_b)))/(s_P*up_RadSpec!BC7))),".")</f>
        <v>993.50362303732038</v>
      </c>
      <c r="Y7" s="72">
        <f>IFERROR(IF(up_Bv!Y7=0,".",((s_Ir*s_F*up_Bv!Y7*(1-EXP(-up_RadSpec!BC7*s_t_b)))/(s_P*up_RadSpec!BC7))),".")</f>
        <v>993.50362303732038</v>
      </c>
      <c r="Z7" s="72">
        <f>IFERROR(IF(up_Bv!Z7=0,".",((s_Ir*s_F*up_Bv!Z7*(1-EXP(-up_RadSpec!BC7*s_t_b)))/(s_P*up_RadSpec!BC7))),".")</f>
        <v>993.50362303732038</v>
      </c>
      <c r="AA7" s="72">
        <f>IFERROR(IF(up_Bv!C7=0,".",((s_Ir*s_F*s_MLF_apple*(1-EXP(-up_RadSpec!BC7*s_t_b)))/(s_P*up_RadSpec!BC7))),".")</f>
        <v>2.6824597822007652</v>
      </c>
      <c r="AB7" s="72">
        <f>IFERROR(IF(up_Bv!D7=0,".",((s_Ir*s_F*s_MLF_asparagus*(1-EXP(-up_RadSpec!BC7*s_t_b)))/(s_P*up_RadSpec!BC7))),".")</f>
        <v>2.6824597822007652</v>
      </c>
      <c r="AC7" s="72">
        <f>IFERROR(IF(up_Bv!E7=0,".",((s_Ir*s_F*s_MLF_beet*(1-EXP(-up_RadSpec!BC7*s_t_b)))/(s_P*up_RadSpec!BC7))),".")</f>
        <v>2.6824597822007652</v>
      </c>
      <c r="AD7" s="72">
        <f>IFERROR(IF(up_Bv!F7=0,".",((s_Ir*s_F*s_MLF_berries*(1-EXP(-up_RadSpec!BC7*s_t_b)))/(s_P*up_RadSpec!BC7))),".")</f>
        <v>2.6824597822007652</v>
      </c>
      <c r="AE7" s="72">
        <f>IFERROR(IF(up_Bv!G7=0,".",((s_Ir*s_F*s_MLF_broccoli*(1-EXP(-up_RadSpec!BC7*s_t_b)))/(s_P*up_RadSpec!BC7))),".")</f>
        <v>2.6824597822007652</v>
      </c>
      <c r="AF7" s="72">
        <f>IFERROR(IF(up_Bv!H7=0,".",((s_Ir*s_F*s_MLF_cabbage*(1-EXP(-up_RadSpec!BC7*s_t_b)))/(s_P*up_RadSpec!BC7))),".")</f>
        <v>2.6824597822007652</v>
      </c>
      <c r="AG7" s="72">
        <f>IFERROR(IF(up_Bv!I7=0,".",((s_Ir*s_F*s_MLF_carrot*(1-EXP(-up_RadSpec!BC7*s_t_b)))/(s_P*up_RadSpec!BC7))),".")</f>
        <v>2.6824597822007652</v>
      </c>
      <c r="AH7" s="72">
        <f>IFERROR(IF(up_Bv!J7=0,".",((s_Ir*s_F*s_MLF_citrus*(1-EXP(-up_RadSpec!BC7*s_t_b)))/(s_P*up_RadSpec!BC7))),".")</f>
        <v>2.6824597822007652</v>
      </c>
      <c r="AI7" s="72">
        <f>IFERROR(IF(up_Bv!K7=0,".",((s_Ir*s_F*s_MLF_corn*(1-EXP(-up_RadSpec!BC7*s_t_b)))/(s_P*up_RadSpec!BC7))),".")</f>
        <v>2.6824597822007652</v>
      </c>
      <c r="AJ7" s="72">
        <f>IFERROR(IF(up_Bv!L7=0,".",((s_Ir*s_F*s_MLF_cucumber*(1-EXP(-up_RadSpec!BC7*s_t_b)))/(s_P*up_RadSpec!BC7))),".")</f>
        <v>2.6824597822007652</v>
      </c>
      <c r="AK7" s="72">
        <f>IFERROR(IF(up_Bv!M7=0,".",((s_Ir*s_F*s_MLF_lettuce*(1-EXP(-up_RadSpec!BC7*s_t_b)))/(s_P*up_RadSpec!BC7))),".")</f>
        <v>2.6824597822007652</v>
      </c>
      <c r="AL7" s="72">
        <f>IFERROR(IF(up_Bv!N7=0,".",((s_Ir*s_F*s_MLF_lima_bean*(1-EXP(-up_RadSpec!BC7*s_t_b)))/(s_P*up_RadSpec!BC7))),".")</f>
        <v>2.6824597822007652</v>
      </c>
      <c r="AM7" s="72">
        <f>IFERROR(IF(up_Bv!O7=0,".",((s_Ir*s_F*s_MLF_okra*(1-EXP(-up_RadSpec!BC7*s_t_b)))/(s_P*up_RadSpec!BC7))),".")</f>
        <v>2.6824597822007652</v>
      </c>
      <c r="AN7" s="72">
        <f>IFERROR(IF(up_Bv!P7=0,".",((s_Ir*s_F*s_MLF_onion*(1-EXP(-up_RadSpec!BC7*s_t_b)))/(s_P*up_RadSpec!BC7))),".")</f>
        <v>2.6824597822007652</v>
      </c>
      <c r="AO7" s="72">
        <f>IFERROR(IF(up_Bv!Q7=0,".",((s_Ir*s_F*s_MLF_peach*(1-EXP(-up_RadSpec!BC7*s_t_b)))/(s_P*up_RadSpec!BC7))),".")</f>
        <v>2.6824597822007652</v>
      </c>
      <c r="AP7" s="72">
        <f>IFERROR(IF(up_Bv!R7=0,".",((s_Ir*s_F*s_MLF_pear*(1-EXP(-up_RadSpec!BC7*s_t_b)))/(s_P*up_RadSpec!BC7))),".")</f>
        <v>2.6824597822007652</v>
      </c>
      <c r="AQ7" s="72">
        <f>IFERROR(IF(up_Bv!S7=0,".",((s_Ir*s_F*s_MLF_peas*(1-EXP(-up_RadSpec!BC7*s_t_b)))/(s_P*up_RadSpec!BC7))),".")</f>
        <v>2.6824597822007652</v>
      </c>
      <c r="AR7" s="72">
        <f>IFERROR(IF(up_Bv!T7=0,".",((s_Ir*s_F*s_MLF_potato*(1-EXP(-up_RadSpec!BC7*s_t_b)))/(s_P*up_RadSpec!BC7))),".")</f>
        <v>2.6824597822007652</v>
      </c>
      <c r="AS7" s="72">
        <f>IFERROR(IF(up_Bv!U7=0,".",((s_Ir*s_F*s_MLF_pumpkin*(1-EXP(-up_RadSpec!BC7*s_t_b)))/(s_P*up_RadSpec!BC7))),".")</f>
        <v>2.6824597822007652</v>
      </c>
      <c r="AT7" s="72">
        <f>IFERROR(IF(up_Bv!V7=0,".",((s_Ir*s_F*s_MLF_snap_bean*(1-EXP(-up_RadSpec!BC7*s_t_b)))/(s_P*up_RadSpec!BC7))),".")</f>
        <v>2.6824597822007652</v>
      </c>
      <c r="AU7" s="72">
        <f>IFERROR(IF(up_Bv!W7=0,".",((s_Ir*s_F*s_MLF_strawberry*(1-EXP(-up_RadSpec!BC7*s_t_b)))/(s_P*up_RadSpec!BC7))),".")</f>
        <v>2.6824597822007652</v>
      </c>
      <c r="AV7" s="72">
        <f>IFERROR(IF(up_Bv!X7=0,".",((s_Ir*s_F*s_MLF_tomato*(1-EXP(-up_RadSpec!BC7*s_t_b)))/(s_P*up_RadSpec!BC7))),".")</f>
        <v>2.6824597822007652</v>
      </c>
      <c r="AW7" s="72">
        <f>IFERROR(IF(up_Bv!Y7=0,".",((s_Ir*s_F*s_MLF_rice*(1-EXP(-up_RadSpec!BC7*s_t_b)))/(s_P*up_RadSpec!BC7))),".")</f>
        <v>2.6824597822007652</v>
      </c>
      <c r="AX7" s="72">
        <f>IFERROR(IF(up_Bv!Z7=0,".",((s_Ir*s_F*s_MLF_cereal*(1-EXP(-up_RadSpec!BC7*s_t_b)))/(s_P*up_RadSpec!BC7))),".")</f>
        <v>2.6824597822007652</v>
      </c>
      <c r="AY7" s="72">
        <f>IFERROR(IF(up_Bv!C7=0,".",((s_Ir*s_F*s_I_f*s_T*(1-EXP(-up_RadSpec!BD7*s_t_v)))/(s_Y_v*up_RadSpec!BD7))),".")</f>
        <v>9.0143481925428208</v>
      </c>
      <c r="AZ7" s="72">
        <f>IFERROR(IF(up_Bv!D7=0,".",((s_Ir*s_F*s_I_f*s_T*(1-EXP(-up_RadSpec!BD7*s_t_v)))/(s_Y_v*up_RadSpec!BD7))),".")</f>
        <v>9.0143481925428208</v>
      </c>
      <c r="BA7" s="72">
        <f>IFERROR(IF(up_Bv!E7=0,".",((s_Ir*s_F*s_I_f*s_T*(1-EXP(-up_RadSpec!BD7*s_t_v)))/(s_Y_v*up_RadSpec!BD7))),".")</f>
        <v>9.0143481925428208</v>
      </c>
      <c r="BB7" s="72">
        <f>IFERROR(IF(up_Bv!F7=0,".",((s_Ir*s_F*s_I_f*s_T*(1-EXP(-up_RadSpec!BD7*s_t_v)))/(s_Y_v*up_RadSpec!BD7))),".")</f>
        <v>9.0143481925428208</v>
      </c>
      <c r="BC7" s="72">
        <f>IFERROR(IF(up_Bv!G7=0,".",((s_Ir*s_F*s_I_f*s_T*(1-EXP(-up_RadSpec!BD7*s_t_v)))/(s_Y_v*up_RadSpec!BD7))),".")</f>
        <v>9.0143481925428208</v>
      </c>
      <c r="BD7" s="72">
        <f>IFERROR(IF(up_Bv!H7=0,".",((s_Ir*s_F*s_I_f*s_T*(1-EXP(-up_RadSpec!BD7*s_t_v)))/(s_Y_v*up_RadSpec!BD7))),".")</f>
        <v>9.0143481925428208</v>
      </c>
      <c r="BE7" s="72">
        <f>IFERROR(IF(up_Bv!I7=0,".",((s_Ir*s_F*s_I_f*s_T*(1-EXP(-up_RadSpec!BD7*s_t_v)))/(s_Y_v*up_RadSpec!BD7))),".")</f>
        <v>9.0143481925428208</v>
      </c>
      <c r="BF7" s="72">
        <f>IFERROR(IF(up_Bv!J7=0,".",((s_Ir*s_F*s_I_f*s_T*(1-EXP(-up_RadSpec!BD7*s_t_v)))/(s_Y_v*up_RadSpec!BD7))),".")</f>
        <v>9.0143481925428208</v>
      </c>
      <c r="BG7" s="72">
        <f>IFERROR(IF(up_Bv!K7=0,".",((s_Ir*s_F*s_I_f*s_T*(1-EXP(-up_RadSpec!BD7*s_t_v)))/(s_Y_v*up_RadSpec!BD7))),".")</f>
        <v>9.0143481925428208</v>
      </c>
      <c r="BH7" s="72">
        <f>IFERROR(IF(up_Bv!L7=0,".",((s_Ir*s_F*s_I_f*s_T*(1-EXP(-up_RadSpec!BD7*s_t_v)))/(s_Y_v*up_RadSpec!BD7))),".")</f>
        <v>9.0143481925428208</v>
      </c>
      <c r="BI7" s="72">
        <f>IFERROR(IF(up_Bv!M7=0,".",((s_Ir*s_F*s_I_f*s_T*(1-EXP(-up_RadSpec!BD7*s_t_v)))/(s_Y_v*up_RadSpec!BD7))),".")</f>
        <v>9.0143481925428208</v>
      </c>
      <c r="BJ7" s="72">
        <f>IFERROR(IF(up_Bv!N7=0,".",((s_Ir*s_F*s_I_f*s_T*(1-EXP(-up_RadSpec!BD7*s_t_v)))/(s_Y_v*up_RadSpec!BD7))),".")</f>
        <v>9.0143481925428208</v>
      </c>
      <c r="BK7" s="72">
        <f>IFERROR(IF(up_Bv!O7=0,".",((s_Ir*s_F*s_I_f*s_T*(1-EXP(-up_RadSpec!BD7*s_t_v)))/(s_Y_v*up_RadSpec!BD7))),".")</f>
        <v>9.0143481925428208</v>
      </c>
      <c r="BL7" s="72">
        <f>IFERROR(IF(up_Bv!P7=0,".",((s_Ir*s_F*s_I_f*s_T*(1-EXP(-up_RadSpec!BD7*s_t_v)))/(s_Y_v*up_RadSpec!BD7))),".")</f>
        <v>9.0143481925428208</v>
      </c>
      <c r="BM7" s="72">
        <f>IFERROR(IF(up_Bv!Q7=0,".",((s_Ir*s_F*s_I_f*s_T*(1-EXP(-up_RadSpec!BD7*s_t_v)))/(s_Y_v*up_RadSpec!BD7))),".")</f>
        <v>9.0143481925428208</v>
      </c>
      <c r="BN7" s="72">
        <f>IFERROR(IF(up_Bv!R7=0,".",((s_Ir*s_F*s_I_f*s_T*(1-EXP(-up_RadSpec!BD7*s_t_v)))/(s_Y_v*up_RadSpec!BD7))),".")</f>
        <v>9.0143481925428208</v>
      </c>
      <c r="BO7" s="72">
        <f>IFERROR(IF(up_Bv!S7=0,".",((s_Ir*s_F*s_I_f*s_T*(1-EXP(-up_RadSpec!BD7*s_t_v)))/(s_Y_v*up_RadSpec!BD7))),".")</f>
        <v>9.0143481925428208</v>
      </c>
      <c r="BP7" s="72">
        <f>IFERROR(IF(up_Bv!T7=0,".",((s_Ir*s_F*s_I_f*s_T*(1-EXP(-up_RadSpec!BD7*s_t_v)))/(s_Y_v*up_RadSpec!BD7))),".")</f>
        <v>9.0143481925428208</v>
      </c>
      <c r="BQ7" s="72">
        <f>IFERROR(IF(up_Bv!U7=0,".",((s_Ir*s_F*s_I_f*s_T*(1-EXP(-up_RadSpec!BD7*s_t_v)))/(s_Y_v*up_RadSpec!BD7))),".")</f>
        <v>9.0143481925428208</v>
      </c>
      <c r="BR7" s="72">
        <f>IFERROR(IF(up_Bv!V7=0,".",((s_Ir*s_F*s_I_f*s_T*(1-EXP(-up_RadSpec!BD7*s_t_v)))/(s_Y_v*up_RadSpec!BD7))),".")</f>
        <v>9.0143481925428208</v>
      </c>
      <c r="BS7" s="72">
        <f>IFERROR(IF(up_Bv!W7=0,".",((s_Ir*s_F*s_I_f*s_T*(1-EXP(-up_RadSpec!BD7*s_t_v)))/(s_Y_v*up_RadSpec!BD7))),".")</f>
        <v>9.0143481925428208</v>
      </c>
      <c r="BT7" s="72">
        <f>IFERROR(IF(up_Bv!X7=0,".",((s_Ir*s_F*s_I_f*s_T*(1-EXP(-up_RadSpec!BD7*s_t_v)))/(s_Y_v*up_RadSpec!BD7))),".")</f>
        <v>9.0143481925428208</v>
      </c>
      <c r="BU7" s="72">
        <f>IFERROR(IF(up_Bv!Y7=0,".",((s_Ir*s_F*s_I_f*s_T*(1-EXP(-up_RadSpec!BD7*s_t_v)))/(s_Y_v*up_RadSpec!BD7))),".")</f>
        <v>9.0143481925428208</v>
      </c>
      <c r="BV7" s="72">
        <f>IFERROR(IF(up_Bv!Z7=0,".",((s_Ir*s_F*s_I_f*s_T*(1-EXP(-up_RadSpec!BD7*s_t_v)))/(s_Y_v*up_RadSpec!BD7))),".")</f>
        <v>9.0143481925428208</v>
      </c>
    </row>
    <row r="8" spans="1:74" x14ac:dyDescent="0.25">
      <c r="A8" s="31" t="s">
        <v>6</v>
      </c>
      <c r="B8" s="3" t="s">
        <v>1059</v>
      </c>
      <c r="C8" s="72">
        <f>IFERROR(IF(up_Bv!C8=0,".",((s_Ir*s_F*up_Bv!C8*(1-EXP(-up_RadSpec!$BC8*s_t_b)))/(s_P*up_RadSpec!$BC8))),".")</f>
        <v>993.50362303732038</v>
      </c>
      <c r="D8" s="72">
        <f>IFERROR(IF(up_Bv!D8=0,".",((s_Ir*s_F*up_Bv!D8*(1-EXP(-up_RadSpec!BC8*s_t_b)))/(s_P*up_RadSpec!BC8))),".")</f>
        <v>993.50362303732038</v>
      </c>
      <c r="E8" s="72">
        <f>IFERROR(IF(up_Bv!E8=0,".",((s_Ir*s_F*up_Bv!E8*(1-EXP(-up_RadSpec!BC8*s_t_b)))/(s_P*up_RadSpec!BC8))),".")</f>
        <v>993.50362303732038</v>
      </c>
      <c r="F8" s="72">
        <f>IFERROR(IF(up_Bv!F8=0,".",((s_Ir*s_F*up_Bv!F8*(1-EXP(-up_RadSpec!BC8*s_t_b)))/(s_P*up_RadSpec!BC8))),".")</f>
        <v>993.50362303732038</v>
      </c>
      <c r="G8" s="72">
        <f>IFERROR(IF(up_Bv!G8=0,".",((s_Ir*s_F*up_Bv!G8*(1-EXP(-up_RadSpec!BC8*s_t_b)))/(s_P*up_RadSpec!BC8))),".")</f>
        <v>993.50362303732038</v>
      </c>
      <c r="H8" s="72">
        <f>IFERROR(IF(up_Bv!H8=0,".",((s_Ir*s_F*up_Bv!H8*(1-EXP(-up_RadSpec!BC8*s_t_b)))/(s_P*up_RadSpec!BC8))),".")</f>
        <v>993.50362303732038</v>
      </c>
      <c r="I8" s="72">
        <f>IFERROR(IF(up_Bv!I8=0,".",((s_Ir*s_F*up_Bv!I8*(1-EXP(-up_RadSpec!BC8*s_t_b)))/(s_P*up_RadSpec!BC8))),".")</f>
        <v>993.50362303732038</v>
      </c>
      <c r="J8" s="72">
        <f>IFERROR(IF(up_Bv!J8=0,".",((s_Ir*s_F*up_Bv!J8*(1-EXP(-up_RadSpec!BC8*s_t_b)))/(s_P*up_RadSpec!BC8))),".")</f>
        <v>993.50362303732038</v>
      </c>
      <c r="K8" s="72">
        <f>IFERROR(IF(up_Bv!K8=0,".",((s_Ir*s_F*up_Bv!K8*(1-EXP(-up_RadSpec!BC8*s_t_b)))/(s_P*up_RadSpec!BC8))),".")</f>
        <v>993.50362303732038</v>
      </c>
      <c r="L8" s="72">
        <f>IFERROR(IF(up_Bv!L8=0,".",((s_Ir*s_F*up_Bv!L8*(1-EXP(-up_RadSpec!BC8*s_t_b)))/(s_P*up_RadSpec!BC8))),".")</f>
        <v>993.50362303732038</v>
      </c>
      <c r="M8" s="72">
        <f>IFERROR(IF(up_Bv!M8=0,".",((s_Ir*s_F*up_Bv!M8*(1-EXP(-up_RadSpec!BC8*s_t_b)))/(s_P*up_RadSpec!BC8))),".")</f>
        <v>993.50362303732038</v>
      </c>
      <c r="N8" s="72">
        <f>IFERROR(IF(up_Bv!N8=0,".",((s_Ir*s_F*up_Bv!N8*(1-EXP(-up_RadSpec!BC8*s_t_b)))/(s_P*up_RadSpec!BC8))),".")</f>
        <v>993.50362303732038</v>
      </c>
      <c r="O8" s="72">
        <f>IFERROR(IF(up_Bv!O8=0,".",((s_Ir*s_F*up_Bv!O8*(1-EXP(-up_RadSpec!BC8*s_t_b)))/(s_P*up_RadSpec!BC8))),".")</f>
        <v>993.50362303732038</v>
      </c>
      <c r="P8" s="72">
        <f>IFERROR(IF(up_Bv!P8=0,".",((s_Ir*s_F*up_Bv!P8*(1-EXP(-up_RadSpec!BC8*s_t_b)))/(s_P*up_RadSpec!BC8))),".")</f>
        <v>993.50362303732038</v>
      </c>
      <c r="Q8" s="72">
        <f>IFERROR(IF(up_Bv!Q8=0,".",((s_Ir*s_F*up_Bv!Q8*(1-EXP(-up_RadSpec!BC8*s_t_b)))/(s_P*up_RadSpec!BC8))),".")</f>
        <v>993.50362303732038</v>
      </c>
      <c r="R8" s="72">
        <f>IFERROR(IF(up_Bv!R8=0,".",((s_Ir*s_F*up_Bv!R8*(1-EXP(-up_RadSpec!BC8*s_t_b)))/(s_P*up_RadSpec!BC8))),".")</f>
        <v>993.50362303732038</v>
      </c>
      <c r="S8" s="72">
        <f>IFERROR(IF(up_Bv!S8=0,".",((s_Ir*s_F*up_Bv!S8*(1-EXP(-up_RadSpec!BC8*s_t_b)))/(s_P*up_RadSpec!BC8))),".")</f>
        <v>993.50362303732038</v>
      </c>
      <c r="T8" s="72">
        <f>IFERROR(IF(up_Bv!T8=0,".",((s_Ir*s_F*up_Bv!T8*(1-EXP(-up_RadSpec!BC8*s_t_b)))/(s_P*up_RadSpec!BC8))),".")</f>
        <v>993.50362303732038</v>
      </c>
      <c r="U8" s="72">
        <f>IFERROR(IF(up_Bv!U8=0,".",((s_Ir*s_F*up_Bv!U8*(1-EXP(-up_RadSpec!BC8*s_t_b)))/(s_P*up_RadSpec!BC8))),".")</f>
        <v>993.50362303732038</v>
      </c>
      <c r="V8" s="72">
        <f>IFERROR(IF(up_Bv!V8=0,".",((s_Ir*s_F*up_Bv!V8*(1-EXP(-up_RadSpec!BC8*s_t_b)))/(s_P*up_RadSpec!BC8))),".")</f>
        <v>993.50362303732038</v>
      </c>
      <c r="W8" s="72">
        <f>IFERROR(IF(up_Bv!W8=0,".",((s_Ir*s_F*up_Bv!W8*(1-EXP(-up_RadSpec!BC8*s_t_b)))/(s_P*up_RadSpec!BC8))),".")</f>
        <v>993.50362303732038</v>
      </c>
      <c r="X8" s="72">
        <f>IFERROR(IF(up_Bv!X8=0,".",((s_Ir*s_F*up_Bv!X8*(1-EXP(-up_RadSpec!BC8*s_t_b)))/(s_P*up_RadSpec!BC8))),".")</f>
        <v>993.50362303732038</v>
      </c>
      <c r="Y8" s="72">
        <f>IFERROR(IF(up_Bv!Y8=0,".",((s_Ir*s_F*up_Bv!Y8*(1-EXP(-up_RadSpec!BC8*s_t_b)))/(s_P*up_RadSpec!BC8))),".")</f>
        <v>993.50362303732038</v>
      </c>
      <c r="Z8" s="72">
        <f>IFERROR(IF(up_Bv!Z8=0,".",((s_Ir*s_F*up_Bv!Z8*(1-EXP(-up_RadSpec!BC8*s_t_b)))/(s_P*up_RadSpec!BC8))),".")</f>
        <v>993.50362303732038</v>
      </c>
      <c r="AA8" s="72">
        <f>IFERROR(IF(up_Bv!C8=0,".",((s_Ir*s_F*s_MLF_apple*(1-EXP(-up_RadSpec!BC8*s_t_b)))/(s_P*up_RadSpec!BC8))),".")</f>
        <v>2.6824597822007652</v>
      </c>
      <c r="AB8" s="72">
        <f>IFERROR(IF(up_Bv!D8=0,".",((s_Ir*s_F*s_MLF_asparagus*(1-EXP(-up_RadSpec!BC8*s_t_b)))/(s_P*up_RadSpec!BC8))),".")</f>
        <v>2.6824597822007652</v>
      </c>
      <c r="AC8" s="72">
        <f>IFERROR(IF(up_Bv!E8=0,".",((s_Ir*s_F*s_MLF_beet*(1-EXP(-up_RadSpec!BC8*s_t_b)))/(s_P*up_RadSpec!BC8))),".")</f>
        <v>2.6824597822007652</v>
      </c>
      <c r="AD8" s="72">
        <f>IFERROR(IF(up_Bv!F8=0,".",((s_Ir*s_F*s_MLF_berries*(1-EXP(-up_RadSpec!BC8*s_t_b)))/(s_P*up_RadSpec!BC8))),".")</f>
        <v>2.6824597822007652</v>
      </c>
      <c r="AE8" s="72">
        <f>IFERROR(IF(up_Bv!G8=0,".",((s_Ir*s_F*s_MLF_broccoli*(1-EXP(-up_RadSpec!BC8*s_t_b)))/(s_P*up_RadSpec!BC8))),".")</f>
        <v>2.6824597822007652</v>
      </c>
      <c r="AF8" s="72">
        <f>IFERROR(IF(up_Bv!H8=0,".",((s_Ir*s_F*s_MLF_cabbage*(1-EXP(-up_RadSpec!BC8*s_t_b)))/(s_P*up_RadSpec!BC8))),".")</f>
        <v>2.6824597822007652</v>
      </c>
      <c r="AG8" s="72">
        <f>IFERROR(IF(up_Bv!I8=0,".",((s_Ir*s_F*s_MLF_carrot*(1-EXP(-up_RadSpec!BC8*s_t_b)))/(s_P*up_RadSpec!BC8))),".")</f>
        <v>2.6824597822007652</v>
      </c>
      <c r="AH8" s="72">
        <f>IFERROR(IF(up_Bv!J8=0,".",((s_Ir*s_F*s_MLF_citrus*(1-EXP(-up_RadSpec!BC8*s_t_b)))/(s_P*up_RadSpec!BC8))),".")</f>
        <v>2.6824597822007652</v>
      </c>
      <c r="AI8" s="72">
        <f>IFERROR(IF(up_Bv!K8=0,".",((s_Ir*s_F*s_MLF_corn*(1-EXP(-up_RadSpec!BC8*s_t_b)))/(s_P*up_RadSpec!BC8))),".")</f>
        <v>2.6824597822007652</v>
      </c>
      <c r="AJ8" s="72">
        <f>IFERROR(IF(up_Bv!L8=0,".",((s_Ir*s_F*s_MLF_cucumber*(1-EXP(-up_RadSpec!BC8*s_t_b)))/(s_P*up_RadSpec!BC8))),".")</f>
        <v>2.6824597822007652</v>
      </c>
      <c r="AK8" s="72">
        <f>IFERROR(IF(up_Bv!M8=0,".",((s_Ir*s_F*s_MLF_lettuce*(1-EXP(-up_RadSpec!BC8*s_t_b)))/(s_P*up_RadSpec!BC8))),".")</f>
        <v>2.6824597822007652</v>
      </c>
      <c r="AL8" s="72">
        <f>IFERROR(IF(up_Bv!N8=0,".",((s_Ir*s_F*s_MLF_lima_bean*(1-EXP(-up_RadSpec!BC8*s_t_b)))/(s_P*up_RadSpec!BC8))),".")</f>
        <v>2.6824597822007652</v>
      </c>
      <c r="AM8" s="72">
        <f>IFERROR(IF(up_Bv!O8=0,".",((s_Ir*s_F*s_MLF_okra*(1-EXP(-up_RadSpec!BC8*s_t_b)))/(s_P*up_RadSpec!BC8))),".")</f>
        <v>2.6824597822007652</v>
      </c>
      <c r="AN8" s="72">
        <f>IFERROR(IF(up_Bv!P8=0,".",((s_Ir*s_F*s_MLF_onion*(1-EXP(-up_RadSpec!BC8*s_t_b)))/(s_P*up_RadSpec!BC8))),".")</f>
        <v>2.6824597822007652</v>
      </c>
      <c r="AO8" s="72">
        <f>IFERROR(IF(up_Bv!Q8=0,".",((s_Ir*s_F*s_MLF_peach*(1-EXP(-up_RadSpec!BC8*s_t_b)))/(s_P*up_RadSpec!BC8))),".")</f>
        <v>2.6824597822007652</v>
      </c>
      <c r="AP8" s="72">
        <f>IFERROR(IF(up_Bv!R8=0,".",((s_Ir*s_F*s_MLF_pear*(1-EXP(-up_RadSpec!BC8*s_t_b)))/(s_P*up_RadSpec!BC8))),".")</f>
        <v>2.6824597822007652</v>
      </c>
      <c r="AQ8" s="72">
        <f>IFERROR(IF(up_Bv!S8=0,".",((s_Ir*s_F*s_MLF_peas*(1-EXP(-up_RadSpec!BC8*s_t_b)))/(s_P*up_RadSpec!BC8))),".")</f>
        <v>2.6824597822007652</v>
      </c>
      <c r="AR8" s="72">
        <f>IFERROR(IF(up_Bv!T8=0,".",((s_Ir*s_F*s_MLF_potato*(1-EXP(-up_RadSpec!BC8*s_t_b)))/(s_P*up_RadSpec!BC8))),".")</f>
        <v>2.6824597822007652</v>
      </c>
      <c r="AS8" s="72">
        <f>IFERROR(IF(up_Bv!U8=0,".",((s_Ir*s_F*s_MLF_pumpkin*(1-EXP(-up_RadSpec!BC8*s_t_b)))/(s_P*up_RadSpec!BC8))),".")</f>
        <v>2.6824597822007652</v>
      </c>
      <c r="AT8" s="72">
        <f>IFERROR(IF(up_Bv!V8=0,".",((s_Ir*s_F*s_MLF_snap_bean*(1-EXP(-up_RadSpec!BC8*s_t_b)))/(s_P*up_RadSpec!BC8))),".")</f>
        <v>2.6824597822007652</v>
      </c>
      <c r="AU8" s="72">
        <f>IFERROR(IF(up_Bv!W8=0,".",((s_Ir*s_F*s_MLF_strawberry*(1-EXP(-up_RadSpec!BC8*s_t_b)))/(s_P*up_RadSpec!BC8))),".")</f>
        <v>2.6824597822007652</v>
      </c>
      <c r="AV8" s="72">
        <f>IFERROR(IF(up_Bv!X8=0,".",((s_Ir*s_F*s_MLF_tomato*(1-EXP(-up_RadSpec!BC8*s_t_b)))/(s_P*up_RadSpec!BC8))),".")</f>
        <v>2.6824597822007652</v>
      </c>
      <c r="AW8" s="72">
        <f>IFERROR(IF(up_Bv!Y8=0,".",((s_Ir*s_F*s_MLF_rice*(1-EXP(-up_RadSpec!BC8*s_t_b)))/(s_P*up_RadSpec!BC8))),".")</f>
        <v>2.6824597822007652</v>
      </c>
      <c r="AX8" s="72">
        <f>IFERROR(IF(up_Bv!Z8=0,".",((s_Ir*s_F*s_MLF_cereal*(1-EXP(-up_RadSpec!BC8*s_t_b)))/(s_P*up_RadSpec!BC8))),".")</f>
        <v>2.6824597822007652</v>
      </c>
      <c r="AY8" s="72">
        <f>IFERROR(IF(up_Bv!C8=0,".",((s_Ir*s_F*s_I_f*s_T*(1-EXP(-up_RadSpec!BD8*s_t_v)))/(s_Y_v*up_RadSpec!BD8))),".")</f>
        <v>9.0143481925428208</v>
      </c>
      <c r="AZ8" s="72">
        <f>IFERROR(IF(up_Bv!D8=0,".",((s_Ir*s_F*s_I_f*s_T*(1-EXP(-up_RadSpec!BD8*s_t_v)))/(s_Y_v*up_RadSpec!BD8))),".")</f>
        <v>9.0143481925428208</v>
      </c>
      <c r="BA8" s="72">
        <f>IFERROR(IF(up_Bv!E8=0,".",((s_Ir*s_F*s_I_f*s_T*(1-EXP(-up_RadSpec!BD8*s_t_v)))/(s_Y_v*up_RadSpec!BD8))),".")</f>
        <v>9.0143481925428208</v>
      </c>
      <c r="BB8" s="72">
        <f>IFERROR(IF(up_Bv!F8=0,".",((s_Ir*s_F*s_I_f*s_T*(1-EXP(-up_RadSpec!BD8*s_t_v)))/(s_Y_v*up_RadSpec!BD8))),".")</f>
        <v>9.0143481925428208</v>
      </c>
      <c r="BC8" s="72">
        <f>IFERROR(IF(up_Bv!G8=0,".",((s_Ir*s_F*s_I_f*s_T*(1-EXP(-up_RadSpec!BD8*s_t_v)))/(s_Y_v*up_RadSpec!BD8))),".")</f>
        <v>9.0143481925428208</v>
      </c>
      <c r="BD8" s="72">
        <f>IFERROR(IF(up_Bv!H8=0,".",((s_Ir*s_F*s_I_f*s_T*(1-EXP(-up_RadSpec!BD8*s_t_v)))/(s_Y_v*up_RadSpec!BD8))),".")</f>
        <v>9.0143481925428208</v>
      </c>
      <c r="BE8" s="72">
        <f>IFERROR(IF(up_Bv!I8=0,".",((s_Ir*s_F*s_I_f*s_T*(1-EXP(-up_RadSpec!BD8*s_t_v)))/(s_Y_v*up_RadSpec!BD8))),".")</f>
        <v>9.0143481925428208</v>
      </c>
      <c r="BF8" s="72">
        <f>IFERROR(IF(up_Bv!J8=0,".",((s_Ir*s_F*s_I_f*s_T*(1-EXP(-up_RadSpec!BD8*s_t_v)))/(s_Y_v*up_RadSpec!BD8))),".")</f>
        <v>9.0143481925428208</v>
      </c>
      <c r="BG8" s="72">
        <f>IFERROR(IF(up_Bv!K8=0,".",((s_Ir*s_F*s_I_f*s_T*(1-EXP(-up_RadSpec!BD8*s_t_v)))/(s_Y_v*up_RadSpec!BD8))),".")</f>
        <v>9.0143481925428208</v>
      </c>
      <c r="BH8" s="72">
        <f>IFERROR(IF(up_Bv!L8=0,".",((s_Ir*s_F*s_I_f*s_T*(1-EXP(-up_RadSpec!BD8*s_t_v)))/(s_Y_v*up_RadSpec!BD8))),".")</f>
        <v>9.0143481925428208</v>
      </c>
      <c r="BI8" s="72">
        <f>IFERROR(IF(up_Bv!M8=0,".",((s_Ir*s_F*s_I_f*s_T*(1-EXP(-up_RadSpec!BD8*s_t_v)))/(s_Y_v*up_RadSpec!BD8))),".")</f>
        <v>9.0143481925428208</v>
      </c>
      <c r="BJ8" s="72">
        <f>IFERROR(IF(up_Bv!N8=0,".",((s_Ir*s_F*s_I_f*s_T*(1-EXP(-up_RadSpec!BD8*s_t_v)))/(s_Y_v*up_RadSpec!BD8))),".")</f>
        <v>9.0143481925428208</v>
      </c>
      <c r="BK8" s="72">
        <f>IFERROR(IF(up_Bv!O8=0,".",((s_Ir*s_F*s_I_f*s_T*(1-EXP(-up_RadSpec!BD8*s_t_v)))/(s_Y_v*up_RadSpec!BD8))),".")</f>
        <v>9.0143481925428208</v>
      </c>
      <c r="BL8" s="72">
        <f>IFERROR(IF(up_Bv!P8=0,".",((s_Ir*s_F*s_I_f*s_T*(1-EXP(-up_RadSpec!BD8*s_t_v)))/(s_Y_v*up_RadSpec!BD8))),".")</f>
        <v>9.0143481925428208</v>
      </c>
      <c r="BM8" s="72">
        <f>IFERROR(IF(up_Bv!Q8=0,".",((s_Ir*s_F*s_I_f*s_T*(1-EXP(-up_RadSpec!BD8*s_t_v)))/(s_Y_v*up_RadSpec!BD8))),".")</f>
        <v>9.0143481925428208</v>
      </c>
      <c r="BN8" s="72">
        <f>IFERROR(IF(up_Bv!R8=0,".",((s_Ir*s_F*s_I_f*s_T*(1-EXP(-up_RadSpec!BD8*s_t_v)))/(s_Y_v*up_RadSpec!BD8))),".")</f>
        <v>9.0143481925428208</v>
      </c>
      <c r="BO8" s="72">
        <f>IFERROR(IF(up_Bv!S8=0,".",((s_Ir*s_F*s_I_f*s_T*(1-EXP(-up_RadSpec!BD8*s_t_v)))/(s_Y_v*up_RadSpec!BD8))),".")</f>
        <v>9.0143481925428208</v>
      </c>
      <c r="BP8" s="72">
        <f>IFERROR(IF(up_Bv!T8=0,".",((s_Ir*s_F*s_I_f*s_T*(1-EXP(-up_RadSpec!BD8*s_t_v)))/(s_Y_v*up_RadSpec!BD8))),".")</f>
        <v>9.0143481925428208</v>
      </c>
      <c r="BQ8" s="72">
        <f>IFERROR(IF(up_Bv!U8=0,".",((s_Ir*s_F*s_I_f*s_T*(1-EXP(-up_RadSpec!BD8*s_t_v)))/(s_Y_v*up_RadSpec!BD8))),".")</f>
        <v>9.0143481925428208</v>
      </c>
      <c r="BR8" s="72">
        <f>IFERROR(IF(up_Bv!V8=0,".",((s_Ir*s_F*s_I_f*s_T*(1-EXP(-up_RadSpec!BD8*s_t_v)))/(s_Y_v*up_RadSpec!BD8))),".")</f>
        <v>9.0143481925428208</v>
      </c>
      <c r="BS8" s="72">
        <f>IFERROR(IF(up_Bv!W8=0,".",((s_Ir*s_F*s_I_f*s_T*(1-EXP(-up_RadSpec!BD8*s_t_v)))/(s_Y_v*up_RadSpec!BD8))),".")</f>
        <v>9.0143481925428208</v>
      </c>
      <c r="BT8" s="72">
        <f>IFERROR(IF(up_Bv!X8=0,".",((s_Ir*s_F*s_I_f*s_T*(1-EXP(-up_RadSpec!BD8*s_t_v)))/(s_Y_v*up_RadSpec!BD8))),".")</f>
        <v>9.0143481925428208</v>
      </c>
      <c r="BU8" s="72">
        <f>IFERROR(IF(up_Bv!Y8=0,".",((s_Ir*s_F*s_I_f*s_T*(1-EXP(-up_RadSpec!BD8*s_t_v)))/(s_Y_v*up_RadSpec!BD8))),".")</f>
        <v>9.0143481925428208</v>
      </c>
      <c r="BV8" s="72">
        <f>IFERROR(IF(up_Bv!Z8=0,".",((s_Ir*s_F*s_I_f*s_T*(1-EXP(-up_RadSpec!BD8*s_t_v)))/(s_Y_v*up_RadSpec!BD8))),".")</f>
        <v>9.0143481925428208</v>
      </c>
    </row>
    <row r="9" spans="1:74" x14ac:dyDescent="0.25">
      <c r="A9" s="31" t="s">
        <v>7</v>
      </c>
      <c r="B9" s="3" t="s">
        <v>1059</v>
      </c>
      <c r="C9" s="72">
        <f>IFERROR(IF(up_Bv!C9=0,".",((s_Ir*s_F*up_Bv!C9*(1-EXP(-up_RadSpec!$BC9*s_t_b)))/(s_P*up_RadSpec!$BC9))),".")</f>
        <v>993.50362303732038</v>
      </c>
      <c r="D9" s="72">
        <f>IFERROR(IF(up_Bv!D9=0,".",((s_Ir*s_F*up_Bv!D9*(1-EXP(-up_RadSpec!BC9*s_t_b)))/(s_P*up_RadSpec!BC9))),".")</f>
        <v>993.50362303732038</v>
      </c>
      <c r="E9" s="72">
        <f>IFERROR(IF(up_Bv!E9=0,".",((s_Ir*s_F*up_Bv!E9*(1-EXP(-up_RadSpec!BC9*s_t_b)))/(s_P*up_RadSpec!BC9))),".")</f>
        <v>993.50362303732038</v>
      </c>
      <c r="F9" s="72">
        <f>IFERROR(IF(up_Bv!F9=0,".",((s_Ir*s_F*up_Bv!F9*(1-EXP(-up_RadSpec!BC9*s_t_b)))/(s_P*up_RadSpec!BC9))),".")</f>
        <v>993.50362303732038</v>
      </c>
      <c r="G9" s="72">
        <f>IFERROR(IF(up_Bv!G9=0,".",((s_Ir*s_F*up_Bv!G9*(1-EXP(-up_RadSpec!BC9*s_t_b)))/(s_P*up_RadSpec!BC9))),".")</f>
        <v>993.50362303732038</v>
      </c>
      <c r="H9" s="72">
        <f>IFERROR(IF(up_Bv!H9=0,".",((s_Ir*s_F*up_Bv!H9*(1-EXP(-up_RadSpec!BC9*s_t_b)))/(s_P*up_RadSpec!BC9))),".")</f>
        <v>993.50362303732038</v>
      </c>
      <c r="I9" s="72">
        <f>IFERROR(IF(up_Bv!I9=0,".",((s_Ir*s_F*up_Bv!I9*(1-EXP(-up_RadSpec!BC9*s_t_b)))/(s_P*up_RadSpec!BC9))),".")</f>
        <v>993.50362303732038</v>
      </c>
      <c r="J9" s="72">
        <f>IFERROR(IF(up_Bv!J9=0,".",((s_Ir*s_F*up_Bv!J9*(1-EXP(-up_RadSpec!BC9*s_t_b)))/(s_P*up_RadSpec!BC9))),".")</f>
        <v>993.50362303732038</v>
      </c>
      <c r="K9" s="72">
        <f>IFERROR(IF(up_Bv!K9=0,".",((s_Ir*s_F*up_Bv!K9*(1-EXP(-up_RadSpec!BC9*s_t_b)))/(s_P*up_RadSpec!BC9))),".")</f>
        <v>993.50362303732038</v>
      </c>
      <c r="L9" s="72">
        <f>IFERROR(IF(up_Bv!L9=0,".",((s_Ir*s_F*up_Bv!L9*(1-EXP(-up_RadSpec!BC9*s_t_b)))/(s_P*up_RadSpec!BC9))),".")</f>
        <v>993.50362303732038</v>
      </c>
      <c r="M9" s="72">
        <f>IFERROR(IF(up_Bv!M9=0,".",((s_Ir*s_F*up_Bv!M9*(1-EXP(-up_RadSpec!BC9*s_t_b)))/(s_P*up_RadSpec!BC9))),".")</f>
        <v>993.50362303732038</v>
      </c>
      <c r="N9" s="72">
        <f>IFERROR(IF(up_Bv!N9=0,".",((s_Ir*s_F*up_Bv!N9*(1-EXP(-up_RadSpec!BC9*s_t_b)))/(s_P*up_RadSpec!BC9))),".")</f>
        <v>993.50362303732038</v>
      </c>
      <c r="O9" s="72">
        <f>IFERROR(IF(up_Bv!O9=0,".",((s_Ir*s_F*up_Bv!O9*(1-EXP(-up_RadSpec!BC9*s_t_b)))/(s_P*up_RadSpec!BC9))),".")</f>
        <v>993.50362303732038</v>
      </c>
      <c r="P9" s="72">
        <f>IFERROR(IF(up_Bv!P9=0,".",((s_Ir*s_F*up_Bv!P9*(1-EXP(-up_RadSpec!BC9*s_t_b)))/(s_P*up_RadSpec!BC9))),".")</f>
        <v>993.50362303732038</v>
      </c>
      <c r="Q9" s="72">
        <f>IFERROR(IF(up_Bv!Q9=0,".",((s_Ir*s_F*up_Bv!Q9*(1-EXP(-up_RadSpec!BC9*s_t_b)))/(s_P*up_RadSpec!BC9))),".")</f>
        <v>993.50362303732038</v>
      </c>
      <c r="R9" s="72">
        <f>IFERROR(IF(up_Bv!R9=0,".",((s_Ir*s_F*up_Bv!R9*(1-EXP(-up_RadSpec!BC9*s_t_b)))/(s_P*up_RadSpec!BC9))),".")</f>
        <v>993.50362303732038</v>
      </c>
      <c r="S9" s="72">
        <f>IFERROR(IF(up_Bv!S9=0,".",((s_Ir*s_F*up_Bv!S9*(1-EXP(-up_RadSpec!BC9*s_t_b)))/(s_P*up_RadSpec!BC9))),".")</f>
        <v>993.50362303732038</v>
      </c>
      <c r="T9" s="72">
        <f>IFERROR(IF(up_Bv!T9=0,".",((s_Ir*s_F*up_Bv!T9*(1-EXP(-up_RadSpec!BC9*s_t_b)))/(s_P*up_RadSpec!BC9))),".")</f>
        <v>993.50362303732038</v>
      </c>
      <c r="U9" s="72">
        <f>IFERROR(IF(up_Bv!U9=0,".",((s_Ir*s_F*up_Bv!U9*(1-EXP(-up_RadSpec!BC9*s_t_b)))/(s_P*up_RadSpec!BC9))),".")</f>
        <v>993.50362303732038</v>
      </c>
      <c r="V9" s="72">
        <f>IFERROR(IF(up_Bv!V9=0,".",((s_Ir*s_F*up_Bv!V9*(1-EXP(-up_RadSpec!BC9*s_t_b)))/(s_P*up_RadSpec!BC9))),".")</f>
        <v>993.50362303732038</v>
      </c>
      <c r="W9" s="72">
        <f>IFERROR(IF(up_Bv!W9=0,".",((s_Ir*s_F*up_Bv!W9*(1-EXP(-up_RadSpec!BC9*s_t_b)))/(s_P*up_RadSpec!BC9))),".")</f>
        <v>993.50362303732038</v>
      </c>
      <c r="X9" s="72">
        <f>IFERROR(IF(up_Bv!X9=0,".",((s_Ir*s_F*up_Bv!X9*(1-EXP(-up_RadSpec!BC9*s_t_b)))/(s_P*up_RadSpec!BC9))),".")</f>
        <v>993.50362303732038</v>
      </c>
      <c r="Y9" s="72">
        <f>IFERROR(IF(up_Bv!Y9=0,".",((s_Ir*s_F*up_Bv!Y9*(1-EXP(-up_RadSpec!BC9*s_t_b)))/(s_P*up_RadSpec!BC9))),".")</f>
        <v>993.50362303732038</v>
      </c>
      <c r="Z9" s="72">
        <f>IFERROR(IF(up_Bv!Z9=0,".",((s_Ir*s_F*up_Bv!Z9*(1-EXP(-up_RadSpec!BC9*s_t_b)))/(s_P*up_RadSpec!BC9))),".")</f>
        <v>993.50362303732038</v>
      </c>
      <c r="AA9" s="72">
        <f>IFERROR(IF(up_Bv!C9=0,".",((s_Ir*s_F*s_MLF_apple*(1-EXP(-up_RadSpec!BC9*s_t_b)))/(s_P*up_RadSpec!BC9))),".")</f>
        <v>2.6824597822007652</v>
      </c>
      <c r="AB9" s="72">
        <f>IFERROR(IF(up_Bv!D9=0,".",((s_Ir*s_F*s_MLF_asparagus*(1-EXP(-up_RadSpec!BC9*s_t_b)))/(s_P*up_RadSpec!BC9))),".")</f>
        <v>2.6824597822007652</v>
      </c>
      <c r="AC9" s="72">
        <f>IFERROR(IF(up_Bv!E9=0,".",((s_Ir*s_F*s_MLF_beet*(1-EXP(-up_RadSpec!BC9*s_t_b)))/(s_P*up_RadSpec!BC9))),".")</f>
        <v>2.6824597822007652</v>
      </c>
      <c r="AD9" s="72">
        <f>IFERROR(IF(up_Bv!F9=0,".",((s_Ir*s_F*s_MLF_berries*(1-EXP(-up_RadSpec!BC9*s_t_b)))/(s_P*up_RadSpec!BC9))),".")</f>
        <v>2.6824597822007652</v>
      </c>
      <c r="AE9" s="72">
        <f>IFERROR(IF(up_Bv!G9=0,".",((s_Ir*s_F*s_MLF_broccoli*(1-EXP(-up_RadSpec!BC9*s_t_b)))/(s_P*up_RadSpec!BC9))),".")</f>
        <v>2.6824597822007652</v>
      </c>
      <c r="AF9" s="72">
        <f>IFERROR(IF(up_Bv!H9=0,".",((s_Ir*s_F*s_MLF_cabbage*(1-EXP(-up_RadSpec!BC9*s_t_b)))/(s_P*up_RadSpec!BC9))),".")</f>
        <v>2.6824597822007652</v>
      </c>
      <c r="AG9" s="72">
        <f>IFERROR(IF(up_Bv!I9=0,".",((s_Ir*s_F*s_MLF_carrot*(1-EXP(-up_RadSpec!BC9*s_t_b)))/(s_P*up_RadSpec!BC9))),".")</f>
        <v>2.6824597822007652</v>
      </c>
      <c r="AH9" s="72">
        <f>IFERROR(IF(up_Bv!J9=0,".",((s_Ir*s_F*s_MLF_citrus*(1-EXP(-up_RadSpec!BC9*s_t_b)))/(s_P*up_RadSpec!BC9))),".")</f>
        <v>2.6824597822007652</v>
      </c>
      <c r="AI9" s="72">
        <f>IFERROR(IF(up_Bv!K9=0,".",((s_Ir*s_F*s_MLF_corn*(1-EXP(-up_RadSpec!BC9*s_t_b)))/(s_P*up_RadSpec!BC9))),".")</f>
        <v>2.6824597822007652</v>
      </c>
      <c r="AJ9" s="72">
        <f>IFERROR(IF(up_Bv!L9=0,".",((s_Ir*s_F*s_MLF_cucumber*(1-EXP(-up_RadSpec!BC9*s_t_b)))/(s_P*up_RadSpec!BC9))),".")</f>
        <v>2.6824597822007652</v>
      </c>
      <c r="AK9" s="72">
        <f>IFERROR(IF(up_Bv!M9=0,".",((s_Ir*s_F*s_MLF_lettuce*(1-EXP(-up_RadSpec!BC9*s_t_b)))/(s_P*up_RadSpec!BC9))),".")</f>
        <v>2.6824597822007652</v>
      </c>
      <c r="AL9" s="72">
        <f>IFERROR(IF(up_Bv!N9=0,".",((s_Ir*s_F*s_MLF_lima_bean*(1-EXP(-up_RadSpec!BC9*s_t_b)))/(s_P*up_RadSpec!BC9))),".")</f>
        <v>2.6824597822007652</v>
      </c>
      <c r="AM9" s="72">
        <f>IFERROR(IF(up_Bv!O9=0,".",((s_Ir*s_F*s_MLF_okra*(1-EXP(-up_RadSpec!BC9*s_t_b)))/(s_P*up_RadSpec!BC9))),".")</f>
        <v>2.6824597822007652</v>
      </c>
      <c r="AN9" s="72">
        <f>IFERROR(IF(up_Bv!P9=0,".",((s_Ir*s_F*s_MLF_onion*(1-EXP(-up_RadSpec!BC9*s_t_b)))/(s_P*up_RadSpec!BC9))),".")</f>
        <v>2.6824597822007652</v>
      </c>
      <c r="AO9" s="72">
        <f>IFERROR(IF(up_Bv!Q9=0,".",((s_Ir*s_F*s_MLF_peach*(1-EXP(-up_RadSpec!BC9*s_t_b)))/(s_P*up_RadSpec!BC9))),".")</f>
        <v>2.6824597822007652</v>
      </c>
      <c r="AP9" s="72">
        <f>IFERROR(IF(up_Bv!R9=0,".",((s_Ir*s_F*s_MLF_pear*(1-EXP(-up_RadSpec!BC9*s_t_b)))/(s_P*up_RadSpec!BC9))),".")</f>
        <v>2.6824597822007652</v>
      </c>
      <c r="AQ9" s="72">
        <f>IFERROR(IF(up_Bv!S9=0,".",((s_Ir*s_F*s_MLF_peas*(1-EXP(-up_RadSpec!BC9*s_t_b)))/(s_P*up_RadSpec!BC9))),".")</f>
        <v>2.6824597822007652</v>
      </c>
      <c r="AR9" s="72">
        <f>IFERROR(IF(up_Bv!T9=0,".",((s_Ir*s_F*s_MLF_potato*(1-EXP(-up_RadSpec!BC9*s_t_b)))/(s_P*up_RadSpec!BC9))),".")</f>
        <v>2.6824597822007652</v>
      </c>
      <c r="AS9" s="72">
        <f>IFERROR(IF(up_Bv!U9=0,".",((s_Ir*s_F*s_MLF_pumpkin*(1-EXP(-up_RadSpec!BC9*s_t_b)))/(s_P*up_RadSpec!BC9))),".")</f>
        <v>2.6824597822007652</v>
      </c>
      <c r="AT9" s="72">
        <f>IFERROR(IF(up_Bv!V9=0,".",((s_Ir*s_F*s_MLF_snap_bean*(1-EXP(-up_RadSpec!BC9*s_t_b)))/(s_P*up_RadSpec!BC9))),".")</f>
        <v>2.6824597822007652</v>
      </c>
      <c r="AU9" s="72">
        <f>IFERROR(IF(up_Bv!W9=0,".",((s_Ir*s_F*s_MLF_strawberry*(1-EXP(-up_RadSpec!BC9*s_t_b)))/(s_P*up_RadSpec!BC9))),".")</f>
        <v>2.6824597822007652</v>
      </c>
      <c r="AV9" s="72">
        <f>IFERROR(IF(up_Bv!X9=0,".",((s_Ir*s_F*s_MLF_tomato*(1-EXP(-up_RadSpec!BC9*s_t_b)))/(s_P*up_RadSpec!BC9))),".")</f>
        <v>2.6824597822007652</v>
      </c>
      <c r="AW9" s="72">
        <f>IFERROR(IF(up_Bv!Y9=0,".",((s_Ir*s_F*s_MLF_rice*(1-EXP(-up_RadSpec!BC9*s_t_b)))/(s_P*up_RadSpec!BC9))),".")</f>
        <v>2.6824597822007652</v>
      </c>
      <c r="AX9" s="72">
        <f>IFERROR(IF(up_Bv!Z9=0,".",((s_Ir*s_F*s_MLF_cereal*(1-EXP(-up_RadSpec!BC9*s_t_b)))/(s_P*up_RadSpec!BC9))),".")</f>
        <v>2.6824597822007652</v>
      </c>
      <c r="AY9" s="72">
        <f>IFERROR(IF(up_Bv!C9=0,".",((s_Ir*s_F*s_I_f*s_T*(1-EXP(-up_RadSpec!BD9*s_t_v)))/(s_Y_v*up_RadSpec!BD9))),".")</f>
        <v>9.0143481925428208</v>
      </c>
      <c r="AZ9" s="72">
        <f>IFERROR(IF(up_Bv!D9=0,".",((s_Ir*s_F*s_I_f*s_T*(1-EXP(-up_RadSpec!BD9*s_t_v)))/(s_Y_v*up_RadSpec!BD9))),".")</f>
        <v>9.0143481925428208</v>
      </c>
      <c r="BA9" s="72">
        <f>IFERROR(IF(up_Bv!E9=0,".",((s_Ir*s_F*s_I_f*s_T*(1-EXP(-up_RadSpec!BD9*s_t_v)))/(s_Y_v*up_RadSpec!BD9))),".")</f>
        <v>9.0143481925428208</v>
      </c>
      <c r="BB9" s="72">
        <f>IFERROR(IF(up_Bv!F9=0,".",((s_Ir*s_F*s_I_f*s_T*(1-EXP(-up_RadSpec!BD9*s_t_v)))/(s_Y_v*up_RadSpec!BD9))),".")</f>
        <v>9.0143481925428208</v>
      </c>
      <c r="BC9" s="72">
        <f>IFERROR(IF(up_Bv!G9=0,".",((s_Ir*s_F*s_I_f*s_T*(1-EXP(-up_RadSpec!BD9*s_t_v)))/(s_Y_v*up_RadSpec!BD9))),".")</f>
        <v>9.0143481925428208</v>
      </c>
      <c r="BD9" s="72">
        <f>IFERROR(IF(up_Bv!H9=0,".",((s_Ir*s_F*s_I_f*s_T*(1-EXP(-up_RadSpec!BD9*s_t_v)))/(s_Y_v*up_RadSpec!BD9))),".")</f>
        <v>9.0143481925428208</v>
      </c>
      <c r="BE9" s="72">
        <f>IFERROR(IF(up_Bv!I9=0,".",((s_Ir*s_F*s_I_f*s_T*(1-EXP(-up_RadSpec!BD9*s_t_v)))/(s_Y_v*up_RadSpec!BD9))),".")</f>
        <v>9.0143481925428208</v>
      </c>
      <c r="BF9" s="72">
        <f>IFERROR(IF(up_Bv!J9=0,".",((s_Ir*s_F*s_I_f*s_T*(1-EXP(-up_RadSpec!BD9*s_t_v)))/(s_Y_v*up_RadSpec!BD9))),".")</f>
        <v>9.0143481925428208</v>
      </c>
      <c r="BG9" s="72">
        <f>IFERROR(IF(up_Bv!K9=0,".",((s_Ir*s_F*s_I_f*s_T*(1-EXP(-up_RadSpec!BD9*s_t_v)))/(s_Y_v*up_RadSpec!BD9))),".")</f>
        <v>9.0143481925428208</v>
      </c>
      <c r="BH9" s="72">
        <f>IFERROR(IF(up_Bv!L9=0,".",((s_Ir*s_F*s_I_f*s_T*(1-EXP(-up_RadSpec!BD9*s_t_v)))/(s_Y_v*up_RadSpec!BD9))),".")</f>
        <v>9.0143481925428208</v>
      </c>
      <c r="BI9" s="72">
        <f>IFERROR(IF(up_Bv!M9=0,".",((s_Ir*s_F*s_I_f*s_T*(1-EXP(-up_RadSpec!BD9*s_t_v)))/(s_Y_v*up_RadSpec!BD9))),".")</f>
        <v>9.0143481925428208</v>
      </c>
      <c r="BJ9" s="72">
        <f>IFERROR(IF(up_Bv!N9=0,".",((s_Ir*s_F*s_I_f*s_T*(1-EXP(-up_RadSpec!BD9*s_t_v)))/(s_Y_v*up_RadSpec!BD9))),".")</f>
        <v>9.0143481925428208</v>
      </c>
      <c r="BK9" s="72">
        <f>IFERROR(IF(up_Bv!O9=0,".",((s_Ir*s_F*s_I_f*s_T*(1-EXP(-up_RadSpec!BD9*s_t_v)))/(s_Y_v*up_RadSpec!BD9))),".")</f>
        <v>9.0143481925428208</v>
      </c>
      <c r="BL9" s="72">
        <f>IFERROR(IF(up_Bv!P9=0,".",((s_Ir*s_F*s_I_f*s_T*(1-EXP(-up_RadSpec!BD9*s_t_v)))/(s_Y_v*up_RadSpec!BD9))),".")</f>
        <v>9.0143481925428208</v>
      </c>
      <c r="BM9" s="72">
        <f>IFERROR(IF(up_Bv!Q9=0,".",((s_Ir*s_F*s_I_f*s_T*(1-EXP(-up_RadSpec!BD9*s_t_v)))/(s_Y_v*up_RadSpec!BD9))),".")</f>
        <v>9.0143481925428208</v>
      </c>
      <c r="BN9" s="72">
        <f>IFERROR(IF(up_Bv!R9=0,".",((s_Ir*s_F*s_I_f*s_T*(1-EXP(-up_RadSpec!BD9*s_t_v)))/(s_Y_v*up_RadSpec!BD9))),".")</f>
        <v>9.0143481925428208</v>
      </c>
      <c r="BO9" s="72">
        <f>IFERROR(IF(up_Bv!S9=0,".",((s_Ir*s_F*s_I_f*s_T*(1-EXP(-up_RadSpec!BD9*s_t_v)))/(s_Y_v*up_RadSpec!BD9))),".")</f>
        <v>9.0143481925428208</v>
      </c>
      <c r="BP9" s="72">
        <f>IFERROR(IF(up_Bv!T9=0,".",((s_Ir*s_F*s_I_f*s_T*(1-EXP(-up_RadSpec!BD9*s_t_v)))/(s_Y_v*up_RadSpec!BD9))),".")</f>
        <v>9.0143481925428208</v>
      </c>
      <c r="BQ9" s="72">
        <f>IFERROR(IF(up_Bv!U9=0,".",((s_Ir*s_F*s_I_f*s_T*(1-EXP(-up_RadSpec!BD9*s_t_v)))/(s_Y_v*up_RadSpec!BD9))),".")</f>
        <v>9.0143481925428208</v>
      </c>
      <c r="BR9" s="72">
        <f>IFERROR(IF(up_Bv!V9=0,".",((s_Ir*s_F*s_I_f*s_T*(1-EXP(-up_RadSpec!BD9*s_t_v)))/(s_Y_v*up_RadSpec!BD9))),".")</f>
        <v>9.0143481925428208</v>
      </c>
      <c r="BS9" s="72">
        <f>IFERROR(IF(up_Bv!W9=0,".",((s_Ir*s_F*s_I_f*s_T*(1-EXP(-up_RadSpec!BD9*s_t_v)))/(s_Y_v*up_RadSpec!BD9))),".")</f>
        <v>9.0143481925428208</v>
      </c>
      <c r="BT9" s="72">
        <f>IFERROR(IF(up_Bv!X9=0,".",((s_Ir*s_F*s_I_f*s_T*(1-EXP(-up_RadSpec!BD9*s_t_v)))/(s_Y_v*up_RadSpec!BD9))),".")</f>
        <v>9.0143481925428208</v>
      </c>
      <c r="BU9" s="72">
        <f>IFERROR(IF(up_Bv!Y9=0,".",((s_Ir*s_F*s_I_f*s_T*(1-EXP(-up_RadSpec!BD9*s_t_v)))/(s_Y_v*up_RadSpec!BD9))),".")</f>
        <v>9.0143481925428208</v>
      </c>
      <c r="BV9" s="72">
        <f>IFERROR(IF(up_Bv!Z9=0,".",((s_Ir*s_F*s_I_f*s_T*(1-EXP(-up_RadSpec!BD9*s_t_v)))/(s_Y_v*up_RadSpec!BD9))),".")</f>
        <v>9.0143481925428208</v>
      </c>
    </row>
    <row r="10" spans="1:74" x14ac:dyDescent="0.25">
      <c r="A10" s="32" t="s">
        <v>8</v>
      </c>
      <c r="B10" s="3" t="s">
        <v>336</v>
      </c>
      <c r="C10" s="72">
        <f>IFERROR(IF(up_Bv!C10=0,".",((s_Ir*s_F*up_Bv!C10*(1-EXP(-up_RadSpec!$BC10*s_t_b)))/(s_P*up_RadSpec!$BC10))),".")</f>
        <v>993.50362303732038</v>
      </c>
      <c r="D10" s="72">
        <f>IFERROR(IF(up_Bv!D10=0,".",((s_Ir*s_F*up_Bv!D10*(1-EXP(-up_RadSpec!BC10*s_t_b)))/(s_P*up_RadSpec!BC10))),".")</f>
        <v>993.50362303732038</v>
      </c>
      <c r="E10" s="72">
        <f>IFERROR(IF(up_Bv!E10=0,".",((s_Ir*s_F*up_Bv!E10*(1-EXP(-up_RadSpec!BC10*s_t_b)))/(s_P*up_RadSpec!BC10))),".")</f>
        <v>993.50362303732038</v>
      </c>
      <c r="F10" s="72">
        <f>IFERROR(IF(up_Bv!F10=0,".",((s_Ir*s_F*up_Bv!F10*(1-EXP(-up_RadSpec!BC10*s_t_b)))/(s_P*up_RadSpec!BC10))),".")</f>
        <v>993.50362303732038</v>
      </c>
      <c r="G10" s="72">
        <f>IFERROR(IF(up_Bv!G10=0,".",((s_Ir*s_F*up_Bv!G10*(1-EXP(-up_RadSpec!BC10*s_t_b)))/(s_P*up_RadSpec!BC10))),".")</f>
        <v>993.50362303732038</v>
      </c>
      <c r="H10" s="72">
        <f>IFERROR(IF(up_Bv!H10=0,".",((s_Ir*s_F*up_Bv!H10*(1-EXP(-up_RadSpec!BC10*s_t_b)))/(s_P*up_RadSpec!BC10))),".")</f>
        <v>993.50362303732038</v>
      </c>
      <c r="I10" s="72">
        <f>IFERROR(IF(up_Bv!I10=0,".",((s_Ir*s_F*up_Bv!I10*(1-EXP(-up_RadSpec!BC10*s_t_b)))/(s_P*up_RadSpec!BC10))),".")</f>
        <v>993.50362303732038</v>
      </c>
      <c r="J10" s="72">
        <f>IFERROR(IF(up_Bv!J10=0,".",((s_Ir*s_F*up_Bv!J10*(1-EXP(-up_RadSpec!BC10*s_t_b)))/(s_P*up_RadSpec!BC10))),".")</f>
        <v>993.50362303732038</v>
      </c>
      <c r="K10" s="72">
        <f>IFERROR(IF(up_Bv!K10=0,".",((s_Ir*s_F*up_Bv!K10*(1-EXP(-up_RadSpec!BC10*s_t_b)))/(s_P*up_RadSpec!BC10))),".")</f>
        <v>993.50362303732038</v>
      </c>
      <c r="L10" s="72">
        <f>IFERROR(IF(up_Bv!L10=0,".",((s_Ir*s_F*up_Bv!L10*(1-EXP(-up_RadSpec!BC10*s_t_b)))/(s_P*up_RadSpec!BC10))),".")</f>
        <v>993.50362303732038</v>
      </c>
      <c r="M10" s="72">
        <f>IFERROR(IF(up_Bv!M10=0,".",((s_Ir*s_F*up_Bv!M10*(1-EXP(-up_RadSpec!BC10*s_t_b)))/(s_P*up_RadSpec!BC10))),".")</f>
        <v>993.50362303732038</v>
      </c>
      <c r="N10" s="72">
        <f>IFERROR(IF(up_Bv!N10=0,".",((s_Ir*s_F*up_Bv!N10*(1-EXP(-up_RadSpec!BC10*s_t_b)))/(s_P*up_RadSpec!BC10))),".")</f>
        <v>993.50362303732038</v>
      </c>
      <c r="O10" s="72">
        <f>IFERROR(IF(up_Bv!O10=0,".",((s_Ir*s_F*up_Bv!O10*(1-EXP(-up_RadSpec!BC10*s_t_b)))/(s_P*up_RadSpec!BC10))),".")</f>
        <v>993.50362303732038</v>
      </c>
      <c r="P10" s="72">
        <f>IFERROR(IF(up_Bv!P10=0,".",((s_Ir*s_F*up_Bv!P10*(1-EXP(-up_RadSpec!BC10*s_t_b)))/(s_P*up_RadSpec!BC10))),".")</f>
        <v>993.50362303732038</v>
      </c>
      <c r="Q10" s="72">
        <f>IFERROR(IF(up_Bv!Q10=0,".",((s_Ir*s_F*up_Bv!Q10*(1-EXP(-up_RadSpec!BC10*s_t_b)))/(s_P*up_RadSpec!BC10))),".")</f>
        <v>993.50362303732038</v>
      </c>
      <c r="R10" s="72">
        <f>IFERROR(IF(up_Bv!R10=0,".",((s_Ir*s_F*up_Bv!R10*(1-EXP(-up_RadSpec!BC10*s_t_b)))/(s_P*up_RadSpec!BC10))),".")</f>
        <v>993.50362303732038</v>
      </c>
      <c r="S10" s="72">
        <f>IFERROR(IF(up_Bv!S10=0,".",((s_Ir*s_F*up_Bv!S10*(1-EXP(-up_RadSpec!BC10*s_t_b)))/(s_P*up_RadSpec!BC10))),".")</f>
        <v>993.50362303732038</v>
      </c>
      <c r="T10" s="72">
        <f>IFERROR(IF(up_Bv!T10=0,".",((s_Ir*s_F*up_Bv!T10*(1-EXP(-up_RadSpec!BC10*s_t_b)))/(s_P*up_RadSpec!BC10))),".")</f>
        <v>993.50362303732038</v>
      </c>
      <c r="U10" s="72">
        <f>IFERROR(IF(up_Bv!U10=0,".",((s_Ir*s_F*up_Bv!U10*(1-EXP(-up_RadSpec!BC10*s_t_b)))/(s_P*up_RadSpec!BC10))),".")</f>
        <v>993.50362303732038</v>
      </c>
      <c r="V10" s="72">
        <f>IFERROR(IF(up_Bv!V10=0,".",((s_Ir*s_F*up_Bv!V10*(1-EXP(-up_RadSpec!BC10*s_t_b)))/(s_P*up_RadSpec!BC10))),".")</f>
        <v>993.50362303732038</v>
      </c>
      <c r="W10" s="72">
        <f>IFERROR(IF(up_Bv!W10=0,".",((s_Ir*s_F*up_Bv!W10*(1-EXP(-up_RadSpec!BC10*s_t_b)))/(s_P*up_RadSpec!BC10))),".")</f>
        <v>993.50362303732038</v>
      </c>
      <c r="X10" s="72">
        <f>IFERROR(IF(up_Bv!X10=0,".",((s_Ir*s_F*up_Bv!X10*(1-EXP(-up_RadSpec!BC10*s_t_b)))/(s_P*up_RadSpec!BC10))),".")</f>
        <v>993.50362303732038</v>
      </c>
      <c r="Y10" s="72">
        <f>IFERROR(IF(up_Bv!Y10=0,".",((s_Ir*s_F*up_Bv!Y10*(1-EXP(-up_RadSpec!BC10*s_t_b)))/(s_P*up_RadSpec!BC10))),".")</f>
        <v>993.50362303732038</v>
      </c>
      <c r="Z10" s="72">
        <f>IFERROR(IF(up_Bv!Z10=0,".",((s_Ir*s_F*up_Bv!Z10*(1-EXP(-up_RadSpec!BC10*s_t_b)))/(s_P*up_RadSpec!BC10))),".")</f>
        <v>993.50362303732038</v>
      </c>
      <c r="AA10" s="72">
        <f>IFERROR(IF(up_Bv!C10=0,".",((s_Ir*s_F*s_MLF_apple*(1-EXP(-up_RadSpec!BC10*s_t_b)))/(s_P*up_RadSpec!BC10))),".")</f>
        <v>2.6824597822007652</v>
      </c>
      <c r="AB10" s="72">
        <f>IFERROR(IF(up_Bv!D10=0,".",((s_Ir*s_F*s_MLF_asparagus*(1-EXP(-up_RadSpec!BC10*s_t_b)))/(s_P*up_RadSpec!BC10))),".")</f>
        <v>2.6824597822007652</v>
      </c>
      <c r="AC10" s="72">
        <f>IFERROR(IF(up_Bv!E10=0,".",((s_Ir*s_F*s_MLF_beet*(1-EXP(-up_RadSpec!BC10*s_t_b)))/(s_P*up_RadSpec!BC10))),".")</f>
        <v>2.6824597822007652</v>
      </c>
      <c r="AD10" s="72">
        <f>IFERROR(IF(up_Bv!F10=0,".",((s_Ir*s_F*s_MLF_berries*(1-EXP(-up_RadSpec!BC10*s_t_b)))/(s_P*up_RadSpec!BC10))),".")</f>
        <v>2.6824597822007652</v>
      </c>
      <c r="AE10" s="72">
        <f>IFERROR(IF(up_Bv!G10=0,".",((s_Ir*s_F*s_MLF_broccoli*(1-EXP(-up_RadSpec!BC10*s_t_b)))/(s_P*up_RadSpec!BC10))),".")</f>
        <v>2.6824597822007652</v>
      </c>
      <c r="AF10" s="72">
        <f>IFERROR(IF(up_Bv!H10=0,".",((s_Ir*s_F*s_MLF_cabbage*(1-EXP(-up_RadSpec!BC10*s_t_b)))/(s_P*up_RadSpec!BC10))),".")</f>
        <v>2.6824597822007652</v>
      </c>
      <c r="AG10" s="72">
        <f>IFERROR(IF(up_Bv!I10=0,".",((s_Ir*s_F*s_MLF_carrot*(1-EXP(-up_RadSpec!BC10*s_t_b)))/(s_P*up_RadSpec!BC10))),".")</f>
        <v>2.6824597822007652</v>
      </c>
      <c r="AH10" s="72">
        <f>IFERROR(IF(up_Bv!J10=0,".",((s_Ir*s_F*s_MLF_citrus*(1-EXP(-up_RadSpec!BC10*s_t_b)))/(s_P*up_RadSpec!BC10))),".")</f>
        <v>2.6824597822007652</v>
      </c>
      <c r="AI10" s="72">
        <f>IFERROR(IF(up_Bv!K10=0,".",((s_Ir*s_F*s_MLF_corn*(1-EXP(-up_RadSpec!BC10*s_t_b)))/(s_P*up_RadSpec!BC10))),".")</f>
        <v>2.6824597822007652</v>
      </c>
      <c r="AJ10" s="72">
        <f>IFERROR(IF(up_Bv!L10=0,".",((s_Ir*s_F*s_MLF_cucumber*(1-EXP(-up_RadSpec!BC10*s_t_b)))/(s_P*up_RadSpec!BC10))),".")</f>
        <v>2.6824597822007652</v>
      </c>
      <c r="AK10" s="72">
        <f>IFERROR(IF(up_Bv!M10=0,".",((s_Ir*s_F*s_MLF_lettuce*(1-EXP(-up_RadSpec!BC10*s_t_b)))/(s_P*up_RadSpec!BC10))),".")</f>
        <v>2.6824597822007652</v>
      </c>
      <c r="AL10" s="72">
        <f>IFERROR(IF(up_Bv!N10=0,".",((s_Ir*s_F*s_MLF_lima_bean*(1-EXP(-up_RadSpec!BC10*s_t_b)))/(s_P*up_RadSpec!BC10))),".")</f>
        <v>2.6824597822007652</v>
      </c>
      <c r="AM10" s="72">
        <f>IFERROR(IF(up_Bv!O10=0,".",((s_Ir*s_F*s_MLF_okra*(1-EXP(-up_RadSpec!BC10*s_t_b)))/(s_P*up_RadSpec!BC10))),".")</f>
        <v>2.6824597822007652</v>
      </c>
      <c r="AN10" s="72">
        <f>IFERROR(IF(up_Bv!P10=0,".",((s_Ir*s_F*s_MLF_onion*(1-EXP(-up_RadSpec!BC10*s_t_b)))/(s_P*up_RadSpec!BC10))),".")</f>
        <v>2.6824597822007652</v>
      </c>
      <c r="AO10" s="72">
        <f>IFERROR(IF(up_Bv!Q10=0,".",((s_Ir*s_F*s_MLF_peach*(1-EXP(-up_RadSpec!BC10*s_t_b)))/(s_P*up_RadSpec!BC10))),".")</f>
        <v>2.6824597822007652</v>
      </c>
      <c r="AP10" s="72">
        <f>IFERROR(IF(up_Bv!R10=0,".",((s_Ir*s_F*s_MLF_pear*(1-EXP(-up_RadSpec!BC10*s_t_b)))/(s_P*up_RadSpec!BC10))),".")</f>
        <v>2.6824597822007652</v>
      </c>
      <c r="AQ10" s="72">
        <f>IFERROR(IF(up_Bv!S10=0,".",((s_Ir*s_F*s_MLF_peas*(1-EXP(-up_RadSpec!BC10*s_t_b)))/(s_P*up_RadSpec!BC10))),".")</f>
        <v>2.6824597822007652</v>
      </c>
      <c r="AR10" s="72">
        <f>IFERROR(IF(up_Bv!T10=0,".",((s_Ir*s_F*s_MLF_potato*(1-EXP(-up_RadSpec!BC10*s_t_b)))/(s_P*up_RadSpec!BC10))),".")</f>
        <v>2.6824597822007652</v>
      </c>
      <c r="AS10" s="72">
        <f>IFERROR(IF(up_Bv!U10=0,".",((s_Ir*s_F*s_MLF_pumpkin*(1-EXP(-up_RadSpec!BC10*s_t_b)))/(s_P*up_RadSpec!BC10))),".")</f>
        <v>2.6824597822007652</v>
      </c>
      <c r="AT10" s="72">
        <f>IFERROR(IF(up_Bv!V10=0,".",((s_Ir*s_F*s_MLF_snap_bean*(1-EXP(-up_RadSpec!BC10*s_t_b)))/(s_P*up_RadSpec!BC10))),".")</f>
        <v>2.6824597822007652</v>
      </c>
      <c r="AU10" s="72">
        <f>IFERROR(IF(up_Bv!W10=0,".",((s_Ir*s_F*s_MLF_strawberry*(1-EXP(-up_RadSpec!BC10*s_t_b)))/(s_P*up_RadSpec!BC10))),".")</f>
        <v>2.6824597822007652</v>
      </c>
      <c r="AV10" s="72">
        <f>IFERROR(IF(up_Bv!X10=0,".",((s_Ir*s_F*s_MLF_tomato*(1-EXP(-up_RadSpec!BC10*s_t_b)))/(s_P*up_RadSpec!BC10))),".")</f>
        <v>2.6824597822007652</v>
      </c>
      <c r="AW10" s="72">
        <f>IFERROR(IF(up_Bv!Y10=0,".",((s_Ir*s_F*s_MLF_rice*(1-EXP(-up_RadSpec!BC10*s_t_b)))/(s_P*up_RadSpec!BC10))),".")</f>
        <v>2.6824597822007652</v>
      </c>
      <c r="AX10" s="72">
        <f>IFERROR(IF(up_Bv!Z10=0,".",((s_Ir*s_F*s_MLF_cereal*(1-EXP(-up_RadSpec!BC10*s_t_b)))/(s_P*up_RadSpec!BC10))),".")</f>
        <v>2.6824597822007652</v>
      </c>
      <c r="AY10" s="72">
        <f>IFERROR(IF(up_Bv!C10=0,".",((s_Ir*s_F*s_I_f*s_T*(1-EXP(-up_RadSpec!BD10*s_t_v)))/(s_Y_v*up_RadSpec!BD10))),".")</f>
        <v>9.0143481925428208</v>
      </c>
      <c r="AZ10" s="72">
        <f>IFERROR(IF(up_Bv!D10=0,".",((s_Ir*s_F*s_I_f*s_T*(1-EXP(-up_RadSpec!BD10*s_t_v)))/(s_Y_v*up_RadSpec!BD10))),".")</f>
        <v>9.0143481925428208</v>
      </c>
      <c r="BA10" s="72">
        <f>IFERROR(IF(up_Bv!E10=0,".",((s_Ir*s_F*s_I_f*s_T*(1-EXP(-up_RadSpec!BD10*s_t_v)))/(s_Y_v*up_RadSpec!BD10))),".")</f>
        <v>9.0143481925428208</v>
      </c>
      <c r="BB10" s="72">
        <f>IFERROR(IF(up_Bv!F10=0,".",((s_Ir*s_F*s_I_f*s_T*(1-EXP(-up_RadSpec!BD10*s_t_v)))/(s_Y_v*up_RadSpec!BD10))),".")</f>
        <v>9.0143481925428208</v>
      </c>
      <c r="BC10" s="72">
        <f>IFERROR(IF(up_Bv!G10=0,".",((s_Ir*s_F*s_I_f*s_T*(1-EXP(-up_RadSpec!BD10*s_t_v)))/(s_Y_v*up_RadSpec!BD10))),".")</f>
        <v>9.0143481925428208</v>
      </c>
      <c r="BD10" s="72">
        <f>IFERROR(IF(up_Bv!H10=0,".",((s_Ir*s_F*s_I_f*s_T*(1-EXP(-up_RadSpec!BD10*s_t_v)))/(s_Y_v*up_RadSpec!BD10))),".")</f>
        <v>9.0143481925428208</v>
      </c>
      <c r="BE10" s="72">
        <f>IFERROR(IF(up_Bv!I10=0,".",((s_Ir*s_F*s_I_f*s_T*(1-EXP(-up_RadSpec!BD10*s_t_v)))/(s_Y_v*up_RadSpec!BD10))),".")</f>
        <v>9.0143481925428208</v>
      </c>
      <c r="BF10" s="72">
        <f>IFERROR(IF(up_Bv!J10=0,".",((s_Ir*s_F*s_I_f*s_T*(1-EXP(-up_RadSpec!BD10*s_t_v)))/(s_Y_v*up_RadSpec!BD10))),".")</f>
        <v>9.0143481925428208</v>
      </c>
      <c r="BG10" s="72">
        <f>IFERROR(IF(up_Bv!K10=0,".",((s_Ir*s_F*s_I_f*s_T*(1-EXP(-up_RadSpec!BD10*s_t_v)))/(s_Y_v*up_RadSpec!BD10))),".")</f>
        <v>9.0143481925428208</v>
      </c>
      <c r="BH10" s="72">
        <f>IFERROR(IF(up_Bv!L10=0,".",((s_Ir*s_F*s_I_f*s_T*(1-EXP(-up_RadSpec!BD10*s_t_v)))/(s_Y_v*up_RadSpec!BD10))),".")</f>
        <v>9.0143481925428208</v>
      </c>
      <c r="BI10" s="72">
        <f>IFERROR(IF(up_Bv!M10=0,".",((s_Ir*s_F*s_I_f*s_T*(1-EXP(-up_RadSpec!BD10*s_t_v)))/(s_Y_v*up_RadSpec!BD10))),".")</f>
        <v>9.0143481925428208</v>
      </c>
      <c r="BJ10" s="72">
        <f>IFERROR(IF(up_Bv!N10=0,".",((s_Ir*s_F*s_I_f*s_T*(1-EXP(-up_RadSpec!BD10*s_t_v)))/(s_Y_v*up_RadSpec!BD10))),".")</f>
        <v>9.0143481925428208</v>
      </c>
      <c r="BK10" s="72">
        <f>IFERROR(IF(up_Bv!O10=0,".",((s_Ir*s_F*s_I_f*s_T*(1-EXP(-up_RadSpec!BD10*s_t_v)))/(s_Y_v*up_RadSpec!BD10))),".")</f>
        <v>9.0143481925428208</v>
      </c>
      <c r="BL10" s="72">
        <f>IFERROR(IF(up_Bv!P10=0,".",((s_Ir*s_F*s_I_f*s_T*(1-EXP(-up_RadSpec!BD10*s_t_v)))/(s_Y_v*up_RadSpec!BD10))),".")</f>
        <v>9.0143481925428208</v>
      </c>
      <c r="BM10" s="72">
        <f>IFERROR(IF(up_Bv!Q10=0,".",((s_Ir*s_F*s_I_f*s_T*(1-EXP(-up_RadSpec!BD10*s_t_v)))/(s_Y_v*up_RadSpec!BD10))),".")</f>
        <v>9.0143481925428208</v>
      </c>
      <c r="BN10" s="72">
        <f>IFERROR(IF(up_Bv!R10=0,".",((s_Ir*s_F*s_I_f*s_T*(1-EXP(-up_RadSpec!BD10*s_t_v)))/(s_Y_v*up_RadSpec!BD10))),".")</f>
        <v>9.0143481925428208</v>
      </c>
      <c r="BO10" s="72">
        <f>IFERROR(IF(up_Bv!S10=0,".",((s_Ir*s_F*s_I_f*s_T*(1-EXP(-up_RadSpec!BD10*s_t_v)))/(s_Y_v*up_RadSpec!BD10))),".")</f>
        <v>9.0143481925428208</v>
      </c>
      <c r="BP10" s="72">
        <f>IFERROR(IF(up_Bv!T10=0,".",((s_Ir*s_F*s_I_f*s_T*(1-EXP(-up_RadSpec!BD10*s_t_v)))/(s_Y_v*up_RadSpec!BD10))),".")</f>
        <v>9.0143481925428208</v>
      </c>
      <c r="BQ10" s="72">
        <f>IFERROR(IF(up_Bv!U10=0,".",((s_Ir*s_F*s_I_f*s_T*(1-EXP(-up_RadSpec!BD10*s_t_v)))/(s_Y_v*up_RadSpec!BD10))),".")</f>
        <v>9.0143481925428208</v>
      </c>
      <c r="BR10" s="72">
        <f>IFERROR(IF(up_Bv!V10=0,".",((s_Ir*s_F*s_I_f*s_T*(1-EXP(-up_RadSpec!BD10*s_t_v)))/(s_Y_v*up_RadSpec!BD10))),".")</f>
        <v>9.0143481925428208</v>
      </c>
      <c r="BS10" s="72">
        <f>IFERROR(IF(up_Bv!W10=0,".",((s_Ir*s_F*s_I_f*s_T*(1-EXP(-up_RadSpec!BD10*s_t_v)))/(s_Y_v*up_RadSpec!BD10))),".")</f>
        <v>9.0143481925428208</v>
      </c>
      <c r="BT10" s="72">
        <f>IFERROR(IF(up_Bv!X10=0,".",((s_Ir*s_F*s_I_f*s_T*(1-EXP(-up_RadSpec!BD10*s_t_v)))/(s_Y_v*up_RadSpec!BD10))),".")</f>
        <v>9.0143481925428208</v>
      </c>
      <c r="BU10" s="72">
        <f>IFERROR(IF(up_Bv!Y10=0,".",((s_Ir*s_F*s_I_f*s_T*(1-EXP(-up_RadSpec!BD10*s_t_v)))/(s_Y_v*up_RadSpec!BD10))),".")</f>
        <v>9.0143481925428208</v>
      </c>
      <c r="BV10" s="72">
        <f>IFERROR(IF(up_Bv!Z10=0,".",((s_Ir*s_F*s_I_f*s_T*(1-EXP(-up_RadSpec!BD10*s_t_v)))/(s_Y_v*up_RadSpec!BD10))),".")</f>
        <v>9.0143481925428208</v>
      </c>
    </row>
    <row r="11" spans="1:74" x14ac:dyDescent="0.25">
      <c r="A11" s="31" t="s">
        <v>9</v>
      </c>
      <c r="B11" s="3" t="s">
        <v>1059</v>
      </c>
      <c r="C11" s="72">
        <f>IFERROR(IF(up_Bv!C11=0,".",((s_Ir*s_F*up_Bv!C11*(1-EXP(-up_RadSpec!$BC11*s_t_b)))/(s_P*up_RadSpec!$BC11))),".")</f>
        <v>993.50362303732038</v>
      </c>
      <c r="D11" s="72">
        <f>IFERROR(IF(up_Bv!D11=0,".",((s_Ir*s_F*up_Bv!D11*(1-EXP(-up_RadSpec!BC11*s_t_b)))/(s_P*up_RadSpec!BC11))),".")</f>
        <v>993.50362303732038</v>
      </c>
      <c r="E11" s="72">
        <f>IFERROR(IF(up_Bv!E11=0,".",((s_Ir*s_F*up_Bv!E11*(1-EXP(-up_RadSpec!BC11*s_t_b)))/(s_P*up_RadSpec!BC11))),".")</f>
        <v>993.50362303732038</v>
      </c>
      <c r="F11" s="72">
        <f>IFERROR(IF(up_Bv!F11=0,".",((s_Ir*s_F*up_Bv!F11*(1-EXP(-up_RadSpec!BC11*s_t_b)))/(s_P*up_RadSpec!BC11))),".")</f>
        <v>993.50362303732038</v>
      </c>
      <c r="G11" s="72">
        <f>IFERROR(IF(up_Bv!G11=0,".",((s_Ir*s_F*up_Bv!G11*(1-EXP(-up_RadSpec!BC11*s_t_b)))/(s_P*up_RadSpec!BC11))),".")</f>
        <v>993.50362303732038</v>
      </c>
      <c r="H11" s="72">
        <f>IFERROR(IF(up_Bv!H11=0,".",((s_Ir*s_F*up_Bv!H11*(1-EXP(-up_RadSpec!BC11*s_t_b)))/(s_P*up_RadSpec!BC11))),".")</f>
        <v>993.50362303732038</v>
      </c>
      <c r="I11" s="72">
        <f>IFERROR(IF(up_Bv!I11=0,".",((s_Ir*s_F*up_Bv!I11*(1-EXP(-up_RadSpec!BC11*s_t_b)))/(s_P*up_RadSpec!BC11))),".")</f>
        <v>993.50362303732038</v>
      </c>
      <c r="J11" s="72">
        <f>IFERROR(IF(up_Bv!J11=0,".",((s_Ir*s_F*up_Bv!J11*(1-EXP(-up_RadSpec!BC11*s_t_b)))/(s_P*up_RadSpec!BC11))),".")</f>
        <v>993.50362303732038</v>
      </c>
      <c r="K11" s="72">
        <f>IFERROR(IF(up_Bv!K11=0,".",((s_Ir*s_F*up_Bv!K11*(1-EXP(-up_RadSpec!BC11*s_t_b)))/(s_P*up_RadSpec!BC11))),".")</f>
        <v>993.50362303732038</v>
      </c>
      <c r="L11" s="72">
        <f>IFERROR(IF(up_Bv!L11=0,".",((s_Ir*s_F*up_Bv!L11*(1-EXP(-up_RadSpec!BC11*s_t_b)))/(s_P*up_RadSpec!BC11))),".")</f>
        <v>993.50362303732038</v>
      </c>
      <c r="M11" s="72">
        <f>IFERROR(IF(up_Bv!M11=0,".",((s_Ir*s_F*up_Bv!M11*(1-EXP(-up_RadSpec!BC11*s_t_b)))/(s_P*up_RadSpec!BC11))),".")</f>
        <v>993.50362303732038</v>
      </c>
      <c r="N11" s="72">
        <f>IFERROR(IF(up_Bv!N11=0,".",((s_Ir*s_F*up_Bv!N11*(1-EXP(-up_RadSpec!BC11*s_t_b)))/(s_P*up_RadSpec!BC11))),".")</f>
        <v>993.50362303732038</v>
      </c>
      <c r="O11" s="72">
        <f>IFERROR(IF(up_Bv!O11=0,".",((s_Ir*s_F*up_Bv!O11*(1-EXP(-up_RadSpec!BC11*s_t_b)))/(s_P*up_RadSpec!BC11))),".")</f>
        <v>993.50362303732038</v>
      </c>
      <c r="P11" s="72">
        <f>IFERROR(IF(up_Bv!P11=0,".",((s_Ir*s_F*up_Bv!P11*(1-EXP(-up_RadSpec!BC11*s_t_b)))/(s_P*up_RadSpec!BC11))),".")</f>
        <v>993.50362303732038</v>
      </c>
      <c r="Q11" s="72">
        <f>IFERROR(IF(up_Bv!Q11=0,".",((s_Ir*s_F*up_Bv!Q11*(1-EXP(-up_RadSpec!BC11*s_t_b)))/(s_P*up_RadSpec!BC11))),".")</f>
        <v>993.50362303732038</v>
      </c>
      <c r="R11" s="72">
        <f>IFERROR(IF(up_Bv!R11=0,".",((s_Ir*s_F*up_Bv!R11*(1-EXP(-up_RadSpec!BC11*s_t_b)))/(s_P*up_RadSpec!BC11))),".")</f>
        <v>993.50362303732038</v>
      </c>
      <c r="S11" s="72">
        <f>IFERROR(IF(up_Bv!S11=0,".",((s_Ir*s_F*up_Bv!S11*(1-EXP(-up_RadSpec!BC11*s_t_b)))/(s_P*up_RadSpec!BC11))),".")</f>
        <v>993.50362303732038</v>
      </c>
      <c r="T11" s="72">
        <f>IFERROR(IF(up_Bv!T11=0,".",((s_Ir*s_F*up_Bv!T11*(1-EXP(-up_RadSpec!BC11*s_t_b)))/(s_P*up_RadSpec!BC11))),".")</f>
        <v>993.50362303732038</v>
      </c>
      <c r="U11" s="72">
        <f>IFERROR(IF(up_Bv!U11=0,".",((s_Ir*s_F*up_Bv!U11*(1-EXP(-up_RadSpec!BC11*s_t_b)))/(s_P*up_RadSpec!BC11))),".")</f>
        <v>993.50362303732038</v>
      </c>
      <c r="V11" s="72">
        <f>IFERROR(IF(up_Bv!V11=0,".",((s_Ir*s_F*up_Bv!V11*(1-EXP(-up_RadSpec!BC11*s_t_b)))/(s_P*up_RadSpec!BC11))),".")</f>
        <v>993.50362303732038</v>
      </c>
      <c r="W11" s="72">
        <f>IFERROR(IF(up_Bv!W11=0,".",((s_Ir*s_F*up_Bv!W11*(1-EXP(-up_RadSpec!BC11*s_t_b)))/(s_P*up_RadSpec!BC11))),".")</f>
        <v>993.50362303732038</v>
      </c>
      <c r="X11" s="72">
        <f>IFERROR(IF(up_Bv!X11=0,".",((s_Ir*s_F*up_Bv!X11*(1-EXP(-up_RadSpec!BC11*s_t_b)))/(s_P*up_RadSpec!BC11))),".")</f>
        <v>993.50362303732038</v>
      </c>
      <c r="Y11" s="72">
        <f>IFERROR(IF(up_Bv!Y11=0,".",((s_Ir*s_F*up_Bv!Y11*(1-EXP(-up_RadSpec!BC11*s_t_b)))/(s_P*up_RadSpec!BC11))),".")</f>
        <v>993.50362303732038</v>
      </c>
      <c r="Z11" s="72">
        <f>IFERROR(IF(up_Bv!Z11=0,".",((s_Ir*s_F*up_Bv!Z11*(1-EXP(-up_RadSpec!BC11*s_t_b)))/(s_P*up_RadSpec!BC11))),".")</f>
        <v>993.50362303732038</v>
      </c>
      <c r="AA11" s="72">
        <f>IFERROR(IF(up_Bv!C11=0,".",((s_Ir*s_F*s_MLF_apple*(1-EXP(-up_RadSpec!BC11*s_t_b)))/(s_P*up_RadSpec!BC11))),".")</f>
        <v>2.6824597822007652</v>
      </c>
      <c r="AB11" s="72">
        <f>IFERROR(IF(up_Bv!D11=0,".",((s_Ir*s_F*s_MLF_asparagus*(1-EXP(-up_RadSpec!BC11*s_t_b)))/(s_P*up_RadSpec!BC11))),".")</f>
        <v>2.6824597822007652</v>
      </c>
      <c r="AC11" s="72">
        <f>IFERROR(IF(up_Bv!E11=0,".",((s_Ir*s_F*s_MLF_beet*(1-EXP(-up_RadSpec!BC11*s_t_b)))/(s_P*up_RadSpec!BC11))),".")</f>
        <v>2.6824597822007652</v>
      </c>
      <c r="AD11" s="72">
        <f>IFERROR(IF(up_Bv!F11=0,".",((s_Ir*s_F*s_MLF_berries*(1-EXP(-up_RadSpec!BC11*s_t_b)))/(s_P*up_RadSpec!BC11))),".")</f>
        <v>2.6824597822007652</v>
      </c>
      <c r="AE11" s="72">
        <f>IFERROR(IF(up_Bv!G11=0,".",((s_Ir*s_F*s_MLF_broccoli*(1-EXP(-up_RadSpec!BC11*s_t_b)))/(s_P*up_RadSpec!BC11))),".")</f>
        <v>2.6824597822007652</v>
      </c>
      <c r="AF11" s="72">
        <f>IFERROR(IF(up_Bv!H11=0,".",((s_Ir*s_F*s_MLF_cabbage*(1-EXP(-up_RadSpec!BC11*s_t_b)))/(s_P*up_RadSpec!BC11))),".")</f>
        <v>2.6824597822007652</v>
      </c>
      <c r="AG11" s="72">
        <f>IFERROR(IF(up_Bv!I11=0,".",((s_Ir*s_F*s_MLF_carrot*(1-EXP(-up_RadSpec!BC11*s_t_b)))/(s_P*up_RadSpec!BC11))),".")</f>
        <v>2.6824597822007652</v>
      </c>
      <c r="AH11" s="72">
        <f>IFERROR(IF(up_Bv!J11=0,".",((s_Ir*s_F*s_MLF_citrus*(1-EXP(-up_RadSpec!BC11*s_t_b)))/(s_P*up_RadSpec!BC11))),".")</f>
        <v>2.6824597822007652</v>
      </c>
      <c r="AI11" s="72">
        <f>IFERROR(IF(up_Bv!K11=0,".",((s_Ir*s_F*s_MLF_corn*(1-EXP(-up_RadSpec!BC11*s_t_b)))/(s_P*up_RadSpec!BC11))),".")</f>
        <v>2.6824597822007652</v>
      </c>
      <c r="AJ11" s="72">
        <f>IFERROR(IF(up_Bv!L11=0,".",((s_Ir*s_F*s_MLF_cucumber*(1-EXP(-up_RadSpec!BC11*s_t_b)))/(s_P*up_RadSpec!BC11))),".")</f>
        <v>2.6824597822007652</v>
      </c>
      <c r="AK11" s="72">
        <f>IFERROR(IF(up_Bv!M11=0,".",((s_Ir*s_F*s_MLF_lettuce*(1-EXP(-up_RadSpec!BC11*s_t_b)))/(s_P*up_RadSpec!BC11))),".")</f>
        <v>2.6824597822007652</v>
      </c>
      <c r="AL11" s="72">
        <f>IFERROR(IF(up_Bv!N11=0,".",((s_Ir*s_F*s_MLF_lima_bean*(1-EXP(-up_RadSpec!BC11*s_t_b)))/(s_P*up_RadSpec!BC11))),".")</f>
        <v>2.6824597822007652</v>
      </c>
      <c r="AM11" s="72">
        <f>IFERROR(IF(up_Bv!O11=0,".",((s_Ir*s_F*s_MLF_okra*(1-EXP(-up_RadSpec!BC11*s_t_b)))/(s_P*up_RadSpec!BC11))),".")</f>
        <v>2.6824597822007652</v>
      </c>
      <c r="AN11" s="72">
        <f>IFERROR(IF(up_Bv!P11=0,".",((s_Ir*s_F*s_MLF_onion*(1-EXP(-up_RadSpec!BC11*s_t_b)))/(s_P*up_RadSpec!BC11))),".")</f>
        <v>2.6824597822007652</v>
      </c>
      <c r="AO11" s="72">
        <f>IFERROR(IF(up_Bv!Q11=0,".",((s_Ir*s_F*s_MLF_peach*(1-EXP(-up_RadSpec!BC11*s_t_b)))/(s_P*up_RadSpec!BC11))),".")</f>
        <v>2.6824597822007652</v>
      </c>
      <c r="AP11" s="72">
        <f>IFERROR(IF(up_Bv!R11=0,".",((s_Ir*s_F*s_MLF_pear*(1-EXP(-up_RadSpec!BC11*s_t_b)))/(s_P*up_RadSpec!BC11))),".")</f>
        <v>2.6824597822007652</v>
      </c>
      <c r="AQ11" s="72">
        <f>IFERROR(IF(up_Bv!S11=0,".",((s_Ir*s_F*s_MLF_peas*(1-EXP(-up_RadSpec!BC11*s_t_b)))/(s_P*up_RadSpec!BC11))),".")</f>
        <v>2.6824597822007652</v>
      </c>
      <c r="AR11" s="72">
        <f>IFERROR(IF(up_Bv!T11=0,".",((s_Ir*s_F*s_MLF_potato*(1-EXP(-up_RadSpec!BC11*s_t_b)))/(s_P*up_RadSpec!BC11))),".")</f>
        <v>2.6824597822007652</v>
      </c>
      <c r="AS11" s="72">
        <f>IFERROR(IF(up_Bv!U11=0,".",((s_Ir*s_F*s_MLF_pumpkin*(1-EXP(-up_RadSpec!BC11*s_t_b)))/(s_P*up_RadSpec!BC11))),".")</f>
        <v>2.6824597822007652</v>
      </c>
      <c r="AT11" s="72">
        <f>IFERROR(IF(up_Bv!V11=0,".",((s_Ir*s_F*s_MLF_snap_bean*(1-EXP(-up_RadSpec!BC11*s_t_b)))/(s_P*up_RadSpec!BC11))),".")</f>
        <v>2.6824597822007652</v>
      </c>
      <c r="AU11" s="72">
        <f>IFERROR(IF(up_Bv!W11=0,".",((s_Ir*s_F*s_MLF_strawberry*(1-EXP(-up_RadSpec!BC11*s_t_b)))/(s_P*up_RadSpec!BC11))),".")</f>
        <v>2.6824597822007652</v>
      </c>
      <c r="AV11" s="72">
        <f>IFERROR(IF(up_Bv!X11=0,".",((s_Ir*s_F*s_MLF_tomato*(1-EXP(-up_RadSpec!BC11*s_t_b)))/(s_P*up_RadSpec!BC11))),".")</f>
        <v>2.6824597822007652</v>
      </c>
      <c r="AW11" s="72">
        <f>IFERROR(IF(up_Bv!Y11=0,".",((s_Ir*s_F*s_MLF_rice*(1-EXP(-up_RadSpec!BC11*s_t_b)))/(s_P*up_RadSpec!BC11))),".")</f>
        <v>2.6824597822007652</v>
      </c>
      <c r="AX11" s="72">
        <f>IFERROR(IF(up_Bv!Z11=0,".",((s_Ir*s_F*s_MLF_cereal*(1-EXP(-up_RadSpec!BC11*s_t_b)))/(s_P*up_RadSpec!BC11))),".")</f>
        <v>2.6824597822007652</v>
      </c>
      <c r="AY11" s="72">
        <f>IFERROR(IF(up_Bv!C11=0,".",((s_Ir*s_F*s_I_f*s_T*(1-EXP(-up_RadSpec!BD11*s_t_v)))/(s_Y_v*up_RadSpec!BD11))),".")</f>
        <v>9.0143481925428208</v>
      </c>
      <c r="AZ11" s="72">
        <f>IFERROR(IF(up_Bv!D11=0,".",((s_Ir*s_F*s_I_f*s_T*(1-EXP(-up_RadSpec!BD11*s_t_v)))/(s_Y_v*up_RadSpec!BD11))),".")</f>
        <v>9.0143481925428208</v>
      </c>
      <c r="BA11" s="72">
        <f>IFERROR(IF(up_Bv!E11=0,".",((s_Ir*s_F*s_I_f*s_T*(1-EXP(-up_RadSpec!BD11*s_t_v)))/(s_Y_v*up_RadSpec!BD11))),".")</f>
        <v>9.0143481925428208</v>
      </c>
      <c r="BB11" s="72">
        <f>IFERROR(IF(up_Bv!F11=0,".",((s_Ir*s_F*s_I_f*s_T*(1-EXP(-up_RadSpec!BD11*s_t_v)))/(s_Y_v*up_RadSpec!BD11))),".")</f>
        <v>9.0143481925428208</v>
      </c>
      <c r="BC11" s="72">
        <f>IFERROR(IF(up_Bv!G11=0,".",((s_Ir*s_F*s_I_f*s_T*(1-EXP(-up_RadSpec!BD11*s_t_v)))/(s_Y_v*up_RadSpec!BD11))),".")</f>
        <v>9.0143481925428208</v>
      </c>
      <c r="BD11" s="72">
        <f>IFERROR(IF(up_Bv!H11=0,".",((s_Ir*s_F*s_I_f*s_T*(1-EXP(-up_RadSpec!BD11*s_t_v)))/(s_Y_v*up_RadSpec!BD11))),".")</f>
        <v>9.0143481925428208</v>
      </c>
      <c r="BE11" s="72">
        <f>IFERROR(IF(up_Bv!I11=0,".",((s_Ir*s_F*s_I_f*s_T*(1-EXP(-up_RadSpec!BD11*s_t_v)))/(s_Y_v*up_RadSpec!BD11))),".")</f>
        <v>9.0143481925428208</v>
      </c>
      <c r="BF11" s="72">
        <f>IFERROR(IF(up_Bv!J11=0,".",((s_Ir*s_F*s_I_f*s_T*(1-EXP(-up_RadSpec!BD11*s_t_v)))/(s_Y_v*up_RadSpec!BD11))),".")</f>
        <v>9.0143481925428208</v>
      </c>
      <c r="BG11" s="72">
        <f>IFERROR(IF(up_Bv!K11=0,".",((s_Ir*s_F*s_I_f*s_T*(1-EXP(-up_RadSpec!BD11*s_t_v)))/(s_Y_v*up_RadSpec!BD11))),".")</f>
        <v>9.0143481925428208</v>
      </c>
      <c r="BH11" s="72">
        <f>IFERROR(IF(up_Bv!L11=0,".",((s_Ir*s_F*s_I_f*s_T*(1-EXP(-up_RadSpec!BD11*s_t_v)))/(s_Y_v*up_RadSpec!BD11))),".")</f>
        <v>9.0143481925428208</v>
      </c>
      <c r="BI11" s="72">
        <f>IFERROR(IF(up_Bv!M11=0,".",((s_Ir*s_F*s_I_f*s_T*(1-EXP(-up_RadSpec!BD11*s_t_v)))/(s_Y_v*up_RadSpec!BD11))),".")</f>
        <v>9.0143481925428208</v>
      </c>
      <c r="BJ11" s="72">
        <f>IFERROR(IF(up_Bv!N11=0,".",((s_Ir*s_F*s_I_f*s_T*(1-EXP(-up_RadSpec!BD11*s_t_v)))/(s_Y_v*up_RadSpec!BD11))),".")</f>
        <v>9.0143481925428208</v>
      </c>
      <c r="BK11" s="72">
        <f>IFERROR(IF(up_Bv!O11=0,".",((s_Ir*s_F*s_I_f*s_T*(1-EXP(-up_RadSpec!BD11*s_t_v)))/(s_Y_v*up_RadSpec!BD11))),".")</f>
        <v>9.0143481925428208</v>
      </c>
      <c r="BL11" s="72">
        <f>IFERROR(IF(up_Bv!P11=0,".",((s_Ir*s_F*s_I_f*s_T*(1-EXP(-up_RadSpec!BD11*s_t_v)))/(s_Y_v*up_RadSpec!BD11))),".")</f>
        <v>9.0143481925428208</v>
      </c>
      <c r="BM11" s="72">
        <f>IFERROR(IF(up_Bv!Q11=0,".",((s_Ir*s_F*s_I_f*s_T*(1-EXP(-up_RadSpec!BD11*s_t_v)))/(s_Y_v*up_RadSpec!BD11))),".")</f>
        <v>9.0143481925428208</v>
      </c>
      <c r="BN11" s="72">
        <f>IFERROR(IF(up_Bv!R11=0,".",((s_Ir*s_F*s_I_f*s_T*(1-EXP(-up_RadSpec!BD11*s_t_v)))/(s_Y_v*up_RadSpec!BD11))),".")</f>
        <v>9.0143481925428208</v>
      </c>
      <c r="BO11" s="72">
        <f>IFERROR(IF(up_Bv!S11=0,".",((s_Ir*s_F*s_I_f*s_T*(1-EXP(-up_RadSpec!BD11*s_t_v)))/(s_Y_v*up_RadSpec!BD11))),".")</f>
        <v>9.0143481925428208</v>
      </c>
      <c r="BP11" s="72">
        <f>IFERROR(IF(up_Bv!T11=0,".",((s_Ir*s_F*s_I_f*s_T*(1-EXP(-up_RadSpec!BD11*s_t_v)))/(s_Y_v*up_RadSpec!BD11))),".")</f>
        <v>9.0143481925428208</v>
      </c>
      <c r="BQ11" s="72">
        <f>IFERROR(IF(up_Bv!U11=0,".",((s_Ir*s_F*s_I_f*s_T*(1-EXP(-up_RadSpec!BD11*s_t_v)))/(s_Y_v*up_RadSpec!BD11))),".")</f>
        <v>9.0143481925428208</v>
      </c>
      <c r="BR11" s="72">
        <f>IFERROR(IF(up_Bv!V11=0,".",((s_Ir*s_F*s_I_f*s_T*(1-EXP(-up_RadSpec!BD11*s_t_v)))/(s_Y_v*up_RadSpec!BD11))),".")</f>
        <v>9.0143481925428208</v>
      </c>
      <c r="BS11" s="72">
        <f>IFERROR(IF(up_Bv!W11=0,".",((s_Ir*s_F*s_I_f*s_T*(1-EXP(-up_RadSpec!BD11*s_t_v)))/(s_Y_v*up_RadSpec!BD11))),".")</f>
        <v>9.0143481925428208</v>
      </c>
      <c r="BT11" s="72">
        <f>IFERROR(IF(up_Bv!X11=0,".",((s_Ir*s_F*s_I_f*s_T*(1-EXP(-up_RadSpec!BD11*s_t_v)))/(s_Y_v*up_RadSpec!BD11))),".")</f>
        <v>9.0143481925428208</v>
      </c>
      <c r="BU11" s="72">
        <f>IFERROR(IF(up_Bv!Y11=0,".",((s_Ir*s_F*s_I_f*s_T*(1-EXP(-up_RadSpec!BD11*s_t_v)))/(s_Y_v*up_RadSpec!BD11))),".")</f>
        <v>9.0143481925428208</v>
      </c>
      <c r="BV11" s="72">
        <f>IFERROR(IF(up_Bv!Z11=0,".",((s_Ir*s_F*s_I_f*s_T*(1-EXP(-up_RadSpec!BD11*s_t_v)))/(s_Y_v*up_RadSpec!BD11))),".")</f>
        <v>9.0143481925428208</v>
      </c>
    </row>
    <row r="12" spans="1:74" x14ac:dyDescent="0.25">
      <c r="A12" s="31" t="s">
        <v>10</v>
      </c>
      <c r="B12" s="3" t="s">
        <v>1059</v>
      </c>
      <c r="C12" s="72">
        <f>IFERROR(IF(up_Bv!C12=0,".",((s_Ir*s_F*up_Bv!C12*(1-EXP(-up_RadSpec!$BC12*s_t_b)))/(s_P*up_RadSpec!$BC12))),".")</f>
        <v>993.50362303732038</v>
      </c>
      <c r="D12" s="72">
        <f>IFERROR(IF(up_Bv!D12=0,".",((s_Ir*s_F*up_Bv!D12*(1-EXP(-up_RadSpec!BC12*s_t_b)))/(s_P*up_RadSpec!BC12))),".")</f>
        <v>993.50362303732038</v>
      </c>
      <c r="E12" s="72">
        <f>IFERROR(IF(up_Bv!E12=0,".",((s_Ir*s_F*up_Bv!E12*(1-EXP(-up_RadSpec!BC12*s_t_b)))/(s_P*up_RadSpec!BC12))),".")</f>
        <v>993.50362303732038</v>
      </c>
      <c r="F12" s="72">
        <f>IFERROR(IF(up_Bv!F12=0,".",((s_Ir*s_F*up_Bv!F12*(1-EXP(-up_RadSpec!BC12*s_t_b)))/(s_P*up_RadSpec!BC12))),".")</f>
        <v>993.50362303732038</v>
      </c>
      <c r="G12" s="72">
        <f>IFERROR(IF(up_Bv!G12=0,".",((s_Ir*s_F*up_Bv!G12*(1-EXP(-up_RadSpec!BC12*s_t_b)))/(s_P*up_RadSpec!BC12))),".")</f>
        <v>993.50362303732038</v>
      </c>
      <c r="H12" s="72">
        <f>IFERROR(IF(up_Bv!H12=0,".",((s_Ir*s_F*up_Bv!H12*(1-EXP(-up_RadSpec!BC12*s_t_b)))/(s_P*up_RadSpec!BC12))),".")</f>
        <v>993.50362303732038</v>
      </c>
      <c r="I12" s="72">
        <f>IFERROR(IF(up_Bv!I12=0,".",((s_Ir*s_F*up_Bv!I12*(1-EXP(-up_RadSpec!BC12*s_t_b)))/(s_P*up_RadSpec!BC12))),".")</f>
        <v>993.50362303732038</v>
      </c>
      <c r="J12" s="72">
        <f>IFERROR(IF(up_Bv!J12=0,".",((s_Ir*s_F*up_Bv!J12*(1-EXP(-up_RadSpec!BC12*s_t_b)))/(s_P*up_RadSpec!BC12))),".")</f>
        <v>993.50362303732038</v>
      </c>
      <c r="K12" s="72">
        <f>IFERROR(IF(up_Bv!K12=0,".",((s_Ir*s_F*up_Bv!K12*(1-EXP(-up_RadSpec!BC12*s_t_b)))/(s_P*up_RadSpec!BC12))),".")</f>
        <v>993.50362303732038</v>
      </c>
      <c r="L12" s="72">
        <f>IFERROR(IF(up_Bv!L12=0,".",((s_Ir*s_F*up_Bv!L12*(1-EXP(-up_RadSpec!BC12*s_t_b)))/(s_P*up_RadSpec!BC12))),".")</f>
        <v>993.50362303732038</v>
      </c>
      <c r="M12" s="72">
        <f>IFERROR(IF(up_Bv!M12=0,".",((s_Ir*s_F*up_Bv!M12*(1-EXP(-up_RadSpec!BC12*s_t_b)))/(s_P*up_RadSpec!BC12))),".")</f>
        <v>993.50362303732038</v>
      </c>
      <c r="N12" s="72">
        <f>IFERROR(IF(up_Bv!N12=0,".",((s_Ir*s_F*up_Bv!N12*(1-EXP(-up_RadSpec!BC12*s_t_b)))/(s_P*up_RadSpec!BC12))),".")</f>
        <v>993.50362303732038</v>
      </c>
      <c r="O12" s="72">
        <f>IFERROR(IF(up_Bv!O12=0,".",((s_Ir*s_F*up_Bv!O12*(1-EXP(-up_RadSpec!BC12*s_t_b)))/(s_P*up_RadSpec!BC12))),".")</f>
        <v>993.50362303732038</v>
      </c>
      <c r="P12" s="72">
        <f>IFERROR(IF(up_Bv!P12=0,".",((s_Ir*s_F*up_Bv!P12*(1-EXP(-up_RadSpec!BC12*s_t_b)))/(s_P*up_RadSpec!BC12))),".")</f>
        <v>993.50362303732038</v>
      </c>
      <c r="Q12" s="72">
        <f>IFERROR(IF(up_Bv!Q12=0,".",((s_Ir*s_F*up_Bv!Q12*(1-EXP(-up_RadSpec!BC12*s_t_b)))/(s_P*up_RadSpec!BC12))),".")</f>
        <v>993.50362303732038</v>
      </c>
      <c r="R12" s="72">
        <f>IFERROR(IF(up_Bv!R12=0,".",((s_Ir*s_F*up_Bv!R12*(1-EXP(-up_RadSpec!BC12*s_t_b)))/(s_P*up_RadSpec!BC12))),".")</f>
        <v>993.50362303732038</v>
      </c>
      <c r="S12" s="72">
        <f>IFERROR(IF(up_Bv!S12=0,".",((s_Ir*s_F*up_Bv!S12*(1-EXP(-up_RadSpec!BC12*s_t_b)))/(s_P*up_RadSpec!BC12))),".")</f>
        <v>993.50362303732038</v>
      </c>
      <c r="T12" s="72">
        <f>IFERROR(IF(up_Bv!T12=0,".",((s_Ir*s_F*up_Bv!T12*(1-EXP(-up_RadSpec!BC12*s_t_b)))/(s_P*up_RadSpec!BC12))),".")</f>
        <v>993.50362303732038</v>
      </c>
      <c r="U12" s="72">
        <f>IFERROR(IF(up_Bv!U12=0,".",((s_Ir*s_F*up_Bv!U12*(1-EXP(-up_RadSpec!BC12*s_t_b)))/(s_P*up_RadSpec!BC12))),".")</f>
        <v>993.50362303732038</v>
      </c>
      <c r="V12" s="72">
        <f>IFERROR(IF(up_Bv!V12=0,".",((s_Ir*s_F*up_Bv!V12*(1-EXP(-up_RadSpec!BC12*s_t_b)))/(s_P*up_RadSpec!BC12))),".")</f>
        <v>993.50362303732038</v>
      </c>
      <c r="W12" s="72">
        <f>IFERROR(IF(up_Bv!W12=0,".",((s_Ir*s_F*up_Bv!W12*(1-EXP(-up_RadSpec!BC12*s_t_b)))/(s_P*up_RadSpec!BC12))),".")</f>
        <v>993.50362303732038</v>
      </c>
      <c r="X12" s="72">
        <f>IFERROR(IF(up_Bv!X12=0,".",((s_Ir*s_F*up_Bv!X12*(1-EXP(-up_RadSpec!BC12*s_t_b)))/(s_P*up_RadSpec!BC12))),".")</f>
        <v>993.50362303732038</v>
      </c>
      <c r="Y12" s="72">
        <f>IFERROR(IF(up_Bv!Y12=0,".",((s_Ir*s_F*up_Bv!Y12*(1-EXP(-up_RadSpec!BC12*s_t_b)))/(s_P*up_RadSpec!BC12))),".")</f>
        <v>993.50362303732038</v>
      </c>
      <c r="Z12" s="72">
        <f>IFERROR(IF(up_Bv!Z12=0,".",((s_Ir*s_F*up_Bv!Z12*(1-EXP(-up_RadSpec!BC12*s_t_b)))/(s_P*up_RadSpec!BC12))),".")</f>
        <v>993.50362303732038</v>
      </c>
      <c r="AA12" s="72">
        <f>IFERROR(IF(up_Bv!C12=0,".",((s_Ir*s_F*s_MLF_apple*(1-EXP(-up_RadSpec!BC12*s_t_b)))/(s_P*up_RadSpec!BC12))),".")</f>
        <v>2.6824597822007652</v>
      </c>
      <c r="AB12" s="72">
        <f>IFERROR(IF(up_Bv!D12=0,".",((s_Ir*s_F*s_MLF_asparagus*(1-EXP(-up_RadSpec!BC12*s_t_b)))/(s_P*up_RadSpec!BC12))),".")</f>
        <v>2.6824597822007652</v>
      </c>
      <c r="AC12" s="72">
        <f>IFERROR(IF(up_Bv!E12=0,".",((s_Ir*s_F*s_MLF_beet*(1-EXP(-up_RadSpec!BC12*s_t_b)))/(s_P*up_RadSpec!BC12))),".")</f>
        <v>2.6824597822007652</v>
      </c>
      <c r="AD12" s="72">
        <f>IFERROR(IF(up_Bv!F12=0,".",((s_Ir*s_F*s_MLF_berries*(1-EXP(-up_RadSpec!BC12*s_t_b)))/(s_P*up_RadSpec!BC12))),".")</f>
        <v>2.6824597822007652</v>
      </c>
      <c r="AE12" s="72">
        <f>IFERROR(IF(up_Bv!G12=0,".",((s_Ir*s_F*s_MLF_broccoli*(1-EXP(-up_RadSpec!BC12*s_t_b)))/(s_P*up_RadSpec!BC12))),".")</f>
        <v>2.6824597822007652</v>
      </c>
      <c r="AF12" s="72">
        <f>IFERROR(IF(up_Bv!H12=0,".",((s_Ir*s_F*s_MLF_cabbage*(1-EXP(-up_RadSpec!BC12*s_t_b)))/(s_P*up_RadSpec!BC12))),".")</f>
        <v>2.6824597822007652</v>
      </c>
      <c r="AG12" s="72">
        <f>IFERROR(IF(up_Bv!I12=0,".",((s_Ir*s_F*s_MLF_carrot*(1-EXP(-up_RadSpec!BC12*s_t_b)))/(s_P*up_RadSpec!BC12))),".")</f>
        <v>2.6824597822007652</v>
      </c>
      <c r="AH12" s="72">
        <f>IFERROR(IF(up_Bv!J12=0,".",((s_Ir*s_F*s_MLF_citrus*(1-EXP(-up_RadSpec!BC12*s_t_b)))/(s_P*up_RadSpec!BC12))),".")</f>
        <v>2.6824597822007652</v>
      </c>
      <c r="AI12" s="72">
        <f>IFERROR(IF(up_Bv!K12=0,".",((s_Ir*s_F*s_MLF_corn*(1-EXP(-up_RadSpec!BC12*s_t_b)))/(s_P*up_RadSpec!BC12))),".")</f>
        <v>2.6824597822007652</v>
      </c>
      <c r="AJ12" s="72">
        <f>IFERROR(IF(up_Bv!L12=0,".",((s_Ir*s_F*s_MLF_cucumber*(1-EXP(-up_RadSpec!BC12*s_t_b)))/(s_P*up_RadSpec!BC12))),".")</f>
        <v>2.6824597822007652</v>
      </c>
      <c r="AK12" s="72">
        <f>IFERROR(IF(up_Bv!M12=0,".",((s_Ir*s_F*s_MLF_lettuce*(1-EXP(-up_RadSpec!BC12*s_t_b)))/(s_P*up_RadSpec!BC12))),".")</f>
        <v>2.6824597822007652</v>
      </c>
      <c r="AL12" s="72">
        <f>IFERROR(IF(up_Bv!N12=0,".",((s_Ir*s_F*s_MLF_lima_bean*(1-EXP(-up_RadSpec!BC12*s_t_b)))/(s_P*up_RadSpec!BC12))),".")</f>
        <v>2.6824597822007652</v>
      </c>
      <c r="AM12" s="72">
        <f>IFERROR(IF(up_Bv!O12=0,".",((s_Ir*s_F*s_MLF_okra*(1-EXP(-up_RadSpec!BC12*s_t_b)))/(s_P*up_RadSpec!BC12))),".")</f>
        <v>2.6824597822007652</v>
      </c>
      <c r="AN12" s="72">
        <f>IFERROR(IF(up_Bv!P12=0,".",((s_Ir*s_F*s_MLF_onion*(1-EXP(-up_RadSpec!BC12*s_t_b)))/(s_P*up_RadSpec!BC12))),".")</f>
        <v>2.6824597822007652</v>
      </c>
      <c r="AO12" s="72">
        <f>IFERROR(IF(up_Bv!Q12=0,".",((s_Ir*s_F*s_MLF_peach*(1-EXP(-up_RadSpec!BC12*s_t_b)))/(s_P*up_RadSpec!BC12))),".")</f>
        <v>2.6824597822007652</v>
      </c>
      <c r="AP12" s="72">
        <f>IFERROR(IF(up_Bv!R12=0,".",((s_Ir*s_F*s_MLF_pear*(1-EXP(-up_RadSpec!BC12*s_t_b)))/(s_P*up_RadSpec!BC12))),".")</f>
        <v>2.6824597822007652</v>
      </c>
      <c r="AQ12" s="72">
        <f>IFERROR(IF(up_Bv!S12=0,".",((s_Ir*s_F*s_MLF_peas*(1-EXP(-up_RadSpec!BC12*s_t_b)))/(s_P*up_RadSpec!BC12))),".")</f>
        <v>2.6824597822007652</v>
      </c>
      <c r="AR12" s="72">
        <f>IFERROR(IF(up_Bv!T12=0,".",((s_Ir*s_F*s_MLF_potato*(1-EXP(-up_RadSpec!BC12*s_t_b)))/(s_P*up_RadSpec!BC12))),".")</f>
        <v>2.6824597822007652</v>
      </c>
      <c r="AS12" s="72">
        <f>IFERROR(IF(up_Bv!U12=0,".",((s_Ir*s_F*s_MLF_pumpkin*(1-EXP(-up_RadSpec!BC12*s_t_b)))/(s_P*up_RadSpec!BC12))),".")</f>
        <v>2.6824597822007652</v>
      </c>
      <c r="AT12" s="72">
        <f>IFERROR(IF(up_Bv!V12=0,".",((s_Ir*s_F*s_MLF_snap_bean*(1-EXP(-up_RadSpec!BC12*s_t_b)))/(s_P*up_RadSpec!BC12))),".")</f>
        <v>2.6824597822007652</v>
      </c>
      <c r="AU12" s="72">
        <f>IFERROR(IF(up_Bv!W12=0,".",((s_Ir*s_F*s_MLF_strawberry*(1-EXP(-up_RadSpec!BC12*s_t_b)))/(s_P*up_RadSpec!BC12))),".")</f>
        <v>2.6824597822007652</v>
      </c>
      <c r="AV12" s="72">
        <f>IFERROR(IF(up_Bv!X12=0,".",((s_Ir*s_F*s_MLF_tomato*(1-EXP(-up_RadSpec!BC12*s_t_b)))/(s_P*up_RadSpec!BC12))),".")</f>
        <v>2.6824597822007652</v>
      </c>
      <c r="AW12" s="72">
        <f>IFERROR(IF(up_Bv!Y12=0,".",((s_Ir*s_F*s_MLF_rice*(1-EXP(-up_RadSpec!BC12*s_t_b)))/(s_P*up_RadSpec!BC12))),".")</f>
        <v>2.6824597822007652</v>
      </c>
      <c r="AX12" s="72">
        <f>IFERROR(IF(up_Bv!Z12=0,".",((s_Ir*s_F*s_MLF_cereal*(1-EXP(-up_RadSpec!BC12*s_t_b)))/(s_P*up_RadSpec!BC12))),".")</f>
        <v>2.6824597822007652</v>
      </c>
      <c r="AY12" s="72">
        <f>IFERROR(IF(up_Bv!C12=0,".",((s_Ir*s_F*s_I_f*s_T*(1-EXP(-up_RadSpec!BD12*s_t_v)))/(s_Y_v*up_RadSpec!BD12))),".")</f>
        <v>9.0143481925428208</v>
      </c>
      <c r="AZ12" s="72">
        <f>IFERROR(IF(up_Bv!D12=0,".",((s_Ir*s_F*s_I_f*s_T*(1-EXP(-up_RadSpec!BD12*s_t_v)))/(s_Y_v*up_RadSpec!BD12))),".")</f>
        <v>9.0143481925428208</v>
      </c>
      <c r="BA12" s="72">
        <f>IFERROR(IF(up_Bv!E12=0,".",((s_Ir*s_F*s_I_f*s_T*(1-EXP(-up_RadSpec!BD12*s_t_v)))/(s_Y_v*up_RadSpec!BD12))),".")</f>
        <v>9.0143481925428208</v>
      </c>
      <c r="BB12" s="72">
        <f>IFERROR(IF(up_Bv!F12=0,".",((s_Ir*s_F*s_I_f*s_T*(1-EXP(-up_RadSpec!BD12*s_t_v)))/(s_Y_v*up_RadSpec!BD12))),".")</f>
        <v>9.0143481925428208</v>
      </c>
      <c r="BC12" s="72">
        <f>IFERROR(IF(up_Bv!G12=0,".",((s_Ir*s_F*s_I_f*s_T*(1-EXP(-up_RadSpec!BD12*s_t_v)))/(s_Y_v*up_RadSpec!BD12))),".")</f>
        <v>9.0143481925428208</v>
      </c>
      <c r="BD12" s="72">
        <f>IFERROR(IF(up_Bv!H12=0,".",((s_Ir*s_F*s_I_f*s_T*(1-EXP(-up_RadSpec!BD12*s_t_v)))/(s_Y_v*up_RadSpec!BD12))),".")</f>
        <v>9.0143481925428208</v>
      </c>
      <c r="BE12" s="72">
        <f>IFERROR(IF(up_Bv!I12=0,".",((s_Ir*s_F*s_I_f*s_T*(1-EXP(-up_RadSpec!BD12*s_t_v)))/(s_Y_v*up_RadSpec!BD12))),".")</f>
        <v>9.0143481925428208</v>
      </c>
      <c r="BF12" s="72">
        <f>IFERROR(IF(up_Bv!J12=0,".",((s_Ir*s_F*s_I_f*s_T*(1-EXP(-up_RadSpec!BD12*s_t_v)))/(s_Y_v*up_RadSpec!BD12))),".")</f>
        <v>9.0143481925428208</v>
      </c>
      <c r="BG12" s="72">
        <f>IFERROR(IF(up_Bv!K12=0,".",((s_Ir*s_F*s_I_f*s_T*(1-EXP(-up_RadSpec!BD12*s_t_v)))/(s_Y_v*up_RadSpec!BD12))),".")</f>
        <v>9.0143481925428208</v>
      </c>
      <c r="BH12" s="72">
        <f>IFERROR(IF(up_Bv!L12=0,".",((s_Ir*s_F*s_I_f*s_T*(1-EXP(-up_RadSpec!BD12*s_t_v)))/(s_Y_v*up_RadSpec!BD12))),".")</f>
        <v>9.0143481925428208</v>
      </c>
      <c r="BI12" s="72">
        <f>IFERROR(IF(up_Bv!M12=0,".",((s_Ir*s_F*s_I_f*s_T*(1-EXP(-up_RadSpec!BD12*s_t_v)))/(s_Y_v*up_RadSpec!BD12))),".")</f>
        <v>9.0143481925428208</v>
      </c>
      <c r="BJ12" s="72">
        <f>IFERROR(IF(up_Bv!N12=0,".",((s_Ir*s_F*s_I_f*s_T*(1-EXP(-up_RadSpec!BD12*s_t_v)))/(s_Y_v*up_RadSpec!BD12))),".")</f>
        <v>9.0143481925428208</v>
      </c>
      <c r="BK12" s="72">
        <f>IFERROR(IF(up_Bv!O12=0,".",((s_Ir*s_F*s_I_f*s_T*(1-EXP(-up_RadSpec!BD12*s_t_v)))/(s_Y_v*up_RadSpec!BD12))),".")</f>
        <v>9.0143481925428208</v>
      </c>
      <c r="BL12" s="72">
        <f>IFERROR(IF(up_Bv!P12=0,".",((s_Ir*s_F*s_I_f*s_T*(1-EXP(-up_RadSpec!BD12*s_t_v)))/(s_Y_v*up_RadSpec!BD12))),".")</f>
        <v>9.0143481925428208</v>
      </c>
      <c r="BM12" s="72">
        <f>IFERROR(IF(up_Bv!Q12=0,".",((s_Ir*s_F*s_I_f*s_T*(1-EXP(-up_RadSpec!BD12*s_t_v)))/(s_Y_v*up_RadSpec!BD12))),".")</f>
        <v>9.0143481925428208</v>
      </c>
      <c r="BN12" s="72">
        <f>IFERROR(IF(up_Bv!R12=0,".",((s_Ir*s_F*s_I_f*s_T*(1-EXP(-up_RadSpec!BD12*s_t_v)))/(s_Y_v*up_RadSpec!BD12))),".")</f>
        <v>9.0143481925428208</v>
      </c>
      <c r="BO12" s="72">
        <f>IFERROR(IF(up_Bv!S12=0,".",((s_Ir*s_F*s_I_f*s_T*(1-EXP(-up_RadSpec!BD12*s_t_v)))/(s_Y_v*up_RadSpec!BD12))),".")</f>
        <v>9.0143481925428208</v>
      </c>
      <c r="BP12" s="72">
        <f>IFERROR(IF(up_Bv!T12=0,".",((s_Ir*s_F*s_I_f*s_T*(1-EXP(-up_RadSpec!BD12*s_t_v)))/(s_Y_v*up_RadSpec!BD12))),".")</f>
        <v>9.0143481925428208</v>
      </c>
      <c r="BQ12" s="72">
        <f>IFERROR(IF(up_Bv!U12=0,".",((s_Ir*s_F*s_I_f*s_T*(1-EXP(-up_RadSpec!BD12*s_t_v)))/(s_Y_v*up_RadSpec!BD12))),".")</f>
        <v>9.0143481925428208</v>
      </c>
      <c r="BR12" s="72">
        <f>IFERROR(IF(up_Bv!V12=0,".",((s_Ir*s_F*s_I_f*s_T*(1-EXP(-up_RadSpec!BD12*s_t_v)))/(s_Y_v*up_RadSpec!BD12))),".")</f>
        <v>9.0143481925428208</v>
      </c>
      <c r="BS12" s="72">
        <f>IFERROR(IF(up_Bv!W12=0,".",((s_Ir*s_F*s_I_f*s_T*(1-EXP(-up_RadSpec!BD12*s_t_v)))/(s_Y_v*up_RadSpec!BD12))),".")</f>
        <v>9.0143481925428208</v>
      </c>
      <c r="BT12" s="72">
        <f>IFERROR(IF(up_Bv!X12=0,".",((s_Ir*s_F*s_I_f*s_T*(1-EXP(-up_RadSpec!BD12*s_t_v)))/(s_Y_v*up_RadSpec!BD12))),".")</f>
        <v>9.0143481925428208</v>
      </c>
      <c r="BU12" s="72">
        <f>IFERROR(IF(up_Bv!Y12=0,".",((s_Ir*s_F*s_I_f*s_T*(1-EXP(-up_RadSpec!BD12*s_t_v)))/(s_Y_v*up_RadSpec!BD12))),".")</f>
        <v>9.0143481925428208</v>
      </c>
      <c r="BV12" s="72">
        <f>IFERROR(IF(up_Bv!Z12=0,".",((s_Ir*s_F*s_I_f*s_T*(1-EXP(-up_RadSpec!BD12*s_t_v)))/(s_Y_v*up_RadSpec!BD12))),".")</f>
        <v>9.0143481925428208</v>
      </c>
    </row>
    <row r="13" spans="1:74" x14ac:dyDescent="0.25">
      <c r="A13" s="31" t="s">
        <v>11</v>
      </c>
      <c r="B13" s="3" t="s">
        <v>1059</v>
      </c>
      <c r="C13" s="72">
        <f>IFERROR(IF(up_Bv!C13=0,".",((s_Ir*s_F*up_Bv!C13*(1-EXP(-up_RadSpec!$BC13*s_t_b)))/(s_P*up_RadSpec!$BC13))),".")</f>
        <v>993.50362303732038</v>
      </c>
      <c r="D13" s="72">
        <f>IFERROR(IF(up_Bv!D13=0,".",((s_Ir*s_F*up_Bv!D13*(1-EXP(-up_RadSpec!BC13*s_t_b)))/(s_P*up_RadSpec!BC13))),".")</f>
        <v>993.50362303732038</v>
      </c>
      <c r="E13" s="72">
        <f>IFERROR(IF(up_Bv!E13=0,".",((s_Ir*s_F*up_Bv!E13*(1-EXP(-up_RadSpec!BC13*s_t_b)))/(s_P*up_RadSpec!BC13))),".")</f>
        <v>993.50362303732038</v>
      </c>
      <c r="F13" s="72">
        <f>IFERROR(IF(up_Bv!F13=0,".",((s_Ir*s_F*up_Bv!F13*(1-EXP(-up_RadSpec!BC13*s_t_b)))/(s_P*up_RadSpec!BC13))),".")</f>
        <v>993.50362303732038</v>
      </c>
      <c r="G13" s="72">
        <f>IFERROR(IF(up_Bv!G13=0,".",((s_Ir*s_F*up_Bv!G13*(1-EXP(-up_RadSpec!BC13*s_t_b)))/(s_P*up_RadSpec!BC13))),".")</f>
        <v>993.50362303732038</v>
      </c>
      <c r="H13" s="72">
        <f>IFERROR(IF(up_Bv!H13=0,".",((s_Ir*s_F*up_Bv!H13*(1-EXP(-up_RadSpec!BC13*s_t_b)))/(s_P*up_RadSpec!BC13))),".")</f>
        <v>993.50362303732038</v>
      </c>
      <c r="I13" s="72">
        <f>IFERROR(IF(up_Bv!I13=0,".",((s_Ir*s_F*up_Bv!I13*(1-EXP(-up_RadSpec!BC13*s_t_b)))/(s_P*up_RadSpec!BC13))),".")</f>
        <v>993.50362303732038</v>
      </c>
      <c r="J13" s="72">
        <f>IFERROR(IF(up_Bv!J13=0,".",((s_Ir*s_F*up_Bv!J13*(1-EXP(-up_RadSpec!BC13*s_t_b)))/(s_P*up_RadSpec!BC13))),".")</f>
        <v>993.50362303732038</v>
      </c>
      <c r="K13" s="72">
        <f>IFERROR(IF(up_Bv!K13=0,".",((s_Ir*s_F*up_Bv!K13*(1-EXP(-up_RadSpec!BC13*s_t_b)))/(s_P*up_RadSpec!BC13))),".")</f>
        <v>993.50362303732038</v>
      </c>
      <c r="L13" s="72">
        <f>IFERROR(IF(up_Bv!L13=0,".",((s_Ir*s_F*up_Bv!L13*(1-EXP(-up_RadSpec!BC13*s_t_b)))/(s_P*up_RadSpec!BC13))),".")</f>
        <v>993.50362303732038</v>
      </c>
      <c r="M13" s="72">
        <f>IFERROR(IF(up_Bv!M13=0,".",((s_Ir*s_F*up_Bv!M13*(1-EXP(-up_RadSpec!BC13*s_t_b)))/(s_P*up_RadSpec!BC13))),".")</f>
        <v>993.50362303732038</v>
      </c>
      <c r="N13" s="72">
        <f>IFERROR(IF(up_Bv!N13=0,".",((s_Ir*s_F*up_Bv!N13*(1-EXP(-up_RadSpec!BC13*s_t_b)))/(s_P*up_RadSpec!BC13))),".")</f>
        <v>993.50362303732038</v>
      </c>
      <c r="O13" s="72">
        <f>IFERROR(IF(up_Bv!O13=0,".",((s_Ir*s_F*up_Bv!O13*(1-EXP(-up_RadSpec!BC13*s_t_b)))/(s_P*up_RadSpec!BC13))),".")</f>
        <v>993.50362303732038</v>
      </c>
      <c r="P13" s="72">
        <f>IFERROR(IF(up_Bv!P13=0,".",((s_Ir*s_F*up_Bv!P13*(1-EXP(-up_RadSpec!BC13*s_t_b)))/(s_P*up_RadSpec!BC13))),".")</f>
        <v>993.50362303732038</v>
      </c>
      <c r="Q13" s="72">
        <f>IFERROR(IF(up_Bv!Q13=0,".",((s_Ir*s_F*up_Bv!Q13*(1-EXP(-up_RadSpec!BC13*s_t_b)))/(s_P*up_RadSpec!BC13))),".")</f>
        <v>993.50362303732038</v>
      </c>
      <c r="R13" s="72">
        <f>IFERROR(IF(up_Bv!R13=0,".",((s_Ir*s_F*up_Bv!R13*(1-EXP(-up_RadSpec!BC13*s_t_b)))/(s_P*up_RadSpec!BC13))),".")</f>
        <v>993.50362303732038</v>
      </c>
      <c r="S13" s="72">
        <f>IFERROR(IF(up_Bv!S13=0,".",((s_Ir*s_F*up_Bv!S13*(1-EXP(-up_RadSpec!BC13*s_t_b)))/(s_P*up_RadSpec!BC13))),".")</f>
        <v>993.50362303732038</v>
      </c>
      <c r="T13" s="72">
        <f>IFERROR(IF(up_Bv!T13=0,".",((s_Ir*s_F*up_Bv!T13*(1-EXP(-up_RadSpec!BC13*s_t_b)))/(s_P*up_RadSpec!BC13))),".")</f>
        <v>993.50362303732038</v>
      </c>
      <c r="U13" s="72">
        <f>IFERROR(IF(up_Bv!U13=0,".",((s_Ir*s_F*up_Bv!U13*(1-EXP(-up_RadSpec!BC13*s_t_b)))/(s_P*up_RadSpec!BC13))),".")</f>
        <v>993.50362303732038</v>
      </c>
      <c r="V13" s="72">
        <f>IFERROR(IF(up_Bv!V13=0,".",((s_Ir*s_F*up_Bv!V13*(1-EXP(-up_RadSpec!BC13*s_t_b)))/(s_P*up_RadSpec!BC13))),".")</f>
        <v>993.50362303732038</v>
      </c>
      <c r="W13" s="72">
        <f>IFERROR(IF(up_Bv!W13=0,".",((s_Ir*s_F*up_Bv!W13*(1-EXP(-up_RadSpec!BC13*s_t_b)))/(s_P*up_RadSpec!BC13))),".")</f>
        <v>993.50362303732038</v>
      </c>
      <c r="X13" s="72">
        <f>IFERROR(IF(up_Bv!X13=0,".",((s_Ir*s_F*up_Bv!X13*(1-EXP(-up_RadSpec!BC13*s_t_b)))/(s_P*up_RadSpec!BC13))),".")</f>
        <v>993.50362303732038</v>
      </c>
      <c r="Y13" s="72">
        <f>IFERROR(IF(up_Bv!Y13=0,".",((s_Ir*s_F*up_Bv!Y13*(1-EXP(-up_RadSpec!BC13*s_t_b)))/(s_P*up_RadSpec!BC13))),".")</f>
        <v>993.50362303732038</v>
      </c>
      <c r="Z13" s="72">
        <f>IFERROR(IF(up_Bv!Z13=0,".",((s_Ir*s_F*up_Bv!Z13*(1-EXP(-up_RadSpec!BC13*s_t_b)))/(s_P*up_RadSpec!BC13))),".")</f>
        <v>993.50362303732038</v>
      </c>
      <c r="AA13" s="72">
        <f>IFERROR(IF(up_Bv!C13=0,".",((s_Ir*s_F*s_MLF_apple*(1-EXP(-up_RadSpec!BC13*s_t_b)))/(s_P*up_RadSpec!BC13))),".")</f>
        <v>2.6824597822007652</v>
      </c>
      <c r="AB13" s="72">
        <f>IFERROR(IF(up_Bv!D13=0,".",((s_Ir*s_F*s_MLF_asparagus*(1-EXP(-up_RadSpec!BC13*s_t_b)))/(s_P*up_RadSpec!BC13))),".")</f>
        <v>2.6824597822007652</v>
      </c>
      <c r="AC13" s="72">
        <f>IFERROR(IF(up_Bv!E13=0,".",((s_Ir*s_F*s_MLF_beet*(1-EXP(-up_RadSpec!BC13*s_t_b)))/(s_P*up_RadSpec!BC13))),".")</f>
        <v>2.6824597822007652</v>
      </c>
      <c r="AD13" s="72">
        <f>IFERROR(IF(up_Bv!F13=0,".",((s_Ir*s_F*s_MLF_berries*(1-EXP(-up_RadSpec!BC13*s_t_b)))/(s_P*up_RadSpec!BC13))),".")</f>
        <v>2.6824597822007652</v>
      </c>
      <c r="AE13" s="72">
        <f>IFERROR(IF(up_Bv!G13=0,".",((s_Ir*s_F*s_MLF_broccoli*(1-EXP(-up_RadSpec!BC13*s_t_b)))/(s_P*up_RadSpec!BC13))),".")</f>
        <v>2.6824597822007652</v>
      </c>
      <c r="AF13" s="72">
        <f>IFERROR(IF(up_Bv!H13=0,".",((s_Ir*s_F*s_MLF_cabbage*(1-EXP(-up_RadSpec!BC13*s_t_b)))/(s_P*up_RadSpec!BC13))),".")</f>
        <v>2.6824597822007652</v>
      </c>
      <c r="AG13" s="72">
        <f>IFERROR(IF(up_Bv!I13=0,".",((s_Ir*s_F*s_MLF_carrot*(1-EXP(-up_RadSpec!BC13*s_t_b)))/(s_P*up_RadSpec!BC13))),".")</f>
        <v>2.6824597822007652</v>
      </c>
      <c r="AH13" s="72">
        <f>IFERROR(IF(up_Bv!J13=0,".",((s_Ir*s_F*s_MLF_citrus*(1-EXP(-up_RadSpec!BC13*s_t_b)))/(s_P*up_RadSpec!BC13))),".")</f>
        <v>2.6824597822007652</v>
      </c>
      <c r="AI13" s="72">
        <f>IFERROR(IF(up_Bv!K13=0,".",((s_Ir*s_F*s_MLF_corn*(1-EXP(-up_RadSpec!BC13*s_t_b)))/(s_P*up_RadSpec!BC13))),".")</f>
        <v>2.6824597822007652</v>
      </c>
      <c r="AJ13" s="72">
        <f>IFERROR(IF(up_Bv!L13=0,".",((s_Ir*s_F*s_MLF_cucumber*(1-EXP(-up_RadSpec!BC13*s_t_b)))/(s_P*up_RadSpec!BC13))),".")</f>
        <v>2.6824597822007652</v>
      </c>
      <c r="AK13" s="72">
        <f>IFERROR(IF(up_Bv!M13=0,".",((s_Ir*s_F*s_MLF_lettuce*(1-EXP(-up_RadSpec!BC13*s_t_b)))/(s_P*up_RadSpec!BC13))),".")</f>
        <v>2.6824597822007652</v>
      </c>
      <c r="AL13" s="72">
        <f>IFERROR(IF(up_Bv!N13=0,".",((s_Ir*s_F*s_MLF_lima_bean*(1-EXP(-up_RadSpec!BC13*s_t_b)))/(s_P*up_RadSpec!BC13))),".")</f>
        <v>2.6824597822007652</v>
      </c>
      <c r="AM13" s="72">
        <f>IFERROR(IF(up_Bv!O13=0,".",((s_Ir*s_F*s_MLF_okra*(1-EXP(-up_RadSpec!BC13*s_t_b)))/(s_P*up_RadSpec!BC13))),".")</f>
        <v>2.6824597822007652</v>
      </c>
      <c r="AN13" s="72">
        <f>IFERROR(IF(up_Bv!P13=0,".",((s_Ir*s_F*s_MLF_onion*(1-EXP(-up_RadSpec!BC13*s_t_b)))/(s_P*up_RadSpec!BC13))),".")</f>
        <v>2.6824597822007652</v>
      </c>
      <c r="AO13" s="72">
        <f>IFERROR(IF(up_Bv!Q13=0,".",((s_Ir*s_F*s_MLF_peach*(1-EXP(-up_RadSpec!BC13*s_t_b)))/(s_P*up_RadSpec!BC13))),".")</f>
        <v>2.6824597822007652</v>
      </c>
      <c r="AP13" s="72">
        <f>IFERROR(IF(up_Bv!R13=0,".",((s_Ir*s_F*s_MLF_pear*(1-EXP(-up_RadSpec!BC13*s_t_b)))/(s_P*up_RadSpec!BC13))),".")</f>
        <v>2.6824597822007652</v>
      </c>
      <c r="AQ13" s="72">
        <f>IFERROR(IF(up_Bv!S13=0,".",((s_Ir*s_F*s_MLF_peas*(1-EXP(-up_RadSpec!BC13*s_t_b)))/(s_P*up_RadSpec!BC13))),".")</f>
        <v>2.6824597822007652</v>
      </c>
      <c r="AR13" s="72">
        <f>IFERROR(IF(up_Bv!T13=0,".",((s_Ir*s_F*s_MLF_potato*(1-EXP(-up_RadSpec!BC13*s_t_b)))/(s_P*up_RadSpec!BC13))),".")</f>
        <v>2.6824597822007652</v>
      </c>
      <c r="AS13" s="72">
        <f>IFERROR(IF(up_Bv!U13=0,".",((s_Ir*s_F*s_MLF_pumpkin*(1-EXP(-up_RadSpec!BC13*s_t_b)))/(s_P*up_RadSpec!BC13))),".")</f>
        <v>2.6824597822007652</v>
      </c>
      <c r="AT13" s="72">
        <f>IFERROR(IF(up_Bv!V13=0,".",((s_Ir*s_F*s_MLF_snap_bean*(1-EXP(-up_RadSpec!BC13*s_t_b)))/(s_P*up_RadSpec!BC13))),".")</f>
        <v>2.6824597822007652</v>
      </c>
      <c r="AU13" s="72">
        <f>IFERROR(IF(up_Bv!W13=0,".",((s_Ir*s_F*s_MLF_strawberry*(1-EXP(-up_RadSpec!BC13*s_t_b)))/(s_P*up_RadSpec!BC13))),".")</f>
        <v>2.6824597822007652</v>
      </c>
      <c r="AV13" s="72">
        <f>IFERROR(IF(up_Bv!X13=0,".",((s_Ir*s_F*s_MLF_tomato*(1-EXP(-up_RadSpec!BC13*s_t_b)))/(s_P*up_RadSpec!BC13))),".")</f>
        <v>2.6824597822007652</v>
      </c>
      <c r="AW13" s="72">
        <f>IFERROR(IF(up_Bv!Y13=0,".",((s_Ir*s_F*s_MLF_rice*(1-EXP(-up_RadSpec!BC13*s_t_b)))/(s_P*up_RadSpec!BC13))),".")</f>
        <v>2.6824597822007652</v>
      </c>
      <c r="AX13" s="72">
        <f>IFERROR(IF(up_Bv!Z13=0,".",((s_Ir*s_F*s_MLF_cereal*(1-EXP(-up_RadSpec!BC13*s_t_b)))/(s_P*up_RadSpec!BC13))),".")</f>
        <v>2.6824597822007652</v>
      </c>
      <c r="AY13" s="72">
        <f>IFERROR(IF(up_Bv!C13=0,".",((s_Ir*s_F*s_I_f*s_T*(1-EXP(-up_RadSpec!BD13*s_t_v)))/(s_Y_v*up_RadSpec!BD13))),".")</f>
        <v>9.0143481925428208</v>
      </c>
      <c r="AZ13" s="72">
        <f>IFERROR(IF(up_Bv!D13=0,".",((s_Ir*s_F*s_I_f*s_T*(1-EXP(-up_RadSpec!BD13*s_t_v)))/(s_Y_v*up_RadSpec!BD13))),".")</f>
        <v>9.0143481925428208</v>
      </c>
      <c r="BA13" s="72">
        <f>IFERROR(IF(up_Bv!E13=0,".",((s_Ir*s_F*s_I_f*s_T*(1-EXP(-up_RadSpec!BD13*s_t_v)))/(s_Y_v*up_RadSpec!BD13))),".")</f>
        <v>9.0143481925428208</v>
      </c>
      <c r="BB13" s="72">
        <f>IFERROR(IF(up_Bv!F13=0,".",((s_Ir*s_F*s_I_f*s_T*(1-EXP(-up_RadSpec!BD13*s_t_v)))/(s_Y_v*up_RadSpec!BD13))),".")</f>
        <v>9.0143481925428208</v>
      </c>
      <c r="BC13" s="72">
        <f>IFERROR(IF(up_Bv!G13=0,".",((s_Ir*s_F*s_I_f*s_T*(1-EXP(-up_RadSpec!BD13*s_t_v)))/(s_Y_v*up_RadSpec!BD13))),".")</f>
        <v>9.0143481925428208</v>
      </c>
      <c r="BD13" s="72">
        <f>IFERROR(IF(up_Bv!H13=0,".",((s_Ir*s_F*s_I_f*s_T*(1-EXP(-up_RadSpec!BD13*s_t_v)))/(s_Y_v*up_RadSpec!BD13))),".")</f>
        <v>9.0143481925428208</v>
      </c>
      <c r="BE13" s="72">
        <f>IFERROR(IF(up_Bv!I13=0,".",((s_Ir*s_F*s_I_f*s_T*(1-EXP(-up_RadSpec!BD13*s_t_v)))/(s_Y_v*up_RadSpec!BD13))),".")</f>
        <v>9.0143481925428208</v>
      </c>
      <c r="BF13" s="72">
        <f>IFERROR(IF(up_Bv!J13=0,".",((s_Ir*s_F*s_I_f*s_T*(1-EXP(-up_RadSpec!BD13*s_t_v)))/(s_Y_v*up_RadSpec!BD13))),".")</f>
        <v>9.0143481925428208</v>
      </c>
      <c r="BG13" s="72">
        <f>IFERROR(IF(up_Bv!K13=0,".",((s_Ir*s_F*s_I_f*s_T*(1-EXP(-up_RadSpec!BD13*s_t_v)))/(s_Y_v*up_RadSpec!BD13))),".")</f>
        <v>9.0143481925428208</v>
      </c>
      <c r="BH13" s="72">
        <f>IFERROR(IF(up_Bv!L13=0,".",((s_Ir*s_F*s_I_f*s_T*(1-EXP(-up_RadSpec!BD13*s_t_v)))/(s_Y_v*up_RadSpec!BD13))),".")</f>
        <v>9.0143481925428208</v>
      </c>
      <c r="BI13" s="72">
        <f>IFERROR(IF(up_Bv!M13=0,".",((s_Ir*s_F*s_I_f*s_T*(1-EXP(-up_RadSpec!BD13*s_t_v)))/(s_Y_v*up_RadSpec!BD13))),".")</f>
        <v>9.0143481925428208</v>
      </c>
      <c r="BJ13" s="72">
        <f>IFERROR(IF(up_Bv!N13=0,".",((s_Ir*s_F*s_I_f*s_T*(1-EXP(-up_RadSpec!BD13*s_t_v)))/(s_Y_v*up_RadSpec!BD13))),".")</f>
        <v>9.0143481925428208</v>
      </c>
      <c r="BK13" s="72">
        <f>IFERROR(IF(up_Bv!O13=0,".",((s_Ir*s_F*s_I_f*s_T*(1-EXP(-up_RadSpec!BD13*s_t_v)))/(s_Y_v*up_RadSpec!BD13))),".")</f>
        <v>9.0143481925428208</v>
      </c>
      <c r="BL13" s="72">
        <f>IFERROR(IF(up_Bv!P13=0,".",((s_Ir*s_F*s_I_f*s_T*(1-EXP(-up_RadSpec!BD13*s_t_v)))/(s_Y_v*up_RadSpec!BD13))),".")</f>
        <v>9.0143481925428208</v>
      </c>
      <c r="BM13" s="72">
        <f>IFERROR(IF(up_Bv!Q13=0,".",((s_Ir*s_F*s_I_f*s_T*(1-EXP(-up_RadSpec!BD13*s_t_v)))/(s_Y_v*up_RadSpec!BD13))),".")</f>
        <v>9.0143481925428208</v>
      </c>
      <c r="BN13" s="72">
        <f>IFERROR(IF(up_Bv!R13=0,".",((s_Ir*s_F*s_I_f*s_T*(1-EXP(-up_RadSpec!BD13*s_t_v)))/(s_Y_v*up_RadSpec!BD13))),".")</f>
        <v>9.0143481925428208</v>
      </c>
      <c r="BO13" s="72">
        <f>IFERROR(IF(up_Bv!S13=0,".",((s_Ir*s_F*s_I_f*s_T*(1-EXP(-up_RadSpec!BD13*s_t_v)))/(s_Y_v*up_RadSpec!BD13))),".")</f>
        <v>9.0143481925428208</v>
      </c>
      <c r="BP13" s="72">
        <f>IFERROR(IF(up_Bv!T13=0,".",((s_Ir*s_F*s_I_f*s_T*(1-EXP(-up_RadSpec!BD13*s_t_v)))/(s_Y_v*up_RadSpec!BD13))),".")</f>
        <v>9.0143481925428208</v>
      </c>
      <c r="BQ13" s="72">
        <f>IFERROR(IF(up_Bv!U13=0,".",((s_Ir*s_F*s_I_f*s_T*(1-EXP(-up_RadSpec!BD13*s_t_v)))/(s_Y_v*up_RadSpec!BD13))),".")</f>
        <v>9.0143481925428208</v>
      </c>
      <c r="BR13" s="72">
        <f>IFERROR(IF(up_Bv!V13=0,".",((s_Ir*s_F*s_I_f*s_T*(1-EXP(-up_RadSpec!BD13*s_t_v)))/(s_Y_v*up_RadSpec!BD13))),".")</f>
        <v>9.0143481925428208</v>
      </c>
      <c r="BS13" s="72">
        <f>IFERROR(IF(up_Bv!W13=0,".",((s_Ir*s_F*s_I_f*s_T*(1-EXP(-up_RadSpec!BD13*s_t_v)))/(s_Y_v*up_RadSpec!BD13))),".")</f>
        <v>9.0143481925428208</v>
      </c>
      <c r="BT13" s="72">
        <f>IFERROR(IF(up_Bv!X13=0,".",((s_Ir*s_F*s_I_f*s_T*(1-EXP(-up_RadSpec!BD13*s_t_v)))/(s_Y_v*up_RadSpec!BD13))),".")</f>
        <v>9.0143481925428208</v>
      </c>
      <c r="BU13" s="72">
        <f>IFERROR(IF(up_Bv!Y13=0,".",((s_Ir*s_F*s_I_f*s_T*(1-EXP(-up_RadSpec!BD13*s_t_v)))/(s_Y_v*up_RadSpec!BD13))),".")</f>
        <v>9.0143481925428208</v>
      </c>
      <c r="BV13" s="72">
        <f>IFERROR(IF(up_Bv!Z13=0,".",((s_Ir*s_F*s_I_f*s_T*(1-EXP(-up_RadSpec!BD13*s_t_v)))/(s_Y_v*up_RadSpec!BD13))),".")</f>
        <v>9.0143481925428208</v>
      </c>
    </row>
    <row r="14" spans="1:74" x14ac:dyDescent="0.25">
      <c r="A14" s="31" t="s">
        <v>12</v>
      </c>
      <c r="B14" s="3" t="s">
        <v>1059</v>
      </c>
      <c r="C14" s="72">
        <f>IFERROR(IF(up_Bv!C14=0,".",((s_Ir*s_F*up_Bv!C14*(1-EXP(-up_RadSpec!$BC14*s_t_b)))/(s_P*up_RadSpec!$BC14))),".")</f>
        <v>993.50362303732038</v>
      </c>
      <c r="D14" s="72">
        <f>IFERROR(IF(up_Bv!D14=0,".",((s_Ir*s_F*up_Bv!D14*(1-EXP(-up_RadSpec!BC14*s_t_b)))/(s_P*up_RadSpec!BC14))),".")</f>
        <v>993.50362303732038</v>
      </c>
      <c r="E14" s="72">
        <f>IFERROR(IF(up_Bv!E14=0,".",((s_Ir*s_F*up_Bv!E14*(1-EXP(-up_RadSpec!BC14*s_t_b)))/(s_P*up_RadSpec!BC14))),".")</f>
        <v>993.50362303732038</v>
      </c>
      <c r="F14" s="72">
        <f>IFERROR(IF(up_Bv!F14=0,".",((s_Ir*s_F*up_Bv!F14*(1-EXP(-up_RadSpec!BC14*s_t_b)))/(s_P*up_RadSpec!BC14))),".")</f>
        <v>993.50362303732038</v>
      </c>
      <c r="G14" s="72">
        <f>IFERROR(IF(up_Bv!G14=0,".",((s_Ir*s_F*up_Bv!G14*(1-EXP(-up_RadSpec!BC14*s_t_b)))/(s_P*up_RadSpec!BC14))),".")</f>
        <v>993.50362303732038</v>
      </c>
      <c r="H14" s="72">
        <f>IFERROR(IF(up_Bv!H14=0,".",((s_Ir*s_F*up_Bv!H14*(1-EXP(-up_RadSpec!BC14*s_t_b)))/(s_P*up_RadSpec!BC14))),".")</f>
        <v>993.50362303732038</v>
      </c>
      <c r="I14" s="72">
        <f>IFERROR(IF(up_Bv!I14=0,".",((s_Ir*s_F*up_Bv!I14*(1-EXP(-up_RadSpec!BC14*s_t_b)))/(s_P*up_RadSpec!BC14))),".")</f>
        <v>993.50362303732038</v>
      </c>
      <c r="J14" s="72">
        <f>IFERROR(IF(up_Bv!J14=0,".",((s_Ir*s_F*up_Bv!J14*(1-EXP(-up_RadSpec!BC14*s_t_b)))/(s_P*up_RadSpec!BC14))),".")</f>
        <v>993.50362303732038</v>
      </c>
      <c r="K14" s="72">
        <f>IFERROR(IF(up_Bv!K14=0,".",((s_Ir*s_F*up_Bv!K14*(1-EXP(-up_RadSpec!BC14*s_t_b)))/(s_P*up_RadSpec!BC14))),".")</f>
        <v>993.50362303732038</v>
      </c>
      <c r="L14" s="72">
        <f>IFERROR(IF(up_Bv!L14=0,".",((s_Ir*s_F*up_Bv!L14*(1-EXP(-up_RadSpec!BC14*s_t_b)))/(s_P*up_RadSpec!BC14))),".")</f>
        <v>993.50362303732038</v>
      </c>
      <c r="M14" s="72">
        <f>IFERROR(IF(up_Bv!M14=0,".",((s_Ir*s_F*up_Bv!M14*(1-EXP(-up_RadSpec!BC14*s_t_b)))/(s_P*up_RadSpec!BC14))),".")</f>
        <v>993.50362303732038</v>
      </c>
      <c r="N14" s="72">
        <f>IFERROR(IF(up_Bv!N14=0,".",((s_Ir*s_F*up_Bv!N14*(1-EXP(-up_RadSpec!BC14*s_t_b)))/(s_P*up_RadSpec!BC14))),".")</f>
        <v>993.50362303732038</v>
      </c>
      <c r="O14" s="72">
        <f>IFERROR(IF(up_Bv!O14=0,".",((s_Ir*s_F*up_Bv!O14*(1-EXP(-up_RadSpec!BC14*s_t_b)))/(s_P*up_RadSpec!BC14))),".")</f>
        <v>993.50362303732038</v>
      </c>
      <c r="P14" s="72">
        <f>IFERROR(IF(up_Bv!P14=0,".",((s_Ir*s_F*up_Bv!P14*(1-EXP(-up_RadSpec!BC14*s_t_b)))/(s_P*up_RadSpec!BC14))),".")</f>
        <v>993.50362303732038</v>
      </c>
      <c r="Q14" s="72">
        <f>IFERROR(IF(up_Bv!Q14=0,".",((s_Ir*s_F*up_Bv!Q14*(1-EXP(-up_RadSpec!BC14*s_t_b)))/(s_P*up_RadSpec!BC14))),".")</f>
        <v>993.50362303732038</v>
      </c>
      <c r="R14" s="72">
        <f>IFERROR(IF(up_Bv!R14=0,".",((s_Ir*s_F*up_Bv!R14*(1-EXP(-up_RadSpec!BC14*s_t_b)))/(s_P*up_RadSpec!BC14))),".")</f>
        <v>993.50362303732038</v>
      </c>
      <c r="S14" s="72">
        <f>IFERROR(IF(up_Bv!S14=0,".",((s_Ir*s_F*up_Bv!S14*(1-EXP(-up_RadSpec!BC14*s_t_b)))/(s_P*up_RadSpec!BC14))),".")</f>
        <v>993.50362303732038</v>
      </c>
      <c r="T14" s="72">
        <f>IFERROR(IF(up_Bv!T14=0,".",((s_Ir*s_F*up_Bv!T14*(1-EXP(-up_RadSpec!BC14*s_t_b)))/(s_P*up_RadSpec!BC14))),".")</f>
        <v>993.50362303732038</v>
      </c>
      <c r="U14" s="72">
        <f>IFERROR(IF(up_Bv!U14=0,".",((s_Ir*s_F*up_Bv!U14*(1-EXP(-up_RadSpec!BC14*s_t_b)))/(s_P*up_RadSpec!BC14))),".")</f>
        <v>993.50362303732038</v>
      </c>
      <c r="V14" s="72">
        <f>IFERROR(IF(up_Bv!V14=0,".",((s_Ir*s_F*up_Bv!V14*(1-EXP(-up_RadSpec!BC14*s_t_b)))/(s_P*up_RadSpec!BC14))),".")</f>
        <v>993.50362303732038</v>
      </c>
      <c r="W14" s="72">
        <f>IFERROR(IF(up_Bv!W14=0,".",((s_Ir*s_F*up_Bv!W14*(1-EXP(-up_RadSpec!BC14*s_t_b)))/(s_P*up_RadSpec!BC14))),".")</f>
        <v>993.50362303732038</v>
      </c>
      <c r="X14" s="72">
        <f>IFERROR(IF(up_Bv!X14=0,".",((s_Ir*s_F*up_Bv!X14*(1-EXP(-up_RadSpec!BC14*s_t_b)))/(s_P*up_RadSpec!BC14))),".")</f>
        <v>993.50362303732038</v>
      </c>
      <c r="Y14" s="72">
        <f>IFERROR(IF(up_Bv!Y14=0,".",((s_Ir*s_F*up_Bv!Y14*(1-EXP(-up_RadSpec!BC14*s_t_b)))/(s_P*up_RadSpec!BC14))),".")</f>
        <v>993.50362303732038</v>
      </c>
      <c r="Z14" s="72">
        <f>IFERROR(IF(up_Bv!Z14=0,".",((s_Ir*s_F*up_Bv!Z14*(1-EXP(-up_RadSpec!BC14*s_t_b)))/(s_P*up_RadSpec!BC14))),".")</f>
        <v>993.50362303732038</v>
      </c>
      <c r="AA14" s="72">
        <f>IFERROR(IF(up_Bv!C14=0,".",((s_Ir*s_F*s_MLF_apple*(1-EXP(-up_RadSpec!BC14*s_t_b)))/(s_P*up_RadSpec!BC14))),".")</f>
        <v>2.6824597822007652</v>
      </c>
      <c r="AB14" s="72">
        <f>IFERROR(IF(up_Bv!D14=0,".",((s_Ir*s_F*s_MLF_asparagus*(1-EXP(-up_RadSpec!BC14*s_t_b)))/(s_P*up_RadSpec!BC14))),".")</f>
        <v>2.6824597822007652</v>
      </c>
      <c r="AC14" s="72">
        <f>IFERROR(IF(up_Bv!E14=0,".",((s_Ir*s_F*s_MLF_beet*(1-EXP(-up_RadSpec!BC14*s_t_b)))/(s_P*up_RadSpec!BC14))),".")</f>
        <v>2.6824597822007652</v>
      </c>
      <c r="AD14" s="72">
        <f>IFERROR(IF(up_Bv!F14=0,".",((s_Ir*s_F*s_MLF_berries*(1-EXP(-up_RadSpec!BC14*s_t_b)))/(s_P*up_RadSpec!BC14))),".")</f>
        <v>2.6824597822007652</v>
      </c>
      <c r="AE14" s="72">
        <f>IFERROR(IF(up_Bv!G14=0,".",((s_Ir*s_F*s_MLF_broccoli*(1-EXP(-up_RadSpec!BC14*s_t_b)))/(s_P*up_RadSpec!BC14))),".")</f>
        <v>2.6824597822007652</v>
      </c>
      <c r="AF14" s="72">
        <f>IFERROR(IF(up_Bv!H14=0,".",((s_Ir*s_F*s_MLF_cabbage*(1-EXP(-up_RadSpec!BC14*s_t_b)))/(s_P*up_RadSpec!BC14))),".")</f>
        <v>2.6824597822007652</v>
      </c>
      <c r="AG14" s="72">
        <f>IFERROR(IF(up_Bv!I14=0,".",((s_Ir*s_F*s_MLF_carrot*(1-EXP(-up_RadSpec!BC14*s_t_b)))/(s_P*up_RadSpec!BC14))),".")</f>
        <v>2.6824597822007652</v>
      </c>
      <c r="AH14" s="72">
        <f>IFERROR(IF(up_Bv!J14=0,".",((s_Ir*s_F*s_MLF_citrus*(1-EXP(-up_RadSpec!BC14*s_t_b)))/(s_P*up_RadSpec!BC14))),".")</f>
        <v>2.6824597822007652</v>
      </c>
      <c r="AI14" s="72">
        <f>IFERROR(IF(up_Bv!K14=0,".",((s_Ir*s_F*s_MLF_corn*(1-EXP(-up_RadSpec!BC14*s_t_b)))/(s_P*up_RadSpec!BC14))),".")</f>
        <v>2.6824597822007652</v>
      </c>
      <c r="AJ14" s="72">
        <f>IFERROR(IF(up_Bv!L14=0,".",((s_Ir*s_F*s_MLF_cucumber*(1-EXP(-up_RadSpec!BC14*s_t_b)))/(s_P*up_RadSpec!BC14))),".")</f>
        <v>2.6824597822007652</v>
      </c>
      <c r="AK14" s="72">
        <f>IFERROR(IF(up_Bv!M14=0,".",((s_Ir*s_F*s_MLF_lettuce*(1-EXP(-up_RadSpec!BC14*s_t_b)))/(s_P*up_RadSpec!BC14))),".")</f>
        <v>2.6824597822007652</v>
      </c>
      <c r="AL14" s="72">
        <f>IFERROR(IF(up_Bv!N14=0,".",((s_Ir*s_F*s_MLF_lima_bean*(1-EXP(-up_RadSpec!BC14*s_t_b)))/(s_P*up_RadSpec!BC14))),".")</f>
        <v>2.6824597822007652</v>
      </c>
      <c r="AM14" s="72">
        <f>IFERROR(IF(up_Bv!O14=0,".",((s_Ir*s_F*s_MLF_okra*(1-EXP(-up_RadSpec!BC14*s_t_b)))/(s_P*up_RadSpec!BC14))),".")</f>
        <v>2.6824597822007652</v>
      </c>
      <c r="AN14" s="72">
        <f>IFERROR(IF(up_Bv!P14=0,".",((s_Ir*s_F*s_MLF_onion*(1-EXP(-up_RadSpec!BC14*s_t_b)))/(s_P*up_RadSpec!BC14))),".")</f>
        <v>2.6824597822007652</v>
      </c>
      <c r="AO14" s="72">
        <f>IFERROR(IF(up_Bv!Q14=0,".",((s_Ir*s_F*s_MLF_peach*(1-EXP(-up_RadSpec!BC14*s_t_b)))/(s_P*up_RadSpec!BC14))),".")</f>
        <v>2.6824597822007652</v>
      </c>
      <c r="AP14" s="72">
        <f>IFERROR(IF(up_Bv!R14=0,".",((s_Ir*s_F*s_MLF_pear*(1-EXP(-up_RadSpec!BC14*s_t_b)))/(s_P*up_RadSpec!BC14))),".")</f>
        <v>2.6824597822007652</v>
      </c>
      <c r="AQ14" s="72">
        <f>IFERROR(IF(up_Bv!S14=0,".",((s_Ir*s_F*s_MLF_peas*(1-EXP(-up_RadSpec!BC14*s_t_b)))/(s_P*up_RadSpec!BC14))),".")</f>
        <v>2.6824597822007652</v>
      </c>
      <c r="AR14" s="72">
        <f>IFERROR(IF(up_Bv!T14=0,".",((s_Ir*s_F*s_MLF_potato*(1-EXP(-up_RadSpec!BC14*s_t_b)))/(s_P*up_RadSpec!BC14))),".")</f>
        <v>2.6824597822007652</v>
      </c>
      <c r="AS14" s="72">
        <f>IFERROR(IF(up_Bv!U14=0,".",((s_Ir*s_F*s_MLF_pumpkin*(1-EXP(-up_RadSpec!BC14*s_t_b)))/(s_P*up_RadSpec!BC14))),".")</f>
        <v>2.6824597822007652</v>
      </c>
      <c r="AT14" s="72">
        <f>IFERROR(IF(up_Bv!V14=0,".",((s_Ir*s_F*s_MLF_snap_bean*(1-EXP(-up_RadSpec!BC14*s_t_b)))/(s_P*up_RadSpec!BC14))),".")</f>
        <v>2.6824597822007652</v>
      </c>
      <c r="AU14" s="72">
        <f>IFERROR(IF(up_Bv!W14=0,".",((s_Ir*s_F*s_MLF_strawberry*(1-EXP(-up_RadSpec!BC14*s_t_b)))/(s_P*up_RadSpec!BC14))),".")</f>
        <v>2.6824597822007652</v>
      </c>
      <c r="AV14" s="72">
        <f>IFERROR(IF(up_Bv!X14=0,".",((s_Ir*s_F*s_MLF_tomato*(1-EXP(-up_RadSpec!BC14*s_t_b)))/(s_P*up_RadSpec!BC14))),".")</f>
        <v>2.6824597822007652</v>
      </c>
      <c r="AW14" s="72">
        <f>IFERROR(IF(up_Bv!Y14=0,".",((s_Ir*s_F*s_MLF_rice*(1-EXP(-up_RadSpec!BC14*s_t_b)))/(s_P*up_RadSpec!BC14))),".")</f>
        <v>2.6824597822007652</v>
      </c>
      <c r="AX14" s="72">
        <f>IFERROR(IF(up_Bv!Z14=0,".",((s_Ir*s_F*s_MLF_cereal*(1-EXP(-up_RadSpec!BC14*s_t_b)))/(s_P*up_RadSpec!BC14))),".")</f>
        <v>2.6824597822007652</v>
      </c>
      <c r="AY14" s="72">
        <f>IFERROR(IF(up_Bv!C14=0,".",((s_Ir*s_F*s_I_f*s_T*(1-EXP(-up_RadSpec!BD14*s_t_v)))/(s_Y_v*up_RadSpec!BD14))),".")</f>
        <v>9.0143481925428208</v>
      </c>
      <c r="AZ14" s="72">
        <f>IFERROR(IF(up_Bv!D14=0,".",((s_Ir*s_F*s_I_f*s_T*(1-EXP(-up_RadSpec!BD14*s_t_v)))/(s_Y_v*up_RadSpec!BD14))),".")</f>
        <v>9.0143481925428208</v>
      </c>
      <c r="BA14" s="72">
        <f>IFERROR(IF(up_Bv!E14=0,".",((s_Ir*s_F*s_I_f*s_T*(1-EXP(-up_RadSpec!BD14*s_t_v)))/(s_Y_v*up_RadSpec!BD14))),".")</f>
        <v>9.0143481925428208</v>
      </c>
      <c r="BB14" s="72">
        <f>IFERROR(IF(up_Bv!F14=0,".",((s_Ir*s_F*s_I_f*s_T*(1-EXP(-up_RadSpec!BD14*s_t_v)))/(s_Y_v*up_RadSpec!BD14))),".")</f>
        <v>9.0143481925428208</v>
      </c>
      <c r="BC14" s="72">
        <f>IFERROR(IF(up_Bv!G14=0,".",((s_Ir*s_F*s_I_f*s_T*(1-EXP(-up_RadSpec!BD14*s_t_v)))/(s_Y_v*up_RadSpec!BD14))),".")</f>
        <v>9.0143481925428208</v>
      </c>
      <c r="BD14" s="72">
        <f>IFERROR(IF(up_Bv!H14=0,".",((s_Ir*s_F*s_I_f*s_T*(1-EXP(-up_RadSpec!BD14*s_t_v)))/(s_Y_v*up_RadSpec!BD14))),".")</f>
        <v>9.0143481925428208</v>
      </c>
      <c r="BE14" s="72">
        <f>IFERROR(IF(up_Bv!I14=0,".",((s_Ir*s_F*s_I_f*s_T*(1-EXP(-up_RadSpec!BD14*s_t_v)))/(s_Y_v*up_RadSpec!BD14))),".")</f>
        <v>9.0143481925428208</v>
      </c>
      <c r="BF14" s="72">
        <f>IFERROR(IF(up_Bv!J14=0,".",((s_Ir*s_F*s_I_f*s_T*(1-EXP(-up_RadSpec!BD14*s_t_v)))/(s_Y_v*up_RadSpec!BD14))),".")</f>
        <v>9.0143481925428208</v>
      </c>
      <c r="BG14" s="72">
        <f>IFERROR(IF(up_Bv!K14=0,".",((s_Ir*s_F*s_I_f*s_T*(1-EXP(-up_RadSpec!BD14*s_t_v)))/(s_Y_v*up_RadSpec!BD14))),".")</f>
        <v>9.0143481925428208</v>
      </c>
      <c r="BH14" s="72">
        <f>IFERROR(IF(up_Bv!L14=0,".",((s_Ir*s_F*s_I_f*s_T*(1-EXP(-up_RadSpec!BD14*s_t_v)))/(s_Y_v*up_RadSpec!BD14))),".")</f>
        <v>9.0143481925428208</v>
      </c>
      <c r="BI14" s="72">
        <f>IFERROR(IF(up_Bv!M14=0,".",((s_Ir*s_F*s_I_f*s_T*(1-EXP(-up_RadSpec!BD14*s_t_v)))/(s_Y_v*up_RadSpec!BD14))),".")</f>
        <v>9.0143481925428208</v>
      </c>
      <c r="BJ14" s="72">
        <f>IFERROR(IF(up_Bv!N14=0,".",((s_Ir*s_F*s_I_f*s_T*(1-EXP(-up_RadSpec!BD14*s_t_v)))/(s_Y_v*up_RadSpec!BD14))),".")</f>
        <v>9.0143481925428208</v>
      </c>
      <c r="BK14" s="72">
        <f>IFERROR(IF(up_Bv!O14=0,".",((s_Ir*s_F*s_I_f*s_T*(1-EXP(-up_RadSpec!BD14*s_t_v)))/(s_Y_v*up_RadSpec!BD14))),".")</f>
        <v>9.0143481925428208</v>
      </c>
      <c r="BL14" s="72">
        <f>IFERROR(IF(up_Bv!P14=0,".",((s_Ir*s_F*s_I_f*s_T*(1-EXP(-up_RadSpec!BD14*s_t_v)))/(s_Y_v*up_RadSpec!BD14))),".")</f>
        <v>9.0143481925428208</v>
      </c>
      <c r="BM14" s="72">
        <f>IFERROR(IF(up_Bv!Q14=0,".",((s_Ir*s_F*s_I_f*s_T*(1-EXP(-up_RadSpec!BD14*s_t_v)))/(s_Y_v*up_RadSpec!BD14))),".")</f>
        <v>9.0143481925428208</v>
      </c>
      <c r="BN14" s="72">
        <f>IFERROR(IF(up_Bv!R14=0,".",((s_Ir*s_F*s_I_f*s_T*(1-EXP(-up_RadSpec!BD14*s_t_v)))/(s_Y_v*up_RadSpec!BD14))),".")</f>
        <v>9.0143481925428208</v>
      </c>
      <c r="BO14" s="72">
        <f>IFERROR(IF(up_Bv!S14=0,".",((s_Ir*s_F*s_I_f*s_T*(1-EXP(-up_RadSpec!BD14*s_t_v)))/(s_Y_v*up_RadSpec!BD14))),".")</f>
        <v>9.0143481925428208</v>
      </c>
      <c r="BP14" s="72">
        <f>IFERROR(IF(up_Bv!T14=0,".",((s_Ir*s_F*s_I_f*s_T*(1-EXP(-up_RadSpec!BD14*s_t_v)))/(s_Y_v*up_RadSpec!BD14))),".")</f>
        <v>9.0143481925428208</v>
      </c>
      <c r="BQ14" s="72">
        <f>IFERROR(IF(up_Bv!U14=0,".",((s_Ir*s_F*s_I_f*s_T*(1-EXP(-up_RadSpec!BD14*s_t_v)))/(s_Y_v*up_RadSpec!BD14))),".")</f>
        <v>9.0143481925428208</v>
      </c>
      <c r="BR14" s="72">
        <f>IFERROR(IF(up_Bv!V14=0,".",((s_Ir*s_F*s_I_f*s_T*(1-EXP(-up_RadSpec!BD14*s_t_v)))/(s_Y_v*up_RadSpec!BD14))),".")</f>
        <v>9.0143481925428208</v>
      </c>
      <c r="BS14" s="72">
        <f>IFERROR(IF(up_Bv!W14=0,".",((s_Ir*s_F*s_I_f*s_T*(1-EXP(-up_RadSpec!BD14*s_t_v)))/(s_Y_v*up_RadSpec!BD14))),".")</f>
        <v>9.0143481925428208</v>
      </c>
      <c r="BT14" s="72">
        <f>IFERROR(IF(up_Bv!X14=0,".",((s_Ir*s_F*s_I_f*s_T*(1-EXP(-up_RadSpec!BD14*s_t_v)))/(s_Y_v*up_RadSpec!BD14))),".")</f>
        <v>9.0143481925428208</v>
      </c>
      <c r="BU14" s="72">
        <f>IFERROR(IF(up_Bv!Y14=0,".",((s_Ir*s_F*s_I_f*s_T*(1-EXP(-up_RadSpec!BD14*s_t_v)))/(s_Y_v*up_RadSpec!BD14))),".")</f>
        <v>9.0143481925428208</v>
      </c>
      <c r="BV14" s="72">
        <f>IFERROR(IF(up_Bv!Z14=0,".",((s_Ir*s_F*s_I_f*s_T*(1-EXP(-up_RadSpec!BD14*s_t_v)))/(s_Y_v*up_RadSpec!BD14))),".")</f>
        <v>9.0143481925428208</v>
      </c>
    </row>
    <row r="15" spans="1:74" x14ac:dyDescent="0.25">
      <c r="A15" s="31" t="s">
        <v>13</v>
      </c>
      <c r="B15" s="3" t="s">
        <v>1059</v>
      </c>
      <c r="C15" s="72">
        <f>IFERROR(IF(up_Bv!C15=0,".",((s_Ir*s_F*up_Bv!C15*(1-EXP(-up_RadSpec!$BC15*s_t_b)))/(s_P*up_RadSpec!$BC15))),".")</f>
        <v>993.50362303732038</v>
      </c>
      <c r="D15" s="72">
        <f>IFERROR(IF(up_Bv!D15=0,".",((s_Ir*s_F*up_Bv!D15*(1-EXP(-up_RadSpec!BC15*s_t_b)))/(s_P*up_RadSpec!BC15))),".")</f>
        <v>993.50362303732038</v>
      </c>
      <c r="E15" s="72">
        <f>IFERROR(IF(up_Bv!E15=0,".",((s_Ir*s_F*up_Bv!E15*(1-EXP(-up_RadSpec!BC15*s_t_b)))/(s_P*up_RadSpec!BC15))),".")</f>
        <v>993.50362303732038</v>
      </c>
      <c r="F15" s="72">
        <f>IFERROR(IF(up_Bv!F15=0,".",((s_Ir*s_F*up_Bv!F15*(1-EXP(-up_RadSpec!BC15*s_t_b)))/(s_P*up_RadSpec!BC15))),".")</f>
        <v>993.50362303732038</v>
      </c>
      <c r="G15" s="72">
        <f>IFERROR(IF(up_Bv!G15=0,".",((s_Ir*s_F*up_Bv!G15*(1-EXP(-up_RadSpec!BC15*s_t_b)))/(s_P*up_RadSpec!BC15))),".")</f>
        <v>993.50362303732038</v>
      </c>
      <c r="H15" s="72">
        <f>IFERROR(IF(up_Bv!H15=0,".",((s_Ir*s_F*up_Bv!H15*(1-EXP(-up_RadSpec!BC15*s_t_b)))/(s_P*up_RadSpec!BC15))),".")</f>
        <v>993.50362303732038</v>
      </c>
      <c r="I15" s="72">
        <f>IFERROR(IF(up_Bv!I15=0,".",((s_Ir*s_F*up_Bv!I15*(1-EXP(-up_RadSpec!BC15*s_t_b)))/(s_P*up_RadSpec!BC15))),".")</f>
        <v>993.50362303732038</v>
      </c>
      <c r="J15" s="72">
        <f>IFERROR(IF(up_Bv!J15=0,".",((s_Ir*s_F*up_Bv!J15*(1-EXP(-up_RadSpec!BC15*s_t_b)))/(s_P*up_RadSpec!BC15))),".")</f>
        <v>993.50362303732038</v>
      </c>
      <c r="K15" s="72">
        <f>IFERROR(IF(up_Bv!K15=0,".",((s_Ir*s_F*up_Bv!K15*(1-EXP(-up_RadSpec!BC15*s_t_b)))/(s_P*up_RadSpec!BC15))),".")</f>
        <v>993.50362303732038</v>
      </c>
      <c r="L15" s="72">
        <f>IFERROR(IF(up_Bv!L15=0,".",((s_Ir*s_F*up_Bv!L15*(1-EXP(-up_RadSpec!BC15*s_t_b)))/(s_P*up_RadSpec!BC15))),".")</f>
        <v>993.50362303732038</v>
      </c>
      <c r="M15" s="72">
        <f>IFERROR(IF(up_Bv!M15=0,".",((s_Ir*s_F*up_Bv!M15*(1-EXP(-up_RadSpec!BC15*s_t_b)))/(s_P*up_RadSpec!BC15))),".")</f>
        <v>993.50362303732038</v>
      </c>
      <c r="N15" s="72">
        <f>IFERROR(IF(up_Bv!N15=0,".",((s_Ir*s_F*up_Bv!N15*(1-EXP(-up_RadSpec!BC15*s_t_b)))/(s_P*up_RadSpec!BC15))),".")</f>
        <v>993.50362303732038</v>
      </c>
      <c r="O15" s="72">
        <f>IFERROR(IF(up_Bv!O15=0,".",((s_Ir*s_F*up_Bv!O15*(1-EXP(-up_RadSpec!BC15*s_t_b)))/(s_P*up_RadSpec!BC15))),".")</f>
        <v>993.50362303732038</v>
      </c>
      <c r="P15" s="72">
        <f>IFERROR(IF(up_Bv!P15=0,".",((s_Ir*s_F*up_Bv!P15*(1-EXP(-up_RadSpec!BC15*s_t_b)))/(s_P*up_RadSpec!BC15))),".")</f>
        <v>993.50362303732038</v>
      </c>
      <c r="Q15" s="72">
        <f>IFERROR(IF(up_Bv!Q15=0,".",((s_Ir*s_F*up_Bv!Q15*(1-EXP(-up_RadSpec!BC15*s_t_b)))/(s_P*up_RadSpec!BC15))),".")</f>
        <v>993.50362303732038</v>
      </c>
      <c r="R15" s="72">
        <f>IFERROR(IF(up_Bv!R15=0,".",((s_Ir*s_F*up_Bv!R15*(1-EXP(-up_RadSpec!BC15*s_t_b)))/(s_P*up_RadSpec!BC15))),".")</f>
        <v>993.50362303732038</v>
      </c>
      <c r="S15" s="72">
        <f>IFERROR(IF(up_Bv!S15=0,".",((s_Ir*s_F*up_Bv!S15*(1-EXP(-up_RadSpec!BC15*s_t_b)))/(s_P*up_RadSpec!BC15))),".")</f>
        <v>993.50362303732038</v>
      </c>
      <c r="T15" s="72">
        <f>IFERROR(IF(up_Bv!T15=0,".",((s_Ir*s_F*up_Bv!T15*(1-EXP(-up_RadSpec!BC15*s_t_b)))/(s_P*up_RadSpec!BC15))),".")</f>
        <v>993.50362303732038</v>
      </c>
      <c r="U15" s="72">
        <f>IFERROR(IF(up_Bv!U15=0,".",((s_Ir*s_F*up_Bv!U15*(1-EXP(-up_RadSpec!BC15*s_t_b)))/(s_P*up_RadSpec!BC15))),".")</f>
        <v>993.50362303732038</v>
      </c>
      <c r="V15" s="72">
        <f>IFERROR(IF(up_Bv!V15=0,".",((s_Ir*s_F*up_Bv!V15*(1-EXP(-up_RadSpec!BC15*s_t_b)))/(s_P*up_RadSpec!BC15))),".")</f>
        <v>993.50362303732038</v>
      </c>
      <c r="W15" s="72">
        <f>IFERROR(IF(up_Bv!W15=0,".",((s_Ir*s_F*up_Bv!W15*(1-EXP(-up_RadSpec!BC15*s_t_b)))/(s_P*up_RadSpec!BC15))),".")</f>
        <v>993.50362303732038</v>
      </c>
      <c r="X15" s="72">
        <f>IFERROR(IF(up_Bv!X15=0,".",((s_Ir*s_F*up_Bv!X15*(1-EXP(-up_RadSpec!BC15*s_t_b)))/(s_P*up_RadSpec!BC15))),".")</f>
        <v>993.50362303732038</v>
      </c>
      <c r="Y15" s="72">
        <f>IFERROR(IF(up_Bv!Y15=0,".",((s_Ir*s_F*up_Bv!Y15*(1-EXP(-up_RadSpec!BC15*s_t_b)))/(s_P*up_RadSpec!BC15))),".")</f>
        <v>993.50362303732038</v>
      </c>
      <c r="Z15" s="72">
        <f>IFERROR(IF(up_Bv!Z15=0,".",((s_Ir*s_F*up_Bv!Z15*(1-EXP(-up_RadSpec!BC15*s_t_b)))/(s_P*up_RadSpec!BC15))),".")</f>
        <v>993.50362303732038</v>
      </c>
      <c r="AA15" s="72">
        <f>IFERROR(IF(up_Bv!C15=0,".",((s_Ir*s_F*s_MLF_apple*(1-EXP(-up_RadSpec!BC15*s_t_b)))/(s_P*up_RadSpec!BC15))),".")</f>
        <v>2.6824597822007652</v>
      </c>
      <c r="AB15" s="72">
        <f>IFERROR(IF(up_Bv!D15=0,".",((s_Ir*s_F*s_MLF_asparagus*(1-EXP(-up_RadSpec!BC15*s_t_b)))/(s_P*up_RadSpec!BC15))),".")</f>
        <v>2.6824597822007652</v>
      </c>
      <c r="AC15" s="72">
        <f>IFERROR(IF(up_Bv!E15=0,".",((s_Ir*s_F*s_MLF_beet*(1-EXP(-up_RadSpec!BC15*s_t_b)))/(s_P*up_RadSpec!BC15))),".")</f>
        <v>2.6824597822007652</v>
      </c>
      <c r="AD15" s="72">
        <f>IFERROR(IF(up_Bv!F15=0,".",((s_Ir*s_F*s_MLF_berries*(1-EXP(-up_RadSpec!BC15*s_t_b)))/(s_P*up_RadSpec!BC15))),".")</f>
        <v>2.6824597822007652</v>
      </c>
      <c r="AE15" s="72">
        <f>IFERROR(IF(up_Bv!G15=0,".",((s_Ir*s_F*s_MLF_broccoli*(1-EXP(-up_RadSpec!BC15*s_t_b)))/(s_P*up_RadSpec!BC15))),".")</f>
        <v>2.6824597822007652</v>
      </c>
      <c r="AF15" s="72">
        <f>IFERROR(IF(up_Bv!H15=0,".",((s_Ir*s_F*s_MLF_cabbage*(1-EXP(-up_RadSpec!BC15*s_t_b)))/(s_P*up_RadSpec!BC15))),".")</f>
        <v>2.6824597822007652</v>
      </c>
      <c r="AG15" s="72">
        <f>IFERROR(IF(up_Bv!I15=0,".",((s_Ir*s_F*s_MLF_carrot*(1-EXP(-up_RadSpec!BC15*s_t_b)))/(s_P*up_RadSpec!BC15))),".")</f>
        <v>2.6824597822007652</v>
      </c>
      <c r="AH15" s="72">
        <f>IFERROR(IF(up_Bv!J15=0,".",((s_Ir*s_F*s_MLF_citrus*(1-EXP(-up_RadSpec!BC15*s_t_b)))/(s_P*up_RadSpec!BC15))),".")</f>
        <v>2.6824597822007652</v>
      </c>
      <c r="AI15" s="72">
        <f>IFERROR(IF(up_Bv!K15=0,".",((s_Ir*s_F*s_MLF_corn*(1-EXP(-up_RadSpec!BC15*s_t_b)))/(s_P*up_RadSpec!BC15))),".")</f>
        <v>2.6824597822007652</v>
      </c>
      <c r="AJ15" s="72">
        <f>IFERROR(IF(up_Bv!L15=0,".",((s_Ir*s_F*s_MLF_cucumber*(1-EXP(-up_RadSpec!BC15*s_t_b)))/(s_P*up_RadSpec!BC15))),".")</f>
        <v>2.6824597822007652</v>
      </c>
      <c r="AK15" s="72">
        <f>IFERROR(IF(up_Bv!M15=0,".",((s_Ir*s_F*s_MLF_lettuce*(1-EXP(-up_RadSpec!BC15*s_t_b)))/(s_P*up_RadSpec!BC15))),".")</f>
        <v>2.6824597822007652</v>
      </c>
      <c r="AL15" s="72">
        <f>IFERROR(IF(up_Bv!N15=0,".",((s_Ir*s_F*s_MLF_lima_bean*(1-EXP(-up_RadSpec!BC15*s_t_b)))/(s_P*up_RadSpec!BC15))),".")</f>
        <v>2.6824597822007652</v>
      </c>
      <c r="AM15" s="72">
        <f>IFERROR(IF(up_Bv!O15=0,".",((s_Ir*s_F*s_MLF_okra*(1-EXP(-up_RadSpec!BC15*s_t_b)))/(s_P*up_RadSpec!BC15))),".")</f>
        <v>2.6824597822007652</v>
      </c>
      <c r="AN15" s="72">
        <f>IFERROR(IF(up_Bv!P15=0,".",((s_Ir*s_F*s_MLF_onion*(1-EXP(-up_RadSpec!BC15*s_t_b)))/(s_P*up_RadSpec!BC15))),".")</f>
        <v>2.6824597822007652</v>
      </c>
      <c r="AO15" s="72">
        <f>IFERROR(IF(up_Bv!Q15=0,".",((s_Ir*s_F*s_MLF_peach*(1-EXP(-up_RadSpec!BC15*s_t_b)))/(s_P*up_RadSpec!BC15))),".")</f>
        <v>2.6824597822007652</v>
      </c>
      <c r="AP15" s="72">
        <f>IFERROR(IF(up_Bv!R15=0,".",((s_Ir*s_F*s_MLF_pear*(1-EXP(-up_RadSpec!BC15*s_t_b)))/(s_P*up_RadSpec!BC15))),".")</f>
        <v>2.6824597822007652</v>
      </c>
      <c r="AQ15" s="72">
        <f>IFERROR(IF(up_Bv!S15=0,".",((s_Ir*s_F*s_MLF_peas*(1-EXP(-up_RadSpec!BC15*s_t_b)))/(s_P*up_RadSpec!BC15))),".")</f>
        <v>2.6824597822007652</v>
      </c>
      <c r="AR15" s="72">
        <f>IFERROR(IF(up_Bv!T15=0,".",((s_Ir*s_F*s_MLF_potato*(1-EXP(-up_RadSpec!BC15*s_t_b)))/(s_P*up_RadSpec!BC15))),".")</f>
        <v>2.6824597822007652</v>
      </c>
      <c r="AS15" s="72">
        <f>IFERROR(IF(up_Bv!U15=0,".",((s_Ir*s_F*s_MLF_pumpkin*(1-EXP(-up_RadSpec!BC15*s_t_b)))/(s_P*up_RadSpec!BC15))),".")</f>
        <v>2.6824597822007652</v>
      </c>
      <c r="AT15" s="72">
        <f>IFERROR(IF(up_Bv!V15=0,".",((s_Ir*s_F*s_MLF_snap_bean*(1-EXP(-up_RadSpec!BC15*s_t_b)))/(s_P*up_RadSpec!BC15))),".")</f>
        <v>2.6824597822007652</v>
      </c>
      <c r="AU15" s="72">
        <f>IFERROR(IF(up_Bv!W15=0,".",((s_Ir*s_F*s_MLF_strawberry*(1-EXP(-up_RadSpec!BC15*s_t_b)))/(s_P*up_RadSpec!BC15))),".")</f>
        <v>2.6824597822007652</v>
      </c>
      <c r="AV15" s="72">
        <f>IFERROR(IF(up_Bv!X15=0,".",((s_Ir*s_F*s_MLF_tomato*(1-EXP(-up_RadSpec!BC15*s_t_b)))/(s_P*up_RadSpec!BC15))),".")</f>
        <v>2.6824597822007652</v>
      </c>
      <c r="AW15" s="72">
        <f>IFERROR(IF(up_Bv!Y15=0,".",((s_Ir*s_F*s_MLF_rice*(1-EXP(-up_RadSpec!BC15*s_t_b)))/(s_P*up_RadSpec!BC15))),".")</f>
        <v>2.6824597822007652</v>
      </c>
      <c r="AX15" s="72">
        <f>IFERROR(IF(up_Bv!Z15=0,".",((s_Ir*s_F*s_MLF_cereal*(1-EXP(-up_RadSpec!BC15*s_t_b)))/(s_P*up_RadSpec!BC15))),".")</f>
        <v>2.6824597822007652</v>
      </c>
      <c r="AY15" s="72">
        <f>IFERROR(IF(up_Bv!C15=0,".",((s_Ir*s_F*s_I_f*s_T*(1-EXP(-up_RadSpec!BD15*s_t_v)))/(s_Y_v*up_RadSpec!BD15))),".")</f>
        <v>9.0143481925428208</v>
      </c>
      <c r="AZ15" s="72">
        <f>IFERROR(IF(up_Bv!D15=0,".",((s_Ir*s_F*s_I_f*s_T*(1-EXP(-up_RadSpec!BD15*s_t_v)))/(s_Y_v*up_RadSpec!BD15))),".")</f>
        <v>9.0143481925428208</v>
      </c>
      <c r="BA15" s="72">
        <f>IFERROR(IF(up_Bv!E15=0,".",((s_Ir*s_F*s_I_f*s_T*(1-EXP(-up_RadSpec!BD15*s_t_v)))/(s_Y_v*up_RadSpec!BD15))),".")</f>
        <v>9.0143481925428208</v>
      </c>
      <c r="BB15" s="72">
        <f>IFERROR(IF(up_Bv!F15=0,".",((s_Ir*s_F*s_I_f*s_T*(1-EXP(-up_RadSpec!BD15*s_t_v)))/(s_Y_v*up_RadSpec!BD15))),".")</f>
        <v>9.0143481925428208</v>
      </c>
      <c r="BC15" s="72">
        <f>IFERROR(IF(up_Bv!G15=0,".",((s_Ir*s_F*s_I_f*s_T*(1-EXP(-up_RadSpec!BD15*s_t_v)))/(s_Y_v*up_RadSpec!BD15))),".")</f>
        <v>9.0143481925428208</v>
      </c>
      <c r="BD15" s="72">
        <f>IFERROR(IF(up_Bv!H15=0,".",((s_Ir*s_F*s_I_f*s_T*(1-EXP(-up_RadSpec!BD15*s_t_v)))/(s_Y_v*up_RadSpec!BD15))),".")</f>
        <v>9.0143481925428208</v>
      </c>
      <c r="BE15" s="72">
        <f>IFERROR(IF(up_Bv!I15=0,".",((s_Ir*s_F*s_I_f*s_T*(1-EXP(-up_RadSpec!BD15*s_t_v)))/(s_Y_v*up_RadSpec!BD15))),".")</f>
        <v>9.0143481925428208</v>
      </c>
      <c r="BF15" s="72">
        <f>IFERROR(IF(up_Bv!J15=0,".",((s_Ir*s_F*s_I_f*s_T*(1-EXP(-up_RadSpec!BD15*s_t_v)))/(s_Y_v*up_RadSpec!BD15))),".")</f>
        <v>9.0143481925428208</v>
      </c>
      <c r="BG15" s="72">
        <f>IFERROR(IF(up_Bv!K15=0,".",((s_Ir*s_F*s_I_f*s_T*(1-EXP(-up_RadSpec!BD15*s_t_v)))/(s_Y_v*up_RadSpec!BD15))),".")</f>
        <v>9.0143481925428208</v>
      </c>
      <c r="BH15" s="72">
        <f>IFERROR(IF(up_Bv!L15=0,".",((s_Ir*s_F*s_I_f*s_T*(1-EXP(-up_RadSpec!BD15*s_t_v)))/(s_Y_v*up_RadSpec!BD15))),".")</f>
        <v>9.0143481925428208</v>
      </c>
      <c r="BI15" s="72">
        <f>IFERROR(IF(up_Bv!M15=0,".",((s_Ir*s_F*s_I_f*s_T*(1-EXP(-up_RadSpec!BD15*s_t_v)))/(s_Y_v*up_RadSpec!BD15))),".")</f>
        <v>9.0143481925428208</v>
      </c>
      <c r="BJ15" s="72">
        <f>IFERROR(IF(up_Bv!N15=0,".",((s_Ir*s_F*s_I_f*s_T*(1-EXP(-up_RadSpec!BD15*s_t_v)))/(s_Y_v*up_RadSpec!BD15))),".")</f>
        <v>9.0143481925428208</v>
      </c>
      <c r="BK15" s="72">
        <f>IFERROR(IF(up_Bv!O15=0,".",((s_Ir*s_F*s_I_f*s_T*(1-EXP(-up_RadSpec!BD15*s_t_v)))/(s_Y_v*up_RadSpec!BD15))),".")</f>
        <v>9.0143481925428208</v>
      </c>
      <c r="BL15" s="72">
        <f>IFERROR(IF(up_Bv!P15=0,".",((s_Ir*s_F*s_I_f*s_T*(1-EXP(-up_RadSpec!BD15*s_t_v)))/(s_Y_v*up_RadSpec!BD15))),".")</f>
        <v>9.0143481925428208</v>
      </c>
      <c r="BM15" s="72">
        <f>IFERROR(IF(up_Bv!Q15=0,".",((s_Ir*s_F*s_I_f*s_T*(1-EXP(-up_RadSpec!BD15*s_t_v)))/(s_Y_v*up_RadSpec!BD15))),".")</f>
        <v>9.0143481925428208</v>
      </c>
      <c r="BN15" s="72">
        <f>IFERROR(IF(up_Bv!R15=0,".",((s_Ir*s_F*s_I_f*s_T*(1-EXP(-up_RadSpec!BD15*s_t_v)))/(s_Y_v*up_RadSpec!BD15))),".")</f>
        <v>9.0143481925428208</v>
      </c>
      <c r="BO15" s="72">
        <f>IFERROR(IF(up_Bv!S15=0,".",((s_Ir*s_F*s_I_f*s_T*(1-EXP(-up_RadSpec!BD15*s_t_v)))/(s_Y_v*up_RadSpec!BD15))),".")</f>
        <v>9.0143481925428208</v>
      </c>
      <c r="BP15" s="72">
        <f>IFERROR(IF(up_Bv!T15=0,".",((s_Ir*s_F*s_I_f*s_T*(1-EXP(-up_RadSpec!BD15*s_t_v)))/(s_Y_v*up_RadSpec!BD15))),".")</f>
        <v>9.0143481925428208</v>
      </c>
      <c r="BQ15" s="72">
        <f>IFERROR(IF(up_Bv!U15=0,".",((s_Ir*s_F*s_I_f*s_T*(1-EXP(-up_RadSpec!BD15*s_t_v)))/(s_Y_v*up_RadSpec!BD15))),".")</f>
        <v>9.0143481925428208</v>
      </c>
      <c r="BR15" s="72">
        <f>IFERROR(IF(up_Bv!V15=0,".",((s_Ir*s_F*s_I_f*s_T*(1-EXP(-up_RadSpec!BD15*s_t_v)))/(s_Y_v*up_RadSpec!BD15))),".")</f>
        <v>9.0143481925428208</v>
      </c>
      <c r="BS15" s="72">
        <f>IFERROR(IF(up_Bv!W15=0,".",((s_Ir*s_F*s_I_f*s_T*(1-EXP(-up_RadSpec!BD15*s_t_v)))/(s_Y_v*up_RadSpec!BD15))),".")</f>
        <v>9.0143481925428208</v>
      </c>
      <c r="BT15" s="72">
        <f>IFERROR(IF(up_Bv!X15=0,".",((s_Ir*s_F*s_I_f*s_T*(1-EXP(-up_RadSpec!BD15*s_t_v)))/(s_Y_v*up_RadSpec!BD15))),".")</f>
        <v>9.0143481925428208</v>
      </c>
      <c r="BU15" s="72">
        <f>IFERROR(IF(up_Bv!Y15=0,".",((s_Ir*s_F*s_I_f*s_T*(1-EXP(-up_RadSpec!BD15*s_t_v)))/(s_Y_v*up_RadSpec!BD15))),".")</f>
        <v>9.0143481925428208</v>
      </c>
      <c r="BV15" s="72">
        <f>IFERROR(IF(up_Bv!Z15=0,".",((s_Ir*s_F*s_I_f*s_T*(1-EXP(-up_RadSpec!BD15*s_t_v)))/(s_Y_v*up_RadSpec!BD15))),".")</f>
        <v>9.0143481925428208</v>
      </c>
    </row>
    <row r="16" spans="1:74" x14ac:dyDescent="0.25">
      <c r="A16" s="31" t="s">
        <v>14</v>
      </c>
      <c r="B16" s="3" t="s">
        <v>1059</v>
      </c>
      <c r="C16" s="72">
        <f>IFERROR(IF(up_Bv!C16=0,".",((s_Ir*s_F*up_Bv!C16*(1-EXP(-up_RadSpec!$BC16*s_t_b)))/(s_P*up_RadSpec!$BC16))),".")</f>
        <v>993.50362303732038</v>
      </c>
      <c r="D16" s="72">
        <f>IFERROR(IF(up_Bv!D16=0,".",((s_Ir*s_F*up_Bv!D16*(1-EXP(-up_RadSpec!BC16*s_t_b)))/(s_P*up_RadSpec!BC16))),".")</f>
        <v>993.50362303732038</v>
      </c>
      <c r="E16" s="72">
        <f>IFERROR(IF(up_Bv!E16=0,".",((s_Ir*s_F*up_Bv!E16*(1-EXP(-up_RadSpec!BC16*s_t_b)))/(s_P*up_RadSpec!BC16))),".")</f>
        <v>993.50362303732038</v>
      </c>
      <c r="F16" s="72">
        <f>IFERROR(IF(up_Bv!F16=0,".",((s_Ir*s_F*up_Bv!F16*(1-EXP(-up_RadSpec!BC16*s_t_b)))/(s_P*up_RadSpec!BC16))),".")</f>
        <v>993.50362303732038</v>
      </c>
      <c r="G16" s="72">
        <f>IFERROR(IF(up_Bv!G16=0,".",((s_Ir*s_F*up_Bv!G16*(1-EXP(-up_RadSpec!BC16*s_t_b)))/(s_P*up_RadSpec!BC16))),".")</f>
        <v>993.50362303732038</v>
      </c>
      <c r="H16" s="72">
        <f>IFERROR(IF(up_Bv!H16=0,".",((s_Ir*s_F*up_Bv!H16*(1-EXP(-up_RadSpec!BC16*s_t_b)))/(s_P*up_RadSpec!BC16))),".")</f>
        <v>993.50362303732038</v>
      </c>
      <c r="I16" s="72">
        <f>IFERROR(IF(up_Bv!I16=0,".",((s_Ir*s_F*up_Bv!I16*(1-EXP(-up_RadSpec!BC16*s_t_b)))/(s_P*up_RadSpec!BC16))),".")</f>
        <v>993.50362303732038</v>
      </c>
      <c r="J16" s="72">
        <f>IFERROR(IF(up_Bv!J16=0,".",((s_Ir*s_F*up_Bv!J16*(1-EXP(-up_RadSpec!BC16*s_t_b)))/(s_P*up_RadSpec!BC16))),".")</f>
        <v>993.50362303732038</v>
      </c>
      <c r="K16" s="72">
        <f>IFERROR(IF(up_Bv!K16=0,".",((s_Ir*s_F*up_Bv!K16*(1-EXP(-up_RadSpec!BC16*s_t_b)))/(s_P*up_RadSpec!BC16))),".")</f>
        <v>993.50362303732038</v>
      </c>
      <c r="L16" s="72">
        <f>IFERROR(IF(up_Bv!L16=0,".",((s_Ir*s_F*up_Bv!L16*(1-EXP(-up_RadSpec!BC16*s_t_b)))/(s_P*up_RadSpec!BC16))),".")</f>
        <v>993.50362303732038</v>
      </c>
      <c r="M16" s="72">
        <f>IFERROR(IF(up_Bv!M16=0,".",((s_Ir*s_F*up_Bv!M16*(1-EXP(-up_RadSpec!BC16*s_t_b)))/(s_P*up_RadSpec!BC16))),".")</f>
        <v>993.50362303732038</v>
      </c>
      <c r="N16" s="72">
        <f>IFERROR(IF(up_Bv!N16=0,".",((s_Ir*s_F*up_Bv!N16*(1-EXP(-up_RadSpec!BC16*s_t_b)))/(s_P*up_RadSpec!BC16))),".")</f>
        <v>993.50362303732038</v>
      </c>
      <c r="O16" s="72">
        <f>IFERROR(IF(up_Bv!O16=0,".",((s_Ir*s_F*up_Bv!O16*(1-EXP(-up_RadSpec!BC16*s_t_b)))/(s_P*up_RadSpec!BC16))),".")</f>
        <v>993.50362303732038</v>
      </c>
      <c r="P16" s="72">
        <f>IFERROR(IF(up_Bv!P16=0,".",((s_Ir*s_F*up_Bv!P16*(1-EXP(-up_RadSpec!BC16*s_t_b)))/(s_P*up_RadSpec!BC16))),".")</f>
        <v>993.50362303732038</v>
      </c>
      <c r="Q16" s="72">
        <f>IFERROR(IF(up_Bv!Q16=0,".",((s_Ir*s_F*up_Bv!Q16*(1-EXP(-up_RadSpec!BC16*s_t_b)))/(s_P*up_RadSpec!BC16))),".")</f>
        <v>993.50362303732038</v>
      </c>
      <c r="R16" s="72">
        <f>IFERROR(IF(up_Bv!R16=0,".",((s_Ir*s_F*up_Bv!R16*(1-EXP(-up_RadSpec!BC16*s_t_b)))/(s_P*up_RadSpec!BC16))),".")</f>
        <v>993.50362303732038</v>
      </c>
      <c r="S16" s="72">
        <f>IFERROR(IF(up_Bv!S16=0,".",((s_Ir*s_F*up_Bv!S16*(1-EXP(-up_RadSpec!BC16*s_t_b)))/(s_P*up_RadSpec!BC16))),".")</f>
        <v>993.50362303732038</v>
      </c>
      <c r="T16" s="72">
        <f>IFERROR(IF(up_Bv!T16=0,".",((s_Ir*s_F*up_Bv!T16*(1-EXP(-up_RadSpec!BC16*s_t_b)))/(s_P*up_RadSpec!BC16))),".")</f>
        <v>993.50362303732038</v>
      </c>
      <c r="U16" s="72">
        <f>IFERROR(IF(up_Bv!U16=0,".",((s_Ir*s_F*up_Bv!U16*(1-EXP(-up_RadSpec!BC16*s_t_b)))/(s_P*up_RadSpec!BC16))),".")</f>
        <v>993.50362303732038</v>
      </c>
      <c r="V16" s="72">
        <f>IFERROR(IF(up_Bv!V16=0,".",((s_Ir*s_F*up_Bv!V16*(1-EXP(-up_RadSpec!BC16*s_t_b)))/(s_P*up_RadSpec!BC16))),".")</f>
        <v>993.50362303732038</v>
      </c>
      <c r="W16" s="72">
        <f>IFERROR(IF(up_Bv!W16=0,".",((s_Ir*s_F*up_Bv!W16*(1-EXP(-up_RadSpec!BC16*s_t_b)))/(s_P*up_RadSpec!BC16))),".")</f>
        <v>993.50362303732038</v>
      </c>
      <c r="X16" s="72">
        <f>IFERROR(IF(up_Bv!X16=0,".",((s_Ir*s_F*up_Bv!X16*(1-EXP(-up_RadSpec!BC16*s_t_b)))/(s_P*up_RadSpec!BC16))),".")</f>
        <v>993.50362303732038</v>
      </c>
      <c r="Y16" s="72">
        <f>IFERROR(IF(up_Bv!Y16=0,".",((s_Ir*s_F*up_Bv!Y16*(1-EXP(-up_RadSpec!BC16*s_t_b)))/(s_P*up_RadSpec!BC16))),".")</f>
        <v>993.50362303732038</v>
      </c>
      <c r="Z16" s="72">
        <f>IFERROR(IF(up_Bv!Z16=0,".",((s_Ir*s_F*up_Bv!Z16*(1-EXP(-up_RadSpec!BC16*s_t_b)))/(s_P*up_RadSpec!BC16))),".")</f>
        <v>993.50362303732038</v>
      </c>
      <c r="AA16" s="72">
        <f>IFERROR(IF(up_Bv!C16=0,".",((s_Ir*s_F*s_MLF_apple*(1-EXP(-up_RadSpec!BC16*s_t_b)))/(s_P*up_RadSpec!BC16))),".")</f>
        <v>2.6824597822007652</v>
      </c>
      <c r="AB16" s="72">
        <f>IFERROR(IF(up_Bv!D16=0,".",((s_Ir*s_F*s_MLF_asparagus*(1-EXP(-up_RadSpec!BC16*s_t_b)))/(s_P*up_RadSpec!BC16))),".")</f>
        <v>2.6824597822007652</v>
      </c>
      <c r="AC16" s="72">
        <f>IFERROR(IF(up_Bv!E16=0,".",((s_Ir*s_F*s_MLF_beet*(1-EXP(-up_RadSpec!BC16*s_t_b)))/(s_P*up_RadSpec!BC16))),".")</f>
        <v>2.6824597822007652</v>
      </c>
      <c r="AD16" s="72">
        <f>IFERROR(IF(up_Bv!F16=0,".",((s_Ir*s_F*s_MLF_berries*(1-EXP(-up_RadSpec!BC16*s_t_b)))/(s_P*up_RadSpec!BC16))),".")</f>
        <v>2.6824597822007652</v>
      </c>
      <c r="AE16" s="72">
        <f>IFERROR(IF(up_Bv!G16=0,".",((s_Ir*s_F*s_MLF_broccoli*(1-EXP(-up_RadSpec!BC16*s_t_b)))/(s_P*up_RadSpec!BC16))),".")</f>
        <v>2.6824597822007652</v>
      </c>
      <c r="AF16" s="72">
        <f>IFERROR(IF(up_Bv!H16=0,".",((s_Ir*s_F*s_MLF_cabbage*(1-EXP(-up_RadSpec!BC16*s_t_b)))/(s_P*up_RadSpec!BC16))),".")</f>
        <v>2.6824597822007652</v>
      </c>
      <c r="AG16" s="72">
        <f>IFERROR(IF(up_Bv!I16=0,".",((s_Ir*s_F*s_MLF_carrot*(1-EXP(-up_RadSpec!BC16*s_t_b)))/(s_P*up_RadSpec!BC16))),".")</f>
        <v>2.6824597822007652</v>
      </c>
      <c r="AH16" s="72">
        <f>IFERROR(IF(up_Bv!J16=0,".",((s_Ir*s_F*s_MLF_citrus*(1-EXP(-up_RadSpec!BC16*s_t_b)))/(s_P*up_RadSpec!BC16))),".")</f>
        <v>2.6824597822007652</v>
      </c>
      <c r="AI16" s="72">
        <f>IFERROR(IF(up_Bv!K16=0,".",((s_Ir*s_F*s_MLF_corn*(1-EXP(-up_RadSpec!BC16*s_t_b)))/(s_P*up_RadSpec!BC16))),".")</f>
        <v>2.6824597822007652</v>
      </c>
      <c r="AJ16" s="72">
        <f>IFERROR(IF(up_Bv!L16=0,".",((s_Ir*s_F*s_MLF_cucumber*(1-EXP(-up_RadSpec!BC16*s_t_b)))/(s_P*up_RadSpec!BC16))),".")</f>
        <v>2.6824597822007652</v>
      </c>
      <c r="AK16" s="72">
        <f>IFERROR(IF(up_Bv!M16=0,".",((s_Ir*s_F*s_MLF_lettuce*(1-EXP(-up_RadSpec!BC16*s_t_b)))/(s_P*up_RadSpec!BC16))),".")</f>
        <v>2.6824597822007652</v>
      </c>
      <c r="AL16" s="72">
        <f>IFERROR(IF(up_Bv!N16=0,".",((s_Ir*s_F*s_MLF_lima_bean*(1-EXP(-up_RadSpec!BC16*s_t_b)))/(s_P*up_RadSpec!BC16))),".")</f>
        <v>2.6824597822007652</v>
      </c>
      <c r="AM16" s="72">
        <f>IFERROR(IF(up_Bv!O16=0,".",((s_Ir*s_F*s_MLF_okra*(1-EXP(-up_RadSpec!BC16*s_t_b)))/(s_P*up_RadSpec!BC16))),".")</f>
        <v>2.6824597822007652</v>
      </c>
      <c r="AN16" s="72">
        <f>IFERROR(IF(up_Bv!P16=0,".",((s_Ir*s_F*s_MLF_onion*(1-EXP(-up_RadSpec!BC16*s_t_b)))/(s_P*up_RadSpec!BC16))),".")</f>
        <v>2.6824597822007652</v>
      </c>
      <c r="AO16" s="72">
        <f>IFERROR(IF(up_Bv!Q16=0,".",((s_Ir*s_F*s_MLF_peach*(1-EXP(-up_RadSpec!BC16*s_t_b)))/(s_P*up_RadSpec!BC16))),".")</f>
        <v>2.6824597822007652</v>
      </c>
      <c r="AP16" s="72">
        <f>IFERROR(IF(up_Bv!R16=0,".",((s_Ir*s_F*s_MLF_pear*(1-EXP(-up_RadSpec!BC16*s_t_b)))/(s_P*up_RadSpec!BC16))),".")</f>
        <v>2.6824597822007652</v>
      </c>
      <c r="AQ16" s="72">
        <f>IFERROR(IF(up_Bv!S16=0,".",((s_Ir*s_F*s_MLF_peas*(1-EXP(-up_RadSpec!BC16*s_t_b)))/(s_P*up_RadSpec!BC16))),".")</f>
        <v>2.6824597822007652</v>
      </c>
      <c r="AR16" s="72">
        <f>IFERROR(IF(up_Bv!T16=0,".",((s_Ir*s_F*s_MLF_potato*(1-EXP(-up_RadSpec!BC16*s_t_b)))/(s_P*up_RadSpec!BC16))),".")</f>
        <v>2.6824597822007652</v>
      </c>
      <c r="AS16" s="72">
        <f>IFERROR(IF(up_Bv!U16=0,".",((s_Ir*s_F*s_MLF_pumpkin*(1-EXP(-up_RadSpec!BC16*s_t_b)))/(s_P*up_RadSpec!BC16))),".")</f>
        <v>2.6824597822007652</v>
      </c>
      <c r="AT16" s="72">
        <f>IFERROR(IF(up_Bv!V16=0,".",((s_Ir*s_F*s_MLF_snap_bean*(1-EXP(-up_RadSpec!BC16*s_t_b)))/(s_P*up_RadSpec!BC16))),".")</f>
        <v>2.6824597822007652</v>
      </c>
      <c r="AU16" s="72">
        <f>IFERROR(IF(up_Bv!W16=0,".",((s_Ir*s_F*s_MLF_strawberry*(1-EXP(-up_RadSpec!BC16*s_t_b)))/(s_P*up_RadSpec!BC16))),".")</f>
        <v>2.6824597822007652</v>
      </c>
      <c r="AV16" s="72">
        <f>IFERROR(IF(up_Bv!X16=0,".",((s_Ir*s_F*s_MLF_tomato*(1-EXP(-up_RadSpec!BC16*s_t_b)))/(s_P*up_RadSpec!BC16))),".")</f>
        <v>2.6824597822007652</v>
      </c>
      <c r="AW16" s="72">
        <f>IFERROR(IF(up_Bv!Y16=0,".",((s_Ir*s_F*s_MLF_rice*(1-EXP(-up_RadSpec!BC16*s_t_b)))/(s_P*up_RadSpec!BC16))),".")</f>
        <v>2.6824597822007652</v>
      </c>
      <c r="AX16" s="72">
        <f>IFERROR(IF(up_Bv!Z16=0,".",((s_Ir*s_F*s_MLF_cereal*(1-EXP(-up_RadSpec!BC16*s_t_b)))/(s_P*up_RadSpec!BC16))),".")</f>
        <v>2.6824597822007652</v>
      </c>
      <c r="AY16" s="72">
        <f>IFERROR(IF(up_Bv!C16=0,".",((s_Ir*s_F*s_I_f*s_T*(1-EXP(-up_RadSpec!BD16*s_t_v)))/(s_Y_v*up_RadSpec!BD16))),".")</f>
        <v>9.0143481925428208</v>
      </c>
      <c r="AZ16" s="72">
        <f>IFERROR(IF(up_Bv!D16=0,".",((s_Ir*s_F*s_I_f*s_T*(1-EXP(-up_RadSpec!BD16*s_t_v)))/(s_Y_v*up_RadSpec!BD16))),".")</f>
        <v>9.0143481925428208</v>
      </c>
      <c r="BA16" s="72">
        <f>IFERROR(IF(up_Bv!E16=0,".",((s_Ir*s_F*s_I_f*s_T*(1-EXP(-up_RadSpec!BD16*s_t_v)))/(s_Y_v*up_RadSpec!BD16))),".")</f>
        <v>9.0143481925428208</v>
      </c>
      <c r="BB16" s="72">
        <f>IFERROR(IF(up_Bv!F16=0,".",((s_Ir*s_F*s_I_f*s_T*(1-EXP(-up_RadSpec!BD16*s_t_v)))/(s_Y_v*up_RadSpec!BD16))),".")</f>
        <v>9.0143481925428208</v>
      </c>
      <c r="BC16" s="72">
        <f>IFERROR(IF(up_Bv!G16=0,".",((s_Ir*s_F*s_I_f*s_T*(1-EXP(-up_RadSpec!BD16*s_t_v)))/(s_Y_v*up_RadSpec!BD16))),".")</f>
        <v>9.0143481925428208</v>
      </c>
      <c r="BD16" s="72">
        <f>IFERROR(IF(up_Bv!H16=0,".",((s_Ir*s_F*s_I_f*s_T*(1-EXP(-up_RadSpec!BD16*s_t_v)))/(s_Y_v*up_RadSpec!BD16))),".")</f>
        <v>9.0143481925428208</v>
      </c>
      <c r="BE16" s="72">
        <f>IFERROR(IF(up_Bv!I16=0,".",((s_Ir*s_F*s_I_f*s_T*(1-EXP(-up_RadSpec!BD16*s_t_v)))/(s_Y_v*up_RadSpec!BD16))),".")</f>
        <v>9.0143481925428208</v>
      </c>
      <c r="BF16" s="72">
        <f>IFERROR(IF(up_Bv!J16=0,".",((s_Ir*s_F*s_I_f*s_T*(1-EXP(-up_RadSpec!BD16*s_t_v)))/(s_Y_v*up_RadSpec!BD16))),".")</f>
        <v>9.0143481925428208</v>
      </c>
      <c r="BG16" s="72">
        <f>IFERROR(IF(up_Bv!K16=0,".",((s_Ir*s_F*s_I_f*s_T*(1-EXP(-up_RadSpec!BD16*s_t_v)))/(s_Y_v*up_RadSpec!BD16))),".")</f>
        <v>9.0143481925428208</v>
      </c>
      <c r="BH16" s="72">
        <f>IFERROR(IF(up_Bv!L16=0,".",((s_Ir*s_F*s_I_f*s_T*(1-EXP(-up_RadSpec!BD16*s_t_v)))/(s_Y_v*up_RadSpec!BD16))),".")</f>
        <v>9.0143481925428208</v>
      </c>
      <c r="BI16" s="72">
        <f>IFERROR(IF(up_Bv!M16=0,".",((s_Ir*s_F*s_I_f*s_T*(1-EXP(-up_RadSpec!BD16*s_t_v)))/(s_Y_v*up_RadSpec!BD16))),".")</f>
        <v>9.0143481925428208</v>
      </c>
      <c r="BJ16" s="72">
        <f>IFERROR(IF(up_Bv!N16=0,".",((s_Ir*s_F*s_I_f*s_T*(1-EXP(-up_RadSpec!BD16*s_t_v)))/(s_Y_v*up_RadSpec!BD16))),".")</f>
        <v>9.0143481925428208</v>
      </c>
      <c r="BK16" s="72">
        <f>IFERROR(IF(up_Bv!O16=0,".",((s_Ir*s_F*s_I_f*s_T*(1-EXP(-up_RadSpec!BD16*s_t_v)))/(s_Y_v*up_RadSpec!BD16))),".")</f>
        <v>9.0143481925428208</v>
      </c>
      <c r="BL16" s="72">
        <f>IFERROR(IF(up_Bv!P16=0,".",((s_Ir*s_F*s_I_f*s_T*(1-EXP(-up_RadSpec!BD16*s_t_v)))/(s_Y_v*up_RadSpec!BD16))),".")</f>
        <v>9.0143481925428208</v>
      </c>
      <c r="BM16" s="72">
        <f>IFERROR(IF(up_Bv!Q16=0,".",((s_Ir*s_F*s_I_f*s_T*(1-EXP(-up_RadSpec!BD16*s_t_v)))/(s_Y_v*up_RadSpec!BD16))),".")</f>
        <v>9.0143481925428208</v>
      </c>
      <c r="BN16" s="72">
        <f>IFERROR(IF(up_Bv!R16=0,".",((s_Ir*s_F*s_I_f*s_T*(1-EXP(-up_RadSpec!BD16*s_t_v)))/(s_Y_v*up_RadSpec!BD16))),".")</f>
        <v>9.0143481925428208</v>
      </c>
      <c r="BO16" s="72">
        <f>IFERROR(IF(up_Bv!S16=0,".",((s_Ir*s_F*s_I_f*s_T*(1-EXP(-up_RadSpec!BD16*s_t_v)))/(s_Y_v*up_RadSpec!BD16))),".")</f>
        <v>9.0143481925428208</v>
      </c>
      <c r="BP16" s="72">
        <f>IFERROR(IF(up_Bv!T16=0,".",((s_Ir*s_F*s_I_f*s_T*(1-EXP(-up_RadSpec!BD16*s_t_v)))/(s_Y_v*up_RadSpec!BD16))),".")</f>
        <v>9.0143481925428208</v>
      </c>
      <c r="BQ16" s="72">
        <f>IFERROR(IF(up_Bv!U16=0,".",((s_Ir*s_F*s_I_f*s_T*(1-EXP(-up_RadSpec!BD16*s_t_v)))/(s_Y_v*up_RadSpec!BD16))),".")</f>
        <v>9.0143481925428208</v>
      </c>
      <c r="BR16" s="72">
        <f>IFERROR(IF(up_Bv!V16=0,".",((s_Ir*s_F*s_I_f*s_T*(1-EXP(-up_RadSpec!BD16*s_t_v)))/(s_Y_v*up_RadSpec!BD16))),".")</f>
        <v>9.0143481925428208</v>
      </c>
      <c r="BS16" s="72">
        <f>IFERROR(IF(up_Bv!W16=0,".",((s_Ir*s_F*s_I_f*s_T*(1-EXP(-up_RadSpec!BD16*s_t_v)))/(s_Y_v*up_RadSpec!BD16))),".")</f>
        <v>9.0143481925428208</v>
      </c>
      <c r="BT16" s="72">
        <f>IFERROR(IF(up_Bv!X16=0,".",((s_Ir*s_F*s_I_f*s_T*(1-EXP(-up_RadSpec!BD16*s_t_v)))/(s_Y_v*up_RadSpec!BD16))),".")</f>
        <v>9.0143481925428208</v>
      </c>
      <c r="BU16" s="72">
        <f>IFERROR(IF(up_Bv!Y16=0,".",((s_Ir*s_F*s_I_f*s_T*(1-EXP(-up_RadSpec!BD16*s_t_v)))/(s_Y_v*up_RadSpec!BD16))),".")</f>
        <v>9.0143481925428208</v>
      </c>
      <c r="BV16" s="72">
        <f>IFERROR(IF(up_Bv!Z16=0,".",((s_Ir*s_F*s_I_f*s_T*(1-EXP(-up_RadSpec!BD16*s_t_v)))/(s_Y_v*up_RadSpec!BD16))),".")</f>
        <v>9.0143481925428208</v>
      </c>
    </row>
    <row r="17" spans="1:74" x14ac:dyDescent="0.25">
      <c r="A17" s="31" t="s">
        <v>15</v>
      </c>
      <c r="B17" s="3" t="s">
        <v>1059</v>
      </c>
      <c r="C17" s="72">
        <f>IFERROR(IF(up_Bv!C17=0,".",((s_Ir*s_F*up_Bv!C17*(1-EXP(-up_RadSpec!$BC17*s_t_b)))/(s_P*up_RadSpec!$BC17))),".")</f>
        <v>993.50362303732038</v>
      </c>
      <c r="D17" s="72">
        <f>IFERROR(IF(up_Bv!D17=0,".",((s_Ir*s_F*up_Bv!D17*(1-EXP(-up_RadSpec!BC17*s_t_b)))/(s_P*up_RadSpec!BC17))),".")</f>
        <v>993.50362303732038</v>
      </c>
      <c r="E17" s="72">
        <f>IFERROR(IF(up_Bv!E17=0,".",((s_Ir*s_F*up_Bv!E17*(1-EXP(-up_RadSpec!BC17*s_t_b)))/(s_P*up_RadSpec!BC17))),".")</f>
        <v>993.50362303732038</v>
      </c>
      <c r="F17" s="72">
        <f>IFERROR(IF(up_Bv!F17=0,".",((s_Ir*s_F*up_Bv!F17*(1-EXP(-up_RadSpec!BC17*s_t_b)))/(s_P*up_RadSpec!BC17))),".")</f>
        <v>993.50362303732038</v>
      </c>
      <c r="G17" s="72">
        <f>IFERROR(IF(up_Bv!G17=0,".",((s_Ir*s_F*up_Bv!G17*(1-EXP(-up_RadSpec!BC17*s_t_b)))/(s_P*up_RadSpec!BC17))),".")</f>
        <v>993.50362303732038</v>
      </c>
      <c r="H17" s="72">
        <f>IFERROR(IF(up_Bv!H17=0,".",((s_Ir*s_F*up_Bv!H17*(1-EXP(-up_RadSpec!BC17*s_t_b)))/(s_P*up_RadSpec!BC17))),".")</f>
        <v>993.50362303732038</v>
      </c>
      <c r="I17" s="72">
        <f>IFERROR(IF(up_Bv!I17=0,".",((s_Ir*s_F*up_Bv!I17*(1-EXP(-up_RadSpec!BC17*s_t_b)))/(s_P*up_RadSpec!BC17))),".")</f>
        <v>993.50362303732038</v>
      </c>
      <c r="J17" s="72">
        <f>IFERROR(IF(up_Bv!J17=0,".",((s_Ir*s_F*up_Bv!J17*(1-EXP(-up_RadSpec!BC17*s_t_b)))/(s_P*up_RadSpec!BC17))),".")</f>
        <v>993.50362303732038</v>
      </c>
      <c r="K17" s="72">
        <f>IFERROR(IF(up_Bv!K17=0,".",((s_Ir*s_F*up_Bv!K17*(1-EXP(-up_RadSpec!BC17*s_t_b)))/(s_P*up_RadSpec!BC17))),".")</f>
        <v>993.50362303732038</v>
      </c>
      <c r="L17" s="72">
        <f>IFERROR(IF(up_Bv!L17=0,".",((s_Ir*s_F*up_Bv!L17*(1-EXP(-up_RadSpec!BC17*s_t_b)))/(s_P*up_RadSpec!BC17))),".")</f>
        <v>993.50362303732038</v>
      </c>
      <c r="M17" s="72">
        <f>IFERROR(IF(up_Bv!M17=0,".",((s_Ir*s_F*up_Bv!M17*(1-EXP(-up_RadSpec!BC17*s_t_b)))/(s_P*up_RadSpec!BC17))),".")</f>
        <v>993.50362303732038</v>
      </c>
      <c r="N17" s="72">
        <f>IFERROR(IF(up_Bv!N17=0,".",((s_Ir*s_F*up_Bv!N17*(1-EXP(-up_RadSpec!BC17*s_t_b)))/(s_P*up_RadSpec!BC17))),".")</f>
        <v>993.50362303732038</v>
      </c>
      <c r="O17" s="72">
        <f>IFERROR(IF(up_Bv!O17=0,".",((s_Ir*s_F*up_Bv!O17*(1-EXP(-up_RadSpec!BC17*s_t_b)))/(s_P*up_RadSpec!BC17))),".")</f>
        <v>993.50362303732038</v>
      </c>
      <c r="P17" s="72">
        <f>IFERROR(IF(up_Bv!P17=0,".",((s_Ir*s_F*up_Bv!P17*(1-EXP(-up_RadSpec!BC17*s_t_b)))/(s_P*up_RadSpec!BC17))),".")</f>
        <v>993.50362303732038</v>
      </c>
      <c r="Q17" s="72">
        <f>IFERROR(IF(up_Bv!Q17=0,".",((s_Ir*s_F*up_Bv!Q17*(1-EXP(-up_RadSpec!BC17*s_t_b)))/(s_P*up_RadSpec!BC17))),".")</f>
        <v>993.50362303732038</v>
      </c>
      <c r="R17" s="72">
        <f>IFERROR(IF(up_Bv!R17=0,".",((s_Ir*s_F*up_Bv!R17*(1-EXP(-up_RadSpec!BC17*s_t_b)))/(s_P*up_RadSpec!BC17))),".")</f>
        <v>993.50362303732038</v>
      </c>
      <c r="S17" s="72">
        <f>IFERROR(IF(up_Bv!S17=0,".",((s_Ir*s_F*up_Bv!S17*(1-EXP(-up_RadSpec!BC17*s_t_b)))/(s_P*up_RadSpec!BC17))),".")</f>
        <v>993.50362303732038</v>
      </c>
      <c r="T17" s="72">
        <f>IFERROR(IF(up_Bv!T17=0,".",((s_Ir*s_F*up_Bv!T17*(1-EXP(-up_RadSpec!BC17*s_t_b)))/(s_P*up_RadSpec!BC17))),".")</f>
        <v>993.50362303732038</v>
      </c>
      <c r="U17" s="72">
        <f>IFERROR(IF(up_Bv!U17=0,".",((s_Ir*s_F*up_Bv!U17*(1-EXP(-up_RadSpec!BC17*s_t_b)))/(s_P*up_RadSpec!BC17))),".")</f>
        <v>993.50362303732038</v>
      </c>
      <c r="V17" s="72">
        <f>IFERROR(IF(up_Bv!V17=0,".",((s_Ir*s_F*up_Bv!V17*(1-EXP(-up_RadSpec!BC17*s_t_b)))/(s_P*up_RadSpec!BC17))),".")</f>
        <v>993.50362303732038</v>
      </c>
      <c r="W17" s="72">
        <f>IFERROR(IF(up_Bv!W17=0,".",((s_Ir*s_F*up_Bv!W17*(1-EXP(-up_RadSpec!BC17*s_t_b)))/(s_P*up_RadSpec!BC17))),".")</f>
        <v>993.50362303732038</v>
      </c>
      <c r="X17" s="72">
        <f>IFERROR(IF(up_Bv!X17=0,".",((s_Ir*s_F*up_Bv!X17*(1-EXP(-up_RadSpec!BC17*s_t_b)))/(s_P*up_RadSpec!BC17))),".")</f>
        <v>993.50362303732038</v>
      </c>
      <c r="Y17" s="72">
        <f>IFERROR(IF(up_Bv!Y17=0,".",((s_Ir*s_F*up_Bv!Y17*(1-EXP(-up_RadSpec!BC17*s_t_b)))/(s_P*up_RadSpec!BC17))),".")</f>
        <v>993.50362303732038</v>
      </c>
      <c r="Z17" s="72">
        <f>IFERROR(IF(up_Bv!Z17=0,".",((s_Ir*s_F*up_Bv!Z17*(1-EXP(-up_RadSpec!BC17*s_t_b)))/(s_P*up_RadSpec!BC17))),".")</f>
        <v>993.50362303732038</v>
      </c>
      <c r="AA17" s="72">
        <f>IFERROR(IF(up_Bv!C17=0,".",((s_Ir*s_F*s_MLF_apple*(1-EXP(-up_RadSpec!BC17*s_t_b)))/(s_P*up_RadSpec!BC17))),".")</f>
        <v>2.6824597822007652</v>
      </c>
      <c r="AB17" s="72">
        <f>IFERROR(IF(up_Bv!D17=0,".",((s_Ir*s_F*s_MLF_asparagus*(1-EXP(-up_RadSpec!BC17*s_t_b)))/(s_P*up_RadSpec!BC17))),".")</f>
        <v>2.6824597822007652</v>
      </c>
      <c r="AC17" s="72">
        <f>IFERROR(IF(up_Bv!E17=0,".",((s_Ir*s_F*s_MLF_beet*(1-EXP(-up_RadSpec!BC17*s_t_b)))/(s_P*up_RadSpec!BC17))),".")</f>
        <v>2.6824597822007652</v>
      </c>
      <c r="AD17" s="72">
        <f>IFERROR(IF(up_Bv!F17=0,".",((s_Ir*s_F*s_MLF_berries*(1-EXP(-up_RadSpec!BC17*s_t_b)))/(s_P*up_RadSpec!BC17))),".")</f>
        <v>2.6824597822007652</v>
      </c>
      <c r="AE17" s="72">
        <f>IFERROR(IF(up_Bv!G17=0,".",((s_Ir*s_F*s_MLF_broccoli*(1-EXP(-up_RadSpec!BC17*s_t_b)))/(s_P*up_RadSpec!BC17))),".")</f>
        <v>2.6824597822007652</v>
      </c>
      <c r="AF17" s="72">
        <f>IFERROR(IF(up_Bv!H17=0,".",((s_Ir*s_F*s_MLF_cabbage*(1-EXP(-up_RadSpec!BC17*s_t_b)))/(s_P*up_RadSpec!BC17))),".")</f>
        <v>2.6824597822007652</v>
      </c>
      <c r="AG17" s="72">
        <f>IFERROR(IF(up_Bv!I17=0,".",((s_Ir*s_F*s_MLF_carrot*(1-EXP(-up_RadSpec!BC17*s_t_b)))/(s_P*up_RadSpec!BC17))),".")</f>
        <v>2.6824597822007652</v>
      </c>
      <c r="AH17" s="72">
        <f>IFERROR(IF(up_Bv!J17=0,".",((s_Ir*s_F*s_MLF_citrus*(1-EXP(-up_RadSpec!BC17*s_t_b)))/(s_P*up_RadSpec!BC17))),".")</f>
        <v>2.6824597822007652</v>
      </c>
      <c r="AI17" s="72">
        <f>IFERROR(IF(up_Bv!K17=0,".",((s_Ir*s_F*s_MLF_corn*(1-EXP(-up_RadSpec!BC17*s_t_b)))/(s_P*up_RadSpec!BC17))),".")</f>
        <v>2.6824597822007652</v>
      </c>
      <c r="AJ17" s="72">
        <f>IFERROR(IF(up_Bv!L17=0,".",((s_Ir*s_F*s_MLF_cucumber*(1-EXP(-up_RadSpec!BC17*s_t_b)))/(s_P*up_RadSpec!BC17))),".")</f>
        <v>2.6824597822007652</v>
      </c>
      <c r="AK17" s="72">
        <f>IFERROR(IF(up_Bv!M17=0,".",((s_Ir*s_F*s_MLF_lettuce*(1-EXP(-up_RadSpec!BC17*s_t_b)))/(s_P*up_RadSpec!BC17))),".")</f>
        <v>2.6824597822007652</v>
      </c>
      <c r="AL17" s="72">
        <f>IFERROR(IF(up_Bv!N17=0,".",((s_Ir*s_F*s_MLF_lima_bean*(1-EXP(-up_RadSpec!BC17*s_t_b)))/(s_P*up_RadSpec!BC17))),".")</f>
        <v>2.6824597822007652</v>
      </c>
      <c r="AM17" s="72">
        <f>IFERROR(IF(up_Bv!O17=0,".",((s_Ir*s_F*s_MLF_okra*(1-EXP(-up_RadSpec!BC17*s_t_b)))/(s_P*up_RadSpec!BC17))),".")</f>
        <v>2.6824597822007652</v>
      </c>
      <c r="AN17" s="72">
        <f>IFERROR(IF(up_Bv!P17=0,".",((s_Ir*s_F*s_MLF_onion*(1-EXP(-up_RadSpec!BC17*s_t_b)))/(s_P*up_RadSpec!BC17))),".")</f>
        <v>2.6824597822007652</v>
      </c>
      <c r="AO17" s="72">
        <f>IFERROR(IF(up_Bv!Q17=0,".",((s_Ir*s_F*s_MLF_peach*(1-EXP(-up_RadSpec!BC17*s_t_b)))/(s_P*up_RadSpec!BC17))),".")</f>
        <v>2.6824597822007652</v>
      </c>
      <c r="AP17" s="72">
        <f>IFERROR(IF(up_Bv!R17=0,".",((s_Ir*s_F*s_MLF_pear*(1-EXP(-up_RadSpec!BC17*s_t_b)))/(s_P*up_RadSpec!BC17))),".")</f>
        <v>2.6824597822007652</v>
      </c>
      <c r="AQ17" s="72">
        <f>IFERROR(IF(up_Bv!S17=0,".",((s_Ir*s_F*s_MLF_peas*(1-EXP(-up_RadSpec!BC17*s_t_b)))/(s_P*up_RadSpec!BC17))),".")</f>
        <v>2.6824597822007652</v>
      </c>
      <c r="AR17" s="72">
        <f>IFERROR(IF(up_Bv!T17=0,".",((s_Ir*s_F*s_MLF_potato*(1-EXP(-up_RadSpec!BC17*s_t_b)))/(s_P*up_RadSpec!BC17))),".")</f>
        <v>2.6824597822007652</v>
      </c>
      <c r="AS17" s="72">
        <f>IFERROR(IF(up_Bv!U17=0,".",((s_Ir*s_F*s_MLF_pumpkin*(1-EXP(-up_RadSpec!BC17*s_t_b)))/(s_P*up_RadSpec!BC17))),".")</f>
        <v>2.6824597822007652</v>
      </c>
      <c r="AT17" s="72">
        <f>IFERROR(IF(up_Bv!V17=0,".",((s_Ir*s_F*s_MLF_snap_bean*(1-EXP(-up_RadSpec!BC17*s_t_b)))/(s_P*up_RadSpec!BC17))),".")</f>
        <v>2.6824597822007652</v>
      </c>
      <c r="AU17" s="72">
        <f>IFERROR(IF(up_Bv!W17=0,".",((s_Ir*s_F*s_MLF_strawberry*(1-EXP(-up_RadSpec!BC17*s_t_b)))/(s_P*up_RadSpec!BC17))),".")</f>
        <v>2.6824597822007652</v>
      </c>
      <c r="AV17" s="72">
        <f>IFERROR(IF(up_Bv!X17=0,".",((s_Ir*s_F*s_MLF_tomato*(1-EXP(-up_RadSpec!BC17*s_t_b)))/(s_P*up_RadSpec!BC17))),".")</f>
        <v>2.6824597822007652</v>
      </c>
      <c r="AW17" s="72">
        <f>IFERROR(IF(up_Bv!Y17=0,".",((s_Ir*s_F*s_MLF_rice*(1-EXP(-up_RadSpec!BC17*s_t_b)))/(s_P*up_RadSpec!BC17))),".")</f>
        <v>2.6824597822007652</v>
      </c>
      <c r="AX17" s="72">
        <f>IFERROR(IF(up_Bv!Z17=0,".",((s_Ir*s_F*s_MLF_cereal*(1-EXP(-up_RadSpec!BC17*s_t_b)))/(s_P*up_RadSpec!BC17))),".")</f>
        <v>2.6824597822007652</v>
      </c>
      <c r="AY17" s="72">
        <f>IFERROR(IF(up_Bv!C17=0,".",((s_Ir*s_F*s_I_f*s_T*(1-EXP(-up_RadSpec!BD17*s_t_v)))/(s_Y_v*up_RadSpec!BD17))),".")</f>
        <v>9.0143481925428208</v>
      </c>
      <c r="AZ17" s="72">
        <f>IFERROR(IF(up_Bv!D17=0,".",((s_Ir*s_F*s_I_f*s_T*(1-EXP(-up_RadSpec!BD17*s_t_v)))/(s_Y_v*up_RadSpec!BD17))),".")</f>
        <v>9.0143481925428208</v>
      </c>
      <c r="BA17" s="72">
        <f>IFERROR(IF(up_Bv!E17=0,".",((s_Ir*s_F*s_I_f*s_T*(1-EXP(-up_RadSpec!BD17*s_t_v)))/(s_Y_v*up_RadSpec!BD17))),".")</f>
        <v>9.0143481925428208</v>
      </c>
      <c r="BB17" s="72">
        <f>IFERROR(IF(up_Bv!F17=0,".",((s_Ir*s_F*s_I_f*s_T*(1-EXP(-up_RadSpec!BD17*s_t_v)))/(s_Y_v*up_RadSpec!BD17))),".")</f>
        <v>9.0143481925428208</v>
      </c>
      <c r="BC17" s="72">
        <f>IFERROR(IF(up_Bv!G17=0,".",((s_Ir*s_F*s_I_f*s_T*(1-EXP(-up_RadSpec!BD17*s_t_v)))/(s_Y_v*up_RadSpec!BD17))),".")</f>
        <v>9.0143481925428208</v>
      </c>
      <c r="BD17" s="72">
        <f>IFERROR(IF(up_Bv!H17=0,".",((s_Ir*s_F*s_I_f*s_T*(1-EXP(-up_RadSpec!BD17*s_t_v)))/(s_Y_v*up_RadSpec!BD17))),".")</f>
        <v>9.0143481925428208</v>
      </c>
      <c r="BE17" s="72">
        <f>IFERROR(IF(up_Bv!I17=0,".",((s_Ir*s_F*s_I_f*s_T*(1-EXP(-up_RadSpec!BD17*s_t_v)))/(s_Y_v*up_RadSpec!BD17))),".")</f>
        <v>9.0143481925428208</v>
      </c>
      <c r="BF17" s="72">
        <f>IFERROR(IF(up_Bv!J17=0,".",((s_Ir*s_F*s_I_f*s_T*(1-EXP(-up_RadSpec!BD17*s_t_v)))/(s_Y_v*up_RadSpec!BD17))),".")</f>
        <v>9.0143481925428208</v>
      </c>
      <c r="BG17" s="72">
        <f>IFERROR(IF(up_Bv!K17=0,".",((s_Ir*s_F*s_I_f*s_T*(1-EXP(-up_RadSpec!BD17*s_t_v)))/(s_Y_v*up_RadSpec!BD17))),".")</f>
        <v>9.0143481925428208</v>
      </c>
      <c r="BH17" s="72">
        <f>IFERROR(IF(up_Bv!L17=0,".",((s_Ir*s_F*s_I_f*s_T*(1-EXP(-up_RadSpec!BD17*s_t_v)))/(s_Y_v*up_RadSpec!BD17))),".")</f>
        <v>9.0143481925428208</v>
      </c>
      <c r="BI17" s="72">
        <f>IFERROR(IF(up_Bv!M17=0,".",((s_Ir*s_F*s_I_f*s_T*(1-EXP(-up_RadSpec!BD17*s_t_v)))/(s_Y_v*up_RadSpec!BD17))),".")</f>
        <v>9.0143481925428208</v>
      </c>
      <c r="BJ17" s="72">
        <f>IFERROR(IF(up_Bv!N17=0,".",((s_Ir*s_F*s_I_f*s_T*(1-EXP(-up_RadSpec!BD17*s_t_v)))/(s_Y_v*up_RadSpec!BD17))),".")</f>
        <v>9.0143481925428208</v>
      </c>
      <c r="BK17" s="72">
        <f>IFERROR(IF(up_Bv!O17=0,".",((s_Ir*s_F*s_I_f*s_T*(1-EXP(-up_RadSpec!BD17*s_t_v)))/(s_Y_v*up_RadSpec!BD17))),".")</f>
        <v>9.0143481925428208</v>
      </c>
      <c r="BL17" s="72">
        <f>IFERROR(IF(up_Bv!P17=0,".",((s_Ir*s_F*s_I_f*s_T*(1-EXP(-up_RadSpec!BD17*s_t_v)))/(s_Y_v*up_RadSpec!BD17))),".")</f>
        <v>9.0143481925428208</v>
      </c>
      <c r="BM17" s="72">
        <f>IFERROR(IF(up_Bv!Q17=0,".",((s_Ir*s_F*s_I_f*s_T*(1-EXP(-up_RadSpec!BD17*s_t_v)))/(s_Y_v*up_RadSpec!BD17))),".")</f>
        <v>9.0143481925428208</v>
      </c>
      <c r="BN17" s="72">
        <f>IFERROR(IF(up_Bv!R17=0,".",((s_Ir*s_F*s_I_f*s_T*(1-EXP(-up_RadSpec!BD17*s_t_v)))/(s_Y_v*up_RadSpec!BD17))),".")</f>
        <v>9.0143481925428208</v>
      </c>
      <c r="BO17" s="72">
        <f>IFERROR(IF(up_Bv!S17=0,".",((s_Ir*s_F*s_I_f*s_T*(1-EXP(-up_RadSpec!BD17*s_t_v)))/(s_Y_v*up_RadSpec!BD17))),".")</f>
        <v>9.0143481925428208</v>
      </c>
      <c r="BP17" s="72">
        <f>IFERROR(IF(up_Bv!T17=0,".",((s_Ir*s_F*s_I_f*s_T*(1-EXP(-up_RadSpec!BD17*s_t_v)))/(s_Y_v*up_RadSpec!BD17))),".")</f>
        <v>9.0143481925428208</v>
      </c>
      <c r="BQ17" s="72">
        <f>IFERROR(IF(up_Bv!U17=0,".",((s_Ir*s_F*s_I_f*s_T*(1-EXP(-up_RadSpec!BD17*s_t_v)))/(s_Y_v*up_RadSpec!BD17))),".")</f>
        <v>9.0143481925428208</v>
      </c>
      <c r="BR17" s="72">
        <f>IFERROR(IF(up_Bv!V17=0,".",((s_Ir*s_F*s_I_f*s_T*(1-EXP(-up_RadSpec!BD17*s_t_v)))/(s_Y_v*up_RadSpec!BD17))),".")</f>
        <v>9.0143481925428208</v>
      </c>
      <c r="BS17" s="72">
        <f>IFERROR(IF(up_Bv!W17=0,".",((s_Ir*s_F*s_I_f*s_T*(1-EXP(-up_RadSpec!BD17*s_t_v)))/(s_Y_v*up_RadSpec!BD17))),".")</f>
        <v>9.0143481925428208</v>
      </c>
      <c r="BT17" s="72">
        <f>IFERROR(IF(up_Bv!X17=0,".",((s_Ir*s_F*s_I_f*s_T*(1-EXP(-up_RadSpec!BD17*s_t_v)))/(s_Y_v*up_RadSpec!BD17))),".")</f>
        <v>9.0143481925428208</v>
      </c>
      <c r="BU17" s="72">
        <f>IFERROR(IF(up_Bv!Y17=0,".",((s_Ir*s_F*s_I_f*s_T*(1-EXP(-up_RadSpec!BD17*s_t_v)))/(s_Y_v*up_RadSpec!BD17))),".")</f>
        <v>9.0143481925428208</v>
      </c>
      <c r="BV17" s="72">
        <f>IFERROR(IF(up_Bv!Z17=0,".",((s_Ir*s_F*s_I_f*s_T*(1-EXP(-up_RadSpec!BD17*s_t_v)))/(s_Y_v*up_RadSpec!BD17))),".")</f>
        <v>9.0143481925428208</v>
      </c>
    </row>
    <row r="18" spans="1:74" x14ac:dyDescent="0.25">
      <c r="A18" s="31" t="s">
        <v>16</v>
      </c>
      <c r="B18" s="3" t="s">
        <v>1059</v>
      </c>
      <c r="C18" s="72">
        <f>IFERROR(IF(up_Bv!C18=0,".",((s_Ir*s_F*up_Bv!C18*(1-EXP(-up_RadSpec!$BC18*s_t_b)))/(s_P*up_RadSpec!$BC18))),".")</f>
        <v>993.50362303732038</v>
      </c>
      <c r="D18" s="72">
        <f>IFERROR(IF(up_Bv!D18=0,".",((s_Ir*s_F*up_Bv!D18*(1-EXP(-up_RadSpec!BC18*s_t_b)))/(s_P*up_RadSpec!BC18))),".")</f>
        <v>993.50362303732038</v>
      </c>
      <c r="E18" s="72">
        <f>IFERROR(IF(up_Bv!E18=0,".",((s_Ir*s_F*up_Bv!E18*(1-EXP(-up_RadSpec!BC18*s_t_b)))/(s_P*up_RadSpec!BC18))),".")</f>
        <v>993.50362303732038</v>
      </c>
      <c r="F18" s="72">
        <f>IFERROR(IF(up_Bv!F18=0,".",((s_Ir*s_F*up_Bv!F18*(1-EXP(-up_RadSpec!BC18*s_t_b)))/(s_P*up_RadSpec!BC18))),".")</f>
        <v>993.50362303732038</v>
      </c>
      <c r="G18" s="72">
        <f>IFERROR(IF(up_Bv!G18=0,".",((s_Ir*s_F*up_Bv!G18*(1-EXP(-up_RadSpec!BC18*s_t_b)))/(s_P*up_RadSpec!BC18))),".")</f>
        <v>993.50362303732038</v>
      </c>
      <c r="H18" s="72">
        <f>IFERROR(IF(up_Bv!H18=0,".",((s_Ir*s_F*up_Bv!H18*(1-EXP(-up_RadSpec!BC18*s_t_b)))/(s_P*up_RadSpec!BC18))),".")</f>
        <v>993.50362303732038</v>
      </c>
      <c r="I18" s="72">
        <f>IFERROR(IF(up_Bv!I18=0,".",((s_Ir*s_F*up_Bv!I18*(1-EXP(-up_RadSpec!BC18*s_t_b)))/(s_P*up_RadSpec!BC18))),".")</f>
        <v>993.50362303732038</v>
      </c>
      <c r="J18" s="72">
        <f>IFERROR(IF(up_Bv!J18=0,".",((s_Ir*s_F*up_Bv!J18*(1-EXP(-up_RadSpec!BC18*s_t_b)))/(s_P*up_RadSpec!BC18))),".")</f>
        <v>993.50362303732038</v>
      </c>
      <c r="K18" s="72">
        <f>IFERROR(IF(up_Bv!K18=0,".",((s_Ir*s_F*up_Bv!K18*(1-EXP(-up_RadSpec!BC18*s_t_b)))/(s_P*up_RadSpec!BC18))),".")</f>
        <v>993.50362303732038</v>
      </c>
      <c r="L18" s="72">
        <f>IFERROR(IF(up_Bv!L18=0,".",((s_Ir*s_F*up_Bv!L18*(1-EXP(-up_RadSpec!BC18*s_t_b)))/(s_P*up_RadSpec!BC18))),".")</f>
        <v>993.50362303732038</v>
      </c>
      <c r="M18" s="72">
        <f>IFERROR(IF(up_Bv!M18=0,".",((s_Ir*s_F*up_Bv!M18*(1-EXP(-up_RadSpec!BC18*s_t_b)))/(s_P*up_RadSpec!BC18))),".")</f>
        <v>993.50362303732038</v>
      </c>
      <c r="N18" s="72">
        <f>IFERROR(IF(up_Bv!N18=0,".",((s_Ir*s_F*up_Bv!N18*(1-EXP(-up_RadSpec!BC18*s_t_b)))/(s_P*up_RadSpec!BC18))),".")</f>
        <v>993.50362303732038</v>
      </c>
      <c r="O18" s="72">
        <f>IFERROR(IF(up_Bv!O18=0,".",((s_Ir*s_F*up_Bv!O18*(1-EXP(-up_RadSpec!BC18*s_t_b)))/(s_P*up_RadSpec!BC18))),".")</f>
        <v>993.50362303732038</v>
      </c>
      <c r="P18" s="72">
        <f>IFERROR(IF(up_Bv!P18=0,".",((s_Ir*s_F*up_Bv!P18*(1-EXP(-up_RadSpec!BC18*s_t_b)))/(s_P*up_RadSpec!BC18))),".")</f>
        <v>993.50362303732038</v>
      </c>
      <c r="Q18" s="72">
        <f>IFERROR(IF(up_Bv!Q18=0,".",((s_Ir*s_F*up_Bv!Q18*(1-EXP(-up_RadSpec!BC18*s_t_b)))/(s_P*up_RadSpec!BC18))),".")</f>
        <v>993.50362303732038</v>
      </c>
      <c r="R18" s="72">
        <f>IFERROR(IF(up_Bv!R18=0,".",((s_Ir*s_F*up_Bv!R18*(1-EXP(-up_RadSpec!BC18*s_t_b)))/(s_P*up_RadSpec!BC18))),".")</f>
        <v>993.50362303732038</v>
      </c>
      <c r="S18" s="72">
        <f>IFERROR(IF(up_Bv!S18=0,".",((s_Ir*s_F*up_Bv!S18*(1-EXP(-up_RadSpec!BC18*s_t_b)))/(s_P*up_RadSpec!BC18))),".")</f>
        <v>993.50362303732038</v>
      </c>
      <c r="T18" s="72">
        <f>IFERROR(IF(up_Bv!T18=0,".",((s_Ir*s_F*up_Bv!T18*(1-EXP(-up_RadSpec!BC18*s_t_b)))/(s_P*up_RadSpec!BC18))),".")</f>
        <v>993.50362303732038</v>
      </c>
      <c r="U18" s="72">
        <f>IFERROR(IF(up_Bv!U18=0,".",((s_Ir*s_F*up_Bv!U18*(1-EXP(-up_RadSpec!BC18*s_t_b)))/(s_P*up_RadSpec!BC18))),".")</f>
        <v>993.50362303732038</v>
      </c>
      <c r="V18" s="72">
        <f>IFERROR(IF(up_Bv!V18=0,".",((s_Ir*s_F*up_Bv!V18*(1-EXP(-up_RadSpec!BC18*s_t_b)))/(s_P*up_RadSpec!BC18))),".")</f>
        <v>993.50362303732038</v>
      </c>
      <c r="W18" s="72">
        <f>IFERROR(IF(up_Bv!W18=0,".",((s_Ir*s_F*up_Bv!W18*(1-EXP(-up_RadSpec!BC18*s_t_b)))/(s_P*up_RadSpec!BC18))),".")</f>
        <v>993.50362303732038</v>
      </c>
      <c r="X18" s="72">
        <f>IFERROR(IF(up_Bv!X18=0,".",((s_Ir*s_F*up_Bv!X18*(1-EXP(-up_RadSpec!BC18*s_t_b)))/(s_P*up_RadSpec!BC18))),".")</f>
        <v>993.50362303732038</v>
      </c>
      <c r="Y18" s="72">
        <f>IFERROR(IF(up_Bv!Y18=0,".",((s_Ir*s_F*up_Bv!Y18*(1-EXP(-up_RadSpec!BC18*s_t_b)))/(s_P*up_RadSpec!BC18))),".")</f>
        <v>993.50362303732038</v>
      </c>
      <c r="Z18" s="72">
        <f>IFERROR(IF(up_Bv!Z18=0,".",((s_Ir*s_F*up_Bv!Z18*(1-EXP(-up_RadSpec!BC18*s_t_b)))/(s_P*up_RadSpec!BC18))),".")</f>
        <v>993.50362303732038</v>
      </c>
      <c r="AA18" s="72">
        <f>IFERROR(IF(up_Bv!C18=0,".",((s_Ir*s_F*s_MLF_apple*(1-EXP(-up_RadSpec!BC18*s_t_b)))/(s_P*up_RadSpec!BC18))),".")</f>
        <v>2.6824597822007652</v>
      </c>
      <c r="AB18" s="72">
        <f>IFERROR(IF(up_Bv!D18=0,".",((s_Ir*s_F*s_MLF_asparagus*(1-EXP(-up_RadSpec!BC18*s_t_b)))/(s_P*up_RadSpec!BC18))),".")</f>
        <v>2.6824597822007652</v>
      </c>
      <c r="AC18" s="72">
        <f>IFERROR(IF(up_Bv!E18=0,".",((s_Ir*s_F*s_MLF_beet*(1-EXP(-up_RadSpec!BC18*s_t_b)))/(s_P*up_RadSpec!BC18))),".")</f>
        <v>2.6824597822007652</v>
      </c>
      <c r="AD18" s="72">
        <f>IFERROR(IF(up_Bv!F18=0,".",((s_Ir*s_F*s_MLF_berries*(1-EXP(-up_RadSpec!BC18*s_t_b)))/(s_P*up_RadSpec!BC18))),".")</f>
        <v>2.6824597822007652</v>
      </c>
      <c r="AE18" s="72">
        <f>IFERROR(IF(up_Bv!G18=0,".",((s_Ir*s_F*s_MLF_broccoli*(1-EXP(-up_RadSpec!BC18*s_t_b)))/(s_P*up_RadSpec!BC18))),".")</f>
        <v>2.6824597822007652</v>
      </c>
      <c r="AF18" s="72">
        <f>IFERROR(IF(up_Bv!H18=0,".",((s_Ir*s_F*s_MLF_cabbage*(1-EXP(-up_RadSpec!BC18*s_t_b)))/(s_P*up_RadSpec!BC18))),".")</f>
        <v>2.6824597822007652</v>
      </c>
      <c r="AG18" s="72">
        <f>IFERROR(IF(up_Bv!I18=0,".",((s_Ir*s_F*s_MLF_carrot*(1-EXP(-up_RadSpec!BC18*s_t_b)))/(s_P*up_RadSpec!BC18))),".")</f>
        <v>2.6824597822007652</v>
      </c>
      <c r="AH18" s="72">
        <f>IFERROR(IF(up_Bv!J18=0,".",((s_Ir*s_F*s_MLF_citrus*(1-EXP(-up_RadSpec!BC18*s_t_b)))/(s_P*up_RadSpec!BC18))),".")</f>
        <v>2.6824597822007652</v>
      </c>
      <c r="AI18" s="72">
        <f>IFERROR(IF(up_Bv!K18=0,".",((s_Ir*s_F*s_MLF_corn*(1-EXP(-up_RadSpec!BC18*s_t_b)))/(s_P*up_RadSpec!BC18))),".")</f>
        <v>2.6824597822007652</v>
      </c>
      <c r="AJ18" s="72">
        <f>IFERROR(IF(up_Bv!L18=0,".",((s_Ir*s_F*s_MLF_cucumber*(1-EXP(-up_RadSpec!BC18*s_t_b)))/(s_P*up_RadSpec!BC18))),".")</f>
        <v>2.6824597822007652</v>
      </c>
      <c r="AK18" s="72">
        <f>IFERROR(IF(up_Bv!M18=0,".",((s_Ir*s_F*s_MLF_lettuce*(1-EXP(-up_RadSpec!BC18*s_t_b)))/(s_P*up_RadSpec!BC18))),".")</f>
        <v>2.6824597822007652</v>
      </c>
      <c r="AL18" s="72">
        <f>IFERROR(IF(up_Bv!N18=0,".",((s_Ir*s_F*s_MLF_lima_bean*(1-EXP(-up_RadSpec!BC18*s_t_b)))/(s_P*up_RadSpec!BC18))),".")</f>
        <v>2.6824597822007652</v>
      </c>
      <c r="AM18" s="72">
        <f>IFERROR(IF(up_Bv!O18=0,".",((s_Ir*s_F*s_MLF_okra*(1-EXP(-up_RadSpec!BC18*s_t_b)))/(s_P*up_RadSpec!BC18))),".")</f>
        <v>2.6824597822007652</v>
      </c>
      <c r="AN18" s="72">
        <f>IFERROR(IF(up_Bv!P18=0,".",((s_Ir*s_F*s_MLF_onion*(1-EXP(-up_RadSpec!BC18*s_t_b)))/(s_P*up_RadSpec!BC18))),".")</f>
        <v>2.6824597822007652</v>
      </c>
      <c r="AO18" s="72">
        <f>IFERROR(IF(up_Bv!Q18=0,".",((s_Ir*s_F*s_MLF_peach*(1-EXP(-up_RadSpec!BC18*s_t_b)))/(s_P*up_RadSpec!BC18))),".")</f>
        <v>2.6824597822007652</v>
      </c>
      <c r="AP18" s="72">
        <f>IFERROR(IF(up_Bv!R18=0,".",((s_Ir*s_F*s_MLF_pear*(1-EXP(-up_RadSpec!BC18*s_t_b)))/(s_P*up_RadSpec!BC18))),".")</f>
        <v>2.6824597822007652</v>
      </c>
      <c r="AQ18" s="72">
        <f>IFERROR(IF(up_Bv!S18=0,".",((s_Ir*s_F*s_MLF_peas*(1-EXP(-up_RadSpec!BC18*s_t_b)))/(s_P*up_RadSpec!BC18))),".")</f>
        <v>2.6824597822007652</v>
      </c>
      <c r="AR18" s="72">
        <f>IFERROR(IF(up_Bv!T18=0,".",((s_Ir*s_F*s_MLF_potato*(1-EXP(-up_RadSpec!BC18*s_t_b)))/(s_P*up_RadSpec!BC18))),".")</f>
        <v>2.6824597822007652</v>
      </c>
      <c r="AS18" s="72">
        <f>IFERROR(IF(up_Bv!U18=0,".",((s_Ir*s_F*s_MLF_pumpkin*(1-EXP(-up_RadSpec!BC18*s_t_b)))/(s_P*up_RadSpec!BC18))),".")</f>
        <v>2.6824597822007652</v>
      </c>
      <c r="AT18" s="72">
        <f>IFERROR(IF(up_Bv!V18=0,".",((s_Ir*s_F*s_MLF_snap_bean*(1-EXP(-up_RadSpec!BC18*s_t_b)))/(s_P*up_RadSpec!BC18))),".")</f>
        <v>2.6824597822007652</v>
      </c>
      <c r="AU18" s="72">
        <f>IFERROR(IF(up_Bv!W18=0,".",((s_Ir*s_F*s_MLF_strawberry*(1-EXP(-up_RadSpec!BC18*s_t_b)))/(s_P*up_RadSpec!BC18))),".")</f>
        <v>2.6824597822007652</v>
      </c>
      <c r="AV18" s="72">
        <f>IFERROR(IF(up_Bv!X18=0,".",((s_Ir*s_F*s_MLF_tomato*(1-EXP(-up_RadSpec!BC18*s_t_b)))/(s_P*up_RadSpec!BC18))),".")</f>
        <v>2.6824597822007652</v>
      </c>
      <c r="AW18" s="72">
        <f>IFERROR(IF(up_Bv!Y18=0,".",((s_Ir*s_F*s_MLF_rice*(1-EXP(-up_RadSpec!BC18*s_t_b)))/(s_P*up_RadSpec!BC18))),".")</f>
        <v>2.6824597822007652</v>
      </c>
      <c r="AX18" s="72">
        <f>IFERROR(IF(up_Bv!Z18=0,".",((s_Ir*s_F*s_MLF_cereal*(1-EXP(-up_RadSpec!BC18*s_t_b)))/(s_P*up_RadSpec!BC18))),".")</f>
        <v>2.6824597822007652</v>
      </c>
      <c r="AY18" s="72">
        <f>IFERROR(IF(up_Bv!C18=0,".",((s_Ir*s_F*s_I_f*s_T*(1-EXP(-up_RadSpec!BD18*s_t_v)))/(s_Y_v*up_RadSpec!BD18))),".")</f>
        <v>9.0143481925428208</v>
      </c>
      <c r="AZ18" s="72">
        <f>IFERROR(IF(up_Bv!D18=0,".",((s_Ir*s_F*s_I_f*s_T*(1-EXP(-up_RadSpec!BD18*s_t_v)))/(s_Y_v*up_RadSpec!BD18))),".")</f>
        <v>9.0143481925428208</v>
      </c>
      <c r="BA18" s="72">
        <f>IFERROR(IF(up_Bv!E18=0,".",((s_Ir*s_F*s_I_f*s_T*(1-EXP(-up_RadSpec!BD18*s_t_v)))/(s_Y_v*up_RadSpec!BD18))),".")</f>
        <v>9.0143481925428208</v>
      </c>
      <c r="BB18" s="72">
        <f>IFERROR(IF(up_Bv!F18=0,".",((s_Ir*s_F*s_I_f*s_T*(1-EXP(-up_RadSpec!BD18*s_t_v)))/(s_Y_v*up_RadSpec!BD18))),".")</f>
        <v>9.0143481925428208</v>
      </c>
      <c r="BC18" s="72">
        <f>IFERROR(IF(up_Bv!G18=0,".",((s_Ir*s_F*s_I_f*s_T*(1-EXP(-up_RadSpec!BD18*s_t_v)))/(s_Y_v*up_RadSpec!BD18))),".")</f>
        <v>9.0143481925428208</v>
      </c>
      <c r="BD18" s="72">
        <f>IFERROR(IF(up_Bv!H18=0,".",((s_Ir*s_F*s_I_f*s_T*(1-EXP(-up_RadSpec!BD18*s_t_v)))/(s_Y_v*up_RadSpec!BD18))),".")</f>
        <v>9.0143481925428208</v>
      </c>
      <c r="BE18" s="72">
        <f>IFERROR(IF(up_Bv!I18=0,".",((s_Ir*s_F*s_I_f*s_T*(1-EXP(-up_RadSpec!BD18*s_t_v)))/(s_Y_v*up_RadSpec!BD18))),".")</f>
        <v>9.0143481925428208</v>
      </c>
      <c r="BF18" s="72">
        <f>IFERROR(IF(up_Bv!J18=0,".",((s_Ir*s_F*s_I_f*s_T*(1-EXP(-up_RadSpec!BD18*s_t_v)))/(s_Y_v*up_RadSpec!BD18))),".")</f>
        <v>9.0143481925428208</v>
      </c>
      <c r="BG18" s="72">
        <f>IFERROR(IF(up_Bv!K18=0,".",((s_Ir*s_F*s_I_f*s_T*(1-EXP(-up_RadSpec!BD18*s_t_v)))/(s_Y_v*up_RadSpec!BD18))),".")</f>
        <v>9.0143481925428208</v>
      </c>
      <c r="BH18" s="72">
        <f>IFERROR(IF(up_Bv!L18=0,".",((s_Ir*s_F*s_I_f*s_T*(1-EXP(-up_RadSpec!BD18*s_t_v)))/(s_Y_v*up_RadSpec!BD18))),".")</f>
        <v>9.0143481925428208</v>
      </c>
      <c r="BI18" s="72">
        <f>IFERROR(IF(up_Bv!M18=0,".",((s_Ir*s_F*s_I_f*s_T*(1-EXP(-up_RadSpec!BD18*s_t_v)))/(s_Y_v*up_RadSpec!BD18))),".")</f>
        <v>9.0143481925428208</v>
      </c>
      <c r="BJ18" s="72">
        <f>IFERROR(IF(up_Bv!N18=0,".",((s_Ir*s_F*s_I_f*s_T*(1-EXP(-up_RadSpec!BD18*s_t_v)))/(s_Y_v*up_RadSpec!BD18))),".")</f>
        <v>9.0143481925428208</v>
      </c>
      <c r="BK18" s="72">
        <f>IFERROR(IF(up_Bv!O18=0,".",((s_Ir*s_F*s_I_f*s_T*(1-EXP(-up_RadSpec!BD18*s_t_v)))/(s_Y_v*up_RadSpec!BD18))),".")</f>
        <v>9.0143481925428208</v>
      </c>
      <c r="BL18" s="72">
        <f>IFERROR(IF(up_Bv!P18=0,".",((s_Ir*s_F*s_I_f*s_T*(1-EXP(-up_RadSpec!BD18*s_t_v)))/(s_Y_v*up_RadSpec!BD18))),".")</f>
        <v>9.0143481925428208</v>
      </c>
      <c r="BM18" s="72">
        <f>IFERROR(IF(up_Bv!Q18=0,".",((s_Ir*s_F*s_I_f*s_T*(1-EXP(-up_RadSpec!BD18*s_t_v)))/(s_Y_v*up_RadSpec!BD18))),".")</f>
        <v>9.0143481925428208</v>
      </c>
      <c r="BN18" s="72">
        <f>IFERROR(IF(up_Bv!R18=0,".",((s_Ir*s_F*s_I_f*s_T*(1-EXP(-up_RadSpec!BD18*s_t_v)))/(s_Y_v*up_RadSpec!BD18))),".")</f>
        <v>9.0143481925428208</v>
      </c>
      <c r="BO18" s="72">
        <f>IFERROR(IF(up_Bv!S18=0,".",((s_Ir*s_F*s_I_f*s_T*(1-EXP(-up_RadSpec!BD18*s_t_v)))/(s_Y_v*up_RadSpec!BD18))),".")</f>
        <v>9.0143481925428208</v>
      </c>
      <c r="BP18" s="72">
        <f>IFERROR(IF(up_Bv!T18=0,".",((s_Ir*s_F*s_I_f*s_T*(1-EXP(-up_RadSpec!BD18*s_t_v)))/(s_Y_v*up_RadSpec!BD18))),".")</f>
        <v>9.0143481925428208</v>
      </c>
      <c r="BQ18" s="72">
        <f>IFERROR(IF(up_Bv!U18=0,".",((s_Ir*s_F*s_I_f*s_T*(1-EXP(-up_RadSpec!BD18*s_t_v)))/(s_Y_v*up_RadSpec!BD18))),".")</f>
        <v>9.0143481925428208</v>
      </c>
      <c r="BR18" s="72">
        <f>IFERROR(IF(up_Bv!V18=0,".",((s_Ir*s_F*s_I_f*s_T*(1-EXP(-up_RadSpec!BD18*s_t_v)))/(s_Y_v*up_RadSpec!BD18))),".")</f>
        <v>9.0143481925428208</v>
      </c>
      <c r="BS18" s="72">
        <f>IFERROR(IF(up_Bv!W18=0,".",((s_Ir*s_F*s_I_f*s_T*(1-EXP(-up_RadSpec!BD18*s_t_v)))/(s_Y_v*up_RadSpec!BD18))),".")</f>
        <v>9.0143481925428208</v>
      </c>
      <c r="BT18" s="72">
        <f>IFERROR(IF(up_Bv!X18=0,".",((s_Ir*s_F*s_I_f*s_T*(1-EXP(-up_RadSpec!BD18*s_t_v)))/(s_Y_v*up_RadSpec!BD18))),".")</f>
        <v>9.0143481925428208</v>
      </c>
      <c r="BU18" s="72">
        <f>IFERROR(IF(up_Bv!Y18=0,".",((s_Ir*s_F*s_I_f*s_T*(1-EXP(-up_RadSpec!BD18*s_t_v)))/(s_Y_v*up_RadSpec!BD18))),".")</f>
        <v>9.0143481925428208</v>
      </c>
      <c r="BV18" s="72">
        <f>IFERROR(IF(up_Bv!Z18=0,".",((s_Ir*s_F*s_I_f*s_T*(1-EXP(-up_RadSpec!BD18*s_t_v)))/(s_Y_v*up_RadSpec!BD18))),".")</f>
        <v>9.0143481925428208</v>
      </c>
    </row>
    <row r="19" spans="1:74" x14ac:dyDescent="0.25">
      <c r="A19" s="31" t="s">
        <v>17</v>
      </c>
      <c r="B19" s="3" t="s">
        <v>1059</v>
      </c>
      <c r="C19" s="72">
        <f>IFERROR(IF(up_Bv!C19=0,".",((s_Ir*s_F*up_Bv!C19*(1-EXP(-up_RadSpec!$BC19*s_t_b)))/(s_P*up_RadSpec!$BC19))),".")</f>
        <v>993.50362303732038</v>
      </c>
      <c r="D19" s="72">
        <f>IFERROR(IF(up_Bv!D19=0,".",((s_Ir*s_F*up_Bv!D19*(1-EXP(-up_RadSpec!BC19*s_t_b)))/(s_P*up_RadSpec!BC19))),".")</f>
        <v>993.50362303732038</v>
      </c>
      <c r="E19" s="72">
        <f>IFERROR(IF(up_Bv!E19=0,".",((s_Ir*s_F*up_Bv!E19*(1-EXP(-up_RadSpec!BC19*s_t_b)))/(s_P*up_RadSpec!BC19))),".")</f>
        <v>993.50362303732038</v>
      </c>
      <c r="F19" s="72">
        <f>IFERROR(IF(up_Bv!F19=0,".",((s_Ir*s_F*up_Bv!F19*(1-EXP(-up_RadSpec!BC19*s_t_b)))/(s_P*up_RadSpec!BC19))),".")</f>
        <v>993.50362303732038</v>
      </c>
      <c r="G19" s="72">
        <f>IFERROR(IF(up_Bv!G19=0,".",((s_Ir*s_F*up_Bv!G19*(1-EXP(-up_RadSpec!BC19*s_t_b)))/(s_P*up_RadSpec!BC19))),".")</f>
        <v>993.50362303732038</v>
      </c>
      <c r="H19" s="72">
        <f>IFERROR(IF(up_Bv!H19=0,".",((s_Ir*s_F*up_Bv!H19*(1-EXP(-up_RadSpec!BC19*s_t_b)))/(s_P*up_RadSpec!BC19))),".")</f>
        <v>993.50362303732038</v>
      </c>
      <c r="I19" s="72">
        <f>IFERROR(IF(up_Bv!I19=0,".",((s_Ir*s_F*up_Bv!I19*(1-EXP(-up_RadSpec!BC19*s_t_b)))/(s_P*up_RadSpec!BC19))),".")</f>
        <v>993.50362303732038</v>
      </c>
      <c r="J19" s="72">
        <f>IFERROR(IF(up_Bv!J19=0,".",((s_Ir*s_F*up_Bv!J19*(1-EXP(-up_RadSpec!BC19*s_t_b)))/(s_P*up_RadSpec!BC19))),".")</f>
        <v>993.50362303732038</v>
      </c>
      <c r="K19" s="72">
        <f>IFERROR(IF(up_Bv!K19=0,".",((s_Ir*s_F*up_Bv!K19*(1-EXP(-up_RadSpec!BC19*s_t_b)))/(s_P*up_RadSpec!BC19))),".")</f>
        <v>993.50362303732038</v>
      </c>
      <c r="L19" s="72">
        <f>IFERROR(IF(up_Bv!L19=0,".",((s_Ir*s_F*up_Bv!L19*(1-EXP(-up_RadSpec!BC19*s_t_b)))/(s_P*up_RadSpec!BC19))),".")</f>
        <v>993.50362303732038</v>
      </c>
      <c r="M19" s="72">
        <f>IFERROR(IF(up_Bv!M19=0,".",((s_Ir*s_F*up_Bv!M19*(1-EXP(-up_RadSpec!BC19*s_t_b)))/(s_P*up_RadSpec!BC19))),".")</f>
        <v>993.50362303732038</v>
      </c>
      <c r="N19" s="72">
        <f>IFERROR(IF(up_Bv!N19=0,".",((s_Ir*s_F*up_Bv!N19*(1-EXP(-up_RadSpec!BC19*s_t_b)))/(s_P*up_RadSpec!BC19))),".")</f>
        <v>993.50362303732038</v>
      </c>
      <c r="O19" s="72">
        <f>IFERROR(IF(up_Bv!O19=0,".",((s_Ir*s_F*up_Bv!O19*(1-EXP(-up_RadSpec!BC19*s_t_b)))/(s_P*up_RadSpec!BC19))),".")</f>
        <v>993.50362303732038</v>
      </c>
      <c r="P19" s="72">
        <f>IFERROR(IF(up_Bv!P19=0,".",((s_Ir*s_F*up_Bv!P19*(1-EXP(-up_RadSpec!BC19*s_t_b)))/(s_P*up_RadSpec!BC19))),".")</f>
        <v>993.50362303732038</v>
      </c>
      <c r="Q19" s="72">
        <f>IFERROR(IF(up_Bv!Q19=0,".",((s_Ir*s_F*up_Bv!Q19*(1-EXP(-up_RadSpec!BC19*s_t_b)))/(s_P*up_RadSpec!BC19))),".")</f>
        <v>993.50362303732038</v>
      </c>
      <c r="R19" s="72">
        <f>IFERROR(IF(up_Bv!R19=0,".",((s_Ir*s_F*up_Bv!R19*(1-EXP(-up_RadSpec!BC19*s_t_b)))/(s_P*up_RadSpec!BC19))),".")</f>
        <v>993.50362303732038</v>
      </c>
      <c r="S19" s="72">
        <f>IFERROR(IF(up_Bv!S19=0,".",((s_Ir*s_F*up_Bv!S19*(1-EXP(-up_RadSpec!BC19*s_t_b)))/(s_P*up_RadSpec!BC19))),".")</f>
        <v>993.50362303732038</v>
      </c>
      <c r="T19" s="72">
        <f>IFERROR(IF(up_Bv!T19=0,".",((s_Ir*s_F*up_Bv!T19*(1-EXP(-up_RadSpec!BC19*s_t_b)))/(s_P*up_RadSpec!BC19))),".")</f>
        <v>993.50362303732038</v>
      </c>
      <c r="U19" s="72">
        <f>IFERROR(IF(up_Bv!U19=0,".",((s_Ir*s_F*up_Bv!U19*(1-EXP(-up_RadSpec!BC19*s_t_b)))/(s_P*up_RadSpec!BC19))),".")</f>
        <v>993.50362303732038</v>
      </c>
      <c r="V19" s="72">
        <f>IFERROR(IF(up_Bv!V19=0,".",((s_Ir*s_F*up_Bv!V19*(1-EXP(-up_RadSpec!BC19*s_t_b)))/(s_P*up_RadSpec!BC19))),".")</f>
        <v>993.50362303732038</v>
      </c>
      <c r="W19" s="72">
        <f>IFERROR(IF(up_Bv!W19=0,".",((s_Ir*s_F*up_Bv!W19*(1-EXP(-up_RadSpec!BC19*s_t_b)))/(s_P*up_RadSpec!BC19))),".")</f>
        <v>993.50362303732038</v>
      </c>
      <c r="X19" s="72">
        <f>IFERROR(IF(up_Bv!X19=0,".",((s_Ir*s_F*up_Bv!X19*(1-EXP(-up_RadSpec!BC19*s_t_b)))/(s_P*up_RadSpec!BC19))),".")</f>
        <v>993.50362303732038</v>
      </c>
      <c r="Y19" s="72">
        <f>IFERROR(IF(up_Bv!Y19=0,".",((s_Ir*s_F*up_Bv!Y19*(1-EXP(-up_RadSpec!BC19*s_t_b)))/(s_P*up_RadSpec!BC19))),".")</f>
        <v>993.50362303732038</v>
      </c>
      <c r="Z19" s="72">
        <f>IFERROR(IF(up_Bv!Z19=0,".",((s_Ir*s_F*up_Bv!Z19*(1-EXP(-up_RadSpec!BC19*s_t_b)))/(s_P*up_RadSpec!BC19))),".")</f>
        <v>993.50362303732038</v>
      </c>
      <c r="AA19" s="72">
        <f>IFERROR(IF(up_Bv!C19=0,".",((s_Ir*s_F*s_MLF_apple*(1-EXP(-up_RadSpec!BC19*s_t_b)))/(s_P*up_RadSpec!BC19))),".")</f>
        <v>2.6824597822007652</v>
      </c>
      <c r="AB19" s="72">
        <f>IFERROR(IF(up_Bv!D19=0,".",((s_Ir*s_F*s_MLF_asparagus*(1-EXP(-up_RadSpec!BC19*s_t_b)))/(s_P*up_RadSpec!BC19))),".")</f>
        <v>2.6824597822007652</v>
      </c>
      <c r="AC19" s="72">
        <f>IFERROR(IF(up_Bv!E19=0,".",((s_Ir*s_F*s_MLF_beet*(1-EXP(-up_RadSpec!BC19*s_t_b)))/(s_P*up_RadSpec!BC19))),".")</f>
        <v>2.6824597822007652</v>
      </c>
      <c r="AD19" s="72">
        <f>IFERROR(IF(up_Bv!F19=0,".",((s_Ir*s_F*s_MLF_berries*(1-EXP(-up_RadSpec!BC19*s_t_b)))/(s_P*up_RadSpec!BC19))),".")</f>
        <v>2.6824597822007652</v>
      </c>
      <c r="AE19" s="72">
        <f>IFERROR(IF(up_Bv!G19=0,".",((s_Ir*s_F*s_MLF_broccoli*(1-EXP(-up_RadSpec!BC19*s_t_b)))/(s_P*up_RadSpec!BC19))),".")</f>
        <v>2.6824597822007652</v>
      </c>
      <c r="AF19" s="72">
        <f>IFERROR(IF(up_Bv!H19=0,".",((s_Ir*s_F*s_MLF_cabbage*(1-EXP(-up_RadSpec!BC19*s_t_b)))/(s_P*up_RadSpec!BC19))),".")</f>
        <v>2.6824597822007652</v>
      </c>
      <c r="AG19" s="72">
        <f>IFERROR(IF(up_Bv!I19=0,".",((s_Ir*s_F*s_MLF_carrot*(1-EXP(-up_RadSpec!BC19*s_t_b)))/(s_P*up_RadSpec!BC19))),".")</f>
        <v>2.6824597822007652</v>
      </c>
      <c r="AH19" s="72">
        <f>IFERROR(IF(up_Bv!J19=0,".",((s_Ir*s_F*s_MLF_citrus*(1-EXP(-up_RadSpec!BC19*s_t_b)))/(s_P*up_RadSpec!BC19))),".")</f>
        <v>2.6824597822007652</v>
      </c>
      <c r="AI19" s="72">
        <f>IFERROR(IF(up_Bv!K19=0,".",((s_Ir*s_F*s_MLF_corn*(1-EXP(-up_RadSpec!BC19*s_t_b)))/(s_P*up_RadSpec!BC19))),".")</f>
        <v>2.6824597822007652</v>
      </c>
      <c r="AJ19" s="72">
        <f>IFERROR(IF(up_Bv!L19=0,".",((s_Ir*s_F*s_MLF_cucumber*(1-EXP(-up_RadSpec!BC19*s_t_b)))/(s_P*up_RadSpec!BC19))),".")</f>
        <v>2.6824597822007652</v>
      </c>
      <c r="AK19" s="72">
        <f>IFERROR(IF(up_Bv!M19=0,".",((s_Ir*s_F*s_MLF_lettuce*(1-EXP(-up_RadSpec!BC19*s_t_b)))/(s_P*up_RadSpec!BC19))),".")</f>
        <v>2.6824597822007652</v>
      </c>
      <c r="AL19" s="72">
        <f>IFERROR(IF(up_Bv!N19=0,".",((s_Ir*s_F*s_MLF_lima_bean*(1-EXP(-up_RadSpec!BC19*s_t_b)))/(s_P*up_RadSpec!BC19))),".")</f>
        <v>2.6824597822007652</v>
      </c>
      <c r="AM19" s="72">
        <f>IFERROR(IF(up_Bv!O19=0,".",((s_Ir*s_F*s_MLF_okra*(1-EXP(-up_RadSpec!BC19*s_t_b)))/(s_P*up_RadSpec!BC19))),".")</f>
        <v>2.6824597822007652</v>
      </c>
      <c r="AN19" s="72">
        <f>IFERROR(IF(up_Bv!P19=0,".",((s_Ir*s_F*s_MLF_onion*(1-EXP(-up_RadSpec!BC19*s_t_b)))/(s_P*up_RadSpec!BC19))),".")</f>
        <v>2.6824597822007652</v>
      </c>
      <c r="AO19" s="72">
        <f>IFERROR(IF(up_Bv!Q19=0,".",((s_Ir*s_F*s_MLF_peach*(1-EXP(-up_RadSpec!BC19*s_t_b)))/(s_P*up_RadSpec!BC19))),".")</f>
        <v>2.6824597822007652</v>
      </c>
      <c r="AP19" s="72">
        <f>IFERROR(IF(up_Bv!R19=0,".",((s_Ir*s_F*s_MLF_pear*(1-EXP(-up_RadSpec!BC19*s_t_b)))/(s_P*up_RadSpec!BC19))),".")</f>
        <v>2.6824597822007652</v>
      </c>
      <c r="AQ19" s="72">
        <f>IFERROR(IF(up_Bv!S19=0,".",((s_Ir*s_F*s_MLF_peas*(1-EXP(-up_RadSpec!BC19*s_t_b)))/(s_P*up_RadSpec!BC19))),".")</f>
        <v>2.6824597822007652</v>
      </c>
      <c r="AR19" s="72">
        <f>IFERROR(IF(up_Bv!T19=0,".",((s_Ir*s_F*s_MLF_potato*(1-EXP(-up_RadSpec!BC19*s_t_b)))/(s_P*up_RadSpec!BC19))),".")</f>
        <v>2.6824597822007652</v>
      </c>
      <c r="AS19" s="72">
        <f>IFERROR(IF(up_Bv!U19=0,".",((s_Ir*s_F*s_MLF_pumpkin*(1-EXP(-up_RadSpec!BC19*s_t_b)))/(s_P*up_RadSpec!BC19))),".")</f>
        <v>2.6824597822007652</v>
      </c>
      <c r="AT19" s="72">
        <f>IFERROR(IF(up_Bv!V19=0,".",((s_Ir*s_F*s_MLF_snap_bean*(1-EXP(-up_RadSpec!BC19*s_t_b)))/(s_P*up_RadSpec!BC19))),".")</f>
        <v>2.6824597822007652</v>
      </c>
      <c r="AU19" s="72">
        <f>IFERROR(IF(up_Bv!W19=0,".",((s_Ir*s_F*s_MLF_strawberry*(1-EXP(-up_RadSpec!BC19*s_t_b)))/(s_P*up_RadSpec!BC19))),".")</f>
        <v>2.6824597822007652</v>
      </c>
      <c r="AV19" s="72">
        <f>IFERROR(IF(up_Bv!X19=0,".",((s_Ir*s_F*s_MLF_tomato*(1-EXP(-up_RadSpec!BC19*s_t_b)))/(s_P*up_RadSpec!BC19))),".")</f>
        <v>2.6824597822007652</v>
      </c>
      <c r="AW19" s="72">
        <f>IFERROR(IF(up_Bv!Y19=0,".",((s_Ir*s_F*s_MLF_rice*(1-EXP(-up_RadSpec!BC19*s_t_b)))/(s_P*up_RadSpec!BC19))),".")</f>
        <v>2.6824597822007652</v>
      </c>
      <c r="AX19" s="72">
        <f>IFERROR(IF(up_Bv!Z19=0,".",((s_Ir*s_F*s_MLF_cereal*(1-EXP(-up_RadSpec!BC19*s_t_b)))/(s_P*up_RadSpec!BC19))),".")</f>
        <v>2.6824597822007652</v>
      </c>
      <c r="AY19" s="72">
        <f>IFERROR(IF(up_Bv!C19=0,".",((s_Ir*s_F*s_I_f*s_T*(1-EXP(-up_RadSpec!BD19*s_t_v)))/(s_Y_v*up_RadSpec!BD19))),".")</f>
        <v>9.0143481925428208</v>
      </c>
      <c r="AZ19" s="72">
        <f>IFERROR(IF(up_Bv!D19=0,".",((s_Ir*s_F*s_I_f*s_T*(1-EXP(-up_RadSpec!BD19*s_t_v)))/(s_Y_v*up_RadSpec!BD19))),".")</f>
        <v>9.0143481925428208</v>
      </c>
      <c r="BA19" s="72">
        <f>IFERROR(IF(up_Bv!E19=0,".",((s_Ir*s_F*s_I_f*s_T*(1-EXP(-up_RadSpec!BD19*s_t_v)))/(s_Y_v*up_RadSpec!BD19))),".")</f>
        <v>9.0143481925428208</v>
      </c>
      <c r="BB19" s="72">
        <f>IFERROR(IF(up_Bv!F19=0,".",((s_Ir*s_F*s_I_f*s_T*(1-EXP(-up_RadSpec!BD19*s_t_v)))/(s_Y_v*up_RadSpec!BD19))),".")</f>
        <v>9.0143481925428208</v>
      </c>
      <c r="BC19" s="72">
        <f>IFERROR(IF(up_Bv!G19=0,".",((s_Ir*s_F*s_I_f*s_T*(1-EXP(-up_RadSpec!BD19*s_t_v)))/(s_Y_v*up_RadSpec!BD19))),".")</f>
        <v>9.0143481925428208</v>
      </c>
      <c r="BD19" s="72">
        <f>IFERROR(IF(up_Bv!H19=0,".",((s_Ir*s_F*s_I_f*s_T*(1-EXP(-up_RadSpec!BD19*s_t_v)))/(s_Y_v*up_RadSpec!BD19))),".")</f>
        <v>9.0143481925428208</v>
      </c>
      <c r="BE19" s="72">
        <f>IFERROR(IF(up_Bv!I19=0,".",((s_Ir*s_F*s_I_f*s_T*(1-EXP(-up_RadSpec!BD19*s_t_v)))/(s_Y_v*up_RadSpec!BD19))),".")</f>
        <v>9.0143481925428208</v>
      </c>
      <c r="BF19" s="72">
        <f>IFERROR(IF(up_Bv!J19=0,".",((s_Ir*s_F*s_I_f*s_T*(1-EXP(-up_RadSpec!BD19*s_t_v)))/(s_Y_v*up_RadSpec!BD19))),".")</f>
        <v>9.0143481925428208</v>
      </c>
      <c r="BG19" s="72">
        <f>IFERROR(IF(up_Bv!K19=0,".",((s_Ir*s_F*s_I_f*s_T*(1-EXP(-up_RadSpec!BD19*s_t_v)))/(s_Y_v*up_RadSpec!BD19))),".")</f>
        <v>9.0143481925428208</v>
      </c>
      <c r="BH19" s="72">
        <f>IFERROR(IF(up_Bv!L19=0,".",((s_Ir*s_F*s_I_f*s_T*(1-EXP(-up_RadSpec!BD19*s_t_v)))/(s_Y_v*up_RadSpec!BD19))),".")</f>
        <v>9.0143481925428208</v>
      </c>
      <c r="BI19" s="72">
        <f>IFERROR(IF(up_Bv!M19=0,".",((s_Ir*s_F*s_I_f*s_T*(1-EXP(-up_RadSpec!BD19*s_t_v)))/(s_Y_v*up_RadSpec!BD19))),".")</f>
        <v>9.0143481925428208</v>
      </c>
      <c r="BJ19" s="72">
        <f>IFERROR(IF(up_Bv!N19=0,".",((s_Ir*s_F*s_I_f*s_T*(1-EXP(-up_RadSpec!BD19*s_t_v)))/(s_Y_v*up_RadSpec!BD19))),".")</f>
        <v>9.0143481925428208</v>
      </c>
      <c r="BK19" s="72">
        <f>IFERROR(IF(up_Bv!O19=0,".",((s_Ir*s_F*s_I_f*s_T*(1-EXP(-up_RadSpec!BD19*s_t_v)))/(s_Y_v*up_RadSpec!BD19))),".")</f>
        <v>9.0143481925428208</v>
      </c>
      <c r="BL19" s="72">
        <f>IFERROR(IF(up_Bv!P19=0,".",((s_Ir*s_F*s_I_f*s_T*(1-EXP(-up_RadSpec!BD19*s_t_v)))/(s_Y_v*up_RadSpec!BD19))),".")</f>
        <v>9.0143481925428208</v>
      </c>
      <c r="BM19" s="72">
        <f>IFERROR(IF(up_Bv!Q19=0,".",((s_Ir*s_F*s_I_f*s_T*(1-EXP(-up_RadSpec!BD19*s_t_v)))/(s_Y_v*up_RadSpec!BD19))),".")</f>
        <v>9.0143481925428208</v>
      </c>
      <c r="BN19" s="72">
        <f>IFERROR(IF(up_Bv!R19=0,".",((s_Ir*s_F*s_I_f*s_T*(1-EXP(-up_RadSpec!BD19*s_t_v)))/(s_Y_v*up_RadSpec!BD19))),".")</f>
        <v>9.0143481925428208</v>
      </c>
      <c r="BO19" s="72">
        <f>IFERROR(IF(up_Bv!S19=0,".",((s_Ir*s_F*s_I_f*s_T*(1-EXP(-up_RadSpec!BD19*s_t_v)))/(s_Y_v*up_RadSpec!BD19))),".")</f>
        <v>9.0143481925428208</v>
      </c>
      <c r="BP19" s="72">
        <f>IFERROR(IF(up_Bv!T19=0,".",((s_Ir*s_F*s_I_f*s_T*(1-EXP(-up_RadSpec!BD19*s_t_v)))/(s_Y_v*up_RadSpec!BD19))),".")</f>
        <v>9.0143481925428208</v>
      </c>
      <c r="BQ19" s="72">
        <f>IFERROR(IF(up_Bv!U19=0,".",((s_Ir*s_F*s_I_f*s_T*(1-EXP(-up_RadSpec!BD19*s_t_v)))/(s_Y_v*up_RadSpec!BD19))),".")</f>
        <v>9.0143481925428208</v>
      </c>
      <c r="BR19" s="72">
        <f>IFERROR(IF(up_Bv!V19=0,".",((s_Ir*s_F*s_I_f*s_T*(1-EXP(-up_RadSpec!BD19*s_t_v)))/(s_Y_v*up_RadSpec!BD19))),".")</f>
        <v>9.0143481925428208</v>
      </c>
      <c r="BS19" s="72">
        <f>IFERROR(IF(up_Bv!W19=0,".",((s_Ir*s_F*s_I_f*s_T*(1-EXP(-up_RadSpec!BD19*s_t_v)))/(s_Y_v*up_RadSpec!BD19))),".")</f>
        <v>9.0143481925428208</v>
      </c>
      <c r="BT19" s="72">
        <f>IFERROR(IF(up_Bv!X19=0,".",((s_Ir*s_F*s_I_f*s_T*(1-EXP(-up_RadSpec!BD19*s_t_v)))/(s_Y_v*up_RadSpec!BD19))),".")</f>
        <v>9.0143481925428208</v>
      </c>
      <c r="BU19" s="72">
        <f>IFERROR(IF(up_Bv!Y19=0,".",((s_Ir*s_F*s_I_f*s_T*(1-EXP(-up_RadSpec!BD19*s_t_v)))/(s_Y_v*up_RadSpec!BD19))),".")</f>
        <v>9.0143481925428208</v>
      </c>
      <c r="BV19" s="72">
        <f>IFERROR(IF(up_Bv!Z19=0,".",((s_Ir*s_F*s_I_f*s_T*(1-EXP(-up_RadSpec!BD19*s_t_v)))/(s_Y_v*up_RadSpec!BD19))),".")</f>
        <v>9.0143481925428208</v>
      </c>
    </row>
    <row r="20" spans="1:74" x14ac:dyDescent="0.25">
      <c r="A20" s="31" t="s">
        <v>18</v>
      </c>
      <c r="B20" s="3" t="s">
        <v>1059</v>
      </c>
      <c r="C20" s="72">
        <f>IFERROR(IF(up_Bv!C20=0,".",((s_Ir*s_F*up_Bv!C20*(1-EXP(-up_RadSpec!$BC20*s_t_b)))/(s_P*up_RadSpec!$BC20))),".")</f>
        <v>993.50362303732038</v>
      </c>
      <c r="D20" s="72">
        <f>IFERROR(IF(up_Bv!D20=0,".",((s_Ir*s_F*up_Bv!D20*(1-EXP(-up_RadSpec!BC20*s_t_b)))/(s_P*up_RadSpec!BC20))),".")</f>
        <v>993.50362303732038</v>
      </c>
      <c r="E20" s="72">
        <f>IFERROR(IF(up_Bv!E20=0,".",((s_Ir*s_F*up_Bv!E20*(1-EXP(-up_RadSpec!BC20*s_t_b)))/(s_P*up_RadSpec!BC20))),".")</f>
        <v>993.50362303732038</v>
      </c>
      <c r="F20" s="72">
        <f>IFERROR(IF(up_Bv!F20=0,".",((s_Ir*s_F*up_Bv!F20*(1-EXP(-up_RadSpec!BC20*s_t_b)))/(s_P*up_RadSpec!BC20))),".")</f>
        <v>993.50362303732038</v>
      </c>
      <c r="G20" s="72">
        <f>IFERROR(IF(up_Bv!G20=0,".",((s_Ir*s_F*up_Bv!G20*(1-EXP(-up_RadSpec!BC20*s_t_b)))/(s_P*up_RadSpec!BC20))),".")</f>
        <v>993.50362303732038</v>
      </c>
      <c r="H20" s="72">
        <f>IFERROR(IF(up_Bv!H20=0,".",((s_Ir*s_F*up_Bv!H20*(1-EXP(-up_RadSpec!BC20*s_t_b)))/(s_P*up_RadSpec!BC20))),".")</f>
        <v>993.50362303732038</v>
      </c>
      <c r="I20" s="72">
        <f>IFERROR(IF(up_Bv!I20=0,".",((s_Ir*s_F*up_Bv!I20*(1-EXP(-up_RadSpec!BC20*s_t_b)))/(s_P*up_RadSpec!BC20))),".")</f>
        <v>993.50362303732038</v>
      </c>
      <c r="J20" s="72">
        <f>IFERROR(IF(up_Bv!J20=0,".",((s_Ir*s_F*up_Bv!J20*(1-EXP(-up_RadSpec!BC20*s_t_b)))/(s_P*up_RadSpec!BC20))),".")</f>
        <v>993.50362303732038</v>
      </c>
      <c r="K20" s="72">
        <f>IFERROR(IF(up_Bv!K20=0,".",((s_Ir*s_F*up_Bv!K20*(1-EXP(-up_RadSpec!BC20*s_t_b)))/(s_P*up_RadSpec!BC20))),".")</f>
        <v>993.50362303732038</v>
      </c>
      <c r="L20" s="72">
        <f>IFERROR(IF(up_Bv!L20=0,".",((s_Ir*s_F*up_Bv!L20*(1-EXP(-up_RadSpec!BC20*s_t_b)))/(s_P*up_RadSpec!BC20))),".")</f>
        <v>993.50362303732038</v>
      </c>
      <c r="M20" s="72">
        <f>IFERROR(IF(up_Bv!M20=0,".",((s_Ir*s_F*up_Bv!M20*(1-EXP(-up_RadSpec!BC20*s_t_b)))/(s_P*up_RadSpec!BC20))),".")</f>
        <v>993.50362303732038</v>
      </c>
      <c r="N20" s="72">
        <f>IFERROR(IF(up_Bv!N20=0,".",((s_Ir*s_F*up_Bv!N20*(1-EXP(-up_RadSpec!BC20*s_t_b)))/(s_P*up_RadSpec!BC20))),".")</f>
        <v>993.50362303732038</v>
      </c>
      <c r="O20" s="72">
        <f>IFERROR(IF(up_Bv!O20=0,".",((s_Ir*s_F*up_Bv!O20*(1-EXP(-up_RadSpec!BC20*s_t_b)))/(s_P*up_RadSpec!BC20))),".")</f>
        <v>993.50362303732038</v>
      </c>
      <c r="P20" s="72">
        <f>IFERROR(IF(up_Bv!P20=0,".",((s_Ir*s_F*up_Bv!P20*(1-EXP(-up_RadSpec!BC20*s_t_b)))/(s_P*up_RadSpec!BC20))),".")</f>
        <v>993.50362303732038</v>
      </c>
      <c r="Q20" s="72">
        <f>IFERROR(IF(up_Bv!Q20=0,".",((s_Ir*s_F*up_Bv!Q20*(1-EXP(-up_RadSpec!BC20*s_t_b)))/(s_P*up_RadSpec!BC20))),".")</f>
        <v>993.50362303732038</v>
      </c>
      <c r="R20" s="72">
        <f>IFERROR(IF(up_Bv!R20=0,".",((s_Ir*s_F*up_Bv!R20*(1-EXP(-up_RadSpec!BC20*s_t_b)))/(s_P*up_RadSpec!BC20))),".")</f>
        <v>993.50362303732038</v>
      </c>
      <c r="S20" s="72">
        <f>IFERROR(IF(up_Bv!S20=0,".",((s_Ir*s_F*up_Bv!S20*(1-EXP(-up_RadSpec!BC20*s_t_b)))/(s_P*up_RadSpec!BC20))),".")</f>
        <v>993.50362303732038</v>
      </c>
      <c r="T20" s="72">
        <f>IFERROR(IF(up_Bv!T20=0,".",((s_Ir*s_F*up_Bv!T20*(1-EXP(-up_RadSpec!BC20*s_t_b)))/(s_P*up_RadSpec!BC20))),".")</f>
        <v>993.50362303732038</v>
      </c>
      <c r="U20" s="72">
        <f>IFERROR(IF(up_Bv!U20=0,".",((s_Ir*s_F*up_Bv!U20*(1-EXP(-up_RadSpec!BC20*s_t_b)))/(s_P*up_RadSpec!BC20))),".")</f>
        <v>993.50362303732038</v>
      </c>
      <c r="V20" s="72">
        <f>IFERROR(IF(up_Bv!V20=0,".",((s_Ir*s_F*up_Bv!V20*(1-EXP(-up_RadSpec!BC20*s_t_b)))/(s_P*up_RadSpec!BC20))),".")</f>
        <v>993.50362303732038</v>
      </c>
      <c r="W20" s="72">
        <f>IFERROR(IF(up_Bv!W20=0,".",((s_Ir*s_F*up_Bv!W20*(1-EXP(-up_RadSpec!BC20*s_t_b)))/(s_P*up_RadSpec!BC20))),".")</f>
        <v>993.50362303732038</v>
      </c>
      <c r="X20" s="72">
        <f>IFERROR(IF(up_Bv!X20=0,".",((s_Ir*s_F*up_Bv!X20*(1-EXP(-up_RadSpec!BC20*s_t_b)))/(s_P*up_RadSpec!BC20))),".")</f>
        <v>993.50362303732038</v>
      </c>
      <c r="Y20" s="72">
        <f>IFERROR(IF(up_Bv!Y20=0,".",((s_Ir*s_F*up_Bv!Y20*(1-EXP(-up_RadSpec!BC20*s_t_b)))/(s_P*up_RadSpec!BC20))),".")</f>
        <v>993.50362303732038</v>
      </c>
      <c r="Z20" s="72">
        <f>IFERROR(IF(up_Bv!Z20=0,".",((s_Ir*s_F*up_Bv!Z20*(1-EXP(-up_RadSpec!BC20*s_t_b)))/(s_P*up_RadSpec!BC20))),".")</f>
        <v>993.50362303732038</v>
      </c>
      <c r="AA20" s="72">
        <f>IFERROR(IF(up_Bv!C20=0,".",((s_Ir*s_F*s_MLF_apple*(1-EXP(-up_RadSpec!BC20*s_t_b)))/(s_P*up_RadSpec!BC20))),".")</f>
        <v>2.6824597822007652</v>
      </c>
      <c r="AB20" s="72">
        <f>IFERROR(IF(up_Bv!D20=0,".",((s_Ir*s_F*s_MLF_asparagus*(1-EXP(-up_RadSpec!BC20*s_t_b)))/(s_P*up_RadSpec!BC20))),".")</f>
        <v>2.6824597822007652</v>
      </c>
      <c r="AC20" s="72">
        <f>IFERROR(IF(up_Bv!E20=0,".",((s_Ir*s_F*s_MLF_beet*(1-EXP(-up_RadSpec!BC20*s_t_b)))/(s_P*up_RadSpec!BC20))),".")</f>
        <v>2.6824597822007652</v>
      </c>
      <c r="AD20" s="72">
        <f>IFERROR(IF(up_Bv!F20=0,".",((s_Ir*s_F*s_MLF_berries*(1-EXP(-up_RadSpec!BC20*s_t_b)))/(s_P*up_RadSpec!BC20))),".")</f>
        <v>2.6824597822007652</v>
      </c>
      <c r="AE20" s="72">
        <f>IFERROR(IF(up_Bv!G20=0,".",((s_Ir*s_F*s_MLF_broccoli*(1-EXP(-up_RadSpec!BC20*s_t_b)))/(s_P*up_RadSpec!BC20))),".")</f>
        <v>2.6824597822007652</v>
      </c>
      <c r="AF20" s="72">
        <f>IFERROR(IF(up_Bv!H20=0,".",((s_Ir*s_F*s_MLF_cabbage*(1-EXP(-up_RadSpec!BC20*s_t_b)))/(s_P*up_RadSpec!BC20))),".")</f>
        <v>2.6824597822007652</v>
      </c>
      <c r="AG20" s="72">
        <f>IFERROR(IF(up_Bv!I20=0,".",((s_Ir*s_F*s_MLF_carrot*(1-EXP(-up_RadSpec!BC20*s_t_b)))/(s_P*up_RadSpec!BC20))),".")</f>
        <v>2.6824597822007652</v>
      </c>
      <c r="AH20" s="72">
        <f>IFERROR(IF(up_Bv!J20=0,".",((s_Ir*s_F*s_MLF_citrus*(1-EXP(-up_RadSpec!BC20*s_t_b)))/(s_P*up_RadSpec!BC20))),".")</f>
        <v>2.6824597822007652</v>
      </c>
      <c r="AI20" s="72">
        <f>IFERROR(IF(up_Bv!K20=0,".",((s_Ir*s_F*s_MLF_corn*(1-EXP(-up_RadSpec!BC20*s_t_b)))/(s_P*up_RadSpec!BC20))),".")</f>
        <v>2.6824597822007652</v>
      </c>
      <c r="AJ20" s="72">
        <f>IFERROR(IF(up_Bv!L20=0,".",((s_Ir*s_F*s_MLF_cucumber*(1-EXP(-up_RadSpec!BC20*s_t_b)))/(s_P*up_RadSpec!BC20))),".")</f>
        <v>2.6824597822007652</v>
      </c>
      <c r="AK20" s="72">
        <f>IFERROR(IF(up_Bv!M20=0,".",((s_Ir*s_F*s_MLF_lettuce*(1-EXP(-up_RadSpec!BC20*s_t_b)))/(s_P*up_RadSpec!BC20))),".")</f>
        <v>2.6824597822007652</v>
      </c>
      <c r="AL20" s="72">
        <f>IFERROR(IF(up_Bv!N20=0,".",((s_Ir*s_F*s_MLF_lima_bean*(1-EXP(-up_RadSpec!BC20*s_t_b)))/(s_P*up_RadSpec!BC20))),".")</f>
        <v>2.6824597822007652</v>
      </c>
      <c r="AM20" s="72">
        <f>IFERROR(IF(up_Bv!O20=0,".",((s_Ir*s_F*s_MLF_okra*(1-EXP(-up_RadSpec!BC20*s_t_b)))/(s_P*up_RadSpec!BC20))),".")</f>
        <v>2.6824597822007652</v>
      </c>
      <c r="AN20" s="72">
        <f>IFERROR(IF(up_Bv!P20=0,".",((s_Ir*s_F*s_MLF_onion*(1-EXP(-up_RadSpec!BC20*s_t_b)))/(s_P*up_RadSpec!BC20))),".")</f>
        <v>2.6824597822007652</v>
      </c>
      <c r="AO20" s="72">
        <f>IFERROR(IF(up_Bv!Q20=0,".",((s_Ir*s_F*s_MLF_peach*(1-EXP(-up_RadSpec!BC20*s_t_b)))/(s_P*up_RadSpec!BC20))),".")</f>
        <v>2.6824597822007652</v>
      </c>
      <c r="AP20" s="72">
        <f>IFERROR(IF(up_Bv!R20=0,".",((s_Ir*s_F*s_MLF_pear*(1-EXP(-up_RadSpec!BC20*s_t_b)))/(s_P*up_RadSpec!BC20))),".")</f>
        <v>2.6824597822007652</v>
      </c>
      <c r="AQ20" s="72">
        <f>IFERROR(IF(up_Bv!S20=0,".",((s_Ir*s_F*s_MLF_peas*(1-EXP(-up_RadSpec!BC20*s_t_b)))/(s_P*up_RadSpec!BC20))),".")</f>
        <v>2.6824597822007652</v>
      </c>
      <c r="AR20" s="72">
        <f>IFERROR(IF(up_Bv!T20=0,".",((s_Ir*s_F*s_MLF_potato*(1-EXP(-up_RadSpec!BC20*s_t_b)))/(s_P*up_RadSpec!BC20))),".")</f>
        <v>2.6824597822007652</v>
      </c>
      <c r="AS20" s="72">
        <f>IFERROR(IF(up_Bv!U20=0,".",((s_Ir*s_F*s_MLF_pumpkin*(1-EXP(-up_RadSpec!BC20*s_t_b)))/(s_P*up_RadSpec!BC20))),".")</f>
        <v>2.6824597822007652</v>
      </c>
      <c r="AT20" s="72">
        <f>IFERROR(IF(up_Bv!V20=0,".",((s_Ir*s_F*s_MLF_snap_bean*(1-EXP(-up_RadSpec!BC20*s_t_b)))/(s_P*up_RadSpec!BC20))),".")</f>
        <v>2.6824597822007652</v>
      </c>
      <c r="AU20" s="72">
        <f>IFERROR(IF(up_Bv!W20=0,".",((s_Ir*s_F*s_MLF_strawberry*(1-EXP(-up_RadSpec!BC20*s_t_b)))/(s_P*up_RadSpec!BC20))),".")</f>
        <v>2.6824597822007652</v>
      </c>
      <c r="AV20" s="72">
        <f>IFERROR(IF(up_Bv!X20=0,".",((s_Ir*s_F*s_MLF_tomato*(1-EXP(-up_RadSpec!BC20*s_t_b)))/(s_P*up_RadSpec!BC20))),".")</f>
        <v>2.6824597822007652</v>
      </c>
      <c r="AW20" s="72">
        <f>IFERROR(IF(up_Bv!Y20=0,".",((s_Ir*s_F*s_MLF_rice*(1-EXP(-up_RadSpec!BC20*s_t_b)))/(s_P*up_RadSpec!BC20))),".")</f>
        <v>2.6824597822007652</v>
      </c>
      <c r="AX20" s="72">
        <f>IFERROR(IF(up_Bv!Z20=0,".",((s_Ir*s_F*s_MLF_cereal*(1-EXP(-up_RadSpec!BC20*s_t_b)))/(s_P*up_RadSpec!BC20))),".")</f>
        <v>2.6824597822007652</v>
      </c>
      <c r="AY20" s="72">
        <f>IFERROR(IF(up_Bv!C20=0,".",((s_Ir*s_F*s_I_f*s_T*(1-EXP(-up_RadSpec!BD20*s_t_v)))/(s_Y_v*up_RadSpec!BD20))),".")</f>
        <v>9.0143481925428208</v>
      </c>
      <c r="AZ20" s="72">
        <f>IFERROR(IF(up_Bv!D20=0,".",((s_Ir*s_F*s_I_f*s_T*(1-EXP(-up_RadSpec!BD20*s_t_v)))/(s_Y_v*up_RadSpec!BD20))),".")</f>
        <v>9.0143481925428208</v>
      </c>
      <c r="BA20" s="72">
        <f>IFERROR(IF(up_Bv!E20=0,".",((s_Ir*s_F*s_I_f*s_T*(1-EXP(-up_RadSpec!BD20*s_t_v)))/(s_Y_v*up_RadSpec!BD20))),".")</f>
        <v>9.0143481925428208</v>
      </c>
      <c r="BB20" s="72">
        <f>IFERROR(IF(up_Bv!F20=0,".",((s_Ir*s_F*s_I_f*s_T*(1-EXP(-up_RadSpec!BD20*s_t_v)))/(s_Y_v*up_RadSpec!BD20))),".")</f>
        <v>9.0143481925428208</v>
      </c>
      <c r="BC20" s="72">
        <f>IFERROR(IF(up_Bv!G20=0,".",((s_Ir*s_F*s_I_f*s_T*(1-EXP(-up_RadSpec!BD20*s_t_v)))/(s_Y_v*up_RadSpec!BD20))),".")</f>
        <v>9.0143481925428208</v>
      </c>
      <c r="BD20" s="72">
        <f>IFERROR(IF(up_Bv!H20=0,".",((s_Ir*s_F*s_I_f*s_T*(1-EXP(-up_RadSpec!BD20*s_t_v)))/(s_Y_v*up_RadSpec!BD20))),".")</f>
        <v>9.0143481925428208</v>
      </c>
      <c r="BE20" s="72">
        <f>IFERROR(IF(up_Bv!I20=0,".",((s_Ir*s_F*s_I_f*s_T*(1-EXP(-up_RadSpec!BD20*s_t_v)))/(s_Y_v*up_RadSpec!BD20))),".")</f>
        <v>9.0143481925428208</v>
      </c>
      <c r="BF20" s="72">
        <f>IFERROR(IF(up_Bv!J20=0,".",((s_Ir*s_F*s_I_f*s_T*(1-EXP(-up_RadSpec!BD20*s_t_v)))/(s_Y_v*up_RadSpec!BD20))),".")</f>
        <v>9.0143481925428208</v>
      </c>
      <c r="BG20" s="72">
        <f>IFERROR(IF(up_Bv!K20=0,".",((s_Ir*s_F*s_I_f*s_T*(1-EXP(-up_RadSpec!BD20*s_t_v)))/(s_Y_v*up_RadSpec!BD20))),".")</f>
        <v>9.0143481925428208</v>
      </c>
      <c r="BH20" s="72">
        <f>IFERROR(IF(up_Bv!L20=0,".",((s_Ir*s_F*s_I_f*s_T*(1-EXP(-up_RadSpec!BD20*s_t_v)))/(s_Y_v*up_RadSpec!BD20))),".")</f>
        <v>9.0143481925428208</v>
      </c>
      <c r="BI20" s="72">
        <f>IFERROR(IF(up_Bv!M20=0,".",((s_Ir*s_F*s_I_f*s_T*(1-EXP(-up_RadSpec!BD20*s_t_v)))/(s_Y_v*up_RadSpec!BD20))),".")</f>
        <v>9.0143481925428208</v>
      </c>
      <c r="BJ20" s="72">
        <f>IFERROR(IF(up_Bv!N20=0,".",((s_Ir*s_F*s_I_f*s_T*(1-EXP(-up_RadSpec!BD20*s_t_v)))/(s_Y_v*up_RadSpec!BD20))),".")</f>
        <v>9.0143481925428208</v>
      </c>
      <c r="BK20" s="72">
        <f>IFERROR(IF(up_Bv!O20=0,".",((s_Ir*s_F*s_I_f*s_T*(1-EXP(-up_RadSpec!BD20*s_t_v)))/(s_Y_v*up_RadSpec!BD20))),".")</f>
        <v>9.0143481925428208</v>
      </c>
      <c r="BL20" s="72">
        <f>IFERROR(IF(up_Bv!P20=0,".",((s_Ir*s_F*s_I_f*s_T*(1-EXP(-up_RadSpec!BD20*s_t_v)))/(s_Y_v*up_RadSpec!BD20))),".")</f>
        <v>9.0143481925428208</v>
      </c>
      <c r="BM20" s="72">
        <f>IFERROR(IF(up_Bv!Q20=0,".",((s_Ir*s_F*s_I_f*s_T*(1-EXP(-up_RadSpec!BD20*s_t_v)))/(s_Y_v*up_RadSpec!BD20))),".")</f>
        <v>9.0143481925428208</v>
      </c>
      <c r="BN20" s="72">
        <f>IFERROR(IF(up_Bv!R20=0,".",((s_Ir*s_F*s_I_f*s_T*(1-EXP(-up_RadSpec!BD20*s_t_v)))/(s_Y_v*up_RadSpec!BD20))),".")</f>
        <v>9.0143481925428208</v>
      </c>
      <c r="BO20" s="72">
        <f>IFERROR(IF(up_Bv!S20=0,".",((s_Ir*s_F*s_I_f*s_T*(1-EXP(-up_RadSpec!BD20*s_t_v)))/(s_Y_v*up_RadSpec!BD20))),".")</f>
        <v>9.0143481925428208</v>
      </c>
      <c r="BP20" s="72">
        <f>IFERROR(IF(up_Bv!T20=0,".",((s_Ir*s_F*s_I_f*s_T*(1-EXP(-up_RadSpec!BD20*s_t_v)))/(s_Y_v*up_RadSpec!BD20))),".")</f>
        <v>9.0143481925428208</v>
      </c>
      <c r="BQ20" s="72">
        <f>IFERROR(IF(up_Bv!U20=0,".",((s_Ir*s_F*s_I_f*s_T*(1-EXP(-up_RadSpec!BD20*s_t_v)))/(s_Y_v*up_RadSpec!BD20))),".")</f>
        <v>9.0143481925428208</v>
      </c>
      <c r="BR20" s="72">
        <f>IFERROR(IF(up_Bv!V20=0,".",((s_Ir*s_F*s_I_f*s_T*(1-EXP(-up_RadSpec!BD20*s_t_v)))/(s_Y_v*up_RadSpec!BD20))),".")</f>
        <v>9.0143481925428208</v>
      </c>
      <c r="BS20" s="72">
        <f>IFERROR(IF(up_Bv!W20=0,".",((s_Ir*s_F*s_I_f*s_T*(1-EXP(-up_RadSpec!BD20*s_t_v)))/(s_Y_v*up_RadSpec!BD20))),".")</f>
        <v>9.0143481925428208</v>
      </c>
      <c r="BT20" s="72">
        <f>IFERROR(IF(up_Bv!X20=0,".",((s_Ir*s_F*s_I_f*s_T*(1-EXP(-up_RadSpec!BD20*s_t_v)))/(s_Y_v*up_RadSpec!BD20))),".")</f>
        <v>9.0143481925428208</v>
      </c>
      <c r="BU20" s="72">
        <f>IFERROR(IF(up_Bv!Y20=0,".",((s_Ir*s_F*s_I_f*s_T*(1-EXP(-up_RadSpec!BD20*s_t_v)))/(s_Y_v*up_RadSpec!BD20))),".")</f>
        <v>9.0143481925428208</v>
      </c>
      <c r="BV20" s="72">
        <f>IFERROR(IF(up_Bv!Z20=0,".",((s_Ir*s_F*s_I_f*s_T*(1-EXP(-up_RadSpec!BD20*s_t_v)))/(s_Y_v*up_RadSpec!BD20))),".")</f>
        <v>9.0143481925428208</v>
      </c>
    </row>
    <row r="21" spans="1:74" x14ac:dyDescent="0.25">
      <c r="A21" s="31" t="s">
        <v>19</v>
      </c>
      <c r="B21" s="3" t="s">
        <v>1059</v>
      </c>
      <c r="C21" s="72">
        <f>IFERROR(IF(up_Bv!C21=0,".",((s_Ir*s_F*up_Bv!C21*(1-EXP(-up_RadSpec!$BC21*s_t_b)))/(s_P*up_RadSpec!$BC21))),".")</f>
        <v>993.50362303732038</v>
      </c>
      <c r="D21" s="72">
        <f>IFERROR(IF(up_Bv!D21=0,".",((s_Ir*s_F*up_Bv!D21*(1-EXP(-up_RadSpec!BC21*s_t_b)))/(s_P*up_RadSpec!BC21))),".")</f>
        <v>993.50362303732038</v>
      </c>
      <c r="E21" s="72">
        <f>IFERROR(IF(up_Bv!E21=0,".",((s_Ir*s_F*up_Bv!E21*(1-EXP(-up_RadSpec!BC21*s_t_b)))/(s_P*up_RadSpec!BC21))),".")</f>
        <v>993.50362303732038</v>
      </c>
      <c r="F21" s="72">
        <f>IFERROR(IF(up_Bv!F21=0,".",((s_Ir*s_F*up_Bv!F21*(1-EXP(-up_RadSpec!BC21*s_t_b)))/(s_P*up_RadSpec!BC21))),".")</f>
        <v>993.50362303732038</v>
      </c>
      <c r="G21" s="72">
        <f>IFERROR(IF(up_Bv!G21=0,".",((s_Ir*s_F*up_Bv!G21*(1-EXP(-up_RadSpec!BC21*s_t_b)))/(s_P*up_RadSpec!BC21))),".")</f>
        <v>993.50362303732038</v>
      </c>
      <c r="H21" s="72">
        <f>IFERROR(IF(up_Bv!H21=0,".",((s_Ir*s_F*up_Bv!H21*(1-EXP(-up_RadSpec!BC21*s_t_b)))/(s_P*up_RadSpec!BC21))),".")</f>
        <v>993.50362303732038</v>
      </c>
      <c r="I21" s="72">
        <f>IFERROR(IF(up_Bv!I21=0,".",((s_Ir*s_F*up_Bv!I21*(1-EXP(-up_RadSpec!BC21*s_t_b)))/(s_P*up_RadSpec!BC21))),".")</f>
        <v>993.50362303732038</v>
      </c>
      <c r="J21" s="72">
        <f>IFERROR(IF(up_Bv!J21=0,".",((s_Ir*s_F*up_Bv!J21*(1-EXP(-up_RadSpec!BC21*s_t_b)))/(s_P*up_RadSpec!BC21))),".")</f>
        <v>993.50362303732038</v>
      </c>
      <c r="K21" s="72">
        <f>IFERROR(IF(up_Bv!K21=0,".",((s_Ir*s_F*up_Bv!K21*(1-EXP(-up_RadSpec!BC21*s_t_b)))/(s_P*up_RadSpec!BC21))),".")</f>
        <v>993.50362303732038</v>
      </c>
      <c r="L21" s="72">
        <f>IFERROR(IF(up_Bv!L21=0,".",((s_Ir*s_F*up_Bv!L21*(1-EXP(-up_RadSpec!BC21*s_t_b)))/(s_P*up_RadSpec!BC21))),".")</f>
        <v>993.50362303732038</v>
      </c>
      <c r="M21" s="72">
        <f>IFERROR(IF(up_Bv!M21=0,".",((s_Ir*s_F*up_Bv!M21*(1-EXP(-up_RadSpec!BC21*s_t_b)))/(s_P*up_RadSpec!BC21))),".")</f>
        <v>993.50362303732038</v>
      </c>
      <c r="N21" s="72">
        <f>IFERROR(IF(up_Bv!N21=0,".",((s_Ir*s_F*up_Bv!N21*(1-EXP(-up_RadSpec!BC21*s_t_b)))/(s_P*up_RadSpec!BC21))),".")</f>
        <v>993.50362303732038</v>
      </c>
      <c r="O21" s="72">
        <f>IFERROR(IF(up_Bv!O21=0,".",((s_Ir*s_F*up_Bv!O21*(1-EXP(-up_RadSpec!BC21*s_t_b)))/(s_P*up_RadSpec!BC21))),".")</f>
        <v>993.50362303732038</v>
      </c>
      <c r="P21" s="72">
        <f>IFERROR(IF(up_Bv!P21=0,".",((s_Ir*s_F*up_Bv!P21*(1-EXP(-up_RadSpec!BC21*s_t_b)))/(s_P*up_RadSpec!BC21))),".")</f>
        <v>993.50362303732038</v>
      </c>
      <c r="Q21" s="72">
        <f>IFERROR(IF(up_Bv!Q21=0,".",((s_Ir*s_F*up_Bv!Q21*(1-EXP(-up_RadSpec!BC21*s_t_b)))/(s_P*up_RadSpec!BC21))),".")</f>
        <v>993.50362303732038</v>
      </c>
      <c r="R21" s="72">
        <f>IFERROR(IF(up_Bv!R21=0,".",((s_Ir*s_F*up_Bv!R21*(1-EXP(-up_RadSpec!BC21*s_t_b)))/(s_P*up_RadSpec!BC21))),".")</f>
        <v>993.50362303732038</v>
      </c>
      <c r="S21" s="72">
        <f>IFERROR(IF(up_Bv!S21=0,".",((s_Ir*s_F*up_Bv!S21*(1-EXP(-up_RadSpec!BC21*s_t_b)))/(s_P*up_RadSpec!BC21))),".")</f>
        <v>993.50362303732038</v>
      </c>
      <c r="T21" s="72">
        <f>IFERROR(IF(up_Bv!T21=0,".",((s_Ir*s_F*up_Bv!T21*(1-EXP(-up_RadSpec!BC21*s_t_b)))/(s_P*up_RadSpec!BC21))),".")</f>
        <v>993.50362303732038</v>
      </c>
      <c r="U21" s="72">
        <f>IFERROR(IF(up_Bv!U21=0,".",((s_Ir*s_F*up_Bv!U21*(1-EXP(-up_RadSpec!BC21*s_t_b)))/(s_P*up_RadSpec!BC21))),".")</f>
        <v>993.50362303732038</v>
      </c>
      <c r="V21" s="72">
        <f>IFERROR(IF(up_Bv!V21=0,".",((s_Ir*s_F*up_Bv!V21*(1-EXP(-up_RadSpec!BC21*s_t_b)))/(s_P*up_RadSpec!BC21))),".")</f>
        <v>993.50362303732038</v>
      </c>
      <c r="W21" s="72">
        <f>IFERROR(IF(up_Bv!W21=0,".",((s_Ir*s_F*up_Bv!W21*(1-EXP(-up_RadSpec!BC21*s_t_b)))/(s_P*up_RadSpec!BC21))),".")</f>
        <v>993.50362303732038</v>
      </c>
      <c r="X21" s="72">
        <f>IFERROR(IF(up_Bv!X21=0,".",((s_Ir*s_F*up_Bv!X21*(1-EXP(-up_RadSpec!BC21*s_t_b)))/(s_P*up_RadSpec!BC21))),".")</f>
        <v>993.50362303732038</v>
      </c>
      <c r="Y21" s="72">
        <f>IFERROR(IF(up_Bv!Y21=0,".",((s_Ir*s_F*up_Bv!Y21*(1-EXP(-up_RadSpec!BC21*s_t_b)))/(s_P*up_RadSpec!BC21))),".")</f>
        <v>993.50362303732038</v>
      </c>
      <c r="Z21" s="72">
        <f>IFERROR(IF(up_Bv!Z21=0,".",((s_Ir*s_F*up_Bv!Z21*(1-EXP(-up_RadSpec!BC21*s_t_b)))/(s_P*up_RadSpec!BC21))),".")</f>
        <v>993.50362303732038</v>
      </c>
      <c r="AA21" s="72">
        <f>IFERROR(IF(up_Bv!C21=0,".",((s_Ir*s_F*s_MLF_apple*(1-EXP(-up_RadSpec!BC21*s_t_b)))/(s_P*up_RadSpec!BC21))),".")</f>
        <v>2.6824597822007652</v>
      </c>
      <c r="AB21" s="72">
        <f>IFERROR(IF(up_Bv!D21=0,".",((s_Ir*s_F*s_MLF_asparagus*(1-EXP(-up_RadSpec!BC21*s_t_b)))/(s_P*up_RadSpec!BC21))),".")</f>
        <v>2.6824597822007652</v>
      </c>
      <c r="AC21" s="72">
        <f>IFERROR(IF(up_Bv!E21=0,".",((s_Ir*s_F*s_MLF_beet*(1-EXP(-up_RadSpec!BC21*s_t_b)))/(s_P*up_RadSpec!BC21))),".")</f>
        <v>2.6824597822007652</v>
      </c>
      <c r="AD21" s="72">
        <f>IFERROR(IF(up_Bv!F21=0,".",((s_Ir*s_F*s_MLF_berries*(1-EXP(-up_RadSpec!BC21*s_t_b)))/(s_P*up_RadSpec!BC21))),".")</f>
        <v>2.6824597822007652</v>
      </c>
      <c r="AE21" s="72">
        <f>IFERROR(IF(up_Bv!G21=0,".",((s_Ir*s_F*s_MLF_broccoli*(1-EXP(-up_RadSpec!BC21*s_t_b)))/(s_P*up_RadSpec!BC21))),".")</f>
        <v>2.6824597822007652</v>
      </c>
      <c r="AF21" s="72">
        <f>IFERROR(IF(up_Bv!H21=0,".",((s_Ir*s_F*s_MLF_cabbage*(1-EXP(-up_RadSpec!BC21*s_t_b)))/(s_P*up_RadSpec!BC21))),".")</f>
        <v>2.6824597822007652</v>
      </c>
      <c r="AG21" s="72">
        <f>IFERROR(IF(up_Bv!I21=0,".",((s_Ir*s_F*s_MLF_carrot*(1-EXP(-up_RadSpec!BC21*s_t_b)))/(s_P*up_RadSpec!BC21))),".")</f>
        <v>2.6824597822007652</v>
      </c>
      <c r="AH21" s="72">
        <f>IFERROR(IF(up_Bv!J21=0,".",((s_Ir*s_F*s_MLF_citrus*(1-EXP(-up_RadSpec!BC21*s_t_b)))/(s_P*up_RadSpec!BC21))),".")</f>
        <v>2.6824597822007652</v>
      </c>
      <c r="AI21" s="72">
        <f>IFERROR(IF(up_Bv!K21=0,".",((s_Ir*s_F*s_MLF_corn*(1-EXP(-up_RadSpec!BC21*s_t_b)))/(s_P*up_RadSpec!BC21))),".")</f>
        <v>2.6824597822007652</v>
      </c>
      <c r="AJ21" s="72">
        <f>IFERROR(IF(up_Bv!L21=0,".",((s_Ir*s_F*s_MLF_cucumber*(1-EXP(-up_RadSpec!BC21*s_t_b)))/(s_P*up_RadSpec!BC21))),".")</f>
        <v>2.6824597822007652</v>
      </c>
      <c r="AK21" s="72">
        <f>IFERROR(IF(up_Bv!M21=0,".",((s_Ir*s_F*s_MLF_lettuce*(1-EXP(-up_RadSpec!BC21*s_t_b)))/(s_P*up_RadSpec!BC21))),".")</f>
        <v>2.6824597822007652</v>
      </c>
      <c r="AL21" s="72">
        <f>IFERROR(IF(up_Bv!N21=0,".",((s_Ir*s_F*s_MLF_lima_bean*(1-EXP(-up_RadSpec!BC21*s_t_b)))/(s_P*up_RadSpec!BC21))),".")</f>
        <v>2.6824597822007652</v>
      </c>
      <c r="AM21" s="72">
        <f>IFERROR(IF(up_Bv!O21=0,".",((s_Ir*s_F*s_MLF_okra*(1-EXP(-up_RadSpec!BC21*s_t_b)))/(s_P*up_RadSpec!BC21))),".")</f>
        <v>2.6824597822007652</v>
      </c>
      <c r="AN21" s="72">
        <f>IFERROR(IF(up_Bv!P21=0,".",((s_Ir*s_F*s_MLF_onion*(1-EXP(-up_RadSpec!BC21*s_t_b)))/(s_P*up_RadSpec!BC21))),".")</f>
        <v>2.6824597822007652</v>
      </c>
      <c r="AO21" s="72">
        <f>IFERROR(IF(up_Bv!Q21=0,".",((s_Ir*s_F*s_MLF_peach*(1-EXP(-up_RadSpec!BC21*s_t_b)))/(s_P*up_RadSpec!BC21))),".")</f>
        <v>2.6824597822007652</v>
      </c>
      <c r="AP21" s="72">
        <f>IFERROR(IF(up_Bv!R21=0,".",((s_Ir*s_F*s_MLF_pear*(1-EXP(-up_RadSpec!BC21*s_t_b)))/(s_P*up_RadSpec!BC21))),".")</f>
        <v>2.6824597822007652</v>
      </c>
      <c r="AQ21" s="72">
        <f>IFERROR(IF(up_Bv!S21=0,".",((s_Ir*s_F*s_MLF_peas*(1-EXP(-up_RadSpec!BC21*s_t_b)))/(s_P*up_RadSpec!BC21))),".")</f>
        <v>2.6824597822007652</v>
      </c>
      <c r="AR21" s="72">
        <f>IFERROR(IF(up_Bv!T21=0,".",((s_Ir*s_F*s_MLF_potato*(1-EXP(-up_RadSpec!BC21*s_t_b)))/(s_P*up_RadSpec!BC21))),".")</f>
        <v>2.6824597822007652</v>
      </c>
      <c r="AS21" s="72">
        <f>IFERROR(IF(up_Bv!U21=0,".",((s_Ir*s_F*s_MLF_pumpkin*(1-EXP(-up_RadSpec!BC21*s_t_b)))/(s_P*up_RadSpec!BC21))),".")</f>
        <v>2.6824597822007652</v>
      </c>
      <c r="AT21" s="72">
        <f>IFERROR(IF(up_Bv!V21=0,".",((s_Ir*s_F*s_MLF_snap_bean*(1-EXP(-up_RadSpec!BC21*s_t_b)))/(s_P*up_RadSpec!BC21))),".")</f>
        <v>2.6824597822007652</v>
      </c>
      <c r="AU21" s="72">
        <f>IFERROR(IF(up_Bv!W21=0,".",((s_Ir*s_F*s_MLF_strawberry*(1-EXP(-up_RadSpec!BC21*s_t_b)))/(s_P*up_RadSpec!BC21))),".")</f>
        <v>2.6824597822007652</v>
      </c>
      <c r="AV21" s="72">
        <f>IFERROR(IF(up_Bv!X21=0,".",((s_Ir*s_F*s_MLF_tomato*(1-EXP(-up_RadSpec!BC21*s_t_b)))/(s_P*up_RadSpec!BC21))),".")</f>
        <v>2.6824597822007652</v>
      </c>
      <c r="AW21" s="72">
        <f>IFERROR(IF(up_Bv!Y21=0,".",((s_Ir*s_F*s_MLF_rice*(1-EXP(-up_RadSpec!BC21*s_t_b)))/(s_P*up_RadSpec!BC21))),".")</f>
        <v>2.6824597822007652</v>
      </c>
      <c r="AX21" s="72">
        <f>IFERROR(IF(up_Bv!Z21=0,".",((s_Ir*s_F*s_MLF_cereal*(1-EXP(-up_RadSpec!BC21*s_t_b)))/(s_P*up_RadSpec!BC21))),".")</f>
        <v>2.6824597822007652</v>
      </c>
      <c r="AY21" s="72">
        <f>IFERROR(IF(up_Bv!C21=0,".",((s_Ir*s_F*s_I_f*s_T*(1-EXP(-up_RadSpec!BD21*s_t_v)))/(s_Y_v*up_RadSpec!BD21))),".")</f>
        <v>9.0143481925428208</v>
      </c>
      <c r="AZ21" s="72">
        <f>IFERROR(IF(up_Bv!D21=0,".",((s_Ir*s_F*s_I_f*s_T*(1-EXP(-up_RadSpec!BD21*s_t_v)))/(s_Y_v*up_RadSpec!BD21))),".")</f>
        <v>9.0143481925428208</v>
      </c>
      <c r="BA21" s="72">
        <f>IFERROR(IF(up_Bv!E21=0,".",((s_Ir*s_F*s_I_f*s_T*(1-EXP(-up_RadSpec!BD21*s_t_v)))/(s_Y_v*up_RadSpec!BD21))),".")</f>
        <v>9.0143481925428208</v>
      </c>
      <c r="BB21" s="72">
        <f>IFERROR(IF(up_Bv!F21=0,".",((s_Ir*s_F*s_I_f*s_T*(1-EXP(-up_RadSpec!BD21*s_t_v)))/(s_Y_v*up_RadSpec!BD21))),".")</f>
        <v>9.0143481925428208</v>
      </c>
      <c r="BC21" s="72">
        <f>IFERROR(IF(up_Bv!G21=0,".",((s_Ir*s_F*s_I_f*s_T*(1-EXP(-up_RadSpec!BD21*s_t_v)))/(s_Y_v*up_RadSpec!BD21))),".")</f>
        <v>9.0143481925428208</v>
      </c>
      <c r="BD21" s="72">
        <f>IFERROR(IF(up_Bv!H21=0,".",((s_Ir*s_F*s_I_f*s_T*(1-EXP(-up_RadSpec!BD21*s_t_v)))/(s_Y_v*up_RadSpec!BD21))),".")</f>
        <v>9.0143481925428208</v>
      </c>
      <c r="BE21" s="72">
        <f>IFERROR(IF(up_Bv!I21=0,".",((s_Ir*s_F*s_I_f*s_T*(1-EXP(-up_RadSpec!BD21*s_t_v)))/(s_Y_v*up_RadSpec!BD21))),".")</f>
        <v>9.0143481925428208</v>
      </c>
      <c r="BF21" s="72">
        <f>IFERROR(IF(up_Bv!J21=0,".",((s_Ir*s_F*s_I_f*s_T*(1-EXP(-up_RadSpec!BD21*s_t_v)))/(s_Y_v*up_RadSpec!BD21))),".")</f>
        <v>9.0143481925428208</v>
      </c>
      <c r="BG21" s="72">
        <f>IFERROR(IF(up_Bv!K21=0,".",((s_Ir*s_F*s_I_f*s_T*(1-EXP(-up_RadSpec!BD21*s_t_v)))/(s_Y_v*up_RadSpec!BD21))),".")</f>
        <v>9.0143481925428208</v>
      </c>
      <c r="BH21" s="72">
        <f>IFERROR(IF(up_Bv!L21=0,".",((s_Ir*s_F*s_I_f*s_T*(1-EXP(-up_RadSpec!BD21*s_t_v)))/(s_Y_v*up_RadSpec!BD21))),".")</f>
        <v>9.0143481925428208</v>
      </c>
      <c r="BI21" s="72">
        <f>IFERROR(IF(up_Bv!M21=0,".",((s_Ir*s_F*s_I_f*s_T*(1-EXP(-up_RadSpec!BD21*s_t_v)))/(s_Y_v*up_RadSpec!BD21))),".")</f>
        <v>9.0143481925428208</v>
      </c>
      <c r="BJ21" s="72">
        <f>IFERROR(IF(up_Bv!N21=0,".",((s_Ir*s_F*s_I_f*s_T*(1-EXP(-up_RadSpec!BD21*s_t_v)))/(s_Y_v*up_RadSpec!BD21))),".")</f>
        <v>9.0143481925428208</v>
      </c>
      <c r="BK21" s="72">
        <f>IFERROR(IF(up_Bv!O21=0,".",((s_Ir*s_F*s_I_f*s_T*(1-EXP(-up_RadSpec!BD21*s_t_v)))/(s_Y_v*up_RadSpec!BD21))),".")</f>
        <v>9.0143481925428208</v>
      </c>
      <c r="BL21" s="72">
        <f>IFERROR(IF(up_Bv!P21=0,".",((s_Ir*s_F*s_I_f*s_T*(1-EXP(-up_RadSpec!BD21*s_t_v)))/(s_Y_v*up_RadSpec!BD21))),".")</f>
        <v>9.0143481925428208</v>
      </c>
      <c r="BM21" s="72">
        <f>IFERROR(IF(up_Bv!Q21=0,".",((s_Ir*s_F*s_I_f*s_T*(1-EXP(-up_RadSpec!BD21*s_t_v)))/(s_Y_v*up_RadSpec!BD21))),".")</f>
        <v>9.0143481925428208</v>
      </c>
      <c r="BN21" s="72">
        <f>IFERROR(IF(up_Bv!R21=0,".",((s_Ir*s_F*s_I_f*s_T*(1-EXP(-up_RadSpec!BD21*s_t_v)))/(s_Y_v*up_RadSpec!BD21))),".")</f>
        <v>9.0143481925428208</v>
      </c>
      <c r="BO21" s="72">
        <f>IFERROR(IF(up_Bv!S21=0,".",((s_Ir*s_F*s_I_f*s_T*(1-EXP(-up_RadSpec!BD21*s_t_v)))/(s_Y_v*up_RadSpec!BD21))),".")</f>
        <v>9.0143481925428208</v>
      </c>
      <c r="BP21" s="72">
        <f>IFERROR(IF(up_Bv!T21=0,".",((s_Ir*s_F*s_I_f*s_T*(1-EXP(-up_RadSpec!BD21*s_t_v)))/(s_Y_v*up_RadSpec!BD21))),".")</f>
        <v>9.0143481925428208</v>
      </c>
      <c r="BQ21" s="72">
        <f>IFERROR(IF(up_Bv!U21=0,".",((s_Ir*s_F*s_I_f*s_T*(1-EXP(-up_RadSpec!BD21*s_t_v)))/(s_Y_v*up_RadSpec!BD21))),".")</f>
        <v>9.0143481925428208</v>
      </c>
      <c r="BR21" s="72">
        <f>IFERROR(IF(up_Bv!V21=0,".",((s_Ir*s_F*s_I_f*s_T*(1-EXP(-up_RadSpec!BD21*s_t_v)))/(s_Y_v*up_RadSpec!BD21))),".")</f>
        <v>9.0143481925428208</v>
      </c>
      <c r="BS21" s="72">
        <f>IFERROR(IF(up_Bv!W21=0,".",((s_Ir*s_F*s_I_f*s_T*(1-EXP(-up_RadSpec!BD21*s_t_v)))/(s_Y_v*up_RadSpec!BD21))),".")</f>
        <v>9.0143481925428208</v>
      </c>
      <c r="BT21" s="72">
        <f>IFERROR(IF(up_Bv!X21=0,".",((s_Ir*s_F*s_I_f*s_T*(1-EXP(-up_RadSpec!BD21*s_t_v)))/(s_Y_v*up_RadSpec!BD21))),".")</f>
        <v>9.0143481925428208</v>
      </c>
      <c r="BU21" s="72">
        <f>IFERROR(IF(up_Bv!Y21=0,".",((s_Ir*s_F*s_I_f*s_T*(1-EXP(-up_RadSpec!BD21*s_t_v)))/(s_Y_v*up_RadSpec!BD21))),".")</f>
        <v>9.0143481925428208</v>
      </c>
      <c r="BV21" s="72">
        <f>IFERROR(IF(up_Bv!Z21=0,".",((s_Ir*s_F*s_I_f*s_T*(1-EXP(-up_RadSpec!BD21*s_t_v)))/(s_Y_v*up_RadSpec!BD21))),".")</f>
        <v>9.0143481925428208</v>
      </c>
    </row>
    <row r="22" spans="1:74" x14ac:dyDescent="0.25">
      <c r="A22" s="31" t="s">
        <v>20</v>
      </c>
      <c r="B22" s="3" t="s">
        <v>1059</v>
      </c>
      <c r="C22" s="72">
        <f>IFERROR(IF(up_Bv!C22=0,".",((s_Ir*s_F*up_Bv!C22*(1-EXP(-up_RadSpec!$BC22*s_t_b)))/(s_P*up_RadSpec!$BC22))),".")</f>
        <v>993.50362303732038</v>
      </c>
      <c r="D22" s="72">
        <f>IFERROR(IF(up_Bv!D22=0,".",((s_Ir*s_F*up_Bv!D22*(1-EXP(-up_RadSpec!BC22*s_t_b)))/(s_P*up_RadSpec!BC22))),".")</f>
        <v>993.50362303732038</v>
      </c>
      <c r="E22" s="72">
        <f>IFERROR(IF(up_Bv!E22=0,".",((s_Ir*s_F*up_Bv!E22*(1-EXP(-up_RadSpec!BC22*s_t_b)))/(s_P*up_RadSpec!BC22))),".")</f>
        <v>993.50362303732038</v>
      </c>
      <c r="F22" s="72">
        <f>IFERROR(IF(up_Bv!F22=0,".",((s_Ir*s_F*up_Bv!F22*(1-EXP(-up_RadSpec!BC22*s_t_b)))/(s_P*up_RadSpec!BC22))),".")</f>
        <v>993.50362303732038</v>
      </c>
      <c r="G22" s="72">
        <f>IFERROR(IF(up_Bv!G22=0,".",((s_Ir*s_F*up_Bv!G22*(1-EXP(-up_RadSpec!BC22*s_t_b)))/(s_P*up_RadSpec!BC22))),".")</f>
        <v>993.50362303732038</v>
      </c>
      <c r="H22" s="72">
        <f>IFERROR(IF(up_Bv!H22=0,".",((s_Ir*s_F*up_Bv!H22*(1-EXP(-up_RadSpec!BC22*s_t_b)))/(s_P*up_RadSpec!BC22))),".")</f>
        <v>993.50362303732038</v>
      </c>
      <c r="I22" s="72">
        <f>IFERROR(IF(up_Bv!I22=0,".",((s_Ir*s_F*up_Bv!I22*(1-EXP(-up_RadSpec!BC22*s_t_b)))/(s_P*up_RadSpec!BC22))),".")</f>
        <v>993.50362303732038</v>
      </c>
      <c r="J22" s="72">
        <f>IFERROR(IF(up_Bv!J22=0,".",((s_Ir*s_F*up_Bv!J22*(1-EXP(-up_RadSpec!BC22*s_t_b)))/(s_P*up_RadSpec!BC22))),".")</f>
        <v>993.50362303732038</v>
      </c>
      <c r="K22" s="72">
        <f>IFERROR(IF(up_Bv!K22=0,".",((s_Ir*s_F*up_Bv!K22*(1-EXP(-up_RadSpec!BC22*s_t_b)))/(s_P*up_RadSpec!BC22))),".")</f>
        <v>993.50362303732038</v>
      </c>
      <c r="L22" s="72">
        <f>IFERROR(IF(up_Bv!L22=0,".",((s_Ir*s_F*up_Bv!L22*(1-EXP(-up_RadSpec!BC22*s_t_b)))/(s_P*up_RadSpec!BC22))),".")</f>
        <v>993.50362303732038</v>
      </c>
      <c r="M22" s="72">
        <f>IFERROR(IF(up_Bv!M22=0,".",((s_Ir*s_F*up_Bv!M22*(1-EXP(-up_RadSpec!BC22*s_t_b)))/(s_P*up_RadSpec!BC22))),".")</f>
        <v>993.50362303732038</v>
      </c>
      <c r="N22" s="72">
        <f>IFERROR(IF(up_Bv!N22=0,".",((s_Ir*s_F*up_Bv!N22*(1-EXP(-up_RadSpec!BC22*s_t_b)))/(s_P*up_RadSpec!BC22))),".")</f>
        <v>993.50362303732038</v>
      </c>
      <c r="O22" s="72">
        <f>IFERROR(IF(up_Bv!O22=0,".",((s_Ir*s_F*up_Bv!O22*(1-EXP(-up_RadSpec!BC22*s_t_b)))/(s_P*up_RadSpec!BC22))),".")</f>
        <v>993.50362303732038</v>
      </c>
      <c r="P22" s="72">
        <f>IFERROR(IF(up_Bv!P22=0,".",((s_Ir*s_F*up_Bv!P22*(1-EXP(-up_RadSpec!BC22*s_t_b)))/(s_P*up_RadSpec!BC22))),".")</f>
        <v>993.50362303732038</v>
      </c>
      <c r="Q22" s="72">
        <f>IFERROR(IF(up_Bv!Q22=0,".",((s_Ir*s_F*up_Bv!Q22*(1-EXP(-up_RadSpec!BC22*s_t_b)))/(s_P*up_RadSpec!BC22))),".")</f>
        <v>993.50362303732038</v>
      </c>
      <c r="R22" s="72">
        <f>IFERROR(IF(up_Bv!R22=0,".",((s_Ir*s_F*up_Bv!R22*(1-EXP(-up_RadSpec!BC22*s_t_b)))/(s_P*up_RadSpec!BC22))),".")</f>
        <v>993.50362303732038</v>
      </c>
      <c r="S22" s="72">
        <f>IFERROR(IF(up_Bv!S22=0,".",((s_Ir*s_F*up_Bv!S22*(1-EXP(-up_RadSpec!BC22*s_t_b)))/(s_P*up_RadSpec!BC22))),".")</f>
        <v>993.50362303732038</v>
      </c>
      <c r="T22" s="72">
        <f>IFERROR(IF(up_Bv!T22=0,".",((s_Ir*s_F*up_Bv!T22*(1-EXP(-up_RadSpec!BC22*s_t_b)))/(s_P*up_RadSpec!BC22))),".")</f>
        <v>993.50362303732038</v>
      </c>
      <c r="U22" s="72">
        <f>IFERROR(IF(up_Bv!U22=0,".",((s_Ir*s_F*up_Bv!U22*(1-EXP(-up_RadSpec!BC22*s_t_b)))/(s_P*up_RadSpec!BC22))),".")</f>
        <v>993.50362303732038</v>
      </c>
      <c r="V22" s="72">
        <f>IFERROR(IF(up_Bv!V22=0,".",((s_Ir*s_F*up_Bv!V22*(1-EXP(-up_RadSpec!BC22*s_t_b)))/(s_P*up_RadSpec!BC22))),".")</f>
        <v>993.50362303732038</v>
      </c>
      <c r="W22" s="72">
        <f>IFERROR(IF(up_Bv!W22=0,".",((s_Ir*s_F*up_Bv!W22*(1-EXP(-up_RadSpec!BC22*s_t_b)))/(s_P*up_RadSpec!BC22))),".")</f>
        <v>993.50362303732038</v>
      </c>
      <c r="X22" s="72">
        <f>IFERROR(IF(up_Bv!X22=0,".",((s_Ir*s_F*up_Bv!X22*(1-EXP(-up_RadSpec!BC22*s_t_b)))/(s_P*up_RadSpec!BC22))),".")</f>
        <v>993.50362303732038</v>
      </c>
      <c r="Y22" s="72">
        <f>IFERROR(IF(up_Bv!Y22=0,".",((s_Ir*s_F*up_Bv!Y22*(1-EXP(-up_RadSpec!BC22*s_t_b)))/(s_P*up_RadSpec!BC22))),".")</f>
        <v>993.50362303732038</v>
      </c>
      <c r="Z22" s="72">
        <f>IFERROR(IF(up_Bv!Z22=0,".",((s_Ir*s_F*up_Bv!Z22*(1-EXP(-up_RadSpec!BC22*s_t_b)))/(s_P*up_RadSpec!BC22))),".")</f>
        <v>993.50362303732038</v>
      </c>
      <c r="AA22" s="72">
        <f>IFERROR(IF(up_Bv!C22=0,".",((s_Ir*s_F*s_MLF_apple*(1-EXP(-up_RadSpec!BC22*s_t_b)))/(s_P*up_RadSpec!BC22))),".")</f>
        <v>2.6824597822007652</v>
      </c>
      <c r="AB22" s="72">
        <f>IFERROR(IF(up_Bv!D22=0,".",((s_Ir*s_F*s_MLF_asparagus*(1-EXP(-up_RadSpec!BC22*s_t_b)))/(s_P*up_RadSpec!BC22))),".")</f>
        <v>2.6824597822007652</v>
      </c>
      <c r="AC22" s="72">
        <f>IFERROR(IF(up_Bv!E22=0,".",((s_Ir*s_F*s_MLF_beet*(1-EXP(-up_RadSpec!BC22*s_t_b)))/(s_P*up_RadSpec!BC22))),".")</f>
        <v>2.6824597822007652</v>
      </c>
      <c r="AD22" s="72">
        <f>IFERROR(IF(up_Bv!F22=0,".",((s_Ir*s_F*s_MLF_berries*(1-EXP(-up_RadSpec!BC22*s_t_b)))/(s_P*up_RadSpec!BC22))),".")</f>
        <v>2.6824597822007652</v>
      </c>
      <c r="AE22" s="72">
        <f>IFERROR(IF(up_Bv!G22=0,".",((s_Ir*s_F*s_MLF_broccoli*(1-EXP(-up_RadSpec!BC22*s_t_b)))/(s_P*up_RadSpec!BC22))),".")</f>
        <v>2.6824597822007652</v>
      </c>
      <c r="AF22" s="72">
        <f>IFERROR(IF(up_Bv!H22=0,".",((s_Ir*s_F*s_MLF_cabbage*(1-EXP(-up_RadSpec!BC22*s_t_b)))/(s_P*up_RadSpec!BC22))),".")</f>
        <v>2.6824597822007652</v>
      </c>
      <c r="AG22" s="72">
        <f>IFERROR(IF(up_Bv!I22=0,".",((s_Ir*s_F*s_MLF_carrot*(1-EXP(-up_RadSpec!BC22*s_t_b)))/(s_P*up_RadSpec!BC22))),".")</f>
        <v>2.6824597822007652</v>
      </c>
      <c r="AH22" s="72">
        <f>IFERROR(IF(up_Bv!J22=0,".",((s_Ir*s_F*s_MLF_citrus*(1-EXP(-up_RadSpec!BC22*s_t_b)))/(s_P*up_RadSpec!BC22))),".")</f>
        <v>2.6824597822007652</v>
      </c>
      <c r="AI22" s="72">
        <f>IFERROR(IF(up_Bv!K22=0,".",((s_Ir*s_F*s_MLF_corn*(1-EXP(-up_RadSpec!BC22*s_t_b)))/(s_P*up_RadSpec!BC22))),".")</f>
        <v>2.6824597822007652</v>
      </c>
      <c r="AJ22" s="72">
        <f>IFERROR(IF(up_Bv!L22=0,".",((s_Ir*s_F*s_MLF_cucumber*(1-EXP(-up_RadSpec!BC22*s_t_b)))/(s_P*up_RadSpec!BC22))),".")</f>
        <v>2.6824597822007652</v>
      </c>
      <c r="AK22" s="72">
        <f>IFERROR(IF(up_Bv!M22=0,".",((s_Ir*s_F*s_MLF_lettuce*(1-EXP(-up_RadSpec!BC22*s_t_b)))/(s_P*up_RadSpec!BC22))),".")</f>
        <v>2.6824597822007652</v>
      </c>
      <c r="AL22" s="72">
        <f>IFERROR(IF(up_Bv!N22=0,".",((s_Ir*s_F*s_MLF_lima_bean*(1-EXP(-up_RadSpec!BC22*s_t_b)))/(s_P*up_RadSpec!BC22))),".")</f>
        <v>2.6824597822007652</v>
      </c>
      <c r="AM22" s="72">
        <f>IFERROR(IF(up_Bv!O22=0,".",((s_Ir*s_F*s_MLF_okra*(1-EXP(-up_RadSpec!BC22*s_t_b)))/(s_P*up_RadSpec!BC22))),".")</f>
        <v>2.6824597822007652</v>
      </c>
      <c r="AN22" s="72">
        <f>IFERROR(IF(up_Bv!P22=0,".",((s_Ir*s_F*s_MLF_onion*(1-EXP(-up_RadSpec!BC22*s_t_b)))/(s_P*up_RadSpec!BC22))),".")</f>
        <v>2.6824597822007652</v>
      </c>
      <c r="AO22" s="72">
        <f>IFERROR(IF(up_Bv!Q22=0,".",((s_Ir*s_F*s_MLF_peach*(1-EXP(-up_RadSpec!BC22*s_t_b)))/(s_P*up_RadSpec!BC22))),".")</f>
        <v>2.6824597822007652</v>
      </c>
      <c r="AP22" s="72">
        <f>IFERROR(IF(up_Bv!R22=0,".",((s_Ir*s_F*s_MLF_pear*(1-EXP(-up_RadSpec!BC22*s_t_b)))/(s_P*up_RadSpec!BC22))),".")</f>
        <v>2.6824597822007652</v>
      </c>
      <c r="AQ22" s="72">
        <f>IFERROR(IF(up_Bv!S22=0,".",((s_Ir*s_F*s_MLF_peas*(1-EXP(-up_RadSpec!BC22*s_t_b)))/(s_P*up_RadSpec!BC22))),".")</f>
        <v>2.6824597822007652</v>
      </c>
      <c r="AR22" s="72">
        <f>IFERROR(IF(up_Bv!T22=0,".",((s_Ir*s_F*s_MLF_potato*(1-EXP(-up_RadSpec!BC22*s_t_b)))/(s_P*up_RadSpec!BC22))),".")</f>
        <v>2.6824597822007652</v>
      </c>
      <c r="AS22" s="72">
        <f>IFERROR(IF(up_Bv!U22=0,".",((s_Ir*s_F*s_MLF_pumpkin*(1-EXP(-up_RadSpec!BC22*s_t_b)))/(s_P*up_RadSpec!BC22))),".")</f>
        <v>2.6824597822007652</v>
      </c>
      <c r="AT22" s="72">
        <f>IFERROR(IF(up_Bv!V22=0,".",((s_Ir*s_F*s_MLF_snap_bean*(1-EXP(-up_RadSpec!BC22*s_t_b)))/(s_P*up_RadSpec!BC22))),".")</f>
        <v>2.6824597822007652</v>
      </c>
      <c r="AU22" s="72">
        <f>IFERROR(IF(up_Bv!W22=0,".",((s_Ir*s_F*s_MLF_strawberry*(1-EXP(-up_RadSpec!BC22*s_t_b)))/(s_P*up_RadSpec!BC22))),".")</f>
        <v>2.6824597822007652</v>
      </c>
      <c r="AV22" s="72">
        <f>IFERROR(IF(up_Bv!X22=0,".",((s_Ir*s_F*s_MLF_tomato*(1-EXP(-up_RadSpec!BC22*s_t_b)))/(s_P*up_RadSpec!BC22))),".")</f>
        <v>2.6824597822007652</v>
      </c>
      <c r="AW22" s="72">
        <f>IFERROR(IF(up_Bv!Y22=0,".",((s_Ir*s_F*s_MLF_rice*(1-EXP(-up_RadSpec!BC22*s_t_b)))/(s_P*up_RadSpec!BC22))),".")</f>
        <v>2.6824597822007652</v>
      </c>
      <c r="AX22" s="72">
        <f>IFERROR(IF(up_Bv!Z22=0,".",((s_Ir*s_F*s_MLF_cereal*(1-EXP(-up_RadSpec!BC22*s_t_b)))/(s_P*up_RadSpec!BC22))),".")</f>
        <v>2.6824597822007652</v>
      </c>
      <c r="AY22" s="72">
        <f>IFERROR(IF(up_Bv!C22=0,".",((s_Ir*s_F*s_I_f*s_T*(1-EXP(-up_RadSpec!BD22*s_t_v)))/(s_Y_v*up_RadSpec!BD22))),".")</f>
        <v>9.0143481925428208</v>
      </c>
      <c r="AZ22" s="72">
        <f>IFERROR(IF(up_Bv!D22=0,".",((s_Ir*s_F*s_I_f*s_T*(1-EXP(-up_RadSpec!BD22*s_t_v)))/(s_Y_v*up_RadSpec!BD22))),".")</f>
        <v>9.0143481925428208</v>
      </c>
      <c r="BA22" s="72">
        <f>IFERROR(IF(up_Bv!E22=0,".",((s_Ir*s_F*s_I_f*s_T*(1-EXP(-up_RadSpec!BD22*s_t_v)))/(s_Y_v*up_RadSpec!BD22))),".")</f>
        <v>9.0143481925428208</v>
      </c>
      <c r="BB22" s="72">
        <f>IFERROR(IF(up_Bv!F22=0,".",((s_Ir*s_F*s_I_f*s_T*(1-EXP(-up_RadSpec!BD22*s_t_v)))/(s_Y_v*up_RadSpec!BD22))),".")</f>
        <v>9.0143481925428208</v>
      </c>
      <c r="BC22" s="72">
        <f>IFERROR(IF(up_Bv!G22=0,".",((s_Ir*s_F*s_I_f*s_T*(1-EXP(-up_RadSpec!BD22*s_t_v)))/(s_Y_v*up_RadSpec!BD22))),".")</f>
        <v>9.0143481925428208</v>
      </c>
      <c r="BD22" s="72">
        <f>IFERROR(IF(up_Bv!H22=0,".",((s_Ir*s_F*s_I_f*s_T*(1-EXP(-up_RadSpec!BD22*s_t_v)))/(s_Y_v*up_RadSpec!BD22))),".")</f>
        <v>9.0143481925428208</v>
      </c>
      <c r="BE22" s="72">
        <f>IFERROR(IF(up_Bv!I22=0,".",((s_Ir*s_F*s_I_f*s_T*(1-EXP(-up_RadSpec!BD22*s_t_v)))/(s_Y_v*up_RadSpec!BD22))),".")</f>
        <v>9.0143481925428208</v>
      </c>
      <c r="BF22" s="72">
        <f>IFERROR(IF(up_Bv!J22=0,".",((s_Ir*s_F*s_I_f*s_T*(1-EXP(-up_RadSpec!BD22*s_t_v)))/(s_Y_v*up_RadSpec!BD22))),".")</f>
        <v>9.0143481925428208</v>
      </c>
      <c r="BG22" s="72">
        <f>IFERROR(IF(up_Bv!K22=0,".",((s_Ir*s_F*s_I_f*s_T*(1-EXP(-up_RadSpec!BD22*s_t_v)))/(s_Y_v*up_RadSpec!BD22))),".")</f>
        <v>9.0143481925428208</v>
      </c>
      <c r="BH22" s="72">
        <f>IFERROR(IF(up_Bv!L22=0,".",((s_Ir*s_F*s_I_f*s_T*(1-EXP(-up_RadSpec!BD22*s_t_v)))/(s_Y_v*up_RadSpec!BD22))),".")</f>
        <v>9.0143481925428208</v>
      </c>
      <c r="BI22" s="72">
        <f>IFERROR(IF(up_Bv!M22=0,".",((s_Ir*s_F*s_I_f*s_T*(1-EXP(-up_RadSpec!BD22*s_t_v)))/(s_Y_v*up_RadSpec!BD22))),".")</f>
        <v>9.0143481925428208</v>
      </c>
      <c r="BJ22" s="72">
        <f>IFERROR(IF(up_Bv!N22=0,".",((s_Ir*s_F*s_I_f*s_T*(1-EXP(-up_RadSpec!BD22*s_t_v)))/(s_Y_v*up_RadSpec!BD22))),".")</f>
        <v>9.0143481925428208</v>
      </c>
      <c r="BK22" s="72">
        <f>IFERROR(IF(up_Bv!O22=0,".",((s_Ir*s_F*s_I_f*s_T*(1-EXP(-up_RadSpec!BD22*s_t_v)))/(s_Y_v*up_RadSpec!BD22))),".")</f>
        <v>9.0143481925428208</v>
      </c>
      <c r="BL22" s="72">
        <f>IFERROR(IF(up_Bv!P22=0,".",((s_Ir*s_F*s_I_f*s_T*(1-EXP(-up_RadSpec!BD22*s_t_v)))/(s_Y_v*up_RadSpec!BD22))),".")</f>
        <v>9.0143481925428208</v>
      </c>
      <c r="BM22" s="72">
        <f>IFERROR(IF(up_Bv!Q22=0,".",((s_Ir*s_F*s_I_f*s_T*(1-EXP(-up_RadSpec!BD22*s_t_v)))/(s_Y_v*up_RadSpec!BD22))),".")</f>
        <v>9.0143481925428208</v>
      </c>
      <c r="BN22" s="72">
        <f>IFERROR(IF(up_Bv!R22=0,".",((s_Ir*s_F*s_I_f*s_T*(1-EXP(-up_RadSpec!BD22*s_t_v)))/(s_Y_v*up_RadSpec!BD22))),".")</f>
        <v>9.0143481925428208</v>
      </c>
      <c r="BO22" s="72">
        <f>IFERROR(IF(up_Bv!S22=0,".",((s_Ir*s_F*s_I_f*s_T*(1-EXP(-up_RadSpec!BD22*s_t_v)))/(s_Y_v*up_RadSpec!BD22))),".")</f>
        <v>9.0143481925428208</v>
      </c>
      <c r="BP22" s="72">
        <f>IFERROR(IF(up_Bv!T22=0,".",((s_Ir*s_F*s_I_f*s_T*(1-EXP(-up_RadSpec!BD22*s_t_v)))/(s_Y_v*up_RadSpec!BD22))),".")</f>
        <v>9.0143481925428208</v>
      </c>
      <c r="BQ22" s="72">
        <f>IFERROR(IF(up_Bv!U22=0,".",((s_Ir*s_F*s_I_f*s_T*(1-EXP(-up_RadSpec!BD22*s_t_v)))/(s_Y_v*up_RadSpec!BD22))),".")</f>
        <v>9.0143481925428208</v>
      </c>
      <c r="BR22" s="72">
        <f>IFERROR(IF(up_Bv!V22=0,".",((s_Ir*s_F*s_I_f*s_T*(1-EXP(-up_RadSpec!BD22*s_t_v)))/(s_Y_v*up_RadSpec!BD22))),".")</f>
        <v>9.0143481925428208</v>
      </c>
      <c r="BS22" s="72">
        <f>IFERROR(IF(up_Bv!W22=0,".",((s_Ir*s_F*s_I_f*s_T*(1-EXP(-up_RadSpec!BD22*s_t_v)))/(s_Y_v*up_RadSpec!BD22))),".")</f>
        <v>9.0143481925428208</v>
      </c>
      <c r="BT22" s="72">
        <f>IFERROR(IF(up_Bv!X22=0,".",((s_Ir*s_F*s_I_f*s_T*(1-EXP(-up_RadSpec!BD22*s_t_v)))/(s_Y_v*up_RadSpec!BD22))),".")</f>
        <v>9.0143481925428208</v>
      </c>
      <c r="BU22" s="72">
        <f>IFERROR(IF(up_Bv!Y22=0,".",((s_Ir*s_F*s_I_f*s_T*(1-EXP(-up_RadSpec!BD22*s_t_v)))/(s_Y_v*up_RadSpec!BD22))),".")</f>
        <v>9.0143481925428208</v>
      </c>
      <c r="BV22" s="72">
        <f>IFERROR(IF(up_Bv!Z22=0,".",((s_Ir*s_F*s_I_f*s_T*(1-EXP(-up_RadSpec!BD22*s_t_v)))/(s_Y_v*up_RadSpec!BD22))),".")</f>
        <v>9.0143481925428208</v>
      </c>
    </row>
    <row r="23" spans="1:74" x14ac:dyDescent="0.25">
      <c r="A23" s="32" t="s">
        <v>21</v>
      </c>
      <c r="B23" s="3" t="s">
        <v>336</v>
      </c>
      <c r="C23" s="72">
        <f>IFERROR(IF(up_Bv!C23=0,".",((s_Ir*s_F*up_Bv!C23*(1-EXP(-up_RadSpec!$BC23*s_t_b)))/(s_P*up_RadSpec!$BC23))),".")</f>
        <v>993.50362303732038</v>
      </c>
      <c r="D23" s="72">
        <f>IFERROR(IF(up_Bv!D23=0,".",((s_Ir*s_F*up_Bv!D23*(1-EXP(-up_RadSpec!BC23*s_t_b)))/(s_P*up_RadSpec!BC23))),".")</f>
        <v>993.50362303732038</v>
      </c>
      <c r="E23" s="72">
        <f>IFERROR(IF(up_Bv!E23=0,".",((s_Ir*s_F*up_Bv!E23*(1-EXP(-up_RadSpec!BC23*s_t_b)))/(s_P*up_RadSpec!BC23))),".")</f>
        <v>993.50362303732038</v>
      </c>
      <c r="F23" s="72">
        <f>IFERROR(IF(up_Bv!F23=0,".",((s_Ir*s_F*up_Bv!F23*(1-EXP(-up_RadSpec!BC23*s_t_b)))/(s_P*up_RadSpec!BC23))),".")</f>
        <v>993.50362303732038</v>
      </c>
      <c r="G23" s="72">
        <f>IFERROR(IF(up_Bv!G23=0,".",((s_Ir*s_F*up_Bv!G23*(1-EXP(-up_RadSpec!BC23*s_t_b)))/(s_P*up_RadSpec!BC23))),".")</f>
        <v>993.50362303732038</v>
      </c>
      <c r="H23" s="72">
        <f>IFERROR(IF(up_Bv!H23=0,".",((s_Ir*s_F*up_Bv!H23*(1-EXP(-up_RadSpec!BC23*s_t_b)))/(s_P*up_RadSpec!BC23))),".")</f>
        <v>993.50362303732038</v>
      </c>
      <c r="I23" s="72">
        <f>IFERROR(IF(up_Bv!I23=0,".",((s_Ir*s_F*up_Bv!I23*(1-EXP(-up_RadSpec!BC23*s_t_b)))/(s_P*up_RadSpec!BC23))),".")</f>
        <v>993.50362303732038</v>
      </c>
      <c r="J23" s="72">
        <f>IFERROR(IF(up_Bv!J23=0,".",((s_Ir*s_F*up_Bv!J23*(1-EXP(-up_RadSpec!BC23*s_t_b)))/(s_P*up_RadSpec!BC23))),".")</f>
        <v>993.50362303732038</v>
      </c>
      <c r="K23" s="72">
        <f>IFERROR(IF(up_Bv!K23=0,".",((s_Ir*s_F*up_Bv!K23*(1-EXP(-up_RadSpec!BC23*s_t_b)))/(s_P*up_RadSpec!BC23))),".")</f>
        <v>993.50362303732038</v>
      </c>
      <c r="L23" s="72">
        <f>IFERROR(IF(up_Bv!L23=0,".",((s_Ir*s_F*up_Bv!L23*(1-EXP(-up_RadSpec!BC23*s_t_b)))/(s_P*up_RadSpec!BC23))),".")</f>
        <v>993.50362303732038</v>
      </c>
      <c r="M23" s="72">
        <f>IFERROR(IF(up_Bv!M23=0,".",((s_Ir*s_F*up_Bv!M23*(1-EXP(-up_RadSpec!BC23*s_t_b)))/(s_P*up_RadSpec!BC23))),".")</f>
        <v>993.50362303732038</v>
      </c>
      <c r="N23" s="72">
        <f>IFERROR(IF(up_Bv!N23=0,".",((s_Ir*s_F*up_Bv!N23*(1-EXP(-up_RadSpec!BC23*s_t_b)))/(s_P*up_RadSpec!BC23))),".")</f>
        <v>993.50362303732038</v>
      </c>
      <c r="O23" s="72">
        <f>IFERROR(IF(up_Bv!O23=0,".",((s_Ir*s_F*up_Bv!O23*(1-EXP(-up_RadSpec!BC23*s_t_b)))/(s_P*up_RadSpec!BC23))),".")</f>
        <v>993.50362303732038</v>
      </c>
      <c r="P23" s="72">
        <f>IFERROR(IF(up_Bv!P23=0,".",((s_Ir*s_F*up_Bv!P23*(1-EXP(-up_RadSpec!BC23*s_t_b)))/(s_P*up_RadSpec!BC23))),".")</f>
        <v>993.50362303732038</v>
      </c>
      <c r="Q23" s="72">
        <f>IFERROR(IF(up_Bv!Q23=0,".",((s_Ir*s_F*up_Bv!Q23*(1-EXP(-up_RadSpec!BC23*s_t_b)))/(s_P*up_RadSpec!BC23))),".")</f>
        <v>993.50362303732038</v>
      </c>
      <c r="R23" s="72">
        <f>IFERROR(IF(up_Bv!R23=0,".",((s_Ir*s_F*up_Bv!R23*(1-EXP(-up_RadSpec!BC23*s_t_b)))/(s_P*up_RadSpec!BC23))),".")</f>
        <v>993.50362303732038</v>
      </c>
      <c r="S23" s="72">
        <f>IFERROR(IF(up_Bv!S23=0,".",((s_Ir*s_F*up_Bv!S23*(1-EXP(-up_RadSpec!BC23*s_t_b)))/(s_P*up_RadSpec!BC23))),".")</f>
        <v>993.50362303732038</v>
      </c>
      <c r="T23" s="72">
        <f>IFERROR(IF(up_Bv!T23=0,".",((s_Ir*s_F*up_Bv!T23*(1-EXP(-up_RadSpec!BC23*s_t_b)))/(s_P*up_RadSpec!BC23))),".")</f>
        <v>993.50362303732038</v>
      </c>
      <c r="U23" s="72">
        <f>IFERROR(IF(up_Bv!U23=0,".",((s_Ir*s_F*up_Bv!U23*(1-EXP(-up_RadSpec!BC23*s_t_b)))/(s_P*up_RadSpec!BC23))),".")</f>
        <v>993.50362303732038</v>
      </c>
      <c r="V23" s="72">
        <f>IFERROR(IF(up_Bv!V23=0,".",((s_Ir*s_F*up_Bv!V23*(1-EXP(-up_RadSpec!BC23*s_t_b)))/(s_P*up_RadSpec!BC23))),".")</f>
        <v>993.50362303732038</v>
      </c>
      <c r="W23" s="72">
        <f>IFERROR(IF(up_Bv!W23=0,".",((s_Ir*s_F*up_Bv!W23*(1-EXP(-up_RadSpec!BC23*s_t_b)))/(s_P*up_RadSpec!BC23))),".")</f>
        <v>993.50362303732038</v>
      </c>
      <c r="X23" s="72">
        <f>IFERROR(IF(up_Bv!X23=0,".",((s_Ir*s_F*up_Bv!X23*(1-EXP(-up_RadSpec!BC23*s_t_b)))/(s_P*up_RadSpec!BC23))),".")</f>
        <v>993.50362303732038</v>
      </c>
      <c r="Y23" s="72">
        <f>IFERROR(IF(up_Bv!Y23=0,".",((s_Ir*s_F*up_Bv!Y23*(1-EXP(-up_RadSpec!BC23*s_t_b)))/(s_P*up_RadSpec!BC23))),".")</f>
        <v>993.50362303732038</v>
      </c>
      <c r="Z23" s="72">
        <f>IFERROR(IF(up_Bv!Z23=0,".",((s_Ir*s_F*up_Bv!Z23*(1-EXP(-up_RadSpec!BC23*s_t_b)))/(s_P*up_RadSpec!BC23))),".")</f>
        <v>993.50362303732038</v>
      </c>
      <c r="AA23" s="72">
        <f>IFERROR(IF(up_Bv!C23=0,".",((s_Ir*s_F*s_MLF_apple*(1-EXP(-up_RadSpec!BC23*s_t_b)))/(s_P*up_RadSpec!BC23))),".")</f>
        <v>2.6824597822007652</v>
      </c>
      <c r="AB23" s="72">
        <f>IFERROR(IF(up_Bv!D23=0,".",((s_Ir*s_F*s_MLF_asparagus*(1-EXP(-up_RadSpec!BC23*s_t_b)))/(s_P*up_RadSpec!BC23))),".")</f>
        <v>2.6824597822007652</v>
      </c>
      <c r="AC23" s="72">
        <f>IFERROR(IF(up_Bv!E23=0,".",((s_Ir*s_F*s_MLF_beet*(1-EXP(-up_RadSpec!BC23*s_t_b)))/(s_P*up_RadSpec!BC23))),".")</f>
        <v>2.6824597822007652</v>
      </c>
      <c r="AD23" s="72">
        <f>IFERROR(IF(up_Bv!F23=0,".",((s_Ir*s_F*s_MLF_berries*(1-EXP(-up_RadSpec!BC23*s_t_b)))/(s_P*up_RadSpec!BC23))),".")</f>
        <v>2.6824597822007652</v>
      </c>
      <c r="AE23" s="72">
        <f>IFERROR(IF(up_Bv!G23=0,".",((s_Ir*s_F*s_MLF_broccoli*(1-EXP(-up_RadSpec!BC23*s_t_b)))/(s_P*up_RadSpec!BC23))),".")</f>
        <v>2.6824597822007652</v>
      </c>
      <c r="AF23" s="72">
        <f>IFERROR(IF(up_Bv!H23=0,".",((s_Ir*s_F*s_MLF_cabbage*(1-EXP(-up_RadSpec!BC23*s_t_b)))/(s_P*up_RadSpec!BC23))),".")</f>
        <v>2.6824597822007652</v>
      </c>
      <c r="AG23" s="72">
        <f>IFERROR(IF(up_Bv!I23=0,".",((s_Ir*s_F*s_MLF_carrot*(1-EXP(-up_RadSpec!BC23*s_t_b)))/(s_P*up_RadSpec!BC23))),".")</f>
        <v>2.6824597822007652</v>
      </c>
      <c r="AH23" s="72">
        <f>IFERROR(IF(up_Bv!J23=0,".",((s_Ir*s_F*s_MLF_citrus*(1-EXP(-up_RadSpec!BC23*s_t_b)))/(s_P*up_RadSpec!BC23))),".")</f>
        <v>2.6824597822007652</v>
      </c>
      <c r="AI23" s="72">
        <f>IFERROR(IF(up_Bv!K23=0,".",((s_Ir*s_F*s_MLF_corn*(1-EXP(-up_RadSpec!BC23*s_t_b)))/(s_P*up_RadSpec!BC23))),".")</f>
        <v>2.6824597822007652</v>
      </c>
      <c r="AJ23" s="72">
        <f>IFERROR(IF(up_Bv!L23=0,".",((s_Ir*s_F*s_MLF_cucumber*(1-EXP(-up_RadSpec!BC23*s_t_b)))/(s_P*up_RadSpec!BC23))),".")</f>
        <v>2.6824597822007652</v>
      </c>
      <c r="AK23" s="72">
        <f>IFERROR(IF(up_Bv!M23=0,".",((s_Ir*s_F*s_MLF_lettuce*(1-EXP(-up_RadSpec!BC23*s_t_b)))/(s_P*up_RadSpec!BC23))),".")</f>
        <v>2.6824597822007652</v>
      </c>
      <c r="AL23" s="72">
        <f>IFERROR(IF(up_Bv!N23=0,".",((s_Ir*s_F*s_MLF_lima_bean*(1-EXP(-up_RadSpec!BC23*s_t_b)))/(s_P*up_RadSpec!BC23))),".")</f>
        <v>2.6824597822007652</v>
      </c>
      <c r="AM23" s="72">
        <f>IFERROR(IF(up_Bv!O23=0,".",((s_Ir*s_F*s_MLF_okra*(1-EXP(-up_RadSpec!BC23*s_t_b)))/(s_P*up_RadSpec!BC23))),".")</f>
        <v>2.6824597822007652</v>
      </c>
      <c r="AN23" s="72">
        <f>IFERROR(IF(up_Bv!P23=0,".",((s_Ir*s_F*s_MLF_onion*(1-EXP(-up_RadSpec!BC23*s_t_b)))/(s_P*up_RadSpec!BC23))),".")</f>
        <v>2.6824597822007652</v>
      </c>
      <c r="AO23" s="72">
        <f>IFERROR(IF(up_Bv!Q23=0,".",((s_Ir*s_F*s_MLF_peach*(1-EXP(-up_RadSpec!BC23*s_t_b)))/(s_P*up_RadSpec!BC23))),".")</f>
        <v>2.6824597822007652</v>
      </c>
      <c r="AP23" s="72">
        <f>IFERROR(IF(up_Bv!R23=0,".",((s_Ir*s_F*s_MLF_pear*(1-EXP(-up_RadSpec!BC23*s_t_b)))/(s_P*up_RadSpec!BC23))),".")</f>
        <v>2.6824597822007652</v>
      </c>
      <c r="AQ23" s="72">
        <f>IFERROR(IF(up_Bv!S23=0,".",((s_Ir*s_F*s_MLF_peas*(1-EXP(-up_RadSpec!BC23*s_t_b)))/(s_P*up_RadSpec!BC23))),".")</f>
        <v>2.6824597822007652</v>
      </c>
      <c r="AR23" s="72">
        <f>IFERROR(IF(up_Bv!T23=0,".",((s_Ir*s_F*s_MLF_potato*(1-EXP(-up_RadSpec!BC23*s_t_b)))/(s_P*up_RadSpec!BC23))),".")</f>
        <v>2.6824597822007652</v>
      </c>
      <c r="AS23" s="72">
        <f>IFERROR(IF(up_Bv!U23=0,".",((s_Ir*s_F*s_MLF_pumpkin*(1-EXP(-up_RadSpec!BC23*s_t_b)))/(s_P*up_RadSpec!BC23))),".")</f>
        <v>2.6824597822007652</v>
      </c>
      <c r="AT23" s="72">
        <f>IFERROR(IF(up_Bv!V23=0,".",((s_Ir*s_F*s_MLF_snap_bean*(1-EXP(-up_RadSpec!BC23*s_t_b)))/(s_P*up_RadSpec!BC23))),".")</f>
        <v>2.6824597822007652</v>
      </c>
      <c r="AU23" s="72">
        <f>IFERROR(IF(up_Bv!W23=0,".",((s_Ir*s_F*s_MLF_strawberry*(1-EXP(-up_RadSpec!BC23*s_t_b)))/(s_P*up_RadSpec!BC23))),".")</f>
        <v>2.6824597822007652</v>
      </c>
      <c r="AV23" s="72">
        <f>IFERROR(IF(up_Bv!X23=0,".",((s_Ir*s_F*s_MLF_tomato*(1-EXP(-up_RadSpec!BC23*s_t_b)))/(s_P*up_RadSpec!BC23))),".")</f>
        <v>2.6824597822007652</v>
      </c>
      <c r="AW23" s="72">
        <f>IFERROR(IF(up_Bv!Y23=0,".",((s_Ir*s_F*s_MLF_rice*(1-EXP(-up_RadSpec!BC23*s_t_b)))/(s_P*up_RadSpec!BC23))),".")</f>
        <v>2.6824597822007652</v>
      </c>
      <c r="AX23" s="72">
        <f>IFERROR(IF(up_Bv!Z23=0,".",((s_Ir*s_F*s_MLF_cereal*(1-EXP(-up_RadSpec!BC23*s_t_b)))/(s_P*up_RadSpec!BC23))),".")</f>
        <v>2.6824597822007652</v>
      </c>
      <c r="AY23" s="72">
        <f>IFERROR(IF(up_Bv!C23=0,".",((s_Ir*s_F*s_I_f*s_T*(1-EXP(-up_RadSpec!BD23*s_t_v)))/(s_Y_v*up_RadSpec!BD23))),".")</f>
        <v>9.0143481925428208</v>
      </c>
      <c r="AZ23" s="72">
        <f>IFERROR(IF(up_Bv!D23=0,".",((s_Ir*s_F*s_I_f*s_T*(1-EXP(-up_RadSpec!BD23*s_t_v)))/(s_Y_v*up_RadSpec!BD23))),".")</f>
        <v>9.0143481925428208</v>
      </c>
      <c r="BA23" s="72">
        <f>IFERROR(IF(up_Bv!E23=0,".",((s_Ir*s_F*s_I_f*s_T*(1-EXP(-up_RadSpec!BD23*s_t_v)))/(s_Y_v*up_RadSpec!BD23))),".")</f>
        <v>9.0143481925428208</v>
      </c>
      <c r="BB23" s="72">
        <f>IFERROR(IF(up_Bv!F23=0,".",((s_Ir*s_F*s_I_f*s_T*(1-EXP(-up_RadSpec!BD23*s_t_v)))/(s_Y_v*up_RadSpec!BD23))),".")</f>
        <v>9.0143481925428208</v>
      </c>
      <c r="BC23" s="72">
        <f>IFERROR(IF(up_Bv!G23=0,".",((s_Ir*s_F*s_I_f*s_T*(1-EXP(-up_RadSpec!BD23*s_t_v)))/(s_Y_v*up_RadSpec!BD23))),".")</f>
        <v>9.0143481925428208</v>
      </c>
      <c r="BD23" s="72">
        <f>IFERROR(IF(up_Bv!H23=0,".",((s_Ir*s_F*s_I_f*s_T*(1-EXP(-up_RadSpec!BD23*s_t_v)))/(s_Y_v*up_RadSpec!BD23))),".")</f>
        <v>9.0143481925428208</v>
      </c>
      <c r="BE23" s="72">
        <f>IFERROR(IF(up_Bv!I23=0,".",((s_Ir*s_F*s_I_f*s_T*(1-EXP(-up_RadSpec!BD23*s_t_v)))/(s_Y_v*up_RadSpec!BD23))),".")</f>
        <v>9.0143481925428208</v>
      </c>
      <c r="BF23" s="72">
        <f>IFERROR(IF(up_Bv!J23=0,".",((s_Ir*s_F*s_I_f*s_T*(1-EXP(-up_RadSpec!BD23*s_t_v)))/(s_Y_v*up_RadSpec!BD23))),".")</f>
        <v>9.0143481925428208</v>
      </c>
      <c r="BG23" s="72">
        <f>IFERROR(IF(up_Bv!K23=0,".",((s_Ir*s_F*s_I_f*s_T*(1-EXP(-up_RadSpec!BD23*s_t_v)))/(s_Y_v*up_RadSpec!BD23))),".")</f>
        <v>9.0143481925428208</v>
      </c>
      <c r="BH23" s="72">
        <f>IFERROR(IF(up_Bv!L23=0,".",((s_Ir*s_F*s_I_f*s_T*(1-EXP(-up_RadSpec!BD23*s_t_v)))/(s_Y_v*up_RadSpec!BD23))),".")</f>
        <v>9.0143481925428208</v>
      </c>
      <c r="BI23" s="72">
        <f>IFERROR(IF(up_Bv!M23=0,".",((s_Ir*s_F*s_I_f*s_T*(1-EXP(-up_RadSpec!BD23*s_t_v)))/(s_Y_v*up_RadSpec!BD23))),".")</f>
        <v>9.0143481925428208</v>
      </c>
      <c r="BJ23" s="72">
        <f>IFERROR(IF(up_Bv!N23=0,".",((s_Ir*s_F*s_I_f*s_T*(1-EXP(-up_RadSpec!BD23*s_t_v)))/(s_Y_v*up_RadSpec!BD23))),".")</f>
        <v>9.0143481925428208</v>
      </c>
      <c r="BK23" s="72">
        <f>IFERROR(IF(up_Bv!O23=0,".",((s_Ir*s_F*s_I_f*s_T*(1-EXP(-up_RadSpec!BD23*s_t_v)))/(s_Y_v*up_RadSpec!BD23))),".")</f>
        <v>9.0143481925428208</v>
      </c>
      <c r="BL23" s="72">
        <f>IFERROR(IF(up_Bv!P23=0,".",((s_Ir*s_F*s_I_f*s_T*(1-EXP(-up_RadSpec!BD23*s_t_v)))/(s_Y_v*up_RadSpec!BD23))),".")</f>
        <v>9.0143481925428208</v>
      </c>
      <c r="BM23" s="72">
        <f>IFERROR(IF(up_Bv!Q23=0,".",((s_Ir*s_F*s_I_f*s_T*(1-EXP(-up_RadSpec!BD23*s_t_v)))/(s_Y_v*up_RadSpec!BD23))),".")</f>
        <v>9.0143481925428208</v>
      </c>
      <c r="BN23" s="72">
        <f>IFERROR(IF(up_Bv!R23=0,".",((s_Ir*s_F*s_I_f*s_T*(1-EXP(-up_RadSpec!BD23*s_t_v)))/(s_Y_v*up_RadSpec!BD23))),".")</f>
        <v>9.0143481925428208</v>
      </c>
      <c r="BO23" s="72">
        <f>IFERROR(IF(up_Bv!S23=0,".",((s_Ir*s_F*s_I_f*s_T*(1-EXP(-up_RadSpec!BD23*s_t_v)))/(s_Y_v*up_RadSpec!BD23))),".")</f>
        <v>9.0143481925428208</v>
      </c>
      <c r="BP23" s="72">
        <f>IFERROR(IF(up_Bv!T23=0,".",((s_Ir*s_F*s_I_f*s_T*(1-EXP(-up_RadSpec!BD23*s_t_v)))/(s_Y_v*up_RadSpec!BD23))),".")</f>
        <v>9.0143481925428208</v>
      </c>
      <c r="BQ23" s="72">
        <f>IFERROR(IF(up_Bv!U23=0,".",((s_Ir*s_F*s_I_f*s_T*(1-EXP(-up_RadSpec!BD23*s_t_v)))/(s_Y_v*up_RadSpec!BD23))),".")</f>
        <v>9.0143481925428208</v>
      </c>
      <c r="BR23" s="72">
        <f>IFERROR(IF(up_Bv!V23=0,".",((s_Ir*s_F*s_I_f*s_T*(1-EXP(-up_RadSpec!BD23*s_t_v)))/(s_Y_v*up_RadSpec!BD23))),".")</f>
        <v>9.0143481925428208</v>
      </c>
      <c r="BS23" s="72">
        <f>IFERROR(IF(up_Bv!W23=0,".",((s_Ir*s_F*s_I_f*s_T*(1-EXP(-up_RadSpec!BD23*s_t_v)))/(s_Y_v*up_RadSpec!BD23))),".")</f>
        <v>9.0143481925428208</v>
      </c>
      <c r="BT23" s="72">
        <f>IFERROR(IF(up_Bv!X23=0,".",((s_Ir*s_F*s_I_f*s_T*(1-EXP(-up_RadSpec!BD23*s_t_v)))/(s_Y_v*up_RadSpec!BD23))),".")</f>
        <v>9.0143481925428208</v>
      </c>
      <c r="BU23" s="72">
        <f>IFERROR(IF(up_Bv!Y23=0,".",((s_Ir*s_F*s_I_f*s_T*(1-EXP(-up_RadSpec!BD23*s_t_v)))/(s_Y_v*up_RadSpec!BD23))),".")</f>
        <v>9.0143481925428208</v>
      </c>
      <c r="BV23" s="72">
        <f>IFERROR(IF(up_Bv!Z23=0,".",((s_Ir*s_F*s_I_f*s_T*(1-EXP(-up_RadSpec!BD23*s_t_v)))/(s_Y_v*up_RadSpec!BD23))),".")</f>
        <v>9.0143481925428208</v>
      </c>
    </row>
    <row r="24" spans="1:74" x14ac:dyDescent="0.25">
      <c r="A24" s="31" t="s">
        <v>22</v>
      </c>
      <c r="B24" s="3" t="s">
        <v>1059</v>
      </c>
      <c r="C24" s="72">
        <f>IFERROR(IF(up_Bv!C24=0,".",((s_Ir*s_F*up_Bv!C24*(1-EXP(-up_RadSpec!$BC24*s_t_b)))/(s_P*up_RadSpec!$BC24))),".")</f>
        <v>993.50362303732038</v>
      </c>
      <c r="D24" s="72">
        <f>IFERROR(IF(up_Bv!D24=0,".",((s_Ir*s_F*up_Bv!D24*(1-EXP(-up_RadSpec!BC24*s_t_b)))/(s_P*up_RadSpec!BC24))),".")</f>
        <v>993.50362303732038</v>
      </c>
      <c r="E24" s="72">
        <f>IFERROR(IF(up_Bv!E24=0,".",((s_Ir*s_F*up_Bv!E24*(1-EXP(-up_RadSpec!BC24*s_t_b)))/(s_P*up_RadSpec!BC24))),".")</f>
        <v>993.50362303732038</v>
      </c>
      <c r="F24" s="72">
        <f>IFERROR(IF(up_Bv!F24=0,".",((s_Ir*s_F*up_Bv!F24*(1-EXP(-up_RadSpec!BC24*s_t_b)))/(s_P*up_RadSpec!BC24))),".")</f>
        <v>993.50362303732038</v>
      </c>
      <c r="G24" s="72">
        <f>IFERROR(IF(up_Bv!G24=0,".",((s_Ir*s_F*up_Bv!G24*(1-EXP(-up_RadSpec!BC24*s_t_b)))/(s_P*up_RadSpec!BC24))),".")</f>
        <v>993.50362303732038</v>
      </c>
      <c r="H24" s="72">
        <f>IFERROR(IF(up_Bv!H24=0,".",((s_Ir*s_F*up_Bv!H24*(1-EXP(-up_RadSpec!BC24*s_t_b)))/(s_P*up_RadSpec!BC24))),".")</f>
        <v>993.50362303732038</v>
      </c>
      <c r="I24" s="72">
        <f>IFERROR(IF(up_Bv!I24=0,".",((s_Ir*s_F*up_Bv!I24*(1-EXP(-up_RadSpec!BC24*s_t_b)))/(s_P*up_RadSpec!BC24))),".")</f>
        <v>993.50362303732038</v>
      </c>
      <c r="J24" s="72">
        <f>IFERROR(IF(up_Bv!J24=0,".",((s_Ir*s_F*up_Bv!J24*(1-EXP(-up_RadSpec!BC24*s_t_b)))/(s_P*up_RadSpec!BC24))),".")</f>
        <v>993.50362303732038</v>
      </c>
      <c r="K24" s="72">
        <f>IFERROR(IF(up_Bv!K24=0,".",((s_Ir*s_F*up_Bv!K24*(1-EXP(-up_RadSpec!BC24*s_t_b)))/(s_P*up_RadSpec!BC24))),".")</f>
        <v>993.50362303732038</v>
      </c>
      <c r="L24" s="72">
        <f>IFERROR(IF(up_Bv!L24=0,".",((s_Ir*s_F*up_Bv!L24*(1-EXP(-up_RadSpec!BC24*s_t_b)))/(s_P*up_RadSpec!BC24))),".")</f>
        <v>993.50362303732038</v>
      </c>
      <c r="M24" s="72">
        <f>IFERROR(IF(up_Bv!M24=0,".",((s_Ir*s_F*up_Bv!M24*(1-EXP(-up_RadSpec!BC24*s_t_b)))/(s_P*up_RadSpec!BC24))),".")</f>
        <v>993.50362303732038</v>
      </c>
      <c r="N24" s="72">
        <f>IFERROR(IF(up_Bv!N24=0,".",((s_Ir*s_F*up_Bv!N24*(1-EXP(-up_RadSpec!BC24*s_t_b)))/(s_P*up_RadSpec!BC24))),".")</f>
        <v>993.50362303732038</v>
      </c>
      <c r="O24" s="72">
        <f>IFERROR(IF(up_Bv!O24=0,".",((s_Ir*s_F*up_Bv!O24*(1-EXP(-up_RadSpec!BC24*s_t_b)))/(s_P*up_RadSpec!BC24))),".")</f>
        <v>993.50362303732038</v>
      </c>
      <c r="P24" s="72">
        <f>IFERROR(IF(up_Bv!P24=0,".",((s_Ir*s_F*up_Bv!P24*(1-EXP(-up_RadSpec!BC24*s_t_b)))/(s_P*up_RadSpec!BC24))),".")</f>
        <v>993.50362303732038</v>
      </c>
      <c r="Q24" s="72">
        <f>IFERROR(IF(up_Bv!Q24=0,".",((s_Ir*s_F*up_Bv!Q24*(1-EXP(-up_RadSpec!BC24*s_t_b)))/(s_P*up_RadSpec!BC24))),".")</f>
        <v>993.50362303732038</v>
      </c>
      <c r="R24" s="72">
        <f>IFERROR(IF(up_Bv!R24=0,".",((s_Ir*s_F*up_Bv!R24*(1-EXP(-up_RadSpec!BC24*s_t_b)))/(s_P*up_RadSpec!BC24))),".")</f>
        <v>993.50362303732038</v>
      </c>
      <c r="S24" s="72">
        <f>IFERROR(IF(up_Bv!S24=0,".",((s_Ir*s_F*up_Bv!S24*(1-EXP(-up_RadSpec!BC24*s_t_b)))/(s_P*up_RadSpec!BC24))),".")</f>
        <v>993.50362303732038</v>
      </c>
      <c r="T24" s="72">
        <f>IFERROR(IF(up_Bv!T24=0,".",((s_Ir*s_F*up_Bv!T24*(1-EXP(-up_RadSpec!BC24*s_t_b)))/(s_P*up_RadSpec!BC24))),".")</f>
        <v>993.50362303732038</v>
      </c>
      <c r="U24" s="72">
        <f>IFERROR(IF(up_Bv!U24=0,".",((s_Ir*s_F*up_Bv!U24*(1-EXP(-up_RadSpec!BC24*s_t_b)))/(s_P*up_RadSpec!BC24))),".")</f>
        <v>993.50362303732038</v>
      </c>
      <c r="V24" s="72">
        <f>IFERROR(IF(up_Bv!V24=0,".",((s_Ir*s_F*up_Bv!V24*(1-EXP(-up_RadSpec!BC24*s_t_b)))/(s_P*up_RadSpec!BC24))),".")</f>
        <v>993.50362303732038</v>
      </c>
      <c r="W24" s="72">
        <f>IFERROR(IF(up_Bv!W24=0,".",((s_Ir*s_F*up_Bv!W24*(1-EXP(-up_RadSpec!BC24*s_t_b)))/(s_P*up_RadSpec!BC24))),".")</f>
        <v>993.50362303732038</v>
      </c>
      <c r="X24" s="72">
        <f>IFERROR(IF(up_Bv!X24=0,".",((s_Ir*s_F*up_Bv!X24*(1-EXP(-up_RadSpec!BC24*s_t_b)))/(s_P*up_RadSpec!BC24))),".")</f>
        <v>993.50362303732038</v>
      </c>
      <c r="Y24" s="72">
        <f>IFERROR(IF(up_Bv!Y24=0,".",((s_Ir*s_F*up_Bv!Y24*(1-EXP(-up_RadSpec!BC24*s_t_b)))/(s_P*up_RadSpec!BC24))),".")</f>
        <v>993.50362303732038</v>
      </c>
      <c r="Z24" s="72">
        <f>IFERROR(IF(up_Bv!Z24=0,".",((s_Ir*s_F*up_Bv!Z24*(1-EXP(-up_RadSpec!BC24*s_t_b)))/(s_P*up_RadSpec!BC24))),".")</f>
        <v>993.50362303732038</v>
      </c>
      <c r="AA24" s="72">
        <f>IFERROR(IF(up_Bv!C24=0,".",((s_Ir*s_F*s_MLF_apple*(1-EXP(-up_RadSpec!BC24*s_t_b)))/(s_P*up_RadSpec!BC24))),".")</f>
        <v>2.6824597822007652</v>
      </c>
      <c r="AB24" s="72">
        <f>IFERROR(IF(up_Bv!D24=0,".",((s_Ir*s_F*s_MLF_asparagus*(1-EXP(-up_RadSpec!BC24*s_t_b)))/(s_P*up_RadSpec!BC24))),".")</f>
        <v>2.6824597822007652</v>
      </c>
      <c r="AC24" s="72">
        <f>IFERROR(IF(up_Bv!E24=0,".",((s_Ir*s_F*s_MLF_beet*(1-EXP(-up_RadSpec!BC24*s_t_b)))/(s_P*up_RadSpec!BC24))),".")</f>
        <v>2.6824597822007652</v>
      </c>
      <c r="AD24" s="72">
        <f>IFERROR(IF(up_Bv!F24=0,".",((s_Ir*s_F*s_MLF_berries*(1-EXP(-up_RadSpec!BC24*s_t_b)))/(s_P*up_RadSpec!BC24))),".")</f>
        <v>2.6824597822007652</v>
      </c>
      <c r="AE24" s="72">
        <f>IFERROR(IF(up_Bv!G24=0,".",((s_Ir*s_F*s_MLF_broccoli*(1-EXP(-up_RadSpec!BC24*s_t_b)))/(s_P*up_RadSpec!BC24))),".")</f>
        <v>2.6824597822007652</v>
      </c>
      <c r="AF24" s="72">
        <f>IFERROR(IF(up_Bv!H24=0,".",((s_Ir*s_F*s_MLF_cabbage*(1-EXP(-up_RadSpec!BC24*s_t_b)))/(s_P*up_RadSpec!BC24))),".")</f>
        <v>2.6824597822007652</v>
      </c>
      <c r="AG24" s="72">
        <f>IFERROR(IF(up_Bv!I24=0,".",((s_Ir*s_F*s_MLF_carrot*(1-EXP(-up_RadSpec!BC24*s_t_b)))/(s_P*up_RadSpec!BC24))),".")</f>
        <v>2.6824597822007652</v>
      </c>
      <c r="AH24" s="72">
        <f>IFERROR(IF(up_Bv!J24=0,".",((s_Ir*s_F*s_MLF_citrus*(1-EXP(-up_RadSpec!BC24*s_t_b)))/(s_P*up_RadSpec!BC24))),".")</f>
        <v>2.6824597822007652</v>
      </c>
      <c r="AI24" s="72">
        <f>IFERROR(IF(up_Bv!K24=0,".",((s_Ir*s_F*s_MLF_corn*(1-EXP(-up_RadSpec!BC24*s_t_b)))/(s_P*up_RadSpec!BC24))),".")</f>
        <v>2.6824597822007652</v>
      </c>
      <c r="AJ24" s="72">
        <f>IFERROR(IF(up_Bv!L24=0,".",((s_Ir*s_F*s_MLF_cucumber*(1-EXP(-up_RadSpec!BC24*s_t_b)))/(s_P*up_RadSpec!BC24))),".")</f>
        <v>2.6824597822007652</v>
      </c>
      <c r="AK24" s="72">
        <f>IFERROR(IF(up_Bv!M24=0,".",((s_Ir*s_F*s_MLF_lettuce*(1-EXP(-up_RadSpec!BC24*s_t_b)))/(s_P*up_RadSpec!BC24))),".")</f>
        <v>2.6824597822007652</v>
      </c>
      <c r="AL24" s="72">
        <f>IFERROR(IF(up_Bv!N24=0,".",((s_Ir*s_F*s_MLF_lima_bean*(1-EXP(-up_RadSpec!BC24*s_t_b)))/(s_P*up_RadSpec!BC24))),".")</f>
        <v>2.6824597822007652</v>
      </c>
      <c r="AM24" s="72">
        <f>IFERROR(IF(up_Bv!O24=0,".",((s_Ir*s_F*s_MLF_okra*(1-EXP(-up_RadSpec!BC24*s_t_b)))/(s_P*up_RadSpec!BC24))),".")</f>
        <v>2.6824597822007652</v>
      </c>
      <c r="AN24" s="72">
        <f>IFERROR(IF(up_Bv!P24=0,".",((s_Ir*s_F*s_MLF_onion*(1-EXP(-up_RadSpec!BC24*s_t_b)))/(s_P*up_RadSpec!BC24))),".")</f>
        <v>2.6824597822007652</v>
      </c>
      <c r="AO24" s="72">
        <f>IFERROR(IF(up_Bv!Q24=0,".",((s_Ir*s_F*s_MLF_peach*(1-EXP(-up_RadSpec!BC24*s_t_b)))/(s_P*up_RadSpec!BC24))),".")</f>
        <v>2.6824597822007652</v>
      </c>
      <c r="AP24" s="72">
        <f>IFERROR(IF(up_Bv!R24=0,".",((s_Ir*s_F*s_MLF_pear*(1-EXP(-up_RadSpec!BC24*s_t_b)))/(s_P*up_RadSpec!BC24))),".")</f>
        <v>2.6824597822007652</v>
      </c>
      <c r="AQ24" s="72">
        <f>IFERROR(IF(up_Bv!S24=0,".",((s_Ir*s_F*s_MLF_peas*(1-EXP(-up_RadSpec!BC24*s_t_b)))/(s_P*up_RadSpec!BC24))),".")</f>
        <v>2.6824597822007652</v>
      </c>
      <c r="AR24" s="72">
        <f>IFERROR(IF(up_Bv!T24=0,".",((s_Ir*s_F*s_MLF_potato*(1-EXP(-up_RadSpec!BC24*s_t_b)))/(s_P*up_RadSpec!BC24))),".")</f>
        <v>2.6824597822007652</v>
      </c>
      <c r="AS24" s="72">
        <f>IFERROR(IF(up_Bv!U24=0,".",((s_Ir*s_F*s_MLF_pumpkin*(1-EXP(-up_RadSpec!BC24*s_t_b)))/(s_P*up_RadSpec!BC24))),".")</f>
        <v>2.6824597822007652</v>
      </c>
      <c r="AT24" s="72">
        <f>IFERROR(IF(up_Bv!V24=0,".",((s_Ir*s_F*s_MLF_snap_bean*(1-EXP(-up_RadSpec!BC24*s_t_b)))/(s_P*up_RadSpec!BC24))),".")</f>
        <v>2.6824597822007652</v>
      </c>
      <c r="AU24" s="72">
        <f>IFERROR(IF(up_Bv!W24=0,".",((s_Ir*s_F*s_MLF_strawberry*(1-EXP(-up_RadSpec!BC24*s_t_b)))/(s_P*up_RadSpec!BC24))),".")</f>
        <v>2.6824597822007652</v>
      </c>
      <c r="AV24" s="72">
        <f>IFERROR(IF(up_Bv!X24=0,".",((s_Ir*s_F*s_MLF_tomato*(1-EXP(-up_RadSpec!BC24*s_t_b)))/(s_P*up_RadSpec!BC24))),".")</f>
        <v>2.6824597822007652</v>
      </c>
      <c r="AW24" s="72">
        <f>IFERROR(IF(up_Bv!Y24=0,".",((s_Ir*s_F*s_MLF_rice*(1-EXP(-up_RadSpec!BC24*s_t_b)))/(s_P*up_RadSpec!BC24))),".")</f>
        <v>2.6824597822007652</v>
      </c>
      <c r="AX24" s="72">
        <f>IFERROR(IF(up_Bv!Z24=0,".",((s_Ir*s_F*s_MLF_cereal*(1-EXP(-up_RadSpec!BC24*s_t_b)))/(s_P*up_RadSpec!BC24))),".")</f>
        <v>2.6824597822007652</v>
      </c>
      <c r="AY24" s="72">
        <f>IFERROR(IF(up_Bv!C24=0,".",((s_Ir*s_F*s_I_f*s_T*(1-EXP(-up_RadSpec!BD24*s_t_v)))/(s_Y_v*up_RadSpec!BD24))),".")</f>
        <v>9.0143481925428208</v>
      </c>
      <c r="AZ24" s="72">
        <f>IFERROR(IF(up_Bv!D24=0,".",((s_Ir*s_F*s_I_f*s_T*(1-EXP(-up_RadSpec!BD24*s_t_v)))/(s_Y_v*up_RadSpec!BD24))),".")</f>
        <v>9.0143481925428208</v>
      </c>
      <c r="BA24" s="72">
        <f>IFERROR(IF(up_Bv!E24=0,".",((s_Ir*s_F*s_I_f*s_T*(1-EXP(-up_RadSpec!BD24*s_t_v)))/(s_Y_v*up_RadSpec!BD24))),".")</f>
        <v>9.0143481925428208</v>
      </c>
      <c r="BB24" s="72">
        <f>IFERROR(IF(up_Bv!F24=0,".",((s_Ir*s_F*s_I_f*s_T*(1-EXP(-up_RadSpec!BD24*s_t_v)))/(s_Y_v*up_RadSpec!BD24))),".")</f>
        <v>9.0143481925428208</v>
      </c>
      <c r="BC24" s="72">
        <f>IFERROR(IF(up_Bv!G24=0,".",((s_Ir*s_F*s_I_f*s_T*(1-EXP(-up_RadSpec!BD24*s_t_v)))/(s_Y_v*up_RadSpec!BD24))),".")</f>
        <v>9.0143481925428208</v>
      </c>
      <c r="BD24" s="72">
        <f>IFERROR(IF(up_Bv!H24=0,".",((s_Ir*s_F*s_I_f*s_T*(1-EXP(-up_RadSpec!BD24*s_t_v)))/(s_Y_v*up_RadSpec!BD24))),".")</f>
        <v>9.0143481925428208</v>
      </c>
      <c r="BE24" s="72">
        <f>IFERROR(IF(up_Bv!I24=0,".",((s_Ir*s_F*s_I_f*s_T*(1-EXP(-up_RadSpec!BD24*s_t_v)))/(s_Y_v*up_RadSpec!BD24))),".")</f>
        <v>9.0143481925428208</v>
      </c>
      <c r="BF24" s="72">
        <f>IFERROR(IF(up_Bv!J24=0,".",((s_Ir*s_F*s_I_f*s_T*(1-EXP(-up_RadSpec!BD24*s_t_v)))/(s_Y_v*up_RadSpec!BD24))),".")</f>
        <v>9.0143481925428208</v>
      </c>
      <c r="BG24" s="72">
        <f>IFERROR(IF(up_Bv!K24=0,".",((s_Ir*s_F*s_I_f*s_T*(1-EXP(-up_RadSpec!BD24*s_t_v)))/(s_Y_v*up_RadSpec!BD24))),".")</f>
        <v>9.0143481925428208</v>
      </c>
      <c r="BH24" s="72">
        <f>IFERROR(IF(up_Bv!L24=0,".",((s_Ir*s_F*s_I_f*s_T*(1-EXP(-up_RadSpec!BD24*s_t_v)))/(s_Y_v*up_RadSpec!BD24))),".")</f>
        <v>9.0143481925428208</v>
      </c>
      <c r="BI24" s="72">
        <f>IFERROR(IF(up_Bv!M24=0,".",((s_Ir*s_F*s_I_f*s_T*(1-EXP(-up_RadSpec!BD24*s_t_v)))/(s_Y_v*up_RadSpec!BD24))),".")</f>
        <v>9.0143481925428208</v>
      </c>
      <c r="BJ24" s="72">
        <f>IFERROR(IF(up_Bv!N24=0,".",((s_Ir*s_F*s_I_f*s_T*(1-EXP(-up_RadSpec!BD24*s_t_v)))/(s_Y_v*up_RadSpec!BD24))),".")</f>
        <v>9.0143481925428208</v>
      </c>
      <c r="BK24" s="72">
        <f>IFERROR(IF(up_Bv!O24=0,".",((s_Ir*s_F*s_I_f*s_T*(1-EXP(-up_RadSpec!BD24*s_t_v)))/(s_Y_v*up_RadSpec!BD24))),".")</f>
        <v>9.0143481925428208</v>
      </c>
      <c r="BL24" s="72">
        <f>IFERROR(IF(up_Bv!P24=0,".",((s_Ir*s_F*s_I_f*s_T*(1-EXP(-up_RadSpec!BD24*s_t_v)))/(s_Y_v*up_RadSpec!BD24))),".")</f>
        <v>9.0143481925428208</v>
      </c>
      <c r="BM24" s="72">
        <f>IFERROR(IF(up_Bv!Q24=0,".",((s_Ir*s_F*s_I_f*s_T*(1-EXP(-up_RadSpec!BD24*s_t_v)))/(s_Y_v*up_RadSpec!BD24))),".")</f>
        <v>9.0143481925428208</v>
      </c>
      <c r="BN24" s="72">
        <f>IFERROR(IF(up_Bv!R24=0,".",((s_Ir*s_F*s_I_f*s_T*(1-EXP(-up_RadSpec!BD24*s_t_v)))/(s_Y_v*up_RadSpec!BD24))),".")</f>
        <v>9.0143481925428208</v>
      </c>
      <c r="BO24" s="72">
        <f>IFERROR(IF(up_Bv!S24=0,".",((s_Ir*s_F*s_I_f*s_T*(1-EXP(-up_RadSpec!BD24*s_t_v)))/(s_Y_v*up_RadSpec!BD24))),".")</f>
        <v>9.0143481925428208</v>
      </c>
      <c r="BP24" s="72">
        <f>IFERROR(IF(up_Bv!T24=0,".",((s_Ir*s_F*s_I_f*s_T*(1-EXP(-up_RadSpec!BD24*s_t_v)))/(s_Y_v*up_RadSpec!BD24))),".")</f>
        <v>9.0143481925428208</v>
      </c>
      <c r="BQ24" s="72">
        <f>IFERROR(IF(up_Bv!U24=0,".",((s_Ir*s_F*s_I_f*s_T*(1-EXP(-up_RadSpec!BD24*s_t_v)))/(s_Y_v*up_RadSpec!BD24))),".")</f>
        <v>9.0143481925428208</v>
      </c>
      <c r="BR24" s="72">
        <f>IFERROR(IF(up_Bv!V24=0,".",((s_Ir*s_F*s_I_f*s_T*(1-EXP(-up_RadSpec!BD24*s_t_v)))/(s_Y_v*up_RadSpec!BD24))),".")</f>
        <v>9.0143481925428208</v>
      </c>
      <c r="BS24" s="72">
        <f>IFERROR(IF(up_Bv!W24=0,".",((s_Ir*s_F*s_I_f*s_T*(1-EXP(-up_RadSpec!BD24*s_t_v)))/(s_Y_v*up_RadSpec!BD24))),".")</f>
        <v>9.0143481925428208</v>
      </c>
      <c r="BT24" s="72">
        <f>IFERROR(IF(up_Bv!X24=0,".",((s_Ir*s_F*s_I_f*s_T*(1-EXP(-up_RadSpec!BD24*s_t_v)))/(s_Y_v*up_RadSpec!BD24))),".")</f>
        <v>9.0143481925428208</v>
      </c>
      <c r="BU24" s="72">
        <f>IFERROR(IF(up_Bv!Y24=0,".",((s_Ir*s_F*s_I_f*s_T*(1-EXP(-up_RadSpec!BD24*s_t_v)))/(s_Y_v*up_RadSpec!BD24))),".")</f>
        <v>9.0143481925428208</v>
      </c>
      <c r="BV24" s="72">
        <f>IFERROR(IF(up_Bv!Z24=0,".",((s_Ir*s_F*s_I_f*s_T*(1-EXP(-up_RadSpec!BD24*s_t_v)))/(s_Y_v*up_RadSpec!BD24))),".")</f>
        <v>9.0143481925428208</v>
      </c>
    </row>
    <row r="25" spans="1:74" x14ac:dyDescent="0.25">
      <c r="A25" s="32" t="s">
        <v>23</v>
      </c>
      <c r="B25" s="3" t="s">
        <v>336</v>
      </c>
      <c r="C25" s="72">
        <f>IFERROR(IF(up_Bv!C25=0,".",((s_Ir*s_F*up_Bv!C25*(1-EXP(-up_RadSpec!$BC25*s_t_b)))/(s_P*up_RadSpec!$BC25))),".")</f>
        <v>993.50362303732038</v>
      </c>
      <c r="D25" s="72">
        <f>IFERROR(IF(up_Bv!D25=0,".",((s_Ir*s_F*up_Bv!D25*(1-EXP(-up_RadSpec!BC25*s_t_b)))/(s_P*up_RadSpec!BC25))),".")</f>
        <v>993.50362303732038</v>
      </c>
      <c r="E25" s="72">
        <f>IFERROR(IF(up_Bv!E25=0,".",((s_Ir*s_F*up_Bv!E25*(1-EXP(-up_RadSpec!BC25*s_t_b)))/(s_P*up_RadSpec!BC25))),".")</f>
        <v>993.50362303732038</v>
      </c>
      <c r="F25" s="72">
        <f>IFERROR(IF(up_Bv!F25=0,".",((s_Ir*s_F*up_Bv!F25*(1-EXP(-up_RadSpec!BC25*s_t_b)))/(s_P*up_RadSpec!BC25))),".")</f>
        <v>993.50362303732038</v>
      </c>
      <c r="G25" s="72">
        <f>IFERROR(IF(up_Bv!G25=0,".",((s_Ir*s_F*up_Bv!G25*(1-EXP(-up_RadSpec!BC25*s_t_b)))/(s_P*up_RadSpec!BC25))),".")</f>
        <v>993.50362303732038</v>
      </c>
      <c r="H25" s="72">
        <f>IFERROR(IF(up_Bv!H25=0,".",((s_Ir*s_F*up_Bv!H25*(1-EXP(-up_RadSpec!BC25*s_t_b)))/(s_P*up_RadSpec!BC25))),".")</f>
        <v>993.50362303732038</v>
      </c>
      <c r="I25" s="72">
        <f>IFERROR(IF(up_Bv!I25=0,".",((s_Ir*s_F*up_Bv!I25*(1-EXP(-up_RadSpec!BC25*s_t_b)))/(s_P*up_RadSpec!BC25))),".")</f>
        <v>993.50362303732038</v>
      </c>
      <c r="J25" s="72">
        <f>IFERROR(IF(up_Bv!J25=0,".",((s_Ir*s_F*up_Bv!J25*(1-EXP(-up_RadSpec!BC25*s_t_b)))/(s_P*up_RadSpec!BC25))),".")</f>
        <v>993.50362303732038</v>
      </c>
      <c r="K25" s="72">
        <f>IFERROR(IF(up_Bv!K25=0,".",((s_Ir*s_F*up_Bv!K25*(1-EXP(-up_RadSpec!BC25*s_t_b)))/(s_P*up_RadSpec!BC25))),".")</f>
        <v>993.50362303732038</v>
      </c>
      <c r="L25" s="72">
        <f>IFERROR(IF(up_Bv!L25=0,".",((s_Ir*s_F*up_Bv!L25*(1-EXP(-up_RadSpec!BC25*s_t_b)))/(s_P*up_RadSpec!BC25))),".")</f>
        <v>993.50362303732038</v>
      </c>
      <c r="M25" s="72">
        <f>IFERROR(IF(up_Bv!M25=0,".",((s_Ir*s_F*up_Bv!M25*(1-EXP(-up_RadSpec!BC25*s_t_b)))/(s_P*up_RadSpec!BC25))),".")</f>
        <v>993.50362303732038</v>
      </c>
      <c r="N25" s="72">
        <f>IFERROR(IF(up_Bv!N25=0,".",((s_Ir*s_F*up_Bv!N25*(1-EXP(-up_RadSpec!BC25*s_t_b)))/(s_P*up_RadSpec!BC25))),".")</f>
        <v>993.50362303732038</v>
      </c>
      <c r="O25" s="72">
        <f>IFERROR(IF(up_Bv!O25=0,".",((s_Ir*s_F*up_Bv!O25*(1-EXP(-up_RadSpec!BC25*s_t_b)))/(s_P*up_RadSpec!BC25))),".")</f>
        <v>993.50362303732038</v>
      </c>
      <c r="P25" s="72">
        <f>IFERROR(IF(up_Bv!P25=0,".",((s_Ir*s_F*up_Bv!P25*(1-EXP(-up_RadSpec!BC25*s_t_b)))/(s_P*up_RadSpec!BC25))),".")</f>
        <v>993.50362303732038</v>
      </c>
      <c r="Q25" s="72">
        <f>IFERROR(IF(up_Bv!Q25=0,".",((s_Ir*s_F*up_Bv!Q25*(1-EXP(-up_RadSpec!BC25*s_t_b)))/(s_P*up_RadSpec!BC25))),".")</f>
        <v>993.50362303732038</v>
      </c>
      <c r="R25" s="72">
        <f>IFERROR(IF(up_Bv!R25=0,".",((s_Ir*s_F*up_Bv!R25*(1-EXP(-up_RadSpec!BC25*s_t_b)))/(s_P*up_RadSpec!BC25))),".")</f>
        <v>993.50362303732038</v>
      </c>
      <c r="S25" s="72">
        <f>IFERROR(IF(up_Bv!S25=0,".",((s_Ir*s_F*up_Bv!S25*(1-EXP(-up_RadSpec!BC25*s_t_b)))/(s_P*up_RadSpec!BC25))),".")</f>
        <v>993.50362303732038</v>
      </c>
      <c r="T25" s="72">
        <f>IFERROR(IF(up_Bv!T25=0,".",((s_Ir*s_F*up_Bv!T25*(1-EXP(-up_RadSpec!BC25*s_t_b)))/(s_P*up_RadSpec!BC25))),".")</f>
        <v>993.50362303732038</v>
      </c>
      <c r="U25" s="72">
        <f>IFERROR(IF(up_Bv!U25=0,".",((s_Ir*s_F*up_Bv!U25*(1-EXP(-up_RadSpec!BC25*s_t_b)))/(s_P*up_RadSpec!BC25))),".")</f>
        <v>993.50362303732038</v>
      </c>
      <c r="V25" s="72">
        <f>IFERROR(IF(up_Bv!V25=0,".",((s_Ir*s_F*up_Bv!V25*(1-EXP(-up_RadSpec!BC25*s_t_b)))/(s_P*up_RadSpec!BC25))),".")</f>
        <v>993.50362303732038</v>
      </c>
      <c r="W25" s="72">
        <f>IFERROR(IF(up_Bv!W25=0,".",((s_Ir*s_F*up_Bv!W25*(1-EXP(-up_RadSpec!BC25*s_t_b)))/(s_P*up_RadSpec!BC25))),".")</f>
        <v>993.50362303732038</v>
      </c>
      <c r="X25" s="72">
        <f>IFERROR(IF(up_Bv!X25=0,".",((s_Ir*s_F*up_Bv!X25*(1-EXP(-up_RadSpec!BC25*s_t_b)))/(s_P*up_RadSpec!BC25))),".")</f>
        <v>993.50362303732038</v>
      </c>
      <c r="Y25" s="72">
        <f>IFERROR(IF(up_Bv!Y25=0,".",((s_Ir*s_F*up_Bv!Y25*(1-EXP(-up_RadSpec!BC25*s_t_b)))/(s_P*up_RadSpec!BC25))),".")</f>
        <v>993.50362303732038</v>
      </c>
      <c r="Z25" s="72">
        <f>IFERROR(IF(up_Bv!Z25=0,".",((s_Ir*s_F*up_Bv!Z25*(1-EXP(-up_RadSpec!BC25*s_t_b)))/(s_P*up_RadSpec!BC25))),".")</f>
        <v>993.50362303732038</v>
      </c>
      <c r="AA25" s="72">
        <f>IFERROR(IF(up_Bv!C25=0,".",((s_Ir*s_F*s_MLF_apple*(1-EXP(-up_RadSpec!BC25*s_t_b)))/(s_P*up_RadSpec!BC25))),".")</f>
        <v>2.6824597822007652</v>
      </c>
      <c r="AB25" s="72">
        <f>IFERROR(IF(up_Bv!D25=0,".",((s_Ir*s_F*s_MLF_asparagus*(1-EXP(-up_RadSpec!BC25*s_t_b)))/(s_P*up_RadSpec!BC25))),".")</f>
        <v>2.6824597822007652</v>
      </c>
      <c r="AC25" s="72">
        <f>IFERROR(IF(up_Bv!E25=0,".",((s_Ir*s_F*s_MLF_beet*(1-EXP(-up_RadSpec!BC25*s_t_b)))/(s_P*up_RadSpec!BC25))),".")</f>
        <v>2.6824597822007652</v>
      </c>
      <c r="AD25" s="72">
        <f>IFERROR(IF(up_Bv!F25=0,".",((s_Ir*s_F*s_MLF_berries*(1-EXP(-up_RadSpec!BC25*s_t_b)))/(s_P*up_RadSpec!BC25))),".")</f>
        <v>2.6824597822007652</v>
      </c>
      <c r="AE25" s="72">
        <f>IFERROR(IF(up_Bv!G25=0,".",((s_Ir*s_F*s_MLF_broccoli*(1-EXP(-up_RadSpec!BC25*s_t_b)))/(s_P*up_RadSpec!BC25))),".")</f>
        <v>2.6824597822007652</v>
      </c>
      <c r="AF25" s="72">
        <f>IFERROR(IF(up_Bv!H25=0,".",((s_Ir*s_F*s_MLF_cabbage*(1-EXP(-up_RadSpec!BC25*s_t_b)))/(s_P*up_RadSpec!BC25))),".")</f>
        <v>2.6824597822007652</v>
      </c>
      <c r="AG25" s="72">
        <f>IFERROR(IF(up_Bv!I25=0,".",((s_Ir*s_F*s_MLF_carrot*(1-EXP(-up_RadSpec!BC25*s_t_b)))/(s_P*up_RadSpec!BC25))),".")</f>
        <v>2.6824597822007652</v>
      </c>
      <c r="AH25" s="72">
        <f>IFERROR(IF(up_Bv!J25=0,".",((s_Ir*s_F*s_MLF_citrus*(1-EXP(-up_RadSpec!BC25*s_t_b)))/(s_P*up_RadSpec!BC25))),".")</f>
        <v>2.6824597822007652</v>
      </c>
      <c r="AI25" s="72">
        <f>IFERROR(IF(up_Bv!K25=0,".",((s_Ir*s_F*s_MLF_corn*(1-EXP(-up_RadSpec!BC25*s_t_b)))/(s_P*up_RadSpec!BC25))),".")</f>
        <v>2.6824597822007652</v>
      </c>
      <c r="AJ25" s="72">
        <f>IFERROR(IF(up_Bv!L25=0,".",((s_Ir*s_F*s_MLF_cucumber*(1-EXP(-up_RadSpec!BC25*s_t_b)))/(s_P*up_RadSpec!BC25))),".")</f>
        <v>2.6824597822007652</v>
      </c>
      <c r="AK25" s="72">
        <f>IFERROR(IF(up_Bv!M25=0,".",((s_Ir*s_F*s_MLF_lettuce*(1-EXP(-up_RadSpec!BC25*s_t_b)))/(s_P*up_RadSpec!BC25))),".")</f>
        <v>2.6824597822007652</v>
      </c>
      <c r="AL25" s="72">
        <f>IFERROR(IF(up_Bv!N25=0,".",((s_Ir*s_F*s_MLF_lima_bean*(1-EXP(-up_RadSpec!BC25*s_t_b)))/(s_P*up_RadSpec!BC25))),".")</f>
        <v>2.6824597822007652</v>
      </c>
      <c r="AM25" s="72">
        <f>IFERROR(IF(up_Bv!O25=0,".",((s_Ir*s_F*s_MLF_okra*(1-EXP(-up_RadSpec!BC25*s_t_b)))/(s_P*up_RadSpec!BC25))),".")</f>
        <v>2.6824597822007652</v>
      </c>
      <c r="AN25" s="72">
        <f>IFERROR(IF(up_Bv!P25=0,".",((s_Ir*s_F*s_MLF_onion*(1-EXP(-up_RadSpec!BC25*s_t_b)))/(s_P*up_RadSpec!BC25))),".")</f>
        <v>2.6824597822007652</v>
      </c>
      <c r="AO25" s="72">
        <f>IFERROR(IF(up_Bv!Q25=0,".",((s_Ir*s_F*s_MLF_peach*(1-EXP(-up_RadSpec!BC25*s_t_b)))/(s_P*up_RadSpec!BC25))),".")</f>
        <v>2.6824597822007652</v>
      </c>
      <c r="AP25" s="72">
        <f>IFERROR(IF(up_Bv!R25=0,".",((s_Ir*s_F*s_MLF_pear*(1-EXP(-up_RadSpec!BC25*s_t_b)))/(s_P*up_RadSpec!BC25))),".")</f>
        <v>2.6824597822007652</v>
      </c>
      <c r="AQ25" s="72">
        <f>IFERROR(IF(up_Bv!S25=0,".",((s_Ir*s_F*s_MLF_peas*(1-EXP(-up_RadSpec!BC25*s_t_b)))/(s_P*up_RadSpec!BC25))),".")</f>
        <v>2.6824597822007652</v>
      </c>
      <c r="AR25" s="72">
        <f>IFERROR(IF(up_Bv!T25=0,".",((s_Ir*s_F*s_MLF_potato*(1-EXP(-up_RadSpec!BC25*s_t_b)))/(s_P*up_RadSpec!BC25))),".")</f>
        <v>2.6824597822007652</v>
      </c>
      <c r="AS25" s="72">
        <f>IFERROR(IF(up_Bv!U25=0,".",((s_Ir*s_F*s_MLF_pumpkin*(1-EXP(-up_RadSpec!BC25*s_t_b)))/(s_P*up_RadSpec!BC25))),".")</f>
        <v>2.6824597822007652</v>
      </c>
      <c r="AT25" s="72">
        <f>IFERROR(IF(up_Bv!V25=0,".",((s_Ir*s_F*s_MLF_snap_bean*(1-EXP(-up_RadSpec!BC25*s_t_b)))/(s_P*up_RadSpec!BC25))),".")</f>
        <v>2.6824597822007652</v>
      </c>
      <c r="AU25" s="72">
        <f>IFERROR(IF(up_Bv!W25=0,".",((s_Ir*s_F*s_MLF_strawberry*(1-EXP(-up_RadSpec!BC25*s_t_b)))/(s_P*up_RadSpec!BC25))),".")</f>
        <v>2.6824597822007652</v>
      </c>
      <c r="AV25" s="72">
        <f>IFERROR(IF(up_Bv!X25=0,".",((s_Ir*s_F*s_MLF_tomato*(1-EXP(-up_RadSpec!BC25*s_t_b)))/(s_P*up_RadSpec!BC25))),".")</f>
        <v>2.6824597822007652</v>
      </c>
      <c r="AW25" s="72">
        <f>IFERROR(IF(up_Bv!Y25=0,".",((s_Ir*s_F*s_MLF_rice*(1-EXP(-up_RadSpec!BC25*s_t_b)))/(s_P*up_RadSpec!BC25))),".")</f>
        <v>2.6824597822007652</v>
      </c>
      <c r="AX25" s="72">
        <f>IFERROR(IF(up_Bv!Z25=0,".",((s_Ir*s_F*s_MLF_cereal*(1-EXP(-up_RadSpec!BC25*s_t_b)))/(s_P*up_RadSpec!BC25))),".")</f>
        <v>2.6824597822007652</v>
      </c>
      <c r="AY25" s="72">
        <f>IFERROR(IF(up_Bv!C25=0,".",((s_Ir*s_F*s_I_f*s_T*(1-EXP(-up_RadSpec!BD25*s_t_v)))/(s_Y_v*up_RadSpec!BD25))),".")</f>
        <v>9.0143481925428208</v>
      </c>
      <c r="AZ25" s="72">
        <f>IFERROR(IF(up_Bv!D25=0,".",((s_Ir*s_F*s_I_f*s_T*(1-EXP(-up_RadSpec!BD25*s_t_v)))/(s_Y_v*up_RadSpec!BD25))),".")</f>
        <v>9.0143481925428208</v>
      </c>
      <c r="BA25" s="72">
        <f>IFERROR(IF(up_Bv!E25=0,".",((s_Ir*s_F*s_I_f*s_T*(1-EXP(-up_RadSpec!BD25*s_t_v)))/(s_Y_v*up_RadSpec!BD25))),".")</f>
        <v>9.0143481925428208</v>
      </c>
      <c r="BB25" s="72">
        <f>IFERROR(IF(up_Bv!F25=0,".",((s_Ir*s_F*s_I_f*s_T*(1-EXP(-up_RadSpec!BD25*s_t_v)))/(s_Y_v*up_RadSpec!BD25))),".")</f>
        <v>9.0143481925428208</v>
      </c>
      <c r="BC25" s="72">
        <f>IFERROR(IF(up_Bv!G25=0,".",((s_Ir*s_F*s_I_f*s_T*(1-EXP(-up_RadSpec!BD25*s_t_v)))/(s_Y_v*up_RadSpec!BD25))),".")</f>
        <v>9.0143481925428208</v>
      </c>
      <c r="BD25" s="72">
        <f>IFERROR(IF(up_Bv!H25=0,".",((s_Ir*s_F*s_I_f*s_T*(1-EXP(-up_RadSpec!BD25*s_t_v)))/(s_Y_v*up_RadSpec!BD25))),".")</f>
        <v>9.0143481925428208</v>
      </c>
      <c r="BE25" s="72">
        <f>IFERROR(IF(up_Bv!I25=0,".",((s_Ir*s_F*s_I_f*s_T*(1-EXP(-up_RadSpec!BD25*s_t_v)))/(s_Y_v*up_RadSpec!BD25))),".")</f>
        <v>9.0143481925428208</v>
      </c>
      <c r="BF25" s="72">
        <f>IFERROR(IF(up_Bv!J25=0,".",((s_Ir*s_F*s_I_f*s_T*(1-EXP(-up_RadSpec!BD25*s_t_v)))/(s_Y_v*up_RadSpec!BD25))),".")</f>
        <v>9.0143481925428208</v>
      </c>
      <c r="BG25" s="72">
        <f>IFERROR(IF(up_Bv!K25=0,".",((s_Ir*s_F*s_I_f*s_T*(1-EXP(-up_RadSpec!BD25*s_t_v)))/(s_Y_v*up_RadSpec!BD25))),".")</f>
        <v>9.0143481925428208</v>
      </c>
      <c r="BH25" s="72">
        <f>IFERROR(IF(up_Bv!L25=0,".",((s_Ir*s_F*s_I_f*s_T*(1-EXP(-up_RadSpec!BD25*s_t_v)))/(s_Y_v*up_RadSpec!BD25))),".")</f>
        <v>9.0143481925428208</v>
      </c>
      <c r="BI25" s="72">
        <f>IFERROR(IF(up_Bv!M25=0,".",((s_Ir*s_F*s_I_f*s_T*(1-EXP(-up_RadSpec!BD25*s_t_v)))/(s_Y_v*up_RadSpec!BD25))),".")</f>
        <v>9.0143481925428208</v>
      </c>
      <c r="BJ25" s="72">
        <f>IFERROR(IF(up_Bv!N25=0,".",((s_Ir*s_F*s_I_f*s_T*(1-EXP(-up_RadSpec!BD25*s_t_v)))/(s_Y_v*up_RadSpec!BD25))),".")</f>
        <v>9.0143481925428208</v>
      </c>
      <c r="BK25" s="72">
        <f>IFERROR(IF(up_Bv!O25=0,".",((s_Ir*s_F*s_I_f*s_T*(1-EXP(-up_RadSpec!BD25*s_t_v)))/(s_Y_v*up_RadSpec!BD25))),".")</f>
        <v>9.0143481925428208</v>
      </c>
      <c r="BL25" s="72">
        <f>IFERROR(IF(up_Bv!P25=0,".",((s_Ir*s_F*s_I_f*s_T*(1-EXP(-up_RadSpec!BD25*s_t_v)))/(s_Y_v*up_RadSpec!BD25))),".")</f>
        <v>9.0143481925428208</v>
      </c>
      <c r="BM25" s="72">
        <f>IFERROR(IF(up_Bv!Q25=0,".",((s_Ir*s_F*s_I_f*s_T*(1-EXP(-up_RadSpec!BD25*s_t_v)))/(s_Y_v*up_RadSpec!BD25))),".")</f>
        <v>9.0143481925428208</v>
      </c>
      <c r="BN25" s="72">
        <f>IFERROR(IF(up_Bv!R25=0,".",((s_Ir*s_F*s_I_f*s_T*(1-EXP(-up_RadSpec!BD25*s_t_v)))/(s_Y_v*up_RadSpec!BD25))),".")</f>
        <v>9.0143481925428208</v>
      </c>
      <c r="BO25" s="72">
        <f>IFERROR(IF(up_Bv!S25=0,".",((s_Ir*s_F*s_I_f*s_T*(1-EXP(-up_RadSpec!BD25*s_t_v)))/(s_Y_v*up_RadSpec!BD25))),".")</f>
        <v>9.0143481925428208</v>
      </c>
      <c r="BP25" s="72">
        <f>IFERROR(IF(up_Bv!T25=0,".",((s_Ir*s_F*s_I_f*s_T*(1-EXP(-up_RadSpec!BD25*s_t_v)))/(s_Y_v*up_RadSpec!BD25))),".")</f>
        <v>9.0143481925428208</v>
      </c>
      <c r="BQ25" s="72">
        <f>IFERROR(IF(up_Bv!U25=0,".",((s_Ir*s_F*s_I_f*s_T*(1-EXP(-up_RadSpec!BD25*s_t_v)))/(s_Y_v*up_RadSpec!BD25))),".")</f>
        <v>9.0143481925428208</v>
      </c>
      <c r="BR25" s="72">
        <f>IFERROR(IF(up_Bv!V25=0,".",((s_Ir*s_F*s_I_f*s_T*(1-EXP(-up_RadSpec!BD25*s_t_v)))/(s_Y_v*up_RadSpec!BD25))),".")</f>
        <v>9.0143481925428208</v>
      </c>
      <c r="BS25" s="72">
        <f>IFERROR(IF(up_Bv!W25=0,".",((s_Ir*s_F*s_I_f*s_T*(1-EXP(-up_RadSpec!BD25*s_t_v)))/(s_Y_v*up_RadSpec!BD25))),".")</f>
        <v>9.0143481925428208</v>
      </c>
      <c r="BT25" s="72">
        <f>IFERROR(IF(up_Bv!X25=0,".",((s_Ir*s_F*s_I_f*s_T*(1-EXP(-up_RadSpec!BD25*s_t_v)))/(s_Y_v*up_RadSpec!BD25))),".")</f>
        <v>9.0143481925428208</v>
      </c>
      <c r="BU25" s="72">
        <f>IFERROR(IF(up_Bv!Y25=0,".",((s_Ir*s_F*s_I_f*s_T*(1-EXP(-up_RadSpec!BD25*s_t_v)))/(s_Y_v*up_RadSpec!BD25))),".")</f>
        <v>9.0143481925428208</v>
      </c>
      <c r="BV25" s="72">
        <f>IFERROR(IF(up_Bv!Z25=0,".",((s_Ir*s_F*s_I_f*s_T*(1-EXP(-up_RadSpec!BD25*s_t_v)))/(s_Y_v*up_RadSpec!BD25))),".")</f>
        <v>9.0143481925428208</v>
      </c>
    </row>
    <row r="26" spans="1:74" x14ac:dyDescent="0.25">
      <c r="A26" s="31" t="s">
        <v>24</v>
      </c>
      <c r="B26" s="3" t="s">
        <v>1059</v>
      </c>
      <c r="C26" s="72">
        <f>IFERROR(IF(up_Bv!C26=0,".",((s_Ir*s_F*up_Bv!C26*(1-EXP(-up_RadSpec!$BC26*s_t_b)))/(s_P*up_RadSpec!$BC26))),".")</f>
        <v>993.50362303732038</v>
      </c>
      <c r="D26" s="72">
        <f>IFERROR(IF(up_Bv!D26=0,".",((s_Ir*s_F*up_Bv!D26*(1-EXP(-up_RadSpec!BC26*s_t_b)))/(s_P*up_RadSpec!BC26))),".")</f>
        <v>993.50362303732038</v>
      </c>
      <c r="E26" s="72">
        <f>IFERROR(IF(up_Bv!E26=0,".",((s_Ir*s_F*up_Bv!E26*(1-EXP(-up_RadSpec!BC26*s_t_b)))/(s_P*up_RadSpec!BC26))),".")</f>
        <v>993.50362303732038</v>
      </c>
      <c r="F26" s="72">
        <f>IFERROR(IF(up_Bv!F26=0,".",((s_Ir*s_F*up_Bv!F26*(1-EXP(-up_RadSpec!BC26*s_t_b)))/(s_P*up_RadSpec!BC26))),".")</f>
        <v>993.50362303732038</v>
      </c>
      <c r="G26" s="72">
        <f>IFERROR(IF(up_Bv!G26=0,".",((s_Ir*s_F*up_Bv!G26*(1-EXP(-up_RadSpec!BC26*s_t_b)))/(s_P*up_RadSpec!BC26))),".")</f>
        <v>993.50362303732038</v>
      </c>
      <c r="H26" s="72">
        <f>IFERROR(IF(up_Bv!H26=0,".",((s_Ir*s_F*up_Bv!H26*(1-EXP(-up_RadSpec!BC26*s_t_b)))/(s_P*up_RadSpec!BC26))),".")</f>
        <v>993.50362303732038</v>
      </c>
      <c r="I26" s="72">
        <f>IFERROR(IF(up_Bv!I26=0,".",((s_Ir*s_F*up_Bv!I26*(1-EXP(-up_RadSpec!BC26*s_t_b)))/(s_P*up_RadSpec!BC26))),".")</f>
        <v>993.50362303732038</v>
      </c>
      <c r="J26" s="72">
        <f>IFERROR(IF(up_Bv!J26=0,".",((s_Ir*s_F*up_Bv!J26*(1-EXP(-up_RadSpec!BC26*s_t_b)))/(s_P*up_RadSpec!BC26))),".")</f>
        <v>993.50362303732038</v>
      </c>
      <c r="K26" s="72">
        <f>IFERROR(IF(up_Bv!K26=0,".",((s_Ir*s_F*up_Bv!K26*(1-EXP(-up_RadSpec!BC26*s_t_b)))/(s_P*up_RadSpec!BC26))),".")</f>
        <v>993.50362303732038</v>
      </c>
      <c r="L26" s="72">
        <f>IFERROR(IF(up_Bv!L26=0,".",((s_Ir*s_F*up_Bv!L26*(1-EXP(-up_RadSpec!BC26*s_t_b)))/(s_P*up_RadSpec!BC26))),".")</f>
        <v>993.50362303732038</v>
      </c>
      <c r="M26" s="72">
        <f>IFERROR(IF(up_Bv!M26=0,".",((s_Ir*s_F*up_Bv!M26*(1-EXP(-up_RadSpec!BC26*s_t_b)))/(s_P*up_RadSpec!BC26))),".")</f>
        <v>993.50362303732038</v>
      </c>
      <c r="N26" s="72">
        <f>IFERROR(IF(up_Bv!N26=0,".",((s_Ir*s_F*up_Bv!N26*(1-EXP(-up_RadSpec!BC26*s_t_b)))/(s_P*up_RadSpec!BC26))),".")</f>
        <v>993.50362303732038</v>
      </c>
      <c r="O26" s="72">
        <f>IFERROR(IF(up_Bv!O26=0,".",((s_Ir*s_F*up_Bv!O26*(1-EXP(-up_RadSpec!BC26*s_t_b)))/(s_P*up_RadSpec!BC26))),".")</f>
        <v>993.50362303732038</v>
      </c>
      <c r="P26" s="72">
        <f>IFERROR(IF(up_Bv!P26=0,".",((s_Ir*s_F*up_Bv!P26*(1-EXP(-up_RadSpec!BC26*s_t_b)))/(s_P*up_RadSpec!BC26))),".")</f>
        <v>993.50362303732038</v>
      </c>
      <c r="Q26" s="72">
        <f>IFERROR(IF(up_Bv!Q26=0,".",((s_Ir*s_F*up_Bv!Q26*(1-EXP(-up_RadSpec!BC26*s_t_b)))/(s_P*up_RadSpec!BC26))),".")</f>
        <v>993.50362303732038</v>
      </c>
      <c r="R26" s="72">
        <f>IFERROR(IF(up_Bv!R26=0,".",((s_Ir*s_F*up_Bv!R26*(1-EXP(-up_RadSpec!BC26*s_t_b)))/(s_P*up_RadSpec!BC26))),".")</f>
        <v>993.50362303732038</v>
      </c>
      <c r="S26" s="72">
        <f>IFERROR(IF(up_Bv!S26=0,".",((s_Ir*s_F*up_Bv!S26*(1-EXP(-up_RadSpec!BC26*s_t_b)))/(s_P*up_RadSpec!BC26))),".")</f>
        <v>993.50362303732038</v>
      </c>
      <c r="T26" s="72">
        <f>IFERROR(IF(up_Bv!T26=0,".",((s_Ir*s_F*up_Bv!T26*(1-EXP(-up_RadSpec!BC26*s_t_b)))/(s_P*up_RadSpec!BC26))),".")</f>
        <v>993.50362303732038</v>
      </c>
      <c r="U26" s="72">
        <f>IFERROR(IF(up_Bv!U26=0,".",((s_Ir*s_F*up_Bv!U26*(1-EXP(-up_RadSpec!BC26*s_t_b)))/(s_P*up_RadSpec!BC26))),".")</f>
        <v>993.50362303732038</v>
      </c>
      <c r="V26" s="72">
        <f>IFERROR(IF(up_Bv!V26=0,".",((s_Ir*s_F*up_Bv!V26*(1-EXP(-up_RadSpec!BC26*s_t_b)))/(s_P*up_RadSpec!BC26))),".")</f>
        <v>993.50362303732038</v>
      </c>
      <c r="W26" s="72">
        <f>IFERROR(IF(up_Bv!W26=0,".",((s_Ir*s_F*up_Bv!W26*(1-EXP(-up_RadSpec!BC26*s_t_b)))/(s_P*up_RadSpec!BC26))),".")</f>
        <v>993.50362303732038</v>
      </c>
      <c r="X26" s="72">
        <f>IFERROR(IF(up_Bv!X26=0,".",((s_Ir*s_F*up_Bv!X26*(1-EXP(-up_RadSpec!BC26*s_t_b)))/(s_P*up_RadSpec!BC26))),".")</f>
        <v>993.50362303732038</v>
      </c>
      <c r="Y26" s="72">
        <f>IFERROR(IF(up_Bv!Y26=0,".",((s_Ir*s_F*up_Bv!Y26*(1-EXP(-up_RadSpec!BC26*s_t_b)))/(s_P*up_RadSpec!BC26))),".")</f>
        <v>993.50362303732038</v>
      </c>
      <c r="Z26" s="72">
        <f>IFERROR(IF(up_Bv!Z26=0,".",((s_Ir*s_F*up_Bv!Z26*(1-EXP(-up_RadSpec!BC26*s_t_b)))/(s_P*up_RadSpec!BC26))),".")</f>
        <v>993.50362303732038</v>
      </c>
      <c r="AA26" s="72">
        <f>IFERROR(IF(up_Bv!C26=0,".",((s_Ir*s_F*s_MLF_apple*(1-EXP(-up_RadSpec!BC26*s_t_b)))/(s_P*up_RadSpec!BC26))),".")</f>
        <v>2.6824597822007652</v>
      </c>
      <c r="AB26" s="72">
        <f>IFERROR(IF(up_Bv!D26=0,".",((s_Ir*s_F*s_MLF_asparagus*(1-EXP(-up_RadSpec!BC26*s_t_b)))/(s_P*up_RadSpec!BC26))),".")</f>
        <v>2.6824597822007652</v>
      </c>
      <c r="AC26" s="72">
        <f>IFERROR(IF(up_Bv!E26=0,".",((s_Ir*s_F*s_MLF_beet*(1-EXP(-up_RadSpec!BC26*s_t_b)))/(s_P*up_RadSpec!BC26))),".")</f>
        <v>2.6824597822007652</v>
      </c>
      <c r="AD26" s="72">
        <f>IFERROR(IF(up_Bv!F26=0,".",((s_Ir*s_F*s_MLF_berries*(1-EXP(-up_RadSpec!BC26*s_t_b)))/(s_P*up_RadSpec!BC26))),".")</f>
        <v>2.6824597822007652</v>
      </c>
      <c r="AE26" s="72">
        <f>IFERROR(IF(up_Bv!G26=0,".",((s_Ir*s_F*s_MLF_broccoli*(1-EXP(-up_RadSpec!BC26*s_t_b)))/(s_P*up_RadSpec!BC26))),".")</f>
        <v>2.6824597822007652</v>
      </c>
      <c r="AF26" s="72">
        <f>IFERROR(IF(up_Bv!H26=0,".",((s_Ir*s_F*s_MLF_cabbage*(1-EXP(-up_RadSpec!BC26*s_t_b)))/(s_P*up_RadSpec!BC26))),".")</f>
        <v>2.6824597822007652</v>
      </c>
      <c r="AG26" s="72">
        <f>IFERROR(IF(up_Bv!I26=0,".",((s_Ir*s_F*s_MLF_carrot*(1-EXP(-up_RadSpec!BC26*s_t_b)))/(s_P*up_RadSpec!BC26))),".")</f>
        <v>2.6824597822007652</v>
      </c>
      <c r="AH26" s="72">
        <f>IFERROR(IF(up_Bv!J26=0,".",((s_Ir*s_F*s_MLF_citrus*(1-EXP(-up_RadSpec!BC26*s_t_b)))/(s_P*up_RadSpec!BC26))),".")</f>
        <v>2.6824597822007652</v>
      </c>
      <c r="AI26" s="72">
        <f>IFERROR(IF(up_Bv!K26=0,".",((s_Ir*s_F*s_MLF_corn*(1-EXP(-up_RadSpec!BC26*s_t_b)))/(s_P*up_RadSpec!BC26))),".")</f>
        <v>2.6824597822007652</v>
      </c>
      <c r="AJ26" s="72">
        <f>IFERROR(IF(up_Bv!L26=0,".",((s_Ir*s_F*s_MLF_cucumber*(1-EXP(-up_RadSpec!BC26*s_t_b)))/(s_P*up_RadSpec!BC26))),".")</f>
        <v>2.6824597822007652</v>
      </c>
      <c r="AK26" s="72">
        <f>IFERROR(IF(up_Bv!M26=0,".",((s_Ir*s_F*s_MLF_lettuce*(1-EXP(-up_RadSpec!BC26*s_t_b)))/(s_P*up_RadSpec!BC26))),".")</f>
        <v>2.6824597822007652</v>
      </c>
      <c r="AL26" s="72">
        <f>IFERROR(IF(up_Bv!N26=0,".",((s_Ir*s_F*s_MLF_lima_bean*(1-EXP(-up_RadSpec!BC26*s_t_b)))/(s_P*up_RadSpec!BC26))),".")</f>
        <v>2.6824597822007652</v>
      </c>
      <c r="AM26" s="72">
        <f>IFERROR(IF(up_Bv!O26=0,".",((s_Ir*s_F*s_MLF_okra*(1-EXP(-up_RadSpec!BC26*s_t_b)))/(s_P*up_RadSpec!BC26))),".")</f>
        <v>2.6824597822007652</v>
      </c>
      <c r="AN26" s="72">
        <f>IFERROR(IF(up_Bv!P26=0,".",((s_Ir*s_F*s_MLF_onion*(1-EXP(-up_RadSpec!BC26*s_t_b)))/(s_P*up_RadSpec!BC26))),".")</f>
        <v>2.6824597822007652</v>
      </c>
      <c r="AO26" s="72">
        <f>IFERROR(IF(up_Bv!Q26=0,".",((s_Ir*s_F*s_MLF_peach*(1-EXP(-up_RadSpec!BC26*s_t_b)))/(s_P*up_RadSpec!BC26))),".")</f>
        <v>2.6824597822007652</v>
      </c>
      <c r="AP26" s="72">
        <f>IFERROR(IF(up_Bv!R26=0,".",((s_Ir*s_F*s_MLF_pear*(1-EXP(-up_RadSpec!BC26*s_t_b)))/(s_P*up_RadSpec!BC26))),".")</f>
        <v>2.6824597822007652</v>
      </c>
      <c r="AQ26" s="72">
        <f>IFERROR(IF(up_Bv!S26=0,".",((s_Ir*s_F*s_MLF_peas*(1-EXP(-up_RadSpec!BC26*s_t_b)))/(s_P*up_RadSpec!BC26))),".")</f>
        <v>2.6824597822007652</v>
      </c>
      <c r="AR26" s="72">
        <f>IFERROR(IF(up_Bv!T26=0,".",((s_Ir*s_F*s_MLF_potato*(1-EXP(-up_RadSpec!BC26*s_t_b)))/(s_P*up_RadSpec!BC26))),".")</f>
        <v>2.6824597822007652</v>
      </c>
      <c r="AS26" s="72">
        <f>IFERROR(IF(up_Bv!U26=0,".",((s_Ir*s_F*s_MLF_pumpkin*(1-EXP(-up_RadSpec!BC26*s_t_b)))/(s_P*up_RadSpec!BC26))),".")</f>
        <v>2.6824597822007652</v>
      </c>
      <c r="AT26" s="72">
        <f>IFERROR(IF(up_Bv!V26=0,".",((s_Ir*s_F*s_MLF_snap_bean*(1-EXP(-up_RadSpec!BC26*s_t_b)))/(s_P*up_RadSpec!BC26))),".")</f>
        <v>2.6824597822007652</v>
      </c>
      <c r="AU26" s="72">
        <f>IFERROR(IF(up_Bv!W26=0,".",((s_Ir*s_F*s_MLF_strawberry*(1-EXP(-up_RadSpec!BC26*s_t_b)))/(s_P*up_RadSpec!BC26))),".")</f>
        <v>2.6824597822007652</v>
      </c>
      <c r="AV26" s="72">
        <f>IFERROR(IF(up_Bv!X26=0,".",((s_Ir*s_F*s_MLF_tomato*(1-EXP(-up_RadSpec!BC26*s_t_b)))/(s_P*up_RadSpec!BC26))),".")</f>
        <v>2.6824597822007652</v>
      </c>
      <c r="AW26" s="72">
        <f>IFERROR(IF(up_Bv!Y26=0,".",((s_Ir*s_F*s_MLF_rice*(1-EXP(-up_RadSpec!BC26*s_t_b)))/(s_P*up_RadSpec!BC26))),".")</f>
        <v>2.6824597822007652</v>
      </c>
      <c r="AX26" s="72">
        <f>IFERROR(IF(up_Bv!Z26=0,".",((s_Ir*s_F*s_MLF_cereal*(1-EXP(-up_RadSpec!BC26*s_t_b)))/(s_P*up_RadSpec!BC26))),".")</f>
        <v>2.6824597822007652</v>
      </c>
      <c r="AY26" s="72">
        <f>IFERROR(IF(up_Bv!C26=0,".",((s_Ir*s_F*s_I_f*s_T*(1-EXP(-up_RadSpec!BD26*s_t_v)))/(s_Y_v*up_RadSpec!BD26))),".")</f>
        <v>9.0143481925428208</v>
      </c>
      <c r="AZ26" s="72">
        <f>IFERROR(IF(up_Bv!D26=0,".",((s_Ir*s_F*s_I_f*s_T*(1-EXP(-up_RadSpec!BD26*s_t_v)))/(s_Y_v*up_RadSpec!BD26))),".")</f>
        <v>9.0143481925428208</v>
      </c>
      <c r="BA26" s="72">
        <f>IFERROR(IF(up_Bv!E26=0,".",((s_Ir*s_F*s_I_f*s_T*(1-EXP(-up_RadSpec!BD26*s_t_v)))/(s_Y_v*up_RadSpec!BD26))),".")</f>
        <v>9.0143481925428208</v>
      </c>
      <c r="BB26" s="72">
        <f>IFERROR(IF(up_Bv!F26=0,".",((s_Ir*s_F*s_I_f*s_T*(1-EXP(-up_RadSpec!BD26*s_t_v)))/(s_Y_v*up_RadSpec!BD26))),".")</f>
        <v>9.0143481925428208</v>
      </c>
      <c r="BC26" s="72">
        <f>IFERROR(IF(up_Bv!G26=0,".",((s_Ir*s_F*s_I_f*s_T*(1-EXP(-up_RadSpec!BD26*s_t_v)))/(s_Y_v*up_RadSpec!BD26))),".")</f>
        <v>9.0143481925428208</v>
      </c>
      <c r="BD26" s="72">
        <f>IFERROR(IF(up_Bv!H26=0,".",((s_Ir*s_F*s_I_f*s_T*(1-EXP(-up_RadSpec!BD26*s_t_v)))/(s_Y_v*up_RadSpec!BD26))),".")</f>
        <v>9.0143481925428208</v>
      </c>
      <c r="BE26" s="72">
        <f>IFERROR(IF(up_Bv!I26=0,".",((s_Ir*s_F*s_I_f*s_T*(1-EXP(-up_RadSpec!BD26*s_t_v)))/(s_Y_v*up_RadSpec!BD26))),".")</f>
        <v>9.0143481925428208</v>
      </c>
      <c r="BF26" s="72">
        <f>IFERROR(IF(up_Bv!J26=0,".",((s_Ir*s_F*s_I_f*s_T*(1-EXP(-up_RadSpec!BD26*s_t_v)))/(s_Y_v*up_RadSpec!BD26))),".")</f>
        <v>9.0143481925428208</v>
      </c>
      <c r="BG26" s="72">
        <f>IFERROR(IF(up_Bv!K26=0,".",((s_Ir*s_F*s_I_f*s_T*(1-EXP(-up_RadSpec!BD26*s_t_v)))/(s_Y_v*up_RadSpec!BD26))),".")</f>
        <v>9.0143481925428208</v>
      </c>
      <c r="BH26" s="72">
        <f>IFERROR(IF(up_Bv!L26=0,".",((s_Ir*s_F*s_I_f*s_T*(1-EXP(-up_RadSpec!BD26*s_t_v)))/(s_Y_v*up_RadSpec!BD26))),".")</f>
        <v>9.0143481925428208</v>
      </c>
      <c r="BI26" s="72">
        <f>IFERROR(IF(up_Bv!M26=0,".",((s_Ir*s_F*s_I_f*s_T*(1-EXP(-up_RadSpec!BD26*s_t_v)))/(s_Y_v*up_RadSpec!BD26))),".")</f>
        <v>9.0143481925428208</v>
      </c>
      <c r="BJ26" s="72">
        <f>IFERROR(IF(up_Bv!N26=0,".",((s_Ir*s_F*s_I_f*s_T*(1-EXP(-up_RadSpec!BD26*s_t_v)))/(s_Y_v*up_RadSpec!BD26))),".")</f>
        <v>9.0143481925428208</v>
      </c>
      <c r="BK26" s="72">
        <f>IFERROR(IF(up_Bv!O26=0,".",((s_Ir*s_F*s_I_f*s_T*(1-EXP(-up_RadSpec!BD26*s_t_v)))/(s_Y_v*up_RadSpec!BD26))),".")</f>
        <v>9.0143481925428208</v>
      </c>
      <c r="BL26" s="72">
        <f>IFERROR(IF(up_Bv!P26=0,".",((s_Ir*s_F*s_I_f*s_T*(1-EXP(-up_RadSpec!BD26*s_t_v)))/(s_Y_v*up_RadSpec!BD26))),".")</f>
        <v>9.0143481925428208</v>
      </c>
      <c r="BM26" s="72">
        <f>IFERROR(IF(up_Bv!Q26=0,".",((s_Ir*s_F*s_I_f*s_T*(1-EXP(-up_RadSpec!BD26*s_t_v)))/(s_Y_v*up_RadSpec!BD26))),".")</f>
        <v>9.0143481925428208</v>
      </c>
      <c r="BN26" s="72">
        <f>IFERROR(IF(up_Bv!R26=0,".",((s_Ir*s_F*s_I_f*s_T*(1-EXP(-up_RadSpec!BD26*s_t_v)))/(s_Y_v*up_RadSpec!BD26))),".")</f>
        <v>9.0143481925428208</v>
      </c>
      <c r="BO26" s="72">
        <f>IFERROR(IF(up_Bv!S26=0,".",((s_Ir*s_F*s_I_f*s_T*(1-EXP(-up_RadSpec!BD26*s_t_v)))/(s_Y_v*up_RadSpec!BD26))),".")</f>
        <v>9.0143481925428208</v>
      </c>
      <c r="BP26" s="72">
        <f>IFERROR(IF(up_Bv!T26=0,".",((s_Ir*s_F*s_I_f*s_T*(1-EXP(-up_RadSpec!BD26*s_t_v)))/(s_Y_v*up_RadSpec!BD26))),".")</f>
        <v>9.0143481925428208</v>
      </c>
      <c r="BQ26" s="72">
        <f>IFERROR(IF(up_Bv!U26=0,".",((s_Ir*s_F*s_I_f*s_T*(1-EXP(-up_RadSpec!BD26*s_t_v)))/(s_Y_v*up_RadSpec!BD26))),".")</f>
        <v>9.0143481925428208</v>
      </c>
      <c r="BR26" s="72">
        <f>IFERROR(IF(up_Bv!V26=0,".",((s_Ir*s_F*s_I_f*s_T*(1-EXP(-up_RadSpec!BD26*s_t_v)))/(s_Y_v*up_RadSpec!BD26))),".")</f>
        <v>9.0143481925428208</v>
      </c>
      <c r="BS26" s="72">
        <f>IFERROR(IF(up_Bv!W26=0,".",((s_Ir*s_F*s_I_f*s_T*(1-EXP(-up_RadSpec!BD26*s_t_v)))/(s_Y_v*up_RadSpec!BD26))),".")</f>
        <v>9.0143481925428208</v>
      </c>
      <c r="BT26" s="72">
        <f>IFERROR(IF(up_Bv!X26=0,".",((s_Ir*s_F*s_I_f*s_T*(1-EXP(-up_RadSpec!BD26*s_t_v)))/(s_Y_v*up_RadSpec!BD26))),".")</f>
        <v>9.0143481925428208</v>
      </c>
      <c r="BU26" s="72">
        <f>IFERROR(IF(up_Bv!Y26=0,".",((s_Ir*s_F*s_I_f*s_T*(1-EXP(-up_RadSpec!BD26*s_t_v)))/(s_Y_v*up_RadSpec!BD26))),".")</f>
        <v>9.0143481925428208</v>
      </c>
      <c r="BV26" s="72">
        <f>IFERROR(IF(up_Bv!Z26=0,".",((s_Ir*s_F*s_I_f*s_T*(1-EXP(-up_RadSpec!BD26*s_t_v)))/(s_Y_v*up_RadSpec!BD26))),".")</f>
        <v>9.0143481925428208</v>
      </c>
    </row>
    <row r="27" spans="1:74" x14ac:dyDescent="0.25">
      <c r="A27" s="31" t="s">
        <v>25</v>
      </c>
      <c r="B27" s="3" t="s">
        <v>1059</v>
      </c>
      <c r="C27" s="72">
        <f>IFERROR(IF(up_Bv!C27=0,".",((s_Ir*s_F*up_Bv!C27*(1-EXP(-up_RadSpec!$BC27*s_t_b)))/(s_P*up_RadSpec!$BC27))),".")</f>
        <v>993.50362303732038</v>
      </c>
      <c r="D27" s="72">
        <f>IFERROR(IF(up_Bv!D27=0,".",((s_Ir*s_F*up_Bv!D27*(1-EXP(-up_RadSpec!BC27*s_t_b)))/(s_P*up_RadSpec!BC27))),".")</f>
        <v>993.50362303732038</v>
      </c>
      <c r="E27" s="72">
        <f>IFERROR(IF(up_Bv!E27=0,".",((s_Ir*s_F*up_Bv!E27*(1-EXP(-up_RadSpec!BC27*s_t_b)))/(s_P*up_RadSpec!BC27))),".")</f>
        <v>993.50362303732038</v>
      </c>
      <c r="F27" s="72">
        <f>IFERROR(IF(up_Bv!F27=0,".",((s_Ir*s_F*up_Bv!F27*(1-EXP(-up_RadSpec!BC27*s_t_b)))/(s_P*up_RadSpec!BC27))),".")</f>
        <v>993.50362303732038</v>
      </c>
      <c r="G27" s="72">
        <f>IFERROR(IF(up_Bv!G27=0,".",((s_Ir*s_F*up_Bv!G27*(1-EXP(-up_RadSpec!BC27*s_t_b)))/(s_P*up_RadSpec!BC27))),".")</f>
        <v>993.50362303732038</v>
      </c>
      <c r="H27" s="72">
        <f>IFERROR(IF(up_Bv!H27=0,".",((s_Ir*s_F*up_Bv!H27*(1-EXP(-up_RadSpec!BC27*s_t_b)))/(s_P*up_RadSpec!BC27))),".")</f>
        <v>993.50362303732038</v>
      </c>
      <c r="I27" s="72">
        <f>IFERROR(IF(up_Bv!I27=0,".",((s_Ir*s_F*up_Bv!I27*(1-EXP(-up_RadSpec!BC27*s_t_b)))/(s_P*up_RadSpec!BC27))),".")</f>
        <v>993.50362303732038</v>
      </c>
      <c r="J27" s="72">
        <f>IFERROR(IF(up_Bv!J27=0,".",((s_Ir*s_F*up_Bv!J27*(1-EXP(-up_RadSpec!BC27*s_t_b)))/(s_P*up_RadSpec!BC27))),".")</f>
        <v>993.50362303732038</v>
      </c>
      <c r="K27" s="72">
        <f>IFERROR(IF(up_Bv!K27=0,".",((s_Ir*s_F*up_Bv!K27*(1-EXP(-up_RadSpec!BC27*s_t_b)))/(s_P*up_RadSpec!BC27))),".")</f>
        <v>993.50362303732038</v>
      </c>
      <c r="L27" s="72">
        <f>IFERROR(IF(up_Bv!L27=0,".",((s_Ir*s_F*up_Bv!L27*(1-EXP(-up_RadSpec!BC27*s_t_b)))/(s_P*up_RadSpec!BC27))),".")</f>
        <v>993.50362303732038</v>
      </c>
      <c r="M27" s="72">
        <f>IFERROR(IF(up_Bv!M27=0,".",((s_Ir*s_F*up_Bv!M27*(1-EXP(-up_RadSpec!BC27*s_t_b)))/(s_P*up_RadSpec!BC27))),".")</f>
        <v>993.50362303732038</v>
      </c>
      <c r="N27" s="72">
        <f>IFERROR(IF(up_Bv!N27=0,".",((s_Ir*s_F*up_Bv!N27*(1-EXP(-up_RadSpec!BC27*s_t_b)))/(s_P*up_RadSpec!BC27))),".")</f>
        <v>993.50362303732038</v>
      </c>
      <c r="O27" s="72">
        <f>IFERROR(IF(up_Bv!O27=0,".",((s_Ir*s_F*up_Bv!O27*(1-EXP(-up_RadSpec!BC27*s_t_b)))/(s_P*up_RadSpec!BC27))),".")</f>
        <v>993.50362303732038</v>
      </c>
      <c r="P27" s="72">
        <f>IFERROR(IF(up_Bv!P27=0,".",((s_Ir*s_F*up_Bv!P27*(1-EXP(-up_RadSpec!BC27*s_t_b)))/(s_P*up_RadSpec!BC27))),".")</f>
        <v>993.50362303732038</v>
      </c>
      <c r="Q27" s="72">
        <f>IFERROR(IF(up_Bv!Q27=0,".",((s_Ir*s_F*up_Bv!Q27*(1-EXP(-up_RadSpec!BC27*s_t_b)))/(s_P*up_RadSpec!BC27))),".")</f>
        <v>993.50362303732038</v>
      </c>
      <c r="R27" s="72">
        <f>IFERROR(IF(up_Bv!R27=0,".",((s_Ir*s_F*up_Bv!R27*(1-EXP(-up_RadSpec!BC27*s_t_b)))/(s_P*up_RadSpec!BC27))),".")</f>
        <v>993.50362303732038</v>
      </c>
      <c r="S27" s="72">
        <f>IFERROR(IF(up_Bv!S27=0,".",((s_Ir*s_F*up_Bv!S27*(1-EXP(-up_RadSpec!BC27*s_t_b)))/(s_P*up_RadSpec!BC27))),".")</f>
        <v>993.50362303732038</v>
      </c>
      <c r="T27" s="72">
        <f>IFERROR(IF(up_Bv!T27=0,".",((s_Ir*s_F*up_Bv!T27*(1-EXP(-up_RadSpec!BC27*s_t_b)))/(s_P*up_RadSpec!BC27))),".")</f>
        <v>993.50362303732038</v>
      </c>
      <c r="U27" s="72">
        <f>IFERROR(IF(up_Bv!U27=0,".",((s_Ir*s_F*up_Bv!U27*(1-EXP(-up_RadSpec!BC27*s_t_b)))/(s_P*up_RadSpec!BC27))),".")</f>
        <v>993.50362303732038</v>
      </c>
      <c r="V27" s="72">
        <f>IFERROR(IF(up_Bv!V27=0,".",((s_Ir*s_F*up_Bv!V27*(1-EXP(-up_RadSpec!BC27*s_t_b)))/(s_P*up_RadSpec!BC27))),".")</f>
        <v>993.50362303732038</v>
      </c>
      <c r="W27" s="72">
        <f>IFERROR(IF(up_Bv!W27=0,".",((s_Ir*s_F*up_Bv!W27*(1-EXP(-up_RadSpec!BC27*s_t_b)))/(s_P*up_RadSpec!BC27))),".")</f>
        <v>993.50362303732038</v>
      </c>
      <c r="X27" s="72">
        <f>IFERROR(IF(up_Bv!X27=0,".",((s_Ir*s_F*up_Bv!X27*(1-EXP(-up_RadSpec!BC27*s_t_b)))/(s_P*up_RadSpec!BC27))),".")</f>
        <v>993.50362303732038</v>
      </c>
      <c r="Y27" s="72">
        <f>IFERROR(IF(up_Bv!Y27=0,".",((s_Ir*s_F*up_Bv!Y27*(1-EXP(-up_RadSpec!BC27*s_t_b)))/(s_P*up_RadSpec!BC27))),".")</f>
        <v>993.50362303732038</v>
      </c>
      <c r="Z27" s="72">
        <f>IFERROR(IF(up_Bv!Z27=0,".",((s_Ir*s_F*up_Bv!Z27*(1-EXP(-up_RadSpec!BC27*s_t_b)))/(s_P*up_RadSpec!BC27))),".")</f>
        <v>993.50362303732038</v>
      </c>
      <c r="AA27" s="72">
        <f>IFERROR(IF(up_Bv!C27=0,".",((s_Ir*s_F*s_MLF_apple*(1-EXP(-up_RadSpec!BC27*s_t_b)))/(s_P*up_RadSpec!BC27))),".")</f>
        <v>2.6824597822007652</v>
      </c>
      <c r="AB27" s="72">
        <f>IFERROR(IF(up_Bv!D27=0,".",((s_Ir*s_F*s_MLF_asparagus*(1-EXP(-up_RadSpec!BC27*s_t_b)))/(s_P*up_RadSpec!BC27))),".")</f>
        <v>2.6824597822007652</v>
      </c>
      <c r="AC27" s="72">
        <f>IFERROR(IF(up_Bv!E27=0,".",((s_Ir*s_F*s_MLF_beet*(1-EXP(-up_RadSpec!BC27*s_t_b)))/(s_P*up_RadSpec!BC27))),".")</f>
        <v>2.6824597822007652</v>
      </c>
      <c r="AD27" s="72">
        <f>IFERROR(IF(up_Bv!F27=0,".",((s_Ir*s_F*s_MLF_berries*(1-EXP(-up_RadSpec!BC27*s_t_b)))/(s_P*up_RadSpec!BC27))),".")</f>
        <v>2.6824597822007652</v>
      </c>
      <c r="AE27" s="72">
        <f>IFERROR(IF(up_Bv!G27=0,".",((s_Ir*s_F*s_MLF_broccoli*(1-EXP(-up_RadSpec!BC27*s_t_b)))/(s_P*up_RadSpec!BC27))),".")</f>
        <v>2.6824597822007652</v>
      </c>
      <c r="AF27" s="72">
        <f>IFERROR(IF(up_Bv!H27=0,".",((s_Ir*s_F*s_MLF_cabbage*(1-EXP(-up_RadSpec!BC27*s_t_b)))/(s_P*up_RadSpec!BC27))),".")</f>
        <v>2.6824597822007652</v>
      </c>
      <c r="AG27" s="72">
        <f>IFERROR(IF(up_Bv!I27=0,".",((s_Ir*s_F*s_MLF_carrot*(1-EXP(-up_RadSpec!BC27*s_t_b)))/(s_P*up_RadSpec!BC27))),".")</f>
        <v>2.6824597822007652</v>
      </c>
      <c r="AH27" s="72">
        <f>IFERROR(IF(up_Bv!J27=0,".",((s_Ir*s_F*s_MLF_citrus*(1-EXP(-up_RadSpec!BC27*s_t_b)))/(s_P*up_RadSpec!BC27))),".")</f>
        <v>2.6824597822007652</v>
      </c>
      <c r="AI27" s="72">
        <f>IFERROR(IF(up_Bv!K27=0,".",((s_Ir*s_F*s_MLF_corn*(1-EXP(-up_RadSpec!BC27*s_t_b)))/(s_P*up_RadSpec!BC27))),".")</f>
        <v>2.6824597822007652</v>
      </c>
      <c r="AJ27" s="72">
        <f>IFERROR(IF(up_Bv!L27=0,".",((s_Ir*s_F*s_MLF_cucumber*(1-EXP(-up_RadSpec!BC27*s_t_b)))/(s_P*up_RadSpec!BC27))),".")</f>
        <v>2.6824597822007652</v>
      </c>
      <c r="AK27" s="72">
        <f>IFERROR(IF(up_Bv!M27=0,".",((s_Ir*s_F*s_MLF_lettuce*(1-EXP(-up_RadSpec!BC27*s_t_b)))/(s_P*up_RadSpec!BC27))),".")</f>
        <v>2.6824597822007652</v>
      </c>
      <c r="AL27" s="72">
        <f>IFERROR(IF(up_Bv!N27=0,".",((s_Ir*s_F*s_MLF_lima_bean*(1-EXP(-up_RadSpec!BC27*s_t_b)))/(s_P*up_RadSpec!BC27))),".")</f>
        <v>2.6824597822007652</v>
      </c>
      <c r="AM27" s="72">
        <f>IFERROR(IF(up_Bv!O27=0,".",((s_Ir*s_F*s_MLF_okra*(1-EXP(-up_RadSpec!BC27*s_t_b)))/(s_P*up_RadSpec!BC27))),".")</f>
        <v>2.6824597822007652</v>
      </c>
      <c r="AN27" s="72">
        <f>IFERROR(IF(up_Bv!P27=0,".",((s_Ir*s_F*s_MLF_onion*(1-EXP(-up_RadSpec!BC27*s_t_b)))/(s_P*up_RadSpec!BC27))),".")</f>
        <v>2.6824597822007652</v>
      </c>
      <c r="AO27" s="72">
        <f>IFERROR(IF(up_Bv!Q27=0,".",((s_Ir*s_F*s_MLF_peach*(1-EXP(-up_RadSpec!BC27*s_t_b)))/(s_P*up_RadSpec!BC27))),".")</f>
        <v>2.6824597822007652</v>
      </c>
      <c r="AP27" s="72">
        <f>IFERROR(IF(up_Bv!R27=0,".",((s_Ir*s_F*s_MLF_pear*(1-EXP(-up_RadSpec!BC27*s_t_b)))/(s_P*up_RadSpec!BC27))),".")</f>
        <v>2.6824597822007652</v>
      </c>
      <c r="AQ27" s="72">
        <f>IFERROR(IF(up_Bv!S27=0,".",((s_Ir*s_F*s_MLF_peas*(1-EXP(-up_RadSpec!BC27*s_t_b)))/(s_P*up_RadSpec!BC27))),".")</f>
        <v>2.6824597822007652</v>
      </c>
      <c r="AR27" s="72">
        <f>IFERROR(IF(up_Bv!T27=0,".",((s_Ir*s_F*s_MLF_potato*(1-EXP(-up_RadSpec!BC27*s_t_b)))/(s_P*up_RadSpec!BC27))),".")</f>
        <v>2.6824597822007652</v>
      </c>
      <c r="AS27" s="72">
        <f>IFERROR(IF(up_Bv!U27=0,".",((s_Ir*s_F*s_MLF_pumpkin*(1-EXP(-up_RadSpec!BC27*s_t_b)))/(s_P*up_RadSpec!BC27))),".")</f>
        <v>2.6824597822007652</v>
      </c>
      <c r="AT27" s="72">
        <f>IFERROR(IF(up_Bv!V27=0,".",((s_Ir*s_F*s_MLF_snap_bean*(1-EXP(-up_RadSpec!BC27*s_t_b)))/(s_P*up_RadSpec!BC27))),".")</f>
        <v>2.6824597822007652</v>
      </c>
      <c r="AU27" s="72">
        <f>IFERROR(IF(up_Bv!W27=0,".",((s_Ir*s_F*s_MLF_strawberry*(1-EXP(-up_RadSpec!BC27*s_t_b)))/(s_P*up_RadSpec!BC27))),".")</f>
        <v>2.6824597822007652</v>
      </c>
      <c r="AV27" s="72">
        <f>IFERROR(IF(up_Bv!X27=0,".",((s_Ir*s_F*s_MLF_tomato*(1-EXP(-up_RadSpec!BC27*s_t_b)))/(s_P*up_RadSpec!BC27))),".")</f>
        <v>2.6824597822007652</v>
      </c>
      <c r="AW27" s="72">
        <f>IFERROR(IF(up_Bv!Y27=0,".",((s_Ir*s_F*s_MLF_rice*(1-EXP(-up_RadSpec!BC27*s_t_b)))/(s_P*up_RadSpec!BC27))),".")</f>
        <v>2.6824597822007652</v>
      </c>
      <c r="AX27" s="72">
        <f>IFERROR(IF(up_Bv!Z27=0,".",((s_Ir*s_F*s_MLF_cereal*(1-EXP(-up_RadSpec!BC27*s_t_b)))/(s_P*up_RadSpec!BC27))),".")</f>
        <v>2.6824597822007652</v>
      </c>
      <c r="AY27" s="72">
        <f>IFERROR(IF(up_Bv!C27=0,".",((s_Ir*s_F*s_I_f*s_T*(1-EXP(-up_RadSpec!BD27*s_t_v)))/(s_Y_v*up_RadSpec!BD27))),".")</f>
        <v>9.0143481925428208</v>
      </c>
      <c r="AZ27" s="72">
        <f>IFERROR(IF(up_Bv!D27=0,".",((s_Ir*s_F*s_I_f*s_T*(1-EXP(-up_RadSpec!BD27*s_t_v)))/(s_Y_v*up_RadSpec!BD27))),".")</f>
        <v>9.0143481925428208</v>
      </c>
      <c r="BA27" s="72">
        <f>IFERROR(IF(up_Bv!E27=0,".",((s_Ir*s_F*s_I_f*s_T*(1-EXP(-up_RadSpec!BD27*s_t_v)))/(s_Y_v*up_RadSpec!BD27))),".")</f>
        <v>9.0143481925428208</v>
      </c>
      <c r="BB27" s="72">
        <f>IFERROR(IF(up_Bv!F27=0,".",((s_Ir*s_F*s_I_f*s_T*(1-EXP(-up_RadSpec!BD27*s_t_v)))/(s_Y_v*up_RadSpec!BD27))),".")</f>
        <v>9.0143481925428208</v>
      </c>
      <c r="BC27" s="72">
        <f>IFERROR(IF(up_Bv!G27=0,".",((s_Ir*s_F*s_I_f*s_T*(1-EXP(-up_RadSpec!BD27*s_t_v)))/(s_Y_v*up_RadSpec!BD27))),".")</f>
        <v>9.0143481925428208</v>
      </c>
      <c r="BD27" s="72">
        <f>IFERROR(IF(up_Bv!H27=0,".",((s_Ir*s_F*s_I_f*s_T*(1-EXP(-up_RadSpec!BD27*s_t_v)))/(s_Y_v*up_RadSpec!BD27))),".")</f>
        <v>9.0143481925428208</v>
      </c>
      <c r="BE27" s="72">
        <f>IFERROR(IF(up_Bv!I27=0,".",((s_Ir*s_F*s_I_f*s_T*(1-EXP(-up_RadSpec!BD27*s_t_v)))/(s_Y_v*up_RadSpec!BD27))),".")</f>
        <v>9.0143481925428208</v>
      </c>
      <c r="BF27" s="72">
        <f>IFERROR(IF(up_Bv!J27=0,".",((s_Ir*s_F*s_I_f*s_T*(1-EXP(-up_RadSpec!BD27*s_t_v)))/(s_Y_v*up_RadSpec!BD27))),".")</f>
        <v>9.0143481925428208</v>
      </c>
      <c r="BG27" s="72">
        <f>IFERROR(IF(up_Bv!K27=0,".",((s_Ir*s_F*s_I_f*s_T*(1-EXP(-up_RadSpec!BD27*s_t_v)))/(s_Y_v*up_RadSpec!BD27))),".")</f>
        <v>9.0143481925428208</v>
      </c>
      <c r="BH27" s="72">
        <f>IFERROR(IF(up_Bv!L27=0,".",((s_Ir*s_F*s_I_f*s_T*(1-EXP(-up_RadSpec!BD27*s_t_v)))/(s_Y_v*up_RadSpec!BD27))),".")</f>
        <v>9.0143481925428208</v>
      </c>
      <c r="BI27" s="72">
        <f>IFERROR(IF(up_Bv!M27=0,".",((s_Ir*s_F*s_I_f*s_T*(1-EXP(-up_RadSpec!BD27*s_t_v)))/(s_Y_v*up_RadSpec!BD27))),".")</f>
        <v>9.0143481925428208</v>
      </c>
      <c r="BJ27" s="72">
        <f>IFERROR(IF(up_Bv!N27=0,".",((s_Ir*s_F*s_I_f*s_T*(1-EXP(-up_RadSpec!BD27*s_t_v)))/(s_Y_v*up_RadSpec!BD27))),".")</f>
        <v>9.0143481925428208</v>
      </c>
      <c r="BK27" s="72">
        <f>IFERROR(IF(up_Bv!O27=0,".",((s_Ir*s_F*s_I_f*s_T*(1-EXP(-up_RadSpec!BD27*s_t_v)))/(s_Y_v*up_RadSpec!BD27))),".")</f>
        <v>9.0143481925428208</v>
      </c>
      <c r="BL27" s="72">
        <f>IFERROR(IF(up_Bv!P27=0,".",((s_Ir*s_F*s_I_f*s_T*(1-EXP(-up_RadSpec!BD27*s_t_v)))/(s_Y_v*up_RadSpec!BD27))),".")</f>
        <v>9.0143481925428208</v>
      </c>
      <c r="BM27" s="72">
        <f>IFERROR(IF(up_Bv!Q27=0,".",((s_Ir*s_F*s_I_f*s_T*(1-EXP(-up_RadSpec!BD27*s_t_v)))/(s_Y_v*up_RadSpec!BD27))),".")</f>
        <v>9.0143481925428208</v>
      </c>
      <c r="BN27" s="72">
        <f>IFERROR(IF(up_Bv!R27=0,".",((s_Ir*s_F*s_I_f*s_T*(1-EXP(-up_RadSpec!BD27*s_t_v)))/(s_Y_v*up_RadSpec!BD27))),".")</f>
        <v>9.0143481925428208</v>
      </c>
      <c r="BO27" s="72">
        <f>IFERROR(IF(up_Bv!S27=0,".",((s_Ir*s_F*s_I_f*s_T*(1-EXP(-up_RadSpec!BD27*s_t_v)))/(s_Y_v*up_RadSpec!BD27))),".")</f>
        <v>9.0143481925428208</v>
      </c>
      <c r="BP27" s="72">
        <f>IFERROR(IF(up_Bv!T27=0,".",((s_Ir*s_F*s_I_f*s_T*(1-EXP(-up_RadSpec!BD27*s_t_v)))/(s_Y_v*up_RadSpec!BD27))),".")</f>
        <v>9.0143481925428208</v>
      </c>
      <c r="BQ27" s="72">
        <f>IFERROR(IF(up_Bv!U27=0,".",((s_Ir*s_F*s_I_f*s_T*(1-EXP(-up_RadSpec!BD27*s_t_v)))/(s_Y_v*up_RadSpec!BD27))),".")</f>
        <v>9.0143481925428208</v>
      </c>
      <c r="BR27" s="72">
        <f>IFERROR(IF(up_Bv!V27=0,".",((s_Ir*s_F*s_I_f*s_T*(1-EXP(-up_RadSpec!BD27*s_t_v)))/(s_Y_v*up_RadSpec!BD27))),".")</f>
        <v>9.0143481925428208</v>
      </c>
      <c r="BS27" s="72">
        <f>IFERROR(IF(up_Bv!W27=0,".",((s_Ir*s_F*s_I_f*s_T*(1-EXP(-up_RadSpec!BD27*s_t_v)))/(s_Y_v*up_RadSpec!BD27))),".")</f>
        <v>9.0143481925428208</v>
      </c>
      <c r="BT27" s="72">
        <f>IFERROR(IF(up_Bv!X27=0,".",((s_Ir*s_F*s_I_f*s_T*(1-EXP(-up_RadSpec!BD27*s_t_v)))/(s_Y_v*up_RadSpec!BD27))),".")</f>
        <v>9.0143481925428208</v>
      </c>
      <c r="BU27" s="72">
        <f>IFERROR(IF(up_Bv!Y27=0,".",((s_Ir*s_F*s_I_f*s_T*(1-EXP(-up_RadSpec!BD27*s_t_v)))/(s_Y_v*up_RadSpec!BD27))),".")</f>
        <v>9.0143481925428208</v>
      </c>
      <c r="BV27" s="72">
        <f>IFERROR(IF(up_Bv!Z27=0,".",((s_Ir*s_F*s_I_f*s_T*(1-EXP(-up_RadSpec!BD27*s_t_v)))/(s_Y_v*up_RadSpec!BD27))),".")</f>
        <v>9.0143481925428208</v>
      </c>
    </row>
    <row r="28" spans="1:74" x14ac:dyDescent="0.25">
      <c r="A28" s="31" t="s">
        <v>26</v>
      </c>
      <c r="B28" s="3" t="s">
        <v>1059</v>
      </c>
      <c r="C28" s="72">
        <f>IFERROR(IF(up_Bv!C28=0,".",((s_Ir*s_F*up_Bv!C28*(1-EXP(-up_RadSpec!$BC28*s_t_b)))/(s_P*up_RadSpec!$BC28))),".")</f>
        <v>993.50362303732038</v>
      </c>
      <c r="D28" s="72">
        <f>IFERROR(IF(up_Bv!D28=0,".",((s_Ir*s_F*up_Bv!D28*(1-EXP(-up_RadSpec!BC28*s_t_b)))/(s_P*up_RadSpec!BC28))),".")</f>
        <v>993.50362303732038</v>
      </c>
      <c r="E28" s="72">
        <f>IFERROR(IF(up_Bv!E28=0,".",((s_Ir*s_F*up_Bv!E28*(1-EXP(-up_RadSpec!BC28*s_t_b)))/(s_P*up_RadSpec!BC28))),".")</f>
        <v>993.50362303732038</v>
      </c>
      <c r="F28" s="72">
        <f>IFERROR(IF(up_Bv!F28=0,".",((s_Ir*s_F*up_Bv!F28*(1-EXP(-up_RadSpec!BC28*s_t_b)))/(s_P*up_RadSpec!BC28))),".")</f>
        <v>993.50362303732038</v>
      </c>
      <c r="G28" s="72">
        <f>IFERROR(IF(up_Bv!G28=0,".",((s_Ir*s_F*up_Bv!G28*(1-EXP(-up_RadSpec!BC28*s_t_b)))/(s_P*up_RadSpec!BC28))),".")</f>
        <v>993.50362303732038</v>
      </c>
      <c r="H28" s="72">
        <f>IFERROR(IF(up_Bv!H28=0,".",((s_Ir*s_F*up_Bv!H28*(1-EXP(-up_RadSpec!BC28*s_t_b)))/(s_P*up_RadSpec!BC28))),".")</f>
        <v>993.50362303732038</v>
      </c>
      <c r="I28" s="72">
        <f>IFERROR(IF(up_Bv!I28=0,".",((s_Ir*s_F*up_Bv!I28*(1-EXP(-up_RadSpec!BC28*s_t_b)))/(s_P*up_RadSpec!BC28))),".")</f>
        <v>993.50362303732038</v>
      </c>
      <c r="J28" s="72">
        <f>IFERROR(IF(up_Bv!J28=0,".",((s_Ir*s_F*up_Bv!J28*(1-EXP(-up_RadSpec!BC28*s_t_b)))/(s_P*up_RadSpec!BC28))),".")</f>
        <v>993.50362303732038</v>
      </c>
      <c r="K28" s="72">
        <f>IFERROR(IF(up_Bv!K28=0,".",((s_Ir*s_F*up_Bv!K28*(1-EXP(-up_RadSpec!BC28*s_t_b)))/(s_P*up_RadSpec!BC28))),".")</f>
        <v>993.50362303732038</v>
      </c>
      <c r="L28" s="72">
        <f>IFERROR(IF(up_Bv!L28=0,".",((s_Ir*s_F*up_Bv!L28*(1-EXP(-up_RadSpec!BC28*s_t_b)))/(s_P*up_RadSpec!BC28))),".")</f>
        <v>993.50362303732038</v>
      </c>
      <c r="M28" s="72">
        <f>IFERROR(IF(up_Bv!M28=0,".",((s_Ir*s_F*up_Bv!M28*(1-EXP(-up_RadSpec!BC28*s_t_b)))/(s_P*up_RadSpec!BC28))),".")</f>
        <v>993.50362303732038</v>
      </c>
      <c r="N28" s="72">
        <f>IFERROR(IF(up_Bv!N28=0,".",((s_Ir*s_F*up_Bv!N28*(1-EXP(-up_RadSpec!BC28*s_t_b)))/(s_P*up_RadSpec!BC28))),".")</f>
        <v>993.50362303732038</v>
      </c>
      <c r="O28" s="72">
        <f>IFERROR(IF(up_Bv!O28=0,".",((s_Ir*s_F*up_Bv!O28*(1-EXP(-up_RadSpec!BC28*s_t_b)))/(s_P*up_RadSpec!BC28))),".")</f>
        <v>993.50362303732038</v>
      </c>
      <c r="P28" s="72">
        <f>IFERROR(IF(up_Bv!P28=0,".",((s_Ir*s_F*up_Bv!P28*(1-EXP(-up_RadSpec!BC28*s_t_b)))/(s_P*up_RadSpec!BC28))),".")</f>
        <v>993.50362303732038</v>
      </c>
      <c r="Q28" s="72">
        <f>IFERROR(IF(up_Bv!Q28=0,".",((s_Ir*s_F*up_Bv!Q28*(1-EXP(-up_RadSpec!BC28*s_t_b)))/(s_P*up_RadSpec!BC28))),".")</f>
        <v>993.50362303732038</v>
      </c>
      <c r="R28" s="72">
        <f>IFERROR(IF(up_Bv!R28=0,".",((s_Ir*s_F*up_Bv!R28*(1-EXP(-up_RadSpec!BC28*s_t_b)))/(s_P*up_RadSpec!BC28))),".")</f>
        <v>993.50362303732038</v>
      </c>
      <c r="S28" s="72">
        <f>IFERROR(IF(up_Bv!S28=0,".",((s_Ir*s_F*up_Bv!S28*(1-EXP(-up_RadSpec!BC28*s_t_b)))/(s_P*up_RadSpec!BC28))),".")</f>
        <v>993.50362303732038</v>
      </c>
      <c r="T28" s="72">
        <f>IFERROR(IF(up_Bv!T28=0,".",((s_Ir*s_F*up_Bv!T28*(1-EXP(-up_RadSpec!BC28*s_t_b)))/(s_P*up_RadSpec!BC28))),".")</f>
        <v>993.50362303732038</v>
      </c>
      <c r="U28" s="72">
        <f>IFERROR(IF(up_Bv!U28=0,".",((s_Ir*s_F*up_Bv!U28*(1-EXP(-up_RadSpec!BC28*s_t_b)))/(s_P*up_RadSpec!BC28))),".")</f>
        <v>993.50362303732038</v>
      </c>
      <c r="V28" s="72">
        <f>IFERROR(IF(up_Bv!V28=0,".",((s_Ir*s_F*up_Bv!V28*(1-EXP(-up_RadSpec!BC28*s_t_b)))/(s_P*up_RadSpec!BC28))),".")</f>
        <v>993.50362303732038</v>
      </c>
      <c r="W28" s="72">
        <f>IFERROR(IF(up_Bv!W28=0,".",((s_Ir*s_F*up_Bv!W28*(1-EXP(-up_RadSpec!BC28*s_t_b)))/(s_P*up_RadSpec!BC28))),".")</f>
        <v>993.50362303732038</v>
      </c>
      <c r="X28" s="72">
        <f>IFERROR(IF(up_Bv!X28=0,".",((s_Ir*s_F*up_Bv!X28*(1-EXP(-up_RadSpec!BC28*s_t_b)))/(s_P*up_RadSpec!BC28))),".")</f>
        <v>993.50362303732038</v>
      </c>
      <c r="Y28" s="72">
        <f>IFERROR(IF(up_Bv!Y28=0,".",((s_Ir*s_F*up_Bv!Y28*(1-EXP(-up_RadSpec!BC28*s_t_b)))/(s_P*up_RadSpec!BC28))),".")</f>
        <v>993.50362303732038</v>
      </c>
      <c r="Z28" s="72">
        <f>IFERROR(IF(up_Bv!Z28=0,".",((s_Ir*s_F*up_Bv!Z28*(1-EXP(-up_RadSpec!BC28*s_t_b)))/(s_P*up_RadSpec!BC28))),".")</f>
        <v>993.50362303732038</v>
      </c>
      <c r="AA28" s="72">
        <f>IFERROR(IF(up_Bv!C28=0,".",((s_Ir*s_F*s_MLF_apple*(1-EXP(-up_RadSpec!BC28*s_t_b)))/(s_P*up_RadSpec!BC28))),".")</f>
        <v>2.6824597822007652</v>
      </c>
      <c r="AB28" s="72">
        <f>IFERROR(IF(up_Bv!D28=0,".",((s_Ir*s_F*s_MLF_asparagus*(1-EXP(-up_RadSpec!BC28*s_t_b)))/(s_P*up_RadSpec!BC28))),".")</f>
        <v>2.6824597822007652</v>
      </c>
      <c r="AC28" s="72">
        <f>IFERROR(IF(up_Bv!E28=0,".",((s_Ir*s_F*s_MLF_beet*(1-EXP(-up_RadSpec!BC28*s_t_b)))/(s_P*up_RadSpec!BC28))),".")</f>
        <v>2.6824597822007652</v>
      </c>
      <c r="AD28" s="72">
        <f>IFERROR(IF(up_Bv!F28=0,".",((s_Ir*s_F*s_MLF_berries*(1-EXP(-up_RadSpec!BC28*s_t_b)))/(s_P*up_RadSpec!BC28))),".")</f>
        <v>2.6824597822007652</v>
      </c>
      <c r="AE28" s="72">
        <f>IFERROR(IF(up_Bv!G28=0,".",((s_Ir*s_F*s_MLF_broccoli*(1-EXP(-up_RadSpec!BC28*s_t_b)))/(s_P*up_RadSpec!BC28))),".")</f>
        <v>2.6824597822007652</v>
      </c>
      <c r="AF28" s="72">
        <f>IFERROR(IF(up_Bv!H28=0,".",((s_Ir*s_F*s_MLF_cabbage*(1-EXP(-up_RadSpec!BC28*s_t_b)))/(s_P*up_RadSpec!BC28))),".")</f>
        <v>2.6824597822007652</v>
      </c>
      <c r="AG28" s="72">
        <f>IFERROR(IF(up_Bv!I28=0,".",((s_Ir*s_F*s_MLF_carrot*(1-EXP(-up_RadSpec!BC28*s_t_b)))/(s_P*up_RadSpec!BC28))),".")</f>
        <v>2.6824597822007652</v>
      </c>
      <c r="AH28" s="72">
        <f>IFERROR(IF(up_Bv!J28=0,".",((s_Ir*s_F*s_MLF_citrus*(1-EXP(-up_RadSpec!BC28*s_t_b)))/(s_P*up_RadSpec!BC28))),".")</f>
        <v>2.6824597822007652</v>
      </c>
      <c r="AI28" s="72">
        <f>IFERROR(IF(up_Bv!K28=0,".",((s_Ir*s_F*s_MLF_corn*(1-EXP(-up_RadSpec!BC28*s_t_b)))/(s_P*up_RadSpec!BC28))),".")</f>
        <v>2.6824597822007652</v>
      </c>
      <c r="AJ28" s="72">
        <f>IFERROR(IF(up_Bv!L28=0,".",((s_Ir*s_F*s_MLF_cucumber*(1-EXP(-up_RadSpec!BC28*s_t_b)))/(s_P*up_RadSpec!BC28))),".")</f>
        <v>2.6824597822007652</v>
      </c>
      <c r="AK28" s="72">
        <f>IFERROR(IF(up_Bv!M28=0,".",((s_Ir*s_F*s_MLF_lettuce*(1-EXP(-up_RadSpec!BC28*s_t_b)))/(s_P*up_RadSpec!BC28))),".")</f>
        <v>2.6824597822007652</v>
      </c>
      <c r="AL28" s="72">
        <f>IFERROR(IF(up_Bv!N28=0,".",((s_Ir*s_F*s_MLF_lima_bean*(1-EXP(-up_RadSpec!BC28*s_t_b)))/(s_P*up_RadSpec!BC28))),".")</f>
        <v>2.6824597822007652</v>
      </c>
      <c r="AM28" s="72">
        <f>IFERROR(IF(up_Bv!O28=0,".",((s_Ir*s_F*s_MLF_okra*(1-EXP(-up_RadSpec!BC28*s_t_b)))/(s_P*up_RadSpec!BC28))),".")</f>
        <v>2.6824597822007652</v>
      </c>
      <c r="AN28" s="72">
        <f>IFERROR(IF(up_Bv!P28=0,".",((s_Ir*s_F*s_MLF_onion*(1-EXP(-up_RadSpec!BC28*s_t_b)))/(s_P*up_RadSpec!BC28))),".")</f>
        <v>2.6824597822007652</v>
      </c>
      <c r="AO28" s="72">
        <f>IFERROR(IF(up_Bv!Q28=0,".",((s_Ir*s_F*s_MLF_peach*(1-EXP(-up_RadSpec!BC28*s_t_b)))/(s_P*up_RadSpec!BC28))),".")</f>
        <v>2.6824597822007652</v>
      </c>
      <c r="AP28" s="72">
        <f>IFERROR(IF(up_Bv!R28=0,".",((s_Ir*s_F*s_MLF_pear*(1-EXP(-up_RadSpec!BC28*s_t_b)))/(s_P*up_RadSpec!BC28))),".")</f>
        <v>2.6824597822007652</v>
      </c>
      <c r="AQ28" s="72">
        <f>IFERROR(IF(up_Bv!S28=0,".",((s_Ir*s_F*s_MLF_peas*(1-EXP(-up_RadSpec!BC28*s_t_b)))/(s_P*up_RadSpec!BC28))),".")</f>
        <v>2.6824597822007652</v>
      </c>
      <c r="AR28" s="72">
        <f>IFERROR(IF(up_Bv!T28=0,".",((s_Ir*s_F*s_MLF_potato*(1-EXP(-up_RadSpec!BC28*s_t_b)))/(s_P*up_RadSpec!BC28))),".")</f>
        <v>2.6824597822007652</v>
      </c>
      <c r="AS28" s="72">
        <f>IFERROR(IF(up_Bv!U28=0,".",((s_Ir*s_F*s_MLF_pumpkin*(1-EXP(-up_RadSpec!BC28*s_t_b)))/(s_P*up_RadSpec!BC28))),".")</f>
        <v>2.6824597822007652</v>
      </c>
      <c r="AT28" s="72">
        <f>IFERROR(IF(up_Bv!V28=0,".",((s_Ir*s_F*s_MLF_snap_bean*(1-EXP(-up_RadSpec!BC28*s_t_b)))/(s_P*up_RadSpec!BC28))),".")</f>
        <v>2.6824597822007652</v>
      </c>
      <c r="AU28" s="72">
        <f>IFERROR(IF(up_Bv!W28=0,".",((s_Ir*s_F*s_MLF_strawberry*(1-EXP(-up_RadSpec!BC28*s_t_b)))/(s_P*up_RadSpec!BC28))),".")</f>
        <v>2.6824597822007652</v>
      </c>
      <c r="AV28" s="72">
        <f>IFERROR(IF(up_Bv!X28=0,".",((s_Ir*s_F*s_MLF_tomato*(1-EXP(-up_RadSpec!BC28*s_t_b)))/(s_P*up_RadSpec!BC28))),".")</f>
        <v>2.6824597822007652</v>
      </c>
      <c r="AW28" s="72">
        <f>IFERROR(IF(up_Bv!Y28=0,".",((s_Ir*s_F*s_MLF_rice*(1-EXP(-up_RadSpec!BC28*s_t_b)))/(s_P*up_RadSpec!BC28))),".")</f>
        <v>2.6824597822007652</v>
      </c>
      <c r="AX28" s="72">
        <f>IFERROR(IF(up_Bv!Z28=0,".",((s_Ir*s_F*s_MLF_cereal*(1-EXP(-up_RadSpec!BC28*s_t_b)))/(s_P*up_RadSpec!BC28))),".")</f>
        <v>2.6824597822007652</v>
      </c>
      <c r="AY28" s="72">
        <f>IFERROR(IF(up_Bv!C28=0,".",((s_Ir*s_F*s_I_f*s_T*(1-EXP(-up_RadSpec!BD28*s_t_v)))/(s_Y_v*up_RadSpec!BD28))),".")</f>
        <v>9.0143481925428208</v>
      </c>
      <c r="AZ28" s="72">
        <f>IFERROR(IF(up_Bv!D28=0,".",((s_Ir*s_F*s_I_f*s_T*(1-EXP(-up_RadSpec!BD28*s_t_v)))/(s_Y_v*up_RadSpec!BD28))),".")</f>
        <v>9.0143481925428208</v>
      </c>
      <c r="BA28" s="72">
        <f>IFERROR(IF(up_Bv!E28=0,".",((s_Ir*s_F*s_I_f*s_T*(1-EXP(-up_RadSpec!BD28*s_t_v)))/(s_Y_v*up_RadSpec!BD28))),".")</f>
        <v>9.0143481925428208</v>
      </c>
      <c r="BB28" s="72">
        <f>IFERROR(IF(up_Bv!F28=0,".",((s_Ir*s_F*s_I_f*s_T*(1-EXP(-up_RadSpec!BD28*s_t_v)))/(s_Y_v*up_RadSpec!BD28))),".")</f>
        <v>9.0143481925428208</v>
      </c>
      <c r="BC28" s="72">
        <f>IFERROR(IF(up_Bv!G28=0,".",((s_Ir*s_F*s_I_f*s_T*(1-EXP(-up_RadSpec!BD28*s_t_v)))/(s_Y_v*up_RadSpec!BD28))),".")</f>
        <v>9.0143481925428208</v>
      </c>
      <c r="BD28" s="72">
        <f>IFERROR(IF(up_Bv!H28=0,".",((s_Ir*s_F*s_I_f*s_T*(1-EXP(-up_RadSpec!BD28*s_t_v)))/(s_Y_v*up_RadSpec!BD28))),".")</f>
        <v>9.0143481925428208</v>
      </c>
      <c r="BE28" s="72">
        <f>IFERROR(IF(up_Bv!I28=0,".",((s_Ir*s_F*s_I_f*s_T*(1-EXP(-up_RadSpec!BD28*s_t_v)))/(s_Y_v*up_RadSpec!BD28))),".")</f>
        <v>9.0143481925428208</v>
      </c>
      <c r="BF28" s="72">
        <f>IFERROR(IF(up_Bv!J28=0,".",((s_Ir*s_F*s_I_f*s_T*(1-EXP(-up_RadSpec!BD28*s_t_v)))/(s_Y_v*up_RadSpec!BD28))),".")</f>
        <v>9.0143481925428208</v>
      </c>
      <c r="BG28" s="72">
        <f>IFERROR(IF(up_Bv!K28=0,".",((s_Ir*s_F*s_I_f*s_T*(1-EXP(-up_RadSpec!BD28*s_t_v)))/(s_Y_v*up_RadSpec!BD28))),".")</f>
        <v>9.0143481925428208</v>
      </c>
      <c r="BH28" s="72">
        <f>IFERROR(IF(up_Bv!L28=0,".",((s_Ir*s_F*s_I_f*s_T*(1-EXP(-up_RadSpec!BD28*s_t_v)))/(s_Y_v*up_RadSpec!BD28))),".")</f>
        <v>9.0143481925428208</v>
      </c>
      <c r="BI28" s="72">
        <f>IFERROR(IF(up_Bv!M28=0,".",((s_Ir*s_F*s_I_f*s_T*(1-EXP(-up_RadSpec!BD28*s_t_v)))/(s_Y_v*up_RadSpec!BD28))),".")</f>
        <v>9.0143481925428208</v>
      </c>
      <c r="BJ28" s="72">
        <f>IFERROR(IF(up_Bv!N28=0,".",((s_Ir*s_F*s_I_f*s_T*(1-EXP(-up_RadSpec!BD28*s_t_v)))/(s_Y_v*up_RadSpec!BD28))),".")</f>
        <v>9.0143481925428208</v>
      </c>
      <c r="BK28" s="72">
        <f>IFERROR(IF(up_Bv!O28=0,".",((s_Ir*s_F*s_I_f*s_T*(1-EXP(-up_RadSpec!BD28*s_t_v)))/(s_Y_v*up_RadSpec!BD28))),".")</f>
        <v>9.0143481925428208</v>
      </c>
      <c r="BL28" s="72">
        <f>IFERROR(IF(up_Bv!P28=0,".",((s_Ir*s_F*s_I_f*s_T*(1-EXP(-up_RadSpec!BD28*s_t_v)))/(s_Y_v*up_RadSpec!BD28))),".")</f>
        <v>9.0143481925428208</v>
      </c>
      <c r="BM28" s="72">
        <f>IFERROR(IF(up_Bv!Q28=0,".",((s_Ir*s_F*s_I_f*s_T*(1-EXP(-up_RadSpec!BD28*s_t_v)))/(s_Y_v*up_RadSpec!BD28))),".")</f>
        <v>9.0143481925428208</v>
      </c>
      <c r="BN28" s="72">
        <f>IFERROR(IF(up_Bv!R28=0,".",((s_Ir*s_F*s_I_f*s_T*(1-EXP(-up_RadSpec!BD28*s_t_v)))/(s_Y_v*up_RadSpec!BD28))),".")</f>
        <v>9.0143481925428208</v>
      </c>
      <c r="BO28" s="72">
        <f>IFERROR(IF(up_Bv!S28=0,".",((s_Ir*s_F*s_I_f*s_T*(1-EXP(-up_RadSpec!BD28*s_t_v)))/(s_Y_v*up_RadSpec!BD28))),".")</f>
        <v>9.0143481925428208</v>
      </c>
      <c r="BP28" s="72">
        <f>IFERROR(IF(up_Bv!T28=0,".",((s_Ir*s_F*s_I_f*s_T*(1-EXP(-up_RadSpec!BD28*s_t_v)))/(s_Y_v*up_RadSpec!BD28))),".")</f>
        <v>9.0143481925428208</v>
      </c>
      <c r="BQ28" s="72">
        <f>IFERROR(IF(up_Bv!U28=0,".",((s_Ir*s_F*s_I_f*s_T*(1-EXP(-up_RadSpec!BD28*s_t_v)))/(s_Y_v*up_RadSpec!BD28))),".")</f>
        <v>9.0143481925428208</v>
      </c>
      <c r="BR28" s="72">
        <f>IFERROR(IF(up_Bv!V28=0,".",((s_Ir*s_F*s_I_f*s_T*(1-EXP(-up_RadSpec!BD28*s_t_v)))/(s_Y_v*up_RadSpec!BD28))),".")</f>
        <v>9.0143481925428208</v>
      </c>
      <c r="BS28" s="72">
        <f>IFERROR(IF(up_Bv!W28=0,".",((s_Ir*s_F*s_I_f*s_T*(1-EXP(-up_RadSpec!BD28*s_t_v)))/(s_Y_v*up_RadSpec!BD28))),".")</f>
        <v>9.0143481925428208</v>
      </c>
      <c r="BT28" s="72">
        <f>IFERROR(IF(up_Bv!X28=0,".",((s_Ir*s_F*s_I_f*s_T*(1-EXP(-up_RadSpec!BD28*s_t_v)))/(s_Y_v*up_RadSpec!BD28))),".")</f>
        <v>9.0143481925428208</v>
      </c>
      <c r="BU28" s="72">
        <f>IFERROR(IF(up_Bv!Y28=0,".",((s_Ir*s_F*s_I_f*s_T*(1-EXP(-up_RadSpec!BD28*s_t_v)))/(s_Y_v*up_RadSpec!BD28))),".")</f>
        <v>9.0143481925428208</v>
      </c>
      <c r="BV28" s="72">
        <f>IFERROR(IF(up_Bv!Z28=0,".",((s_Ir*s_F*s_I_f*s_T*(1-EXP(-up_RadSpec!BD28*s_t_v)))/(s_Y_v*up_RadSpec!BD28))),".")</f>
        <v>9.0143481925428208</v>
      </c>
    </row>
    <row r="29" spans="1:74" x14ac:dyDescent="0.25">
      <c r="A29" s="31" t="s">
        <v>27</v>
      </c>
      <c r="B29" s="3" t="s">
        <v>1059</v>
      </c>
      <c r="C29" s="72">
        <f>IFERROR(IF(up_Bv!C29=0,".",((s_Ir*s_F*up_Bv!C29*(1-EXP(-up_RadSpec!$BC29*s_t_b)))/(s_P*up_RadSpec!$BC29))),".")</f>
        <v>993.50362303732038</v>
      </c>
      <c r="D29" s="72">
        <f>IFERROR(IF(up_Bv!D29=0,".",((s_Ir*s_F*up_Bv!D29*(1-EXP(-up_RadSpec!BC29*s_t_b)))/(s_P*up_RadSpec!BC29))),".")</f>
        <v>993.50362303732038</v>
      </c>
      <c r="E29" s="72">
        <f>IFERROR(IF(up_Bv!E29=0,".",((s_Ir*s_F*up_Bv!E29*(1-EXP(-up_RadSpec!BC29*s_t_b)))/(s_P*up_RadSpec!BC29))),".")</f>
        <v>993.50362303732038</v>
      </c>
      <c r="F29" s="72">
        <f>IFERROR(IF(up_Bv!F29=0,".",((s_Ir*s_F*up_Bv!F29*(1-EXP(-up_RadSpec!BC29*s_t_b)))/(s_P*up_RadSpec!BC29))),".")</f>
        <v>993.50362303732038</v>
      </c>
      <c r="G29" s="72">
        <f>IFERROR(IF(up_Bv!G29=0,".",((s_Ir*s_F*up_Bv!G29*(1-EXP(-up_RadSpec!BC29*s_t_b)))/(s_P*up_RadSpec!BC29))),".")</f>
        <v>993.50362303732038</v>
      </c>
      <c r="H29" s="72">
        <f>IFERROR(IF(up_Bv!H29=0,".",((s_Ir*s_F*up_Bv!H29*(1-EXP(-up_RadSpec!BC29*s_t_b)))/(s_P*up_RadSpec!BC29))),".")</f>
        <v>993.50362303732038</v>
      </c>
      <c r="I29" s="72">
        <f>IFERROR(IF(up_Bv!I29=0,".",((s_Ir*s_F*up_Bv!I29*(1-EXP(-up_RadSpec!BC29*s_t_b)))/(s_P*up_RadSpec!BC29))),".")</f>
        <v>993.50362303732038</v>
      </c>
      <c r="J29" s="72">
        <f>IFERROR(IF(up_Bv!J29=0,".",((s_Ir*s_F*up_Bv!J29*(1-EXP(-up_RadSpec!BC29*s_t_b)))/(s_P*up_RadSpec!BC29))),".")</f>
        <v>993.50362303732038</v>
      </c>
      <c r="K29" s="72">
        <f>IFERROR(IF(up_Bv!K29=0,".",((s_Ir*s_F*up_Bv!K29*(1-EXP(-up_RadSpec!BC29*s_t_b)))/(s_P*up_RadSpec!BC29))),".")</f>
        <v>993.50362303732038</v>
      </c>
      <c r="L29" s="72">
        <f>IFERROR(IF(up_Bv!L29=0,".",((s_Ir*s_F*up_Bv!L29*(1-EXP(-up_RadSpec!BC29*s_t_b)))/(s_P*up_RadSpec!BC29))),".")</f>
        <v>993.50362303732038</v>
      </c>
      <c r="M29" s="72">
        <f>IFERROR(IF(up_Bv!M29=0,".",((s_Ir*s_F*up_Bv!M29*(1-EXP(-up_RadSpec!BC29*s_t_b)))/(s_P*up_RadSpec!BC29))),".")</f>
        <v>993.50362303732038</v>
      </c>
      <c r="N29" s="72">
        <f>IFERROR(IF(up_Bv!N29=0,".",((s_Ir*s_F*up_Bv!N29*(1-EXP(-up_RadSpec!BC29*s_t_b)))/(s_P*up_RadSpec!BC29))),".")</f>
        <v>993.50362303732038</v>
      </c>
      <c r="O29" s="72">
        <f>IFERROR(IF(up_Bv!O29=0,".",((s_Ir*s_F*up_Bv!O29*(1-EXP(-up_RadSpec!BC29*s_t_b)))/(s_P*up_RadSpec!BC29))),".")</f>
        <v>993.50362303732038</v>
      </c>
      <c r="P29" s="72">
        <f>IFERROR(IF(up_Bv!P29=0,".",((s_Ir*s_F*up_Bv!P29*(1-EXP(-up_RadSpec!BC29*s_t_b)))/(s_P*up_RadSpec!BC29))),".")</f>
        <v>993.50362303732038</v>
      </c>
      <c r="Q29" s="72">
        <f>IFERROR(IF(up_Bv!Q29=0,".",((s_Ir*s_F*up_Bv!Q29*(1-EXP(-up_RadSpec!BC29*s_t_b)))/(s_P*up_RadSpec!BC29))),".")</f>
        <v>993.50362303732038</v>
      </c>
      <c r="R29" s="72">
        <f>IFERROR(IF(up_Bv!R29=0,".",((s_Ir*s_F*up_Bv!R29*(1-EXP(-up_RadSpec!BC29*s_t_b)))/(s_P*up_RadSpec!BC29))),".")</f>
        <v>993.50362303732038</v>
      </c>
      <c r="S29" s="72">
        <f>IFERROR(IF(up_Bv!S29=0,".",((s_Ir*s_F*up_Bv!S29*(1-EXP(-up_RadSpec!BC29*s_t_b)))/(s_P*up_RadSpec!BC29))),".")</f>
        <v>993.50362303732038</v>
      </c>
      <c r="T29" s="72">
        <f>IFERROR(IF(up_Bv!T29=0,".",((s_Ir*s_F*up_Bv!T29*(1-EXP(-up_RadSpec!BC29*s_t_b)))/(s_P*up_RadSpec!BC29))),".")</f>
        <v>993.50362303732038</v>
      </c>
      <c r="U29" s="72">
        <f>IFERROR(IF(up_Bv!U29=0,".",((s_Ir*s_F*up_Bv!U29*(1-EXP(-up_RadSpec!BC29*s_t_b)))/(s_P*up_RadSpec!BC29))),".")</f>
        <v>993.50362303732038</v>
      </c>
      <c r="V29" s="72">
        <f>IFERROR(IF(up_Bv!V29=0,".",((s_Ir*s_F*up_Bv!V29*(1-EXP(-up_RadSpec!BC29*s_t_b)))/(s_P*up_RadSpec!BC29))),".")</f>
        <v>993.50362303732038</v>
      </c>
      <c r="W29" s="72">
        <f>IFERROR(IF(up_Bv!W29=0,".",((s_Ir*s_F*up_Bv!W29*(1-EXP(-up_RadSpec!BC29*s_t_b)))/(s_P*up_RadSpec!BC29))),".")</f>
        <v>993.50362303732038</v>
      </c>
      <c r="X29" s="72">
        <f>IFERROR(IF(up_Bv!X29=0,".",((s_Ir*s_F*up_Bv!X29*(1-EXP(-up_RadSpec!BC29*s_t_b)))/(s_P*up_RadSpec!BC29))),".")</f>
        <v>993.50362303732038</v>
      </c>
      <c r="Y29" s="72">
        <f>IFERROR(IF(up_Bv!Y29=0,".",((s_Ir*s_F*up_Bv!Y29*(1-EXP(-up_RadSpec!BC29*s_t_b)))/(s_P*up_RadSpec!BC29))),".")</f>
        <v>993.50362303732038</v>
      </c>
      <c r="Z29" s="72">
        <f>IFERROR(IF(up_Bv!Z29=0,".",((s_Ir*s_F*up_Bv!Z29*(1-EXP(-up_RadSpec!BC29*s_t_b)))/(s_P*up_RadSpec!BC29))),".")</f>
        <v>993.50362303732038</v>
      </c>
      <c r="AA29" s="72">
        <f>IFERROR(IF(up_Bv!C29=0,".",((s_Ir*s_F*s_MLF_apple*(1-EXP(-up_RadSpec!BC29*s_t_b)))/(s_P*up_RadSpec!BC29))),".")</f>
        <v>2.6824597822007652</v>
      </c>
      <c r="AB29" s="72">
        <f>IFERROR(IF(up_Bv!D29=0,".",((s_Ir*s_F*s_MLF_asparagus*(1-EXP(-up_RadSpec!BC29*s_t_b)))/(s_P*up_RadSpec!BC29))),".")</f>
        <v>2.6824597822007652</v>
      </c>
      <c r="AC29" s="72">
        <f>IFERROR(IF(up_Bv!E29=0,".",((s_Ir*s_F*s_MLF_beet*(1-EXP(-up_RadSpec!BC29*s_t_b)))/(s_P*up_RadSpec!BC29))),".")</f>
        <v>2.6824597822007652</v>
      </c>
      <c r="AD29" s="72">
        <f>IFERROR(IF(up_Bv!F29=0,".",((s_Ir*s_F*s_MLF_berries*(1-EXP(-up_RadSpec!BC29*s_t_b)))/(s_P*up_RadSpec!BC29))),".")</f>
        <v>2.6824597822007652</v>
      </c>
      <c r="AE29" s="72">
        <f>IFERROR(IF(up_Bv!G29=0,".",((s_Ir*s_F*s_MLF_broccoli*(1-EXP(-up_RadSpec!BC29*s_t_b)))/(s_P*up_RadSpec!BC29))),".")</f>
        <v>2.6824597822007652</v>
      </c>
      <c r="AF29" s="72">
        <f>IFERROR(IF(up_Bv!H29=0,".",((s_Ir*s_F*s_MLF_cabbage*(1-EXP(-up_RadSpec!BC29*s_t_b)))/(s_P*up_RadSpec!BC29))),".")</f>
        <v>2.6824597822007652</v>
      </c>
      <c r="AG29" s="72">
        <f>IFERROR(IF(up_Bv!I29=0,".",((s_Ir*s_F*s_MLF_carrot*(1-EXP(-up_RadSpec!BC29*s_t_b)))/(s_P*up_RadSpec!BC29))),".")</f>
        <v>2.6824597822007652</v>
      </c>
      <c r="AH29" s="72">
        <f>IFERROR(IF(up_Bv!J29=0,".",((s_Ir*s_F*s_MLF_citrus*(1-EXP(-up_RadSpec!BC29*s_t_b)))/(s_P*up_RadSpec!BC29))),".")</f>
        <v>2.6824597822007652</v>
      </c>
      <c r="AI29" s="72">
        <f>IFERROR(IF(up_Bv!K29=0,".",((s_Ir*s_F*s_MLF_corn*(1-EXP(-up_RadSpec!BC29*s_t_b)))/(s_P*up_RadSpec!BC29))),".")</f>
        <v>2.6824597822007652</v>
      </c>
      <c r="AJ29" s="72">
        <f>IFERROR(IF(up_Bv!L29=0,".",((s_Ir*s_F*s_MLF_cucumber*(1-EXP(-up_RadSpec!BC29*s_t_b)))/(s_P*up_RadSpec!BC29))),".")</f>
        <v>2.6824597822007652</v>
      </c>
      <c r="AK29" s="72">
        <f>IFERROR(IF(up_Bv!M29=0,".",((s_Ir*s_F*s_MLF_lettuce*(1-EXP(-up_RadSpec!BC29*s_t_b)))/(s_P*up_RadSpec!BC29))),".")</f>
        <v>2.6824597822007652</v>
      </c>
      <c r="AL29" s="72">
        <f>IFERROR(IF(up_Bv!N29=0,".",((s_Ir*s_F*s_MLF_lima_bean*(1-EXP(-up_RadSpec!BC29*s_t_b)))/(s_P*up_RadSpec!BC29))),".")</f>
        <v>2.6824597822007652</v>
      </c>
      <c r="AM29" s="72">
        <f>IFERROR(IF(up_Bv!O29=0,".",((s_Ir*s_F*s_MLF_okra*(1-EXP(-up_RadSpec!BC29*s_t_b)))/(s_P*up_RadSpec!BC29))),".")</f>
        <v>2.6824597822007652</v>
      </c>
      <c r="AN29" s="72">
        <f>IFERROR(IF(up_Bv!P29=0,".",((s_Ir*s_F*s_MLF_onion*(1-EXP(-up_RadSpec!BC29*s_t_b)))/(s_P*up_RadSpec!BC29))),".")</f>
        <v>2.6824597822007652</v>
      </c>
      <c r="AO29" s="72">
        <f>IFERROR(IF(up_Bv!Q29=0,".",((s_Ir*s_F*s_MLF_peach*(1-EXP(-up_RadSpec!BC29*s_t_b)))/(s_P*up_RadSpec!BC29))),".")</f>
        <v>2.6824597822007652</v>
      </c>
      <c r="AP29" s="72">
        <f>IFERROR(IF(up_Bv!R29=0,".",((s_Ir*s_F*s_MLF_pear*(1-EXP(-up_RadSpec!BC29*s_t_b)))/(s_P*up_RadSpec!BC29))),".")</f>
        <v>2.6824597822007652</v>
      </c>
      <c r="AQ29" s="72">
        <f>IFERROR(IF(up_Bv!S29=0,".",((s_Ir*s_F*s_MLF_peas*(1-EXP(-up_RadSpec!BC29*s_t_b)))/(s_P*up_RadSpec!BC29))),".")</f>
        <v>2.6824597822007652</v>
      </c>
      <c r="AR29" s="72">
        <f>IFERROR(IF(up_Bv!T29=0,".",((s_Ir*s_F*s_MLF_potato*(1-EXP(-up_RadSpec!BC29*s_t_b)))/(s_P*up_RadSpec!BC29))),".")</f>
        <v>2.6824597822007652</v>
      </c>
      <c r="AS29" s="72">
        <f>IFERROR(IF(up_Bv!U29=0,".",((s_Ir*s_F*s_MLF_pumpkin*(1-EXP(-up_RadSpec!BC29*s_t_b)))/(s_P*up_RadSpec!BC29))),".")</f>
        <v>2.6824597822007652</v>
      </c>
      <c r="AT29" s="72">
        <f>IFERROR(IF(up_Bv!V29=0,".",((s_Ir*s_F*s_MLF_snap_bean*(1-EXP(-up_RadSpec!BC29*s_t_b)))/(s_P*up_RadSpec!BC29))),".")</f>
        <v>2.6824597822007652</v>
      </c>
      <c r="AU29" s="72">
        <f>IFERROR(IF(up_Bv!W29=0,".",((s_Ir*s_F*s_MLF_strawberry*(1-EXP(-up_RadSpec!BC29*s_t_b)))/(s_P*up_RadSpec!BC29))),".")</f>
        <v>2.6824597822007652</v>
      </c>
      <c r="AV29" s="72">
        <f>IFERROR(IF(up_Bv!X29=0,".",((s_Ir*s_F*s_MLF_tomato*(1-EXP(-up_RadSpec!BC29*s_t_b)))/(s_P*up_RadSpec!BC29))),".")</f>
        <v>2.6824597822007652</v>
      </c>
      <c r="AW29" s="72">
        <f>IFERROR(IF(up_Bv!Y29=0,".",((s_Ir*s_F*s_MLF_rice*(1-EXP(-up_RadSpec!BC29*s_t_b)))/(s_P*up_RadSpec!BC29))),".")</f>
        <v>2.6824597822007652</v>
      </c>
      <c r="AX29" s="72">
        <f>IFERROR(IF(up_Bv!Z29=0,".",((s_Ir*s_F*s_MLF_cereal*(1-EXP(-up_RadSpec!BC29*s_t_b)))/(s_P*up_RadSpec!BC29))),".")</f>
        <v>2.6824597822007652</v>
      </c>
      <c r="AY29" s="72">
        <f>IFERROR(IF(up_Bv!C29=0,".",((s_Ir*s_F*s_I_f*s_T*(1-EXP(-up_RadSpec!BD29*s_t_v)))/(s_Y_v*up_RadSpec!BD29))),".")</f>
        <v>9.0143481925428208</v>
      </c>
      <c r="AZ29" s="72">
        <f>IFERROR(IF(up_Bv!D29=0,".",((s_Ir*s_F*s_I_f*s_T*(1-EXP(-up_RadSpec!BD29*s_t_v)))/(s_Y_v*up_RadSpec!BD29))),".")</f>
        <v>9.0143481925428208</v>
      </c>
      <c r="BA29" s="72">
        <f>IFERROR(IF(up_Bv!E29=0,".",((s_Ir*s_F*s_I_f*s_T*(1-EXP(-up_RadSpec!BD29*s_t_v)))/(s_Y_v*up_RadSpec!BD29))),".")</f>
        <v>9.0143481925428208</v>
      </c>
      <c r="BB29" s="72">
        <f>IFERROR(IF(up_Bv!F29=0,".",((s_Ir*s_F*s_I_f*s_T*(1-EXP(-up_RadSpec!BD29*s_t_v)))/(s_Y_v*up_RadSpec!BD29))),".")</f>
        <v>9.0143481925428208</v>
      </c>
      <c r="BC29" s="72">
        <f>IFERROR(IF(up_Bv!G29=0,".",((s_Ir*s_F*s_I_f*s_T*(1-EXP(-up_RadSpec!BD29*s_t_v)))/(s_Y_v*up_RadSpec!BD29))),".")</f>
        <v>9.0143481925428208</v>
      </c>
      <c r="BD29" s="72">
        <f>IFERROR(IF(up_Bv!H29=0,".",((s_Ir*s_F*s_I_f*s_T*(1-EXP(-up_RadSpec!BD29*s_t_v)))/(s_Y_v*up_RadSpec!BD29))),".")</f>
        <v>9.0143481925428208</v>
      </c>
      <c r="BE29" s="72">
        <f>IFERROR(IF(up_Bv!I29=0,".",((s_Ir*s_F*s_I_f*s_T*(1-EXP(-up_RadSpec!BD29*s_t_v)))/(s_Y_v*up_RadSpec!BD29))),".")</f>
        <v>9.0143481925428208</v>
      </c>
      <c r="BF29" s="72">
        <f>IFERROR(IF(up_Bv!J29=0,".",((s_Ir*s_F*s_I_f*s_T*(1-EXP(-up_RadSpec!BD29*s_t_v)))/(s_Y_v*up_RadSpec!BD29))),".")</f>
        <v>9.0143481925428208</v>
      </c>
      <c r="BG29" s="72">
        <f>IFERROR(IF(up_Bv!K29=0,".",((s_Ir*s_F*s_I_f*s_T*(1-EXP(-up_RadSpec!BD29*s_t_v)))/(s_Y_v*up_RadSpec!BD29))),".")</f>
        <v>9.0143481925428208</v>
      </c>
      <c r="BH29" s="72">
        <f>IFERROR(IF(up_Bv!L29=0,".",((s_Ir*s_F*s_I_f*s_T*(1-EXP(-up_RadSpec!BD29*s_t_v)))/(s_Y_v*up_RadSpec!BD29))),".")</f>
        <v>9.0143481925428208</v>
      </c>
      <c r="BI29" s="72">
        <f>IFERROR(IF(up_Bv!M29=0,".",((s_Ir*s_F*s_I_f*s_T*(1-EXP(-up_RadSpec!BD29*s_t_v)))/(s_Y_v*up_RadSpec!BD29))),".")</f>
        <v>9.0143481925428208</v>
      </c>
      <c r="BJ29" s="72">
        <f>IFERROR(IF(up_Bv!N29=0,".",((s_Ir*s_F*s_I_f*s_T*(1-EXP(-up_RadSpec!BD29*s_t_v)))/(s_Y_v*up_RadSpec!BD29))),".")</f>
        <v>9.0143481925428208</v>
      </c>
      <c r="BK29" s="72">
        <f>IFERROR(IF(up_Bv!O29=0,".",((s_Ir*s_F*s_I_f*s_T*(1-EXP(-up_RadSpec!BD29*s_t_v)))/(s_Y_v*up_RadSpec!BD29))),".")</f>
        <v>9.0143481925428208</v>
      </c>
      <c r="BL29" s="72">
        <f>IFERROR(IF(up_Bv!P29=0,".",((s_Ir*s_F*s_I_f*s_T*(1-EXP(-up_RadSpec!BD29*s_t_v)))/(s_Y_v*up_RadSpec!BD29))),".")</f>
        <v>9.0143481925428208</v>
      </c>
      <c r="BM29" s="72">
        <f>IFERROR(IF(up_Bv!Q29=0,".",((s_Ir*s_F*s_I_f*s_T*(1-EXP(-up_RadSpec!BD29*s_t_v)))/(s_Y_v*up_RadSpec!BD29))),".")</f>
        <v>9.0143481925428208</v>
      </c>
      <c r="BN29" s="72">
        <f>IFERROR(IF(up_Bv!R29=0,".",((s_Ir*s_F*s_I_f*s_T*(1-EXP(-up_RadSpec!BD29*s_t_v)))/(s_Y_v*up_RadSpec!BD29))),".")</f>
        <v>9.0143481925428208</v>
      </c>
      <c r="BO29" s="72">
        <f>IFERROR(IF(up_Bv!S29=0,".",((s_Ir*s_F*s_I_f*s_T*(1-EXP(-up_RadSpec!BD29*s_t_v)))/(s_Y_v*up_RadSpec!BD29))),".")</f>
        <v>9.0143481925428208</v>
      </c>
      <c r="BP29" s="72">
        <f>IFERROR(IF(up_Bv!T29=0,".",((s_Ir*s_F*s_I_f*s_T*(1-EXP(-up_RadSpec!BD29*s_t_v)))/(s_Y_v*up_RadSpec!BD29))),".")</f>
        <v>9.0143481925428208</v>
      </c>
      <c r="BQ29" s="72">
        <f>IFERROR(IF(up_Bv!U29=0,".",((s_Ir*s_F*s_I_f*s_T*(1-EXP(-up_RadSpec!BD29*s_t_v)))/(s_Y_v*up_RadSpec!BD29))),".")</f>
        <v>9.0143481925428208</v>
      </c>
      <c r="BR29" s="72">
        <f>IFERROR(IF(up_Bv!V29=0,".",((s_Ir*s_F*s_I_f*s_T*(1-EXP(-up_RadSpec!BD29*s_t_v)))/(s_Y_v*up_RadSpec!BD29))),".")</f>
        <v>9.0143481925428208</v>
      </c>
      <c r="BS29" s="72">
        <f>IFERROR(IF(up_Bv!W29=0,".",((s_Ir*s_F*s_I_f*s_T*(1-EXP(-up_RadSpec!BD29*s_t_v)))/(s_Y_v*up_RadSpec!BD29))),".")</f>
        <v>9.0143481925428208</v>
      </c>
      <c r="BT29" s="72">
        <f>IFERROR(IF(up_Bv!X29=0,".",((s_Ir*s_F*s_I_f*s_T*(1-EXP(-up_RadSpec!BD29*s_t_v)))/(s_Y_v*up_RadSpec!BD29))),".")</f>
        <v>9.0143481925428208</v>
      </c>
      <c r="BU29" s="72">
        <f>IFERROR(IF(up_Bv!Y29=0,".",((s_Ir*s_F*s_I_f*s_T*(1-EXP(-up_RadSpec!BD29*s_t_v)))/(s_Y_v*up_RadSpec!BD29))),".")</f>
        <v>9.0143481925428208</v>
      </c>
      <c r="BV29" s="72">
        <f>IFERROR(IF(up_Bv!Z29=0,".",((s_Ir*s_F*s_I_f*s_T*(1-EXP(-up_RadSpec!BD29*s_t_v)))/(s_Y_v*up_RadSpec!BD29))),".")</f>
        <v>9.0143481925428208</v>
      </c>
    </row>
    <row r="30" spans="1:74" x14ac:dyDescent="0.25">
      <c r="A30" s="31" t="s">
        <v>28</v>
      </c>
      <c r="B30" s="3" t="s">
        <v>1059</v>
      </c>
      <c r="C30" s="72">
        <f>IFERROR(IF(up_Bv!C30=0,".",((s_Ir*s_F*up_Bv!C30*(1-EXP(-up_RadSpec!$BC30*s_t_b)))/(s_P*up_RadSpec!$BC30))),".")</f>
        <v>993.50362303732038</v>
      </c>
      <c r="D30" s="72">
        <f>IFERROR(IF(up_Bv!D30=0,".",((s_Ir*s_F*up_Bv!D30*(1-EXP(-up_RadSpec!BC30*s_t_b)))/(s_P*up_RadSpec!BC30))),".")</f>
        <v>993.50362303732038</v>
      </c>
      <c r="E30" s="72">
        <f>IFERROR(IF(up_Bv!E30=0,".",((s_Ir*s_F*up_Bv!E30*(1-EXP(-up_RadSpec!BC30*s_t_b)))/(s_P*up_RadSpec!BC30))),".")</f>
        <v>993.50362303732038</v>
      </c>
      <c r="F30" s="72">
        <f>IFERROR(IF(up_Bv!F30=0,".",((s_Ir*s_F*up_Bv!F30*(1-EXP(-up_RadSpec!BC30*s_t_b)))/(s_P*up_RadSpec!BC30))),".")</f>
        <v>993.50362303732038</v>
      </c>
      <c r="G30" s="72">
        <f>IFERROR(IF(up_Bv!G30=0,".",((s_Ir*s_F*up_Bv!G30*(1-EXP(-up_RadSpec!BC30*s_t_b)))/(s_P*up_RadSpec!BC30))),".")</f>
        <v>993.50362303732038</v>
      </c>
      <c r="H30" s="72">
        <f>IFERROR(IF(up_Bv!H30=0,".",((s_Ir*s_F*up_Bv!H30*(1-EXP(-up_RadSpec!BC30*s_t_b)))/(s_P*up_RadSpec!BC30))),".")</f>
        <v>993.50362303732038</v>
      </c>
      <c r="I30" s="72">
        <f>IFERROR(IF(up_Bv!I30=0,".",((s_Ir*s_F*up_Bv!I30*(1-EXP(-up_RadSpec!BC30*s_t_b)))/(s_P*up_RadSpec!BC30))),".")</f>
        <v>993.50362303732038</v>
      </c>
      <c r="J30" s="72">
        <f>IFERROR(IF(up_Bv!J30=0,".",((s_Ir*s_F*up_Bv!J30*(1-EXP(-up_RadSpec!BC30*s_t_b)))/(s_P*up_RadSpec!BC30))),".")</f>
        <v>993.50362303732038</v>
      </c>
      <c r="K30" s="72">
        <f>IFERROR(IF(up_Bv!K30=0,".",((s_Ir*s_F*up_Bv!K30*(1-EXP(-up_RadSpec!BC30*s_t_b)))/(s_P*up_RadSpec!BC30))),".")</f>
        <v>993.50362303732038</v>
      </c>
      <c r="L30" s="72">
        <f>IFERROR(IF(up_Bv!L30=0,".",((s_Ir*s_F*up_Bv!L30*(1-EXP(-up_RadSpec!BC30*s_t_b)))/(s_P*up_RadSpec!BC30))),".")</f>
        <v>993.50362303732038</v>
      </c>
      <c r="M30" s="72">
        <f>IFERROR(IF(up_Bv!M30=0,".",((s_Ir*s_F*up_Bv!M30*(1-EXP(-up_RadSpec!BC30*s_t_b)))/(s_P*up_RadSpec!BC30))),".")</f>
        <v>993.50362303732038</v>
      </c>
      <c r="N30" s="72">
        <f>IFERROR(IF(up_Bv!N30=0,".",((s_Ir*s_F*up_Bv!N30*(1-EXP(-up_RadSpec!BC30*s_t_b)))/(s_P*up_RadSpec!BC30))),".")</f>
        <v>993.50362303732038</v>
      </c>
      <c r="O30" s="72">
        <f>IFERROR(IF(up_Bv!O30=0,".",((s_Ir*s_F*up_Bv!O30*(1-EXP(-up_RadSpec!BC30*s_t_b)))/(s_P*up_RadSpec!BC30))),".")</f>
        <v>993.50362303732038</v>
      </c>
      <c r="P30" s="72">
        <f>IFERROR(IF(up_Bv!P30=0,".",((s_Ir*s_F*up_Bv!P30*(1-EXP(-up_RadSpec!BC30*s_t_b)))/(s_P*up_RadSpec!BC30))),".")</f>
        <v>993.50362303732038</v>
      </c>
      <c r="Q30" s="72">
        <f>IFERROR(IF(up_Bv!Q30=0,".",((s_Ir*s_F*up_Bv!Q30*(1-EXP(-up_RadSpec!BC30*s_t_b)))/(s_P*up_RadSpec!BC30))),".")</f>
        <v>993.50362303732038</v>
      </c>
      <c r="R30" s="72">
        <f>IFERROR(IF(up_Bv!R30=0,".",((s_Ir*s_F*up_Bv!R30*(1-EXP(-up_RadSpec!BC30*s_t_b)))/(s_P*up_RadSpec!BC30))),".")</f>
        <v>993.50362303732038</v>
      </c>
      <c r="S30" s="72">
        <f>IFERROR(IF(up_Bv!S30=0,".",((s_Ir*s_F*up_Bv!S30*(1-EXP(-up_RadSpec!BC30*s_t_b)))/(s_P*up_RadSpec!BC30))),".")</f>
        <v>993.50362303732038</v>
      </c>
      <c r="T30" s="72">
        <f>IFERROR(IF(up_Bv!T30=0,".",((s_Ir*s_F*up_Bv!T30*(1-EXP(-up_RadSpec!BC30*s_t_b)))/(s_P*up_RadSpec!BC30))),".")</f>
        <v>993.50362303732038</v>
      </c>
      <c r="U30" s="72">
        <f>IFERROR(IF(up_Bv!U30=0,".",((s_Ir*s_F*up_Bv!U30*(1-EXP(-up_RadSpec!BC30*s_t_b)))/(s_P*up_RadSpec!BC30))),".")</f>
        <v>993.50362303732038</v>
      </c>
      <c r="V30" s="72">
        <f>IFERROR(IF(up_Bv!V30=0,".",((s_Ir*s_F*up_Bv!V30*(1-EXP(-up_RadSpec!BC30*s_t_b)))/(s_P*up_RadSpec!BC30))),".")</f>
        <v>993.50362303732038</v>
      </c>
      <c r="W30" s="72">
        <f>IFERROR(IF(up_Bv!W30=0,".",((s_Ir*s_F*up_Bv!W30*(1-EXP(-up_RadSpec!BC30*s_t_b)))/(s_P*up_RadSpec!BC30))),".")</f>
        <v>993.50362303732038</v>
      </c>
      <c r="X30" s="72">
        <f>IFERROR(IF(up_Bv!X30=0,".",((s_Ir*s_F*up_Bv!X30*(1-EXP(-up_RadSpec!BC30*s_t_b)))/(s_P*up_RadSpec!BC30))),".")</f>
        <v>993.50362303732038</v>
      </c>
      <c r="Y30" s="72">
        <f>IFERROR(IF(up_Bv!Y30=0,".",((s_Ir*s_F*up_Bv!Y30*(1-EXP(-up_RadSpec!BC30*s_t_b)))/(s_P*up_RadSpec!BC30))),".")</f>
        <v>993.50362303732038</v>
      </c>
      <c r="Z30" s="72">
        <f>IFERROR(IF(up_Bv!Z30=0,".",((s_Ir*s_F*up_Bv!Z30*(1-EXP(-up_RadSpec!BC30*s_t_b)))/(s_P*up_RadSpec!BC30))),".")</f>
        <v>993.50362303732038</v>
      </c>
      <c r="AA30" s="72">
        <f>IFERROR(IF(up_Bv!C30=0,".",((s_Ir*s_F*s_MLF_apple*(1-EXP(-up_RadSpec!BC30*s_t_b)))/(s_P*up_RadSpec!BC30))),".")</f>
        <v>2.6824597822007652</v>
      </c>
      <c r="AB30" s="72">
        <f>IFERROR(IF(up_Bv!D30=0,".",((s_Ir*s_F*s_MLF_asparagus*(1-EXP(-up_RadSpec!BC30*s_t_b)))/(s_P*up_RadSpec!BC30))),".")</f>
        <v>2.6824597822007652</v>
      </c>
      <c r="AC30" s="72">
        <f>IFERROR(IF(up_Bv!E30=0,".",((s_Ir*s_F*s_MLF_beet*(1-EXP(-up_RadSpec!BC30*s_t_b)))/(s_P*up_RadSpec!BC30))),".")</f>
        <v>2.6824597822007652</v>
      </c>
      <c r="AD30" s="72">
        <f>IFERROR(IF(up_Bv!F30=0,".",((s_Ir*s_F*s_MLF_berries*(1-EXP(-up_RadSpec!BC30*s_t_b)))/(s_P*up_RadSpec!BC30))),".")</f>
        <v>2.6824597822007652</v>
      </c>
      <c r="AE30" s="72">
        <f>IFERROR(IF(up_Bv!G30=0,".",((s_Ir*s_F*s_MLF_broccoli*(1-EXP(-up_RadSpec!BC30*s_t_b)))/(s_P*up_RadSpec!BC30))),".")</f>
        <v>2.6824597822007652</v>
      </c>
      <c r="AF30" s="72">
        <f>IFERROR(IF(up_Bv!H30=0,".",((s_Ir*s_F*s_MLF_cabbage*(1-EXP(-up_RadSpec!BC30*s_t_b)))/(s_P*up_RadSpec!BC30))),".")</f>
        <v>2.6824597822007652</v>
      </c>
      <c r="AG30" s="72">
        <f>IFERROR(IF(up_Bv!I30=0,".",((s_Ir*s_F*s_MLF_carrot*(1-EXP(-up_RadSpec!BC30*s_t_b)))/(s_P*up_RadSpec!BC30))),".")</f>
        <v>2.6824597822007652</v>
      </c>
      <c r="AH30" s="72">
        <f>IFERROR(IF(up_Bv!J30=0,".",((s_Ir*s_F*s_MLF_citrus*(1-EXP(-up_RadSpec!BC30*s_t_b)))/(s_P*up_RadSpec!BC30))),".")</f>
        <v>2.6824597822007652</v>
      </c>
      <c r="AI30" s="72">
        <f>IFERROR(IF(up_Bv!K30=0,".",((s_Ir*s_F*s_MLF_corn*(1-EXP(-up_RadSpec!BC30*s_t_b)))/(s_P*up_RadSpec!BC30))),".")</f>
        <v>2.6824597822007652</v>
      </c>
      <c r="AJ30" s="72">
        <f>IFERROR(IF(up_Bv!L30=0,".",((s_Ir*s_F*s_MLF_cucumber*(1-EXP(-up_RadSpec!BC30*s_t_b)))/(s_P*up_RadSpec!BC30))),".")</f>
        <v>2.6824597822007652</v>
      </c>
      <c r="AK30" s="72">
        <f>IFERROR(IF(up_Bv!M30=0,".",((s_Ir*s_F*s_MLF_lettuce*(1-EXP(-up_RadSpec!BC30*s_t_b)))/(s_P*up_RadSpec!BC30))),".")</f>
        <v>2.6824597822007652</v>
      </c>
      <c r="AL30" s="72">
        <f>IFERROR(IF(up_Bv!N30=0,".",((s_Ir*s_F*s_MLF_lima_bean*(1-EXP(-up_RadSpec!BC30*s_t_b)))/(s_P*up_RadSpec!BC30))),".")</f>
        <v>2.6824597822007652</v>
      </c>
      <c r="AM30" s="72">
        <f>IFERROR(IF(up_Bv!O30=0,".",((s_Ir*s_F*s_MLF_okra*(1-EXP(-up_RadSpec!BC30*s_t_b)))/(s_P*up_RadSpec!BC30))),".")</f>
        <v>2.6824597822007652</v>
      </c>
      <c r="AN30" s="72">
        <f>IFERROR(IF(up_Bv!P30=0,".",((s_Ir*s_F*s_MLF_onion*(1-EXP(-up_RadSpec!BC30*s_t_b)))/(s_P*up_RadSpec!BC30))),".")</f>
        <v>2.6824597822007652</v>
      </c>
      <c r="AO30" s="72">
        <f>IFERROR(IF(up_Bv!Q30=0,".",((s_Ir*s_F*s_MLF_peach*(1-EXP(-up_RadSpec!BC30*s_t_b)))/(s_P*up_RadSpec!BC30))),".")</f>
        <v>2.6824597822007652</v>
      </c>
      <c r="AP30" s="72">
        <f>IFERROR(IF(up_Bv!R30=0,".",((s_Ir*s_F*s_MLF_pear*(1-EXP(-up_RadSpec!BC30*s_t_b)))/(s_P*up_RadSpec!BC30))),".")</f>
        <v>2.6824597822007652</v>
      </c>
      <c r="AQ30" s="72">
        <f>IFERROR(IF(up_Bv!S30=0,".",((s_Ir*s_F*s_MLF_peas*(1-EXP(-up_RadSpec!BC30*s_t_b)))/(s_P*up_RadSpec!BC30))),".")</f>
        <v>2.6824597822007652</v>
      </c>
      <c r="AR30" s="72">
        <f>IFERROR(IF(up_Bv!T30=0,".",((s_Ir*s_F*s_MLF_potato*(1-EXP(-up_RadSpec!BC30*s_t_b)))/(s_P*up_RadSpec!BC30))),".")</f>
        <v>2.6824597822007652</v>
      </c>
      <c r="AS30" s="72">
        <f>IFERROR(IF(up_Bv!U30=0,".",((s_Ir*s_F*s_MLF_pumpkin*(1-EXP(-up_RadSpec!BC30*s_t_b)))/(s_P*up_RadSpec!BC30))),".")</f>
        <v>2.6824597822007652</v>
      </c>
      <c r="AT30" s="72">
        <f>IFERROR(IF(up_Bv!V30=0,".",((s_Ir*s_F*s_MLF_snap_bean*(1-EXP(-up_RadSpec!BC30*s_t_b)))/(s_P*up_RadSpec!BC30))),".")</f>
        <v>2.6824597822007652</v>
      </c>
      <c r="AU30" s="72">
        <f>IFERROR(IF(up_Bv!W30=0,".",((s_Ir*s_F*s_MLF_strawberry*(1-EXP(-up_RadSpec!BC30*s_t_b)))/(s_P*up_RadSpec!BC30))),".")</f>
        <v>2.6824597822007652</v>
      </c>
      <c r="AV30" s="72">
        <f>IFERROR(IF(up_Bv!X30=0,".",((s_Ir*s_F*s_MLF_tomato*(1-EXP(-up_RadSpec!BC30*s_t_b)))/(s_P*up_RadSpec!BC30))),".")</f>
        <v>2.6824597822007652</v>
      </c>
      <c r="AW30" s="72">
        <f>IFERROR(IF(up_Bv!Y30=0,".",((s_Ir*s_F*s_MLF_rice*(1-EXP(-up_RadSpec!BC30*s_t_b)))/(s_P*up_RadSpec!BC30))),".")</f>
        <v>2.6824597822007652</v>
      </c>
      <c r="AX30" s="72">
        <f>IFERROR(IF(up_Bv!Z30=0,".",((s_Ir*s_F*s_MLF_cereal*(1-EXP(-up_RadSpec!BC30*s_t_b)))/(s_P*up_RadSpec!BC30))),".")</f>
        <v>2.6824597822007652</v>
      </c>
      <c r="AY30" s="72">
        <f>IFERROR(IF(up_Bv!C30=0,".",((s_Ir*s_F*s_I_f*s_T*(1-EXP(-up_RadSpec!BD30*s_t_v)))/(s_Y_v*up_RadSpec!BD30))),".")</f>
        <v>9.0143481925428208</v>
      </c>
      <c r="AZ30" s="72">
        <f>IFERROR(IF(up_Bv!D30=0,".",((s_Ir*s_F*s_I_f*s_T*(1-EXP(-up_RadSpec!BD30*s_t_v)))/(s_Y_v*up_RadSpec!BD30))),".")</f>
        <v>9.0143481925428208</v>
      </c>
      <c r="BA30" s="72">
        <f>IFERROR(IF(up_Bv!E30=0,".",((s_Ir*s_F*s_I_f*s_T*(1-EXP(-up_RadSpec!BD30*s_t_v)))/(s_Y_v*up_RadSpec!BD30))),".")</f>
        <v>9.0143481925428208</v>
      </c>
      <c r="BB30" s="72">
        <f>IFERROR(IF(up_Bv!F30=0,".",((s_Ir*s_F*s_I_f*s_T*(1-EXP(-up_RadSpec!BD30*s_t_v)))/(s_Y_v*up_RadSpec!BD30))),".")</f>
        <v>9.0143481925428208</v>
      </c>
      <c r="BC30" s="72">
        <f>IFERROR(IF(up_Bv!G30=0,".",((s_Ir*s_F*s_I_f*s_T*(1-EXP(-up_RadSpec!BD30*s_t_v)))/(s_Y_v*up_RadSpec!BD30))),".")</f>
        <v>9.0143481925428208</v>
      </c>
      <c r="BD30" s="72">
        <f>IFERROR(IF(up_Bv!H30=0,".",((s_Ir*s_F*s_I_f*s_T*(1-EXP(-up_RadSpec!BD30*s_t_v)))/(s_Y_v*up_RadSpec!BD30))),".")</f>
        <v>9.0143481925428208</v>
      </c>
      <c r="BE30" s="72">
        <f>IFERROR(IF(up_Bv!I30=0,".",((s_Ir*s_F*s_I_f*s_T*(1-EXP(-up_RadSpec!BD30*s_t_v)))/(s_Y_v*up_RadSpec!BD30))),".")</f>
        <v>9.0143481925428208</v>
      </c>
      <c r="BF30" s="72">
        <f>IFERROR(IF(up_Bv!J30=0,".",((s_Ir*s_F*s_I_f*s_T*(1-EXP(-up_RadSpec!BD30*s_t_v)))/(s_Y_v*up_RadSpec!BD30))),".")</f>
        <v>9.0143481925428208</v>
      </c>
      <c r="BG30" s="72">
        <f>IFERROR(IF(up_Bv!K30=0,".",((s_Ir*s_F*s_I_f*s_T*(1-EXP(-up_RadSpec!BD30*s_t_v)))/(s_Y_v*up_RadSpec!BD30))),".")</f>
        <v>9.0143481925428208</v>
      </c>
      <c r="BH30" s="72">
        <f>IFERROR(IF(up_Bv!L30=0,".",((s_Ir*s_F*s_I_f*s_T*(1-EXP(-up_RadSpec!BD30*s_t_v)))/(s_Y_v*up_RadSpec!BD30))),".")</f>
        <v>9.0143481925428208</v>
      </c>
      <c r="BI30" s="72">
        <f>IFERROR(IF(up_Bv!M30=0,".",((s_Ir*s_F*s_I_f*s_T*(1-EXP(-up_RadSpec!BD30*s_t_v)))/(s_Y_v*up_RadSpec!BD30))),".")</f>
        <v>9.0143481925428208</v>
      </c>
      <c r="BJ30" s="72">
        <f>IFERROR(IF(up_Bv!N30=0,".",((s_Ir*s_F*s_I_f*s_T*(1-EXP(-up_RadSpec!BD30*s_t_v)))/(s_Y_v*up_RadSpec!BD30))),".")</f>
        <v>9.0143481925428208</v>
      </c>
      <c r="BK30" s="72">
        <f>IFERROR(IF(up_Bv!O30=0,".",((s_Ir*s_F*s_I_f*s_T*(1-EXP(-up_RadSpec!BD30*s_t_v)))/(s_Y_v*up_RadSpec!BD30))),".")</f>
        <v>9.0143481925428208</v>
      </c>
      <c r="BL30" s="72">
        <f>IFERROR(IF(up_Bv!P30=0,".",((s_Ir*s_F*s_I_f*s_T*(1-EXP(-up_RadSpec!BD30*s_t_v)))/(s_Y_v*up_RadSpec!BD30))),".")</f>
        <v>9.0143481925428208</v>
      </c>
      <c r="BM30" s="72">
        <f>IFERROR(IF(up_Bv!Q30=0,".",((s_Ir*s_F*s_I_f*s_T*(1-EXP(-up_RadSpec!BD30*s_t_v)))/(s_Y_v*up_RadSpec!BD30))),".")</f>
        <v>9.0143481925428208</v>
      </c>
      <c r="BN30" s="72">
        <f>IFERROR(IF(up_Bv!R30=0,".",((s_Ir*s_F*s_I_f*s_T*(1-EXP(-up_RadSpec!BD30*s_t_v)))/(s_Y_v*up_RadSpec!BD30))),".")</f>
        <v>9.0143481925428208</v>
      </c>
      <c r="BO30" s="72">
        <f>IFERROR(IF(up_Bv!S30=0,".",((s_Ir*s_F*s_I_f*s_T*(1-EXP(-up_RadSpec!BD30*s_t_v)))/(s_Y_v*up_RadSpec!BD30))),".")</f>
        <v>9.0143481925428208</v>
      </c>
      <c r="BP30" s="72">
        <f>IFERROR(IF(up_Bv!T30=0,".",((s_Ir*s_F*s_I_f*s_T*(1-EXP(-up_RadSpec!BD30*s_t_v)))/(s_Y_v*up_RadSpec!BD30))),".")</f>
        <v>9.0143481925428208</v>
      </c>
      <c r="BQ30" s="72">
        <f>IFERROR(IF(up_Bv!U30=0,".",((s_Ir*s_F*s_I_f*s_T*(1-EXP(-up_RadSpec!BD30*s_t_v)))/(s_Y_v*up_RadSpec!BD30))),".")</f>
        <v>9.0143481925428208</v>
      </c>
      <c r="BR30" s="72">
        <f>IFERROR(IF(up_Bv!V30=0,".",((s_Ir*s_F*s_I_f*s_T*(1-EXP(-up_RadSpec!BD30*s_t_v)))/(s_Y_v*up_RadSpec!BD30))),".")</f>
        <v>9.0143481925428208</v>
      </c>
      <c r="BS30" s="72">
        <f>IFERROR(IF(up_Bv!W30=0,".",((s_Ir*s_F*s_I_f*s_T*(1-EXP(-up_RadSpec!BD30*s_t_v)))/(s_Y_v*up_RadSpec!BD30))),".")</f>
        <v>9.0143481925428208</v>
      </c>
      <c r="BT30" s="72">
        <f>IFERROR(IF(up_Bv!X30=0,".",((s_Ir*s_F*s_I_f*s_T*(1-EXP(-up_RadSpec!BD30*s_t_v)))/(s_Y_v*up_RadSpec!BD30))),".")</f>
        <v>9.0143481925428208</v>
      </c>
      <c r="BU30" s="72">
        <f>IFERROR(IF(up_Bv!Y30=0,".",((s_Ir*s_F*s_I_f*s_T*(1-EXP(-up_RadSpec!BD30*s_t_v)))/(s_Y_v*up_RadSpec!BD30))),".")</f>
        <v>9.0143481925428208</v>
      </c>
      <c r="BV30" s="72">
        <f>IFERROR(IF(up_Bv!Z30=0,".",((s_Ir*s_F*s_I_f*s_T*(1-EXP(-up_RadSpec!BD30*s_t_v)))/(s_Y_v*up_RadSpec!BD30))),".")</f>
        <v>9.0143481925428208</v>
      </c>
    </row>
  </sheetData>
  <sheetProtection algorithmName="SHA-512" hashValue="22BvQ+FXSKHKo5rbee0pagCX5pbOaup52brMbdkUa7Pk/8Urf0KUa+zrOgHSN3ib3ZT9ceLXYdluLQcld7h+Bw==" saltValue="Op04mSjIGDMzQzdrx+lS8Q==" spinCount="100000" sheet="1" objects="1" scenarios="1" formatColumns="0" formatRows="0" autoFilter="0"/>
  <autoFilter ref="A1:BV1299" xr:uid="{00000000-0009-0000-0000-00001A00000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BY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47" bestFit="1" customWidth="1"/>
    <col min="2" max="2" width="11.7109375" style="47" bestFit="1" customWidth="1"/>
    <col min="3" max="3" width="20.7109375" style="47" bestFit="1" customWidth="1"/>
    <col min="4" max="4" width="14.5703125" style="49" bestFit="1" customWidth="1"/>
    <col min="5" max="5" width="14.28515625" style="49" bestFit="1" customWidth="1"/>
    <col min="6" max="6" width="13.85546875" style="49" bestFit="1" customWidth="1"/>
    <col min="7" max="7" width="14.28515625" style="49" bestFit="1" customWidth="1"/>
    <col min="8" max="8" width="13.7109375" style="49" bestFit="1" customWidth="1"/>
    <col min="9" max="9" width="14" style="49" bestFit="1" customWidth="1"/>
    <col min="10" max="10" width="13.140625" style="49" bestFit="1" customWidth="1"/>
    <col min="11" max="11" width="14.5703125" style="49" bestFit="1" customWidth="1"/>
    <col min="12" max="12" width="13.7109375" style="49" bestFit="1" customWidth="1"/>
    <col min="13" max="13" width="15.42578125" style="49" bestFit="1" customWidth="1"/>
    <col min="14" max="14" width="12.85546875" style="49" bestFit="1" customWidth="1"/>
    <col min="15" max="15" width="13.42578125" style="49" bestFit="1" customWidth="1"/>
    <col min="16" max="16" width="13.5703125" style="49" bestFit="1" customWidth="1"/>
    <col min="17" max="17" width="14.7109375" style="49" bestFit="1" customWidth="1"/>
    <col min="18" max="18" width="15" style="49" bestFit="1" customWidth="1"/>
    <col min="19" max="19" width="13.7109375" style="49" bestFit="1" customWidth="1"/>
    <col min="20" max="20" width="13" style="49" bestFit="1" customWidth="1"/>
    <col min="21" max="21" width="14.42578125" style="49" bestFit="1" customWidth="1"/>
    <col min="22" max="22" width="14.85546875" style="49" bestFit="1" customWidth="1"/>
    <col min="23" max="23" width="13.85546875" style="49" bestFit="1" customWidth="1"/>
    <col min="24" max="24" width="14.5703125" style="49" bestFit="1" customWidth="1"/>
    <col min="25" max="25" width="13.42578125" style="49" bestFit="1" customWidth="1"/>
    <col min="26" max="26" width="13" style="49" bestFit="1" customWidth="1"/>
    <col min="27" max="27" width="15" style="49" bestFit="1" customWidth="1"/>
    <col min="28" max="28" width="22.42578125" style="49" bestFit="1" customWidth="1"/>
    <col min="29" max="29" width="14.28515625" style="49" bestFit="1" customWidth="1"/>
    <col min="30" max="30" width="14.140625" style="49" bestFit="1" customWidth="1"/>
    <col min="31" max="31" width="13.5703125" style="49" bestFit="1" customWidth="1"/>
    <col min="32" max="32" width="14.140625" style="49" bestFit="1" customWidth="1"/>
    <col min="33" max="33" width="13.42578125" style="49" bestFit="1" customWidth="1"/>
    <col min="34" max="34" width="13.7109375" style="49" bestFit="1" customWidth="1"/>
    <col min="35" max="35" width="13" style="49" bestFit="1" customWidth="1"/>
    <col min="36" max="36" width="14.28515625" style="49" bestFit="1" customWidth="1"/>
    <col min="37" max="37" width="13.42578125" style="49" bestFit="1" customWidth="1"/>
    <col min="38" max="38" width="15.28515625" style="49" bestFit="1" customWidth="1"/>
    <col min="39" max="39" width="12.7109375" style="49" bestFit="1" customWidth="1"/>
    <col min="40" max="40" width="13.28515625" style="49" bestFit="1" customWidth="1"/>
    <col min="41" max="41" width="13.42578125" style="49" bestFit="1" customWidth="1"/>
    <col min="42" max="42" width="14.5703125" style="49" bestFit="1" customWidth="1"/>
    <col min="43" max="43" width="14.7109375" style="49" bestFit="1" customWidth="1"/>
    <col min="44" max="44" width="13.42578125" style="49" bestFit="1" customWidth="1"/>
    <col min="45" max="45" width="12.85546875" style="49" bestFit="1" customWidth="1"/>
    <col min="46" max="46" width="14.140625" style="49" bestFit="1" customWidth="1"/>
    <col min="47" max="47" width="14.5703125" style="49" bestFit="1" customWidth="1"/>
    <col min="48" max="48" width="13.5703125" style="49" bestFit="1" customWidth="1"/>
    <col min="49" max="49" width="14.28515625" style="49" bestFit="1" customWidth="1"/>
    <col min="50" max="50" width="13.140625" style="49" bestFit="1" customWidth="1"/>
    <col min="51" max="51" width="12.85546875" style="49" bestFit="1" customWidth="1"/>
    <col min="52" max="52" width="13.85546875" style="49" bestFit="1" customWidth="1"/>
    <col min="53" max="53" width="20.7109375" style="3" bestFit="1" customWidth="1"/>
    <col min="54" max="54" width="14.5703125" style="49" bestFit="1" customWidth="1"/>
    <col min="55" max="55" width="14.7109375" style="49" bestFit="1" customWidth="1"/>
    <col min="56" max="56" width="13.85546875" style="49" bestFit="1" customWidth="1"/>
    <col min="57" max="57" width="14.42578125" style="49" bestFit="1" customWidth="1"/>
    <col min="58" max="58" width="13.85546875" style="49" bestFit="1" customWidth="1"/>
    <col min="59" max="59" width="14" style="49" bestFit="1" customWidth="1"/>
    <col min="60" max="60" width="13.42578125" style="49" bestFit="1" customWidth="1"/>
    <col min="61" max="61" width="14.7109375" style="49" bestFit="1" customWidth="1"/>
    <col min="62" max="62" width="13.85546875" style="49" bestFit="1" customWidth="1"/>
    <col min="63" max="63" width="15.5703125" style="49" bestFit="1" customWidth="1"/>
    <col min="64" max="64" width="13" style="49" bestFit="1" customWidth="1"/>
    <col min="65" max="66" width="13.85546875" style="49" bestFit="1" customWidth="1"/>
    <col min="67" max="67" width="14.7109375" style="49" bestFit="1" customWidth="1"/>
    <col min="68" max="68" width="15" style="49" bestFit="1" customWidth="1"/>
    <col min="69" max="69" width="13.85546875" style="49" bestFit="1" customWidth="1"/>
    <col min="70" max="70" width="13.140625" style="49" bestFit="1" customWidth="1"/>
    <col min="71" max="71" width="14.5703125" style="49" bestFit="1" customWidth="1"/>
    <col min="72" max="72" width="14.85546875" style="49" bestFit="1" customWidth="1"/>
    <col min="73" max="73" width="14" style="49" bestFit="1" customWidth="1"/>
    <col min="74" max="74" width="14.85546875" style="49" bestFit="1" customWidth="1"/>
    <col min="75" max="75" width="13.5703125" style="49" bestFit="1" customWidth="1"/>
    <col min="76" max="76" width="13.140625" style="49" bestFit="1" customWidth="1"/>
    <col min="77" max="77" width="14.28515625" style="49" bestFit="1" customWidth="1"/>
    <col min="78" max="16384" width="9.140625" style="49"/>
  </cols>
  <sheetData>
    <row r="1" spans="1:77" x14ac:dyDescent="0.25">
      <c r="A1" s="57" t="s">
        <v>39</v>
      </c>
      <c r="B1" s="58" t="s">
        <v>335</v>
      </c>
      <c r="C1" s="49" t="s">
        <v>1361</v>
      </c>
      <c r="D1" s="49" t="s">
        <v>1362</v>
      </c>
      <c r="E1" s="49" t="s">
        <v>1363</v>
      </c>
      <c r="F1" s="49" t="s">
        <v>1364</v>
      </c>
      <c r="G1" s="49" t="s">
        <v>1365</v>
      </c>
      <c r="H1" s="49" t="s">
        <v>1366</v>
      </c>
      <c r="I1" s="49" t="s">
        <v>1367</v>
      </c>
      <c r="J1" s="49" t="s">
        <v>1368</v>
      </c>
      <c r="K1" s="49" t="s">
        <v>1369</v>
      </c>
      <c r="L1" s="49" t="s">
        <v>1370</v>
      </c>
      <c r="M1" s="49" t="s">
        <v>1371</v>
      </c>
      <c r="N1" s="49" t="s">
        <v>1372</v>
      </c>
      <c r="O1" s="49" t="s">
        <v>1373</v>
      </c>
      <c r="P1" s="49" t="s">
        <v>1374</v>
      </c>
      <c r="Q1" s="49" t="s">
        <v>1375</v>
      </c>
      <c r="R1" s="49" t="s">
        <v>1376</v>
      </c>
      <c r="S1" s="49" t="s">
        <v>1377</v>
      </c>
      <c r="T1" s="49" t="s">
        <v>1378</v>
      </c>
      <c r="U1" s="49" t="s">
        <v>1379</v>
      </c>
      <c r="V1" s="49" t="s">
        <v>1380</v>
      </c>
      <c r="W1" s="49" t="s">
        <v>1381</v>
      </c>
      <c r="X1" s="49" t="s">
        <v>1382</v>
      </c>
      <c r="Y1" s="49" t="s">
        <v>1383</v>
      </c>
      <c r="Z1" s="49" t="s">
        <v>1384</v>
      </c>
      <c r="AA1" s="49" t="s">
        <v>1385</v>
      </c>
      <c r="AB1" s="49" t="s">
        <v>1336</v>
      </c>
      <c r="AC1" s="49" t="s">
        <v>1337</v>
      </c>
      <c r="AD1" s="49" t="s">
        <v>1338</v>
      </c>
      <c r="AE1" s="49" t="s">
        <v>1339</v>
      </c>
      <c r="AF1" s="49" t="s">
        <v>1340</v>
      </c>
      <c r="AG1" s="49" t="s">
        <v>1341</v>
      </c>
      <c r="AH1" s="49" t="s">
        <v>1342</v>
      </c>
      <c r="AI1" s="49" t="s">
        <v>1343</v>
      </c>
      <c r="AJ1" s="49" t="s">
        <v>1344</v>
      </c>
      <c r="AK1" s="49" t="s">
        <v>1345</v>
      </c>
      <c r="AL1" s="49" t="s">
        <v>1346</v>
      </c>
      <c r="AM1" s="49" t="s">
        <v>1347</v>
      </c>
      <c r="AN1" s="49" t="s">
        <v>1348</v>
      </c>
      <c r="AO1" s="49" t="s">
        <v>1349</v>
      </c>
      <c r="AP1" s="49" t="s">
        <v>1350</v>
      </c>
      <c r="AQ1" s="49" t="s">
        <v>1351</v>
      </c>
      <c r="AR1" s="49" t="s">
        <v>1352</v>
      </c>
      <c r="AS1" s="49" t="s">
        <v>1353</v>
      </c>
      <c r="AT1" s="49" t="s">
        <v>1354</v>
      </c>
      <c r="AU1" s="49" t="s">
        <v>1355</v>
      </c>
      <c r="AV1" s="49" t="s">
        <v>1356</v>
      </c>
      <c r="AW1" s="49" t="s">
        <v>1357</v>
      </c>
      <c r="AX1" s="49" t="s">
        <v>1358</v>
      </c>
      <c r="AY1" s="49" t="s">
        <v>1359</v>
      </c>
      <c r="AZ1" s="49" t="s">
        <v>1360</v>
      </c>
      <c r="BA1" s="53" t="s">
        <v>1134</v>
      </c>
      <c r="BB1" s="60" t="s">
        <v>1312</v>
      </c>
      <c r="BC1" s="60" t="s">
        <v>1313</v>
      </c>
      <c r="BD1" s="60" t="s">
        <v>1314</v>
      </c>
      <c r="BE1" s="60" t="s">
        <v>1315</v>
      </c>
      <c r="BF1" s="60" t="s">
        <v>1316</v>
      </c>
      <c r="BG1" s="60" t="s">
        <v>1317</v>
      </c>
      <c r="BH1" s="60" t="s">
        <v>1318</v>
      </c>
      <c r="BI1" s="60" t="s">
        <v>1319</v>
      </c>
      <c r="BJ1" s="60" t="s">
        <v>1320</v>
      </c>
      <c r="BK1" s="60" t="s">
        <v>1321</v>
      </c>
      <c r="BL1" s="60" t="s">
        <v>1322</v>
      </c>
      <c r="BM1" s="60" t="s">
        <v>1323</v>
      </c>
      <c r="BN1" s="60" t="s">
        <v>1324</v>
      </c>
      <c r="BO1" s="60" t="s">
        <v>1325</v>
      </c>
      <c r="BP1" s="60" t="s">
        <v>1326</v>
      </c>
      <c r="BQ1" s="60" t="s">
        <v>1327</v>
      </c>
      <c r="BR1" s="60" t="s">
        <v>1328</v>
      </c>
      <c r="BS1" s="60" t="s">
        <v>1329</v>
      </c>
      <c r="BT1" s="60" t="s">
        <v>1330</v>
      </c>
      <c r="BU1" s="60" t="s">
        <v>1331</v>
      </c>
      <c r="BV1" s="60" t="s">
        <v>1332</v>
      </c>
      <c r="BW1" s="60" t="s">
        <v>1333</v>
      </c>
      <c r="BX1" s="60" t="s">
        <v>1334</v>
      </c>
      <c r="BY1" s="60" t="s">
        <v>1335</v>
      </c>
    </row>
    <row r="2" spans="1:77" x14ac:dyDescent="0.25">
      <c r="A2" s="61" t="s">
        <v>0</v>
      </c>
      <c r="B2" s="49" t="s">
        <v>1059</v>
      </c>
      <c r="C2" s="71">
        <f>IFERROR(1/SUM(1/D2,1/Z2,1/AA2),".")</f>
        <v>2.2038567493112948E-4</v>
      </c>
      <c r="D2" s="71">
        <f>IFERROR(s_DL/(up_RadSpec!$J2*s_IFAP_res_adj*s_CF_apple),".")</f>
        <v>6.6115702479338848E-4</v>
      </c>
      <c r="E2" s="71">
        <f>IFERROR(s_DL/(up_RadSpec!$J2*s_IFAS_res_adj*s_CF_asparagus),".")</f>
        <v>6.6115702479338848E-4</v>
      </c>
      <c r="F2" s="71">
        <f>IFERROR(s_DL/(up_RadSpec!$J2*s_IFBT_res_adj*s_CF_beet),".")</f>
        <v>6.6115702479338848E-4</v>
      </c>
      <c r="G2" s="71">
        <f>IFERROR(s_DL/(up_RadSpec!$J2*s_IFBE_res_adj*s_CF_berries),".")</f>
        <v>6.6115702479338848E-4</v>
      </c>
      <c r="H2" s="71">
        <f>IFERROR(s_DL/(up_RadSpec!$J2*s_IFBR_res_adj*s_CF_broccoli),".")</f>
        <v>6.6115702479338848E-4</v>
      </c>
      <c r="I2" s="71">
        <f>IFERROR(s_DL/(up_RadSpec!$J2*s_IFCB_res_adj*s_CF_cabbage),".")</f>
        <v>6.6115702479338848E-4</v>
      </c>
      <c r="J2" s="71">
        <f>IFERROR(s_DL/(up_RadSpec!$J2*s_IFCR_res_adj*s_CF_carrot),".")</f>
        <v>6.6115702479338848E-4</v>
      </c>
      <c r="K2" s="71">
        <f>IFERROR(s_DL/(up_RadSpec!$J2*s_IFCI_res_adj*s_CF_citrus),".")</f>
        <v>6.6115702479338848E-4</v>
      </c>
      <c r="L2" s="71">
        <f>IFERROR(s_DL/(up_RadSpec!$J2*s_IFCO_res_adj*s_CF_corn),".")</f>
        <v>6.6115702479338848E-4</v>
      </c>
      <c r="M2" s="71">
        <f>IFERROR(s_DL/(up_RadSpec!$J2*s_IFCU_res_adj*s_CF_cucumber),".")</f>
        <v>6.6115702479338848E-4</v>
      </c>
      <c r="N2" s="71">
        <f>IFERROR(s_DL/(up_RadSpec!$J2*s_IFLE_res_adj*s_CF_lettuce),".")</f>
        <v>6.6115702479338848E-4</v>
      </c>
      <c r="O2" s="71">
        <f>IFERROR(s_DL/(up_RadSpec!$J2*s_IFLI_res_adj*s_CF_lima_bean),".")</f>
        <v>6.6115702479338848E-4</v>
      </c>
      <c r="P2" s="71">
        <f>IFERROR(s_DL/(up_RadSpec!$J2*s_IFOK_res_adj*s_CF_okra),".")</f>
        <v>6.6115702479338848E-4</v>
      </c>
      <c r="Q2" s="71">
        <f>IFERROR(s_DL/(up_RadSpec!$J2*s_IFON_res_adj*s_CF_onion),".")</f>
        <v>6.6115702479338848E-4</v>
      </c>
      <c r="R2" s="71">
        <f>IFERROR(s_DL/(up_RadSpec!$J2*s_IFPC_res_adj*s_CF_peach),".")</f>
        <v>6.6115702479338848E-4</v>
      </c>
      <c r="S2" s="71">
        <f>IFERROR(s_DL/(up_RadSpec!$J2*s_IFPR_res_adj*s_CF_pear),".")</f>
        <v>6.6115702479338848E-4</v>
      </c>
      <c r="T2" s="71">
        <f>IFERROR(s_DL/(up_RadSpec!$J2*s_IFPE_res_adj*s_CF_peas),".")</f>
        <v>6.6115702479338848E-4</v>
      </c>
      <c r="U2" s="71">
        <f>IFERROR(s_DL/(up_RadSpec!$J2*s_IFPT_res_adj*s_CF_potato),".")</f>
        <v>6.6115702479338848E-4</v>
      </c>
      <c r="V2" s="71">
        <f>IFERROR(s_DL/(up_RadSpec!$J2*s_IFPU_res_adj*s_CF_pumpkin),".")</f>
        <v>6.6115702479338848E-4</v>
      </c>
      <c r="W2" s="71">
        <f>IFERROR(s_DL/(up_RadSpec!$J2*s_IFSN_res_adj*s_CF_snap_bean),".")</f>
        <v>6.6115702479338848E-4</v>
      </c>
      <c r="X2" s="71">
        <f>IFERROR(s_DL/(up_RadSpec!$J2*s_IFST_res_adj*s_CF_strawberry),".")</f>
        <v>6.6115702479338848E-4</v>
      </c>
      <c r="Y2" s="71">
        <f>IFERROR(s_DL/(up_RadSpec!$J2*s_IFTO_res_adj*s_CF_tomato),".")</f>
        <v>6.6115702479338848E-4</v>
      </c>
      <c r="Z2" s="71">
        <f>IFERROR(s_DL/(up_RadSpec!$J2*s_IFRI_res_adj*s_CF_rice),".")</f>
        <v>6.6115702479338848E-4</v>
      </c>
      <c r="AA2" s="71">
        <f>IFERROR(s_DL/(up_RadSpec!$J2*s_IFCG_res_adj*s_CF_cereal),".")</f>
        <v>6.6115702479338848E-4</v>
      </c>
      <c r="AB2" s="71">
        <f>IFERROR(1/SUM(1/AC2,1/AY2,1/AZ2),".")</f>
        <v>2.2038567493112948E-4</v>
      </c>
      <c r="AC2" s="71">
        <f>IFERROR(s_DL/(up_RadSpec!$J2*s_IFAP_far_adj*s_CF_apple),".")</f>
        <v>6.6115702479338848E-4</v>
      </c>
      <c r="AD2" s="71">
        <f>IFERROR(s_DL/(up_RadSpec!$J2*s_IFAS_far_adj*s_CF_asparagus),".")</f>
        <v>6.6115702479338848E-4</v>
      </c>
      <c r="AE2" s="71">
        <f>IFERROR(s_DL/(up_RadSpec!$J2*s_IFBT_far_adj*s_CF_beet),".")</f>
        <v>6.6115702479338848E-4</v>
      </c>
      <c r="AF2" s="71">
        <f>IFERROR(s_DL/(up_RadSpec!$J2*s_IFBE_far_adj*s_CF_berries),".")</f>
        <v>6.6115702479338848E-4</v>
      </c>
      <c r="AG2" s="71">
        <f>IFERROR(s_DL/(up_RadSpec!$J2*s_IFBR_far_adj*s_CF_broccoli),".")</f>
        <v>6.6115702479338848E-4</v>
      </c>
      <c r="AH2" s="71">
        <f>IFERROR(s_DL/(up_RadSpec!$J2*s_IFCB_far_adj*s_CF_cabbage),".")</f>
        <v>6.6115702479338848E-4</v>
      </c>
      <c r="AI2" s="71">
        <f>IFERROR(s_DL/(up_RadSpec!$J2*s_IFCR_far_adj*s_CF_carrot),".")</f>
        <v>6.6115702479338848E-4</v>
      </c>
      <c r="AJ2" s="71">
        <f>IFERROR(s_DL/(up_RadSpec!$J2*s_IFCI_far_adj*s_CF_citrus),".")</f>
        <v>6.6115702479338848E-4</v>
      </c>
      <c r="AK2" s="71">
        <f>IFERROR(s_DL/(up_RadSpec!$J2*s_IFCO_far_adj*s_CF_corn),".")</f>
        <v>6.6115702479338848E-4</v>
      </c>
      <c r="AL2" s="71">
        <f>IFERROR(s_DL/(up_RadSpec!$J2*s_IFCU_far_adj*s_CF_cucumber),".")</f>
        <v>6.6115702479338848E-4</v>
      </c>
      <c r="AM2" s="71">
        <f>IFERROR(s_DL/(up_RadSpec!$J2*s_IFLE_far_adj*s_CF_lettuce),".")</f>
        <v>6.6115702479338848E-4</v>
      </c>
      <c r="AN2" s="71">
        <f>IFERROR(s_DL/(up_RadSpec!$J2*s_IFLI_far_adj*s_CF_lima_bean),".")</f>
        <v>6.6115702479338848E-4</v>
      </c>
      <c r="AO2" s="71">
        <f>IFERROR(s_DL/(up_RadSpec!$J2*s_IFOK_far_adj*s_CF_okra),".")</f>
        <v>6.6115702479338848E-4</v>
      </c>
      <c r="AP2" s="71">
        <f>IFERROR(s_DL/(up_RadSpec!$J2*s_IFON_far_adj*s_CF_onion),".")</f>
        <v>6.6115702479338848E-4</v>
      </c>
      <c r="AQ2" s="71">
        <f>IFERROR(s_DL/(up_RadSpec!$J2*s_IFPC_far_adj*s_CF_peach),".")</f>
        <v>6.6115702479338848E-4</v>
      </c>
      <c r="AR2" s="71">
        <f>IFERROR(s_DL/(up_RadSpec!$J2*s_IFPR_far_adj*s_CF_pear),".")</f>
        <v>6.6115702479338848E-4</v>
      </c>
      <c r="AS2" s="71">
        <f>IFERROR(s_DL/(up_RadSpec!$J2*s_IFPE_far_adj*s_CF_peas),".")</f>
        <v>6.6115702479338848E-4</v>
      </c>
      <c r="AT2" s="71">
        <f>IFERROR(s_DL/(up_RadSpec!$J2*s_IFPT_far_adj*s_CF_potato),".")</f>
        <v>6.6115702479338848E-4</v>
      </c>
      <c r="AU2" s="71">
        <f>IFERROR(s_DL/(up_RadSpec!$J2*s_IFPU_far_adj*s_CF_pumpkin),".")</f>
        <v>6.6115702479338848E-4</v>
      </c>
      <c r="AV2" s="71">
        <f>IFERROR(s_DL/(up_RadSpec!$J2*s_IFSN_far_adj*s_CF_snap_bean),".")</f>
        <v>6.6115702479338848E-4</v>
      </c>
      <c r="AW2" s="71">
        <f>IFERROR(s_DL/(up_RadSpec!$J2*s_IFST_far_adj*s_CF_strawberry),".")</f>
        <v>6.6115702479338848E-4</v>
      </c>
      <c r="AX2" s="71">
        <f>IFERROR(s_DL/(up_RadSpec!$J2*s_IFTO_far_adj*s_CF_tomato),".")</f>
        <v>6.6115702479338848E-4</v>
      </c>
      <c r="AY2" s="71">
        <f>IFERROR(s_DL/(up_RadSpec!$J2*s_IFRI_far_adj*s_CF_rice),".")</f>
        <v>6.6115702479338848E-4</v>
      </c>
      <c r="AZ2" s="71">
        <f>IFERROR(s_DL/(up_RadSpec!$J2*s_IFCG_far_adj*s_CF_cereal),".")</f>
        <v>6.6115702479338848E-4</v>
      </c>
      <c r="BA2" s="10">
        <f>SUM(BB2,BX2:BY2)</f>
        <v>22687.5</v>
      </c>
      <c r="BB2" s="62">
        <f t="shared" ref="BB2:BB30" si="0">IFERROR(s_C*s_IFAP_far_adj*s_CF_apple,".")</f>
        <v>7562.5</v>
      </c>
      <c r="BC2" s="62">
        <f t="shared" ref="BC2:BC30" si="1">IFERROR(s_C*s_IFAS_far_adj*s_CF_asparagus,".")</f>
        <v>7562.5</v>
      </c>
      <c r="BD2" s="62">
        <f t="shared" ref="BD2:BD30" si="2">IFERROR(s_C*s_IFBT_far_adj*s_CF_beet,".")</f>
        <v>7562.5</v>
      </c>
      <c r="BE2" s="62">
        <f t="shared" ref="BE2:BE30" si="3">IFERROR(s_C*s_IFBR_far_adj*s_CF_berries,".")</f>
        <v>7562.5</v>
      </c>
      <c r="BF2" s="62">
        <f t="shared" ref="BF2:BF30" si="4">IFERROR(s_C*s_IFBR_far_adj*s_CF_broccoli,".")</f>
        <v>7562.5</v>
      </c>
      <c r="BG2" s="62">
        <f t="shared" ref="BG2:BG30" si="5">IFERROR(s_C*s_IFCB_far_adj*s_CF_cabbage,".")</f>
        <v>7562.5</v>
      </c>
      <c r="BH2" s="62">
        <f t="shared" ref="BH2:BH30" si="6">IFERROR(s_C*s_IFCR_far_adj*s_CF_carrot,".")</f>
        <v>7562.5</v>
      </c>
      <c r="BI2" s="62">
        <f t="shared" ref="BI2:BI30" si="7">IFERROR(s_C*s_IFCI_far_adj*s_CF_citrus,".")</f>
        <v>7562.5</v>
      </c>
      <c r="BJ2" s="62">
        <f t="shared" ref="BJ2:BJ30" si="8">IFERROR(s_C*s_IFCO_far_adj*s_CF_corn,".")</f>
        <v>7562.5</v>
      </c>
      <c r="BK2" s="62">
        <f t="shared" ref="BK2:BK30" si="9">IFERROR(s_C*s_IFCU_far_adj*s_CF_cucumber,".")</f>
        <v>7562.5</v>
      </c>
      <c r="BL2" s="62">
        <f t="shared" ref="BL2:BL30" si="10">IFERROR(s_C*s_IFLE_far_adj*s_CF_lettuce,".")</f>
        <v>7562.5</v>
      </c>
      <c r="BM2" s="62">
        <f t="shared" ref="BM2:BM30" si="11">IFERROR(s_C*s_IFLI_far_adj*s_CF_lima_bean,".")</f>
        <v>7562.5</v>
      </c>
      <c r="BN2" s="62">
        <f t="shared" ref="BN2:BN30" si="12">IFERROR(s_C*s_IFOK_far_adj*s_CF_okra,".")</f>
        <v>7562.5</v>
      </c>
      <c r="BO2" s="62">
        <f t="shared" ref="BO2:BO30" si="13">IFERROR(s_C*s_IFON_far_adj*s_CF_onion,".")</f>
        <v>7562.5</v>
      </c>
      <c r="BP2" s="62">
        <f t="shared" ref="BP2:BP30" si="14">IFERROR(s_C*s_IFPC_far_adj*s_CF_peach,".")</f>
        <v>7562.5</v>
      </c>
      <c r="BQ2" s="62">
        <f t="shared" ref="BQ2:BQ30" si="15">IFERROR(s_C*s_IFPR_far_adj*s_CF_pear,".")</f>
        <v>7562.5</v>
      </c>
      <c r="BR2" s="62">
        <f t="shared" ref="BR2:BR30" si="16">IFERROR(s_C*s_IFPE_far_adj*s_CF_peas,".")</f>
        <v>7562.5</v>
      </c>
      <c r="BS2" s="62">
        <f t="shared" ref="BS2:BS30" si="17">IFERROR(s_C*s_IFPT_far_adj*s_CF_potato,".")</f>
        <v>7562.5</v>
      </c>
      <c r="BT2" s="62">
        <f t="shared" ref="BT2:BT30" si="18">IFERROR(s_C*s_IFPU_far_adj*s_CF_pumpkin,".")</f>
        <v>7562.5</v>
      </c>
      <c r="BU2" s="62">
        <f t="shared" ref="BU2:BU30" si="19">IFERROR(s_C*s_IFSN_far_adj*s_CF_snap_bean,".")</f>
        <v>7562.5</v>
      </c>
      <c r="BV2" s="62">
        <f t="shared" ref="BV2:BV30" si="20">IFERROR(s_C*s_IFST_far_adj*s_CF_strawberry,".")</f>
        <v>7562.5</v>
      </c>
      <c r="BW2" s="62">
        <f t="shared" ref="BW2:BW30" si="21">IFERROR(s_C*s_IFTO_far_adj*s_CF_tomato,".")</f>
        <v>7562.5</v>
      </c>
      <c r="BX2" s="62">
        <f t="shared" ref="BX2:BX30" si="22">IFERROR(s_C*s_IFRI_far_adj*s_CF_rice,".")</f>
        <v>7562.5</v>
      </c>
      <c r="BY2" s="62">
        <f t="shared" ref="BY2:BY30" si="23">IFERROR(s_C*s_IFCG_far_adj*s_CF_cereal,".")</f>
        <v>7562.5</v>
      </c>
    </row>
    <row r="3" spans="1:77" x14ac:dyDescent="0.25">
      <c r="A3" s="63" t="s">
        <v>1</v>
      </c>
      <c r="B3" s="49" t="s">
        <v>336</v>
      </c>
      <c r="C3" s="71">
        <f t="shared" ref="C3:C66" si="24">IFERROR(1/SUM(1/D3,1/Z3,1/AA3),".")</f>
        <v>2.2038567493112948E-4</v>
      </c>
      <c r="D3" s="71">
        <f>IFERROR(s_DL/(up_RadSpec!$J3*s_IFAP_res_adj*s_CF_apple),".")</f>
        <v>6.6115702479338848E-4</v>
      </c>
      <c r="E3" s="71">
        <f>IFERROR(s_DL/(up_RadSpec!$J3*s_IFAS_res_adj*s_CF_asparagus),".")</f>
        <v>6.6115702479338848E-4</v>
      </c>
      <c r="F3" s="71">
        <f>IFERROR(s_DL/(up_RadSpec!$J3*s_IFBT_res_adj*s_CF_beet),".")</f>
        <v>6.6115702479338848E-4</v>
      </c>
      <c r="G3" s="71">
        <f>IFERROR(s_DL/(up_RadSpec!$J3*s_IFBE_res_adj*s_CF_berries),".")</f>
        <v>6.6115702479338848E-4</v>
      </c>
      <c r="H3" s="71">
        <f>IFERROR(s_DL/(up_RadSpec!$J3*s_IFBR_res_adj*s_CF_broccoli),".")</f>
        <v>6.6115702479338848E-4</v>
      </c>
      <c r="I3" s="71">
        <f>IFERROR(s_DL/(up_RadSpec!$J3*s_IFCB_res_adj*s_CF_cabbage),".")</f>
        <v>6.6115702479338848E-4</v>
      </c>
      <c r="J3" s="71">
        <f>IFERROR(s_DL/(up_RadSpec!$J3*s_IFCR_res_adj*s_CF_carrot),".")</f>
        <v>6.6115702479338848E-4</v>
      </c>
      <c r="K3" s="71">
        <f>IFERROR(s_DL/(up_RadSpec!$J3*s_IFCI_res_adj*s_CF_citrus),".")</f>
        <v>6.6115702479338848E-4</v>
      </c>
      <c r="L3" s="71">
        <f>IFERROR(s_DL/(up_RadSpec!$J3*s_IFCO_res_adj*s_CF_corn),".")</f>
        <v>6.6115702479338848E-4</v>
      </c>
      <c r="M3" s="71">
        <f>IFERROR(s_DL/(up_RadSpec!$J3*s_IFCU_res_adj*s_CF_cucumber),".")</f>
        <v>6.6115702479338848E-4</v>
      </c>
      <c r="N3" s="71">
        <f>IFERROR(s_DL/(up_RadSpec!$J3*s_IFLE_res_adj*s_CF_lettuce),".")</f>
        <v>6.6115702479338848E-4</v>
      </c>
      <c r="O3" s="71">
        <f>IFERROR(s_DL/(up_RadSpec!$J3*s_IFLI_res_adj*s_CF_lima_bean),".")</f>
        <v>6.6115702479338848E-4</v>
      </c>
      <c r="P3" s="71">
        <f>IFERROR(s_DL/(up_RadSpec!$J3*s_IFOK_res_adj*s_CF_okra),".")</f>
        <v>6.6115702479338848E-4</v>
      </c>
      <c r="Q3" s="71">
        <f>IFERROR(s_DL/(up_RadSpec!$J3*s_IFON_res_adj*s_CF_onion),".")</f>
        <v>6.6115702479338848E-4</v>
      </c>
      <c r="R3" s="71">
        <f>IFERROR(s_DL/(up_RadSpec!$J3*s_IFPC_res_adj*s_CF_peach),".")</f>
        <v>6.6115702479338848E-4</v>
      </c>
      <c r="S3" s="71">
        <f>IFERROR(s_DL/(up_RadSpec!$J3*s_IFPR_res_adj*s_CF_pear),".")</f>
        <v>6.6115702479338848E-4</v>
      </c>
      <c r="T3" s="71">
        <f>IFERROR(s_DL/(up_RadSpec!$J3*s_IFPE_res_adj*s_CF_peas),".")</f>
        <v>6.6115702479338848E-4</v>
      </c>
      <c r="U3" s="71">
        <f>IFERROR(s_DL/(up_RadSpec!$J3*s_IFPT_res_adj*s_CF_potato),".")</f>
        <v>6.6115702479338848E-4</v>
      </c>
      <c r="V3" s="71">
        <f>IFERROR(s_DL/(up_RadSpec!$J3*s_IFPU_res_adj*s_CF_pumpkin),".")</f>
        <v>6.6115702479338848E-4</v>
      </c>
      <c r="W3" s="71">
        <f>IFERROR(s_DL/(up_RadSpec!$J3*s_IFSN_res_adj*s_CF_snap_bean),".")</f>
        <v>6.6115702479338848E-4</v>
      </c>
      <c r="X3" s="71">
        <f>IFERROR(s_DL/(up_RadSpec!$J3*s_IFST_res_adj*s_CF_strawberry),".")</f>
        <v>6.6115702479338848E-4</v>
      </c>
      <c r="Y3" s="71">
        <f>IFERROR(s_DL/(up_RadSpec!$J3*s_IFTO_res_adj*s_CF_tomato),".")</f>
        <v>6.6115702479338848E-4</v>
      </c>
      <c r="Z3" s="71">
        <f>IFERROR(s_DL/(up_RadSpec!$J3*s_IFRI_res_adj*s_CF_rice),".")</f>
        <v>6.6115702479338848E-4</v>
      </c>
      <c r="AA3" s="71">
        <f>IFERROR(s_DL/(up_RadSpec!$J3*s_IFCG_res_adj*s_CF_cereal),".")</f>
        <v>6.6115702479338848E-4</v>
      </c>
      <c r="AB3" s="71">
        <f t="shared" ref="AB3:AB66" si="25">IFERROR(1/SUM(1/AC3,1/AY3,1/AZ3),".")</f>
        <v>2.2038567493112948E-4</v>
      </c>
      <c r="AC3" s="71">
        <f>IFERROR(s_DL/(up_RadSpec!$J3*s_IFAP_far_adj*s_CF_apple),".")</f>
        <v>6.6115702479338848E-4</v>
      </c>
      <c r="AD3" s="71">
        <f>IFERROR(s_DL/(up_RadSpec!$J3*s_IFAS_far_adj*s_CF_asparagus),".")</f>
        <v>6.6115702479338848E-4</v>
      </c>
      <c r="AE3" s="71">
        <f>IFERROR(s_DL/(up_RadSpec!$J3*s_IFBT_far_adj*s_CF_beet),".")</f>
        <v>6.6115702479338848E-4</v>
      </c>
      <c r="AF3" s="71">
        <f>IFERROR(s_DL/(up_RadSpec!$J3*s_IFBE_far_adj*s_CF_berries),".")</f>
        <v>6.6115702479338848E-4</v>
      </c>
      <c r="AG3" s="71">
        <f>IFERROR(s_DL/(up_RadSpec!$J3*s_IFBR_far_adj*s_CF_broccoli),".")</f>
        <v>6.6115702479338848E-4</v>
      </c>
      <c r="AH3" s="71">
        <f>IFERROR(s_DL/(up_RadSpec!$J3*s_IFCB_far_adj*s_CF_cabbage),".")</f>
        <v>6.6115702479338848E-4</v>
      </c>
      <c r="AI3" s="71">
        <f>IFERROR(s_DL/(up_RadSpec!$J3*s_IFCR_far_adj*s_CF_carrot),".")</f>
        <v>6.6115702479338848E-4</v>
      </c>
      <c r="AJ3" s="71">
        <f>IFERROR(s_DL/(up_RadSpec!$J3*s_IFCI_far_adj*s_CF_citrus),".")</f>
        <v>6.6115702479338848E-4</v>
      </c>
      <c r="AK3" s="71">
        <f>IFERROR(s_DL/(up_RadSpec!$J3*s_IFCO_far_adj*s_CF_corn),".")</f>
        <v>6.6115702479338848E-4</v>
      </c>
      <c r="AL3" s="71">
        <f>IFERROR(s_DL/(up_RadSpec!$J3*s_IFCU_far_adj*s_CF_cucumber),".")</f>
        <v>6.6115702479338848E-4</v>
      </c>
      <c r="AM3" s="71">
        <f>IFERROR(s_DL/(up_RadSpec!$J3*s_IFLE_far_adj*s_CF_lettuce),".")</f>
        <v>6.6115702479338848E-4</v>
      </c>
      <c r="AN3" s="71">
        <f>IFERROR(s_DL/(up_RadSpec!$J3*s_IFLI_far_adj*s_CF_lima_bean),".")</f>
        <v>6.6115702479338848E-4</v>
      </c>
      <c r="AO3" s="71">
        <f>IFERROR(s_DL/(up_RadSpec!$J3*s_IFOK_far_adj*s_CF_okra),".")</f>
        <v>6.6115702479338848E-4</v>
      </c>
      <c r="AP3" s="71">
        <f>IFERROR(s_DL/(up_RadSpec!$J3*s_IFON_far_adj*s_CF_onion),".")</f>
        <v>6.6115702479338848E-4</v>
      </c>
      <c r="AQ3" s="71">
        <f>IFERROR(s_DL/(up_RadSpec!$J3*s_IFPC_far_adj*s_CF_peach),".")</f>
        <v>6.6115702479338848E-4</v>
      </c>
      <c r="AR3" s="71">
        <f>IFERROR(s_DL/(up_RadSpec!$J3*s_IFPR_far_adj*s_CF_pear),".")</f>
        <v>6.6115702479338848E-4</v>
      </c>
      <c r="AS3" s="71">
        <f>IFERROR(s_DL/(up_RadSpec!$J3*s_IFPE_far_adj*s_CF_peas),".")</f>
        <v>6.6115702479338848E-4</v>
      </c>
      <c r="AT3" s="71">
        <f>IFERROR(s_DL/(up_RadSpec!$J3*s_IFPT_far_adj*s_CF_potato),".")</f>
        <v>6.6115702479338848E-4</v>
      </c>
      <c r="AU3" s="71">
        <f>IFERROR(s_DL/(up_RadSpec!$J3*s_IFPU_far_adj*s_CF_pumpkin),".")</f>
        <v>6.6115702479338848E-4</v>
      </c>
      <c r="AV3" s="71">
        <f>IFERROR(s_DL/(up_RadSpec!$J3*s_IFSN_far_adj*s_CF_snap_bean),".")</f>
        <v>6.6115702479338848E-4</v>
      </c>
      <c r="AW3" s="71">
        <f>IFERROR(s_DL/(up_RadSpec!$J3*s_IFST_far_adj*s_CF_strawberry),".")</f>
        <v>6.6115702479338848E-4</v>
      </c>
      <c r="AX3" s="71">
        <f>IFERROR(s_DL/(up_RadSpec!$J3*s_IFTO_far_adj*s_CF_tomato),".")</f>
        <v>6.6115702479338848E-4</v>
      </c>
      <c r="AY3" s="71">
        <f>IFERROR(s_DL/(up_RadSpec!$J3*s_IFRI_far_adj*s_CF_rice),".")</f>
        <v>6.6115702479338848E-4</v>
      </c>
      <c r="AZ3" s="71">
        <f>IFERROR(s_DL/(up_RadSpec!$J3*s_IFCG_far_adj*s_CF_cereal),".")</f>
        <v>6.6115702479338848E-4</v>
      </c>
      <c r="BA3" s="10">
        <f t="shared" ref="BA3:BA12" si="26">SUM(BB3,BX3:BY3)</f>
        <v>22687.5</v>
      </c>
      <c r="BB3" s="62">
        <f t="shared" si="0"/>
        <v>7562.5</v>
      </c>
      <c r="BC3" s="62">
        <f t="shared" si="1"/>
        <v>7562.5</v>
      </c>
      <c r="BD3" s="62">
        <f t="shared" si="2"/>
        <v>7562.5</v>
      </c>
      <c r="BE3" s="62">
        <f t="shared" si="3"/>
        <v>7562.5</v>
      </c>
      <c r="BF3" s="62">
        <f t="shared" si="4"/>
        <v>7562.5</v>
      </c>
      <c r="BG3" s="62">
        <f t="shared" si="5"/>
        <v>7562.5</v>
      </c>
      <c r="BH3" s="62">
        <f t="shared" si="6"/>
        <v>7562.5</v>
      </c>
      <c r="BI3" s="62">
        <f t="shared" si="7"/>
        <v>7562.5</v>
      </c>
      <c r="BJ3" s="62">
        <f t="shared" si="8"/>
        <v>7562.5</v>
      </c>
      <c r="BK3" s="62">
        <f t="shared" si="9"/>
        <v>7562.5</v>
      </c>
      <c r="BL3" s="62">
        <f t="shared" si="10"/>
        <v>7562.5</v>
      </c>
      <c r="BM3" s="62">
        <f t="shared" si="11"/>
        <v>7562.5</v>
      </c>
      <c r="BN3" s="62">
        <f t="shared" si="12"/>
        <v>7562.5</v>
      </c>
      <c r="BO3" s="62">
        <f t="shared" si="13"/>
        <v>7562.5</v>
      </c>
      <c r="BP3" s="62">
        <f t="shared" si="14"/>
        <v>7562.5</v>
      </c>
      <c r="BQ3" s="62">
        <f t="shared" si="15"/>
        <v>7562.5</v>
      </c>
      <c r="BR3" s="62">
        <f t="shared" si="16"/>
        <v>7562.5</v>
      </c>
      <c r="BS3" s="62">
        <f t="shared" si="17"/>
        <v>7562.5</v>
      </c>
      <c r="BT3" s="62">
        <f t="shared" si="18"/>
        <v>7562.5</v>
      </c>
      <c r="BU3" s="62">
        <f t="shared" si="19"/>
        <v>7562.5</v>
      </c>
      <c r="BV3" s="62">
        <f t="shared" si="20"/>
        <v>7562.5</v>
      </c>
      <c r="BW3" s="62">
        <f t="shared" si="21"/>
        <v>7562.5</v>
      </c>
      <c r="BX3" s="62">
        <f t="shared" si="22"/>
        <v>7562.5</v>
      </c>
      <c r="BY3" s="62">
        <f t="shared" si="23"/>
        <v>7562.5</v>
      </c>
    </row>
    <row r="4" spans="1:77" x14ac:dyDescent="0.25">
      <c r="A4" s="61" t="s">
        <v>2</v>
      </c>
      <c r="B4" s="49" t="s">
        <v>1059</v>
      </c>
      <c r="C4" s="71">
        <f t="shared" si="24"/>
        <v>2.2038567493112948E-4</v>
      </c>
      <c r="D4" s="71">
        <f>IFERROR(s_DL/(up_RadSpec!$J4*s_IFAP_res_adj*s_CF_apple),".")</f>
        <v>6.6115702479338848E-4</v>
      </c>
      <c r="E4" s="71">
        <f>IFERROR(s_DL/(up_RadSpec!$J4*s_IFAS_res_adj*s_CF_asparagus),".")</f>
        <v>6.6115702479338848E-4</v>
      </c>
      <c r="F4" s="71">
        <f>IFERROR(s_DL/(up_RadSpec!$J4*s_IFBT_res_adj*s_CF_beet),".")</f>
        <v>6.6115702479338848E-4</v>
      </c>
      <c r="G4" s="71">
        <f>IFERROR(s_DL/(up_RadSpec!$J4*s_IFBE_res_adj*s_CF_berries),".")</f>
        <v>6.6115702479338848E-4</v>
      </c>
      <c r="H4" s="71">
        <f>IFERROR(s_DL/(up_RadSpec!$J4*s_IFBR_res_adj*s_CF_broccoli),".")</f>
        <v>6.6115702479338848E-4</v>
      </c>
      <c r="I4" s="71">
        <f>IFERROR(s_DL/(up_RadSpec!$J4*s_IFCB_res_adj*s_CF_cabbage),".")</f>
        <v>6.6115702479338848E-4</v>
      </c>
      <c r="J4" s="71">
        <f>IFERROR(s_DL/(up_RadSpec!$J4*s_IFCR_res_adj*s_CF_carrot),".")</f>
        <v>6.6115702479338848E-4</v>
      </c>
      <c r="K4" s="71">
        <f>IFERROR(s_DL/(up_RadSpec!$J4*s_IFCI_res_adj*s_CF_citrus),".")</f>
        <v>6.6115702479338848E-4</v>
      </c>
      <c r="L4" s="71">
        <f>IFERROR(s_DL/(up_RadSpec!$J4*s_IFCO_res_adj*s_CF_corn),".")</f>
        <v>6.6115702479338848E-4</v>
      </c>
      <c r="M4" s="71">
        <f>IFERROR(s_DL/(up_RadSpec!$J4*s_IFCU_res_adj*s_CF_cucumber),".")</f>
        <v>6.6115702479338848E-4</v>
      </c>
      <c r="N4" s="71">
        <f>IFERROR(s_DL/(up_RadSpec!$J4*s_IFLE_res_adj*s_CF_lettuce),".")</f>
        <v>6.6115702479338848E-4</v>
      </c>
      <c r="O4" s="71">
        <f>IFERROR(s_DL/(up_RadSpec!$J4*s_IFLI_res_adj*s_CF_lima_bean),".")</f>
        <v>6.6115702479338848E-4</v>
      </c>
      <c r="P4" s="71">
        <f>IFERROR(s_DL/(up_RadSpec!$J4*s_IFOK_res_adj*s_CF_okra),".")</f>
        <v>6.6115702479338848E-4</v>
      </c>
      <c r="Q4" s="71">
        <f>IFERROR(s_DL/(up_RadSpec!$J4*s_IFON_res_adj*s_CF_onion),".")</f>
        <v>6.6115702479338848E-4</v>
      </c>
      <c r="R4" s="71">
        <f>IFERROR(s_DL/(up_RadSpec!$J4*s_IFPC_res_adj*s_CF_peach),".")</f>
        <v>6.6115702479338848E-4</v>
      </c>
      <c r="S4" s="71">
        <f>IFERROR(s_DL/(up_RadSpec!$J4*s_IFPR_res_adj*s_CF_pear),".")</f>
        <v>6.6115702479338848E-4</v>
      </c>
      <c r="T4" s="71">
        <f>IFERROR(s_DL/(up_RadSpec!$J4*s_IFPE_res_adj*s_CF_peas),".")</f>
        <v>6.6115702479338848E-4</v>
      </c>
      <c r="U4" s="71">
        <f>IFERROR(s_DL/(up_RadSpec!$J4*s_IFPT_res_adj*s_CF_potato),".")</f>
        <v>6.6115702479338848E-4</v>
      </c>
      <c r="V4" s="71">
        <f>IFERROR(s_DL/(up_RadSpec!$J4*s_IFPU_res_adj*s_CF_pumpkin),".")</f>
        <v>6.6115702479338848E-4</v>
      </c>
      <c r="W4" s="71">
        <f>IFERROR(s_DL/(up_RadSpec!$J4*s_IFSN_res_adj*s_CF_snap_bean),".")</f>
        <v>6.6115702479338848E-4</v>
      </c>
      <c r="X4" s="71">
        <f>IFERROR(s_DL/(up_RadSpec!$J4*s_IFST_res_adj*s_CF_strawberry),".")</f>
        <v>6.6115702479338848E-4</v>
      </c>
      <c r="Y4" s="71">
        <f>IFERROR(s_DL/(up_RadSpec!$J4*s_IFTO_res_adj*s_CF_tomato),".")</f>
        <v>6.6115702479338848E-4</v>
      </c>
      <c r="Z4" s="71">
        <f>IFERROR(s_DL/(up_RadSpec!$J4*s_IFRI_res_adj*s_CF_rice),".")</f>
        <v>6.6115702479338848E-4</v>
      </c>
      <c r="AA4" s="71">
        <f>IFERROR(s_DL/(up_RadSpec!$J4*s_IFCG_res_adj*s_CF_cereal),".")</f>
        <v>6.6115702479338848E-4</v>
      </c>
      <c r="AB4" s="71">
        <f t="shared" si="25"/>
        <v>2.2038567493112948E-4</v>
      </c>
      <c r="AC4" s="71">
        <f>IFERROR(s_DL/(up_RadSpec!$J4*s_IFAP_far_adj*s_CF_apple),".")</f>
        <v>6.6115702479338848E-4</v>
      </c>
      <c r="AD4" s="71">
        <f>IFERROR(s_DL/(up_RadSpec!$J4*s_IFAS_far_adj*s_CF_asparagus),".")</f>
        <v>6.6115702479338848E-4</v>
      </c>
      <c r="AE4" s="71">
        <f>IFERROR(s_DL/(up_RadSpec!$J4*s_IFBT_far_adj*s_CF_beet),".")</f>
        <v>6.6115702479338848E-4</v>
      </c>
      <c r="AF4" s="71">
        <f>IFERROR(s_DL/(up_RadSpec!$J4*s_IFBE_far_adj*s_CF_berries),".")</f>
        <v>6.6115702479338848E-4</v>
      </c>
      <c r="AG4" s="71">
        <f>IFERROR(s_DL/(up_RadSpec!$J4*s_IFBR_far_adj*s_CF_broccoli),".")</f>
        <v>6.6115702479338848E-4</v>
      </c>
      <c r="AH4" s="71">
        <f>IFERROR(s_DL/(up_RadSpec!$J4*s_IFCB_far_adj*s_CF_cabbage),".")</f>
        <v>6.6115702479338848E-4</v>
      </c>
      <c r="AI4" s="71">
        <f>IFERROR(s_DL/(up_RadSpec!$J4*s_IFCR_far_adj*s_CF_carrot),".")</f>
        <v>6.6115702479338848E-4</v>
      </c>
      <c r="AJ4" s="71">
        <f>IFERROR(s_DL/(up_RadSpec!$J4*s_IFCI_far_adj*s_CF_citrus),".")</f>
        <v>6.6115702479338848E-4</v>
      </c>
      <c r="AK4" s="71">
        <f>IFERROR(s_DL/(up_RadSpec!$J4*s_IFCO_far_adj*s_CF_corn),".")</f>
        <v>6.6115702479338848E-4</v>
      </c>
      <c r="AL4" s="71">
        <f>IFERROR(s_DL/(up_RadSpec!$J4*s_IFCU_far_adj*s_CF_cucumber),".")</f>
        <v>6.6115702479338848E-4</v>
      </c>
      <c r="AM4" s="71">
        <f>IFERROR(s_DL/(up_RadSpec!$J4*s_IFLE_far_adj*s_CF_lettuce),".")</f>
        <v>6.6115702479338848E-4</v>
      </c>
      <c r="AN4" s="71">
        <f>IFERROR(s_DL/(up_RadSpec!$J4*s_IFLI_far_adj*s_CF_lima_bean),".")</f>
        <v>6.6115702479338848E-4</v>
      </c>
      <c r="AO4" s="71">
        <f>IFERROR(s_DL/(up_RadSpec!$J4*s_IFOK_far_adj*s_CF_okra),".")</f>
        <v>6.6115702479338848E-4</v>
      </c>
      <c r="AP4" s="71">
        <f>IFERROR(s_DL/(up_RadSpec!$J4*s_IFON_far_adj*s_CF_onion),".")</f>
        <v>6.6115702479338848E-4</v>
      </c>
      <c r="AQ4" s="71">
        <f>IFERROR(s_DL/(up_RadSpec!$J4*s_IFPC_far_adj*s_CF_peach),".")</f>
        <v>6.6115702479338848E-4</v>
      </c>
      <c r="AR4" s="71">
        <f>IFERROR(s_DL/(up_RadSpec!$J4*s_IFPR_far_adj*s_CF_pear),".")</f>
        <v>6.6115702479338848E-4</v>
      </c>
      <c r="AS4" s="71">
        <f>IFERROR(s_DL/(up_RadSpec!$J4*s_IFPE_far_adj*s_CF_peas),".")</f>
        <v>6.6115702479338848E-4</v>
      </c>
      <c r="AT4" s="71">
        <f>IFERROR(s_DL/(up_RadSpec!$J4*s_IFPT_far_adj*s_CF_potato),".")</f>
        <v>6.6115702479338848E-4</v>
      </c>
      <c r="AU4" s="71">
        <f>IFERROR(s_DL/(up_RadSpec!$J4*s_IFPU_far_adj*s_CF_pumpkin),".")</f>
        <v>6.6115702479338848E-4</v>
      </c>
      <c r="AV4" s="71">
        <f>IFERROR(s_DL/(up_RadSpec!$J4*s_IFSN_far_adj*s_CF_snap_bean),".")</f>
        <v>6.6115702479338848E-4</v>
      </c>
      <c r="AW4" s="71">
        <f>IFERROR(s_DL/(up_RadSpec!$J4*s_IFST_far_adj*s_CF_strawberry),".")</f>
        <v>6.6115702479338848E-4</v>
      </c>
      <c r="AX4" s="71">
        <f>IFERROR(s_DL/(up_RadSpec!$J4*s_IFTO_far_adj*s_CF_tomato),".")</f>
        <v>6.6115702479338848E-4</v>
      </c>
      <c r="AY4" s="71">
        <f>IFERROR(s_DL/(up_RadSpec!$J4*s_IFRI_far_adj*s_CF_rice),".")</f>
        <v>6.6115702479338848E-4</v>
      </c>
      <c r="AZ4" s="71">
        <f>IFERROR(s_DL/(up_RadSpec!$J4*s_IFCG_far_adj*s_CF_cereal),".")</f>
        <v>6.6115702479338848E-4</v>
      </c>
      <c r="BA4" s="10">
        <f t="shared" si="26"/>
        <v>22687.5</v>
      </c>
      <c r="BB4" s="62">
        <f t="shared" si="0"/>
        <v>7562.5</v>
      </c>
      <c r="BC4" s="62">
        <f t="shared" si="1"/>
        <v>7562.5</v>
      </c>
      <c r="BD4" s="62">
        <f t="shared" si="2"/>
        <v>7562.5</v>
      </c>
      <c r="BE4" s="62">
        <f t="shared" si="3"/>
        <v>7562.5</v>
      </c>
      <c r="BF4" s="62">
        <f t="shared" si="4"/>
        <v>7562.5</v>
      </c>
      <c r="BG4" s="62">
        <f t="shared" si="5"/>
        <v>7562.5</v>
      </c>
      <c r="BH4" s="62">
        <f t="shared" si="6"/>
        <v>7562.5</v>
      </c>
      <c r="BI4" s="62">
        <f t="shared" si="7"/>
        <v>7562.5</v>
      </c>
      <c r="BJ4" s="62">
        <f t="shared" si="8"/>
        <v>7562.5</v>
      </c>
      <c r="BK4" s="62">
        <f t="shared" si="9"/>
        <v>7562.5</v>
      </c>
      <c r="BL4" s="62">
        <f t="shared" si="10"/>
        <v>7562.5</v>
      </c>
      <c r="BM4" s="62">
        <f t="shared" si="11"/>
        <v>7562.5</v>
      </c>
      <c r="BN4" s="62">
        <f t="shared" si="12"/>
        <v>7562.5</v>
      </c>
      <c r="BO4" s="62">
        <f t="shared" si="13"/>
        <v>7562.5</v>
      </c>
      <c r="BP4" s="62">
        <f t="shared" si="14"/>
        <v>7562.5</v>
      </c>
      <c r="BQ4" s="62">
        <f t="shared" si="15"/>
        <v>7562.5</v>
      </c>
      <c r="BR4" s="62">
        <f t="shared" si="16"/>
        <v>7562.5</v>
      </c>
      <c r="BS4" s="62">
        <f t="shared" si="17"/>
        <v>7562.5</v>
      </c>
      <c r="BT4" s="62">
        <f t="shared" si="18"/>
        <v>7562.5</v>
      </c>
      <c r="BU4" s="62">
        <f t="shared" si="19"/>
        <v>7562.5</v>
      </c>
      <c r="BV4" s="62">
        <f t="shared" si="20"/>
        <v>7562.5</v>
      </c>
      <c r="BW4" s="62">
        <f t="shared" si="21"/>
        <v>7562.5</v>
      </c>
      <c r="BX4" s="62">
        <f t="shared" si="22"/>
        <v>7562.5</v>
      </c>
      <c r="BY4" s="62">
        <f t="shared" si="23"/>
        <v>7562.5</v>
      </c>
    </row>
    <row r="5" spans="1:77" x14ac:dyDescent="0.25">
      <c r="A5" s="61" t="s">
        <v>3</v>
      </c>
      <c r="B5" s="49" t="s">
        <v>1059</v>
      </c>
      <c r="C5" s="71">
        <f t="shared" si="24"/>
        <v>2.2038567493112948E-4</v>
      </c>
      <c r="D5" s="71">
        <f>IFERROR(s_DL/(up_RadSpec!$J5*s_IFAP_res_adj*s_CF_apple),".")</f>
        <v>6.6115702479338848E-4</v>
      </c>
      <c r="E5" s="71">
        <f>IFERROR(s_DL/(up_RadSpec!$J5*s_IFAS_res_adj*s_CF_asparagus),".")</f>
        <v>6.6115702479338848E-4</v>
      </c>
      <c r="F5" s="71">
        <f>IFERROR(s_DL/(up_RadSpec!$J5*s_IFBT_res_adj*s_CF_beet),".")</f>
        <v>6.6115702479338848E-4</v>
      </c>
      <c r="G5" s="71">
        <f>IFERROR(s_DL/(up_RadSpec!$J5*s_IFBE_res_adj*s_CF_berries),".")</f>
        <v>6.6115702479338848E-4</v>
      </c>
      <c r="H5" s="71">
        <f>IFERROR(s_DL/(up_RadSpec!$J5*s_IFBR_res_adj*s_CF_broccoli),".")</f>
        <v>6.6115702479338848E-4</v>
      </c>
      <c r="I5" s="71">
        <f>IFERROR(s_DL/(up_RadSpec!$J5*s_IFCB_res_adj*s_CF_cabbage),".")</f>
        <v>6.6115702479338848E-4</v>
      </c>
      <c r="J5" s="71">
        <f>IFERROR(s_DL/(up_RadSpec!$J5*s_IFCR_res_adj*s_CF_carrot),".")</f>
        <v>6.6115702479338848E-4</v>
      </c>
      <c r="K5" s="71">
        <f>IFERROR(s_DL/(up_RadSpec!$J5*s_IFCI_res_adj*s_CF_citrus),".")</f>
        <v>6.6115702479338848E-4</v>
      </c>
      <c r="L5" s="71">
        <f>IFERROR(s_DL/(up_RadSpec!$J5*s_IFCO_res_adj*s_CF_corn),".")</f>
        <v>6.6115702479338848E-4</v>
      </c>
      <c r="M5" s="71">
        <f>IFERROR(s_DL/(up_RadSpec!$J5*s_IFCU_res_adj*s_CF_cucumber),".")</f>
        <v>6.6115702479338848E-4</v>
      </c>
      <c r="N5" s="71">
        <f>IFERROR(s_DL/(up_RadSpec!$J5*s_IFLE_res_adj*s_CF_lettuce),".")</f>
        <v>6.6115702479338848E-4</v>
      </c>
      <c r="O5" s="71">
        <f>IFERROR(s_DL/(up_RadSpec!$J5*s_IFLI_res_adj*s_CF_lima_bean),".")</f>
        <v>6.6115702479338848E-4</v>
      </c>
      <c r="P5" s="71">
        <f>IFERROR(s_DL/(up_RadSpec!$J5*s_IFOK_res_adj*s_CF_okra),".")</f>
        <v>6.6115702479338848E-4</v>
      </c>
      <c r="Q5" s="71">
        <f>IFERROR(s_DL/(up_RadSpec!$J5*s_IFON_res_adj*s_CF_onion),".")</f>
        <v>6.6115702479338848E-4</v>
      </c>
      <c r="R5" s="71">
        <f>IFERROR(s_DL/(up_RadSpec!$J5*s_IFPC_res_adj*s_CF_peach),".")</f>
        <v>6.6115702479338848E-4</v>
      </c>
      <c r="S5" s="71">
        <f>IFERROR(s_DL/(up_RadSpec!$J5*s_IFPR_res_adj*s_CF_pear),".")</f>
        <v>6.6115702479338848E-4</v>
      </c>
      <c r="T5" s="71">
        <f>IFERROR(s_DL/(up_RadSpec!$J5*s_IFPE_res_adj*s_CF_peas),".")</f>
        <v>6.6115702479338848E-4</v>
      </c>
      <c r="U5" s="71">
        <f>IFERROR(s_DL/(up_RadSpec!$J5*s_IFPT_res_adj*s_CF_potato),".")</f>
        <v>6.6115702479338848E-4</v>
      </c>
      <c r="V5" s="71">
        <f>IFERROR(s_DL/(up_RadSpec!$J5*s_IFPU_res_adj*s_CF_pumpkin),".")</f>
        <v>6.6115702479338848E-4</v>
      </c>
      <c r="W5" s="71">
        <f>IFERROR(s_DL/(up_RadSpec!$J5*s_IFSN_res_adj*s_CF_snap_bean),".")</f>
        <v>6.6115702479338848E-4</v>
      </c>
      <c r="X5" s="71">
        <f>IFERROR(s_DL/(up_RadSpec!$J5*s_IFST_res_adj*s_CF_strawberry),".")</f>
        <v>6.6115702479338848E-4</v>
      </c>
      <c r="Y5" s="71">
        <f>IFERROR(s_DL/(up_RadSpec!$J5*s_IFTO_res_adj*s_CF_tomato),".")</f>
        <v>6.6115702479338848E-4</v>
      </c>
      <c r="Z5" s="71">
        <f>IFERROR(s_DL/(up_RadSpec!$J5*s_IFRI_res_adj*s_CF_rice),".")</f>
        <v>6.6115702479338848E-4</v>
      </c>
      <c r="AA5" s="71">
        <f>IFERROR(s_DL/(up_RadSpec!$J5*s_IFCG_res_adj*s_CF_cereal),".")</f>
        <v>6.6115702479338848E-4</v>
      </c>
      <c r="AB5" s="71">
        <f t="shared" si="25"/>
        <v>2.2038567493112948E-4</v>
      </c>
      <c r="AC5" s="71">
        <f>IFERROR(s_DL/(up_RadSpec!$J5*s_IFAP_far_adj*s_CF_apple),".")</f>
        <v>6.6115702479338848E-4</v>
      </c>
      <c r="AD5" s="71">
        <f>IFERROR(s_DL/(up_RadSpec!$J5*s_IFAS_far_adj*s_CF_asparagus),".")</f>
        <v>6.6115702479338848E-4</v>
      </c>
      <c r="AE5" s="71">
        <f>IFERROR(s_DL/(up_RadSpec!$J5*s_IFBT_far_adj*s_CF_beet),".")</f>
        <v>6.6115702479338848E-4</v>
      </c>
      <c r="AF5" s="71">
        <f>IFERROR(s_DL/(up_RadSpec!$J5*s_IFBE_far_adj*s_CF_berries),".")</f>
        <v>6.6115702479338848E-4</v>
      </c>
      <c r="AG5" s="71">
        <f>IFERROR(s_DL/(up_RadSpec!$J5*s_IFBR_far_adj*s_CF_broccoli),".")</f>
        <v>6.6115702479338848E-4</v>
      </c>
      <c r="AH5" s="71">
        <f>IFERROR(s_DL/(up_RadSpec!$J5*s_IFCB_far_adj*s_CF_cabbage),".")</f>
        <v>6.6115702479338848E-4</v>
      </c>
      <c r="AI5" s="71">
        <f>IFERROR(s_DL/(up_RadSpec!$J5*s_IFCR_far_adj*s_CF_carrot),".")</f>
        <v>6.6115702479338848E-4</v>
      </c>
      <c r="AJ5" s="71">
        <f>IFERROR(s_DL/(up_RadSpec!$J5*s_IFCI_far_adj*s_CF_citrus),".")</f>
        <v>6.6115702479338848E-4</v>
      </c>
      <c r="AK5" s="71">
        <f>IFERROR(s_DL/(up_RadSpec!$J5*s_IFCO_far_adj*s_CF_corn),".")</f>
        <v>6.6115702479338848E-4</v>
      </c>
      <c r="AL5" s="71">
        <f>IFERROR(s_DL/(up_RadSpec!$J5*s_IFCU_far_adj*s_CF_cucumber),".")</f>
        <v>6.6115702479338848E-4</v>
      </c>
      <c r="AM5" s="71">
        <f>IFERROR(s_DL/(up_RadSpec!$J5*s_IFLE_far_adj*s_CF_lettuce),".")</f>
        <v>6.6115702479338848E-4</v>
      </c>
      <c r="AN5" s="71">
        <f>IFERROR(s_DL/(up_RadSpec!$J5*s_IFLI_far_adj*s_CF_lima_bean),".")</f>
        <v>6.6115702479338848E-4</v>
      </c>
      <c r="AO5" s="71">
        <f>IFERROR(s_DL/(up_RadSpec!$J5*s_IFOK_far_adj*s_CF_okra),".")</f>
        <v>6.6115702479338848E-4</v>
      </c>
      <c r="AP5" s="71">
        <f>IFERROR(s_DL/(up_RadSpec!$J5*s_IFON_far_adj*s_CF_onion),".")</f>
        <v>6.6115702479338848E-4</v>
      </c>
      <c r="AQ5" s="71">
        <f>IFERROR(s_DL/(up_RadSpec!$J5*s_IFPC_far_adj*s_CF_peach),".")</f>
        <v>6.6115702479338848E-4</v>
      </c>
      <c r="AR5" s="71">
        <f>IFERROR(s_DL/(up_RadSpec!$J5*s_IFPR_far_adj*s_CF_pear),".")</f>
        <v>6.6115702479338848E-4</v>
      </c>
      <c r="AS5" s="71">
        <f>IFERROR(s_DL/(up_RadSpec!$J5*s_IFPE_far_adj*s_CF_peas),".")</f>
        <v>6.6115702479338848E-4</v>
      </c>
      <c r="AT5" s="71">
        <f>IFERROR(s_DL/(up_RadSpec!$J5*s_IFPT_far_adj*s_CF_potato),".")</f>
        <v>6.6115702479338848E-4</v>
      </c>
      <c r="AU5" s="71">
        <f>IFERROR(s_DL/(up_RadSpec!$J5*s_IFPU_far_adj*s_CF_pumpkin),".")</f>
        <v>6.6115702479338848E-4</v>
      </c>
      <c r="AV5" s="71">
        <f>IFERROR(s_DL/(up_RadSpec!$J5*s_IFSN_far_adj*s_CF_snap_bean),".")</f>
        <v>6.6115702479338848E-4</v>
      </c>
      <c r="AW5" s="71">
        <f>IFERROR(s_DL/(up_RadSpec!$J5*s_IFST_far_adj*s_CF_strawberry),".")</f>
        <v>6.6115702479338848E-4</v>
      </c>
      <c r="AX5" s="71">
        <f>IFERROR(s_DL/(up_RadSpec!$J5*s_IFTO_far_adj*s_CF_tomato),".")</f>
        <v>6.6115702479338848E-4</v>
      </c>
      <c r="AY5" s="71">
        <f>IFERROR(s_DL/(up_RadSpec!$J5*s_IFRI_far_adj*s_CF_rice),".")</f>
        <v>6.6115702479338848E-4</v>
      </c>
      <c r="AZ5" s="71">
        <f>IFERROR(s_DL/(up_RadSpec!$J5*s_IFCG_far_adj*s_CF_cereal),".")</f>
        <v>6.6115702479338848E-4</v>
      </c>
      <c r="BA5" s="10">
        <f t="shared" si="26"/>
        <v>22687.5</v>
      </c>
      <c r="BB5" s="62">
        <f t="shared" si="0"/>
        <v>7562.5</v>
      </c>
      <c r="BC5" s="62">
        <f t="shared" si="1"/>
        <v>7562.5</v>
      </c>
      <c r="BD5" s="62">
        <f t="shared" si="2"/>
        <v>7562.5</v>
      </c>
      <c r="BE5" s="62">
        <f t="shared" si="3"/>
        <v>7562.5</v>
      </c>
      <c r="BF5" s="62">
        <f t="shared" si="4"/>
        <v>7562.5</v>
      </c>
      <c r="BG5" s="62">
        <f t="shared" si="5"/>
        <v>7562.5</v>
      </c>
      <c r="BH5" s="62">
        <f t="shared" si="6"/>
        <v>7562.5</v>
      </c>
      <c r="BI5" s="62">
        <f t="shared" si="7"/>
        <v>7562.5</v>
      </c>
      <c r="BJ5" s="62">
        <f t="shared" si="8"/>
        <v>7562.5</v>
      </c>
      <c r="BK5" s="62">
        <f t="shared" si="9"/>
        <v>7562.5</v>
      </c>
      <c r="BL5" s="62">
        <f t="shared" si="10"/>
        <v>7562.5</v>
      </c>
      <c r="BM5" s="62">
        <f t="shared" si="11"/>
        <v>7562.5</v>
      </c>
      <c r="BN5" s="62">
        <f t="shared" si="12"/>
        <v>7562.5</v>
      </c>
      <c r="BO5" s="62">
        <f t="shared" si="13"/>
        <v>7562.5</v>
      </c>
      <c r="BP5" s="62">
        <f t="shared" si="14"/>
        <v>7562.5</v>
      </c>
      <c r="BQ5" s="62">
        <f t="shared" si="15"/>
        <v>7562.5</v>
      </c>
      <c r="BR5" s="62">
        <f t="shared" si="16"/>
        <v>7562.5</v>
      </c>
      <c r="BS5" s="62">
        <f t="shared" si="17"/>
        <v>7562.5</v>
      </c>
      <c r="BT5" s="62">
        <f t="shared" si="18"/>
        <v>7562.5</v>
      </c>
      <c r="BU5" s="62">
        <f t="shared" si="19"/>
        <v>7562.5</v>
      </c>
      <c r="BV5" s="62">
        <f t="shared" si="20"/>
        <v>7562.5</v>
      </c>
      <c r="BW5" s="62">
        <f t="shared" si="21"/>
        <v>7562.5</v>
      </c>
      <c r="BX5" s="62">
        <f t="shared" si="22"/>
        <v>7562.5</v>
      </c>
      <c r="BY5" s="62">
        <f t="shared" si="23"/>
        <v>7562.5</v>
      </c>
    </row>
    <row r="6" spans="1:77" x14ac:dyDescent="0.25">
      <c r="A6" s="61" t="s">
        <v>4</v>
      </c>
      <c r="B6" s="49" t="s">
        <v>1059</v>
      </c>
      <c r="C6" s="71">
        <f t="shared" si="24"/>
        <v>2.2038567493112948E-4</v>
      </c>
      <c r="D6" s="71">
        <f>IFERROR(s_DL/(up_RadSpec!$J6*s_IFAP_res_adj*s_CF_apple),".")</f>
        <v>6.6115702479338848E-4</v>
      </c>
      <c r="E6" s="71">
        <f>IFERROR(s_DL/(up_RadSpec!$J6*s_IFAS_res_adj*s_CF_asparagus),".")</f>
        <v>6.6115702479338848E-4</v>
      </c>
      <c r="F6" s="71">
        <f>IFERROR(s_DL/(up_RadSpec!$J6*s_IFBT_res_adj*s_CF_beet),".")</f>
        <v>6.6115702479338848E-4</v>
      </c>
      <c r="G6" s="71">
        <f>IFERROR(s_DL/(up_RadSpec!$J6*s_IFBE_res_adj*s_CF_berries),".")</f>
        <v>6.6115702479338848E-4</v>
      </c>
      <c r="H6" s="71">
        <f>IFERROR(s_DL/(up_RadSpec!$J6*s_IFBR_res_adj*s_CF_broccoli),".")</f>
        <v>6.6115702479338848E-4</v>
      </c>
      <c r="I6" s="71">
        <f>IFERROR(s_DL/(up_RadSpec!$J6*s_IFCB_res_adj*s_CF_cabbage),".")</f>
        <v>6.6115702479338848E-4</v>
      </c>
      <c r="J6" s="71">
        <f>IFERROR(s_DL/(up_RadSpec!$J6*s_IFCR_res_adj*s_CF_carrot),".")</f>
        <v>6.6115702479338848E-4</v>
      </c>
      <c r="K6" s="71">
        <f>IFERROR(s_DL/(up_RadSpec!$J6*s_IFCI_res_adj*s_CF_citrus),".")</f>
        <v>6.6115702479338848E-4</v>
      </c>
      <c r="L6" s="71">
        <f>IFERROR(s_DL/(up_RadSpec!$J6*s_IFCO_res_adj*s_CF_corn),".")</f>
        <v>6.6115702479338848E-4</v>
      </c>
      <c r="M6" s="71">
        <f>IFERROR(s_DL/(up_RadSpec!$J6*s_IFCU_res_adj*s_CF_cucumber),".")</f>
        <v>6.6115702479338848E-4</v>
      </c>
      <c r="N6" s="71">
        <f>IFERROR(s_DL/(up_RadSpec!$J6*s_IFLE_res_adj*s_CF_lettuce),".")</f>
        <v>6.6115702479338848E-4</v>
      </c>
      <c r="O6" s="71">
        <f>IFERROR(s_DL/(up_RadSpec!$J6*s_IFLI_res_adj*s_CF_lima_bean),".")</f>
        <v>6.6115702479338848E-4</v>
      </c>
      <c r="P6" s="71">
        <f>IFERROR(s_DL/(up_RadSpec!$J6*s_IFOK_res_adj*s_CF_okra),".")</f>
        <v>6.6115702479338848E-4</v>
      </c>
      <c r="Q6" s="71">
        <f>IFERROR(s_DL/(up_RadSpec!$J6*s_IFON_res_adj*s_CF_onion),".")</f>
        <v>6.6115702479338848E-4</v>
      </c>
      <c r="R6" s="71">
        <f>IFERROR(s_DL/(up_RadSpec!$J6*s_IFPC_res_adj*s_CF_peach),".")</f>
        <v>6.6115702479338848E-4</v>
      </c>
      <c r="S6" s="71">
        <f>IFERROR(s_DL/(up_RadSpec!$J6*s_IFPR_res_adj*s_CF_pear),".")</f>
        <v>6.6115702479338848E-4</v>
      </c>
      <c r="T6" s="71">
        <f>IFERROR(s_DL/(up_RadSpec!$J6*s_IFPE_res_adj*s_CF_peas),".")</f>
        <v>6.6115702479338848E-4</v>
      </c>
      <c r="U6" s="71">
        <f>IFERROR(s_DL/(up_RadSpec!$J6*s_IFPT_res_adj*s_CF_potato),".")</f>
        <v>6.6115702479338848E-4</v>
      </c>
      <c r="V6" s="71">
        <f>IFERROR(s_DL/(up_RadSpec!$J6*s_IFPU_res_adj*s_CF_pumpkin),".")</f>
        <v>6.6115702479338848E-4</v>
      </c>
      <c r="W6" s="71">
        <f>IFERROR(s_DL/(up_RadSpec!$J6*s_IFSN_res_adj*s_CF_snap_bean),".")</f>
        <v>6.6115702479338848E-4</v>
      </c>
      <c r="X6" s="71">
        <f>IFERROR(s_DL/(up_RadSpec!$J6*s_IFST_res_adj*s_CF_strawberry),".")</f>
        <v>6.6115702479338848E-4</v>
      </c>
      <c r="Y6" s="71">
        <f>IFERROR(s_DL/(up_RadSpec!$J6*s_IFTO_res_adj*s_CF_tomato),".")</f>
        <v>6.6115702479338848E-4</v>
      </c>
      <c r="Z6" s="71">
        <f>IFERROR(s_DL/(up_RadSpec!$J6*s_IFRI_res_adj*s_CF_rice),".")</f>
        <v>6.6115702479338848E-4</v>
      </c>
      <c r="AA6" s="71">
        <f>IFERROR(s_DL/(up_RadSpec!$J6*s_IFCG_res_adj*s_CF_cereal),".")</f>
        <v>6.6115702479338848E-4</v>
      </c>
      <c r="AB6" s="71">
        <f t="shared" si="25"/>
        <v>2.2038567493112948E-4</v>
      </c>
      <c r="AC6" s="71">
        <f>IFERROR(s_DL/(up_RadSpec!$J6*s_IFAP_far_adj*s_CF_apple),".")</f>
        <v>6.6115702479338848E-4</v>
      </c>
      <c r="AD6" s="71">
        <f>IFERROR(s_DL/(up_RadSpec!$J6*s_IFAS_far_adj*s_CF_asparagus),".")</f>
        <v>6.6115702479338848E-4</v>
      </c>
      <c r="AE6" s="71">
        <f>IFERROR(s_DL/(up_RadSpec!$J6*s_IFBT_far_adj*s_CF_beet),".")</f>
        <v>6.6115702479338848E-4</v>
      </c>
      <c r="AF6" s="71">
        <f>IFERROR(s_DL/(up_RadSpec!$J6*s_IFBE_far_adj*s_CF_berries),".")</f>
        <v>6.6115702479338848E-4</v>
      </c>
      <c r="AG6" s="71">
        <f>IFERROR(s_DL/(up_RadSpec!$J6*s_IFBR_far_adj*s_CF_broccoli),".")</f>
        <v>6.6115702479338848E-4</v>
      </c>
      <c r="AH6" s="71">
        <f>IFERROR(s_DL/(up_RadSpec!$J6*s_IFCB_far_adj*s_CF_cabbage),".")</f>
        <v>6.6115702479338848E-4</v>
      </c>
      <c r="AI6" s="71">
        <f>IFERROR(s_DL/(up_RadSpec!$J6*s_IFCR_far_adj*s_CF_carrot),".")</f>
        <v>6.6115702479338848E-4</v>
      </c>
      <c r="AJ6" s="71">
        <f>IFERROR(s_DL/(up_RadSpec!$J6*s_IFCI_far_adj*s_CF_citrus),".")</f>
        <v>6.6115702479338848E-4</v>
      </c>
      <c r="AK6" s="71">
        <f>IFERROR(s_DL/(up_RadSpec!$J6*s_IFCO_far_adj*s_CF_corn),".")</f>
        <v>6.6115702479338848E-4</v>
      </c>
      <c r="AL6" s="71">
        <f>IFERROR(s_DL/(up_RadSpec!$J6*s_IFCU_far_adj*s_CF_cucumber),".")</f>
        <v>6.6115702479338848E-4</v>
      </c>
      <c r="AM6" s="71">
        <f>IFERROR(s_DL/(up_RadSpec!$J6*s_IFLE_far_adj*s_CF_lettuce),".")</f>
        <v>6.6115702479338848E-4</v>
      </c>
      <c r="AN6" s="71">
        <f>IFERROR(s_DL/(up_RadSpec!$J6*s_IFLI_far_adj*s_CF_lima_bean),".")</f>
        <v>6.6115702479338848E-4</v>
      </c>
      <c r="AO6" s="71">
        <f>IFERROR(s_DL/(up_RadSpec!$J6*s_IFOK_far_adj*s_CF_okra),".")</f>
        <v>6.6115702479338848E-4</v>
      </c>
      <c r="AP6" s="71">
        <f>IFERROR(s_DL/(up_RadSpec!$J6*s_IFON_far_adj*s_CF_onion),".")</f>
        <v>6.6115702479338848E-4</v>
      </c>
      <c r="AQ6" s="71">
        <f>IFERROR(s_DL/(up_RadSpec!$J6*s_IFPC_far_adj*s_CF_peach),".")</f>
        <v>6.6115702479338848E-4</v>
      </c>
      <c r="AR6" s="71">
        <f>IFERROR(s_DL/(up_RadSpec!$J6*s_IFPR_far_adj*s_CF_pear),".")</f>
        <v>6.6115702479338848E-4</v>
      </c>
      <c r="AS6" s="71">
        <f>IFERROR(s_DL/(up_RadSpec!$J6*s_IFPE_far_adj*s_CF_peas),".")</f>
        <v>6.6115702479338848E-4</v>
      </c>
      <c r="AT6" s="71">
        <f>IFERROR(s_DL/(up_RadSpec!$J6*s_IFPT_far_adj*s_CF_potato),".")</f>
        <v>6.6115702479338848E-4</v>
      </c>
      <c r="AU6" s="71">
        <f>IFERROR(s_DL/(up_RadSpec!$J6*s_IFPU_far_adj*s_CF_pumpkin),".")</f>
        <v>6.6115702479338848E-4</v>
      </c>
      <c r="AV6" s="71">
        <f>IFERROR(s_DL/(up_RadSpec!$J6*s_IFSN_far_adj*s_CF_snap_bean),".")</f>
        <v>6.6115702479338848E-4</v>
      </c>
      <c r="AW6" s="71">
        <f>IFERROR(s_DL/(up_RadSpec!$J6*s_IFST_far_adj*s_CF_strawberry),".")</f>
        <v>6.6115702479338848E-4</v>
      </c>
      <c r="AX6" s="71">
        <f>IFERROR(s_DL/(up_RadSpec!$J6*s_IFTO_far_adj*s_CF_tomato),".")</f>
        <v>6.6115702479338848E-4</v>
      </c>
      <c r="AY6" s="71">
        <f>IFERROR(s_DL/(up_RadSpec!$J6*s_IFRI_far_adj*s_CF_rice),".")</f>
        <v>6.6115702479338848E-4</v>
      </c>
      <c r="AZ6" s="71">
        <f>IFERROR(s_DL/(up_RadSpec!$J6*s_IFCG_far_adj*s_CF_cereal),".")</f>
        <v>6.6115702479338848E-4</v>
      </c>
      <c r="BA6" s="10">
        <f t="shared" si="26"/>
        <v>22687.5</v>
      </c>
      <c r="BB6" s="62">
        <f t="shared" si="0"/>
        <v>7562.5</v>
      </c>
      <c r="BC6" s="62">
        <f t="shared" si="1"/>
        <v>7562.5</v>
      </c>
      <c r="BD6" s="62">
        <f t="shared" si="2"/>
        <v>7562.5</v>
      </c>
      <c r="BE6" s="62">
        <f t="shared" si="3"/>
        <v>7562.5</v>
      </c>
      <c r="BF6" s="62">
        <f t="shared" si="4"/>
        <v>7562.5</v>
      </c>
      <c r="BG6" s="62">
        <f t="shared" si="5"/>
        <v>7562.5</v>
      </c>
      <c r="BH6" s="62">
        <f t="shared" si="6"/>
        <v>7562.5</v>
      </c>
      <c r="BI6" s="62">
        <f t="shared" si="7"/>
        <v>7562.5</v>
      </c>
      <c r="BJ6" s="62">
        <f t="shared" si="8"/>
        <v>7562.5</v>
      </c>
      <c r="BK6" s="62">
        <f t="shared" si="9"/>
        <v>7562.5</v>
      </c>
      <c r="BL6" s="62">
        <f t="shared" si="10"/>
        <v>7562.5</v>
      </c>
      <c r="BM6" s="62">
        <f t="shared" si="11"/>
        <v>7562.5</v>
      </c>
      <c r="BN6" s="62">
        <f t="shared" si="12"/>
        <v>7562.5</v>
      </c>
      <c r="BO6" s="62">
        <f t="shared" si="13"/>
        <v>7562.5</v>
      </c>
      <c r="BP6" s="62">
        <f t="shared" si="14"/>
        <v>7562.5</v>
      </c>
      <c r="BQ6" s="62">
        <f t="shared" si="15"/>
        <v>7562.5</v>
      </c>
      <c r="BR6" s="62">
        <f t="shared" si="16"/>
        <v>7562.5</v>
      </c>
      <c r="BS6" s="62">
        <f t="shared" si="17"/>
        <v>7562.5</v>
      </c>
      <c r="BT6" s="62">
        <f t="shared" si="18"/>
        <v>7562.5</v>
      </c>
      <c r="BU6" s="62">
        <f t="shared" si="19"/>
        <v>7562.5</v>
      </c>
      <c r="BV6" s="62">
        <f t="shared" si="20"/>
        <v>7562.5</v>
      </c>
      <c r="BW6" s="62">
        <f t="shared" si="21"/>
        <v>7562.5</v>
      </c>
      <c r="BX6" s="62">
        <f t="shared" si="22"/>
        <v>7562.5</v>
      </c>
      <c r="BY6" s="62">
        <f t="shared" si="23"/>
        <v>7562.5</v>
      </c>
    </row>
    <row r="7" spans="1:77" x14ac:dyDescent="0.25">
      <c r="A7" s="61" t="s">
        <v>5</v>
      </c>
      <c r="B7" s="49" t="s">
        <v>1059</v>
      </c>
      <c r="C7" s="71">
        <f t="shared" si="24"/>
        <v>2.2038567493112948E-4</v>
      </c>
      <c r="D7" s="71">
        <f>IFERROR(s_DL/(up_RadSpec!$J7*s_IFAP_res_adj*s_CF_apple),".")</f>
        <v>6.6115702479338848E-4</v>
      </c>
      <c r="E7" s="71">
        <f>IFERROR(s_DL/(up_RadSpec!$J7*s_IFAS_res_adj*s_CF_asparagus),".")</f>
        <v>6.6115702479338848E-4</v>
      </c>
      <c r="F7" s="71">
        <f>IFERROR(s_DL/(up_RadSpec!$J7*s_IFBT_res_adj*s_CF_beet),".")</f>
        <v>6.6115702479338848E-4</v>
      </c>
      <c r="G7" s="71">
        <f>IFERROR(s_DL/(up_RadSpec!$J7*s_IFBE_res_adj*s_CF_berries),".")</f>
        <v>6.6115702479338848E-4</v>
      </c>
      <c r="H7" s="71">
        <f>IFERROR(s_DL/(up_RadSpec!$J7*s_IFBR_res_adj*s_CF_broccoli),".")</f>
        <v>6.6115702479338848E-4</v>
      </c>
      <c r="I7" s="71">
        <f>IFERROR(s_DL/(up_RadSpec!$J7*s_IFCB_res_adj*s_CF_cabbage),".")</f>
        <v>6.6115702479338848E-4</v>
      </c>
      <c r="J7" s="71">
        <f>IFERROR(s_DL/(up_RadSpec!$J7*s_IFCR_res_adj*s_CF_carrot),".")</f>
        <v>6.6115702479338848E-4</v>
      </c>
      <c r="K7" s="71">
        <f>IFERROR(s_DL/(up_RadSpec!$J7*s_IFCI_res_adj*s_CF_citrus),".")</f>
        <v>6.6115702479338848E-4</v>
      </c>
      <c r="L7" s="71">
        <f>IFERROR(s_DL/(up_RadSpec!$J7*s_IFCO_res_adj*s_CF_corn),".")</f>
        <v>6.6115702479338848E-4</v>
      </c>
      <c r="M7" s="71">
        <f>IFERROR(s_DL/(up_RadSpec!$J7*s_IFCU_res_adj*s_CF_cucumber),".")</f>
        <v>6.6115702479338848E-4</v>
      </c>
      <c r="N7" s="71">
        <f>IFERROR(s_DL/(up_RadSpec!$J7*s_IFLE_res_adj*s_CF_lettuce),".")</f>
        <v>6.6115702479338848E-4</v>
      </c>
      <c r="O7" s="71">
        <f>IFERROR(s_DL/(up_RadSpec!$J7*s_IFLI_res_adj*s_CF_lima_bean),".")</f>
        <v>6.6115702479338848E-4</v>
      </c>
      <c r="P7" s="71">
        <f>IFERROR(s_DL/(up_RadSpec!$J7*s_IFOK_res_adj*s_CF_okra),".")</f>
        <v>6.6115702479338848E-4</v>
      </c>
      <c r="Q7" s="71">
        <f>IFERROR(s_DL/(up_RadSpec!$J7*s_IFON_res_adj*s_CF_onion),".")</f>
        <v>6.6115702479338848E-4</v>
      </c>
      <c r="R7" s="71">
        <f>IFERROR(s_DL/(up_RadSpec!$J7*s_IFPC_res_adj*s_CF_peach),".")</f>
        <v>6.6115702479338848E-4</v>
      </c>
      <c r="S7" s="71">
        <f>IFERROR(s_DL/(up_RadSpec!$J7*s_IFPR_res_adj*s_CF_pear),".")</f>
        <v>6.6115702479338848E-4</v>
      </c>
      <c r="T7" s="71">
        <f>IFERROR(s_DL/(up_RadSpec!$J7*s_IFPE_res_adj*s_CF_peas),".")</f>
        <v>6.6115702479338848E-4</v>
      </c>
      <c r="U7" s="71">
        <f>IFERROR(s_DL/(up_RadSpec!$J7*s_IFPT_res_adj*s_CF_potato),".")</f>
        <v>6.6115702479338848E-4</v>
      </c>
      <c r="V7" s="71">
        <f>IFERROR(s_DL/(up_RadSpec!$J7*s_IFPU_res_adj*s_CF_pumpkin),".")</f>
        <v>6.6115702479338848E-4</v>
      </c>
      <c r="W7" s="71">
        <f>IFERROR(s_DL/(up_RadSpec!$J7*s_IFSN_res_adj*s_CF_snap_bean),".")</f>
        <v>6.6115702479338848E-4</v>
      </c>
      <c r="X7" s="71">
        <f>IFERROR(s_DL/(up_RadSpec!$J7*s_IFST_res_adj*s_CF_strawberry),".")</f>
        <v>6.6115702479338848E-4</v>
      </c>
      <c r="Y7" s="71">
        <f>IFERROR(s_DL/(up_RadSpec!$J7*s_IFTO_res_adj*s_CF_tomato),".")</f>
        <v>6.6115702479338848E-4</v>
      </c>
      <c r="Z7" s="71">
        <f>IFERROR(s_DL/(up_RadSpec!$J7*s_IFRI_res_adj*s_CF_rice),".")</f>
        <v>6.6115702479338848E-4</v>
      </c>
      <c r="AA7" s="71">
        <f>IFERROR(s_DL/(up_RadSpec!$J7*s_IFCG_res_adj*s_CF_cereal),".")</f>
        <v>6.6115702479338848E-4</v>
      </c>
      <c r="AB7" s="71">
        <f t="shared" si="25"/>
        <v>2.2038567493112948E-4</v>
      </c>
      <c r="AC7" s="71">
        <f>IFERROR(s_DL/(up_RadSpec!$J7*s_IFAP_far_adj*s_CF_apple),".")</f>
        <v>6.6115702479338848E-4</v>
      </c>
      <c r="AD7" s="71">
        <f>IFERROR(s_DL/(up_RadSpec!$J7*s_IFAS_far_adj*s_CF_asparagus),".")</f>
        <v>6.6115702479338848E-4</v>
      </c>
      <c r="AE7" s="71">
        <f>IFERROR(s_DL/(up_RadSpec!$J7*s_IFBT_far_adj*s_CF_beet),".")</f>
        <v>6.6115702479338848E-4</v>
      </c>
      <c r="AF7" s="71">
        <f>IFERROR(s_DL/(up_RadSpec!$J7*s_IFBE_far_adj*s_CF_berries),".")</f>
        <v>6.6115702479338848E-4</v>
      </c>
      <c r="AG7" s="71">
        <f>IFERROR(s_DL/(up_RadSpec!$J7*s_IFBR_far_adj*s_CF_broccoli),".")</f>
        <v>6.6115702479338848E-4</v>
      </c>
      <c r="AH7" s="71">
        <f>IFERROR(s_DL/(up_RadSpec!$J7*s_IFCB_far_adj*s_CF_cabbage),".")</f>
        <v>6.6115702479338848E-4</v>
      </c>
      <c r="AI7" s="71">
        <f>IFERROR(s_DL/(up_RadSpec!$J7*s_IFCR_far_adj*s_CF_carrot),".")</f>
        <v>6.6115702479338848E-4</v>
      </c>
      <c r="AJ7" s="71">
        <f>IFERROR(s_DL/(up_RadSpec!$J7*s_IFCI_far_adj*s_CF_citrus),".")</f>
        <v>6.6115702479338848E-4</v>
      </c>
      <c r="AK7" s="71">
        <f>IFERROR(s_DL/(up_RadSpec!$J7*s_IFCO_far_adj*s_CF_corn),".")</f>
        <v>6.6115702479338848E-4</v>
      </c>
      <c r="AL7" s="71">
        <f>IFERROR(s_DL/(up_RadSpec!$J7*s_IFCU_far_adj*s_CF_cucumber),".")</f>
        <v>6.6115702479338848E-4</v>
      </c>
      <c r="AM7" s="71">
        <f>IFERROR(s_DL/(up_RadSpec!$J7*s_IFLE_far_adj*s_CF_lettuce),".")</f>
        <v>6.6115702479338848E-4</v>
      </c>
      <c r="AN7" s="71">
        <f>IFERROR(s_DL/(up_RadSpec!$J7*s_IFLI_far_adj*s_CF_lima_bean),".")</f>
        <v>6.6115702479338848E-4</v>
      </c>
      <c r="AO7" s="71">
        <f>IFERROR(s_DL/(up_RadSpec!$J7*s_IFOK_far_adj*s_CF_okra),".")</f>
        <v>6.6115702479338848E-4</v>
      </c>
      <c r="AP7" s="71">
        <f>IFERROR(s_DL/(up_RadSpec!$J7*s_IFON_far_adj*s_CF_onion),".")</f>
        <v>6.6115702479338848E-4</v>
      </c>
      <c r="AQ7" s="71">
        <f>IFERROR(s_DL/(up_RadSpec!$J7*s_IFPC_far_adj*s_CF_peach),".")</f>
        <v>6.6115702479338848E-4</v>
      </c>
      <c r="AR7" s="71">
        <f>IFERROR(s_DL/(up_RadSpec!$J7*s_IFPR_far_adj*s_CF_pear),".")</f>
        <v>6.6115702479338848E-4</v>
      </c>
      <c r="AS7" s="71">
        <f>IFERROR(s_DL/(up_RadSpec!$J7*s_IFPE_far_adj*s_CF_peas),".")</f>
        <v>6.6115702479338848E-4</v>
      </c>
      <c r="AT7" s="71">
        <f>IFERROR(s_DL/(up_RadSpec!$J7*s_IFPT_far_adj*s_CF_potato),".")</f>
        <v>6.6115702479338848E-4</v>
      </c>
      <c r="AU7" s="71">
        <f>IFERROR(s_DL/(up_RadSpec!$J7*s_IFPU_far_adj*s_CF_pumpkin),".")</f>
        <v>6.6115702479338848E-4</v>
      </c>
      <c r="AV7" s="71">
        <f>IFERROR(s_DL/(up_RadSpec!$J7*s_IFSN_far_adj*s_CF_snap_bean),".")</f>
        <v>6.6115702479338848E-4</v>
      </c>
      <c r="AW7" s="71">
        <f>IFERROR(s_DL/(up_RadSpec!$J7*s_IFST_far_adj*s_CF_strawberry),".")</f>
        <v>6.6115702479338848E-4</v>
      </c>
      <c r="AX7" s="71">
        <f>IFERROR(s_DL/(up_RadSpec!$J7*s_IFTO_far_adj*s_CF_tomato),".")</f>
        <v>6.6115702479338848E-4</v>
      </c>
      <c r="AY7" s="71">
        <f>IFERROR(s_DL/(up_RadSpec!$J7*s_IFRI_far_adj*s_CF_rice),".")</f>
        <v>6.6115702479338848E-4</v>
      </c>
      <c r="AZ7" s="71">
        <f>IFERROR(s_DL/(up_RadSpec!$J7*s_IFCG_far_adj*s_CF_cereal),".")</f>
        <v>6.6115702479338848E-4</v>
      </c>
      <c r="BA7" s="10">
        <f t="shared" si="26"/>
        <v>22687.5</v>
      </c>
      <c r="BB7" s="62">
        <f t="shared" si="0"/>
        <v>7562.5</v>
      </c>
      <c r="BC7" s="62">
        <f t="shared" si="1"/>
        <v>7562.5</v>
      </c>
      <c r="BD7" s="62">
        <f t="shared" si="2"/>
        <v>7562.5</v>
      </c>
      <c r="BE7" s="62">
        <f t="shared" si="3"/>
        <v>7562.5</v>
      </c>
      <c r="BF7" s="62">
        <f t="shared" si="4"/>
        <v>7562.5</v>
      </c>
      <c r="BG7" s="62">
        <f t="shared" si="5"/>
        <v>7562.5</v>
      </c>
      <c r="BH7" s="62">
        <f t="shared" si="6"/>
        <v>7562.5</v>
      </c>
      <c r="BI7" s="62">
        <f t="shared" si="7"/>
        <v>7562.5</v>
      </c>
      <c r="BJ7" s="62">
        <f t="shared" si="8"/>
        <v>7562.5</v>
      </c>
      <c r="BK7" s="62">
        <f t="shared" si="9"/>
        <v>7562.5</v>
      </c>
      <c r="BL7" s="62">
        <f t="shared" si="10"/>
        <v>7562.5</v>
      </c>
      <c r="BM7" s="62">
        <f t="shared" si="11"/>
        <v>7562.5</v>
      </c>
      <c r="BN7" s="62">
        <f t="shared" si="12"/>
        <v>7562.5</v>
      </c>
      <c r="BO7" s="62">
        <f t="shared" si="13"/>
        <v>7562.5</v>
      </c>
      <c r="BP7" s="62">
        <f t="shared" si="14"/>
        <v>7562.5</v>
      </c>
      <c r="BQ7" s="62">
        <f t="shared" si="15"/>
        <v>7562.5</v>
      </c>
      <c r="BR7" s="62">
        <f t="shared" si="16"/>
        <v>7562.5</v>
      </c>
      <c r="BS7" s="62">
        <f t="shared" si="17"/>
        <v>7562.5</v>
      </c>
      <c r="BT7" s="62">
        <f t="shared" si="18"/>
        <v>7562.5</v>
      </c>
      <c r="BU7" s="62">
        <f t="shared" si="19"/>
        <v>7562.5</v>
      </c>
      <c r="BV7" s="62">
        <f t="shared" si="20"/>
        <v>7562.5</v>
      </c>
      <c r="BW7" s="62">
        <f t="shared" si="21"/>
        <v>7562.5</v>
      </c>
      <c r="BX7" s="62">
        <f t="shared" si="22"/>
        <v>7562.5</v>
      </c>
      <c r="BY7" s="62">
        <f t="shared" si="23"/>
        <v>7562.5</v>
      </c>
    </row>
    <row r="8" spans="1:77" x14ac:dyDescent="0.25">
      <c r="A8" s="61" t="s">
        <v>6</v>
      </c>
      <c r="B8" s="49" t="s">
        <v>1059</v>
      </c>
      <c r="C8" s="71">
        <f t="shared" si="24"/>
        <v>2.2038567493112948E-4</v>
      </c>
      <c r="D8" s="71">
        <f>IFERROR(s_DL/(up_RadSpec!$J8*s_IFAP_res_adj*s_CF_apple),".")</f>
        <v>6.6115702479338848E-4</v>
      </c>
      <c r="E8" s="71">
        <f>IFERROR(s_DL/(up_RadSpec!$J8*s_IFAS_res_adj*s_CF_asparagus),".")</f>
        <v>6.6115702479338848E-4</v>
      </c>
      <c r="F8" s="71">
        <f>IFERROR(s_DL/(up_RadSpec!$J8*s_IFBT_res_adj*s_CF_beet),".")</f>
        <v>6.6115702479338848E-4</v>
      </c>
      <c r="G8" s="71">
        <f>IFERROR(s_DL/(up_RadSpec!$J8*s_IFBE_res_adj*s_CF_berries),".")</f>
        <v>6.6115702479338848E-4</v>
      </c>
      <c r="H8" s="71">
        <f>IFERROR(s_DL/(up_RadSpec!$J8*s_IFBR_res_adj*s_CF_broccoli),".")</f>
        <v>6.6115702479338848E-4</v>
      </c>
      <c r="I8" s="71">
        <f>IFERROR(s_DL/(up_RadSpec!$J8*s_IFCB_res_adj*s_CF_cabbage),".")</f>
        <v>6.6115702479338848E-4</v>
      </c>
      <c r="J8" s="71">
        <f>IFERROR(s_DL/(up_RadSpec!$J8*s_IFCR_res_adj*s_CF_carrot),".")</f>
        <v>6.6115702479338848E-4</v>
      </c>
      <c r="K8" s="71">
        <f>IFERROR(s_DL/(up_RadSpec!$J8*s_IFCI_res_adj*s_CF_citrus),".")</f>
        <v>6.6115702479338848E-4</v>
      </c>
      <c r="L8" s="71">
        <f>IFERROR(s_DL/(up_RadSpec!$J8*s_IFCO_res_adj*s_CF_corn),".")</f>
        <v>6.6115702479338848E-4</v>
      </c>
      <c r="M8" s="71">
        <f>IFERROR(s_DL/(up_RadSpec!$J8*s_IFCU_res_adj*s_CF_cucumber),".")</f>
        <v>6.6115702479338848E-4</v>
      </c>
      <c r="N8" s="71">
        <f>IFERROR(s_DL/(up_RadSpec!$J8*s_IFLE_res_adj*s_CF_lettuce),".")</f>
        <v>6.6115702479338848E-4</v>
      </c>
      <c r="O8" s="71">
        <f>IFERROR(s_DL/(up_RadSpec!$J8*s_IFLI_res_adj*s_CF_lima_bean),".")</f>
        <v>6.6115702479338848E-4</v>
      </c>
      <c r="P8" s="71">
        <f>IFERROR(s_DL/(up_RadSpec!$J8*s_IFOK_res_adj*s_CF_okra),".")</f>
        <v>6.6115702479338848E-4</v>
      </c>
      <c r="Q8" s="71">
        <f>IFERROR(s_DL/(up_RadSpec!$J8*s_IFON_res_adj*s_CF_onion),".")</f>
        <v>6.6115702479338848E-4</v>
      </c>
      <c r="R8" s="71">
        <f>IFERROR(s_DL/(up_RadSpec!$J8*s_IFPC_res_adj*s_CF_peach),".")</f>
        <v>6.6115702479338848E-4</v>
      </c>
      <c r="S8" s="71">
        <f>IFERROR(s_DL/(up_RadSpec!$J8*s_IFPR_res_adj*s_CF_pear),".")</f>
        <v>6.6115702479338848E-4</v>
      </c>
      <c r="T8" s="71">
        <f>IFERROR(s_DL/(up_RadSpec!$J8*s_IFPE_res_adj*s_CF_peas),".")</f>
        <v>6.6115702479338848E-4</v>
      </c>
      <c r="U8" s="71">
        <f>IFERROR(s_DL/(up_RadSpec!$J8*s_IFPT_res_adj*s_CF_potato),".")</f>
        <v>6.6115702479338848E-4</v>
      </c>
      <c r="V8" s="71">
        <f>IFERROR(s_DL/(up_RadSpec!$J8*s_IFPU_res_adj*s_CF_pumpkin),".")</f>
        <v>6.6115702479338848E-4</v>
      </c>
      <c r="W8" s="71">
        <f>IFERROR(s_DL/(up_RadSpec!$J8*s_IFSN_res_adj*s_CF_snap_bean),".")</f>
        <v>6.6115702479338848E-4</v>
      </c>
      <c r="X8" s="71">
        <f>IFERROR(s_DL/(up_RadSpec!$J8*s_IFST_res_adj*s_CF_strawberry),".")</f>
        <v>6.6115702479338848E-4</v>
      </c>
      <c r="Y8" s="71">
        <f>IFERROR(s_DL/(up_RadSpec!$J8*s_IFTO_res_adj*s_CF_tomato),".")</f>
        <v>6.6115702479338848E-4</v>
      </c>
      <c r="Z8" s="71">
        <f>IFERROR(s_DL/(up_RadSpec!$J8*s_IFRI_res_adj*s_CF_rice),".")</f>
        <v>6.6115702479338848E-4</v>
      </c>
      <c r="AA8" s="71">
        <f>IFERROR(s_DL/(up_RadSpec!$J8*s_IFCG_res_adj*s_CF_cereal),".")</f>
        <v>6.6115702479338848E-4</v>
      </c>
      <c r="AB8" s="71">
        <f t="shared" si="25"/>
        <v>2.2038567493112948E-4</v>
      </c>
      <c r="AC8" s="71">
        <f>IFERROR(s_DL/(up_RadSpec!$J8*s_IFAP_far_adj*s_CF_apple),".")</f>
        <v>6.6115702479338848E-4</v>
      </c>
      <c r="AD8" s="71">
        <f>IFERROR(s_DL/(up_RadSpec!$J8*s_IFAS_far_adj*s_CF_asparagus),".")</f>
        <v>6.6115702479338848E-4</v>
      </c>
      <c r="AE8" s="71">
        <f>IFERROR(s_DL/(up_RadSpec!$J8*s_IFBT_far_adj*s_CF_beet),".")</f>
        <v>6.6115702479338848E-4</v>
      </c>
      <c r="AF8" s="71">
        <f>IFERROR(s_DL/(up_RadSpec!$J8*s_IFBE_far_adj*s_CF_berries),".")</f>
        <v>6.6115702479338848E-4</v>
      </c>
      <c r="AG8" s="71">
        <f>IFERROR(s_DL/(up_RadSpec!$J8*s_IFBR_far_adj*s_CF_broccoli),".")</f>
        <v>6.6115702479338848E-4</v>
      </c>
      <c r="AH8" s="71">
        <f>IFERROR(s_DL/(up_RadSpec!$J8*s_IFCB_far_adj*s_CF_cabbage),".")</f>
        <v>6.6115702479338848E-4</v>
      </c>
      <c r="AI8" s="71">
        <f>IFERROR(s_DL/(up_RadSpec!$J8*s_IFCR_far_adj*s_CF_carrot),".")</f>
        <v>6.6115702479338848E-4</v>
      </c>
      <c r="AJ8" s="71">
        <f>IFERROR(s_DL/(up_RadSpec!$J8*s_IFCI_far_adj*s_CF_citrus),".")</f>
        <v>6.6115702479338848E-4</v>
      </c>
      <c r="AK8" s="71">
        <f>IFERROR(s_DL/(up_RadSpec!$J8*s_IFCO_far_adj*s_CF_corn),".")</f>
        <v>6.6115702479338848E-4</v>
      </c>
      <c r="AL8" s="71">
        <f>IFERROR(s_DL/(up_RadSpec!$J8*s_IFCU_far_adj*s_CF_cucumber),".")</f>
        <v>6.6115702479338848E-4</v>
      </c>
      <c r="AM8" s="71">
        <f>IFERROR(s_DL/(up_RadSpec!$J8*s_IFLE_far_adj*s_CF_lettuce),".")</f>
        <v>6.6115702479338848E-4</v>
      </c>
      <c r="AN8" s="71">
        <f>IFERROR(s_DL/(up_RadSpec!$J8*s_IFLI_far_adj*s_CF_lima_bean),".")</f>
        <v>6.6115702479338848E-4</v>
      </c>
      <c r="AO8" s="71">
        <f>IFERROR(s_DL/(up_RadSpec!$J8*s_IFOK_far_adj*s_CF_okra),".")</f>
        <v>6.6115702479338848E-4</v>
      </c>
      <c r="AP8" s="71">
        <f>IFERROR(s_DL/(up_RadSpec!$J8*s_IFON_far_adj*s_CF_onion),".")</f>
        <v>6.6115702479338848E-4</v>
      </c>
      <c r="AQ8" s="71">
        <f>IFERROR(s_DL/(up_RadSpec!$J8*s_IFPC_far_adj*s_CF_peach),".")</f>
        <v>6.6115702479338848E-4</v>
      </c>
      <c r="AR8" s="71">
        <f>IFERROR(s_DL/(up_RadSpec!$J8*s_IFPR_far_adj*s_CF_pear),".")</f>
        <v>6.6115702479338848E-4</v>
      </c>
      <c r="AS8" s="71">
        <f>IFERROR(s_DL/(up_RadSpec!$J8*s_IFPE_far_adj*s_CF_peas),".")</f>
        <v>6.6115702479338848E-4</v>
      </c>
      <c r="AT8" s="71">
        <f>IFERROR(s_DL/(up_RadSpec!$J8*s_IFPT_far_adj*s_CF_potato),".")</f>
        <v>6.6115702479338848E-4</v>
      </c>
      <c r="AU8" s="71">
        <f>IFERROR(s_DL/(up_RadSpec!$J8*s_IFPU_far_adj*s_CF_pumpkin),".")</f>
        <v>6.6115702479338848E-4</v>
      </c>
      <c r="AV8" s="71">
        <f>IFERROR(s_DL/(up_RadSpec!$J8*s_IFSN_far_adj*s_CF_snap_bean),".")</f>
        <v>6.6115702479338848E-4</v>
      </c>
      <c r="AW8" s="71">
        <f>IFERROR(s_DL/(up_RadSpec!$J8*s_IFST_far_adj*s_CF_strawberry),".")</f>
        <v>6.6115702479338848E-4</v>
      </c>
      <c r="AX8" s="71">
        <f>IFERROR(s_DL/(up_RadSpec!$J8*s_IFTO_far_adj*s_CF_tomato),".")</f>
        <v>6.6115702479338848E-4</v>
      </c>
      <c r="AY8" s="71">
        <f>IFERROR(s_DL/(up_RadSpec!$J8*s_IFRI_far_adj*s_CF_rice),".")</f>
        <v>6.6115702479338848E-4</v>
      </c>
      <c r="AZ8" s="71">
        <f>IFERROR(s_DL/(up_RadSpec!$J8*s_IFCG_far_adj*s_CF_cereal),".")</f>
        <v>6.6115702479338848E-4</v>
      </c>
      <c r="BA8" s="10">
        <f t="shared" si="26"/>
        <v>22687.5</v>
      </c>
      <c r="BB8" s="62">
        <f t="shared" si="0"/>
        <v>7562.5</v>
      </c>
      <c r="BC8" s="62">
        <f t="shared" si="1"/>
        <v>7562.5</v>
      </c>
      <c r="BD8" s="62">
        <f t="shared" si="2"/>
        <v>7562.5</v>
      </c>
      <c r="BE8" s="62">
        <f t="shared" si="3"/>
        <v>7562.5</v>
      </c>
      <c r="BF8" s="62">
        <f t="shared" si="4"/>
        <v>7562.5</v>
      </c>
      <c r="BG8" s="62">
        <f t="shared" si="5"/>
        <v>7562.5</v>
      </c>
      <c r="BH8" s="62">
        <f t="shared" si="6"/>
        <v>7562.5</v>
      </c>
      <c r="BI8" s="62">
        <f t="shared" si="7"/>
        <v>7562.5</v>
      </c>
      <c r="BJ8" s="62">
        <f t="shared" si="8"/>
        <v>7562.5</v>
      </c>
      <c r="BK8" s="62">
        <f t="shared" si="9"/>
        <v>7562.5</v>
      </c>
      <c r="BL8" s="62">
        <f t="shared" si="10"/>
        <v>7562.5</v>
      </c>
      <c r="BM8" s="62">
        <f t="shared" si="11"/>
        <v>7562.5</v>
      </c>
      <c r="BN8" s="62">
        <f t="shared" si="12"/>
        <v>7562.5</v>
      </c>
      <c r="BO8" s="62">
        <f t="shared" si="13"/>
        <v>7562.5</v>
      </c>
      <c r="BP8" s="62">
        <f t="shared" si="14"/>
        <v>7562.5</v>
      </c>
      <c r="BQ8" s="62">
        <f t="shared" si="15"/>
        <v>7562.5</v>
      </c>
      <c r="BR8" s="62">
        <f t="shared" si="16"/>
        <v>7562.5</v>
      </c>
      <c r="BS8" s="62">
        <f t="shared" si="17"/>
        <v>7562.5</v>
      </c>
      <c r="BT8" s="62">
        <f t="shared" si="18"/>
        <v>7562.5</v>
      </c>
      <c r="BU8" s="62">
        <f t="shared" si="19"/>
        <v>7562.5</v>
      </c>
      <c r="BV8" s="62">
        <f t="shared" si="20"/>
        <v>7562.5</v>
      </c>
      <c r="BW8" s="62">
        <f t="shared" si="21"/>
        <v>7562.5</v>
      </c>
      <c r="BX8" s="62">
        <f t="shared" si="22"/>
        <v>7562.5</v>
      </c>
      <c r="BY8" s="62">
        <f t="shared" si="23"/>
        <v>7562.5</v>
      </c>
    </row>
    <row r="9" spans="1:77" x14ac:dyDescent="0.25">
      <c r="A9" s="61" t="s">
        <v>7</v>
      </c>
      <c r="B9" s="49" t="s">
        <v>1059</v>
      </c>
      <c r="C9" s="71">
        <f t="shared" si="24"/>
        <v>2.2038567493112948E-4</v>
      </c>
      <c r="D9" s="71">
        <f>IFERROR(s_DL/(up_RadSpec!$J9*s_IFAP_res_adj*s_CF_apple),".")</f>
        <v>6.6115702479338848E-4</v>
      </c>
      <c r="E9" s="71">
        <f>IFERROR(s_DL/(up_RadSpec!$J9*s_IFAS_res_adj*s_CF_asparagus),".")</f>
        <v>6.6115702479338848E-4</v>
      </c>
      <c r="F9" s="71">
        <f>IFERROR(s_DL/(up_RadSpec!$J9*s_IFBT_res_adj*s_CF_beet),".")</f>
        <v>6.6115702479338848E-4</v>
      </c>
      <c r="G9" s="71">
        <f>IFERROR(s_DL/(up_RadSpec!$J9*s_IFBE_res_adj*s_CF_berries),".")</f>
        <v>6.6115702479338848E-4</v>
      </c>
      <c r="H9" s="71">
        <f>IFERROR(s_DL/(up_RadSpec!$J9*s_IFBR_res_adj*s_CF_broccoli),".")</f>
        <v>6.6115702479338848E-4</v>
      </c>
      <c r="I9" s="71">
        <f>IFERROR(s_DL/(up_RadSpec!$J9*s_IFCB_res_adj*s_CF_cabbage),".")</f>
        <v>6.6115702479338848E-4</v>
      </c>
      <c r="J9" s="71">
        <f>IFERROR(s_DL/(up_RadSpec!$J9*s_IFCR_res_adj*s_CF_carrot),".")</f>
        <v>6.6115702479338848E-4</v>
      </c>
      <c r="K9" s="71">
        <f>IFERROR(s_DL/(up_RadSpec!$J9*s_IFCI_res_adj*s_CF_citrus),".")</f>
        <v>6.6115702479338848E-4</v>
      </c>
      <c r="L9" s="71">
        <f>IFERROR(s_DL/(up_RadSpec!$J9*s_IFCO_res_adj*s_CF_corn),".")</f>
        <v>6.6115702479338848E-4</v>
      </c>
      <c r="M9" s="71">
        <f>IFERROR(s_DL/(up_RadSpec!$J9*s_IFCU_res_adj*s_CF_cucumber),".")</f>
        <v>6.6115702479338848E-4</v>
      </c>
      <c r="N9" s="71">
        <f>IFERROR(s_DL/(up_RadSpec!$J9*s_IFLE_res_adj*s_CF_lettuce),".")</f>
        <v>6.6115702479338848E-4</v>
      </c>
      <c r="O9" s="71">
        <f>IFERROR(s_DL/(up_RadSpec!$J9*s_IFLI_res_adj*s_CF_lima_bean),".")</f>
        <v>6.6115702479338848E-4</v>
      </c>
      <c r="P9" s="71">
        <f>IFERROR(s_DL/(up_RadSpec!$J9*s_IFOK_res_adj*s_CF_okra),".")</f>
        <v>6.6115702479338848E-4</v>
      </c>
      <c r="Q9" s="71">
        <f>IFERROR(s_DL/(up_RadSpec!$J9*s_IFON_res_adj*s_CF_onion),".")</f>
        <v>6.6115702479338848E-4</v>
      </c>
      <c r="R9" s="71">
        <f>IFERROR(s_DL/(up_RadSpec!$J9*s_IFPC_res_adj*s_CF_peach),".")</f>
        <v>6.6115702479338848E-4</v>
      </c>
      <c r="S9" s="71">
        <f>IFERROR(s_DL/(up_RadSpec!$J9*s_IFPR_res_adj*s_CF_pear),".")</f>
        <v>6.6115702479338848E-4</v>
      </c>
      <c r="T9" s="71">
        <f>IFERROR(s_DL/(up_RadSpec!$J9*s_IFPE_res_adj*s_CF_peas),".")</f>
        <v>6.6115702479338848E-4</v>
      </c>
      <c r="U9" s="71">
        <f>IFERROR(s_DL/(up_RadSpec!$J9*s_IFPT_res_adj*s_CF_potato),".")</f>
        <v>6.6115702479338848E-4</v>
      </c>
      <c r="V9" s="71">
        <f>IFERROR(s_DL/(up_RadSpec!$J9*s_IFPU_res_adj*s_CF_pumpkin),".")</f>
        <v>6.6115702479338848E-4</v>
      </c>
      <c r="W9" s="71">
        <f>IFERROR(s_DL/(up_RadSpec!$J9*s_IFSN_res_adj*s_CF_snap_bean),".")</f>
        <v>6.6115702479338848E-4</v>
      </c>
      <c r="X9" s="71">
        <f>IFERROR(s_DL/(up_RadSpec!$J9*s_IFST_res_adj*s_CF_strawberry),".")</f>
        <v>6.6115702479338848E-4</v>
      </c>
      <c r="Y9" s="71">
        <f>IFERROR(s_DL/(up_RadSpec!$J9*s_IFTO_res_adj*s_CF_tomato),".")</f>
        <v>6.6115702479338848E-4</v>
      </c>
      <c r="Z9" s="71">
        <f>IFERROR(s_DL/(up_RadSpec!$J9*s_IFRI_res_adj*s_CF_rice),".")</f>
        <v>6.6115702479338848E-4</v>
      </c>
      <c r="AA9" s="71">
        <f>IFERROR(s_DL/(up_RadSpec!$J9*s_IFCG_res_adj*s_CF_cereal),".")</f>
        <v>6.6115702479338848E-4</v>
      </c>
      <c r="AB9" s="71">
        <f t="shared" si="25"/>
        <v>2.2038567493112948E-4</v>
      </c>
      <c r="AC9" s="71">
        <f>IFERROR(s_DL/(up_RadSpec!$J9*s_IFAP_far_adj*s_CF_apple),".")</f>
        <v>6.6115702479338848E-4</v>
      </c>
      <c r="AD9" s="71">
        <f>IFERROR(s_DL/(up_RadSpec!$J9*s_IFAS_far_adj*s_CF_asparagus),".")</f>
        <v>6.6115702479338848E-4</v>
      </c>
      <c r="AE9" s="71">
        <f>IFERROR(s_DL/(up_RadSpec!$J9*s_IFBT_far_adj*s_CF_beet),".")</f>
        <v>6.6115702479338848E-4</v>
      </c>
      <c r="AF9" s="71">
        <f>IFERROR(s_DL/(up_RadSpec!$J9*s_IFBE_far_adj*s_CF_berries),".")</f>
        <v>6.6115702479338848E-4</v>
      </c>
      <c r="AG9" s="71">
        <f>IFERROR(s_DL/(up_RadSpec!$J9*s_IFBR_far_adj*s_CF_broccoli),".")</f>
        <v>6.6115702479338848E-4</v>
      </c>
      <c r="AH9" s="71">
        <f>IFERROR(s_DL/(up_RadSpec!$J9*s_IFCB_far_adj*s_CF_cabbage),".")</f>
        <v>6.6115702479338848E-4</v>
      </c>
      <c r="AI9" s="71">
        <f>IFERROR(s_DL/(up_RadSpec!$J9*s_IFCR_far_adj*s_CF_carrot),".")</f>
        <v>6.6115702479338848E-4</v>
      </c>
      <c r="AJ9" s="71">
        <f>IFERROR(s_DL/(up_RadSpec!$J9*s_IFCI_far_adj*s_CF_citrus),".")</f>
        <v>6.6115702479338848E-4</v>
      </c>
      <c r="AK9" s="71">
        <f>IFERROR(s_DL/(up_RadSpec!$J9*s_IFCO_far_adj*s_CF_corn),".")</f>
        <v>6.6115702479338848E-4</v>
      </c>
      <c r="AL9" s="71">
        <f>IFERROR(s_DL/(up_RadSpec!$J9*s_IFCU_far_adj*s_CF_cucumber),".")</f>
        <v>6.6115702479338848E-4</v>
      </c>
      <c r="AM9" s="71">
        <f>IFERROR(s_DL/(up_RadSpec!$J9*s_IFLE_far_adj*s_CF_lettuce),".")</f>
        <v>6.6115702479338848E-4</v>
      </c>
      <c r="AN9" s="71">
        <f>IFERROR(s_DL/(up_RadSpec!$J9*s_IFLI_far_adj*s_CF_lima_bean),".")</f>
        <v>6.6115702479338848E-4</v>
      </c>
      <c r="AO9" s="71">
        <f>IFERROR(s_DL/(up_RadSpec!$J9*s_IFOK_far_adj*s_CF_okra),".")</f>
        <v>6.6115702479338848E-4</v>
      </c>
      <c r="AP9" s="71">
        <f>IFERROR(s_DL/(up_RadSpec!$J9*s_IFON_far_adj*s_CF_onion),".")</f>
        <v>6.6115702479338848E-4</v>
      </c>
      <c r="AQ9" s="71">
        <f>IFERROR(s_DL/(up_RadSpec!$J9*s_IFPC_far_adj*s_CF_peach),".")</f>
        <v>6.6115702479338848E-4</v>
      </c>
      <c r="AR9" s="71">
        <f>IFERROR(s_DL/(up_RadSpec!$J9*s_IFPR_far_adj*s_CF_pear),".")</f>
        <v>6.6115702479338848E-4</v>
      </c>
      <c r="AS9" s="71">
        <f>IFERROR(s_DL/(up_RadSpec!$J9*s_IFPE_far_adj*s_CF_peas),".")</f>
        <v>6.6115702479338848E-4</v>
      </c>
      <c r="AT9" s="71">
        <f>IFERROR(s_DL/(up_RadSpec!$J9*s_IFPT_far_adj*s_CF_potato),".")</f>
        <v>6.6115702479338848E-4</v>
      </c>
      <c r="AU9" s="71">
        <f>IFERROR(s_DL/(up_RadSpec!$J9*s_IFPU_far_adj*s_CF_pumpkin),".")</f>
        <v>6.6115702479338848E-4</v>
      </c>
      <c r="AV9" s="71">
        <f>IFERROR(s_DL/(up_RadSpec!$J9*s_IFSN_far_adj*s_CF_snap_bean),".")</f>
        <v>6.6115702479338848E-4</v>
      </c>
      <c r="AW9" s="71">
        <f>IFERROR(s_DL/(up_RadSpec!$J9*s_IFST_far_adj*s_CF_strawberry),".")</f>
        <v>6.6115702479338848E-4</v>
      </c>
      <c r="AX9" s="71">
        <f>IFERROR(s_DL/(up_RadSpec!$J9*s_IFTO_far_adj*s_CF_tomato),".")</f>
        <v>6.6115702479338848E-4</v>
      </c>
      <c r="AY9" s="71">
        <f>IFERROR(s_DL/(up_RadSpec!$J9*s_IFRI_far_adj*s_CF_rice),".")</f>
        <v>6.6115702479338848E-4</v>
      </c>
      <c r="AZ9" s="71">
        <f>IFERROR(s_DL/(up_RadSpec!$J9*s_IFCG_far_adj*s_CF_cereal),".")</f>
        <v>6.6115702479338848E-4</v>
      </c>
      <c r="BA9" s="10">
        <f t="shared" si="26"/>
        <v>22687.5</v>
      </c>
      <c r="BB9" s="62">
        <f t="shared" si="0"/>
        <v>7562.5</v>
      </c>
      <c r="BC9" s="62">
        <f t="shared" si="1"/>
        <v>7562.5</v>
      </c>
      <c r="BD9" s="62">
        <f t="shared" si="2"/>
        <v>7562.5</v>
      </c>
      <c r="BE9" s="62">
        <f t="shared" si="3"/>
        <v>7562.5</v>
      </c>
      <c r="BF9" s="62">
        <f t="shared" si="4"/>
        <v>7562.5</v>
      </c>
      <c r="BG9" s="62">
        <f t="shared" si="5"/>
        <v>7562.5</v>
      </c>
      <c r="BH9" s="62">
        <f t="shared" si="6"/>
        <v>7562.5</v>
      </c>
      <c r="BI9" s="62">
        <f t="shared" si="7"/>
        <v>7562.5</v>
      </c>
      <c r="BJ9" s="62">
        <f t="shared" si="8"/>
        <v>7562.5</v>
      </c>
      <c r="BK9" s="62">
        <f t="shared" si="9"/>
        <v>7562.5</v>
      </c>
      <c r="BL9" s="62">
        <f t="shared" si="10"/>
        <v>7562.5</v>
      </c>
      <c r="BM9" s="62">
        <f t="shared" si="11"/>
        <v>7562.5</v>
      </c>
      <c r="BN9" s="62">
        <f t="shared" si="12"/>
        <v>7562.5</v>
      </c>
      <c r="BO9" s="62">
        <f t="shared" si="13"/>
        <v>7562.5</v>
      </c>
      <c r="BP9" s="62">
        <f t="shared" si="14"/>
        <v>7562.5</v>
      </c>
      <c r="BQ9" s="62">
        <f t="shared" si="15"/>
        <v>7562.5</v>
      </c>
      <c r="BR9" s="62">
        <f t="shared" si="16"/>
        <v>7562.5</v>
      </c>
      <c r="BS9" s="62">
        <f t="shared" si="17"/>
        <v>7562.5</v>
      </c>
      <c r="BT9" s="62">
        <f t="shared" si="18"/>
        <v>7562.5</v>
      </c>
      <c r="BU9" s="62">
        <f t="shared" si="19"/>
        <v>7562.5</v>
      </c>
      <c r="BV9" s="62">
        <f t="shared" si="20"/>
        <v>7562.5</v>
      </c>
      <c r="BW9" s="62">
        <f t="shared" si="21"/>
        <v>7562.5</v>
      </c>
      <c r="BX9" s="62">
        <f t="shared" si="22"/>
        <v>7562.5</v>
      </c>
      <c r="BY9" s="62">
        <f t="shared" si="23"/>
        <v>7562.5</v>
      </c>
    </row>
    <row r="10" spans="1:77" x14ac:dyDescent="0.25">
      <c r="A10" s="63" t="s">
        <v>8</v>
      </c>
      <c r="B10" s="49" t="s">
        <v>336</v>
      </c>
      <c r="C10" s="71">
        <f t="shared" si="24"/>
        <v>2.2038567493112948E-4</v>
      </c>
      <c r="D10" s="71">
        <f>IFERROR(s_DL/(up_RadSpec!$J10*s_IFAP_res_adj*s_CF_apple),".")</f>
        <v>6.6115702479338848E-4</v>
      </c>
      <c r="E10" s="71">
        <f>IFERROR(s_DL/(up_RadSpec!$J10*s_IFAS_res_adj*s_CF_asparagus),".")</f>
        <v>6.6115702479338848E-4</v>
      </c>
      <c r="F10" s="71">
        <f>IFERROR(s_DL/(up_RadSpec!$J10*s_IFBT_res_adj*s_CF_beet),".")</f>
        <v>6.6115702479338848E-4</v>
      </c>
      <c r="G10" s="71">
        <f>IFERROR(s_DL/(up_RadSpec!$J10*s_IFBE_res_adj*s_CF_berries),".")</f>
        <v>6.6115702479338848E-4</v>
      </c>
      <c r="H10" s="71">
        <f>IFERROR(s_DL/(up_RadSpec!$J10*s_IFBR_res_adj*s_CF_broccoli),".")</f>
        <v>6.6115702479338848E-4</v>
      </c>
      <c r="I10" s="71">
        <f>IFERROR(s_DL/(up_RadSpec!$J10*s_IFCB_res_adj*s_CF_cabbage),".")</f>
        <v>6.6115702479338848E-4</v>
      </c>
      <c r="J10" s="71">
        <f>IFERROR(s_DL/(up_RadSpec!$J10*s_IFCR_res_adj*s_CF_carrot),".")</f>
        <v>6.6115702479338848E-4</v>
      </c>
      <c r="K10" s="71">
        <f>IFERROR(s_DL/(up_RadSpec!$J10*s_IFCI_res_adj*s_CF_citrus),".")</f>
        <v>6.6115702479338848E-4</v>
      </c>
      <c r="L10" s="71">
        <f>IFERROR(s_DL/(up_RadSpec!$J10*s_IFCO_res_adj*s_CF_corn),".")</f>
        <v>6.6115702479338848E-4</v>
      </c>
      <c r="M10" s="71">
        <f>IFERROR(s_DL/(up_RadSpec!$J10*s_IFCU_res_adj*s_CF_cucumber),".")</f>
        <v>6.6115702479338848E-4</v>
      </c>
      <c r="N10" s="71">
        <f>IFERROR(s_DL/(up_RadSpec!$J10*s_IFLE_res_adj*s_CF_lettuce),".")</f>
        <v>6.6115702479338848E-4</v>
      </c>
      <c r="O10" s="71">
        <f>IFERROR(s_DL/(up_RadSpec!$J10*s_IFLI_res_adj*s_CF_lima_bean),".")</f>
        <v>6.6115702479338848E-4</v>
      </c>
      <c r="P10" s="71">
        <f>IFERROR(s_DL/(up_RadSpec!$J10*s_IFOK_res_adj*s_CF_okra),".")</f>
        <v>6.6115702479338848E-4</v>
      </c>
      <c r="Q10" s="71">
        <f>IFERROR(s_DL/(up_RadSpec!$J10*s_IFON_res_adj*s_CF_onion),".")</f>
        <v>6.6115702479338848E-4</v>
      </c>
      <c r="R10" s="71">
        <f>IFERROR(s_DL/(up_RadSpec!$J10*s_IFPC_res_adj*s_CF_peach),".")</f>
        <v>6.6115702479338848E-4</v>
      </c>
      <c r="S10" s="71">
        <f>IFERROR(s_DL/(up_RadSpec!$J10*s_IFPR_res_adj*s_CF_pear),".")</f>
        <v>6.6115702479338848E-4</v>
      </c>
      <c r="T10" s="71">
        <f>IFERROR(s_DL/(up_RadSpec!$J10*s_IFPE_res_adj*s_CF_peas),".")</f>
        <v>6.6115702479338848E-4</v>
      </c>
      <c r="U10" s="71">
        <f>IFERROR(s_DL/(up_RadSpec!$J10*s_IFPT_res_adj*s_CF_potato),".")</f>
        <v>6.6115702479338848E-4</v>
      </c>
      <c r="V10" s="71">
        <f>IFERROR(s_DL/(up_RadSpec!$J10*s_IFPU_res_adj*s_CF_pumpkin),".")</f>
        <v>6.6115702479338848E-4</v>
      </c>
      <c r="W10" s="71">
        <f>IFERROR(s_DL/(up_RadSpec!$J10*s_IFSN_res_adj*s_CF_snap_bean),".")</f>
        <v>6.6115702479338848E-4</v>
      </c>
      <c r="X10" s="71">
        <f>IFERROR(s_DL/(up_RadSpec!$J10*s_IFST_res_adj*s_CF_strawberry),".")</f>
        <v>6.6115702479338848E-4</v>
      </c>
      <c r="Y10" s="71">
        <f>IFERROR(s_DL/(up_RadSpec!$J10*s_IFTO_res_adj*s_CF_tomato),".")</f>
        <v>6.6115702479338848E-4</v>
      </c>
      <c r="Z10" s="71">
        <f>IFERROR(s_DL/(up_RadSpec!$J10*s_IFRI_res_adj*s_CF_rice),".")</f>
        <v>6.6115702479338848E-4</v>
      </c>
      <c r="AA10" s="71">
        <f>IFERROR(s_DL/(up_RadSpec!$J10*s_IFCG_res_adj*s_CF_cereal),".")</f>
        <v>6.6115702479338848E-4</v>
      </c>
      <c r="AB10" s="71">
        <f t="shared" si="25"/>
        <v>2.2038567493112948E-4</v>
      </c>
      <c r="AC10" s="71">
        <f>IFERROR(s_DL/(up_RadSpec!$J10*s_IFAP_far_adj*s_CF_apple),".")</f>
        <v>6.6115702479338848E-4</v>
      </c>
      <c r="AD10" s="71">
        <f>IFERROR(s_DL/(up_RadSpec!$J10*s_IFAS_far_adj*s_CF_asparagus),".")</f>
        <v>6.6115702479338848E-4</v>
      </c>
      <c r="AE10" s="71">
        <f>IFERROR(s_DL/(up_RadSpec!$J10*s_IFBT_far_adj*s_CF_beet),".")</f>
        <v>6.6115702479338848E-4</v>
      </c>
      <c r="AF10" s="71">
        <f>IFERROR(s_DL/(up_RadSpec!$J10*s_IFBE_far_adj*s_CF_berries),".")</f>
        <v>6.6115702479338848E-4</v>
      </c>
      <c r="AG10" s="71">
        <f>IFERROR(s_DL/(up_RadSpec!$J10*s_IFBR_far_adj*s_CF_broccoli),".")</f>
        <v>6.6115702479338848E-4</v>
      </c>
      <c r="AH10" s="71">
        <f>IFERROR(s_DL/(up_RadSpec!$J10*s_IFCB_far_adj*s_CF_cabbage),".")</f>
        <v>6.6115702479338848E-4</v>
      </c>
      <c r="AI10" s="71">
        <f>IFERROR(s_DL/(up_RadSpec!$J10*s_IFCR_far_adj*s_CF_carrot),".")</f>
        <v>6.6115702479338848E-4</v>
      </c>
      <c r="AJ10" s="71">
        <f>IFERROR(s_DL/(up_RadSpec!$J10*s_IFCI_far_adj*s_CF_citrus),".")</f>
        <v>6.6115702479338848E-4</v>
      </c>
      <c r="AK10" s="71">
        <f>IFERROR(s_DL/(up_RadSpec!$J10*s_IFCO_far_adj*s_CF_corn),".")</f>
        <v>6.6115702479338848E-4</v>
      </c>
      <c r="AL10" s="71">
        <f>IFERROR(s_DL/(up_RadSpec!$J10*s_IFCU_far_adj*s_CF_cucumber),".")</f>
        <v>6.6115702479338848E-4</v>
      </c>
      <c r="AM10" s="71">
        <f>IFERROR(s_DL/(up_RadSpec!$J10*s_IFLE_far_adj*s_CF_lettuce),".")</f>
        <v>6.6115702479338848E-4</v>
      </c>
      <c r="AN10" s="71">
        <f>IFERROR(s_DL/(up_RadSpec!$J10*s_IFLI_far_adj*s_CF_lima_bean),".")</f>
        <v>6.6115702479338848E-4</v>
      </c>
      <c r="AO10" s="71">
        <f>IFERROR(s_DL/(up_RadSpec!$J10*s_IFOK_far_adj*s_CF_okra),".")</f>
        <v>6.6115702479338848E-4</v>
      </c>
      <c r="AP10" s="71">
        <f>IFERROR(s_DL/(up_RadSpec!$J10*s_IFON_far_adj*s_CF_onion),".")</f>
        <v>6.6115702479338848E-4</v>
      </c>
      <c r="AQ10" s="71">
        <f>IFERROR(s_DL/(up_RadSpec!$J10*s_IFPC_far_adj*s_CF_peach),".")</f>
        <v>6.6115702479338848E-4</v>
      </c>
      <c r="AR10" s="71">
        <f>IFERROR(s_DL/(up_RadSpec!$J10*s_IFPR_far_adj*s_CF_pear),".")</f>
        <v>6.6115702479338848E-4</v>
      </c>
      <c r="AS10" s="71">
        <f>IFERROR(s_DL/(up_RadSpec!$J10*s_IFPE_far_adj*s_CF_peas),".")</f>
        <v>6.6115702479338848E-4</v>
      </c>
      <c r="AT10" s="71">
        <f>IFERROR(s_DL/(up_RadSpec!$J10*s_IFPT_far_adj*s_CF_potato),".")</f>
        <v>6.6115702479338848E-4</v>
      </c>
      <c r="AU10" s="71">
        <f>IFERROR(s_DL/(up_RadSpec!$J10*s_IFPU_far_adj*s_CF_pumpkin),".")</f>
        <v>6.6115702479338848E-4</v>
      </c>
      <c r="AV10" s="71">
        <f>IFERROR(s_DL/(up_RadSpec!$J10*s_IFSN_far_adj*s_CF_snap_bean),".")</f>
        <v>6.6115702479338848E-4</v>
      </c>
      <c r="AW10" s="71">
        <f>IFERROR(s_DL/(up_RadSpec!$J10*s_IFST_far_adj*s_CF_strawberry),".")</f>
        <v>6.6115702479338848E-4</v>
      </c>
      <c r="AX10" s="71">
        <f>IFERROR(s_DL/(up_RadSpec!$J10*s_IFTO_far_adj*s_CF_tomato),".")</f>
        <v>6.6115702479338848E-4</v>
      </c>
      <c r="AY10" s="71">
        <f>IFERROR(s_DL/(up_RadSpec!$J10*s_IFRI_far_adj*s_CF_rice),".")</f>
        <v>6.6115702479338848E-4</v>
      </c>
      <c r="AZ10" s="71">
        <f>IFERROR(s_DL/(up_RadSpec!$J10*s_IFCG_far_adj*s_CF_cereal),".")</f>
        <v>6.6115702479338848E-4</v>
      </c>
      <c r="BA10" s="10">
        <f t="shared" si="26"/>
        <v>22687.5</v>
      </c>
      <c r="BB10" s="62">
        <f t="shared" si="0"/>
        <v>7562.5</v>
      </c>
      <c r="BC10" s="62">
        <f t="shared" si="1"/>
        <v>7562.5</v>
      </c>
      <c r="BD10" s="62">
        <f t="shared" si="2"/>
        <v>7562.5</v>
      </c>
      <c r="BE10" s="62">
        <f t="shared" si="3"/>
        <v>7562.5</v>
      </c>
      <c r="BF10" s="62">
        <f t="shared" si="4"/>
        <v>7562.5</v>
      </c>
      <c r="BG10" s="62">
        <f t="shared" si="5"/>
        <v>7562.5</v>
      </c>
      <c r="BH10" s="62">
        <f t="shared" si="6"/>
        <v>7562.5</v>
      </c>
      <c r="BI10" s="62">
        <f t="shared" si="7"/>
        <v>7562.5</v>
      </c>
      <c r="BJ10" s="62">
        <f t="shared" si="8"/>
        <v>7562.5</v>
      </c>
      <c r="BK10" s="62">
        <f t="shared" si="9"/>
        <v>7562.5</v>
      </c>
      <c r="BL10" s="62">
        <f t="shared" si="10"/>
        <v>7562.5</v>
      </c>
      <c r="BM10" s="62">
        <f t="shared" si="11"/>
        <v>7562.5</v>
      </c>
      <c r="BN10" s="62">
        <f t="shared" si="12"/>
        <v>7562.5</v>
      </c>
      <c r="BO10" s="62">
        <f t="shared" si="13"/>
        <v>7562.5</v>
      </c>
      <c r="BP10" s="62">
        <f t="shared" si="14"/>
        <v>7562.5</v>
      </c>
      <c r="BQ10" s="62">
        <f t="shared" si="15"/>
        <v>7562.5</v>
      </c>
      <c r="BR10" s="62">
        <f t="shared" si="16"/>
        <v>7562.5</v>
      </c>
      <c r="BS10" s="62">
        <f t="shared" si="17"/>
        <v>7562.5</v>
      </c>
      <c r="BT10" s="62">
        <f t="shared" si="18"/>
        <v>7562.5</v>
      </c>
      <c r="BU10" s="62">
        <f t="shared" si="19"/>
        <v>7562.5</v>
      </c>
      <c r="BV10" s="62">
        <f t="shared" si="20"/>
        <v>7562.5</v>
      </c>
      <c r="BW10" s="62">
        <f t="shared" si="21"/>
        <v>7562.5</v>
      </c>
      <c r="BX10" s="62">
        <f t="shared" si="22"/>
        <v>7562.5</v>
      </c>
      <c r="BY10" s="62">
        <f t="shared" si="23"/>
        <v>7562.5</v>
      </c>
    </row>
    <row r="11" spans="1:77" x14ac:dyDescent="0.25">
      <c r="A11" s="61" t="s">
        <v>9</v>
      </c>
      <c r="B11" s="49" t="s">
        <v>1059</v>
      </c>
      <c r="C11" s="71">
        <f t="shared" si="24"/>
        <v>2.2038567493112948E-4</v>
      </c>
      <c r="D11" s="71">
        <f>IFERROR(s_DL/(up_RadSpec!$J11*s_IFAP_res_adj*s_CF_apple),".")</f>
        <v>6.6115702479338848E-4</v>
      </c>
      <c r="E11" s="71">
        <f>IFERROR(s_DL/(up_RadSpec!$J11*s_IFAS_res_adj*s_CF_asparagus),".")</f>
        <v>6.6115702479338848E-4</v>
      </c>
      <c r="F11" s="71">
        <f>IFERROR(s_DL/(up_RadSpec!$J11*s_IFBT_res_adj*s_CF_beet),".")</f>
        <v>6.6115702479338848E-4</v>
      </c>
      <c r="G11" s="71">
        <f>IFERROR(s_DL/(up_RadSpec!$J11*s_IFBE_res_adj*s_CF_berries),".")</f>
        <v>6.6115702479338848E-4</v>
      </c>
      <c r="H11" s="71">
        <f>IFERROR(s_DL/(up_RadSpec!$J11*s_IFBR_res_adj*s_CF_broccoli),".")</f>
        <v>6.6115702479338848E-4</v>
      </c>
      <c r="I11" s="71">
        <f>IFERROR(s_DL/(up_RadSpec!$J11*s_IFCB_res_adj*s_CF_cabbage),".")</f>
        <v>6.6115702479338848E-4</v>
      </c>
      <c r="J11" s="71">
        <f>IFERROR(s_DL/(up_RadSpec!$J11*s_IFCR_res_adj*s_CF_carrot),".")</f>
        <v>6.6115702479338848E-4</v>
      </c>
      <c r="K11" s="71">
        <f>IFERROR(s_DL/(up_RadSpec!$J11*s_IFCI_res_adj*s_CF_citrus),".")</f>
        <v>6.6115702479338848E-4</v>
      </c>
      <c r="L11" s="71">
        <f>IFERROR(s_DL/(up_RadSpec!$J11*s_IFCO_res_adj*s_CF_corn),".")</f>
        <v>6.6115702479338848E-4</v>
      </c>
      <c r="M11" s="71">
        <f>IFERROR(s_DL/(up_RadSpec!$J11*s_IFCU_res_adj*s_CF_cucumber),".")</f>
        <v>6.6115702479338848E-4</v>
      </c>
      <c r="N11" s="71">
        <f>IFERROR(s_DL/(up_RadSpec!$J11*s_IFLE_res_adj*s_CF_lettuce),".")</f>
        <v>6.6115702479338848E-4</v>
      </c>
      <c r="O11" s="71">
        <f>IFERROR(s_DL/(up_RadSpec!$J11*s_IFLI_res_adj*s_CF_lima_bean),".")</f>
        <v>6.6115702479338848E-4</v>
      </c>
      <c r="P11" s="71">
        <f>IFERROR(s_DL/(up_RadSpec!$J11*s_IFOK_res_adj*s_CF_okra),".")</f>
        <v>6.6115702479338848E-4</v>
      </c>
      <c r="Q11" s="71">
        <f>IFERROR(s_DL/(up_RadSpec!$J11*s_IFON_res_adj*s_CF_onion),".")</f>
        <v>6.6115702479338848E-4</v>
      </c>
      <c r="R11" s="71">
        <f>IFERROR(s_DL/(up_RadSpec!$J11*s_IFPC_res_adj*s_CF_peach),".")</f>
        <v>6.6115702479338848E-4</v>
      </c>
      <c r="S11" s="71">
        <f>IFERROR(s_DL/(up_RadSpec!$J11*s_IFPR_res_adj*s_CF_pear),".")</f>
        <v>6.6115702479338848E-4</v>
      </c>
      <c r="T11" s="71">
        <f>IFERROR(s_DL/(up_RadSpec!$J11*s_IFPE_res_adj*s_CF_peas),".")</f>
        <v>6.6115702479338848E-4</v>
      </c>
      <c r="U11" s="71">
        <f>IFERROR(s_DL/(up_RadSpec!$J11*s_IFPT_res_adj*s_CF_potato),".")</f>
        <v>6.6115702479338848E-4</v>
      </c>
      <c r="V11" s="71">
        <f>IFERROR(s_DL/(up_RadSpec!$J11*s_IFPU_res_adj*s_CF_pumpkin),".")</f>
        <v>6.6115702479338848E-4</v>
      </c>
      <c r="W11" s="71">
        <f>IFERROR(s_DL/(up_RadSpec!$J11*s_IFSN_res_adj*s_CF_snap_bean),".")</f>
        <v>6.6115702479338848E-4</v>
      </c>
      <c r="X11" s="71">
        <f>IFERROR(s_DL/(up_RadSpec!$J11*s_IFST_res_adj*s_CF_strawberry),".")</f>
        <v>6.6115702479338848E-4</v>
      </c>
      <c r="Y11" s="71">
        <f>IFERROR(s_DL/(up_RadSpec!$J11*s_IFTO_res_adj*s_CF_tomato),".")</f>
        <v>6.6115702479338848E-4</v>
      </c>
      <c r="Z11" s="71">
        <f>IFERROR(s_DL/(up_RadSpec!$J11*s_IFRI_res_adj*s_CF_rice),".")</f>
        <v>6.6115702479338848E-4</v>
      </c>
      <c r="AA11" s="71">
        <f>IFERROR(s_DL/(up_RadSpec!$J11*s_IFCG_res_adj*s_CF_cereal),".")</f>
        <v>6.6115702479338848E-4</v>
      </c>
      <c r="AB11" s="71">
        <f t="shared" si="25"/>
        <v>2.2038567493112948E-4</v>
      </c>
      <c r="AC11" s="71">
        <f>IFERROR(s_DL/(up_RadSpec!$J11*s_IFAP_far_adj*s_CF_apple),".")</f>
        <v>6.6115702479338848E-4</v>
      </c>
      <c r="AD11" s="71">
        <f>IFERROR(s_DL/(up_RadSpec!$J11*s_IFAS_far_adj*s_CF_asparagus),".")</f>
        <v>6.6115702479338848E-4</v>
      </c>
      <c r="AE11" s="71">
        <f>IFERROR(s_DL/(up_RadSpec!$J11*s_IFBT_far_adj*s_CF_beet),".")</f>
        <v>6.6115702479338848E-4</v>
      </c>
      <c r="AF11" s="71">
        <f>IFERROR(s_DL/(up_RadSpec!$J11*s_IFBE_far_adj*s_CF_berries),".")</f>
        <v>6.6115702479338848E-4</v>
      </c>
      <c r="AG11" s="71">
        <f>IFERROR(s_DL/(up_RadSpec!$J11*s_IFBR_far_adj*s_CF_broccoli),".")</f>
        <v>6.6115702479338848E-4</v>
      </c>
      <c r="AH11" s="71">
        <f>IFERROR(s_DL/(up_RadSpec!$J11*s_IFCB_far_adj*s_CF_cabbage),".")</f>
        <v>6.6115702479338848E-4</v>
      </c>
      <c r="AI11" s="71">
        <f>IFERROR(s_DL/(up_RadSpec!$J11*s_IFCR_far_adj*s_CF_carrot),".")</f>
        <v>6.6115702479338848E-4</v>
      </c>
      <c r="AJ11" s="71">
        <f>IFERROR(s_DL/(up_RadSpec!$J11*s_IFCI_far_adj*s_CF_citrus),".")</f>
        <v>6.6115702479338848E-4</v>
      </c>
      <c r="AK11" s="71">
        <f>IFERROR(s_DL/(up_RadSpec!$J11*s_IFCO_far_adj*s_CF_corn),".")</f>
        <v>6.6115702479338848E-4</v>
      </c>
      <c r="AL11" s="71">
        <f>IFERROR(s_DL/(up_RadSpec!$J11*s_IFCU_far_adj*s_CF_cucumber),".")</f>
        <v>6.6115702479338848E-4</v>
      </c>
      <c r="AM11" s="71">
        <f>IFERROR(s_DL/(up_RadSpec!$J11*s_IFLE_far_adj*s_CF_lettuce),".")</f>
        <v>6.6115702479338848E-4</v>
      </c>
      <c r="AN11" s="71">
        <f>IFERROR(s_DL/(up_RadSpec!$J11*s_IFLI_far_adj*s_CF_lima_bean),".")</f>
        <v>6.6115702479338848E-4</v>
      </c>
      <c r="AO11" s="71">
        <f>IFERROR(s_DL/(up_RadSpec!$J11*s_IFOK_far_adj*s_CF_okra),".")</f>
        <v>6.6115702479338848E-4</v>
      </c>
      <c r="AP11" s="71">
        <f>IFERROR(s_DL/(up_RadSpec!$J11*s_IFON_far_adj*s_CF_onion),".")</f>
        <v>6.6115702479338848E-4</v>
      </c>
      <c r="AQ11" s="71">
        <f>IFERROR(s_DL/(up_RadSpec!$J11*s_IFPC_far_adj*s_CF_peach),".")</f>
        <v>6.6115702479338848E-4</v>
      </c>
      <c r="AR11" s="71">
        <f>IFERROR(s_DL/(up_RadSpec!$J11*s_IFPR_far_adj*s_CF_pear),".")</f>
        <v>6.6115702479338848E-4</v>
      </c>
      <c r="AS11" s="71">
        <f>IFERROR(s_DL/(up_RadSpec!$J11*s_IFPE_far_adj*s_CF_peas),".")</f>
        <v>6.6115702479338848E-4</v>
      </c>
      <c r="AT11" s="71">
        <f>IFERROR(s_DL/(up_RadSpec!$J11*s_IFPT_far_adj*s_CF_potato),".")</f>
        <v>6.6115702479338848E-4</v>
      </c>
      <c r="AU11" s="71">
        <f>IFERROR(s_DL/(up_RadSpec!$J11*s_IFPU_far_adj*s_CF_pumpkin),".")</f>
        <v>6.6115702479338848E-4</v>
      </c>
      <c r="AV11" s="71">
        <f>IFERROR(s_DL/(up_RadSpec!$J11*s_IFSN_far_adj*s_CF_snap_bean),".")</f>
        <v>6.6115702479338848E-4</v>
      </c>
      <c r="AW11" s="71">
        <f>IFERROR(s_DL/(up_RadSpec!$J11*s_IFST_far_adj*s_CF_strawberry),".")</f>
        <v>6.6115702479338848E-4</v>
      </c>
      <c r="AX11" s="71">
        <f>IFERROR(s_DL/(up_RadSpec!$J11*s_IFTO_far_adj*s_CF_tomato),".")</f>
        <v>6.6115702479338848E-4</v>
      </c>
      <c r="AY11" s="71">
        <f>IFERROR(s_DL/(up_RadSpec!$J11*s_IFRI_far_adj*s_CF_rice),".")</f>
        <v>6.6115702479338848E-4</v>
      </c>
      <c r="AZ11" s="71">
        <f>IFERROR(s_DL/(up_RadSpec!$J11*s_IFCG_far_adj*s_CF_cereal),".")</f>
        <v>6.6115702479338848E-4</v>
      </c>
      <c r="BA11" s="10">
        <f t="shared" si="26"/>
        <v>22687.5</v>
      </c>
      <c r="BB11" s="62">
        <f t="shared" si="0"/>
        <v>7562.5</v>
      </c>
      <c r="BC11" s="62">
        <f t="shared" si="1"/>
        <v>7562.5</v>
      </c>
      <c r="BD11" s="62">
        <f t="shared" si="2"/>
        <v>7562.5</v>
      </c>
      <c r="BE11" s="62">
        <f t="shared" si="3"/>
        <v>7562.5</v>
      </c>
      <c r="BF11" s="62">
        <f t="shared" si="4"/>
        <v>7562.5</v>
      </c>
      <c r="BG11" s="62">
        <f t="shared" si="5"/>
        <v>7562.5</v>
      </c>
      <c r="BH11" s="62">
        <f t="shared" si="6"/>
        <v>7562.5</v>
      </c>
      <c r="BI11" s="62">
        <f t="shared" si="7"/>
        <v>7562.5</v>
      </c>
      <c r="BJ11" s="62">
        <f t="shared" si="8"/>
        <v>7562.5</v>
      </c>
      <c r="BK11" s="62">
        <f t="shared" si="9"/>
        <v>7562.5</v>
      </c>
      <c r="BL11" s="62">
        <f t="shared" si="10"/>
        <v>7562.5</v>
      </c>
      <c r="BM11" s="62">
        <f t="shared" si="11"/>
        <v>7562.5</v>
      </c>
      <c r="BN11" s="62">
        <f t="shared" si="12"/>
        <v>7562.5</v>
      </c>
      <c r="BO11" s="62">
        <f t="shared" si="13"/>
        <v>7562.5</v>
      </c>
      <c r="BP11" s="62">
        <f t="shared" si="14"/>
        <v>7562.5</v>
      </c>
      <c r="BQ11" s="62">
        <f t="shared" si="15"/>
        <v>7562.5</v>
      </c>
      <c r="BR11" s="62">
        <f t="shared" si="16"/>
        <v>7562.5</v>
      </c>
      <c r="BS11" s="62">
        <f t="shared" si="17"/>
        <v>7562.5</v>
      </c>
      <c r="BT11" s="62">
        <f t="shared" si="18"/>
        <v>7562.5</v>
      </c>
      <c r="BU11" s="62">
        <f t="shared" si="19"/>
        <v>7562.5</v>
      </c>
      <c r="BV11" s="62">
        <f t="shared" si="20"/>
        <v>7562.5</v>
      </c>
      <c r="BW11" s="62">
        <f t="shared" si="21"/>
        <v>7562.5</v>
      </c>
      <c r="BX11" s="62">
        <f t="shared" si="22"/>
        <v>7562.5</v>
      </c>
      <c r="BY11" s="62">
        <f t="shared" si="23"/>
        <v>7562.5</v>
      </c>
    </row>
    <row r="12" spans="1:77" x14ac:dyDescent="0.25">
      <c r="A12" s="61" t="s">
        <v>10</v>
      </c>
      <c r="B12" s="49" t="s">
        <v>1059</v>
      </c>
      <c r="C12" s="71">
        <f t="shared" si="24"/>
        <v>2.2038567493112948E-4</v>
      </c>
      <c r="D12" s="71">
        <f>IFERROR(s_DL/(up_RadSpec!$J12*s_IFAP_res_adj*s_CF_apple),".")</f>
        <v>6.6115702479338848E-4</v>
      </c>
      <c r="E12" s="71">
        <f>IFERROR(s_DL/(up_RadSpec!$J12*s_IFAS_res_adj*s_CF_asparagus),".")</f>
        <v>6.6115702479338848E-4</v>
      </c>
      <c r="F12" s="71">
        <f>IFERROR(s_DL/(up_RadSpec!$J12*s_IFBT_res_adj*s_CF_beet),".")</f>
        <v>6.6115702479338848E-4</v>
      </c>
      <c r="G12" s="71">
        <f>IFERROR(s_DL/(up_RadSpec!$J12*s_IFBE_res_adj*s_CF_berries),".")</f>
        <v>6.6115702479338848E-4</v>
      </c>
      <c r="H12" s="71">
        <f>IFERROR(s_DL/(up_RadSpec!$J12*s_IFBR_res_adj*s_CF_broccoli),".")</f>
        <v>6.6115702479338848E-4</v>
      </c>
      <c r="I12" s="71">
        <f>IFERROR(s_DL/(up_RadSpec!$J12*s_IFCB_res_adj*s_CF_cabbage),".")</f>
        <v>6.6115702479338848E-4</v>
      </c>
      <c r="J12" s="71">
        <f>IFERROR(s_DL/(up_RadSpec!$J12*s_IFCR_res_adj*s_CF_carrot),".")</f>
        <v>6.6115702479338848E-4</v>
      </c>
      <c r="K12" s="71">
        <f>IFERROR(s_DL/(up_RadSpec!$J12*s_IFCI_res_adj*s_CF_citrus),".")</f>
        <v>6.6115702479338848E-4</v>
      </c>
      <c r="L12" s="71">
        <f>IFERROR(s_DL/(up_RadSpec!$J12*s_IFCO_res_adj*s_CF_corn),".")</f>
        <v>6.6115702479338848E-4</v>
      </c>
      <c r="M12" s="71">
        <f>IFERROR(s_DL/(up_RadSpec!$J12*s_IFCU_res_adj*s_CF_cucumber),".")</f>
        <v>6.6115702479338848E-4</v>
      </c>
      <c r="N12" s="71">
        <f>IFERROR(s_DL/(up_RadSpec!$J12*s_IFLE_res_adj*s_CF_lettuce),".")</f>
        <v>6.6115702479338848E-4</v>
      </c>
      <c r="O12" s="71">
        <f>IFERROR(s_DL/(up_RadSpec!$J12*s_IFLI_res_adj*s_CF_lima_bean),".")</f>
        <v>6.6115702479338848E-4</v>
      </c>
      <c r="P12" s="71">
        <f>IFERROR(s_DL/(up_RadSpec!$J12*s_IFOK_res_adj*s_CF_okra),".")</f>
        <v>6.6115702479338848E-4</v>
      </c>
      <c r="Q12" s="71">
        <f>IFERROR(s_DL/(up_RadSpec!$J12*s_IFON_res_adj*s_CF_onion),".")</f>
        <v>6.6115702479338848E-4</v>
      </c>
      <c r="R12" s="71">
        <f>IFERROR(s_DL/(up_RadSpec!$J12*s_IFPC_res_adj*s_CF_peach),".")</f>
        <v>6.6115702479338848E-4</v>
      </c>
      <c r="S12" s="71">
        <f>IFERROR(s_DL/(up_RadSpec!$J12*s_IFPR_res_adj*s_CF_pear),".")</f>
        <v>6.6115702479338848E-4</v>
      </c>
      <c r="T12" s="71">
        <f>IFERROR(s_DL/(up_RadSpec!$J12*s_IFPE_res_adj*s_CF_peas),".")</f>
        <v>6.6115702479338848E-4</v>
      </c>
      <c r="U12" s="71">
        <f>IFERROR(s_DL/(up_RadSpec!$J12*s_IFPT_res_adj*s_CF_potato),".")</f>
        <v>6.6115702479338848E-4</v>
      </c>
      <c r="V12" s="71">
        <f>IFERROR(s_DL/(up_RadSpec!$J12*s_IFPU_res_adj*s_CF_pumpkin),".")</f>
        <v>6.6115702479338848E-4</v>
      </c>
      <c r="W12" s="71">
        <f>IFERROR(s_DL/(up_RadSpec!$J12*s_IFSN_res_adj*s_CF_snap_bean),".")</f>
        <v>6.6115702479338848E-4</v>
      </c>
      <c r="X12" s="71">
        <f>IFERROR(s_DL/(up_RadSpec!$J12*s_IFST_res_adj*s_CF_strawberry),".")</f>
        <v>6.6115702479338848E-4</v>
      </c>
      <c r="Y12" s="71">
        <f>IFERROR(s_DL/(up_RadSpec!$J12*s_IFTO_res_adj*s_CF_tomato),".")</f>
        <v>6.6115702479338848E-4</v>
      </c>
      <c r="Z12" s="71">
        <f>IFERROR(s_DL/(up_RadSpec!$J12*s_IFRI_res_adj*s_CF_rice),".")</f>
        <v>6.6115702479338848E-4</v>
      </c>
      <c r="AA12" s="71">
        <f>IFERROR(s_DL/(up_RadSpec!$J12*s_IFCG_res_adj*s_CF_cereal),".")</f>
        <v>6.6115702479338848E-4</v>
      </c>
      <c r="AB12" s="71">
        <f t="shared" si="25"/>
        <v>2.2038567493112948E-4</v>
      </c>
      <c r="AC12" s="71">
        <f>IFERROR(s_DL/(up_RadSpec!$J12*s_IFAP_far_adj*s_CF_apple),".")</f>
        <v>6.6115702479338848E-4</v>
      </c>
      <c r="AD12" s="71">
        <f>IFERROR(s_DL/(up_RadSpec!$J12*s_IFAS_far_adj*s_CF_asparagus),".")</f>
        <v>6.6115702479338848E-4</v>
      </c>
      <c r="AE12" s="71">
        <f>IFERROR(s_DL/(up_RadSpec!$J12*s_IFBT_far_adj*s_CF_beet),".")</f>
        <v>6.6115702479338848E-4</v>
      </c>
      <c r="AF12" s="71">
        <f>IFERROR(s_DL/(up_RadSpec!$J12*s_IFBE_far_adj*s_CF_berries),".")</f>
        <v>6.6115702479338848E-4</v>
      </c>
      <c r="AG12" s="71">
        <f>IFERROR(s_DL/(up_RadSpec!$J12*s_IFBR_far_adj*s_CF_broccoli),".")</f>
        <v>6.6115702479338848E-4</v>
      </c>
      <c r="AH12" s="71">
        <f>IFERROR(s_DL/(up_RadSpec!$J12*s_IFCB_far_adj*s_CF_cabbage),".")</f>
        <v>6.6115702479338848E-4</v>
      </c>
      <c r="AI12" s="71">
        <f>IFERROR(s_DL/(up_RadSpec!$J12*s_IFCR_far_adj*s_CF_carrot),".")</f>
        <v>6.6115702479338848E-4</v>
      </c>
      <c r="AJ12" s="71">
        <f>IFERROR(s_DL/(up_RadSpec!$J12*s_IFCI_far_adj*s_CF_citrus),".")</f>
        <v>6.6115702479338848E-4</v>
      </c>
      <c r="AK12" s="71">
        <f>IFERROR(s_DL/(up_RadSpec!$J12*s_IFCO_far_adj*s_CF_corn),".")</f>
        <v>6.6115702479338848E-4</v>
      </c>
      <c r="AL12" s="71">
        <f>IFERROR(s_DL/(up_RadSpec!$J12*s_IFCU_far_adj*s_CF_cucumber),".")</f>
        <v>6.6115702479338848E-4</v>
      </c>
      <c r="AM12" s="71">
        <f>IFERROR(s_DL/(up_RadSpec!$J12*s_IFLE_far_adj*s_CF_lettuce),".")</f>
        <v>6.6115702479338848E-4</v>
      </c>
      <c r="AN12" s="71">
        <f>IFERROR(s_DL/(up_RadSpec!$J12*s_IFLI_far_adj*s_CF_lima_bean),".")</f>
        <v>6.6115702479338848E-4</v>
      </c>
      <c r="AO12" s="71">
        <f>IFERROR(s_DL/(up_RadSpec!$J12*s_IFOK_far_adj*s_CF_okra),".")</f>
        <v>6.6115702479338848E-4</v>
      </c>
      <c r="AP12" s="71">
        <f>IFERROR(s_DL/(up_RadSpec!$J12*s_IFON_far_adj*s_CF_onion),".")</f>
        <v>6.6115702479338848E-4</v>
      </c>
      <c r="AQ12" s="71">
        <f>IFERROR(s_DL/(up_RadSpec!$J12*s_IFPC_far_adj*s_CF_peach),".")</f>
        <v>6.6115702479338848E-4</v>
      </c>
      <c r="AR12" s="71">
        <f>IFERROR(s_DL/(up_RadSpec!$J12*s_IFPR_far_adj*s_CF_pear),".")</f>
        <v>6.6115702479338848E-4</v>
      </c>
      <c r="AS12" s="71">
        <f>IFERROR(s_DL/(up_RadSpec!$J12*s_IFPE_far_adj*s_CF_peas),".")</f>
        <v>6.6115702479338848E-4</v>
      </c>
      <c r="AT12" s="71">
        <f>IFERROR(s_DL/(up_RadSpec!$J12*s_IFPT_far_adj*s_CF_potato),".")</f>
        <v>6.6115702479338848E-4</v>
      </c>
      <c r="AU12" s="71">
        <f>IFERROR(s_DL/(up_RadSpec!$J12*s_IFPU_far_adj*s_CF_pumpkin),".")</f>
        <v>6.6115702479338848E-4</v>
      </c>
      <c r="AV12" s="71">
        <f>IFERROR(s_DL/(up_RadSpec!$J12*s_IFSN_far_adj*s_CF_snap_bean),".")</f>
        <v>6.6115702479338848E-4</v>
      </c>
      <c r="AW12" s="71">
        <f>IFERROR(s_DL/(up_RadSpec!$J12*s_IFST_far_adj*s_CF_strawberry),".")</f>
        <v>6.6115702479338848E-4</v>
      </c>
      <c r="AX12" s="71">
        <f>IFERROR(s_DL/(up_RadSpec!$J12*s_IFTO_far_adj*s_CF_tomato),".")</f>
        <v>6.6115702479338848E-4</v>
      </c>
      <c r="AY12" s="71">
        <f>IFERROR(s_DL/(up_RadSpec!$J12*s_IFRI_far_adj*s_CF_rice),".")</f>
        <v>6.6115702479338848E-4</v>
      </c>
      <c r="AZ12" s="71">
        <f>IFERROR(s_DL/(up_RadSpec!$J12*s_IFCG_far_adj*s_CF_cereal),".")</f>
        <v>6.6115702479338848E-4</v>
      </c>
      <c r="BA12" s="10">
        <f t="shared" si="26"/>
        <v>22687.5</v>
      </c>
      <c r="BB12" s="62">
        <f t="shared" si="0"/>
        <v>7562.5</v>
      </c>
      <c r="BC12" s="62">
        <f t="shared" si="1"/>
        <v>7562.5</v>
      </c>
      <c r="BD12" s="62">
        <f t="shared" si="2"/>
        <v>7562.5</v>
      </c>
      <c r="BE12" s="62">
        <f t="shared" si="3"/>
        <v>7562.5</v>
      </c>
      <c r="BF12" s="62">
        <f t="shared" si="4"/>
        <v>7562.5</v>
      </c>
      <c r="BG12" s="62">
        <f t="shared" si="5"/>
        <v>7562.5</v>
      </c>
      <c r="BH12" s="62">
        <f t="shared" si="6"/>
        <v>7562.5</v>
      </c>
      <c r="BI12" s="62">
        <f t="shared" si="7"/>
        <v>7562.5</v>
      </c>
      <c r="BJ12" s="62">
        <f t="shared" si="8"/>
        <v>7562.5</v>
      </c>
      <c r="BK12" s="62">
        <f t="shared" si="9"/>
        <v>7562.5</v>
      </c>
      <c r="BL12" s="62">
        <f t="shared" si="10"/>
        <v>7562.5</v>
      </c>
      <c r="BM12" s="62">
        <f t="shared" si="11"/>
        <v>7562.5</v>
      </c>
      <c r="BN12" s="62">
        <f t="shared" si="12"/>
        <v>7562.5</v>
      </c>
      <c r="BO12" s="62">
        <f t="shared" si="13"/>
        <v>7562.5</v>
      </c>
      <c r="BP12" s="62">
        <f t="shared" si="14"/>
        <v>7562.5</v>
      </c>
      <c r="BQ12" s="62">
        <f t="shared" si="15"/>
        <v>7562.5</v>
      </c>
      <c r="BR12" s="62">
        <f t="shared" si="16"/>
        <v>7562.5</v>
      </c>
      <c r="BS12" s="62">
        <f t="shared" si="17"/>
        <v>7562.5</v>
      </c>
      <c r="BT12" s="62">
        <f t="shared" si="18"/>
        <v>7562.5</v>
      </c>
      <c r="BU12" s="62">
        <f t="shared" si="19"/>
        <v>7562.5</v>
      </c>
      <c r="BV12" s="62">
        <f t="shared" si="20"/>
        <v>7562.5</v>
      </c>
      <c r="BW12" s="62">
        <f t="shared" si="21"/>
        <v>7562.5</v>
      </c>
      <c r="BX12" s="62">
        <f t="shared" si="22"/>
        <v>7562.5</v>
      </c>
      <c r="BY12" s="62">
        <f t="shared" si="23"/>
        <v>7562.5</v>
      </c>
    </row>
    <row r="13" spans="1:77" x14ac:dyDescent="0.25">
      <c r="A13" s="61" t="s">
        <v>11</v>
      </c>
      <c r="B13" s="49" t="s">
        <v>1059</v>
      </c>
      <c r="C13" s="71">
        <f t="shared" si="24"/>
        <v>2.2038567493112948E-4</v>
      </c>
      <c r="D13" s="71">
        <f>IFERROR(s_DL/(up_RadSpec!$J13*s_IFAP_res_adj*s_CF_apple),".")</f>
        <v>6.6115702479338848E-4</v>
      </c>
      <c r="E13" s="71">
        <f>IFERROR(s_DL/(up_RadSpec!$J13*s_IFAS_res_adj*s_CF_asparagus),".")</f>
        <v>6.6115702479338848E-4</v>
      </c>
      <c r="F13" s="71">
        <f>IFERROR(s_DL/(up_RadSpec!$J13*s_IFBT_res_adj*s_CF_beet),".")</f>
        <v>6.6115702479338848E-4</v>
      </c>
      <c r="G13" s="71">
        <f>IFERROR(s_DL/(up_RadSpec!$J13*s_IFBE_res_adj*s_CF_berries),".")</f>
        <v>6.6115702479338848E-4</v>
      </c>
      <c r="H13" s="71">
        <f>IFERROR(s_DL/(up_RadSpec!$J13*s_IFBR_res_adj*s_CF_broccoli),".")</f>
        <v>6.6115702479338848E-4</v>
      </c>
      <c r="I13" s="71">
        <f>IFERROR(s_DL/(up_RadSpec!$J13*s_IFCB_res_adj*s_CF_cabbage),".")</f>
        <v>6.6115702479338848E-4</v>
      </c>
      <c r="J13" s="71">
        <f>IFERROR(s_DL/(up_RadSpec!$J13*s_IFCR_res_adj*s_CF_carrot),".")</f>
        <v>6.6115702479338848E-4</v>
      </c>
      <c r="K13" s="71">
        <f>IFERROR(s_DL/(up_RadSpec!$J13*s_IFCI_res_adj*s_CF_citrus),".")</f>
        <v>6.6115702479338848E-4</v>
      </c>
      <c r="L13" s="71">
        <f>IFERROR(s_DL/(up_RadSpec!$J13*s_IFCO_res_adj*s_CF_corn),".")</f>
        <v>6.6115702479338848E-4</v>
      </c>
      <c r="M13" s="71">
        <f>IFERROR(s_DL/(up_RadSpec!$J13*s_IFCU_res_adj*s_CF_cucumber),".")</f>
        <v>6.6115702479338848E-4</v>
      </c>
      <c r="N13" s="71">
        <f>IFERROR(s_DL/(up_RadSpec!$J13*s_IFLE_res_adj*s_CF_lettuce),".")</f>
        <v>6.6115702479338848E-4</v>
      </c>
      <c r="O13" s="71">
        <f>IFERROR(s_DL/(up_RadSpec!$J13*s_IFLI_res_adj*s_CF_lima_bean),".")</f>
        <v>6.6115702479338848E-4</v>
      </c>
      <c r="P13" s="71">
        <f>IFERROR(s_DL/(up_RadSpec!$J13*s_IFOK_res_adj*s_CF_okra),".")</f>
        <v>6.6115702479338848E-4</v>
      </c>
      <c r="Q13" s="71">
        <f>IFERROR(s_DL/(up_RadSpec!$J13*s_IFON_res_adj*s_CF_onion),".")</f>
        <v>6.6115702479338848E-4</v>
      </c>
      <c r="R13" s="71">
        <f>IFERROR(s_DL/(up_RadSpec!$J13*s_IFPC_res_adj*s_CF_peach),".")</f>
        <v>6.6115702479338848E-4</v>
      </c>
      <c r="S13" s="71">
        <f>IFERROR(s_DL/(up_RadSpec!$J13*s_IFPR_res_adj*s_CF_pear),".")</f>
        <v>6.6115702479338848E-4</v>
      </c>
      <c r="T13" s="71">
        <f>IFERROR(s_DL/(up_RadSpec!$J13*s_IFPE_res_adj*s_CF_peas),".")</f>
        <v>6.6115702479338848E-4</v>
      </c>
      <c r="U13" s="71">
        <f>IFERROR(s_DL/(up_RadSpec!$J13*s_IFPT_res_adj*s_CF_potato),".")</f>
        <v>6.6115702479338848E-4</v>
      </c>
      <c r="V13" s="71">
        <f>IFERROR(s_DL/(up_RadSpec!$J13*s_IFPU_res_adj*s_CF_pumpkin),".")</f>
        <v>6.6115702479338848E-4</v>
      </c>
      <c r="W13" s="71">
        <f>IFERROR(s_DL/(up_RadSpec!$J13*s_IFSN_res_adj*s_CF_snap_bean),".")</f>
        <v>6.6115702479338848E-4</v>
      </c>
      <c r="X13" s="71">
        <f>IFERROR(s_DL/(up_RadSpec!$J13*s_IFST_res_adj*s_CF_strawberry),".")</f>
        <v>6.6115702479338848E-4</v>
      </c>
      <c r="Y13" s="71">
        <f>IFERROR(s_DL/(up_RadSpec!$J13*s_IFTO_res_adj*s_CF_tomato),".")</f>
        <v>6.6115702479338848E-4</v>
      </c>
      <c r="Z13" s="71">
        <f>IFERROR(s_DL/(up_RadSpec!$J13*s_IFRI_res_adj*s_CF_rice),".")</f>
        <v>6.6115702479338848E-4</v>
      </c>
      <c r="AA13" s="71">
        <f>IFERROR(s_DL/(up_RadSpec!$J13*s_IFCG_res_adj*s_CF_cereal),".")</f>
        <v>6.6115702479338848E-4</v>
      </c>
      <c r="AB13" s="71">
        <f t="shared" si="25"/>
        <v>2.2038567493112948E-4</v>
      </c>
      <c r="AC13" s="71">
        <f>IFERROR(s_DL/(up_RadSpec!$J13*s_IFAP_far_adj*s_CF_apple),".")</f>
        <v>6.6115702479338848E-4</v>
      </c>
      <c r="AD13" s="71">
        <f>IFERROR(s_DL/(up_RadSpec!$J13*s_IFAS_far_adj*s_CF_asparagus),".")</f>
        <v>6.6115702479338848E-4</v>
      </c>
      <c r="AE13" s="71">
        <f>IFERROR(s_DL/(up_RadSpec!$J13*s_IFBT_far_adj*s_CF_beet),".")</f>
        <v>6.6115702479338848E-4</v>
      </c>
      <c r="AF13" s="71">
        <f>IFERROR(s_DL/(up_RadSpec!$J13*s_IFBE_far_adj*s_CF_berries),".")</f>
        <v>6.6115702479338848E-4</v>
      </c>
      <c r="AG13" s="71">
        <f>IFERROR(s_DL/(up_RadSpec!$J13*s_IFBR_far_adj*s_CF_broccoli),".")</f>
        <v>6.6115702479338848E-4</v>
      </c>
      <c r="AH13" s="71">
        <f>IFERROR(s_DL/(up_RadSpec!$J13*s_IFCB_far_adj*s_CF_cabbage),".")</f>
        <v>6.6115702479338848E-4</v>
      </c>
      <c r="AI13" s="71">
        <f>IFERROR(s_DL/(up_RadSpec!$J13*s_IFCR_far_adj*s_CF_carrot),".")</f>
        <v>6.6115702479338848E-4</v>
      </c>
      <c r="AJ13" s="71">
        <f>IFERROR(s_DL/(up_RadSpec!$J13*s_IFCI_far_adj*s_CF_citrus),".")</f>
        <v>6.6115702479338848E-4</v>
      </c>
      <c r="AK13" s="71">
        <f>IFERROR(s_DL/(up_RadSpec!$J13*s_IFCO_far_adj*s_CF_corn),".")</f>
        <v>6.6115702479338848E-4</v>
      </c>
      <c r="AL13" s="71">
        <f>IFERROR(s_DL/(up_RadSpec!$J13*s_IFCU_far_adj*s_CF_cucumber),".")</f>
        <v>6.6115702479338848E-4</v>
      </c>
      <c r="AM13" s="71">
        <f>IFERROR(s_DL/(up_RadSpec!$J13*s_IFLE_far_adj*s_CF_lettuce),".")</f>
        <v>6.6115702479338848E-4</v>
      </c>
      <c r="AN13" s="71">
        <f>IFERROR(s_DL/(up_RadSpec!$J13*s_IFLI_far_adj*s_CF_lima_bean),".")</f>
        <v>6.6115702479338848E-4</v>
      </c>
      <c r="AO13" s="71">
        <f>IFERROR(s_DL/(up_RadSpec!$J13*s_IFOK_far_adj*s_CF_okra),".")</f>
        <v>6.6115702479338848E-4</v>
      </c>
      <c r="AP13" s="71">
        <f>IFERROR(s_DL/(up_RadSpec!$J13*s_IFON_far_adj*s_CF_onion),".")</f>
        <v>6.6115702479338848E-4</v>
      </c>
      <c r="AQ13" s="71">
        <f>IFERROR(s_DL/(up_RadSpec!$J13*s_IFPC_far_adj*s_CF_peach),".")</f>
        <v>6.6115702479338848E-4</v>
      </c>
      <c r="AR13" s="71">
        <f>IFERROR(s_DL/(up_RadSpec!$J13*s_IFPR_far_adj*s_CF_pear),".")</f>
        <v>6.6115702479338848E-4</v>
      </c>
      <c r="AS13" s="71">
        <f>IFERROR(s_DL/(up_RadSpec!$J13*s_IFPE_far_adj*s_CF_peas),".")</f>
        <v>6.6115702479338848E-4</v>
      </c>
      <c r="AT13" s="71">
        <f>IFERROR(s_DL/(up_RadSpec!$J13*s_IFPT_far_adj*s_CF_potato),".")</f>
        <v>6.6115702479338848E-4</v>
      </c>
      <c r="AU13" s="71">
        <f>IFERROR(s_DL/(up_RadSpec!$J13*s_IFPU_far_adj*s_CF_pumpkin),".")</f>
        <v>6.6115702479338848E-4</v>
      </c>
      <c r="AV13" s="71">
        <f>IFERROR(s_DL/(up_RadSpec!$J13*s_IFSN_far_adj*s_CF_snap_bean),".")</f>
        <v>6.6115702479338848E-4</v>
      </c>
      <c r="AW13" s="71">
        <f>IFERROR(s_DL/(up_RadSpec!$J13*s_IFST_far_adj*s_CF_strawberry),".")</f>
        <v>6.6115702479338848E-4</v>
      </c>
      <c r="AX13" s="71">
        <f>IFERROR(s_DL/(up_RadSpec!$J13*s_IFTO_far_adj*s_CF_tomato),".")</f>
        <v>6.6115702479338848E-4</v>
      </c>
      <c r="AY13" s="71">
        <f>IFERROR(s_DL/(up_RadSpec!$J13*s_IFRI_far_adj*s_CF_rice),".")</f>
        <v>6.6115702479338848E-4</v>
      </c>
      <c r="AZ13" s="71">
        <f>IFERROR(s_DL/(up_RadSpec!$J13*s_IFCG_far_adj*s_CF_cereal),".")</f>
        <v>6.6115702479338848E-4</v>
      </c>
      <c r="BA13" s="10">
        <f>SUM(BB13,BX13:BY13)</f>
        <v>22687.5</v>
      </c>
      <c r="BB13" s="62">
        <f t="shared" si="0"/>
        <v>7562.5</v>
      </c>
      <c r="BC13" s="62">
        <f t="shared" si="1"/>
        <v>7562.5</v>
      </c>
      <c r="BD13" s="62">
        <f t="shared" si="2"/>
        <v>7562.5</v>
      </c>
      <c r="BE13" s="62">
        <f t="shared" si="3"/>
        <v>7562.5</v>
      </c>
      <c r="BF13" s="62">
        <f t="shared" si="4"/>
        <v>7562.5</v>
      </c>
      <c r="BG13" s="62">
        <f t="shared" si="5"/>
        <v>7562.5</v>
      </c>
      <c r="BH13" s="62">
        <f t="shared" si="6"/>
        <v>7562.5</v>
      </c>
      <c r="BI13" s="62">
        <f t="shared" si="7"/>
        <v>7562.5</v>
      </c>
      <c r="BJ13" s="62">
        <f t="shared" si="8"/>
        <v>7562.5</v>
      </c>
      <c r="BK13" s="62">
        <f t="shared" si="9"/>
        <v>7562.5</v>
      </c>
      <c r="BL13" s="62">
        <f t="shared" si="10"/>
        <v>7562.5</v>
      </c>
      <c r="BM13" s="62">
        <f t="shared" si="11"/>
        <v>7562.5</v>
      </c>
      <c r="BN13" s="62">
        <f t="shared" si="12"/>
        <v>7562.5</v>
      </c>
      <c r="BO13" s="62">
        <f t="shared" si="13"/>
        <v>7562.5</v>
      </c>
      <c r="BP13" s="62">
        <f t="shared" si="14"/>
        <v>7562.5</v>
      </c>
      <c r="BQ13" s="62">
        <f t="shared" si="15"/>
        <v>7562.5</v>
      </c>
      <c r="BR13" s="62">
        <f t="shared" si="16"/>
        <v>7562.5</v>
      </c>
      <c r="BS13" s="62">
        <f t="shared" si="17"/>
        <v>7562.5</v>
      </c>
      <c r="BT13" s="62">
        <f t="shared" si="18"/>
        <v>7562.5</v>
      </c>
      <c r="BU13" s="62">
        <f t="shared" si="19"/>
        <v>7562.5</v>
      </c>
      <c r="BV13" s="62">
        <f t="shared" si="20"/>
        <v>7562.5</v>
      </c>
      <c r="BW13" s="62">
        <f t="shared" si="21"/>
        <v>7562.5</v>
      </c>
      <c r="BX13" s="62">
        <f t="shared" si="22"/>
        <v>7562.5</v>
      </c>
      <c r="BY13" s="62">
        <f t="shared" si="23"/>
        <v>7562.5</v>
      </c>
    </row>
    <row r="14" spans="1:77" x14ac:dyDescent="0.25">
      <c r="A14" s="61" t="s">
        <v>12</v>
      </c>
      <c r="B14" s="49" t="s">
        <v>1059</v>
      </c>
      <c r="C14" s="71">
        <f t="shared" si="24"/>
        <v>2.2038567493112948E-4</v>
      </c>
      <c r="D14" s="71">
        <f>IFERROR(s_DL/(up_RadSpec!$J14*s_IFAP_res_adj*s_CF_apple),".")</f>
        <v>6.6115702479338848E-4</v>
      </c>
      <c r="E14" s="71">
        <f>IFERROR(s_DL/(up_RadSpec!$J14*s_IFAS_res_adj*s_CF_asparagus),".")</f>
        <v>6.6115702479338848E-4</v>
      </c>
      <c r="F14" s="71">
        <f>IFERROR(s_DL/(up_RadSpec!$J14*s_IFBT_res_adj*s_CF_beet),".")</f>
        <v>6.6115702479338848E-4</v>
      </c>
      <c r="G14" s="71">
        <f>IFERROR(s_DL/(up_RadSpec!$J14*s_IFBE_res_adj*s_CF_berries),".")</f>
        <v>6.6115702479338848E-4</v>
      </c>
      <c r="H14" s="71">
        <f>IFERROR(s_DL/(up_RadSpec!$J14*s_IFBR_res_adj*s_CF_broccoli),".")</f>
        <v>6.6115702479338848E-4</v>
      </c>
      <c r="I14" s="71">
        <f>IFERROR(s_DL/(up_RadSpec!$J14*s_IFCB_res_adj*s_CF_cabbage),".")</f>
        <v>6.6115702479338848E-4</v>
      </c>
      <c r="J14" s="71">
        <f>IFERROR(s_DL/(up_RadSpec!$J14*s_IFCR_res_adj*s_CF_carrot),".")</f>
        <v>6.6115702479338848E-4</v>
      </c>
      <c r="K14" s="71">
        <f>IFERROR(s_DL/(up_RadSpec!$J14*s_IFCI_res_adj*s_CF_citrus),".")</f>
        <v>6.6115702479338848E-4</v>
      </c>
      <c r="L14" s="71">
        <f>IFERROR(s_DL/(up_RadSpec!$J14*s_IFCO_res_adj*s_CF_corn),".")</f>
        <v>6.6115702479338848E-4</v>
      </c>
      <c r="M14" s="71">
        <f>IFERROR(s_DL/(up_RadSpec!$J14*s_IFCU_res_adj*s_CF_cucumber),".")</f>
        <v>6.6115702479338848E-4</v>
      </c>
      <c r="N14" s="71">
        <f>IFERROR(s_DL/(up_RadSpec!$J14*s_IFLE_res_adj*s_CF_lettuce),".")</f>
        <v>6.6115702479338848E-4</v>
      </c>
      <c r="O14" s="71">
        <f>IFERROR(s_DL/(up_RadSpec!$J14*s_IFLI_res_adj*s_CF_lima_bean),".")</f>
        <v>6.6115702479338848E-4</v>
      </c>
      <c r="P14" s="71">
        <f>IFERROR(s_DL/(up_RadSpec!$J14*s_IFOK_res_adj*s_CF_okra),".")</f>
        <v>6.6115702479338848E-4</v>
      </c>
      <c r="Q14" s="71">
        <f>IFERROR(s_DL/(up_RadSpec!$J14*s_IFON_res_adj*s_CF_onion),".")</f>
        <v>6.6115702479338848E-4</v>
      </c>
      <c r="R14" s="71">
        <f>IFERROR(s_DL/(up_RadSpec!$J14*s_IFPC_res_adj*s_CF_peach),".")</f>
        <v>6.6115702479338848E-4</v>
      </c>
      <c r="S14" s="71">
        <f>IFERROR(s_DL/(up_RadSpec!$J14*s_IFPR_res_adj*s_CF_pear),".")</f>
        <v>6.6115702479338848E-4</v>
      </c>
      <c r="T14" s="71">
        <f>IFERROR(s_DL/(up_RadSpec!$J14*s_IFPE_res_adj*s_CF_peas),".")</f>
        <v>6.6115702479338848E-4</v>
      </c>
      <c r="U14" s="71">
        <f>IFERROR(s_DL/(up_RadSpec!$J14*s_IFPT_res_adj*s_CF_potato),".")</f>
        <v>6.6115702479338848E-4</v>
      </c>
      <c r="V14" s="71">
        <f>IFERROR(s_DL/(up_RadSpec!$J14*s_IFPU_res_adj*s_CF_pumpkin),".")</f>
        <v>6.6115702479338848E-4</v>
      </c>
      <c r="W14" s="71">
        <f>IFERROR(s_DL/(up_RadSpec!$J14*s_IFSN_res_adj*s_CF_snap_bean),".")</f>
        <v>6.6115702479338848E-4</v>
      </c>
      <c r="X14" s="71">
        <f>IFERROR(s_DL/(up_RadSpec!$J14*s_IFST_res_adj*s_CF_strawberry),".")</f>
        <v>6.6115702479338848E-4</v>
      </c>
      <c r="Y14" s="71">
        <f>IFERROR(s_DL/(up_RadSpec!$J14*s_IFTO_res_adj*s_CF_tomato),".")</f>
        <v>6.6115702479338848E-4</v>
      </c>
      <c r="Z14" s="71">
        <f>IFERROR(s_DL/(up_RadSpec!$J14*s_IFRI_res_adj*s_CF_rice),".")</f>
        <v>6.6115702479338848E-4</v>
      </c>
      <c r="AA14" s="71">
        <f>IFERROR(s_DL/(up_RadSpec!$J14*s_IFCG_res_adj*s_CF_cereal),".")</f>
        <v>6.6115702479338848E-4</v>
      </c>
      <c r="AB14" s="71">
        <f t="shared" si="25"/>
        <v>2.2038567493112948E-4</v>
      </c>
      <c r="AC14" s="71">
        <f>IFERROR(s_DL/(up_RadSpec!$J14*s_IFAP_far_adj*s_CF_apple),".")</f>
        <v>6.6115702479338848E-4</v>
      </c>
      <c r="AD14" s="71">
        <f>IFERROR(s_DL/(up_RadSpec!$J14*s_IFAS_far_adj*s_CF_asparagus),".")</f>
        <v>6.6115702479338848E-4</v>
      </c>
      <c r="AE14" s="71">
        <f>IFERROR(s_DL/(up_RadSpec!$J14*s_IFBT_far_adj*s_CF_beet),".")</f>
        <v>6.6115702479338848E-4</v>
      </c>
      <c r="AF14" s="71">
        <f>IFERROR(s_DL/(up_RadSpec!$J14*s_IFBE_far_adj*s_CF_berries),".")</f>
        <v>6.6115702479338848E-4</v>
      </c>
      <c r="AG14" s="71">
        <f>IFERROR(s_DL/(up_RadSpec!$J14*s_IFBR_far_adj*s_CF_broccoli),".")</f>
        <v>6.6115702479338848E-4</v>
      </c>
      <c r="AH14" s="71">
        <f>IFERROR(s_DL/(up_RadSpec!$J14*s_IFCB_far_adj*s_CF_cabbage),".")</f>
        <v>6.6115702479338848E-4</v>
      </c>
      <c r="AI14" s="71">
        <f>IFERROR(s_DL/(up_RadSpec!$J14*s_IFCR_far_adj*s_CF_carrot),".")</f>
        <v>6.6115702479338848E-4</v>
      </c>
      <c r="AJ14" s="71">
        <f>IFERROR(s_DL/(up_RadSpec!$J14*s_IFCI_far_adj*s_CF_citrus),".")</f>
        <v>6.6115702479338848E-4</v>
      </c>
      <c r="AK14" s="71">
        <f>IFERROR(s_DL/(up_RadSpec!$J14*s_IFCO_far_adj*s_CF_corn),".")</f>
        <v>6.6115702479338848E-4</v>
      </c>
      <c r="AL14" s="71">
        <f>IFERROR(s_DL/(up_RadSpec!$J14*s_IFCU_far_adj*s_CF_cucumber),".")</f>
        <v>6.6115702479338848E-4</v>
      </c>
      <c r="AM14" s="71">
        <f>IFERROR(s_DL/(up_RadSpec!$J14*s_IFLE_far_adj*s_CF_lettuce),".")</f>
        <v>6.6115702479338848E-4</v>
      </c>
      <c r="AN14" s="71">
        <f>IFERROR(s_DL/(up_RadSpec!$J14*s_IFLI_far_adj*s_CF_lima_bean),".")</f>
        <v>6.6115702479338848E-4</v>
      </c>
      <c r="AO14" s="71">
        <f>IFERROR(s_DL/(up_RadSpec!$J14*s_IFOK_far_adj*s_CF_okra),".")</f>
        <v>6.6115702479338848E-4</v>
      </c>
      <c r="AP14" s="71">
        <f>IFERROR(s_DL/(up_RadSpec!$J14*s_IFON_far_adj*s_CF_onion),".")</f>
        <v>6.6115702479338848E-4</v>
      </c>
      <c r="AQ14" s="71">
        <f>IFERROR(s_DL/(up_RadSpec!$J14*s_IFPC_far_adj*s_CF_peach),".")</f>
        <v>6.6115702479338848E-4</v>
      </c>
      <c r="AR14" s="71">
        <f>IFERROR(s_DL/(up_RadSpec!$J14*s_IFPR_far_adj*s_CF_pear),".")</f>
        <v>6.6115702479338848E-4</v>
      </c>
      <c r="AS14" s="71">
        <f>IFERROR(s_DL/(up_RadSpec!$J14*s_IFPE_far_adj*s_CF_peas),".")</f>
        <v>6.6115702479338848E-4</v>
      </c>
      <c r="AT14" s="71">
        <f>IFERROR(s_DL/(up_RadSpec!$J14*s_IFPT_far_adj*s_CF_potato),".")</f>
        <v>6.6115702479338848E-4</v>
      </c>
      <c r="AU14" s="71">
        <f>IFERROR(s_DL/(up_RadSpec!$J14*s_IFPU_far_adj*s_CF_pumpkin),".")</f>
        <v>6.6115702479338848E-4</v>
      </c>
      <c r="AV14" s="71">
        <f>IFERROR(s_DL/(up_RadSpec!$J14*s_IFSN_far_adj*s_CF_snap_bean),".")</f>
        <v>6.6115702479338848E-4</v>
      </c>
      <c r="AW14" s="71">
        <f>IFERROR(s_DL/(up_RadSpec!$J14*s_IFST_far_adj*s_CF_strawberry),".")</f>
        <v>6.6115702479338848E-4</v>
      </c>
      <c r="AX14" s="71">
        <f>IFERROR(s_DL/(up_RadSpec!$J14*s_IFTO_far_adj*s_CF_tomato),".")</f>
        <v>6.6115702479338848E-4</v>
      </c>
      <c r="AY14" s="71">
        <f>IFERROR(s_DL/(up_RadSpec!$J14*s_IFRI_far_adj*s_CF_rice),".")</f>
        <v>6.6115702479338848E-4</v>
      </c>
      <c r="AZ14" s="71">
        <f>IFERROR(s_DL/(up_RadSpec!$J14*s_IFCG_far_adj*s_CF_cereal),".")</f>
        <v>6.6115702479338848E-4</v>
      </c>
      <c r="BA14" s="10">
        <f t="shared" ref="BA14:BA76" si="27">SUM(BB14,BX14:BY14)</f>
        <v>22687.5</v>
      </c>
      <c r="BB14" s="62">
        <f t="shared" si="0"/>
        <v>7562.5</v>
      </c>
      <c r="BC14" s="62">
        <f t="shared" si="1"/>
        <v>7562.5</v>
      </c>
      <c r="BD14" s="62">
        <f t="shared" si="2"/>
        <v>7562.5</v>
      </c>
      <c r="BE14" s="62">
        <f t="shared" si="3"/>
        <v>7562.5</v>
      </c>
      <c r="BF14" s="62">
        <f t="shared" si="4"/>
        <v>7562.5</v>
      </c>
      <c r="BG14" s="62">
        <f t="shared" si="5"/>
        <v>7562.5</v>
      </c>
      <c r="BH14" s="62">
        <f t="shared" si="6"/>
        <v>7562.5</v>
      </c>
      <c r="BI14" s="62">
        <f t="shared" si="7"/>
        <v>7562.5</v>
      </c>
      <c r="BJ14" s="62">
        <f t="shared" si="8"/>
        <v>7562.5</v>
      </c>
      <c r="BK14" s="62">
        <f t="shared" si="9"/>
        <v>7562.5</v>
      </c>
      <c r="BL14" s="62">
        <f t="shared" si="10"/>
        <v>7562.5</v>
      </c>
      <c r="BM14" s="62">
        <f t="shared" si="11"/>
        <v>7562.5</v>
      </c>
      <c r="BN14" s="62">
        <f t="shared" si="12"/>
        <v>7562.5</v>
      </c>
      <c r="BO14" s="62">
        <f t="shared" si="13"/>
        <v>7562.5</v>
      </c>
      <c r="BP14" s="62">
        <f t="shared" si="14"/>
        <v>7562.5</v>
      </c>
      <c r="BQ14" s="62">
        <f t="shared" si="15"/>
        <v>7562.5</v>
      </c>
      <c r="BR14" s="62">
        <f t="shared" si="16"/>
        <v>7562.5</v>
      </c>
      <c r="BS14" s="62">
        <f t="shared" si="17"/>
        <v>7562.5</v>
      </c>
      <c r="BT14" s="62">
        <f t="shared" si="18"/>
        <v>7562.5</v>
      </c>
      <c r="BU14" s="62">
        <f t="shared" si="19"/>
        <v>7562.5</v>
      </c>
      <c r="BV14" s="62">
        <f t="shared" si="20"/>
        <v>7562.5</v>
      </c>
      <c r="BW14" s="62">
        <f t="shared" si="21"/>
        <v>7562.5</v>
      </c>
      <c r="BX14" s="62">
        <f t="shared" si="22"/>
        <v>7562.5</v>
      </c>
      <c r="BY14" s="62">
        <f t="shared" si="23"/>
        <v>7562.5</v>
      </c>
    </row>
    <row r="15" spans="1:77" x14ac:dyDescent="0.25">
      <c r="A15" s="61" t="s">
        <v>13</v>
      </c>
      <c r="B15" s="49" t="s">
        <v>1059</v>
      </c>
      <c r="C15" s="71">
        <f t="shared" si="24"/>
        <v>2.2038567493112948E-4</v>
      </c>
      <c r="D15" s="71">
        <f>IFERROR(s_DL/(up_RadSpec!$J15*s_IFAP_res_adj*s_CF_apple),".")</f>
        <v>6.6115702479338848E-4</v>
      </c>
      <c r="E15" s="71">
        <f>IFERROR(s_DL/(up_RadSpec!$J15*s_IFAS_res_adj*s_CF_asparagus),".")</f>
        <v>6.6115702479338848E-4</v>
      </c>
      <c r="F15" s="71">
        <f>IFERROR(s_DL/(up_RadSpec!$J15*s_IFBT_res_adj*s_CF_beet),".")</f>
        <v>6.6115702479338848E-4</v>
      </c>
      <c r="G15" s="71">
        <f>IFERROR(s_DL/(up_RadSpec!$J15*s_IFBE_res_adj*s_CF_berries),".")</f>
        <v>6.6115702479338848E-4</v>
      </c>
      <c r="H15" s="71">
        <f>IFERROR(s_DL/(up_RadSpec!$J15*s_IFBR_res_adj*s_CF_broccoli),".")</f>
        <v>6.6115702479338848E-4</v>
      </c>
      <c r="I15" s="71">
        <f>IFERROR(s_DL/(up_RadSpec!$J15*s_IFCB_res_adj*s_CF_cabbage),".")</f>
        <v>6.6115702479338848E-4</v>
      </c>
      <c r="J15" s="71">
        <f>IFERROR(s_DL/(up_RadSpec!$J15*s_IFCR_res_adj*s_CF_carrot),".")</f>
        <v>6.6115702479338848E-4</v>
      </c>
      <c r="K15" s="71">
        <f>IFERROR(s_DL/(up_RadSpec!$J15*s_IFCI_res_adj*s_CF_citrus),".")</f>
        <v>6.6115702479338848E-4</v>
      </c>
      <c r="L15" s="71">
        <f>IFERROR(s_DL/(up_RadSpec!$J15*s_IFCO_res_adj*s_CF_corn),".")</f>
        <v>6.6115702479338848E-4</v>
      </c>
      <c r="M15" s="71">
        <f>IFERROR(s_DL/(up_RadSpec!$J15*s_IFCU_res_adj*s_CF_cucumber),".")</f>
        <v>6.6115702479338848E-4</v>
      </c>
      <c r="N15" s="71">
        <f>IFERROR(s_DL/(up_RadSpec!$J15*s_IFLE_res_adj*s_CF_lettuce),".")</f>
        <v>6.6115702479338848E-4</v>
      </c>
      <c r="O15" s="71">
        <f>IFERROR(s_DL/(up_RadSpec!$J15*s_IFLI_res_adj*s_CF_lima_bean),".")</f>
        <v>6.6115702479338848E-4</v>
      </c>
      <c r="P15" s="71">
        <f>IFERROR(s_DL/(up_RadSpec!$J15*s_IFOK_res_adj*s_CF_okra),".")</f>
        <v>6.6115702479338848E-4</v>
      </c>
      <c r="Q15" s="71">
        <f>IFERROR(s_DL/(up_RadSpec!$J15*s_IFON_res_adj*s_CF_onion),".")</f>
        <v>6.6115702479338848E-4</v>
      </c>
      <c r="R15" s="71">
        <f>IFERROR(s_DL/(up_RadSpec!$J15*s_IFPC_res_adj*s_CF_peach),".")</f>
        <v>6.6115702479338848E-4</v>
      </c>
      <c r="S15" s="71">
        <f>IFERROR(s_DL/(up_RadSpec!$J15*s_IFPR_res_adj*s_CF_pear),".")</f>
        <v>6.6115702479338848E-4</v>
      </c>
      <c r="T15" s="71">
        <f>IFERROR(s_DL/(up_RadSpec!$J15*s_IFPE_res_adj*s_CF_peas),".")</f>
        <v>6.6115702479338848E-4</v>
      </c>
      <c r="U15" s="71">
        <f>IFERROR(s_DL/(up_RadSpec!$J15*s_IFPT_res_adj*s_CF_potato),".")</f>
        <v>6.6115702479338848E-4</v>
      </c>
      <c r="V15" s="71">
        <f>IFERROR(s_DL/(up_RadSpec!$J15*s_IFPU_res_adj*s_CF_pumpkin),".")</f>
        <v>6.6115702479338848E-4</v>
      </c>
      <c r="W15" s="71">
        <f>IFERROR(s_DL/(up_RadSpec!$J15*s_IFSN_res_adj*s_CF_snap_bean),".")</f>
        <v>6.6115702479338848E-4</v>
      </c>
      <c r="X15" s="71">
        <f>IFERROR(s_DL/(up_RadSpec!$J15*s_IFST_res_adj*s_CF_strawberry),".")</f>
        <v>6.6115702479338848E-4</v>
      </c>
      <c r="Y15" s="71">
        <f>IFERROR(s_DL/(up_RadSpec!$J15*s_IFTO_res_adj*s_CF_tomato),".")</f>
        <v>6.6115702479338848E-4</v>
      </c>
      <c r="Z15" s="71">
        <f>IFERROR(s_DL/(up_RadSpec!$J15*s_IFRI_res_adj*s_CF_rice),".")</f>
        <v>6.6115702479338848E-4</v>
      </c>
      <c r="AA15" s="71">
        <f>IFERROR(s_DL/(up_RadSpec!$J15*s_IFCG_res_adj*s_CF_cereal),".")</f>
        <v>6.6115702479338848E-4</v>
      </c>
      <c r="AB15" s="71">
        <f t="shared" si="25"/>
        <v>2.2038567493112948E-4</v>
      </c>
      <c r="AC15" s="71">
        <f>IFERROR(s_DL/(up_RadSpec!$J15*s_IFAP_far_adj*s_CF_apple),".")</f>
        <v>6.6115702479338848E-4</v>
      </c>
      <c r="AD15" s="71">
        <f>IFERROR(s_DL/(up_RadSpec!$J15*s_IFAS_far_adj*s_CF_asparagus),".")</f>
        <v>6.6115702479338848E-4</v>
      </c>
      <c r="AE15" s="71">
        <f>IFERROR(s_DL/(up_RadSpec!$J15*s_IFBT_far_adj*s_CF_beet),".")</f>
        <v>6.6115702479338848E-4</v>
      </c>
      <c r="AF15" s="71">
        <f>IFERROR(s_DL/(up_RadSpec!$J15*s_IFBE_far_adj*s_CF_berries),".")</f>
        <v>6.6115702479338848E-4</v>
      </c>
      <c r="AG15" s="71">
        <f>IFERROR(s_DL/(up_RadSpec!$J15*s_IFBR_far_adj*s_CF_broccoli),".")</f>
        <v>6.6115702479338848E-4</v>
      </c>
      <c r="AH15" s="71">
        <f>IFERROR(s_DL/(up_RadSpec!$J15*s_IFCB_far_adj*s_CF_cabbage),".")</f>
        <v>6.6115702479338848E-4</v>
      </c>
      <c r="AI15" s="71">
        <f>IFERROR(s_DL/(up_RadSpec!$J15*s_IFCR_far_adj*s_CF_carrot),".")</f>
        <v>6.6115702479338848E-4</v>
      </c>
      <c r="AJ15" s="71">
        <f>IFERROR(s_DL/(up_RadSpec!$J15*s_IFCI_far_adj*s_CF_citrus),".")</f>
        <v>6.6115702479338848E-4</v>
      </c>
      <c r="AK15" s="71">
        <f>IFERROR(s_DL/(up_RadSpec!$J15*s_IFCO_far_adj*s_CF_corn),".")</f>
        <v>6.6115702479338848E-4</v>
      </c>
      <c r="AL15" s="71">
        <f>IFERROR(s_DL/(up_RadSpec!$J15*s_IFCU_far_adj*s_CF_cucumber),".")</f>
        <v>6.6115702479338848E-4</v>
      </c>
      <c r="AM15" s="71">
        <f>IFERROR(s_DL/(up_RadSpec!$J15*s_IFLE_far_adj*s_CF_lettuce),".")</f>
        <v>6.6115702479338848E-4</v>
      </c>
      <c r="AN15" s="71">
        <f>IFERROR(s_DL/(up_RadSpec!$J15*s_IFLI_far_adj*s_CF_lima_bean),".")</f>
        <v>6.6115702479338848E-4</v>
      </c>
      <c r="AO15" s="71">
        <f>IFERROR(s_DL/(up_RadSpec!$J15*s_IFOK_far_adj*s_CF_okra),".")</f>
        <v>6.6115702479338848E-4</v>
      </c>
      <c r="AP15" s="71">
        <f>IFERROR(s_DL/(up_RadSpec!$J15*s_IFON_far_adj*s_CF_onion),".")</f>
        <v>6.6115702479338848E-4</v>
      </c>
      <c r="AQ15" s="71">
        <f>IFERROR(s_DL/(up_RadSpec!$J15*s_IFPC_far_adj*s_CF_peach),".")</f>
        <v>6.6115702479338848E-4</v>
      </c>
      <c r="AR15" s="71">
        <f>IFERROR(s_DL/(up_RadSpec!$J15*s_IFPR_far_adj*s_CF_pear),".")</f>
        <v>6.6115702479338848E-4</v>
      </c>
      <c r="AS15" s="71">
        <f>IFERROR(s_DL/(up_RadSpec!$J15*s_IFPE_far_adj*s_CF_peas),".")</f>
        <v>6.6115702479338848E-4</v>
      </c>
      <c r="AT15" s="71">
        <f>IFERROR(s_DL/(up_RadSpec!$J15*s_IFPT_far_adj*s_CF_potato),".")</f>
        <v>6.6115702479338848E-4</v>
      </c>
      <c r="AU15" s="71">
        <f>IFERROR(s_DL/(up_RadSpec!$J15*s_IFPU_far_adj*s_CF_pumpkin),".")</f>
        <v>6.6115702479338848E-4</v>
      </c>
      <c r="AV15" s="71">
        <f>IFERROR(s_DL/(up_RadSpec!$J15*s_IFSN_far_adj*s_CF_snap_bean),".")</f>
        <v>6.6115702479338848E-4</v>
      </c>
      <c r="AW15" s="71">
        <f>IFERROR(s_DL/(up_RadSpec!$J15*s_IFST_far_adj*s_CF_strawberry),".")</f>
        <v>6.6115702479338848E-4</v>
      </c>
      <c r="AX15" s="71">
        <f>IFERROR(s_DL/(up_RadSpec!$J15*s_IFTO_far_adj*s_CF_tomato),".")</f>
        <v>6.6115702479338848E-4</v>
      </c>
      <c r="AY15" s="71">
        <f>IFERROR(s_DL/(up_RadSpec!$J15*s_IFRI_far_adj*s_CF_rice),".")</f>
        <v>6.6115702479338848E-4</v>
      </c>
      <c r="AZ15" s="71">
        <f>IFERROR(s_DL/(up_RadSpec!$J15*s_IFCG_far_adj*s_CF_cereal),".")</f>
        <v>6.6115702479338848E-4</v>
      </c>
      <c r="BA15" s="10">
        <f t="shared" si="27"/>
        <v>22687.5</v>
      </c>
      <c r="BB15" s="62">
        <f t="shared" si="0"/>
        <v>7562.5</v>
      </c>
      <c r="BC15" s="62">
        <f t="shared" si="1"/>
        <v>7562.5</v>
      </c>
      <c r="BD15" s="62">
        <f t="shared" si="2"/>
        <v>7562.5</v>
      </c>
      <c r="BE15" s="62">
        <f t="shared" si="3"/>
        <v>7562.5</v>
      </c>
      <c r="BF15" s="62">
        <f t="shared" si="4"/>
        <v>7562.5</v>
      </c>
      <c r="BG15" s="62">
        <f t="shared" si="5"/>
        <v>7562.5</v>
      </c>
      <c r="BH15" s="62">
        <f t="shared" si="6"/>
        <v>7562.5</v>
      </c>
      <c r="BI15" s="62">
        <f t="shared" si="7"/>
        <v>7562.5</v>
      </c>
      <c r="BJ15" s="62">
        <f t="shared" si="8"/>
        <v>7562.5</v>
      </c>
      <c r="BK15" s="62">
        <f t="shared" si="9"/>
        <v>7562.5</v>
      </c>
      <c r="BL15" s="62">
        <f t="shared" si="10"/>
        <v>7562.5</v>
      </c>
      <c r="BM15" s="62">
        <f t="shared" si="11"/>
        <v>7562.5</v>
      </c>
      <c r="BN15" s="62">
        <f t="shared" si="12"/>
        <v>7562.5</v>
      </c>
      <c r="BO15" s="62">
        <f t="shared" si="13"/>
        <v>7562.5</v>
      </c>
      <c r="BP15" s="62">
        <f t="shared" si="14"/>
        <v>7562.5</v>
      </c>
      <c r="BQ15" s="62">
        <f t="shared" si="15"/>
        <v>7562.5</v>
      </c>
      <c r="BR15" s="62">
        <f t="shared" si="16"/>
        <v>7562.5</v>
      </c>
      <c r="BS15" s="62">
        <f t="shared" si="17"/>
        <v>7562.5</v>
      </c>
      <c r="BT15" s="62">
        <f t="shared" si="18"/>
        <v>7562.5</v>
      </c>
      <c r="BU15" s="62">
        <f t="shared" si="19"/>
        <v>7562.5</v>
      </c>
      <c r="BV15" s="62">
        <f t="shared" si="20"/>
        <v>7562.5</v>
      </c>
      <c r="BW15" s="62">
        <f t="shared" si="21"/>
        <v>7562.5</v>
      </c>
      <c r="BX15" s="62">
        <f t="shared" si="22"/>
        <v>7562.5</v>
      </c>
      <c r="BY15" s="62">
        <f t="shared" si="23"/>
        <v>7562.5</v>
      </c>
    </row>
    <row r="16" spans="1:77" x14ac:dyDescent="0.25">
      <c r="A16" s="61" t="s">
        <v>14</v>
      </c>
      <c r="B16" s="49" t="s">
        <v>1059</v>
      </c>
      <c r="C16" s="71">
        <f t="shared" si="24"/>
        <v>2.2038567493112948E-4</v>
      </c>
      <c r="D16" s="71">
        <f>IFERROR(s_DL/(up_RadSpec!$J16*s_IFAP_res_adj*s_CF_apple),".")</f>
        <v>6.6115702479338848E-4</v>
      </c>
      <c r="E16" s="71">
        <f>IFERROR(s_DL/(up_RadSpec!$J16*s_IFAS_res_adj*s_CF_asparagus),".")</f>
        <v>6.6115702479338848E-4</v>
      </c>
      <c r="F16" s="71">
        <f>IFERROR(s_DL/(up_RadSpec!$J16*s_IFBT_res_adj*s_CF_beet),".")</f>
        <v>6.6115702479338848E-4</v>
      </c>
      <c r="G16" s="71">
        <f>IFERROR(s_DL/(up_RadSpec!$J16*s_IFBE_res_adj*s_CF_berries),".")</f>
        <v>6.6115702479338848E-4</v>
      </c>
      <c r="H16" s="71">
        <f>IFERROR(s_DL/(up_RadSpec!$J16*s_IFBR_res_adj*s_CF_broccoli),".")</f>
        <v>6.6115702479338848E-4</v>
      </c>
      <c r="I16" s="71">
        <f>IFERROR(s_DL/(up_RadSpec!$J16*s_IFCB_res_adj*s_CF_cabbage),".")</f>
        <v>6.6115702479338848E-4</v>
      </c>
      <c r="J16" s="71">
        <f>IFERROR(s_DL/(up_RadSpec!$J16*s_IFCR_res_adj*s_CF_carrot),".")</f>
        <v>6.6115702479338848E-4</v>
      </c>
      <c r="K16" s="71">
        <f>IFERROR(s_DL/(up_RadSpec!$J16*s_IFCI_res_adj*s_CF_citrus),".")</f>
        <v>6.6115702479338848E-4</v>
      </c>
      <c r="L16" s="71">
        <f>IFERROR(s_DL/(up_RadSpec!$J16*s_IFCO_res_adj*s_CF_corn),".")</f>
        <v>6.6115702479338848E-4</v>
      </c>
      <c r="M16" s="71">
        <f>IFERROR(s_DL/(up_RadSpec!$J16*s_IFCU_res_adj*s_CF_cucumber),".")</f>
        <v>6.6115702479338848E-4</v>
      </c>
      <c r="N16" s="71">
        <f>IFERROR(s_DL/(up_RadSpec!$J16*s_IFLE_res_adj*s_CF_lettuce),".")</f>
        <v>6.6115702479338848E-4</v>
      </c>
      <c r="O16" s="71">
        <f>IFERROR(s_DL/(up_RadSpec!$J16*s_IFLI_res_adj*s_CF_lima_bean),".")</f>
        <v>6.6115702479338848E-4</v>
      </c>
      <c r="P16" s="71">
        <f>IFERROR(s_DL/(up_RadSpec!$J16*s_IFOK_res_adj*s_CF_okra),".")</f>
        <v>6.6115702479338848E-4</v>
      </c>
      <c r="Q16" s="71">
        <f>IFERROR(s_DL/(up_RadSpec!$J16*s_IFON_res_adj*s_CF_onion),".")</f>
        <v>6.6115702479338848E-4</v>
      </c>
      <c r="R16" s="71">
        <f>IFERROR(s_DL/(up_RadSpec!$J16*s_IFPC_res_adj*s_CF_peach),".")</f>
        <v>6.6115702479338848E-4</v>
      </c>
      <c r="S16" s="71">
        <f>IFERROR(s_DL/(up_RadSpec!$J16*s_IFPR_res_adj*s_CF_pear),".")</f>
        <v>6.6115702479338848E-4</v>
      </c>
      <c r="T16" s="71">
        <f>IFERROR(s_DL/(up_RadSpec!$J16*s_IFPE_res_adj*s_CF_peas),".")</f>
        <v>6.6115702479338848E-4</v>
      </c>
      <c r="U16" s="71">
        <f>IFERROR(s_DL/(up_RadSpec!$J16*s_IFPT_res_adj*s_CF_potato),".")</f>
        <v>6.6115702479338848E-4</v>
      </c>
      <c r="V16" s="71">
        <f>IFERROR(s_DL/(up_RadSpec!$J16*s_IFPU_res_adj*s_CF_pumpkin),".")</f>
        <v>6.6115702479338848E-4</v>
      </c>
      <c r="W16" s="71">
        <f>IFERROR(s_DL/(up_RadSpec!$J16*s_IFSN_res_adj*s_CF_snap_bean),".")</f>
        <v>6.6115702479338848E-4</v>
      </c>
      <c r="X16" s="71">
        <f>IFERROR(s_DL/(up_RadSpec!$J16*s_IFST_res_adj*s_CF_strawberry),".")</f>
        <v>6.6115702479338848E-4</v>
      </c>
      <c r="Y16" s="71">
        <f>IFERROR(s_DL/(up_RadSpec!$J16*s_IFTO_res_adj*s_CF_tomato),".")</f>
        <v>6.6115702479338848E-4</v>
      </c>
      <c r="Z16" s="71">
        <f>IFERROR(s_DL/(up_RadSpec!$J16*s_IFRI_res_adj*s_CF_rice),".")</f>
        <v>6.6115702479338848E-4</v>
      </c>
      <c r="AA16" s="71">
        <f>IFERROR(s_DL/(up_RadSpec!$J16*s_IFCG_res_adj*s_CF_cereal),".")</f>
        <v>6.6115702479338848E-4</v>
      </c>
      <c r="AB16" s="71">
        <f t="shared" si="25"/>
        <v>2.2038567493112948E-4</v>
      </c>
      <c r="AC16" s="71">
        <f>IFERROR(s_DL/(up_RadSpec!$J16*s_IFAP_far_adj*s_CF_apple),".")</f>
        <v>6.6115702479338848E-4</v>
      </c>
      <c r="AD16" s="71">
        <f>IFERROR(s_DL/(up_RadSpec!$J16*s_IFAS_far_adj*s_CF_asparagus),".")</f>
        <v>6.6115702479338848E-4</v>
      </c>
      <c r="AE16" s="71">
        <f>IFERROR(s_DL/(up_RadSpec!$J16*s_IFBT_far_adj*s_CF_beet),".")</f>
        <v>6.6115702479338848E-4</v>
      </c>
      <c r="AF16" s="71">
        <f>IFERROR(s_DL/(up_RadSpec!$J16*s_IFBE_far_adj*s_CF_berries),".")</f>
        <v>6.6115702479338848E-4</v>
      </c>
      <c r="AG16" s="71">
        <f>IFERROR(s_DL/(up_RadSpec!$J16*s_IFBR_far_adj*s_CF_broccoli),".")</f>
        <v>6.6115702479338848E-4</v>
      </c>
      <c r="AH16" s="71">
        <f>IFERROR(s_DL/(up_RadSpec!$J16*s_IFCB_far_adj*s_CF_cabbage),".")</f>
        <v>6.6115702479338848E-4</v>
      </c>
      <c r="AI16" s="71">
        <f>IFERROR(s_DL/(up_RadSpec!$J16*s_IFCR_far_adj*s_CF_carrot),".")</f>
        <v>6.6115702479338848E-4</v>
      </c>
      <c r="AJ16" s="71">
        <f>IFERROR(s_DL/(up_RadSpec!$J16*s_IFCI_far_adj*s_CF_citrus),".")</f>
        <v>6.6115702479338848E-4</v>
      </c>
      <c r="AK16" s="71">
        <f>IFERROR(s_DL/(up_RadSpec!$J16*s_IFCO_far_adj*s_CF_corn),".")</f>
        <v>6.6115702479338848E-4</v>
      </c>
      <c r="AL16" s="71">
        <f>IFERROR(s_DL/(up_RadSpec!$J16*s_IFCU_far_adj*s_CF_cucumber),".")</f>
        <v>6.6115702479338848E-4</v>
      </c>
      <c r="AM16" s="71">
        <f>IFERROR(s_DL/(up_RadSpec!$J16*s_IFLE_far_adj*s_CF_lettuce),".")</f>
        <v>6.6115702479338848E-4</v>
      </c>
      <c r="AN16" s="71">
        <f>IFERROR(s_DL/(up_RadSpec!$J16*s_IFLI_far_adj*s_CF_lima_bean),".")</f>
        <v>6.6115702479338848E-4</v>
      </c>
      <c r="AO16" s="71">
        <f>IFERROR(s_DL/(up_RadSpec!$J16*s_IFOK_far_adj*s_CF_okra),".")</f>
        <v>6.6115702479338848E-4</v>
      </c>
      <c r="AP16" s="71">
        <f>IFERROR(s_DL/(up_RadSpec!$J16*s_IFON_far_adj*s_CF_onion),".")</f>
        <v>6.6115702479338848E-4</v>
      </c>
      <c r="AQ16" s="71">
        <f>IFERROR(s_DL/(up_RadSpec!$J16*s_IFPC_far_adj*s_CF_peach),".")</f>
        <v>6.6115702479338848E-4</v>
      </c>
      <c r="AR16" s="71">
        <f>IFERROR(s_DL/(up_RadSpec!$J16*s_IFPR_far_adj*s_CF_pear),".")</f>
        <v>6.6115702479338848E-4</v>
      </c>
      <c r="AS16" s="71">
        <f>IFERROR(s_DL/(up_RadSpec!$J16*s_IFPE_far_adj*s_CF_peas),".")</f>
        <v>6.6115702479338848E-4</v>
      </c>
      <c r="AT16" s="71">
        <f>IFERROR(s_DL/(up_RadSpec!$J16*s_IFPT_far_adj*s_CF_potato),".")</f>
        <v>6.6115702479338848E-4</v>
      </c>
      <c r="AU16" s="71">
        <f>IFERROR(s_DL/(up_RadSpec!$J16*s_IFPU_far_adj*s_CF_pumpkin),".")</f>
        <v>6.6115702479338848E-4</v>
      </c>
      <c r="AV16" s="71">
        <f>IFERROR(s_DL/(up_RadSpec!$J16*s_IFSN_far_adj*s_CF_snap_bean),".")</f>
        <v>6.6115702479338848E-4</v>
      </c>
      <c r="AW16" s="71">
        <f>IFERROR(s_DL/(up_RadSpec!$J16*s_IFST_far_adj*s_CF_strawberry),".")</f>
        <v>6.6115702479338848E-4</v>
      </c>
      <c r="AX16" s="71">
        <f>IFERROR(s_DL/(up_RadSpec!$J16*s_IFTO_far_adj*s_CF_tomato),".")</f>
        <v>6.6115702479338848E-4</v>
      </c>
      <c r="AY16" s="71">
        <f>IFERROR(s_DL/(up_RadSpec!$J16*s_IFRI_far_adj*s_CF_rice),".")</f>
        <v>6.6115702479338848E-4</v>
      </c>
      <c r="AZ16" s="71">
        <f>IFERROR(s_DL/(up_RadSpec!$J16*s_IFCG_far_adj*s_CF_cereal),".")</f>
        <v>6.6115702479338848E-4</v>
      </c>
      <c r="BA16" s="10">
        <f t="shared" si="27"/>
        <v>22687.5</v>
      </c>
      <c r="BB16" s="62">
        <f t="shared" si="0"/>
        <v>7562.5</v>
      </c>
      <c r="BC16" s="62">
        <f t="shared" si="1"/>
        <v>7562.5</v>
      </c>
      <c r="BD16" s="62">
        <f t="shared" si="2"/>
        <v>7562.5</v>
      </c>
      <c r="BE16" s="62">
        <f t="shared" si="3"/>
        <v>7562.5</v>
      </c>
      <c r="BF16" s="62">
        <f t="shared" si="4"/>
        <v>7562.5</v>
      </c>
      <c r="BG16" s="62">
        <f t="shared" si="5"/>
        <v>7562.5</v>
      </c>
      <c r="BH16" s="62">
        <f t="shared" si="6"/>
        <v>7562.5</v>
      </c>
      <c r="BI16" s="62">
        <f t="shared" si="7"/>
        <v>7562.5</v>
      </c>
      <c r="BJ16" s="62">
        <f t="shared" si="8"/>
        <v>7562.5</v>
      </c>
      <c r="BK16" s="62">
        <f t="shared" si="9"/>
        <v>7562.5</v>
      </c>
      <c r="BL16" s="62">
        <f t="shared" si="10"/>
        <v>7562.5</v>
      </c>
      <c r="BM16" s="62">
        <f t="shared" si="11"/>
        <v>7562.5</v>
      </c>
      <c r="BN16" s="62">
        <f t="shared" si="12"/>
        <v>7562.5</v>
      </c>
      <c r="BO16" s="62">
        <f t="shared" si="13"/>
        <v>7562.5</v>
      </c>
      <c r="BP16" s="62">
        <f t="shared" si="14"/>
        <v>7562.5</v>
      </c>
      <c r="BQ16" s="62">
        <f t="shared" si="15"/>
        <v>7562.5</v>
      </c>
      <c r="BR16" s="62">
        <f t="shared" si="16"/>
        <v>7562.5</v>
      </c>
      <c r="BS16" s="62">
        <f t="shared" si="17"/>
        <v>7562.5</v>
      </c>
      <c r="BT16" s="62">
        <f t="shared" si="18"/>
        <v>7562.5</v>
      </c>
      <c r="BU16" s="62">
        <f t="shared" si="19"/>
        <v>7562.5</v>
      </c>
      <c r="BV16" s="62">
        <f t="shared" si="20"/>
        <v>7562.5</v>
      </c>
      <c r="BW16" s="62">
        <f t="shared" si="21"/>
        <v>7562.5</v>
      </c>
      <c r="BX16" s="62">
        <f t="shared" si="22"/>
        <v>7562.5</v>
      </c>
      <c r="BY16" s="62">
        <f t="shared" si="23"/>
        <v>7562.5</v>
      </c>
    </row>
    <row r="17" spans="1:77" x14ac:dyDescent="0.25">
      <c r="A17" s="61" t="s">
        <v>15</v>
      </c>
      <c r="B17" s="49" t="s">
        <v>1059</v>
      </c>
      <c r="C17" s="71">
        <f t="shared" si="24"/>
        <v>2.2038567493112948E-4</v>
      </c>
      <c r="D17" s="71">
        <f>IFERROR(s_DL/(up_RadSpec!$J17*s_IFAP_res_adj*s_CF_apple),".")</f>
        <v>6.6115702479338848E-4</v>
      </c>
      <c r="E17" s="71">
        <f>IFERROR(s_DL/(up_RadSpec!$J17*s_IFAS_res_adj*s_CF_asparagus),".")</f>
        <v>6.6115702479338848E-4</v>
      </c>
      <c r="F17" s="71">
        <f>IFERROR(s_DL/(up_RadSpec!$J17*s_IFBT_res_adj*s_CF_beet),".")</f>
        <v>6.6115702479338848E-4</v>
      </c>
      <c r="G17" s="71">
        <f>IFERROR(s_DL/(up_RadSpec!$J17*s_IFBE_res_adj*s_CF_berries),".")</f>
        <v>6.6115702479338848E-4</v>
      </c>
      <c r="H17" s="71">
        <f>IFERROR(s_DL/(up_RadSpec!$J17*s_IFBR_res_adj*s_CF_broccoli),".")</f>
        <v>6.6115702479338848E-4</v>
      </c>
      <c r="I17" s="71">
        <f>IFERROR(s_DL/(up_RadSpec!$J17*s_IFCB_res_adj*s_CF_cabbage),".")</f>
        <v>6.6115702479338848E-4</v>
      </c>
      <c r="J17" s="71">
        <f>IFERROR(s_DL/(up_RadSpec!$J17*s_IFCR_res_adj*s_CF_carrot),".")</f>
        <v>6.6115702479338848E-4</v>
      </c>
      <c r="K17" s="71">
        <f>IFERROR(s_DL/(up_RadSpec!$J17*s_IFCI_res_adj*s_CF_citrus),".")</f>
        <v>6.6115702479338848E-4</v>
      </c>
      <c r="L17" s="71">
        <f>IFERROR(s_DL/(up_RadSpec!$J17*s_IFCO_res_adj*s_CF_corn),".")</f>
        <v>6.6115702479338848E-4</v>
      </c>
      <c r="M17" s="71">
        <f>IFERROR(s_DL/(up_RadSpec!$J17*s_IFCU_res_adj*s_CF_cucumber),".")</f>
        <v>6.6115702479338848E-4</v>
      </c>
      <c r="N17" s="71">
        <f>IFERROR(s_DL/(up_RadSpec!$J17*s_IFLE_res_adj*s_CF_lettuce),".")</f>
        <v>6.6115702479338848E-4</v>
      </c>
      <c r="O17" s="71">
        <f>IFERROR(s_DL/(up_RadSpec!$J17*s_IFLI_res_adj*s_CF_lima_bean),".")</f>
        <v>6.6115702479338848E-4</v>
      </c>
      <c r="P17" s="71">
        <f>IFERROR(s_DL/(up_RadSpec!$J17*s_IFOK_res_adj*s_CF_okra),".")</f>
        <v>6.6115702479338848E-4</v>
      </c>
      <c r="Q17" s="71">
        <f>IFERROR(s_DL/(up_RadSpec!$J17*s_IFON_res_adj*s_CF_onion),".")</f>
        <v>6.6115702479338848E-4</v>
      </c>
      <c r="R17" s="71">
        <f>IFERROR(s_DL/(up_RadSpec!$J17*s_IFPC_res_adj*s_CF_peach),".")</f>
        <v>6.6115702479338848E-4</v>
      </c>
      <c r="S17" s="71">
        <f>IFERROR(s_DL/(up_RadSpec!$J17*s_IFPR_res_adj*s_CF_pear),".")</f>
        <v>6.6115702479338848E-4</v>
      </c>
      <c r="T17" s="71">
        <f>IFERROR(s_DL/(up_RadSpec!$J17*s_IFPE_res_adj*s_CF_peas),".")</f>
        <v>6.6115702479338848E-4</v>
      </c>
      <c r="U17" s="71">
        <f>IFERROR(s_DL/(up_RadSpec!$J17*s_IFPT_res_adj*s_CF_potato),".")</f>
        <v>6.6115702479338848E-4</v>
      </c>
      <c r="V17" s="71">
        <f>IFERROR(s_DL/(up_RadSpec!$J17*s_IFPU_res_adj*s_CF_pumpkin),".")</f>
        <v>6.6115702479338848E-4</v>
      </c>
      <c r="W17" s="71">
        <f>IFERROR(s_DL/(up_RadSpec!$J17*s_IFSN_res_adj*s_CF_snap_bean),".")</f>
        <v>6.6115702479338848E-4</v>
      </c>
      <c r="X17" s="71">
        <f>IFERROR(s_DL/(up_RadSpec!$J17*s_IFST_res_adj*s_CF_strawberry),".")</f>
        <v>6.6115702479338848E-4</v>
      </c>
      <c r="Y17" s="71">
        <f>IFERROR(s_DL/(up_RadSpec!$J17*s_IFTO_res_adj*s_CF_tomato),".")</f>
        <v>6.6115702479338848E-4</v>
      </c>
      <c r="Z17" s="71">
        <f>IFERROR(s_DL/(up_RadSpec!$J17*s_IFRI_res_adj*s_CF_rice),".")</f>
        <v>6.6115702479338848E-4</v>
      </c>
      <c r="AA17" s="71">
        <f>IFERROR(s_DL/(up_RadSpec!$J17*s_IFCG_res_adj*s_CF_cereal),".")</f>
        <v>6.6115702479338848E-4</v>
      </c>
      <c r="AB17" s="71">
        <f t="shared" si="25"/>
        <v>2.2038567493112948E-4</v>
      </c>
      <c r="AC17" s="71">
        <f>IFERROR(s_DL/(up_RadSpec!$J17*s_IFAP_far_adj*s_CF_apple),".")</f>
        <v>6.6115702479338848E-4</v>
      </c>
      <c r="AD17" s="71">
        <f>IFERROR(s_DL/(up_RadSpec!$J17*s_IFAS_far_adj*s_CF_asparagus),".")</f>
        <v>6.6115702479338848E-4</v>
      </c>
      <c r="AE17" s="71">
        <f>IFERROR(s_DL/(up_RadSpec!$J17*s_IFBT_far_adj*s_CF_beet),".")</f>
        <v>6.6115702479338848E-4</v>
      </c>
      <c r="AF17" s="71">
        <f>IFERROR(s_DL/(up_RadSpec!$J17*s_IFBE_far_adj*s_CF_berries),".")</f>
        <v>6.6115702479338848E-4</v>
      </c>
      <c r="AG17" s="71">
        <f>IFERROR(s_DL/(up_RadSpec!$J17*s_IFBR_far_adj*s_CF_broccoli),".")</f>
        <v>6.6115702479338848E-4</v>
      </c>
      <c r="AH17" s="71">
        <f>IFERROR(s_DL/(up_RadSpec!$J17*s_IFCB_far_adj*s_CF_cabbage),".")</f>
        <v>6.6115702479338848E-4</v>
      </c>
      <c r="AI17" s="71">
        <f>IFERROR(s_DL/(up_RadSpec!$J17*s_IFCR_far_adj*s_CF_carrot),".")</f>
        <v>6.6115702479338848E-4</v>
      </c>
      <c r="AJ17" s="71">
        <f>IFERROR(s_DL/(up_RadSpec!$J17*s_IFCI_far_adj*s_CF_citrus),".")</f>
        <v>6.6115702479338848E-4</v>
      </c>
      <c r="AK17" s="71">
        <f>IFERROR(s_DL/(up_RadSpec!$J17*s_IFCO_far_adj*s_CF_corn),".")</f>
        <v>6.6115702479338848E-4</v>
      </c>
      <c r="AL17" s="71">
        <f>IFERROR(s_DL/(up_RadSpec!$J17*s_IFCU_far_adj*s_CF_cucumber),".")</f>
        <v>6.6115702479338848E-4</v>
      </c>
      <c r="AM17" s="71">
        <f>IFERROR(s_DL/(up_RadSpec!$J17*s_IFLE_far_adj*s_CF_lettuce),".")</f>
        <v>6.6115702479338848E-4</v>
      </c>
      <c r="AN17" s="71">
        <f>IFERROR(s_DL/(up_RadSpec!$J17*s_IFLI_far_adj*s_CF_lima_bean),".")</f>
        <v>6.6115702479338848E-4</v>
      </c>
      <c r="AO17" s="71">
        <f>IFERROR(s_DL/(up_RadSpec!$J17*s_IFOK_far_adj*s_CF_okra),".")</f>
        <v>6.6115702479338848E-4</v>
      </c>
      <c r="AP17" s="71">
        <f>IFERROR(s_DL/(up_RadSpec!$J17*s_IFON_far_adj*s_CF_onion),".")</f>
        <v>6.6115702479338848E-4</v>
      </c>
      <c r="AQ17" s="71">
        <f>IFERROR(s_DL/(up_RadSpec!$J17*s_IFPC_far_adj*s_CF_peach),".")</f>
        <v>6.6115702479338848E-4</v>
      </c>
      <c r="AR17" s="71">
        <f>IFERROR(s_DL/(up_RadSpec!$J17*s_IFPR_far_adj*s_CF_pear),".")</f>
        <v>6.6115702479338848E-4</v>
      </c>
      <c r="AS17" s="71">
        <f>IFERROR(s_DL/(up_RadSpec!$J17*s_IFPE_far_adj*s_CF_peas),".")</f>
        <v>6.6115702479338848E-4</v>
      </c>
      <c r="AT17" s="71">
        <f>IFERROR(s_DL/(up_RadSpec!$J17*s_IFPT_far_adj*s_CF_potato),".")</f>
        <v>6.6115702479338848E-4</v>
      </c>
      <c r="AU17" s="71">
        <f>IFERROR(s_DL/(up_RadSpec!$J17*s_IFPU_far_adj*s_CF_pumpkin),".")</f>
        <v>6.6115702479338848E-4</v>
      </c>
      <c r="AV17" s="71">
        <f>IFERROR(s_DL/(up_RadSpec!$J17*s_IFSN_far_adj*s_CF_snap_bean),".")</f>
        <v>6.6115702479338848E-4</v>
      </c>
      <c r="AW17" s="71">
        <f>IFERROR(s_DL/(up_RadSpec!$J17*s_IFST_far_adj*s_CF_strawberry),".")</f>
        <v>6.6115702479338848E-4</v>
      </c>
      <c r="AX17" s="71">
        <f>IFERROR(s_DL/(up_RadSpec!$J17*s_IFTO_far_adj*s_CF_tomato),".")</f>
        <v>6.6115702479338848E-4</v>
      </c>
      <c r="AY17" s="71">
        <f>IFERROR(s_DL/(up_RadSpec!$J17*s_IFRI_far_adj*s_CF_rice),".")</f>
        <v>6.6115702479338848E-4</v>
      </c>
      <c r="AZ17" s="71">
        <f>IFERROR(s_DL/(up_RadSpec!$J17*s_IFCG_far_adj*s_CF_cereal),".")</f>
        <v>6.6115702479338848E-4</v>
      </c>
      <c r="BA17" s="10">
        <f t="shared" si="27"/>
        <v>22687.5</v>
      </c>
      <c r="BB17" s="62">
        <f t="shared" si="0"/>
        <v>7562.5</v>
      </c>
      <c r="BC17" s="62">
        <f t="shared" si="1"/>
        <v>7562.5</v>
      </c>
      <c r="BD17" s="62">
        <f t="shared" si="2"/>
        <v>7562.5</v>
      </c>
      <c r="BE17" s="62">
        <f t="shared" si="3"/>
        <v>7562.5</v>
      </c>
      <c r="BF17" s="62">
        <f t="shared" si="4"/>
        <v>7562.5</v>
      </c>
      <c r="BG17" s="62">
        <f t="shared" si="5"/>
        <v>7562.5</v>
      </c>
      <c r="BH17" s="62">
        <f t="shared" si="6"/>
        <v>7562.5</v>
      </c>
      <c r="BI17" s="62">
        <f t="shared" si="7"/>
        <v>7562.5</v>
      </c>
      <c r="BJ17" s="62">
        <f t="shared" si="8"/>
        <v>7562.5</v>
      </c>
      <c r="BK17" s="62">
        <f t="shared" si="9"/>
        <v>7562.5</v>
      </c>
      <c r="BL17" s="62">
        <f t="shared" si="10"/>
        <v>7562.5</v>
      </c>
      <c r="BM17" s="62">
        <f t="shared" si="11"/>
        <v>7562.5</v>
      </c>
      <c r="BN17" s="62">
        <f t="shared" si="12"/>
        <v>7562.5</v>
      </c>
      <c r="BO17" s="62">
        <f t="shared" si="13"/>
        <v>7562.5</v>
      </c>
      <c r="BP17" s="62">
        <f t="shared" si="14"/>
        <v>7562.5</v>
      </c>
      <c r="BQ17" s="62">
        <f t="shared" si="15"/>
        <v>7562.5</v>
      </c>
      <c r="BR17" s="62">
        <f t="shared" si="16"/>
        <v>7562.5</v>
      </c>
      <c r="BS17" s="62">
        <f t="shared" si="17"/>
        <v>7562.5</v>
      </c>
      <c r="BT17" s="62">
        <f t="shared" si="18"/>
        <v>7562.5</v>
      </c>
      <c r="BU17" s="62">
        <f t="shared" si="19"/>
        <v>7562.5</v>
      </c>
      <c r="BV17" s="62">
        <f t="shared" si="20"/>
        <v>7562.5</v>
      </c>
      <c r="BW17" s="62">
        <f t="shared" si="21"/>
        <v>7562.5</v>
      </c>
      <c r="BX17" s="62">
        <f t="shared" si="22"/>
        <v>7562.5</v>
      </c>
      <c r="BY17" s="62">
        <f t="shared" si="23"/>
        <v>7562.5</v>
      </c>
    </row>
    <row r="18" spans="1:77" x14ac:dyDescent="0.25">
      <c r="A18" s="61" t="s">
        <v>16</v>
      </c>
      <c r="B18" s="49" t="s">
        <v>1059</v>
      </c>
      <c r="C18" s="71">
        <f t="shared" si="24"/>
        <v>2.2038567493112948E-4</v>
      </c>
      <c r="D18" s="71">
        <f>IFERROR(s_DL/(up_RadSpec!$J18*s_IFAP_res_adj*s_CF_apple),".")</f>
        <v>6.6115702479338848E-4</v>
      </c>
      <c r="E18" s="71">
        <f>IFERROR(s_DL/(up_RadSpec!$J18*s_IFAS_res_adj*s_CF_asparagus),".")</f>
        <v>6.6115702479338848E-4</v>
      </c>
      <c r="F18" s="71">
        <f>IFERROR(s_DL/(up_RadSpec!$J18*s_IFBT_res_adj*s_CF_beet),".")</f>
        <v>6.6115702479338848E-4</v>
      </c>
      <c r="G18" s="71">
        <f>IFERROR(s_DL/(up_RadSpec!$J18*s_IFBE_res_adj*s_CF_berries),".")</f>
        <v>6.6115702479338848E-4</v>
      </c>
      <c r="H18" s="71">
        <f>IFERROR(s_DL/(up_RadSpec!$J18*s_IFBR_res_adj*s_CF_broccoli),".")</f>
        <v>6.6115702479338848E-4</v>
      </c>
      <c r="I18" s="71">
        <f>IFERROR(s_DL/(up_RadSpec!$J18*s_IFCB_res_adj*s_CF_cabbage),".")</f>
        <v>6.6115702479338848E-4</v>
      </c>
      <c r="J18" s="71">
        <f>IFERROR(s_DL/(up_RadSpec!$J18*s_IFCR_res_adj*s_CF_carrot),".")</f>
        <v>6.6115702479338848E-4</v>
      </c>
      <c r="K18" s="71">
        <f>IFERROR(s_DL/(up_RadSpec!$J18*s_IFCI_res_adj*s_CF_citrus),".")</f>
        <v>6.6115702479338848E-4</v>
      </c>
      <c r="L18" s="71">
        <f>IFERROR(s_DL/(up_RadSpec!$J18*s_IFCO_res_adj*s_CF_corn),".")</f>
        <v>6.6115702479338848E-4</v>
      </c>
      <c r="M18" s="71">
        <f>IFERROR(s_DL/(up_RadSpec!$J18*s_IFCU_res_adj*s_CF_cucumber),".")</f>
        <v>6.6115702479338848E-4</v>
      </c>
      <c r="N18" s="71">
        <f>IFERROR(s_DL/(up_RadSpec!$J18*s_IFLE_res_adj*s_CF_lettuce),".")</f>
        <v>6.6115702479338848E-4</v>
      </c>
      <c r="O18" s="71">
        <f>IFERROR(s_DL/(up_RadSpec!$J18*s_IFLI_res_adj*s_CF_lima_bean),".")</f>
        <v>6.6115702479338848E-4</v>
      </c>
      <c r="P18" s="71">
        <f>IFERROR(s_DL/(up_RadSpec!$J18*s_IFOK_res_adj*s_CF_okra),".")</f>
        <v>6.6115702479338848E-4</v>
      </c>
      <c r="Q18" s="71">
        <f>IFERROR(s_DL/(up_RadSpec!$J18*s_IFON_res_adj*s_CF_onion),".")</f>
        <v>6.6115702479338848E-4</v>
      </c>
      <c r="R18" s="71">
        <f>IFERROR(s_DL/(up_RadSpec!$J18*s_IFPC_res_adj*s_CF_peach),".")</f>
        <v>6.6115702479338848E-4</v>
      </c>
      <c r="S18" s="71">
        <f>IFERROR(s_DL/(up_RadSpec!$J18*s_IFPR_res_adj*s_CF_pear),".")</f>
        <v>6.6115702479338848E-4</v>
      </c>
      <c r="T18" s="71">
        <f>IFERROR(s_DL/(up_RadSpec!$J18*s_IFPE_res_adj*s_CF_peas),".")</f>
        <v>6.6115702479338848E-4</v>
      </c>
      <c r="U18" s="71">
        <f>IFERROR(s_DL/(up_RadSpec!$J18*s_IFPT_res_adj*s_CF_potato),".")</f>
        <v>6.6115702479338848E-4</v>
      </c>
      <c r="V18" s="71">
        <f>IFERROR(s_DL/(up_RadSpec!$J18*s_IFPU_res_adj*s_CF_pumpkin),".")</f>
        <v>6.6115702479338848E-4</v>
      </c>
      <c r="W18" s="71">
        <f>IFERROR(s_DL/(up_RadSpec!$J18*s_IFSN_res_adj*s_CF_snap_bean),".")</f>
        <v>6.6115702479338848E-4</v>
      </c>
      <c r="X18" s="71">
        <f>IFERROR(s_DL/(up_RadSpec!$J18*s_IFST_res_adj*s_CF_strawberry),".")</f>
        <v>6.6115702479338848E-4</v>
      </c>
      <c r="Y18" s="71">
        <f>IFERROR(s_DL/(up_RadSpec!$J18*s_IFTO_res_adj*s_CF_tomato),".")</f>
        <v>6.6115702479338848E-4</v>
      </c>
      <c r="Z18" s="71">
        <f>IFERROR(s_DL/(up_RadSpec!$J18*s_IFRI_res_adj*s_CF_rice),".")</f>
        <v>6.6115702479338848E-4</v>
      </c>
      <c r="AA18" s="71">
        <f>IFERROR(s_DL/(up_RadSpec!$J18*s_IFCG_res_adj*s_CF_cereal),".")</f>
        <v>6.6115702479338848E-4</v>
      </c>
      <c r="AB18" s="71">
        <f t="shared" si="25"/>
        <v>2.2038567493112948E-4</v>
      </c>
      <c r="AC18" s="71">
        <f>IFERROR(s_DL/(up_RadSpec!$J18*s_IFAP_far_adj*s_CF_apple),".")</f>
        <v>6.6115702479338848E-4</v>
      </c>
      <c r="AD18" s="71">
        <f>IFERROR(s_DL/(up_RadSpec!$J18*s_IFAS_far_adj*s_CF_asparagus),".")</f>
        <v>6.6115702479338848E-4</v>
      </c>
      <c r="AE18" s="71">
        <f>IFERROR(s_DL/(up_RadSpec!$J18*s_IFBT_far_adj*s_CF_beet),".")</f>
        <v>6.6115702479338848E-4</v>
      </c>
      <c r="AF18" s="71">
        <f>IFERROR(s_DL/(up_RadSpec!$J18*s_IFBE_far_adj*s_CF_berries),".")</f>
        <v>6.6115702479338848E-4</v>
      </c>
      <c r="AG18" s="71">
        <f>IFERROR(s_DL/(up_RadSpec!$J18*s_IFBR_far_adj*s_CF_broccoli),".")</f>
        <v>6.6115702479338848E-4</v>
      </c>
      <c r="AH18" s="71">
        <f>IFERROR(s_DL/(up_RadSpec!$J18*s_IFCB_far_adj*s_CF_cabbage),".")</f>
        <v>6.6115702479338848E-4</v>
      </c>
      <c r="AI18" s="71">
        <f>IFERROR(s_DL/(up_RadSpec!$J18*s_IFCR_far_adj*s_CF_carrot),".")</f>
        <v>6.6115702479338848E-4</v>
      </c>
      <c r="AJ18" s="71">
        <f>IFERROR(s_DL/(up_RadSpec!$J18*s_IFCI_far_adj*s_CF_citrus),".")</f>
        <v>6.6115702479338848E-4</v>
      </c>
      <c r="AK18" s="71">
        <f>IFERROR(s_DL/(up_RadSpec!$J18*s_IFCO_far_adj*s_CF_corn),".")</f>
        <v>6.6115702479338848E-4</v>
      </c>
      <c r="AL18" s="71">
        <f>IFERROR(s_DL/(up_RadSpec!$J18*s_IFCU_far_adj*s_CF_cucumber),".")</f>
        <v>6.6115702479338848E-4</v>
      </c>
      <c r="AM18" s="71">
        <f>IFERROR(s_DL/(up_RadSpec!$J18*s_IFLE_far_adj*s_CF_lettuce),".")</f>
        <v>6.6115702479338848E-4</v>
      </c>
      <c r="AN18" s="71">
        <f>IFERROR(s_DL/(up_RadSpec!$J18*s_IFLI_far_adj*s_CF_lima_bean),".")</f>
        <v>6.6115702479338848E-4</v>
      </c>
      <c r="AO18" s="71">
        <f>IFERROR(s_DL/(up_RadSpec!$J18*s_IFOK_far_adj*s_CF_okra),".")</f>
        <v>6.6115702479338848E-4</v>
      </c>
      <c r="AP18" s="71">
        <f>IFERROR(s_DL/(up_RadSpec!$J18*s_IFON_far_adj*s_CF_onion),".")</f>
        <v>6.6115702479338848E-4</v>
      </c>
      <c r="AQ18" s="71">
        <f>IFERROR(s_DL/(up_RadSpec!$J18*s_IFPC_far_adj*s_CF_peach),".")</f>
        <v>6.6115702479338848E-4</v>
      </c>
      <c r="AR18" s="71">
        <f>IFERROR(s_DL/(up_RadSpec!$J18*s_IFPR_far_adj*s_CF_pear),".")</f>
        <v>6.6115702479338848E-4</v>
      </c>
      <c r="AS18" s="71">
        <f>IFERROR(s_DL/(up_RadSpec!$J18*s_IFPE_far_adj*s_CF_peas),".")</f>
        <v>6.6115702479338848E-4</v>
      </c>
      <c r="AT18" s="71">
        <f>IFERROR(s_DL/(up_RadSpec!$J18*s_IFPT_far_adj*s_CF_potato),".")</f>
        <v>6.6115702479338848E-4</v>
      </c>
      <c r="AU18" s="71">
        <f>IFERROR(s_DL/(up_RadSpec!$J18*s_IFPU_far_adj*s_CF_pumpkin),".")</f>
        <v>6.6115702479338848E-4</v>
      </c>
      <c r="AV18" s="71">
        <f>IFERROR(s_DL/(up_RadSpec!$J18*s_IFSN_far_adj*s_CF_snap_bean),".")</f>
        <v>6.6115702479338848E-4</v>
      </c>
      <c r="AW18" s="71">
        <f>IFERROR(s_DL/(up_RadSpec!$J18*s_IFST_far_adj*s_CF_strawberry),".")</f>
        <v>6.6115702479338848E-4</v>
      </c>
      <c r="AX18" s="71">
        <f>IFERROR(s_DL/(up_RadSpec!$J18*s_IFTO_far_adj*s_CF_tomato),".")</f>
        <v>6.6115702479338848E-4</v>
      </c>
      <c r="AY18" s="71">
        <f>IFERROR(s_DL/(up_RadSpec!$J18*s_IFRI_far_adj*s_CF_rice),".")</f>
        <v>6.6115702479338848E-4</v>
      </c>
      <c r="AZ18" s="71">
        <f>IFERROR(s_DL/(up_RadSpec!$J18*s_IFCG_far_adj*s_CF_cereal),".")</f>
        <v>6.6115702479338848E-4</v>
      </c>
      <c r="BA18" s="10">
        <f t="shared" si="27"/>
        <v>22687.5</v>
      </c>
      <c r="BB18" s="62">
        <f t="shared" si="0"/>
        <v>7562.5</v>
      </c>
      <c r="BC18" s="62">
        <f t="shared" si="1"/>
        <v>7562.5</v>
      </c>
      <c r="BD18" s="62">
        <f t="shared" si="2"/>
        <v>7562.5</v>
      </c>
      <c r="BE18" s="62">
        <f t="shared" si="3"/>
        <v>7562.5</v>
      </c>
      <c r="BF18" s="62">
        <f t="shared" si="4"/>
        <v>7562.5</v>
      </c>
      <c r="BG18" s="62">
        <f t="shared" si="5"/>
        <v>7562.5</v>
      </c>
      <c r="BH18" s="62">
        <f t="shared" si="6"/>
        <v>7562.5</v>
      </c>
      <c r="BI18" s="62">
        <f t="shared" si="7"/>
        <v>7562.5</v>
      </c>
      <c r="BJ18" s="62">
        <f t="shared" si="8"/>
        <v>7562.5</v>
      </c>
      <c r="BK18" s="62">
        <f t="shared" si="9"/>
        <v>7562.5</v>
      </c>
      <c r="BL18" s="62">
        <f t="shared" si="10"/>
        <v>7562.5</v>
      </c>
      <c r="BM18" s="62">
        <f t="shared" si="11"/>
        <v>7562.5</v>
      </c>
      <c r="BN18" s="62">
        <f t="shared" si="12"/>
        <v>7562.5</v>
      </c>
      <c r="BO18" s="62">
        <f t="shared" si="13"/>
        <v>7562.5</v>
      </c>
      <c r="BP18" s="62">
        <f t="shared" si="14"/>
        <v>7562.5</v>
      </c>
      <c r="BQ18" s="62">
        <f t="shared" si="15"/>
        <v>7562.5</v>
      </c>
      <c r="BR18" s="62">
        <f t="shared" si="16"/>
        <v>7562.5</v>
      </c>
      <c r="BS18" s="62">
        <f t="shared" si="17"/>
        <v>7562.5</v>
      </c>
      <c r="BT18" s="62">
        <f t="shared" si="18"/>
        <v>7562.5</v>
      </c>
      <c r="BU18" s="62">
        <f t="shared" si="19"/>
        <v>7562.5</v>
      </c>
      <c r="BV18" s="62">
        <f t="shared" si="20"/>
        <v>7562.5</v>
      </c>
      <c r="BW18" s="62">
        <f t="shared" si="21"/>
        <v>7562.5</v>
      </c>
      <c r="BX18" s="62">
        <f t="shared" si="22"/>
        <v>7562.5</v>
      </c>
      <c r="BY18" s="62">
        <f t="shared" si="23"/>
        <v>7562.5</v>
      </c>
    </row>
    <row r="19" spans="1:77" x14ac:dyDescent="0.25">
      <c r="A19" s="61" t="s">
        <v>17</v>
      </c>
      <c r="B19" s="49" t="s">
        <v>1059</v>
      </c>
      <c r="C19" s="71">
        <f t="shared" si="24"/>
        <v>2.2038567493112948E-4</v>
      </c>
      <c r="D19" s="71">
        <f>IFERROR(s_DL/(up_RadSpec!$J19*s_IFAP_res_adj*s_CF_apple),".")</f>
        <v>6.6115702479338848E-4</v>
      </c>
      <c r="E19" s="71">
        <f>IFERROR(s_DL/(up_RadSpec!$J19*s_IFAS_res_adj*s_CF_asparagus),".")</f>
        <v>6.6115702479338848E-4</v>
      </c>
      <c r="F19" s="71">
        <f>IFERROR(s_DL/(up_RadSpec!$J19*s_IFBT_res_adj*s_CF_beet),".")</f>
        <v>6.6115702479338848E-4</v>
      </c>
      <c r="G19" s="71">
        <f>IFERROR(s_DL/(up_RadSpec!$J19*s_IFBE_res_adj*s_CF_berries),".")</f>
        <v>6.6115702479338848E-4</v>
      </c>
      <c r="H19" s="71">
        <f>IFERROR(s_DL/(up_RadSpec!$J19*s_IFBR_res_adj*s_CF_broccoli),".")</f>
        <v>6.6115702479338848E-4</v>
      </c>
      <c r="I19" s="71">
        <f>IFERROR(s_DL/(up_RadSpec!$J19*s_IFCB_res_adj*s_CF_cabbage),".")</f>
        <v>6.6115702479338848E-4</v>
      </c>
      <c r="J19" s="71">
        <f>IFERROR(s_DL/(up_RadSpec!$J19*s_IFCR_res_adj*s_CF_carrot),".")</f>
        <v>6.6115702479338848E-4</v>
      </c>
      <c r="K19" s="71">
        <f>IFERROR(s_DL/(up_RadSpec!$J19*s_IFCI_res_adj*s_CF_citrus),".")</f>
        <v>6.6115702479338848E-4</v>
      </c>
      <c r="L19" s="71">
        <f>IFERROR(s_DL/(up_RadSpec!$J19*s_IFCO_res_adj*s_CF_corn),".")</f>
        <v>6.6115702479338848E-4</v>
      </c>
      <c r="M19" s="71">
        <f>IFERROR(s_DL/(up_RadSpec!$J19*s_IFCU_res_adj*s_CF_cucumber),".")</f>
        <v>6.6115702479338848E-4</v>
      </c>
      <c r="N19" s="71">
        <f>IFERROR(s_DL/(up_RadSpec!$J19*s_IFLE_res_adj*s_CF_lettuce),".")</f>
        <v>6.6115702479338848E-4</v>
      </c>
      <c r="O19" s="71">
        <f>IFERROR(s_DL/(up_RadSpec!$J19*s_IFLI_res_adj*s_CF_lima_bean),".")</f>
        <v>6.6115702479338848E-4</v>
      </c>
      <c r="P19" s="71">
        <f>IFERROR(s_DL/(up_RadSpec!$J19*s_IFOK_res_adj*s_CF_okra),".")</f>
        <v>6.6115702479338848E-4</v>
      </c>
      <c r="Q19" s="71">
        <f>IFERROR(s_DL/(up_RadSpec!$J19*s_IFON_res_adj*s_CF_onion),".")</f>
        <v>6.6115702479338848E-4</v>
      </c>
      <c r="R19" s="71">
        <f>IFERROR(s_DL/(up_RadSpec!$J19*s_IFPC_res_adj*s_CF_peach),".")</f>
        <v>6.6115702479338848E-4</v>
      </c>
      <c r="S19" s="71">
        <f>IFERROR(s_DL/(up_RadSpec!$J19*s_IFPR_res_adj*s_CF_pear),".")</f>
        <v>6.6115702479338848E-4</v>
      </c>
      <c r="T19" s="71">
        <f>IFERROR(s_DL/(up_RadSpec!$J19*s_IFPE_res_adj*s_CF_peas),".")</f>
        <v>6.6115702479338848E-4</v>
      </c>
      <c r="U19" s="71">
        <f>IFERROR(s_DL/(up_RadSpec!$J19*s_IFPT_res_adj*s_CF_potato),".")</f>
        <v>6.6115702479338848E-4</v>
      </c>
      <c r="V19" s="71">
        <f>IFERROR(s_DL/(up_RadSpec!$J19*s_IFPU_res_adj*s_CF_pumpkin),".")</f>
        <v>6.6115702479338848E-4</v>
      </c>
      <c r="W19" s="71">
        <f>IFERROR(s_DL/(up_RadSpec!$J19*s_IFSN_res_adj*s_CF_snap_bean),".")</f>
        <v>6.6115702479338848E-4</v>
      </c>
      <c r="X19" s="71">
        <f>IFERROR(s_DL/(up_RadSpec!$J19*s_IFST_res_adj*s_CF_strawberry),".")</f>
        <v>6.6115702479338848E-4</v>
      </c>
      <c r="Y19" s="71">
        <f>IFERROR(s_DL/(up_RadSpec!$J19*s_IFTO_res_adj*s_CF_tomato),".")</f>
        <v>6.6115702479338848E-4</v>
      </c>
      <c r="Z19" s="71">
        <f>IFERROR(s_DL/(up_RadSpec!$J19*s_IFRI_res_adj*s_CF_rice),".")</f>
        <v>6.6115702479338848E-4</v>
      </c>
      <c r="AA19" s="71">
        <f>IFERROR(s_DL/(up_RadSpec!$J19*s_IFCG_res_adj*s_CF_cereal),".")</f>
        <v>6.6115702479338848E-4</v>
      </c>
      <c r="AB19" s="71">
        <f t="shared" si="25"/>
        <v>2.2038567493112948E-4</v>
      </c>
      <c r="AC19" s="71">
        <f>IFERROR(s_DL/(up_RadSpec!$J19*s_IFAP_far_adj*s_CF_apple),".")</f>
        <v>6.6115702479338848E-4</v>
      </c>
      <c r="AD19" s="71">
        <f>IFERROR(s_DL/(up_RadSpec!$J19*s_IFAS_far_adj*s_CF_asparagus),".")</f>
        <v>6.6115702479338848E-4</v>
      </c>
      <c r="AE19" s="71">
        <f>IFERROR(s_DL/(up_RadSpec!$J19*s_IFBT_far_adj*s_CF_beet),".")</f>
        <v>6.6115702479338848E-4</v>
      </c>
      <c r="AF19" s="71">
        <f>IFERROR(s_DL/(up_RadSpec!$J19*s_IFBE_far_adj*s_CF_berries),".")</f>
        <v>6.6115702479338848E-4</v>
      </c>
      <c r="AG19" s="71">
        <f>IFERROR(s_DL/(up_RadSpec!$J19*s_IFBR_far_adj*s_CF_broccoli),".")</f>
        <v>6.6115702479338848E-4</v>
      </c>
      <c r="AH19" s="71">
        <f>IFERROR(s_DL/(up_RadSpec!$J19*s_IFCB_far_adj*s_CF_cabbage),".")</f>
        <v>6.6115702479338848E-4</v>
      </c>
      <c r="AI19" s="71">
        <f>IFERROR(s_DL/(up_RadSpec!$J19*s_IFCR_far_adj*s_CF_carrot),".")</f>
        <v>6.6115702479338848E-4</v>
      </c>
      <c r="AJ19" s="71">
        <f>IFERROR(s_DL/(up_RadSpec!$J19*s_IFCI_far_adj*s_CF_citrus),".")</f>
        <v>6.6115702479338848E-4</v>
      </c>
      <c r="AK19" s="71">
        <f>IFERROR(s_DL/(up_RadSpec!$J19*s_IFCO_far_adj*s_CF_corn),".")</f>
        <v>6.6115702479338848E-4</v>
      </c>
      <c r="AL19" s="71">
        <f>IFERROR(s_DL/(up_RadSpec!$J19*s_IFCU_far_adj*s_CF_cucumber),".")</f>
        <v>6.6115702479338848E-4</v>
      </c>
      <c r="AM19" s="71">
        <f>IFERROR(s_DL/(up_RadSpec!$J19*s_IFLE_far_adj*s_CF_lettuce),".")</f>
        <v>6.6115702479338848E-4</v>
      </c>
      <c r="AN19" s="71">
        <f>IFERROR(s_DL/(up_RadSpec!$J19*s_IFLI_far_adj*s_CF_lima_bean),".")</f>
        <v>6.6115702479338848E-4</v>
      </c>
      <c r="AO19" s="71">
        <f>IFERROR(s_DL/(up_RadSpec!$J19*s_IFOK_far_adj*s_CF_okra),".")</f>
        <v>6.6115702479338848E-4</v>
      </c>
      <c r="AP19" s="71">
        <f>IFERROR(s_DL/(up_RadSpec!$J19*s_IFON_far_adj*s_CF_onion),".")</f>
        <v>6.6115702479338848E-4</v>
      </c>
      <c r="AQ19" s="71">
        <f>IFERROR(s_DL/(up_RadSpec!$J19*s_IFPC_far_adj*s_CF_peach),".")</f>
        <v>6.6115702479338848E-4</v>
      </c>
      <c r="AR19" s="71">
        <f>IFERROR(s_DL/(up_RadSpec!$J19*s_IFPR_far_adj*s_CF_pear),".")</f>
        <v>6.6115702479338848E-4</v>
      </c>
      <c r="AS19" s="71">
        <f>IFERROR(s_DL/(up_RadSpec!$J19*s_IFPE_far_adj*s_CF_peas),".")</f>
        <v>6.6115702479338848E-4</v>
      </c>
      <c r="AT19" s="71">
        <f>IFERROR(s_DL/(up_RadSpec!$J19*s_IFPT_far_adj*s_CF_potato),".")</f>
        <v>6.6115702479338848E-4</v>
      </c>
      <c r="AU19" s="71">
        <f>IFERROR(s_DL/(up_RadSpec!$J19*s_IFPU_far_adj*s_CF_pumpkin),".")</f>
        <v>6.6115702479338848E-4</v>
      </c>
      <c r="AV19" s="71">
        <f>IFERROR(s_DL/(up_RadSpec!$J19*s_IFSN_far_adj*s_CF_snap_bean),".")</f>
        <v>6.6115702479338848E-4</v>
      </c>
      <c r="AW19" s="71">
        <f>IFERROR(s_DL/(up_RadSpec!$J19*s_IFST_far_adj*s_CF_strawberry),".")</f>
        <v>6.6115702479338848E-4</v>
      </c>
      <c r="AX19" s="71">
        <f>IFERROR(s_DL/(up_RadSpec!$J19*s_IFTO_far_adj*s_CF_tomato),".")</f>
        <v>6.6115702479338848E-4</v>
      </c>
      <c r="AY19" s="71">
        <f>IFERROR(s_DL/(up_RadSpec!$J19*s_IFRI_far_adj*s_CF_rice),".")</f>
        <v>6.6115702479338848E-4</v>
      </c>
      <c r="AZ19" s="71">
        <f>IFERROR(s_DL/(up_RadSpec!$J19*s_IFCG_far_adj*s_CF_cereal),".")</f>
        <v>6.6115702479338848E-4</v>
      </c>
      <c r="BA19" s="10">
        <f t="shared" si="27"/>
        <v>22687.5</v>
      </c>
      <c r="BB19" s="62">
        <f t="shared" si="0"/>
        <v>7562.5</v>
      </c>
      <c r="BC19" s="62">
        <f t="shared" si="1"/>
        <v>7562.5</v>
      </c>
      <c r="BD19" s="62">
        <f t="shared" si="2"/>
        <v>7562.5</v>
      </c>
      <c r="BE19" s="62">
        <f t="shared" si="3"/>
        <v>7562.5</v>
      </c>
      <c r="BF19" s="62">
        <f t="shared" si="4"/>
        <v>7562.5</v>
      </c>
      <c r="BG19" s="62">
        <f t="shared" si="5"/>
        <v>7562.5</v>
      </c>
      <c r="BH19" s="62">
        <f t="shared" si="6"/>
        <v>7562.5</v>
      </c>
      <c r="BI19" s="62">
        <f t="shared" si="7"/>
        <v>7562.5</v>
      </c>
      <c r="BJ19" s="62">
        <f t="shared" si="8"/>
        <v>7562.5</v>
      </c>
      <c r="BK19" s="62">
        <f t="shared" si="9"/>
        <v>7562.5</v>
      </c>
      <c r="BL19" s="62">
        <f t="shared" si="10"/>
        <v>7562.5</v>
      </c>
      <c r="BM19" s="62">
        <f t="shared" si="11"/>
        <v>7562.5</v>
      </c>
      <c r="BN19" s="62">
        <f t="shared" si="12"/>
        <v>7562.5</v>
      </c>
      <c r="BO19" s="62">
        <f t="shared" si="13"/>
        <v>7562.5</v>
      </c>
      <c r="BP19" s="62">
        <f t="shared" si="14"/>
        <v>7562.5</v>
      </c>
      <c r="BQ19" s="62">
        <f t="shared" si="15"/>
        <v>7562.5</v>
      </c>
      <c r="BR19" s="62">
        <f t="shared" si="16"/>
        <v>7562.5</v>
      </c>
      <c r="BS19" s="62">
        <f t="shared" si="17"/>
        <v>7562.5</v>
      </c>
      <c r="BT19" s="62">
        <f t="shared" si="18"/>
        <v>7562.5</v>
      </c>
      <c r="BU19" s="62">
        <f t="shared" si="19"/>
        <v>7562.5</v>
      </c>
      <c r="BV19" s="62">
        <f t="shared" si="20"/>
        <v>7562.5</v>
      </c>
      <c r="BW19" s="62">
        <f t="shared" si="21"/>
        <v>7562.5</v>
      </c>
      <c r="BX19" s="62">
        <f t="shared" si="22"/>
        <v>7562.5</v>
      </c>
      <c r="BY19" s="62">
        <f t="shared" si="23"/>
        <v>7562.5</v>
      </c>
    </row>
    <row r="20" spans="1:77" x14ac:dyDescent="0.25">
      <c r="A20" s="61" t="s">
        <v>18</v>
      </c>
      <c r="B20" s="49" t="s">
        <v>1059</v>
      </c>
      <c r="C20" s="71">
        <f t="shared" si="24"/>
        <v>2.2038567493112948E-4</v>
      </c>
      <c r="D20" s="71">
        <f>IFERROR(s_DL/(up_RadSpec!$J20*s_IFAP_res_adj*s_CF_apple),".")</f>
        <v>6.6115702479338848E-4</v>
      </c>
      <c r="E20" s="71">
        <f>IFERROR(s_DL/(up_RadSpec!$J20*s_IFAS_res_adj*s_CF_asparagus),".")</f>
        <v>6.6115702479338848E-4</v>
      </c>
      <c r="F20" s="71">
        <f>IFERROR(s_DL/(up_RadSpec!$J20*s_IFBT_res_adj*s_CF_beet),".")</f>
        <v>6.6115702479338848E-4</v>
      </c>
      <c r="G20" s="71">
        <f>IFERROR(s_DL/(up_RadSpec!$J20*s_IFBE_res_adj*s_CF_berries),".")</f>
        <v>6.6115702479338848E-4</v>
      </c>
      <c r="H20" s="71">
        <f>IFERROR(s_DL/(up_RadSpec!$J20*s_IFBR_res_adj*s_CF_broccoli),".")</f>
        <v>6.6115702479338848E-4</v>
      </c>
      <c r="I20" s="71">
        <f>IFERROR(s_DL/(up_RadSpec!$J20*s_IFCB_res_adj*s_CF_cabbage),".")</f>
        <v>6.6115702479338848E-4</v>
      </c>
      <c r="J20" s="71">
        <f>IFERROR(s_DL/(up_RadSpec!$J20*s_IFCR_res_adj*s_CF_carrot),".")</f>
        <v>6.6115702479338848E-4</v>
      </c>
      <c r="K20" s="71">
        <f>IFERROR(s_DL/(up_RadSpec!$J20*s_IFCI_res_adj*s_CF_citrus),".")</f>
        <v>6.6115702479338848E-4</v>
      </c>
      <c r="L20" s="71">
        <f>IFERROR(s_DL/(up_RadSpec!$J20*s_IFCO_res_adj*s_CF_corn),".")</f>
        <v>6.6115702479338848E-4</v>
      </c>
      <c r="M20" s="71">
        <f>IFERROR(s_DL/(up_RadSpec!$J20*s_IFCU_res_adj*s_CF_cucumber),".")</f>
        <v>6.6115702479338848E-4</v>
      </c>
      <c r="N20" s="71">
        <f>IFERROR(s_DL/(up_RadSpec!$J20*s_IFLE_res_adj*s_CF_lettuce),".")</f>
        <v>6.6115702479338848E-4</v>
      </c>
      <c r="O20" s="71">
        <f>IFERROR(s_DL/(up_RadSpec!$J20*s_IFLI_res_adj*s_CF_lima_bean),".")</f>
        <v>6.6115702479338848E-4</v>
      </c>
      <c r="P20" s="71">
        <f>IFERROR(s_DL/(up_RadSpec!$J20*s_IFOK_res_adj*s_CF_okra),".")</f>
        <v>6.6115702479338848E-4</v>
      </c>
      <c r="Q20" s="71">
        <f>IFERROR(s_DL/(up_RadSpec!$J20*s_IFON_res_adj*s_CF_onion),".")</f>
        <v>6.6115702479338848E-4</v>
      </c>
      <c r="R20" s="71">
        <f>IFERROR(s_DL/(up_RadSpec!$J20*s_IFPC_res_adj*s_CF_peach),".")</f>
        <v>6.6115702479338848E-4</v>
      </c>
      <c r="S20" s="71">
        <f>IFERROR(s_DL/(up_RadSpec!$J20*s_IFPR_res_adj*s_CF_pear),".")</f>
        <v>6.6115702479338848E-4</v>
      </c>
      <c r="T20" s="71">
        <f>IFERROR(s_DL/(up_RadSpec!$J20*s_IFPE_res_adj*s_CF_peas),".")</f>
        <v>6.6115702479338848E-4</v>
      </c>
      <c r="U20" s="71">
        <f>IFERROR(s_DL/(up_RadSpec!$J20*s_IFPT_res_adj*s_CF_potato),".")</f>
        <v>6.6115702479338848E-4</v>
      </c>
      <c r="V20" s="71">
        <f>IFERROR(s_DL/(up_RadSpec!$J20*s_IFPU_res_adj*s_CF_pumpkin),".")</f>
        <v>6.6115702479338848E-4</v>
      </c>
      <c r="W20" s="71">
        <f>IFERROR(s_DL/(up_RadSpec!$J20*s_IFSN_res_adj*s_CF_snap_bean),".")</f>
        <v>6.6115702479338848E-4</v>
      </c>
      <c r="X20" s="71">
        <f>IFERROR(s_DL/(up_RadSpec!$J20*s_IFST_res_adj*s_CF_strawberry),".")</f>
        <v>6.6115702479338848E-4</v>
      </c>
      <c r="Y20" s="71">
        <f>IFERROR(s_DL/(up_RadSpec!$J20*s_IFTO_res_adj*s_CF_tomato),".")</f>
        <v>6.6115702479338848E-4</v>
      </c>
      <c r="Z20" s="71">
        <f>IFERROR(s_DL/(up_RadSpec!$J20*s_IFRI_res_adj*s_CF_rice),".")</f>
        <v>6.6115702479338848E-4</v>
      </c>
      <c r="AA20" s="71">
        <f>IFERROR(s_DL/(up_RadSpec!$J20*s_IFCG_res_adj*s_CF_cereal),".")</f>
        <v>6.6115702479338848E-4</v>
      </c>
      <c r="AB20" s="71">
        <f t="shared" si="25"/>
        <v>2.2038567493112948E-4</v>
      </c>
      <c r="AC20" s="71">
        <f>IFERROR(s_DL/(up_RadSpec!$J20*s_IFAP_far_adj*s_CF_apple),".")</f>
        <v>6.6115702479338848E-4</v>
      </c>
      <c r="AD20" s="71">
        <f>IFERROR(s_DL/(up_RadSpec!$J20*s_IFAS_far_adj*s_CF_asparagus),".")</f>
        <v>6.6115702479338848E-4</v>
      </c>
      <c r="AE20" s="71">
        <f>IFERROR(s_DL/(up_RadSpec!$J20*s_IFBT_far_adj*s_CF_beet),".")</f>
        <v>6.6115702479338848E-4</v>
      </c>
      <c r="AF20" s="71">
        <f>IFERROR(s_DL/(up_RadSpec!$J20*s_IFBE_far_adj*s_CF_berries),".")</f>
        <v>6.6115702479338848E-4</v>
      </c>
      <c r="AG20" s="71">
        <f>IFERROR(s_DL/(up_RadSpec!$J20*s_IFBR_far_adj*s_CF_broccoli),".")</f>
        <v>6.6115702479338848E-4</v>
      </c>
      <c r="AH20" s="71">
        <f>IFERROR(s_DL/(up_RadSpec!$J20*s_IFCB_far_adj*s_CF_cabbage),".")</f>
        <v>6.6115702479338848E-4</v>
      </c>
      <c r="AI20" s="71">
        <f>IFERROR(s_DL/(up_RadSpec!$J20*s_IFCR_far_adj*s_CF_carrot),".")</f>
        <v>6.6115702479338848E-4</v>
      </c>
      <c r="AJ20" s="71">
        <f>IFERROR(s_DL/(up_RadSpec!$J20*s_IFCI_far_adj*s_CF_citrus),".")</f>
        <v>6.6115702479338848E-4</v>
      </c>
      <c r="AK20" s="71">
        <f>IFERROR(s_DL/(up_RadSpec!$J20*s_IFCO_far_adj*s_CF_corn),".")</f>
        <v>6.6115702479338848E-4</v>
      </c>
      <c r="AL20" s="71">
        <f>IFERROR(s_DL/(up_RadSpec!$J20*s_IFCU_far_adj*s_CF_cucumber),".")</f>
        <v>6.6115702479338848E-4</v>
      </c>
      <c r="AM20" s="71">
        <f>IFERROR(s_DL/(up_RadSpec!$J20*s_IFLE_far_adj*s_CF_lettuce),".")</f>
        <v>6.6115702479338848E-4</v>
      </c>
      <c r="AN20" s="71">
        <f>IFERROR(s_DL/(up_RadSpec!$J20*s_IFLI_far_adj*s_CF_lima_bean),".")</f>
        <v>6.6115702479338848E-4</v>
      </c>
      <c r="AO20" s="71">
        <f>IFERROR(s_DL/(up_RadSpec!$J20*s_IFOK_far_adj*s_CF_okra),".")</f>
        <v>6.6115702479338848E-4</v>
      </c>
      <c r="AP20" s="71">
        <f>IFERROR(s_DL/(up_RadSpec!$J20*s_IFON_far_adj*s_CF_onion),".")</f>
        <v>6.6115702479338848E-4</v>
      </c>
      <c r="AQ20" s="71">
        <f>IFERROR(s_DL/(up_RadSpec!$J20*s_IFPC_far_adj*s_CF_peach),".")</f>
        <v>6.6115702479338848E-4</v>
      </c>
      <c r="AR20" s="71">
        <f>IFERROR(s_DL/(up_RadSpec!$J20*s_IFPR_far_adj*s_CF_pear),".")</f>
        <v>6.6115702479338848E-4</v>
      </c>
      <c r="AS20" s="71">
        <f>IFERROR(s_DL/(up_RadSpec!$J20*s_IFPE_far_adj*s_CF_peas),".")</f>
        <v>6.6115702479338848E-4</v>
      </c>
      <c r="AT20" s="71">
        <f>IFERROR(s_DL/(up_RadSpec!$J20*s_IFPT_far_adj*s_CF_potato),".")</f>
        <v>6.6115702479338848E-4</v>
      </c>
      <c r="AU20" s="71">
        <f>IFERROR(s_DL/(up_RadSpec!$J20*s_IFPU_far_adj*s_CF_pumpkin),".")</f>
        <v>6.6115702479338848E-4</v>
      </c>
      <c r="AV20" s="71">
        <f>IFERROR(s_DL/(up_RadSpec!$J20*s_IFSN_far_adj*s_CF_snap_bean),".")</f>
        <v>6.6115702479338848E-4</v>
      </c>
      <c r="AW20" s="71">
        <f>IFERROR(s_DL/(up_RadSpec!$J20*s_IFST_far_adj*s_CF_strawberry),".")</f>
        <v>6.6115702479338848E-4</v>
      </c>
      <c r="AX20" s="71">
        <f>IFERROR(s_DL/(up_RadSpec!$J20*s_IFTO_far_adj*s_CF_tomato),".")</f>
        <v>6.6115702479338848E-4</v>
      </c>
      <c r="AY20" s="71">
        <f>IFERROR(s_DL/(up_RadSpec!$J20*s_IFRI_far_adj*s_CF_rice),".")</f>
        <v>6.6115702479338848E-4</v>
      </c>
      <c r="AZ20" s="71">
        <f>IFERROR(s_DL/(up_RadSpec!$J20*s_IFCG_far_adj*s_CF_cereal),".")</f>
        <v>6.6115702479338848E-4</v>
      </c>
      <c r="BA20" s="10">
        <f t="shared" si="27"/>
        <v>22687.5</v>
      </c>
      <c r="BB20" s="62">
        <f t="shared" si="0"/>
        <v>7562.5</v>
      </c>
      <c r="BC20" s="62">
        <f t="shared" si="1"/>
        <v>7562.5</v>
      </c>
      <c r="BD20" s="62">
        <f t="shared" si="2"/>
        <v>7562.5</v>
      </c>
      <c r="BE20" s="62">
        <f t="shared" si="3"/>
        <v>7562.5</v>
      </c>
      <c r="BF20" s="62">
        <f t="shared" si="4"/>
        <v>7562.5</v>
      </c>
      <c r="BG20" s="62">
        <f t="shared" si="5"/>
        <v>7562.5</v>
      </c>
      <c r="BH20" s="62">
        <f t="shared" si="6"/>
        <v>7562.5</v>
      </c>
      <c r="BI20" s="62">
        <f t="shared" si="7"/>
        <v>7562.5</v>
      </c>
      <c r="BJ20" s="62">
        <f t="shared" si="8"/>
        <v>7562.5</v>
      </c>
      <c r="BK20" s="62">
        <f t="shared" si="9"/>
        <v>7562.5</v>
      </c>
      <c r="BL20" s="62">
        <f t="shared" si="10"/>
        <v>7562.5</v>
      </c>
      <c r="BM20" s="62">
        <f t="shared" si="11"/>
        <v>7562.5</v>
      </c>
      <c r="BN20" s="62">
        <f t="shared" si="12"/>
        <v>7562.5</v>
      </c>
      <c r="BO20" s="62">
        <f t="shared" si="13"/>
        <v>7562.5</v>
      </c>
      <c r="BP20" s="62">
        <f t="shared" si="14"/>
        <v>7562.5</v>
      </c>
      <c r="BQ20" s="62">
        <f t="shared" si="15"/>
        <v>7562.5</v>
      </c>
      <c r="BR20" s="62">
        <f t="shared" si="16"/>
        <v>7562.5</v>
      </c>
      <c r="BS20" s="62">
        <f t="shared" si="17"/>
        <v>7562.5</v>
      </c>
      <c r="BT20" s="62">
        <f t="shared" si="18"/>
        <v>7562.5</v>
      </c>
      <c r="BU20" s="62">
        <f t="shared" si="19"/>
        <v>7562.5</v>
      </c>
      <c r="BV20" s="62">
        <f t="shared" si="20"/>
        <v>7562.5</v>
      </c>
      <c r="BW20" s="62">
        <f t="shared" si="21"/>
        <v>7562.5</v>
      </c>
      <c r="BX20" s="62">
        <f t="shared" si="22"/>
        <v>7562.5</v>
      </c>
      <c r="BY20" s="62">
        <f t="shared" si="23"/>
        <v>7562.5</v>
      </c>
    </row>
    <row r="21" spans="1:77" x14ac:dyDescent="0.25">
      <c r="A21" s="61" t="s">
        <v>19</v>
      </c>
      <c r="B21" s="49" t="s">
        <v>1059</v>
      </c>
      <c r="C21" s="71">
        <f t="shared" si="24"/>
        <v>2.2038567493112948E-4</v>
      </c>
      <c r="D21" s="71">
        <f>IFERROR(s_DL/(up_RadSpec!$J21*s_IFAP_res_adj*s_CF_apple),".")</f>
        <v>6.6115702479338848E-4</v>
      </c>
      <c r="E21" s="71">
        <f>IFERROR(s_DL/(up_RadSpec!$J21*s_IFAS_res_adj*s_CF_asparagus),".")</f>
        <v>6.6115702479338848E-4</v>
      </c>
      <c r="F21" s="71">
        <f>IFERROR(s_DL/(up_RadSpec!$J21*s_IFBT_res_adj*s_CF_beet),".")</f>
        <v>6.6115702479338848E-4</v>
      </c>
      <c r="G21" s="71">
        <f>IFERROR(s_DL/(up_RadSpec!$J21*s_IFBE_res_adj*s_CF_berries),".")</f>
        <v>6.6115702479338848E-4</v>
      </c>
      <c r="H21" s="71">
        <f>IFERROR(s_DL/(up_RadSpec!$J21*s_IFBR_res_adj*s_CF_broccoli),".")</f>
        <v>6.6115702479338848E-4</v>
      </c>
      <c r="I21" s="71">
        <f>IFERROR(s_DL/(up_RadSpec!$J21*s_IFCB_res_adj*s_CF_cabbage),".")</f>
        <v>6.6115702479338848E-4</v>
      </c>
      <c r="J21" s="71">
        <f>IFERROR(s_DL/(up_RadSpec!$J21*s_IFCR_res_adj*s_CF_carrot),".")</f>
        <v>6.6115702479338848E-4</v>
      </c>
      <c r="K21" s="71">
        <f>IFERROR(s_DL/(up_RadSpec!$J21*s_IFCI_res_adj*s_CF_citrus),".")</f>
        <v>6.6115702479338848E-4</v>
      </c>
      <c r="L21" s="71">
        <f>IFERROR(s_DL/(up_RadSpec!$J21*s_IFCO_res_adj*s_CF_corn),".")</f>
        <v>6.6115702479338848E-4</v>
      </c>
      <c r="M21" s="71">
        <f>IFERROR(s_DL/(up_RadSpec!$J21*s_IFCU_res_adj*s_CF_cucumber),".")</f>
        <v>6.6115702479338848E-4</v>
      </c>
      <c r="N21" s="71">
        <f>IFERROR(s_DL/(up_RadSpec!$J21*s_IFLE_res_adj*s_CF_lettuce),".")</f>
        <v>6.6115702479338848E-4</v>
      </c>
      <c r="O21" s="71">
        <f>IFERROR(s_DL/(up_RadSpec!$J21*s_IFLI_res_adj*s_CF_lima_bean),".")</f>
        <v>6.6115702479338848E-4</v>
      </c>
      <c r="P21" s="71">
        <f>IFERROR(s_DL/(up_RadSpec!$J21*s_IFOK_res_adj*s_CF_okra),".")</f>
        <v>6.6115702479338848E-4</v>
      </c>
      <c r="Q21" s="71">
        <f>IFERROR(s_DL/(up_RadSpec!$J21*s_IFON_res_adj*s_CF_onion),".")</f>
        <v>6.6115702479338848E-4</v>
      </c>
      <c r="R21" s="71">
        <f>IFERROR(s_DL/(up_RadSpec!$J21*s_IFPC_res_adj*s_CF_peach),".")</f>
        <v>6.6115702479338848E-4</v>
      </c>
      <c r="S21" s="71">
        <f>IFERROR(s_DL/(up_RadSpec!$J21*s_IFPR_res_adj*s_CF_pear),".")</f>
        <v>6.6115702479338848E-4</v>
      </c>
      <c r="T21" s="71">
        <f>IFERROR(s_DL/(up_RadSpec!$J21*s_IFPE_res_adj*s_CF_peas),".")</f>
        <v>6.6115702479338848E-4</v>
      </c>
      <c r="U21" s="71">
        <f>IFERROR(s_DL/(up_RadSpec!$J21*s_IFPT_res_adj*s_CF_potato),".")</f>
        <v>6.6115702479338848E-4</v>
      </c>
      <c r="V21" s="71">
        <f>IFERROR(s_DL/(up_RadSpec!$J21*s_IFPU_res_adj*s_CF_pumpkin),".")</f>
        <v>6.6115702479338848E-4</v>
      </c>
      <c r="W21" s="71">
        <f>IFERROR(s_DL/(up_RadSpec!$J21*s_IFSN_res_adj*s_CF_snap_bean),".")</f>
        <v>6.6115702479338848E-4</v>
      </c>
      <c r="X21" s="71">
        <f>IFERROR(s_DL/(up_RadSpec!$J21*s_IFST_res_adj*s_CF_strawberry),".")</f>
        <v>6.6115702479338848E-4</v>
      </c>
      <c r="Y21" s="71">
        <f>IFERROR(s_DL/(up_RadSpec!$J21*s_IFTO_res_adj*s_CF_tomato),".")</f>
        <v>6.6115702479338848E-4</v>
      </c>
      <c r="Z21" s="71">
        <f>IFERROR(s_DL/(up_RadSpec!$J21*s_IFRI_res_adj*s_CF_rice),".")</f>
        <v>6.6115702479338848E-4</v>
      </c>
      <c r="AA21" s="71">
        <f>IFERROR(s_DL/(up_RadSpec!$J21*s_IFCG_res_adj*s_CF_cereal),".")</f>
        <v>6.6115702479338848E-4</v>
      </c>
      <c r="AB21" s="71">
        <f t="shared" si="25"/>
        <v>2.2038567493112948E-4</v>
      </c>
      <c r="AC21" s="71">
        <f>IFERROR(s_DL/(up_RadSpec!$J21*s_IFAP_far_adj*s_CF_apple),".")</f>
        <v>6.6115702479338848E-4</v>
      </c>
      <c r="AD21" s="71">
        <f>IFERROR(s_DL/(up_RadSpec!$J21*s_IFAS_far_adj*s_CF_asparagus),".")</f>
        <v>6.6115702479338848E-4</v>
      </c>
      <c r="AE21" s="71">
        <f>IFERROR(s_DL/(up_RadSpec!$J21*s_IFBT_far_adj*s_CF_beet),".")</f>
        <v>6.6115702479338848E-4</v>
      </c>
      <c r="AF21" s="71">
        <f>IFERROR(s_DL/(up_RadSpec!$J21*s_IFBE_far_adj*s_CF_berries),".")</f>
        <v>6.6115702479338848E-4</v>
      </c>
      <c r="AG21" s="71">
        <f>IFERROR(s_DL/(up_RadSpec!$J21*s_IFBR_far_adj*s_CF_broccoli),".")</f>
        <v>6.6115702479338848E-4</v>
      </c>
      <c r="AH21" s="71">
        <f>IFERROR(s_DL/(up_RadSpec!$J21*s_IFCB_far_adj*s_CF_cabbage),".")</f>
        <v>6.6115702479338848E-4</v>
      </c>
      <c r="AI21" s="71">
        <f>IFERROR(s_DL/(up_RadSpec!$J21*s_IFCR_far_adj*s_CF_carrot),".")</f>
        <v>6.6115702479338848E-4</v>
      </c>
      <c r="AJ21" s="71">
        <f>IFERROR(s_DL/(up_RadSpec!$J21*s_IFCI_far_adj*s_CF_citrus),".")</f>
        <v>6.6115702479338848E-4</v>
      </c>
      <c r="AK21" s="71">
        <f>IFERROR(s_DL/(up_RadSpec!$J21*s_IFCO_far_adj*s_CF_corn),".")</f>
        <v>6.6115702479338848E-4</v>
      </c>
      <c r="AL21" s="71">
        <f>IFERROR(s_DL/(up_RadSpec!$J21*s_IFCU_far_adj*s_CF_cucumber),".")</f>
        <v>6.6115702479338848E-4</v>
      </c>
      <c r="AM21" s="71">
        <f>IFERROR(s_DL/(up_RadSpec!$J21*s_IFLE_far_adj*s_CF_lettuce),".")</f>
        <v>6.6115702479338848E-4</v>
      </c>
      <c r="AN21" s="71">
        <f>IFERROR(s_DL/(up_RadSpec!$J21*s_IFLI_far_adj*s_CF_lima_bean),".")</f>
        <v>6.6115702479338848E-4</v>
      </c>
      <c r="AO21" s="71">
        <f>IFERROR(s_DL/(up_RadSpec!$J21*s_IFOK_far_adj*s_CF_okra),".")</f>
        <v>6.6115702479338848E-4</v>
      </c>
      <c r="AP21" s="71">
        <f>IFERROR(s_DL/(up_RadSpec!$J21*s_IFON_far_adj*s_CF_onion),".")</f>
        <v>6.6115702479338848E-4</v>
      </c>
      <c r="AQ21" s="71">
        <f>IFERROR(s_DL/(up_RadSpec!$J21*s_IFPC_far_adj*s_CF_peach),".")</f>
        <v>6.6115702479338848E-4</v>
      </c>
      <c r="AR21" s="71">
        <f>IFERROR(s_DL/(up_RadSpec!$J21*s_IFPR_far_adj*s_CF_pear),".")</f>
        <v>6.6115702479338848E-4</v>
      </c>
      <c r="AS21" s="71">
        <f>IFERROR(s_DL/(up_RadSpec!$J21*s_IFPE_far_adj*s_CF_peas),".")</f>
        <v>6.6115702479338848E-4</v>
      </c>
      <c r="AT21" s="71">
        <f>IFERROR(s_DL/(up_RadSpec!$J21*s_IFPT_far_adj*s_CF_potato),".")</f>
        <v>6.6115702479338848E-4</v>
      </c>
      <c r="AU21" s="71">
        <f>IFERROR(s_DL/(up_RadSpec!$J21*s_IFPU_far_adj*s_CF_pumpkin),".")</f>
        <v>6.6115702479338848E-4</v>
      </c>
      <c r="AV21" s="71">
        <f>IFERROR(s_DL/(up_RadSpec!$J21*s_IFSN_far_adj*s_CF_snap_bean),".")</f>
        <v>6.6115702479338848E-4</v>
      </c>
      <c r="AW21" s="71">
        <f>IFERROR(s_DL/(up_RadSpec!$J21*s_IFST_far_adj*s_CF_strawberry),".")</f>
        <v>6.6115702479338848E-4</v>
      </c>
      <c r="AX21" s="71">
        <f>IFERROR(s_DL/(up_RadSpec!$J21*s_IFTO_far_adj*s_CF_tomato),".")</f>
        <v>6.6115702479338848E-4</v>
      </c>
      <c r="AY21" s="71">
        <f>IFERROR(s_DL/(up_RadSpec!$J21*s_IFRI_far_adj*s_CF_rice),".")</f>
        <v>6.6115702479338848E-4</v>
      </c>
      <c r="AZ21" s="71">
        <f>IFERROR(s_DL/(up_RadSpec!$J21*s_IFCG_far_adj*s_CF_cereal),".")</f>
        <v>6.6115702479338848E-4</v>
      </c>
      <c r="BA21" s="10">
        <f t="shared" si="27"/>
        <v>22687.5</v>
      </c>
      <c r="BB21" s="62">
        <f t="shared" si="0"/>
        <v>7562.5</v>
      </c>
      <c r="BC21" s="62">
        <f t="shared" si="1"/>
        <v>7562.5</v>
      </c>
      <c r="BD21" s="62">
        <f t="shared" si="2"/>
        <v>7562.5</v>
      </c>
      <c r="BE21" s="62">
        <f t="shared" si="3"/>
        <v>7562.5</v>
      </c>
      <c r="BF21" s="62">
        <f t="shared" si="4"/>
        <v>7562.5</v>
      </c>
      <c r="BG21" s="62">
        <f t="shared" si="5"/>
        <v>7562.5</v>
      </c>
      <c r="BH21" s="62">
        <f t="shared" si="6"/>
        <v>7562.5</v>
      </c>
      <c r="BI21" s="62">
        <f t="shared" si="7"/>
        <v>7562.5</v>
      </c>
      <c r="BJ21" s="62">
        <f t="shared" si="8"/>
        <v>7562.5</v>
      </c>
      <c r="BK21" s="62">
        <f t="shared" si="9"/>
        <v>7562.5</v>
      </c>
      <c r="BL21" s="62">
        <f t="shared" si="10"/>
        <v>7562.5</v>
      </c>
      <c r="BM21" s="62">
        <f t="shared" si="11"/>
        <v>7562.5</v>
      </c>
      <c r="BN21" s="62">
        <f t="shared" si="12"/>
        <v>7562.5</v>
      </c>
      <c r="BO21" s="62">
        <f t="shared" si="13"/>
        <v>7562.5</v>
      </c>
      <c r="BP21" s="62">
        <f t="shared" si="14"/>
        <v>7562.5</v>
      </c>
      <c r="BQ21" s="62">
        <f t="shared" si="15"/>
        <v>7562.5</v>
      </c>
      <c r="BR21" s="62">
        <f t="shared" si="16"/>
        <v>7562.5</v>
      </c>
      <c r="BS21" s="62">
        <f t="shared" si="17"/>
        <v>7562.5</v>
      </c>
      <c r="BT21" s="62">
        <f t="shared" si="18"/>
        <v>7562.5</v>
      </c>
      <c r="BU21" s="62">
        <f t="shared" si="19"/>
        <v>7562.5</v>
      </c>
      <c r="BV21" s="62">
        <f t="shared" si="20"/>
        <v>7562.5</v>
      </c>
      <c r="BW21" s="62">
        <f t="shared" si="21"/>
        <v>7562.5</v>
      </c>
      <c r="BX21" s="62">
        <f t="shared" si="22"/>
        <v>7562.5</v>
      </c>
      <c r="BY21" s="62">
        <f t="shared" si="23"/>
        <v>7562.5</v>
      </c>
    </row>
    <row r="22" spans="1:77" x14ac:dyDescent="0.25">
      <c r="A22" s="61" t="s">
        <v>20</v>
      </c>
      <c r="B22" s="49" t="s">
        <v>1059</v>
      </c>
      <c r="C22" s="71">
        <f t="shared" si="24"/>
        <v>2.2038567493112948E-4</v>
      </c>
      <c r="D22" s="71">
        <f>IFERROR(s_DL/(up_RadSpec!$J22*s_IFAP_res_adj*s_CF_apple),".")</f>
        <v>6.6115702479338848E-4</v>
      </c>
      <c r="E22" s="71">
        <f>IFERROR(s_DL/(up_RadSpec!$J22*s_IFAS_res_adj*s_CF_asparagus),".")</f>
        <v>6.6115702479338848E-4</v>
      </c>
      <c r="F22" s="71">
        <f>IFERROR(s_DL/(up_RadSpec!$J22*s_IFBT_res_adj*s_CF_beet),".")</f>
        <v>6.6115702479338848E-4</v>
      </c>
      <c r="G22" s="71">
        <f>IFERROR(s_DL/(up_RadSpec!$J22*s_IFBE_res_adj*s_CF_berries),".")</f>
        <v>6.6115702479338848E-4</v>
      </c>
      <c r="H22" s="71">
        <f>IFERROR(s_DL/(up_RadSpec!$J22*s_IFBR_res_adj*s_CF_broccoli),".")</f>
        <v>6.6115702479338848E-4</v>
      </c>
      <c r="I22" s="71">
        <f>IFERROR(s_DL/(up_RadSpec!$J22*s_IFCB_res_adj*s_CF_cabbage),".")</f>
        <v>6.6115702479338848E-4</v>
      </c>
      <c r="J22" s="71">
        <f>IFERROR(s_DL/(up_RadSpec!$J22*s_IFCR_res_adj*s_CF_carrot),".")</f>
        <v>6.6115702479338848E-4</v>
      </c>
      <c r="K22" s="71">
        <f>IFERROR(s_DL/(up_RadSpec!$J22*s_IFCI_res_adj*s_CF_citrus),".")</f>
        <v>6.6115702479338848E-4</v>
      </c>
      <c r="L22" s="71">
        <f>IFERROR(s_DL/(up_RadSpec!$J22*s_IFCO_res_adj*s_CF_corn),".")</f>
        <v>6.6115702479338848E-4</v>
      </c>
      <c r="M22" s="71">
        <f>IFERROR(s_DL/(up_RadSpec!$J22*s_IFCU_res_adj*s_CF_cucumber),".")</f>
        <v>6.6115702479338848E-4</v>
      </c>
      <c r="N22" s="71">
        <f>IFERROR(s_DL/(up_RadSpec!$J22*s_IFLE_res_adj*s_CF_lettuce),".")</f>
        <v>6.6115702479338848E-4</v>
      </c>
      <c r="O22" s="71">
        <f>IFERROR(s_DL/(up_RadSpec!$J22*s_IFLI_res_adj*s_CF_lima_bean),".")</f>
        <v>6.6115702479338848E-4</v>
      </c>
      <c r="P22" s="71">
        <f>IFERROR(s_DL/(up_RadSpec!$J22*s_IFOK_res_adj*s_CF_okra),".")</f>
        <v>6.6115702479338848E-4</v>
      </c>
      <c r="Q22" s="71">
        <f>IFERROR(s_DL/(up_RadSpec!$J22*s_IFON_res_adj*s_CF_onion),".")</f>
        <v>6.6115702479338848E-4</v>
      </c>
      <c r="R22" s="71">
        <f>IFERROR(s_DL/(up_RadSpec!$J22*s_IFPC_res_adj*s_CF_peach),".")</f>
        <v>6.6115702479338848E-4</v>
      </c>
      <c r="S22" s="71">
        <f>IFERROR(s_DL/(up_RadSpec!$J22*s_IFPR_res_adj*s_CF_pear),".")</f>
        <v>6.6115702479338848E-4</v>
      </c>
      <c r="T22" s="71">
        <f>IFERROR(s_DL/(up_RadSpec!$J22*s_IFPE_res_adj*s_CF_peas),".")</f>
        <v>6.6115702479338848E-4</v>
      </c>
      <c r="U22" s="71">
        <f>IFERROR(s_DL/(up_RadSpec!$J22*s_IFPT_res_adj*s_CF_potato),".")</f>
        <v>6.6115702479338848E-4</v>
      </c>
      <c r="V22" s="71">
        <f>IFERROR(s_DL/(up_RadSpec!$J22*s_IFPU_res_adj*s_CF_pumpkin),".")</f>
        <v>6.6115702479338848E-4</v>
      </c>
      <c r="W22" s="71">
        <f>IFERROR(s_DL/(up_RadSpec!$J22*s_IFSN_res_adj*s_CF_snap_bean),".")</f>
        <v>6.6115702479338848E-4</v>
      </c>
      <c r="X22" s="71">
        <f>IFERROR(s_DL/(up_RadSpec!$J22*s_IFST_res_adj*s_CF_strawberry),".")</f>
        <v>6.6115702479338848E-4</v>
      </c>
      <c r="Y22" s="71">
        <f>IFERROR(s_DL/(up_RadSpec!$J22*s_IFTO_res_adj*s_CF_tomato),".")</f>
        <v>6.6115702479338848E-4</v>
      </c>
      <c r="Z22" s="71">
        <f>IFERROR(s_DL/(up_RadSpec!$J22*s_IFRI_res_adj*s_CF_rice),".")</f>
        <v>6.6115702479338848E-4</v>
      </c>
      <c r="AA22" s="71">
        <f>IFERROR(s_DL/(up_RadSpec!$J22*s_IFCG_res_adj*s_CF_cereal),".")</f>
        <v>6.6115702479338848E-4</v>
      </c>
      <c r="AB22" s="71">
        <f t="shared" si="25"/>
        <v>2.2038567493112948E-4</v>
      </c>
      <c r="AC22" s="71">
        <f>IFERROR(s_DL/(up_RadSpec!$J22*s_IFAP_far_adj*s_CF_apple),".")</f>
        <v>6.6115702479338848E-4</v>
      </c>
      <c r="AD22" s="71">
        <f>IFERROR(s_DL/(up_RadSpec!$J22*s_IFAS_far_adj*s_CF_asparagus),".")</f>
        <v>6.6115702479338848E-4</v>
      </c>
      <c r="AE22" s="71">
        <f>IFERROR(s_DL/(up_RadSpec!$J22*s_IFBT_far_adj*s_CF_beet),".")</f>
        <v>6.6115702479338848E-4</v>
      </c>
      <c r="AF22" s="71">
        <f>IFERROR(s_DL/(up_RadSpec!$J22*s_IFBE_far_adj*s_CF_berries),".")</f>
        <v>6.6115702479338848E-4</v>
      </c>
      <c r="AG22" s="71">
        <f>IFERROR(s_DL/(up_RadSpec!$J22*s_IFBR_far_adj*s_CF_broccoli),".")</f>
        <v>6.6115702479338848E-4</v>
      </c>
      <c r="AH22" s="71">
        <f>IFERROR(s_DL/(up_RadSpec!$J22*s_IFCB_far_adj*s_CF_cabbage),".")</f>
        <v>6.6115702479338848E-4</v>
      </c>
      <c r="AI22" s="71">
        <f>IFERROR(s_DL/(up_RadSpec!$J22*s_IFCR_far_adj*s_CF_carrot),".")</f>
        <v>6.6115702479338848E-4</v>
      </c>
      <c r="AJ22" s="71">
        <f>IFERROR(s_DL/(up_RadSpec!$J22*s_IFCI_far_adj*s_CF_citrus),".")</f>
        <v>6.6115702479338848E-4</v>
      </c>
      <c r="AK22" s="71">
        <f>IFERROR(s_DL/(up_RadSpec!$J22*s_IFCO_far_adj*s_CF_corn),".")</f>
        <v>6.6115702479338848E-4</v>
      </c>
      <c r="AL22" s="71">
        <f>IFERROR(s_DL/(up_RadSpec!$J22*s_IFCU_far_adj*s_CF_cucumber),".")</f>
        <v>6.6115702479338848E-4</v>
      </c>
      <c r="AM22" s="71">
        <f>IFERROR(s_DL/(up_RadSpec!$J22*s_IFLE_far_adj*s_CF_lettuce),".")</f>
        <v>6.6115702479338848E-4</v>
      </c>
      <c r="AN22" s="71">
        <f>IFERROR(s_DL/(up_RadSpec!$J22*s_IFLI_far_adj*s_CF_lima_bean),".")</f>
        <v>6.6115702479338848E-4</v>
      </c>
      <c r="AO22" s="71">
        <f>IFERROR(s_DL/(up_RadSpec!$J22*s_IFOK_far_adj*s_CF_okra),".")</f>
        <v>6.6115702479338848E-4</v>
      </c>
      <c r="AP22" s="71">
        <f>IFERROR(s_DL/(up_RadSpec!$J22*s_IFON_far_adj*s_CF_onion),".")</f>
        <v>6.6115702479338848E-4</v>
      </c>
      <c r="AQ22" s="71">
        <f>IFERROR(s_DL/(up_RadSpec!$J22*s_IFPC_far_adj*s_CF_peach),".")</f>
        <v>6.6115702479338848E-4</v>
      </c>
      <c r="AR22" s="71">
        <f>IFERROR(s_DL/(up_RadSpec!$J22*s_IFPR_far_adj*s_CF_pear),".")</f>
        <v>6.6115702479338848E-4</v>
      </c>
      <c r="AS22" s="71">
        <f>IFERROR(s_DL/(up_RadSpec!$J22*s_IFPE_far_adj*s_CF_peas),".")</f>
        <v>6.6115702479338848E-4</v>
      </c>
      <c r="AT22" s="71">
        <f>IFERROR(s_DL/(up_RadSpec!$J22*s_IFPT_far_adj*s_CF_potato),".")</f>
        <v>6.6115702479338848E-4</v>
      </c>
      <c r="AU22" s="71">
        <f>IFERROR(s_DL/(up_RadSpec!$J22*s_IFPU_far_adj*s_CF_pumpkin),".")</f>
        <v>6.6115702479338848E-4</v>
      </c>
      <c r="AV22" s="71">
        <f>IFERROR(s_DL/(up_RadSpec!$J22*s_IFSN_far_adj*s_CF_snap_bean),".")</f>
        <v>6.6115702479338848E-4</v>
      </c>
      <c r="AW22" s="71">
        <f>IFERROR(s_DL/(up_RadSpec!$J22*s_IFST_far_adj*s_CF_strawberry),".")</f>
        <v>6.6115702479338848E-4</v>
      </c>
      <c r="AX22" s="71">
        <f>IFERROR(s_DL/(up_RadSpec!$J22*s_IFTO_far_adj*s_CF_tomato),".")</f>
        <v>6.6115702479338848E-4</v>
      </c>
      <c r="AY22" s="71">
        <f>IFERROR(s_DL/(up_RadSpec!$J22*s_IFRI_far_adj*s_CF_rice),".")</f>
        <v>6.6115702479338848E-4</v>
      </c>
      <c r="AZ22" s="71">
        <f>IFERROR(s_DL/(up_RadSpec!$J22*s_IFCG_far_adj*s_CF_cereal),".")</f>
        <v>6.6115702479338848E-4</v>
      </c>
      <c r="BA22" s="10">
        <f t="shared" si="27"/>
        <v>22687.5</v>
      </c>
      <c r="BB22" s="62">
        <f t="shared" si="0"/>
        <v>7562.5</v>
      </c>
      <c r="BC22" s="62">
        <f t="shared" si="1"/>
        <v>7562.5</v>
      </c>
      <c r="BD22" s="62">
        <f t="shared" si="2"/>
        <v>7562.5</v>
      </c>
      <c r="BE22" s="62">
        <f t="shared" si="3"/>
        <v>7562.5</v>
      </c>
      <c r="BF22" s="62">
        <f t="shared" si="4"/>
        <v>7562.5</v>
      </c>
      <c r="BG22" s="62">
        <f t="shared" si="5"/>
        <v>7562.5</v>
      </c>
      <c r="BH22" s="62">
        <f t="shared" si="6"/>
        <v>7562.5</v>
      </c>
      <c r="BI22" s="62">
        <f t="shared" si="7"/>
        <v>7562.5</v>
      </c>
      <c r="BJ22" s="62">
        <f t="shared" si="8"/>
        <v>7562.5</v>
      </c>
      <c r="BK22" s="62">
        <f t="shared" si="9"/>
        <v>7562.5</v>
      </c>
      <c r="BL22" s="62">
        <f t="shared" si="10"/>
        <v>7562.5</v>
      </c>
      <c r="BM22" s="62">
        <f t="shared" si="11"/>
        <v>7562.5</v>
      </c>
      <c r="BN22" s="62">
        <f t="shared" si="12"/>
        <v>7562.5</v>
      </c>
      <c r="BO22" s="62">
        <f t="shared" si="13"/>
        <v>7562.5</v>
      </c>
      <c r="BP22" s="62">
        <f t="shared" si="14"/>
        <v>7562.5</v>
      </c>
      <c r="BQ22" s="62">
        <f t="shared" si="15"/>
        <v>7562.5</v>
      </c>
      <c r="BR22" s="62">
        <f t="shared" si="16"/>
        <v>7562.5</v>
      </c>
      <c r="BS22" s="62">
        <f t="shared" si="17"/>
        <v>7562.5</v>
      </c>
      <c r="BT22" s="62">
        <f t="shared" si="18"/>
        <v>7562.5</v>
      </c>
      <c r="BU22" s="62">
        <f t="shared" si="19"/>
        <v>7562.5</v>
      </c>
      <c r="BV22" s="62">
        <f t="shared" si="20"/>
        <v>7562.5</v>
      </c>
      <c r="BW22" s="62">
        <f t="shared" si="21"/>
        <v>7562.5</v>
      </c>
      <c r="BX22" s="62">
        <f t="shared" si="22"/>
        <v>7562.5</v>
      </c>
      <c r="BY22" s="62">
        <f t="shared" si="23"/>
        <v>7562.5</v>
      </c>
    </row>
    <row r="23" spans="1:77" x14ac:dyDescent="0.25">
      <c r="A23" s="63" t="s">
        <v>21</v>
      </c>
      <c r="B23" s="49" t="s">
        <v>336</v>
      </c>
      <c r="C23" s="71">
        <f t="shared" si="24"/>
        <v>2.2038567493112948E-4</v>
      </c>
      <c r="D23" s="71">
        <f>IFERROR(s_DL/(up_RadSpec!$J23*s_IFAP_res_adj*s_CF_apple),".")</f>
        <v>6.6115702479338848E-4</v>
      </c>
      <c r="E23" s="71">
        <f>IFERROR(s_DL/(up_RadSpec!$J23*s_IFAS_res_adj*s_CF_asparagus),".")</f>
        <v>6.6115702479338848E-4</v>
      </c>
      <c r="F23" s="71">
        <f>IFERROR(s_DL/(up_RadSpec!$J23*s_IFBT_res_adj*s_CF_beet),".")</f>
        <v>6.6115702479338848E-4</v>
      </c>
      <c r="G23" s="71">
        <f>IFERROR(s_DL/(up_RadSpec!$J23*s_IFBE_res_adj*s_CF_berries),".")</f>
        <v>6.6115702479338848E-4</v>
      </c>
      <c r="H23" s="71">
        <f>IFERROR(s_DL/(up_RadSpec!$J23*s_IFBR_res_adj*s_CF_broccoli),".")</f>
        <v>6.6115702479338848E-4</v>
      </c>
      <c r="I23" s="71">
        <f>IFERROR(s_DL/(up_RadSpec!$J23*s_IFCB_res_adj*s_CF_cabbage),".")</f>
        <v>6.6115702479338848E-4</v>
      </c>
      <c r="J23" s="71">
        <f>IFERROR(s_DL/(up_RadSpec!$J23*s_IFCR_res_adj*s_CF_carrot),".")</f>
        <v>6.6115702479338848E-4</v>
      </c>
      <c r="K23" s="71">
        <f>IFERROR(s_DL/(up_RadSpec!$J23*s_IFCI_res_adj*s_CF_citrus),".")</f>
        <v>6.6115702479338848E-4</v>
      </c>
      <c r="L23" s="71">
        <f>IFERROR(s_DL/(up_RadSpec!$J23*s_IFCO_res_adj*s_CF_corn),".")</f>
        <v>6.6115702479338848E-4</v>
      </c>
      <c r="M23" s="71">
        <f>IFERROR(s_DL/(up_RadSpec!$J23*s_IFCU_res_adj*s_CF_cucumber),".")</f>
        <v>6.6115702479338848E-4</v>
      </c>
      <c r="N23" s="71">
        <f>IFERROR(s_DL/(up_RadSpec!$J23*s_IFLE_res_adj*s_CF_lettuce),".")</f>
        <v>6.6115702479338848E-4</v>
      </c>
      <c r="O23" s="71">
        <f>IFERROR(s_DL/(up_RadSpec!$J23*s_IFLI_res_adj*s_CF_lima_bean),".")</f>
        <v>6.6115702479338848E-4</v>
      </c>
      <c r="P23" s="71">
        <f>IFERROR(s_DL/(up_RadSpec!$J23*s_IFOK_res_adj*s_CF_okra),".")</f>
        <v>6.6115702479338848E-4</v>
      </c>
      <c r="Q23" s="71">
        <f>IFERROR(s_DL/(up_RadSpec!$J23*s_IFON_res_adj*s_CF_onion),".")</f>
        <v>6.6115702479338848E-4</v>
      </c>
      <c r="R23" s="71">
        <f>IFERROR(s_DL/(up_RadSpec!$J23*s_IFPC_res_adj*s_CF_peach),".")</f>
        <v>6.6115702479338848E-4</v>
      </c>
      <c r="S23" s="71">
        <f>IFERROR(s_DL/(up_RadSpec!$J23*s_IFPR_res_adj*s_CF_pear),".")</f>
        <v>6.6115702479338848E-4</v>
      </c>
      <c r="T23" s="71">
        <f>IFERROR(s_DL/(up_RadSpec!$J23*s_IFPE_res_adj*s_CF_peas),".")</f>
        <v>6.6115702479338848E-4</v>
      </c>
      <c r="U23" s="71">
        <f>IFERROR(s_DL/(up_RadSpec!$J23*s_IFPT_res_adj*s_CF_potato),".")</f>
        <v>6.6115702479338848E-4</v>
      </c>
      <c r="V23" s="71">
        <f>IFERROR(s_DL/(up_RadSpec!$J23*s_IFPU_res_adj*s_CF_pumpkin),".")</f>
        <v>6.6115702479338848E-4</v>
      </c>
      <c r="W23" s="71">
        <f>IFERROR(s_DL/(up_RadSpec!$J23*s_IFSN_res_adj*s_CF_snap_bean),".")</f>
        <v>6.6115702479338848E-4</v>
      </c>
      <c r="X23" s="71">
        <f>IFERROR(s_DL/(up_RadSpec!$J23*s_IFST_res_adj*s_CF_strawberry),".")</f>
        <v>6.6115702479338848E-4</v>
      </c>
      <c r="Y23" s="71">
        <f>IFERROR(s_DL/(up_RadSpec!$J23*s_IFTO_res_adj*s_CF_tomato),".")</f>
        <v>6.6115702479338848E-4</v>
      </c>
      <c r="Z23" s="71">
        <f>IFERROR(s_DL/(up_RadSpec!$J23*s_IFRI_res_adj*s_CF_rice),".")</f>
        <v>6.6115702479338848E-4</v>
      </c>
      <c r="AA23" s="71">
        <f>IFERROR(s_DL/(up_RadSpec!$J23*s_IFCG_res_adj*s_CF_cereal),".")</f>
        <v>6.6115702479338848E-4</v>
      </c>
      <c r="AB23" s="71">
        <f t="shared" si="25"/>
        <v>2.2038567493112948E-4</v>
      </c>
      <c r="AC23" s="71">
        <f>IFERROR(s_DL/(up_RadSpec!$J23*s_IFAP_far_adj*s_CF_apple),".")</f>
        <v>6.6115702479338848E-4</v>
      </c>
      <c r="AD23" s="71">
        <f>IFERROR(s_DL/(up_RadSpec!$J23*s_IFAS_far_adj*s_CF_asparagus),".")</f>
        <v>6.6115702479338848E-4</v>
      </c>
      <c r="AE23" s="71">
        <f>IFERROR(s_DL/(up_RadSpec!$J23*s_IFBT_far_adj*s_CF_beet),".")</f>
        <v>6.6115702479338848E-4</v>
      </c>
      <c r="AF23" s="71">
        <f>IFERROR(s_DL/(up_RadSpec!$J23*s_IFBE_far_adj*s_CF_berries),".")</f>
        <v>6.6115702479338848E-4</v>
      </c>
      <c r="AG23" s="71">
        <f>IFERROR(s_DL/(up_RadSpec!$J23*s_IFBR_far_adj*s_CF_broccoli),".")</f>
        <v>6.6115702479338848E-4</v>
      </c>
      <c r="AH23" s="71">
        <f>IFERROR(s_DL/(up_RadSpec!$J23*s_IFCB_far_adj*s_CF_cabbage),".")</f>
        <v>6.6115702479338848E-4</v>
      </c>
      <c r="AI23" s="71">
        <f>IFERROR(s_DL/(up_RadSpec!$J23*s_IFCR_far_adj*s_CF_carrot),".")</f>
        <v>6.6115702479338848E-4</v>
      </c>
      <c r="AJ23" s="71">
        <f>IFERROR(s_DL/(up_RadSpec!$J23*s_IFCI_far_adj*s_CF_citrus),".")</f>
        <v>6.6115702479338848E-4</v>
      </c>
      <c r="AK23" s="71">
        <f>IFERROR(s_DL/(up_RadSpec!$J23*s_IFCO_far_adj*s_CF_corn),".")</f>
        <v>6.6115702479338848E-4</v>
      </c>
      <c r="AL23" s="71">
        <f>IFERROR(s_DL/(up_RadSpec!$J23*s_IFCU_far_adj*s_CF_cucumber),".")</f>
        <v>6.6115702479338848E-4</v>
      </c>
      <c r="AM23" s="71">
        <f>IFERROR(s_DL/(up_RadSpec!$J23*s_IFLE_far_adj*s_CF_lettuce),".")</f>
        <v>6.6115702479338848E-4</v>
      </c>
      <c r="AN23" s="71">
        <f>IFERROR(s_DL/(up_RadSpec!$J23*s_IFLI_far_adj*s_CF_lima_bean),".")</f>
        <v>6.6115702479338848E-4</v>
      </c>
      <c r="AO23" s="71">
        <f>IFERROR(s_DL/(up_RadSpec!$J23*s_IFOK_far_adj*s_CF_okra),".")</f>
        <v>6.6115702479338848E-4</v>
      </c>
      <c r="AP23" s="71">
        <f>IFERROR(s_DL/(up_RadSpec!$J23*s_IFON_far_adj*s_CF_onion),".")</f>
        <v>6.6115702479338848E-4</v>
      </c>
      <c r="AQ23" s="71">
        <f>IFERROR(s_DL/(up_RadSpec!$J23*s_IFPC_far_adj*s_CF_peach),".")</f>
        <v>6.6115702479338848E-4</v>
      </c>
      <c r="AR23" s="71">
        <f>IFERROR(s_DL/(up_RadSpec!$J23*s_IFPR_far_adj*s_CF_pear),".")</f>
        <v>6.6115702479338848E-4</v>
      </c>
      <c r="AS23" s="71">
        <f>IFERROR(s_DL/(up_RadSpec!$J23*s_IFPE_far_adj*s_CF_peas),".")</f>
        <v>6.6115702479338848E-4</v>
      </c>
      <c r="AT23" s="71">
        <f>IFERROR(s_DL/(up_RadSpec!$J23*s_IFPT_far_adj*s_CF_potato),".")</f>
        <v>6.6115702479338848E-4</v>
      </c>
      <c r="AU23" s="71">
        <f>IFERROR(s_DL/(up_RadSpec!$J23*s_IFPU_far_adj*s_CF_pumpkin),".")</f>
        <v>6.6115702479338848E-4</v>
      </c>
      <c r="AV23" s="71">
        <f>IFERROR(s_DL/(up_RadSpec!$J23*s_IFSN_far_adj*s_CF_snap_bean),".")</f>
        <v>6.6115702479338848E-4</v>
      </c>
      <c r="AW23" s="71">
        <f>IFERROR(s_DL/(up_RadSpec!$J23*s_IFST_far_adj*s_CF_strawberry),".")</f>
        <v>6.6115702479338848E-4</v>
      </c>
      <c r="AX23" s="71">
        <f>IFERROR(s_DL/(up_RadSpec!$J23*s_IFTO_far_adj*s_CF_tomato),".")</f>
        <v>6.6115702479338848E-4</v>
      </c>
      <c r="AY23" s="71">
        <f>IFERROR(s_DL/(up_RadSpec!$J23*s_IFRI_far_adj*s_CF_rice),".")</f>
        <v>6.6115702479338848E-4</v>
      </c>
      <c r="AZ23" s="71">
        <f>IFERROR(s_DL/(up_RadSpec!$J23*s_IFCG_far_adj*s_CF_cereal),".")</f>
        <v>6.6115702479338848E-4</v>
      </c>
      <c r="BA23" s="10">
        <f t="shared" si="27"/>
        <v>22687.5</v>
      </c>
      <c r="BB23" s="62">
        <f t="shared" si="0"/>
        <v>7562.5</v>
      </c>
      <c r="BC23" s="62">
        <f t="shared" si="1"/>
        <v>7562.5</v>
      </c>
      <c r="BD23" s="62">
        <f t="shared" si="2"/>
        <v>7562.5</v>
      </c>
      <c r="BE23" s="62">
        <f t="shared" si="3"/>
        <v>7562.5</v>
      </c>
      <c r="BF23" s="62">
        <f t="shared" si="4"/>
        <v>7562.5</v>
      </c>
      <c r="BG23" s="62">
        <f t="shared" si="5"/>
        <v>7562.5</v>
      </c>
      <c r="BH23" s="62">
        <f t="shared" si="6"/>
        <v>7562.5</v>
      </c>
      <c r="BI23" s="62">
        <f t="shared" si="7"/>
        <v>7562.5</v>
      </c>
      <c r="BJ23" s="62">
        <f t="shared" si="8"/>
        <v>7562.5</v>
      </c>
      <c r="BK23" s="62">
        <f t="shared" si="9"/>
        <v>7562.5</v>
      </c>
      <c r="BL23" s="62">
        <f t="shared" si="10"/>
        <v>7562.5</v>
      </c>
      <c r="BM23" s="62">
        <f t="shared" si="11"/>
        <v>7562.5</v>
      </c>
      <c r="BN23" s="62">
        <f t="shared" si="12"/>
        <v>7562.5</v>
      </c>
      <c r="BO23" s="62">
        <f t="shared" si="13"/>
        <v>7562.5</v>
      </c>
      <c r="BP23" s="62">
        <f t="shared" si="14"/>
        <v>7562.5</v>
      </c>
      <c r="BQ23" s="62">
        <f t="shared" si="15"/>
        <v>7562.5</v>
      </c>
      <c r="BR23" s="62">
        <f t="shared" si="16"/>
        <v>7562.5</v>
      </c>
      <c r="BS23" s="62">
        <f t="shared" si="17"/>
        <v>7562.5</v>
      </c>
      <c r="BT23" s="62">
        <f t="shared" si="18"/>
        <v>7562.5</v>
      </c>
      <c r="BU23" s="62">
        <f t="shared" si="19"/>
        <v>7562.5</v>
      </c>
      <c r="BV23" s="62">
        <f t="shared" si="20"/>
        <v>7562.5</v>
      </c>
      <c r="BW23" s="62">
        <f t="shared" si="21"/>
        <v>7562.5</v>
      </c>
      <c r="BX23" s="62">
        <f t="shared" si="22"/>
        <v>7562.5</v>
      </c>
      <c r="BY23" s="62">
        <f t="shared" si="23"/>
        <v>7562.5</v>
      </c>
    </row>
    <row r="24" spans="1:77" x14ac:dyDescent="0.25">
      <c r="A24" s="61" t="s">
        <v>22</v>
      </c>
      <c r="B24" s="49" t="s">
        <v>1059</v>
      </c>
      <c r="C24" s="71">
        <f t="shared" si="24"/>
        <v>2.2038567493112948E-4</v>
      </c>
      <c r="D24" s="71">
        <f>IFERROR(s_DL/(up_RadSpec!$J24*s_IFAP_res_adj*s_CF_apple),".")</f>
        <v>6.6115702479338848E-4</v>
      </c>
      <c r="E24" s="71">
        <f>IFERROR(s_DL/(up_RadSpec!$J24*s_IFAS_res_adj*s_CF_asparagus),".")</f>
        <v>6.6115702479338848E-4</v>
      </c>
      <c r="F24" s="71">
        <f>IFERROR(s_DL/(up_RadSpec!$J24*s_IFBT_res_adj*s_CF_beet),".")</f>
        <v>6.6115702479338848E-4</v>
      </c>
      <c r="G24" s="71">
        <f>IFERROR(s_DL/(up_RadSpec!$J24*s_IFBE_res_adj*s_CF_berries),".")</f>
        <v>6.6115702479338848E-4</v>
      </c>
      <c r="H24" s="71">
        <f>IFERROR(s_DL/(up_RadSpec!$J24*s_IFBR_res_adj*s_CF_broccoli),".")</f>
        <v>6.6115702479338848E-4</v>
      </c>
      <c r="I24" s="71">
        <f>IFERROR(s_DL/(up_RadSpec!$J24*s_IFCB_res_adj*s_CF_cabbage),".")</f>
        <v>6.6115702479338848E-4</v>
      </c>
      <c r="J24" s="71">
        <f>IFERROR(s_DL/(up_RadSpec!$J24*s_IFCR_res_adj*s_CF_carrot),".")</f>
        <v>6.6115702479338848E-4</v>
      </c>
      <c r="K24" s="71">
        <f>IFERROR(s_DL/(up_RadSpec!$J24*s_IFCI_res_adj*s_CF_citrus),".")</f>
        <v>6.6115702479338848E-4</v>
      </c>
      <c r="L24" s="71">
        <f>IFERROR(s_DL/(up_RadSpec!$J24*s_IFCO_res_adj*s_CF_corn),".")</f>
        <v>6.6115702479338848E-4</v>
      </c>
      <c r="M24" s="71">
        <f>IFERROR(s_DL/(up_RadSpec!$J24*s_IFCU_res_adj*s_CF_cucumber),".")</f>
        <v>6.6115702479338848E-4</v>
      </c>
      <c r="N24" s="71">
        <f>IFERROR(s_DL/(up_RadSpec!$J24*s_IFLE_res_adj*s_CF_lettuce),".")</f>
        <v>6.6115702479338848E-4</v>
      </c>
      <c r="O24" s="71">
        <f>IFERROR(s_DL/(up_RadSpec!$J24*s_IFLI_res_adj*s_CF_lima_bean),".")</f>
        <v>6.6115702479338848E-4</v>
      </c>
      <c r="P24" s="71">
        <f>IFERROR(s_DL/(up_RadSpec!$J24*s_IFOK_res_adj*s_CF_okra),".")</f>
        <v>6.6115702479338848E-4</v>
      </c>
      <c r="Q24" s="71">
        <f>IFERROR(s_DL/(up_RadSpec!$J24*s_IFON_res_adj*s_CF_onion),".")</f>
        <v>6.6115702479338848E-4</v>
      </c>
      <c r="R24" s="71">
        <f>IFERROR(s_DL/(up_RadSpec!$J24*s_IFPC_res_adj*s_CF_peach),".")</f>
        <v>6.6115702479338848E-4</v>
      </c>
      <c r="S24" s="71">
        <f>IFERROR(s_DL/(up_RadSpec!$J24*s_IFPR_res_adj*s_CF_pear),".")</f>
        <v>6.6115702479338848E-4</v>
      </c>
      <c r="T24" s="71">
        <f>IFERROR(s_DL/(up_RadSpec!$J24*s_IFPE_res_adj*s_CF_peas),".")</f>
        <v>6.6115702479338848E-4</v>
      </c>
      <c r="U24" s="71">
        <f>IFERROR(s_DL/(up_RadSpec!$J24*s_IFPT_res_adj*s_CF_potato),".")</f>
        <v>6.6115702479338848E-4</v>
      </c>
      <c r="V24" s="71">
        <f>IFERROR(s_DL/(up_RadSpec!$J24*s_IFPU_res_adj*s_CF_pumpkin),".")</f>
        <v>6.6115702479338848E-4</v>
      </c>
      <c r="W24" s="71">
        <f>IFERROR(s_DL/(up_RadSpec!$J24*s_IFSN_res_adj*s_CF_snap_bean),".")</f>
        <v>6.6115702479338848E-4</v>
      </c>
      <c r="X24" s="71">
        <f>IFERROR(s_DL/(up_RadSpec!$J24*s_IFST_res_adj*s_CF_strawberry),".")</f>
        <v>6.6115702479338848E-4</v>
      </c>
      <c r="Y24" s="71">
        <f>IFERROR(s_DL/(up_RadSpec!$J24*s_IFTO_res_adj*s_CF_tomato),".")</f>
        <v>6.6115702479338848E-4</v>
      </c>
      <c r="Z24" s="71">
        <f>IFERROR(s_DL/(up_RadSpec!$J24*s_IFRI_res_adj*s_CF_rice),".")</f>
        <v>6.6115702479338848E-4</v>
      </c>
      <c r="AA24" s="71">
        <f>IFERROR(s_DL/(up_RadSpec!$J24*s_IFCG_res_adj*s_CF_cereal),".")</f>
        <v>6.6115702479338848E-4</v>
      </c>
      <c r="AB24" s="71">
        <f t="shared" si="25"/>
        <v>2.2038567493112948E-4</v>
      </c>
      <c r="AC24" s="71">
        <f>IFERROR(s_DL/(up_RadSpec!$J24*s_IFAP_far_adj*s_CF_apple),".")</f>
        <v>6.6115702479338848E-4</v>
      </c>
      <c r="AD24" s="71">
        <f>IFERROR(s_DL/(up_RadSpec!$J24*s_IFAS_far_adj*s_CF_asparagus),".")</f>
        <v>6.6115702479338848E-4</v>
      </c>
      <c r="AE24" s="71">
        <f>IFERROR(s_DL/(up_RadSpec!$J24*s_IFBT_far_adj*s_CF_beet),".")</f>
        <v>6.6115702479338848E-4</v>
      </c>
      <c r="AF24" s="71">
        <f>IFERROR(s_DL/(up_RadSpec!$J24*s_IFBE_far_adj*s_CF_berries),".")</f>
        <v>6.6115702479338848E-4</v>
      </c>
      <c r="AG24" s="71">
        <f>IFERROR(s_DL/(up_RadSpec!$J24*s_IFBR_far_adj*s_CF_broccoli),".")</f>
        <v>6.6115702479338848E-4</v>
      </c>
      <c r="AH24" s="71">
        <f>IFERROR(s_DL/(up_RadSpec!$J24*s_IFCB_far_adj*s_CF_cabbage),".")</f>
        <v>6.6115702479338848E-4</v>
      </c>
      <c r="AI24" s="71">
        <f>IFERROR(s_DL/(up_RadSpec!$J24*s_IFCR_far_adj*s_CF_carrot),".")</f>
        <v>6.6115702479338848E-4</v>
      </c>
      <c r="AJ24" s="71">
        <f>IFERROR(s_DL/(up_RadSpec!$J24*s_IFCI_far_adj*s_CF_citrus),".")</f>
        <v>6.6115702479338848E-4</v>
      </c>
      <c r="AK24" s="71">
        <f>IFERROR(s_DL/(up_RadSpec!$J24*s_IFCO_far_adj*s_CF_corn),".")</f>
        <v>6.6115702479338848E-4</v>
      </c>
      <c r="AL24" s="71">
        <f>IFERROR(s_DL/(up_RadSpec!$J24*s_IFCU_far_adj*s_CF_cucumber),".")</f>
        <v>6.6115702479338848E-4</v>
      </c>
      <c r="AM24" s="71">
        <f>IFERROR(s_DL/(up_RadSpec!$J24*s_IFLE_far_adj*s_CF_lettuce),".")</f>
        <v>6.6115702479338848E-4</v>
      </c>
      <c r="AN24" s="71">
        <f>IFERROR(s_DL/(up_RadSpec!$J24*s_IFLI_far_adj*s_CF_lima_bean),".")</f>
        <v>6.6115702479338848E-4</v>
      </c>
      <c r="AO24" s="71">
        <f>IFERROR(s_DL/(up_RadSpec!$J24*s_IFOK_far_adj*s_CF_okra),".")</f>
        <v>6.6115702479338848E-4</v>
      </c>
      <c r="AP24" s="71">
        <f>IFERROR(s_DL/(up_RadSpec!$J24*s_IFON_far_adj*s_CF_onion),".")</f>
        <v>6.6115702479338848E-4</v>
      </c>
      <c r="AQ24" s="71">
        <f>IFERROR(s_DL/(up_RadSpec!$J24*s_IFPC_far_adj*s_CF_peach),".")</f>
        <v>6.6115702479338848E-4</v>
      </c>
      <c r="AR24" s="71">
        <f>IFERROR(s_DL/(up_RadSpec!$J24*s_IFPR_far_adj*s_CF_pear),".")</f>
        <v>6.6115702479338848E-4</v>
      </c>
      <c r="AS24" s="71">
        <f>IFERROR(s_DL/(up_RadSpec!$J24*s_IFPE_far_adj*s_CF_peas),".")</f>
        <v>6.6115702479338848E-4</v>
      </c>
      <c r="AT24" s="71">
        <f>IFERROR(s_DL/(up_RadSpec!$J24*s_IFPT_far_adj*s_CF_potato),".")</f>
        <v>6.6115702479338848E-4</v>
      </c>
      <c r="AU24" s="71">
        <f>IFERROR(s_DL/(up_RadSpec!$J24*s_IFPU_far_adj*s_CF_pumpkin),".")</f>
        <v>6.6115702479338848E-4</v>
      </c>
      <c r="AV24" s="71">
        <f>IFERROR(s_DL/(up_RadSpec!$J24*s_IFSN_far_adj*s_CF_snap_bean),".")</f>
        <v>6.6115702479338848E-4</v>
      </c>
      <c r="AW24" s="71">
        <f>IFERROR(s_DL/(up_RadSpec!$J24*s_IFST_far_adj*s_CF_strawberry),".")</f>
        <v>6.6115702479338848E-4</v>
      </c>
      <c r="AX24" s="71">
        <f>IFERROR(s_DL/(up_RadSpec!$J24*s_IFTO_far_adj*s_CF_tomato),".")</f>
        <v>6.6115702479338848E-4</v>
      </c>
      <c r="AY24" s="71">
        <f>IFERROR(s_DL/(up_RadSpec!$J24*s_IFRI_far_adj*s_CF_rice),".")</f>
        <v>6.6115702479338848E-4</v>
      </c>
      <c r="AZ24" s="71">
        <f>IFERROR(s_DL/(up_RadSpec!$J24*s_IFCG_far_adj*s_CF_cereal),".")</f>
        <v>6.6115702479338848E-4</v>
      </c>
      <c r="BA24" s="10">
        <f t="shared" si="27"/>
        <v>22687.5</v>
      </c>
      <c r="BB24" s="62">
        <f t="shared" si="0"/>
        <v>7562.5</v>
      </c>
      <c r="BC24" s="62">
        <f t="shared" si="1"/>
        <v>7562.5</v>
      </c>
      <c r="BD24" s="62">
        <f t="shared" si="2"/>
        <v>7562.5</v>
      </c>
      <c r="BE24" s="62">
        <f t="shared" si="3"/>
        <v>7562.5</v>
      </c>
      <c r="BF24" s="62">
        <f t="shared" si="4"/>
        <v>7562.5</v>
      </c>
      <c r="BG24" s="62">
        <f t="shared" si="5"/>
        <v>7562.5</v>
      </c>
      <c r="BH24" s="62">
        <f t="shared" si="6"/>
        <v>7562.5</v>
      </c>
      <c r="BI24" s="62">
        <f t="shared" si="7"/>
        <v>7562.5</v>
      </c>
      <c r="BJ24" s="62">
        <f t="shared" si="8"/>
        <v>7562.5</v>
      </c>
      <c r="BK24" s="62">
        <f t="shared" si="9"/>
        <v>7562.5</v>
      </c>
      <c r="BL24" s="62">
        <f t="shared" si="10"/>
        <v>7562.5</v>
      </c>
      <c r="BM24" s="62">
        <f t="shared" si="11"/>
        <v>7562.5</v>
      </c>
      <c r="BN24" s="62">
        <f t="shared" si="12"/>
        <v>7562.5</v>
      </c>
      <c r="BO24" s="62">
        <f t="shared" si="13"/>
        <v>7562.5</v>
      </c>
      <c r="BP24" s="62">
        <f t="shared" si="14"/>
        <v>7562.5</v>
      </c>
      <c r="BQ24" s="62">
        <f t="shared" si="15"/>
        <v>7562.5</v>
      </c>
      <c r="BR24" s="62">
        <f t="shared" si="16"/>
        <v>7562.5</v>
      </c>
      <c r="BS24" s="62">
        <f t="shared" si="17"/>
        <v>7562.5</v>
      </c>
      <c r="BT24" s="62">
        <f t="shared" si="18"/>
        <v>7562.5</v>
      </c>
      <c r="BU24" s="62">
        <f t="shared" si="19"/>
        <v>7562.5</v>
      </c>
      <c r="BV24" s="62">
        <f t="shared" si="20"/>
        <v>7562.5</v>
      </c>
      <c r="BW24" s="62">
        <f t="shared" si="21"/>
        <v>7562.5</v>
      </c>
      <c r="BX24" s="62">
        <f t="shared" si="22"/>
        <v>7562.5</v>
      </c>
      <c r="BY24" s="62">
        <f t="shared" si="23"/>
        <v>7562.5</v>
      </c>
    </row>
    <row r="25" spans="1:77" x14ac:dyDescent="0.25">
      <c r="A25" s="63" t="s">
        <v>23</v>
      </c>
      <c r="B25" s="49" t="s">
        <v>336</v>
      </c>
      <c r="C25" s="71">
        <f t="shared" si="24"/>
        <v>2.2038567493112948E-4</v>
      </c>
      <c r="D25" s="71">
        <f>IFERROR(s_DL/(up_RadSpec!$J25*s_IFAP_res_adj*s_CF_apple),".")</f>
        <v>6.6115702479338848E-4</v>
      </c>
      <c r="E25" s="71">
        <f>IFERROR(s_DL/(up_RadSpec!$J25*s_IFAS_res_adj*s_CF_asparagus),".")</f>
        <v>6.6115702479338848E-4</v>
      </c>
      <c r="F25" s="71">
        <f>IFERROR(s_DL/(up_RadSpec!$J25*s_IFBT_res_adj*s_CF_beet),".")</f>
        <v>6.6115702479338848E-4</v>
      </c>
      <c r="G25" s="71">
        <f>IFERROR(s_DL/(up_RadSpec!$J25*s_IFBE_res_adj*s_CF_berries),".")</f>
        <v>6.6115702479338848E-4</v>
      </c>
      <c r="H25" s="71">
        <f>IFERROR(s_DL/(up_RadSpec!$J25*s_IFBR_res_adj*s_CF_broccoli),".")</f>
        <v>6.6115702479338848E-4</v>
      </c>
      <c r="I25" s="71">
        <f>IFERROR(s_DL/(up_RadSpec!$J25*s_IFCB_res_adj*s_CF_cabbage),".")</f>
        <v>6.6115702479338848E-4</v>
      </c>
      <c r="J25" s="71">
        <f>IFERROR(s_DL/(up_RadSpec!$J25*s_IFCR_res_adj*s_CF_carrot),".")</f>
        <v>6.6115702479338848E-4</v>
      </c>
      <c r="K25" s="71">
        <f>IFERROR(s_DL/(up_RadSpec!$J25*s_IFCI_res_adj*s_CF_citrus),".")</f>
        <v>6.6115702479338848E-4</v>
      </c>
      <c r="L25" s="71">
        <f>IFERROR(s_DL/(up_RadSpec!$J25*s_IFCO_res_adj*s_CF_corn),".")</f>
        <v>6.6115702479338848E-4</v>
      </c>
      <c r="M25" s="71">
        <f>IFERROR(s_DL/(up_RadSpec!$J25*s_IFCU_res_adj*s_CF_cucumber),".")</f>
        <v>6.6115702479338848E-4</v>
      </c>
      <c r="N25" s="71">
        <f>IFERROR(s_DL/(up_RadSpec!$J25*s_IFLE_res_adj*s_CF_lettuce),".")</f>
        <v>6.6115702479338848E-4</v>
      </c>
      <c r="O25" s="71">
        <f>IFERROR(s_DL/(up_RadSpec!$J25*s_IFLI_res_adj*s_CF_lima_bean),".")</f>
        <v>6.6115702479338848E-4</v>
      </c>
      <c r="P25" s="71">
        <f>IFERROR(s_DL/(up_RadSpec!$J25*s_IFOK_res_adj*s_CF_okra),".")</f>
        <v>6.6115702479338848E-4</v>
      </c>
      <c r="Q25" s="71">
        <f>IFERROR(s_DL/(up_RadSpec!$J25*s_IFON_res_adj*s_CF_onion),".")</f>
        <v>6.6115702479338848E-4</v>
      </c>
      <c r="R25" s="71">
        <f>IFERROR(s_DL/(up_RadSpec!$J25*s_IFPC_res_adj*s_CF_peach),".")</f>
        <v>6.6115702479338848E-4</v>
      </c>
      <c r="S25" s="71">
        <f>IFERROR(s_DL/(up_RadSpec!$J25*s_IFPR_res_adj*s_CF_pear),".")</f>
        <v>6.6115702479338848E-4</v>
      </c>
      <c r="T25" s="71">
        <f>IFERROR(s_DL/(up_RadSpec!$J25*s_IFPE_res_adj*s_CF_peas),".")</f>
        <v>6.6115702479338848E-4</v>
      </c>
      <c r="U25" s="71">
        <f>IFERROR(s_DL/(up_RadSpec!$J25*s_IFPT_res_adj*s_CF_potato),".")</f>
        <v>6.6115702479338848E-4</v>
      </c>
      <c r="V25" s="71">
        <f>IFERROR(s_DL/(up_RadSpec!$J25*s_IFPU_res_adj*s_CF_pumpkin),".")</f>
        <v>6.6115702479338848E-4</v>
      </c>
      <c r="W25" s="71">
        <f>IFERROR(s_DL/(up_RadSpec!$J25*s_IFSN_res_adj*s_CF_snap_bean),".")</f>
        <v>6.6115702479338848E-4</v>
      </c>
      <c r="X25" s="71">
        <f>IFERROR(s_DL/(up_RadSpec!$J25*s_IFST_res_adj*s_CF_strawberry),".")</f>
        <v>6.6115702479338848E-4</v>
      </c>
      <c r="Y25" s="71">
        <f>IFERROR(s_DL/(up_RadSpec!$J25*s_IFTO_res_adj*s_CF_tomato),".")</f>
        <v>6.6115702479338848E-4</v>
      </c>
      <c r="Z25" s="71">
        <f>IFERROR(s_DL/(up_RadSpec!$J25*s_IFRI_res_adj*s_CF_rice),".")</f>
        <v>6.6115702479338848E-4</v>
      </c>
      <c r="AA25" s="71">
        <f>IFERROR(s_DL/(up_RadSpec!$J25*s_IFCG_res_adj*s_CF_cereal),".")</f>
        <v>6.6115702479338848E-4</v>
      </c>
      <c r="AB25" s="71">
        <f t="shared" si="25"/>
        <v>2.2038567493112948E-4</v>
      </c>
      <c r="AC25" s="71">
        <f>IFERROR(s_DL/(up_RadSpec!$J25*s_IFAP_far_adj*s_CF_apple),".")</f>
        <v>6.6115702479338848E-4</v>
      </c>
      <c r="AD25" s="71">
        <f>IFERROR(s_DL/(up_RadSpec!$J25*s_IFAS_far_adj*s_CF_asparagus),".")</f>
        <v>6.6115702479338848E-4</v>
      </c>
      <c r="AE25" s="71">
        <f>IFERROR(s_DL/(up_RadSpec!$J25*s_IFBT_far_adj*s_CF_beet),".")</f>
        <v>6.6115702479338848E-4</v>
      </c>
      <c r="AF25" s="71">
        <f>IFERROR(s_DL/(up_RadSpec!$J25*s_IFBE_far_adj*s_CF_berries),".")</f>
        <v>6.6115702479338848E-4</v>
      </c>
      <c r="AG25" s="71">
        <f>IFERROR(s_DL/(up_RadSpec!$J25*s_IFBR_far_adj*s_CF_broccoli),".")</f>
        <v>6.6115702479338848E-4</v>
      </c>
      <c r="AH25" s="71">
        <f>IFERROR(s_DL/(up_RadSpec!$J25*s_IFCB_far_adj*s_CF_cabbage),".")</f>
        <v>6.6115702479338848E-4</v>
      </c>
      <c r="AI25" s="71">
        <f>IFERROR(s_DL/(up_RadSpec!$J25*s_IFCR_far_adj*s_CF_carrot),".")</f>
        <v>6.6115702479338848E-4</v>
      </c>
      <c r="AJ25" s="71">
        <f>IFERROR(s_DL/(up_RadSpec!$J25*s_IFCI_far_adj*s_CF_citrus),".")</f>
        <v>6.6115702479338848E-4</v>
      </c>
      <c r="AK25" s="71">
        <f>IFERROR(s_DL/(up_RadSpec!$J25*s_IFCO_far_adj*s_CF_corn),".")</f>
        <v>6.6115702479338848E-4</v>
      </c>
      <c r="AL25" s="71">
        <f>IFERROR(s_DL/(up_RadSpec!$J25*s_IFCU_far_adj*s_CF_cucumber),".")</f>
        <v>6.6115702479338848E-4</v>
      </c>
      <c r="AM25" s="71">
        <f>IFERROR(s_DL/(up_RadSpec!$J25*s_IFLE_far_adj*s_CF_lettuce),".")</f>
        <v>6.6115702479338848E-4</v>
      </c>
      <c r="AN25" s="71">
        <f>IFERROR(s_DL/(up_RadSpec!$J25*s_IFLI_far_adj*s_CF_lima_bean),".")</f>
        <v>6.6115702479338848E-4</v>
      </c>
      <c r="AO25" s="71">
        <f>IFERROR(s_DL/(up_RadSpec!$J25*s_IFOK_far_adj*s_CF_okra),".")</f>
        <v>6.6115702479338848E-4</v>
      </c>
      <c r="AP25" s="71">
        <f>IFERROR(s_DL/(up_RadSpec!$J25*s_IFON_far_adj*s_CF_onion),".")</f>
        <v>6.6115702479338848E-4</v>
      </c>
      <c r="AQ25" s="71">
        <f>IFERROR(s_DL/(up_RadSpec!$J25*s_IFPC_far_adj*s_CF_peach),".")</f>
        <v>6.6115702479338848E-4</v>
      </c>
      <c r="AR25" s="71">
        <f>IFERROR(s_DL/(up_RadSpec!$J25*s_IFPR_far_adj*s_CF_pear),".")</f>
        <v>6.6115702479338848E-4</v>
      </c>
      <c r="AS25" s="71">
        <f>IFERROR(s_DL/(up_RadSpec!$J25*s_IFPE_far_adj*s_CF_peas),".")</f>
        <v>6.6115702479338848E-4</v>
      </c>
      <c r="AT25" s="71">
        <f>IFERROR(s_DL/(up_RadSpec!$J25*s_IFPT_far_adj*s_CF_potato),".")</f>
        <v>6.6115702479338848E-4</v>
      </c>
      <c r="AU25" s="71">
        <f>IFERROR(s_DL/(up_RadSpec!$J25*s_IFPU_far_adj*s_CF_pumpkin),".")</f>
        <v>6.6115702479338848E-4</v>
      </c>
      <c r="AV25" s="71">
        <f>IFERROR(s_DL/(up_RadSpec!$J25*s_IFSN_far_adj*s_CF_snap_bean),".")</f>
        <v>6.6115702479338848E-4</v>
      </c>
      <c r="AW25" s="71">
        <f>IFERROR(s_DL/(up_RadSpec!$J25*s_IFST_far_adj*s_CF_strawberry),".")</f>
        <v>6.6115702479338848E-4</v>
      </c>
      <c r="AX25" s="71">
        <f>IFERROR(s_DL/(up_RadSpec!$J25*s_IFTO_far_adj*s_CF_tomato),".")</f>
        <v>6.6115702479338848E-4</v>
      </c>
      <c r="AY25" s="71">
        <f>IFERROR(s_DL/(up_RadSpec!$J25*s_IFRI_far_adj*s_CF_rice),".")</f>
        <v>6.6115702479338848E-4</v>
      </c>
      <c r="AZ25" s="71">
        <f>IFERROR(s_DL/(up_RadSpec!$J25*s_IFCG_far_adj*s_CF_cereal),".")</f>
        <v>6.6115702479338848E-4</v>
      </c>
      <c r="BA25" s="10">
        <f t="shared" si="27"/>
        <v>22687.5</v>
      </c>
      <c r="BB25" s="62">
        <f t="shared" si="0"/>
        <v>7562.5</v>
      </c>
      <c r="BC25" s="62">
        <f t="shared" si="1"/>
        <v>7562.5</v>
      </c>
      <c r="BD25" s="62">
        <f t="shared" si="2"/>
        <v>7562.5</v>
      </c>
      <c r="BE25" s="62">
        <f t="shared" si="3"/>
        <v>7562.5</v>
      </c>
      <c r="BF25" s="62">
        <f t="shared" si="4"/>
        <v>7562.5</v>
      </c>
      <c r="BG25" s="62">
        <f t="shared" si="5"/>
        <v>7562.5</v>
      </c>
      <c r="BH25" s="62">
        <f t="shared" si="6"/>
        <v>7562.5</v>
      </c>
      <c r="BI25" s="62">
        <f t="shared" si="7"/>
        <v>7562.5</v>
      </c>
      <c r="BJ25" s="62">
        <f t="shared" si="8"/>
        <v>7562.5</v>
      </c>
      <c r="BK25" s="62">
        <f t="shared" si="9"/>
        <v>7562.5</v>
      </c>
      <c r="BL25" s="62">
        <f t="shared" si="10"/>
        <v>7562.5</v>
      </c>
      <c r="BM25" s="62">
        <f t="shared" si="11"/>
        <v>7562.5</v>
      </c>
      <c r="BN25" s="62">
        <f t="shared" si="12"/>
        <v>7562.5</v>
      </c>
      <c r="BO25" s="62">
        <f t="shared" si="13"/>
        <v>7562.5</v>
      </c>
      <c r="BP25" s="62">
        <f t="shared" si="14"/>
        <v>7562.5</v>
      </c>
      <c r="BQ25" s="62">
        <f t="shared" si="15"/>
        <v>7562.5</v>
      </c>
      <c r="BR25" s="62">
        <f t="shared" si="16"/>
        <v>7562.5</v>
      </c>
      <c r="BS25" s="62">
        <f t="shared" si="17"/>
        <v>7562.5</v>
      </c>
      <c r="BT25" s="62">
        <f t="shared" si="18"/>
        <v>7562.5</v>
      </c>
      <c r="BU25" s="62">
        <f t="shared" si="19"/>
        <v>7562.5</v>
      </c>
      <c r="BV25" s="62">
        <f t="shared" si="20"/>
        <v>7562.5</v>
      </c>
      <c r="BW25" s="62">
        <f t="shared" si="21"/>
        <v>7562.5</v>
      </c>
      <c r="BX25" s="62">
        <f t="shared" si="22"/>
        <v>7562.5</v>
      </c>
      <c r="BY25" s="62">
        <f t="shared" si="23"/>
        <v>7562.5</v>
      </c>
    </row>
    <row r="26" spans="1:77" x14ac:dyDescent="0.25">
      <c r="A26" s="61" t="s">
        <v>24</v>
      </c>
      <c r="B26" s="49" t="s">
        <v>1059</v>
      </c>
      <c r="C26" s="71">
        <f t="shared" si="24"/>
        <v>2.2038567493112948E-4</v>
      </c>
      <c r="D26" s="71">
        <f>IFERROR(s_DL/(up_RadSpec!$J26*s_IFAP_res_adj*s_CF_apple),".")</f>
        <v>6.6115702479338848E-4</v>
      </c>
      <c r="E26" s="71">
        <f>IFERROR(s_DL/(up_RadSpec!$J26*s_IFAS_res_adj*s_CF_asparagus),".")</f>
        <v>6.6115702479338848E-4</v>
      </c>
      <c r="F26" s="71">
        <f>IFERROR(s_DL/(up_RadSpec!$J26*s_IFBT_res_adj*s_CF_beet),".")</f>
        <v>6.6115702479338848E-4</v>
      </c>
      <c r="G26" s="71">
        <f>IFERROR(s_DL/(up_RadSpec!$J26*s_IFBE_res_adj*s_CF_berries),".")</f>
        <v>6.6115702479338848E-4</v>
      </c>
      <c r="H26" s="71">
        <f>IFERROR(s_DL/(up_RadSpec!$J26*s_IFBR_res_adj*s_CF_broccoli),".")</f>
        <v>6.6115702479338848E-4</v>
      </c>
      <c r="I26" s="71">
        <f>IFERROR(s_DL/(up_RadSpec!$J26*s_IFCB_res_adj*s_CF_cabbage),".")</f>
        <v>6.6115702479338848E-4</v>
      </c>
      <c r="J26" s="71">
        <f>IFERROR(s_DL/(up_RadSpec!$J26*s_IFCR_res_adj*s_CF_carrot),".")</f>
        <v>6.6115702479338848E-4</v>
      </c>
      <c r="K26" s="71">
        <f>IFERROR(s_DL/(up_RadSpec!$J26*s_IFCI_res_adj*s_CF_citrus),".")</f>
        <v>6.6115702479338848E-4</v>
      </c>
      <c r="L26" s="71">
        <f>IFERROR(s_DL/(up_RadSpec!$J26*s_IFCO_res_adj*s_CF_corn),".")</f>
        <v>6.6115702479338848E-4</v>
      </c>
      <c r="M26" s="71">
        <f>IFERROR(s_DL/(up_RadSpec!$J26*s_IFCU_res_adj*s_CF_cucumber),".")</f>
        <v>6.6115702479338848E-4</v>
      </c>
      <c r="N26" s="71">
        <f>IFERROR(s_DL/(up_RadSpec!$J26*s_IFLE_res_adj*s_CF_lettuce),".")</f>
        <v>6.6115702479338848E-4</v>
      </c>
      <c r="O26" s="71">
        <f>IFERROR(s_DL/(up_RadSpec!$J26*s_IFLI_res_adj*s_CF_lima_bean),".")</f>
        <v>6.6115702479338848E-4</v>
      </c>
      <c r="P26" s="71">
        <f>IFERROR(s_DL/(up_RadSpec!$J26*s_IFOK_res_adj*s_CF_okra),".")</f>
        <v>6.6115702479338848E-4</v>
      </c>
      <c r="Q26" s="71">
        <f>IFERROR(s_DL/(up_RadSpec!$J26*s_IFON_res_adj*s_CF_onion),".")</f>
        <v>6.6115702479338848E-4</v>
      </c>
      <c r="R26" s="71">
        <f>IFERROR(s_DL/(up_RadSpec!$J26*s_IFPC_res_adj*s_CF_peach),".")</f>
        <v>6.6115702479338848E-4</v>
      </c>
      <c r="S26" s="71">
        <f>IFERROR(s_DL/(up_RadSpec!$J26*s_IFPR_res_adj*s_CF_pear),".")</f>
        <v>6.6115702479338848E-4</v>
      </c>
      <c r="T26" s="71">
        <f>IFERROR(s_DL/(up_RadSpec!$J26*s_IFPE_res_adj*s_CF_peas),".")</f>
        <v>6.6115702479338848E-4</v>
      </c>
      <c r="U26" s="71">
        <f>IFERROR(s_DL/(up_RadSpec!$J26*s_IFPT_res_adj*s_CF_potato),".")</f>
        <v>6.6115702479338848E-4</v>
      </c>
      <c r="V26" s="71">
        <f>IFERROR(s_DL/(up_RadSpec!$J26*s_IFPU_res_adj*s_CF_pumpkin),".")</f>
        <v>6.6115702479338848E-4</v>
      </c>
      <c r="W26" s="71">
        <f>IFERROR(s_DL/(up_RadSpec!$J26*s_IFSN_res_adj*s_CF_snap_bean),".")</f>
        <v>6.6115702479338848E-4</v>
      </c>
      <c r="X26" s="71">
        <f>IFERROR(s_DL/(up_RadSpec!$J26*s_IFST_res_adj*s_CF_strawberry),".")</f>
        <v>6.6115702479338848E-4</v>
      </c>
      <c r="Y26" s="71">
        <f>IFERROR(s_DL/(up_RadSpec!$J26*s_IFTO_res_adj*s_CF_tomato),".")</f>
        <v>6.6115702479338848E-4</v>
      </c>
      <c r="Z26" s="71">
        <f>IFERROR(s_DL/(up_RadSpec!$J26*s_IFRI_res_adj*s_CF_rice),".")</f>
        <v>6.6115702479338848E-4</v>
      </c>
      <c r="AA26" s="71">
        <f>IFERROR(s_DL/(up_RadSpec!$J26*s_IFCG_res_adj*s_CF_cereal),".")</f>
        <v>6.6115702479338848E-4</v>
      </c>
      <c r="AB26" s="71">
        <f t="shared" si="25"/>
        <v>2.2038567493112948E-4</v>
      </c>
      <c r="AC26" s="71">
        <f>IFERROR(s_DL/(up_RadSpec!$J26*s_IFAP_far_adj*s_CF_apple),".")</f>
        <v>6.6115702479338848E-4</v>
      </c>
      <c r="AD26" s="71">
        <f>IFERROR(s_DL/(up_RadSpec!$J26*s_IFAS_far_adj*s_CF_asparagus),".")</f>
        <v>6.6115702479338848E-4</v>
      </c>
      <c r="AE26" s="71">
        <f>IFERROR(s_DL/(up_RadSpec!$J26*s_IFBT_far_adj*s_CF_beet),".")</f>
        <v>6.6115702479338848E-4</v>
      </c>
      <c r="AF26" s="71">
        <f>IFERROR(s_DL/(up_RadSpec!$J26*s_IFBE_far_adj*s_CF_berries),".")</f>
        <v>6.6115702479338848E-4</v>
      </c>
      <c r="AG26" s="71">
        <f>IFERROR(s_DL/(up_RadSpec!$J26*s_IFBR_far_adj*s_CF_broccoli),".")</f>
        <v>6.6115702479338848E-4</v>
      </c>
      <c r="AH26" s="71">
        <f>IFERROR(s_DL/(up_RadSpec!$J26*s_IFCB_far_adj*s_CF_cabbage),".")</f>
        <v>6.6115702479338848E-4</v>
      </c>
      <c r="AI26" s="71">
        <f>IFERROR(s_DL/(up_RadSpec!$J26*s_IFCR_far_adj*s_CF_carrot),".")</f>
        <v>6.6115702479338848E-4</v>
      </c>
      <c r="AJ26" s="71">
        <f>IFERROR(s_DL/(up_RadSpec!$J26*s_IFCI_far_adj*s_CF_citrus),".")</f>
        <v>6.6115702479338848E-4</v>
      </c>
      <c r="AK26" s="71">
        <f>IFERROR(s_DL/(up_RadSpec!$J26*s_IFCO_far_adj*s_CF_corn),".")</f>
        <v>6.6115702479338848E-4</v>
      </c>
      <c r="AL26" s="71">
        <f>IFERROR(s_DL/(up_RadSpec!$J26*s_IFCU_far_adj*s_CF_cucumber),".")</f>
        <v>6.6115702479338848E-4</v>
      </c>
      <c r="AM26" s="71">
        <f>IFERROR(s_DL/(up_RadSpec!$J26*s_IFLE_far_adj*s_CF_lettuce),".")</f>
        <v>6.6115702479338848E-4</v>
      </c>
      <c r="AN26" s="71">
        <f>IFERROR(s_DL/(up_RadSpec!$J26*s_IFLI_far_adj*s_CF_lima_bean),".")</f>
        <v>6.6115702479338848E-4</v>
      </c>
      <c r="AO26" s="71">
        <f>IFERROR(s_DL/(up_RadSpec!$J26*s_IFOK_far_adj*s_CF_okra),".")</f>
        <v>6.6115702479338848E-4</v>
      </c>
      <c r="AP26" s="71">
        <f>IFERROR(s_DL/(up_RadSpec!$J26*s_IFON_far_adj*s_CF_onion),".")</f>
        <v>6.6115702479338848E-4</v>
      </c>
      <c r="AQ26" s="71">
        <f>IFERROR(s_DL/(up_RadSpec!$J26*s_IFPC_far_adj*s_CF_peach),".")</f>
        <v>6.6115702479338848E-4</v>
      </c>
      <c r="AR26" s="71">
        <f>IFERROR(s_DL/(up_RadSpec!$J26*s_IFPR_far_adj*s_CF_pear),".")</f>
        <v>6.6115702479338848E-4</v>
      </c>
      <c r="AS26" s="71">
        <f>IFERROR(s_DL/(up_RadSpec!$J26*s_IFPE_far_adj*s_CF_peas),".")</f>
        <v>6.6115702479338848E-4</v>
      </c>
      <c r="AT26" s="71">
        <f>IFERROR(s_DL/(up_RadSpec!$J26*s_IFPT_far_adj*s_CF_potato),".")</f>
        <v>6.6115702479338848E-4</v>
      </c>
      <c r="AU26" s="71">
        <f>IFERROR(s_DL/(up_RadSpec!$J26*s_IFPU_far_adj*s_CF_pumpkin),".")</f>
        <v>6.6115702479338848E-4</v>
      </c>
      <c r="AV26" s="71">
        <f>IFERROR(s_DL/(up_RadSpec!$J26*s_IFSN_far_adj*s_CF_snap_bean),".")</f>
        <v>6.6115702479338848E-4</v>
      </c>
      <c r="AW26" s="71">
        <f>IFERROR(s_DL/(up_RadSpec!$J26*s_IFST_far_adj*s_CF_strawberry),".")</f>
        <v>6.6115702479338848E-4</v>
      </c>
      <c r="AX26" s="71">
        <f>IFERROR(s_DL/(up_RadSpec!$J26*s_IFTO_far_adj*s_CF_tomato),".")</f>
        <v>6.6115702479338848E-4</v>
      </c>
      <c r="AY26" s="71">
        <f>IFERROR(s_DL/(up_RadSpec!$J26*s_IFRI_far_adj*s_CF_rice),".")</f>
        <v>6.6115702479338848E-4</v>
      </c>
      <c r="AZ26" s="71">
        <f>IFERROR(s_DL/(up_RadSpec!$J26*s_IFCG_far_adj*s_CF_cereal),".")</f>
        <v>6.6115702479338848E-4</v>
      </c>
      <c r="BA26" s="10">
        <f t="shared" si="27"/>
        <v>22687.5</v>
      </c>
      <c r="BB26" s="62">
        <f t="shared" si="0"/>
        <v>7562.5</v>
      </c>
      <c r="BC26" s="62">
        <f t="shared" si="1"/>
        <v>7562.5</v>
      </c>
      <c r="BD26" s="62">
        <f t="shared" si="2"/>
        <v>7562.5</v>
      </c>
      <c r="BE26" s="62">
        <f t="shared" si="3"/>
        <v>7562.5</v>
      </c>
      <c r="BF26" s="62">
        <f t="shared" si="4"/>
        <v>7562.5</v>
      </c>
      <c r="BG26" s="62">
        <f t="shared" si="5"/>
        <v>7562.5</v>
      </c>
      <c r="BH26" s="62">
        <f t="shared" si="6"/>
        <v>7562.5</v>
      </c>
      <c r="BI26" s="62">
        <f t="shared" si="7"/>
        <v>7562.5</v>
      </c>
      <c r="BJ26" s="62">
        <f t="shared" si="8"/>
        <v>7562.5</v>
      </c>
      <c r="BK26" s="62">
        <f t="shared" si="9"/>
        <v>7562.5</v>
      </c>
      <c r="BL26" s="62">
        <f t="shared" si="10"/>
        <v>7562.5</v>
      </c>
      <c r="BM26" s="62">
        <f t="shared" si="11"/>
        <v>7562.5</v>
      </c>
      <c r="BN26" s="62">
        <f t="shared" si="12"/>
        <v>7562.5</v>
      </c>
      <c r="BO26" s="62">
        <f t="shared" si="13"/>
        <v>7562.5</v>
      </c>
      <c r="BP26" s="62">
        <f t="shared" si="14"/>
        <v>7562.5</v>
      </c>
      <c r="BQ26" s="62">
        <f t="shared" si="15"/>
        <v>7562.5</v>
      </c>
      <c r="BR26" s="62">
        <f t="shared" si="16"/>
        <v>7562.5</v>
      </c>
      <c r="BS26" s="62">
        <f t="shared" si="17"/>
        <v>7562.5</v>
      </c>
      <c r="BT26" s="62">
        <f t="shared" si="18"/>
        <v>7562.5</v>
      </c>
      <c r="BU26" s="62">
        <f t="shared" si="19"/>
        <v>7562.5</v>
      </c>
      <c r="BV26" s="62">
        <f t="shared" si="20"/>
        <v>7562.5</v>
      </c>
      <c r="BW26" s="62">
        <f t="shared" si="21"/>
        <v>7562.5</v>
      </c>
      <c r="BX26" s="62">
        <f t="shared" si="22"/>
        <v>7562.5</v>
      </c>
      <c r="BY26" s="62">
        <f t="shared" si="23"/>
        <v>7562.5</v>
      </c>
    </row>
    <row r="27" spans="1:77" x14ac:dyDescent="0.25">
      <c r="A27" s="61" t="s">
        <v>25</v>
      </c>
      <c r="B27" s="49" t="s">
        <v>1059</v>
      </c>
      <c r="C27" s="71">
        <f t="shared" si="24"/>
        <v>2.2038567493112948E-4</v>
      </c>
      <c r="D27" s="71">
        <f>IFERROR(s_DL/(up_RadSpec!$J27*s_IFAP_res_adj*s_CF_apple),".")</f>
        <v>6.6115702479338848E-4</v>
      </c>
      <c r="E27" s="71">
        <f>IFERROR(s_DL/(up_RadSpec!$J27*s_IFAS_res_adj*s_CF_asparagus),".")</f>
        <v>6.6115702479338848E-4</v>
      </c>
      <c r="F27" s="71">
        <f>IFERROR(s_DL/(up_RadSpec!$J27*s_IFBT_res_adj*s_CF_beet),".")</f>
        <v>6.6115702479338848E-4</v>
      </c>
      <c r="G27" s="71">
        <f>IFERROR(s_DL/(up_RadSpec!$J27*s_IFBE_res_adj*s_CF_berries),".")</f>
        <v>6.6115702479338848E-4</v>
      </c>
      <c r="H27" s="71">
        <f>IFERROR(s_DL/(up_RadSpec!$J27*s_IFBR_res_adj*s_CF_broccoli),".")</f>
        <v>6.6115702479338848E-4</v>
      </c>
      <c r="I27" s="71">
        <f>IFERROR(s_DL/(up_RadSpec!$J27*s_IFCB_res_adj*s_CF_cabbage),".")</f>
        <v>6.6115702479338848E-4</v>
      </c>
      <c r="J27" s="71">
        <f>IFERROR(s_DL/(up_RadSpec!$J27*s_IFCR_res_adj*s_CF_carrot),".")</f>
        <v>6.6115702479338848E-4</v>
      </c>
      <c r="K27" s="71">
        <f>IFERROR(s_DL/(up_RadSpec!$J27*s_IFCI_res_adj*s_CF_citrus),".")</f>
        <v>6.6115702479338848E-4</v>
      </c>
      <c r="L27" s="71">
        <f>IFERROR(s_DL/(up_RadSpec!$J27*s_IFCO_res_adj*s_CF_corn),".")</f>
        <v>6.6115702479338848E-4</v>
      </c>
      <c r="M27" s="71">
        <f>IFERROR(s_DL/(up_RadSpec!$J27*s_IFCU_res_adj*s_CF_cucumber),".")</f>
        <v>6.6115702479338848E-4</v>
      </c>
      <c r="N27" s="71">
        <f>IFERROR(s_DL/(up_RadSpec!$J27*s_IFLE_res_adj*s_CF_lettuce),".")</f>
        <v>6.6115702479338848E-4</v>
      </c>
      <c r="O27" s="71">
        <f>IFERROR(s_DL/(up_RadSpec!$J27*s_IFLI_res_adj*s_CF_lima_bean),".")</f>
        <v>6.6115702479338848E-4</v>
      </c>
      <c r="P27" s="71">
        <f>IFERROR(s_DL/(up_RadSpec!$J27*s_IFOK_res_adj*s_CF_okra),".")</f>
        <v>6.6115702479338848E-4</v>
      </c>
      <c r="Q27" s="71">
        <f>IFERROR(s_DL/(up_RadSpec!$J27*s_IFON_res_adj*s_CF_onion),".")</f>
        <v>6.6115702479338848E-4</v>
      </c>
      <c r="R27" s="71">
        <f>IFERROR(s_DL/(up_RadSpec!$J27*s_IFPC_res_adj*s_CF_peach),".")</f>
        <v>6.6115702479338848E-4</v>
      </c>
      <c r="S27" s="71">
        <f>IFERROR(s_DL/(up_RadSpec!$J27*s_IFPR_res_adj*s_CF_pear),".")</f>
        <v>6.6115702479338848E-4</v>
      </c>
      <c r="T27" s="71">
        <f>IFERROR(s_DL/(up_RadSpec!$J27*s_IFPE_res_adj*s_CF_peas),".")</f>
        <v>6.6115702479338848E-4</v>
      </c>
      <c r="U27" s="71">
        <f>IFERROR(s_DL/(up_RadSpec!$J27*s_IFPT_res_adj*s_CF_potato),".")</f>
        <v>6.6115702479338848E-4</v>
      </c>
      <c r="V27" s="71">
        <f>IFERROR(s_DL/(up_RadSpec!$J27*s_IFPU_res_adj*s_CF_pumpkin),".")</f>
        <v>6.6115702479338848E-4</v>
      </c>
      <c r="W27" s="71">
        <f>IFERROR(s_DL/(up_RadSpec!$J27*s_IFSN_res_adj*s_CF_snap_bean),".")</f>
        <v>6.6115702479338848E-4</v>
      </c>
      <c r="X27" s="71">
        <f>IFERROR(s_DL/(up_RadSpec!$J27*s_IFST_res_adj*s_CF_strawberry),".")</f>
        <v>6.6115702479338848E-4</v>
      </c>
      <c r="Y27" s="71">
        <f>IFERROR(s_DL/(up_RadSpec!$J27*s_IFTO_res_adj*s_CF_tomato),".")</f>
        <v>6.6115702479338848E-4</v>
      </c>
      <c r="Z27" s="71">
        <f>IFERROR(s_DL/(up_RadSpec!$J27*s_IFRI_res_adj*s_CF_rice),".")</f>
        <v>6.6115702479338848E-4</v>
      </c>
      <c r="AA27" s="71">
        <f>IFERROR(s_DL/(up_RadSpec!$J27*s_IFCG_res_adj*s_CF_cereal),".")</f>
        <v>6.6115702479338848E-4</v>
      </c>
      <c r="AB27" s="71">
        <f t="shared" si="25"/>
        <v>2.2038567493112948E-4</v>
      </c>
      <c r="AC27" s="71">
        <f>IFERROR(s_DL/(up_RadSpec!$J27*s_IFAP_far_adj*s_CF_apple),".")</f>
        <v>6.6115702479338848E-4</v>
      </c>
      <c r="AD27" s="71">
        <f>IFERROR(s_DL/(up_RadSpec!$J27*s_IFAS_far_adj*s_CF_asparagus),".")</f>
        <v>6.6115702479338848E-4</v>
      </c>
      <c r="AE27" s="71">
        <f>IFERROR(s_DL/(up_RadSpec!$J27*s_IFBT_far_adj*s_CF_beet),".")</f>
        <v>6.6115702479338848E-4</v>
      </c>
      <c r="AF27" s="71">
        <f>IFERROR(s_DL/(up_RadSpec!$J27*s_IFBE_far_adj*s_CF_berries),".")</f>
        <v>6.6115702479338848E-4</v>
      </c>
      <c r="AG27" s="71">
        <f>IFERROR(s_DL/(up_RadSpec!$J27*s_IFBR_far_adj*s_CF_broccoli),".")</f>
        <v>6.6115702479338848E-4</v>
      </c>
      <c r="AH27" s="71">
        <f>IFERROR(s_DL/(up_RadSpec!$J27*s_IFCB_far_adj*s_CF_cabbage),".")</f>
        <v>6.6115702479338848E-4</v>
      </c>
      <c r="AI27" s="71">
        <f>IFERROR(s_DL/(up_RadSpec!$J27*s_IFCR_far_adj*s_CF_carrot),".")</f>
        <v>6.6115702479338848E-4</v>
      </c>
      <c r="AJ27" s="71">
        <f>IFERROR(s_DL/(up_RadSpec!$J27*s_IFCI_far_adj*s_CF_citrus),".")</f>
        <v>6.6115702479338848E-4</v>
      </c>
      <c r="AK27" s="71">
        <f>IFERROR(s_DL/(up_RadSpec!$J27*s_IFCO_far_adj*s_CF_corn),".")</f>
        <v>6.6115702479338848E-4</v>
      </c>
      <c r="AL27" s="71">
        <f>IFERROR(s_DL/(up_RadSpec!$J27*s_IFCU_far_adj*s_CF_cucumber),".")</f>
        <v>6.6115702479338848E-4</v>
      </c>
      <c r="AM27" s="71">
        <f>IFERROR(s_DL/(up_RadSpec!$J27*s_IFLE_far_adj*s_CF_lettuce),".")</f>
        <v>6.6115702479338848E-4</v>
      </c>
      <c r="AN27" s="71">
        <f>IFERROR(s_DL/(up_RadSpec!$J27*s_IFLI_far_adj*s_CF_lima_bean),".")</f>
        <v>6.6115702479338848E-4</v>
      </c>
      <c r="AO27" s="71">
        <f>IFERROR(s_DL/(up_RadSpec!$J27*s_IFOK_far_adj*s_CF_okra),".")</f>
        <v>6.6115702479338848E-4</v>
      </c>
      <c r="AP27" s="71">
        <f>IFERROR(s_DL/(up_RadSpec!$J27*s_IFON_far_adj*s_CF_onion),".")</f>
        <v>6.6115702479338848E-4</v>
      </c>
      <c r="AQ27" s="71">
        <f>IFERROR(s_DL/(up_RadSpec!$J27*s_IFPC_far_adj*s_CF_peach),".")</f>
        <v>6.6115702479338848E-4</v>
      </c>
      <c r="AR27" s="71">
        <f>IFERROR(s_DL/(up_RadSpec!$J27*s_IFPR_far_adj*s_CF_pear),".")</f>
        <v>6.6115702479338848E-4</v>
      </c>
      <c r="AS27" s="71">
        <f>IFERROR(s_DL/(up_RadSpec!$J27*s_IFPE_far_adj*s_CF_peas),".")</f>
        <v>6.6115702479338848E-4</v>
      </c>
      <c r="AT27" s="71">
        <f>IFERROR(s_DL/(up_RadSpec!$J27*s_IFPT_far_adj*s_CF_potato),".")</f>
        <v>6.6115702479338848E-4</v>
      </c>
      <c r="AU27" s="71">
        <f>IFERROR(s_DL/(up_RadSpec!$J27*s_IFPU_far_adj*s_CF_pumpkin),".")</f>
        <v>6.6115702479338848E-4</v>
      </c>
      <c r="AV27" s="71">
        <f>IFERROR(s_DL/(up_RadSpec!$J27*s_IFSN_far_adj*s_CF_snap_bean),".")</f>
        <v>6.6115702479338848E-4</v>
      </c>
      <c r="AW27" s="71">
        <f>IFERROR(s_DL/(up_RadSpec!$J27*s_IFST_far_adj*s_CF_strawberry),".")</f>
        <v>6.6115702479338848E-4</v>
      </c>
      <c r="AX27" s="71">
        <f>IFERROR(s_DL/(up_RadSpec!$J27*s_IFTO_far_adj*s_CF_tomato),".")</f>
        <v>6.6115702479338848E-4</v>
      </c>
      <c r="AY27" s="71">
        <f>IFERROR(s_DL/(up_RadSpec!$J27*s_IFRI_far_adj*s_CF_rice),".")</f>
        <v>6.6115702479338848E-4</v>
      </c>
      <c r="AZ27" s="71">
        <f>IFERROR(s_DL/(up_RadSpec!$J27*s_IFCG_far_adj*s_CF_cereal),".")</f>
        <v>6.6115702479338848E-4</v>
      </c>
      <c r="BA27" s="10">
        <f t="shared" si="27"/>
        <v>22687.5</v>
      </c>
      <c r="BB27" s="62">
        <f t="shared" si="0"/>
        <v>7562.5</v>
      </c>
      <c r="BC27" s="62">
        <f t="shared" si="1"/>
        <v>7562.5</v>
      </c>
      <c r="BD27" s="62">
        <f t="shared" si="2"/>
        <v>7562.5</v>
      </c>
      <c r="BE27" s="62">
        <f t="shared" si="3"/>
        <v>7562.5</v>
      </c>
      <c r="BF27" s="62">
        <f t="shared" si="4"/>
        <v>7562.5</v>
      </c>
      <c r="BG27" s="62">
        <f t="shared" si="5"/>
        <v>7562.5</v>
      </c>
      <c r="BH27" s="62">
        <f t="shared" si="6"/>
        <v>7562.5</v>
      </c>
      <c r="BI27" s="62">
        <f t="shared" si="7"/>
        <v>7562.5</v>
      </c>
      <c r="BJ27" s="62">
        <f t="shared" si="8"/>
        <v>7562.5</v>
      </c>
      <c r="BK27" s="62">
        <f t="shared" si="9"/>
        <v>7562.5</v>
      </c>
      <c r="BL27" s="62">
        <f t="shared" si="10"/>
        <v>7562.5</v>
      </c>
      <c r="BM27" s="62">
        <f t="shared" si="11"/>
        <v>7562.5</v>
      </c>
      <c r="BN27" s="62">
        <f t="shared" si="12"/>
        <v>7562.5</v>
      </c>
      <c r="BO27" s="62">
        <f t="shared" si="13"/>
        <v>7562.5</v>
      </c>
      <c r="BP27" s="62">
        <f t="shared" si="14"/>
        <v>7562.5</v>
      </c>
      <c r="BQ27" s="62">
        <f t="shared" si="15"/>
        <v>7562.5</v>
      </c>
      <c r="BR27" s="62">
        <f t="shared" si="16"/>
        <v>7562.5</v>
      </c>
      <c r="BS27" s="62">
        <f t="shared" si="17"/>
        <v>7562.5</v>
      </c>
      <c r="BT27" s="62">
        <f t="shared" si="18"/>
        <v>7562.5</v>
      </c>
      <c r="BU27" s="62">
        <f t="shared" si="19"/>
        <v>7562.5</v>
      </c>
      <c r="BV27" s="62">
        <f t="shared" si="20"/>
        <v>7562.5</v>
      </c>
      <c r="BW27" s="62">
        <f t="shared" si="21"/>
        <v>7562.5</v>
      </c>
      <c r="BX27" s="62">
        <f t="shared" si="22"/>
        <v>7562.5</v>
      </c>
      <c r="BY27" s="62">
        <f t="shared" si="23"/>
        <v>7562.5</v>
      </c>
    </row>
    <row r="28" spans="1:77" x14ac:dyDescent="0.25">
      <c r="A28" s="61" t="s">
        <v>26</v>
      </c>
      <c r="B28" s="49" t="s">
        <v>1059</v>
      </c>
      <c r="C28" s="71">
        <f t="shared" si="24"/>
        <v>2.2038567493112948E-4</v>
      </c>
      <c r="D28" s="71">
        <f>IFERROR(s_DL/(up_RadSpec!$J28*s_IFAP_res_adj*s_CF_apple),".")</f>
        <v>6.6115702479338848E-4</v>
      </c>
      <c r="E28" s="71">
        <f>IFERROR(s_DL/(up_RadSpec!$J28*s_IFAS_res_adj*s_CF_asparagus),".")</f>
        <v>6.6115702479338848E-4</v>
      </c>
      <c r="F28" s="71">
        <f>IFERROR(s_DL/(up_RadSpec!$J28*s_IFBT_res_adj*s_CF_beet),".")</f>
        <v>6.6115702479338848E-4</v>
      </c>
      <c r="G28" s="71">
        <f>IFERROR(s_DL/(up_RadSpec!$J28*s_IFBE_res_adj*s_CF_berries),".")</f>
        <v>6.6115702479338848E-4</v>
      </c>
      <c r="H28" s="71">
        <f>IFERROR(s_DL/(up_RadSpec!$J28*s_IFBR_res_adj*s_CF_broccoli),".")</f>
        <v>6.6115702479338848E-4</v>
      </c>
      <c r="I28" s="71">
        <f>IFERROR(s_DL/(up_RadSpec!$J28*s_IFCB_res_adj*s_CF_cabbage),".")</f>
        <v>6.6115702479338848E-4</v>
      </c>
      <c r="J28" s="71">
        <f>IFERROR(s_DL/(up_RadSpec!$J28*s_IFCR_res_adj*s_CF_carrot),".")</f>
        <v>6.6115702479338848E-4</v>
      </c>
      <c r="K28" s="71">
        <f>IFERROR(s_DL/(up_RadSpec!$J28*s_IFCI_res_adj*s_CF_citrus),".")</f>
        <v>6.6115702479338848E-4</v>
      </c>
      <c r="L28" s="71">
        <f>IFERROR(s_DL/(up_RadSpec!$J28*s_IFCO_res_adj*s_CF_corn),".")</f>
        <v>6.6115702479338848E-4</v>
      </c>
      <c r="M28" s="71">
        <f>IFERROR(s_DL/(up_RadSpec!$J28*s_IFCU_res_adj*s_CF_cucumber),".")</f>
        <v>6.6115702479338848E-4</v>
      </c>
      <c r="N28" s="71">
        <f>IFERROR(s_DL/(up_RadSpec!$J28*s_IFLE_res_adj*s_CF_lettuce),".")</f>
        <v>6.6115702479338848E-4</v>
      </c>
      <c r="O28" s="71">
        <f>IFERROR(s_DL/(up_RadSpec!$J28*s_IFLI_res_adj*s_CF_lima_bean),".")</f>
        <v>6.6115702479338848E-4</v>
      </c>
      <c r="P28" s="71">
        <f>IFERROR(s_DL/(up_RadSpec!$J28*s_IFOK_res_adj*s_CF_okra),".")</f>
        <v>6.6115702479338848E-4</v>
      </c>
      <c r="Q28" s="71">
        <f>IFERROR(s_DL/(up_RadSpec!$J28*s_IFON_res_adj*s_CF_onion),".")</f>
        <v>6.6115702479338848E-4</v>
      </c>
      <c r="R28" s="71">
        <f>IFERROR(s_DL/(up_RadSpec!$J28*s_IFPC_res_adj*s_CF_peach),".")</f>
        <v>6.6115702479338848E-4</v>
      </c>
      <c r="S28" s="71">
        <f>IFERROR(s_DL/(up_RadSpec!$J28*s_IFPR_res_adj*s_CF_pear),".")</f>
        <v>6.6115702479338848E-4</v>
      </c>
      <c r="T28" s="71">
        <f>IFERROR(s_DL/(up_RadSpec!$J28*s_IFPE_res_adj*s_CF_peas),".")</f>
        <v>6.6115702479338848E-4</v>
      </c>
      <c r="U28" s="71">
        <f>IFERROR(s_DL/(up_RadSpec!$J28*s_IFPT_res_adj*s_CF_potato),".")</f>
        <v>6.6115702479338848E-4</v>
      </c>
      <c r="V28" s="71">
        <f>IFERROR(s_DL/(up_RadSpec!$J28*s_IFPU_res_adj*s_CF_pumpkin),".")</f>
        <v>6.6115702479338848E-4</v>
      </c>
      <c r="W28" s="71">
        <f>IFERROR(s_DL/(up_RadSpec!$J28*s_IFSN_res_adj*s_CF_snap_bean),".")</f>
        <v>6.6115702479338848E-4</v>
      </c>
      <c r="X28" s="71">
        <f>IFERROR(s_DL/(up_RadSpec!$J28*s_IFST_res_adj*s_CF_strawberry),".")</f>
        <v>6.6115702479338848E-4</v>
      </c>
      <c r="Y28" s="71">
        <f>IFERROR(s_DL/(up_RadSpec!$J28*s_IFTO_res_adj*s_CF_tomato),".")</f>
        <v>6.6115702479338848E-4</v>
      </c>
      <c r="Z28" s="71">
        <f>IFERROR(s_DL/(up_RadSpec!$J28*s_IFRI_res_adj*s_CF_rice),".")</f>
        <v>6.6115702479338848E-4</v>
      </c>
      <c r="AA28" s="71">
        <f>IFERROR(s_DL/(up_RadSpec!$J28*s_IFCG_res_adj*s_CF_cereal),".")</f>
        <v>6.6115702479338848E-4</v>
      </c>
      <c r="AB28" s="71">
        <f t="shared" si="25"/>
        <v>2.2038567493112948E-4</v>
      </c>
      <c r="AC28" s="71">
        <f>IFERROR(s_DL/(up_RadSpec!$J28*s_IFAP_far_adj*s_CF_apple),".")</f>
        <v>6.6115702479338848E-4</v>
      </c>
      <c r="AD28" s="71">
        <f>IFERROR(s_DL/(up_RadSpec!$J28*s_IFAS_far_adj*s_CF_asparagus),".")</f>
        <v>6.6115702479338848E-4</v>
      </c>
      <c r="AE28" s="71">
        <f>IFERROR(s_DL/(up_RadSpec!$J28*s_IFBT_far_adj*s_CF_beet),".")</f>
        <v>6.6115702479338848E-4</v>
      </c>
      <c r="AF28" s="71">
        <f>IFERROR(s_DL/(up_RadSpec!$J28*s_IFBE_far_adj*s_CF_berries),".")</f>
        <v>6.6115702479338848E-4</v>
      </c>
      <c r="AG28" s="71">
        <f>IFERROR(s_DL/(up_RadSpec!$J28*s_IFBR_far_adj*s_CF_broccoli),".")</f>
        <v>6.6115702479338848E-4</v>
      </c>
      <c r="AH28" s="71">
        <f>IFERROR(s_DL/(up_RadSpec!$J28*s_IFCB_far_adj*s_CF_cabbage),".")</f>
        <v>6.6115702479338848E-4</v>
      </c>
      <c r="AI28" s="71">
        <f>IFERROR(s_DL/(up_RadSpec!$J28*s_IFCR_far_adj*s_CF_carrot),".")</f>
        <v>6.6115702479338848E-4</v>
      </c>
      <c r="AJ28" s="71">
        <f>IFERROR(s_DL/(up_RadSpec!$J28*s_IFCI_far_adj*s_CF_citrus),".")</f>
        <v>6.6115702479338848E-4</v>
      </c>
      <c r="AK28" s="71">
        <f>IFERROR(s_DL/(up_RadSpec!$J28*s_IFCO_far_adj*s_CF_corn),".")</f>
        <v>6.6115702479338848E-4</v>
      </c>
      <c r="AL28" s="71">
        <f>IFERROR(s_DL/(up_RadSpec!$J28*s_IFCU_far_adj*s_CF_cucumber),".")</f>
        <v>6.6115702479338848E-4</v>
      </c>
      <c r="AM28" s="71">
        <f>IFERROR(s_DL/(up_RadSpec!$J28*s_IFLE_far_adj*s_CF_lettuce),".")</f>
        <v>6.6115702479338848E-4</v>
      </c>
      <c r="AN28" s="71">
        <f>IFERROR(s_DL/(up_RadSpec!$J28*s_IFLI_far_adj*s_CF_lima_bean),".")</f>
        <v>6.6115702479338848E-4</v>
      </c>
      <c r="AO28" s="71">
        <f>IFERROR(s_DL/(up_RadSpec!$J28*s_IFOK_far_adj*s_CF_okra),".")</f>
        <v>6.6115702479338848E-4</v>
      </c>
      <c r="AP28" s="71">
        <f>IFERROR(s_DL/(up_RadSpec!$J28*s_IFON_far_adj*s_CF_onion),".")</f>
        <v>6.6115702479338848E-4</v>
      </c>
      <c r="AQ28" s="71">
        <f>IFERROR(s_DL/(up_RadSpec!$J28*s_IFPC_far_adj*s_CF_peach),".")</f>
        <v>6.6115702479338848E-4</v>
      </c>
      <c r="AR28" s="71">
        <f>IFERROR(s_DL/(up_RadSpec!$J28*s_IFPR_far_adj*s_CF_pear),".")</f>
        <v>6.6115702479338848E-4</v>
      </c>
      <c r="AS28" s="71">
        <f>IFERROR(s_DL/(up_RadSpec!$J28*s_IFPE_far_adj*s_CF_peas),".")</f>
        <v>6.6115702479338848E-4</v>
      </c>
      <c r="AT28" s="71">
        <f>IFERROR(s_DL/(up_RadSpec!$J28*s_IFPT_far_adj*s_CF_potato),".")</f>
        <v>6.6115702479338848E-4</v>
      </c>
      <c r="AU28" s="71">
        <f>IFERROR(s_DL/(up_RadSpec!$J28*s_IFPU_far_adj*s_CF_pumpkin),".")</f>
        <v>6.6115702479338848E-4</v>
      </c>
      <c r="AV28" s="71">
        <f>IFERROR(s_DL/(up_RadSpec!$J28*s_IFSN_far_adj*s_CF_snap_bean),".")</f>
        <v>6.6115702479338848E-4</v>
      </c>
      <c r="AW28" s="71">
        <f>IFERROR(s_DL/(up_RadSpec!$J28*s_IFST_far_adj*s_CF_strawberry),".")</f>
        <v>6.6115702479338848E-4</v>
      </c>
      <c r="AX28" s="71">
        <f>IFERROR(s_DL/(up_RadSpec!$J28*s_IFTO_far_adj*s_CF_tomato),".")</f>
        <v>6.6115702479338848E-4</v>
      </c>
      <c r="AY28" s="71">
        <f>IFERROR(s_DL/(up_RadSpec!$J28*s_IFRI_far_adj*s_CF_rice),".")</f>
        <v>6.6115702479338848E-4</v>
      </c>
      <c r="AZ28" s="71">
        <f>IFERROR(s_DL/(up_RadSpec!$J28*s_IFCG_far_adj*s_CF_cereal),".")</f>
        <v>6.6115702479338848E-4</v>
      </c>
      <c r="BA28" s="10">
        <f t="shared" si="27"/>
        <v>22687.5</v>
      </c>
      <c r="BB28" s="62">
        <f t="shared" si="0"/>
        <v>7562.5</v>
      </c>
      <c r="BC28" s="62">
        <f t="shared" si="1"/>
        <v>7562.5</v>
      </c>
      <c r="BD28" s="62">
        <f t="shared" si="2"/>
        <v>7562.5</v>
      </c>
      <c r="BE28" s="62">
        <f t="shared" si="3"/>
        <v>7562.5</v>
      </c>
      <c r="BF28" s="62">
        <f t="shared" si="4"/>
        <v>7562.5</v>
      </c>
      <c r="BG28" s="62">
        <f t="shared" si="5"/>
        <v>7562.5</v>
      </c>
      <c r="BH28" s="62">
        <f t="shared" si="6"/>
        <v>7562.5</v>
      </c>
      <c r="BI28" s="62">
        <f t="shared" si="7"/>
        <v>7562.5</v>
      </c>
      <c r="BJ28" s="62">
        <f t="shared" si="8"/>
        <v>7562.5</v>
      </c>
      <c r="BK28" s="62">
        <f t="shared" si="9"/>
        <v>7562.5</v>
      </c>
      <c r="BL28" s="62">
        <f t="shared" si="10"/>
        <v>7562.5</v>
      </c>
      <c r="BM28" s="62">
        <f t="shared" si="11"/>
        <v>7562.5</v>
      </c>
      <c r="BN28" s="62">
        <f t="shared" si="12"/>
        <v>7562.5</v>
      </c>
      <c r="BO28" s="62">
        <f t="shared" si="13"/>
        <v>7562.5</v>
      </c>
      <c r="BP28" s="62">
        <f t="shared" si="14"/>
        <v>7562.5</v>
      </c>
      <c r="BQ28" s="62">
        <f t="shared" si="15"/>
        <v>7562.5</v>
      </c>
      <c r="BR28" s="62">
        <f t="shared" si="16"/>
        <v>7562.5</v>
      </c>
      <c r="BS28" s="62">
        <f t="shared" si="17"/>
        <v>7562.5</v>
      </c>
      <c r="BT28" s="62">
        <f t="shared" si="18"/>
        <v>7562.5</v>
      </c>
      <c r="BU28" s="62">
        <f t="shared" si="19"/>
        <v>7562.5</v>
      </c>
      <c r="BV28" s="62">
        <f t="shared" si="20"/>
        <v>7562.5</v>
      </c>
      <c r="BW28" s="62">
        <f t="shared" si="21"/>
        <v>7562.5</v>
      </c>
      <c r="BX28" s="62">
        <f t="shared" si="22"/>
        <v>7562.5</v>
      </c>
      <c r="BY28" s="62">
        <f t="shared" si="23"/>
        <v>7562.5</v>
      </c>
    </row>
    <row r="29" spans="1:77" x14ac:dyDescent="0.25">
      <c r="A29" s="61" t="s">
        <v>27</v>
      </c>
      <c r="B29" s="49" t="s">
        <v>1059</v>
      </c>
      <c r="C29" s="71">
        <f t="shared" si="24"/>
        <v>2.2038567493112948E-4</v>
      </c>
      <c r="D29" s="71">
        <f>IFERROR(s_DL/(up_RadSpec!$J29*s_IFAP_res_adj*s_CF_apple),".")</f>
        <v>6.6115702479338848E-4</v>
      </c>
      <c r="E29" s="71">
        <f>IFERROR(s_DL/(up_RadSpec!$J29*s_IFAS_res_adj*s_CF_asparagus),".")</f>
        <v>6.6115702479338848E-4</v>
      </c>
      <c r="F29" s="71">
        <f>IFERROR(s_DL/(up_RadSpec!$J29*s_IFBT_res_adj*s_CF_beet),".")</f>
        <v>6.6115702479338848E-4</v>
      </c>
      <c r="G29" s="71">
        <f>IFERROR(s_DL/(up_RadSpec!$J29*s_IFBE_res_adj*s_CF_berries),".")</f>
        <v>6.6115702479338848E-4</v>
      </c>
      <c r="H29" s="71">
        <f>IFERROR(s_DL/(up_RadSpec!$J29*s_IFBR_res_adj*s_CF_broccoli),".")</f>
        <v>6.6115702479338848E-4</v>
      </c>
      <c r="I29" s="71">
        <f>IFERROR(s_DL/(up_RadSpec!$J29*s_IFCB_res_adj*s_CF_cabbage),".")</f>
        <v>6.6115702479338848E-4</v>
      </c>
      <c r="J29" s="71">
        <f>IFERROR(s_DL/(up_RadSpec!$J29*s_IFCR_res_adj*s_CF_carrot),".")</f>
        <v>6.6115702479338848E-4</v>
      </c>
      <c r="K29" s="71">
        <f>IFERROR(s_DL/(up_RadSpec!$J29*s_IFCI_res_adj*s_CF_citrus),".")</f>
        <v>6.6115702479338848E-4</v>
      </c>
      <c r="L29" s="71">
        <f>IFERROR(s_DL/(up_RadSpec!$J29*s_IFCO_res_adj*s_CF_corn),".")</f>
        <v>6.6115702479338848E-4</v>
      </c>
      <c r="M29" s="71">
        <f>IFERROR(s_DL/(up_RadSpec!$J29*s_IFCU_res_adj*s_CF_cucumber),".")</f>
        <v>6.6115702479338848E-4</v>
      </c>
      <c r="N29" s="71">
        <f>IFERROR(s_DL/(up_RadSpec!$J29*s_IFLE_res_adj*s_CF_lettuce),".")</f>
        <v>6.6115702479338848E-4</v>
      </c>
      <c r="O29" s="71">
        <f>IFERROR(s_DL/(up_RadSpec!$J29*s_IFLI_res_adj*s_CF_lima_bean),".")</f>
        <v>6.6115702479338848E-4</v>
      </c>
      <c r="P29" s="71">
        <f>IFERROR(s_DL/(up_RadSpec!$J29*s_IFOK_res_adj*s_CF_okra),".")</f>
        <v>6.6115702479338848E-4</v>
      </c>
      <c r="Q29" s="71">
        <f>IFERROR(s_DL/(up_RadSpec!$J29*s_IFON_res_adj*s_CF_onion),".")</f>
        <v>6.6115702479338848E-4</v>
      </c>
      <c r="R29" s="71">
        <f>IFERROR(s_DL/(up_RadSpec!$J29*s_IFPC_res_adj*s_CF_peach),".")</f>
        <v>6.6115702479338848E-4</v>
      </c>
      <c r="S29" s="71">
        <f>IFERROR(s_DL/(up_RadSpec!$J29*s_IFPR_res_adj*s_CF_pear),".")</f>
        <v>6.6115702479338848E-4</v>
      </c>
      <c r="T29" s="71">
        <f>IFERROR(s_DL/(up_RadSpec!$J29*s_IFPE_res_adj*s_CF_peas),".")</f>
        <v>6.6115702479338848E-4</v>
      </c>
      <c r="U29" s="71">
        <f>IFERROR(s_DL/(up_RadSpec!$J29*s_IFPT_res_adj*s_CF_potato),".")</f>
        <v>6.6115702479338848E-4</v>
      </c>
      <c r="V29" s="71">
        <f>IFERROR(s_DL/(up_RadSpec!$J29*s_IFPU_res_adj*s_CF_pumpkin),".")</f>
        <v>6.6115702479338848E-4</v>
      </c>
      <c r="W29" s="71">
        <f>IFERROR(s_DL/(up_RadSpec!$J29*s_IFSN_res_adj*s_CF_snap_bean),".")</f>
        <v>6.6115702479338848E-4</v>
      </c>
      <c r="X29" s="71">
        <f>IFERROR(s_DL/(up_RadSpec!$J29*s_IFST_res_adj*s_CF_strawberry),".")</f>
        <v>6.6115702479338848E-4</v>
      </c>
      <c r="Y29" s="71">
        <f>IFERROR(s_DL/(up_RadSpec!$J29*s_IFTO_res_adj*s_CF_tomato),".")</f>
        <v>6.6115702479338848E-4</v>
      </c>
      <c r="Z29" s="71">
        <f>IFERROR(s_DL/(up_RadSpec!$J29*s_IFRI_res_adj*s_CF_rice),".")</f>
        <v>6.6115702479338848E-4</v>
      </c>
      <c r="AA29" s="71">
        <f>IFERROR(s_DL/(up_RadSpec!$J29*s_IFCG_res_adj*s_CF_cereal),".")</f>
        <v>6.6115702479338848E-4</v>
      </c>
      <c r="AB29" s="71">
        <f t="shared" si="25"/>
        <v>2.2038567493112948E-4</v>
      </c>
      <c r="AC29" s="71">
        <f>IFERROR(s_DL/(up_RadSpec!$J29*s_IFAP_far_adj*s_CF_apple),".")</f>
        <v>6.6115702479338848E-4</v>
      </c>
      <c r="AD29" s="71">
        <f>IFERROR(s_DL/(up_RadSpec!$J29*s_IFAS_far_adj*s_CF_asparagus),".")</f>
        <v>6.6115702479338848E-4</v>
      </c>
      <c r="AE29" s="71">
        <f>IFERROR(s_DL/(up_RadSpec!$J29*s_IFBT_far_adj*s_CF_beet),".")</f>
        <v>6.6115702479338848E-4</v>
      </c>
      <c r="AF29" s="71">
        <f>IFERROR(s_DL/(up_RadSpec!$J29*s_IFBE_far_adj*s_CF_berries),".")</f>
        <v>6.6115702479338848E-4</v>
      </c>
      <c r="AG29" s="71">
        <f>IFERROR(s_DL/(up_RadSpec!$J29*s_IFBR_far_adj*s_CF_broccoli),".")</f>
        <v>6.6115702479338848E-4</v>
      </c>
      <c r="AH29" s="71">
        <f>IFERROR(s_DL/(up_RadSpec!$J29*s_IFCB_far_adj*s_CF_cabbage),".")</f>
        <v>6.6115702479338848E-4</v>
      </c>
      <c r="AI29" s="71">
        <f>IFERROR(s_DL/(up_RadSpec!$J29*s_IFCR_far_adj*s_CF_carrot),".")</f>
        <v>6.6115702479338848E-4</v>
      </c>
      <c r="AJ29" s="71">
        <f>IFERROR(s_DL/(up_RadSpec!$J29*s_IFCI_far_adj*s_CF_citrus),".")</f>
        <v>6.6115702479338848E-4</v>
      </c>
      <c r="AK29" s="71">
        <f>IFERROR(s_DL/(up_RadSpec!$J29*s_IFCO_far_adj*s_CF_corn),".")</f>
        <v>6.6115702479338848E-4</v>
      </c>
      <c r="AL29" s="71">
        <f>IFERROR(s_DL/(up_RadSpec!$J29*s_IFCU_far_adj*s_CF_cucumber),".")</f>
        <v>6.6115702479338848E-4</v>
      </c>
      <c r="AM29" s="71">
        <f>IFERROR(s_DL/(up_RadSpec!$J29*s_IFLE_far_adj*s_CF_lettuce),".")</f>
        <v>6.6115702479338848E-4</v>
      </c>
      <c r="AN29" s="71">
        <f>IFERROR(s_DL/(up_RadSpec!$J29*s_IFLI_far_adj*s_CF_lima_bean),".")</f>
        <v>6.6115702479338848E-4</v>
      </c>
      <c r="AO29" s="71">
        <f>IFERROR(s_DL/(up_RadSpec!$J29*s_IFOK_far_adj*s_CF_okra),".")</f>
        <v>6.6115702479338848E-4</v>
      </c>
      <c r="AP29" s="71">
        <f>IFERROR(s_DL/(up_RadSpec!$J29*s_IFON_far_adj*s_CF_onion),".")</f>
        <v>6.6115702479338848E-4</v>
      </c>
      <c r="AQ29" s="71">
        <f>IFERROR(s_DL/(up_RadSpec!$J29*s_IFPC_far_adj*s_CF_peach),".")</f>
        <v>6.6115702479338848E-4</v>
      </c>
      <c r="AR29" s="71">
        <f>IFERROR(s_DL/(up_RadSpec!$J29*s_IFPR_far_adj*s_CF_pear),".")</f>
        <v>6.6115702479338848E-4</v>
      </c>
      <c r="AS29" s="71">
        <f>IFERROR(s_DL/(up_RadSpec!$J29*s_IFPE_far_adj*s_CF_peas),".")</f>
        <v>6.6115702479338848E-4</v>
      </c>
      <c r="AT29" s="71">
        <f>IFERROR(s_DL/(up_RadSpec!$J29*s_IFPT_far_adj*s_CF_potato),".")</f>
        <v>6.6115702479338848E-4</v>
      </c>
      <c r="AU29" s="71">
        <f>IFERROR(s_DL/(up_RadSpec!$J29*s_IFPU_far_adj*s_CF_pumpkin),".")</f>
        <v>6.6115702479338848E-4</v>
      </c>
      <c r="AV29" s="71">
        <f>IFERROR(s_DL/(up_RadSpec!$J29*s_IFSN_far_adj*s_CF_snap_bean),".")</f>
        <v>6.6115702479338848E-4</v>
      </c>
      <c r="AW29" s="71">
        <f>IFERROR(s_DL/(up_RadSpec!$J29*s_IFST_far_adj*s_CF_strawberry),".")</f>
        <v>6.6115702479338848E-4</v>
      </c>
      <c r="AX29" s="71">
        <f>IFERROR(s_DL/(up_RadSpec!$J29*s_IFTO_far_adj*s_CF_tomato),".")</f>
        <v>6.6115702479338848E-4</v>
      </c>
      <c r="AY29" s="71">
        <f>IFERROR(s_DL/(up_RadSpec!$J29*s_IFRI_far_adj*s_CF_rice),".")</f>
        <v>6.6115702479338848E-4</v>
      </c>
      <c r="AZ29" s="71">
        <f>IFERROR(s_DL/(up_RadSpec!$J29*s_IFCG_far_adj*s_CF_cereal),".")</f>
        <v>6.6115702479338848E-4</v>
      </c>
      <c r="BA29" s="10">
        <f t="shared" si="27"/>
        <v>22687.5</v>
      </c>
      <c r="BB29" s="62">
        <f t="shared" si="0"/>
        <v>7562.5</v>
      </c>
      <c r="BC29" s="62">
        <f t="shared" si="1"/>
        <v>7562.5</v>
      </c>
      <c r="BD29" s="62">
        <f t="shared" si="2"/>
        <v>7562.5</v>
      </c>
      <c r="BE29" s="62">
        <f t="shared" si="3"/>
        <v>7562.5</v>
      </c>
      <c r="BF29" s="62">
        <f t="shared" si="4"/>
        <v>7562.5</v>
      </c>
      <c r="BG29" s="62">
        <f t="shared" si="5"/>
        <v>7562.5</v>
      </c>
      <c r="BH29" s="62">
        <f t="shared" si="6"/>
        <v>7562.5</v>
      </c>
      <c r="BI29" s="62">
        <f t="shared" si="7"/>
        <v>7562.5</v>
      </c>
      <c r="BJ29" s="62">
        <f t="shared" si="8"/>
        <v>7562.5</v>
      </c>
      <c r="BK29" s="62">
        <f t="shared" si="9"/>
        <v>7562.5</v>
      </c>
      <c r="BL29" s="62">
        <f t="shared" si="10"/>
        <v>7562.5</v>
      </c>
      <c r="BM29" s="62">
        <f t="shared" si="11"/>
        <v>7562.5</v>
      </c>
      <c r="BN29" s="62">
        <f t="shared" si="12"/>
        <v>7562.5</v>
      </c>
      <c r="BO29" s="62">
        <f t="shared" si="13"/>
        <v>7562.5</v>
      </c>
      <c r="BP29" s="62">
        <f t="shared" si="14"/>
        <v>7562.5</v>
      </c>
      <c r="BQ29" s="62">
        <f t="shared" si="15"/>
        <v>7562.5</v>
      </c>
      <c r="BR29" s="62">
        <f t="shared" si="16"/>
        <v>7562.5</v>
      </c>
      <c r="BS29" s="62">
        <f t="shared" si="17"/>
        <v>7562.5</v>
      </c>
      <c r="BT29" s="62">
        <f t="shared" si="18"/>
        <v>7562.5</v>
      </c>
      <c r="BU29" s="62">
        <f t="shared" si="19"/>
        <v>7562.5</v>
      </c>
      <c r="BV29" s="62">
        <f t="shared" si="20"/>
        <v>7562.5</v>
      </c>
      <c r="BW29" s="62">
        <f t="shared" si="21"/>
        <v>7562.5</v>
      </c>
      <c r="BX29" s="62">
        <f t="shared" si="22"/>
        <v>7562.5</v>
      </c>
      <c r="BY29" s="62">
        <f t="shared" si="23"/>
        <v>7562.5</v>
      </c>
    </row>
    <row r="30" spans="1:77" x14ac:dyDescent="0.25">
      <c r="A30" s="61" t="s">
        <v>28</v>
      </c>
      <c r="B30" s="49" t="s">
        <v>1059</v>
      </c>
      <c r="C30" s="71">
        <f t="shared" si="24"/>
        <v>2.2038567493112948E-4</v>
      </c>
      <c r="D30" s="71">
        <f>IFERROR(s_DL/(up_RadSpec!$J30*s_IFAP_res_adj*s_CF_apple),".")</f>
        <v>6.6115702479338848E-4</v>
      </c>
      <c r="E30" s="71">
        <f>IFERROR(s_DL/(up_RadSpec!$J30*s_IFAS_res_adj*s_CF_asparagus),".")</f>
        <v>6.6115702479338848E-4</v>
      </c>
      <c r="F30" s="71">
        <f>IFERROR(s_DL/(up_RadSpec!$J30*s_IFBT_res_adj*s_CF_beet),".")</f>
        <v>6.6115702479338848E-4</v>
      </c>
      <c r="G30" s="71">
        <f>IFERROR(s_DL/(up_RadSpec!$J30*s_IFBE_res_adj*s_CF_berries),".")</f>
        <v>6.6115702479338848E-4</v>
      </c>
      <c r="H30" s="71">
        <f>IFERROR(s_DL/(up_RadSpec!$J30*s_IFBR_res_adj*s_CF_broccoli),".")</f>
        <v>6.6115702479338848E-4</v>
      </c>
      <c r="I30" s="71">
        <f>IFERROR(s_DL/(up_RadSpec!$J30*s_IFCB_res_adj*s_CF_cabbage),".")</f>
        <v>6.6115702479338848E-4</v>
      </c>
      <c r="J30" s="71">
        <f>IFERROR(s_DL/(up_RadSpec!$J30*s_IFCR_res_adj*s_CF_carrot),".")</f>
        <v>6.6115702479338848E-4</v>
      </c>
      <c r="K30" s="71">
        <f>IFERROR(s_DL/(up_RadSpec!$J30*s_IFCI_res_adj*s_CF_citrus),".")</f>
        <v>6.6115702479338848E-4</v>
      </c>
      <c r="L30" s="71">
        <f>IFERROR(s_DL/(up_RadSpec!$J30*s_IFCO_res_adj*s_CF_corn),".")</f>
        <v>6.6115702479338848E-4</v>
      </c>
      <c r="M30" s="71">
        <f>IFERROR(s_DL/(up_RadSpec!$J30*s_IFCU_res_adj*s_CF_cucumber),".")</f>
        <v>6.6115702479338848E-4</v>
      </c>
      <c r="N30" s="71">
        <f>IFERROR(s_DL/(up_RadSpec!$J30*s_IFLE_res_adj*s_CF_lettuce),".")</f>
        <v>6.6115702479338848E-4</v>
      </c>
      <c r="O30" s="71">
        <f>IFERROR(s_DL/(up_RadSpec!$J30*s_IFLI_res_adj*s_CF_lima_bean),".")</f>
        <v>6.6115702479338848E-4</v>
      </c>
      <c r="P30" s="71">
        <f>IFERROR(s_DL/(up_RadSpec!$J30*s_IFOK_res_adj*s_CF_okra),".")</f>
        <v>6.6115702479338848E-4</v>
      </c>
      <c r="Q30" s="71">
        <f>IFERROR(s_DL/(up_RadSpec!$J30*s_IFON_res_adj*s_CF_onion),".")</f>
        <v>6.6115702479338848E-4</v>
      </c>
      <c r="R30" s="71">
        <f>IFERROR(s_DL/(up_RadSpec!$J30*s_IFPC_res_adj*s_CF_peach),".")</f>
        <v>6.6115702479338848E-4</v>
      </c>
      <c r="S30" s="71">
        <f>IFERROR(s_DL/(up_RadSpec!$J30*s_IFPR_res_adj*s_CF_pear),".")</f>
        <v>6.6115702479338848E-4</v>
      </c>
      <c r="T30" s="71">
        <f>IFERROR(s_DL/(up_RadSpec!$J30*s_IFPE_res_adj*s_CF_peas),".")</f>
        <v>6.6115702479338848E-4</v>
      </c>
      <c r="U30" s="71">
        <f>IFERROR(s_DL/(up_RadSpec!$J30*s_IFPT_res_adj*s_CF_potato),".")</f>
        <v>6.6115702479338848E-4</v>
      </c>
      <c r="V30" s="71">
        <f>IFERROR(s_DL/(up_RadSpec!$J30*s_IFPU_res_adj*s_CF_pumpkin),".")</f>
        <v>6.6115702479338848E-4</v>
      </c>
      <c r="W30" s="71">
        <f>IFERROR(s_DL/(up_RadSpec!$J30*s_IFSN_res_adj*s_CF_snap_bean),".")</f>
        <v>6.6115702479338848E-4</v>
      </c>
      <c r="X30" s="71">
        <f>IFERROR(s_DL/(up_RadSpec!$J30*s_IFST_res_adj*s_CF_strawberry),".")</f>
        <v>6.6115702479338848E-4</v>
      </c>
      <c r="Y30" s="71">
        <f>IFERROR(s_DL/(up_RadSpec!$J30*s_IFTO_res_adj*s_CF_tomato),".")</f>
        <v>6.6115702479338848E-4</v>
      </c>
      <c r="Z30" s="71">
        <f>IFERROR(s_DL/(up_RadSpec!$J30*s_IFRI_res_adj*s_CF_rice),".")</f>
        <v>6.6115702479338848E-4</v>
      </c>
      <c r="AA30" s="71">
        <f>IFERROR(s_DL/(up_RadSpec!$J30*s_IFCG_res_adj*s_CF_cereal),".")</f>
        <v>6.6115702479338848E-4</v>
      </c>
      <c r="AB30" s="71">
        <f t="shared" si="25"/>
        <v>2.2038567493112948E-4</v>
      </c>
      <c r="AC30" s="71">
        <f>IFERROR(s_DL/(up_RadSpec!$J30*s_IFAP_far_adj*s_CF_apple),".")</f>
        <v>6.6115702479338848E-4</v>
      </c>
      <c r="AD30" s="71">
        <f>IFERROR(s_DL/(up_RadSpec!$J30*s_IFAS_far_adj*s_CF_asparagus),".")</f>
        <v>6.6115702479338848E-4</v>
      </c>
      <c r="AE30" s="71">
        <f>IFERROR(s_DL/(up_RadSpec!$J30*s_IFBT_far_adj*s_CF_beet),".")</f>
        <v>6.6115702479338848E-4</v>
      </c>
      <c r="AF30" s="71">
        <f>IFERROR(s_DL/(up_RadSpec!$J30*s_IFBE_far_adj*s_CF_berries),".")</f>
        <v>6.6115702479338848E-4</v>
      </c>
      <c r="AG30" s="71">
        <f>IFERROR(s_DL/(up_RadSpec!$J30*s_IFBR_far_adj*s_CF_broccoli),".")</f>
        <v>6.6115702479338848E-4</v>
      </c>
      <c r="AH30" s="71">
        <f>IFERROR(s_DL/(up_RadSpec!$J30*s_IFCB_far_adj*s_CF_cabbage),".")</f>
        <v>6.6115702479338848E-4</v>
      </c>
      <c r="AI30" s="71">
        <f>IFERROR(s_DL/(up_RadSpec!$J30*s_IFCR_far_adj*s_CF_carrot),".")</f>
        <v>6.6115702479338848E-4</v>
      </c>
      <c r="AJ30" s="71">
        <f>IFERROR(s_DL/(up_RadSpec!$J30*s_IFCI_far_adj*s_CF_citrus),".")</f>
        <v>6.6115702479338848E-4</v>
      </c>
      <c r="AK30" s="71">
        <f>IFERROR(s_DL/(up_RadSpec!$J30*s_IFCO_far_adj*s_CF_corn),".")</f>
        <v>6.6115702479338848E-4</v>
      </c>
      <c r="AL30" s="71">
        <f>IFERROR(s_DL/(up_RadSpec!$J30*s_IFCU_far_adj*s_CF_cucumber),".")</f>
        <v>6.6115702479338848E-4</v>
      </c>
      <c r="AM30" s="71">
        <f>IFERROR(s_DL/(up_RadSpec!$J30*s_IFLE_far_adj*s_CF_lettuce),".")</f>
        <v>6.6115702479338848E-4</v>
      </c>
      <c r="AN30" s="71">
        <f>IFERROR(s_DL/(up_RadSpec!$J30*s_IFLI_far_adj*s_CF_lima_bean),".")</f>
        <v>6.6115702479338848E-4</v>
      </c>
      <c r="AO30" s="71">
        <f>IFERROR(s_DL/(up_RadSpec!$J30*s_IFOK_far_adj*s_CF_okra),".")</f>
        <v>6.6115702479338848E-4</v>
      </c>
      <c r="AP30" s="71">
        <f>IFERROR(s_DL/(up_RadSpec!$J30*s_IFON_far_adj*s_CF_onion),".")</f>
        <v>6.6115702479338848E-4</v>
      </c>
      <c r="AQ30" s="71">
        <f>IFERROR(s_DL/(up_RadSpec!$J30*s_IFPC_far_adj*s_CF_peach),".")</f>
        <v>6.6115702479338848E-4</v>
      </c>
      <c r="AR30" s="71">
        <f>IFERROR(s_DL/(up_RadSpec!$J30*s_IFPR_far_adj*s_CF_pear),".")</f>
        <v>6.6115702479338848E-4</v>
      </c>
      <c r="AS30" s="71">
        <f>IFERROR(s_DL/(up_RadSpec!$J30*s_IFPE_far_adj*s_CF_peas),".")</f>
        <v>6.6115702479338848E-4</v>
      </c>
      <c r="AT30" s="71">
        <f>IFERROR(s_DL/(up_RadSpec!$J30*s_IFPT_far_adj*s_CF_potato),".")</f>
        <v>6.6115702479338848E-4</v>
      </c>
      <c r="AU30" s="71">
        <f>IFERROR(s_DL/(up_RadSpec!$J30*s_IFPU_far_adj*s_CF_pumpkin),".")</f>
        <v>6.6115702479338848E-4</v>
      </c>
      <c r="AV30" s="71">
        <f>IFERROR(s_DL/(up_RadSpec!$J30*s_IFSN_far_adj*s_CF_snap_bean),".")</f>
        <v>6.6115702479338848E-4</v>
      </c>
      <c r="AW30" s="71">
        <f>IFERROR(s_DL/(up_RadSpec!$J30*s_IFST_far_adj*s_CF_strawberry),".")</f>
        <v>6.6115702479338848E-4</v>
      </c>
      <c r="AX30" s="71">
        <f>IFERROR(s_DL/(up_RadSpec!$J30*s_IFTO_far_adj*s_CF_tomato),".")</f>
        <v>6.6115702479338848E-4</v>
      </c>
      <c r="AY30" s="71">
        <f>IFERROR(s_DL/(up_RadSpec!$J30*s_IFRI_far_adj*s_CF_rice),".")</f>
        <v>6.6115702479338848E-4</v>
      </c>
      <c r="AZ30" s="71">
        <f>IFERROR(s_DL/(up_RadSpec!$J30*s_IFCG_far_adj*s_CF_cereal),".")</f>
        <v>6.6115702479338848E-4</v>
      </c>
      <c r="BA30" s="10">
        <f t="shared" si="27"/>
        <v>22687.5</v>
      </c>
      <c r="BB30" s="62">
        <f t="shared" si="0"/>
        <v>7562.5</v>
      </c>
      <c r="BC30" s="62">
        <f t="shared" si="1"/>
        <v>7562.5</v>
      </c>
      <c r="BD30" s="62">
        <f t="shared" si="2"/>
        <v>7562.5</v>
      </c>
      <c r="BE30" s="62">
        <f t="shared" si="3"/>
        <v>7562.5</v>
      </c>
      <c r="BF30" s="62">
        <f t="shared" si="4"/>
        <v>7562.5</v>
      </c>
      <c r="BG30" s="62">
        <f t="shared" si="5"/>
        <v>7562.5</v>
      </c>
      <c r="BH30" s="62">
        <f t="shared" si="6"/>
        <v>7562.5</v>
      </c>
      <c r="BI30" s="62">
        <f t="shared" si="7"/>
        <v>7562.5</v>
      </c>
      <c r="BJ30" s="62">
        <f t="shared" si="8"/>
        <v>7562.5</v>
      </c>
      <c r="BK30" s="62">
        <f t="shared" si="9"/>
        <v>7562.5</v>
      </c>
      <c r="BL30" s="62">
        <f t="shared" si="10"/>
        <v>7562.5</v>
      </c>
      <c r="BM30" s="62">
        <f t="shared" si="11"/>
        <v>7562.5</v>
      </c>
      <c r="BN30" s="62">
        <f t="shared" si="12"/>
        <v>7562.5</v>
      </c>
      <c r="BO30" s="62">
        <f t="shared" si="13"/>
        <v>7562.5</v>
      </c>
      <c r="BP30" s="62">
        <f t="shared" si="14"/>
        <v>7562.5</v>
      </c>
      <c r="BQ30" s="62">
        <f t="shared" si="15"/>
        <v>7562.5</v>
      </c>
      <c r="BR30" s="62">
        <f t="shared" si="16"/>
        <v>7562.5</v>
      </c>
      <c r="BS30" s="62">
        <f t="shared" si="17"/>
        <v>7562.5</v>
      </c>
      <c r="BT30" s="62">
        <f t="shared" si="18"/>
        <v>7562.5</v>
      </c>
      <c r="BU30" s="62">
        <f t="shared" si="19"/>
        <v>7562.5</v>
      </c>
      <c r="BV30" s="62">
        <f t="shared" si="20"/>
        <v>7562.5</v>
      </c>
      <c r="BW30" s="62">
        <f t="shared" si="21"/>
        <v>7562.5</v>
      </c>
      <c r="BX30" s="62">
        <f t="shared" si="22"/>
        <v>7562.5</v>
      </c>
      <c r="BY30" s="62">
        <f t="shared" si="23"/>
        <v>7562.5</v>
      </c>
    </row>
    <row r="31" spans="1:77" x14ac:dyDescent="0.25">
      <c r="A31" s="64" t="s">
        <v>1</v>
      </c>
      <c r="B31" s="64" t="s">
        <v>1059</v>
      </c>
      <c r="C31" s="65">
        <f t="shared" si="24"/>
        <v>1.8366023891644204E-5</v>
      </c>
      <c r="D31" s="40">
        <f t="shared" ref="D31:AA31" si="28">1/SUM(1/D32,1/D33,1/D34,1/D35,1/D36,1/D37,1/D38,1/D39,1/D40,1/D41,1/D42,1/D43,1/D44)</f>
        <v>5.5098071674932618E-5</v>
      </c>
      <c r="E31" s="40">
        <f t="shared" si="28"/>
        <v>5.5098071674932618E-5</v>
      </c>
      <c r="F31" s="40">
        <f t="shared" si="28"/>
        <v>5.5098071674932618E-5</v>
      </c>
      <c r="G31" s="40">
        <f t="shared" si="28"/>
        <v>5.5098071674932618E-5</v>
      </c>
      <c r="H31" s="40">
        <f t="shared" si="28"/>
        <v>5.5098071674932618E-5</v>
      </c>
      <c r="I31" s="40">
        <f t="shared" si="28"/>
        <v>5.5098071674932618E-5</v>
      </c>
      <c r="J31" s="40">
        <f t="shared" si="28"/>
        <v>5.5098071674932618E-5</v>
      </c>
      <c r="K31" s="40">
        <f t="shared" si="28"/>
        <v>5.5098071674932618E-5</v>
      </c>
      <c r="L31" s="40">
        <f t="shared" si="28"/>
        <v>5.5098071674932618E-5</v>
      </c>
      <c r="M31" s="40">
        <f t="shared" si="28"/>
        <v>5.5098071674932618E-5</v>
      </c>
      <c r="N31" s="40">
        <f t="shared" si="28"/>
        <v>5.5098071674932618E-5</v>
      </c>
      <c r="O31" s="40">
        <f t="shared" si="28"/>
        <v>5.5098071674932618E-5</v>
      </c>
      <c r="P31" s="40">
        <f t="shared" si="28"/>
        <v>5.5098071674932618E-5</v>
      </c>
      <c r="Q31" s="40">
        <f t="shared" si="28"/>
        <v>5.5098071674932618E-5</v>
      </c>
      <c r="R31" s="40">
        <f t="shared" si="28"/>
        <v>5.5098071674932618E-5</v>
      </c>
      <c r="S31" s="40">
        <f t="shared" si="28"/>
        <v>5.5098071674932618E-5</v>
      </c>
      <c r="T31" s="40">
        <f t="shared" si="28"/>
        <v>5.5098071674932618E-5</v>
      </c>
      <c r="U31" s="40">
        <f t="shared" si="28"/>
        <v>5.5098071674932618E-5</v>
      </c>
      <c r="V31" s="40">
        <f t="shared" si="28"/>
        <v>5.5098071674932618E-5</v>
      </c>
      <c r="W31" s="40">
        <f t="shared" si="28"/>
        <v>5.5098071674932618E-5</v>
      </c>
      <c r="X31" s="40">
        <f t="shared" si="28"/>
        <v>5.5098071674932618E-5</v>
      </c>
      <c r="Y31" s="40">
        <f t="shared" si="28"/>
        <v>5.5098071674932618E-5</v>
      </c>
      <c r="Z31" s="40">
        <f t="shared" si="28"/>
        <v>5.5098071674932618E-5</v>
      </c>
      <c r="AA31" s="40">
        <f t="shared" si="28"/>
        <v>5.5098071674932618E-5</v>
      </c>
      <c r="AB31" s="65">
        <f t="shared" si="25"/>
        <v>1.8366023891644204E-5</v>
      </c>
      <c r="AC31" s="40">
        <f t="shared" ref="AC31:AZ31" si="29">1/SUM(1/AC32,1/AC33,1/AC34,1/AC35,1/AC36,1/AC37,1/AC38,1/AC39,1/AC40,1/AC41,1/AC42,1/AC43,1/AC44)</f>
        <v>5.5098071674932618E-5</v>
      </c>
      <c r="AD31" s="40">
        <f t="shared" si="29"/>
        <v>5.5098071674932618E-5</v>
      </c>
      <c r="AE31" s="40">
        <f t="shared" si="29"/>
        <v>5.5098071674932618E-5</v>
      </c>
      <c r="AF31" s="40">
        <f t="shared" si="29"/>
        <v>5.5098071674932618E-5</v>
      </c>
      <c r="AG31" s="40">
        <f t="shared" si="29"/>
        <v>5.5098071674932618E-5</v>
      </c>
      <c r="AH31" s="40">
        <f t="shared" si="29"/>
        <v>5.5098071674932618E-5</v>
      </c>
      <c r="AI31" s="40">
        <f t="shared" si="29"/>
        <v>5.5098071674932618E-5</v>
      </c>
      <c r="AJ31" s="40">
        <f t="shared" si="29"/>
        <v>5.5098071674932618E-5</v>
      </c>
      <c r="AK31" s="40">
        <f t="shared" si="29"/>
        <v>5.5098071674932618E-5</v>
      </c>
      <c r="AL31" s="40">
        <f t="shared" si="29"/>
        <v>5.5098071674932618E-5</v>
      </c>
      <c r="AM31" s="40">
        <f t="shared" si="29"/>
        <v>5.5098071674932618E-5</v>
      </c>
      <c r="AN31" s="40">
        <f t="shared" si="29"/>
        <v>5.5098071674932618E-5</v>
      </c>
      <c r="AO31" s="40">
        <f t="shared" si="29"/>
        <v>5.5098071674932618E-5</v>
      </c>
      <c r="AP31" s="40">
        <f t="shared" si="29"/>
        <v>5.5098071674932618E-5</v>
      </c>
      <c r="AQ31" s="40">
        <f t="shared" si="29"/>
        <v>5.5098071674932618E-5</v>
      </c>
      <c r="AR31" s="40">
        <f t="shared" si="29"/>
        <v>5.5098071674932618E-5</v>
      </c>
      <c r="AS31" s="40">
        <f t="shared" si="29"/>
        <v>5.5098071674932618E-5</v>
      </c>
      <c r="AT31" s="40">
        <f t="shared" si="29"/>
        <v>5.5098071674932618E-5</v>
      </c>
      <c r="AU31" s="40">
        <f t="shared" si="29"/>
        <v>5.5098071674932618E-5</v>
      </c>
      <c r="AV31" s="40">
        <f t="shared" si="29"/>
        <v>5.5098071674932618E-5</v>
      </c>
      <c r="AW31" s="40">
        <f t="shared" si="29"/>
        <v>5.5098071674932618E-5</v>
      </c>
      <c r="AX31" s="40">
        <f t="shared" si="29"/>
        <v>5.5098071674932618E-5</v>
      </c>
      <c r="AY31" s="40">
        <f t="shared" si="29"/>
        <v>5.5098071674932618E-5</v>
      </c>
      <c r="AZ31" s="40">
        <f t="shared" si="29"/>
        <v>5.5098071674932618E-5</v>
      </c>
      <c r="BA31" s="33">
        <f t="shared" si="27"/>
        <v>1361209.1625000001</v>
      </c>
      <c r="BB31" s="33">
        <f t="shared" ref="BB31:BY31" si="30">IFERROR(SUM(BB32:BB44),".")</f>
        <v>453736.38750000007</v>
      </c>
      <c r="BC31" s="33">
        <f t="shared" si="30"/>
        <v>453736.38750000007</v>
      </c>
      <c r="BD31" s="33">
        <f t="shared" si="30"/>
        <v>453736.38750000007</v>
      </c>
      <c r="BE31" s="33">
        <f t="shared" si="30"/>
        <v>453736.38750000007</v>
      </c>
      <c r="BF31" s="33">
        <f t="shared" si="30"/>
        <v>453736.38750000007</v>
      </c>
      <c r="BG31" s="33">
        <f t="shared" si="30"/>
        <v>453736.38750000007</v>
      </c>
      <c r="BH31" s="33">
        <f t="shared" si="30"/>
        <v>453736.38750000007</v>
      </c>
      <c r="BI31" s="33">
        <f t="shared" si="30"/>
        <v>453736.38750000007</v>
      </c>
      <c r="BJ31" s="33">
        <f t="shared" si="30"/>
        <v>453736.38750000007</v>
      </c>
      <c r="BK31" s="33">
        <f t="shared" si="30"/>
        <v>453736.38750000007</v>
      </c>
      <c r="BL31" s="33">
        <f t="shared" si="30"/>
        <v>453736.38750000007</v>
      </c>
      <c r="BM31" s="33">
        <f t="shared" si="30"/>
        <v>453736.38750000007</v>
      </c>
      <c r="BN31" s="33">
        <f t="shared" si="30"/>
        <v>453736.38750000007</v>
      </c>
      <c r="BO31" s="33">
        <f t="shared" si="30"/>
        <v>453736.38750000007</v>
      </c>
      <c r="BP31" s="33">
        <f t="shared" si="30"/>
        <v>453736.38750000007</v>
      </c>
      <c r="BQ31" s="33">
        <f t="shared" si="30"/>
        <v>453736.38750000007</v>
      </c>
      <c r="BR31" s="33">
        <f t="shared" si="30"/>
        <v>453736.38750000007</v>
      </c>
      <c r="BS31" s="33">
        <f t="shared" si="30"/>
        <v>453736.38750000007</v>
      </c>
      <c r="BT31" s="33">
        <f t="shared" si="30"/>
        <v>453736.38750000007</v>
      </c>
      <c r="BU31" s="33">
        <f t="shared" si="30"/>
        <v>453736.38750000007</v>
      </c>
      <c r="BV31" s="33">
        <f t="shared" si="30"/>
        <v>453736.38750000007</v>
      </c>
      <c r="BW31" s="33">
        <f t="shared" si="30"/>
        <v>453736.38750000007</v>
      </c>
      <c r="BX31" s="33">
        <f t="shared" si="30"/>
        <v>453736.38750000007</v>
      </c>
      <c r="BY31" s="33">
        <f t="shared" si="30"/>
        <v>453736.38750000007</v>
      </c>
    </row>
    <row r="32" spans="1:77" x14ac:dyDescent="0.25">
      <c r="A32" s="66" t="s">
        <v>1087</v>
      </c>
      <c r="B32" s="49">
        <v>1</v>
      </c>
      <c r="C32" s="67">
        <f t="shared" si="24"/>
        <v>2.2038567493112948E-4</v>
      </c>
      <c r="D32" s="42">
        <f t="shared" ref="D32:AA32" si="31">IFERROR(D3/$B32,0)</f>
        <v>6.6115702479338848E-4</v>
      </c>
      <c r="E32" s="42">
        <f t="shared" si="31"/>
        <v>6.6115702479338848E-4</v>
      </c>
      <c r="F32" s="42">
        <f t="shared" si="31"/>
        <v>6.6115702479338848E-4</v>
      </c>
      <c r="G32" s="42">
        <f t="shared" si="31"/>
        <v>6.6115702479338848E-4</v>
      </c>
      <c r="H32" s="42">
        <f t="shared" si="31"/>
        <v>6.6115702479338848E-4</v>
      </c>
      <c r="I32" s="42">
        <f t="shared" si="31"/>
        <v>6.6115702479338848E-4</v>
      </c>
      <c r="J32" s="42">
        <f t="shared" si="31"/>
        <v>6.6115702479338848E-4</v>
      </c>
      <c r="K32" s="42">
        <f t="shared" si="31"/>
        <v>6.6115702479338848E-4</v>
      </c>
      <c r="L32" s="42">
        <f t="shared" si="31"/>
        <v>6.6115702479338848E-4</v>
      </c>
      <c r="M32" s="42">
        <f t="shared" si="31"/>
        <v>6.6115702479338848E-4</v>
      </c>
      <c r="N32" s="42">
        <f t="shared" si="31"/>
        <v>6.6115702479338848E-4</v>
      </c>
      <c r="O32" s="42">
        <f t="shared" si="31"/>
        <v>6.6115702479338848E-4</v>
      </c>
      <c r="P32" s="42">
        <f t="shared" si="31"/>
        <v>6.6115702479338848E-4</v>
      </c>
      <c r="Q32" s="42">
        <f t="shared" si="31"/>
        <v>6.6115702479338848E-4</v>
      </c>
      <c r="R32" s="42">
        <f t="shared" si="31"/>
        <v>6.6115702479338848E-4</v>
      </c>
      <c r="S32" s="42">
        <f t="shared" si="31"/>
        <v>6.6115702479338848E-4</v>
      </c>
      <c r="T32" s="42">
        <f t="shared" si="31"/>
        <v>6.6115702479338848E-4</v>
      </c>
      <c r="U32" s="42">
        <f t="shared" si="31"/>
        <v>6.6115702479338848E-4</v>
      </c>
      <c r="V32" s="42">
        <f t="shared" si="31"/>
        <v>6.6115702479338848E-4</v>
      </c>
      <c r="W32" s="42">
        <f t="shared" si="31"/>
        <v>6.6115702479338848E-4</v>
      </c>
      <c r="X32" s="42">
        <f t="shared" si="31"/>
        <v>6.6115702479338848E-4</v>
      </c>
      <c r="Y32" s="42">
        <f t="shared" si="31"/>
        <v>6.6115702479338848E-4</v>
      </c>
      <c r="Z32" s="42">
        <f t="shared" si="31"/>
        <v>6.6115702479338848E-4</v>
      </c>
      <c r="AA32" s="42">
        <f t="shared" si="31"/>
        <v>6.6115702479338848E-4</v>
      </c>
      <c r="AB32" s="67">
        <f t="shared" si="25"/>
        <v>2.2038567493112948E-4</v>
      </c>
      <c r="AC32" s="42">
        <f t="shared" ref="AC32:AZ32" si="32">IFERROR(AC3/$B32,0)</f>
        <v>6.6115702479338848E-4</v>
      </c>
      <c r="AD32" s="42">
        <f t="shared" si="32"/>
        <v>6.6115702479338848E-4</v>
      </c>
      <c r="AE32" s="42">
        <f t="shared" si="32"/>
        <v>6.6115702479338848E-4</v>
      </c>
      <c r="AF32" s="42">
        <f t="shared" si="32"/>
        <v>6.6115702479338848E-4</v>
      </c>
      <c r="AG32" s="42">
        <f t="shared" si="32"/>
        <v>6.6115702479338848E-4</v>
      </c>
      <c r="AH32" s="42">
        <f t="shared" si="32"/>
        <v>6.6115702479338848E-4</v>
      </c>
      <c r="AI32" s="42">
        <f t="shared" si="32"/>
        <v>6.6115702479338848E-4</v>
      </c>
      <c r="AJ32" s="42">
        <f t="shared" si="32"/>
        <v>6.6115702479338848E-4</v>
      </c>
      <c r="AK32" s="42">
        <f t="shared" si="32"/>
        <v>6.6115702479338848E-4</v>
      </c>
      <c r="AL32" s="42">
        <f t="shared" si="32"/>
        <v>6.6115702479338848E-4</v>
      </c>
      <c r="AM32" s="42">
        <f t="shared" si="32"/>
        <v>6.6115702479338848E-4</v>
      </c>
      <c r="AN32" s="42">
        <f t="shared" si="32"/>
        <v>6.6115702479338848E-4</v>
      </c>
      <c r="AO32" s="42">
        <f t="shared" si="32"/>
        <v>6.6115702479338848E-4</v>
      </c>
      <c r="AP32" s="42">
        <f t="shared" si="32"/>
        <v>6.6115702479338848E-4</v>
      </c>
      <c r="AQ32" s="42">
        <f t="shared" si="32"/>
        <v>6.6115702479338848E-4</v>
      </c>
      <c r="AR32" s="42">
        <f t="shared" si="32"/>
        <v>6.6115702479338848E-4</v>
      </c>
      <c r="AS32" s="42">
        <f t="shared" si="32"/>
        <v>6.6115702479338848E-4</v>
      </c>
      <c r="AT32" s="42">
        <f t="shared" si="32"/>
        <v>6.6115702479338848E-4</v>
      </c>
      <c r="AU32" s="42">
        <f t="shared" si="32"/>
        <v>6.6115702479338848E-4</v>
      </c>
      <c r="AV32" s="42">
        <f t="shared" si="32"/>
        <v>6.6115702479338848E-4</v>
      </c>
      <c r="AW32" s="42">
        <f t="shared" si="32"/>
        <v>6.6115702479338848E-4</v>
      </c>
      <c r="AX32" s="42">
        <f t="shared" si="32"/>
        <v>6.6115702479338848E-4</v>
      </c>
      <c r="AY32" s="42">
        <f t="shared" si="32"/>
        <v>6.6115702479338848E-4</v>
      </c>
      <c r="AZ32" s="42">
        <f t="shared" si="32"/>
        <v>6.6115702479338848E-4</v>
      </c>
      <c r="BA32" s="34">
        <f t="shared" si="27"/>
        <v>113437.5</v>
      </c>
      <c r="BB32" s="34">
        <f>IFERROR(up_RadSpec!$J$3*(BB3*$B32),".")</f>
        <v>37812.5</v>
      </c>
      <c r="BC32" s="34">
        <f>IFERROR(up_RadSpec!$J$3*(BC3*$B32),".")</f>
        <v>37812.5</v>
      </c>
      <c r="BD32" s="34">
        <f>IFERROR(up_RadSpec!$J$3*(BD3*$B32),".")</f>
        <v>37812.5</v>
      </c>
      <c r="BE32" s="34">
        <f>IFERROR(up_RadSpec!$J$3*(BE3*$B32),".")</f>
        <v>37812.5</v>
      </c>
      <c r="BF32" s="34">
        <f>IFERROR(up_RadSpec!$J$3*(BF3*$B32),".")</f>
        <v>37812.5</v>
      </c>
      <c r="BG32" s="34">
        <f>IFERROR(up_RadSpec!$J$3*(BG3*$B32),".")</f>
        <v>37812.5</v>
      </c>
      <c r="BH32" s="34">
        <f>IFERROR(up_RadSpec!$J$3*(BH3*$B32),".")</f>
        <v>37812.5</v>
      </c>
      <c r="BI32" s="34">
        <f>IFERROR(up_RadSpec!$J$3*(BI3*$B32),".")</f>
        <v>37812.5</v>
      </c>
      <c r="BJ32" s="34">
        <f>IFERROR(up_RadSpec!$J$3*(BJ3*$B32),".")</f>
        <v>37812.5</v>
      </c>
      <c r="BK32" s="34">
        <f>IFERROR(up_RadSpec!$J$3*(BK3*$B32),".")</f>
        <v>37812.5</v>
      </c>
      <c r="BL32" s="34">
        <f>IFERROR(up_RadSpec!$J$3*(BL3*$B32),".")</f>
        <v>37812.5</v>
      </c>
      <c r="BM32" s="34">
        <f>IFERROR(up_RadSpec!$J$3*(BM3*$B32),".")</f>
        <v>37812.5</v>
      </c>
      <c r="BN32" s="34">
        <f>IFERROR(up_RadSpec!$J$3*(BN3*$B32),".")</f>
        <v>37812.5</v>
      </c>
      <c r="BO32" s="34">
        <f>IFERROR(up_RadSpec!$J$3*(BO3*$B32),".")</f>
        <v>37812.5</v>
      </c>
      <c r="BP32" s="34">
        <f>IFERROR(up_RadSpec!$J$3*(BP3*$B32),".")</f>
        <v>37812.5</v>
      </c>
      <c r="BQ32" s="34">
        <f>IFERROR(up_RadSpec!$J$3*(BQ3*$B32),".")</f>
        <v>37812.5</v>
      </c>
      <c r="BR32" s="34">
        <f>IFERROR(up_RadSpec!$J$3*(BR3*$B32),".")</f>
        <v>37812.5</v>
      </c>
      <c r="BS32" s="34">
        <f>IFERROR(up_RadSpec!$J$3*(BS3*$B32),".")</f>
        <v>37812.5</v>
      </c>
      <c r="BT32" s="34">
        <f>IFERROR(up_RadSpec!$J$3*(BT3*$B32),".")</f>
        <v>37812.5</v>
      </c>
      <c r="BU32" s="34">
        <f>IFERROR(up_RadSpec!$J$3*(BU3*$B32),".")</f>
        <v>37812.5</v>
      </c>
      <c r="BV32" s="34">
        <f>IFERROR(up_RadSpec!$J$3*(BV3*$B32),".")</f>
        <v>37812.5</v>
      </c>
      <c r="BW32" s="34">
        <f>IFERROR(up_RadSpec!$J$3*(BW3*$B32),".")</f>
        <v>37812.5</v>
      </c>
      <c r="BX32" s="34">
        <f>IFERROR(up_RadSpec!$J$3*(BX3*$B32),".")</f>
        <v>37812.5</v>
      </c>
      <c r="BY32" s="34">
        <f>IFERROR(up_RadSpec!$J$3*(BY3*$B32),".")</f>
        <v>37812.5</v>
      </c>
    </row>
    <row r="33" spans="1:77" x14ac:dyDescent="0.25">
      <c r="A33" s="66" t="s">
        <v>1063</v>
      </c>
      <c r="B33" s="49">
        <v>1</v>
      </c>
      <c r="C33" s="67">
        <f t="shared" si="24"/>
        <v>2.2038567493112948E-4</v>
      </c>
      <c r="D33" s="42">
        <f t="shared" ref="D33:AA34" si="33">IFERROR(D13/$B33,0)</f>
        <v>6.6115702479338848E-4</v>
      </c>
      <c r="E33" s="42">
        <f t="shared" si="33"/>
        <v>6.6115702479338848E-4</v>
      </c>
      <c r="F33" s="42">
        <f t="shared" si="33"/>
        <v>6.6115702479338848E-4</v>
      </c>
      <c r="G33" s="42">
        <f t="shared" si="33"/>
        <v>6.6115702479338848E-4</v>
      </c>
      <c r="H33" s="42">
        <f t="shared" si="33"/>
        <v>6.6115702479338848E-4</v>
      </c>
      <c r="I33" s="42">
        <f t="shared" si="33"/>
        <v>6.6115702479338848E-4</v>
      </c>
      <c r="J33" s="42">
        <f t="shared" si="33"/>
        <v>6.6115702479338848E-4</v>
      </c>
      <c r="K33" s="42">
        <f t="shared" si="33"/>
        <v>6.6115702479338848E-4</v>
      </c>
      <c r="L33" s="42">
        <f t="shared" si="33"/>
        <v>6.6115702479338848E-4</v>
      </c>
      <c r="M33" s="42">
        <f t="shared" si="33"/>
        <v>6.6115702479338848E-4</v>
      </c>
      <c r="N33" s="42">
        <f t="shared" si="33"/>
        <v>6.6115702479338848E-4</v>
      </c>
      <c r="O33" s="42">
        <f t="shared" si="33"/>
        <v>6.6115702479338848E-4</v>
      </c>
      <c r="P33" s="42">
        <f t="shared" si="33"/>
        <v>6.6115702479338848E-4</v>
      </c>
      <c r="Q33" s="42">
        <f t="shared" si="33"/>
        <v>6.6115702479338848E-4</v>
      </c>
      <c r="R33" s="42">
        <f t="shared" si="33"/>
        <v>6.6115702479338848E-4</v>
      </c>
      <c r="S33" s="42">
        <f t="shared" si="33"/>
        <v>6.6115702479338848E-4</v>
      </c>
      <c r="T33" s="42">
        <f t="shared" si="33"/>
        <v>6.6115702479338848E-4</v>
      </c>
      <c r="U33" s="42">
        <f t="shared" si="33"/>
        <v>6.6115702479338848E-4</v>
      </c>
      <c r="V33" s="42">
        <f t="shared" si="33"/>
        <v>6.6115702479338848E-4</v>
      </c>
      <c r="W33" s="42">
        <f t="shared" si="33"/>
        <v>6.6115702479338848E-4</v>
      </c>
      <c r="X33" s="42">
        <f t="shared" si="33"/>
        <v>6.6115702479338848E-4</v>
      </c>
      <c r="Y33" s="42">
        <f t="shared" si="33"/>
        <v>6.6115702479338848E-4</v>
      </c>
      <c r="Z33" s="42">
        <f t="shared" si="33"/>
        <v>6.6115702479338848E-4</v>
      </c>
      <c r="AA33" s="42">
        <f t="shared" si="33"/>
        <v>6.6115702479338848E-4</v>
      </c>
      <c r="AB33" s="67">
        <f t="shared" si="25"/>
        <v>2.2038567493112948E-4</v>
      </c>
      <c r="AC33" s="42">
        <f t="shared" ref="AC33:AZ34" si="34">IFERROR(AC13/$B33,0)</f>
        <v>6.6115702479338848E-4</v>
      </c>
      <c r="AD33" s="42">
        <f t="shared" si="34"/>
        <v>6.6115702479338848E-4</v>
      </c>
      <c r="AE33" s="42">
        <f t="shared" si="34"/>
        <v>6.6115702479338848E-4</v>
      </c>
      <c r="AF33" s="42">
        <f t="shared" si="34"/>
        <v>6.6115702479338848E-4</v>
      </c>
      <c r="AG33" s="42">
        <f t="shared" si="34"/>
        <v>6.6115702479338848E-4</v>
      </c>
      <c r="AH33" s="42">
        <f t="shared" si="34"/>
        <v>6.6115702479338848E-4</v>
      </c>
      <c r="AI33" s="42">
        <f t="shared" si="34"/>
        <v>6.6115702479338848E-4</v>
      </c>
      <c r="AJ33" s="42">
        <f t="shared" si="34"/>
        <v>6.6115702479338848E-4</v>
      </c>
      <c r="AK33" s="42">
        <f t="shared" si="34"/>
        <v>6.6115702479338848E-4</v>
      </c>
      <c r="AL33" s="42">
        <f t="shared" si="34"/>
        <v>6.6115702479338848E-4</v>
      </c>
      <c r="AM33" s="42">
        <f t="shared" si="34"/>
        <v>6.6115702479338848E-4</v>
      </c>
      <c r="AN33" s="42">
        <f t="shared" si="34"/>
        <v>6.6115702479338848E-4</v>
      </c>
      <c r="AO33" s="42">
        <f t="shared" si="34"/>
        <v>6.6115702479338848E-4</v>
      </c>
      <c r="AP33" s="42">
        <f t="shared" si="34"/>
        <v>6.6115702479338848E-4</v>
      </c>
      <c r="AQ33" s="42">
        <f t="shared" si="34"/>
        <v>6.6115702479338848E-4</v>
      </c>
      <c r="AR33" s="42">
        <f t="shared" si="34"/>
        <v>6.6115702479338848E-4</v>
      </c>
      <c r="AS33" s="42">
        <f t="shared" si="34"/>
        <v>6.6115702479338848E-4</v>
      </c>
      <c r="AT33" s="42">
        <f t="shared" si="34"/>
        <v>6.6115702479338848E-4</v>
      </c>
      <c r="AU33" s="42">
        <f t="shared" si="34"/>
        <v>6.6115702479338848E-4</v>
      </c>
      <c r="AV33" s="42">
        <f t="shared" si="34"/>
        <v>6.6115702479338848E-4</v>
      </c>
      <c r="AW33" s="42">
        <f t="shared" si="34"/>
        <v>6.6115702479338848E-4</v>
      </c>
      <c r="AX33" s="42">
        <f t="shared" si="34"/>
        <v>6.6115702479338848E-4</v>
      </c>
      <c r="AY33" s="42">
        <f t="shared" si="34"/>
        <v>6.6115702479338848E-4</v>
      </c>
      <c r="AZ33" s="42">
        <f t="shared" si="34"/>
        <v>6.6115702479338848E-4</v>
      </c>
      <c r="BA33" s="34">
        <f t="shared" si="27"/>
        <v>113437.5</v>
      </c>
      <c r="BB33" s="34">
        <f>IFERROR(up_RadSpec!$J$13*(BB13*$B33),".")</f>
        <v>37812.5</v>
      </c>
      <c r="BC33" s="34">
        <f>IFERROR(up_RadSpec!$J$13*(BC13*$B33),".")</f>
        <v>37812.5</v>
      </c>
      <c r="BD33" s="34">
        <f>IFERROR(up_RadSpec!$J$13*(BD13*$B33),".")</f>
        <v>37812.5</v>
      </c>
      <c r="BE33" s="34">
        <f>IFERROR(up_RadSpec!$J$13*(BE13*$B33),".")</f>
        <v>37812.5</v>
      </c>
      <c r="BF33" s="34">
        <f>IFERROR(up_RadSpec!$J$13*(BF13*$B33),".")</f>
        <v>37812.5</v>
      </c>
      <c r="BG33" s="34">
        <f>IFERROR(up_RadSpec!$J$13*(BG13*$B33),".")</f>
        <v>37812.5</v>
      </c>
      <c r="BH33" s="34">
        <f>IFERROR(up_RadSpec!$J$13*(BH13*$B33),".")</f>
        <v>37812.5</v>
      </c>
      <c r="BI33" s="34">
        <f>IFERROR(up_RadSpec!$J$13*(BI13*$B33),".")</f>
        <v>37812.5</v>
      </c>
      <c r="BJ33" s="34">
        <f>IFERROR(up_RadSpec!$J$13*(BJ13*$B33),".")</f>
        <v>37812.5</v>
      </c>
      <c r="BK33" s="34">
        <f>IFERROR(up_RadSpec!$J$13*(BK13*$B33),".")</f>
        <v>37812.5</v>
      </c>
      <c r="BL33" s="34">
        <f>IFERROR(up_RadSpec!$J$13*(BL13*$B33),".")</f>
        <v>37812.5</v>
      </c>
      <c r="BM33" s="34">
        <f>IFERROR(up_RadSpec!$J$13*(BM13*$B33),".")</f>
        <v>37812.5</v>
      </c>
      <c r="BN33" s="34">
        <f>IFERROR(up_RadSpec!$J$13*(BN13*$B33),".")</f>
        <v>37812.5</v>
      </c>
      <c r="BO33" s="34">
        <f>IFERROR(up_RadSpec!$J$13*(BO13*$B33),".")</f>
        <v>37812.5</v>
      </c>
      <c r="BP33" s="34">
        <f>IFERROR(up_RadSpec!$J$13*(BP13*$B33),".")</f>
        <v>37812.5</v>
      </c>
      <c r="BQ33" s="34">
        <f>IFERROR(up_RadSpec!$J$13*(BQ13*$B33),".")</f>
        <v>37812.5</v>
      </c>
      <c r="BR33" s="34">
        <f>IFERROR(up_RadSpec!$J$13*(BR13*$B33),".")</f>
        <v>37812.5</v>
      </c>
      <c r="BS33" s="34">
        <f>IFERROR(up_RadSpec!$J$13*(BS13*$B33),".")</f>
        <v>37812.5</v>
      </c>
      <c r="BT33" s="34">
        <f>IFERROR(up_RadSpec!$J$13*(BT13*$B33),".")</f>
        <v>37812.5</v>
      </c>
      <c r="BU33" s="34">
        <f>IFERROR(up_RadSpec!$J$13*(BU13*$B33),".")</f>
        <v>37812.5</v>
      </c>
      <c r="BV33" s="34">
        <f>IFERROR(up_RadSpec!$J$13*(BV13*$B33),".")</f>
        <v>37812.5</v>
      </c>
      <c r="BW33" s="34">
        <f>IFERROR(up_RadSpec!$J$13*(BW13*$B33),".")</f>
        <v>37812.5</v>
      </c>
      <c r="BX33" s="34">
        <f>IFERROR(up_RadSpec!$J$13*(BX13*$B33),".")</f>
        <v>37812.5</v>
      </c>
      <c r="BY33" s="34">
        <f>IFERROR(up_RadSpec!$J$13*(BY13*$B33),".")</f>
        <v>37812.5</v>
      </c>
    </row>
    <row r="34" spans="1:77" x14ac:dyDescent="0.25">
      <c r="A34" s="66" t="s">
        <v>1064</v>
      </c>
      <c r="B34" s="49">
        <v>1</v>
      </c>
      <c r="C34" s="67">
        <f t="shared" si="24"/>
        <v>2.2038567493112948E-4</v>
      </c>
      <c r="D34" s="42">
        <f t="shared" si="33"/>
        <v>6.6115702479338848E-4</v>
      </c>
      <c r="E34" s="42">
        <f t="shared" si="33"/>
        <v>6.6115702479338848E-4</v>
      </c>
      <c r="F34" s="42">
        <f t="shared" si="33"/>
        <v>6.6115702479338848E-4</v>
      </c>
      <c r="G34" s="42">
        <f t="shared" si="33"/>
        <v>6.6115702479338848E-4</v>
      </c>
      <c r="H34" s="42">
        <f t="shared" si="33"/>
        <v>6.6115702479338848E-4</v>
      </c>
      <c r="I34" s="42">
        <f t="shared" si="33"/>
        <v>6.6115702479338848E-4</v>
      </c>
      <c r="J34" s="42">
        <f t="shared" si="33"/>
        <v>6.6115702479338848E-4</v>
      </c>
      <c r="K34" s="42">
        <f t="shared" si="33"/>
        <v>6.6115702479338848E-4</v>
      </c>
      <c r="L34" s="42">
        <f t="shared" si="33"/>
        <v>6.6115702479338848E-4</v>
      </c>
      <c r="M34" s="42">
        <f t="shared" si="33"/>
        <v>6.6115702479338848E-4</v>
      </c>
      <c r="N34" s="42">
        <f t="shared" si="33"/>
        <v>6.6115702479338848E-4</v>
      </c>
      <c r="O34" s="42">
        <f t="shared" si="33"/>
        <v>6.6115702479338848E-4</v>
      </c>
      <c r="P34" s="42">
        <f t="shared" si="33"/>
        <v>6.6115702479338848E-4</v>
      </c>
      <c r="Q34" s="42">
        <f t="shared" si="33"/>
        <v>6.6115702479338848E-4</v>
      </c>
      <c r="R34" s="42">
        <f t="shared" si="33"/>
        <v>6.6115702479338848E-4</v>
      </c>
      <c r="S34" s="42">
        <f t="shared" si="33"/>
        <v>6.6115702479338848E-4</v>
      </c>
      <c r="T34" s="42">
        <f t="shared" si="33"/>
        <v>6.6115702479338848E-4</v>
      </c>
      <c r="U34" s="42">
        <f t="shared" si="33"/>
        <v>6.6115702479338848E-4</v>
      </c>
      <c r="V34" s="42">
        <f t="shared" si="33"/>
        <v>6.6115702479338848E-4</v>
      </c>
      <c r="W34" s="42">
        <f t="shared" si="33"/>
        <v>6.6115702479338848E-4</v>
      </c>
      <c r="X34" s="42">
        <f t="shared" si="33"/>
        <v>6.6115702479338848E-4</v>
      </c>
      <c r="Y34" s="42">
        <f t="shared" si="33"/>
        <v>6.6115702479338848E-4</v>
      </c>
      <c r="Z34" s="42">
        <f t="shared" si="33"/>
        <v>6.6115702479338848E-4</v>
      </c>
      <c r="AA34" s="42">
        <f t="shared" si="33"/>
        <v>6.6115702479338848E-4</v>
      </c>
      <c r="AB34" s="67">
        <f t="shared" si="25"/>
        <v>2.2038567493112948E-4</v>
      </c>
      <c r="AC34" s="42">
        <f t="shared" si="34"/>
        <v>6.6115702479338848E-4</v>
      </c>
      <c r="AD34" s="42">
        <f t="shared" si="34"/>
        <v>6.6115702479338848E-4</v>
      </c>
      <c r="AE34" s="42">
        <f t="shared" si="34"/>
        <v>6.6115702479338848E-4</v>
      </c>
      <c r="AF34" s="42">
        <f t="shared" si="34"/>
        <v>6.6115702479338848E-4</v>
      </c>
      <c r="AG34" s="42">
        <f t="shared" si="34"/>
        <v>6.6115702479338848E-4</v>
      </c>
      <c r="AH34" s="42">
        <f t="shared" si="34"/>
        <v>6.6115702479338848E-4</v>
      </c>
      <c r="AI34" s="42">
        <f t="shared" si="34"/>
        <v>6.6115702479338848E-4</v>
      </c>
      <c r="AJ34" s="42">
        <f t="shared" si="34"/>
        <v>6.6115702479338848E-4</v>
      </c>
      <c r="AK34" s="42">
        <f t="shared" si="34"/>
        <v>6.6115702479338848E-4</v>
      </c>
      <c r="AL34" s="42">
        <f t="shared" si="34"/>
        <v>6.6115702479338848E-4</v>
      </c>
      <c r="AM34" s="42">
        <f t="shared" si="34"/>
        <v>6.6115702479338848E-4</v>
      </c>
      <c r="AN34" s="42">
        <f t="shared" si="34"/>
        <v>6.6115702479338848E-4</v>
      </c>
      <c r="AO34" s="42">
        <f t="shared" si="34"/>
        <v>6.6115702479338848E-4</v>
      </c>
      <c r="AP34" s="42">
        <f t="shared" si="34"/>
        <v>6.6115702479338848E-4</v>
      </c>
      <c r="AQ34" s="42">
        <f t="shared" si="34"/>
        <v>6.6115702479338848E-4</v>
      </c>
      <c r="AR34" s="42">
        <f t="shared" si="34"/>
        <v>6.6115702479338848E-4</v>
      </c>
      <c r="AS34" s="42">
        <f t="shared" si="34"/>
        <v>6.6115702479338848E-4</v>
      </c>
      <c r="AT34" s="42">
        <f t="shared" si="34"/>
        <v>6.6115702479338848E-4</v>
      </c>
      <c r="AU34" s="42">
        <f t="shared" si="34"/>
        <v>6.6115702479338848E-4</v>
      </c>
      <c r="AV34" s="42">
        <f t="shared" si="34"/>
        <v>6.6115702479338848E-4</v>
      </c>
      <c r="AW34" s="42">
        <f t="shared" si="34"/>
        <v>6.6115702479338848E-4</v>
      </c>
      <c r="AX34" s="42">
        <f t="shared" si="34"/>
        <v>6.6115702479338848E-4</v>
      </c>
      <c r="AY34" s="42">
        <f t="shared" si="34"/>
        <v>6.6115702479338848E-4</v>
      </c>
      <c r="AZ34" s="42">
        <f t="shared" si="34"/>
        <v>6.6115702479338848E-4</v>
      </c>
      <c r="BA34" s="34">
        <f t="shared" si="27"/>
        <v>113437.5</v>
      </c>
      <c r="BB34" s="34">
        <f>IFERROR(up_RadSpec!$J$14*(BB14*$B34),".")</f>
        <v>37812.5</v>
      </c>
      <c r="BC34" s="34">
        <f>IFERROR(up_RadSpec!$J$14*(BC14*$B34),".")</f>
        <v>37812.5</v>
      </c>
      <c r="BD34" s="34">
        <f>IFERROR(up_RadSpec!$J$14*(BD14*$B34),".")</f>
        <v>37812.5</v>
      </c>
      <c r="BE34" s="34">
        <f>IFERROR(up_RadSpec!$J$14*(BE14*$B34),".")</f>
        <v>37812.5</v>
      </c>
      <c r="BF34" s="34">
        <f>IFERROR(up_RadSpec!$J$14*(BF14*$B34),".")</f>
        <v>37812.5</v>
      </c>
      <c r="BG34" s="34">
        <f>IFERROR(up_RadSpec!$J$14*(BG14*$B34),".")</f>
        <v>37812.5</v>
      </c>
      <c r="BH34" s="34">
        <f>IFERROR(up_RadSpec!$J$14*(BH14*$B34),".")</f>
        <v>37812.5</v>
      </c>
      <c r="BI34" s="34">
        <f>IFERROR(up_RadSpec!$J$14*(BI14*$B34),".")</f>
        <v>37812.5</v>
      </c>
      <c r="BJ34" s="34">
        <f>IFERROR(up_RadSpec!$J$14*(BJ14*$B34),".")</f>
        <v>37812.5</v>
      </c>
      <c r="BK34" s="34">
        <f>IFERROR(up_RadSpec!$J$14*(BK14*$B34),".")</f>
        <v>37812.5</v>
      </c>
      <c r="BL34" s="34">
        <f>IFERROR(up_RadSpec!$J$14*(BL14*$B34),".")</f>
        <v>37812.5</v>
      </c>
      <c r="BM34" s="34">
        <f>IFERROR(up_RadSpec!$J$14*(BM14*$B34),".")</f>
        <v>37812.5</v>
      </c>
      <c r="BN34" s="34">
        <f>IFERROR(up_RadSpec!$J$14*(BN14*$B34),".")</f>
        <v>37812.5</v>
      </c>
      <c r="BO34" s="34">
        <f>IFERROR(up_RadSpec!$J$14*(BO14*$B34),".")</f>
        <v>37812.5</v>
      </c>
      <c r="BP34" s="34">
        <f>IFERROR(up_RadSpec!$J$14*(BP14*$B34),".")</f>
        <v>37812.5</v>
      </c>
      <c r="BQ34" s="34">
        <f>IFERROR(up_RadSpec!$J$14*(BQ14*$B34),".")</f>
        <v>37812.5</v>
      </c>
      <c r="BR34" s="34">
        <f>IFERROR(up_RadSpec!$J$14*(BR14*$B34),".")</f>
        <v>37812.5</v>
      </c>
      <c r="BS34" s="34">
        <f>IFERROR(up_RadSpec!$J$14*(BS14*$B34),".")</f>
        <v>37812.5</v>
      </c>
      <c r="BT34" s="34">
        <f>IFERROR(up_RadSpec!$J$14*(BT14*$B34),".")</f>
        <v>37812.5</v>
      </c>
      <c r="BU34" s="34">
        <f>IFERROR(up_RadSpec!$J$14*(BU14*$B34),".")</f>
        <v>37812.5</v>
      </c>
      <c r="BV34" s="34">
        <f>IFERROR(up_RadSpec!$J$14*(BV14*$B34),".")</f>
        <v>37812.5</v>
      </c>
      <c r="BW34" s="34">
        <f>IFERROR(up_RadSpec!$J$14*(BW14*$B34),".")</f>
        <v>37812.5</v>
      </c>
      <c r="BX34" s="34">
        <f>IFERROR(up_RadSpec!$J$14*(BX14*$B34),".")</f>
        <v>37812.5</v>
      </c>
      <c r="BY34" s="34">
        <f>IFERROR(up_RadSpec!$J$14*(BY14*$B34),".")</f>
        <v>37812.5</v>
      </c>
    </row>
    <row r="35" spans="1:77" x14ac:dyDescent="0.25">
      <c r="A35" s="66" t="s">
        <v>1065</v>
      </c>
      <c r="B35" s="49">
        <v>1</v>
      </c>
      <c r="C35" s="67">
        <f t="shared" si="24"/>
        <v>2.2038567493112948E-4</v>
      </c>
      <c r="D35" s="42">
        <f t="shared" ref="D35:AA35" si="35">IFERROR(D30/$B35,0)</f>
        <v>6.6115702479338848E-4</v>
      </c>
      <c r="E35" s="42">
        <f t="shared" si="35"/>
        <v>6.6115702479338848E-4</v>
      </c>
      <c r="F35" s="42">
        <f t="shared" si="35"/>
        <v>6.6115702479338848E-4</v>
      </c>
      <c r="G35" s="42">
        <f t="shared" si="35"/>
        <v>6.6115702479338848E-4</v>
      </c>
      <c r="H35" s="42">
        <f t="shared" si="35"/>
        <v>6.6115702479338848E-4</v>
      </c>
      <c r="I35" s="42">
        <f t="shared" si="35"/>
        <v>6.6115702479338848E-4</v>
      </c>
      <c r="J35" s="42">
        <f t="shared" si="35"/>
        <v>6.6115702479338848E-4</v>
      </c>
      <c r="K35" s="42">
        <f t="shared" si="35"/>
        <v>6.6115702479338848E-4</v>
      </c>
      <c r="L35" s="42">
        <f t="shared" si="35"/>
        <v>6.6115702479338848E-4</v>
      </c>
      <c r="M35" s="42">
        <f t="shared" si="35"/>
        <v>6.6115702479338848E-4</v>
      </c>
      <c r="N35" s="42">
        <f t="shared" si="35"/>
        <v>6.6115702479338848E-4</v>
      </c>
      <c r="O35" s="42">
        <f t="shared" si="35"/>
        <v>6.6115702479338848E-4</v>
      </c>
      <c r="P35" s="42">
        <f t="shared" si="35"/>
        <v>6.6115702479338848E-4</v>
      </c>
      <c r="Q35" s="42">
        <f t="shared" si="35"/>
        <v>6.6115702479338848E-4</v>
      </c>
      <c r="R35" s="42">
        <f t="shared" si="35"/>
        <v>6.6115702479338848E-4</v>
      </c>
      <c r="S35" s="42">
        <f t="shared" si="35"/>
        <v>6.6115702479338848E-4</v>
      </c>
      <c r="T35" s="42">
        <f t="shared" si="35"/>
        <v>6.6115702479338848E-4</v>
      </c>
      <c r="U35" s="42">
        <f t="shared" si="35"/>
        <v>6.6115702479338848E-4</v>
      </c>
      <c r="V35" s="42">
        <f t="shared" si="35"/>
        <v>6.6115702479338848E-4</v>
      </c>
      <c r="W35" s="42">
        <f t="shared" si="35"/>
        <v>6.6115702479338848E-4</v>
      </c>
      <c r="X35" s="42">
        <f t="shared" si="35"/>
        <v>6.6115702479338848E-4</v>
      </c>
      <c r="Y35" s="42">
        <f t="shared" si="35"/>
        <v>6.6115702479338848E-4</v>
      </c>
      <c r="Z35" s="42">
        <f t="shared" si="35"/>
        <v>6.6115702479338848E-4</v>
      </c>
      <c r="AA35" s="42">
        <f t="shared" si="35"/>
        <v>6.6115702479338848E-4</v>
      </c>
      <c r="AB35" s="67">
        <f t="shared" si="25"/>
        <v>2.2038567493112948E-4</v>
      </c>
      <c r="AC35" s="42">
        <f t="shared" ref="AC35:AZ35" si="36">IFERROR(AC30/$B35,0)</f>
        <v>6.6115702479338848E-4</v>
      </c>
      <c r="AD35" s="42">
        <f t="shared" si="36"/>
        <v>6.6115702479338848E-4</v>
      </c>
      <c r="AE35" s="42">
        <f t="shared" si="36"/>
        <v>6.6115702479338848E-4</v>
      </c>
      <c r="AF35" s="42">
        <f t="shared" si="36"/>
        <v>6.6115702479338848E-4</v>
      </c>
      <c r="AG35" s="42">
        <f t="shared" si="36"/>
        <v>6.6115702479338848E-4</v>
      </c>
      <c r="AH35" s="42">
        <f t="shared" si="36"/>
        <v>6.6115702479338848E-4</v>
      </c>
      <c r="AI35" s="42">
        <f t="shared" si="36"/>
        <v>6.6115702479338848E-4</v>
      </c>
      <c r="AJ35" s="42">
        <f t="shared" si="36"/>
        <v>6.6115702479338848E-4</v>
      </c>
      <c r="AK35" s="42">
        <f t="shared" si="36"/>
        <v>6.6115702479338848E-4</v>
      </c>
      <c r="AL35" s="42">
        <f t="shared" si="36"/>
        <v>6.6115702479338848E-4</v>
      </c>
      <c r="AM35" s="42">
        <f t="shared" si="36"/>
        <v>6.6115702479338848E-4</v>
      </c>
      <c r="AN35" s="42">
        <f t="shared" si="36"/>
        <v>6.6115702479338848E-4</v>
      </c>
      <c r="AO35" s="42">
        <f t="shared" si="36"/>
        <v>6.6115702479338848E-4</v>
      </c>
      <c r="AP35" s="42">
        <f t="shared" si="36"/>
        <v>6.6115702479338848E-4</v>
      </c>
      <c r="AQ35" s="42">
        <f t="shared" si="36"/>
        <v>6.6115702479338848E-4</v>
      </c>
      <c r="AR35" s="42">
        <f t="shared" si="36"/>
        <v>6.6115702479338848E-4</v>
      </c>
      <c r="AS35" s="42">
        <f t="shared" si="36"/>
        <v>6.6115702479338848E-4</v>
      </c>
      <c r="AT35" s="42">
        <f t="shared" si="36"/>
        <v>6.6115702479338848E-4</v>
      </c>
      <c r="AU35" s="42">
        <f t="shared" si="36"/>
        <v>6.6115702479338848E-4</v>
      </c>
      <c r="AV35" s="42">
        <f t="shared" si="36"/>
        <v>6.6115702479338848E-4</v>
      </c>
      <c r="AW35" s="42">
        <f t="shared" si="36"/>
        <v>6.6115702479338848E-4</v>
      </c>
      <c r="AX35" s="42">
        <f t="shared" si="36"/>
        <v>6.6115702479338848E-4</v>
      </c>
      <c r="AY35" s="42">
        <f t="shared" si="36"/>
        <v>6.6115702479338848E-4</v>
      </c>
      <c r="AZ35" s="42">
        <f t="shared" si="36"/>
        <v>6.6115702479338848E-4</v>
      </c>
      <c r="BA35" s="34">
        <f t="shared" si="27"/>
        <v>113437.5</v>
      </c>
      <c r="BB35" s="34">
        <f>IFERROR(up_RadSpec!$J$30*(BB30*$B35),".")</f>
        <v>37812.5</v>
      </c>
      <c r="BC35" s="34">
        <f>IFERROR(up_RadSpec!$J$30*(BC30*$B35),".")</f>
        <v>37812.5</v>
      </c>
      <c r="BD35" s="34">
        <f>IFERROR(up_RadSpec!$J$30*(BD30*$B35),".")</f>
        <v>37812.5</v>
      </c>
      <c r="BE35" s="34">
        <f>IFERROR(up_RadSpec!$J$30*(BE30*$B35),".")</f>
        <v>37812.5</v>
      </c>
      <c r="BF35" s="34">
        <f>IFERROR(up_RadSpec!$J$30*(BF30*$B35),".")</f>
        <v>37812.5</v>
      </c>
      <c r="BG35" s="34">
        <f>IFERROR(up_RadSpec!$J$30*(BG30*$B35),".")</f>
        <v>37812.5</v>
      </c>
      <c r="BH35" s="34">
        <f>IFERROR(up_RadSpec!$J$30*(BH30*$B35),".")</f>
        <v>37812.5</v>
      </c>
      <c r="BI35" s="34">
        <f>IFERROR(up_RadSpec!$J$30*(BI30*$B35),".")</f>
        <v>37812.5</v>
      </c>
      <c r="BJ35" s="34">
        <f>IFERROR(up_RadSpec!$J$30*(BJ30*$B35),".")</f>
        <v>37812.5</v>
      </c>
      <c r="BK35" s="34">
        <f>IFERROR(up_RadSpec!$J$30*(BK30*$B35),".")</f>
        <v>37812.5</v>
      </c>
      <c r="BL35" s="34">
        <f>IFERROR(up_RadSpec!$J$30*(BL30*$B35),".")</f>
        <v>37812.5</v>
      </c>
      <c r="BM35" s="34">
        <f>IFERROR(up_RadSpec!$J$30*(BM30*$B35),".")</f>
        <v>37812.5</v>
      </c>
      <c r="BN35" s="34">
        <f>IFERROR(up_RadSpec!$J$30*(BN30*$B35),".")</f>
        <v>37812.5</v>
      </c>
      <c r="BO35" s="34">
        <f>IFERROR(up_RadSpec!$J$30*(BO30*$B35),".")</f>
        <v>37812.5</v>
      </c>
      <c r="BP35" s="34">
        <f>IFERROR(up_RadSpec!$J$30*(BP30*$B35),".")</f>
        <v>37812.5</v>
      </c>
      <c r="BQ35" s="34">
        <f>IFERROR(up_RadSpec!$J$30*(BQ30*$B35),".")</f>
        <v>37812.5</v>
      </c>
      <c r="BR35" s="34">
        <f>IFERROR(up_RadSpec!$J$30*(BR30*$B35),".")</f>
        <v>37812.5</v>
      </c>
      <c r="BS35" s="34">
        <f>IFERROR(up_RadSpec!$J$30*(BS30*$B35),".")</f>
        <v>37812.5</v>
      </c>
      <c r="BT35" s="34">
        <f>IFERROR(up_RadSpec!$J$30*(BT30*$B35),".")</f>
        <v>37812.5</v>
      </c>
      <c r="BU35" s="34">
        <f>IFERROR(up_RadSpec!$J$30*(BU30*$B35),".")</f>
        <v>37812.5</v>
      </c>
      <c r="BV35" s="34">
        <f>IFERROR(up_RadSpec!$J$30*(BV30*$B35),".")</f>
        <v>37812.5</v>
      </c>
      <c r="BW35" s="34">
        <f>IFERROR(up_RadSpec!$J$30*(BW30*$B35),".")</f>
        <v>37812.5</v>
      </c>
      <c r="BX35" s="34">
        <f>IFERROR(up_RadSpec!$J$30*(BX30*$B35),".")</f>
        <v>37812.5</v>
      </c>
      <c r="BY35" s="34">
        <f>IFERROR(up_RadSpec!$J$30*(BY30*$B35),".")</f>
        <v>37812.5</v>
      </c>
    </row>
    <row r="36" spans="1:77" x14ac:dyDescent="0.25">
      <c r="A36" s="66" t="s">
        <v>1066</v>
      </c>
      <c r="B36" s="49">
        <v>1</v>
      </c>
      <c r="C36" s="67">
        <f t="shared" si="24"/>
        <v>2.2038567493112948E-4</v>
      </c>
      <c r="D36" s="42">
        <f t="shared" ref="D36:AA36" si="37">IFERROR(D26/$B36,0)</f>
        <v>6.6115702479338848E-4</v>
      </c>
      <c r="E36" s="42">
        <f t="shared" si="37"/>
        <v>6.6115702479338848E-4</v>
      </c>
      <c r="F36" s="42">
        <f t="shared" si="37"/>
        <v>6.6115702479338848E-4</v>
      </c>
      <c r="G36" s="42">
        <f t="shared" si="37"/>
        <v>6.6115702479338848E-4</v>
      </c>
      <c r="H36" s="42">
        <f t="shared" si="37"/>
        <v>6.6115702479338848E-4</v>
      </c>
      <c r="I36" s="42">
        <f t="shared" si="37"/>
        <v>6.6115702479338848E-4</v>
      </c>
      <c r="J36" s="42">
        <f t="shared" si="37"/>
        <v>6.6115702479338848E-4</v>
      </c>
      <c r="K36" s="42">
        <f t="shared" si="37"/>
        <v>6.6115702479338848E-4</v>
      </c>
      <c r="L36" s="42">
        <f t="shared" si="37"/>
        <v>6.6115702479338848E-4</v>
      </c>
      <c r="M36" s="42">
        <f t="shared" si="37"/>
        <v>6.6115702479338848E-4</v>
      </c>
      <c r="N36" s="42">
        <f t="shared" si="37"/>
        <v>6.6115702479338848E-4</v>
      </c>
      <c r="O36" s="42">
        <f t="shared" si="37"/>
        <v>6.6115702479338848E-4</v>
      </c>
      <c r="P36" s="42">
        <f t="shared" si="37"/>
        <v>6.6115702479338848E-4</v>
      </c>
      <c r="Q36" s="42">
        <f t="shared" si="37"/>
        <v>6.6115702479338848E-4</v>
      </c>
      <c r="R36" s="42">
        <f t="shared" si="37"/>
        <v>6.6115702479338848E-4</v>
      </c>
      <c r="S36" s="42">
        <f t="shared" si="37"/>
        <v>6.6115702479338848E-4</v>
      </c>
      <c r="T36" s="42">
        <f t="shared" si="37"/>
        <v>6.6115702479338848E-4</v>
      </c>
      <c r="U36" s="42">
        <f t="shared" si="37"/>
        <v>6.6115702479338848E-4</v>
      </c>
      <c r="V36" s="42">
        <f t="shared" si="37"/>
        <v>6.6115702479338848E-4</v>
      </c>
      <c r="W36" s="42">
        <f t="shared" si="37"/>
        <v>6.6115702479338848E-4</v>
      </c>
      <c r="X36" s="42">
        <f t="shared" si="37"/>
        <v>6.6115702479338848E-4</v>
      </c>
      <c r="Y36" s="42">
        <f t="shared" si="37"/>
        <v>6.6115702479338848E-4</v>
      </c>
      <c r="Z36" s="42">
        <f t="shared" si="37"/>
        <v>6.6115702479338848E-4</v>
      </c>
      <c r="AA36" s="42">
        <f t="shared" si="37"/>
        <v>6.6115702479338848E-4</v>
      </c>
      <c r="AB36" s="67">
        <f t="shared" si="25"/>
        <v>2.2038567493112948E-4</v>
      </c>
      <c r="AC36" s="42">
        <f t="shared" ref="AC36:AZ36" si="38">IFERROR(AC26/$B36,0)</f>
        <v>6.6115702479338848E-4</v>
      </c>
      <c r="AD36" s="42">
        <f t="shared" si="38"/>
        <v>6.6115702479338848E-4</v>
      </c>
      <c r="AE36" s="42">
        <f t="shared" si="38"/>
        <v>6.6115702479338848E-4</v>
      </c>
      <c r="AF36" s="42">
        <f t="shared" si="38"/>
        <v>6.6115702479338848E-4</v>
      </c>
      <c r="AG36" s="42">
        <f t="shared" si="38"/>
        <v>6.6115702479338848E-4</v>
      </c>
      <c r="AH36" s="42">
        <f t="shared" si="38"/>
        <v>6.6115702479338848E-4</v>
      </c>
      <c r="AI36" s="42">
        <f t="shared" si="38"/>
        <v>6.6115702479338848E-4</v>
      </c>
      <c r="AJ36" s="42">
        <f t="shared" si="38"/>
        <v>6.6115702479338848E-4</v>
      </c>
      <c r="AK36" s="42">
        <f t="shared" si="38"/>
        <v>6.6115702479338848E-4</v>
      </c>
      <c r="AL36" s="42">
        <f t="shared" si="38"/>
        <v>6.6115702479338848E-4</v>
      </c>
      <c r="AM36" s="42">
        <f t="shared" si="38"/>
        <v>6.6115702479338848E-4</v>
      </c>
      <c r="AN36" s="42">
        <f t="shared" si="38"/>
        <v>6.6115702479338848E-4</v>
      </c>
      <c r="AO36" s="42">
        <f t="shared" si="38"/>
        <v>6.6115702479338848E-4</v>
      </c>
      <c r="AP36" s="42">
        <f t="shared" si="38"/>
        <v>6.6115702479338848E-4</v>
      </c>
      <c r="AQ36" s="42">
        <f t="shared" si="38"/>
        <v>6.6115702479338848E-4</v>
      </c>
      <c r="AR36" s="42">
        <f t="shared" si="38"/>
        <v>6.6115702479338848E-4</v>
      </c>
      <c r="AS36" s="42">
        <f t="shared" si="38"/>
        <v>6.6115702479338848E-4</v>
      </c>
      <c r="AT36" s="42">
        <f t="shared" si="38"/>
        <v>6.6115702479338848E-4</v>
      </c>
      <c r="AU36" s="42">
        <f t="shared" si="38"/>
        <v>6.6115702479338848E-4</v>
      </c>
      <c r="AV36" s="42">
        <f t="shared" si="38"/>
        <v>6.6115702479338848E-4</v>
      </c>
      <c r="AW36" s="42">
        <f t="shared" si="38"/>
        <v>6.6115702479338848E-4</v>
      </c>
      <c r="AX36" s="42">
        <f t="shared" si="38"/>
        <v>6.6115702479338848E-4</v>
      </c>
      <c r="AY36" s="42">
        <f t="shared" si="38"/>
        <v>6.6115702479338848E-4</v>
      </c>
      <c r="AZ36" s="42">
        <f t="shared" si="38"/>
        <v>6.6115702479338848E-4</v>
      </c>
      <c r="BA36" s="34">
        <f t="shared" si="27"/>
        <v>113437.5</v>
      </c>
      <c r="BB36" s="34">
        <f>IFERROR(up_RadSpec!$J$26*(BB26*$B36),".")</f>
        <v>37812.5</v>
      </c>
      <c r="BC36" s="34">
        <f>IFERROR(up_RadSpec!$J$26*(BC26*$B36),".")</f>
        <v>37812.5</v>
      </c>
      <c r="BD36" s="34">
        <f>IFERROR(up_RadSpec!$J$26*(BD26*$B36),".")</f>
        <v>37812.5</v>
      </c>
      <c r="BE36" s="34">
        <f>IFERROR(up_RadSpec!$J$26*(BE26*$B36),".")</f>
        <v>37812.5</v>
      </c>
      <c r="BF36" s="34">
        <f>IFERROR(up_RadSpec!$J$26*(BF26*$B36),".")</f>
        <v>37812.5</v>
      </c>
      <c r="BG36" s="34">
        <f>IFERROR(up_RadSpec!$J$26*(BG26*$B36),".")</f>
        <v>37812.5</v>
      </c>
      <c r="BH36" s="34">
        <f>IFERROR(up_RadSpec!$J$26*(BH26*$B36),".")</f>
        <v>37812.5</v>
      </c>
      <c r="BI36" s="34">
        <f>IFERROR(up_RadSpec!$J$26*(BI26*$B36),".")</f>
        <v>37812.5</v>
      </c>
      <c r="BJ36" s="34">
        <f>IFERROR(up_RadSpec!$J$26*(BJ26*$B36),".")</f>
        <v>37812.5</v>
      </c>
      <c r="BK36" s="34">
        <f>IFERROR(up_RadSpec!$J$26*(BK26*$B36),".")</f>
        <v>37812.5</v>
      </c>
      <c r="BL36" s="34">
        <f>IFERROR(up_RadSpec!$J$26*(BL26*$B36),".")</f>
        <v>37812.5</v>
      </c>
      <c r="BM36" s="34">
        <f>IFERROR(up_RadSpec!$J$26*(BM26*$B36),".")</f>
        <v>37812.5</v>
      </c>
      <c r="BN36" s="34">
        <f>IFERROR(up_RadSpec!$J$26*(BN26*$B36),".")</f>
        <v>37812.5</v>
      </c>
      <c r="BO36" s="34">
        <f>IFERROR(up_RadSpec!$J$26*(BO26*$B36),".")</f>
        <v>37812.5</v>
      </c>
      <c r="BP36" s="34">
        <f>IFERROR(up_RadSpec!$J$26*(BP26*$B36),".")</f>
        <v>37812.5</v>
      </c>
      <c r="BQ36" s="34">
        <f>IFERROR(up_RadSpec!$J$26*(BQ26*$B36),".")</f>
        <v>37812.5</v>
      </c>
      <c r="BR36" s="34">
        <f>IFERROR(up_RadSpec!$J$26*(BR26*$B36),".")</f>
        <v>37812.5</v>
      </c>
      <c r="BS36" s="34">
        <f>IFERROR(up_RadSpec!$J$26*(BS26*$B36),".")</f>
        <v>37812.5</v>
      </c>
      <c r="BT36" s="34">
        <f>IFERROR(up_RadSpec!$J$26*(BT26*$B36),".")</f>
        <v>37812.5</v>
      </c>
      <c r="BU36" s="34">
        <f>IFERROR(up_RadSpec!$J$26*(BU26*$B36),".")</f>
        <v>37812.5</v>
      </c>
      <c r="BV36" s="34">
        <f>IFERROR(up_RadSpec!$J$26*(BV26*$B36),".")</f>
        <v>37812.5</v>
      </c>
      <c r="BW36" s="34">
        <f>IFERROR(up_RadSpec!$J$26*(BW26*$B36),".")</f>
        <v>37812.5</v>
      </c>
      <c r="BX36" s="34">
        <f>IFERROR(up_RadSpec!$J$26*(BX26*$B36),".")</f>
        <v>37812.5</v>
      </c>
      <c r="BY36" s="34">
        <f>IFERROR(up_RadSpec!$J$26*(BY26*$B36),".")</f>
        <v>37812.5</v>
      </c>
    </row>
    <row r="37" spans="1:77" x14ac:dyDescent="0.25">
      <c r="A37" s="66" t="s">
        <v>1067</v>
      </c>
      <c r="B37" s="49">
        <v>1</v>
      </c>
      <c r="C37" s="67">
        <f t="shared" si="24"/>
        <v>2.2038567493112948E-4</v>
      </c>
      <c r="D37" s="42">
        <f t="shared" ref="D37:AA37" si="39">IFERROR(D22/$B37,0)</f>
        <v>6.6115702479338848E-4</v>
      </c>
      <c r="E37" s="42">
        <f t="shared" si="39"/>
        <v>6.6115702479338848E-4</v>
      </c>
      <c r="F37" s="42">
        <f t="shared" si="39"/>
        <v>6.6115702479338848E-4</v>
      </c>
      <c r="G37" s="42">
        <f t="shared" si="39"/>
        <v>6.6115702479338848E-4</v>
      </c>
      <c r="H37" s="42">
        <f t="shared" si="39"/>
        <v>6.6115702479338848E-4</v>
      </c>
      <c r="I37" s="42">
        <f t="shared" si="39"/>
        <v>6.6115702479338848E-4</v>
      </c>
      <c r="J37" s="42">
        <f t="shared" si="39"/>
        <v>6.6115702479338848E-4</v>
      </c>
      <c r="K37" s="42">
        <f t="shared" si="39"/>
        <v>6.6115702479338848E-4</v>
      </c>
      <c r="L37" s="42">
        <f t="shared" si="39"/>
        <v>6.6115702479338848E-4</v>
      </c>
      <c r="M37" s="42">
        <f t="shared" si="39"/>
        <v>6.6115702479338848E-4</v>
      </c>
      <c r="N37" s="42">
        <f t="shared" si="39"/>
        <v>6.6115702479338848E-4</v>
      </c>
      <c r="O37" s="42">
        <f t="shared" si="39"/>
        <v>6.6115702479338848E-4</v>
      </c>
      <c r="P37" s="42">
        <f t="shared" si="39"/>
        <v>6.6115702479338848E-4</v>
      </c>
      <c r="Q37" s="42">
        <f t="shared" si="39"/>
        <v>6.6115702479338848E-4</v>
      </c>
      <c r="R37" s="42">
        <f t="shared" si="39"/>
        <v>6.6115702479338848E-4</v>
      </c>
      <c r="S37" s="42">
        <f t="shared" si="39"/>
        <v>6.6115702479338848E-4</v>
      </c>
      <c r="T37" s="42">
        <f t="shared" si="39"/>
        <v>6.6115702479338848E-4</v>
      </c>
      <c r="U37" s="42">
        <f t="shared" si="39"/>
        <v>6.6115702479338848E-4</v>
      </c>
      <c r="V37" s="42">
        <f t="shared" si="39"/>
        <v>6.6115702479338848E-4</v>
      </c>
      <c r="W37" s="42">
        <f t="shared" si="39"/>
        <v>6.6115702479338848E-4</v>
      </c>
      <c r="X37" s="42">
        <f t="shared" si="39"/>
        <v>6.6115702479338848E-4</v>
      </c>
      <c r="Y37" s="42">
        <f t="shared" si="39"/>
        <v>6.6115702479338848E-4</v>
      </c>
      <c r="Z37" s="42">
        <f t="shared" si="39"/>
        <v>6.6115702479338848E-4</v>
      </c>
      <c r="AA37" s="42">
        <f t="shared" si="39"/>
        <v>6.6115702479338848E-4</v>
      </c>
      <c r="AB37" s="67">
        <f t="shared" si="25"/>
        <v>2.2038567493112948E-4</v>
      </c>
      <c r="AC37" s="42">
        <f t="shared" ref="AC37:AZ37" si="40">IFERROR(AC22/$B37,0)</f>
        <v>6.6115702479338848E-4</v>
      </c>
      <c r="AD37" s="42">
        <f t="shared" si="40"/>
        <v>6.6115702479338848E-4</v>
      </c>
      <c r="AE37" s="42">
        <f t="shared" si="40"/>
        <v>6.6115702479338848E-4</v>
      </c>
      <c r="AF37" s="42">
        <f t="shared" si="40"/>
        <v>6.6115702479338848E-4</v>
      </c>
      <c r="AG37" s="42">
        <f t="shared" si="40"/>
        <v>6.6115702479338848E-4</v>
      </c>
      <c r="AH37" s="42">
        <f t="shared" si="40"/>
        <v>6.6115702479338848E-4</v>
      </c>
      <c r="AI37" s="42">
        <f t="shared" si="40"/>
        <v>6.6115702479338848E-4</v>
      </c>
      <c r="AJ37" s="42">
        <f t="shared" si="40"/>
        <v>6.6115702479338848E-4</v>
      </c>
      <c r="AK37" s="42">
        <f t="shared" si="40"/>
        <v>6.6115702479338848E-4</v>
      </c>
      <c r="AL37" s="42">
        <f t="shared" si="40"/>
        <v>6.6115702479338848E-4</v>
      </c>
      <c r="AM37" s="42">
        <f t="shared" si="40"/>
        <v>6.6115702479338848E-4</v>
      </c>
      <c r="AN37" s="42">
        <f t="shared" si="40"/>
        <v>6.6115702479338848E-4</v>
      </c>
      <c r="AO37" s="42">
        <f t="shared" si="40"/>
        <v>6.6115702479338848E-4</v>
      </c>
      <c r="AP37" s="42">
        <f t="shared" si="40"/>
        <v>6.6115702479338848E-4</v>
      </c>
      <c r="AQ37" s="42">
        <f t="shared" si="40"/>
        <v>6.6115702479338848E-4</v>
      </c>
      <c r="AR37" s="42">
        <f t="shared" si="40"/>
        <v>6.6115702479338848E-4</v>
      </c>
      <c r="AS37" s="42">
        <f t="shared" si="40"/>
        <v>6.6115702479338848E-4</v>
      </c>
      <c r="AT37" s="42">
        <f t="shared" si="40"/>
        <v>6.6115702479338848E-4</v>
      </c>
      <c r="AU37" s="42">
        <f t="shared" si="40"/>
        <v>6.6115702479338848E-4</v>
      </c>
      <c r="AV37" s="42">
        <f t="shared" si="40"/>
        <v>6.6115702479338848E-4</v>
      </c>
      <c r="AW37" s="42">
        <f t="shared" si="40"/>
        <v>6.6115702479338848E-4</v>
      </c>
      <c r="AX37" s="42">
        <f t="shared" si="40"/>
        <v>6.6115702479338848E-4</v>
      </c>
      <c r="AY37" s="42">
        <f t="shared" si="40"/>
        <v>6.6115702479338848E-4</v>
      </c>
      <c r="AZ37" s="42">
        <f t="shared" si="40"/>
        <v>6.6115702479338848E-4</v>
      </c>
      <c r="BA37" s="34">
        <f t="shared" si="27"/>
        <v>113437.5</v>
      </c>
      <c r="BB37" s="34">
        <f>IFERROR(up_RadSpec!$J$22*(BB22*$B37),".")</f>
        <v>37812.5</v>
      </c>
      <c r="BC37" s="34">
        <f>IFERROR(up_RadSpec!$J$22*(BC22*$B37),".")</f>
        <v>37812.5</v>
      </c>
      <c r="BD37" s="34">
        <f>IFERROR(up_RadSpec!$J$22*(BD22*$B37),".")</f>
        <v>37812.5</v>
      </c>
      <c r="BE37" s="34">
        <f>IFERROR(up_RadSpec!$J$22*(BE22*$B37),".")</f>
        <v>37812.5</v>
      </c>
      <c r="BF37" s="34">
        <f>IFERROR(up_RadSpec!$J$22*(BF22*$B37),".")</f>
        <v>37812.5</v>
      </c>
      <c r="BG37" s="34">
        <f>IFERROR(up_RadSpec!$J$22*(BG22*$B37),".")</f>
        <v>37812.5</v>
      </c>
      <c r="BH37" s="34">
        <f>IFERROR(up_RadSpec!$J$22*(BH22*$B37),".")</f>
        <v>37812.5</v>
      </c>
      <c r="BI37" s="34">
        <f>IFERROR(up_RadSpec!$J$22*(BI22*$B37),".")</f>
        <v>37812.5</v>
      </c>
      <c r="BJ37" s="34">
        <f>IFERROR(up_RadSpec!$J$22*(BJ22*$B37),".")</f>
        <v>37812.5</v>
      </c>
      <c r="BK37" s="34">
        <f>IFERROR(up_RadSpec!$J$22*(BK22*$B37),".")</f>
        <v>37812.5</v>
      </c>
      <c r="BL37" s="34">
        <f>IFERROR(up_RadSpec!$J$22*(BL22*$B37),".")</f>
        <v>37812.5</v>
      </c>
      <c r="BM37" s="34">
        <f>IFERROR(up_RadSpec!$J$22*(BM22*$B37),".")</f>
        <v>37812.5</v>
      </c>
      <c r="BN37" s="34">
        <f>IFERROR(up_RadSpec!$J$22*(BN22*$B37),".")</f>
        <v>37812.5</v>
      </c>
      <c r="BO37" s="34">
        <f>IFERROR(up_RadSpec!$J$22*(BO22*$B37),".")</f>
        <v>37812.5</v>
      </c>
      <c r="BP37" s="34">
        <f>IFERROR(up_RadSpec!$J$22*(BP22*$B37),".")</f>
        <v>37812.5</v>
      </c>
      <c r="BQ37" s="34">
        <f>IFERROR(up_RadSpec!$J$22*(BQ22*$B37),".")</f>
        <v>37812.5</v>
      </c>
      <c r="BR37" s="34">
        <f>IFERROR(up_RadSpec!$J$22*(BR22*$B37),".")</f>
        <v>37812.5</v>
      </c>
      <c r="BS37" s="34">
        <f>IFERROR(up_RadSpec!$J$22*(BS22*$B37),".")</f>
        <v>37812.5</v>
      </c>
      <c r="BT37" s="34">
        <f>IFERROR(up_RadSpec!$J$22*(BT22*$B37),".")</f>
        <v>37812.5</v>
      </c>
      <c r="BU37" s="34">
        <f>IFERROR(up_RadSpec!$J$22*(BU22*$B37),".")</f>
        <v>37812.5</v>
      </c>
      <c r="BV37" s="34">
        <f>IFERROR(up_RadSpec!$J$22*(BV22*$B37),".")</f>
        <v>37812.5</v>
      </c>
      <c r="BW37" s="34">
        <f>IFERROR(up_RadSpec!$J$22*(BW22*$B37),".")</f>
        <v>37812.5</v>
      </c>
      <c r="BX37" s="34">
        <f>IFERROR(up_RadSpec!$J$22*(BX22*$B37),".")</f>
        <v>37812.5</v>
      </c>
      <c r="BY37" s="34">
        <f>IFERROR(up_RadSpec!$J$22*(BY22*$B37),".")</f>
        <v>37812.5</v>
      </c>
    </row>
    <row r="38" spans="1:77" x14ac:dyDescent="0.25">
      <c r="A38" s="66" t="s">
        <v>1068</v>
      </c>
      <c r="B38" s="49">
        <v>1</v>
      </c>
      <c r="C38" s="67">
        <f t="shared" si="24"/>
        <v>2.2038567493112948E-4</v>
      </c>
      <c r="D38" s="42">
        <f t="shared" ref="D38:AA38" si="41">IFERROR(D2/$B38,0)</f>
        <v>6.6115702479338848E-4</v>
      </c>
      <c r="E38" s="42">
        <f t="shared" si="41"/>
        <v>6.6115702479338848E-4</v>
      </c>
      <c r="F38" s="42">
        <f t="shared" si="41"/>
        <v>6.6115702479338848E-4</v>
      </c>
      <c r="G38" s="42">
        <f t="shared" si="41"/>
        <v>6.6115702479338848E-4</v>
      </c>
      <c r="H38" s="42">
        <f t="shared" si="41"/>
        <v>6.6115702479338848E-4</v>
      </c>
      <c r="I38" s="42">
        <f t="shared" si="41"/>
        <v>6.6115702479338848E-4</v>
      </c>
      <c r="J38" s="42">
        <f t="shared" si="41"/>
        <v>6.6115702479338848E-4</v>
      </c>
      <c r="K38" s="42">
        <f t="shared" si="41"/>
        <v>6.6115702479338848E-4</v>
      </c>
      <c r="L38" s="42">
        <f t="shared" si="41"/>
        <v>6.6115702479338848E-4</v>
      </c>
      <c r="M38" s="42">
        <f t="shared" si="41"/>
        <v>6.6115702479338848E-4</v>
      </c>
      <c r="N38" s="42">
        <f t="shared" si="41"/>
        <v>6.6115702479338848E-4</v>
      </c>
      <c r="O38" s="42">
        <f t="shared" si="41"/>
        <v>6.6115702479338848E-4</v>
      </c>
      <c r="P38" s="42">
        <f t="shared" si="41"/>
        <v>6.6115702479338848E-4</v>
      </c>
      <c r="Q38" s="42">
        <f t="shared" si="41"/>
        <v>6.6115702479338848E-4</v>
      </c>
      <c r="R38" s="42">
        <f t="shared" si="41"/>
        <v>6.6115702479338848E-4</v>
      </c>
      <c r="S38" s="42">
        <f t="shared" si="41"/>
        <v>6.6115702479338848E-4</v>
      </c>
      <c r="T38" s="42">
        <f t="shared" si="41"/>
        <v>6.6115702479338848E-4</v>
      </c>
      <c r="U38" s="42">
        <f t="shared" si="41"/>
        <v>6.6115702479338848E-4</v>
      </c>
      <c r="V38" s="42">
        <f t="shared" si="41"/>
        <v>6.6115702479338848E-4</v>
      </c>
      <c r="W38" s="42">
        <f t="shared" si="41"/>
        <v>6.6115702479338848E-4</v>
      </c>
      <c r="X38" s="42">
        <f t="shared" si="41"/>
        <v>6.6115702479338848E-4</v>
      </c>
      <c r="Y38" s="42">
        <f t="shared" si="41"/>
        <v>6.6115702479338848E-4</v>
      </c>
      <c r="Z38" s="42">
        <f t="shared" si="41"/>
        <v>6.6115702479338848E-4</v>
      </c>
      <c r="AA38" s="42">
        <f t="shared" si="41"/>
        <v>6.6115702479338848E-4</v>
      </c>
      <c r="AB38" s="67">
        <f t="shared" si="25"/>
        <v>2.2038567493112948E-4</v>
      </c>
      <c r="AC38" s="42">
        <f t="shared" ref="AC38:AZ38" si="42">IFERROR(AC2/$B38,0)</f>
        <v>6.6115702479338848E-4</v>
      </c>
      <c r="AD38" s="42">
        <f t="shared" si="42"/>
        <v>6.6115702479338848E-4</v>
      </c>
      <c r="AE38" s="42">
        <f t="shared" si="42"/>
        <v>6.6115702479338848E-4</v>
      </c>
      <c r="AF38" s="42">
        <f t="shared" si="42"/>
        <v>6.6115702479338848E-4</v>
      </c>
      <c r="AG38" s="42">
        <f t="shared" si="42"/>
        <v>6.6115702479338848E-4</v>
      </c>
      <c r="AH38" s="42">
        <f t="shared" si="42"/>
        <v>6.6115702479338848E-4</v>
      </c>
      <c r="AI38" s="42">
        <f t="shared" si="42"/>
        <v>6.6115702479338848E-4</v>
      </c>
      <c r="AJ38" s="42">
        <f t="shared" si="42"/>
        <v>6.6115702479338848E-4</v>
      </c>
      <c r="AK38" s="42">
        <f t="shared" si="42"/>
        <v>6.6115702479338848E-4</v>
      </c>
      <c r="AL38" s="42">
        <f t="shared" si="42"/>
        <v>6.6115702479338848E-4</v>
      </c>
      <c r="AM38" s="42">
        <f t="shared" si="42"/>
        <v>6.6115702479338848E-4</v>
      </c>
      <c r="AN38" s="42">
        <f t="shared" si="42"/>
        <v>6.6115702479338848E-4</v>
      </c>
      <c r="AO38" s="42">
        <f t="shared" si="42"/>
        <v>6.6115702479338848E-4</v>
      </c>
      <c r="AP38" s="42">
        <f t="shared" si="42"/>
        <v>6.6115702479338848E-4</v>
      </c>
      <c r="AQ38" s="42">
        <f t="shared" si="42"/>
        <v>6.6115702479338848E-4</v>
      </c>
      <c r="AR38" s="42">
        <f t="shared" si="42"/>
        <v>6.6115702479338848E-4</v>
      </c>
      <c r="AS38" s="42">
        <f t="shared" si="42"/>
        <v>6.6115702479338848E-4</v>
      </c>
      <c r="AT38" s="42">
        <f t="shared" si="42"/>
        <v>6.6115702479338848E-4</v>
      </c>
      <c r="AU38" s="42">
        <f t="shared" si="42"/>
        <v>6.6115702479338848E-4</v>
      </c>
      <c r="AV38" s="42">
        <f t="shared" si="42"/>
        <v>6.6115702479338848E-4</v>
      </c>
      <c r="AW38" s="42">
        <f t="shared" si="42"/>
        <v>6.6115702479338848E-4</v>
      </c>
      <c r="AX38" s="42">
        <f t="shared" si="42"/>
        <v>6.6115702479338848E-4</v>
      </c>
      <c r="AY38" s="42">
        <f t="shared" si="42"/>
        <v>6.6115702479338848E-4</v>
      </c>
      <c r="AZ38" s="42">
        <f t="shared" si="42"/>
        <v>6.6115702479338848E-4</v>
      </c>
      <c r="BA38" s="34">
        <f t="shared" si="27"/>
        <v>113437.5</v>
      </c>
      <c r="BB38" s="34">
        <f>IFERROR(up_RadSpec!$J$2*(BB2*$B38),".")</f>
        <v>37812.5</v>
      </c>
      <c r="BC38" s="34">
        <f>IFERROR(up_RadSpec!$J$2*(BC2*$B38),".")</f>
        <v>37812.5</v>
      </c>
      <c r="BD38" s="34">
        <f>IFERROR(up_RadSpec!$J$2*(BD2*$B38),".")</f>
        <v>37812.5</v>
      </c>
      <c r="BE38" s="34">
        <f>IFERROR(up_RadSpec!$J$2*(BE2*$B38),".")</f>
        <v>37812.5</v>
      </c>
      <c r="BF38" s="34">
        <f>IFERROR(up_RadSpec!$J$2*(BF2*$B38),".")</f>
        <v>37812.5</v>
      </c>
      <c r="BG38" s="34">
        <f>IFERROR(up_RadSpec!$J$2*(BG2*$B38),".")</f>
        <v>37812.5</v>
      </c>
      <c r="BH38" s="34">
        <f>IFERROR(up_RadSpec!$J$2*(BH2*$B38),".")</f>
        <v>37812.5</v>
      </c>
      <c r="BI38" s="34">
        <f>IFERROR(up_RadSpec!$J$2*(BI2*$B38),".")</f>
        <v>37812.5</v>
      </c>
      <c r="BJ38" s="34">
        <f>IFERROR(up_RadSpec!$J$2*(BJ2*$B38),".")</f>
        <v>37812.5</v>
      </c>
      <c r="BK38" s="34">
        <f>IFERROR(up_RadSpec!$J$2*(BK2*$B38),".")</f>
        <v>37812.5</v>
      </c>
      <c r="BL38" s="34">
        <f>IFERROR(up_RadSpec!$J$2*(BL2*$B38),".")</f>
        <v>37812.5</v>
      </c>
      <c r="BM38" s="34">
        <f>IFERROR(up_RadSpec!$J$2*(BM2*$B38),".")</f>
        <v>37812.5</v>
      </c>
      <c r="BN38" s="34">
        <f>IFERROR(up_RadSpec!$J$2*(BN2*$B38),".")</f>
        <v>37812.5</v>
      </c>
      <c r="BO38" s="34">
        <f>IFERROR(up_RadSpec!$J$2*(BO2*$B38),".")</f>
        <v>37812.5</v>
      </c>
      <c r="BP38" s="34">
        <f>IFERROR(up_RadSpec!$J$2*(BP2*$B38),".")</f>
        <v>37812.5</v>
      </c>
      <c r="BQ38" s="34">
        <f>IFERROR(up_RadSpec!$J$2*(BQ2*$B38),".")</f>
        <v>37812.5</v>
      </c>
      <c r="BR38" s="34">
        <f>IFERROR(up_RadSpec!$J$2*(BR2*$B38),".")</f>
        <v>37812.5</v>
      </c>
      <c r="BS38" s="34">
        <f>IFERROR(up_RadSpec!$J$2*(BS2*$B38),".")</f>
        <v>37812.5</v>
      </c>
      <c r="BT38" s="34">
        <f>IFERROR(up_RadSpec!$J$2*(BT2*$B38),".")</f>
        <v>37812.5</v>
      </c>
      <c r="BU38" s="34">
        <f>IFERROR(up_RadSpec!$J$2*(BU2*$B38),".")</f>
        <v>37812.5</v>
      </c>
      <c r="BV38" s="34">
        <f>IFERROR(up_RadSpec!$J$2*(BV2*$B38),".")</f>
        <v>37812.5</v>
      </c>
      <c r="BW38" s="34">
        <f>IFERROR(up_RadSpec!$J$2*(BW2*$B38),".")</f>
        <v>37812.5</v>
      </c>
      <c r="BX38" s="34">
        <f>IFERROR(up_RadSpec!$J$2*(BX2*$B38),".")</f>
        <v>37812.5</v>
      </c>
      <c r="BY38" s="34">
        <f>IFERROR(up_RadSpec!$J$2*(BY2*$B38),".")</f>
        <v>37812.5</v>
      </c>
    </row>
    <row r="39" spans="1:77" x14ac:dyDescent="0.25">
      <c r="A39" s="66" t="s">
        <v>1069</v>
      </c>
      <c r="B39" s="49">
        <v>1</v>
      </c>
      <c r="C39" s="67">
        <f t="shared" si="24"/>
        <v>2.2038567493112948E-4</v>
      </c>
      <c r="D39" s="42">
        <f t="shared" ref="D39:AA39" si="43">IFERROR(D11/$B39,0)</f>
        <v>6.6115702479338848E-4</v>
      </c>
      <c r="E39" s="42">
        <f t="shared" si="43"/>
        <v>6.6115702479338848E-4</v>
      </c>
      <c r="F39" s="42">
        <f t="shared" si="43"/>
        <v>6.6115702479338848E-4</v>
      </c>
      <c r="G39" s="42">
        <f t="shared" si="43"/>
        <v>6.6115702479338848E-4</v>
      </c>
      <c r="H39" s="42">
        <f t="shared" si="43"/>
        <v>6.6115702479338848E-4</v>
      </c>
      <c r="I39" s="42">
        <f t="shared" si="43"/>
        <v>6.6115702479338848E-4</v>
      </c>
      <c r="J39" s="42">
        <f t="shared" si="43"/>
        <v>6.6115702479338848E-4</v>
      </c>
      <c r="K39" s="42">
        <f t="shared" si="43"/>
        <v>6.6115702479338848E-4</v>
      </c>
      <c r="L39" s="42">
        <f t="shared" si="43"/>
        <v>6.6115702479338848E-4</v>
      </c>
      <c r="M39" s="42">
        <f t="shared" si="43"/>
        <v>6.6115702479338848E-4</v>
      </c>
      <c r="N39" s="42">
        <f t="shared" si="43"/>
        <v>6.6115702479338848E-4</v>
      </c>
      <c r="O39" s="42">
        <f t="shared" si="43"/>
        <v>6.6115702479338848E-4</v>
      </c>
      <c r="P39" s="42">
        <f t="shared" si="43"/>
        <v>6.6115702479338848E-4</v>
      </c>
      <c r="Q39" s="42">
        <f t="shared" si="43"/>
        <v>6.6115702479338848E-4</v>
      </c>
      <c r="R39" s="42">
        <f t="shared" si="43"/>
        <v>6.6115702479338848E-4</v>
      </c>
      <c r="S39" s="42">
        <f t="shared" si="43"/>
        <v>6.6115702479338848E-4</v>
      </c>
      <c r="T39" s="42">
        <f t="shared" si="43"/>
        <v>6.6115702479338848E-4</v>
      </c>
      <c r="U39" s="42">
        <f t="shared" si="43"/>
        <v>6.6115702479338848E-4</v>
      </c>
      <c r="V39" s="42">
        <f t="shared" si="43"/>
        <v>6.6115702479338848E-4</v>
      </c>
      <c r="W39" s="42">
        <f t="shared" si="43"/>
        <v>6.6115702479338848E-4</v>
      </c>
      <c r="X39" s="42">
        <f t="shared" si="43"/>
        <v>6.6115702479338848E-4</v>
      </c>
      <c r="Y39" s="42">
        <f t="shared" si="43"/>
        <v>6.6115702479338848E-4</v>
      </c>
      <c r="Z39" s="42">
        <f t="shared" si="43"/>
        <v>6.6115702479338848E-4</v>
      </c>
      <c r="AA39" s="42">
        <f t="shared" si="43"/>
        <v>6.6115702479338848E-4</v>
      </c>
      <c r="AB39" s="67">
        <f t="shared" si="25"/>
        <v>2.2038567493112948E-4</v>
      </c>
      <c r="AC39" s="42">
        <f t="shared" ref="AC39:AZ39" si="44">IFERROR(AC11/$B39,0)</f>
        <v>6.6115702479338848E-4</v>
      </c>
      <c r="AD39" s="42">
        <f t="shared" si="44"/>
        <v>6.6115702479338848E-4</v>
      </c>
      <c r="AE39" s="42">
        <f t="shared" si="44"/>
        <v>6.6115702479338848E-4</v>
      </c>
      <c r="AF39" s="42">
        <f t="shared" si="44"/>
        <v>6.6115702479338848E-4</v>
      </c>
      <c r="AG39" s="42">
        <f t="shared" si="44"/>
        <v>6.6115702479338848E-4</v>
      </c>
      <c r="AH39" s="42">
        <f t="shared" si="44"/>
        <v>6.6115702479338848E-4</v>
      </c>
      <c r="AI39" s="42">
        <f t="shared" si="44"/>
        <v>6.6115702479338848E-4</v>
      </c>
      <c r="AJ39" s="42">
        <f t="shared" si="44"/>
        <v>6.6115702479338848E-4</v>
      </c>
      <c r="AK39" s="42">
        <f t="shared" si="44"/>
        <v>6.6115702479338848E-4</v>
      </c>
      <c r="AL39" s="42">
        <f t="shared" si="44"/>
        <v>6.6115702479338848E-4</v>
      </c>
      <c r="AM39" s="42">
        <f t="shared" si="44"/>
        <v>6.6115702479338848E-4</v>
      </c>
      <c r="AN39" s="42">
        <f t="shared" si="44"/>
        <v>6.6115702479338848E-4</v>
      </c>
      <c r="AO39" s="42">
        <f t="shared" si="44"/>
        <v>6.6115702479338848E-4</v>
      </c>
      <c r="AP39" s="42">
        <f t="shared" si="44"/>
        <v>6.6115702479338848E-4</v>
      </c>
      <c r="AQ39" s="42">
        <f t="shared" si="44"/>
        <v>6.6115702479338848E-4</v>
      </c>
      <c r="AR39" s="42">
        <f t="shared" si="44"/>
        <v>6.6115702479338848E-4</v>
      </c>
      <c r="AS39" s="42">
        <f t="shared" si="44"/>
        <v>6.6115702479338848E-4</v>
      </c>
      <c r="AT39" s="42">
        <f t="shared" si="44"/>
        <v>6.6115702479338848E-4</v>
      </c>
      <c r="AU39" s="42">
        <f t="shared" si="44"/>
        <v>6.6115702479338848E-4</v>
      </c>
      <c r="AV39" s="42">
        <f t="shared" si="44"/>
        <v>6.6115702479338848E-4</v>
      </c>
      <c r="AW39" s="42">
        <f t="shared" si="44"/>
        <v>6.6115702479338848E-4</v>
      </c>
      <c r="AX39" s="42">
        <f t="shared" si="44"/>
        <v>6.6115702479338848E-4</v>
      </c>
      <c r="AY39" s="42">
        <f t="shared" si="44"/>
        <v>6.6115702479338848E-4</v>
      </c>
      <c r="AZ39" s="42">
        <f t="shared" si="44"/>
        <v>6.6115702479338848E-4</v>
      </c>
      <c r="BA39" s="34">
        <f t="shared" si="27"/>
        <v>113437.5</v>
      </c>
      <c r="BB39" s="34">
        <f>IFERROR(up_RadSpec!$J$11*(BB11*$B39),".")</f>
        <v>37812.5</v>
      </c>
      <c r="BC39" s="34">
        <f>IFERROR(up_RadSpec!$J$11*(BC11*$B39),".")</f>
        <v>37812.5</v>
      </c>
      <c r="BD39" s="34">
        <f>IFERROR(up_RadSpec!$J$11*(BD11*$B39),".")</f>
        <v>37812.5</v>
      </c>
      <c r="BE39" s="34">
        <f>IFERROR(up_RadSpec!$J$11*(BE11*$B39),".")</f>
        <v>37812.5</v>
      </c>
      <c r="BF39" s="34">
        <f>IFERROR(up_RadSpec!$J$11*(BF11*$B39),".")</f>
        <v>37812.5</v>
      </c>
      <c r="BG39" s="34">
        <f>IFERROR(up_RadSpec!$J$11*(BG11*$B39),".")</f>
        <v>37812.5</v>
      </c>
      <c r="BH39" s="34">
        <f>IFERROR(up_RadSpec!$J$11*(BH11*$B39),".")</f>
        <v>37812.5</v>
      </c>
      <c r="BI39" s="34">
        <f>IFERROR(up_RadSpec!$J$11*(BI11*$B39),".")</f>
        <v>37812.5</v>
      </c>
      <c r="BJ39" s="34">
        <f>IFERROR(up_RadSpec!$J$11*(BJ11*$B39),".")</f>
        <v>37812.5</v>
      </c>
      <c r="BK39" s="34">
        <f>IFERROR(up_RadSpec!$J$11*(BK11*$B39),".")</f>
        <v>37812.5</v>
      </c>
      <c r="BL39" s="34">
        <f>IFERROR(up_RadSpec!$J$11*(BL11*$B39),".")</f>
        <v>37812.5</v>
      </c>
      <c r="BM39" s="34">
        <f>IFERROR(up_RadSpec!$J$11*(BM11*$B39),".")</f>
        <v>37812.5</v>
      </c>
      <c r="BN39" s="34">
        <f>IFERROR(up_RadSpec!$J$11*(BN11*$B39),".")</f>
        <v>37812.5</v>
      </c>
      <c r="BO39" s="34">
        <f>IFERROR(up_RadSpec!$J$11*(BO11*$B39),".")</f>
        <v>37812.5</v>
      </c>
      <c r="BP39" s="34">
        <f>IFERROR(up_RadSpec!$J$11*(BP11*$B39),".")</f>
        <v>37812.5</v>
      </c>
      <c r="BQ39" s="34">
        <f>IFERROR(up_RadSpec!$J$11*(BQ11*$B39),".")</f>
        <v>37812.5</v>
      </c>
      <c r="BR39" s="34">
        <f>IFERROR(up_RadSpec!$J$11*(BR11*$B39),".")</f>
        <v>37812.5</v>
      </c>
      <c r="BS39" s="34">
        <f>IFERROR(up_RadSpec!$J$11*(BS11*$B39),".")</f>
        <v>37812.5</v>
      </c>
      <c r="BT39" s="34">
        <f>IFERROR(up_RadSpec!$J$11*(BT11*$B39),".")</f>
        <v>37812.5</v>
      </c>
      <c r="BU39" s="34">
        <f>IFERROR(up_RadSpec!$J$11*(BU11*$B39),".")</f>
        <v>37812.5</v>
      </c>
      <c r="BV39" s="34">
        <f>IFERROR(up_RadSpec!$J$11*(BV11*$B39),".")</f>
        <v>37812.5</v>
      </c>
      <c r="BW39" s="34">
        <f>IFERROR(up_RadSpec!$J$11*(BW11*$B39),".")</f>
        <v>37812.5</v>
      </c>
      <c r="BX39" s="34">
        <f>IFERROR(up_RadSpec!$J$11*(BX11*$B39),".")</f>
        <v>37812.5</v>
      </c>
      <c r="BY39" s="34">
        <f>IFERROR(up_RadSpec!$J$11*(BY11*$B39),".")</f>
        <v>37812.5</v>
      </c>
    </row>
    <row r="40" spans="1:77" x14ac:dyDescent="0.25">
      <c r="A40" s="66" t="s">
        <v>1070</v>
      </c>
      <c r="B40" s="49">
        <v>1</v>
      </c>
      <c r="C40" s="67">
        <f t="shared" si="24"/>
        <v>2.2038567493112948E-4</v>
      </c>
      <c r="D40" s="42">
        <f t="shared" ref="D40:AA40" si="45">IFERROR(D4/$B40,0)</f>
        <v>6.6115702479338848E-4</v>
      </c>
      <c r="E40" s="42">
        <f t="shared" si="45"/>
        <v>6.6115702479338848E-4</v>
      </c>
      <c r="F40" s="42">
        <f t="shared" si="45"/>
        <v>6.6115702479338848E-4</v>
      </c>
      <c r="G40" s="42">
        <f t="shared" si="45"/>
        <v>6.6115702479338848E-4</v>
      </c>
      <c r="H40" s="42">
        <f t="shared" si="45"/>
        <v>6.6115702479338848E-4</v>
      </c>
      <c r="I40" s="42">
        <f t="shared" si="45"/>
        <v>6.6115702479338848E-4</v>
      </c>
      <c r="J40" s="42">
        <f t="shared" si="45"/>
        <v>6.6115702479338848E-4</v>
      </c>
      <c r="K40" s="42">
        <f t="shared" si="45"/>
        <v>6.6115702479338848E-4</v>
      </c>
      <c r="L40" s="42">
        <f t="shared" si="45"/>
        <v>6.6115702479338848E-4</v>
      </c>
      <c r="M40" s="42">
        <f t="shared" si="45"/>
        <v>6.6115702479338848E-4</v>
      </c>
      <c r="N40" s="42">
        <f t="shared" si="45"/>
        <v>6.6115702479338848E-4</v>
      </c>
      <c r="O40" s="42">
        <f t="shared" si="45"/>
        <v>6.6115702479338848E-4</v>
      </c>
      <c r="P40" s="42">
        <f t="shared" si="45"/>
        <v>6.6115702479338848E-4</v>
      </c>
      <c r="Q40" s="42">
        <f t="shared" si="45"/>
        <v>6.6115702479338848E-4</v>
      </c>
      <c r="R40" s="42">
        <f t="shared" si="45"/>
        <v>6.6115702479338848E-4</v>
      </c>
      <c r="S40" s="42">
        <f t="shared" si="45"/>
        <v>6.6115702479338848E-4</v>
      </c>
      <c r="T40" s="42">
        <f t="shared" si="45"/>
        <v>6.6115702479338848E-4</v>
      </c>
      <c r="U40" s="42">
        <f t="shared" si="45"/>
        <v>6.6115702479338848E-4</v>
      </c>
      <c r="V40" s="42">
        <f t="shared" si="45"/>
        <v>6.6115702479338848E-4</v>
      </c>
      <c r="W40" s="42">
        <f t="shared" si="45"/>
        <v>6.6115702479338848E-4</v>
      </c>
      <c r="X40" s="42">
        <f t="shared" si="45"/>
        <v>6.6115702479338848E-4</v>
      </c>
      <c r="Y40" s="42">
        <f t="shared" si="45"/>
        <v>6.6115702479338848E-4</v>
      </c>
      <c r="Z40" s="42">
        <f t="shared" si="45"/>
        <v>6.6115702479338848E-4</v>
      </c>
      <c r="AA40" s="42">
        <f t="shared" si="45"/>
        <v>6.6115702479338848E-4</v>
      </c>
      <c r="AB40" s="67">
        <f t="shared" si="25"/>
        <v>2.2038567493112948E-4</v>
      </c>
      <c r="AC40" s="42">
        <f t="shared" ref="AC40:AZ40" si="46">IFERROR(AC4/$B40,0)</f>
        <v>6.6115702479338848E-4</v>
      </c>
      <c r="AD40" s="42">
        <f t="shared" si="46"/>
        <v>6.6115702479338848E-4</v>
      </c>
      <c r="AE40" s="42">
        <f t="shared" si="46"/>
        <v>6.6115702479338848E-4</v>
      </c>
      <c r="AF40" s="42">
        <f t="shared" si="46"/>
        <v>6.6115702479338848E-4</v>
      </c>
      <c r="AG40" s="42">
        <f t="shared" si="46"/>
        <v>6.6115702479338848E-4</v>
      </c>
      <c r="AH40" s="42">
        <f t="shared" si="46"/>
        <v>6.6115702479338848E-4</v>
      </c>
      <c r="AI40" s="42">
        <f t="shared" si="46"/>
        <v>6.6115702479338848E-4</v>
      </c>
      <c r="AJ40" s="42">
        <f t="shared" si="46"/>
        <v>6.6115702479338848E-4</v>
      </c>
      <c r="AK40" s="42">
        <f t="shared" si="46"/>
        <v>6.6115702479338848E-4</v>
      </c>
      <c r="AL40" s="42">
        <f t="shared" si="46"/>
        <v>6.6115702479338848E-4</v>
      </c>
      <c r="AM40" s="42">
        <f t="shared" si="46"/>
        <v>6.6115702479338848E-4</v>
      </c>
      <c r="AN40" s="42">
        <f t="shared" si="46"/>
        <v>6.6115702479338848E-4</v>
      </c>
      <c r="AO40" s="42">
        <f t="shared" si="46"/>
        <v>6.6115702479338848E-4</v>
      </c>
      <c r="AP40" s="42">
        <f t="shared" si="46"/>
        <v>6.6115702479338848E-4</v>
      </c>
      <c r="AQ40" s="42">
        <f t="shared" si="46"/>
        <v>6.6115702479338848E-4</v>
      </c>
      <c r="AR40" s="42">
        <f t="shared" si="46"/>
        <v>6.6115702479338848E-4</v>
      </c>
      <c r="AS40" s="42">
        <f t="shared" si="46"/>
        <v>6.6115702479338848E-4</v>
      </c>
      <c r="AT40" s="42">
        <f t="shared" si="46"/>
        <v>6.6115702479338848E-4</v>
      </c>
      <c r="AU40" s="42">
        <f t="shared" si="46"/>
        <v>6.6115702479338848E-4</v>
      </c>
      <c r="AV40" s="42">
        <f t="shared" si="46"/>
        <v>6.6115702479338848E-4</v>
      </c>
      <c r="AW40" s="42">
        <f t="shared" si="46"/>
        <v>6.6115702479338848E-4</v>
      </c>
      <c r="AX40" s="42">
        <f t="shared" si="46"/>
        <v>6.6115702479338848E-4</v>
      </c>
      <c r="AY40" s="42">
        <f t="shared" si="46"/>
        <v>6.6115702479338848E-4</v>
      </c>
      <c r="AZ40" s="42">
        <f t="shared" si="46"/>
        <v>6.6115702479338848E-4</v>
      </c>
      <c r="BA40" s="34">
        <f t="shared" si="27"/>
        <v>113437.5</v>
      </c>
      <c r="BB40" s="34">
        <f>IFERROR(up_RadSpec!$J$4*(BB4*$B40),".")</f>
        <v>37812.5</v>
      </c>
      <c r="BC40" s="34">
        <f>IFERROR(up_RadSpec!$J$4*(BC4*$B40),".")</f>
        <v>37812.5</v>
      </c>
      <c r="BD40" s="34">
        <f>IFERROR(up_RadSpec!$J$4*(BD4*$B40),".")</f>
        <v>37812.5</v>
      </c>
      <c r="BE40" s="34">
        <f>IFERROR(up_RadSpec!$J$4*(BE4*$B40),".")</f>
        <v>37812.5</v>
      </c>
      <c r="BF40" s="34">
        <f>IFERROR(up_RadSpec!$J$4*(BF4*$B40),".")</f>
        <v>37812.5</v>
      </c>
      <c r="BG40" s="34">
        <f>IFERROR(up_RadSpec!$J$4*(BG4*$B40),".")</f>
        <v>37812.5</v>
      </c>
      <c r="BH40" s="34">
        <f>IFERROR(up_RadSpec!$J$4*(BH4*$B40),".")</f>
        <v>37812.5</v>
      </c>
      <c r="BI40" s="34">
        <f>IFERROR(up_RadSpec!$J$4*(BI4*$B40),".")</f>
        <v>37812.5</v>
      </c>
      <c r="BJ40" s="34">
        <f>IFERROR(up_RadSpec!$J$4*(BJ4*$B40),".")</f>
        <v>37812.5</v>
      </c>
      <c r="BK40" s="34">
        <f>IFERROR(up_RadSpec!$J$4*(BK4*$B40),".")</f>
        <v>37812.5</v>
      </c>
      <c r="BL40" s="34">
        <f>IFERROR(up_RadSpec!$J$4*(BL4*$B40),".")</f>
        <v>37812.5</v>
      </c>
      <c r="BM40" s="34">
        <f>IFERROR(up_RadSpec!$J$4*(BM4*$B40),".")</f>
        <v>37812.5</v>
      </c>
      <c r="BN40" s="34">
        <f>IFERROR(up_RadSpec!$J$4*(BN4*$B40),".")</f>
        <v>37812.5</v>
      </c>
      <c r="BO40" s="34">
        <f>IFERROR(up_RadSpec!$J$4*(BO4*$B40),".")</f>
        <v>37812.5</v>
      </c>
      <c r="BP40" s="34">
        <f>IFERROR(up_RadSpec!$J$4*(BP4*$B40),".")</f>
        <v>37812.5</v>
      </c>
      <c r="BQ40" s="34">
        <f>IFERROR(up_RadSpec!$J$4*(BQ4*$B40),".")</f>
        <v>37812.5</v>
      </c>
      <c r="BR40" s="34">
        <f>IFERROR(up_RadSpec!$J$4*(BR4*$B40),".")</f>
        <v>37812.5</v>
      </c>
      <c r="BS40" s="34">
        <f>IFERROR(up_RadSpec!$J$4*(BS4*$B40),".")</f>
        <v>37812.5</v>
      </c>
      <c r="BT40" s="34">
        <f>IFERROR(up_RadSpec!$J$4*(BT4*$B40),".")</f>
        <v>37812.5</v>
      </c>
      <c r="BU40" s="34">
        <f>IFERROR(up_RadSpec!$J$4*(BU4*$B40),".")</f>
        <v>37812.5</v>
      </c>
      <c r="BV40" s="34">
        <f>IFERROR(up_RadSpec!$J$4*(BV4*$B40),".")</f>
        <v>37812.5</v>
      </c>
      <c r="BW40" s="34">
        <f>IFERROR(up_RadSpec!$J$4*(BW4*$B40),".")</f>
        <v>37812.5</v>
      </c>
      <c r="BX40" s="34">
        <f>IFERROR(up_RadSpec!$J$4*(BX4*$B40),".")</f>
        <v>37812.5</v>
      </c>
      <c r="BY40" s="34">
        <f>IFERROR(up_RadSpec!$J$4*(BY4*$B40),".")</f>
        <v>37812.5</v>
      </c>
    </row>
    <row r="41" spans="1:77" x14ac:dyDescent="0.25">
      <c r="A41" s="66" t="s">
        <v>1071</v>
      </c>
      <c r="B41" s="68">
        <v>0.99987999999999999</v>
      </c>
      <c r="C41" s="67">
        <f t="shared" si="24"/>
        <v>2.2041212438605581E-4</v>
      </c>
      <c r="D41" s="42">
        <f t="shared" ref="D41:AA41" si="47">IFERROR(D8/$B41,0)</f>
        <v>6.612363731581675E-4</v>
      </c>
      <c r="E41" s="42">
        <f t="shared" si="47"/>
        <v>6.612363731581675E-4</v>
      </c>
      <c r="F41" s="42">
        <f t="shared" si="47"/>
        <v>6.612363731581675E-4</v>
      </c>
      <c r="G41" s="42">
        <f t="shared" si="47"/>
        <v>6.612363731581675E-4</v>
      </c>
      <c r="H41" s="42">
        <f t="shared" si="47"/>
        <v>6.612363731581675E-4</v>
      </c>
      <c r="I41" s="42">
        <f t="shared" si="47"/>
        <v>6.612363731581675E-4</v>
      </c>
      <c r="J41" s="42">
        <f t="shared" si="47"/>
        <v>6.612363731581675E-4</v>
      </c>
      <c r="K41" s="42">
        <f t="shared" si="47"/>
        <v>6.612363731581675E-4</v>
      </c>
      <c r="L41" s="42">
        <f t="shared" si="47"/>
        <v>6.612363731581675E-4</v>
      </c>
      <c r="M41" s="42">
        <f t="shared" si="47"/>
        <v>6.612363731581675E-4</v>
      </c>
      <c r="N41" s="42">
        <f t="shared" si="47"/>
        <v>6.612363731581675E-4</v>
      </c>
      <c r="O41" s="42">
        <f t="shared" si="47"/>
        <v>6.612363731581675E-4</v>
      </c>
      <c r="P41" s="42">
        <f t="shared" si="47"/>
        <v>6.612363731581675E-4</v>
      </c>
      <c r="Q41" s="42">
        <f t="shared" si="47"/>
        <v>6.612363731581675E-4</v>
      </c>
      <c r="R41" s="42">
        <f t="shared" si="47"/>
        <v>6.612363731581675E-4</v>
      </c>
      <c r="S41" s="42">
        <f t="shared" si="47"/>
        <v>6.612363731581675E-4</v>
      </c>
      <c r="T41" s="42">
        <f t="shared" si="47"/>
        <v>6.612363731581675E-4</v>
      </c>
      <c r="U41" s="42">
        <f t="shared" si="47"/>
        <v>6.612363731581675E-4</v>
      </c>
      <c r="V41" s="42">
        <f t="shared" si="47"/>
        <v>6.612363731581675E-4</v>
      </c>
      <c r="W41" s="42">
        <f t="shared" si="47"/>
        <v>6.612363731581675E-4</v>
      </c>
      <c r="X41" s="42">
        <f t="shared" si="47"/>
        <v>6.612363731581675E-4</v>
      </c>
      <c r="Y41" s="42">
        <f t="shared" si="47"/>
        <v>6.612363731581675E-4</v>
      </c>
      <c r="Z41" s="42">
        <f t="shared" si="47"/>
        <v>6.612363731581675E-4</v>
      </c>
      <c r="AA41" s="42">
        <f t="shared" si="47"/>
        <v>6.612363731581675E-4</v>
      </c>
      <c r="AB41" s="67">
        <f t="shared" si="25"/>
        <v>2.2041212438605581E-4</v>
      </c>
      <c r="AC41" s="42">
        <f t="shared" ref="AC41:AZ41" si="48">IFERROR(AC8/$B41,0)</f>
        <v>6.612363731581675E-4</v>
      </c>
      <c r="AD41" s="42">
        <f t="shared" si="48"/>
        <v>6.612363731581675E-4</v>
      </c>
      <c r="AE41" s="42">
        <f t="shared" si="48"/>
        <v>6.612363731581675E-4</v>
      </c>
      <c r="AF41" s="42">
        <f t="shared" si="48"/>
        <v>6.612363731581675E-4</v>
      </c>
      <c r="AG41" s="42">
        <f t="shared" si="48"/>
        <v>6.612363731581675E-4</v>
      </c>
      <c r="AH41" s="42">
        <f t="shared" si="48"/>
        <v>6.612363731581675E-4</v>
      </c>
      <c r="AI41" s="42">
        <f t="shared" si="48"/>
        <v>6.612363731581675E-4</v>
      </c>
      <c r="AJ41" s="42">
        <f t="shared" si="48"/>
        <v>6.612363731581675E-4</v>
      </c>
      <c r="AK41" s="42">
        <f t="shared" si="48"/>
        <v>6.612363731581675E-4</v>
      </c>
      <c r="AL41" s="42">
        <f t="shared" si="48"/>
        <v>6.612363731581675E-4</v>
      </c>
      <c r="AM41" s="42">
        <f t="shared" si="48"/>
        <v>6.612363731581675E-4</v>
      </c>
      <c r="AN41" s="42">
        <f t="shared" si="48"/>
        <v>6.612363731581675E-4</v>
      </c>
      <c r="AO41" s="42">
        <f t="shared" si="48"/>
        <v>6.612363731581675E-4</v>
      </c>
      <c r="AP41" s="42">
        <f t="shared" si="48"/>
        <v>6.612363731581675E-4</v>
      </c>
      <c r="AQ41" s="42">
        <f t="shared" si="48"/>
        <v>6.612363731581675E-4</v>
      </c>
      <c r="AR41" s="42">
        <f t="shared" si="48"/>
        <v>6.612363731581675E-4</v>
      </c>
      <c r="AS41" s="42">
        <f t="shared" si="48"/>
        <v>6.612363731581675E-4</v>
      </c>
      <c r="AT41" s="42">
        <f t="shared" si="48"/>
        <v>6.612363731581675E-4</v>
      </c>
      <c r="AU41" s="42">
        <f t="shared" si="48"/>
        <v>6.612363731581675E-4</v>
      </c>
      <c r="AV41" s="42">
        <f t="shared" si="48"/>
        <v>6.612363731581675E-4</v>
      </c>
      <c r="AW41" s="42">
        <f t="shared" si="48"/>
        <v>6.612363731581675E-4</v>
      </c>
      <c r="AX41" s="42">
        <f t="shared" si="48"/>
        <v>6.612363731581675E-4</v>
      </c>
      <c r="AY41" s="42">
        <f t="shared" si="48"/>
        <v>6.612363731581675E-4</v>
      </c>
      <c r="AZ41" s="42">
        <f t="shared" si="48"/>
        <v>6.612363731581675E-4</v>
      </c>
      <c r="BA41" s="34">
        <f t="shared" si="27"/>
        <v>113423.88750000001</v>
      </c>
      <c r="BB41" s="34">
        <f>IFERROR(up_RadSpec!$J$8*(BB8*$B41),".")</f>
        <v>37807.962500000001</v>
      </c>
      <c r="BC41" s="34">
        <f>IFERROR(up_RadSpec!$J$8*(BC8*$B41),".")</f>
        <v>37807.962500000001</v>
      </c>
      <c r="BD41" s="34">
        <f>IFERROR(up_RadSpec!$J$8*(BD8*$B41),".")</f>
        <v>37807.962500000001</v>
      </c>
      <c r="BE41" s="34">
        <f>IFERROR(up_RadSpec!$J$8*(BE8*$B41),".")</f>
        <v>37807.962500000001</v>
      </c>
      <c r="BF41" s="34">
        <f>IFERROR(up_RadSpec!$J$8*(BF8*$B41),".")</f>
        <v>37807.962500000001</v>
      </c>
      <c r="BG41" s="34">
        <f>IFERROR(up_RadSpec!$J$8*(BG8*$B41),".")</f>
        <v>37807.962500000001</v>
      </c>
      <c r="BH41" s="34">
        <f>IFERROR(up_RadSpec!$J$8*(BH8*$B41),".")</f>
        <v>37807.962500000001</v>
      </c>
      <c r="BI41" s="34">
        <f>IFERROR(up_RadSpec!$J$8*(BI8*$B41),".")</f>
        <v>37807.962500000001</v>
      </c>
      <c r="BJ41" s="34">
        <f>IFERROR(up_RadSpec!$J$8*(BJ8*$B41),".")</f>
        <v>37807.962500000001</v>
      </c>
      <c r="BK41" s="34">
        <f>IFERROR(up_RadSpec!$J$8*(BK8*$B41),".")</f>
        <v>37807.962500000001</v>
      </c>
      <c r="BL41" s="34">
        <f>IFERROR(up_RadSpec!$J$8*(BL8*$B41),".")</f>
        <v>37807.962500000001</v>
      </c>
      <c r="BM41" s="34">
        <f>IFERROR(up_RadSpec!$J$8*(BM8*$B41),".")</f>
        <v>37807.962500000001</v>
      </c>
      <c r="BN41" s="34">
        <f>IFERROR(up_RadSpec!$J$8*(BN8*$B41),".")</f>
        <v>37807.962500000001</v>
      </c>
      <c r="BO41" s="34">
        <f>IFERROR(up_RadSpec!$J$8*(BO8*$B41),".")</f>
        <v>37807.962500000001</v>
      </c>
      <c r="BP41" s="34">
        <f>IFERROR(up_RadSpec!$J$8*(BP8*$B41),".")</f>
        <v>37807.962500000001</v>
      </c>
      <c r="BQ41" s="34">
        <f>IFERROR(up_RadSpec!$J$8*(BQ8*$B41),".")</f>
        <v>37807.962500000001</v>
      </c>
      <c r="BR41" s="34">
        <f>IFERROR(up_RadSpec!$J$8*(BR8*$B41),".")</f>
        <v>37807.962500000001</v>
      </c>
      <c r="BS41" s="34">
        <f>IFERROR(up_RadSpec!$J$8*(BS8*$B41),".")</f>
        <v>37807.962500000001</v>
      </c>
      <c r="BT41" s="34">
        <f>IFERROR(up_RadSpec!$J$8*(BT8*$B41),".")</f>
        <v>37807.962500000001</v>
      </c>
      <c r="BU41" s="34">
        <f>IFERROR(up_RadSpec!$J$8*(BU8*$B41),".")</f>
        <v>37807.962500000001</v>
      </c>
      <c r="BV41" s="34">
        <f>IFERROR(up_RadSpec!$J$8*(BV8*$B41),".")</f>
        <v>37807.962500000001</v>
      </c>
      <c r="BW41" s="34">
        <f>IFERROR(up_RadSpec!$J$8*(BW8*$B41),".")</f>
        <v>37807.962500000001</v>
      </c>
      <c r="BX41" s="34">
        <f>IFERROR(up_RadSpec!$J$8*(BX8*$B41),".")</f>
        <v>37807.962500000001</v>
      </c>
      <c r="BY41" s="34">
        <f>IFERROR(up_RadSpec!$J$8*(BY8*$B41),".")</f>
        <v>37807.962500000001</v>
      </c>
    </row>
    <row r="42" spans="1:77" x14ac:dyDescent="0.25">
      <c r="A42" s="66" t="s">
        <v>1072</v>
      </c>
      <c r="B42" s="49">
        <v>0.97898250799999997</v>
      </c>
      <c r="C42" s="67">
        <f t="shared" si="24"/>
        <v>2.2511707117358373E-4</v>
      </c>
      <c r="D42" s="42">
        <f t="shared" ref="D42:AA42" si="49">IFERROR(D19/$B42,0)</f>
        <v>6.7535121352075113E-4</v>
      </c>
      <c r="E42" s="42">
        <f t="shared" si="49"/>
        <v>6.7535121352075113E-4</v>
      </c>
      <c r="F42" s="42">
        <f t="shared" si="49"/>
        <v>6.7535121352075113E-4</v>
      </c>
      <c r="G42" s="42">
        <f t="shared" si="49"/>
        <v>6.7535121352075113E-4</v>
      </c>
      <c r="H42" s="42">
        <f t="shared" si="49"/>
        <v>6.7535121352075113E-4</v>
      </c>
      <c r="I42" s="42">
        <f t="shared" si="49"/>
        <v>6.7535121352075113E-4</v>
      </c>
      <c r="J42" s="42">
        <f t="shared" si="49"/>
        <v>6.7535121352075113E-4</v>
      </c>
      <c r="K42" s="42">
        <f t="shared" si="49"/>
        <v>6.7535121352075113E-4</v>
      </c>
      <c r="L42" s="42">
        <f t="shared" si="49"/>
        <v>6.7535121352075113E-4</v>
      </c>
      <c r="M42" s="42">
        <f t="shared" si="49"/>
        <v>6.7535121352075113E-4</v>
      </c>
      <c r="N42" s="42">
        <f t="shared" si="49"/>
        <v>6.7535121352075113E-4</v>
      </c>
      <c r="O42" s="42">
        <f t="shared" si="49"/>
        <v>6.7535121352075113E-4</v>
      </c>
      <c r="P42" s="42">
        <f t="shared" si="49"/>
        <v>6.7535121352075113E-4</v>
      </c>
      <c r="Q42" s="42">
        <f t="shared" si="49"/>
        <v>6.7535121352075113E-4</v>
      </c>
      <c r="R42" s="42">
        <f t="shared" si="49"/>
        <v>6.7535121352075113E-4</v>
      </c>
      <c r="S42" s="42">
        <f t="shared" si="49"/>
        <v>6.7535121352075113E-4</v>
      </c>
      <c r="T42" s="42">
        <f t="shared" si="49"/>
        <v>6.7535121352075113E-4</v>
      </c>
      <c r="U42" s="42">
        <f t="shared" si="49"/>
        <v>6.7535121352075113E-4</v>
      </c>
      <c r="V42" s="42">
        <f t="shared" si="49"/>
        <v>6.7535121352075113E-4</v>
      </c>
      <c r="W42" s="42">
        <f t="shared" si="49"/>
        <v>6.7535121352075113E-4</v>
      </c>
      <c r="X42" s="42">
        <f t="shared" si="49"/>
        <v>6.7535121352075113E-4</v>
      </c>
      <c r="Y42" s="42">
        <f t="shared" si="49"/>
        <v>6.7535121352075113E-4</v>
      </c>
      <c r="Z42" s="42">
        <f t="shared" si="49"/>
        <v>6.7535121352075113E-4</v>
      </c>
      <c r="AA42" s="42">
        <f t="shared" si="49"/>
        <v>6.7535121352075113E-4</v>
      </c>
      <c r="AB42" s="67">
        <f t="shared" si="25"/>
        <v>2.2511707117358373E-4</v>
      </c>
      <c r="AC42" s="42">
        <f t="shared" ref="AC42:AZ42" si="50">IFERROR(AC19/$B42,0)</f>
        <v>6.7535121352075113E-4</v>
      </c>
      <c r="AD42" s="42">
        <f t="shared" si="50"/>
        <v>6.7535121352075113E-4</v>
      </c>
      <c r="AE42" s="42">
        <f t="shared" si="50"/>
        <v>6.7535121352075113E-4</v>
      </c>
      <c r="AF42" s="42">
        <f t="shared" si="50"/>
        <v>6.7535121352075113E-4</v>
      </c>
      <c r="AG42" s="42">
        <f t="shared" si="50"/>
        <v>6.7535121352075113E-4</v>
      </c>
      <c r="AH42" s="42">
        <f t="shared" si="50"/>
        <v>6.7535121352075113E-4</v>
      </c>
      <c r="AI42" s="42">
        <f t="shared" si="50"/>
        <v>6.7535121352075113E-4</v>
      </c>
      <c r="AJ42" s="42">
        <f t="shared" si="50"/>
        <v>6.7535121352075113E-4</v>
      </c>
      <c r="AK42" s="42">
        <f t="shared" si="50"/>
        <v>6.7535121352075113E-4</v>
      </c>
      <c r="AL42" s="42">
        <f t="shared" si="50"/>
        <v>6.7535121352075113E-4</v>
      </c>
      <c r="AM42" s="42">
        <f t="shared" si="50"/>
        <v>6.7535121352075113E-4</v>
      </c>
      <c r="AN42" s="42">
        <f t="shared" si="50"/>
        <v>6.7535121352075113E-4</v>
      </c>
      <c r="AO42" s="42">
        <f t="shared" si="50"/>
        <v>6.7535121352075113E-4</v>
      </c>
      <c r="AP42" s="42">
        <f t="shared" si="50"/>
        <v>6.7535121352075113E-4</v>
      </c>
      <c r="AQ42" s="42">
        <f t="shared" si="50"/>
        <v>6.7535121352075113E-4</v>
      </c>
      <c r="AR42" s="42">
        <f t="shared" si="50"/>
        <v>6.7535121352075113E-4</v>
      </c>
      <c r="AS42" s="42">
        <f t="shared" si="50"/>
        <v>6.7535121352075113E-4</v>
      </c>
      <c r="AT42" s="42">
        <f t="shared" si="50"/>
        <v>6.7535121352075113E-4</v>
      </c>
      <c r="AU42" s="42">
        <f t="shared" si="50"/>
        <v>6.7535121352075113E-4</v>
      </c>
      <c r="AV42" s="42">
        <f t="shared" si="50"/>
        <v>6.7535121352075113E-4</v>
      </c>
      <c r="AW42" s="42">
        <f t="shared" si="50"/>
        <v>6.7535121352075113E-4</v>
      </c>
      <c r="AX42" s="42">
        <f t="shared" si="50"/>
        <v>6.7535121352075113E-4</v>
      </c>
      <c r="AY42" s="42">
        <f t="shared" si="50"/>
        <v>6.7535121352075113E-4</v>
      </c>
      <c r="AZ42" s="42">
        <f t="shared" si="50"/>
        <v>6.7535121352075113E-4</v>
      </c>
      <c r="BA42" s="34">
        <f t="shared" si="27"/>
        <v>111053.32825125</v>
      </c>
      <c r="BB42" s="34">
        <f>IFERROR(up_RadSpec!$J$19*(BB19*$B42),".")</f>
        <v>37017.776083750003</v>
      </c>
      <c r="BC42" s="34">
        <f>IFERROR(up_RadSpec!$J$19*(BC19*$B42),".")</f>
        <v>37017.776083750003</v>
      </c>
      <c r="BD42" s="34">
        <f>IFERROR(up_RadSpec!$J$19*(BD19*$B42),".")</f>
        <v>37017.776083750003</v>
      </c>
      <c r="BE42" s="34">
        <f>IFERROR(up_RadSpec!$J$19*(BE19*$B42),".")</f>
        <v>37017.776083750003</v>
      </c>
      <c r="BF42" s="34">
        <f>IFERROR(up_RadSpec!$J$19*(BF19*$B42),".")</f>
        <v>37017.776083750003</v>
      </c>
      <c r="BG42" s="34">
        <f>IFERROR(up_RadSpec!$J$19*(BG19*$B42),".")</f>
        <v>37017.776083750003</v>
      </c>
      <c r="BH42" s="34">
        <f>IFERROR(up_RadSpec!$J$19*(BH19*$B42),".")</f>
        <v>37017.776083750003</v>
      </c>
      <c r="BI42" s="34">
        <f>IFERROR(up_RadSpec!$J$19*(BI19*$B42),".")</f>
        <v>37017.776083750003</v>
      </c>
      <c r="BJ42" s="34">
        <f>IFERROR(up_RadSpec!$J$19*(BJ19*$B42),".")</f>
        <v>37017.776083750003</v>
      </c>
      <c r="BK42" s="34">
        <f>IFERROR(up_RadSpec!$J$19*(BK19*$B42),".")</f>
        <v>37017.776083750003</v>
      </c>
      <c r="BL42" s="34">
        <f>IFERROR(up_RadSpec!$J$19*(BL19*$B42),".")</f>
        <v>37017.776083750003</v>
      </c>
      <c r="BM42" s="34">
        <f>IFERROR(up_RadSpec!$J$19*(BM19*$B42),".")</f>
        <v>37017.776083750003</v>
      </c>
      <c r="BN42" s="34">
        <f>IFERROR(up_RadSpec!$J$19*(BN19*$B42),".")</f>
        <v>37017.776083750003</v>
      </c>
      <c r="BO42" s="34">
        <f>IFERROR(up_RadSpec!$J$19*(BO19*$B42),".")</f>
        <v>37017.776083750003</v>
      </c>
      <c r="BP42" s="34">
        <f>IFERROR(up_RadSpec!$J$19*(BP19*$B42),".")</f>
        <v>37017.776083750003</v>
      </c>
      <c r="BQ42" s="34">
        <f>IFERROR(up_RadSpec!$J$19*(BQ19*$B42),".")</f>
        <v>37017.776083750003</v>
      </c>
      <c r="BR42" s="34">
        <f>IFERROR(up_RadSpec!$J$19*(BR19*$B42),".")</f>
        <v>37017.776083750003</v>
      </c>
      <c r="BS42" s="34">
        <f>IFERROR(up_RadSpec!$J$19*(BS19*$B42),".")</f>
        <v>37017.776083750003</v>
      </c>
      <c r="BT42" s="34">
        <f>IFERROR(up_RadSpec!$J$19*(BT19*$B42),".")</f>
        <v>37017.776083750003</v>
      </c>
      <c r="BU42" s="34">
        <f>IFERROR(up_RadSpec!$J$19*(BU19*$B42),".")</f>
        <v>37017.776083750003</v>
      </c>
      <c r="BV42" s="34">
        <f>IFERROR(up_RadSpec!$J$19*(BV19*$B42),".")</f>
        <v>37017.776083750003</v>
      </c>
      <c r="BW42" s="34">
        <f>IFERROR(up_RadSpec!$J$19*(BW19*$B42),".")</f>
        <v>37017.776083750003</v>
      </c>
      <c r="BX42" s="34">
        <f>IFERROR(up_RadSpec!$J$19*(BX19*$B42),".")</f>
        <v>37017.776083750003</v>
      </c>
      <c r="BY42" s="34">
        <f>IFERROR(up_RadSpec!$J$19*(BY19*$B42),".")</f>
        <v>37017.776083750003</v>
      </c>
    </row>
    <row r="43" spans="1:77" x14ac:dyDescent="0.25">
      <c r="A43" s="66" t="s">
        <v>1073</v>
      </c>
      <c r="B43" s="49">
        <v>2.0897492E-2</v>
      </c>
      <c r="C43" s="67">
        <f t="shared" si="24"/>
        <v>1.0546034659619896E-2</v>
      </c>
      <c r="D43" s="42">
        <f t="shared" ref="D43:AA43" si="51">IFERROR(D28/$B43,0)</f>
        <v>3.1638103978859689E-2</v>
      </c>
      <c r="E43" s="42">
        <f t="shared" si="51"/>
        <v>3.1638103978859689E-2</v>
      </c>
      <c r="F43" s="42">
        <f t="shared" si="51"/>
        <v>3.1638103978859689E-2</v>
      </c>
      <c r="G43" s="42">
        <f t="shared" si="51"/>
        <v>3.1638103978859689E-2</v>
      </c>
      <c r="H43" s="42">
        <f t="shared" si="51"/>
        <v>3.1638103978859689E-2</v>
      </c>
      <c r="I43" s="42">
        <f t="shared" si="51"/>
        <v>3.1638103978859689E-2</v>
      </c>
      <c r="J43" s="42">
        <f t="shared" si="51"/>
        <v>3.1638103978859689E-2</v>
      </c>
      <c r="K43" s="42">
        <f t="shared" si="51"/>
        <v>3.1638103978859689E-2</v>
      </c>
      <c r="L43" s="42">
        <f t="shared" si="51"/>
        <v>3.1638103978859689E-2</v>
      </c>
      <c r="M43" s="42">
        <f t="shared" si="51"/>
        <v>3.1638103978859689E-2</v>
      </c>
      <c r="N43" s="42">
        <f t="shared" si="51"/>
        <v>3.1638103978859689E-2</v>
      </c>
      <c r="O43" s="42">
        <f t="shared" si="51"/>
        <v>3.1638103978859689E-2</v>
      </c>
      <c r="P43" s="42">
        <f t="shared" si="51"/>
        <v>3.1638103978859689E-2</v>
      </c>
      <c r="Q43" s="42">
        <f t="shared" si="51"/>
        <v>3.1638103978859689E-2</v>
      </c>
      <c r="R43" s="42">
        <f t="shared" si="51"/>
        <v>3.1638103978859689E-2</v>
      </c>
      <c r="S43" s="42">
        <f t="shared" si="51"/>
        <v>3.1638103978859689E-2</v>
      </c>
      <c r="T43" s="42">
        <f t="shared" si="51"/>
        <v>3.1638103978859689E-2</v>
      </c>
      <c r="U43" s="42">
        <f t="shared" si="51"/>
        <v>3.1638103978859689E-2</v>
      </c>
      <c r="V43" s="42">
        <f t="shared" si="51"/>
        <v>3.1638103978859689E-2</v>
      </c>
      <c r="W43" s="42">
        <f t="shared" si="51"/>
        <v>3.1638103978859689E-2</v>
      </c>
      <c r="X43" s="42">
        <f t="shared" si="51"/>
        <v>3.1638103978859689E-2</v>
      </c>
      <c r="Y43" s="42">
        <f t="shared" si="51"/>
        <v>3.1638103978859689E-2</v>
      </c>
      <c r="Z43" s="42">
        <f t="shared" si="51"/>
        <v>3.1638103978859689E-2</v>
      </c>
      <c r="AA43" s="42">
        <f t="shared" si="51"/>
        <v>3.1638103978859689E-2</v>
      </c>
      <c r="AB43" s="67">
        <f t="shared" si="25"/>
        <v>1.0546034659619896E-2</v>
      </c>
      <c r="AC43" s="42">
        <f t="shared" ref="AC43:AZ43" si="52">IFERROR(AC28/$B43,0)</f>
        <v>3.1638103978859689E-2</v>
      </c>
      <c r="AD43" s="42">
        <f t="shared" si="52"/>
        <v>3.1638103978859689E-2</v>
      </c>
      <c r="AE43" s="42">
        <f t="shared" si="52"/>
        <v>3.1638103978859689E-2</v>
      </c>
      <c r="AF43" s="42">
        <f t="shared" si="52"/>
        <v>3.1638103978859689E-2</v>
      </c>
      <c r="AG43" s="42">
        <f t="shared" si="52"/>
        <v>3.1638103978859689E-2</v>
      </c>
      <c r="AH43" s="42">
        <f t="shared" si="52"/>
        <v>3.1638103978859689E-2</v>
      </c>
      <c r="AI43" s="42">
        <f t="shared" si="52"/>
        <v>3.1638103978859689E-2</v>
      </c>
      <c r="AJ43" s="42">
        <f t="shared" si="52"/>
        <v>3.1638103978859689E-2</v>
      </c>
      <c r="AK43" s="42">
        <f t="shared" si="52"/>
        <v>3.1638103978859689E-2</v>
      </c>
      <c r="AL43" s="42">
        <f t="shared" si="52"/>
        <v>3.1638103978859689E-2</v>
      </c>
      <c r="AM43" s="42">
        <f t="shared" si="52"/>
        <v>3.1638103978859689E-2</v>
      </c>
      <c r="AN43" s="42">
        <f t="shared" si="52"/>
        <v>3.1638103978859689E-2</v>
      </c>
      <c r="AO43" s="42">
        <f t="shared" si="52"/>
        <v>3.1638103978859689E-2</v>
      </c>
      <c r="AP43" s="42">
        <f t="shared" si="52"/>
        <v>3.1638103978859689E-2</v>
      </c>
      <c r="AQ43" s="42">
        <f t="shared" si="52"/>
        <v>3.1638103978859689E-2</v>
      </c>
      <c r="AR43" s="42">
        <f t="shared" si="52"/>
        <v>3.1638103978859689E-2</v>
      </c>
      <c r="AS43" s="42">
        <f t="shared" si="52"/>
        <v>3.1638103978859689E-2</v>
      </c>
      <c r="AT43" s="42">
        <f t="shared" si="52"/>
        <v>3.1638103978859689E-2</v>
      </c>
      <c r="AU43" s="42">
        <f t="shared" si="52"/>
        <v>3.1638103978859689E-2</v>
      </c>
      <c r="AV43" s="42">
        <f t="shared" si="52"/>
        <v>3.1638103978859689E-2</v>
      </c>
      <c r="AW43" s="42">
        <f t="shared" si="52"/>
        <v>3.1638103978859689E-2</v>
      </c>
      <c r="AX43" s="42">
        <f t="shared" si="52"/>
        <v>3.1638103978859689E-2</v>
      </c>
      <c r="AY43" s="42">
        <f t="shared" si="52"/>
        <v>3.1638103978859689E-2</v>
      </c>
      <c r="AZ43" s="42">
        <f t="shared" si="52"/>
        <v>3.1638103978859689E-2</v>
      </c>
      <c r="BA43" s="34">
        <f t="shared" si="27"/>
        <v>2370.5592487499998</v>
      </c>
      <c r="BB43" s="34">
        <f>IFERROR(up_RadSpec!$J$28*(BB28*$B43),".")</f>
        <v>790.18641624999998</v>
      </c>
      <c r="BC43" s="34">
        <f>IFERROR(up_RadSpec!$J$28*(BC28*$B43),".")</f>
        <v>790.18641624999998</v>
      </c>
      <c r="BD43" s="34">
        <f>IFERROR(up_RadSpec!$J$28*(BD28*$B43),".")</f>
        <v>790.18641624999998</v>
      </c>
      <c r="BE43" s="34">
        <f>IFERROR(up_RadSpec!$J$28*(BE28*$B43),".")</f>
        <v>790.18641624999998</v>
      </c>
      <c r="BF43" s="34">
        <f>IFERROR(up_RadSpec!$J$28*(BF28*$B43),".")</f>
        <v>790.18641624999998</v>
      </c>
      <c r="BG43" s="34">
        <f>IFERROR(up_RadSpec!$J$28*(BG28*$B43),".")</f>
        <v>790.18641624999998</v>
      </c>
      <c r="BH43" s="34">
        <f>IFERROR(up_RadSpec!$J$28*(BH28*$B43),".")</f>
        <v>790.18641624999998</v>
      </c>
      <c r="BI43" s="34">
        <f>IFERROR(up_RadSpec!$J$28*(BI28*$B43),".")</f>
        <v>790.18641624999998</v>
      </c>
      <c r="BJ43" s="34">
        <f>IFERROR(up_RadSpec!$J$28*(BJ28*$B43),".")</f>
        <v>790.18641624999998</v>
      </c>
      <c r="BK43" s="34">
        <f>IFERROR(up_RadSpec!$J$28*(BK28*$B43),".")</f>
        <v>790.18641624999998</v>
      </c>
      <c r="BL43" s="34">
        <f>IFERROR(up_RadSpec!$J$28*(BL28*$B43),".")</f>
        <v>790.18641624999998</v>
      </c>
      <c r="BM43" s="34">
        <f>IFERROR(up_RadSpec!$J$28*(BM28*$B43),".")</f>
        <v>790.18641624999998</v>
      </c>
      <c r="BN43" s="34">
        <f>IFERROR(up_RadSpec!$J$28*(BN28*$B43),".")</f>
        <v>790.18641624999998</v>
      </c>
      <c r="BO43" s="34">
        <f>IFERROR(up_RadSpec!$J$28*(BO28*$B43),".")</f>
        <v>790.18641624999998</v>
      </c>
      <c r="BP43" s="34">
        <f>IFERROR(up_RadSpec!$J$28*(BP28*$B43),".")</f>
        <v>790.18641624999998</v>
      </c>
      <c r="BQ43" s="34">
        <f>IFERROR(up_RadSpec!$J$28*(BQ28*$B43),".")</f>
        <v>790.18641624999998</v>
      </c>
      <c r="BR43" s="34">
        <f>IFERROR(up_RadSpec!$J$28*(BR28*$B43),".")</f>
        <v>790.18641624999998</v>
      </c>
      <c r="BS43" s="34">
        <f>IFERROR(up_RadSpec!$J$28*(BS28*$B43),".")</f>
        <v>790.18641624999998</v>
      </c>
      <c r="BT43" s="34">
        <f>IFERROR(up_RadSpec!$J$28*(BT28*$B43),".")</f>
        <v>790.18641624999998</v>
      </c>
      <c r="BU43" s="34">
        <f>IFERROR(up_RadSpec!$J$28*(BU28*$B43),".")</f>
        <v>790.18641624999998</v>
      </c>
      <c r="BV43" s="34">
        <f>IFERROR(up_RadSpec!$J$28*(BV28*$B43),".")</f>
        <v>790.18641624999998</v>
      </c>
      <c r="BW43" s="34">
        <f>IFERROR(up_RadSpec!$J$28*(BW28*$B43),".")</f>
        <v>790.18641624999998</v>
      </c>
      <c r="BX43" s="34">
        <f>IFERROR(up_RadSpec!$J$28*(BX28*$B43),".")</f>
        <v>790.18641624999998</v>
      </c>
      <c r="BY43" s="34">
        <f>IFERROR(up_RadSpec!$J$28*(BY28*$B43),".")</f>
        <v>790.18641624999998</v>
      </c>
    </row>
    <row r="44" spans="1:77" x14ac:dyDescent="0.25">
      <c r="A44" s="66" t="s">
        <v>1074</v>
      </c>
      <c r="B44" s="49">
        <v>0.99987999999999999</v>
      </c>
      <c r="C44" s="67">
        <f t="shared" si="24"/>
        <v>2.2041212438605581E-4</v>
      </c>
      <c r="D44" s="42">
        <f t="shared" ref="D44:AA44" si="53">IFERROR(D15/$B44,0)</f>
        <v>6.612363731581675E-4</v>
      </c>
      <c r="E44" s="42">
        <f t="shared" si="53"/>
        <v>6.612363731581675E-4</v>
      </c>
      <c r="F44" s="42">
        <f t="shared" si="53"/>
        <v>6.612363731581675E-4</v>
      </c>
      <c r="G44" s="42">
        <f t="shared" si="53"/>
        <v>6.612363731581675E-4</v>
      </c>
      <c r="H44" s="42">
        <f t="shared" si="53"/>
        <v>6.612363731581675E-4</v>
      </c>
      <c r="I44" s="42">
        <f t="shared" si="53"/>
        <v>6.612363731581675E-4</v>
      </c>
      <c r="J44" s="42">
        <f t="shared" si="53"/>
        <v>6.612363731581675E-4</v>
      </c>
      <c r="K44" s="42">
        <f t="shared" si="53"/>
        <v>6.612363731581675E-4</v>
      </c>
      <c r="L44" s="42">
        <f t="shared" si="53"/>
        <v>6.612363731581675E-4</v>
      </c>
      <c r="M44" s="42">
        <f t="shared" si="53"/>
        <v>6.612363731581675E-4</v>
      </c>
      <c r="N44" s="42">
        <f t="shared" si="53"/>
        <v>6.612363731581675E-4</v>
      </c>
      <c r="O44" s="42">
        <f t="shared" si="53"/>
        <v>6.612363731581675E-4</v>
      </c>
      <c r="P44" s="42">
        <f t="shared" si="53"/>
        <v>6.612363731581675E-4</v>
      </c>
      <c r="Q44" s="42">
        <f t="shared" si="53"/>
        <v>6.612363731581675E-4</v>
      </c>
      <c r="R44" s="42">
        <f t="shared" si="53"/>
        <v>6.612363731581675E-4</v>
      </c>
      <c r="S44" s="42">
        <f t="shared" si="53"/>
        <v>6.612363731581675E-4</v>
      </c>
      <c r="T44" s="42">
        <f t="shared" si="53"/>
        <v>6.612363731581675E-4</v>
      </c>
      <c r="U44" s="42">
        <f t="shared" si="53"/>
        <v>6.612363731581675E-4</v>
      </c>
      <c r="V44" s="42">
        <f t="shared" si="53"/>
        <v>6.612363731581675E-4</v>
      </c>
      <c r="W44" s="42">
        <f t="shared" si="53"/>
        <v>6.612363731581675E-4</v>
      </c>
      <c r="X44" s="42">
        <f t="shared" si="53"/>
        <v>6.612363731581675E-4</v>
      </c>
      <c r="Y44" s="42">
        <f t="shared" si="53"/>
        <v>6.612363731581675E-4</v>
      </c>
      <c r="Z44" s="42">
        <f t="shared" si="53"/>
        <v>6.612363731581675E-4</v>
      </c>
      <c r="AA44" s="42">
        <f t="shared" si="53"/>
        <v>6.612363731581675E-4</v>
      </c>
      <c r="AB44" s="67">
        <f t="shared" si="25"/>
        <v>2.2041212438605581E-4</v>
      </c>
      <c r="AC44" s="42">
        <f t="shared" ref="AC44:AZ44" si="54">IFERROR(AC15/$B44,0)</f>
        <v>6.612363731581675E-4</v>
      </c>
      <c r="AD44" s="42">
        <f t="shared" si="54"/>
        <v>6.612363731581675E-4</v>
      </c>
      <c r="AE44" s="42">
        <f t="shared" si="54"/>
        <v>6.612363731581675E-4</v>
      </c>
      <c r="AF44" s="42">
        <f t="shared" si="54"/>
        <v>6.612363731581675E-4</v>
      </c>
      <c r="AG44" s="42">
        <f t="shared" si="54"/>
        <v>6.612363731581675E-4</v>
      </c>
      <c r="AH44" s="42">
        <f t="shared" si="54"/>
        <v>6.612363731581675E-4</v>
      </c>
      <c r="AI44" s="42">
        <f t="shared" si="54"/>
        <v>6.612363731581675E-4</v>
      </c>
      <c r="AJ44" s="42">
        <f t="shared" si="54"/>
        <v>6.612363731581675E-4</v>
      </c>
      <c r="AK44" s="42">
        <f t="shared" si="54"/>
        <v>6.612363731581675E-4</v>
      </c>
      <c r="AL44" s="42">
        <f t="shared" si="54"/>
        <v>6.612363731581675E-4</v>
      </c>
      <c r="AM44" s="42">
        <f t="shared" si="54"/>
        <v>6.612363731581675E-4</v>
      </c>
      <c r="AN44" s="42">
        <f t="shared" si="54"/>
        <v>6.612363731581675E-4</v>
      </c>
      <c r="AO44" s="42">
        <f t="shared" si="54"/>
        <v>6.612363731581675E-4</v>
      </c>
      <c r="AP44" s="42">
        <f t="shared" si="54"/>
        <v>6.612363731581675E-4</v>
      </c>
      <c r="AQ44" s="42">
        <f t="shared" si="54"/>
        <v>6.612363731581675E-4</v>
      </c>
      <c r="AR44" s="42">
        <f t="shared" si="54"/>
        <v>6.612363731581675E-4</v>
      </c>
      <c r="AS44" s="42">
        <f t="shared" si="54"/>
        <v>6.612363731581675E-4</v>
      </c>
      <c r="AT44" s="42">
        <f t="shared" si="54"/>
        <v>6.612363731581675E-4</v>
      </c>
      <c r="AU44" s="42">
        <f t="shared" si="54"/>
        <v>6.612363731581675E-4</v>
      </c>
      <c r="AV44" s="42">
        <f t="shared" si="54"/>
        <v>6.612363731581675E-4</v>
      </c>
      <c r="AW44" s="42">
        <f t="shared" si="54"/>
        <v>6.612363731581675E-4</v>
      </c>
      <c r="AX44" s="42">
        <f t="shared" si="54"/>
        <v>6.612363731581675E-4</v>
      </c>
      <c r="AY44" s="42">
        <f t="shared" si="54"/>
        <v>6.612363731581675E-4</v>
      </c>
      <c r="AZ44" s="42">
        <f t="shared" si="54"/>
        <v>6.612363731581675E-4</v>
      </c>
      <c r="BA44" s="34">
        <f t="shared" si="27"/>
        <v>113423.88750000001</v>
      </c>
      <c r="BB44" s="34">
        <f>IFERROR(up_RadSpec!$J$15*(BB15*$B44),".")</f>
        <v>37807.962500000001</v>
      </c>
      <c r="BC44" s="34">
        <f>IFERROR(up_RadSpec!$J$15*(BC15*$B44),".")</f>
        <v>37807.962500000001</v>
      </c>
      <c r="BD44" s="34">
        <f>IFERROR(up_RadSpec!$J$15*(BD15*$B44),".")</f>
        <v>37807.962500000001</v>
      </c>
      <c r="BE44" s="34">
        <f>IFERROR(up_RadSpec!$J$15*(BE15*$B44),".")</f>
        <v>37807.962500000001</v>
      </c>
      <c r="BF44" s="34">
        <f>IFERROR(up_RadSpec!$J$15*(BF15*$B44),".")</f>
        <v>37807.962500000001</v>
      </c>
      <c r="BG44" s="34">
        <f>IFERROR(up_RadSpec!$J$15*(BG15*$B44),".")</f>
        <v>37807.962500000001</v>
      </c>
      <c r="BH44" s="34">
        <f>IFERROR(up_RadSpec!$J$15*(BH15*$B44),".")</f>
        <v>37807.962500000001</v>
      </c>
      <c r="BI44" s="34">
        <f>IFERROR(up_RadSpec!$J$15*(BI15*$B44),".")</f>
        <v>37807.962500000001</v>
      </c>
      <c r="BJ44" s="34">
        <f>IFERROR(up_RadSpec!$J$15*(BJ15*$B44),".")</f>
        <v>37807.962500000001</v>
      </c>
      <c r="BK44" s="34">
        <f>IFERROR(up_RadSpec!$J$15*(BK15*$B44),".")</f>
        <v>37807.962500000001</v>
      </c>
      <c r="BL44" s="34">
        <f>IFERROR(up_RadSpec!$J$15*(BL15*$B44),".")</f>
        <v>37807.962500000001</v>
      </c>
      <c r="BM44" s="34">
        <f>IFERROR(up_RadSpec!$J$15*(BM15*$B44),".")</f>
        <v>37807.962500000001</v>
      </c>
      <c r="BN44" s="34">
        <f>IFERROR(up_RadSpec!$J$15*(BN15*$B44),".")</f>
        <v>37807.962500000001</v>
      </c>
      <c r="BO44" s="34">
        <f>IFERROR(up_RadSpec!$J$15*(BO15*$B44),".")</f>
        <v>37807.962500000001</v>
      </c>
      <c r="BP44" s="34">
        <f>IFERROR(up_RadSpec!$J$15*(BP15*$B44),".")</f>
        <v>37807.962500000001</v>
      </c>
      <c r="BQ44" s="34">
        <f>IFERROR(up_RadSpec!$J$15*(BQ15*$B44),".")</f>
        <v>37807.962500000001</v>
      </c>
      <c r="BR44" s="34">
        <f>IFERROR(up_RadSpec!$J$15*(BR15*$B44),".")</f>
        <v>37807.962500000001</v>
      </c>
      <c r="BS44" s="34">
        <f>IFERROR(up_RadSpec!$J$15*(BS15*$B44),".")</f>
        <v>37807.962500000001</v>
      </c>
      <c r="BT44" s="34">
        <f>IFERROR(up_RadSpec!$J$15*(BT15*$B44),".")</f>
        <v>37807.962500000001</v>
      </c>
      <c r="BU44" s="34">
        <f>IFERROR(up_RadSpec!$J$15*(BU15*$B44),".")</f>
        <v>37807.962500000001</v>
      </c>
      <c r="BV44" s="34">
        <f>IFERROR(up_RadSpec!$J$15*(BV15*$B44),".")</f>
        <v>37807.962500000001</v>
      </c>
      <c r="BW44" s="34">
        <f>IFERROR(up_RadSpec!$J$15*(BW15*$B44),".")</f>
        <v>37807.962500000001</v>
      </c>
      <c r="BX44" s="34">
        <f>IFERROR(up_RadSpec!$J$15*(BX15*$B44),".")</f>
        <v>37807.962500000001</v>
      </c>
      <c r="BY44" s="34">
        <f>IFERROR(up_RadSpec!$J$15*(BY15*$B44),".")</f>
        <v>37807.962500000001</v>
      </c>
    </row>
    <row r="45" spans="1:77" x14ac:dyDescent="0.25">
      <c r="A45" s="64" t="s">
        <v>8</v>
      </c>
      <c r="B45" s="64" t="s">
        <v>1059</v>
      </c>
      <c r="C45" s="65">
        <f t="shared" si="24"/>
        <v>1.1336769990130067E-4</v>
      </c>
      <c r="D45" s="40">
        <f t="shared" ref="D45:AA45" si="55">IFERROR(IF(AND(D46&lt;&gt;0,D47&lt;&gt;0),1/SUM(1/D46,1/D47),IF(AND(D46&lt;&gt;0,D47=0),1/(1/D46),IF(AND(D46=0,D47&lt;&gt;0),1/(1/D47),IF(AND(D46=0,D47=0),".")))),".")</f>
        <v>3.40103099703902E-4</v>
      </c>
      <c r="E45" s="40">
        <f t="shared" si="55"/>
        <v>3.40103099703902E-4</v>
      </c>
      <c r="F45" s="40">
        <f t="shared" si="55"/>
        <v>3.40103099703902E-4</v>
      </c>
      <c r="G45" s="40">
        <f t="shared" si="55"/>
        <v>3.40103099703902E-4</v>
      </c>
      <c r="H45" s="40">
        <f t="shared" si="55"/>
        <v>3.40103099703902E-4</v>
      </c>
      <c r="I45" s="40">
        <f t="shared" si="55"/>
        <v>3.40103099703902E-4</v>
      </c>
      <c r="J45" s="40">
        <f t="shared" si="55"/>
        <v>3.40103099703902E-4</v>
      </c>
      <c r="K45" s="40">
        <f t="shared" si="55"/>
        <v>3.40103099703902E-4</v>
      </c>
      <c r="L45" s="40">
        <f t="shared" si="55"/>
        <v>3.40103099703902E-4</v>
      </c>
      <c r="M45" s="40">
        <f t="shared" si="55"/>
        <v>3.40103099703902E-4</v>
      </c>
      <c r="N45" s="40">
        <f t="shared" si="55"/>
        <v>3.40103099703902E-4</v>
      </c>
      <c r="O45" s="40">
        <f t="shared" si="55"/>
        <v>3.40103099703902E-4</v>
      </c>
      <c r="P45" s="40">
        <f t="shared" si="55"/>
        <v>3.40103099703902E-4</v>
      </c>
      <c r="Q45" s="40">
        <f t="shared" si="55"/>
        <v>3.40103099703902E-4</v>
      </c>
      <c r="R45" s="40">
        <f t="shared" si="55"/>
        <v>3.40103099703902E-4</v>
      </c>
      <c r="S45" s="40">
        <f t="shared" si="55"/>
        <v>3.40103099703902E-4</v>
      </c>
      <c r="T45" s="40">
        <f t="shared" si="55"/>
        <v>3.40103099703902E-4</v>
      </c>
      <c r="U45" s="40">
        <f t="shared" si="55"/>
        <v>3.40103099703902E-4</v>
      </c>
      <c r="V45" s="40">
        <f t="shared" si="55"/>
        <v>3.40103099703902E-4</v>
      </c>
      <c r="W45" s="40">
        <f t="shared" si="55"/>
        <v>3.40103099703902E-4</v>
      </c>
      <c r="X45" s="40">
        <f t="shared" si="55"/>
        <v>3.40103099703902E-4</v>
      </c>
      <c r="Y45" s="40">
        <f t="shared" si="55"/>
        <v>3.40103099703902E-4</v>
      </c>
      <c r="Z45" s="40">
        <f t="shared" si="55"/>
        <v>3.40103099703902E-4</v>
      </c>
      <c r="AA45" s="40">
        <f t="shared" si="55"/>
        <v>3.40103099703902E-4</v>
      </c>
      <c r="AB45" s="65">
        <f t="shared" si="25"/>
        <v>1.1336769990130067E-4</v>
      </c>
      <c r="AC45" s="40">
        <f t="shared" ref="AC45:AZ45" si="56">IFERROR(IF(AND(AC46&lt;&gt;0,AC47&lt;&gt;0),1/SUM(1/AC46,1/AC47),IF(AND(AC46&lt;&gt;0,AC47=0),1/(1/AC46),IF(AND(AC46=0,AC47&lt;&gt;0),1/(1/AC47),IF(AND(AC46=0,AC47=0),".")))),".")</f>
        <v>3.40103099703902E-4</v>
      </c>
      <c r="AD45" s="40">
        <f t="shared" si="56"/>
        <v>3.40103099703902E-4</v>
      </c>
      <c r="AE45" s="40">
        <f t="shared" si="56"/>
        <v>3.40103099703902E-4</v>
      </c>
      <c r="AF45" s="40">
        <f t="shared" si="56"/>
        <v>3.40103099703902E-4</v>
      </c>
      <c r="AG45" s="40">
        <f t="shared" si="56"/>
        <v>3.40103099703902E-4</v>
      </c>
      <c r="AH45" s="40">
        <f t="shared" si="56"/>
        <v>3.40103099703902E-4</v>
      </c>
      <c r="AI45" s="40">
        <f t="shared" si="56"/>
        <v>3.40103099703902E-4</v>
      </c>
      <c r="AJ45" s="40">
        <f t="shared" si="56"/>
        <v>3.40103099703902E-4</v>
      </c>
      <c r="AK45" s="40">
        <f t="shared" si="56"/>
        <v>3.40103099703902E-4</v>
      </c>
      <c r="AL45" s="40">
        <f t="shared" si="56"/>
        <v>3.40103099703902E-4</v>
      </c>
      <c r="AM45" s="40">
        <f t="shared" si="56"/>
        <v>3.40103099703902E-4</v>
      </c>
      <c r="AN45" s="40">
        <f t="shared" si="56"/>
        <v>3.40103099703902E-4</v>
      </c>
      <c r="AO45" s="40">
        <f t="shared" si="56"/>
        <v>3.40103099703902E-4</v>
      </c>
      <c r="AP45" s="40">
        <f t="shared" si="56"/>
        <v>3.40103099703902E-4</v>
      </c>
      <c r="AQ45" s="40">
        <f t="shared" si="56"/>
        <v>3.40103099703902E-4</v>
      </c>
      <c r="AR45" s="40">
        <f t="shared" si="56"/>
        <v>3.40103099703902E-4</v>
      </c>
      <c r="AS45" s="40">
        <f t="shared" si="56"/>
        <v>3.40103099703902E-4</v>
      </c>
      <c r="AT45" s="40">
        <f t="shared" si="56"/>
        <v>3.40103099703902E-4</v>
      </c>
      <c r="AU45" s="40">
        <f t="shared" si="56"/>
        <v>3.40103099703902E-4</v>
      </c>
      <c r="AV45" s="40">
        <f t="shared" si="56"/>
        <v>3.40103099703902E-4</v>
      </c>
      <c r="AW45" s="40">
        <f t="shared" si="56"/>
        <v>3.40103099703902E-4</v>
      </c>
      <c r="AX45" s="40">
        <f t="shared" si="56"/>
        <v>3.40103099703902E-4</v>
      </c>
      <c r="AY45" s="40">
        <f t="shared" si="56"/>
        <v>3.40103099703902E-4</v>
      </c>
      <c r="AZ45" s="40">
        <f t="shared" si="56"/>
        <v>3.40103099703902E-4</v>
      </c>
      <c r="BA45" s="33">
        <f t="shared" si="27"/>
        <v>220521.36562499998</v>
      </c>
      <c r="BB45" s="33">
        <f t="shared" ref="BB45:BY45" si="57">IFERROR(SUM(BB46:BB47),".")</f>
        <v>73507.121874999997</v>
      </c>
      <c r="BC45" s="33">
        <f t="shared" si="57"/>
        <v>73507.121874999997</v>
      </c>
      <c r="BD45" s="33">
        <f t="shared" si="57"/>
        <v>73507.121874999997</v>
      </c>
      <c r="BE45" s="33">
        <f t="shared" si="57"/>
        <v>73507.121874999997</v>
      </c>
      <c r="BF45" s="33">
        <f t="shared" si="57"/>
        <v>73507.121874999997</v>
      </c>
      <c r="BG45" s="33">
        <f t="shared" si="57"/>
        <v>73507.121874999997</v>
      </c>
      <c r="BH45" s="33">
        <f t="shared" si="57"/>
        <v>73507.121874999997</v>
      </c>
      <c r="BI45" s="33">
        <f t="shared" si="57"/>
        <v>73507.121874999997</v>
      </c>
      <c r="BJ45" s="33">
        <f t="shared" si="57"/>
        <v>73507.121874999997</v>
      </c>
      <c r="BK45" s="33">
        <f t="shared" si="57"/>
        <v>73507.121874999997</v>
      </c>
      <c r="BL45" s="33">
        <f t="shared" si="57"/>
        <v>73507.121874999997</v>
      </c>
      <c r="BM45" s="33">
        <f t="shared" si="57"/>
        <v>73507.121874999997</v>
      </c>
      <c r="BN45" s="33">
        <f t="shared" si="57"/>
        <v>73507.121874999997</v>
      </c>
      <c r="BO45" s="33">
        <f t="shared" si="57"/>
        <v>73507.121874999997</v>
      </c>
      <c r="BP45" s="33">
        <f t="shared" si="57"/>
        <v>73507.121874999997</v>
      </c>
      <c r="BQ45" s="33">
        <f t="shared" si="57"/>
        <v>73507.121874999997</v>
      </c>
      <c r="BR45" s="33">
        <f t="shared" si="57"/>
        <v>73507.121874999997</v>
      </c>
      <c r="BS45" s="33">
        <f t="shared" si="57"/>
        <v>73507.121874999997</v>
      </c>
      <c r="BT45" s="33">
        <f t="shared" si="57"/>
        <v>73507.121874999997</v>
      </c>
      <c r="BU45" s="33">
        <f t="shared" si="57"/>
        <v>73507.121874999997</v>
      </c>
      <c r="BV45" s="33">
        <f t="shared" si="57"/>
        <v>73507.121874999997</v>
      </c>
      <c r="BW45" s="33">
        <f t="shared" si="57"/>
        <v>73507.121874999997</v>
      </c>
      <c r="BX45" s="33">
        <f t="shared" si="57"/>
        <v>73507.121874999997</v>
      </c>
      <c r="BY45" s="33">
        <f t="shared" si="57"/>
        <v>73507.121874999997</v>
      </c>
    </row>
    <row r="46" spans="1:77" x14ac:dyDescent="0.25">
      <c r="A46" s="66" t="s">
        <v>1086</v>
      </c>
      <c r="B46" s="49">
        <v>1</v>
      </c>
      <c r="C46" s="67">
        <f t="shared" si="24"/>
        <v>2.2038567493112948E-4</v>
      </c>
      <c r="D46" s="42">
        <f t="shared" ref="D46:AA46" si="58">IFERROR(D10/$B46,0)</f>
        <v>6.6115702479338848E-4</v>
      </c>
      <c r="E46" s="42">
        <f t="shared" si="58"/>
        <v>6.6115702479338848E-4</v>
      </c>
      <c r="F46" s="42">
        <f t="shared" si="58"/>
        <v>6.6115702479338848E-4</v>
      </c>
      <c r="G46" s="42">
        <f t="shared" si="58"/>
        <v>6.6115702479338848E-4</v>
      </c>
      <c r="H46" s="42">
        <f t="shared" si="58"/>
        <v>6.6115702479338848E-4</v>
      </c>
      <c r="I46" s="42">
        <f t="shared" si="58"/>
        <v>6.6115702479338848E-4</v>
      </c>
      <c r="J46" s="42">
        <f t="shared" si="58"/>
        <v>6.6115702479338848E-4</v>
      </c>
      <c r="K46" s="42">
        <f t="shared" si="58"/>
        <v>6.6115702479338848E-4</v>
      </c>
      <c r="L46" s="42">
        <f t="shared" si="58"/>
        <v>6.6115702479338848E-4</v>
      </c>
      <c r="M46" s="42">
        <f t="shared" si="58"/>
        <v>6.6115702479338848E-4</v>
      </c>
      <c r="N46" s="42">
        <f t="shared" si="58"/>
        <v>6.6115702479338848E-4</v>
      </c>
      <c r="O46" s="42">
        <f t="shared" si="58"/>
        <v>6.6115702479338848E-4</v>
      </c>
      <c r="P46" s="42">
        <f t="shared" si="58"/>
        <v>6.6115702479338848E-4</v>
      </c>
      <c r="Q46" s="42">
        <f t="shared" si="58"/>
        <v>6.6115702479338848E-4</v>
      </c>
      <c r="R46" s="42">
        <f t="shared" si="58"/>
        <v>6.6115702479338848E-4</v>
      </c>
      <c r="S46" s="42">
        <f t="shared" si="58"/>
        <v>6.6115702479338848E-4</v>
      </c>
      <c r="T46" s="42">
        <f t="shared" si="58"/>
        <v>6.6115702479338848E-4</v>
      </c>
      <c r="U46" s="42">
        <f t="shared" si="58"/>
        <v>6.6115702479338848E-4</v>
      </c>
      <c r="V46" s="42">
        <f t="shared" si="58"/>
        <v>6.6115702479338848E-4</v>
      </c>
      <c r="W46" s="42">
        <f t="shared" si="58"/>
        <v>6.6115702479338848E-4</v>
      </c>
      <c r="X46" s="42">
        <f t="shared" si="58"/>
        <v>6.6115702479338848E-4</v>
      </c>
      <c r="Y46" s="42">
        <f t="shared" si="58"/>
        <v>6.6115702479338848E-4</v>
      </c>
      <c r="Z46" s="42">
        <f t="shared" si="58"/>
        <v>6.6115702479338848E-4</v>
      </c>
      <c r="AA46" s="42">
        <f t="shared" si="58"/>
        <v>6.6115702479338848E-4</v>
      </c>
      <c r="AB46" s="67">
        <f t="shared" si="25"/>
        <v>2.2038567493112948E-4</v>
      </c>
      <c r="AC46" s="42">
        <f t="shared" ref="AC46:AZ46" si="59">IFERROR(AC10/$B46,0)</f>
        <v>6.6115702479338848E-4</v>
      </c>
      <c r="AD46" s="42">
        <f t="shared" si="59"/>
        <v>6.6115702479338848E-4</v>
      </c>
      <c r="AE46" s="42">
        <f t="shared" si="59"/>
        <v>6.6115702479338848E-4</v>
      </c>
      <c r="AF46" s="42">
        <f t="shared" si="59"/>
        <v>6.6115702479338848E-4</v>
      </c>
      <c r="AG46" s="42">
        <f t="shared" si="59"/>
        <v>6.6115702479338848E-4</v>
      </c>
      <c r="AH46" s="42">
        <f t="shared" si="59"/>
        <v>6.6115702479338848E-4</v>
      </c>
      <c r="AI46" s="42">
        <f t="shared" si="59"/>
        <v>6.6115702479338848E-4</v>
      </c>
      <c r="AJ46" s="42">
        <f t="shared" si="59"/>
        <v>6.6115702479338848E-4</v>
      </c>
      <c r="AK46" s="42">
        <f t="shared" si="59"/>
        <v>6.6115702479338848E-4</v>
      </c>
      <c r="AL46" s="42">
        <f t="shared" si="59"/>
        <v>6.6115702479338848E-4</v>
      </c>
      <c r="AM46" s="42">
        <f t="shared" si="59"/>
        <v>6.6115702479338848E-4</v>
      </c>
      <c r="AN46" s="42">
        <f t="shared" si="59"/>
        <v>6.6115702479338848E-4</v>
      </c>
      <c r="AO46" s="42">
        <f t="shared" si="59"/>
        <v>6.6115702479338848E-4</v>
      </c>
      <c r="AP46" s="42">
        <f t="shared" si="59"/>
        <v>6.6115702479338848E-4</v>
      </c>
      <c r="AQ46" s="42">
        <f t="shared" si="59"/>
        <v>6.6115702479338848E-4</v>
      </c>
      <c r="AR46" s="42">
        <f t="shared" si="59"/>
        <v>6.6115702479338848E-4</v>
      </c>
      <c r="AS46" s="42">
        <f t="shared" si="59"/>
        <v>6.6115702479338848E-4</v>
      </c>
      <c r="AT46" s="42">
        <f t="shared" si="59"/>
        <v>6.6115702479338848E-4</v>
      </c>
      <c r="AU46" s="42">
        <f t="shared" si="59"/>
        <v>6.6115702479338848E-4</v>
      </c>
      <c r="AV46" s="42">
        <f t="shared" si="59"/>
        <v>6.6115702479338848E-4</v>
      </c>
      <c r="AW46" s="42">
        <f t="shared" si="59"/>
        <v>6.6115702479338848E-4</v>
      </c>
      <c r="AX46" s="42">
        <f t="shared" si="59"/>
        <v>6.6115702479338848E-4</v>
      </c>
      <c r="AY46" s="42">
        <f t="shared" si="59"/>
        <v>6.6115702479338848E-4</v>
      </c>
      <c r="AZ46" s="42">
        <f t="shared" si="59"/>
        <v>6.6115702479338848E-4</v>
      </c>
      <c r="BA46" s="34">
        <f t="shared" si="27"/>
        <v>113437.5</v>
      </c>
      <c r="BB46" s="34">
        <f>IFERROR(up_RadSpec!$J$10*(BB10*$B46),".")</f>
        <v>37812.5</v>
      </c>
      <c r="BC46" s="34">
        <f>IFERROR(up_RadSpec!$J$10*(BC10*$B46),".")</f>
        <v>37812.5</v>
      </c>
      <c r="BD46" s="34">
        <f>IFERROR(up_RadSpec!$J$10*(BD10*$B46),".")</f>
        <v>37812.5</v>
      </c>
      <c r="BE46" s="34">
        <f>IFERROR(up_RadSpec!$J$10*(BE10*$B46),".")</f>
        <v>37812.5</v>
      </c>
      <c r="BF46" s="34">
        <f>IFERROR(up_RadSpec!$J$10*(BF10*$B46),".")</f>
        <v>37812.5</v>
      </c>
      <c r="BG46" s="34">
        <f>IFERROR(up_RadSpec!$J$10*(BG10*$B46),".")</f>
        <v>37812.5</v>
      </c>
      <c r="BH46" s="34">
        <f>IFERROR(up_RadSpec!$J$10*(BH10*$B46),".")</f>
        <v>37812.5</v>
      </c>
      <c r="BI46" s="34">
        <f>IFERROR(up_RadSpec!$J$10*(BI10*$B46),".")</f>
        <v>37812.5</v>
      </c>
      <c r="BJ46" s="34">
        <f>IFERROR(up_RadSpec!$J$10*(BJ10*$B46),".")</f>
        <v>37812.5</v>
      </c>
      <c r="BK46" s="34">
        <f>IFERROR(up_RadSpec!$J$10*(BK10*$B46),".")</f>
        <v>37812.5</v>
      </c>
      <c r="BL46" s="34">
        <f>IFERROR(up_RadSpec!$J$10*(BL10*$B46),".")</f>
        <v>37812.5</v>
      </c>
      <c r="BM46" s="34">
        <f>IFERROR(up_RadSpec!$J$10*(BM10*$B46),".")</f>
        <v>37812.5</v>
      </c>
      <c r="BN46" s="34">
        <f>IFERROR(up_RadSpec!$J$10*(BN10*$B46),".")</f>
        <v>37812.5</v>
      </c>
      <c r="BO46" s="34">
        <f>IFERROR(up_RadSpec!$J$10*(BO10*$B46),".")</f>
        <v>37812.5</v>
      </c>
      <c r="BP46" s="34">
        <f>IFERROR(up_RadSpec!$J$10*(BP10*$B46),".")</f>
        <v>37812.5</v>
      </c>
      <c r="BQ46" s="34">
        <f>IFERROR(up_RadSpec!$J$10*(BQ10*$B46),".")</f>
        <v>37812.5</v>
      </c>
      <c r="BR46" s="34">
        <f>IFERROR(up_RadSpec!$J$10*(BR10*$B46),".")</f>
        <v>37812.5</v>
      </c>
      <c r="BS46" s="34">
        <f>IFERROR(up_RadSpec!$J$10*(BS10*$B46),".")</f>
        <v>37812.5</v>
      </c>
      <c r="BT46" s="34">
        <f>IFERROR(up_RadSpec!$J$10*(BT10*$B46),".")</f>
        <v>37812.5</v>
      </c>
      <c r="BU46" s="34">
        <f>IFERROR(up_RadSpec!$J$10*(BU10*$B46),".")</f>
        <v>37812.5</v>
      </c>
      <c r="BV46" s="34">
        <f>IFERROR(up_RadSpec!$J$10*(BV10*$B46),".")</f>
        <v>37812.5</v>
      </c>
      <c r="BW46" s="34">
        <f>IFERROR(up_RadSpec!$J$10*(BW10*$B46),".")</f>
        <v>37812.5</v>
      </c>
      <c r="BX46" s="34">
        <f>IFERROR(up_RadSpec!$J$10*(BX10*$B46),".")</f>
        <v>37812.5</v>
      </c>
      <c r="BY46" s="34">
        <f>IFERROR(up_RadSpec!$J$10*(BY10*$B46),".")</f>
        <v>37812.5</v>
      </c>
    </row>
    <row r="47" spans="1:77" x14ac:dyDescent="0.25">
      <c r="A47" s="66" t="s">
        <v>1060</v>
      </c>
      <c r="B47" s="49">
        <v>0.94399</v>
      </c>
      <c r="C47" s="67">
        <f t="shared" si="24"/>
        <v>2.3346187452317238E-4</v>
      </c>
      <c r="D47" s="42">
        <f t="shared" ref="D47:AA47" si="60">IFERROR(D6/$B$47,0)</f>
        <v>7.0038562356951719E-4</v>
      </c>
      <c r="E47" s="42">
        <f t="shared" si="60"/>
        <v>7.0038562356951719E-4</v>
      </c>
      <c r="F47" s="42">
        <f t="shared" si="60"/>
        <v>7.0038562356951719E-4</v>
      </c>
      <c r="G47" s="42">
        <f t="shared" si="60"/>
        <v>7.0038562356951719E-4</v>
      </c>
      <c r="H47" s="42">
        <f t="shared" si="60"/>
        <v>7.0038562356951719E-4</v>
      </c>
      <c r="I47" s="42">
        <f t="shared" si="60"/>
        <v>7.0038562356951719E-4</v>
      </c>
      <c r="J47" s="42">
        <f t="shared" si="60"/>
        <v>7.0038562356951719E-4</v>
      </c>
      <c r="K47" s="42">
        <f t="shared" si="60"/>
        <v>7.0038562356951719E-4</v>
      </c>
      <c r="L47" s="42">
        <f t="shared" si="60"/>
        <v>7.0038562356951719E-4</v>
      </c>
      <c r="M47" s="42">
        <f t="shared" si="60"/>
        <v>7.0038562356951719E-4</v>
      </c>
      <c r="N47" s="42">
        <f t="shared" si="60"/>
        <v>7.0038562356951719E-4</v>
      </c>
      <c r="O47" s="42">
        <f t="shared" si="60"/>
        <v>7.0038562356951719E-4</v>
      </c>
      <c r="P47" s="42">
        <f t="shared" si="60"/>
        <v>7.0038562356951719E-4</v>
      </c>
      <c r="Q47" s="42">
        <f t="shared" si="60"/>
        <v>7.0038562356951719E-4</v>
      </c>
      <c r="R47" s="42">
        <f t="shared" si="60"/>
        <v>7.0038562356951719E-4</v>
      </c>
      <c r="S47" s="42">
        <f t="shared" si="60"/>
        <v>7.0038562356951719E-4</v>
      </c>
      <c r="T47" s="42">
        <f t="shared" si="60"/>
        <v>7.0038562356951719E-4</v>
      </c>
      <c r="U47" s="42">
        <f t="shared" si="60"/>
        <v>7.0038562356951719E-4</v>
      </c>
      <c r="V47" s="42">
        <f t="shared" si="60"/>
        <v>7.0038562356951719E-4</v>
      </c>
      <c r="W47" s="42">
        <f t="shared" si="60"/>
        <v>7.0038562356951719E-4</v>
      </c>
      <c r="X47" s="42">
        <f t="shared" si="60"/>
        <v>7.0038562356951719E-4</v>
      </c>
      <c r="Y47" s="42">
        <f t="shared" si="60"/>
        <v>7.0038562356951719E-4</v>
      </c>
      <c r="Z47" s="42">
        <f t="shared" si="60"/>
        <v>7.0038562356951719E-4</v>
      </c>
      <c r="AA47" s="42">
        <f t="shared" si="60"/>
        <v>7.0038562356951719E-4</v>
      </c>
      <c r="AB47" s="67">
        <f t="shared" si="25"/>
        <v>2.3346187452317238E-4</v>
      </c>
      <c r="AC47" s="42">
        <f t="shared" ref="AC47:AZ47" si="61">IFERROR(AC6/$B$47,0)</f>
        <v>7.0038562356951719E-4</v>
      </c>
      <c r="AD47" s="42">
        <f t="shared" si="61"/>
        <v>7.0038562356951719E-4</v>
      </c>
      <c r="AE47" s="42">
        <f t="shared" si="61"/>
        <v>7.0038562356951719E-4</v>
      </c>
      <c r="AF47" s="42">
        <f t="shared" si="61"/>
        <v>7.0038562356951719E-4</v>
      </c>
      <c r="AG47" s="42">
        <f t="shared" si="61"/>
        <v>7.0038562356951719E-4</v>
      </c>
      <c r="AH47" s="42">
        <f t="shared" si="61"/>
        <v>7.0038562356951719E-4</v>
      </c>
      <c r="AI47" s="42">
        <f t="shared" si="61"/>
        <v>7.0038562356951719E-4</v>
      </c>
      <c r="AJ47" s="42">
        <f t="shared" si="61"/>
        <v>7.0038562356951719E-4</v>
      </c>
      <c r="AK47" s="42">
        <f t="shared" si="61"/>
        <v>7.0038562356951719E-4</v>
      </c>
      <c r="AL47" s="42">
        <f t="shared" si="61"/>
        <v>7.0038562356951719E-4</v>
      </c>
      <c r="AM47" s="42">
        <f t="shared" si="61"/>
        <v>7.0038562356951719E-4</v>
      </c>
      <c r="AN47" s="42">
        <f t="shared" si="61"/>
        <v>7.0038562356951719E-4</v>
      </c>
      <c r="AO47" s="42">
        <f t="shared" si="61"/>
        <v>7.0038562356951719E-4</v>
      </c>
      <c r="AP47" s="42">
        <f t="shared" si="61"/>
        <v>7.0038562356951719E-4</v>
      </c>
      <c r="AQ47" s="42">
        <f t="shared" si="61"/>
        <v>7.0038562356951719E-4</v>
      </c>
      <c r="AR47" s="42">
        <f t="shared" si="61"/>
        <v>7.0038562356951719E-4</v>
      </c>
      <c r="AS47" s="42">
        <f t="shared" si="61"/>
        <v>7.0038562356951719E-4</v>
      </c>
      <c r="AT47" s="42">
        <f t="shared" si="61"/>
        <v>7.0038562356951719E-4</v>
      </c>
      <c r="AU47" s="42">
        <f t="shared" si="61"/>
        <v>7.0038562356951719E-4</v>
      </c>
      <c r="AV47" s="42">
        <f t="shared" si="61"/>
        <v>7.0038562356951719E-4</v>
      </c>
      <c r="AW47" s="42">
        <f t="shared" si="61"/>
        <v>7.0038562356951719E-4</v>
      </c>
      <c r="AX47" s="42">
        <f t="shared" si="61"/>
        <v>7.0038562356951719E-4</v>
      </c>
      <c r="AY47" s="42">
        <f t="shared" si="61"/>
        <v>7.0038562356951719E-4</v>
      </c>
      <c r="AZ47" s="42">
        <f t="shared" si="61"/>
        <v>7.0038562356951719E-4</v>
      </c>
      <c r="BA47" s="34">
        <f t="shared" si="27"/>
        <v>107083.86562499999</v>
      </c>
      <c r="BB47" s="34">
        <f>IFERROR(up_RadSpec!$J$6*(BB6*$B47),".")</f>
        <v>35694.621874999997</v>
      </c>
      <c r="BC47" s="34">
        <f>IFERROR(up_RadSpec!$J$6*(BC6*$B47),".")</f>
        <v>35694.621874999997</v>
      </c>
      <c r="BD47" s="34">
        <f>IFERROR(up_RadSpec!$J$6*(BD6*$B47),".")</f>
        <v>35694.621874999997</v>
      </c>
      <c r="BE47" s="34">
        <f>IFERROR(up_RadSpec!$J$6*(BE6*$B47),".")</f>
        <v>35694.621874999997</v>
      </c>
      <c r="BF47" s="34">
        <f>IFERROR(up_RadSpec!$J$6*(BF6*$B47),".")</f>
        <v>35694.621874999997</v>
      </c>
      <c r="BG47" s="34">
        <f>IFERROR(up_RadSpec!$J$6*(BG6*$B47),".")</f>
        <v>35694.621874999997</v>
      </c>
      <c r="BH47" s="34">
        <f>IFERROR(up_RadSpec!$J$6*(BH6*$B47),".")</f>
        <v>35694.621874999997</v>
      </c>
      <c r="BI47" s="34">
        <f>IFERROR(up_RadSpec!$J$6*(BI6*$B47),".")</f>
        <v>35694.621874999997</v>
      </c>
      <c r="BJ47" s="34">
        <f>IFERROR(up_RadSpec!$J$6*(BJ6*$B47),".")</f>
        <v>35694.621874999997</v>
      </c>
      <c r="BK47" s="34">
        <f>IFERROR(up_RadSpec!$J$6*(BK6*$B47),".")</f>
        <v>35694.621874999997</v>
      </c>
      <c r="BL47" s="34">
        <f>IFERROR(up_RadSpec!$J$6*(BL6*$B47),".")</f>
        <v>35694.621874999997</v>
      </c>
      <c r="BM47" s="34">
        <f>IFERROR(up_RadSpec!$J$6*(BM6*$B47),".")</f>
        <v>35694.621874999997</v>
      </c>
      <c r="BN47" s="34">
        <f>IFERROR(up_RadSpec!$J$6*(BN6*$B47),".")</f>
        <v>35694.621874999997</v>
      </c>
      <c r="BO47" s="34">
        <f>IFERROR(up_RadSpec!$J$6*(BO6*$B47),".")</f>
        <v>35694.621874999997</v>
      </c>
      <c r="BP47" s="34">
        <f>IFERROR(up_RadSpec!$J$6*(BP6*$B47),".")</f>
        <v>35694.621874999997</v>
      </c>
      <c r="BQ47" s="34">
        <f>IFERROR(up_RadSpec!$J$6*(BQ6*$B47),".")</f>
        <v>35694.621874999997</v>
      </c>
      <c r="BR47" s="34">
        <f>IFERROR(up_RadSpec!$J$6*(BR6*$B47),".")</f>
        <v>35694.621874999997</v>
      </c>
      <c r="BS47" s="34">
        <f>IFERROR(up_RadSpec!$J$6*(BS6*$B47),".")</f>
        <v>35694.621874999997</v>
      </c>
      <c r="BT47" s="34">
        <f>IFERROR(up_RadSpec!$J$6*(BT6*$B47),".")</f>
        <v>35694.621874999997</v>
      </c>
      <c r="BU47" s="34">
        <f>IFERROR(up_RadSpec!$J$6*(BU6*$B47),".")</f>
        <v>35694.621874999997</v>
      </c>
      <c r="BV47" s="34">
        <f>IFERROR(up_RadSpec!$J$6*(BV6*$B47),".")</f>
        <v>35694.621874999997</v>
      </c>
      <c r="BW47" s="34">
        <f>IFERROR(up_RadSpec!$J$6*(BW6*$B47),".")</f>
        <v>35694.621874999997</v>
      </c>
      <c r="BX47" s="34">
        <f>IFERROR(up_RadSpec!$J$6*(BX6*$B47),".")</f>
        <v>35694.621874999997</v>
      </c>
      <c r="BY47" s="34">
        <f>IFERROR(up_RadSpec!$J$6*(BY6*$B47),".")</f>
        <v>35694.621874999997</v>
      </c>
    </row>
    <row r="48" spans="1:77" x14ac:dyDescent="0.25">
      <c r="A48" s="64" t="s">
        <v>21</v>
      </c>
      <c r="B48" s="64" t="s">
        <v>1059</v>
      </c>
      <c r="C48" s="65">
        <f t="shared" si="24"/>
        <v>2.4487293519709438E-5</v>
      </c>
      <c r="D48" s="40">
        <f t="shared" ref="D48:AA48" si="62">1/SUM(1/D49,1/D50,1/D51,1/D52,1/D53,1/D54,1/D55,1/D56,1/D57,1/D58,1/D59,1/D60,1/D61,1/D62)</f>
        <v>7.3461880559128306E-5</v>
      </c>
      <c r="E48" s="40">
        <f t="shared" si="62"/>
        <v>7.3461880559128306E-5</v>
      </c>
      <c r="F48" s="40">
        <f t="shared" si="62"/>
        <v>7.3461880559128306E-5</v>
      </c>
      <c r="G48" s="40">
        <f t="shared" si="62"/>
        <v>7.3461880559128306E-5</v>
      </c>
      <c r="H48" s="40">
        <f t="shared" si="62"/>
        <v>7.3461880559128306E-5</v>
      </c>
      <c r="I48" s="40">
        <f t="shared" si="62"/>
        <v>7.3461880559128306E-5</v>
      </c>
      <c r="J48" s="40">
        <f t="shared" si="62"/>
        <v>7.3461880559128306E-5</v>
      </c>
      <c r="K48" s="40">
        <f t="shared" si="62"/>
        <v>7.3461880559128306E-5</v>
      </c>
      <c r="L48" s="40">
        <f t="shared" si="62"/>
        <v>7.3461880559128306E-5</v>
      </c>
      <c r="M48" s="40">
        <f t="shared" si="62"/>
        <v>7.3461880559128306E-5</v>
      </c>
      <c r="N48" s="40">
        <f t="shared" si="62"/>
        <v>7.3461880559128306E-5</v>
      </c>
      <c r="O48" s="40">
        <f t="shared" si="62"/>
        <v>7.3461880559128306E-5</v>
      </c>
      <c r="P48" s="40">
        <f t="shared" si="62"/>
        <v>7.3461880559128306E-5</v>
      </c>
      <c r="Q48" s="40">
        <f t="shared" si="62"/>
        <v>7.3461880559128306E-5</v>
      </c>
      <c r="R48" s="40">
        <f t="shared" si="62"/>
        <v>7.3461880559128306E-5</v>
      </c>
      <c r="S48" s="40">
        <f t="shared" si="62"/>
        <v>7.3461880559128306E-5</v>
      </c>
      <c r="T48" s="40">
        <f t="shared" si="62"/>
        <v>7.3461880559128306E-5</v>
      </c>
      <c r="U48" s="40">
        <f t="shared" si="62"/>
        <v>7.3461880559128306E-5</v>
      </c>
      <c r="V48" s="40">
        <f t="shared" si="62"/>
        <v>7.3461880559128306E-5</v>
      </c>
      <c r="W48" s="40">
        <f t="shared" si="62"/>
        <v>7.3461880559128306E-5</v>
      </c>
      <c r="X48" s="40">
        <f t="shared" si="62"/>
        <v>7.3461880559128306E-5</v>
      </c>
      <c r="Y48" s="40">
        <f t="shared" si="62"/>
        <v>7.3461880559128306E-5</v>
      </c>
      <c r="Z48" s="40">
        <f t="shared" si="62"/>
        <v>7.3461880559128306E-5</v>
      </c>
      <c r="AA48" s="40">
        <f t="shared" si="62"/>
        <v>7.3461880559128306E-5</v>
      </c>
      <c r="AB48" s="65">
        <f t="shared" si="25"/>
        <v>2.4487293519709438E-5</v>
      </c>
      <c r="AC48" s="40">
        <f t="shared" ref="AC48:AZ48" si="63">1/SUM(1/AC49,1/AC50,1/AC51,1/AC52,1/AC53,1/AC54,1/AC55,1/AC56,1/AC57,1/AC58,1/AC59,1/AC60,1/AC61,1/AC62)</f>
        <v>7.3461880559128306E-5</v>
      </c>
      <c r="AD48" s="40">
        <f t="shared" si="63"/>
        <v>7.3461880559128306E-5</v>
      </c>
      <c r="AE48" s="40">
        <f t="shared" si="63"/>
        <v>7.3461880559128306E-5</v>
      </c>
      <c r="AF48" s="40">
        <f t="shared" si="63"/>
        <v>7.3461880559128306E-5</v>
      </c>
      <c r="AG48" s="40">
        <f t="shared" si="63"/>
        <v>7.3461880559128306E-5</v>
      </c>
      <c r="AH48" s="40">
        <f t="shared" si="63"/>
        <v>7.3461880559128306E-5</v>
      </c>
      <c r="AI48" s="40">
        <f t="shared" si="63"/>
        <v>7.3461880559128306E-5</v>
      </c>
      <c r="AJ48" s="40">
        <f t="shared" si="63"/>
        <v>7.3461880559128306E-5</v>
      </c>
      <c r="AK48" s="40">
        <f t="shared" si="63"/>
        <v>7.3461880559128306E-5</v>
      </c>
      <c r="AL48" s="40">
        <f t="shared" si="63"/>
        <v>7.3461880559128306E-5</v>
      </c>
      <c r="AM48" s="40">
        <f t="shared" si="63"/>
        <v>7.3461880559128306E-5</v>
      </c>
      <c r="AN48" s="40">
        <f t="shared" si="63"/>
        <v>7.3461880559128306E-5</v>
      </c>
      <c r="AO48" s="40">
        <f t="shared" si="63"/>
        <v>7.3461880559128306E-5</v>
      </c>
      <c r="AP48" s="40">
        <f t="shared" si="63"/>
        <v>7.3461880559128306E-5</v>
      </c>
      <c r="AQ48" s="40">
        <f t="shared" si="63"/>
        <v>7.3461880559128306E-5</v>
      </c>
      <c r="AR48" s="40">
        <f t="shared" si="63"/>
        <v>7.3461880559128306E-5</v>
      </c>
      <c r="AS48" s="40">
        <f t="shared" si="63"/>
        <v>7.3461880559128306E-5</v>
      </c>
      <c r="AT48" s="40">
        <f t="shared" si="63"/>
        <v>7.3461880559128306E-5</v>
      </c>
      <c r="AU48" s="40">
        <f t="shared" si="63"/>
        <v>7.3461880559128306E-5</v>
      </c>
      <c r="AV48" s="40">
        <f t="shared" si="63"/>
        <v>7.3461880559128306E-5</v>
      </c>
      <c r="AW48" s="40">
        <f t="shared" si="63"/>
        <v>7.3461880559128306E-5</v>
      </c>
      <c r="AX48" s="40">
        <f t="shared" si="63"/>
        <v>7.3461880559128306E-5</v>
      </c>
      <c r="AY48" s="40">
        <f t="shared" si="63"/>
        <v>7.3461880559128306E-5</v>
      </c>
      <c r="AZ48" s="40">
        <f t="shared" si="63"/>
        <v>7.3461880559128306E-5</v>
      </c>
      <c r="BA48" s="33">
        <f t="shared" si="27"/>
        <v>1020937.654048125</v>
      </c>
      <c r="BB48" s="33">
        <f t="shared" ref="BB48:BY48" si="64">IFERROR(SUM(BB49:BB62),".")</f>
        <v>340312.55134937499</v>
      </c>
      <c r="BC48" s="33">
        <f t="shared" si="64"/>
        <v>340312.55134937499</v>
      </c>
      <c r="BD48" s="33">
        <f t="shared" si="64"/>
        <v>340312.55134937499</v>
      </c>
      <c r="BE48" s="33">
        <f t="shared" si="64"/>
        <v>340312.55134937499</v>
      </c>
      <c r="BF48" s="33">
        <f t="shared" si="64"/>
        <v>340312.55134937499</v>
      </c>
      <c r="BG48" s="33">
        <f t="shared" si="64"/>
        <v>340312.55134937499</v>
      </c>
      <c r="BH48" s="33">
        <f t="shared" si="64"/>
        <v>340312.55134937499</v>
      </c>
      <c r="BI48" s="33">
        <f t="shared" si="64"/>
        <v>340312.55134937499</v>
      </c>
      <c r="BJ48" s="33">
        <f t="shared" si="64"/>
        <v>340312.55134937499</v>
      </c>
      <c r="BK48" s="33">
        <f t="shared" si="64"/>
        <v>340312.55134937499</v>
      </c>
      <c r="BL48" s="33">
        <f t="shared" si="64"/>
        <v>340312.55134937499</v>
      </c>
      <c r="BM48" s="33">
        <f t="shared" si="64"/>
        <v>340312.55134937499</v>
      </c>
      <c r="BN48" s="33">
        <f t="shared" si="64"/>
        <v>340312.55134937499</v>
      </c>
      <c r="BO48" s="33">
        <f t="shared" si="64"/>
        <v>340312.55134937499</v>
      </c>
      <c r="BP48" s="33">
        <f t="shared" si="64"/>
        <v>340312.55134937499</v>
      </c>
      <c r="BQ48" s="33">
        <f t="shared" si="64"/>
        <v>340312.55134937499</v>
      </c>
      <c r="BR48" s="33">
        <f t="shared" si="64"/>
        <v>340312.55134937499</v>
      </c>
      <c r="BS48" s="33">
        <f t="shared" si="64"/>
        <v>340312.55134937499</v>
      </c>
      <c r="BT48" s="33">
        <f t="shared" si="64"/>
        <v>340312.55134937499</v>
      </c>
      <c r="BU48" s="33">
        <f t="shared" si="64"/>
        <v>340312.55134937499</v>
      </c>
      <c r="BV48" s="33">
        <f t="shared" si="64"/>
        <v>340312.55134937499</v>
      </c>
      <c r="BW48" s="33">
        <f t="shared" si="64"/>
        <v>340312.55134937499</v>
      </c>
      <c r="BX48" s="33">
        <f t="shared" si="64"/>
        <v>340312.55134937499</v>
      </c>
      <c r="BY48" s="33">
        <f t="shared" si="64"/>
        <v>340312.55134937499</v>
      </c>
    </row>
    <row r="49" spans="1:77" x14ac:dyDescent="0.25">
      <c r="A49" s="66" t="s">
        <v>1088</v>
      </c>
      <c r="B49" s="49">
        <v>1</v>
      </c>
      <c r="C49" s="67">
        <f t="shared" si="24"/>
        <v>2.2038567493112948E-4</v>
      </c>
      <c r="D49" s="42">
        <f t="shared" ref="D49:AA49" si="65">IFERROR(D23/$B49,0)</f>
        <v>6.6115702479338848E-4</v>
      </c>
      <c r="E49" s="42">
        <f t="shared" si="65"/>
        <v>6.6115702479338848E-4</v>
      </c>
      <c r="F49" s="42">
        <f t="shared" si="65"/>
        <v>6.6115702479338848E-4</v>
      </c>
      <c r="G49" s="42">
        <f t="shared" si="65"/>
        <v>6.6115702479338848E-4</v>
      </c>
      <c r="H49" s="42">
        <f t="shared" si="65"/>
        <v>6.6115702479338848E-4</v>
      </c>
      <c r="I49" s="42">
        <f t="shared" si="65"/>
        <v>6.6115702479338848E-4</v>
      </c>
      <c r="J49" s="42">
        <f t="shared" si="65"/>
        <v>6.6115702479338848E-4</v>
      </c>
      <c r="K49" s="42">
        <f t="shared" si="65"/>
        <v>6.6115702479338848E-4</v>
      </c>
      <c r="L49" s="42">
        <f t="shared" si="65"/>
        <v>6.6115702479338848E-4</v>
      </c>
      <c r="M49" s="42">
        <f t="shared" si="65"/>
        <v>6.6115702479338848E-4</v>
      </c>
      <c r="N49" s="42">
        <f t="shared" si="65"/>
        <v>6.6115702479338848E-4</v>
      </c>
      <c r="O49" s="42">
        <f t="shared" si="65"/>
        <v>6.6115702479338848E-4</v>
      </c>
      <c r="P49" s="42">
        <f t="shared" si="65"/>
        <v>6.6115702479338848E-4</v>
      </c>
      <c r="Q49" s="42">
        <f t="shared" si="65"/>
        <v>6.6115702479338848E-4</v>
      </c>
      <c r="R49" s="42">
        <f t="shared" si="65"/>
        <v>6.6115702479338848E-4</v>
      </c>
      <c r="S49" s="42">
        <f t="shared" si="65"/>
        <v>6.6115702479338848E-4</v>
      </c>
      <c r="T49" s="42">
        <f t="shared" si="65"/>
        <v>6.6115702479338848E-4</v>
      </c>
      <c r="U49" s="42">
        <f t="shared" si="65"/>
        <v>6.6115702479338848E-4</v>
      </c>
      <c r="V49" s="42">
        <f t="shared" si="65"/>
        <v>6.6115702479338848E-4</v>
      </c>
      <c r="W49" s="42">
        <f t="shared" si="65"/>
        <v>6.6115702479338848E-4</v>
      </c>
      <c r="X49" s="42">
        <f t="shared" si="65"/>
        <v>6.6115702479338848E-4</v>
      </c>
      <c r="Y49" s="42">
        <f t="shared" si="65"/>
        <v>6.6115702479338848E-4</v>
      </c>
      <c r="Z49" s="42">
        <f t="shared" si="65"/>
        <v>6.6115702479338848E-4</v>
      </c>
      <c r="AA49" s="42">
        <f t="shared" si="65"/>
        <v>6.6115702479338848E-4</v>
      </c>
      <c r="AB49" s="67">
        <f t="shared" si="25"/>
        <v>2.2038567493112948E-4</v>
      </c>
      <c r="AC49" s="42">
        <f t="shared" ref="AC49:AZ49" si="66">IFERROR(AC23/$B49,0)</f>
        <v>6.6115702479338848E-4</v>
      </c>
      <c r="AD49" s="42">
        <f t="shared" si="66"/>
        <v>6.6115702479338848E-4</v>
      </c>
      <c r="AE49" s="42">
        <f t="shared" si="66"/>
        <v>6.6115702479338848E-4</v>
      </c>
      <c r="AF49" s="42">
        <f t="shared" si="66"/>
        <v>6.6115702479338848E-4</v>
      </c>
      <c r="AG49" s="42">
        <f t="shared" si="66"/>
        <v>6.6115702479338848E-4</v>
      </c>
      <c r="AH49" s="42">
        <f t="shared" si="66"/>
        <v>6.6115702479338848E-4</v>
      </c>
      <c r="AI49" s="42">
        <f t="shared" si="66"/>
        <v>6.6115702479338848E-4</v>
      </c>
      <c r="AJ49" s="42">
        <f t="shared" si="66"/>
        <v>6.6115702479338848E-4</v>
      </c>
      <c r="AK49" s="42">
        <f t="shared" si="66"/>
        <v>6.6115702479338848E-4</v>
      </c>
      <c r="AL49" s="42">
        <f t="shared" si="66"/>
        <v>6.6115702479338848E-4</v>
      </c>
      <c r="AM49" s="42">
        <f t="shared" si="66"/>
        <v>6.6115702479338848E-4</v>
      </c>
      <c r="AN49" s="42">
        <f t="shared" si="66"/>
        <v>6.6115702479338848E-4</v>
      </c>
      <c r="AO49" s="42">
        <f t="shared" si="66"/>
        <v>6.6115702479338848E-4</v>
      </c>
      <c r="AP49" s="42">
        <f t="shared" si="66"/>
        <v>6.6115702479338848E-4</v>
      </c>
      <c r="AQ49" s="42">
        <f t="shared" si="66"/>
        <v>6.6115702479338848E-4</v>
      </c>
      <c r="AR49" s="42">
        <f t="shared" si="66"/>
        <v>6.6115702479338848E-4</v>
      </c>
      <c r="AS49" s="42">
        <f t="shared" si="66"/>
        <v>6.6115702479338848E-4</v>
      </c>
      <c r="AT49" s="42">
        <f t="shared" si="66"/>
        <v>6.6115702479338848E-4</v>
      </c>
      <c r="AU49" s="42">
        <f t="shared" si="66"/>
        <v>6.6115702479338848E-4</v>
      </c>
      <c r="AV49" s="42">
        <f t="shared" si="66"/>
        <v>6.6115702479338848E-4</v>
      </c>
      <c r="AW49" s="42">
        <f t="shared" si="66"/>
        <v>6.6115702479338848E-4</v>
      </c>
      <c r="AX49" s="42">
        <f t="shared" si="66"/>
        <v>6.6115702479338848E-4</v>
      </c>
      <c r="AY49" s="42">
        <f t="shared" si="66"/>
        <v>6.6115702479338848E-4</v>
      </c>
      <c r="AZ49" s="42">
        <f t="shared" si="66"/>
        <v>6.6115702479338848E-4</v>
      </c>
      <c r="BA49" s="34">
        <f t="shared" si="27"/>
        <v>113437.5</v>
      </c>
      <c r="BB49" s="34">
        <f>IFERROR(up_RadSpec!$J$23*(BB23*$B49),".")</f>
        <v>37812.5</v>
      </c>
      <c r="BC49" s="34">
        <f>IFERROR(up_RadSpec!$J$23*(BC23*$B49),".")</f>
        <v>37812.5</v>
      </c>
      <c r="BD49" s="34">
        <f>IFERROR(up_RadSpec!$J$23*(BD23*$B49),".")</f>
        <v>37812.5</v>
      </c>
      <c r="BE49" s="34">
        <f>IFERROR(up_RadSpec!$J$23*(BE23*$B49),".")</f>
        <v>37812.5</v>
      </c>
      <c r="BF49" s="34">
        <f>IFERROR(up_RadSpec!$J$23*(BF23*$B49),".")</f>
        <v>37812.5</v>
      </c>
      <c r="BG49" s="34">
        <f>IFERROR(up_RadSpec!$J$23*(BG23*$B49),".")</f>
        <v>37812.5</v>
      </c>
      <c r="BH49" s="34">
        <f>IFERROR(up_RadSpec!$J$23*(BH23*$B49),".")</f>
        <v>37812.5</v>
      </c>
      <c r="BI49" s="34">
        <f>IFERROR(up_RadSpec!$J$23*(BI23*$B49),".")</f>
        <v>37812.5</v>
      </c>
      <c r="BJ49" s="34">
        <f>IFERROR(up_RadSpec!$J$23*(BJ23*$B49),".")</f>
        <v>37812.5</v>
      </c>
      <c r="BK49" s="34">
        <f>IFERROR(up_RadSpec!$J$23*(BK23*$B49),".")</f>
        <v>37812.5</v>
      </c>
      <c r="BL49" s="34">
        <f>IFERROR(up_RadSpec!$J$23*(BL23*$B49),".")</f>
        <v>37812.5</v>
      </c>
      <c r="BM49" s="34">
        <f>IFERROR(up_RadSpec!$J$23*(BM23*$B49),".")</f>
        <v>37812.5</v>
      </c>
      <c r="BN49" s="34">
        <f>IFERROR(up_RadSpec!$J$23*(BN23*$B49),".")</f>
        <v>37812.5</v>
      </c>
      <c r="BO49" s="34">
        <f>IFERROR(up_RadSpec!$J$23*(BO23*$B49),".")</f>
        <v>37812.5</v>
      </c>
      <c r="BP49" s="34">
        <f>IFERROR(up_RadSpec!$J$23*(BP23*$B49),".")</f>
        <v>37812.5</v>
      </c>
      <c r="BQ49" s="34">
        <f>IFERROR(up_RadSpec!$J$23*(BQ23*$B49),".")</f>
        <v>37812.5</v>
      </c>
      <c r="BR49" s="34">
        <f>IFERROR(up_RadSpec!$J$23*(BR23*$B49),".")</f>
        <v>37812.5</v>
      </c>
      <c r="BS49" s="34">
        <f>IFERROR(up_RadSpec!$J$23*(BS23*$B49),".")</f>
        <v>37812.5</v>
      </c>
      <c r="BT49" s="34">
        <f>IFERROR(up_RadSpec!$J$23*(BT23*$B49),".")</f>
        <v>37812.5</v>
      </c>
      <c r="BU49" s="34">
        <f>IFERROR(up_RadSpec!$J$23*(BU23*$B49),".")</f>
        <v>37812.5</v>
      </c>
      <c r="BV49" s="34">
        <f>IFERROR(up_RadSpec!$J$23*(BV23*$B49),".")</f>
        <v>37812.5</v>
      </c>
      <c r="BW49" s="34">
        <f>IFERROR(up_RadSpec!$J$23*(BW23*$B49),".")</f>
        <v>37812.5</v>
      </c>
      <c r="BX49" s="34">
        <f>IFERROR(up_RadSpec!$J$23*(BX23*$B49),".")</f>
        <v>37812.5</v>
      </c>
      <c r="BY49" s="34">
        <f>IFERROR(up_RadSpec!$J$23*(BY23*$B49),".")</f>
        <v>37812.5</v>
      </c>
    </row>
    <row r="50" spans="1:77" x14ac:dyDescent="0.25">
      <c r="A50" s="66" t="s">
        <v>1075</v>
      </c>
      <c r="B50" s="49">
        <v>1</v>
      </c>
      <c r="C50" s="67">
        <f t="shared" si="24"/>
        <v>2.2038567493112948E-4</v>
      </c>
      <c r="D50" s="42">
        <f t="shared" ref="D50:AA50" si="67">IFERROR(D25/$B50,0)</f>
        <v>6.6115702479338848E-4</v>
      </c>
      <c r="E50" s="42">
        <f t="shared" si="67"/>
        <v>6.6115702479338848E-4</v>
      </c>
      <c r="F50" s="42">
        <f t="shared" si="67"/>
        <v>6.6115702479338848E-4</v>
      </c>
      <c r="G50" s="42">
        <f t="shared" si="67"/>
        <v>6.6115702479338848E-4</v>
      </c>
      <c r="H50" s="42">
        <f t="shared" si="67"/>
        <v>6.6115702479338848E-4</v>
      </c>
      <c r="I50" s="42">
        <f t="shared" si="67"/>
        <v>6.6115702479338848E-4</v>
      </c>
      <c r="J50" s="42">
        <f t="shared" si="67"/>
        <v>6.6115702479338848E-4</v>
      </c>
      <c r="K50" s="42">
        <f t="shared" si="67"/>
        <v>6.6115702479338848E-4</v>
      </c>
      <c r="L50" s="42">
        <f t="shared" si="67"/>
        <v>6.6115702479338848E-4</v>
      </c>
      <c r="M50" s="42">
        <f t="shared" si="67"/>
        <v>6.6115702479338848E-4</v>
      </c>
      <c r="N50" s="42">
        <f t="shared" si="67"/>
        <v>6.6115702479338848E-4</v>
      </c>
      <c r="O50" s="42">
        <f t="shared" si="67"/>
        <v>6.6115702479338848E-4</v>
      </c>
      <c r="P50" s="42">
        <f t="shared" si="67"/>
        <v>6.6115702479338848E-4</v>
      </c>
      <c r="Q50" s="42">
        <f t="shared" si="67"/>
        <v>6.6115702479338848E-4</v>
      </c>
      <c r="R50" s="42">
        <f t="shared" si="67"/>
        <v>6.6115702479338848E-4</v>
      </c>
      <c r="S50" s="42">
        <f t="shared" si="67"/>
        <v>6.6115702479338848E-4</v>
      </c>
      <c r="T50" s="42">
        <f t="shared" si="67"/>
        <v>6.6115702479338848E-4</v>
      </c>
      <c r="U50" s="42">
        <f t="shared" si="67"/>
        <v>6.6115702479338848E-4</v>
      </c>
      <c r="V50" s="42">
        <f t="shared" si="67"/>
        <v>6.6115702479338848E-4</v>
      </c>
      <c r="W50" s="42">
        <f t="shared" si="67"/>
        <v>6.6115702479338848E-4</v>
      </c>
      <c r="X50" s="42">
        <f t="shared" si="67"/>
        <v>6.6115702479338848E-4</v>
      </c>
      <c r="Y50" s="42">
        <f t="shared" si="67"/>
        <v>6.6115702479338848E-4</v>
      </c>
      <c r="Z50" s="42">
        <f t="shared" si="67"/>
        <v>6.6115702479338848E-4</v>
      </c>
      <c r="AA50" s="42">
        <f t="shared" si="67"/>
        <v>6.6115702479338848E-4</v>
      </c>
      <c r="AB50" s="67">
        <f t="shared" si="25"/>
        <v>2.2038567493112948E-4</v>
      </c>
      <c r="AC50" s="42">
        <f t="shared" ref="AC50:AZ50" si="68">IFERROR(AC25/$B50,0)</f>
        <v>6.6115702479338848E-4</v>
      </c>
      <c r="AD50" s="42">
        <f t="shared" si="68"/>
        <v>6.6115702479338848E-4</v>
      </c>
      <c r="AE50" s="42">
        <f t="shared" si="68"/>
        <v>6.6115702479338848E-4</v>
      </c>
      <c r="AF50" s="42">
        <f t="shared" si="68"/>
        <v>6.6115702479338848E-4</v>
      </c>
      <c r="AG50" s="42">
        <f t="shared" si="68"/>
        <v>6.6115702479338848E-4</v>
      </c>
      <c r="AH50" s="42">
        <f t="shared" si="68"/>
        <v>6.6115702479338848E-4</v>
      </c>
      <c r="AI50" s="42">
        <f t="shared" si="68"/>
        <v>6.6115702479338848E-4</v>
      </c>
      <c r="AJ50" s="42">
        <f t="shared" si="68"/>
        <v>6.6115702479338848E-4</v>
      </c>
      <c r="AK50" s="42">
        <f t="shared" si="68"/>
        <v>6.6115702479338848E-4</v>
      </c>
      <c r="AL50" s="42">
        <f t="shared" si="68"/>
        <v>6.6115702479338848E-4</v>
      </c>
      <c r="AM50" s="42">
        <f t="shared" si="68"/>
        <v>6.6115702479338848E-4</v>
      </c>
      <c r="AN50" s="42">
        <f t="shared" si="68"/>
        <v>6.6115702479338848E-4</v>
      </c>
      <c r="AO50" s="42">
        <f t="shared" si="68"/>
        <v>6.6115702479338848E-4</v>
      </c>
      <c r="AP50" s="42">
        <f t="shared" si="68"/>
        <v>6.6115702479338848E-4</v>
      </c>
      <c r="AQ50" s="42">
        <f t="shared" si="68"/>
        <v>6.6115702479338848E-4</v>
      </c>
      <c r="AR50" s="42">
        <f t="shared" si="68"/>
        <v>6.6115702479338848E-4</v>
      </c>
      <c r="AS50" s="42">
        <f t="shared" si="68"/>
        <v>6.6115702479338848E-4</v>
      </c>
      <c r="AT50" s="42">
        <f t="shared" si="68"/>
        <v>6.6115702479338848E-4</v>
      </c>
      <c r="AU50" s="42">
        <f t="shared" si="68"/>
        <v>6.6115702479338848E-4</v>
      </c>
      <c r="AV50" s="42">
        <f t="shared" si="68"/>
        <v>6.6115702479338848E-4</v>
      </c>
      <c r="AW50" s="42">
        <f t="shared" si="68"/>
        <v>6.6115702479338848E-4</v>
      </c>
      <c r="AX50" s="42">
        <f t="shared" si="68"/>
        <v>6.6115702479338848E-4</v>
      </c>
      <c r="AY50" s="42">
        <f t="shared" si="68"/>
        <v>6.6115702479338848E-4</v>
      </c>
      <c r="AZ50" s="42">
        <f t="shared" si="68"/>
        <v>6.6115702479338848E-4</v>
      </c>
      <c r="BA50" s="34">
        <f t="shared" si="27"/>
        <v>113437.5</v>
      </c>
      <c r="BB50" s="34">
        <f>IFERROR(up_RadSpec!$J$25*(BB25*$B50),".")</f>
        <v>37812.5</v>
      </c>
      <c r="BC50" s="34">
        <f>IFERROR(up_RadSpec!$J$25*(BC25*$B50),".")</f>
        <v>37812.5</v>
      </c>
      <c r="BD50" s="34">
        <f>IFERROR(up_RadSpec!$J$25*(BD25*$B50),".")</f>
        <v>37812.5</v>
      </c>
      <c r="BE50" s="34">
        <f>IFERROR(up_RadSpec!$J$25*(BE25*$B50),".")</f>
        <v>37812.5</v>
      </c>
      <c r="BF50" s="34">
        <f>IFERROR(up_RadSpec!$J$25*(BF25*$B50),".")</f>
        <v>37812.5</v>
      </c>
      <c r="BG50" s="34">
        <f>IFERROR(up_RadSpec!$J$25*(BG25*$B50),".")</f>
        <v>37812.5</v>
      </c>
      <c r="BH50" s="34">
        <f>IFERROR(up_RadSpec!$J$25*(BH25*$B50),".")</f>
        <v>37812.5</v>
      </c>
      <c r="BI50" s="34">
        <f>IFERROR(up_RadSpec!$J$25*(BI25*$B50),".")</f>
        <v>37812.5</v>
      </c>
      <c r="BJ50" s="34">
        <f>IFERROR(up_RadSpec!$J$25*(BJ25*$B50),".")</f>
        <v>37812.5</v>
      </c>
      <c r="BK50" s="34">
        <f>IFERROR(up_RadSpec!$J$25*(BK25*$B50),".")</f>
        <v>37812.5</v>
      </c>
      <c r="BL50" s="34">
        <f>IFERROR(up_RadSpec!$J$25*(BL25*$B50),".")</f>
        <v>37812.5</v>
      </c>
      <c r="BM50" s="34">
        <f>IFERROR(up_RadSpec!$J$25*(BM25*$B50),".")</f>
        <v>37812.5</v>
      </c>
      <c r="BN50" s="34">
        <f>IFERROR(up_RadSpec!$J$25*(BN25*$B50),".")</f>
        <v>37812.5</v>
      </c>
      <c r="BO50" s="34">
        <f>IFERROR(up_RadSpec!$J$25*(BO25*$B50),".")</f>
        <v>37812.5</v>
      </c>
      <c r="BP50" s="34">
        <f>IFERROR(up_RadSpec!$J$25*(BP25*$B50),".")</f>
        <v>37812.5</v>
      </c>
      <c r="BQ50" s="34">
        <f>IFERROR(up_RadSpec!$J$25*(BQ25*$B50),".")</f>
        <v>37812.5</v>
      </c>
      <c r="BR50" s="34">
        <f>IFERROR(up_RadSpec!$J$25*(BR25*$B50),".")</f>
        <v>37812.5</v>
      </c>
      <c r="BS50" s="34">
        <f>IFERROR(up_RadSpec!$J$25*(BS25*$B50),".")</f>
        <v>37812.5</v>
      </c>
      <c r="BT50" s="34">
        <f>IFERROR(up_RadSpec!$J$25*(BT25*$B50),".")</f>
        <v>37812.5</v>
      </c>
      <c r="BU50" s="34">
        <f>IFERROR(up_RadSpec!$J$25*(BU25*$B50),".")</f>
        <v>37812.5</v>
      </c>
      <c r="BV50" s="34">
        <f>IFERROR(up_RadSpec!$J$25*(BV25*$B50),".")</f>
        <v>37812.5</v>
      </c>
      <c r="BW50" s="34">
        <f>IFERROR(up_RadSpec!$J$25*(BW25*$B50),".")</f>
        <v>37812.5</v>
      </c>
      <c r="BX50" s="34">
        <f>IFERROR(up_RadSpec!$J$25*(BX25*$B50),".")</f>
        <v>37812.5</v>
      </c>
      <c r="BY50" s="34">
        <f>IFERROR(up_RadSpec!$J$25*(BY25*$B50),".")</f>
        <v>37812.5</v>
      </c>
    </row>
    <row r="51" spans="1:77" x14ac:dyDescent="0.25">
      <c r="A51" s="66" t="s">
        <v>1061</v>
      </c>
      <c r="B51" s="49">
        <v>1</v>
      </c>
      <c r="C51" s="67">
        <f t="shared" si="24"/>
        <v>2.2038567493112948E-4</v>
      </c>
      <c r="D51" s="42">
        <f t="shared" ref="D51:AA51" si="69">IFERROR(D21/$B51,0)</f>
        <v>6.6115702479338848E-4</v>
      </c>
      <c r="E51" s="42">
        <f t="shared" si="69"/>
        <v>6.6115702479338848E-4</v>
      </c>
      <c r="F51" s="42">
        <f t="shared" si="69"/>
        <v>6.6115702479338848E-4</v>
      </c>
      <c r="G51" s="42">
        <f t="shared" si="69"/>
        <v>6.6115702479338848E-4</v>
      </c>
      <c r="H51" s="42">
        <f t="shared" si="69"/>
        <v>6.6115702479338848E-4</v>
      </c>
      <c r="I51" s="42">
        <f t="shared" si="69"/>
        <v>6.6115702479338848E-4</v>
      </c>
      <c r="J51" s="42">
        <f t="shared" si="69"/>
        <v>6.6115702479338848E-4</v>
      </c>
      <c r="K51" s="42">
        <f t="shared" si="69"/>
        <v>6.6115702479338848E-4</v>
      </c>
      <c r="L51" s="42">
        <f t="shared" si="69"/>
        <v>6.6115702479338848E-4</v>
      </c>
      <c r="M51" s="42">
        <f t="shared" si="69"/>
        <v>6.6115702479338848E-4</v>
      </c>
      <c r="N51" s="42">
        <f t="shared" si="69"/>
        <v>6.6115702479338848E-4</v>
      </c>
      <c r="O51" s="42">
        <f t="shared" si="69"/>
        <v>6.6115702479338848E-4</v>
      </c>
      <c r="P51" s="42">
        <f t="shared" si="69"/>
        <v>6.6115702479338848E-4</v>
      </c>
      <c r="Q51" s="42">
        <f t="shared" si="69"/>
        <v>6.6115702479338848E-4</v>
      </c>
      <c r="R51" s="42">
        <f t="shared" si="69"/>
        <v>6.6115702479338848E-4</v>
      </c>
      <c r="S51" s="42">
        <f t="shared" si="69"/>
        <v>6.6115702479338848E-4</v>
      </c>
      <c r="T51" s="42">
        <f t="shared" si="69"/>
        <v>6.6115702479338848E-4</v>
      </c>
      <c r="U51" s="42">
        <f t="shared" si="69"/>
        <v>6.6115702479338848E-4</v>
      </c>
      <c r="V51" s="42">
        <f t="shared" si="69"/>
        <v>6.6115702479338848E-4</v>
      </c>
      <c r="W51" s="42">
        <f t="shared" si="69"/>
        <v>6.6115702479338848E-4</v>
      </c>
      <c r="X51" s="42">
        <f t="shared" si="69"/>
        <v>6.6115702479338848E-4</v>
      </c>
      <c r="Y51" s="42">
        <f t="shared" si="69"/>
        <v>6.6115702479338848E-4</v>
      </c>
      <c r="Z51" s="42">
        <f t="shared" si="69"/>
        <v>6.6115702479338848E-4</v>
      </c>
      <c r="AA51" s="42">
        <f t="shared" si="69"/>
        <v>6.6115702479338848E-4</v>
      </c>
      <c r="AB51" s="67">
        <f t="shared" si="25"/>
        <v>2.2038567493112948E-4</v>
      </c>
      <c r="AC51" s="42">
        <f t="shared" ref="AC51:AZ51" si="70">IFERROR(AC21/$B51,0)</f>
        <v>6.6115702479338848E-4</v>
      </c>
      <c r="AD51" s="42">
        <f t="shared" si="70"/>
        <v>6.6115702479338848E-4</v>
      </c>
      <c r="AE51" s="42">
        <f t="shared" si="70"/>
        <v>6.6115702479338848E-4</v>
      </c>
      <c r="AF51" s="42">
        <f t="shared" si="70"/>
        <v>6.6115702479338848E-4</v>
      </c>
      <c r="AG51" s="42">
        <f t="shared" si="70"/>
        <v>6.6115702479338848E-4</v>
      </c>
      <c r="AH51" s="42">
        <f t="shared" si="70"/>
        <v>6.6115702479338848E-4</v>
      </c>
      <c r="AI51" s="42">
        <f t="shared" si="70"/>
        <v>6.6115702479338848E-4</v>
      </c>
      <c r="AJ51" s="42">
        <f t="shared" si="70"/>
        <v>6.6115702479338848E-4</v>
      </c>
      <c r="AK51" s="42">
        <f t="shared" si="70"/>
        <v>6.6115702479338848E-4</v>
      </c>
      <c r="AL51" s="42">
        <f t="shared" si="70"/>
        <v>6.6115702479338848E-4</v>
      </c>
      <c r="AM51" s="42">
        <f t="shared" si="70"/>
        <v>6.6115702479338848E-4</v>
      </c>
      <c r="AN51" s="42">
        <f t="shared" si="70"/>
        <v>6.6115702479338848E-4</v>
      </c>
      <c r="AO51" s="42">
        <f t="shared" si="70"/>
        <v>6.6115702479338848E-4</v>
      </c>
      <c r="AP51" s="42">
        <f t="shared" si="70"/>
        <v>6.6115702479338848E-4</v>
      </c>
      <c r="AQ51" s="42">
        <f t="shared" si="70"/>
        <v>6.6115702479338848E-4</v>
      </c>
      <c r="AR51" s="42">
        <f t="shared" si="70"/>
        <v>6.6115702479338848E-4</v>
      </c>
      <c r="AS51" s="42">
        <f t="shared" si="70"/>
        <v>6.6115702479338848E-4</v>
      </c>
      <c r="AT51" s="42">
        <f t="shared" si="70"/>
        <v>6.6115702479338848E-4</v>
      </c>
      <c r="AU51" s="42">
        <f t="shared" si="70"/>
        <v>6.6115702479338848E-4</v>
      </c>
      <c r="AV51" s="42">
        <f t="shared" si="70"/>
        <v>6.6115702479338848E-4</v>
      </c>
      <c r="AW51" s="42">
        <f t="shared" si="70"/>
        <v>6.6115702479338848E-4</v>
      </c>
      <c r="AX51" s="42">
        <f t="shared" si="70"/>
        <v>6.6115702479338848E-4</v>
      </c>
      <c r="AY51" s="42">
        <f t="shared" si="70"/>
        <v>6.6115702479338848E-4</v>
      </c>
      <c r="AZ51" s="42">
        <f t="shared" si="70"/>
        <v>6.6115702479338848E-4</v>
      </c>
      <c r="BA51" s="34">
        <f t="shared" si="27"/>
        <v>113437.5</v>
      </c>
      <c r="BB51" s="34">
        <f>IFERROR(up_RadSpec!$J$21*(BB21*$B51),".")</f>
        <v>37812.5</v>
      </c>
      <c r="BC51" s="34">
        <f>IFERROR(up_RadSpec!$J$21*(BC21*$B51),".")</f>
        <v>37812.5</v>
      </c>
      <c r="BD51" s="34">
        <f>IFERROR(up_RadSpec!$J$21*(BD21*$B51),".")</f>
        <v>37812.5</v>
      </c>
      <c r="BE51" s="34">
        <f>IFERROR(up_RadSpec!$J$21*(BE21*$B51),".")</f>
        <v>37812.5</v>
      </c>
      <c r="BF51" s="34">
        <f>IFERROR(up_RadSpec!$J$21*(BF21*$B51),".")</f>
        <v>37812.5</v>
      </c>
      <c r="BG51" s="34">
        <f>IFERROR(up_RadSpec!$J$21*(BG21*$B51),".")</f>
        <v>37812.5</v>
      </c>
      <c r="BH51" s="34">
        <f>IFERROR(up_RadSpec!$J$21*(BH21*$B51),".")</f>
        <v>37812.5</v>
      </c>
      <c r="BI51" s="34">
        <f>IFERROR(up_RadSpec!$J$21*(BI21*$B51),".")</f>
        <v>37812.5</v>
      </c>
      <c r="BJ51" s="34">
        <f>IFERROR(up_RadSpec!$J$21*(BJ21*$B51),".")</f>
        <v>37812.5</v>
      </c>
      <c r="BK51" s="34">
        <f>IFERROR(up_RadSpec!$J$21*(BK21*$B51),".")</f>
        <v>37812.5</v>
      </c>
      <c r="BL51" s="34">
        <f>IFERROR(up_RadSpec!$J$21*(BL21*$B51),".")</f>
        <v>37812.5</v>
      </c>
      <c r="BM51" s="34">
        <f>IFERROR(up_RadSpec!$J$21*(BM21*$B51),".")</f>
        <v>37812.5</v>
      </c>
      <c r="BN51" s="34">
        <f>IFERROR(up_RadSpec!$J$21*(BN21*$B51),".")</f>
        <v>37812.5</v>
      </c>
      <c r="BO51" s="34">
        <f>IFERROR(up_RadSpec!$J$21*(BO21*$B51),".")</f>
        <v>37812.5</v>
      </c>
      <c r="BP51" s="34">
        <f>IFERROR(up_RadSpec!$J$21*(BP21*$B51),".")</f>
        <v>37812.5</v>
      </c>
      <c r="BQ51" s="34">
        <f>IFERROR(up_RadSpec!$J$21*(BQ21*$B51),".")</f>
        <v>37812.5</v>
      </c>
      <c r="BR51" s="34">
        <f>IFERROR(up_RadSpec!$J$21*(BR21*$B51),".")</f>
        <v>37812.5</v>
      </c>
      <c r="BS51" s="34">
        <f>IFERROR(up_RadSpec!$J$21*(BS21*$B51),".")</f>
        <v>37812.5</v>
      </c>
      <c r="BT51" s="34">
        <f>IFERROR(up_RadSpec!$J$21*(BT21*$B51),".")</f>
        <v>37812.5</v>
      </c>
      <c r="BU51" s="34">
        <f>IFERROR(up_RadSpec!$J$21*(BU21*$B51),".")</f>
        <v>37812.5</v>
      </c>
      <c r="BV51" s="34">
        <f>IFERROR(up_RadSpec!$J$21*(BV21*$B51),".")</f>
        <v>37812.5</v>
      </c>
      <c r="BW51" s="34">
        <f>IFERROR(up_RadSpec!$J$21*(BW21*$B51),".")</f>
        <v>37812.5</v>
      </c>
      <c r="BX51" s="34">
        <f>IFERROR(up_RadSpec!$J$21*(BX21*$B51),".")</f>
        <v>37812.5</v>
      </c>
      <c r="BY51" s="34">
        <f>IFERROR(up_RadSpec!$J$21*(BY21*$B51),".")</f>
        <v>37812.5</v>
      </c>
    </row>
    <row r="52" spans="1:77" x14ac:dyDescent="0.25">
      <c r="A52" s="66" t="s">
        <v>1062</v>
      </c>
      <c r="B52" s="49">
        <v>0.99980000000000002</v>
      </c>
      <c r="C52" s="67">
        <f t="shared" si="24"/>
        <v>2.2042976088330616E-4</v>
      </c>
      <c r="D52" s="42">
        <f t="shared" ref="D52:AA52" si="71">IFERROR(D17/$B52,0)</f>
        <v>6.6128928264991846E-4</v>
      </c>
      <c r="E52" s="42">
        <f t="shared" si="71"/>
        <v>6.6128928264991846E-4</v>
      </c>
      <c r="F52" s="42">
        <f t="shared" si="71"/>
        <v>6.6128928264991846E-4</v>
      </c>
      <c r="G52" s="42">
        <f t="shared" si="71"/>
        <v>6.6128928264991846E-4</v>
      </c>
      <c r="H52" s="42">
        <f t="shared" si="71"/>
        <v>6.6128928264991846E-4</v>
      </c>
      <c r="I52" s="42">
        <f t="shared" si="71"/>
        <v>6.6128928264991846E-4</v>
      </c>
      <c r="J52" s="42">
        <f t="shared" si="71"/>
        <v>6.6128928264991846E-4</v>
      </c>
      <c r="K52" s="42">
        <f t="shared" si="71"/>
        <v>6.6128928264991846E-4</v>
      </c>
      <c r="L52" s="42">
        <f t="shared" si="71"/>
        <v>6.6128928264991846E-4</v>
      </c>
      <c r="M52" s="42">
        <f t="shared" si="71"/>
        <v>6.6128928264991846E-4</v>
      </c>
      <c r="N52" s="42">
        <f t="shared" si="71"/>
        <v>6.6128928264991846E-4</v>
      </c>
      <c r="O52" s="42">
        <f t="shared" si="71"/>
        <v>6.6128928264991846E-4</v>
      </c>
      <c r="P52" s="42">
        <f t="shared" si="71"/>
        <v>6.6128928264991846E-4</v>
      </c>
      <c r="Q52" s="42">
        <f t="shared" si="71"/>
        <v>6.6128928264991846E-4</v>
      </c>
      <c r="R52" s="42">
        <f t="shared" si="71"/>
        <v>6.6128928264991846E-4</v>
      </c>
      <c r="S52" s="42">
        <f t="shared" si="71"/>
        <v>6.6128928264991846E-4</v>
      </c>
      <c r="T52" s="42">
        <f t="shared" si="71"/>
        <v>6.6128928264991846E-4</v>
      </c>
      <c r="U52" s="42">
        <f t="shared" si="71"/>
        <v>6.6128928264991846E-4</v>
      </c>
      <c r="V52" s="42">
        <f t="shared" si="71"/>
        <v>6.6128928264991846E-4</v>
      </c>
      <c r="W52" s="42">
        <f t="shared" si="71"/>
        <v>6.6128928264991846E-4</v>
      </c>
      <c r="X52" s="42">
        <f t="shared" si="71"/>
        <v>6.6128928264991846E-4</v>
      </c>
      <c r="Y52" s="42">
        <f t="shared" si="71"/>
        <v>6.6128928264991846E-4</v>
      </c>
      <c r="Z52" s="42">
        <f t="shared" si="71"/>
        <v>6.6128928264991846E-4</v>
      </c>
      <c r="AA52" s="42">
        <f t="shared" si="71"/>
        <v>6.6128928264991846E-4</v>
      </c>
      <c r="AB52" s="67">
        <f t="shared" si="25"/>
        <v>2.2042976088330616E-4</v>
      </c>
      <c r="AC52" s="42">
        <f t="shared" ref="AC52:AZ52" si="72">IFERROR(AC17/$B52,0)</f>
        <v>6.6128928264991846E-4</v>
      </c>
      <c r="AD52" s="42">
        <f t="shared" si="72"/>
        <v>6.6128928264991846E-4</v>
      </c>
      <c r="AE52" s="42">
        <f t="shared" si="72"/>
        <v>6.6128928264991846E-4</v>
      </c>
      <c r="AF52" s="42">
        <f t="shared" si="72"/>
        <v>6.6128928264991846E-4</v>
      </c>
      <c r="AG52" s="42">
        <f t="shared" si="72"/>
        <v>6.6128928264991846E-4</v>
      </c>
      <c r="AH52" s="42">
        <f t="shared" si="72"/>
        <v>6.6128928264991846E-4</v>
      </c>
      <c r="AI52" s="42">
        <f t="shared" si="72"/>
        <v>6.6128928264991846E-4</v>
      </c>
      <c r="AJ52" s="42">
        <f t="shared" si="72"/>
        <v>6.6128928264991846E-4</v>
      </c>
      <c r="AK52" s="42">
        <f t="shared" si="72"/>
        <v>6.6128928264991846E-4</v>
      </c>
      <c r="AL52" s="42">
        <f t="shared" si="72"/>
        <v>6.6128928264991846E-4</v>
      </c>
      <c r="AM52" s="42">
        <f t="shared" si="72"/>
        <v>6.6128928264991846E-4</v>
      </c>
      <c r="AN52" s="42">
        <f t="shared" si="72"/>
        <v>6.6128928264991846E-4</v>
      </c>
      <c r="AO52" s="42">
        <f t="shared" si="72"/>
        <v>6.6128928264991846E-4</v>
      </c>
      <c r="AP52" s="42">
        <f t="shared" si="72"/>
        <v>6.6128928264991846E-4</v>
      </c>
      <c r="AQ52" s="42">
        <f t="shared" si="72"/>
        <v>6.6128928264991846E-4</v>
      </c>
      <c r="AR52" s="42">
        <f t="shared" si="72"/>
        <v>6.6128928264991846E-4</v>
      </c>
      <c r="AS52" s="42">
        <f t="shared" si="72"/>
        <v>6.6128928264991846E-4</v>
      </c>
      <c r="AT52" s="42">
        <f t="shared" si="72"/>
        <v>6.6128928264991846E-4</v>
      </c>
      <c r="AU52" s="42">
        <f t="shared" si="72"/>
        <v>6.6128928264991846E-4</v>
      </c>
      <c r="AV52" s="42">
        <f t="shared" si="72"/>
        <v>6.6128928264991846E-4</v>
      </c>
      <c r="AW52" s="42">
        <f t="shared" si="72"/>
        <v>6.6128928264991846E-4</v>
      </c>
      <c r="AX52" s="42">
        <f t="shared" si="72"/>
        <v>6.6128928264991846E-4</v>
      </c>
      <c r="AY52" s="42">
        <f t="shared" si="72"/>
        <v>6.6128928264991846E-4</v>
      </c>
      <c r="AZ52" s="42">
        <f t="shared" si="72"/>
        <v>6.6128928264991846E-4</v>
      </c>
      <c r="BA52" s="34">
        <f t="shared" si="27"/>
        <v>113414.8125</v>
      </c>
      <c r="BB52" s="34">
        <f>IFERROR(up_RadSpec!$J$17*(BB17*$B52),".")</f>
        <v>37804.9375</v>
      </c>
      <c r="BC52" s="34">
        <f>IFERROR(up_RadSpec!$J$17*(BC17*$B52),".")</f>
        <v>37804.9375</v>
      </c>
      <c r="BD52" s="34">
        <f>IFERROR(up_RadSpec!$J$17*(BD17*$B52),".")</f>
        <v>37804.9375</v>
      </c>
      <c r="BE52" s="34">
        <f>IFERROR(up_RadSpec!$J$17*(BE17*$B52),".")</f>
        <v>37804.9375</v>
      </c>
      <c r="BF52" s="34">
        <f>IFERROR(up_RadSpec!$J$17*(BF17*$B52),".")</f>
        <v>37804.9375</v>
      </c>
      <c r="BG52" s="34">
        <f>IFERROR(up_RadSpec!$J$17*(BG17*$B52),".")</f>
        <v>37804.9375</v>
      </c>
      <c r="BH52" s="34">
        <f>IFERROR(up_RadSpec!$J$17*(BH17*$B52),".")</f>
        <v>37804.9375</v>
      </c>
      <c r="BI52" s="34">
        <f>IFERROR(up_RadSpec!$J$17*(BI17*$B52),".")</f>
        <v>37804.9375</v>
      </c>
      <c r="BJ52" s="34">
        <f>IFERROR(up_RadSpec!$J$17*(BJ17*$B52),".")</f>
        <v>37804.9375</v>
      </c>
      <c r="BK52" s="34">
        <f>IFERROR(up_RadSpec!$J$17*(BK17*$B52),".")</f>
        <v>37804.9375</v>
      </c>
      <c r="BL52" s="34">
        <f>IFERROR(up_RadSpec!$J$17*(BL17*$B52),".")</f>
        <v>37804.9375</v>
      </c>
      <c r="BM52" s="34">
        <f>IFERROR(up_RadSpec!$J$17*(BM17*$B52),".")</f>
        <v>37804.9375</v>
      </c>
      <c r="BN52" s="34">
        <f>IFERROR(up_RadSpec!$J$17*(BN17*$B52),".")</f>
        <v>37804.9375</v>
      </c>
      <c r="BO52" s="34">
        <f>IFERROR(up_RadSpec!$J$17*(BO17*$B52),".")</f>
        <v>37804.9375</v>
      </c>
      <c r="BP52" s="34">
        <f>IFERROR(up_RadSpec!$J$17*(BP17*$B52),".")</f>
        <v>37804.9375</v>
      </c>
      <c r="BQ52" s="34">
        <f>IFERROR(up_RadSpec!$J$17*(BQ17*$B52),".")</f>
        <v>37804.9375</v>
      </c>
      <c r="BR52" s="34">
        <f>IFERROR(up_RadSpec!$J$17*(BR17*$B52),".")</f>
        <v>37804.9375</v>
      </c>
      <c r="BS52" s="34">
        <f>IFERROR(up_RadSpec!$J$17*(BS17*$B52),".")</f>
        <v>37804.9375</v>
      </c>
      <c r="BT52" s="34">
        <f>IFERROR(up_RadSpec!$J$17*(BT17*$B52),".")</f>
        <v>37804.9375</v>
      </c>
      <c r="BU52" s="34">
        <f>IFERROR(up_RadSpec!$J$17*(BU17*$B52),".")</f>
        <v>37804.9375</v>
      </c>
      <c r="BV52" s="34">
        <f>IFERROR(up_RadSpec!$J$17*(BV17*$B52),".")</f>
        <v>37804.9375</v>
      </c>
      <c r="BW52" s="34">
        <f>IFERROR(up_RadSpec!$J$17*(BW17*$B52),".")</f>
        <v>37804.9375</v>
      </c>
      <c r="BX52" s="34">
        <f>IFERROR(up_RadSpec!$J$17*(BX17*$B52),".")</f>
        <v>37804.9375</v>
      </c>
      <c r="BY52" s="34">
        <f>IFERROR(up_RadSpec!$J$17*(BY17*$B52),".")</f>
        <v>37804.9375</v>
      </c>
    </row>
    <row r="53" spans="1:77" x14ac:dyDescent="0.25">
      <c r="A53" s="66" t="s">
        <v>1076</v>
      </c>
      <c r="B53" s="49">
        <v>2.0000000000000001E-4</v>
      </c>
      <c r="C53" s="67">
        <f t="shared" si="24"/>
        <v>1.1019283746556474</v>
      </c>
      <c r="D53" s="42">
        <f t="shared" ref="D53:AA53" si="73">IFERROR(D5/$B53,0)</f>
        <v>3.3057851239669422</v>
      </c>
      <c r="E53" s="42">
        <f t="shared" si="73"/>
        <v>3.3057851239669422</v>
      </c>
      <c r="F53" s="42">
        <f t="shared" si="73"/>
        <v>3.3057851239669422</v>
      </c>
      <c r="G53" s="42">
        <f t="shared" si="73"/>
        <v>3.3057851239669422</v>
      </c>
      <c r="H53" s="42">
        <f t="shared" si="73"/>
        <v>3.3057851239669422</v>
      </c>
      <c r="I53" s="42">
        <f t="shared" si="73"/>
        <v>3.3057851239669422</v>
      </c>
      <c r="J53" s="42">
        <f t="shared" si="73"/>
        <v>3.3057851239669422</v>
      </c>
      <c r="K53" s="42">
        <f t="shared" si="73"/>
        <v>3.3057851239669422</v>
      </c>
      <c r="L53" s="42">
        <f t="shared" si="73"/>
        <v>3.3057851239669422</v>
      </c>
      <c r="M53" s="42">
        <f t="shared" si="73"/>
        <v>3.3057851239669422</v>
      </c>
      <c r="N53" s="42">
        <f t="shared" si="73"/>
        <v>3.3057851239669422</v>
      </c>
      <c r="O53" s="42">
        <f t="shared" si="73"/>
        <v>3.3057851239669422</v>
      </c>
      <c r="P53" s="42">
        <f t="shared" si="73"/>
        <v>3.3057851239669422</v>
      </c>
      <c r="Q53" s="42">
        <f t="shared" si="73"/>
        <v>3.3057851239669422</v>
      </c>
      <c r="R53" s="42">
        <f t="shared" si="73"/>
        <v>3.3057851239669422</v>
      </c>
      <c r="S53" s="42">
        <f t="shared" si="73"/>
        <v>3.3057851239669422</v>
      </c>
      <c r="T53" s="42">
        <f t="shared" si="73"/>
        <v>3.3057851239669422</v>
      </c>
      <c r="U53" s="42">
        <f t="shared" si="73"/>
        <v>3.3057851239669422</v>
      </c>
      <c r="V53" s="42">
        <f t="shared" si="73"/>
        <v>3.3057851239669422</v>
      </c>
      <c r="W53" s="42">
        <f t="shared" si="73"/>
        <v>3.3057851239669422</v>
      </c>
      <c r="X53" s="42">
        <f t="shared" si="73"/>
        <v>3.3057851239669422</v>
      </c>
      <c r="Y53" s="42">
        <f t="shared" si="73"/>
        <v>3.3057851239669422</v>
      </c>
      <c r="Z53" s="42">
        <f t="shared" si="73"/>
        <v>3.3057851239669422</v>
      </c>
      <c r="AA53" s="42">
        <f t="shared" si="73"/>
        <v>3.3057851239669422</v>
      </c>
      <c r="AB53" s="67">
        <f t="shared" si="25"/>
        <v>1.1019283746556474</v>
      </c>
      <c r="AC53" s="42">
        <f t="shared" ref="AC53:AZ53" si="74">IFERROR(AC5/$B53,0)</f>
        <v>3.3057851239669422</v>
      </c>
      <c r="AD53" s="42">
        <f t="shared" si="74"/>
        <v>3.3057851239669422</v>
      </c>
      <c r="AE53" s="42">
        <f t="shared" si="74"/>
        <v>3.3057851239669422</v>
      </c>
      <c r="AF53" s="42">
        <f t="shared" si="74"/>
        <v>3.3057851239669422</v>
      </c>
      <c r="AG53" s="42">
        <f t="shared" si="74"/>
        <v>3.3057851239669422</v>
      </c>
      <c r="AH53" s="42">
        <f t="shared" si="74"/>
        <v>3.3057851239669422</v>
      </c>
      <c r="AI53" s="42">
        <f t="shared" si="74"/>
        <v>3.3057851239669422</v>
      </c>
      <c r="AJ53" s="42">
        <f t="shared" si="74"/>
        <v>3.3057851239669422</v>
      </c>
      <c r="AK53" s="42">
        <f t="shared" si="74"/>
        <v>3.3057851239669422</v>
      </c>
      <c r="AL53" s="42">
        <f t="shared" si="74"/>
        <v>3.3057851239669422</v>
      </c>
      <c r="AM53" s="42">
        <f t="shared" si="74"/>
        <v>3.3057851239669422</v>
      </c>
      <c r="AN53" s="42">
        <f t="shared" si="74"/>
        <v>3.3057851239669422</v>
      </c>
      <c r="AO53" s="42">
        <f t="shared" si="74"/>
        <v>3.3057851239669422</v>
      </c>
      <c r="AP53" s="42">
        <f t="shared" si="74"/>
        <v>3.3057851239669422</v>
      </c>
      <c r="AQ53" s="42">
        <f t="shared" si="74"/>
        <v>3.3057851239669422</v>
      </c>
      <c r="AR53" s="42">
        <f t="shared" si="74"/>
        <v>3.3057851239669422</v>
      </c>
      <c r="AS53" s="42">
        <f t="shared" si="74"/>
        <v>3.3057851239669422</v>
      </c>
      <c r="AT53" s="42">
        <f t="shared" si="74"/>
        <v>3.3057851239669422</v>
      </c>
      <c r="AU53" s="42">
        <f t="shared" si="74"/>
        <v>3.3057851239669422</v>
      </c>
      <c r="AV53" s="42">
        <f t="shared" si="74"/>
        <v>3.3057851239669422</v>
      </c>
      <c r="AW53" s="42">
        <f t="shared" si="74"/>
        <v>3.3057851239669422</v>
      </c>
      <c r="AX53" s="42">
        <f t="shared" si="74"/>
        <v>3.3057851239669422</v>
      </c>
      <c r="AY53" s="42">
        <f t="shared" si="74"/>
        <v>3.3057851239669422</v>
      </c>
      <c r="AZ53" s="42">
        <f t="shared" si="74"/>
        <v>3.3057851239669422</v>
      </c>
      <c r="BA53" s="34">
        <f t="shared" si="27"/>
        <v>22.687500000000004</v>
      </c>
      <c r="BB53" s="34">
        <f>IFERROR(up_RadSpec!$J$5*(BB5*$B53),".")</f>
        <v>7.5625000000000009</v>
      </c>
      <c r="BC53" s="34">
        <f>IFERROR(up_RadSpec!$J$5*(BC5*$B53),".")</f>
        <v>7.5625000000000009</v>
      </c>
      <c r="BD53" s="34">
        <f>IFERROR(up_RadSpec!$J$5*(BD5*$B53),".")</f>
        <v>7.5625000000000009</v>
      </c>
      <c r="BE53" s="34">
        <f>IFERROR(up_RadSpec!$J$5*(BE5*$B53),".")</f>
        <v>7.5625000000000009</v>
      </c>
      <c r="BF53" s="34">
        <f>IFERROR(up_RadSpec!$J$5*(BF5*$B53),".")</f>
        <v>7.5625000000000009</v>
      </c>
      <c r="BG53" s="34">
        <f>IFERROR(up_RadSpec!$J$5*(BG5*$B53),".")</f>
        <v>7.5625000000000009</v>
      </c>
      <c r="BH53" s="34">
        <f>IFERROR(up_RadSpec!$J$5*(BH5*$B53),".")</f>
        <v>7.5625000000000009</v>
      </c>
      <c r="BI53" s="34">
        <f>IFERROR(up_RadSpec!$J$5*(BI5*$B53),".")</f>
        <v>7.5625000000000009</v>
      </c>
      <c r="BJ53" s="34">
        <f>IFERROR(up_RadSpec!$J$5*(BJ5*$B53),".")</f>
        <v>7.5625000000000009</v>
      </c>
      <c r="BK53" s="34">
        <f>IFERROR(up_RadSpec!$J$5*(BK5*$B53),".")</f>
        <v>7.5625000000000009</v>
      </c>
      <c r="BL53" s="34">
        <f>IFERROR(up_RadSpec!$J$5*(BL5*$B53),".")</f>
        <v>7.5625000000000009</v>
      </c>
      <c r="BM53" s="34">
        <f>IFERROR(up_RadSpec!$J$5*(BM5*$B53),".")</f>
        <v>7.5625000000000009</v>
      </c>
      <c r="BN53" s="34">
        <f>IFERROR(up_RadSpec!$J$5*(BN5*$B53),".")</f>
        <v>7.5625000000000009</v>
      </c>
      <c r="BO53" s="34">
        <f>IFERROR(up_RadSpec!$J$5*(BO5*$B53),".")</f>
        <v>7.5625000000000009</v>
      </c>
      <c r="BP53" s="34">
        <f>IFERROR(up_RadSpec!$J$5*(BP5*$B53),".")</f>
        <v>7.5625000000000009</v>
      </c>
      <c r="BQ53" s="34">
        <f>IFERROR(up_RadSpec!$J$5*(BQ5*$B53),".")</f>
        <v>7.5625000000000009</v>
      </c>
      <c r="BR53" s="34">
        <f>IFERROR(up_RadSpec!$J$5*(BR5*$B53),".")</f>
        <v>7.5625000000000009</v>
      </c>
      <c r="BS53" s="34">
        <f>IFERROR(up_RadSpec!$J$5*(BS5*$B53),".")</f>
        <v>7.5625000000000009</v>
      </c>
      <c r="BT53" s="34">
        <f>IFERROR(up_RadSpec!$J$5*(BT5*$B53),".")</f>
        <v>7.5625000000000009</v>
      </c>
      <c r="BU53" s="34">
        <f>IFERROR(up_RadSpec!$J$5*(BU5*$B53),".")</f>
        <v>7.5625000000000009</v>
      </c>
      <c r="BV53" s="34">
        <f>IFERROR(up_RadSpec!$J$5*(BV5*$B53),".")</f>
        <v>7.5625000000000009</v>
      </c>
      <c r="BW53" s="34">
        <f>IFERROR(up_RadSpec!$J$5*(BW5*$B53),".")</f>
        <v>7.5625000000000009</v>
      </c>
      <c r="BX53" s="34">
        <f>IFERROR(up_RadSpec!$J$5*(BX5*$B53),".")</f>
        <v>7.5625000000000009</v>
      </c>
      <c r="BY53" s="34">
        <f>IFERROR(up_RadSpec!$J$5*(BY5*$B53),".")</f>
        <v>7.5625000000000009</v>
      </c>
    </row>
    <row r="54" spans="1:77" x14ac:dyDescent="0.25">
      <c r="A54" s="66" t="s">
        <v>1077</v>
      </c>
      <c r="B54" s="49">
        <v>0.99999979999999999</v>
      </c>
      <c r="C54" s="67">
        <f t="shared" si="24"/>
        <v>2.2038571900827327E-4</v>
      </c>
      <c r="D54" s="42">
        <f t="shared" ref="D54:AA54" si="75">IFERROR(D9/$B54,0)</f>
        <v>6.611571570248199E-4</v>
      </c>
      <c r="E54" s="42">
        <f t="shared" si="75"/>
        <v>6.611571570248199E-4</v>
      </c>
      <c r="F54" s="42">
        <f t="shared" si="75"/>
        <v>6.611571570248199E-4</v>
      </c>
      <c r="G54" s="42">
        <f t="shared" si="75"/>
        <v>6.611571570248199E-4</v>
      </c>
      <c r="H54" s="42">
        <f t="shared" si="75"/>
        <v>6.611571570248199E-4</v>
      </c>
      <c r="I54" s="42">
        <f t="shared" si="75"/>
        <v>6.611571570248199E-4</v>
      </c>
      <c r="J54" s="42">
        <f t="shared" si="75"/>
        <v>6.611571570248199E-4</v>
      </c>
      <c r="K54" s="42">
        <f t="shared" si="75"/>
        <v>6.611571570248199E-4</v>
      </c>
      <c r="L54" s="42">
        <f t="shared" si="75"/>
        <v>6.611571570248199E-4</v>
      </c>
      <c r="M54" s="42">
        <f t="shared" si="75"/>
        <v>6.611571570248199E-4</v>
      </c>
      <c r="N54" s="42">
        <f t="shared" si="75"/>
        <v>6.611571570248199E-4</v>
      </c>
      <c r="O54" s="42">
        <f t="shared" si="75"/>
        <v>6.611571570248199E-4</v>
      </c>
      <c r="P54" s="42">
        <f t="shared" si="75"/>
        <v>6.611571570248199E-4</v>
      </c>
      <c r="Q54" s="42">
        <f t="shared" si="75"/>
        <v>6.611571570248199E-4</v>
      </c>
      <c r="R54" s="42">
        <f t="shared" si="75"/>
        <v>6.611571570248199E-4</v>
      </c>
      <c r="S54" s="42">
        <f t="shared" si="75"/>
        <v>6.611571570248199E-4</v>
      </c>
      <c r="T54" s="42">
        <f t="shared" si="75"/>
        <v>6.611571570248199E-4</v>
      </c>
      <c r="U54" s="42">
        <f t="shared" si="75"/>
        <v>6.611571570248199E-4</v>
      </c>
      <c r="V54" s="42">
        <f t="shared" si="75"/>
        <v>6.611571570248199E-4</v>
      </c>
      <c r="W54" s="42">
        <f t="shared" si="75"/>
        <v>6.611571570248199E-4</v>
      </c>
      <c r="X54" s="42">
        <f t="shared" si="75"/>
        <v>6.611571570248199E-4</v>
      </c>
      <c r="Y54" s="42">
        <f t="shared" si="75"/>
        <v>6.611571570248199E-4</v>
      </c>
      <c r="Z54" s="42">
        <f t="shared" si="75"/>
        <v>6.611571570248199E-4</v>
      </c>
      <c r="AA54" s="42">
        <f t="shared" si="75"/>
        <v>6.611571570248199E-4</v>
      </c>
      <c r="AB54" s="67">
        <f t="shared" si="25"/>
        <v>2.2038571900827327E-4</v>
      </c>
      <c r="AC54" s="42">
        <f t="shared" ref="AC54:AZ54" si="76">IFERROR(AC9/$B54,0)</f>
        <v>6.611571570248199E-4</v>
      </c>
      <c r="AD54" s="42">
        <f t="shared" si="76"/>
        <v>6.611571570248199E-4</v>
      </c>
      <c r="AE54" s="42">
        <f t="shared" si="76"/>
        <v>6.611571570248199E-4</v>
      </c>
      <c r="AF54" s="42">
        <f t="shared" si="76"/>
        <v>6.611571570248199E-4</v>
      </c>
      <c r="AG54" s="42">
        <f t="shared" si="76"/>
        <v>6.611571570248199E-4</v>
      </c>
      <c r="AH54" s="42">
        <f t="shared" si="76"/>
        <v>6.611571570248199E-4</v>
      </c>
      <c r="AI54" s="42">
        <f t="shared" si="76"/>
        <v>6.611571570248199E-4</v>
      </c>
      <c r="AJ54" s="42">
        <f t="shared" si="76"/>
        <v>6.611571570248199E-4</v>
      </c>
      <c r="AK54" s="42">
        <f t="shared" si="76"/>
        <v>6.611571570248199E-4</v>
      </c>
      <c r="AL54" s="42">
        <f t="shared" si="76"/>
        <v>6.611571570248199E-4</v>
      </c>
      <c r="AM54" s="42">
        <f t="shared" si="76"/>
        <v>6.611571570248199E-4</v>
      </c>
      <c r="AN54" s="42">
        <f t="shared" si="76"/>
        <v>6.611571570248199E-4</v>
      </c>
      <c r="AO54" s="42">
        <f t="shared" si="76"/>
        <v>6.611571570248199E-4</v>
      </c>
      <c r="AP54" s="42">
        <f t="shared" si="76"/>
        <v>6.611571570248199E-4</v>
      </c>
      <c r="AQ54" s="42">
        <f t="shared" si="76"/>
        <v>6.611571570248199E-4</v>
      </c>
      <c r="AR54" s="42">
        <f t="shared" si="76"/>
        <v>6.611571570248199E-4</v>
      </c>
      <c r="AS54" s="42">
        <f t="shared" si="76"/>
        <v>6.611571570248199E-4</v>
      </c>
      <c r="AT54" s="42">
        <f t="shared" si="76"/>
        <v>6.611571570248199E-4</v>
      </c>
      <c r="AU54" s="42">
        <f t="shared" si="76"/>
        <v>6.611571570248199E-4</v>
      </c>
      <c r="AV54" s="42">
        <f t="shared" si="76"/>
        <v>6.611571570248199E-4</v>
      </c>
      <c r="AW54" s="42">
        <f t="shared" si="76"/>
        <v>6.611571570248199E-4</v>
      </c>
      <c r="AX54" s="42">
        <f t="shared" si="76"/>
        <v>6.611571570248199E-4</v>
      </c>
      <c r="AY54" s="42">
        <f t="shared" si="76"/>
        <v>6.611571570248199E-4</v>
      </c>
      <c r="AZ54" s="42">
        <f t="shared" si="76"/>
        <v>6.611571570248199E-4</v>
      </c>
      <c r="BA54" s="34">
        <f t="shared" si="27"/>
        <v>113437.47731249999</v>
      </c>
      <c r="BB54" s="34">
        <f>IFERROR(up_RadSpec!$J$9*(BB9*$B54),".")</f>
        <v>37812.492437499997</v>
      </c>
      <c r="BC54" s="34">
        <f>IFERROR(up_RadSpec!$J$9*(BC9*$B54),".")</f>
        <v>37812.492437499997</v>
      </c>
      <c r="BD54" s="34">
        <f>IFERROR(up_RadSpec!$J$9*(BD9*$B54),".")</f>
        <v>37812.492437499997</v>
      </c>
      <c r="BE54" s="34">
        <f>IFERROR(up_RadSpec!$J$9*(BE9*$B54),".")</f>
        <v>37812.492437499997</v>
      </c>
      <c r="BF54" s="34">
        <f>IFERROR(up_RadSpec!$J$9*(BF9*$B54),".")</f>
        <v>37812.492437499997</v>
      </c>
      <c r="BG54" s="34">
        <f>IFERROR(up_RadSpec!$J$9*(BG9*$B54),".")</f>
        <v>37812.492437499997</v>
      </c>
      <c r="BH54" s="34">
        <f>IFERROR(up_RadSpec!$J$9*(BH9*$B54),".")</f>
        <v>37812.492437499997</v>
      </c>
      <c r="BI54" s="34">
        <f>IFERROR(up_RadSpec!$J$9*(BI9*$B54),".")</f>
        <v>37812.492437499997</v>
      </c>
      <c r="BJ54" s="34">
        <f>IFERROR(up_RadSpec!$J$9*(BJ9*$B54),".")</f>
        <v>37812.492437499997</v>
      </c>
      <c r="BK54" s="34">
        <f>IFERROR(up_RadSpec!$J$9*(BK9*$B54),".")</f>
        <v>37812.492437499997</v>
      </c>
      <c r="BL54" s="34">
        <f>IFERROR(up_RadSpec!$J$9*(BL9*$B54),".")</f>
        <v>37812.492437499997</v>
      </c>
      <c r="BM54" s="34">
        <f>IFERROR(up_RadSpec!$J$9*(BM9*$B54),".")</f>
        <v>37812.492437499997</v>
      </c>
      <c r="BN54" s="34">
        <f>IFERROR(up_RadSpec!$J$9*(BN9*$B54),".")</f>
        <v>37812.492437499997</v>
      </c>
      <c r="BO54" s="34">
        <f>IFERROR(up_RadSpec!$J$9*(BO9*$B54),".")</f>
        <v>37812.492437499997</v>
      </c>
      <c r="BP54" s="34">
        <f>IFERROR(up_RadSpec!$J$9*(BP9*$B54),".")</f>
        <v>37812.492437499997</v>
      </c>
      <c r="BQ54" s="34">
        <f>IFERROR(up_RadSpec!$J$9*(BQ9*$B54),".")</f>
        <v>37812.492437499997</v>
      </c>
      <c r="BR54" s="34">
        <f>IFERROR(up_RadSpec!$J$9*(BR9*$B54),".")</f>
        <v>37812.492437499997</v>
      </c>
      <c r="BS54" s="34">
        <f>IFERROR(up_RadSpec!$J$9*(BS9*$B54),".")</f>
        <v>37812.492437499997</v>
      </c>
      <c r="BT54" s="34">
        <f>IFERROR(up_RadSpec!$J$9*(BT9*$B54),".")</f>
        <v>37812.492437499997</v>
      </c>
      <c r="BU54" s="34">
        <f>IFERROR(up_RadSpec!$J$9*(BU9*$B54),".")</f>
        <v>37812.492437499997</v>
      </c>
      <c r="BV54" s="34">
        <f>IFERROR(up_RadSpec!$J$9*(BV9*$B54),".")</f>
        <v>37812.492437499997</v>
      </c>
      <c r="BW54" s="34">
        <f>IFERROR(up_RadSpec!$J$9*(BW9*$B54),".")</f>
        <v>37812.492437499997</v>
      </c>
      <c r="BX54" s="34">
        <f>IFERROR(up_RadSpec!$J$9*(BX9*$B54),".")</f>
        <v>37812.492437499997</v>
      </c>
      <c r="BY54" s="34">
        <f>IFERROR(up_RadSpec!$J$9*(BY9*$B54),".")</f>
        <v>37812.492437499997</v>
      </c>
    </row>
    <row r="55" spans="1:77" x14ac:dyDescent="0.25">
      <c r="A55" s="66" t="s">
        <v>1078</v>
      </c>
      <c r="B55" s="49">
        <v>1.9999999999999999E-7</v>
      </c>
      <c r="C55" s="67">
        <f t="shared" si="24"/>
        <v>1101.9283746556475</v>
      </c>
      <c r="D55" s="42">
        <f t="shared" ref="D55:AA55" si="77">IFERROR(D24/$B55,0)</f>
        <v>3305.7851239669426</v>
      </c>
      <c r="E55" s="42">
        <f t="shared" si="77"/>
        <v>3305.7851239669426</v>
      </c>
      <c r="F55" s="42">
        <f t="shared" si="77"/>
        <v>3305.7851239669426</v>
      </c>
      <c r="G55" s="42">
        <f t="shared" si="77"/>
        <v>3305.7851239669426</v>
      </c>
      <c r="H55" s="42">
        <f t="shared" si="77"/>
        <v>3305.7851239669426</v>
      </c>
      <c r="I55" s="42">
        <f t="shared" si="77"/>
        <v>3305.7851239669426</v>
      </c>
      <c r="J55" s="42">
        <f t="shared" si="77"/>
        <v>3305.7851239669426</v>
      </c>
      <c r="K55" s="42">
        <f t="shared" si="77"/>
        <v>3305.7851239669426</v>
      </c>
      <c r="L55" s="42">
        <f t="shared" si="77"/>
        <v>3305.7851239669426</v>
      </c>
      <c r="M55" s="42">
        <f t="shared" si="77"/>
        <v>3305.7851239669426</v>
      </c>
      <c r="N55" s="42">
        <f t="shared" si="77"/>
        <v>3305.7851239669426</v>
      </c>
      <c r="O55" s="42">
        <f t="shared" si="77"/>
        <v>3305.7851239669426</v>
      </c>
      <c r="P55" s="42">
        <f t="shared" si="77"/>
        <v>3305.7851239669426</v>
      </c>
      <c r="Q55" s="42">
        <f t="shared" si="77"/>
        <v>3305.7851239669426</v>
      </c>
      <c r="R55" s="42">
        <f t="shared" si="77"/>
        <v>3305.7851239669426</v>
      </c>
      <c r="S55" s="42">
        <f t="shared" si="77"/>
        <v>3305.7851239669426</v>
      </c>
      <c r="T55" s="42">
        <f t="shared" si="77"/>
        <v>3305.7851239669426</v>
      </c>
      <c r="U55" s="42">
        <f t="shared" si="77"/>
        <v>3305.7851239669426</v>
      </c>
      <c r="V55" s="42">
        <f t="shared" si="77"/>
        <v>3305.7851239669426</v>
      </c>
      <c r="W55" s="42">
        <f t="shared" si="77"/>
        <v>3305.7851239669426</v>
      </c>
      <c r="X55" s="42">
        <f t="shared" si="77"/>
        <v>3305.7851239669426</v>
      </c>
      <c r="Y55" s="42">
        <f t="shared" si="77"/>
        <v>3305.7851239669426</v>
      </c>
      <c r="Z55" s="42">
        <f t="shared" si="77"/>
        <v>3305.7851239669426</v>
      </c>
      <c r="AA55" s="42">
        <f t="shared" si="77"/>
        <v>3305.7851239669426</v>
      </c>
      <c r="AB55" s="67">
        <f t="shared" si="25"/>
        <v>1101.9283746556475</v>
      </c>
      <c r="AC55" s="42">
        <f t="shared" ref="AC55:AZ55" si="78">IFERROR(AC24/$B55,0)</f>
        <v>3305.7851239669426</v>
      </c>
      <c r="AD55" s="42">
        <f t="shared" si="78"/>
        <v>3305.7851239669426</v>
      </c>
      <c r="AE55" s="42">
        <f t="shared" si="78"/>
        <v>3305.7851239669426</v>
      </c>
      <c r="AF55" s="42">
        <f t="shared" si="78"/>
        <v>3305.7851239669426</v>
      </c>
      <c r="AG55" s="42">
        <f t="shared" si="78"/>
        <v>3305.7851239669426</v>
      </c>
      <c r="AH55" s="42">
        <f t="shared" si="78"/>
        <v>3305.7851239669426</v>
      </c>
      <c r="AI55" s="42">
        <f t="shared" si="78"/>
        <v>3305.7851239669426</v>
      </c>
      <c r="AJ55" s="42">
        <f t="shared" si="78"/>
        <v>3305.7851239669426</v>
      </c>
      <c r="AK55" s="42">
        <f t="shared" si="78"/>
        <v>3305.7851239669426</v>
      </c>
      <c r="AL55" s="42">
        <f t="shared" si="78"/>
        <v>3305.7851239669426</v>
      </c>
      <c r="AM55" s="42">
        <f t="shared" si="78"/>
        <v>3305.7851239669426</v>
      </c>
      <c r="AN55" s="42">
        <f t="shared" si="78"/>
        <v>3305.7851239669426</v>
      </c>
      <c r="AO55" s="42">
        <f t="shared" si="78"/>
        <v>3305.7851239669426</v>
      </c>
      <c r="AP55" s="42">
        <f t="shared" si="78"/>
        <v>3305.7851239669426</v>
      </c>
      <c r="AQ55" s="42">
        <f t="shared" si="78"/>
        <v>3305.7851239669426</v>
      </c>
      <c r="AR55" s="42">
        <f t="shared" si="78"/>
        <v>3305.7851239669426</v>
      </c>
      <c r="AS55" s="42">
        <f t="shared" si="78"/>
        <v>3305.7851239669426</v>
      </c>
      <c r="AT55" s="42">
        <f t="shared" si="78"/>
        <v>3305.7851239669426</v>
      </c>
      <c r="AU55" s="42">
        <f t="shared" si="78"/>
        <v>3305.7851239669426</v>
      </c>
      <c r="AV55" s="42">
        <f t="shared" si="78"/>
        <v>3305.7851239669426</v>
      </c>
      <c r="AW55" s="42">
        <f t="shared" si="78"/>
        <v>3305.7851239669426</v>
      </c>
      <c r="AX55" s="42">
        <f t="shared" si="78"/>
        <v>3305.7851239669426</v>
      </c>
      <c r="AY55" s="42">
        <f t="shared" si="78"/>
        <v>3305.7851239669426</v>
      </c>
      <c r="AZ55" s="42">
        <f t="shared" si="78"/>
        <v>3305.7851239669426</v>
      </c>
      <c r="BA55" s="34">
        <f t="shared" si="27"/>
        <v>2.2687499999999999E-2</v>
      </c>
      <c r="BB55" s="34">
        <f>IFERROR(up_RadSpec!$J$24*(BB24*$B55),".")</f>
        <v>7.5624999999999998E-3</v>
      </c>
      <c r="BC55" s="34">
        <f>IFERROR(up_RadSpec!$J$24*(BC24*$B55),".")</f>
        <v>7.5624999999999998E-3</v>
      </c>
      <c r="BD55" s="34">
        <f>IFERROR(up_RadSpec!$J$24*(BD24*$B55),".")</f>
        <v>7.5624999999999998E-3</v>
      </c>
      <c r="BE55" s="34">
        <f>IFERROR(up_RadSpec!$J$24*(BE24*$B55),".")</f>
        <v>7.5624999999999998E-3</v>
      </c>
      <c r="BF55" s="34">
        <f>IFERROR(up_RadSpec!$J$24*(BF24*$B55),".")</f>
        <v>7.5624999999999998E-3</v>
      </c>
      <c r="BG55" s="34">
        <f>IFERROR(up_RadSpec!$J$24*(BG24*$B55),".")</f>
        <v>7.5624999999999998E-3</v>
      </c>
      <c r="BH55" s="34">
        <f>IFERROR(up_RadSpec!$J$24*(BH24*$B55),".")</f>
        <v>7.5624999999999998E-3</v>
      </c>
      <c r="BI55" s="34">
        <f>IFERROR(up_RadSpec!$J$24*(BI24*$B55),".")</f>
        <v>7.5624999999999998E-3</v>
      </c>
      <c r="BJ55" s="34">
        <f>IFERROR(up_RadSpec!$J$24*(BJ24*$B55),".")</f>
        <v>7.5624999999999998E-3</v>
      </c>
      <c r="BK55" s="34">
        <f>IFERROR(up_RadSpec!$J$24*(BK24*$B55),".")</f>
        <v>7.5624999999999998E-3</v>
      </c>
      <c r="BL55" s="34">
        <f>IFERROR(up_RadSpec!$J$24*(BL24*$B55),".")</f>
        <v>7.5624999999999998E-3</v>
      </c>
      <c r="BM55" s="34">
        <f>IFERROR(up_RadSpec!$J$24*(BM24*$B55),".")</f>
        <v>7.5624999999999998E-3</v>
      </c>
      <c r="BN55" s="34">
        <f>IFERROR(up_RadSpec!$J$24*(BN24*$B55),".")</f>
        <v>7.5624999999999998E-3</v>
      </c>
      <c r="BO55" s="34">
        <f>IFERROR(up_RadSpec!$J$24*(BO24*$B55),".")</f>
        <v>7.5624999999999998E-3</v>
      </c>
      <c r="BP55" s="34">
        <f>IFERROR(up_RadSpec!$J$24*(BP24*$B55),".")</f>
        <v>7.5624999999999998E-3</v>
      </c>
      <c r="BQ55" s="34">
        <f>IFERROR(up_RadSpec!$J$24*(BQ24*$B55),".")</f>
        <v>7.5624999999999998E-3</v>
      </c>
      <c r="BR55" s="34">
        <f>IFERROR(up_RadSpec!$J$24*(BR24*$B55),".")</f>
        <v>7.5624999999999998E-3</v>
      </c>
      <c r="BS55" s="34">
        <f>IFERROR(up_RadSpec!$J$24*(BS24*$B55),".")</f>
        <v>7.5624999999999998E-3</v>
      </c>
      <c r="BT55" s="34">
        <f>IFERROR(up_RadSpec!$J$24*(BT24*$B55),".")</f>
        <v>7.5624999999999998E-3</v>
      </c>
      <c r="BU55" s="34">
        <f>IFERROR(up_RadSpec!$J$24*(BU24*$B55),".")</f>
        <v>7.5624999999999998E-3</v>
      </c>
      <c r="BV55" s="34">
        <f>IFERROR(up_RadSpec!$J$24*(BV24*$B55),".")</f>
        <v>7.5624999999999998E-3</v>
      </c>
      <c r="BW55" s="34">
        <f>IFERROR(up_RadSpec!$J$24*(BW24*$B55),".")</f>
        <v>7.5624999999999998E-3</v>
      </c>
      <c r="BX55" s="34">
        <f>IFERROR(up_RadSpec!$J$24*(BX24*$B55),".")</f>
        <v>7.5624999999999998E-3</v>
      </c>
      <c r="BY55" s="34">
        <f>IFERROR(up_RadSpec!$J$24*(BY24*$B55),".")</f>
        <v>7.5624999999999998E-3</v>
      </c>
    </row>
    <row r="56" spans="1:77" x14ac:dyDescent="0.25">
      <c r="A56" s="66" t="s">
        <v>1079</v>
      </c>
      <c r="B56" s="49">
        <v>0.99979000004200003</v>
      </c>
      <c r="C56" s="67">
        <f t="shared" si="24"/>
        <v>2.2043196563465464E-4</v>
      </c>
      <c r="D56" s="42">
        <f t="shared" ref="D56:AA56" si="79">IFERROR(D20/$B56,0)</f>
        <v>6.6129589690396386E-4</v>
      </c>
      <c r="E56" s="42">
        <f t="shared" si="79"/>
        <v>6.6129589690396386E-4</v>
      </c>
      <c r="F56" s="42">
        <f t="shared" si="79"/>
        <v>6.6129589690396386E-4</v>
      </c>
      <c r="G56" s="42">
        <f t="shared" si="79"/>
        <v>6.6129589690396386E-4</v>
      </c>
      <c r="H56" s="42">
        <f t="shared" si="79"/>
        <v>6.6129589690396386E-4</v>
      </c>
      <c r="I56" s="42">
        <f t="shared" si="79"/>
        <v>6.6129589690396386E-4</v>
      </c>
      <c r="J56" s="42">
        <f t="shared" si="79"/>
        <v>6.6129589690396386E-4</v>
      </c>
      <c r="K56" s="42">
        <f t="shared" si="79"/>
        <v>6.6129589690396386E-4</v>
      </c>
      <c r="L56" s="42">
        <f t="shared" si="79"/>
        <v>6.6129589690396386E-4</v>
      </c>
      <c r="M56" s="42">
        <f t="shared" si="79"/>
        <v>6.6129589690396386E-4</v>
      </c>
      <c r="N56" s="42">
        <f t="shared" si="79"/>
        <v>6.6129589690396386E-4</v>
      </c>
      <c r="O56" s="42">
        <f t="shared" si="79"/>
        <v>6.6129589690396386E-4</v>
      </c>
      <c r="P56" s="42">
        <f t="shared" si="79"/>
        <v>6.6129589690396386E-4</v>
      </c>
      <c r="Q56" s="42">
        <f t="shared" si="79"/>
        <v>6.6129589690396386E-4</v>
      </c>
      <c r="R56" s="42">
        <f t="shared" si="79"/>
        <v>6.6129589690396386E-4</v>
      </c>
      <c r="S56" s="42">
        <f t="shared" si="79"/>
        <v>6.6129589690396386E-4</v>
      </c>
      <c r="T56" s="42">
        <f t="shared" si="79"/>
        <v>6.6129589690396386E-4</v>
      </c>
      <c r="U56" s="42">
        <f t="shared" si="79"/>
        <v>6.6129589690396386E-4</v>
      </c>
      <c r="V56" s="42">
        <f t="shared" si="79"/>
        <v>6.6129589690396386E-4</v>
      </c>
      <c r="W56" s="42">
        <f t="shared" si="79"/>
        <v>6.6129589690396386E-4</v>
      </c>
      <c r="X56" s="42">
        <f t="shared" si="79"/>
        <v>6.6129589690396386E-4</v>
      </c>
      <c r="Y56" s="42">
        <f t="shared" si="79"/>
        <v>6.6129589690396386E-4</v>
      </c>
      <c r="Z56" s="42">
        <f t="shared" si="79"/>
        <v>6.6129589690396386E-4</v>
      </c>
      <c r="AA56" s="42">
        <f t="shared" si="79"/>
        <v>6.6129589690396386E-4</v>
      </c>
      <c r="AB56" s="67">
        <f t="shared" si="25"/>
        <v>2.2043196563465464E-4</v>
      </c>
      <c r="AC56" s="42">
        <f t="shared" ref="AC56:AZ56" si="80">IFERROR(AC20/$B56,0)</f>
        <v>6.6129589690396386E-4</v>
      </c>
      <c r="AD56" s="42">
        <f t="shared" si="80"/>
        <v>6.6129589690396386E-4</v>
      </c>
      <c r="AE56" s="42">
        <f t="shared" si="80"/>
        <v>6.6129589690396386E-4</v>
      </c>
      <c r="AF56" s="42">
        <f t="shared" si="80"/>
        <v>6.6129589690396386E-4</v>
      </c>
      <c r="AG56" s="42">
        <f t="shared" si="80"/>
        <v>6.6129589690396386E-4</v>
      </c>
      <c r="AH56" s="42">
        <f t="shared" si="80"/>
        <v>6.6129589690396386E-4</v>
      </c>
      <c r="AI56" s="42">
        <f t="shared" si="80"/>
        <v>6.6129589690396386E-4</v>
      </c>
      <c r="AJ56" s="42">
        <f t="shared" si="80"/>
        <v>6.6129589690396386E-4</v>
      </c>
      <c r="AK56" s="42">
        <f t="shared" si="80"/>
        <v>6.6129589690396386E-4</v>
      </c>
      <c r="AL56" s="42">
        <f t="shared" si="80"/>
        <v>6.6129589690396386E-4</v>
      </c>
      <c r="AM56" s="42">
        <f t="shared" si="80"/>
        <v>6.6129589690396386E-4</v>
      </c>
      <c r="AN56" s="42">
        <f t="shared" si="80"/>
        <v>6.6129589690396386E-4</v>
      </c>
      <c r="AO56" s="42">
        <f t="shared" si="80"/>
        <v>6.6129589690396386E-4</v>
      </c>
      <c r="AP56" s="42">
        <f t="shared" si="80"/>
        <v>6.6129589690396386E-4</v>
      </c>
      <c r="AQ56" s="42">
        <f t="shared" si="80"/>
        <v>6.6129589690396386E-4</v>
      </c>
      <c r="AR56" s="42">
        <f t="shared" si="80"/>
        <v>6.6129589690396386E-4</v>
      </c>
      <c r="AS56" s="42">
        <f t="shared" si="80"/>
        <v>6.6129589690396386E-4</v>
      </c>
      <c r="AT56" s="42">
        <f t="shared" si="80"/>
        <v>6.6129589690396386E-4</v>
      </c>
      <c r="AU56" s="42">
        <f t="shared" si="80"/>
        <v>6.6129589690396386E-4</v>
      </c>
      <c r="AV56" s="42">
        <f t="shared" si="80"/>
        <v>6.6129589690396386E-4</v>
      </c>
      <c r="AW56" s="42">
        <f t="shared" si="80"/>
        <v>6.6129589690396386E-4</v>
      </c>
      <c r="AX56" s="42">
        <f t="shared" si="80"/>
        <v>6.6129589690396386E-4</v>
      </c>
      <c r="AY56" s="42">
        <f t="shared" si="80"/>
        <v>6.6129589690396386E-4</v>
      </c>
      <c r="AZ56" s="42">
        <f t="shared" si="80"/>
        <v>6.6129589690396386E-4</v>
      </c>
      <c r="BA56" s="34">
        <f t="shared" si="27"/>
        <v>113413.67812976439</v>
      </c>
      <c r="BB56" s="34">
        <f>IFERROR(up_RadSpec!$J$20*(BB20*$B56),".")</f>
        <v>37804.559376588128</v>
      </c>
      <c r="BC56" s="34">
        <f>IFERROR(up_RadSpec!$J$20*(BC20*$B56),".")</f>
        <v>37804.559376588128</v>
      </c>
      <c r="BD56" s="34">
        <f>IFERROR(up_RadSpec!$J$20*(BD20*$B56),".")</f>
        <v>37804.559376588128</v>
      </c>
      <c r="BE56" s="34">
        <f>IFERROR(up_RadSpec!$J$20*(BE20*$B56),".")</f>
        <v>37804.559376588128</v>
      </c>
      <c r="BF56" s="34">
        <f>IFERROR(up_RadSpec!$J$20*(BF20*$B56),".")</f>
        <v>37804.559376588128</v>
      </c>
      <c r="BG56" s="34">
        <f>IFERROR(up_RadSpec!$J$20*(BG20*$B56),".")</f>
        <v>37804.559376588128</v>
      </c>
      <c r="BH56" s="34">
        <f>IFERROR(up_RadSpec!$J$20*(BH20*$B56),".")</f>
        <v>37804.559376588128</v>
      </c>
      <c r="BI56" s="34">
        <f>IFERROR(up_RadSpec!$J$20*(BI20*$B56),".")</f>
        <v>37804.559376588128</v>
      </c>
      <c r="BJ56" s="34">
        <f>IFERROR(up_RadSpec!$J$20*(BJ20*$B56),".")</f>
        <v>37804.559376588128</v>
      </c>
      <c r="BK56" s="34">
        <f>IFERROR(up_RadSpec!$J$20*(BK20*$B56),".")</f>
        <v>37804.559376588128</v>
      </c>
      <c r="BL56" s="34">
        <f>IFERROR(up_RadSpec!$J$20*(BL20*$B56),".")</f>
        <v>37804.559376588128</v>
      </c>
      <c r="BM56" s="34">
        <f>IFERROR(up_RadSpec!$J$20*(BM20*$B56),".")</f>
        <v>37804.559376588128</v>
      </c>
      <c r="BN56" s="34">
        <f>IFERROR(up_RadSpec!$J$20*(BN20*$B56),".")</f>
        <v>37804.559376588128</v>
      </c>
      <c r="BO56" s="34">
        <f>IFERROR(up_RadSpec!$J$20*(BO20*$B56),".")</f>
        <v>37804.559376588128</v>
      </c>
      <c r="BP56" s="34">
        <f>IFERROR(up_RadSpec!$J$20*(BP20*$B56),".")</f>
        <v>37804.559376588128</v>
      </c>
      <c r="BQ56" s="34">
        <f>IFERROR(up_RadSpec!$J$20*(BQ20*$B56),".")</f>
        <v>37804.559376588128</v>
      </c>
      <c r="BR56" s="34">
        <f>IFERROR(up_RadSpec!$J$20*(BR20*$B56),".")</f>
        <v>37804.559376588128</v>
      </c>
      <c r="BS56" s="34">
        <f>IFERROR(up_RadSpec!$J$20*(BS20*$B56),".")</f>
        <v>37804.559376588128</v>
      </c>
      <c r="BT56" s="34">
        <f>IFERROR(up_RadSpec!$J$20*(BT20*$B56),".")</f>
        <v>37804.559376588128</v>
      </c>
      <c r="BU56" s="34">
        <f>IFERROR(up_RadSpec!$J$20*(BU20*$B56),".")</f>
        <v>37804.559376588128</v>
      </c>
      <c r="BV56" s="34">
        <f>IFERROR(up_RadSpec!$J$20*(BV20*$B56),".")</f>
        <v>37804.559376588128</v>
      </c>
      <c r="BW56" s="34">
        <f>IFERROR(up_RadSpec!$J$20*(BW20*$B56),".")</f>
        <v>37804.559376588128</v>
      </c>
      <c r="BX56" s="34">
        <f>IFERROR(up_RadSpec!$J$20*(BX20*$B56),".")</f>
        <v>37804.559376588128</v>
      </c>
      <c r="BY56" s="34">
        <f>IFERROR(up_RadSpec!$J$20*(BY20*$B56),".")</f>
        <v>37804.559376588128</v>
      </c>
    </row>
    <row r="57" spans="1:77" x14ac:dyDescent="0.25">
      <c r="A57" s="66" t="s">
        <v>1080</v>
      </c>
      <c r="B57" s="49">
        <v>2.0999995799999999E-4</v>
      </c>
      <c r="C57" s="67">
        <f t="shared" si="24"/>
        <v>1.0494558048013014</v>
      </c>
      <c r="D57" s="42">
        <f t="shared" ref="D57:AA57" si="81">IFERROR(D29/$B57,0)</f>
        <v>3.1483674144039044</v>
      </c>
      <c r="E57" s="42">
        <f t="shared" si="81"/>
        <v>3.1483674144039044</v>
      </c>
      <c r="F57" s="42">
        <f t="shared" si="81"/>
        <v>3.1483674144039044</v>
      </c>
      <c r="G57" s="42">
        <f t="shared" si="81"/>
        <v>3.1483674144039044</v>
      </c>
      <c r="H57" s="42">
        <f t="shared" si="81"/>
        <v>3.1483674144039044</v>
      </c>
      <c r="I57" s="42">
        <f t="shared" si="81"/>
        <v>3.1483674144039044</v>
      </c>
      <c r="J57" s="42">
        <f t="shared" si="81"/>
        <v>3.1483674144039044</v>
      </c>
      <c r="K57" s="42">
        <f t="shared" si="81"/>
        <v>3.1483674144039044</v>
      </c>
      <c r="L57" s="42">
        <f t="shared" si="81"/>
        <v>3.1483674144039044</v>
      </c>
      <c r="M57" s="42">
        <f t="shared" si="81"/>
        <v>3.1483674144039044</v>
      </c>
      <c r="N57" s="42">
        <f t="shared" si="81"/>
        <v>3.1483674144039044</v>
      </c>
      <c r="O57" s="42">
        <f t="shared" si="81"/>
        <v>3.1483674144039044</v>
      </c>
      <c r="P57" s="42">
        <f t="shared" si="81"/>
        <v>3.1483674144039044</v>
      </c>
      <c r="Q57" s="42">
        <f t="shared" si="81"/>
        <v>3.1483674144039044</v>
      </c>
      <c r="R57" s="42">
        <f t="shared" si="81"/>
        <v>3.1483674144039044</v>
      </c>
      <c r="S57" s="42">
        <f t="shared" si="81"/>
        <v>3.1483674144039044</v>
      </c>
      <c r="T57" s="42">
        <f t="shared" si="81"/>
        <v>3.1483674144039044</v>
      </c>
      <c r="U57" s="42">
        <f t="shared" si="81"/>
        <v>3.1483674144039044</v>
      </c>
      <c r="V57" s="42">
        <f t="shared" si="81"/>
        <v>3.1483674144039044</v>
      </c>
      <c r="W57" s="42">
        <f t="shared" si="81"/>
        <v>3.1483674144039044</v>
      </c>
      <c r="X57" s="42">
        <f t="shared" si="81"/>
        <v>3.1483674144039044</v>
      </c>
      <c r="Y57" s="42">
        <f t="shared" si="81"/>
        <v>3.1483674144039044</v>
      </c>
      <c r="Z57" s="42">
        <f t="shared" si="81"/>
        <v>3.1483674144039044</v>
      </c>
      <c r="AA57" s="42">
        <f t="shared" si="81"/>
        <v>3.1483674144039044</v>
      </c>
      <c r="AB57" s="67">
        <f t="shared" si="25"/>
        <v>1.0494558048013014</v>
      </c>
      <c r="AC57" s="42">
        <f t="shared" ref="AC57:AZ57" si="82">IFERROR(AC29/$B57,0)</f>
        <v>3.1483674144039044</v>
      </c>
      <c r="AD57" s="42">
        <f t="shared" si="82"/>
        <v>3.1483674144039044</v>
      </c>
      <c r="AE57" s="42">
        <f t="shared" si="82"/>
        <v>3.1483674144039044</v>
      </c>
      <c r="AF57" s="42">
        <f t="shared" si="82"/>
        <v>3.1483674144039044</v>
      </c>
      <c r="AG57" s="42">
        <f t="shared" si="82"/>
        <v>3.1483674144039044</v>
      </c>
      <c r="AH57" s="42">
        <f t="shared" si="82"/>
        <v>3.1483674144039044</v>
      </c>
      <c r="AI57" s="42">
        <f t="shared" si="82"/>
        <v>3.1483674144039044</v>
      </c>
      <c r="AJ57" s="42">
        <f t="shared" si="82"/>
        <v>3.1483674144039044</v>
      </c>
      <c r="AK57" s="42">
        <f t="shared" si="82"/>
        <v>3.1483674144039044</v>
      </c>
      <c r="AL57" s="42">
        <f t="shared" si="82"/>
        <v>3.1483674144039044</v>
      </c>
      <c r="AM57" s="42">
        <f t="shared" si="82"/>
        <v>3.1483674144039044</v>
      </c>
      <c r="AN57" s="42">
        <f t="shared" si="82"/>
        <v>3.1483674144039044</v>
      </c>
      <c r="AO57" s="42">
        <f t="shared" si="82"/>
        <v>3.1483674144039044</v>
      </c>
      <c r="AP57" s="42">
        <f t="shared" si="82"/>
        <v>3.1483674144039044</v>
      </c>
      <c r="AQ57" s="42">
        <f t="shared" si="82"/>
        <v>3.1483674144039044</v>
      </c>
      <c r="AR57" s="42">
        <f t="shared" si="82"/>
        <v>3.1483674144039044</v>
      </c>
      <c r="AS57" s="42">
        <f t="shared" si="82"/>
        <v>3.1483674144039044</v>
      </c>
      <c r="AT57" s="42">
        <f t="shared" si="82"/>
        <v>3.1483674144039044</v>
      </c>
      <c r="AU57" s="42">
        <f t="shared" si="82"/>
        <v>3.1483674144039044</v>
      </c>
      <c r="AV57" s="42">
        <f t="shared" si="82"/>
        <v>3.1483674144039044</v>
      </c>
      <c r="AW57" s="42">
        <f t="shared" si="82"/>
        <v>3.1483674144039044</v>
      </c>
      <c r="AX57" s="42">
        <f t="shared" si="82"/>
        <v>3.1483674144039044</v>
      </c>
      <c r="AY57" s="42">
        <f t="shared" si="82"/>
        <v>3.1483674144039044</v>
      </c>
      <c r="AZ57" s="42">
        <f t="shared" si="82"/>
        <v>3.1483674144039044</v>
      </c>
      <c r="BA57" s="34">
        <f t="shared" si="27"/>
        <v>23.821870235624999</v>
      </c>
      <c r="BB57" s="34">
        <f>IFERROR(up_RadSpec!$J$29*(BB29*$B57),".")</f>
        <v>7.9406234118749994</v>
      </c>
      <c r="BC57" s="34">
        <f>IFERROR(up_RadSpec!$J$29*(BC29*$B57),".")</f>
        <v>7.9406234118749994</v>
      </c>
      <c r="BD57" s="34">
        <f>IFERROR(up_RadSpec!$J$29*(BD29*$B57),".")</f>
        <v>7.9406234118749994</v>
      </c>
      <c r="BE57" s="34">
        <f>IFERROR(up_RadSpec!$J$29*(BE29*$B57),".")</f>
        <v>7.9406234118749994</v>
      </c>
      <c r="BF57" s="34">
        <f>IFERROR(up_RadSpec!$J$29*(BF29*$B57),".")</f>
        <v>7.9406234118749994</v>
      </c>
      <c r="BG57" s="34">
        <f>IFERROR(up_RadSpec!$J$29*(BG29*$B57),".")</f>
        <v>7.9406234118749994</v>
      </c>
      <c r="BH57" s="34">
        <f>IFERROR(up_RadSpec!$J$29*(BH29*$B57),".")</f>
        <v>7.9406234118749994</v>
      </c>
      <c r="BI57" s="34">
        <f>IFERROR(up_RadSpec!$J$29*(BI29*$B57),".")</f>
        <v>7.9406234118749994</v>
      </c>
      <c r="BJ57" s="34">
        <f>IFERROR(up_RadSpec!$J$29*(BJ29*$B57),".")</f>
        <v>7.9406234118749994</v>
      </c>
      <c r="BK57" s="34">
        <f>IFERROR(up_RadSpec!$J$29*(BK29*$B57),".")</f>
        <v>7.9406234118749994</v>
      </c>
      <c r="BL57" s="34">
        <f>IFERROR(up_RadSpec!$J$29*(BL29*$B57),".")</f>
        <v>7.9406234118749994</v>
      </c>
      <c r="BM57" s="34">
        <f>IFERROR(up_RadSpec!$J$29*(BM29*$B57),".")</f>
        <v>7.9406234118749994</v>
      </c>
      <c r="BN57" s="34">
        <f>IFERROR(up_RadSpec!$J$29*(BN29*$B57),".")</f>
        <v>7.9406234118749994</v>
      </c>
      <c r="BO57" s="34">
        <f>IFERROR(up_RadSpec!$J$29*(BO29*$B57),".")</f>
        <v>7.9406234118749994</v>
      </c>
      <c r="BP57" s="34">
        <f>IFERROR(up_RadSpec!$J$29*(BP29*$B57),".")</f>
        <v>7.9406234118749994</v>
      </c>
      <c r="BQ57" s="34">
        <f>IFERROR(up_RadSpec!$J$29*(BQ29*$B57),".")</f>
        <v>7.9406234118749994</v>
      </c>
      <c r="BR57" s="34">
        <f>IFERROR(up_RadSpec!$J$29*(BR29*$B57),".")</f>
        <v>7.9406234118749994</v>
      </c>
      <c r="BS57" s="34">
        <f>IFERROR(up_RadSpec!$J$29*(BS29*$B57),".")</f>
        <v>7.9406234118749994</v>
      </c>
      <c r="BT57" s="34">
        <f>IFERROR(up_RadSpec!$J$29*(BT29*$B57),".")</f>
        <v>7.9406234118749994</v>
      </c>
      <c r="BU57" s="34">
        <f>IFERROR(up_RadSpec!$J$29*(BU29*$B57),".")</f>
        <v>7.9406234118749994</v>
      </c>
      <c r="BV57" s="34">
        <f>IFERROR(up_RadSpec!$J$29*(BV29*$B57),".")</f>
        <v>7.9406234118749994</v>
      </c>
      <c r="BW57" s="34">
        <f>IFERROR(up_RadSpec!$J$29*(BW29*$B57),".")</f>
        <v>7.9406234118749994</v>
      </c>
      <c r="BX57" s="34">
        <f>IFERROR(up_RadSpec!$J$29*(BX29*$B57),".")</f>
        <v>7.9406234118749994</v>
      </c>
      <c r="BY57" s="34">
        <f>IFERROR(up_RadSpec!$J$29*(BY29*$B57),".")</f>
        <v>7.9406234118749994</v>
      </c>
    </row>
    <row r="58" spans="1:77" x14ac:dyDescent="0.25">
      <c r="A58" s="66" t="s">
        <v>1081</v>
      </c>
      <c r="B58" s="49">
        <v>1</v>
      </c>
      <c r="C58" s="67">
        <f t="shared" si="24"/>
        <v>2.2038567493112948E-4</v>
      </c>
      <c r="D58" s="42">
        <f t="shared" ref="D58:AA58" si="83">IFERROR(D16/$B58,0)</f>
        <v>6.6115702479338848E-4</v>
      </c>
      <c r="E58" s="42">
        <f t="shared" si="83"/>
        <v>6.6115702479338848E-4</v>
      </c>
      <c r="F58" s="42">
        <f t="shared" si="83"/>
        <v>6.6115702479338848E-4</v>
      </c>
      <c r="G58" s="42">
        <f t="shared" si="83"/>
        <v>6.6115702479338848E-4</v>
      </c>
      <c r="H58" s="42">
        <f t="shared" si="83"/>
        <v>6.6115702479338848E-4</v>
      </c>
      <c r="I58" s="42">
        <f t="shared" si="83"/>
        <v>6.6115702479338848E-4</v>
      </c>
      <c r="J58" s="42">
        <f t="shared" si="83"/>
        <v>6.6115702479338848E-4</v>
      </c>
      <c r="K58" s="42">
        <f t="shared" si="83"/>
        <v>6.6115702479338848E-4</v>
      </c>
      <c r="L58" s="42">
        <f t="shared" si="83"/>
        <v>6.6115702479338848E-4</v>
      </c>
      <c r="M58" s="42">
        <f t="shared" si="83"/>
        <v>6.6115702479338848E-4</v>
      </c>
      <c r="N58" s="42">
        <f t="shared" si="83"/>
        <v>6.6115702479338848E-4</v>
      </c>
      <c r="O58" s="42">
        <f t="shared" si="83"/>
        <v>6.6115702479338848E-4</v>
      </c>
      <c r="P58" s="42">
        <f t="shared" si="83"/>
        <v>6.6115702479338848E-4</v>
      </c>
      <c r="Q58" s="42">
        <f t="shared" si="83"/>
        <v>6.6115702479338848E-4</v>
      </c>
      <c r="R58" s="42">
        <f t="shared" si="83"/>
        <v>6.6115702479338848E-4</v>
      </c>
      <c r="S58" s="42">
        <f t="shared" si="83"/>
        <v>6.6115702479338848E-4</v>
      </c>
      <c r="T58" s="42">
        <f t="shared" si="83"/>
        <v>6.6115702479338848E-4</v>
      </c>
      <c r="U58" s="42">
        <f t="shared" si="83"/>
        <v>6.6115702479338848E-4</v>
      </c>
      <c r="V58" s="42">
        <f t="shared" si="83"/>
        <v>6.6115702479338848E-4</v>
      </c>
      <c r="W58" s="42">
        <f t="shared" si="83"/>
        <v>6.6115702479338848E-4</v>
      </c>
      <c r="X58" s="42">
        <f t="shared" si="83"/>
        <v>6.6115702479338848E-4</v>
      </c>
      <c r="Y58" s="42">
        <f t="shared" si="83"/>
        <v>6.6115702479338848E-4</v>
      </c>
      <c r="Z58" s="42">
        <f t="shared" si="83"/>
        <v>6.6115702479338848E-4</v>
      </c>
      <c r="AA58" s="42">
        <f t="shared" si="83"/>
        <v>6.6115702479338848E-4</v>
      </c>
      <c r="AB58" s="67">
        <f t="shared" si="25"/>
        <v>2.2038567493112948E-4</v>
      </c>
      <c r="AC58" s="42">
        <f t="shared" ref="AC58:AZ58" si="84">IFERROR(AC16/$B58,0)</f>
        <v>6.6115702479338848E-4</v>
      </c>
      <c r="AD58" s="42">
        <f t="shared" si="84"/>
        <v>6.6115702479338848E-4</v>
      </c>
      <c r="AE58" s="42">
        <f t="shared" si="84"/>
        <v>6.6115702479338848E-4</v>
      </c>
      <c r="AF58" s="42">
        <f t="shared" si="84"/>
        <v>6.6115702479338848E-4</v>
      </c>
      <c r="AG58" s="42">
        <f t="shared" si="84"/>
        <v>6.6115702479338848E-4</v>
      </c>
      <c r="AH58" s="42">
        <f t="shared" si="84"/>
        <v>6.6115702479338848E-4</v>
      </c>
      <c r="AI58" s="42">
        <f t="shared" si="84"/>
        <v>6.6115702479338848E-4</v>
      </c>
      <c r="AJ58" s="42">
        <f t="shared" si="84"/>
        <v>6.6115702479338848E-4</v>
      </c>
      <c r="AK58" s="42">
        <f t="shared" si="84"/>
        <v>6.6115702479338848E-4</v>
      </c>
      <c r="AL58" s="42">
        <f t="shared" si="84"/>
        <v>6.6115702479338848E-4</v>
      </c>
      <c r="AM58" s="42">
        <f t="shared" si="84"/>
        <v>6.6115702479338848E-4</v>
      </c>
      <c r="AN58" s="42">
        <f t="shared" si="84"/>
        <v>6.6115702479338848E-4</v>
      </c>
      <c r="AO58" s="42">
        <f t="shared" si="84"/>
        <v>6.6115702479338848E-4</v>
      </c>
      <c r="AP58" s="42">
        <f t="shared" si="84"/>
        <v>6.6115702479338848E-4</v>
      </c>
      <c r="AQ58" s="42">
        <f t="shared" si="84"/>
        <v>6.6115702479338848E-4</v>
      </c>
      <c r="AR58" s="42">
        <f t="shared" si="84"/>
        <v>6.6115702479338848E-4</v>
      </c>
      <c r="AS58" s="42">
        <f t="shared" si="84"/>
        <v>6.6115702479338848E-4</v>
      </c>
      <c r="AT58" s="42">
        <f t="shared" si="84"/>
        <v>6.6115702479338848E-4</v>
      </c>
      <c r="AU58" s="42">
        <f t="shared" si="84"/>
        <v>6.6115702479338848E-4</v>
      </c>
      <c r="AV58" s="42">
        <f t="shared" si="84"/>
        <v>6.6115702479338848E-4</v>
      </c>
      <c r="AW58" s="42">
        <f t="shared" si="84"/>
        <v>6.6115702479338848E-4</v>
      </c>
      <c r="AX58" s="42">
        <f t="shared" si="84"/>
        <v>6.6115702479338848E-4</v>
      </c>
      <c r="AY58" s="42">
        <f t="shared" si="84"/>
        <v>6.6115702479338848E-4</v>
      </c>
      <c r="AZ58" s="42">
        <f t="shared" si="84"/>
        <v>6.6115702479338848E-4</v>
      </c>
      <c r="BA58" s="34">
        <f t="shared" si="27"/>
        <v>113437.5</v>
      </c>
      <c r="BB58" s="34">
        <f>IFERROR(up_RadSpec!$J$16*(BB16*$B58),".")</f>
        <v>37812.5</v>
      </c>
      <c r="BC58" s="34">
        <f>IFERROR(up_RadSpec!$J$16*(BC16*$B58),".")</f>
        <v>37812.5</v>
      </c>
      <c r="BD58" s="34">
        <f>IFERROR(up_RadSpec!$J$16*(BD16*$B58),".")</f>
        <v>37812.5</v>
      </c>
      <c r="BE58" s="34">
        <f>IFERROR(up_RadSpec!$J$16*(BE16*$B58),".")</f>
        <v>37812.5</v>
      </c>
      <c r="BF58" s="34">
        <f>IFERROR(up_RadSpec!$J$16*(BF16*$B58),".")</f>
        <v>37812.5</v>
      </c>
      <c r="BG58" s="34">
        <f>IFERROR(up_RadSpec!$J$16*(BG16*$B58),".")</f>
        <v>37812.5</v>
      </c>
      <c r="BH58" s="34">
        <f>IFERROR(up_RadSpec!$J$16*(BH16*$B58),".")</f>
        <v>37812.5</v>
      </c>
      <c r="BI58" s="34">
        <f>IFERROR(up_RadSpec!$J$16*(BI16*$B58),".")</f>
        <v>37812.5</v>
      </c>
      <c r="BJ58" s="34">
        <f>IFERROR(up_RadSpec!$J$16*(BJ16*$B58),".")</f>
        <v>37812.5</v>
      </c>
      <c r="BK58" s="34">
        <f>IFERROR(up_RadSpec!$J$16*(BK16*$B58),".")</f>
        <v>37812.5</v>
      </c>
      <c r="BL58" s="34">
        <f>IFERROR(up_RadSpec!$J$16*(BL16*$B58),".")</f>
        <v>37812.5</v>
      </c>
      <c r="BM58" s="34">
        <f>IFERROR(up_RadSpec!$J$16*(BM16*$B58),".")</f>
        <v>37812.5</v>
      </c>
      <c r="BN58" s="34">
        <f>IFERROR(up_RadSpec!$J$16*(BN16*$B58),".")</f>
        <v>37812.5</v>
      </c>
      <c r="BO58" s="34">
        <f>IFERROR(up_RadSpec!$J$16*(BO16*$B58),".")</f>
        <v>37812.5</v>
      </c>
      <c r="BP58" s="34">
        <f>IFERROR(up_RadSpec!$J$16*(BP16*$B58),".")</f>
        <v>37812.5</v>
      </c>
      <c r="BQ58" s="34">
        <f>IFERROR(up_RadSpec!$J$16*(BQ16*$B58),".")</f>
        <v>37812.5</v>
      </c>
      <c r="BR58" s="34">
        <f>IFERROR(up_RadSpec!$J$16*(BR16*$B58),".")</f>
        <v>37812.5</v>
      </c>
      <c r="BS58" s="34">
        <f>IFERROR(up_RadSpec!$J$16*(BS16*$B58),".")</f>
        <v>37812.5</v>
      </c>
      <c r="BT58" s="34">
        <f>IFERROR(up_RadSpec!$J$16*(BT16*$B58),".")</f>
        <v>37812.5</v>
      </c>
      <c r="BU58" s="34">
        <f>IFERROR(up_RadSpec!$J$16*(BU16*$B58),".")</f>
        <v>37812.5</v>
      </c>
      <c r="BV58" s="34">
        <f>IFERROR(up_RadSpec!$J$16*(BV16*$B58),".")</f>
        <v>37812.5</v>
      </c>
      <c r="BW58" s="34">
        <f>IFERROR(up_RadSpec!$J$16*(BW16*$B58),".")</f>
        <v>37812.5</v>
      </c>
      <c r="BX58" s="34">
        <f>IFERROR(up_RadSpec!$J$16*(BX16*$B58),".")</f>
        <v>37812.5</v>
      </c>
      <c r="BY58" s="34">
        <f>IFERROR(up_RadSpec!$J$16*(BY16*$B58),".")</f>
        <v>37812.5</v>
      </c>
    </row>
    <row r="59" spans="1:77" x14ac:dyDescent="0.25">
      <c r="A59" s="66" t="s">
        <v>1082</v>
      </c>
      <c r="B59" s="49">
        <v>1</v>
      </c>
      <c r="C59" s="67">
        <f t="shared" si="24"/>
        <v>2.2038567493112948E-4</v>
      </c>
      <c r="D59" s="42">
        <f t="shared" ref="D59:AA59" si="85">IFERROR(D7/$B59,0)</f>
        <v>6.6115702479338848E-4</v>
      </c>
      <c r="E59" s="42">
        <f t="shared" si="85"/>
        <v>6.6115702479338848E-4</v>
      </c>
      <c r="F59" s="42">
        <f t="shared" si="85"/>
        <v>6.6115702479338848E-4</v>
      </c>
      <c r="G59" s="42">
        <f t="shared" si="85"/>
        <v>6.6115702479338848E-4</v>
      </c>
      <c r="H59" s="42">
        <f t="shared" si="85"/>
        <v>6.6115702479338848E-4</v>
      </c>
      <c r="I59" s="42">
        <f t="shared" si="85"/>
        <v>6.6115702479338848E-4</v>
      </c>
      <c r="J59" s="42">
        <f t="shared" si="85"/>
        <v>6.6115702479338848E-4</v>
      </c>
      <c r="K59" s="42">
        <f t="shared" si="85"/>
        <v>6.6115702479338848E-4</v>
      </c>
      <c r="L59" s="42">
        <f t="shared" si="85"/>
        <v>6.6115702479338848E-4</v>
      </c>
      <c r="M59" s="42">
        <f t="shared" si="85"/>
        <v>6.6115702479338848E-4</v>
      </c>
      <c r="N59" s="42">
        <f t="shared" si="85"/>
        <v>6.6115702479338848E-4</v>
      </c>
      <c r="O59" s="42">
        <f t="shared" si="85"/>
        <v>6.6115702479338848E-4</v>
      </c>
      <c r="P59" s="42">
        <f t="shared" si="85"/>
        <v>6.6115702479338848E-4</v>
      </c>
      <c r="Q59" s="42">
        <f t="shared" si="85"/>
        <v>6.6115702479338848E-4</v>
      </c>
      <c r="R59" s="42">
        <f t="shared" si="85"/>
        <v>6.6115702479338848E-4</v>
      </c>
      <c r="S59" s="42">
        <f t="shared" si="85"/>
        <v>6.6115702479338848E-4</v>
      </c>
      <c r="T59" s="42">
        <f t="shared" si="85"/>
        <v>6.6115702479338848E-4</v>
      </c>
      <c r="U59" s="42">
        <f t="shared" si="85"/>
        <v>6.6115702479338848E-4</v>
      </c>
      <c r="V59" s="42">
        <f t="shared" si="85"/>
        <v>6.6115702479338848E-4</v>
      </c>
      <c r="W59" s="42">
        <f t="shared" si="85"/>
        <v>6.6115702479338848E-4</v>
      </c>
      <c r="X59" s="42">
        <f t="shared" si="85"/>
        <v>6.6115702479338848E-4</v>
      </c>
      <c r="Y59" s="42">
        <f t="shared" si="85"/>
        <v>6.6115702479338848E-4</v>
      </c>
      <c r="Z59" s="42">
        <f t="shared" si="85"/>
        <v>6.6115702479338848E-4</v>
      </c>
      <c r="AA59" s="42">
        <f t="shared" si="85"/>
        <v>6.6115702479338848E-4</v>
      </c>
      <c r="AB59" s="67">
        <f t="shared" si="25"/>
        <v>2.2038567493112948E-4</v>
      </c>
      <c r="AC59" s="42">
        <f t="shared" ref="AC59:AZ59" si="86">IFERROR(AC7/$B59,0)</f>
        <v>6.6115702479338848E-4</v>
      </c>
      <c r="AD59" s="42">
        <f t="shared" si="86"/>
        <v>6.6115702479338848E-4</v>
      </c>
      <c r="AE59" s="42">
        <f t="shared" si="86"/>
        <v>6.6115702479338848E-4</v>
      </c>
      <c r="AF59" s="42">
        <f t="shared" si="86"/>
        <v>6.6115702479338848E-4</v>
      </c>
      <c r="AG59" s="42">
        <f t="shared" si="86"/>
        <v>6.6115702479338848E-4</v>
      </c>
      <c r="AH59" s="42">
        <f t="shared" si="86"/>
        <v>6.6115702479338848E-4</v>
      </c>
      <c r="AI59" s="42">
        <f t="shared" si="86"/>
        <v>6.6115702479338848E-4</v>
      </c>
      <c r="AJ59" s="42">
        <f t="shared" si="86"/>
        <v>6.6115702479338848E-4</v>
      </c>
      <c r="AK59" s="42">
        <f t="shared" si="86"/>
        <v>6.6115702479338848E-4</v>
      </c>
      <c r="AL59" s="42">
        <f t="shared" si="86"/>
        <v>6.6115702479338848E-4</v>
      </c>
      <c r="AM59" s="42">
        <f t="shared" si="86"/>
        <v>6.6115702479338848E-4</v>
      </c>
      <c r="AN59" s="42">
        <f t="shared" si="86"/>
        <v>6.6115702479338848E-4</v>
      </c>
      <c r="AO59" s="42">
        <f t="shared" si="86"/>
        <v>6.6115702479338848E-4</v>
      </c>
      <c r="AP59" s="42">
        <f t="shared" si="86"/>
        <v>6.6115702479338848E-4</v>
      </c>
      <c r="AQ59" s="42">
        <f t="shared" si="86"/>
        <v>6.6115702479338848E-4</v>
      </c>
      <c r="AR59" s="42">
        <f t="shared" si="86"/>
        <v>6.6115702479338848E-4</v>
      </c>
      <c r="AS59" s="42">
        <f t="shared" si="86"/>
        <v>6.6115702479338848E-4</v>
      </c>
      <c r="AT59" s="42">
        <f t="shared" si="86"/>
        <v>6.6115702479338848E-4</v>
      </c>
      <c r="AU59" s="42">
        <f t="shared" si="86"/>
        <v>6.6115702479338848E-4</v>
      </c>
      <c r="AV59" s="42">
        <f t="shared" si="86"/>
        <v>6.6115702479338848E-4</v>
      </c>
      <c r="AW59" s="42">
        <f t="shared" si="86"/>
        <v>6.6115702479338848E-4</v>
      </c>
      <c r="AX59" s="42">
        <f t="shared" si="86"/>
        <v>6.6115702479338848E-4</v>
      </c>
      <c r="AY59" s="42">
        <f t="shared" si="86"/>
        <v>6.6115702479338848E-4</v>
      </c>
      <c r="AZ59" s="42">
        <f t="shared" si="86"/>
        <v>6.6115702479338848E-4</v>
      </c>
      <c r="BA59" s="34">
        <f t="shared" si="27"/>
        <v>113437.5</v>
      </c>
      <c r="BB59" s="34">
        <f>IFERROR(up_RadSpec!$J$7*(BB7*$B59),".")</f>
        <v>37812.5</v>
      </c>
      <c r="BC59" s="34">
        <f>IFERROR(up_RadSpec!$J$7*(BC7*$B59),".")</f>
        <v>37812.5</v>
      </c>
      <c r="BD59" s="34">
        <f>IFERROR(up_RadSpec!$J$7*(BD7*$B59),".")</f>
        <v>37812.5</v>
      </c>
      <c r="BE59" s="34">
        <f>IFERROR(up_RadSpec!$J$7*(BE7*$B59),".")</f>
        <v>37812.5</v>
      </c>
      <c r="BF59" s="34">
        <f>IFERROR(up_RadSpec!$J$7*(BF7*$B59),".")</f>
        <v>37812.5</v>
      </c>
      <c r="BG59" s="34">
        <f>IFERROR(up_RadSpec!$J$7*(BG7*$B59),".")</f>
        <v>37812.5</v>
      </c>
      <c r="BH59" s="34">
        <f>IFERROR(up_RadSpec!$J$7*(BH7*$B59),".")</f>
        <v>37812.5</v>
      </c>
      <c r="BI59" s="34">
        <f>IFERROR(up_RadSpec!$J$7*(BI7*$B59),".")</f>
        <v>37812.5</v>
      </c>
      <c r="BJ59" s="34">
        <f>IFERROR(up_RadSpec!$J$7*(BJ7*$B59),".")</f>
        <v>37812.5</v>
      </c>
      <c r="BK59" s="34">
        <f>IFERROR(up_RadSpec!$J$7*(BK7*$B59),".")</f>
        <v>37812.5</v>
      </c>
      <c r="BL59" s="34">
        <f>IFERROR(up_RadSpec!$J$7*(BL7*$B59),".")</f>
        <v>37812.5</v>
      </c>
      <c r="BM59" s="34">
        <f>IFERROR(up_RadSpec!$J$7*(BM7*$B59),".")</f>
        <v>37812.5</v>
      </c>
      <c r="BN59" s="34">
        <f>IFERROR(up_RadSpec!$J$7*(BN7*$B59),".")</f>
        <v>37812.5</v>
      </c>
      <c r="BO59" s="34">
        <f>IFERROR(up_RadSpec!$J$7*(BO7*$B59),".")</f>
        <v>37812.5</v>
      </c>
      <c r="BP59" s="34">
        <f>IFERROR(up_RadSpec!$J$7*(BP7*$B59),".")</f>
        <v>37812.5</v>
      </c>
      <c r="BQ59" s="34">
        <f>IFERROR(up_RadSpec!$J$7*(BQ7*$B59),".")</f>
        <v>37812.5</v>
      </c>
      <c r="BR59" s="34">
        <f>IFERROR(up_RadSpec!$J$7*(BR7*$B59),".")</f>
        <v>37812.5</v>
      </c>
      <c r="BS59" s="34">
        <f>IFERROR(up_RadSpec!$J$7*(BS7*$B59),".")</f>
        <v>37812.5</v>
      </c>
      <c r="BT59" s="34">
        <f>IFERROR(up_RadSpec!$J$7*(BT7*$B59),".")</f>
        <v>37812.5</v>
      </c>
      <c r="BU59" s="34">
        <f>IFERROR(up_RadSpec!$J$7*(BU7*$B59),".")</f>
        <v>37812.5</v>
      </c>
      <c r="BV59" s="34">
        <f>IFERROR(up_RadSpec!$J$7*(BV7*$B59),".")</f>
        <v>37812.5</v>
      </c>
      <c r="BW59" s="34">
        <f>IFERROR(up_RadSpec!$J$7*(BW7*$B59),".")</f>
        <v>37812.5</v>
      </c>
      <c r="BX59" s="34">
        <f>IFERROR(up_RadSpec!$J$7*(BX7*$B59),".")</f>
        <v>37812.5</v>
      </c>
      <c r="BY59" s="34">
        <f>IFERROR(up_RadSpec!$J$7*(BY7*$B59),".")</f>
        <v>37812.5</v>
      </c>
    </row>
    <row r="60" spans="1:77" x14ac:dyDescent="0.25">
      <c r="A60" s="66" t="s">
        <v>1083</v>
      </c>
      <c r="B60" s="49">
        <v>1.9000000000000001E-8</v>
      </c>
      <c r="C60" s="67">
        <f t="shared" si="24"/>
        <v>11599.246049006815</v>
      </c>
      <c r="D60" s="42">
        <f t="shared" ref="D60:AA60" si="87">IFERROR(D12/$B60,0)</f>
        <v>34797.738147020442</v>
      </c>
      <c r="E60" s="42">
        <f t="shared" si="87"/>
        <v>34797.738147020442</v>
      </c>
      <c r="F60" s="42">
        <f t="shared" si="87"/>
        <v>34797.738147020442</v>
      </c>
      <c r="G60" s="42">
        <f t="shared" si="87"/>
        <v>34797.738147020442</v>
      </c>
      <c r="H60" s="42">
        <f t="shared" si="87"/>
        <v>34797.738147020442</v>
      </c>
      <c r="I60" s="42">
        <f t="shared" si="87"/>
        <v>34797.738147020442</v>
      </c>
      <c r="J60" s="42">
        <f t="shared" si="87"/>
        <v>34797.738147020442</v>
      </c>
      <c r="K60" s="42">
        <f t="shared" si="87"/>
        <v>34797.738147020442</v>
      </c>
      <c r="L60" s="42">
        <f t="shared" si="87"/>
        <v>34797.738147020442</v>
      </c>
      <c r="M60" s="42">
        <f t="shared" si="87"/>
        <v>34797.738147020442</v>
      </c>
      <c r="N60" s="42">
        <f t="shared" si="87"/>
        <v>34797.738147020442</v>
      </c>
      <c r="O60" s="42">
        <f t="shared" si="87"/>
        <v>34797.738147020442</v>
      </c>
      <c r="P60" s="42">
        <f t="shared" si="87"/>
        <v>34797.738147020442</v>
      </c>
      <c r="Q60" s="42">
        <f t="shared" si="87"/>
        <v>34797.738147020442</v>
      </c>
      <c r="R60" s="42">
        <f t="shared" si="87"/>
        <v>34797.738147020442</v>
      </c>
      <c r="S60" s="42">
        <f t="shared" si="87"/>
        <v>34797.738147020442</v>
      </c>
      <c r="T60" s="42">
        <f t="shared" si="87"/>
        <v>34797.738147020442</v>
      </c>
      <c r="U60" s="42">
        <f t="shared" si="87"/>
        <v>34797.738147020442</v>
      </c>
      <c r="V60" s="42">
        <f t="shared" si="87"/>
        <v>34797.738147020442</v>
      </c>
      <c r="W60" s="42">
        <f t="shared" si="87"/>
        <v>34797.738147020442</v>
      </c>
      <c r="X60" s="42">
        <f t="shared" si="87"/>
        <v>34797.738147020442</v>
      </c>
      <c r="Y60" s="42">
        <f t="shared" si="87"/>
        <v>34797.738147020442</v>
      </c>
      <c r="Z60" s="42">
        <f t="shared" si="87"/>
        <v>34797.738147020442</v>
      </c>
      <c r="AA60" s="42">
        <f t="shared" si="87"/>
        <v>34797.738147020442</v>
      </c>
      <c r="AB60" s="67">
        <f t="shared" si="25"/>
        <v>11599.246049006815</v>
      </c>
      <c r="AC60" s="42">
        <f t="shared" ref="AC60:AZ60" si="88">IFERROR(AC12/$B60,0)</f>
        <v>34797.738147020442</v>
      </c>
      <c r="AD60" s="42">
        <f t="shared" si="88"/>
        <v>34797.738147020442</v>
      </c>
      <c r="AE60" s="42">
        <f t="shared" si="88"/>
        <v>34797.738147020442</v>
      </c>
      <c r="AF60" s="42">
        <f t="shared" si="88"/>
        <v>34797.738147020442</v>
      </c>
      <c r="AG60" s="42">
        <f t="shared" si="88"/>
        <v>34797.738147020442</v>
      </c>
      <c r="AH60" s="42">
        <f t="shared" si="88"/>
        <v>34797.738147020442</v>
      </c>
      <c r="AI60" s="42">
        <f t="shared" si="88"/>
        <v>34797.738147020442</v>
      </c>
      <c r="AJ60" s="42">
        <f t="shared" si="88"/>
        <v>34797.738147020442</v>
      </c>
      <c r="AK60" s="42">
        <f t="shared" si="88"/>
        <v>34797.738147020442</v>
      </c>
      <c r="AL60" s="42">
        <f t="shared" si="88"/>
        <v>34797.738147020442</v>
      </c>
      <c r="AM60" s="42">
        <f t="shared" si="88"/>
        <v>34797.738147020442</v>
      </c>
      <c r="AN60" s="42">
        <f t="shared" si="88"/>
        <v>34797.738147020442</v>
      </c>
      <c r="AO60" s="42">
        <f t="shared" si="88"/>
        <v>34797.738147020442</v>
      </c>
      <c r="AP60" s="42">
        <f t="shared" si="88"/>
        <v>34797.738147020442</v>
      </c>
      <c r="AQ60" s="42">
        <f t="shared" si="88"/>
        <v>34797.738147020442</v>
      </c>
      <c r="AR60" s="42">
        <f t="shared" si="88"/>
        <v>34797.738147020442</v>
      </c>
      <c r="AS60" s="42">
        <f t="shared" si="88"/>
        <v>34797.738147020442</v>
      </c>
      <c r="AT60" s="42">
        <f t="shared" si="88"/>
        <v>34797.738147020442</v>
      </c>
      <c r="AU60" s="42">
        <f t="shared" si="88"/>
        <v>34797.738147020442</v>
      </c>
      <c r="AV60" s="42">
        <f t="shared" si="88"/>
        <v>34797.738147020442</v>
      </c>
      <c r="AW60" s="42">
        <f t="shared" si="88"/>
        <v>34797.738147020442</v>
      </c>
      <c r="AX60" s="42">
        <f t="shared" si="88"/>
        <v>34797.738147020442</v>
      </c>
      <c r="AY60" s="42">
        <f t="shared" si="88"/>
        <v>34797.738147020442</v>
      </c>
      <c r="AZ60" s="42">
        <f t="shared" si="88"/>
        <v>34797.738147020442</v>
      </c>
      <c r="BA60" s="34">
        <f t="shared" si="27"/>
        <v>2.1553125000000001E-3</v>
      </c>
      <c r="BB60" s="34">
        <f>IFERROR(up_RadSpec!$J$12*(BB12*$B60),".")</f>
        <v>7.1843750000000011E-4</v>
      </c>
      <c r="BC60" s="34">
        <f>IFERROR(up_RadSpec!$J$12*(BC12*$B60),".")</f>
        <v>7.1843750000000011E-4</v>
      </c>
      <c r="BD60" s="34">
        <f>IFERROR(up_RadSpec!$J$12*(BD12*$B60),".")</f>
        <v>7.1843750000000011E-4</v>
      </c>
      <c r="BE60" s="34">
        <f>IFERROR(up_RadSpec!$J$12*(BE12*$B60),".")</f>
        <v>7.1843750000000011E-4</v>
      </c>
      <c r="BF60" s="34">
        <f>IFERROR(up_RadSpec!$J$12*(BF12*$B60),".")</f>
        <v>7.1843750000000011E-4</v>
      </c>
      <c r="BG60" s="34">
        <f>IFERROR(up_RadSpec!$J$12*(BG12*$B60),".")</f>
        <v>7.1843750000000011E-4</v>
      </c>
      <c r="BH60" s="34">
        <f>IFERROR(up_RadSpec!$J$12*(BH12*$B60),".")</f>
        <v>7.1843750000000011E-4</v>
      </c>
      <c r="BI60" s="34">
        <f>IFERROR(up_RadSpec!$J$12*(BI12*$B60),".")</f>
        <v>7.1843750000000011E-4</v>
      </c>
      <c r="BJ60" s="34">
        <f>IFERROR(up_RadSpec!$J$12*(BJ12*$B60),".")</f>
        <v>7.1843750000000011E-4</v>
      </c>
      <c r="BK60" s="34">
        <f>IFERROR(up_RadSpec!$J$12*(BK12*$B60),".")</f>
        <v>7.1843750000000011E-4</v>
      </c>
      <c r="BL60" s="34">
        <f>IFERROR(up_RadSpec!$J$12*(BL12*$B60),".")</f>
        <v>7.1843750000000011E-4</v>
      </c>
      <c r="BM60" s="34">
        <f>IFERROR(up_RadSpec!$J$12*(BM12*$B60),".")</f>
        <v>7.1843750000000011E-4</v>
      </c>
      <c r="BN60" s="34">
        <f>IFERROR(up_RadSpec!$J$12*(BN12*$B60),".")</f>
        <v>7.1843750000000011E-4</v>
      </c>
      <c r="BO60" s="34">
        <f>IFERROR(up_RadSpec!$J$12*(BO12*$B60),".")</f>
        <v>7.1843750000000011E-4</v>
      </c>
      <c r="BP60" s="34">
        <f>IFERROR(up_RadSpec!$J$12*(BP12*$B60),".")</f>
        <v>7.1843750000000011E-4</v>
      </c>
      <c r="BQ60" s="34">
        <f>IFERROR(up_RadSpec!$J$12*(BQ12*$B60),".")</f>
        <v>7.1843750000000011E-4</v>
      </c>
      <c r="BR60" s="34">
        <f>IFERROR(up_RadSpec!$J$12*(BR12*$B60),".")</f>
        <v>7.1843750000000011E-4</v>
      </c>
      <c r="BS60" s="34">
        <f>IFERROR(up_RadSpec!$J$12*(BS12*$B60),".")</f>
        <v>7.1843750000000011E-4</v>
      </c>
      <c r="BT60" s="34">
        <f>IFERROR(up_RadSpec!$J$12*(BT12*$B60),".")</f>
        <v>7.1843750000000011E-4</v>
      </c>
      <c r="BU60" s="34">
        <f>IFERROR(up_RadSpec!$J$12*(BU12*$B60),".")</f>
        <v>7.1843750000000011E-4</v>
      </c>
      <c r="BV60" s="34">
        <f>IFERROR(up_RadSpec!$J$12*(BV12*$B60),".")</f>
        <v>7.1843750000000011E-4</v>
      </c>
      <c r="BW60" s="34">
        <f>IFERROR(up_RadSpec!$J$12*(BW12*$B60),".")</f>
        <v>7.1843750000000011E-4</v>
      </c>
      <c r="BX60" s="34">
        <f>IFERROR(up_RadSpec!$J$12*(BX12*$B60),".")</f>
        <v>7.1843750000000011E-4</v>
      </c>
      <c r="BY60" s="34">
        <f>IFERROR(up_RadSpec!$J$12*(BY12*$B60),".")</f>
        <v>7.1843750000000011E-4</v>
      </c>
    </row>
    <row r="61" spans="1:77" x14ac:dyDescent="0.25">
      <c r="A61" s="66" t="s">
        <v>1084</v>
      </c>
      <c r="B61" s="49">
        <v>1</v>
      </c>
      <c r="C61" s="67">
        <f t="shared" si="24"/>
        <v>2.2038567493112948E-4</v>
      </c>
      <c r="D61" s="42">
        <f t="shared" ref="D61:AA61" si="89">IFERROR(D18/$B61,0)</f>
        <v>6.6115702479338848E-4</v>
      </c>
      <c r="E61" s="42">
        <f t="shared" si="89"/>
        <v>6.6115702479338848E-4</v>
      </c>
      <c r="F61" s="42">
        <f t="shared" si="89"/>
        <v>6.6115702479338848E-4</v>
      </c>
      <c r="G61" s="42">
        <f t="shared" si="89"/>
        <v>6.6115702479338848E-4</v>
      </c>
      <c r="H61" s="42">
        <f t="shared" si="89"/>
        <v>6.6115702479338848E-4</v>
      </c>
      <c r="I61" s="42">
        <f t="shared" si="89"/>
        <v>6.6115702479338848E-4</v>
      </c>
      <c r="J61" s="42">
        <f t="shared" si="89"/>
        <v>6.6115702479338848E-4</v>
      </c>
      <c r="K61" s="42">
        <f t="shared" si="89"/>
        <v>6.6115702479338848E-4</v>
      </c>
      <c r="L61" s="42">
        <f t="shared" si="89"/>
        <v>6.6115702479338848E-4</v>
      </c>
      <c r="M61" s="42">
        <f t="shared" si="89"/>
        <v>6.6115702479338848E-4</v>
      </c>
      <c r="N61" s="42">
        <f t="shared" si="89"/>
        <v>6.6115702479338848E-4</v>
      </c>
      <c r="O61" s="42">
        <f t="shared" si="89"/>
        <v>6.6115702479338848E-4</v>
      </c>
      <c r="P61" s="42">
        <f t="shared" si="89"/>
        <v>6.6115702479338848E-4</v>
      </c>
      <c r="Q61" s="42">
        <f t="shared" si="89"/>
        <v>6.6115702479338848E-4</v>
      </c>
      <c r="R61" s="42">
        <f t="shared" si="89"/>
        <v>6.6115702479338848E-4</v>
      </c>
      <c r="S61" s="42">
        <f t="shared" si="89"/>
        <v>6.6115702479338848E-4</v>
      </c>
      <c r="T61" s="42">
        <f t="shared" si="89"/>
        <v>6.6115702479338848E-4</v>
      </c>
      <c r="U61" s="42">
        <f t="shared" si="89"/>
        <v>6.6115702479338848E-4</v>
      </c>
      <c r="V61" s="42">
        <f t="shared" si="89"/>
        <v>6.6115702479338848E-4</v>
      </c>
      <c r="W61" s="42">
        <f t="shared" si="89"/>
        <v>6.6115702479338848E-4</v>
      </c>
      <c r="X61" s="42">
        <f t="shared" si="89"/>
        <v>6.6115702479338848E-4</v>
      </c>
      <c r="Y61" s="42">
        <f t="shared" si="89"/>
        <v>6.6115702479338848E-4</v>
      </c>
      <c r="Z61" s="42">
        <f t="shared" si="89"/>
        <v>6.6115702479338848E-4</v>
      </c>
      <c r="AA61" s="42">
        <f t="shared" si="89"/>
        <v>6.6115702479338848E-4</v>
      </c>
      <c r="AB61" s="67">
        <f t="shared" si="25"/>
        <v>2.2038567493112948E-4</v>
      </c>
      <c r="AC61" s="42">
        <f t="shared" ref="AC61:AZ61" si="90">IFERROR(AC18/$B61,0)</f>
        <v>6.6115702479338848E-4</v>
      </c>
      <c r="AD61" s="42">
        <f t="shared" si="90"/>
        <v>6.6115702479338848E-4</v>
      </c>
      <c r="AE61" s="42">
        <f t="shared" si="90"/>
        <v>6.6115702479338848E-4</v>
      </c>
      <c r="AF61" s="42">
        <f t="shared" si="90"/>
        <v>6.6115702479338848E-4</v>
      </c>
      <c r="AG61" s="42">
        <f t="shared" si="90"/>
        <v>6.6115702479338848E-4</v>
      </c>
      <c r="AH61" s="42">
        <f t="shared" si="90"/>
        <v>6.6115702479338848E-4</v>
      </c>
      <c r="AI61" s="42">
        <f t="shared" si="90"/>
        <v>6.6115702479338848E-4</v>
      </c>
      <c r="AJ61" s="42">
        <f t="shared" si="90"/>
        <v>6.6115702479338848E-4</v>
      </c>
      <c r="AK61" s="42">
        <f t="shared" si="90"/>
        <v>6.6115702479338848E-4</v>
      </c>
      <c r="AL61" s="42">
        <f t="shared" si="90"/>
        <v>6.6115702479338848E-4</v>
      </c>
      <c r="AM61" s="42">
        <f t="shared" si="90"/>
        <v>6.6115702479338848E-4</v>
      </c>
      <c r="AN61" s="42">
        <f t="shared" si="90"/>
        <v>6.6115702479338848E-4</v>
      </c>
      <c r="AO61" s="42">
        <f t="shared" si="90"/>
        <v>6.6115702479338848E-4</v>
      </c>
      <c r="AP61" s="42">
        <f t="shared" si="90"/>
        <v>6.6115702479338848E-4</v>
      </c>
      <c r="AQ61" s="42">
        <f t="shared" si="90"/>
        <v>6.6115702479338848E-4</v>
      </c>
      <c r="AR61" s="42">
        <f t="shared" si="90"/>
        <v>6.6115702479338848E-4</v>
      </c>
      <c r="AS61" s="42">
        <f t="shared" si="90"/>
        <v>6.6115702479338848E-4</v>
      </c>
      <c r="AT61" s="42">
        <f t="shared" si="90"/>
        <v>6.6115702479338848E-4</v>
      </c>
      <c r="AU61" s="42">
        <f t="shared" si="90"/>
        <v>6.6115702479338848E-4</v>
      </c>
      <c r="AV61" s="42">
        <f t="shared" si="90"/>
        <v>6.6115702479338848E-4</v>
      </c>
      <c r="AW61" s="42">
        <f t="shared" si="90"/>
        <v>6.6115702479338848E-4</v>
      </c>
      <c r="AX61" s="42">
        <f t="shared" si="90"/>
        <v>6.6115702479338848E-4</v>
      </c>
      <c r="AY61" s="42">
        <f t="shared" si="90"/>
        <v>6.6115702479338848E-4</v>
      </c>
      <c r="AZ61" s="42">
        <f t="shared" si="90"/>
        <v>6.6115702479338848E-4</v>
      </c>
      <c r="BA61" s="34">
        <f t="shared" si="27"/>
        <v>113437.5</v>
      </c>
      <c r="BB61" s="34">
        <f>IFERROR(up_RadSpec!$J$18*(BB18*$B61),".")</f>
        <v>37812.5</v>
      </c>
      <c r="BC61" s="34">
        <f>IFERROR(up_RadSpec!$J$18*(BC18*$B61),".")</f>
        <v>37812.5</v>
      </c>
      <c r="BD61" s="34">
        <f>IFERROR(up_RadSpec!$J$18*(BD18*$B61),".")</f>
        <v>37812.5</v>
      </c>
      <c r="BE61" s="34">
        <f>IFERROR(up_RadSpec!$J$18*(BE18*$B61),".")</f>
        <v>37812.5</v>
      </c>
      <c r="BF61" s="34">
        <f>IFERROR(up_RadSpec!$J$18*(BF18*$B61),".")</f>
        <v>37812.5</v>
      </c>
      <c r="BG61" s="34">
        <f>IFERROR(up_RadSpec!$J$18*(BG18*$B61),".")</f>
        <v>37812.5</v>
      </c>
      <c r="BH61" s="34">
        <f>IFERROR(up_RadSpec!$J$18*(BH18*$B61),".")</f>
        <v>37812.5</v>
      </c>
      <c r="BI61" s="34">
        <f>IFERROR(up_RadSpec!$J$18*(BI18*$B61),".")</f>
        <v>37812.5</v>
      </c>
      <c r="BJ61" s="34">
        <f>IFERROR(up_RadSpec!$J$18*(BJ18*$B61),".")</f>
        <v>37812.5</v>
      </c>
      <c r="BK61" s="34">
        <f>IFERROR(up_RadSpec!$J$18*(BK18*$B61),".")</f>
        <v>37812.5</v>
      </c>
      <c r="BL61" s="34">
        <f>IFERROR(up_RadSpec!$J$18*(BL18*$B61),".")</f>
        <v>37812.5</v>
      </c>
      <c r="BM61" s="34">
        <f>IFERROR(up_RadSpec!$J$18*(BM18*$B61),".")</f>
        <v>37812.5</v>
      </c>
      <c r="BN61" s="34">
        <f>IFERROR(up_RadSpec!$J$18*(BN18*$B61),".")</f>
        <v>37812.5</v>
      </c>
      <c r="BO61" s="34">
        <f>IFERROR(up_RadSpec!$J$18*(BO18*$B61),".")</f>
        <v>37812.5</v>
      </c>
      <c r="BP61" s="34">
        <f>IFERROR(up_RadSpec!$J$18*(BP18*$B61),".")</f>
        <v>37812.5</v>
      </c>
      <c r="BQ61" s="34">
        <f>IFERROR(up_RadSpec!$J$18*(BQ18*$B61),".")</f>
        <v>37812.5</v>
      </c>
      <c r="BR61" s="34">
        <f>IFERROR(up_RadSpec!$J$18*(BR18*$B61),".")</f>
        <v>37812.5</v>
      </c>
      <c r="BS61" s="34">
        <f>IFERROR(up_RadSpec!$J$18*(BS18*$B61),".")</f>
        <v>37812.5</v>
      </c>
      <c r="BT61" s="34">
        <f>IFERROR(up_RadSpec!$J$18*(BT18*$B61),".")</f>
        <v>37812.5</v>
      </c>
      <c r="BU61" s="34">
        <f>IFERROR(up_RadSpec!$J$18*(BU18*$B61),".")</f>
        <v>37812.5</v>
      </c>
      <c r="BV61" s="34">
        <f>IFERROR(up_RadSpec!$J$18*(BV18*$B61),".")</f>
        <v>37812.5</v>
      </c>
      <c r="BW61" s="34">
        <f>IFERROR(up_RadSpec!$J$18*(BW18*$B61),".")</f>
        <v>37812.5</v>
      </c>
      <c r="BX61" s="34">
        <f>IFERROR(up_RadSpec!$J$18*(BX18*$B61),".")</f>
        <v>37812.5</v>
      </c>
      <c r="BY61" s="34">
        <f>IFERROR(up_RadSpec!$J$18*(BY18*$B61),".")</f>
        <v>37812.5</v>
      </c>
    </row>
    <row r="62" spans="1:77" x14ac:dyDescent="0.25">
      <c r="A62" s="66" t="s">
        <v>1085</v>
      </c>
      <c r="B62" s="49">
        <v>1.339E-6</v>
      </c>
      <c r="C62" s="67">
        <f t="shared" si="24"/>
        <v>164.58974976185922</v>
      </c>
      <c r="D62" s="42">
        <f t="shared" ref="D62:AA62" si="91">IFERROR(D27/$B62,0)</f>
        <v>493.76924928557764</v>
      </c>
      <c r="E62" s="42">
        <f t="shared" si="91"/>
        <v>493.76924928557764</v>
      </c>
      <c r="F62" s="42">
        <f t="shared" si="91"/>
        <v>493.76924928557764</v>
      </c>
      <c r="G62" s="42">
        <f t="shared" si="91"/>
        <v>493.76924928557764</v>
      </c>
      <c r="H62" s="42">
        <f t="shared" si="91"/>
        <v>493.76924928557764</v>
      </c>
      <c r="I62" s="42">
        <f t="shared" si="91"/>
        <v>493.76924928557764</v>
      </c>
      <c r="J62" s="42">
        <f t="shared" si="91"/>
        <v>493.76924928557764</v>
      </c>
      <c r="K62" s="42">
        <f t="shared" si="91"/>
        <v>493.76924928557764</v>
      </c>
      <c r="L62" s="42">
        <f t="shared" si="91"/>
        <v>493.76924928557764</v>
      </c>
      <c r="M62" s="42">
        <f t="shared" si="91"/>
        <v>493.76924928557764</v>
      </c>
      <c r="N62" s="42">
        <f t="shared" si="91"/>
        <v>493.76924928557764</v>
      </c>
      <c r="O62" s="42">
        <f t="shared" si="91"/>
        <v>493.76924928557764</v>
      </c>
      <c r="P62" s="42">
        <f t="shared" si="91"/>
        <v>493.76924928557764</v>
      </c>
      <c r="Q62" s="42">
        <f t="shared" si="91"/>
        <v>493.76924928557764</v>
      </c>
      <c r="R62" s="42">
        <f t="shared" si="91"/>
        <v>493.76924928557764</v>
      </c>
      <c r="S62" s="42">
        <f t="shared" si="91"/>
        <v>493.76924928557764</v>
      </c>
      <c r="T62" s="42">
        <f t="shared" si="91"/>
        <v>493.76924928557764</v>
      </c>
      <c r="U62" s="42">
        <f t="shared" si="91"/>
        <v>493.76924928557764</v>
      </c>
      <c r="V62" s="42">
        <f t="shared" si="91"/>
        <v>493.76924928557764</v>
      </c>
      <c r="W62" s="42">
        <f t="shared" si="91"/>
        <v>493.76924928557764</v>
      </c>
      <c r="X62" s="42">
        <f t="shared" si="91"/>
        <v>493.76924928557764</v>
      </c>
      <c r="Y62" s="42">
        <f t="shared" si="91"/>
        <v>493.76924928557764</v>
      </c>
      <c r="Z62" s="42">
        <f t="shared" si="91"/>
        <v>493.76924928557764</v>
      </c>
      <c r="AA62" s="42">
        <f t="shared" si="91"/>
        <v>493.76924928557764</v>
      </c>
      <c r="AB62" s="67">
        <f t="shared" si="25"/>
        <v>164.58974976185922</v>
      </c>
      <c r="AC62" s="42">
        <f t="shared" ref="AC62:AZ62" si="92">IFERROR(AC27/$B62,0)</f>
        <v>493.76924928557764</v>
      </c>
      <c r="AD62" s="42">
        <f t="shared" si="92"/>
        <v>493.76924928557764</v>
      </c>
      <c r="AE62" s="42">
        <f t="shared" si="92"/>
        <v>493.76924928557764</v>
      </c>
      <c r="AF62" s="42">
        <f t="shared" si="92"/>
        <v>493.76924928557764</v>
      </c>
      <c r="AG62" s="42">
        <f t="shared" si="92"/>
        <v>493.76924928557764</v>
      </c>
      <c r="AH62" s="42">
        <f t="shared" si="92"/>
        <v>493.76924928557764</v>
      </c>
      <c r="AI62" s="42">
        <f t="shared" si="92"/>
        <v>493.76924928557764</v>
      </c>
      <c r="AJ62" s="42">
        <f t="shared" si="92"/>
        <v>493.76924928557764</v>
      </c>
      <c r="AK62" s="42">
        <f t="shared" si="92"/>
        <v>493.76924928557764</v>
      </c>
      <c r="AL62" s="42">
        <f t="shared" si="92"/>
        <v>493.76924928557764</v>
      </c>
      <c r="AM62" s="42">
        <f t="shared" si="92"/>
        <v>493.76924928557764</v>
      </c>
      <c r="AN62" s="42">
        <f t="shared" si="92"/>
        <v>493.76924928557764</v>
      </c>
      <c r="AO62" s="42">
        <f t="shared" si="92"/>
        <v>493.76924928557764</v>
      </c>
      <c r="AP62" s="42">
        <f t="shared" si="92"/>
        <v>493.76924928557764</v>
      </c>
      <c r="AQ62" s="42">
        <f t="shared" si="92"/>
        <v>493.76924928557764</v>
      </c>
      <c r="AR62" s="42">
        <f t="shared" si="92"/>
        <v>493.76924928557764</v>
      </c>
      <c r="AS62" s="42">
        <f t="shared" si="92"/>
        <v>493.76924928557764</v>
      </c>
      <c r="AT62" s="42">
        <f t="shared" si="92"/>
        <v>493.76924928557764</v>
      </c>
      <c r="AU62" s="42">
        <f t="shared" si="92"/>
        <v>493.76924928557764</v>
      </c>
      <c r="AV62" s="42">
        <f t="shared" si="92"/>
        <v>493.76924928557764</v>
      </c>
      <c r="AW62" s="42">
        <f t="shared" si="92"/>
        <v>493.76924928557764</v>
      </c>
      <c r="AX62" s="42">
        <f t="shared" si="92"/>
        <v>493.76924928557764</v>
      </c>
      <c r="AY62" s="42">
        <f t="shared" si="92"/>
        <v>493.76924928557764</v>
      </c>
      <c r="AZ62" s="42">
        <f t="shared" si="92"/>
        <v>493.76924928557764</v>
      </c>
      <c r="BA62" s="34">
        <f t="shared" si="27"/>
        <v>0.1518928125</v>
      </c>
      <c r="BB62" s="34">
        <f>IFERROR(up_RadSpec!$J$27*(BB27*$B62),".")</f>
        <v>5.0630937500000001E-2</v>
      </c>
      <c r="BC62" s="34">
        <f>IFERROR(up_RadSpec!$J$27*(BC27*$B62),".")</f>
        <v>5.0630937500000001E-2</v>
      </c>
      <c r="BD62" s="34">
        <f>IFERROR(up_RadSpec!$J$27*(BD27*$B62),".")</f>
        <v>5.0630937500000001E-2</v>
      </c>
      <c r="BE62" s="34">
        <f>IFERROR(up_RadSpec!$J$27*(BE27*$B62),".")</f>
        <v>5.0630937500000001E-2</v>
      </c>
      <c r="BF62" s="34">
        <f>IFERROR(up_RadSpec!$J$27*(BF27*$B62),".")</f>
        <v>5.0630937500000001E-2</v>
      </c>
      <c r="BG62" s="34">
        <f>IFERROR(up_RadSpec!$J$27*(BG27*$B62),".")</f>
        <v>5.0630937500000001E-2</v>
      </c>
      <c r="BH62" s="34">
        <f>IFERROR(up_RadSpec!$J$27*(BH27*$B62),".")</f>
        <v>5.0630937500000001E-2</v>
      </c>
      <c r="BI62" s="34">
        <f>IFERROR(up_RadSpec!$J$27*(BI27*$B62),".")</f>
        <v>5.0630937500000001E-2</v>
      </c>
      <c r="BJ62" s="34">
        <f>IFERROR(up_RadSpec!$J$27*(BJ27*$B62),".")</f>
        <v>5.0630937500000001E-2</v>
      </c>
      <c r="BK62" s="34">
        <f>IFERROR(up_RadSpec!$J$27*(BK27*$B62),".")</f>
        <v>5.0630937500000001E-2</v>
      </c>
      <c r="BL62" s="34">
        <f>IFERROR(up_RadSpec!$J$27*(BL27*$B62),".")</f>
        <v>5.0630937500000001E-2</v>
      </c>
      <c r="BM62" s="34">
        <f>IFERROR(up_RadSpec!$J$27*(BM27*$B62),".")</f>
        <v>5.0630937500000001E-2</v>
      </c>
      <c r="BN62" s="34">
        <f>IFERROR(up_RadSpec!$J$27*(BN27*$B62),".")</f>
        <v>5.0630937500000001E-2</v>
      </c>
      <c r="BO62" s="34">
        <f>IFERROR(up_RadSpec!$J$27*(BO27*$B62),".")</f>
        <v>5.0630937500000001E-2</v>
      </c>
      <c r="BP62" s="34">
        <f>IFERROR(up_RadSpec!$J$27*(BP27*$B62),".")</f>
        <v>5.0630937500000001E-2</v>
      </c>
      <c r="BQ62" s="34">
        <f>IFERROR(up_RadSpec!$J$27*(BQ27*$B62),".")</f>
        <v>5.0630937500000001E-2</v>
      </c>
      <c r="BR62" s="34">
        <f>IFERROR(up_RadSpec!$J$27*(BR27*$B62),".")</f>
        <v>5.0630937500000001E-2</v>
      </c>
      <c r="BS62" s="34">
        <f>IFERROR(up_RadSpec!$J$27*(BS27*$B62),".")</f>
        <v>5.0630937500000001E-2</v>
      </c>
      <c r="BT62" s="34">
        <f>IFERROR(up_RadSpec!$J$27*(BT27*$B62),".")</f>
        <v>5.0630937500000001E-2</v>
      </c>
      <c r="BU62" s="34">
        <f>IFERROR(up_RadSpec!$J$27*(BU27*$B62),".")</f>
        <v>5.0630937500000001E-2</v>
      </c>
      <c r="BV62" s="34">
        <f>IFERROR(up_RadSpec!$J$27*(BV27*$B62),".")</f>
        <v>5.0630937500000001E-2</v>
      </c>
      <c r="BW62" s="34">
        <f>IFERROR(up_RadSpec!$J$27*(BW27*$B62),".")</f>
        <v>5.0630937500000001E-2</v>
      </c>
      <c r="BX62" s="34">
        <f>IFERROR(up_RadSpec!$J$27*(BX27*$B62),".")</f>
        <v>5.0630937500000001E-2</v>
      </c>
      <c r="BY62" s="34">
        <f>IFERROR(up_RadSpec!$J$27*(BY27*$B62),".")</f>
        <v>5.0630937500000001E-2</v>
      </c>
    </row>
    <row r="63" spans="1:77" x14ac:dyDescent="0.25">
      <c r="A63" s="64" t="s">
        <v>23</v>
      </c>
      <c r="B63" s="64" t="s">
        <v>1059</v>
      </c>
      <c r="C63" s="65">
        <f t="shared" si="24"/>
        <v>2.7548204690083433E-5</v>
      </c>
      <c r="D63" s="40">
        <f t="shared" ref="D63:AA63" si="93">1/SUM(1/D64,1/D65,1/D66,1/D67,1/D68,1/D69,1/D70,1/D71,1/D72,1/D73,1/D74,1/D75,1/D76)</f>
        <v>8.2644614070250314E-5</v>
      </c>
      <c r="E63" s="40">
        <f t="shared" si="93"/>
        <v>8.2644614070250314E-5</v>
      </c>
      <c r="F63" s="40">
        <f t="shared" si="93"/>
        <v>8.2644614070250314E-5</v>
      </c>
      <c r="G63" s="40">
        <f t="shared" si="93"/>
        <v>8.2644614070250314E-5</v>
      </c>
      <c r="H63" s="40">
        <f t="shared" si="93"/>
        <v>8.2644614070250314E-5</v>
      </c>
      <c r="I63" s="40">
        <f t="shared" si="93"/>
        <v>8.2644614070250314E-5</v>
      </c>
      <c r="J63" s="40">
        <f t="shared" si="93"/>
        <v>8.2644614070250314E-5</v>
      </c>
      <c r="K63" s="40">
        <f t="shared" si="93"/>
        <v>8.2644614070250314E-5</v>
      </c>
      <c r="L63" s="40">
        <f t="shared" si="93"/>
        <v>8.2644614070250314E-5</v>
      </c>
      <c r="M63" s="40">
        <f t="shared" si="93"/>
        <v>8.2644614070250314E-5</v>
      </c>
      <c r="N63" s="40">
        <f t="shared" si="93"/>
        <v>8.2644614070250314E-5</v>
      </c>
      <c r="O63" s="40">
        <f t="shared" si="93"/>
        <v>8.2644614070250314E-5</v>
      </c>
      <c r="P63" s="40">
        <f t="shared" si="93"/>
        <v>8.2644614070250314E-5</v>
      </c>
      <c r="Q63" s="40">
        <f t="shared" si="93"/>
        <v>8.2644614070250314E-5</v>
      </c>
      <c r="R63" s="40">
        <f t="shared" si="93"/>
        <v>8.2644614070250314E-5</v>
      </c>
      <c r="S63" s="40">
        <f t="shared" si="93"/>
        <v>8.2644614070250314E-5</v>
      </c>
      <c r="T63" s="40">
        <f t="shared" si="93"/>
        <v>8.2644614070250314E-5</v>
      </c>
      <c r="U63" s="40">
        <f t="shared" si="93"/>
        <v>8.2644614070250314E-5</v>
      </c>
      <c r="V63" s="40">
        <f t="shared" si="93"/>
        <v>8.2644614070250314E-5</v>
      </c>
      <c r="W63" s="40">
        <f t="shared" si="93"/>
        <v>8.2644614070250314E-5</v>
      </c>
      <c r="X63" s="40">
        <f t="shared" si="93"/>
        <v>8.2644614070250314E-5</v>
      </c>
      <c r="Y63" s="40">
        <f t="shared" si="93"/>
        <v>8.2644614070250314E-5</v>
      </c>
      <c r="Z63" s="40">
        <f t="shared" si="93"/>
        <v>8.2644614070250314E-5</v>
      </c>
      <c r="AA63" s="40">
        <f t="shared" si="93"/>
        <v>8.2644614070250314E-5</v>
      </c>
      <c r="AB63" s="65">
        <f t="shared" si="25"/>
        <v>2.7548204690083433E-5</v>
      </c>
      <c r="AC63" s="40">
        <f t="shared" ref="AC63:AZ63" si="94">1/SUM(1/AC64,1/AC65,1/AC66,1/AC67,1/AC68,1/AC69,1/AC70,1/AC71,1/AC72,1/AC73,1/AC74,1/AC75,1/AC76)</f>
        <v>8.2644614070250314E-5</v>
      </c>
      <c r="AD63" s="40">
        <f t="shared" si="94"/>
        <v>8.2644614070250314E-5</v>
      </c>
      <c r="AE63" s="40">
        <f t="shared" si="94"/>
        <v>8.2644614070250314E-5</v>
      </c>
      <c r="AF63" s="40">
        <f t="shared" si="94"/>
        <v>8.2644614070250314E-5</v>
      </c>
      <c r="AG63" s="40">
        <f t="shared" si="94"/>
        <v>8.2644614070250314E-5</v>
      </c>
      <c r="AH63" s="40">
        <f t="shared" si="94"/>
        <v>8.2644614070250314E-5</v>
      </c>
      <c r="AI63" s="40">
        <f t="shared" si="94"/>
        <v>8.2644614070250314E-5</v>
      </c>
      <c r="AJ63" s="40">
        <f t="shared" si="94"/>
        <v>8.2644614070250314E-5</v>
      </c>
      <c r="AK63" s="40">
        <f t="shared" si="94"/>
        <v>8.2644614070250314E-5</v>
      </c>
      <c r="AL63" s="40">
        <f t="shared" si="94"/>
        <v>8.2644614070250314E-5</v>
      </c>
      <c r="AM63" s="40">
        <f t="shared" si="94"/>
        <v>8.2644614070250314E-5</v>
      </c>
      <c r="AN63" s="40">
        <f t="shared" si="94"/>
        <v>8.2644614070250314E-5</v>
      </c>
      <c r="AO63" s="40">
        <f t="shared" si="94"/>
        <v>8.2644614070250314E-5</v>
      </c>
      <c r="AP63" s="40">
        <f t="shared" si="94"/>
        <v>8.2644614070250314E-5</v>
      </c>
      <c r="AQ63" s="40">
        <f t="shared" si="94"/>
        <v>8.2644614070250314E-5</v>
      </c>
      <c r="AR63" s="40">
        <f t="shared" si="94"/>
        <v>8.2644614070250314E-5</v>
      </c>
      <c r="AS63" s="40">
        <f t="shared" si="94"/>
        <v>8.2644614070250314E-5</v>
      </c>
      <c r="AT63" s="40">
        <f t="shared" si="94"/>
        <v>8.2644614070250314E-5</v>
      </c>
      <c r="AU63" s="40">
        <f t="shared" si="94"/>
        <v>8.2644614070250314E-5</v>
      </c>
      <c r="AV63" s="40">
        <f t="shared" si="94"/>
        <v>8.2644614070250314E-5</v>
      </c>
      <c r="AW63" s="40">
        <f t="shared" si="94"/>
        <v>8.2644614070250314E-5</v>
      </c>
      <c r="AX63" s="40">
        <f t="shared" si="94"/>
        <v>8.2644614070250314E-5</v>
      </c>
      <c r="AY63" s="40">
        <f t="shared" si="94"/>
        <v>8.2644614070250314E-5</v>
      </c>
      <c r="AZ63" s="40">
        <f t="shared" si="94"/>
        <v>8.2644614070250314E-5</v>
      </c>
      <c r="BA63" s="33">
        <f t="shared" si="27"/>
        <v>907500.15404812503</v>
      </c>
      <c r="BB63" s="33">
        <f t="shared" ref="BB63:BY63" si="95">IFERROR(SUM(BB64:BB76),".")</f>
        <v>302500.05134937499</v>
      </c>
      <c r="BC63" s="33">
        <f t="shared" si="95"/>
        <v>302500.05134937499</v>
      </c>
      <c r="BD63" s="33">
        <f t="shared" si="95"/>
        <v>302500.05134937499</v>
      </c>
      <c r="BE63" s="33">
        <f t="shared" si="95"/>
        <v>302500.05134937499</v>
      </c>
      <c r="BF63" s="33">
        <f t="shared" si="95"/>
        <v>302500.05134937499</v>
      </c>
      <c r="BG63" s="33">
        <f t="shared" si="95"/>
        <v>302500.05134937499</v>
      </c>
      <c r="BH63" s="33">
        <f t="shared" si="95"/>
        <v>302500.05134937499</v>
      </c>
      <c r="BI63" s="33">
        <f t="shared" si="95"/>
        <v>302500.05134937499</v>
      </c>
      <c r="BJ63" s="33">
        <f t="shared" si="95"/>
        <v>302500.05134937499</v>
      </c>
      <c r="BK63" s="33">
        <f t="shared" si="95"/>
        <v>302500.05134937499</v>
      </c>
      <c r="BL63" s="33">
        <f t="shared" si="95"/>
        <v>302500.05134937499</v>
      </c>
      <c r="BM63" s="33">
        <f t="shared" si="95"/>
        <v>302500.05134937499</v>
      </c>
      <c r="BN63" s="33">
        <f t="shared" si="95"/>
        <v>302500.05134937499</v>
      </c>
      <c r="BO63" s="33">
        <f t="shared" si="95"/>
        <v>302500.05134937499</v>
      </c>
      <c r="BP63" s="33">
        <f t="shared" si="95"/>
        <v>302500.05134937499</v>
      </c>
      <c r="BQ63" s="33">
        <f t="shared" si="95"/>
        <v>302500.05134937499</v>
      </c>
      <c r="BR63" s="33">
        <f t="shared" si="95"/>
        <v>302500.05134937499</v>
      </c>
      <c r="BS63" s="33">
        <f t="shared" si="95"/>
        <v>302500.05134937499</v>
      </c>
      <c r="BT63" s="33">
        <f t="shared" si="95"/>
        <v>302500.05134937499</v>
      </c>
      <c r="BU63" s="33">
        <f t="shared" si="95"/>
        <v>302500.05134937499</v>
      </c>
      <c r="BV63" s="33">
        <f t="shared" si="95"/>
        <v>302500.05134937499</v>
      </c>
      <c r="BW63" s="33">
        <f t="shared" si="95"/>
        <v>302500.05134937499</v>
      </c>
      <c r="BX63" s="33">
        <f t="shared" si="95"/>
        <v>302500.05134937499</v>
      </c>
      <c r="BY63" s="33">
        <f t="shared" si="95"/>
        <v>302500.05134937499</v>
      </c>
    </row>
    <row r="64" spans="1:77" x14ac:dyDescent="0.25">
      <c r="A64" s="66" t="s">
        <v>1075</v>
      </c>
      <c r="B64" s="49">
        <v>1</v>
      </c>
      <c r="C64" s="67">
        <f t="shared" si="24"/>
        <v>2.2038567493112948E-4</v>
      </c>
      <c r="D64" s="42">
        <f t="shared" ref="D64:AA64" si="96">IFERROR(D25/$B50,0)</f>
        <v>6.6115702479338848E-4</v>
      </c>
      <c r="E64" s="42">
        <f t="shared" si="96"/>
        <v>6.6115702479338848E-4</v>
      </c>
      <c r="F64" s="42">
        <f t="shared" si="96"/>
        <v>6.6115702479338848E-4</v>
      </c>
      <c r="G64" s="42">
        <f t="shared" si="96"/>
        <v>6.6115702479338848E-4</v>
      </c>
      <c r="H64" s="42">
        <f t="shared" si="96"/>
        <v>6.6115702479338848E-4</v>
      </c>
      <c r="I64" s="42">
        <f t="shared" si="96"/>
        <v>6.6115702479338848E-4</v>
      </c>
      <c r="J64" s="42">
        <f t="shared" si="96"/>
        <v>6.6115702479338848E-4</v>
      </c>
      <c r="K64" s="42">
        <f t="shared" si="96"/>
        <v>6.6115702479338848E-4</v>
      </c>
      <c r="L64" s="42">
        <f t="shared" si="96"/>
        <v>6.6115702479338848E-4</v>
      </c>
      <c r="M64" s="42">
        <f t="shared" si="96"/>
        <v>6.6115702479338848E-4</v>
      </c>
      <c r="N64" s="42">
        <f t="shared" si="96"/>
        <v>6.6115702479338848E-4</v>
      </c>
      <c r="O64" s="42">
        <f t="shared" si="96"/>
        <v>6.6115702479338848E-4</v>
      </c>
      <c r="P64" s="42">
        <f t="shared" si="96"/>
        <v>6.6115702479338848E-4</v>
      </c>
      <c r="Q64" s="42">
        <f t="shared" si="96"/>
        <v>6.6115702479338848E-4</v>
      </c>
      <c r="R64" s="42">
        <f t="shared" si="96"/>
        <v>6.6115702479338848E-4</v>
      </c>
      <c r="S64" s="42">
        <f t="shared" si="96"/>
        <v>6.6115702479338848E-4</v>
      </c>
      <c r="T64" s="42">
        <f t="shared" si="96"/>
        <v>6.6115702479338848E-4</v>
      </c>
      <c r="U64" s="42">
        <f t="shared" si="96"/>
        <v>6.6115702479338848E-4</v>
      </c>
      <c r="V64" s="42">
        <f t="shared" si="96"/>
        <v>6.6115702479338848E-4</v>
      </c>
      <c r="W64" s="42">
        <f t="shared" si="96"/>
        <v>6.6115702479338848E-4</v>
      </c>
      <c r="X64" s="42">
        <f t="shared" si="96"/>
        <v>6.6115702479338848E-4</v>
      </c>
      <c r="Y64" s="42">
        <f t="shared" si="96"/>
        <v>6.6115702479338848E-4</v>
      </c>
      <c r="Z64" s="42">
        <f t="shared" si="96"/>
        <v>6.6115702479338848E-4</v>
      </c>
      <c r="AA64" s="42">
        <f t="shared" si="96"/>
        <v>6.6115702479338848E-4</v>
      </c>
      <c r="AB64" s="67">
        <f t="shared" si="25"/>
        <v>2.2038567493112948E-4</v>
      </c>
      <c r="AC64" s="42">
        <f t="shared" ref="AC64:AZ64" si="97">IFERROR(AC25/$B50,0)</f>
        <v>6.6115702479338848E-4</v>
      </c>
      <c r="AD64" s="42">
        <f t="shared" si="97"/>
        <v>6.6115702479338848E-4</v>
      </c>
      <c r="AE64" s="42">
        <f t="shared" si="97"/>
        <v>6.6115702479338848E-4</v>
      </c>
      <c r="AF64" s="42">
        <f t="shared" si="97"/>
        <v>6.6115702479338848E-4</v>
      </c>
      <c r="AG64" s="42">
        <f t="shared" si="97"/>
        <v>6.6115702479338848E-4</v>
      </c>
      <c r="AH64" s="42">
        <f t="shared" si="97"/>
        <v>6.6115702479338848E-4</v>
      </c>
      <c r="AI64" s="42">
        <f t="shared" si="97"/>
        <v>6.6115702479338848E-4</v>
      </c>
      <c r="AJ64" s="42">
        <f t="shared" si="97"/>
        <v>6.6115702479338848E-4</v>
      </c>
      <c r="AK64" s="42">
        <f t="shared" si="97"/>
        <v>6.6115702479338848E-4</v>
      </c>
      <c r="AL64" s="42">
        <f t="shared" si="97"/>
        <v>6.6115702479338848E-4</v>
      </c>
      <c r="AM64" s="42">
        <f t="shared" si="97"/>
        <v>6.6115702479338848E-4</v>
      </c>
      <c r="AN64" s="42">
        <f t="shared" si="97"/>
        <v>6.6115702479338848E-4</v>
      </c>
      <c r="AO64" s="42">
        <f t="shared" si="97"/>
        <v>6.6115702479338848E-4</v>
      </c>
      <c r="AP64" s="42">
        <f t="shared" si="97"/>
        <v>6.6115702479338848E-4</v>
      </c>
      <c r="AQ64" s="42">
        <f t="shared" si="97"/>
        <v>6.6115702479338848E-4</v>
      </c>
      <c r="AR64" s="42">
        <f t="shared" si="97"/>
        <v>6.6115702479338848E-4</v>
      </c>
      <c r="AS64" s="42">
        <f t="shared" si="97"/>
        <v>6.6115702479338848E-4</v>
      </c>
      <c r="AT64" s="42">
        <f t="shared" si="97"/>
        <v>6.6115702479338848E-4</v>
      </c>
      <c r="AU64" s="42">
        <f t="shared" si="97"/>
        <v>6.6115702479338848E-4</v>
      </c>
      <c r="AV64" s="42">
        <f t="shared" si="97"/>
        <v>6.6115702479338848E-4</v>
      </c>
      <c r="AW64" s="42">
        <f t="shared" si="97"/>
        <v>6.6115702479338848E-4</v>
      </c>
      <c r="AX64" s="42">
        <f t="shared" si="97"/>
        <v>6.6115702479338848E-4</v>
      </c>
      <c r="AY64" s="42">
        <f t="shared" si="97"/>
        <v>6.6115702479338848E-4</v>
      </c>
      <c r="AZ64" s="42">
        <f t="shared" si="97"/>
        <v>6.6115702479338848E-4</v>
      </c>
      <c r="BA64" s="34">
        <f t="shared" si="27"/>
        <v>113437.5</v>
      </c>
      <c r="BB64" s="34">
        <f>IFERROR(up_RadSpec!$J$25*(BB25*$B64),".")</f>
        <v>37812.5</v>
      </c>
      <c r="BC64" s="34">
        <f>IFERROR(up_RadSpec!$J$25*(BC25*$B64),".")</f>
        <v>37812.5</v>
      </c>
      <c r="BD64" s="34">
        <f>IFERROR(up_RadSpec!$J$25*(BD25*$B64),".")</f>
        <v>37812.5</v>
      </c>
      <c r="BE64" s="34">
        <f>IFERROR(up_RadSpec!$J$25*(BE25*$B64),".")</f>
        <v>37812.5</v>
      </c>
      <c r="BF64" s="34">
        <f>IFERROR(up_RadSpec!$J$25*(BF25*$B64),".")</f>
        <v>37812.5</v>
      </c>
      <c r="BG64" s="34">
        <f>IFERROR(up_RadSpec!$J$25*(BG25*$B64),".")</f>
        <v>37812.5</v>
      </c>
      <c r="BH64" s="34">
        <f>IFERROR(up_RadSpec!$J$25*(BH25*$B64),".")</f>
        <v>37812.5</v>
      </c>
      <c r="BI64" s="34">
        <f>IFERROR(up_RadSpec!$J$25*(BI25*$B64),".")</f>
        <v>37812.5</v>
      </c>
      <c r="BJ64" s="34">
        <f>IFERROR(up_RadSpec!$J$25*(BJ25*$B64),".")</f>
        <v>37812.5</v>
      </c>
      <c r="BK64" s="34">
        <f>IFERROR(up_RadSpec!$J$25*(BK25*$B64),".")</f>
        <v>37812.5</v>
      </c>
      <c r="BL64" s="34">
        <f>IFERROR(up_RadSpec!$J$25*(BL25*$B64),".")</f>
        <v>37812.5</v>
      </c>
      <c r="BM64" s="34">
        <f>IFERROR(up_RadSpec!$J$25*(BM25*$B64),".")</f>
        <v>37812.5</v>
      </c>
      <c r="BN64" s="34">
        <f>IFERROR(up_RadSpec!$J$25*(BN25*$B64),".")</f>
        <v>37812.5</v>
      </c>
      <c r="BO64" s="34">
        <f>IFERROR(up_RadSpec!$J$25*(BO25*$B64),".")</f>
        <v>37812.5</v>
      </c>
      <c r="BP64" s="34">
        <f>IFERROR(up_RadSpec!$J$25*(BP25*$B64),".")</f>
        <v>37812.5</v>
      </c>
      <c r="BQ64" s="34">
        <f>IFERROR(up_RadSpec!$J$25*(BQ25*$B64),".")</f>
        <v>37812.5</v>
      </c>
      <c r="BR64" s="34">
        <f>IFERROR(up_RadSpec!$J$25*(BR25*$B64),".")</f>
        <v>37812.5</v>
      </c>
      <c r="BS64" s="34">
        <f>IFERROR(up_RadSpec!$J$25*(BS25*$B64),".")</f>
        <v>37812.5</v>
      </c>
      <c r="BT64" s="34">
        <f>IFERROR(up_RadSpec!$J$25*(BT25*$B64),".")</f>
        <v>37812.5</v>
      </c>
      <c r="BU64" s="34">
        <f>IFERROR(up_RadSpec!$J$25*(BU25*$B64),".")</f>
        <v>37812.5</v>
      </c>
      <c r="BV64" s="34">
        <f>IFERROR(up_RadSpec!$J$25*(BV25*$B64),".")</f>
        <v>37812.5</v>
      </c>
      <c r="BW64" s="34">
        <f>IFERROR(up_RadSpec!$J$25*(BW25*$B64),".")</f>
        <v>37812.5</v>
      </c>
      <c r="BX64" s="34">
        <f>IFERROR(up_RadSpec!$J$25*(BX25*$B64),".")</f>
        <v>37812.5</v>
      </c>
      <c r="BY64" s="34">
        <f>IFERROR(up_RadSpec!$J$25*(BY25*$B64),".")</f>
        <v>37812.5</v>
      </c>
    </row>
    <row r="65" spans="1:77" x14ac:dyDescent="0.25">
      <c r="A65" s="66" t="s">
        <v>1061</v>
      </c>
      <c r="B65" s="49">
        <v>1</v>
      </c>
      <c r="C65" s="67">
        <f t="shared" si="24"/>
        <v>2.2038567493112948E-4</v>
      </c>
      <c r="D65" s="42">
        <f t="shared" ref="D65:AA65" si="98">IFERROR(D21/$B51,0)</f>
        <v>6.6115702479338848E-4</v>
      </c>
      <c r="E65" s="42">
        <f t="shared" si="98"/>
        <v>6.6115702479338848E-4</v>
      </c>
      <c r="F65" s="42">
        <f t="shared" si="98"/>
        <v>6.6115702479338848E-4</v>
      </c>
      <c r="G65" s="42">
        <f t="shared" si="98"/>
        <v>6.6115702479338848E-4</v>
      </c>
      <c r="H65" s="42">
        <f t="shared" si="98"/>
        <v>6.6115702479338848E-4</v>
      </c>
      <c r="I65" s="42">
        <f t="shared" si="98"/>
        <v>6.6115702479338848E-4</v>
      </c>
      <c r="J65" s="42">
        <f t="shared" si="98"/>
        <v>6.6115702479338848E-4</v>
      </c>
      <c r="K65" s="42">
        <f t="shared" si="98"/>
        <v>6.6115702479338848E-4</v>
      </c>
      <c r="L65" s="42">
        <f t="shared" si="98"/>
        <v>6.6115702479338848E-4</v>
      </c>
      <c r="M65" s="42">
        <f t="shared" si="98"/>
        <v>6.6115702479338848E-4</v>
      </c>
      <c r="N65" s="42">
        <f t="shared" si="98"/>
        <v>6.6115702479338848E-4</v>
      </c>
      <c r="O65" s="42">
        <f t="shared" si="98"/>
        <v>6.6115702479338848E-4</v>
      </c>
      <c r="P65" s="42">
        <f t="shared" si="98"/>
        <v>6.6115702479338848E-4</v>
      </c>
      <c r="Q65" s="42">
        <f t="shared" si="98"/>
        <v>6.6115702479338848E-4</v>
      </c>
      <c r="R65" s="42">
        <f t="shared" si="98"/>
        <v>6.6115702479338848E-4</v>
      </c>
      <c r="S65" s="42">
        <f t="shared" si="98"/>
        <v>6.6115702479338848E-4</v>
      </c>
      <c r="T65" s="42">
        <f t="shared" si="98"/>
        <v>6.6115702479338848E-4</v>
      </c>
      <c r="U65" s="42">
        <f t="shared" si="98"/>
        <v>6.6115702479338848E-4</v>
      </c>
      <c r="V65" s="42">
        <f t="shared" si="98"/>
        <v>6.6115702479338848E-4</v>
      </c>
      <c r="W65" s="42">
        <f t="shared" si="98"/>
        <v>6.6115702479338848E-4</v>
      </c>
      <c r="X65" s="42">
        <f t="shared" si="98"/>
        <v>6.6115702479338848E-4</v>
      </c>
      <c r="Y65" s="42">
        <f t="shared" si="98"/>
        <v>6.6115702479338848E-4</v>
      </c>
      <c r="Z65" s="42">
        <f t="shared" si="98"/>
        <v>6.6115702479338848E-4</v>
      </c>
      <c r="AA65" s="42">
        <f t="shared" si="98"/>
        <v>6.6115702479338848E-4</v>
      </c>
      <c r="AB65" s="67">
        <f t="shared" si="25"/>
        <v>2.2038567493112948E-4</v>
      </c>
      <c r="AC65" s="42">
        <f t="shared" ref="AC65:AZ65" si="99">IFERROR(AC21/$B51,0)</f>
        <v>6.6115702479338848E-4</v>
      </c>
      <c r="AD65" s="42">
        <f t="shared" si="99"/>
        <v>6.6115702479338848E-4</v>
      </c>
      <c r="AE65" s="42">
        <f t="shared" si="99"/>
        <v>6.6115702479338848E-4</v>
      </c>
      <c r="AF65" s="42">
        <f t="shared" si="99"/>
        <v>6.6115702479338848E-4</v>
      </c>
      <c r="AG65" s="42">
        <f t="shared" si="99"/>
        <v>6.6115702479338848E-4</v>
      </c>
      <c r="AH65" s="42">
        <f t="shared" si="99"/>
        <v>6.6115702479338848E-4</v>
      </c>
      <c r="AI65" s="42">
        <f t="shared" si="99"/>
        <v>6.6115702479338848E-4</v>
      </c>
      <c r="AJ65" s="42">
        <f t="shared" si="99"/>
        <v>6.6115702479338848E-4</v>
      </c>
      <c r="AK65" s="42">
        <f t="shared" si="99"/>
        <v>6.6115702479338848E-4</v>
      </c>
      <c r="AL65" s="42">
        <f t="shared" si="99"/>
        <v>6.6115702479338848E-4</v>
      </c>
      <c r="AM65" s="42">
        <f t="shared" si="99"/>
        <v>6.6115702479338848E-4</v>
      </c>
      <c r="AN65" s="42">
        <f t="shared" si="99"/>
        <v>6.6115702479338848E-4</v>
      </c>
      <c r="AO65" s="42">
        <f t="shared" si="99"/>
        <v>6.6115702479338848E-4</v>
      </c>
      <c r="AP65" s="42">
        <f t="shared" si="99"/>
        <v>6.6115702479338848E-4</v>
      </c>
      <c r="AQ65" s="42">
        <f t="shared" si="99"/>
        <v>6.6115702479338848E-4</v>
      </c>
      <c r="AR65" s="42">
        <f t="shared" si="99"/>
        <v>6.6115702479338848E-4</v>
      </c>
      <c r="AS65" s="42">
        <f t="shared" si="99"/>
        <v>6.6115702479338848E-4</v>
      </c>
      <c r="AT65" s="42">
        <f t="shared" si="99"/>
        <v>6.6115702479338848E-4</v>
      </c>
      <c r="AU65" s="42">
        <f t="shared" si="99"/>
        <v>6.6115702479338848E-4</v>
      </c>
      <c r="AV65" s="42">
        <f t="shared" si="99"/>
        <v>6.6115702479338848E-4</v>
      </c>
      <c r="AW65" s="42">
        <f t="shared" si="99"/>
        <v>6.6115702479338848E-4</v>
      </c>
      <c r="AX65" s="42">
        <f t="shared" si="99"/>
        <v>6.6115702479338848E-4</v>
      </c>
      <c r="AY65" s="42">
        <f t="shared" si="99"/>
        <v>6.6115702479338848E-4</v>
      </c>
      <c r="AZ65" s="42">
        <f t="shared" si="99"/>
        <v>6.6115702479338848E-4</v>
      </c>
      <c r="BA65" s="34">
        <f t="shared" si="27"/>
        <v>113437.5</v>
      </c>
      <c r="BB65" s="34">
        <f>IFERROR(up_RadSpec!$J$21*(BB21*$B65),".")</f>
        <v>37812.5</v>
      </c>
      <c r="BC65" s="34">
        <f>IFERROR(up_RadSpec!$J$21*(BC21*$B65),".")</f>
        <v>37812.5</v>
      </c>
      <c r="BD65" s="34">
        <f>IFERROR(up_RadSpec!$J$21*(BD21*$B65),".")</f>
        <v>37812.5</v>
      </c>
      <c r="BE65" s="34">
        <f>IFERROR(up_RadSpec!$J$21*(BE21*$B65),".")</f>
        <v>37812.5</v>
      </c>
      <c r="BF65" s="34">
        <f>IFERROR(up_RadSpec!$J$21*(BF21*$B65),".")</f>
        <v>37812.5</v>
      </c>
      <c r="BG65" s="34">
        <f>IFERROR(up_RadSpec!$J$21*(BG21*$B65),".")</f>
        <v>37812.5</v>
      </c>
      <c r="BH65" s="34">
        <f>IFERROR(up_RadSpec!$J$21*(BH21*$B65),".")</f>
        <v>37812.5</v>
      </c>
      <c r="BI65" s="34">
        <f>IFERROR(up_RadSpec!$J$21*(BI21*$B65),".")</f>
        <v>37812.5</v>
      </c>
      <c r="BJ65" s="34">
        <f>IFERROR(up_RadSpec!$J$21*(BJ21*$B65),".")</f>
        <v>37812.5</v>
      </c>
      <c r="BK65" s="34">
        <f>IFERROR(up_RadSpec!$J$21*(BK21*$B65),".")</f>
        <v>37812.5</v>
      </c>
      <c r="BL65" s="34">
        <f>IFERROR(up_RadSpec!$J$21*(BL21*$B65),".")</f>
        <v>37812.5</v>
      </c>
      <c r="BM65" s="34">
        <f>IFERROR(up_RadSpec!$J$21*(BM21*$B65),".")</f>
        <v>37812.5</v>
      </c>
      <c r="BN65" s="34">
        <f>IFERROR(up_RadSpec!$J$21*(BN21*$B65),".")</f>
        <v>37812.5</v>
      </c>
      <c r="BO65" s="34">
        <f>IFERROR(up_RadSpec!$J$21*(BO21*$B65),".")</f>
        <v>37812.5</v>
      </c>
      <c r="BP65" s="34">
        <f>IFERROR(up_RadSpec!$J$21*(BP21*$B65),".")</f>
        <v>37812.5</v>
      </c>
      <c r="BQ65" s="34">
        <f>IFERROR(up_RadSpec!$J$21*(BQ21*$B65),".")</f>
        <v>37812.5</v>
      </c>
      <c r="BR65" s="34">
        <f>IFERROR(up_RadSpec!$J$21*(BR21*$B65),".")</f>
        <v>37812.5</v>
      </c>
      <c r="BS65" s="34">
        <f>IFERROR(up_RadSpec!$J$21*(BS21*$B65),".")</f>
        <v>37812.5</v>
      </c>
      <c r="BT65" s="34">
        <f>IFERROR(up_RadSpec!$J$21*(BT21*$B65),".")</f>
        <v>37812.5</v>
      </c>
      <c r="BU65" s="34">
        <f>IFERROR(up_RadSpec!$J$21*(BU21*$B65),".")</f>
        <v>37812.5</v>
      </c>
      <c r="BV65" s="34">
        <f>IFERROR(up_RadSpec!$J$21*(BV21*$B65),".")</f>
        <v>37812.5</v>
      </c>
      <c r="BW65" s="34">
        <f>IFERROR(up_RadSpec!$J$21*(BW21*$B65),".")</f>
        <v>37812.5</v>
      </c>
      <c r="BX65" s="34">
        <f>IFERROR(up_RadSpec!$J$21*(BX21*$B65),".")</f>
        <v>37812.5</v>
      </c>
      <c r="BY65" s="34">
        <f>IFERROR(up_RadSpec!$J$21*(BY21*$B65),".")</f>
        <v>37812.5</v>
      </c>
    </row>
    <row r="66" spans="1:77" x14ac:dyDescent="0.25">
      <c r="A66" s="66" t="s">
        <v>1062</v>
      </c>
      <c r="B66" s="49">
        <v>0.99980000000000002</v>
      </c>
      <c r="C66" s="67">
        <f t="shared" si="24"/>
        <v>2.2042976088330616E-4</v>
      </c>
      <c r="D66" s="42">
        <f t="shared" ref="D66:AA66" si="100">IFERROR(D17/$B52,0)</f>
        <v>6.6128928264991846E-4</v>
      </c>
      <c r="E66" s="42">
        <f t="shared" si="100"/>
        <v>6.6128928264991846E-4</v>
      </c>
      <c r="F66" s="42">
        <f t="shared" si="100"/>
        <v>6.6128928264991846E-4</v>
      </c>
      <c r="G66" s="42">
        <f t="shared" si="100"/>
        <v>6.6128928264991846E-4</v>
      </c>
      <c r="H66" s="42">
        <f t="shared" si="100"/>
        <v>6.6128928264991846E-4</v>
      </c>
      <c r="I66" s="42">
        <f t="shared" si="100"/>
        <v>6.6128928264991846E-4</v>
      </c>
      <c r="J66" s="42">
        <f t="shared" si="100"/>
        <v>6.6128928264991846E-4</v>
      </c>
      <c r="K66" s="42">
        <f t="shared" si="100"/>
        <v>6.6128928264991846E-4</v>
      </c>
      <c r="L66" s="42">
        <f t="shared" si="100"/>
        <v>6.6128928264991846E-4</v>
      </c>
      <c r="M66" s="42">
        <f t="shared" si="100"/>
        <v>6.6128928264991846E-4</v>
      </c>
      <c r="N66" s="42">
        <f t="shared" si="100"/>
        <v>6.6128928264991846E-4</v>
      </c>
      <c r="O66" s="42">
        <f t="shared" si="100"/>
        <v>6.6128928264991846E-4</v>
      </c>
      <c r="P66" s="42">
        <f t="shared" si="100"/>
        <v>6.6128928264991846E-4</v>
      </c>
      <c r="Q66" s="42">
        <f t="shared" si="100"/>
        <v>6.6128928264991846E-4</v>
      </c>
      <c r="R66" s="42">
        <f t="shared" si="100"/>
        <v>6.6128928264991846E-4</v>
      </c>
      <c r="S66" s="42">
        <f t="shared" si="100"/>
        <v>6.6128928264991846E-4</v>
      </c>
      <c r="T66" s="42">
        <f t="shared" si="100"/>
        <v>6.6128928264991846E-4</v>
      </c>
      <c r="U66" s="42">
        <f t="shared" si="100"/>
        <v>6.6128928264991846E-4</v>
      </c>
      <c r="V66" s="42">
        <f t="shared" si="100"/>
        <v>6.6128928264991846E-4</v>
      </c>
      <c r="W66" s="42">
        <f t="shared" si="100"/>
        <v>6.6128928264991846E-4</v>
      </c>
      <c r="X66" s="42">
        <f t="shared" si="100"/>
        <v>6.6128928264991846E-4</v>
      </c>
      <c r="Y66" s="42">
        <f t="shared" si="100"/>
        <v>6.6128928264991846E-4</v>
      </c>
      <c r="Z66" s="42">
        <f t="shared" si="100"/>
        <v>6.6128928264991846E-4</v>
      </c>
      <c r="AA66" s="42">
        <f t="shared" si="100"/>
        <v>6.6128928264991846E-4</v>
      </c>
      <c r="AB66" s="67">
        <f t="shared" si="25"/>
        <v>2.2042976088330616E-4</v>
      </c>
      <c r="AC66" s="42">
        <f t="shared" ref="AC66:AZ66" si="101">IFERROR(AC17/$B52,0)</f>
        <v>6.6128928264991846E-4</v>
      </c>
      <c r="AD66" s="42">
        <f t="shared" si="101"/>
        <v>6.6128928264991846E-4</v>
      </c>
      <c r="AE66" s="42">
        <f t="shared" si="101"/>
        <v>6.6128928264991846E-4</v>
      </c>
      <c r="AF66" s="42">
        <f t="shared" si="101"/>
        <v>6.6128928264991846E-4</v>
      </c>
      <c r="AG66" s="42">
        <f t="shared" si="101"/>
        <v>6.6128928264991846E-4</v>
      </c>
      <c r="AH66" s="42">
        <f t="shared" si="101"/>
        <v>6.6128928264991846E-4</v>
      </c>
      <c r="AI66" s="42">
        <f t="shared" si="101"/>
        <v>6.6128928264991846E-4</v>
      </c>
      <c r="AJ66" s="42">
        <f t="shared" si="101"/>
        <v>6.6128928264991846E-4</v>
      </c>
      <c r="AK66" s="42">
        <f t="shared" si="101"/>
        <v>6.6128928264991846E-4</v>
      </c>
      <c r="AL66" s="42">
        <f t="shared" si="101"/>
        <v>6.6128928264991846E-4</v>
      </c>
      <c r="AM66" s="42">
        <f t="shared" si="101"/>
        <v>6.6128928264991846E-4</v>
      </c>
      <c r="AN66" s="42">
        <f t="shared" si="101"/>
        <v>6.6128928264991846E-4</v>
      </c>
      <c r="AO66" s="42">
        <f t="shared" si="101"/>
        <v>6.6128928264991846E-4</v>
      </c>
      <c r="AP66" s="42">
        <f t="shared" si="101"/>
        <v>6.6128928264991846E-4</v>
      </c>
      <c r="AQ66" s="42">
        <f t="shared" si="101"/>
        <v>6.6128928264991846E-4</v>
      </c>
      <c r="AR66" s="42">
        <f t="shared" si="101"/>
        <v>6.6128928264991846E-4</v>
      </c>
      <c r="AS66" s="42">
        <f t="shared" si="101"/>
        <v>6.6128928264991846E-4</v>
      </c>
      <c r="AT66" s="42">
        <f t="shared" si="101"/>
        <v>6.6128928264991846E-4</v>
      </c>
      <c r="AU66" s="42">
        <f t="shared" si="101"/>
        <v>6.6128928264991846E-4</v>
      </c>
      <c r="AV66" s="42">
        <f t="shared" si="101"/>
        <v>6.6128928264991846E-4</v>
      </c>
      <c r="AW66" s="42">
        <f t="shared" si="101"/>
        <v>6.6128928264991846E-4</v>
      </c>
      <c r="AX66" s="42">
        <f t="shared" si="101"/>
        <v>6.6128928264991846E-4</v>
      </c>
      <c r="AY66" s="42">
        <f t="shared" si="101"/>
        <v>6.6128928264991846E-4</v>
      </c>
      <c r="AZ66" s="42">
        <f t="shared" si="101"/>
        <v>6.6128928264991846E-4</v>
      </c>
      <c r="BA66" s="34">
        <f t="shared" si="27"/>
        <v>113414.8125</v>
      </c>
      <c r="BB66" s="34">
        <f>IFERROR(up_RadSpec!$J$17*(BB17*$B66),".")</f>
        <v>37804.9375</v>
      </c>
      <c r="BC66" s="34">
        <f>IFERROR(up_RadSpec!$J$17*(BC17*$B66),".")</f>
        <v>37804.9375</v>
      </c>
      <c r="BD66" s="34">
        <f>IFERROR(up_RadSpec!$J$17*(BD17*$B66),".")</f>
        <v>37804.9375</v>
      </c>
      <c r="BE66" s="34">
        <f>IFERROR(up_RadSpec!$J$17*(BE17*$B66),".")</f>
        <v>37804.9375</v>
      </c>
      <c r="BF66" s="34">
        <f>IFERROR(up_RadSpec!$J$17*(BF17*$B66),".")</f>
        <v>37804.9375</v>
      </c>
      <c r="BG66" s="34">
        <f>IFERROR(up_RadSpec!$J$17*(BG17*$B66),".")</f>
        <v>37804.9375</v>
      </c>
      <c r="BH66" s="34">
        <f>IFERROR(up_RadSpec!$J$17*(BH17*$B66),".")</f>
        <v>37804.9375</v>
      </c>
      <c r="BI66" s="34">
        <f>IFERROR(up_RadSpec!$J$17*(BI17*$B66),".")</f>
        <v>37804.9375</v>
      </c>
      <c r="BJ66" s="34">
        <f>IFERROR(up_RadSpec!$J$17*(BJ17*$B66),".")</f>
        <v>37804.9375</v>
      </c>
      <c r="BK66" s="34">
        <f>IFERROR(up_RadSpec!$J$17*(BK17*$B66),".")</f>
        <v>37804.9375</v>
      </c>
      <c r="BL66" s="34">
        <f>IFERROR(up_RadSpec!$J$17*(BL17*$B66),".")</f>
        <v>37804.9375</v>
      </c>
      <c r="BM66" s="34">
        <f>IFERROR(up_RadSpec!$J$17*(BM17*$B66),".")</f>
        <v>37804.9375</v>
      </c>
      <c r="BN66" s="34">
        <f>IFERROR(up_RadSpec!$J$17*(BN17*$B66),".")</f>
        <v>37804.9375</v>
      </c>
      <c r="BO66" s="34">
        <f>IFERROR(up_RadSpec!$J$17*(BO17*$B66),".")</f>
        <v>37804.9375</v>
      </c>
      <c r="BP66" s="34">
        <f>IFERROR(up_RadSpec!$J$17*(BP17*$B66),".")</f>
        <v>37804.9375</v>
      </c>
      <c r="BQ66" s="34">
        <f>IFERROR(up_RadSpec!$J$17*(BQ17*$B66),".")</f>
        <v>37804.9375</v>
      </c>
      <c r="BR66" s="34">
        <f>IFERROR(up_RadSpec!$J$17*(BR17*$B66),".")</f>
        <v>37804.9375</v>
      </c>
      <c r="BS66" s="34">
        <f>IFERROR(up_RadSpec!$J$17*(BS17*$B66),".")</f>
        <v>37804.9375</v>
      </c>
      <c r="BT66" s="34">
        <f>IFERROR(up_RadSpec!$J$17*(BT17*$B66),".")</f>
        <v>37804.9375</v>
      </c>
      <c r="BU66" s="34">
        <f>IFERROR(up_RadSpec!$J$17*(BU17*$B66),".")</f>
        <v>37804.9375</v>
      </c>
      <c r="BV66" s="34">
        <f>IFERROR(up_RadSpec!$J$17*(BV17*$B66),".")</f>
        <v>37804.9375</v>
      </c>
      <c r="BW66" s="34">
        <f>IFERROR(up_RadSpec!$J$17*(BW17*$B66),".")</f>
        <v>37804.9375</v>
      </c>
      <c r="BX66" s="34">
        <f>IFERROR(up_RadSpec!$J$17*(BX17*$B66),".")</f>
        <v>37804.9375</v>
      </c>
      <c r="BY66" s="34">
        <f>IFERROR(up_RadSpec!$J$17*(BY17*$B66),".")</f>
        <v>37804.9375</v>
      </c>
    </row>
    <row r="67" spans="1:77" x14ac:dyDescent="0.25">
      <c r="A67" s="66" t="s">
        <v>1076</v>
      </c>
      <c r="B67" s="49">
        <v>2.0000000000000001E-4</v>
      </c>
      <c r="C67" s="67">
        <f t="shared" ref="C67:C76" si="102">IFERROR(1/SUM(1/D67,1/Z67,1/AA67),".")</f>
        <v>1.1019283746556474</v>
      </c>
      <c r="D67" s="42">
        <f t="shared" ref="D67:AA67" si="103">IFERROR(D5/$B53,0)</f>
        <v>3.3057851239669422</v>
      </c>
      <c r="E67" s="42">
        <f t="shared" si="103"/>
        <v>3.3057851239669422</v>
      </c>
      <c r="F67" s="42">
        <f t="shared" si="103"/>
        <v>3.3057851239669422</v>
      </c>
      <c r="G67" s="42">
        <f t="shared" si="103"/>
        <v>3.3057851239669422</v>
      </c>
      <c r="H67" s="42">
        <f t="shared" si="103"/>
        <v>3.3057851239669422</v>
      </c>
      <c r="I67" s="42">
        <f t="shared" si="103"/>
        <v>3.3057851239669422</v>
      </c>
      <c r="J67" s="42">
        <f t="shared" si="103"/>
        <v>3.3057851239669422</v>
      </c>
      <c r="K67" s="42">
        <f t="shared" si="103"/>
        <v>3.3057851239669422</v>
      </c>
      <c r="L67" s="42">
        <f t="shared" si="103"/>
        <v>3.3057851239669422</v>
      </c>
      <c r="M67" s="42">
        <f t="shared" si="103"/>
        <v>3.3057851239669422</v>
      </c>
      <c r="N67" s="42">
        <f t="shared" si="103"/>
        <v>3.3057851239669422</v>
      </c>
      <c r="O67" s="42">
        <f t="shared" si="103"/>
        <v>3.3057851239669422</v>
      </c>
      <c r="P67" s="42">
        <f t="shared" si="103"/>
        <v>3.3057851239669422</v>
      </c>
      <c r="Q67" s="42">
        <f t="shared" si="103"/>
        <v>3.3057851239669422</v>
      </c>
      <c r="R67" s="42">
        <f t="shared" si="103"/>
        <v>3.3057851239669422</v>
      </c>
      <c r="S67" s="42">
        <f t="shared" si="103"/>
        <v>3.3057851239669422</v>
      </c>
      <c r="T67" s="42">
        <f t="shared" si="103"/>
        <v>3.3057851239669422</v>
      </c>
      <c r="U67" s="42">
        <f t="shared" si="103"/>
        <v>3.3057851239669422</v>
      </c>
      <c r="V67" s="42">
        <f t="shared" si="103"/>
        <v>3.3057851239669422</v>
      </c>
      <c r="W67" s="42">
        <f t="shared" si="103"/>
        <v>3.3057851239669422</v>
      </c>
      <c r="X67" s="42">
        <f t="shared" si="103"/>
        <v>3.3057851239669422</v>
      </c>
      <c r="Y67" s="42">
        <f t="shared" si="103"/>
        <v>3.3057851239669422</v>
      </c>
      <c r="Z67" s="42">
        <f t="shared" si="103"/>
        <v>3.3057851239669422</v>
      </c>
      <c r="AA67" s="42">
        <f t="shared" si="103"/>
        <v>3.3057851239669422</v>
      </c>
      <c r="AB67" s="67">
        <f t="shared" ref="AB67:AB76" si="104">IFERROR(1/SUM(1/AC67,1/AY67,1/AZ67),".")</f>
        <v>1.1019283746556474</v>
      </c>
      <c r="AC67" s="42">
        <f t="shared" ref="AC67:AZ67" si="105">IFERROR(AC5/$B53,0)</f>
        <v>3.3057851239669422</v>
      </c>
      <c r="AD67" s="42">
        <f t="shared" si="105"/>
        <v>3.3057851239669422</v>
      </c>
      <c r="AE67" s="42">
        <f t="shared" si="105"/>
        <v>3.3057851239669422</v>
      </c>
      <c r="AF67" s="42">
        <f t="shared" si="105"/>
        <v>3.3057851239669422</v>
      </c>
      <c r="AG67" s="42">
        <f t="shared" si="105"/>
        <v>3.3057851239669422</v>
      </c>
      <c r="AH67" s="42">
        <f t="shared" si="105"/>
        <v>3.3057851239669422</v>
      </c>
      <c r="AI67" s="42">
        <f t="shared" si="105"/>
        <v>3.3057851239669422</v>
      </c>
      <c r="AJ67" s="42">
        <f t="shared" si="105"/>
        <v>3.3057851239669422</v>
      </c>
      <c r="AK67" s="42">
        <f t="shared" si="105"/>
        <v>3.3057851239669422</v>
      </c>
      <c r="AL67" s="42">
        <f t="shared" si="105"/>
        <v>3.3057851239669422</v>
      </c>
      <c r="AM67" s="42">
        <f t="shared" si="105"/>
        <v>3.3057851239669422</v>
      </c>
      <c r="AN67" s="42">
        <f t="shared" si="105"/>
        <v>3.3057851239669422</v>
      </c>
      <c r="AO67" s="42">
        <f t="shared" si="105"/>
        <v>3.3057851239669422</v>
      </c>
      <c r="AP67" s="42">
        <f t="shared" si="105"/>
        <v>3.3057851239669422</v>
      </c>
      <c r="AQ67" s="42">
        <f t="shared" si="105"/>
        <v>3.3057851239669422</v>
      </c>
      <c r="AR67" s="42">
        <f t="shared" si="105"/>
        <v>3.3057851239669422</v>
      </c>
      <c r="AS67" s="42">
        <f t="shared" si="105"/>
        <v>3.3057851239669422</v>
      </c>
      <c r="AT67" s="42">
        <f t="shared" si="105"/>
        <v>3.3057851239669422</v>
      </c>
      <c r="AU67" s="42">
        <f t="shared" si="105"/>
        <v>3.3057851239669422</v>
      </c>
      <c r="AV67" s="42">
        <f t="shared" si="105"/>
        <v>3.3057851239669422</v>
      </c>
      <c r="AW67" s="42">
        <f t="shared" si="105"/>
        <v>3.3057851239669422</v>
      </c>
      <c r="AX67" s="42">
        <f t="shared" si="105"/>
        <v>3.3057851239669422</v>
      </c>
      <c r="AY67" s="42">
        <f t="shared" si="105"/>
        <v>3.3057851239669422</v>
      </c>
      <c r="AZ67" s="42">
        <f t="shared" si="105"/>
        <v>3.3057851239669422</v>
      </c>
      <c r="BA67" s="34">
        <f t="shared" si="27"/>
        <v>22.687500000000004</v>
      </c>
      <c r="BB67" s="34">
        <f>IFERROR(up_RadSpec!$J$5*(BB5*$B67),".")</f>
        <v>7.5625000000000009</v>
      </c>
      <c r="BC67" s="34">
        <f>IFERROR(up_RadSpec!$J$5*(BC5*$B67),".")</f>
        <v>7.5625000000000009</v>
      </c>
      <c r="BD67" s="34">
        <f>IFERROR(up_RadSpec!$J$5*(BD5*$B67),".")</f>
        <v>7.5625000000000009</v>
      </c>
      <c r="BE67" s="34">
        <f>IFERROR(up_RadSpec!$J$5*(BE5*$B67),".")</f>
        <v>7.5625000000000009</v>
      </c>
      <c r="BF67" s="34">
        <f>IFERROR(up_RadSpec!$J$5*(BF5*$B67),".")</f>
        <v>7.5625000000000009</v>
      </c>
      <c r="BG67" s="34">
        <f>IFERROR(up_RadSpec!$J$5*(BG5*$B67),".")</f>
        <v>7.5625000000000009</v>
      </c>
      <c r="BH67" s="34">
        <f>IFERROR(up_RadSpec!$J$5*(BH5*$B67),".")</f>
        <v>7.5625000000000009</v>
      </c>
      <c r="BI67" s="34">
        <f>IFERROR(up_RadSpec!$J$5*(BI5*$B67),".")</f>
        <v>7.5625000000000009</v>
      </c>
      <c r="BJ67" s="34">
        <f>IFERROR(up_RadSpec!$J$5*(BJ5*$B67),".")</f>
        <v>7.5625000000000009</v>
      </c>
      <c r="BK67" s="34">
        <f>IFERROR(up_RadSpec!$J$5*(BK5*$B67),".")</f>
        <v>7.5625000000000009</v>
      </c>
      <c r="BL67" s="34">
        <f>IFERROR(up_RadSpec!$J$5*(BL5*$B67),".")</f>
        <v>7.5625000000000009</v>
      </c>
      <c r="BM67" s="34">
        <f>IFERROR(up_RadSpec!$J$5*(BM5*$B67),".")</f>
        <v>7.5625000000000009</v>
      </c>
      <c r="BN67" s="34">
        <f>IFERROR(up_RadSpec!$J$5*(BN5*$B67),".")</f>
        <v>7.5625000000000009</v>
      </c>
      <c r="BO67" s="34">
        <f>IFERROR(up_RadSpec!$J$5*(BO5*$B67),".")</f>
        <v>7.5625000000000009</v>
      </c>
      <c r="BP67" s="34">
        <f>IFERROR(up_RadSpec!$J$5*(BP5*$B67),".")</f>
        <v>7.5625000000000009</v>
      </c>
      <c r="BQ67" s="34">
        <f>IFERROR(up_RadSpec!$J$5*(BQ5*$B67),".")</f>
        <v>7.5625000000000009</v>
      </c>
      <c r="BR67" s="34">
        <f>IFERROR(up_RadSpec!$J$5*(BR5*$B67),".")</f>
        <v>7.5625000000000009</v>
      </c>
      <c r="BS67" s="34">
        <f>IFERROR(up_RadSpec!$J$5*(BS5*$B67),".")</f>
        <v>7.5625000000000009</v>
      </c>
      <c r="BT67" s="34">
        <f>IFERROR(up_RadSpec!$J$5*(BT5*$B67),".")</f>
        <v>7.5625000000000009</v>
      </c>
      <c r="BU67" s="34">
        <f>IFERROR(up_RadSpec!$J$5*(BU5*$B67),".")</f>
        <v>7.5625000000000009</v>
      </c>
      <c r="BV67" s="34">
        <f>IFERROR(up_RadSpec!$J$5*(BV5*$B67),".")</f>
        <v>7.5625000000000009</v>
      </c>
      <c r="BW67" s="34">
        <f>IFERROR(up_RadSpec!$J$5*(BW5*$B67),".")</f>
        <v>7.5625000000000009</v>
      </c>
      <c r="BX67" s="34">
        <f>IFERROR(up_RadSpec!$J$5*(BX5*$B67),".")</f>
        <v>7.5625000000000009</v>
      </c>
      <c r="BY67" s="34">
        <f>IFERROR(up_RadSpec!$J$5*(BY5*$B67),".")</f>
        <v>7.5625000000000009</v>
      </c>
    </row>
    <row r="68" spans="1:77" x14ac:dyDescent="0.25">
      <c r="A68" s="66" t="s">
        <v>1077</v>
      </c>
      <c r="B68" s="49">
        <v>0.99999979999999999</v>
      </c>
      <c r="C68" s="67">
        <f t="shared" si="102"/>
        <v>2.2038571900827327E-4</v>
      </c>
      <c r="D68" s="42">
        <f t="shared" ref="D68:AA68" si="106">IFERROR(D9/$B54,0)</f>
        <v>6.611571570248199E-4</v>
      </c>
      <c r="E68" s="42">
        <f t="shared" si="106"/>
        <v>6.611571570248199E-4</v>
      </c>
      <c r="F68" s="42">
        <f t="shared" si="106"/>
        <v>6.611571570248199E-4</v>
      </c>
      <c r="G68" s="42">
        <f t="shared" si="106"/>
        <v>6.611571570248199E-4</v>
      </c>
      <c r="H68" s="42">
        <f t="shared" si="106"/>
        <v>6.611571570248199E-4</v>
      </c>
      <c r="I68" s="42">
        <f t="shared" si="106"/>
        <v>6.611571570248199E-4</v>
      </c>
      <c r="J68" s="42">
        <f t="shared" si="106"/>
        <v>6.611571570248199E-4</v>
      </c>
      <c r="K68" s="42">
        <f t="shared" si="106"/>
        <v>6.611571570248199E-4</v>
      </c>
      <c r="L68" s="42">
        <f t="shared" si="106"/>
        <v>6.611571570248199E-4</v>
      </c>
      <c r="M68" s="42">
        <f t="shared" si="106"/>
        <v>6.611571570248199E-4</v>
      </c>
      <c r="N68" s="42">
        <f t="shared" si="106"/>
        <v>6.611571570248199E-4</v>
      </c>
      <c r="O68" s="42">
        <f t="shared" si="106"/>
        <v>6.611571570248199E-4</v>
      </c>
      <c r="P68" s="42">
        <f t="shared" si="106"/>
        <v>6.611571570248199E-4</v>
      </c>
      <c r="Q68" s="42">
        <f t="shared" si="106"/>
        <v>6.611571570248199E-4</v>
      </c>
      <c r="R68" s="42">
        <f t="shared" si="106"/>
        <v>6.611571570248199E-4</v>
      </c>
      <c r="S68" s="42">
        <f t="shared" si="106"/>
        <v>6.611571570248199E-4</v>
      </c>
      <c r="T68" s="42">
        <f t="shared" si="106"/>
        <v>6.611571570248199E-4</v>
      </c>
      <c r="U68" s="42">
        <f t="shared" si="106"/>
        <v>6.611571570248199E-4</v>
      </c>
      <c r="V68" s="42">
        <f t="shared" si="106"/>
        <v>6.611571570248199E-4</v>
      </c>
      <c r="W68" s="42">
        <f t="shared" si="106"/>
        <v>6.611571570248199E-4</v>
      </c>
      <c r="X68" s="42">
        <f t="shared" si="106"/>
        <v>6.611571570248199E-4</v>
      </c>
      <c r="Y68" s="42">
        <f t="shared" si="106"/>
        <v>6.611571570248199E-4</v>
      </c>
      <c r="Z68" s="42">
        <f t="shared" si="106"/>
        <v>6.611571570248199E-4</v>
      </c>
      <c r="AA68" s="42">
        <f t="shared" si="106"/>
        <v>6.611571570248199E-4</v>
      </c>
      <c r="AB68" s="67">
        <f t="shared" si="104"/>
        <v>2.2038571900827327E-4</v>
      </c>
      <c r="AC68" s="42">
        <f t="shared" ref="AC68:AZ68" si="107">IFERROR(AC9/$B54,0)</f>
        <v>6.611571570248199E-4</v>
      </c>
      <c r="AD68" s="42">
        <f t="shared" si="107"/>
        <v>6.611571570248199E-4</v>
      </c>
      <c r="AE68" s="42">
        <f t="shared" si="107"/>
        <v>6.611571570248199E-4</v>
      </c>
      <c r="AF68" s="42">
        <f t="shared" si="107"/>
        <v>6.611571570248199E-4</v>
      </c>
      <c r="AG68" s="42">
        <f t="shared" si="107"/>
        <v>6.611571570248199E-4</v>
      </c>
      <c r="AH68" s="42">
        <f t="shared" si="107"/>
        <v>6.611571570248199E-4</v>
      </c>
      <c r="AI68" s="42">
        <f t="shared" si="107"/>
        <v>6.611571570248199E-4</v>
      </c>
      <c r="AJ68" s="42">
        <f t="shared" si="107"/>
        <v>6.611571570248199E-4</v>
      </c>
      <c r="AK68" s="42">
        <f t="shared" si="107"/>
        <v>6.611571570248199E-4</v>
      </c>
      <c r="AL68" s="42">
        <f t="shared" si="107"/>
        <v>6.611571570248199E-4</v>
      </c>
      <c r="AM68" s="42">
        <f t="shared" si="107"/>
        <v>6.611571570248199E-4</v>
      </c>
      <c r="AN68" s="42">
        <f t="shared" si="107"/>
        <v>6.611571570248199E-4</v>
      </c>
      <c r="AO68" s="42">
        <f t="shared" si="107"/>
        <v>6.611571570248199E-4</v>
      </c>
      <c r="AP68" s="42">
        <f t="shared" si="107"/>
        <v>6.611571570248199E-4</v>
      </c>
      <c r="AQ68" s="42">
        <f t="shared" si="107"/>
        <v>6.611571570248199E-4</v>
      </c>
      <c r="AR68" s="42">
        <f t="shared" si="107"/>
        <v>6.611571570248199E-4</v>
      </c>
      <c r="AS68" s="42">
        <f t="shared" si="107"/>
        <v>6.611571570248199E-4</v>
      </c>
      <c r="AT68" s="42">
        <f t="shared" si="107"/>
        <v>6.611571570248199E-4</v>
      </c>
      <c r="AU68" s="42">
        <f t="shared" si="107"/>
        <v>6.611571570248199E-4</v>
      </c>
      <c r="AV68" s="42">
        <f t="shared" si="107"/>
        <v>6.611571570248199E-4</v>
      </c>
      <c r="AW68" s="42">
        <f t="shared" si="107"/>
        <v>6.611571570248199E-4</v>
      </c>
      <c r="AX68" s="42">
        <f t="shared" si="107"/>
        <v>6.611571570248199E-4</v>
      </c>
      <c r="AY68" s="42">
        <f t="shared" si="107"/>
        <v>6.611571570248199E-4</v>
      </c>
      <c r="AZ68" s="42">
        <f t="shared" si="107"/>
        <v>6.611571570248199E-4</v>
      </c>
      <c r="BA68" s="34">
        <f t="shared" si="27"/>
        <v>113437.47731249999</v>
      </c>
      <c r="BB68" s="34">
        <f>IFERROR(up_RadSpec!$J$9*(BB9*$B68),".")</f>
        <v>37812.492437499997</v>
      </c>
      <c r="BC68" s="34">
        <f>IFERROR(up_RadSpec!$J$9*(BC9*$B68),".")</f>
        <v>37812.492437499997</v>
      </c>
      <c r="BD68" s="34">
        <f>IFERROR(up_RadSpec!$J$9*(BD9*$B68),".")</f>
        <v>37812.492437499997</v>
      </c>
      <c r="BE68" s="34">
        <f>IFERROR(up_RadSpec!$J$9*(BE9*$B68),".")</f>
        <v>37812.492437499997</v>
      </c>
      <c r="BF68" s="34">
        <f>IFERROR(up_RadSpec!$J$9*(BF9*$B68),".")</f>
        <v>37812.492437499997</v>
      </c>
      <c r="BG68" s="34">
        <f>IFERROR(up_RadSpec!$J$9*(BG9*$B68),".")</f>
        <v>37812.492437499997</v>
      </c>
      <c r="BH68" s="34">
        <f>IFERROR(up_RadSpec!$J$9*(BH9*$B68),".")</f>
        <v>37812.492437499997</v>
      </c>
      <c r="BI68" s="34">
        <f>IFERROR(up_RadSpec!$J$9*(BI9*$B68),".")</f>
        <v>37812.492437499997</v>
      </c>
      <c r="BJ68" s="34">
        <f>IFERROR(up_RadSpec!$J$9*(BJ9*$B68),".")</f>
        <v>37812.492437499997</v>
      </c>
      <c r="BK68" s="34">
        <f>IFERROR(up_RadSpec!$J$9*(BK9*$B68),".")</f>
        <v>37812.492437499997</v>
      </c>
      <c r="BL68" s="34">
        <f>IFERROR(up_RadSpec!$J$9*(BL9*$B68),".")</f>
        <v>37812.492437499997</v>
      </c>
      <c r="BM68" s="34">
        <f>IFERROR(up_RadSpec!$J$9*(BM9*$B68),".")</f>
        <v>37812.492437499997</v>
      </c>
      <c r="BN68" s="34">
        <f>IFERROR(up_RadSpec!$J$9*(BN9*$B68),".")</f>
        <v>37812.492437499997</v>
      </c>
      <c r="BO68" s="34">
        <f>IFERROR(up_RadSpec!$J$9*(BO9*$B68),".")</f>
        <v>37812.492437499997</v>
      </c>
      <c r="BP68" s="34">
        <f>IFERROR(up_RadSpec!$J$9*(BP9*$B68),".")</f>
        <v>37812.492437499997</v>
      </c>
      <c r="BQ68" s="34">
        <f>IFERROR(up_RadSpec!$J$9*(BQ9*$B68),".")</f>
        <v>37812.492437499997</v>
      </c>
      <c r="BR68" s="34">
        <f>IFERROR(up_RadSpec!$J$9*(BR9*$B68),".")</f>
        <v>37812.492437499997</v>
      </c>
      <c r="BS68" s="34">
        <f>IFERROR(up_RadSpec!$J$9*(BS9*$B68),".")</f>
        <v>37812.492437499997</v>
      </c>
      <c r="BT68" s="34">
        <f>IFERROR(up_RadSpec!$J$9*(BT9*$B68),".")</f>
        <v>37812.492437499997</v>
      </c>
      <c r="BU68" s="34">
        <f>IFERROR(up_RadSpec!$J$9*(BU9*$B68),".")</f>
        <v>37812.492437499997</v>
      </c>
      <c r="BV68" s="34">
        <f>IFERROR(up_RadSpec!$J$9*(BV9*$B68),".")</f>
        <v>37812.492437499997</v>
      </c>
      <c r="BW68" s="34">
        <f>IFERROR(up_RadSpec!$J$9*(BW9*$B68),".")</f>
        <v>37812.492437499997</v>
      </c>
      <c r="BX68" s="34">
        <f>IFERROR(up_RadSpec!$J$9*(BX9*$B68),".")</f>
        <v>37812.492437499997</v>
      </c>
      <c r="BY68" s="34">
        <f>IFERROR(up_RadSpec!$J$9*(BY9*$B68),".")</f>
        <v>37812.492437499997</v>
      </c>
    </row>
    <row r="69" spans="1:77" x14ac:dyDescent="0.25">
      <c r="A69" s="66" t="s">
        <v>1078</v>
      </c>
      <c r="B69" s="49">
        <v>1.9999999999999999E-7</v>
      </c>
      <c r="C69" s="67">
        <f t="shared" si="102"/>
        <v>1101.9283746556475</v>
      </c>
      <c r="D69" s="42">
        <f t="shared" ref="D69:AA69" si="108">IFERROR(D24/$B55,0)</f>
        <v>3305.7851239669426</v>
      </c>
      <c r="E69" s="42">
        <f t="shared" si="108"/>
        <v>3305.7851239669426</v>
      </c>
      <c r="F69" s="42">
        <f t="shared" si="108"/>
        <v>3305.7851239669426</v>
      </c>
      <c r="G69" s="42">
        <f t="shared" si="108"/>
        <v>3305.7851239669426</v>
      </c>
      <c r="H69" s="42">
        <f t="shared" si="108"/>
        <v>3305.7851239669426</v>
      </c>
      <c r="I69" s="42">
        <f t="shared" si="108"/>
        <v>3305.7851239669426</v>
      </c>
      <c r="J69" s="42">
        <f t="shared" si="108"/>
        <v>3305.7851239669426</v>
      </c>
      <c r="K69" s="42">
        <f t="shared" si="108"/>
        <v>3305.7851239669426</v>
      </c>
      <c r="L69" s="42">
        <f t="shared" si="108"/>
        <v>3305.7851239669426</v>
      </c>
      <c r="M69" s="42">
        <f t="shared" si="108"/>
        <v>3305.7851239669426</v>
      </c>
      <c r="N69" s="42">
        <f t="shared" si="108"/>
        <v>3305.7851239669426</v>
      </c>
      <c r="O69" s="42">
        <f t="shared" si="108"/>
        <v>3305.7851239669426</v>
      </c>
      <c r="P69" s="42">
        <f t="shared" si="108"/>
        <v>3305.7851239669426</v>
      </c>
      <c r="Q69" s="42">
        <f t="shared" si="108"/>
        <v>3305.7851239669426</v>
      </c>
      <c r="R69" s="42">
        <f t="shared" si="108"/>
        <v>3305.7851239669426</v>
      </c>
      <c r="S69" s="42">
        <f t="shared" si="108"/>
        <v>3305.7851239669426</v>
      </c>
      <c r="T69" s="42">
        <f t="shared" si="108"/>
        <v>3305.7851239669426</v>
      </c>
      <c r="U69" s="42">
        <f t="shared" si="108"/>
        <v>3305.7851239669426</v>
      </c>
      <c r="V69" s="42">
        <f t="shared" si="108"/>
        <v>3305.7851239669426</v>
      </c>
      <c r="W69" s="42">
        <f t="shared" si="108"/>
        <v>3305.7851239669426</v>
      </c>
      <c r="X69" s="42">
        <f t="shared" si="108"/>
        <v>3305.7851239669426</v>
      </c>
      <c r="Y69" s="42">
        <f t="shared" si="108"/>
        <v>3305.7851239669426</v>
      </c>
      <c r="Z69" s="42">
        <f t="shared" si="108"/>
        <v>3305.7851239669426</v>
      </c>
      <c r="AA69" s="42">
        <f t="shared" si="108"/>
        <v>3305.7851239669426</v>
      </c>
      <c r="AB69" s="67">
        <f t="shared" si="104"/>
        <v>1101.9283746556475</v>
      </c>
      <c r="AC69" s="42">
        <f t="shared" ref="AC69:AZ69" si="109">IFERROR(AC24/$B55,0)</f>
        <v>3305.7851239669426</v>
      </c>
      <c r="AD69" s="42">
        <f t="shared" si="109"/>
        <v>3305.7851239669426</v>
      </c>
      <c r="AE69" s="42">
        <f t="shared" si="109"/>
        <v>3305.7851239669426</v>
      </c>
      <c r="AF69" s="42">
        <f t="shared" si="109"/>
        <v>3305.7851239669426</v>
      </c>
      <c r="AG69" s="42">
        <f t="shared" si="109"/>
        <v>3305.7851239669426</v>
      </c>
      <c r="AH69" s="42">
        <f t="shared" si="109"/>
        <v>3305.7851239669426</v>
      </c>
      <c r="AI69" s="42">
        <f t="shared" si="109"/>
        <v>3305.7851239669426</v>
      </c>
      <c r="AJ69" s="42">
        <f t="shared" si="109"/>
        <v>3305.7851239669426</v>
      </c>
      <c r="AK69" s="42">
        <f t="shared" si="109"/>
        <v>3305.7851239669426</v>
      </c>
      <c r="AL69" s="42">
        <f t="shared" si="109"/>
        <v>3305.7851239669426</v>
      </c>
      <c r="AM69" s="42">
        <f t="shared" si="109"/>
        <v>3305.7851239669426</v>
      </c>
      <c r="AN69" s="42">
        <f t="shared" si="109"/>
        <v>3305.7851239669426</v>
      </c>
      <c r="AO69" s="42">
        <f t="shared" si="109"/>
        <v>3305.7851239669426</v>
      </c>
      <c r="AP69" s="42">
        <f t="shared" si="109"/>
        <v>3305.7851239669426</v>
      </c>
      <c r="AQ69" s="42">
        <f t="shared" si="109"/>
        <v>3305.7851239669426</v>
      </c>
      <c r="AR69" s="42">
        <f t="shared" si="109"/>
        <v>3305.7851239669426</v>
      </c>
      <c r="AS69" s="42">
        <f t="shared" si="109"/>
        <v>3305.7851239669426</v>
      </c>
      <c r="AT69" s="42">
        <f t="shared" si="109"/>
        <v>3305.7851239669426</v>
      </c>
      <c r="AU69" s="42">
        <f t="shared" si="109"/>
        <v>3305.7851239669426</v>
      </c>
      <c r="AV69" s="42">
        <f t="shared" si="109"/>
        <v>3305.7851239669426</v>
      </c>
      <c r="AW69" s="42">
        <f t="shared" si="109"/>
        <v>3305.7851239669426</v>
      </c>
      <c r="AX69" s="42">
        <f t="shared" si="109"/>
        <v>3305.7851239669426</v>
      </c>
      <c r="AY69" s="42">
        <f t="shared" si="109"/>
        <v>3305.7851239669426</v>
      </c>
      <c r="AZ69" s="42">
        <f t="shared" si="109"/>
        <v>3305.7851239669426</v>
      </c>
      <c r="BA69" s="34">
        <f t="shared" si="27"/>
        <v>2.2687499999999999E-2</v>
      </c>
      <c r="BB69" s="34">
        <f>IFERROR(up_RadSpec!$J$24*(BB24*$B69),".")</f>
        <v>7.5624999999999998E-3</v>
      </c>
      <c r="BC69" s="34">
        <f>IFERROR(up_RadSpec!$J$24*(BC24*$B69),".")</f>
        <v>7.5624999999999998E-3</v>
      </c>
      <c r="BD69" s="34">
        <f>IFERROR(up_RadSpec!$J$24*(BD24*$B69),".")</f>
        <v>7.5624999999999998E-3</v>
      </c>
      <c r="BE69" s="34">
        <f>IFERROR(up_RadSpec!$J$24*(BE24*$B69),".")</f>
        <v>7.5624999999999998E-3</v>
      </c>
      <c r="BF69" s="34">
        <f>IFERROR(up_RadSpec!$J$24*(BF24*$B69),".")</f>
        <v>7.5624999999999998E-3</v>
      </c>
      <c r="BG69" s="34">
        <f>IFERROR(up_RadSpec!$J$24*(BG24*$B69),".")</f>
        <v>7.5624999999999998E-3</v>
      </c>
      <c r="BH69" s="34">
        <f>IFERROR(up_RadSpec!$J$24*(BH24*$B69),".")</f>
        <v>7.5624999999999998E-3</v>
      </c>
      <c r="BI69" s="34">
        <f>IFERROR(up_RadSpec!$J$24*(BI24*$B69),".")</f>
        <v>7.5624999999999998E-3</v>
      </c>
      <c r="BJ69" s="34">
        <f>IFERROR(up_RadSpec!$J$24*(BJ24*$B69),".")</f>
        <v>7.5624999999999998E-3</v>
      </c>
      <c r="BK69" s="34">
        <f>IFERROR(up_RadSpec!$J$24*(BK24*$B69),".")</f>
        <v>7.5624999999999998E-3</v>
      </c>
      <c r="BL69" s="34">
        <f>IFERROR(up_RadSpec!$J$24*(BL24*$B69),".")</f>
        <v>7.5624999999999998E-3</v>
      </c>
      <c r="BM69" s="34">
        <f>IFERROR(up_RadSpec!$J$24*(BM24*$B69),".")</f>
        <v>7.5624999999999998E-3</v>
      </c>
      <c r="BN69" s="34">
        <f>IFERROR(up_RadSpec!$J$24*(BN24*$B69),".")</f>
        <v>7.5624999999999998E-3</v>
      </c>
      <c r="BO69" s="34">
        <f>IFERROR(up_RadSpec!$J$24*(BO24*$B69),".")</f>
        <v>7.5624999999999998E-3</v>
      </c>
      <c r="BP69" s="34">
        <f>IFERROR(up_RadSpec!$J$24*(BP24*$B69),".")</f>
        <v>7.5624999999999998E-3</v>
      </c>
      <c r="BQ69" s="34">
        <f>IFERROR(up_RadSpec!$J$24*(BQ24*$B69),".")</f>
        <v>7.5624999999999998E-3</v>
      </c>
      <c r="BR69" s="34">
        <f>IFERROR(up_RadSpec!$J$24*(BR24*$B69),".")</f>
        <v>7.5624999999999998E-3</v>
      </c>
      <c r="BS69" s="34">
        <f>IFERROR(up_RadSpec!$J$24*(BS24*$B69),".")</f>
        <v>7.5624999999999998E-3</v>
      </c>
      <c r="BT69" s="34">
        <f>IFERROR(up_RadSpec!$J$24*(BT24*$B69),".")</f>
        <v>7.5624999999999998E-3</v>
      </c>
      <c r="BU69" s="34">
        <f>IFERROR(up_RadSpec!$J$24*(BU24*$B69),".")</f>
        <v>7.5624999999999998E-3</v>
      </c>
      <c r="BV69" s="34">
        <f>IFERROR(up_RadSpec!$J$24*(BV24*$B69),".")</f>
        <v>7.5624999999999998E-3</v>
      </c>
      <c r="BW69" s="34">
        <f>IFERROR(up_RadSpec!$J$24*(BW24*$B69),".")</f>
        <v>7.5624999999999998E-3</v>
      </c>
      <c r="BX69" s="34">
        <f>IFERROR(up_RadSpec!$J$24*(BX24*$B69),".")</f>
        <v>7.5624999999999998E-3</v>
      </c>
      <c r="BY69" s="34">
        <f>IFERROR(up_RadSpec!$J$24*(BY24*$B69),".")</f>
        <v>7.5624999999999998E-3</v>
      </c>
    </row>
    <row r="70" spans="1:77" x14ac:dyDescent="0.25">
      <c r="A70" s="66" t="s">
        <v>1079</v>
      </c>
      <c r="B70" s="49">
        <v>0.99979000004200003</v>
      </c>
      <c r="C70" s="67">
        <f t="shared" si="102"/>
        <v>2.2043196563465464E-4</v>
      </c>
      <c r="D70" s="42">
        <f t="shared" ref="D70:AA70" si="110">IFERROR(D20/$B56,0)</f>
        <v>6.6129589690396386E-4</v>
      </c>
      <c r="E70" s="42">
        <f t="shared" si="110"/>
        <v>6.6129589690396386E-4</v>
      </c>
      <c r="F70" s="42">
        <f t="shared" si="110"/>
        <v>6.6129589690396386E-4</v>
      </c>
      <c r="G70" s="42">
        <f t="shared" si="110"/>
        <v>6.6129589690396386E-4</v>
      </c>
      <c r="H70" s="42">
        <f t="shared" si="110"/>
        <v>6.6129589690396386E-4</v>
      </c>
      <c r="I70" s="42">
        <f t="shared" si="110"/>
        <v>6.6129589690396386E-4</v>
      </c>
      <c r="J70" s="42">
        <f t="shared" si="110"/>
        <v>6.6129589690396386E-4</v>
      </c>
      <c r="K70" s="42">
        <f t="shared" si="110"/>
        <v>6.6129589690396386E-4</v>
      </c>
      <c r="L70" s="42">
        <f t="shared" si="110"/>
        <v>6.6129589690396386E-4</v>
      </c>
      <c r="M70" s="42">
        <f t="shared" si="110"/>
        <v>6.6129589690396386E-4</v>
      </c>
      <c r="N70" s="42">
        <f t="shared" si="110"/>
        <v>6.6129589690396386E-4</v>
      </c>
      <c r="O70" s="42">
        <f t="shared" si="110"/>
        <v>6.6129589690396386E-4</v>
      </c>
      <c r="P70" s="42">
        <f t="shared" si="110"/>
        <v>6.6129589690396386E-4</v>
      </c>
      <c r="Q70" s="42">
        <f t="shared" si="110"/>
        <v>6.6129589690396386E-4</v>
      </c>
      <c r="R70" s="42">
        <f t="shared" si="110"/>
        <v>6.6129589690396386E-4</v>
      </c>
      <c r="S70" s="42">
        <f t="shared" si="110"/>
        <v>6.6129589690396386E-4</v>
      </c>
      <c r="T70" s="42">
        <f t="shared" si="110"/>
        <v>6.6129589690396386E-4</v>
      </c>
      <c r="U70" s="42">
        <f t="shared" si="110"/>
        <v>6.6129589690396386E-4</v>
      </c>
      <c r="V70" s="42">
        <f t="shared" si="110"/>
        <v>6.6129589690396386E-4</v>
      </c>
      <c r="W70" s="42">
        <f t="shared" si="110"/>
        <v>6.6129589690396386E-4</v>
      </c>
      <c r="X70" s="42">
        <f t="shared" si="110"/>
        <v>6.6129589690396386E-4</v>
      </c>
      <c r="Y70" s="42">
        <f t="shared" si="110"/>
        <v>6.6129589690396386E-4</v>
      </c>
      <c r="Z70" s="42">
        <f t="shared" si="110"/>
        <v>6.6129589690396386E-4</v>
      </c>
      <c r="AA70" s="42">
        <f t="shared" si="110"/>
        <v>6.6129589690396386E-4</v>
      </c>
      <c r="AB70" s="67">
        <f t="shared" si="104"/>
        <v>2.2043196563465464E-4</v>
      </c>
      <c r="AC70" s="42">
        <f t="shared" ref="AC70:AZ70" si="111">IFERROR(AC20/$B56,0)</f>
        <v>6.6129589690396386E-4</v>
      </c>
      <c r="AD70" s="42">
        <f t="shared" si="111"/>
        <v>6.6129589690396386E-4</v>
      </c>
      <c r="AE70" s="42">
        <f t="shared" si="111"/>
        <v>6.6129589690396386E-4</v>
      </c>
      <c r="AF70" s="42">
        <f t="shared" si="111"/>
        <v>6.6129589690396386E-4</v>
      </c>
      <c r="AG70" s="42">
        <f t="shared" si="111"/>
        <v>6.6129589690396386E-4</v>
      </c>
      <c r="AH70" s="42">
        <f t="shared" si="111"/>
        <v>6.6129589690396386E-4</v>
      </c>
      <c r="AI70" s="42">
        <f t="shared" si="111"/>
        <v>6.6129589690396386E-4</v>
      </c>
      <c r="AJ70" s="42">
        <f t="shared" si="111"/>
        <v>6.6129589690396386E-4</v>
      </c>
      <c r="AK70" s="42">
        <f t="shared" si="111"/>
        <v>6.6129589690396386E-4</v>
      </c>
      <c r="AL70" s="42">
        <f t="shared" si="111"/>
        <v>6.6129589690396386E-4</v>
      </c>
      <c r="AM70" s="42">
        <f t="shared" si="111"/>
        <v>6.6129589690396386E-4</v>
      </c>
      <c r="AN70" s="42">
        <f t="shared" si="111"/>
        <v>6.6129589690396386E-4</v>
      </c>
      <c r="AO70" s="42">
        <f t="shared" si="111"/>
        <v>6.6129589690396386E-4</v>
      </c>
      <c r="AP70" s="42">
        <f t="shared" si="111"/>
        <v>6.6129589690396386E-4</v>
      </c>
      <c r="AQ70" s="42">
        <f t="shared" si="111"/>
        <v>6.6129589690396386E-4</v>
      </c>
      <c r="AR70" s="42">
        <f t="shared" si="111"/>
        <v>6.6129589690396386E-4</v>
      </c>
      <c r="AS70" s="42">
        <f t="shared" si="111"/>
        <v>6.6129589690396386E-4</v>
      </c>
      <c r="AT70" s="42">
        <f t="shared" si="111"/>
        <v>6.6129589690396386E-4</v>
      </c>
      <c r="AU70" s="42">
        <f t="shared" si="111"/>
        <v>6.6129589690396386E-4</v>
      </c>
      <c r="AV70" s="42">
        <f t="shared" si="111"/>
        <v>6.6129589690396386E-4</v>
      </c>
      <c r="AW70" s="42">
        <f t="shared" si="111"/>
        <v>6.6129589690396386E-4</v>
      </c>
      <c r="AX70" s="42">
        <f t="shared" si="111"/>
        <v>6.6129589690396386E-4</v>
      </c>
      <c r="AY70" s="42">
        <f t="shared" si="111"/>
        <v>6.6129589690396386E-4</v>
      </c>
      <c r="AZ70" s="42">
        <f t="shared" si="111"/>
        <v>6.6129589690396386E-4</v>
      </c>
      <c r="BA70" s="34">
        <f t="shared" si="27"/>
        <v>113413.67812976439</v>
      </c>
      <c r="BB70" s="34">
        <f>IFERROR(up_RadSpec!$J$20*(BB20*$B70),".")</f>
        <v>37804.559376588128</v>
      </c>
      <c r="BC70" s="34">
        <f>IFERROR(up_RadSpec!$J$20*(BC20*$B70),".")</f>
        <v>37804.559376588128</v>
      </c>
      <c r="BD70" s="34">
        <f>IFERROR(up_RadSpec!$J$20*(BD20*$B70),".")</f>
        <v>37804.559376588128</v>
      </c>
      <c r="BE70" s="34">
        <f>IFERROR(up_RadSpec!$J$20*(BE20*$B70),".")</f>
        <v>37804.559376588128</v>
      </c>
      <c r="BF70" s="34">
        <f>IFERROR(up_RadSpec!$J$20*(BF20*$B70),".")</f>
        <v>37804.559376588128</v>
      </c>
      <c r="BG70" s="34">
        <f>IFERROR(up_RadSpec!$J$20*(BG20*$B70),".")</f>
        <v>37804.559376588128</v>
      </c>
      <c r="BH70" s="34">
        <f>IFERROR(up_RadSpec!$J$20*(BH20*$B70),".")</f>
        <v>37804.559376588128</v>
      </c>
      <c r="BI70" s="34">
        <f>IFERROR(up_RadSpec!$J$20*(BI20*$B70),".")</f>
        <v>37804.559376588128</v>
      </c>
      <c r="BJ70" s="34">
        <f>IFERROR(up_RadSpec!$J$20*(BJ20*$B70),".")</f>
        <v>37804.559376588128</v>
      </c>
      <c r="BK70" s="34">
        <f>IFERROR(up_RadSpec!$J$20*(BK20*$B70),".")</f>
        <v>37804.559376588128</v>
      </c>
      <c r="BL70" s="34">
        <f>IFERROR(up_RadSpec!$J$20*(BL20*$B70),".")</f>
        <v>37804.559376588128</v>
      </c>
      <c r="BM70" s="34">
        <f>IFERROR(up_RadSpec!$J$20*(BM20*$B70),".")</f>
        <v>37804.559376588128</v>
      </c>
      <c r="BN70" s="34">
        <f>IFERROR(up_RadSpec!$J$20*(BN20*$B70),".")</f>
        <v>37804.559376588128</v>
      </c>
      <c r="BO70" s="34">
        <f>IFERROR(up_RadSpec!$J$20*(BO20*$B70),".")</f>
        <v>37804.559376588128</v>
      </c>
      <c r="BP70" s="34">
        <f>IFERROR(up_RadSpec!$J$20*(BP20*$B70),".")</f>
        <v>37804.559376588128</v>
      </c>
      <c r="BQ70" s="34">
        <f>IFERROR(up_RadSpec!$J$20*(BQ20*$B70),".")</f>
        <v>37804.559376588128</v>
      </c>
      <c r="BR70" s="34">
        <f>IFERROR(up_RadSpec!$J$20*(BR20*$B70),".")</f>
        <v>37804.559376588128</v>
      </c>
      <c r="BS70" s="34">
        <f>IFERROR(up_RadSpec!$J$20*(BS20*$B70),".")</f>
        <v>37804.559376588128</v>
      </c>
      <c r="BT70" s="34">
        <f>IFERROR(up_RadSpec!$J$20*(BT20*$B70),".")</f>
        <v>37804.559376588128</v>
      </c>
      <c r="BU70" s="34">
        <f>IFERROR(up_RadSpec!$J$20*(BU20*$B70),".")</f>
        <v>37804.559376588128</v>
      </c>
      <c r="BV70" s="34">
        <f>IFERROR(up_RadSpec!$J$20*(BV20*$B70),".")</f>
        <v>37804.559376588128</v>
      </c>
      <c r="BW70" s="34">
        <f>IFERROR(up_RadSpec!$J$20*(BW20*$B70),".")</f>
        <v>37804.559376588128</v>
      </c>
      <c r="BX70" s="34">
        <f>IFERROR(up_RadSpec!$J$20*(BX20*$B70),".")</f>
        <v>37804.559376588128</v>
      </c>
      <c r="BY70" s="34">
        <f>IFERROR(up_RadSpec!$J$20*(BY20*$B70),".")</f>
        <v>37804.559376588128</v>
      </c>
    </row>
    <row r="71" spans="1:77" x14ac:dyDescent="0.25">
      <c r="A71" s="66" t="s">
        <v>1080</v>
      </c>
      <c r="B71" s="49">
        <v>2.0999995799999999E-4</v>
      </c>
      <c r="C71" s="67">
        <f t="shared" si="102"/>
        <v>1.0494558048013014</v>
      </c>
      <c r="D71" s="42">
        <f t="shared" ref="D71:AA71" si="112">IFERROR(D29/$B57,0)</f>
        <v>3.1483674144039044</v>
      </c>
      <c r="E71" s="42">
        <f t="shared" si="112"/>
        <v>3.1483674144039044</v>
      </c>
      <c r="F71" s="42">
        <f t="shared" si="112"/>
        <v>3.1483674144039044</v>
      </c>
      <c r="G71" s="42">
        <f t="shared" si="112"/>
        <v>3.1483674144039044</v>
      </c>
      <c r="H71" s="42">
        <f t="shared" si="112"/>
        <v>3.1483674144039044</v>
      </c>
      <c r="I71" s="42">
        <f t="shared" si="112"/>
        <v>3.1483674144039044</v>
      </c>
      <c r="J71" s="42">
        <f t="shared" si="112"/>
        <v>3.1483674144039044</v>
      </c>
      <c r="K71" s="42">
        <f t="shared" si="112"/>
        <v>3.1483674144039044</v>
      </c>
      <c r="L71" s="42">
        <f t="shared" si="112"/>
        <v>3.1483674144039044</v>
      </c>
      <c r="M71" s="42">
        <f t="shared" si="112"/>
        <v>3.1483674144039044</v>
      </c>
      <c r="N71" s="42">
        <f t="shared" si="112"/>
        <v>3.1483674144039044</v>
      </c>
      <c r="O71" s="42">
        <f t="shared" si="112"/>
        <v>3.1483674144039044</v>
      </c>
      <c r="P71" s="42">
        <f t="shared" si="112"/>
        <v>3.1483674144039044</v>
      </c>
      <c r="Q71" s="42">
        <f t="shared" si="112"/>
        <v>3.1483674144039044</v>
      </c>
      <c r="R71" s="42">
        <f t="shared" si="112"/>
        <v>3.1483674144039044</v>
      </c>
      <c r="S71" s="42">
        <f t="shared" si="112"/>
        <v>3.1483674144039044</v>
      </c>
      <c r="T71" s="42">
        <f t="shared" si="112"/>
        <v>3.1483674144039044</v>
      </c>
      <c r="U71" s="42">
        <f t="shared" si="112"/>
        <v>3.1483674144039044</v>
      </c>
      <c r="V71" s="42">
        <f t="shared" si="112"/>
        <v>3.1483674144039044</v>
      </c>
      <c r="W71" s="42">
        <f t="shared" si="112"/>
        <v>3.1483674144039044</v>
      </c>
      <c r="X71" s="42">
        <f t="shared" si="112"/>
        <v>3.1483674144039044</v>
      </c>
      <c r="Y71" s="42">
        <f t="shared" si="112"/>
        <v>3.1483674144039044</v>
      </c>
      <c r="Z71" s="42">
        <f t="shared" si="112"/>
        <v>3.1483674144039044</v>
      </c>
      <c r="AA71" s="42">
        <f t="shared" si="112"/>
        <v>3.1483674144039044</v>
      </c>
      <c r="AB71" s="67">
        <f t="shared" si="104"/>
        <v>1.0494558048013014</v>
      </c>
      <c r="AC71" s="42">
        <f t="shared" ref="AC71:AZ71" si="113">IFERROR(AC29/$B57,0)</f>
        <v>3.1483674144039044</v>
      </c>
      <c r="AD71" s="42">
        <f t="shared" si="113"/>
        <v>3.1483674144039044</v>
      </c>
      <c r="AE71" s="42">
        <f t="shared" si="113"/>
        <v>3.1483674144039044</v>
      </c>
      <c r="AF71" s="42">
        <f t="shared" si="113"/>
        <v>3.1483674144039044</v>
      </c>
      <c r="AG71" s="42">
        <f t="shared" si="113"/>
        <v>3.1483674144039044</v>
      </c>
      <c r="AH71" s="42">
        <f t="shared" si="113"/>
        <v>3.1483674144039044</v>
      </c>
      <c r="AI71" s="42">
        <f t="shared" si="113"/>
        <v>3.1483674144039044</v>
      </c>
      <c r="AJ71" s="42">
        <f t="shared" si="113"/>
        <v>3.1483674144039044</v>
      </c>
      <c r="AK71" s="42">
        <f t="shared" si="113"/>
        <v>3.1483674144039044</v>
      </c>
      <c r="AL71" s="42">
        <f t="shared" si="113"/>
        <v>3.1483674144039044</v>
      </c>
      <c r="AM71" s="42">
        <f t="shared" si="113"/>
        <v>3.1483674144039044</v>
      </c>
      <c r="AN71" s="42">
        <f t="shared" si="113"/>
        <v>3.1483674144039044</v>
      </c>
      <c r="AO71" s="42">
        <f t="shared" si="113"/>
        <v>3.1483674144039044</v>
      </c>
      <c r="AP71" s="42">
        <f t="shared" si="113"/>
        <v>3.1483674144039044</v>
      </c>
      <c r="AQ71" s="42">
        <f t="shared" si="113"/>
        <v>3.1483674144039044</v>
      </c>
      <c r="AR71" s="42">
        <f t="shared" si="113"/>
        <v>3.1483674144039044</v>
      </c>
      <c r="AS71" s="42">
        <f t="shared" si="113"/>
        <v>3.1483674144039044</v>
      </c>
      <c r="AT71" s="42">
        <f t="shared" si="113"/>
        <v>3.1483674144039044</v>
      </c>
      <c r="AU71" s="42">
        <f t="shared" si="113"/>
        <v>3.1483674144039044</v>
      </c>
      <c r="AV71" s="42">
        <f t="shared" si="113"/>
        <v>3.1483674144039044</v>
      </c>
      <c r="AW71" s="42">
        <f t="shared" si="113"/>
        <v>3.1483674144039044</v>
      </c>
      <c r="AX71" s="42">
        <f t="shared" si="113"/>
        <v>3.1483674144039044</v>
      </c>
      <c r="AY71" s="42">
        <f t="shared" si="113"/>
        <v>3.1483674144039044</v>
      </c>
      <c r="AZ71" s="42">
        <f t="shared" si="113"/>
        <v>3.1483674144039044</v>
      </c>
      <c r="BA71" s="34">
        <f t="shared" si="27"/>
        <v>23.821870235624999</v>
      </c>
      <c r="BB71" s="34">
        <f>IFERROR(up_RadSpec!$J$29*(BB29*$B71),".")</f>
        <v>7.9406234118749994</v>
      </c>
      <c r="BC71" s="34">
        <f>IFERROR(up_RadSpec!$J$29*(BC29*$B71),".")</f>
        <v>7.9406234118749994</v>
      </c>
      <c r="BD71" s="34">
        <f>IFERROR(up_RadSpec!$J$29*(BD29*$B71),".")</f>
        <v>7.9406234118749994</v>
      </c>
      <c r="BE71" s="34">
        <f>IFERROR(up_RadSpec!$J$29*(BE29*$B71),".")</f>
        <v>7.9406234118749994</v>
      </c>
      <c r="BF71" s="34">
        <f>IFERROR(up_RadSpec!$J$29*(BF29*$B71),".")</f>
        <v>7.9406234118749994</v>
      </c>
      <c r="BG71" s="34">
        <f>IFERROR(up_RadSpec!$J$29*(BG29*$B71),".")</f>
        <v>7.9406234118749994</v>
      </c>
      <c r="BH71" s="34">
        <f>IFERROR(up_RadSpec!$J$29*(BH29*$B71),".")</f>
        <v>7.9406234118749994</v>
      </c>
      <c r="BI71" s="34">
        <f>IFERROR(up_RadSpec!$J$29*(BI29*$B71),".")</f>
        <v>7.9406234118749994</v>
      </c>
      <c r="BJ71" s="34">
        <f>IFERROR(up_RadSpec!$J$29*(BJ29*$B71),".")</f>
        <v>7.9406234118749994</v>
      </c>
      <c r="BK71" s="34">
        <f>IFERROR(up_RadSpec!$J$29*(BK29*$B71),".")</f>
        <v>7.9406234118749994</v>
      </c>
      <c r="BL71" s="34">
        <f>IFERROR(up_RadSpec!$J$29*(BL29*$B71),".")</f>
        <v>7.9406234118749994</v>
      </c>
      <c r="BM71" s="34">
        <f>IFERROR(up_RadSpec!$J$29*(BM29*$B71),".")</f>
        <v>7.9406234118749994</v>
      </c>
      <c r="BN71" s="34">
        <f>IFERROR(up_RadSpec!$J$29*(BN29*$B71),".")</f>
        <v>7.9406234118749994</v>
      </c>
      <c r="BO71" s="34">
        <f>IFERROR(up_RadSpec!$J$29*(BO29*$B71),".")</f>
        <v>7.9406234118749994</v>
      </c>
      <c r="BP71" s="34">
        <f>IFERROR(up_RadSpec!$J$29*(BP29*$B71),".")</f>
        <v>7.9406234118749994</v>
      </c>
      <c r="BQ71" s="34">
        <f>IFERROR(up_RadSpec!$J$29*(BQ29*$B71),".")</f>
        <v>7.9406234118749994</v>
      </c>
      <c r="BR71" s="34">
        <f>IFERROR(up_RadSpec!$J$29*(BR29*$B71),".")</f>
        <v>7.9406234118749994</v>
      </c>
      <c r="BS71" s="34">
        <f>IFERROR(up_RadSpec!$J$29*(BS29*$B71),".")</f>
        <v>7.9406234118749994</v>
      </c>
      <c r="BT71" s="34">
        <f>IFERROR(up_RadSpec!$J$29*(BT29*$B71),".")</f>
        <v>7.9406234118749994</v>
      </c>
      <c r="BU71" s="34">
        <f>IFERROR(up_RadSpec!$J$29*(BU29*$B71),".")</f>
        <v>7.9406234118749994</v>
      </c>
      <c r="BV71" s="34">
        <f>IFERROR(up_RadSpec!$J$29*(BV29*$B71),".")</f>
        <v>7.9406234118749994</v>
      </c>
      <c r="BW71" s="34">
        <f>IFERROR(up_RadSpec!$J$29*(BW29*$B71),".")</f>
        <v>7.9406234118749994</v>
      </c>
      <c r="BX71" s="34">
        <f>IFERROR(up_RadSpec!$J$29*(BX29*$B71),".")</f>
        <v>7.9406234118749994</v>
      </c>
      <c r="BY71" s="34">
        <f>IFERROR(up_RadSpec!$J$29*(BY29*$B71),".")</f>
        <v>7.9406234118749994</v>
      </c>
    </row>
    <row r="72" spans="1:77" x14ac:dyDescent="0.25">
      <c r="A72" s="66" t="s">
        <v>1081</v>
      </c>
      <c r="B72" s="49">
        <v>1</v>
      </c>
      <c r="C72" s="67">
        <f t="shared" si="102"/>
        <v>2.2038567493112948E-4</v>
      </c>
      <c r="D72" s="42">
        <f t="shared" ref="D72:AA72" si="114">IFERROR(D16/$B58,0)</f>
        <v>6.6115702479338848E-4</v>
      </c>
      <c r="E72" s="42">
        <f t="shared" si="114"/>
        <v>6.6115702479338848E-4</v>
      </c>
      <c r="F72" s="42">
        <f t="shared" si="114"/>
        <v>6.6115702479338848E-4</v>
      </c>
      <c r="G72" s="42">
        <f t="shared" si="114"/>
        <v>6.6115702479338848E-4</v>
      </c>
      <c r="H72" s="42">
        <f t="shared" si="114"/>
        <v>6.6115702479338848E-4</v>
      </c>
      <c r="I72" s="42">
        <f t="shared" si="114"/>
        <v>6.6115702479338848E-4</v>
      </c>
      <c r="J72" s="42">
        <f t="shared" si="114"/>
        <v>6.6115702479338848E-4</v>
      </c>
      <c r="K72" s="42">
        <f t="shared" si="114"/>
        <v>6.6115702479338848E-4</v>
      </c>
      <c r="L72" s="42">
        <f t="shared" si="114"/>
        <v>6.6115702479338848E-4</v>
      </c>
      <c r="M72" s="42">
        <f t="shared" si="114"/>
        <v>6.6115702479338848E-4</v>
      </c>
      <c r="N72" s="42">
        <f t="shared" si="114"/>
        <v>6.6115702479338848E-4</v>
      </c>
      <c r="O72" s="42">
        <f t="shared" si="114"/>
        <v>6.6115702479338848E-4</v>
      </c>
      <c r="P72" s="42">
        <f t="shared" si="114"/>
        <v>6.6115702479338848E-4</v>
      </c>
      <c r="Q72" s="42">
        <f t="shared" si="114"/>
        <v>6.6115702479338848E-4</v>
      </c>
      <c r="R72" s="42">
        <f t="shared" si="114"/>
        <v>6.6115702479338848E-4</v>
      </c>
      <c r="S72" s="42">
        <f t="shared" si="114"/>
        <v>6.6115702479338848E-4</v>
      </c>
      <c r="T72" s="42">
        <f t="shared" si="114"/>
        <v>6.6115702479338848E-4</v>
      </c>
      <c r="U72" s="42">
        <f t="shared" si="114"/>
        <v>6.6115702479338848E-4</v>
      </c>
      <c r="V72" s="42">
        <f t="shared" si="114"/>
        <v>6.6115702479338848E-4</v>
      </c>
      <c r="W72" s="42">
        <f t="shared" si="114"/>
        <v>6.6115702479338848E-4</v>
      </c>
      <c r="X72" s="42">
        <f t="shared" si="114"/>
        <v>6.6115702479338848E-4</v>
      </c>
      <c r="Y72" s="42">
        <f t="shared" si="114"/>
        <v>6.6115702479338848E-4</v>
      </c>
      <c r="Z72" s="42">
        <f t="shared" si="114"/>
        <v>6.6115702479338848E-4</v>
      </c>
      <c r="AA72" s="42">
        <f t="shared" si="114"/>
        <v>6.6115702479338848E-4</v>
      </c>
      <c r="AB72" s="67">
        <f t="shared" si="104"/>
        <v>2.2038567493112948E-4</v>
      </c>
      <c r="AC72" s="42">
        <f t="shared" ref="AC72:AZ72" si="115">IFERROR(AC16/$B58,0)</f>
        <v>6.6115702479338848E-4</v>
      </c>
      <c r="AD72" s="42">
        <f t="shared" si="115"/>
        <v>6.6115702479338848E-4</v>
      </c>
      <c r="AE72" s="42">
        <f t="shared" si="115"/>
        <v>6.6115702479338848E-4</v>
      </c>
      <c r="AF72" s="42">
        <f t="shared" si="115"/>
        <v>6.6115702479338848E-4</v>
      </c>
      <c r="AG72" s="42">
        <f t="shared" si="115"/>
        <v>6.6115702479338848E-4</v>
      </c>
      <c r="AH72" s="42">
        <f t="shared" si="115"/>
        <v>6.6115702479338848E-4</v>
      </c>
      <c r="AI72" s="42">
        <f t="shared" si="115"/>
        <v>6.6115702479338848E-4</v>
      </c>
      <c r="AJ72" s="42">
        <f t="shared" si="115"/>
        <v>6.6115702479338848E-4</v>
      </c>
      <c r="AK72" s="42">
        <f t="shared" si="115"/>
        <v>6.6115702479338848E-4</v>
      </c>
      <c r="AL72" s="42">
        <f t="shared" si="115"/>
        <v>6.6115702479338848E-4</v>
      </c>
      <c r="AM72" s="42">
        <f t="shared" si="115"/>
        <v>6.6115702479338848E-4</v>
      </c>
      <c r="AN72" s="42">
        <f t="shared" si="115"/>
        <v>6.6115702479338848E-4</v>
      </c>
      <c r="AO72" s="42">
        <f t="shared" si="115"/>
        <v>6.6115702479338848E-4</v>
      </c>
      <c r="AP72" s="42">
        <f t="shared" si="115"/>
        <v>6.6115702479338848E-4</v>
      </c>
      <c r="AQ72" s="42">
        <f t="shared" si="115"/>
        <v>6.6115702479338848E-4</v>
      </c>
      <c r="AR72" s="42">
        <f t="shared" si="115"/>
        <v>6.6115702479338848E-4</v>
      </c>
      <c r="AS72" s="42">
        <f t="shared" si="115"/>
        <v>6.6115702479338848E-4</v>
      </c>
      <c r="AT72" s="42">
        <f t="shared" si="115"/>
        <v>6.6115702479338848E-4</v>
      </c>
      <c r="AU72" s="42">
        <f t="shared" si="115"/>
        <v>6.6115702479338848E-4</v>
      </c>
      <c r="AV72" s="42">
        <f t="shared" si="115"/>
        <v>6.6115702479338848E-4</v>
      </c>
      <c r="AW72" s="42">
        <f t="shared" si="115"/>
        <v>6.6115702479338848E-4</v>
      </c>
      <c r="AX72" s="42">
        <f t="shared" si="115"/>
        <v>6.6115702479338848E-4</v>
      </c>
      <c r="AY72" s="42">
        <f t="shared" si="115"/>
        <v>6.6115702479338848E-4</v>
      </c>
      <c r="AZ72" s="42">
        <f t="shared" si="115"/>
        <v>6.6115702479338848E-4</v>
      </c>
      <c r="BA72" s="34">
        <f t="shared" si="27"/>
        <v>113437.5</v>
      </c>
      <c r="BB72" s="34">
        <f>IFERROR(up_RadSpec!$J$16*(BB16*$B72),".")</f>
        <v>37812.5</v>
      </c>
      <c r="BC72" s="34">
        <f>IFERROR(up_RadSpec!$J$16*(BC16*$B72),".")</f>
        <v>37812.5</v>
      </c>
      <c r="BD72" s="34">
        <f>IFERROR(up_RadSpec!$J$16*(BD16*$B72),".")</f>
        <v>37812.5</v>
      </c>
      <c r="BE72" s="34">
        <f>IFERROR(up_RadSpec!$J$16*(BE16*$B72),".")</f>
        <v>37812.5</v>
      </c>
      <c r="BF72" s="34">
        <f>IFERROR(up_RadSpec!$J$16*(BF16*$B72),".")</f>
        <v>37812.5</v>
      </c>
      <c r="BG72" s="34">
        <f>IFERROR(up_RadSpec!$J$16*(BG16*$B72),".")</f>
        <v>37812.5</v>
      </c>
      <c r="BH72" s="34">
        <f>IFERROR(up_RadSpec!$J$16*(BH16*$B72),".")</f>
        <v>37812.5</v>
      </c>
      <c r="BI72" s="34">
        <f>IFERROR(up_RadSpec!$J$16*(BI16*$B72),".")</f>
        <v>37812.5</v>
      </c>
      <c r="BJ72" s="34">
        <f>IFERROR(up_RadSpec!$J$16*(BJ16*$B72),".")</f>
        <v>37812.5</v>
      </c>
      <c r="BK72" s="34">
        <f>IFERROR(up_RadSpec!$J$16*(BK16*$B72),".")</f>
        <v>37812.5</v>
      </c>
      <c r="BL72" s="34">
        <f>IFERROR(up_RadSpec!$J$16*(BL16*$B72),".")</f>
        <v>37812.5</v>
      </c>
      <c r="BM72" s="34">
        <f>IFERROR(up_RadSpec!$J$16*(BM16*$B72),".")</f>
        <v>37812.5</v>
      </c>
      <c r="BN72" s="34">
        <f>IFERROR(up_RadSpec!$J$16*(BN16*$B72),".")</f>
        <v>37812.5</v>
      </c>
      <c r="BO72" s="34">
        <f>IFERROR(up_RadSpec!$J$16*(BO16*$B72),".")</f>
        <v>37812.5</v>
      </c>
      <c r="BP72" s="34">
        <f>IFERROR(up_RadSpec!$J$16*(BP16*$B72),".")</f>
        <v>37812.5</v>
      </c>
      <c r="BQ72" s="34">
        <f>IFERROR(up_RadSpec!$J$16*(BQ16*$B72),".")</f>
        <v>37812.5</v>
      </c>
      <c r="BR72" s="34">
        <f>IFERROR(up_RadSpec!$J$16*(BR16*$B72),".")</f>
        <v>37812.5</v>
      </c>
      <c r="BS72" s="34">
        <f>IFERROR(up_RadSpec!$J$16*(BS16*$B72),".")</f>
        <v>37812.5</v>
      </c>
      <c r="BT72" s="34">
        <f>IFERROR(up_RadSpec!$J$16*(BT16*$B72),".")</f>
        <v>37812.5</v>
      </c>
      <c r="BU72" s="34">
        <f>IFERROR(up_RadSpec!$J$16*(BU16*$B72),".")</f>
        <v>37812.5</v>
      </c>
      <c r="BV72" s="34">
        <f>IFERROR(up_RadSpec!$J$16*(BV16*$B72),".")</f>
        <v>37812.5</v>
      </c>
      <c r="BW72" s="34">
        <f>IFERROR(up_RadSpec!$J$16*(BW16*$B72),".")</f>
        <v>37812.5</v>
      </c>
      <c r="BX72" s="34">
        <f>IFERROR(up_RadSpec!$J$16*(BX16*$B72),".")</f>
        <v>37812.5</v>
      </c>
      <c r="BY72" s="34">
        <f>IFERROR(up_RadSpec!$J$16*(BY16*$B72),".")</f>
        <v>37812.5</v>
      </c>
    </row>
    <row r="73" spans="1:77" x14ac:dyDescent="0.25">
      <c r="A73" s="66" t="s">
        <v>1082</v>
      </c>
      <c r="B73" s="49">
        <v>1</v>
      </c>
      <c r="C73" s="67">
        <f t="shared" si="102"/>
        <v>2.2038567493112948E-4</v>
      </c>
      <c r="D73" s="42">
        <f t="shared" ref="D73:AA73" si="116">IFERROR(D7/$B59,0)</f>
        <v>6.6115702479338848E-4</v>
      </c>
      <c r="E73" s="42">
        <f t="shared" si="116"/>
        <v>6.6115702479338848E-4</v>
      </c>
      <c r="F73" s="42">
        <f t="shared" si="116"/>
        <v>6.6115702479338848E-4</v>
      </c>
      <c r="G73" s="42">
        <f t="shared" si="116"/>
        <v>6.6115702479338848E-4</v>
      </c>
      <c r="H73" s="42">
        <f t="shared" si="116"/>
        <v>6.6115702479338848E-4</v>
      </c>
      <c r="I73" s="42">
        <f t="shared" si="116"/>
        <v>6.6115702479338848E-4</v>
      </c>
      <c r="J73" s="42">
        <f t="shared" si="116"/>
        <v>6.6115702479338848E-4</v>
      </c>
      <c r="K73" s="42">
        <f t="shared" si="116"/>
        <v>6.6115702479338848E-4</v>
      </c>
      <c r="L73" s="42">
        <f t="shared" si="116"/>
        <v>6.6115702479338848E-4</v>
      </c>
      <c r="M73" s="42">
        <f t="shared" si="116"/>
        <v>6.6115702479338848E-4</v>
      </c>
      <c r="N73" s="42">
        <f t="shared" si="116"/>
        <v>6.6115702479338848E-4</v>
      </c>
      <c r="O73" s="42">
        <f t="shared" si="116"/>
        <v>6.6115702479338848E-4</v>
      </c>
      <c r="P73" s="42">
        <f t="shared" si="116"/>
        <v>6.6115702479338848E-4</v>
      </c>
      <c r="Q73" s="42">
        <f t="shared" si="116"/>
        <v>6.6115702479338848E-4</v>
      </c>
      <c r="R73" s="42">
        <f t="shared" si="116"/>
        <v>6.6115702479338848E-4</v>
      </c>
      <c r="S73" s="42">
        <f t="shared" si="116"/>
        <v>6.6115702479338848E-4</v>
      </c>
      <c r="T73" s="42">
        <f t="shared" si="116"/>
        <v>6.6115702479338848E-4</v>
      </c>
      <c r="U73" s="42">
        <f t="shared" si="116"/>
        <v>6.6115702479338848E-4</v>
      </c>
      <c r="V73" s="42">
        <f t="shared" si="116"/>
        <v>6.6115702479338848E-4</v>
      </c>
      <c r="W73" s="42">
        <f t="shared" si="116"/>
        <v>6.6115702479338848E-4</v>
      </c>
      <c r="X73" s="42">
        <f t="shared" si="116"/>
        <v>6.6115702479338848E-4</v>
      </c>
      <c r="Y73" s="42">
        <f t="shared" si="116"/>
        <v>6.6115702479338848E-4</v>
      </c>
      <c r="Z73" s="42">
        <f t="shared" si="116"/>
        <v>6.6115702479338848E-4</v>
      </c>
      <c r="AA73" s="42">
        <f t="shared" si="116"/>
        <v>6.6115702479338848E-4</v>
      </c>
      <c r="AB73" s="67">
        <f t="shared" si="104"/>
        <v>2.2038567493112948E-4</v>
      </c>
      <c r="AC73" s="42">
        <f t="shared" ref="AC73:AZ73" si="117">IFERROR(AC7/$B59,0)</f>
        <v>6.6115702479338848E-4</v>
      </c>
      <c r="AD73" s="42">
        <f t="shared" si="117"/>
        <v>6.6115702479338848E-4</v>
      </c>
      <c r="AE73" s="42">
        <f t="shared" si="117"/>
        <v>6.6115702479338848E-4</v>
      </c>
      <c r="AF73" s="42">
        <f t="shared" si="117"/>
        <v>6.6115702479338848E-4</v>
      </c>
      <c r="AG73" s="42">
        <f t="shared" si="117"/>
        <v>6.6115702479338848E-4</v>
      </c>
      <c r="AH73" s="42">
        <f t="shared" si="117"/>
        <v>6.6115702479338848E-4</v>
      </c>
      <c r="AI73" s="42">
        <f t="shared" si="117"/>
        <v>6.6115702479338848E-4</v>
      </c>
      <c r="AJ73" s="42">
        <f t="shared" si="117"/>
        <v>6.6115702479338848E-4</v>
      </c>
      <c r="AK73" s="42">
        <f t="shared" si="117"/>
        <v>6.6115702479338848E-4</v>
      </c>
      <c r="AL73" s="42">
        <f t="shared" si="117"/>
        <v>6.6115702479338848E-4</v>
      </c>
      <c r="AM73" s="42">
        <f t="shared" si="117"/>
        <v>6.6115702479338848E-4</v>
      </c>
      <c r="AN73" s="42">
        <f t="shared" si="117"/>
        <v>6.6115702479338848E-4</v>
      </c>
      <c r="AO73" s="42">
        <f t="shared" si="117"/>
        <v>6.6115702479338848E-4</v>
      </c>
      <c r="AP73" s="42">
        <f t="shared" si="117"/>
        <v>6.6115702479338848E-4</v>
      </c>
      <c r="AQ73" s="42">
        <f t="shared" si="117"/>
        <v>6.6115702479338848E-4</v>
      </c>
      <c r="AR73" s="42">
        <f t="shared" si="117"/>
        <v>6.6115702479338848E-4</v>
      </c>
      <c r="AS73" s="42">
        <f t="shared" si="117"/>
        <v>6.6115702479338848E-4</v>
      </c>
      <c r="AT73" s="42">
        <f t="shared" si="117"/>
        <v>6.6115702479338848E-4</v>
      </c>
      <c r="AU73" s="42">
        <f t="shared" si="117"/>
        <v>6.6115702479338848E-4</v>
      </c>
      <c r="AV73" s="42">
        <f t="shared" si="117"/>
        <v>6.6115702479338848E-4</v>
      </c>
      <c r="AW73" s="42">
        <f t="shared" si="117"/>
        <v>6.6115702479338848E-4</v>
      </c>
      <c r="AX73" s="42">
        <f t="shared" si="117"/>
        <v>6.6115702479338848E-4</v>
      </c>
      <c r="AY73" s="42">
        <f t="shared" si="117"/>
        <v>6.6115702479338848E-4</v>
      </c>
      <c r="AZ73" s="42">
        <f t="shared" si="117"/>
        <v>6.6115702479338848E-4</v>
      </c>
      <c r="BA73" s="34">
        <f t="shared" si="27"/>
        <v>113437.5</v>
      </c>
      <c r="BB73" s="34">
        <f>IFERROR(up_RadSpec!$J$7*(BB7*$B73),".")</f>
        <v>37812.5</v>
      </c>
      <c r="BC73" s="34">
        <f>IFERROR(up_RadSpec!$J$7*(BC7*$B73),".")</f>
        <v>37812.5</v>
      </c>
      <c r="BD73" s="34">
        <f>IFERROR(up_RadSpec!$J$7*(BD7*$B73),".")</f>
        <v>37812.5</v>
      </c>
      <c r="BE73" s="34">
        <f>IFERROR(up_RadSpec!$J$7*(BE7*$B73),".")</f>
        <v>37812.5</v>
      </c>
      <c r="BF73" s="34">
        <f>IFERROR(up_RadSpec!$J$7*(BF7*$B73),".")</f>
        <v>37812.5</v>
      </c>
      <c r="BG73" s="34">
        <f>IFERROR(up_RadSpec!$J$7*(BG7*$B73),".")</f>
        <v>37812.5</v>
      </c>
      <c r="BH73" s="34">
        <f>IFERROR(up_RadSpec!$J$7*(BH7*$B73),".")</f>
        <v>37812.5</v>
      </c>
      <c r="BI73" s="34">
        <f>IFERROR(up_RadSpec!$J$7*(BI7*$B73),".")</f>
        <v>37812.5</v>
      </c>
      <c r="BJ73" s="34">
        <f>IFERROR(up_RadSpec!$J$7*(BJ7*$B73),".")</f>
        <v>37812.5</v>
      </c>
      <c r="BK73" s="34">
        <f>IFERROR(up_RadSpec!$J$7*(BK7*$B73),".")</f>
        <v>37812.5</v>
      </c>
      <c r="BL73" s="34">
        <f>IFERROR(up_RadSpec!$J$7*(BL7*$B73),".")</f>
        <v>37812.5</v>
      </c>
      <c r="BM73" s="34">
        <f>IFERROR(up_RadSpec!$J$7*(BM7*$B73),".")</f>
        <v>37812.5</v>
      </c>
      <c r="BN73" s="34">
        <f>IFERROR(up_RadSpec!$J$7*(BN7*$B73),".")</f>
        <v>37812.5</v>
      </c>
      <c r="BO73" s="34">
        <f>IFERROR(up_RadSpec!$J$7*(BO7*$B73),".")</f>
        <v>37812.5</v>
      </c>
      <c r="BP73" s="34">
        <f>IFERROR(up_RadSpec!$J$7*(BP7*$B73),".")</f>
        <v>37812.5</v>
      </c>
      <c r="BQ73" s="34">
        <f>IFERROR(up_RadSpec!$J$7*(BQ7*$B73),".")</f>
        <v>37812.5</v>
      </c>
      <c r="BR73" s="34">
        <f>IFERROR(up_RadSpec!$J$7*(BR7*$B73),".")</f>
        <v>37812.5</v>
      </c>
      <c r="BS73" s="34">
        <f>IFERROR(up_RadSpec!$J$7*(BS7*$B73),".")</f>
        <v>37812.5</v>
      </c>
      <c r="BT73" s="34">
        <f>IFERROR(up_RadSpec!$J$7*(BT7*$B73),".")</f>
        <v>37812.5</v>
      </c>
      <c r="BU73" s="34">
        <f>IFERROR(up_RadSpec!$J$7*(BU7*$B73),".")</f>
        <v>37812.5</v>
      </c>
      <c r="BV73" s="34">
        <f>IFERROR(up_RadSpec!$J$7*(BV7*$B73),".")</f>
        <v>37812.5</v>
      </c>
      <c r="BW73" s="34">
        <f>IFERROR(up_RadSpec!$J$7*(BW7*$B73),".")</f>
        <v>37812.5</v>
      </c>
      <c r="BX73" s="34">
        <f>IFERROR(up_RadSpec!$J$7*(BX7*$B73),".")</f>
        <v>37812.5</v>
      </c>
      <c r="BY73" s="34">
        <f>IFERROR(up_RadSpec!$J$7*(BY7*$B73),".")</f>
        <v>37812.5</v>
      </c>
    </row>
    <row r="74" spans="1:77" x14ac:dyDescent="0.25">
      <c r="A74" s="66" t="s">
        <v>1083</v>
      </c>
      <c r="B74" s="49">
        <v>1.9000000000000001E-8</v>
      </c>
      <c r="C74" s="67">
        <f t="shared" si="102"/>
        <v>11599.246049006815</v>
      </c>
      <c r="D74" s="42">
        <f t="shared" ref="D74:AA74" si="118">IFERROR(D12/$B60,0)</f>
        <v>34797.738147020442</v>
      </c>
      <c r="E74" s="42">
        <f t="shared" si="118"/>
        <v>34797.738147020442</v>
      </c>
      <c r="F74" s="42">
        <f t="shared" si="118"/>
        <v>34797.738147020442</v>
      </c>
      <c r="G74" s="42">
        <f t="shared" si="118"/>
        <v>34797.738147020442</v>
      </c>
      <c r="H74" s="42">
        <f t="shared" si="118"/>
        <v>34797.738147020442</v>
      </c>
      <c r="I74" s="42">
        <f t="shared" si="118"/>
        <v>34797.738147020442</v>
      </c>
      <c r="J74" s="42">
        <f t="shared" si="118"/>
        <v>34797.738147020442</v>
      </c>
      <c r="K74" s="42">
        <f t="shared" si="118"/>
        <v>34797.738147020442</v>
      </c>
      <c r="L74" s="42">
        <f t="shared" si="118"/>
        <v>34797.738147020442</v>
      </c>
      <c r="M74" s="42">
        <f t="shared" si="118"/>
        <v>34797.738147020442</v>
      </c>
      <c r="N74" s="42">
        <f t="shared" si="118"/>
        <v>34797.738147020442</v>
      </c>
      <c r="O74" s="42">
        <f t="shared" si="118"/>
        <v>34797.738147020442</v>
      </c>
      <c r="P74" s="42">
        <f t="shared" si="118"/>
        <v>34797.738147020442</v>
      </c>
      <c r="Q74" s="42">
        <f t="shared" si="118"/>
        <v>34797.738147020442</v>
      </c>
      <c r="R74" s="42">
        <f t="shared" si="118"/>
        <v>34797.738147020442</v>
      </c>
      <c r="S74" s="42">
        <f t="shared" si="118"/>
        <v>34797.738147020442</v>
      </c>
      <c r="T74" s="42">
        <f t="shared" si="118"/>
        <v>34797.738147020442</v>
      </c>
      <c r="U74" s="42">
        <f t="shared" si="118"/>
        <v>34797.738147020442</v>
      </c>
      <c r="V74" s="42">
        <f t="shared" si="118"/>
        <v>34797.738147020442</v>
      </c>
      <c r="W74" s="42">
        <f t="shared" si="118"/>
        <v>34797.738147020442</v>
      </c>
      <c r="X74" s="42">
        <f t="shared" si="118"/>
        <v>34797.738147020442</v>
      </c>
      <c r="Y74" s="42">
        <f t="shared" si="118"/>
        <v>34797.738147020442</v>
      </c>
      <c r="Z74" s="42">
        <f t="shared" si="118"/>
        <v>34797.738147020442</v>
      </c>
      <c r="AA74" s="42">
        <f t="shared" si="118"/>
        <v>34797.738147020442</v>
      </c>
      <c r="AB74" s="67">
        <f t="shared" si="104"/>
        <v>11599.246049006815</v>
      </c>
      <c r="AC74" s="42">
        <f t="shared" ref="AC74:AZ74" si="119">IFERROR(AC12/$B60,0)</f>
        <v>34797.738147020442</v>
      </c>
      <c r="AD74" s="42">
        <f t="shared" si="119"/>
        <v>34797.738147020442</v>
      </c>
      <c r="AE74" s="42">
        <f t="shared" si="119"/>
        <v>34797.738147020442</v>
      </c>
      <c r="AF74" s="42">
        <f t="shared" si="119"/>
        <v>34797.738147020442</v>
      </c>
      <c r="AG74" s="42">
        <f t="shared" si="119"/>
        <v>34797.738147020442</v>
      </c>
      <c r="AH74" s="42">
        <f t="shared" si="119"/>
        <v>34797.738147020442</v>
      </c>
      <c r="AI74" s="42">
        <f t="shared" si="119"/>
        <v>34797.738147020442</v>
      </c>
      <c r="AJ74" s="42">
        <f t="shared" si="119"/>
        <v>34797.738147020442</v>
      </c>
      <c r="AK74" s="42">
        <f t="shared" si="119"/>
        <v>34797.738147020442</v>
      </c>
      <c r="AL74" s="42">
        <f t="shared" si="119"/>
        <v>34797.738147020442</v>
      </c>
      <c r="AM74" s="42">
        <f t="shared" si="119"/>
        <v>34797.738147020442</v>
      </c>
      <c r="AN74" s="42">
        <f t="shared" si="119"/>
        <v>34797.738147020442</v>
      </c>
      <c r="AO74" s="42">
        <f t="shared" si="119"/>
        <v>34797.738147020442</v>
      </c>
      <c r="AP74" s="42">
        <f t="shared" si="119"/>
        <v>34797.738147020442</v>
      </c>
      <c r="AQ74" s="42">
        <f t="shared" si="119"/>
        <v>34797.738147020442</v>
      </c>
      <c r="AR74" s="42">
        <f t="shared" si="119"/>
        <v>34797.738147020442</v>
      </c>
      <c r="AS74" s="42">
        <f t="shared" si="119"/>
        <v>34797.738147020442</v>
      </c>
      <c r="AT74" s="42">
        <f t="shared" si="119"/>
        <v>34797.738147020442</v>
      </c>
      <c r="AU74" s="42">
        <f t="shared" si="119"/>
        <v>34797.738147020442</v>
      </c>
      <c r="AV74" s="42">
        <f t="shared" si="119"/>
        <v>34797.738147020442</v>
      </c>
      <c r="AW74" s="42">
        <f t="shared" si="119"/>
        <v>34797.738147020442</v>
      </c>
      <c r="AX74" s="42">
        <f t="shared" si="119"/>
        <v>34797.738147020442</v>
      </c>
      <c r="AY74" s="42">
        <f t="shared" si="119"/>
        <v>34797.738147020442</v>
      </c>
      <c r="AZ74" s="42">
        <f t="shared" si="119"/>
        <v>34797.738147020442</v>
      </c>
      <c r="BA74" s="34">
        <f t="shared" si="27"/>
        <v>2.1553125000000001E-3</v>
      </c>
      <c r="BB74" s="34">
        <f>IFERROR(up_RadSpec!$J$12*(BB12*$B74),".")</f>
        <v>7.1843750000000011E-4</v>
      </c>
      <c r="BC74" s="34">
        <f>IFERROR(up_RadSpec!$J$12*(BC12*$B74),".")</f>
        <v>7.1843750000000011E-4</v>
      </c>
      <c r="BD74" s="34">
        <f>IFERROR(up_RadSpec!$J$12*(BD12*$B74),".")</f>
        <v>7.1843750000000011E-4</v>
      </c>
      <c r="BE74" s="34">
        <f>IFERROR(up_RadSpec!$J$12*(BE12*$B74),".")</f>
        <v>7.1843750000000011E-4</v>
      </c>
      <c r="BF74" s="34">
        <f>IFERROR(up_RadSpec!$J$12*(BF12*$B74),".")</f>
        <v>7.1843750000000011E-4</v>
      </c>
      <c r="BG74" s="34">
        <f>IFERROR(up_RadSpec!$J$12*(BG12*$B74),".")</f>
        <v>7.1843750000000011E-4</v>
      </c>
      <c r="BH74" s="34">
        <f>IFERROR(up_RadSpec!$J$12*(BH12*$B74),".")</f>
        <v>7.1843750000000011E-4</v>
      </c>
      <c r="BI74" s="34">
        <f>IFERROR(up_RadSpec!$J$12*(BI12*$B74),".")</f>
        <v>7.1843750000000011E-4</v>
      </c>
      <c r="BJ74" s="34">
        <f>IFERROR(up_RadSpec!$J$12*(BJ12*$B74),".")</f>
        <v>7.1843750000000011E-4</v>
      </c>
      <c r="BK74" s="34">
        <f>IFERROR(up_RadSpec!$J$12*(BK12*$B74),".")</f>
        <v>7.1843750000000011E-4</v>
      </c>
      <c r="BL74" s="34">
        <f>IFERROR(up_RadSpec!$J$12*(BL12*$B74),".")</f>
        <v>7.1843750000000011E-4</v>
      </c>
      <c r="BM74" s="34">
        <f>IFERROR(up_RadSpec!$J$12*(BM12*$B74),".")</f>
        <v>7.1843750000000011E-4</v>
      </c>
      <c r="BN74" s="34">
        <f>IFERROR(up_RadSpec!$J$12*(BN12*$B74),".")</f>
        <v>7.1843750000000011E-4</v>
      </c>
      <c r="BO74" s="34">
        <f>IFERROR(up_RadSpec!$J$12*(BO12*$B74),".")</f>
        <v>7.1843750000000011E-4</v>
      </c>
      <c r="BP74" s="34">
        <f>IFERROR(up_RadSpec!$J$12*(BP12*$B74),".")</f>
        <v>7.1843750000000011E-4</v>
      </c>
      <c r="BQ74" s="34">
        <f>IFERROR(up_RadSpec!$J$12*(BQ12*$B74),".")</f>
        <v>7.1843750000000011E-4</v>
      </c>
      <c r="BR74" s="34">
        <f>IFERROR(up_RadSpec!$J$12*(BR12*$B74),".")</f>
        <v>7.1843750000000011E-4</v>
      </c>
      <c r="BS74" s="34">
        <f>IFERROR(up_RadSpec!$J$12*(BS12*$B74),".")</f>
        <v>7.1843750000000011E-4</v>
      </c>
      <c r="BT74" s="34">
        <f>IFERROR(up_RadSpec!$J$12*(BT12*$B74),".")</f>
        <v>7.1843750000000011E-4</v>
      </c>
      <c r="BU74" s="34">
        <f>IFERROR(up_RadSpec!$J$12*(BU12*$B74),".")</f>
        <v>7.1843750000000011E-4</v>
      </c>
      <c r="BV74" s="34">
        <f>IFERROR(up_RadSpec!$J$12*(BV12*$B74),".")</f>
        <v>7.1843750000000011E-4</v>
      </c>
      <c r="BW74" s="34">
        <f>IFERROR(up_RadSpec!$J$12*(BW12*$B74),".")</f>
        <v>7.1843750000000011E-4</v>
      </c>
      <c r="BX74" s="34">
        <f>IFERROR(up_RadSpec!$J$12*(BX12*$B74),".")</f>
        <v>7.1843750000000011E-4</v>
      </c>
      <c r="BY74" s="34">
        <f>IFERROR(up_RadSpec!$J$12*(BY12*$B74),".")</f>
        <v>7.1843750000000011E-4</v>
      </c>
    </row>
    <row r="75" spans="1:77" x14ac:dyDescent="0.25">
      <c r="A75" s="66" t="s">
        <v>1084</v>
      </c>
      <c r="B75" s="49">
        <v>1</v>
      </c>
      <c r="C75" s="67">
        <f t="shared" si="102"/>
        <v>2.2038567493112948E-4</v>
      </c>
      <c r="D75" s="42">
        <f t="shared" ref="D75:AA75" si="120">IFERROR(D18/$B61,0)</f>
        <v>6.6115702479338848E-4</v>
      </c>
      <c r="E75" s="42">
        <f t="shared" si="120"/>
        <v>6.6115702479338848E-4</v>
      </c>
      <c r="F75" s="42">
        <f t="shared" si="120"/>
        <v>6.6115702479338848E-4</v>
      </c>
      <c r="G75" s="42">
        <f t="shared" si="120"/>
        <v>6.6115702479338848E-4</v>
      </c>
      <c r="H75" s="42">
        <f t="shared" si="120"/>
        <v>6.6115702479338848E-4</v>
      </c>
      <c r="I75" s="42">
        <f t="shared" si="120"/>
        <v>6.6115702479338848E-4</v>
      </c>
      <c r="J75" s="42">
        <f t="shared" si="120"/>
        <v>6.6115702479338848E-4</v>
      </c>
      <c r="K75" s="42">
        <f t="shared" si="120"/>
        <v>6.6115702479338848E-4</v>
      </c>
      <c r="L75" s="42">
        <f t="shared" si="120"/>
        <v>6.6115702479338848E-4</v>
      </c>
      <c r="M75" s="42">
        <f t="shared" si="120"/>
        <v>6.6115702479338848E-4</v>
      </c>
      <c r="N75" s="42">
        <f t="shared" si="120"/>
        <v>6.6115702479338848E-4</v>
      </c>
      <c r="O75" s="42">
        <f t="shared" si="120"/>
        <v>6.6115702479338848E-4</v>
      </c>
      <c r="P75" s="42">
        <f t="shared" si="120"/>
        <v>6.6115702479338848E-4</v>
      </c>
      <c r="Q75" s="42">
        <f t="shared" si="120"/>
        <v>6.6115702479338848E-4</v>
      </c>
      <c r="R75" s="42">
        <f t="shared" si="120"/>
        <v>6.6115702479338848E-4</v>
      </c>
      <c r="S75" s="42">
        <f t="shared" si="120"/>
        <v>6.6115702479338848E-4</v>
      </c>
      <c r="T75" s="42">
        <f t="shared" si="120"/>
        <v>6.6115702479338848E-4</v>
      </c>
      <c r="U75" s="42">
        <f t="shared" si="120"/>
        <v>6.6115702479338848E-4</v>
      </c>
      <c r="V75" s="42">
        <f t="shared" si="120"/>
        <v>6.6115702479338848E-4</v>
      </c>
      <c r="W75" s="42">
        <f t="shared" si="120"/>
        <v>6.6115702479338848E-4</v>
      </c>
      <c r="X75" s="42">
        <f t="shared" si="120"/>
        <v>6.6115702479338848E-4</v>
      </c>
      <c r="Y75" s="42">
        <f t="shared" si="120"/>
        <v>6.6115702479338848E-4</v>
      </c>
      <c r="Z75" s="42">
        <f t="shared" si="120"/>
        <v>6.6115702479338848E-4</v>
      </c>
      <c r="AA75" s="42">
        <f t="shared" si="120"/>
        <v>6.6115702479338848E-4</v>
      </c>
      <c r="AB75" s="67">
        <f t="shared" si="104"/>
        <v>2.2038567493112948E-4</v>
      </c>
      <c r="AC75" s="42">
        <f t="shared" ref="AC75:AZ75" si="121">IFERROR(AC18/$B61,0)</f>
        <v>6.6115702479338848E-4</v>
      </c>
      <c r="AD75" s="42">
        <f t="shared" si="121"/>
        <v>6.6115702479338848E-4</v>
      </c>
      <c r="AE75" s="42">
        <f t="shared" si="121"/>
        <v>6.6115702479338848E-4</v>
      </c>
      <c r="AF75" s="42">
        <f t="shared" si="121"/>
        <v>6.6115702479338848E-4</v>
      </c>
      <c r="AG75" s="42">
        <f t="shared" si="121"/>
        <v>6.6115702479338848E-4</v>
      </c>
      <c r="AH75" s="42">
        <f t="shared" si="121"/>
        <v>6.6115702479338848E-4</v>
      </c>
      <c r="AI75" s="42">
        <f t="shared" si="121"/>
        <v>6.6115702479338848E-4</v>
      </c>
      <c r="AJ75" s="42">
        <f t="shared" si="121"/>
        <v>6.6115702479338848E-4</v>
      </c>
      <c r="AK75" s="42">
        <f t="shared" si="121"/>
        <v>6.6115702479338848E-4</v>
      </c>
      <c r="AL75" s="42">
        <f t="shared" si="121"/>
        <v>6.6115702479338848E-4</v>
      </c>
      <c r="AM75" s="42">
        <f t="shared" si="121"/>
        <v>6.6115702479338848E-4</v>
      </c>
      <c r="AN75" s="42">
        <f t="shared" si="121"/>
        <v>6.6115702479338848E-4</v>
      </c>
      <c r="AO75" s="42">
        <f t="shared" si="121"/>
        <v>6.6115702479338848E-4</v>
      </c>
      <c r="AP75" s="42">
        <f t="shared" si="121"/>
        <v>6.6115702479338848E-4</v>
      </c>
      <c r="AQ75" s="42">
        <f t="shared" si="121"/>
        <v>6.6115702479338848E-4</v>
      </c>
      <c r="AR75" s="42">
        <f t="shared" si="121"/>
        <v>6.6115702479338848E-4</v>
      </c>
      <c r="AS75" s="42">
        <f t="shared" si="121"/>
        <v>6.6115702479338848E-4</v>
      </c>
      <c r="AT75" s="42">
        <f t="shared" si="121"/>
        <v>6.6115702479338848E-4</v>
      </c>
      <c r="AU75" s="42">
        <f t="shared" si="121"/>
        <v>6.6115702479338848E-4</v>
      </c>
      <c r="AV75" s="42">
        <f t="shared" si="121"/>
        <v>6.6115702479338848E-4</v>
      </c>
      <c r="AW75" s="42">
        <f t="shared" si="121"/>
        <v>6.6115702479338848E-4</v>
      </c>
      <c r="AX75" s="42">
        <f t="shared" si="121"/>
        <v>6.6115702479338848E-4</v>
      </c>
      <c r="AY75" s="42">
        <f t="shared" si="121"/>
        <v>6.6115702479338848E-4</v>
      </c>
      <c r="AZ75" s="42">
        <f t="shared" si="121"/>
        <v>6.6115702479338848E-4</v>
      </c>
      <c r="BA75" s="34">
        <f t="shared" si="27"/>
        <v>113437.5</v>
      </c>
      <c r="BB75" s="34">
        <f>IFERROR(up_RadSpec!$J$18*(BB18*$B75),".")</f>
        <v>37812.5</v>
      </c>
      <c r="BC75" s="34">
        <f>IFERROR(up_RadSpec!$J$18*(BC18*$B75),".")</f>
        <v>37812.5</v>
      </c>
      <c r="BD75" s="34">
        <f>IFERROR(up_RadSpec!$J$18*(BD18*$B75),".")</f>
        <v>37812.5</v>
      </c>
      <c r="BE75" s="34">
        <f>IFERROR(up_RadSpec!$J$18*(BE18*$B75),".")</f>
        <v>37812.5</v>
      </c>
      <c r="BF75" s="34">
        <f>IFERROR(up_RadSpec!$J$18*(BF18*$B75),".")</f>
        <v>37812.5</v>
      </c>
      <c r="BG75" s="34">
        <f>IFERROR(up_RadSpec!$J$18*(BG18*$B75),".")</f>
        <v>37812.5</v>
      </c>
      <c r="BH75" s="34">
        <f>IFERROR(up_RadSpec!$J$18*(BH18*$B75),".")</f>
        <v>37812.5</v>
      </c>
      <c r="BI75" s="34">
        <f>IFERROR(up_RadSpec!$J$18*(BI18*$B75),".")</f>
        <v>37812.5</v>
      </c>
      <c r="BJ75" s="34">
        <f>IFERROR(up_RadSpec!$J$18*(BJ18*$B75),".")</f>
        <v>37812.5</v>
      </c>
      <c r="BK75" s="34">
        <f>IFERROR(up_RadSpec!$J$18*(BK18*$B75),".")</f>
        <v>37812.5</v>
      </c>
      <c r="BL75" s="34">
        <f>IFERROR(up_RadSpec!$J$18*(BL18*$B75),".")</f>
        <v>37812.5</v>
      </c>
      <c r="BM75" s="34">
        <f>IFERROR(up_RadSpec!$J$18*(BM18*$B75),".")</f>
        <v>37812.5</v>
      </c>
      <c r="BN75" s="34">
        <f>IFERROR(up_RadSpec!$J$18*(BN18*$B75),".")</f>
        <v>37812.5</v>
      </c>
      <c r="BO75" s="34">
        <f>IFERROR(up_RadSpec!$J$18*(BO18*$B75),".")</f>
        <v>37812.5</v>
      </c>
      <c r="BP75" s="34">
        <f>IFERROR(up_RadSpec!$J$18*(BP18*$B75),".")</f>
        <v>37812.5</v>
      </c>
      <c r="BQ75" s="34">
        <f>IFERROR(up_RadSpec!$J$18*(BQ18*$B75),".")</f>
        <v>37812.5</v>
      </c>
      <c r="BR75" s="34">
        <f>IFERROR(up_RadSpec!$J$18*(BR18*$B75),".")</f>
        <v>37812.5</v>
      </c>
      <c r="BS75" s="34">
        <f>IFERROR(up_RadSpec!$J$18*(BS18*$B75),".")</f>
        <v>37812.5</v>
      </c>
      <c r="BT75" s="34">
        <f>IFERROR(up_RadSpec!$J$18*(BT18*$B75),".")</f>
        <v>37812.5</v>
      </c>
      <c r="BU75" s="34">
        <f>IFERROR(up_RadSpec!$J$18*(BU18*$B75),".")</f>
        <v>37812.5</v>
      </c>
      <c r="BV75" s="34">
        <f>IFERROR(up_RadSpec!$J$18*(BV18*$B75),".")</f>
        <v>37812.5</v>
      </c>
      <c r="BW75" s="34">
        <f>IFERROR(up_RadSpec!$J$18*(BW18*$B75),".")</f>
        <v>37812.5</v>
      </c>
      <c r="BX75" s="34">
        <f>IFERROR(up_RadSpec!$J$18*(BX18*$B75),".")</f>
        <v>37812.5</v>
      </c>
      <c r="BY75" s="34">
        <f>IFERROR(up_RadSpec!$J$18*(BY18*$B75),".")</f>
        <v>37812.5</v>
      </c>
    </row>
    <row r="76" spans="1:77" x14ac:dyDescent="0.25">
      <c r="A76" s="66" t="s">
        <v>1085</v>
      </c>
      <c r="B76" s="49">
        <v>1.339E-6</v>
      </c>
      <c r="C76" s="67">
        <f t="shared" si="102"/>
        <v>164.58974976185922</v>
      </c>
      <c r="D76" s="42">
        <f t="shared" ref="D76:AA76" si="122">IFERROR(D27/$B62,0)</f>
        <v>493.76924928557764</v>
      </c>
      <c r="E76" s="42">
        <f t="shared" si="122"/>
        <v>493.76924928557764</v>
      </c>
      <c r="F76" s="42">
        <f t="shared" si="122"/>
        <v>493.76924928557764</v>
      </c>
      <c r="G76" s="42">
        <f t="shared" si="122"/>
        <v>493.76924928557764</v>
      </c>
      <c r="H76" s="42">
        <f t="shared" si="122"/>
        <v>493.76924928557764</v>
      </c>
      <c r="I76" s="42">
        <f t="shared" si="122"/>
        <v>493.76924928557764</v>
      </c>
      <c r="J76" s="42">
        <f t="shared" si="122"/>
        <v>493.76924928557764</v>
      </c>
      <c r="K76" s="42">
        <f t="shared" si="122"/>
        <v>493.76924928557764</v>
      </c>
      <c r="L76" s="42">
        <f t="shared" si="122"/>
        <v>493.76924928557764</v>
      </c>
      <c r="M76" s="42">
        <f t="shared" si="122"/>
        <v>493.76924928557764</v>
      </c>
      <c r="N76" s="42">
        <f t="shared" si="122"/>
        <v>493.76924928557764</v>
      </c>
      <c r="O76" s="42">
        <f t="shared" si="122"/>
        <v>493.76924928557764</v>
      </c>
      <c r="P76" s="42">
        <f t="shared" si="122"/>
        <v>493.76924928557764</v>
      </c>
      <c r="Q76" s="42">
        <f t="shared" si="122"/>
        <v>493.76924928557764</v>
      </c>
      <c r="R76" s="42">
        <f t="shared" si="122"/>
        <v>493.76924928557764</v>
      </c>
      <c r="S76" s="42">
        <f t="shared" si="122"/>
        <v>493.76924928557764</v>
      </c>
      <c r="T76" s="42">
        <f t="shared" si="122"/>
        <v>493.76924928557764</v>
      </c>
      <c r="U76" s="42">
        <f t="shared" si="122"/>
        <v>493.76924928557764</v>
      </c>
      <c r="V76" s="42">
        <f t="shared" si="122"/>
        <v>493.76924928557764</v>
      </c>
      <c r="W76" s="42">
        <f t="shared" si="122"/>
        <v>493.76924928557764</v>
      </c>
      <c r="X76" s="42">
        <f t="shared" si="122"/>
        <v>493.76924928557764</v>
      </c>
      <c r="Y76" s="42">
        <f t="shared" si="122"/>
        <v>493.76924928557764</v>
      </c>
      <c r="Z76" s="42">
        <f t="shared" si="122"/>
        <v>493.76924928557764</v>
      </c>
      <c r="AA76" s="42">
        <f t="shared" si="122"/>
        <v>493.76924928557764</v>
      </c>
      <c r="AB76" s="67">
        <f t="shared" si="104"/>
        <v>164.58974976185922</v>
      </c>
      <c r="AC76" s="42">
        <f t="shared" ref="AC76:AZ76" si="123">IFERROR(AC27/$B62,0)</f>
        <v>493.76924928557764</v>
      </c>
      <c r="AD76" s="42">
        <f t="shared" si="123"/>
        <v>493.76924928557764</v>
      </c>
      <c r="AE76" s="42">
        <f t="shared" si="123"/>
        <v>493.76924928557764</v>
      </c>
      <c r="AF76" s="42">
        <f t="shared" si="123"/>
        <v>493.76924928557764</v>
      </c>
      <c r="AG76" s="42">
        <f t="shared" si="123"/>
        <v>493.76924928557764</v>
      </c>
      <c r="AH76" s="42">
        <f t="shared" si="123"/>
        <v>493.76924928557764</v>
      </c>
      <c r="AI76" s="42">
        <f t="shared" si="123"/>
        <v>493.76924928557764</v>
      </c>
      <c r="AJ76" s="42">
        <f t="shared" si="123"/>
        <v>493.76924928557764</v>
      </c>
      <c r="AK76" s="42">
        <f t="shared" si="123"/>
        <v>493.76924928557764</v>
      </c>
      <c r="AL76" s="42">
        <f t="shared" si="123"/>
        <v>493.76924928557764</v>
      </c>
      <c r="AM76" s="42">
        <f t="shared" si="123"/>
        <v>493.76924928557764</v>
      </c>
      <c r="AN76" s="42">
        <f t="shared" si="123"/>
        <v>493.76924928557764</v>
      </c>
      <c r="AO76" s="42">
        <f t="shared" si="123"/>
        <v>493.76924928557764</v>
      </c>
      <c r="AP76" s="42">
        <f t="shared" si="123"/>
        <v>493.76924928557764</v>
      </c>
      <c r="AQ76" s="42">
        <f t="shared" si="123"/>
        <v>493.76924928557764</v>
      </c>
      <c r="AR76" s="42">
        <f t="shared" si="123"/>
        <v>493.76924928557764</v>
      </c>
      <c r="AS76" s="42">
        <f t="shared" si="123"/>
        <v>493.76924928557764</v>
      </c>
      <c r="AT76" s="42">
        <f t="shared" si="123"/>
        <v>493.76924928557764</v>
      </c>
      <c r="AU76" s="42">
        <f t="shared" si="123"/>
        <v>493.76924928557764</v>
      </c>
      <c r="AV76" s="42">
        <f t="shared" si="123"/>
        <v>493.76924928557764</v>
      </c>
      <c r="AW76" s="42">
        <f t="shared" si="123"/>
        <v>493.76924928557764</v>
      </c>
      <c r="AX76" s="42">
        <f t="shared" si="123"/>
        <v>493.76924928557764</v>
      </c>
      <c r="AY76" s="42">
        <f t="shared" si="123"/>
        <v>493.76924928557764</v>
      </c>
      <c r="AZ76" s="42">
        <f t="shared" si="123"/>
        <v>493.76924928557764</v>
      </c>
      <c r="BA76" s="34">
        <f t="shared" si="27"/>
        <v>0.1518928125</v>
      </c>
      <c r="BB76" s="34">
        <f>IFERROR(up_RadSpec!$J$27*(BB27*$B76),".")</f>
        <v>5.0630937500000001E-2</v>
      </c>
      <c r="BC76" s="34">
        <f>IFERROR(up_RadSpec!$J$27*(BC27*$B76),".")</f>
        <v>5.0630937500000001E-2</v>
      </c>
      <c r="BD76" s="34">
        <f>IFERROR(up_RadSpec!$J$27*(BD27*$B76),".")</f>
        <v>5.0630937500000001E-2</v>
      </c>
      <c r="BE76" s="34">
        <f>IFERROR(up_RadSpec!$J$27*(BE27*$B76),".")</f>
        <v>5.0630937500000001E-2</v>
      </c>
      <c r="BF76" s="34">
        <f>IFERROR(up_RadSpec!$J$27*(BF27*$B76),".")</f>
        <v>5.0630937500000001E-2</v>
      </c>
      <c r="BG76" s="34">
        <f>IFERROR(up_RadSpec!$J$27*(BG27*$B76),".")</f>
        <v>5.0630937500000001E-2</v>
      </c>
      <c r="BH76" s="34">
        <f>IFERROR(up_RadSpec!$J$27*(BH27*$B76),".")</f>
        <v>5.0630937500000001E-2</v>
      </c>
      <c r="BI76" s="34">
        <f>IFERROR(up_RadSpec!$J$27*(BI27*$B76),".")</f>
        <v>5.0630937500000001E-2</v>
      </c>
      <c r="BJ76" s="34">
        <f>IFERROR(up_RadSpec!$J$27*(BJ27*$B76),".")</f>
        <v>5.0630937500000001E-2</v>
      </c>
      <c r="BK76" s="34">
        <f>IFERROR(up_RadSpec!$J$27*(BK27*$B76),".")</f>
        <v>5.0630937500000001E-2</v>
      </c>
      <c r="BL76" s="34">
        <f>IFERROR(up_RadSpec!$J$27*(BL27*$B76),".")</f>
        <v>5.0630937500000001E-2</v>
      </c>
      <c r="BM76" s="34">
        <f>IFERROR(up_RadSpec!$J$27*(BM27*$B76),".")</f>
        <v>5.0630937500000001E-2</v>
      </c>
      <c r="BN76" s="34">
        <f>IFERROR(up_RadSpec!$J$27*(BN27*$B76),".")</f>
        <v>5.0630937500000001E-2</v>
      </c>
      <c r="BO76" s="34">
        <f>IFERROR(up_RadSpec!$J$27*(BO27*$B76),".")</f>
        <v>5.0630937500000001E-2</v>
      </c>
      <c r="BP76" s="34">
        <f>IFERROR(up_RadSpec!$J$27*(BP27*$B76),".")</f>
        <v>5.0630937500000001E-2</v>
      </c>
      <c r="BQ76" s="34">
        <f>IFERROR(up_RadSpec!$J$27*(BQ27*$B76),".")</f>
        <v>5.0630937500000001E-2</v>
      </c>
      <c r="BR76" s="34">
        <f>IFERROR(up_RadSpec!$J$27*(BR27*$B76),".")</f>
        <v>5.0630937500000001E-2</v>
      </c>
      <c r="BS76" s="34">
        <f>IFERROR(up_RadSpec!$J$27*(BS27*$B76),".")</f>
        <v>5.0630937500000001E-2</v>
      </c>
      <c r="BT76" s="34">
        <f>IFERROR(up_RadSpec!$J$27*(BT27*$B76),".")</f>
        <v>5.0630937500000001E-2</v>
      </c>
      <c r="BU76" s="34">
        <f>IFERROR(up_RadSpec!$J$27*(BU27*$B76),".")</f>
        <v>5.0630937500000001E-2</v>
      </c>
      <c r="BV76" s="34">
        <f>IFERROR(up_RadSpec!$J$27*(BV27*$B76),".")</f>
        <v>5.0630937500000001E-2</v>
      </c>
      <c r="BW76" s="34">
        <f>IFERROR(up_RadSpec!$J$27*(BW27*$B76),".")</f>
        <v>5.0630937500000001E-2</v>
      </c>
      <c r="BX76" s="34">
        <f>IFERROR(up_RadSpec!$J$27*(BX27*$B76),".")</f>
        <v>5.0630937500000001E-2</v>
      </c>
      <c r="BY76" s="34">
        <f>IFERROR(up_RadSpec!$J$27*(BY27*$B76),".")</f>
        <v>5.0630937500000001E-2</v>
      </c>
    </row>
  </sheetData>
  <sheetProtection algorithmName="SHA-512" hashValue="7298dJgVPqj/xy9qqVgGQxREP1lBPoI9aGU/3kJPEg2BRWWSkkOPexea76/aVwZMj4323Cyou6eGjNRug5Tjgw==" saltValue="C1orw5HkstMN58s/9wDdQw==" spinCount="100000" sheet="1" objects="1" scenarios="1" formatColumns="0" formatRows="0" autoFilter="0"/>
  <autoFilter ref="A1:BY76" xr:uid="{0D17F666-105E-4FEE-AC22-BBB8076B344D}"/>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CX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3" bestFit="1" customWidth="1"/>
    <col min="2" max="2" width="11.7109375" style="3" bestFit="1" customWidth="1"/>
    <col min="3" max="3" width="24.42578125" style="3" bestFit="1" customWidth="1"/>
    <col min="4" max="4" width="14.5703125" style="3" bestFit="1" customWidth="1"/>
    <col min="5" max="5" width="14.28515625" style="3" bestFit="1" customWidth="1"/>
    <col min="6" max="6" width="13.85546875" style="3" bestFit="1" customWidth="1"/>
    <col min="7" max="7" width="14.28515625" style="3" bestFit="1" customWidth="1"/>
    <col min="8" max="8" width="13.7109375" style="3" bestFit="1" customWidth="1"/>
    <col min="9" max="9" width="14" style="3" bestFit="1" customWidth="1"/>
    <col min="10" max="10" width="13.140625" style="3" bestFit="1" customWidth="1"/>
    <col min="11" max="11" width="14.5703125" style="3" bestFit="1" customWidth="1"/>
    <col min="12" max="12" width="13.7109375" style="3" bestFit="1" customWidth="1"/>
    <col min="13" max="13" width="15.42578125" style="3" bestFit="1" customWidth="1"/>
    <col min="14" max="14" width="12.85546875" style="3" bestFit="1" customWidth="1"/>
    <col min="15" max="15" width="13.42578125" style="3" bestFit="1" customWidth="1"/>
    <col min="16" max="16" width="13.5703125" style="3" bestFit="1" customWidth="1"/>
    <col min="17" max="17" width="14.7109375" style="3" bestFit="1" customWidth="1"/>
    <col min="18" max="18" width="15" style="3" bestFit="1" customWidth="1"/>
    <col min="19" max="19" width="13.7109375" style="3" bestFit="1" customWidth="1"/>
    <col min="20" max="20" width="13" style="3" bestFit="1" customWidth="1"/>
    <col min="21" max="21" width="14.42578125" style="3" bestFit="1" customWidth="1"/>
    <col min="22" max="22" width="14.85546875" style="3" bestFit="1" customWidth="1"/>
    <col min="23" max="23" width="13.85546875" style="3" bestFit="1" customWidth="1"/>
    <col min="24" max="24" width="14.5703125" style="3" bestFit="1" customWidth="1"/>
    <col min="25" max="25" width="13.42578125" style="3" bestFit="1" customWidth="1"/>
    <col min="26" max="26" width="13" style="3" bestFit="1" customWidth="1"/>
    <col min="27" max="27" width="15" style="3" bestFit="1" customWidth="1"/>
    <col min="28" max="28" width="20.7109375" style="3" bestFit="1" customWidth="1"/>
    <col min="29" max="30" width="14.7109375" style="3" bestFit="1" customWidth="1"/>
    <col min="31" max="31" width="13.85546875" style="3" bestFit="1" customWidth="1"/>
    <col min="32" max="32" width="14.5703125" style="3" bestFit="1" customWidth="1"/>
    <col min="33" max="33" width="13.85546875" style="3" bestFit="1" customWidth="1"/>
    <col min="34" max="34" width="14.140625" style="3" bestFit="1" customWidth="1"/>
    <col min="35" max="35" width="13.5703125" style="3" bestFit="1" customWidth="1"/>
    <col min="36" max="36" width="14.7109375" style="3" bestFit="1" customWidth="1"/>
    <col min="37" max="37" width="13.85546875" style="3" bestFit="1" customWidth="1"/>
    <col min="38" max="38" width="15.5703125" style="3" bestFit="1" customWidth="1"/>
    <col min="39" max="39" width="13.140625" style="3" bestFit="1" customWidth="1"/>
    <col min="40" max="40" width="13.85546875" style="3" bestFit="1" customWidth="1"/>
    <col min="41" max="41" width="14" style="3" bestFit="1" customWidth="1"/>
    <col min="42" max="42" width="14.7109375" style="3" bestFit="1" customWidth="1"/>
    <col min="43" max="43" width="15" style="3" bestFit="1" customWidth="1"/>
    <col min="44" max="44" width="14" style="3" bestFit="1" customWidth="1"/>
    <col min="45" max="45" width="13.28515625" style="3" bestFit="1" customWidth="1"/>
    <col min="46" max="46" width="14.7109375" style="3" bestFit="1" customWidth="1"/>
    <col min="47" max="47" width="14.85546875" style="3" bestFit="1" customWidth="1"/>
    <col min="48" max="48" width="14" style="3" bestFit="1" customWidth="1"/>
    <col min="49" max="49" width="14.85546875" style="3" bestFit="1" customWidth="1"/>
    <col min="50" max="50" width="13.5703125" style="3" bestFit="1" customWidth="1"/>
    <col min="51" max="51" width="13.28515625" style="3" bestFit="1" customWidth="1"/>
    <col min="52" max="52" width="15.140625" style="3" bestFit="1" customWidth="1"/>
    <col min="53" max="53" width="24.140625" style="3" bestFit="1" customWidth="1"/>
    <col min="54" max="54" width="14.28515625" style="3" bestFit="1" customWidth="1"/>
    <col min="55" max="55" width="14.140625" style="3" bestFit="1" customWidth="1"/>
    <col min="56" max="56" width="13.5703125" style="3" bestFit="1" customWidth="1"/>
    <col min="57" max="57" width="14.140625" style="3" bestFit="1" customWidth="1"/>
    <col min="58" max="58" width="13.42578125" style="3" bestFit="1" customWidth="1"/>
    <col min="59" max="59" width="13.7109375" style="3" bestFit="1" customWidth="1"/>
    <col min="60" max="60" width="13" style="3" bestFit="1" customWidth="1"/>
    <col min="61" max="61" width="14.28515625" style="3" bestFit="1" customWidth="1"/>
    <col min="62" max="62" width="13.42578125" style="3" bestFit="1" customWidth="1"/>
    <col min="63" max="63" width="15.28515625" style="3" bestFit="1" customWidth="1"/>
    <col min="64" max="64" width="12.7109375" style="3" bestFit="1" customWidth="1"/>
    <col min="65" max="65" width="13.28515625" style="3" bestFit="1" customWidth="1"/>
    <col min="66" max="66" width="13.42578125" style="3" bestFit="1" customWidth="1"/>
    <col min="67" max="67" width="14.5703125" style="3" bestFit="1" customWidth="1"/>
    <col min="68" max="68" width="14.7109375" style="3" bestFit="1" customWidth="1"/>
    <col min="69" max="69" width="13.42578125" style="3" bestFit="1" customWidth="1"/>
    <col min="70" max="70" width="12.85546875" style="3" bestFit="1" customWidth="1"/>
    <col min="71" max="71" width="14.140625" style="3" bestFit="1" customWidth="1"/>
    <col min="72" max="72" width="14.5703125" style="3" bestFit="1" customWidth="1"/>
    <col min="73" max="73" width="13.5703125" style="3" bestFit="1" customWidth="1"/>
    <col min="74" max="74" width="14.28515625" style="3" bestFit="1" customWidth="1"/>
    <col min="75" max="75" width="13.140625" style="3" bestFit="1" customWidth="1"/>
    <col min="76" max="76" width="12.85546875" style="3" bestFit="1" customWidth="1"/>
    <col min="77" max="77" width="13.85546875" style="3" bestFit="1" customWidth="1"/>
    <col min="78" max="78" width="20.7109375" style="3" bestFit="1" customWidth="1"/>
    <col min="79" max="79" width="14.5703125" style="3" bestFit="1" customWidth="1"/>
    <col min="80" max="80" width="14.7109375" style="3" bestFit="1" customWidth="1"/>
    <col min="81" max="81" width="13.85546875" style="3" bestFit="1" customWidth="1"/>
    <col min="82" max="82" width="14.42578125" style="3" bestFit="1" customWidth="1"/>
    <col min="83" max="83" width="13.85546875" style="3" bestFit="1" customWidth="1"/>
    <col min="84" max="84" width="14" style="3" bestFit="1" customWidth="1"/>
    <col min="85" max="85" width="13.42578125" style="3" bestFit="1" customWidth="1"/>
    <col min="86" max="86" width="14.7109375" style="3" bestFit="1" customWidth="1"/>
    <col min="87" max="87" width="13.85546875" style="3" bestFit="1" customWidth="1"/>
    <col min="88" max="88" width="15.5703125" style="3" bestFit="1" customWidth="1"/>
    <col min="89" max="89" width="13" style="3" bestFit="1" customWidth="1"/>
    <col min="90" max="91" width="13.85546875" style="3" bestFit="1" customWidth="1"/>
    <col min="92" max="92" width="14.7109375" style="3" bestFit="1" customWidth="1"/>
    <col min="93" max="93" width="15" style="3" bestFit="1" customWidth="1"/>
    <col min="94" max="94" width="13.85546875" style="3" bestFit="1" customWidth="1"/>
    <col min="95" max="95" width="13.140625" style="3" bestFit="1" customWidth="1"/>
    <col min="96" max="96" width="14.5703125" style="3" bestFit="1" customWidth="1"/>
    <col min="97" max="97" width="14.85546875" style="3" bestFit="1" customWidth="1"/>
    <col min="98" max="98" width="14" style="3" bestFit="1" customWidth="1"/>
    <col min="99" max="99" width="14.85546875" style="3" bestFit="1" customWidth="1"/>
    <col min="100" max="100" width="13.5703125" style="3" bestFit="1" customWidth="1"/>
    <col min="101" max="101" width="13.140625" style="3" bestFit="1" customWidth="1"/>
    <col min="102" max="102" width="14.28515625" style="3" bestFit="1" customWidth="1"/>
    <col min="103" max="16384" width="9.140625" style="3"/>
  </cols>
  <sheetData>
    <row r="1" spans="1:102" x14ac:dyDescent="0.25">
      <c r="A1" s="50" t="s">
        <v>39</v>
      </c>
      <c r="B1" s="51" t="s">
        <v>335</v>
      </c>
      <c r="C1" s="52" t="s">
        <v>1388</v>
      </c>
      <c r="D1" s="3" t="s">
        <v>1362</v>
      </c>
      <c r="E1" s="3" t="s">
        <v>1363</v>
      </c>
      <c r="F1" s="3" t="s">
        <v>1364</v>
      </c>
      <c r="G1" s="3" t="s">
        <v>1365</v>
      </c>
      <c r="H1" s="3" t="s">
        <v>1366</v>
      </c>
      <c r="I1" s="3" t="s">
        <v>1367</v>
      </c>
      <c r="J1" s="3" t="s">
        <v>1368</v>
      </c>
      <c r="K1" s="3" t="s">
        <v>1369</v>
      </c>
      <c r="L1" s="3" t="s">
        <v>1370</v>
      </c>
      <c r="M1" s="3" t="s">
        <v>1371</v>
      </c>
      <c r="N1" s="3" t="s">
        <v>1372</v>
      </c>
      <c r="O1" s="3" t="s">
        <v>1373</v>
      </c>
      <c r="P1" s="3" t="s">
        <v>1374</v>
      </c>
      <c r="Q1" s="3" t="s">
        <v>1375</v>
      </c>
      <c r="R1" s="3" t="s">
        <v>1376</v>
      </c>
      <c r="S1" s="3" t="s">
        <v>1377</v>
      </c>
      <c r="T1" s="3" t="s">
        <v>1378</v>
      </c>
      <c r="U1" s="3" t="s">
        <v>1379</v>
      </c>
      <c r="V1" s="3" t="s">
        <v>1380</v>
      </c>
      <c r="W1" s="3" t="s">
        <v>1381</v>
      </c>
      <c r="X1" s="3" t="s">
        <v>1382</v>
      </c>
      <c r="Y1" s="3" t="s">
        <v>1383</v>
      </c>
      <c r="Z1" s="3" t="s">
        <v>1384</v>
      </c>
      <c r="AA1" s="3" t="s">
        <v>1385</v>
      </c>
      <c r="AB1" s="53" t="s">
        <v>1109</v>
      </c>
      <c r="AC1" s="53" t="s">
        <v>1110</v>
      </c>
      <c r="AD1" s="53" t="s">
        <v>1111</v>
      </c>
      <c r="AE1" s="53" t="s">
        <v>1112</v>
      </c>
      <c r="AF1" s="53" t="s">
        <v>1113</v>
      </c>
      <c r="AG1" s="53" t="s">
        <v>1114</v>
      </c>
      <c r="AH1" s="53" t="s">
        <v>1115</v>
      </c>
      <c r="AI1" s="53" t="s">
        <v>1116</v>
      </c>
      <c r="AJ1" s="53" t="s">
        <v>1117</v>
      </c>
      <c r="AK1" s="53" t="s">
        <v>1118</v>
      </c>
      <c r="AL1" s="53" t="s">
        <v>1119</v>
      </c>
      <c r="AM1" s="53" t="s">
        <v>1120</v>
      </c>
      <c r="AN1" s="53" t="s">
        <v>1121</v>
      </c>
      <c r="AO1" s="53" t="s">
        <v>1122</v>
      </c>
      <c r="AP1" s="53" t="s">
        <v>1123</v>
      </c>
      <c r="AQ1" s="53" t="s">
        <v>1124</v>
      </c>
      <c r="AR1" s="53" t="s">
        <v>1125</v>
      </c>
      <c r="AS1" s="53" t="s">
        <v>1126</v>
      </c>
      <c r="AT1" s="53" t="s">
        <v>1127</v>
      </c>
      <c r="AU1" s="53" t="s">
        <v>1128</v>
      </c>
      <c r="AV1" s="53" t="s">
        <v>1129</v>
      </c>
      <c r="AW1" s="53" t="s">
        <v>1130</v>
      </c>
      <c r="AX1" s="53" t="s">
        <v>1131</v>
      </c>
      <c r="AY1" s="53" t="s">
        <v>1132</v>
      </c>
      <c r="AZ1" s="53" t="s">
        <v>1133</v>
      </c>
      <c r="BA1" s="3" t="s">
        <v>1386</v>
      </c>
      <c r="BB1" s="3" t="s">
        <v>1337</v>
      </c>
      <c r="BC1" s="3" t="s">
        <v>1338</v>
      </c>
      <c r="BD1" s="3" t="s">
        <v>1339</v>
      </c>
      <c r="BE1" s="3" t="s">
        <v>1340</v>
      </c>
      <c r="BF1" s="3" t="s">
        <v>1341</v>
      </c>
      <c r="BG1" s="3" t="s">
        <v>1342</v>
      </c>
      <c r="BH1" s="3" t="s">
        <v>1343</v>
      </c>
      <c r="BI1" s="3" t="s">
        <v>1344</v>
      </c>
      <c r="BJ1" s="3" t="s">
        <v>1345</v>
      </c>
      <c r="BK1" s="3" t="s">
        <v>1346</v>
      </c>
      <c r="BL1" s="3" t="s">
        <v>1347</v>
      </c>
      <c r="BM1" s="3" t="s">
        <v>1348</v>
      </c>
      <c r="BN1" s="3" t="s">
        <v>1349</v>
      </c>
      <c r="BO1" s="3" t="s">
        <v>1350</v>
      </c>
      <c r="BP1" s="3" t="s">
        <v>1351</v>
      </c>
      <c r="BQ1" s="3" t="s">
        <v>1352</v>
      </c>
      <c r="BR1" s="3" t="s">
        <v>1353</v>
      </c>
      <c r="BS1" s="3" t="s">
        <v>1354</v>
      </c>
      <c r="BT1" s="3" t="s">
        <v>1355</v>
      </c>
      <c r="BU1" s="3" t="s">
        <v>1356</v>
      </c>
      <c r="BV1" s="3" t="s">
        <v>1357</v>
      </c>
      <c r="BW1" s="3" t="s">
        <v>1358</v>
      </c>
      <c r="BX1" s="3" t="s">
        <v>1359</v>
      </c>
      <c r="BY1" s="3" t="s">
        <v>1360</v>
      </c>
      <c r="BZ1" s="53" t="s">
        <v>1134</v>
      </c>
      <c r="CA1" s="53" t="s">
        <v>1312</v>
      </c>
      <c r="CB1" s="53" t="s">
        <v>1313</v>
      </c>
      <c r="CC1" s="53" t="s">
        <v>1314</v>
      </c>
      <c r="CD1" s="53" t="s">
        <v>1315</v>
      </c>
      <c r="CE1" s="53" t="s">
        <v>1316</v>
      </c>
      <c r="CF1" s="53" t="s">
        <v>1317</v>
      </c>
      <c r="CG1" s="53" t="s">
        <v>1318</v>
      </c>
      <c r="CH1" s="53" t="s">
        <v>1319</v>
      </c>
      <c r="CI1" s="53" t="s">
        <v>1320</v>
      </c>
      <c r="CJ1" s="53" t="s">
        <v>1321</v>
      </c>
      <c r="CK1" s="53" t="s">
        <v>1322</v>
      </c>
      <c r="CL1" s="53" t="s">
        <v>1323</v>
      </c>
      <c r="CM1" s="53" t="s">
        <v>1324</v>
      </c>
      <c r="CN1" s="53" t="s">
        <v>1325</v>
      </c>
      <c r="CO1" s="53" t="s">
        <v>1326</v>
      </c>
      <c r="CP1" s="53" t="s">
        <v>1327</v>
      </c>
      <c r="CQ1" s="53" t="s">
        <v>1328</v>
      </c>
      <c r="CR1" s="53" t="s">
        <v>1329</v>
      </c>
      <c r="CS1" s="53" t="s">
        <v>1330</v>
      </c>
      <c r="CT1" s="53" t="s">
        <v>1331</v>
      </c>
      <c r="CU1" s="53" t="s">
        <v>1332</v>
      </c>
      <c r="CV1" s="53" t="s">
        <v>1333</v>
      </c>
      <c r="CW1" s="53" t="s">
        <v>1334</v>
      </c>
      <c r="CX1" s="53" t="s">
        <v>1335</v>
      </c>
    </row>
    <row r="2" spans="1:102" ht="15" customHeight="1" x14ac:dyDescent="0.25">
      <c r="A2" s="31" t="s">
        <v>0</v>
      </c>
      <c r="B2" s="3" t="s">
        <v>1059</v>
      </c>
      <c r="C2" s="73">
        <f>IFERROR(1/SUM(1/D2,1/Z2,1/AA2),".")</f>
        <v>4.3958447178843029E-5</v>
      </c>
      <c r="D2" s="73">
        <f>IFERROR((up_dir!D2/(up_Bv!C2+s_MLF_apple)),".")</f>
        <v>1.3187534153652909E-4</v>
      </c>
      <c r="E2" s="73">
        <f>IFERROR((up_dir!E2/(up_Bv!D2+s_MLF_asparagus)),".")</f>
        <v>1.3187534153652909E-4</v>
      </c>
      <c r="F2" s="73">
        <f>IFERROR((up_dir!F2/(up_Bv!E2+s_MLF_beet)),".")</f>
        <v>1.3187534153652909E-4</v>
      </c>
      <c r="G2" s="73">
        <f>IFERROR((up_dir!G2/(up_Bv!F2+s_MLF_berries)),".")</f>
        <v>1.3187534153652909E-4</v>
      </c>
      <c r="H2" s="73">
        <f>IFERROR((up_dir!H2/(up_Bv!G2+s_MLF_broccoli)),".")</f>
        <v>1.3187534153652909E-4</v>
      </c>
      <c r="I2" s="73">
        <f>IFERROR((up_dir!I2/(up_Bv!H2+s_MLF_cabbage)),".")</f>
        <v>1.3187534153652909E-4</v>
      </c>
      <c r="J2" s="73">
        <f>IFERROR((up_dir!J2/(up_Bv!I2+s_MLF_carrot)),".")</f>
        <v>1.3187534153652909E-4</v>
      </c>
      <c r="K2" s="73">
        <f>IFERROR((up_dir!K2/(up_Bv!J2+s_MLF_citrus)),".")</f>
        <v>1.3187534153652909E-4</v>
      </c>
      <c r="L2" s="73">
        <f>IFERROR((up_dir!L2/(up_Bv!K2+s_MLF_corn)),".")</f>
        <v>1.3187534153652909E-4</v>
      </c>
      <c r="M2" s="73">
        <f>IFERROR((up_dir!M2/(up_Bv!L2+s_MLF_cucumber)),".")</f>
        <v>1.3187534153652909E-4</v>
      </c>
      <c r="N2" s="73">
        <f>IFERROR((up_dir!N2/(up_Bv!M2+s_MLF_lettuce)),".")</f>
        <v>1.3187534153652909E-4</v>
      </c>
      <c r="O2" s="73">
        <f>IFERROR((up_dir!O2/(up_Bv!N2+s_MLF_lima_bean)),".")</f>
        <v>1.3187534153652909E-4</v>
      </c>
      <c r="P2" s="73">
        <f>IFERROR((up_dir!P2/(up_Bv!O2+s_MLF_okra)),".")</f>
        <v>1.3187534153652909E-4</v>
      </c>
      <c r="Q2" s="73">
        <f>IFERROR((up_dir!Q2/(up_Bv!P2+s_MLF_onion)),".")</f>
        <v>1.3187534153652909E-4</v>
      </c>
      <c r="R2" s="73">
        <f>IFERROR((up_dir!R2/(up_Bv!Q2+s_MLF_peach)),".")</f>
        <v>1.3187534153652909E-4</v>
      </c>
      <c r="S2" s="73">
        <f>IFERROR((up_dir!S2/(up_Bv!R2+s_MLF_pear)),".")</f>
        <v>1.3187534153652909E-4</v>
      </c>
      <c r="T2" s="73">
        <f>IFERROR((up_dir!T2/(up_Bv!S2+s_MLF_peas)),".")</f>
        <v>1.3187534153652909E-4</v>
      </c>
      <c r="U2" s="73">
        <f>IFERROR((up_dir!U2/(up_Bv!T2+s_MLF_potato)),".")</f>
        <v>1.3187534153652909E-4</v>
      </c>
      <c r="V2" s="73">
        <f>IFERROR((up_dir!V2/(up_Bv!U2+s_MLF_pumpkin)),".")</f>
        <v>1.3187534153652909E-4</v>
      </c>
      <c r="W2" s="73">
        <f>IFERROR((up_dir!W2/(up_Bv!V2+s_MLF_snap_bean)),".")</f>
        <v>1.3187534153652909E-4</v>
      </c>
      <c r="X2" s="73">
        <f>IFERROR((up_dir!X2/(up_Bv!W2+s_MLF_strawberry)),".")</f>
        <v>1.3187534153652909E-4</v>
      </c>
      <c r="Y2" s="73">
        <f>IFERROR((up_dir!Y2/(up_Bv!X2+s_MLF_tomato)),".")</f>
        <v>1.3187534153652909E-4</v>
      </c>
      <c r="Z2" s="73">
        <f>IFERROR((up_dir!Z2/(up_Bv!Y2+s_MLF_rice)),".")</f>
        <v>1.3187534153652909E-4</v>
      </c>
      <c r="AA2" s="73">
        <f>IFERROR((up_dir!AA2/(up_Bv!Z2+s_MLF_cereal)),".")</f>
        <v>1.3187534153652909E-4</v>
      </c>
      <c r="AB2" s="10">
        <f t="shared" ref="AB2:AB12" si="0">SUM(AC2,AY2:AZ2)</f>
        <v>113743.78125</v>
      </c>
      <c r="AC2" s="10">
        <f>s_C*(up_Bv!C2+s_MLF_apple)*s_IFAP_res_adj*s_CF_apple</f>
        <v>37914.59375</v>
      </c>
      <c r="AD2" s="10">
        <f>s_C*(up_Bv!D2+s_MLF_asparagus)*s_IFAS_res_adj*s_CF_asparagus</f>
        <v>37914.59375</v>
      </c>
      <c r="AE2" s="10">
        <f>s_C*(up_Bv!E2+s_MLF_beet)*s_IFBT_res_adj*s_CF_beet</f>
        <v>37914.59375</v>
      </c>
      <c r="AF2" s="10">
        <f>s_C*(up_Bv!F2+s_MLF_berries)*s_IFBE_res_adj*s_CF_berries</f>
        <v>37914.59375</v>
      </c>
      <c r="AG2" s="10">
        <f>s_C*(up_Bv!G2+s_MLF_broccoli)*s_IFBR_res_adj*s_CF_broccoli</f>
        <v>37914.59375</v>
      </c>
      <c r="AH2" s="10">
        <f>s_C*(up_Bv!H2+s_MLF_cabbage)*s_IFCB_res_adj*s_CF_cabbage</f>
        <v>37914.59375</v>
      </c>
      <c r="AI2" s="10">
        <f>s_C*(up_Bv!I2+s_MLF_carrot)*s_IFCR_res_adj*s_CF_carrot</f>
        <v>37914.59375</v>
      </c>
      <c r="AJ2" s="10">
        <f>s_C*(up_Bv!J2+s_MLF_citrus)*s_IFCI_res_adj*s_CF_citrus</f>
        <v>37914.59375</v>
      </c>
      <c r="AK2" s="10">
        <f>s_C*(up_Bv!K2+s_MLF_corn)*s_IFCO_res_adj*s_CF_corn</f>
        <v>37914.59375</v>
      </c>
      <c r="AL2" s="10">
        <f>s_C*(up_Bv!L2+s_MLF_cucumber)*s_IFCU_res_adj*s_CF_cucumber</f>
        <v>37914.59375</v>
      </c>
      <c r="AM2" s="10">
        <f>s_C*(up_Bv!M2+s_MLF_lettuce)*s_IFLE_res_adj*s_CF_lettuce</f>
        <v>37914.59375</v>
      </c>
      <c r="AN2" s="10">
        <f>s_C*(up_Bv!N2+s_MLF_lima_bean)*s_IFLI_res_adj*s_CF_lima_bean</f>
        <v>37914.59375</v>
      </c>
      <c r="AO2" s="10">
        <f>s_C*(up_Bv!O2+s_MLF_okra)*s_IFOK_res_adj*s_CF_okra</f>
        <v>37914.59375</v>
      </c>
      <c r="AP2" s="10">
        <f>s_C*(up_Bv!P2+s_MLF_onion)*s_IFON_res_adj*s_CF_onion</f>
        <v>37914.59375</v>
      </c>
      <c r="AQ2" s="10">
        <f>s_C*(up_Bv!Q2+s_MLF_peach)*s_IFPC_res_adj*s_CF_peach</f>
        <v>37914.59375</v>
      </c>
      <c r="AR2" s="10">
        <f>s_C*(up_Bv!R2+s_MLF_pear)*s_IFPR_res_adj*s_CF_pear</f>
        <v>37914.59375</v>
      </c>
      <c r="AS2" s="10">
        <f>s_C*(up_Bv!S2+s_MLF_peas)*s_IFPE_res_adj*s_CF_peas</f>
        <v>37914.59375</v>
      </c>
      <c r="AT2" s="10">
        <f>s_C*(up_Bv!T2+s_MLF_potato)*s_IFPT_res_adj*s_CF_potato</f>
        <v>37914.59375</v>
      </c>
      <c r="AU2" s="10">
        <f>s_C*(up_Bv!U2+s_MLF_pumpkin)*s_IFPU_res_adj*s_CF_pumpkin</f>
        <v>37914.59375</v>
      </c>
      <c r="AV2" s="10">
        <f>s_C*(up_Bv!V2+s_MLF_snap_bean)*s_IFSN_res_adj*s_CF_snap_bean</f>
        <v>37914.59375</v>
      </c>
      <c r="AW2" s="10">
        <f>s_C*(up_Bv!W2+s_MLF_strawberry)*s_IFST_res_adj*s_CF_strawberry</f>
        <v>37914.59375</v>
      </c>
      <c r="AX2" s="10">
        <f>s_C*(up_Bv!X2+s_MLF_tomato)*s_IFTO_res_adj*s_CF_tomato</f>
        <v>37914.59375</v>
      </c>
      <c r="AY2" s="10">
        <f>s_C*(up_Bv!Y2+s_MLF_rice)*s_IFRI_res_adj*s_CF_rice</f>
        <v>37914.59375</v>
      </c>
      <c r="AZ2" s="10">
        <f>s_C*(up_Bv!Z2+s_MLF_cereal)*s_IFCG_res_adj*s_CF_cereal</f>
        <v>37914.59375</v>
      </c>
      <c r="BA2" s="2">
        <f>IFERROR(1/SUM(1/BB2,1/BX2,1/BY2),".")</f>
        <v>4.3958447178843029E-5</v>
      </c>
      <c r="BB2" s="2">
        <f>IFERROR((up_dir!AC2/(up_Bv!C2+s_MLF_apple)),".")</f>
        <v>1.3187534153652909E-4</v>
      </c>
      <c r="BC2" s="2">
        <f>IFERROR((up_dir!AD2/(up_Bv!D2+s_MLF_asparagus)),".")</f>
        <v>1.3187534153652909E-4</v>
      </c>
      <c r="BD2" s="2">
        <f>IFERROR((up_dir!AE2/(up_Bv!E2+s_MLF_beet)),".")</f>
        <v>1.3187534153652909E-4</v>
      </c>
      <c r="BE2" s="2">
        <f>IFERROR((up_dir!AF2/(up_Bv!F2+s_MLF_berries)),".")</f>
        <v>1.3187534153652909E-4</v>
      </c>
      <c r="BF2" s="2">
        <f>IFERROR((up_dir!AG2/(up_Bv!G2+s_MLF_broccoli)),".")</f>
        <v>1.3187534153652909E-4</v>
      </c>
      <c r="BG2" s="2">
        <f>IFERROR((up_dir!AH2/(up_Bv!H2+s_MLF_cabbage)),".")</f>
        <v>1.3187534153652909E-4</v>
      </c>
      <c r="BH2" s="2">
        <f>IFERROR((up_dir!AI2/(up_Bv!I2+s_MLF_carrot)),".")</f>
        <v>1.3187534153652909E-4</v>
      </c>
      <c r="BI2" s="2">
        <f>IFERROR((up_dir!AJ2/(up_Bv!J2+s_MLF_citrus)),".")</f>
        <v>1.3187534153652909E-4</v>
      </c>
      <c r="BJ2" s="2">
        <f>IFERROR((up_dir!AK2/(up_Bv!K2+s_MLF_corn)),".")</f>
        <v>1.3187534153652909E-4</v>
      </c>
      <c r="BK2" s="2">
        <f>IFERROR((up_dir!AL2/(up_Bv!L2+s_MLF_cucumber)),".")</f>
        <v>1.3187534153652909E-4</v>
      </c>
      <c r="BL2" s="2">
        <f>IFERROR((up_dir!AM2/(up_Bv!M2+s_MLF_lettuce)),".")</f>
        <v>1.3187534153652909E-4</v>
      </c>
      <c r="BM2" s="2">
        <f>IFERROR((up_dir!AN2/(up_Bv!N2+s_MLF_lima_bean)),".")</f>
        <v>1.3187534153652909E-4</v>
      </c>
      <c r="BN2" s="2">
        <f>IFERROR((up_dir!AO2/(up_Bv!O2+s_MLF_okra)),".")</f>
        <v>1.3187534153652909E-4</v>
      </c>
      <c r="BO2" s="2">
        <f>IFERROR((up_dir!AP2/(up_Bv!P2+s_MLF_onion)),".")</f>
        <v>1.3187534153652909E-4</v>
      </c>
      <c r="BP2" s="2">
        <f>IFERROR((up_dir!AQ2/(up_Bv!Q2+s_MLF_peach)),".")</f>
        <v>1.3187534153652909E-4</v>
      </c>
      <c r="BQ2" s="2">
        <f>IFERROR((up_dir!AR2/(up_Bv!R2+s_MLF_pear)),".")</f>
        <v>1.3187534153652909E-4</v>
      </c>
      <c r="BR2" s="2">
        <f>IFERROR((up_dir!AS2/(up_Bv!S2+s_MLF_peas)),".")</f>
        <v>1.3187534153652909E-4</v>
      </c>
      <c r="BS2" s="2">
        <f>IFERROR((up_dir!AT2/(up_Bv!T2+s_MLF_potato)),".")</f>
        <v>1.3187534153652909E-4</v>
      </c>
      <c r="BT2" s="2">
        <f>IFERROR((up_dir!AU2/(up_Bv!U2+s_MLF_pumpkin)),".")</f>
        <v>1.3187534153652909E-4</v>
      </c>
      <c r="BU2" s="2">
        <f>IFERROR((up_dir!AV2/(up_Bv!V2+s_MLF_snap_bean)),".")</f>
        <v>1.3187534153652909E-4</v>
      </c>
      <c r="BV2" s="2">
        <f>IFERROR((up_dir!AW2/(up_Bv!W2+s_MLF_strawberry)),".")</f>
        <v>1.3187534153652909E-4</v>
      </c>
      <c r="BW2" s="2">
        <f>IFERROR((up_dir!AX2/(up_Bv!X2+s_MLF_tomato)),".")</f>
        <v>1.3187534153652909E-4</v>
      </c>
      <c r="BX2" s="2">
        <f>IFERROR((up_dir!AY2/(up_Bv!Y2+s_MLF_rice)),".")</f>
        <v>1.3187534153652909E-4</v>
      </c>
      <c r="BY2" s="2">
        <f>IFERROR((up_dir!AZ2/(up_Bv!Z2+s_MLF_cereal)),".")</f>
        <v>1.3187534153652909E-4</v>
      </c>
      <c r="BZ2" s="10">
        <f>SUM(CA2,CW2:CX2)</f>
        <v>113743.78125</v>
      </c>
      <c r="CA2" s="10">
        <f>IFERROR(s_C*(up_Bv!C2+s_MLF_apple)*s_IFAP_far_adj*s_CF_apple,".")</f>
        <v>37914.59375</v>
      </c>
      <c r="CB2" s="10">
        <f>IFERROR(s_C*(up_Bv!D2+s_MLF_asparagus)*s_IFAS_far_adj*s_CF_asparagus,".")</f>
        <v>37914.59375</v>
      </c>
      <c r="CC2" s="10">
        <f>IFERROR(s_C*(up_Bv!E2+s_MLF_beet)*s_IFBT_far_adj*s_CF_beet,".")</f>
        <v>37914.59375</v>
      </c>
      <c r="CD2" s="10">
        <f>IFERROR(s_C*(up_Bv!F2+s_MLF_berries)*s_IFBR_far_adj*s_CF_berries,".")</f>
        <v>37914.59375</v>
      </c>
      <c r="CE2" s="10">
        <f>IFERROR(s_C*(up_Bv!G2+s_MLF_broccoli)*s_IFBR_far_adj*s_CF_broccoli,".")</f>
        <v>37914.59375</v>
      </c>
      <c r="CF2" s="10">
        <f>IFERROR(s_C*(up_Bv!H2+s_MLF_cabbage)*s_IFCB_far_adj*s_CF_cabbage,".")</f>
        <v>37914.59375</v>
      </c>
      <c r="CG2" s="10">
        <f>IFERROR(s_C*(up_Bv!I2+s_MLF_carrot)*s_IFCR_far_adj*s_CF_carrot,".")</f>
        <v>37914.59375</v>
      </c>
      <c r="CH2" s="10">
        <f>IFERROR(s_C*(up_Bv!J2+s_MLF_citrus)*s_IFCI_far_adj*s_CF_citrus,".")</f>
        <v>37914.59375</v>
      </c>
      <c r="CI2" s="10">
        <f>IFERROR(s_C*(up_Bv!K2+s_MLF_corn)*s_IFCO_far_adj*s_CF_corn,".")</f>
        <v>37914.59375</v>
      </c>
      <c r="CJ2" s="10">
        <f>IFERROR(s_C*(up_Bv!L2+s_MLF_cucumber)*s_IFCU_far_adj*s_CF_cucumber,".")</f>
        <v>37914.59375</v>
      </c>
      <c r="CK2" s="10">
        <f>IFERROR(s_C*(up_Bv!M2+s_MLF_lettuce)*s_IFLE_far_adj*s_CF_lettuce,".")</f>
        <v>37914.59375</v>
      </c>
      <c r="CL2" s="10">
        <f>IFERROR(s_C*(up_Bv!N2+s_MLF_lima_bean)*s_IFLI_far_adj*s_CF_lima_bean,".")</f>
        <v>37914.59375</v>
      </c>
      <c r="CM2" s="10">
        <f>IFERROR(s_C*(up_Bv!O2+s_MLF_okra)*s_IFOK_far_adj*s_CF_okra,".")</f>
        <v>37914.59375</v>
      </c>
      <c r="CN2" s="10">
        <f>IFERROR(s_C*(up_Bv!P2+s_MLF_onion)*s_IFON_far_adj*s_CF_onion,".")</f>
        <v>37914.59375</v>
      </c>
      <c r="CO2" s="10">
        <f>IFERROR(s_C*(up_Bv!Q2+s_MLF_peach)*s_IFPC_far_adj*s_CF_peach,".")</f>
        <v>37914.59375</v>
      </c>
      <c r="CP2" s="10">
        <f>IFERROR(s_C*(up_Bv!R2+s_MLF_pear)*s_IFPR_far_adj*s_CF_pear,".")</f>
        <v>37914.59375</v>
      </c>
      <c r="CQ2" s="10">
        <f>IFERROR(s_C*(up_Bv!S2+s_MLF_peas)*s_IFPE_far_adj*s_CF_peas,".")</f>
        <v>37914.59375</v>
      </c>
      <c r="CR2" s="10">
        <f>IFERROR(s_C*(up_Bv!T2+s_MLF_potato)*s_IFPT_far_adj*s_CF_potato,".")</f>
        <v>37914.59375</v>
      </c>
      <c r="CS2" s="10">
        <f>IFERROR(s_C*(up_Bv!U2+s_MLF_pumpkin)*s_IFPU_far_adj*s_CF_pumpkin,".")</f>
        <v>37914.59375</v>
      </c>
      <c r="CT2" s="10">
        <f>IFERROR(s_C*(up_Bv!V2+s_MLF_snap_bean)*s_IFSN_far_adj*s_CF_snap_bean,".")</f>
        <v>37914.59375</v>
      </c>
      <c r="CU2" s="10">
        <f>IFERROR(s_C*(up_Bv!W2+s_MLF_strawberry)*s_IFST_far_adj*s_CF_strawberry,".")</f>
        <v>37914.59375</v>
      </c>
      <c r="CV2" s="10">
        <f>IFERROR(s_C*(up_Bv!X2+s_MLF_tomato)*s_IFTO_far_adj*s_CF_tomato,".")</f>
        <v>37914.59375</v>
      </c>
      <c r="CW2" s="10">
        <f>IFERROR(s_C*(up_Bv!Y2+s_MLF_rice)*s_IFRI_far_adj*s_CF_rice,".")</f>
        <v>37914.59375</v>
      </c>
      <c r="CX2" s="10">
        <f>IFERROR(s_C*(up_Bv!Z2+s_MLF_cereal)*s_IFCG_far_adj*s_CF_cereal,".")</f>
        <v>37914.59375</v>
      </c>
    </row>
    <row r="3" spans="1:102" x14ac:dyDescent="0.25">
      <c r="A3" s="32" t="s">
        <v>1</v>
      </c>
      <c r="B3" s="3" t="s">
        <v>336</v>
      </c>
      <c r="C3" s="73">
        <f t="shared" ref="C3:C66" si="1">IFERROR(1/SUM(1/D3,1/Z3,1/AA3),".")</f>
        <v>4.3958447178843029E-5</v>
      </c>
      <c r="D3" s="73">
        <f>IFERROR((up_dir!D3/(up_Bv!C3+s_MLF_apple)),".")</f>
        <v>1.3187534153652909E-4</v>
      </c>
      <c r="E3" s="73">
        <f>IFERROR((up_dir!E3/(up_Bv!D3+s_MLF_asparagus)),".")</f>
        <v>1.3187534153652909E-4</v>
      </c>
      <c r="F3" s="73">
        <f>IFERROR((up_dir!F3/(up_Bv!E3+s_MLF_beet)),".")</f>
        <v>1.3187534153652909E-4</v>
      </c>
      <c r="G3" s="73">
        <f>IFERROR((up_dir!G3/(up_Bv!F3+s_MLF_berries)),".")</f>
        <v>1.3187534153652909E-4</v>
      </c>
      <c r="H3" s="73">
        <f>IFERROR((up_dir!H3/(up_Bv!G3+s_MLF_broccoli)),".")</f>
        <v>1.3187534153652909E-4</v>
      </c>
      <c r="I3" s="73">
        <f>IFERROR((up_dir!I3/(up_Bv!H3+s_MLF_cabbage)),".")</f>
        <v>1.3187534153652909E-4</v>
      </c>
      <c r="J3" s="73">
        <f>IFERROR((up_dir!J3/(up_Bv!I3+s_MLF_carrot)),".")</f>
        <v>1.3187534153652909E-4</v>
      </c>
      <c r="K3" s="73">
        <f>IFERROR((up_dir!K3/(up_Bv!J3+s_MLF_citrus)),".")</f>
        <v>1.3187534153652909E-4</v>
      </c>
      <c r="L3" s="73">
        <f>IFERROR((up_dir!L3/(up_Bv!K3+s_MLF_corn)),".")</f>
        <v>1.3187534153652909E-4</v>
      </c>
      <c r="M3" s="73">
        <f>IFERROR((up_dir!M3/(up_Bv!L3+s_MLF_cucumber)),".")</f>
        <v>1.3187534153652909E-4</v>
      </c>
      <c r="N3" s="73">
        <f>IFERROR((up_dir!N3/(up_Bv!M3+s_MLF_lettuce)),".")</f>
        <v>1.3187534153652909E-4</v>
      </c>
      <c r="O3" s="73">
        <f>IFERROR((up_dir!O3/(up_Bv!N3+s_MLF_lima_bean)),".")</f>
        <v>1.3187534153652909E-4</v>
      </c>
      <c r="P3" s="73">
        <f>IFERROR((up_dir!P3/(up_Bv!O3+s_MLF_okra)),".")</f>
        <v>1.3187534153652909E-4</v>
      </c>
      <c r="Q3" s="73">
        <f>IFERROR((up_dir!Q3/(up_Bv!P3+s_MLF_onion)),".")</f>
        <v>1.3187534153652909E-4</v>
      </c>
      <c r="R3" s="73">
        <f>IFERROR((up_dir!R3/(up_Bv!Q3+s_MLF_peach)),".")</f>
        <v>1.3187534153652909E-4</v>
      </c>
      <c r="S3" s="73">
        <f>IFERROR((up_dir!S3/(up_Bv!R3+s_MLF_pear)),".")</f>
        <v>1.3187534153652909E-4</v>
      </c>
      <c r="T3" s="73">
        <f>IFERROR((up_dir!T3/(up_Bv!S3+s_MLF_peas)),".")</f>
        <v>1.3187534153652909E-4</v>
      </c>
      <c r="U3" s="73">
        <f>IFERROR((up_dir!U3/(up_Bv!T3+s_MLF_potato)),".")</f>
        <v>1.3187534153652909E-4</v>
      </c>
      <c r="V3" s="73">
        <f>IFERROR((up_dir!V3/(up_Bv!U3+s_MLF_pumpkin)),".")</f>
        <v>1.3187534153652909E-4</v>
      </c>
      <c r="W3" s="73">
        <f>IFERROR((up_dir!W3/(up_Bv!V3+s_MLF_snap_bean)),".")</f>
        <v>1.3187534153652909E-4</v>
      </c>
      <c r="X3" s="73">
        <f>IFERROR((up_dir!X3/(up_Bv!W3+s_MLF_strawberry)),".")</f>
        <v>1.3187534153652909E-4</v>
      </c>
      <c r="Y3" s="73">
        <f>IFERROR((up_dir!Y3/(up_Bv!X3+s_MLF_tomato)),".")</f>
        <v>1.3187534153652909E-4</v>
      </c>
      <c r="Z3" s="73">
        <f>IFERROR((up_dir!Z3/(up_Bv!Y3+s_MLF_rice)),".")</f>
        <v>1.3187534153652909E-4</v>
      </c>
      <c r="AA3" s="73">
        <f>IFERROR((up_dir!AA3/(up_Bv!Z3+s_MLF_cereal)),".")</f>
        <v>1.3187534153652909E-4</v>
      </c>
      <c r="AB3" s="10">
        <f t="shared" si="0"/>
        <v>113743.78125</v>
      </c>
      <c r="AC3" s="10">
        <f>s_C*(up_Bv!C3+s_MLF_apple)*s_IFAP_res_adj*s_CF_apple</f>
        <v>37914.59375</v>
      </c>
      <c r="AD3" s="10">
        <f>s_C*(up_Bv!D3+s_MLF_asparagus)*s_IFAS_res_adj*s_CF_asparagus</f>
        <v>37914.59375</v>
      </c>
      <c r="AE3" s="10">
        <f>s_C*(up_Bv!E3+s_MLF_beet)*s_IFBT_res_adj*s_CF_beet</f>
        <v>37914.59375</v>
      </c>
      <c r="AF3" s="10">
        <f>s_C*(up_Bv!F3+s_MLF_berries)*s_IFBE_res_adj*s_CF_berries</f>
        <v>37914.59375</v>
      </c>
      <c r="AG3" s="10">
        <f>s_C*(up_Bv!G3+s_MLF_broccoli)*s_IFBR_res_adj*s_CF_broccoli</f>
        <v>37914.59375</v>
      </c>
      <c r="AH3" s="10">
        <f>s_C*(up_Bv!H3+s_MLF_cabbage)*s_IFCB_res_adj*s_CF_cabbage</f>
        <v>37914.59375</v>
      </c>
      <c r="AI3" s="10">
        <f>s_C*(up_Bv!I3+s_MLF_carrot)*s_IFCR_res_adj*s_CF_carrot</f>
        <v>37914.59375</v>
      </c>
      <c r="AJ3" s="10">
        <f>s_C*(up_Bv!J3+s_MLF_citrus)*s_IFCI_res_adj*s_CF_citrus</f>
        <v>37914.59375</v>
      </c>
      <c r="AK3" s="10">
        <f>s_C*(up_Bv!K3+s_MLF_corn)*s_IFCO_res_adj*s_CF_corn</f>
        <v>37914.59375</v>
      </c>
      <c r="AL3" s="10">
        <f>s_C*(up_Bv!L3+s_MLF_cucumber)*s_IFCU_res_adj*s_CF_cucumber</f>
        <v>37914.59375</v>
      </c>
      <c r="AM3" s="10">
        <f>s_C*(up_Bv!M3+s_MLF_lettuce)*s_IFLE_res_adj*s_CF_lettuce</f>
        <v>37914.59375</v>
      </c>
      <c r="AN3" s="10">
        <f>s_C*(up_Bv!N3+s_MLF_lima_bean)*s_IFLI_res_adj*s_CF_lima_bean</f>
        <v>37914.59375</v>
      </c>
      <c r="AO3" s="10">
        <f>s_C*(up_Bv!O3+s_MLF_okra)*s_IFOK_res_adj*s_CF_okra</f>
        <v>37914.59375</v>
      </c>
      <c r="AP3" s="10">
        <f>s_C*(up_Bv!P3+s_MLF_onion)*s_IFON_res_adj*s_CF_onion</f>
        <v>37914.59375</v>
      </c>
      <c r="AQ3" s="10">
        <f>s_C*(up_Bv!Q3+s_MLF_peach)*s_IFPC_res_adj*s_CF_peach</f>
        <v>37914.59375</v>
      </c>
      <c r="AR3" s="10">
        <f>s_C*(up_Bv!R3+s_MLF_pear)*s_IFPR_res_adj*s_CF_pear</f>
        <v>37914.59375</v>
      </c>
      <c r="AS3" s="10">
        <f>s_C*(up_Bv!S3+s_MLF_peas)*s_IFPE_res_adj*s_CF_peas</f>
        <v>37914.59375</v>
      </c>
      <c r="AT3" s="10">
        <f>s_C*(up_Bv!T3+s_MLF_potato)*s_IFPT_res_adj*s_CF_potato</f>
        <v>37914.59375</v>
      </c>
      <c r="AU3" s="10">
        <f>s_C*(up_Bv!U3+s_MLF_pumpkin)*s_IFPU_res_adj*s_CF_pumpkin</f>
        <v>37914.59375</v>
      </c>
      <c r="AV3" s="10">
        <f>s_C*(up_Bv!V3+s_MLF_snap_bean)*s_IFSN_res_adj*s_CF_snap_bean</f>
        <v>37914.59375</v>
      </c>
      <c r="AW3" s="10">
        <f>s_C*(up_Bv!W3+s_MLF_strawberry)*s_IFST_res_adj*s_CF_strawberry</f>
        <v>37914.59375</v>
      </c>
      <c r="AX3" s="10">
        <f>s_C*(up_Bv!X3+s_MLF_tomato)*s_IFTO_res_adj*s_CF_tomato</f>
        <v>37914.59375</v>
      </c>
      <c r="AY3" s="10">
        <f>s_C*(up_Bv!Y3+s_MLF_rice)*s_IFRI_res_adj*s_CF_rice</f>
        <v>37914.59375</v>
      </c>
      <c r="AZ3" s="10">
        <f>s_C*(up_Bv!Z3+s_MLF_cereal)*s_IFCG_res_adj*s_CF_cereal</f>
        <v>37914.59375</v>
      </c>
      <c r="BA3" s="2">
        <f t="shared" ref="BA3:BA66" si="2">IFERROR(1/SUM(1/BB3,1/BX3,1/BY3),".")</f>
        <v>4.3958447178843029E-5</v>
      </c>
      <c r="BB3" s="2">
        <f>IFERROR((up_dir!AC3/(up_Bv!C3+s_MLF_apple)),".")</f>
        <v>1.3187534153652909E-4</v>
      </c>
      <c r="BC3" s="2">
        <f>IFERROR((up_dir!AD3/(up_Bv!D3+s_MLF_asparagus)),".")</f>
        <v>1.3187534153652909E-4</v>
      </c>
      <c r="BD3" s="2">
        <f>IFERROR((up_dir!AE3/(up_Bv!E3+s_MLF_beet)),".")</f>
        <v>1.3187534153652909E-4</v>
      </c>
      <c r="BE3" s="2">
        <f>IFERROR((up_dir!AF3/(up_Bv!F3+s_MLF_berries)),".")</f>
        <v>1.3187534153652909E-4</v>
      </c>
      <c r="BF3" s="2">
        <f>IFERROR((up_dir!AG3/(up_Bv!G3+s_MLF_broccoli)),".")</f>
        <v>1.3187534153652909E-4</v>
      </c>
      <c r="BG3" s="2">
        <f>IFERROR((up_dir!AH3/(up_Bv!H3+s_MLF_cabbage)),".")</f>
        <v>1.3187534153652909E-4</v>
      </c>
      <c r="BH3" s="2">
        <f>IFERROR((up_dir!AI3/(up_Bv!I3+s_MLF_carrot)),".")</f>
        <v>1.3187534153652909E-4</v>
      </c>
      <c r="BI3" s="2">
        <f>IFERROR((up_dir!AJ3/(up_Bv!J3+s_MLF_citrus)),".")</f>
        <v>1.3187534153652909E-4</v>
      </c>
      <c r="BJ3" s="2">
        <f>IFERROR((up_dir!AK3/(up_Bv!K3+s_MLF_corn)),".")</f>
        <v>1.3187534153652909E-4</v>
      </c>
      <c r="BK3" s="2">
        <f>IFERROR((up_dir!AL3/(up_Bv!L3+s_MLF_cucumber)),".")</f>
        <v>1.3187534153652909E-4</v>
      </c>
      <c r="BL3" s="2">
        <f>IFERROR((up_dir!AM3/(up_Bv!M3+s_MLF_lettuce)),".")</f>
        <v>1.3187534153652909E-4</v>
      </c>
      <c r="BM3" s="2">
        <f>IFERROR((up_dir!AN3/(up_Bv!N3+s_MLF_lima_bean)),".")</f>
        <v>1.3187534153652909E-4</v>
      </c>
      <c r="BN3" s="2">
        <f>IFERROR((up_dir!AO3/(up_Bv!O3+s_MLF_okra)),".")</f>
        <v>1.3187534153652909E-4</v>
      </c>
      <c r="BO3" s="2">
        <f>IFERROR((up_dir!AP3/(up_Bv!P3+s_MLF_onion)),".")</f>
        <v>1.3187534153652909E-4</v>
      </c>
      <c r="BP3" s="2">
        <f>IFERROR((up_dir!AQ3/(up_Bv!Q3+s_MLF_peach)),".")</f>
        <v>1.3187534153652909E-4</v>
      </c>
      <c r="BQ3" s="2">
        <f>IFERROR((up_dir!AR3/(up_Bv!R3+s_MLF_pear)),".")</f>
        <v>1.3187534153652909E-4</v>
      </c>
      <c r="BR3" s="2">
        <f>IFERROR((up_dir!AS3/(up_Bv!S3+s_MLF_peas)),".")</f>
        <v>1.3187534153652909E-4</v>
      </c>
      <c r="BS3" s="2">
        <f>IFERROR((up_dir!AT3/(up_Bv!T3+s_MLF_potato)),".")</f>
        <v>1.3187534153652909E-4</v>
      </c>
      <c r="BT3" s="2">
        <f>IFERROR((up_dir!AU3/(up_Bv!U3+s_MLF_pumpkin)),".")</f>
        <v>1.3187534153652909E-4</v>
      </c>
      <c r="BU3" s="2">
        <f>IFERROR((up_dir!AV3/(up_Bv!V3+s_MLF_snap_bean)),".")</f>
        <v>1.3187534153652909E-4</v>
      </c>
      <c r="BV3" s="2">
        <f>IFERROR((up_dir!AW3/(up_Bv!W3+s_MLF_strawberry)),".")</f>
        <v>1.3187534153652909E-4</v>
      </c>
      <c r="BW3" s="2">
        <f>IFERROR((up_dir!AX3/(up_Bv!X3+s_MLF_tomato)),".")</f>
        <v>1.3187534153652909E-4</v>
      </c>
      <c r="BX3" s="2">
        <f>IFERROR((up_dir!AY3/(up_Bv!Y3+s_MLF_rice)),".")</f>
        <v>1.3187534153652909E-4</v>
      </c>
      <c r="BY3" s="2">
        <f>IFERROR((up_dir!AZ3/(up_Bv!Z3+s_MLF_cereal)),".")</f>
        <v>1.3187534153652909E-4</v>
      </c>
      <c r="BZ3" s="10">
        <f t="shared" ref="BZ3:BZ30" si="3">SUM(CA3,CW3:CX3)</f>
        <v>113743.78125</v>
      </c>
      <c r="CA3" s="10">
        <f>IFERROR(s_C*(up_Bv!C3+s_MLF_apple)*s_IFAP_far_adj*s_CF_apple,".")</f>
        <v>37914.59375</v>
      </c>
      <c r="CB3" s="10">
        <f>IFERROR(s_C*(up_Bv!D3+s_MLF_asparagus)*s_IFAS_far_adj*s_CF_asparagus,".")</f>
        <v>37914.59375</v>
      </c>
      <c r="CC3" s="10">
        <f>IFERROR(s_C*(up_Bv!E3+s_MLF_beet)*s_IFBT_far_adj*s_CF_beet,".")</f>
        <v>37914.59375</v>
      </c>
      <c r="CD3" s="10">
        <f>IFERROR(s_C*(up_Bv!F3+s_MLF_berries)*s_IFBR_far_adj*s_CF_berries,".")</f>
        <v>37914.59375</v>
      </c>
      <c r="CE3" s="10">
        <f>IFERROR(s_C*(up_Bv!G3+s_MLF_broccoli)*s_IFBR_far_adj*s_CF_broccoli,".")</f>
        <v>37914.59375</v>
      </c>
      <c r="CF3" s="10">
        <f>IFERROR(s_C*(up_Bv!H3+s_MLF_cabbage)*s_IFCB_far_adj*s_CF_cabbage,".")</f>
        <v>37914.59375</v>
      </c>
      <c r="CG3" s="10">
        <f>IFERROR(s_C*(up_Bv!I3+s_MLF_carrot)*s_IFCR_far_adj*s_CF_carrot,".")</f>
        <v>37914.59375</v>
      </c>
      <c r="CH3" s="10">
        <f>IFERROR(s_C*(up_Bv!J3+s_MLF_citrus)*s_IFCI_far_adj*s_CF_citrus,".")</f>
        <v>37914.59375</v>
      </c>
      <c r="CI3" s="10">
        <f>IFERROR(s_C*(up_Bv!K3+s_MLF_corn)*s_IFCO_far_adj*s_CF_corn,".")</f>
        <v>37914.59375</v>
      </c>
      <c r="CJ3" s="10">
        <f>IFERROR(s_C*(up_Bv!L3+s_MLF_cucumber)*s_IFCU_far_adj*s_CF_cucumber,".")</f>
        <v>37914.59375</v>
      </c>
      <c r="CK3" s="10">
        <f>IFERROR(s_C*(up_Bv!M3+s_MLF_lettuce)*s_IFLE_far_adj*s_CF_lettuce,".")</f>
        <v>37914.59375</v>
      </c>
      <c r="CL3" s="10">
        <f>IFERROR(s_C*(up_Bv!N3+s_MLF_lima_bean)*s_IFLI_far_adj*s_CF_lima_bean,".")</f>
        <v>37914.59375</v>
      </c>
      <c r="CM3" s="10">
        <f>IFERROR(s_C*(up_Bv!O3+s_MLF_okra)*s_IFOK_far_adj*s_CF_okra,".")</f>
        <v>37914.59375</v>
      </c>
      <c r="CN3" s="10">
        <f>IFERROR(s_C*(up_Bv!P3+s_MLF_onion)*s_IFON_far_adj*s_CF_onion,".")</f>
        <v>37914.59375</v>
      </c>
      <c r="CO3" s="10">
        <f>IFERROR(s_C*(up_Bv!Q3+s_MLF_peach)*s_IFPC_far_adj*s_CF_peach,".")</f>
        <v>37914.59375</v>
      </c>
      <c r="CP3" s="10">
        <f>IFERROR(s_C*(up_Bv!R3+s_MLF_pear)*s_IFPR_far_adj*s_CF_pear,".")</f>
        <v>37914.59375</v>
      </c>
      <c r="CQ3" s="10">
        <f>IFERROR(s_C*(up_Bv!S3+s_MLF_peas)*s_IFPE_far_adj*s_CF_peas,".")</f>
        <v>37914.59375</v>
      </c>
      <c r="CR3" s="10">
        <f>IFERROR(s_C*(up_Bv!T3+s_MLF_potato)*s_IFPT_far_adj*s_CF_potato,".")</f>
        <v>37914.59375</v>
      </c>
      <c r="CS3" s="10">
        <f>IFERROR(s_C*(up_Bv!U3+s_MLF_pumpkin)*s_IFPU_far_adj*s_CF_pumpkin,".")</f>
        <v>37914.59375</v>
      </c>
      <c r="CT3" s="10">
        <f>IFERROR(s_C*(up_Bv!V3+s_MLF_snap_bean)*s_IFSN_far_adj*s_CF_snap_bean,".")</f>
        <v>37914.59375</v>
      </c>
      <c r="CU3" s="10">
        <f>IFERROR(s_C*(up_Bv!W3+s_MLF_strawberry)*s_IFST_far_adj*s_CF_strawberry,".")</f>
        <v>37914.59375</v>
      </c>
      <c r="CV3" s="10">
        <f>IFERROR(s_C*(up_Bv!X3+s_MLF_tomato)*s_IFTO_far_adj*s_CF_tomato,".")</f>
        <v>37914.59375</v>
      </c>
      <c r="CW3" s="10">
        <f>IFERROR(s_C*(up_Bv!Y3+s_MLF_rice)*s_IFRI_far_adj*s_CF_rice,".")</f>
        <v>37914.59375</v>
      </c>
      <c r="CX3" s="10">
        <f>IFERROR(s_C*(up_Bv!Z3+s_MLF_cereal)*s_IFCG_far_adj*s_CF_cereal,".")</f>
        <v>37914.59375</v>
      </c>
    </row>
    <row r="4" spans="1:102" ht="15" customHeight="1" x14ac:dyDescent="0.25">
      <c r="A4" s="31" t="s">
        <v>2</v>
      </c>
      <c r="B4" s="3" t="s">
        <v>1059</v>
      </c>
      <c r="C4" s="73">
        <f t="shared" si="1"/>
        <v>4.3958447178843029E-5</v>
      </c>
      <c r="D4" s="73">
        <f>IFERROR((up_dir!D4/(up_Bv!C4+s_MLF_apple)),".")</f>
        <v>1.3187534153652909E-4</v>
      </c>
      <c r="E4" s="73">
        <f>IFERROR((up_dir!E4/(up_Bv!D4+s_MLF_asparagus)),".")</f>
        <v>1.3187534153652909E-4</v>
      </c>
      <c r="F4" s="73">
        <f>IFERROR((up_dir!F4/(up_Bv!E4+s_MLF_beet)),".")</f>
        <v>1.3187534153652909E-4</v>
      </c>
      <c r="G4" s="73">
        <f>IFERROR((up_dir!G4/(up_Bv!F4+s_MLF_berries)),".")</f>
        <v>1.3187534153652909E-4</v>
      </c>
      <c r="H4" s="73">
        <f>IFERROR((up_dir!H4/(up_Bv!G4+s_MLF_broccoli)),".")</f>
        <v>1.3187534153652909E-4</v>
      </c>
      <c r="I4" s="73">
        <f>IFERROR((up_dir!I4/(up_Bv!H4+s_MLF_cabbage)),".")</f>
        <v>1.3187534153652909E-4</v>
      </c>
      <c r="J4" s="73">
        <f>IFERROR((up_dir!J4/(up_Bv!I4+s_MLF_carrot)),".")</f>
        <v>1.3187534153652909E-4</v>
      </c>
      <c r="K4" s="73">
        <f>IFERROR((up_dir!K4/(up_Bv!J4+s_MLF_citrus)),".")</f>
        <v>1.3187534153652909E-4</v>
      </c>
      <c r="L4" s="73">
        <f>IFERROR((up_dir!L4/(up_Bv!K4+s_MLF_corn)),".")</f>
        <v>1.3187534153652909E-4</v>
      </c>
      <c r="M4" s="73">
        <f>IFERROR((up_dir!M4/(up_Bv!L4+s_MLF_cucumber)),".")</f>
        <v>1.3187534153652909E-4</v>
      </c>
      <c r="N4" s="73">
        <f>IFERROR((up_dir!N4/(up_Bv!M4+s_MLF_lettuce)),".")</f>
        <v>1.3187534153652909E-4</v>
      </c>
      <c r="O4" s="73">
        <f>IFERROR((up_dir!O4/(up_Bv!N4+s_MLF_lima_bean)),".")</f>
        <v>1.3187534153652909E-4</v>
      </c>
      <c r="P4" s="73">
        <f>IFERROR((up_dir!P4/(up_Bv!O4+s_MLF_okra)),".")</f>
        <v>1.3187534153652909E-4</v>
      </c>
      <c r="Q4" s="73">
        <f>IFERROR((up_dir!Q4/(up_Bv!P4+s_MLF_onion)),".")</f>
        <v>1.3187534153652909E-4</v>
      </c>
      <c r="R4" s="73">
        <f>IFERROR((up_dir!R4/(up_Bv!Q4+s_MLF_peach)),".")</f>
        <v>1.3187534153652909E-4</v>
      </c>
      <c r="S4" s="73">
        <f>IFERROR((up_dir!S4/(up_Bv!R4+s_MLF_pear)),".")</f>
        <v>1.3187534153652909E-4</v>
      </c>
      <c r="T4" s="73">
        <f>IFERROR((up_dir!T4/(up_Bv!S4+s_MLF_peas)),".")</f>
        <v>1.3187534153652909E-4</v>
      </c>
      <c r="U4" s="73">
        <f>IFERROR((up_dir!U4/(up_Bv!T4+s_MLF_potato)),".")</f>
        <v>1.3187534153652909E-4</v>
      </c>
      <c r="V4" s="73">
        <f>IFERROR((up_dir!V4/(up_Bv!U4+s_MLF_pumpkin)),".")</f>
        <v>1.3187534153652909E-4</v>
      </c>
      <c r="W4" s="73">
        <f>IFERROR((up_dir!W4/(up_Bv!V4+s_MLF_snap_bean)),".")</f>
        <v>1.3187534153652909E-4</v>
      </c>
      <c r="X4" s="73">
        <f>IFERROR((up_dir!X4/(up_Bv!W4+s_MLF_strawberry)),".")</f>
        <v>1.3187534153652909E-4</v>
      </c>
      <c r="Y4" s="73">
        <f>IFERROR((up_dir!Y4/(up_Bv!X4+s_MLF_tomato)),".")</f>
        <v>1.3187534153652909E-4</v>
      </c>
      <c r="Z4" s="73">
        <f>IFERROR((up_dir!Z4/(up_Bv!Y4+s_MLF_rice)),".")</f>
        <v>1.3187534153652909E-4</v>
      </c>
      <c r="AA4" s="73">
        <f>IFERROR((up_dir!AA4/(up_Bv!Z4+s_MLF_cereal)),".")</f>
        <v>1.3187534153652909E-4</v>
      </c>
      <c r="AB4" s="10">
        <f t="shared" si="0"/>
        <v>113743.78125</v>
      </c>
      <c r="AC4" s="10">
        <f>s_C*(up_Bv!C4+s_MLF_apple)*s_IFAP_res_adj*s_CF_apple</f>
        <v>37914.59375</v>
      </c>
      <c r="AD4" s="10">
        <f>s_C*(up_Bv!D4+s_MLF_asparagus)*s_IFAS_res_adj*s_CF_asparagus</f>
        <v>37914.59375</v>
      </c>
      <c r="AE4" s="10">
        <f>s_C*(up_Bv!E4+s_MLF_beet)*s_IFBT_res_adj*s_CF_beet</f>
        <v>37914.59375</v>
      </c>
      <c r="AF4" s="10">
        <f>s_C*(up_Bv!F4+s_MLF_berries)*s_IFBE_res_adj*s_CF_berries</f>
        <v>37914.59375</v>
      </c>
      <c r="AG4" s="10">
        <f>s_C*(up_Bv!G4+s_MLF_broccoli)*s_IFBR_res_adj*s_CF_broccoli</f>
        <v>37914.59375</v>
      </c>
      <c r="AH4" s="10">
        <f>s_C*(up_Bv!H4+s_MLF_cabbage)*s_IFCB_res_adj*s_CF_cabbage</f>
        <v>37914.59375</v>
      </c>
      <c r="AI4" s="10">
        <f>s_C*(up_Bv!I4+s_MLF_carrot)*s_IFCR_res_adj*s_CF_carrot</f>
        <v>37914.59375</v>
      </c>
      <c r="AJ4" s="10">
        <f>s_C*(up_Bv!J4+s_MLF_citrus)*s_IFCI_res_adj*s_CF_citrus</f>
        <v>37914.59375</v>
      </c>
      <c r="AK4" s="10">
        <f>s_C*(up_Bv!K4+s_MLF_corn)*s_IFCO_res_adj*s_CF_corn</f>
        <v>37914.59375</v>
      </c>
      <c r="AL4" s="10">
        <f>s_C*(up_Bv!L4+s_MLF_cucumber)*s_IFCU_res_adj*s_CF_cucumber</f>
        <v>37914.59375</v>
      </c>
      <c r="AM4" s="10">
        <f>s_C*(up_Bv!M4+s_MLF_lettuce)*s_IFLE_res_adj*s_CF_lettuce</f>
        <v>37914.59375</v>
      </c>
      <c r="AN4" s="10">
        <f>s_C*(up_Bv!N4+s_MLF_lima_bean)*s_IFLI_res_adj*s_CF_lima_bean</f>
        <v>37914.59375</v>
      </c>
      <c r="AO4" s="10">
        <f>s_C*(up_Bv!O4+s_MLF_okra)*s_IFOK_res_adj*s_CF_okra</f>
        <v>37914.59375</v>
      </c>
      <c r="AP4" s="10">
        <f>s_C*(up_Bv!P4+s_MLF_onion)*s_IFON_res_adj*s_CF_onion</f>
        <v>37914.59375</v>
      </c>
      <c r="AQ4" s="10">
        <f>s_C*(up_Bv!Q4+s_MLF_peach)*s_IFPC_res_adj*s_CF_peach</f>
        <v>37914.59375</v>
      </c>
      <c r="AR4" s="10">
        <f>s_C*(up_Bv!R4+s_MLF_pear)*s_IFPR_res_adj*s_CF_pear</f>
        <v>37914.59375</v>
      </c>
      <c r="AS4" s="10">
        <f>s_C*(up_Bv!S4+s_MLF_peas)*s_IFPE_res_adj*s_CF_peas</f>
        <v>37914.59375</v>
      </c>
      <c r="AT4" s="10">
        <f>s_C*(up_Bv!T4+s_MLF_potato)*s_IFPT_res_adj*s_CF_potato</f>
        <v>37914.59375</v>
      </c>
      <c r="AU4" s="10">
        <f>s_C*(up_Bv!U4+s_MLF_pumpkin)*s_IFPU_res_adj*s_CF_pumpkin</f>
        <v>37914.59375</v>
      </c>
      <c r="AV4" s="10">
        <f>s_C*(up_Bv!V4+s_MLF_snap_bean)*s_IFSN_res_adj*s_CF_snap_bean</f>
        <v>37914.59375</v>
      </c>
      <c r="AW4" s="10">
        <f>s_C*(up_Bv!W4+s_MLF_strawberry)*s_IFST_res_adj*s_CF_strawberry</f>
        <v>37914.59375</v>
      </c>
      <c r="AX4" s="10">
        <f>s_C*(up_Bv!X4+s_MLF_tomato)*s_IFTO_res_adj*s_CF_tomato</f>
        <v>37914.59375</v>
      </c>
      <c r="AY4" s="10">
        <f>s_C*(up_Bv!Y4+s_MLF_rice)*s_IFRI_res_adj*s_CF_rice</f>
        <v>37914.59375</v>
      </c>
      <c r="AZ4" s="10">
        <f>s_C*(up_Bv!Z4+s_MLF_cereal)*s_IFCG_res_adj*s_CF_cereal</f>
        <v>37914.59375</v>
      </c>
      <c r="BA4" s="2">
        <f t="shared" si="2"/>
        <v>4.3958447178843029E-5</v>
      </c>
      <c r="BB4" s="2">
        <f>IFERROR((up_dir!AC4/(up_Bv!C4+s_MLF_apple)),".")</f>
        <v>1.3187534153652909E-4</v>
      </c>
      <c r="BC4" s="2">
        <f>IFERROR((up_dir!AD4/(up_Bv!D4+s_MLF_asparagus)),".")</f>
        <v>1.3187534153652909E-4</v>
      </c>
      <c r="BD4" s="2">
        <f>IFERROR((up_dir!AE4/(up_Bv!E4+s_MLF_beet)),".")</f>
        <v>1.3187534153652909E-4</v>
      </c>
      <c r="BE4" s="2">
        <f>IFERROR((up_dir!AF4/(up_Bv!F4+s_MLF_berries)),".")</f>
        <v>1.3187534153652909E-4</v>
      </c>
      <c r="BF4" s="2">
        <f>IFERROR((up_dir!AG4/(up_Bv!G4+s_MLF_broccoli)),".")</f>
        <v>1.3187534153652909E-4</v>
      </c>
      <c r="BG4" s="2">
        <f>IFERROR((up_dir!AH4/(up_Bv!H4+s_MLF_cabbage)),".")</f>
        <v>1.3187534153652909E-4</v>
      </c>
      <c r="BH4" s="2">
        <f>IFERROR((up_dir!AI4/(up_Bv!I4+s_MLF_carrot)),".")</f>
        <v>1.3187534153652909E-4</v>
      </c>
      <c r="BI4" s="2">
        <f>IFERROR((up_dir!AJ4/(up_Bv!J4+s_MLF_citrus)),".")</f>
        <v>1.3187534153652909E-4</v>
      </c>
      <c r="BJ4" s="2">
        <f>IFERROR((up_dir!AK4/(up_Bv!K4+s_MLF_corn)),".")</f>
        <v>1.3187534153652909E-4</v>
      </c>
      <c r="BK4" s="2">
        <f>IFERROR((up_dir!AL4/(up_Bv!L4+s_MLF_cucumber)),".")</f>
        <v>1.3187534153652909E-4</v>
      </c>
      <c r="BL4" s="2">
        <f>IFERROR((up_dir!AM4/(up_Bv!M4+s_MLF_lettuce)),".")</f>
        <v>1.3187534153652909E-4</v>
      </c>
      <c r="BM4" s="2">
        <f>IFERROR((up_dir!AN4/(up_Bv!N4+s_MLF_lima_bean)),".")</f>
        <v>1.3187534153652909E-4</v>
      </c>
      <c r="BN4" s="2">
        <f>IFERROR((up_dir!AO4/(up_Bv!O4+s_MLF_okra)),".")</f>
        <v>1.3187534153652909E-4</v>
      </c>
      <c r="BO4" s="2">
        <f>IFERROR((up_dir!AP4/(up_Bv!P4+s_MLF_onion)),".")</f>
        <v>1.3187534153652909E-4</v>
      </c>
      <c r="BP4" s="2">
        <f>IFERROR((up_dir!AQ4/(up_Bv!Q4+s_MLF_peach)),".")</f>
        <v>1.3187534153652909E-4</v>
      </c>
      <c r="BQ4" s="2">
        <f>IFERROR((up_dir!AR4/(up_Bv!R4+s_MLF_pear)),".")</f>
        <v>1.3187534153652909E-4</v>
      </c>
      <c r="BR4" s="2">
        <f>IFERROR((up_dir!AS4/(up_Bv!S4+s_MLF_peas)),".")</f>
        <v>1.3187534153652909E-4</v>
      </c>
      <c r="BS4" s="2">
        <f>IFERROR((up_dir!AT4/(up_Bv!T4+s_MLF_potato)),".")</f>
        <v>1.3187534153652909E-4</v>
      </c>
      <c r="BT4" s="2">
        <f>IFERROR((up_dir!AU4/(up_Bv!U4+s_MLF_pumpkin)),".")</f>
        <v>1.3187534153652909E-4</v>
      </c>
      <c r="BU4" s="2">
        <f>IFERROR((up_dir!AV4/(up_Bv!V4+s_MLF_snap_bean)),".")</f>
        <v>1.3187534153652909E-4</v>
      </c>
      <c r="BV4" s="2">
        <f>IFERROR((up_dir!AW4/(up_Bv!W4+s_MLF_strawberry)),".")</f>
        <v>1.3187534153652909E-4</v>
      </c>
      <c r="BW4" s="2">
        <f>IFERROR((up_dir!AX4/(up_Bv!X4+s_MLF_tomato)),".")</f>
        <v>1.3187534153652909E-4</v>
      </c>
      <c r="BX4" s="2">
        <f>IFERROR((up_dir!AY4/(up_Bv!Y4+s_MLF_rice)),".")</f>
        <v>1.3187534153652909E-4</v>
      </c>
      <c r="BY4" s="2">
        <f>IFERROR((up_dir!AZ4/(up_Bv!Z4+s_MLF_cereal)),".")</f>
        <v>1.3187534153652909E-4</v>
      </c>
      <c r="BZ4" s="10">
        <f t="shared" si="3"/>
        <v>113743.78125</v>
      </c>
      <c r="CA4" s="10">
        <f>IFERROR(s_C*(up_Bv!C4+s_MLF_apple)*s_IFAP_far_adj*s_CF_apple,".")</f>
        <v>37914.59375</v>
      </c>
      <c r="CB4" s="10">
        <f>IFERROR(s_C*(up_Bv!D4+s_MLF_asparagus)*s_IFAS_far_adj*s_CF_asparagus,".")</f>
        <v>37914.59375</v>
      </c>
      <c r="CC4" s="10">
        <f>IFERROR(s_C*(up_Bv!E4+s_MLF_beet)*s_IFBT_far_adj*s_CF_beet,".")</f>
        <v>37914.59375</v>
      </c>
      <c r="CD4" s="10">
        <f>IFERROR(s_C*(up_Bv!F4+s_MLF_berries)*s_IFBR_far_adj*s_CF_berries,".")</f>
        <v>37914.59375</v>
      </c>
      <c r="CE4" s="10">
        <f>IFERROR(s_C*(up_Bv!G4+s_MLF_broccoli)*s_IFBR_far_adj*s_CF_broccoli,".")</f>
        <v>37914.59375</v>
      </c>
      <c r="CF4" s="10">
        <f>IFERROR(s_C*(up_Bv!H4+s_MLF_cabbage)*s_IFCB_far_adj*s_CF_cabbage,".")</f>
        <v>37914.59375</v>
      </c>
      <c r="CG4" s="10">
        <f>IFERROR(s_C*(up_Bv!I4+s_MLF_carrot)*s_IFCR_far_adj*s_CF_carrot,".")</f>
        <v>37914.59375</v>
      </c>
      <c r="CH4" s="10">
        <f>IFERROR(s_C*(up_Bv!J4+s_MLF_citrus)*s_IFCI_far_adj*s_CF_citrus,".")</f>
        <v>37914.59375</v>
      </c>
      <c r="CI4" s="10">
        <f>IFERROR(s_C*(up_Bv!K4+s_MLF_corn)*s_IFCO_far_adj*s_CF_corn,".")</f>
        <v>37914.59375</v>
      </c>
      <c r="CJ4" s="10">
        <f>IFERROR(s_C*(up_Bv!L4+s_MLF_cucumber)*s_IFCU_far_adj*s_CF_cucumber,".")</f>
        <v>37914.59375</v>
      </c>
      <c r="CK4" s="10">
        <f>IFERROR(s_C*(up_Bv!M4+s_MLF_lettuce)*s_IFLE_far_adj*s_CF_lettuce,".")</f>
        <v>37914.59375</v>
      </c>
      <c r="CL4" s="10">
        <f>IFERROR(s_C*(up_Bv!N4+s_MLF_lima_bean)*s_IFLI_far_adj*s_CF_lima_bean,".")</f>
        <v>37914.59375</v>
      </c>
      <c r="CM4" s="10">
        <f>IFERROR(s_C*(up_Bv!O4+s_MLF_okra)*s_IFOK_far_adj*s_CF_okra,".")</f>
        <v>37914.59375</v>
      </c>
      <c r="CN4" s="10">
        <f>IFERROR(s_C*(up_Bv!P4+s_MLF_onion)*s_IFON_far_adj*s_CF_onion,".")</f>
        <v>37914.59375</v>
      </c>
      <c r="CO4" s="10">
        <f>IFERROR(s_C*(up_Bv!Q4+s_MLF_peach)*s_IFPC_far_adj*s_CF_peach,".")</f>
        <v>37914.59375</v>
      </c>
      <c r="CP4" s="10">
        <f>IFERROR(s_C*(up_Bv!R4+s_MLF_pear)*s_IFPR_far_adj*s_CF_pear,".")</f>
        <v>37914.59375</v>
      </c>
      <c r="CQ4" s="10">
        <f>IFERROR(s_C*(up_Bv!S4+s_MLF_peas)*s_IFPE_far_adj*s_CF_peas,".")</f>
        <v>37914.59375</v>
      </c>
      <c r="CR4" s="10">
        <f>IFERROR(s_C*(up_Bv!T4+s_MLF_potato)*s_IFPT_far_adj*s_CF_potato,".")</f>
        <v>37914.59375</v>
      </c>
      <c r="CS4" s="10">
        <f>IFERROR(s_C*(up_Bv!U4+s_MLF_pumpkin)*s_IFPU_far_adj*s_CF_pumpkin,".")</f>
        <v>37914.59375</v>
      </c>
      <c r="CT4" s="10">
        <f>IFERROR(s_C*(up_Bv!V4+s_MLF_snap_bean)*s_IFSN_far_adj*s_CF_snap_bean,".")</f>
        <v>37914.59375</v>
      </c>
      <c r="CU4" s="10">
        <f>IFERROR(s_C*(up_Bv!W4+s_MLF_strawberry)*s_IFST_far_adj*s_CF_strawberry,".")</f>
        <v>37914.59375</v>
      </c>
      <c r="CV4" s="10">
        <f>IFERROR(s_C*(up_Bv!X4+s_MLF_tomato)*s_IFTO_far_adj*s_CF_tomato,".")</f>
        <v>37914.59375</v>
      </c>
      <c r="CW4" s="10">
        <f>IFERROR(s_C*(up_Bv!Y4+s_MLF_rice)*s_IFRI_far_adj*s_CF_rice,".")</f>
        <v>37914.59375</v>
      </c>
      <c r="CX4" s="10">
        <f>IFERROR(s_C*(up_Bv!Z4+s_MLF_cereal)*s_IFCG_far_adj*s_CF_cereal,".")</f>
        <v>37914.59375</v>
      </c>
    </row>
    <row r="5" spans="1:102" ht="15" customHeight="1" x14ac:dyDescent="0.25">
      <c r="A5" s="31" t="s">
        <v>3</v>
      </c>
      <c r="B5" s="3" t="s">
        <v>1059</v>
      </c>
      <c r="C5" s="73">
        <f t="shared" si="1"/>
        <v>4.3958447178843029E-5</v>
      </c>
      <c r="D5" s="73">
        <f>IFERROR((up_dir!D5/(up_Bv!C5+s_MLF_apple)),".")</f>
        <v>1.3187534153652909E-4</v>
      </c>
      <c r="E5" s="73">
        <f>IFERROR((up_dir!E5/(up_Bv!D5+s_MLF_asparagus)),".")</f>
        <v>1.3187534153652909E-4</v>
      </c>
      <c r="F5" s="73">
        <f>IFERROR((up_dir!F5/(up_Bv!E5+s_MLF_beet)),".")</f>
        <v>1.3187534153652909E-4</v>
      </c>
      <c r="G5" s="73">
        <f>IFERROR((up_dir!G5/(up_Bv!F5+s_MLF_berries)),".")</f>
        <v>1.3187534153652909E-4</v>
      </c>
      <c r="H5" s="73">
        <f>IFERROR((up_dir!H5/(up_Bv!G5+s_MLF_broccoli)),".")</f>
        <v>1.3187534153652909E-4</v>
      </c>
      <c r="I5" s="73">
        <f>IFERROR((up_dir!I5/(up_Bv!H5+s_MLF_cabbage)),".")</f>
        <v>1.3187534153652909E-4</v>
      </c>
      <c r="J5" s="73">
        <f>IFERROR((up_dir!J5/(up_Bv!I5+s_MLF_carrot)),".")</f>
        <v>1.3187534153652909E-4</v>
      </c>
      <c r="K5" s="73">
        <f>IFERROR((up_dir!K5/(up_Bv!J5+s_MLF_citrus)),".")</f>
        <v>1.3187534153652909E-4</v>
      </c>
      <c r="L5" s="73">
        <f>IFERROR((up_dir!L5/(up_Bv!K5+s_MLF_corn)),".")</f>
        <v>1.3187534153652909E-4</v>
      </c>
      <c r="M5" s="73">
        <f>IFERROR((up_dir!M5/(up_Bv!L5+s_MLF_cucumber)),".")</f>
        <v>1.3187534153652909E-4</v>
      </c>
      <c r="N5" s="73">
        <f>IFERROR((up_dir!N5/(up_Bv!M5+s_MLF_lettuce)),".")</f>
        <v>1.3187534153652909E-4</v>
      </c>
      <c r="O5" s="73">
        <f>IFERROR((up_dir!O5/(up_Bv!N5+s_MLF_lima_bean)),".")</f>
        <v>1.3187534153652909E-4</v>
      </c>
      <c r="P5" s="73">
        <f>IFERROR((up_dir!P5/(up_Bv!O5+s_MLF_okra)),".")</f>
        <v>1.3187534153652909E-4</v>
      </c>
      <c r="Q5" s="73">
        <f>IFERROR((up_dir!Q5/(up_Bv!P5+s_MLF_onion)),".")</f>
        <v>1.3187534153652909E-4</v>
      </c>
      <c r="R5" s="73">
        <f>IFERROR((up_dir!R5/(up_Bv!Q5+s_MLF_peach)),".")</f>
        <v>1.3187534153652909E-4</v>
      </c>
      <c r="S5" s="73">
        <f>IFERROR((up_dir!S5/(up_Bv!R5+s_MLF_pear)),".")</f>
        <v>1.3187534153652909E-4</v>
      </c>
      <c r="T5" s="73">
        <f>IFERROR((up_dir!T5/(up_Bv!S5+s_MLF_peas)),".")</f>
        <v>1.3187534153652909E-4</v>
      </c>
      <c r="U5" s="73">
        <f>IFERROR((up_dir!U5/(up_Bv!T5+s_MLF_potato)),".")</f>
        <v>1.3187534153652909E-4</v>
      </c>
      <c r="V5" s="73">
        <f>IFERROR((up_dir!V5/(up_Bv!U5+s_MLF_pumpkin)),".")</f>
        <v>1.3187534153652909E-4</v>
      </c>
      <c r="W5" s="73">
        <f>IFERROR((up_dir!W5/(up_Bv!V5+s_MLF_snap_bean)),".")</f>
        <v>1.3187534153652909E-4</v>
      </c>
      <c r="X5" s="73">
        <f>IFERROR((up_dir!X5/(up_Bv!W5+s_MLF_strawberry)),".")</f>
        <v>1.3187534153652909E-4</v>
      </c>
      <c r="Y5" s="73">
        <f>IFERROR((up_dir!Y5/(up_Bv!X5+s_MLF_tomato)),".")</f>
        <v>1.3187534153652909E-4</v>
      </c>
      <c r="Z5" s="73">
        <f>IFERROR((up_dir!Z5/(up_Bv!Y5+s_MLF_rice)),".")</f>
        <v>1.3187534153652909E-4</v>
      </c>
      <c r="AA5" s="73">
        <f>IFERROR((up_dir!AA5/(up_Bv!Z5+s_MLF_cereal)),".")</f>
        <v>1.3187534153652909E-4</v>
      </c>
      <c r="AB5" s="10">
        <f t="shared" si="0"/>
        <v>113743.78125</v>
      </c>
      <c r="AC5" s="10">
        <f>s_C*(up_Bv!C5+s_MLF_apple)*s_IFAP_res_adj*s_CF_apple</f>
        <v>37914.59375</v>
      </c>
      <c r="AD5" s="10">
        <f>s_C*(up_Bv!D5+s_MLF_asparagus)*s_IFAS_res_adj*s_CF_asparagus</f>
        <v>37914.59375</v>
      </c>
      <c r="AE5" s="10">
        <f>s_C*(up_Bv!E5+s_MLF_beet)*s_IFBT_res_adj*s_CF_beet</f>
        <v>37914.59375</v>
      </c>
      <c r="AF5" s="10">
        <f>s_C*(up_Bv!F5+s_MLF_berries)*s_IFBE_res_adj*s_CF_berries</f>
        <v>37914.59375</v>
      </c>
      <c r="AG5" s="10">
        <f>s_C*(up_Bv!G5+s_MLF_broccoli)*s_IFBR_res_adj*s_CF_broccoli</f>
        <v>37914.59375</v>
      </c>
      <c r="AH5" s="10">
        <f>s_C*(up_Bv!H5+s_MLF_cabbage)*s_IFCB_res_adj*s_CF_cabbage</f>
        <v>37914.59375</v>
      </c>
      <c r="AI5" s="10">
        <f>s_C*(up_Bv!I5+s_MLF_carrot)*s_IFCR_res_adj*s_CF_carrot</f>
        <v>37914.59375</v>
      </c>
      <c r="AJ5" s="10">
        <f>s_C*(up_Bv!J5+s_MLF_citrus)*s_IFCI_res_adj*s_CF_citrus</f>
        <v>37914.59375</v>
      </c>
      <c r="AK5" s="10">
        <f>s_C*(up_Bv!K5+s_MLF_corn)*s_IFCO_res_adj*s_CF_corn</f>
        <v>37914.59375</v>
      </c>
      <c r="AL5" s="10">
        <f>s_C*(up_Bv!L5+s_MLF_cucumber)*s_IFCU_res_adj*s_CF_cucumber</f>
        <v>37914.59375</v>
      </c>
      <c r="AM5" s="10">
        <f>s_C*(up_Bv!M5+s_MLF_lettuce)*s_IFLE_res_adj*s_CF_lettuce</f>
        <v>37914.59375</v>
      </c>
      <c r="AN5" s="10">
        <f>s_C*(up_Bv!N5+s_MLF_lima_bean)*s_IFLI_res_adj*s_CF_lima_bean</f>
        <v>37914.59375</v>
      </c>
      <c r="AO5" s="10">
        <f>s_C*(up_Bv!O5+s_MLF_okra)*s_IFOK_res_adj*s_CF_okra</f>
        <v>37914.59375</v>
      </c>
      <c r="AP5" s="10">
        <f>s_C*(up_Bv!P5+s_MLF_onion)*s_IFON_res_adj*s_CF_onion</f>
        <v>37914.59375</v>
      </c>
      <c r="AQ5" s="10">
        <f>s_C*(up_Bv!Q5+s_MLF_peach)*s_IFPC_res_adj*s_CF_peach</f>
        <v>37914.59375</v>
      </c>
      <c r="AR5" s="10">
        <f>s_C*(up_Bv!R5+s_MLF_pear)*s_IFPR_res_adj*s_CF_pear</f>
        <v>37914.59375</v>
      </c>
      <c r="AS5" s="10">
        <f>s_C*(up_Bv!S5+s_MLF_peas)*s_IFPE_res_adj*s_CF_peas</f>
        <v>37914.59375</v>
      </c>
      <c r="AT5" s="10">
        <f>s_C*(up_Bv!T5+s_MLF_potato)*s_IFPT_res_adj*s_CF_potato</f>
        <v>37914.59375</v>
      </c>
      <c r="AU5" s="10">
        <f>s_C*(up_Bv!U5+s_MLF_pumpkin)*s_IFPU_res_adj*s_CF_pumpkin</f>
        <v>37914.59375</v>
      </c>
      <c r="AV5" s="10">
        <f>s_C*(up_Bv!V5+s_MLF_snap_bean)*s_IFSN_res_adj*s_CF_snap_bean</f>
        <v>37914.59375</v>
      </c>
      <c r="AW5" s="10">
        <f>s_C*(up_Bv!W5+s_MLF_strawberry)*s_IFST_res_adj*s_CF_strawberry</f>
        <v>37914.59375</v>
      </c>
      <c r="AX5" s="10">
        <f>s_C*(up_Bv!X5+s_MLF_tomato)*s_IFTO_res_adj*s_CF_tomato</f>
        <v>37914.59375</v>
      </c>
      <c r="AY5" s="10">
        <f>s_C*(up_Bv!Y5+s_MLF_rice)*s_IFRI_res_adj*s_CF_rice</f>
        <v>37914.59375</v>
      </c>
      <c r="AZ5" s="10">
        <f>s_C*(up_Bv!Z5+s_MLF_cereal)*s_IFCG_res_adj*s_CF_cereal</f>
        <v>37914.59375</v>
      </c>
      <c r="BA5" s="2">
        <f t="shared" si="2"/>
        <v>4.3958447178843029E-5</v>
      </c>
      <c r="BB5" s="2">
        <f>IFERROR((up_dir!AC5/(up_Bv!C5+s_MLF_apple)),".")</f>
        <v>1.3187534153652909E-4</v>
      </c>
      <c r="BC5" s="2">
        <f>IFERROR((up_dir!AD5/(up_Bv!D5+s_MLF_asparagus)),".")</f>
        <v>1.3187534153652909E-4</v>
      </c>
      <c r="BD5" s="2">
        <f>IFERROR((up_dir!AE5/(up_Bv!E5+s_MLF_beet)),".")</f>
        <v>1.3187534153652909E-4</v>
      </c>
      <c r="BE5" s="2">
        <f>IFERROR((up_dir!AF5/(up_Bv!F5+s_MLF_berries)),".")</f>
        <v>1.3187534153652909E-4</v>
      </c>
      <c r="BF5" s="2">
        <f>IFERROR((up_dir!AG5/(up_Bv!G5+s_MLF_broccoli)),".")</f>
        <v>1.3187534153652909E-4</v>
      </c>
      <c r="BG5" s="2">
        <f>IFERROR((up_dir!AH5/(up_Bv!H5+s_MLF_cabbage)),".")</f>
        <v>1.3187534153652909E-4</v>
      </c>
      <c r="BH5" s="2">
        <f>IFERROR((up_dir!AI5/(up_Bv!I5+s_MLF_carrot)),".")</f>
        <v>1.3187534153652909E-4</v>
      </c>
      <c r="BI5" s="2">
        <f>IFERROR((up_dir!AJ5/(up_Bv!J5+s_MLF_citrus)),".")</f>
        <v>1.3187534153652909E-4</v>
      </c>
      <c r="BJ5" s="2">
        <f>IFERROR((up_dir!AK5/(up_Bv!K5+s_MLF_corn)),".")</f>
        <v>1.3187534153652909E-4</v>
      </c>
      <c r="BK5" s="2">
        <f>IFERROR((up_dir!AL5/(up_Bv!L5+s_MLF_cucumber)),".")</f>
        <v>1.3187534153652909E-4</v>
      </c>
      <c r="BL5" s="2">
        <f>IFERROR((up_dir!AM5/(up_Bv!M5+s_MLF_lettuce)),".")</f>
        <v>1.3187534153652909E-4</v>
      </c>
      <c r="BM5" s="2">
        <f>IFERROR((up_dir!AN5/(up_Bv!N5+s_MLF_lima_bean)),".")</f>
        <v>1.3187534153652909E-4</v>
      </c>
      <c r="BN5" s="2">
        <f>IFERROR((up_dir!AO5/(up_Bv!O5+s_MLF_okra)),".")</f>
        <v>1.3187534153652909E-4</v>
      </c>
      <c r="BO5" s="2">
        <f>IFERROR((up_dir!AP5/(up_Bv!P5+s_MLF_onion)),".")</f>
        <v>1.3187534153652909E-4</v>
      </c>
      <c r="BP5" s="2">
        <f>IFERROR((up_dir!AQ5/(up_Bv!Q5+s_MLF_peach)),".")</f>
        <v>1.3187534153652909E-4</v>
      </c>
      <c r="BQ5" s="2">
        <f>IFERROR((up_dir!AR5/(up_Bv!R5+s_MLF_pear)),".")</f>
        <v>1.3187534153652909E-4</v>
      </c>
      <c r="BR5" s="2">
        <f>IFERROR((up_dir!AS5/(up_Bv!S5+s_MLF_peas)),".")</f>
        <v>1.3187534153652909E-4</v>
      </c>
      <c r="BS5" s="2">
        <f>IFERROR((up_dir!AT5/(up_Bv!T5+s_MLF_potato)),".")</f>
        <v>1.3187534153652909E-4</v>
      </c>
      <c r="BT5" s="2">
        <f>IFERROR((up_dir!AU5/(up_Bv!U5+s_MLF_pumpkin)),".")</f>
        <v>1.3187534153652909E-4</v>
      </c>
      <c r="BU5" s="2">
        <f>IFERROR((up_dir!AV5/(up_Bv!V5+s_MLF_snap_bean)),".")</f>
        <v>1.3187534153652909E-4</v>
      </c>
      <c r="BV5" s="2">
        <f>IFERROR((up_dir!AW5/(up_Bv!W5+s_MLF_strawberry)),".")</f>
        <v>1.3187534153652909E-4</v>
      </c>
      <c r="BW5" s="2">
        <f>IFERROR((up_dir!AX5/(up_Bv!X5+s_MLF_tomato)),".")</f>
        <v>1.3187534153652909E-4</v>
      </c>
      <c r="BX5" s="2">
        <f>IFERROR((up_dir!AY5/(up_Bv!Y5+s_MLF_rice)),".")</f>
        <v>1.3187534153652909E-4</v>
      </c>
      <c r="BY5" s="2">
        <f>IFERROR((up_dir!AZ5/(up_Bv!Z5+s_MLF_cereal)),".")</f>
        <v>1.3187534153652909E-4</v>
      </c>
      <c r="BZ5" s="10">
        <f t="shared" si="3"/>
        <v>113743.78125</v>
      </c>
      <c r="CA5" s="10">
        <f>IFERROR(s_C*(up_Bv!C5+s_MLF_apple)*s_IFAP_far_adj*s_CF_apple,".")</f>
        <v>37914.59375</v>
      </c>
      <c r="CB5" s="10">
        <f>IFERROR(s_C*(up_Bv!D5+s_MLF_asparagus)*s_IFAS_far_adj*s_CF_asparagus,".")</f>
        <v>37914.59375</v>
      </c>
      <c r="CC5" s="10">
        <f>IFERROR(s_C*(up_Bv!E5+s_MLF_beet)*s_IFBT_far_adj*s_CF_beet,".")</f>
        <v>37914.59375</v>
      </c>
      <c r="CD5" s="10">
        <f>IFERROR(s_C*(up_Bv!F5+s_MLF_berries)*s_IFBR_far_adj*s_CF_berries,".")</f>
        <v>37914.59375</v>
      </c>
      <c r="CE5" s="10">
        <f>IFERROR(s_C*(up_Bv!G5+s_MLF_broccoli)*s_IFBR_far_adj*s_CF_broccoli,".")</f>
        <v>37914.59375</v>
      </c>
      <c r="CF5" s="10">
        <f>IFERROR(s_C*(up_Bv!H5+s_MLF_cabbage)*s_IFCB_far_adj*s_CF_cabbage,".")</f>
        <v>37914.59375</v>
      </c>
      <c r="CG5" s="10">
        <f>IFERROR(s_C*(up_Bv!I5+s_MLF_carrot)*s_IFCR_far_adj*s_CF_carrot,".")</f>
        <v>37914.59375</v>
      </c>
      <c r="CH5" s="10">
        <f>IFERROR(s_C*(up_Bv!J5+s_MLF_citrus)*s_IFCI_far_adj*s_CF_citrus,".")</f>
        <v>37914.59375</v>
      </c>
      <c r="CI5" s="10">
        <f>IFERROR(s_C*(up_Bv!K5+s_MLF_corn)*s_IFCO_far_adj*s_CF_corn,".")</f>
        <v>37914.59375</v>
      </c>
      <c r="CJ5" s="10">
        <f>IFERROR(s_C*(up_Bv!L5+s_MLF_cucumber)*s_IFCU_far_adj*s_CF_cucumber,".")</f>
        <v>37914.59375</v>
      </c>
      <c r="CK5" s="10">
        <f>IFERROR(s_C*(up_Bv!M5+s_MLF_lettuce)*s_IFLE_far_adj*s_CF_lettuce,".")</f>
        <v>37914.59375</v>
      </c>
      <c r="CL5" s="10">
        <f>IFERROR(s_C*(up_Bv!N5+s_MLF_lima_bean)*s_IFLI_far_adj*s_CF_lima_bean,".")</f>
        <v>37914.59375</v>
      </c>
      <c r="CM5" s="10">
        <f>IFERROR(s_C*(up_Bv!O5+s_MLF_okra)*s_IFOK_far_adj*s_CF_okra,".")</f>
        <v>37914.59375</v>
      </c>
      <c r="CN5" s="10">
        <f>IFERROR(s_C*(up_Bv!P5+s_MLF_onion)*s_IFON_far_adj*s_CF_onion,".")</f>
        <v>37914.59375</v>
      </c>
      <c r="CO5" s="10">
        <f>IFERROR(s_C*(up_Bv!Q5+s_MLF_peach)*s_IFPC_far_adj*s_CF_peach,".")</f>
        <v>37914.59375</v>
      </c>
      <c r="CP5" s="10">
        <f>IFERROR(s_C*(up_Bv!R5+s_MLF_pear)*s_IFPR_far_adj*s_CF_pear,".")</f>
        <v>37914.59375</v>
      </c>
      <c r="CQ5" s="10">
        <f>IFERROR(s_C*(up_Bv!S5+s_MLF_peas)*s_IFPE_far_adj*s_CF_peas,".")</f>
        <v>37914.59375</v>
      </c>
      <c r="CR5" s="10">
        <f>IFERROR(s_C*(up_Bv!T5+s_MLF_potato)*s_IFPT_far_adj*s_CF_potato,".")</f>
        <v>37914.59375</v>
      </c>
      <c r="CS5" s="10">
        <f>IFERROR(s_C*(up_Bv!U5+s_MLF_pumpkin)*s_IFPU_far_adj*s_CF_pumpkin,".")</f>
        <v>37914.59375</v>
      </c>
      <c r="CT5" s="10">
        <f>IFERROR(s_C*(up_Bv!V5+s_MLF_snap_bean)*s_IFSN_far_adj*s_CF_snap_bean,".")</f>
        <v>37914.59375</v>
      </c>
      <c r="CU5" s="10">
        <f>IFERROR(s_C*(up_Bv!W5+s_MLF_strawberry)*s_IFST_far_adj*s_CF_strawberry,".")</f>
        <v>37914.59375</v>
      </c>
      <c r="CV5" s="10">
        <f>IFERROR(s_C*(up_Bv!X5+s_MLF_tomato)*s_IFTO_far_adj*s_CF_tomato,".")</f>
        <v>37914.59375</v>
      </c>
      <c r="CW5" s="10">
        <f>IFERROR(s_C*(up_Bv!Y5+s_MLF_rice)*s_IFRI_far_adj*s_CF_rice,".")</f>
        <v>37914.59375</v>
      </c>
      <c r="CX5" s="10">
        <f>IFERROR(s_C*(up_Bv!Z5+s_MLF_cereal)*s_IFCG_far_adj*s_CF_cereal,".")</f>
        <v>37914.59375</v>
      </c>
    </row>
    <row r="6" spans="1:102" ht="15" customHeight="1" x14ac:dyDescent="0.25">
      <c r="A6" s="31" t="s">
        <v>4</v>
      </c>
      <c r="B6" s="3" t="s">
        <v>1059</v>
      </c>
      <c r="C6" s="73">
        <f t="shared" si="1"/>
        <v>4.3958447178843029E-5</v>
      </c>
      <c r="D6" s="73">
        <f>IFERROR((up_dir!D6/(up_Bv!C6+s_MLF_apple)),".")</f>
        <v>1.3187534153652909E-4</v>
      </c>
      <c r="E6" s="73">
        <f>IFERROR((up_dir!E6/(up_Bv!D6+s_MLF_asparagus)),".")</f>
        <v>1.3187534153652909E-4</v>
      </c>
      <c r="F6" s="73">
        <f>IFERROR((up_dir!F6/(up_Bv!E6+s_MLF_beet)),".")</f>
        <v>1.3187534153652909E-4</v>
      </c>
      <c r="G6" s="73">
        <f>IFERROR((up_dir!G6/(up_Bv!F6+s_MLF_berries)),".")</f>
        <v>1.3187534153652909E-4</v>
      </c>
      <c r="H6" s="73">
        <f>IFERROR((up_dir!H6/(up_Bv!G6+s_MLF_broccoli)),".")</f>
        <v>1.3187534153652909E-4</v>
      </c>
      <c r="I6" s="73">
        <f>IFERROR((up_dir!I6/(up_Bv!H6+s_MLF_cabbage)),".")</f>
        <v>1.3187534153652909E-4</v>
      </c>
      <c r="J6" s="73">
        <f>IFERROR((up_dir!J6/(up_Bv!I6+s_MLF_carrot)),".")</f>
        <v>1.3187534153652909E-4</v>
      </c>
      <c r="K6" s="73">
        <f>IFERROR((up_dir!K6/(up_Bv!J6+s_MLF_citrus)),".")</f>
        <v>1.3187534153652909E-4</v>
      </c>
      <c r="L6" s="73">
        <f>IFERROR((up_dir!L6/(up_Bv!K6+s_MLF_corn)),".")</f>
        <v>1.3187534153652909E-4</v>
      </c>
      <c r="M6" s="73">
        <f>IFERROR((up_dir!M6/(up_Bv!L6+s_MLF_cucumber)),".")</f>
        <v>1.3187534153652909E-4</v>
      </c>
      <c r="N6" s="73">
        <f>IFERROR((up_dir!N6/(up_Bv!M6+s_MLF_lettuce)),".")</f>
        <v>1.3187534153652909E-4</v>
      </c>
      <c r="O6" s="73">
        <f>IFERROR((up_dir!O6/(up_Bv!N6+s_MLF_lima_bean)),".")</f>
        <v>1.3187534153652909E-4</v>
      </c>
      <c r="P6" s="73">
        <f>IFERROR((up_dir!P6/(up_Bv!O6+s_MLF_okra)),".")</f>
        <v>1.3187534153652909E-4</v>
      </c>
      <c r="Q6" s="73">
        <f>IFERROR((up_dir!Q6/(up_Bv!P6+s_MLF_onion)),".")</f>
        <v>1.3187534153652909E-4</v>
      </c>
      <c r="R6" s="73">
        <f>IFERROR((up_dir!R6/(up_Bv!Q6+s_MLF_peach)),".")</f>
        <v>1.3187534153652909E-4</v>
      </c>
      <c r="S6" s="73">
        <f>IFERROR((up_dir!S6/(up_Bv!R6+s_MLF_pear)),".")</f>
        <v>1.3187534153652909E-4</v>
      </c>
      <c r="T6" s="73">
        <f>IFERROR((up_dir!T6/(up_Bv!S6+s_MLF_peas)),".")</f>
        <v>1.3187534153652909E-4</v>
      </c>
      <c r="U6" s="73">
        <f>IFERROR((up_dir!U6/(up_Bv!T6+s_MLF_potato)),".")</f>
        <v>1.3187534153652909E-4</v>
      </c>
      <c r="V6" s="73">
        <f>IFERROR((up_dir!V6/(up_Bv!U6+s_MLF_pumpkin)),".")</f>
        <v>1.3187534153652909E-4</v>
      </c>
      <c r="W6" s="73">
        <f>IFERROR((up_dir!W6/(up_Bv!V6+s_MLF_snap_bean)),".")</f>
        <v>1.3187534153652909E-4</v>
      </c>
      <c r="X6" s="73">
        <f>IFERROR((up_dir!X6/(up_Bv!W6+s_MLF_strawberry)),".")</f>
        <v>1.3187534153652909E-4</v>
      </c>
      <c r="Y6" s="73">
        <f>IFERROR((up_dir!Y6/(up_Bv!X6+s_MLF_tomato)),".")</f>
        <v>1.3187534153652909E-4</v>
      </c>
      <c r="Z6" s="73">
        <f>IFERROR((up_dir!Z6/(up_Bv!Y6+s_MLF_rice)),".")</f>
        <v>1.3187534153652909E-4</v>
      </c>
      <c r="AA6" s="73">
        <f>IFERROR((up_dir!AA6/(up_Bv!Z6+s_MLF_cereal)),".")</f>
        <v>1.3187534153652909E-4</v>
      </c>
      <c r="AB6" s="10">
        <f t="shared" si="0"/>
        <v>113743.78125</v>
      </c>
      <c r="AC6" s="10">
        <f>s_C*(up_Bv!C6+s_MLF_apple)*s_IFAP_res_adj*s_CF_apple</f>
        <v>37914.59375</v>
      </c>
      <c r="AD6" s="10">
        <f>s_C*(up_Bv!D6+s_MLF_asparagus)*s_IFAS_res_adj*s_CF_asparagus</f>
        <v>37914.59375</v>
      </c>
      <c r="AE6" s="10">
        <f>s_C*(up_Bv!E6+s_MLF_beet)*s_IFBT_res_adj*s_CF_beet</f>
        <v>37914.59375</v>
      </c>
      <c r="AF6" s="10">
        <f>s_C*(up_Bv!F6+s_MLF_berries)*s_IFBE_res_adj*s_CF_berries</f>
        <v>37914.59375</v>
      </c>
      <c r="AG6" s="10">
        <f>s_C*(up_Bv!G6+s_MLF_broccoli)*s_IFBR_res_adj*s_CF_broccoli</f>
        <v>37914.59375</v>
      </c>
      <c r="AH6" s="10">
        <f>s_C*(up_Bv!H6+s_MLF_cabbage)*s_IFCB_res_adj*s_CF_cabbage</f>
        <v>37914.59375</v>
      </c>
      <c r="AI6" s="10">
        <f>s_C*(up_Bv!I6+s_MLF_carrot)*s_IFCR_res_adj*s_CF_carrot</f>
        <v>37914.59375</v>
      </c>
      <c r="AJ6" s="10">
        <f>s_C*(up_Bv!J6+s_MLF_citrus)*s_IFCI_res_adj*s_CF_citrus</f>
        <v>37914.59375</v>
      </c>
      <c r="AK6" s="10">
        <f>s_C*(up_Bv!K6+s_MLF_corn)*s_IFCO_res_adj*s_CF_corn</f>
        <v>37914.59375</v>
      </c>
      <c r="AL6" s="10">
        <f>s_C*(up_Bv!L6+s_MLF_cucumber)*s_IFCU_res_adj*s_CF_cucumber</f>
        <v>37914.59375</v>
      </c>
      <c r="AM6" s="10">
        <f>s_C*(up_Bv!M6+s_MLF_lettuce)*s_IFLE_res_adj*s_CF_lettuce</f>
        <v>37914.59375</v>
      </c>
      <c r="AN6" s="10">
        <f>s_C*(up_Bv!N6+s_MLF_lima_bean)*s_IFLI_res_adj*s_CF_lima_bean</f>
        <v>37914.59375</v>
      </c>
      <c r="AO6" s="10">
        <f>s_C*(up_Bv!O6+s_MLF_okra)*s_IFOK_res_adj*s_CF_okra</f>
        <v>37914.59375</v>
      </c>
      <c r="AP6" s="10">
        <f>s_C*(up_Bv!P6+s_MLF_onion)*s_IFON_res_adj*s_CF_onion</f>
        <v>37914.59375</v>
      </c>
      <c r="AQ6" s="10">
        <f>s_C*(up_Bv!Q6+s_MLF_peach)*s_IFPC_res_adj*s_CF_peach</f>
        <v>37914.59375</v>
      </c>
      <c r="AR6" s="10">
        <f>s_C*(up_Bv!R6+s_MLF_pear)*s_IFPR_res_adj*s_CF_pear</f>
        <v>37914.59375</v>
      </c>
      <c r="AS6" s="10">
        <f>s_C*(up_Bv!S6+s_MLF_peas)*s_IFPE_res_adj*s_CF_peas</f>
        <v>37914.59375</v>
      </c>
      <c r="AT6" s="10">
        <f>s_C*(up_Bv!T6+s_MLF_potato)*s_IFPT_res_adj*s_CF_potato</f>
        <v>37914.59375</v>
      </c>
      <c r="AU6" s="10">
        <f>s_C*(up_Bv!U6+s_MLF_pumpkin)*s_IFPU_res_adj*s_CF_pumpkin</f>
        <v>37914.59375</v>
      </c>
      <c r="AV6" s="10">
        <f>s_C*(up_Bv!V6+s_MLF_snap_bean)*s_IFSN_res_adj*s_CF_snap_bean</f>
        <v>37914.59375</v>
      </c>
      <c r="AW6" s="10">
        <f>s_C*(up_Bv!W6+s_MLF_strawberry)*s_IFST_res_adj*s_CF_strawberry</f>
        <v>37914.59375</v>
      </c>
      <c r="AX6" s="10">
        <f>s_C*(up_Bv!X6+s_MLF_tomato)*s_IFTO_res_adj*s_CF_tomato</f>
        <v>37914.59375</v>
      </c>
      <c r="AY6" s="10">
        <f>s_C*(up_Bv!Y6+s_MLF_rice)*s_IFRI_res_adj*s_CF_rice</f>
        <v>37914.59375</v>
      </c>
      <c r="AZ6" s="10">
        <f>s_C*(up_Bv!Z6+s_MLF_cereal)*s_IFCG_res_adj*s_CF_cereal</f>
        <v>37914.59375</v>
      </c>
      <c r="BA6" s="2">
        <f t="shared" si="2"/>
        <v>4.3958447178843029E-5</v>
      </c>
      <c r="BB6" s="2">
        <f>IFERROR((up_dir!AC6/(up_Bv!C6+s_MLF_apple)),".")</f>
        <v>1.3187534153652909E-4</v>
      </c>
      <c r="BC6" s="2">
        <f>IFERROR((up_dir!AD6/(up_Bv!D6+s_MLF_asparagus)),".")</f>
        <v>1.3187534153652909E-4</v>
      </c>
      <c r="BD6" s="2">
        <f>IFERROR((up_dir!AE6/(up_Bv!E6+s_MLF_beet)),".")</f>
        <v>1.3187534153652909E-4</v>
      </c>
      <c r="BE6" s="2">
        <f>IFERROR((up_dir!AF6/(up_Bv!F6+s_MLF_berries)),".")</f>
        <v>1.3187534153652909E-4</v>
      </c>
      <c r="BF6" s="2">
        <f>IFERROR((up_dir!AG6/(up_Bv!G6+s_MLF_broccoli)),".")</f>
        <v>1.3187534153652909E-4</v>
      </c>
      <c r="BG6" s="2">
        <f>IFERROR((up_dir!AH6/(up_Bv!H6+s_MLF_cabbage)),".")</f>
        <v>1.3187534153652909E-4</v>
      </c>
      <c r="BH6" s="2">
        <f>IFERROR((up_dir!AI6/(up_Bv!I6+s_MLF_carrot)),".")</f>
        <v>1.3187534153652909E-4</v>
      </c>
      <c r="BI6" s="2">
        <f>IFERROR((up_dir!AJ6/(up_Bv!J6+s_MLF_citrus)),".")</f>
        <v>1.3187534153652909E-4</v>
      </c>
      <c r="BJ6" s="2">
        <f>IFERROR((up_dir!AK6/(up_Bv!K6+s_MLF_corn)),".")</f>
        <v>1.3187534153652909E-4</v>
      </c>
      <c r="BK6" s="2">
        <f>IFERROR((up_dir!AL6/(up_Bv!L6+s_MLF_cucumber)),".")</f>
        <v>1.3187534153652909E-4</v>
      </c>
      <c r="BL6" s="2">
        <f>IFERROR((up_dir!AM6/(up_Bv!M6+s_MLF_lettuce)),".")</f>
        <v>1.3187534153652909E-4</v>
      </c>
      <c r="BM6" s="2">
        <f>IFERROR((up_dir!AN6/(up_Bv!N6+s_MLF_lima_bean)),".")</f>
        <v>1.3187534153652909E-4</v>
      </c>
      <c r="BN6" s="2">
        <f>IFERROR((up_dir!AO6/(up_Bv!O6+s_MLF_okra)),".")</f>
        <v>1.3187534153652909E-4</v>
      </c>
      <c r="BO6" s="2">
        <f>IFERROR((up_dir!AP6/(up_Bv!P6+s_MLF_onion)),".")</f>
        <v>1.3187534153652909E-4</v>
      </c>
      <c r="BP6" s="2">
        <f>IFERROR((up_dir!AQ6/(up_Bv!Q6+s_MLF_peach)),".")</f>
        <v>1.3187534153652909E-4</v>
      </c>
      <c r="BQ6" s="2">
        <f>IFERROR((up_dir!AR6/(up_Bv!R6+s_MLF_pear)),".")</f>
        <v>1.3187534153652909E-4</v>
      </c>
      <c r="BR6" s="2">
        <f>IFERROR((up_dir!AS6/(up_Bv!S6+s_MLF_peas)),".")</f>
        <v>1.3187534153652909E-4</v>
      </c>
      <c r="BS6" s="2">
        <f>IFERROR((up_dir!AT6/(up_Bv!T6+s_MLF_potato)),".")</f>
        <v>1.3187534153652909E-4</v>
      </c>
      <c r="BT6" s="2">
        <f>IFERROR((up_dir!AU6/(up_Bv!U6+s_MLF_pumpkin)),".")</f>
        <v>1.3187534153652909E-4</v>
      </c>
      <c r="BU6" s="2">
        <f>IFERROR((up_dir!AV6/(up_Bv!V6+s_MLF_snap_bean)),".")</f>
        <v>1.3187534153652909E-4</v>
      </c>
      <c r="BV6" s="2">
        <f>IFERROR((up_dir!AW6/(up_Bv!W6+s_MLF_strawberry)),".")</f>
        <v>1.3187534153652909E-4</v>
      </c>
      <c r="BW6" s="2">
        <f>IFERROR((up_dir!AX6/(up_Bv!X6+s_MLF_tomato)),".")</f>
        <v>1.3187534153652909E-4</v>
      </c>
      <c r="BX6" s="2">
        <f>IFERROR((up_dir!AY6/(up_Bv!Y6+s_MLF_rice)),".")</f>
        <v>1.3187534153652909E-4</v>
      </c>
      <c r="BY6" s="2">
        <f>IFERROR((up_dir!AZ6/(up_Bv!Z6+s_MLF_cereal)),".")</f>
        <v>1.3187534153652909E-4</v>
      </c>
      <c r="BZ6" s="10">
        <f t="shared" si="3"/>
        <v>113743.78125</v>
      </c>
      <c r="CA6" s="10">
        <f>IFERROR(s_C*(up_Bv!C6+s_MLF_apple)*s_IFAP_far_adj*s_CF_apple,".")</f>
        <v>37914.59375</v>
      </c>
      <c r="CB6" s="10">
        <f>IFERROR(s_C*(up_Bv!D6+s_MLF_asparagus)*s_IFAS_far_adj*s_CF_asparagus,".")</f>
        <v>37914.59375</v>
      </c>
      <c r="CC6" s="10">
        <f>IFERROR(s_C*(up_Bv!E6+s_MLF_beet)*s_IFBT_far_adj*s_CF_beet,".")</f>
        <v>37914.59375</v>
      </c>
      <c r="CD6" s="10">
        <f>IFERROR(s_C*(up_Bv!F6+s_MLF_berries)*s_IFBR_far_adj*s_CF_berries,".")</f>
        <v>37914.59375</v>
      </c>
      <c r="CE6" s="10">
        <f>IFERROR(s_C*(up_Bv!G6+s_MLF_broccoli)*s_IFBR_far_adj*s_CF_broccoli,".")</f>
        <v>37914.59375</v>
      </c>
      <c r="CF6" s="10">
        <f>IFERROR(s_C*(up_Bv!H6+s_MLF_cabbage)*s_IFCB_far_adj*s_CF_cabbage,".")</f>
        <v>37914.59375</v>
      </c>
      <c r="CG6" s="10">
        <f>IFERROR(s_C*(up_Bv!I6+s_MLF_carrot)*s_IFCR_far_adj*s_CF_carrot,".")</f>
        <v>37914.59375</v>
      </c>
      <c r="CH6" s="10">
        <f>IFERROR(s_C*(up_Bv!J6+s_MLF_citrus)*s_IFCI_far_adj*s_CF_citrus,".")</f>
        <v>37914.59375</v>
      </c>
      <c r="CI6" s="10">
        <f>IFERROR(s_C*(up_Bv!K6+s_MLF_corn)*s_IFCO_far_adj*s_CF_corn,".")</f>
        <v>37914.59375</v>
      </c>
      <c r="CJ6" s="10">
        <f>IFERROR(s_C*(up_Bv!L6+s_MLF_cucumber)*s_IFCU_far_adj*s_CF_cucumber,".")</f>
        <v>37914.59375</v>
      </c>
      <c r="CK6" s="10">
        <f>IFERROR(s_C*(up_Bv!M6+s_MLF_lettuce)*s_IFLE_far_adj*s_CF_lettuce,".")</f>
        <v>37914.59375</v>
      </c>
      <c r="CL6" s="10">
        <f>IFERROR(s_C*(up_Bv!N6+s_MLF_lima_bean)*s_IFLI_far_adj*s_CF_lima_bean,".")</f>
        <v>37914.59375</v>
      </c>
      <c r="CM6" s="10">
        <f>IFERROR(s_C*(up_Bv!O6+s_MLF_okra)*s_IFOK_far_adj*s_CF_okra,".")</f>
        <v>37914.59375</v>
      </c>
      <c r="CN6" s="10">
        <f>IFERROR(s_C*(up_Bv!P6+s_MLF_onion)*s_IFON_far_adj*s_CF_onion,".")</f>
        <v>37914.59375</v>
      </c>
      <c r="CO6" s="10">
        <f>IFERROR(s_C*(up_Bv!Q6+s_MLF_peach)*s_IFPC_far_adj*s_CF_peach,".")</f>
        <v>37914.59375</v>
      </c>
      <c r="CP6" s="10">
        <f>IFERROR(s_C*(up_Bv!R6+s_MLF_pear)*s_IFPR_far_adj*s_CF_pear,".")</f>
        <v>37914.59375</v>
      </c>
      <c r="CQ6" s="10">
        <f>IFERROR(s_C*(up_Bv!S6+s_MLF_peas)*s_IFPE_far_adj*s_CF_peas,".")</f>
        <v>37914.59375</v>
      </c>
      <c r="CR6" s="10">
        <f>IFERROR(s_C*(up_Bv!T6+s_MLF_potato)*s_IFPT_far_adj*s_CF_potato,".")</f>
        <v>37914.59375</v>
      </c>
      <c r="CS6" s="10">
        <f>IFERROR(s_C*(up_Bv!U6+s_MLF_pumpkin)*s_IFPU_far_adj*s_CF_pumpkin,".")</f>
        <v>37914.59375</v>
      </c>
      <c r="CT6" s="10">
        <f>IFERROR(s_C*(up_Bv!V6+s_MLF_snap_bean)*s_IFSN_far_adj*s_CF_snap_bean,".")</f>
        <v>37914.59375</v>
      </c>
      <c r="CU6" s="10">
        <f>IFERROR(s_C*(up_Bv!W6+s_MLF_strawberry)*s_IFST_far_adj*s_CF_strawberry,".")</f>
        <v>37914.59375</v>
      </c>
      <c r="CV6" s="10">
        <f>IFERROR(s_C*(up_Bv!X6+s_MLF_tomato)*s_IFTO_far_adj*s_CF_tomato,".")</f>
        <v>37914.59375</v>
      </c>
      <c r="CW6" s="10">
        <f>IFERROR(s_C*(up_Bv!Y6+s_MLF_rice)*s_IFRI_far_adj*s_CF_rice,".")</f>
        <v>37914.59375</v>
      </c>
      <c r="CX6" s="10">
        <f>IFERROR(s_C*(up_Bv!Z6+s_MLF_cereal)*s_IFCG_far_adj*s_CF_cereal,".")</f>
        <v>37914.59375</v>
      </c>
    </row>
    <row r="7" spans="1:102" ht="15" customHeight="1" x14ac:dyDescent="0.25">
      <c r="A7" s="31" t="s">
        <v>5</v>
      </c>
      <c r="B7" s="3" t="s">
        <v>1059</v>
      </c>
      <c r="C7" s="73">
        <f t="shared" si="1"/>
        <v>4.3958447178843029E-5</v>
      </c>
      <c r="D7" s="73">
        <f>IFERROR((up_dir!D7/(up_Bv!C7+s_MLF_apple)),".")</f>
        <v>1.3187534153652909E-4</v>
      </c>
      <c r="E7" s="73">
        <f>IFERROR((up_dir!E7/(up_Bv!D7+s_MLF_asparagus)),".")</f>
        <v>1.3187534153652909E-4</v>
      </c>
      <c r="F7" s="73">
        <f>IFERROR((up_dir!F7/(up_Bv!E7+s_MLF_beet)),".")</f>
        <v>1.3187534153652909E-4</v>
      </c>
      <c r="G7" s="73">
        <f>IFERROR((up_dir!G7/(up_Bv!F7+s_MLF_berries)),".")</f>
        <v>1.3187534153652909E-4</v>
      </c>
      <c r="H7" s="73">
        <f>IFERROR((up_dir!H7/(up_Bv!G7+s_MLF_broccoli)),".")</f>
        <v>1.3187534153652909E-4</v>
      </c>
      <c r="I7" s="73">
        <f>IFERROR((up_dir!I7/(up_Bv!H7+s_MLF_cabbage)),".")</f>
        <v>1.3187534153652909E-4</v>
      </c>
      <c r="J7" s="73">
        <f>IFERROR((up_dir!J7/(up_Bv!I7+s_MLF_carrot)),".")</f>
        <v>1.3187534153652909E-4</v>
      </c>
      <c r="K7" s="73">
        <f>IFERROR((up_dir!K7/(up_Bv!J7+s_MLF_citrus)),".")</f>
        <v>1.3187534153652909E-4</v>
      </c>
      <c r="L7" s="73">
        <f>IFERROR((up_dir!L7/(up_Bv!K7+s_MLF_corn)),".")</f>
        <v>1.3187534153652909E-4</v>
      </c>
      <c r="M7" s="73">
        <f>IFERROR((up_dir!M7/(up_Bv!L7+s_MLF_cucumber)),".")</f>
        <v>1.3187534153652909E-4</v>
      </c>
      <c r="N7" s="73">
        <f>IFERROR((up_dir!N7/(up_Bv!M7+s_MLF_lettuce)),".")</f>
        <v>1.3187534153652909E-4</v>
      </c>
      <c r="O7" s="73">
        <f>IFERROR((up_dir!O7/(up_Bv!N7+s_MLF_lima_bean)),".")</f>
        <v>1.3187534153652909E-4</v>
      </c>
      <c r="P7" s="73">
        <f>IFERROR((up_dir!P7/(up_Bv!O7+s_MLF_okra)),".")</f>
        <v>1.3187534153652909E-4</v>
      </c>
      <c r="Q7" s="73">
        <f>IFERROR((up_dir!Q7/(up_Bv!P7+s_MLF_onion)),".")</f>
        <v>1.3187534153652909E-4</v>
      </c>
      <c r="R7" s="73">
        <f>IFERROR((up_dir!R7/(up_Bv!Q7+s_MLF_peach)),".")</f>
        <v>1.3187534153652909E-4</v>
      </c>
      <c r="S7" s="73">
        <f>IFERROR((up_dir!S7/(up_Bv!R7+s_MLF_pear)),".")</f>
        <v>1.3187534153652909E-4</v>
      </c>
      <c r="T7" s="73">
        <f>IFERROR((up_dir!T7/(up_Bv!S7+s_MLF_peas)),".")</f>
        <v>1.3187534153652909E-4</v>
      </c>
      <c r="U7" s="73">
        <f>IFERROR((up_dir!U7/(up_Bv!T7+s_MLF_potato)),".")</f>
        <v>1.3187534153652909E-4</v>
      </c>
      <c r="V7" s="73">
        <f>IFERROR((up_dir!V7/(up_Bv!U7+s_MLF_pumpkin)),".")</f>
        <v>1.3187534153652909E-4</v>
      </c>
      <c r="W7" s="73">
        <f>IFERROR((up_dir!W7/(up_Bv!V7+s_MLF_snap_bean)),".")</f>
        <v>1.3187534153652909E-4</v>
      </c>
      <c r="X7" s="73">
        <f>IFERROR((up_dir!X7/(up_Bv!W7+s_MLF_strawberry)),".")</f>
        <v>1.3187534153652909E-4</v>
      </c>
      <c r="Y7" s="73">
        <f>IFERROR((up_dir!Y7/(up_Bv!X7+s_MLF_tomato)),".")</f>
        <v>1.3187534153652909E-4</v>
      </c>
      <c r="Z7" s="73">
        <f>IFERROR((up_dir!Z7/(up_Bv!Y7+s_MLF_rice)),".")</f>
        <v>1.3187534153652909E-4</v>
      </c>
      <c r="AA7" s="73">
        <f>IFERROR((up_dir!AA7/(up_Bv!Z7+s_MLF_cereal)),".")</f>
        <v>1.3187534153652909E-4</v>
      </c>
      <c r="AB7" s="10">
        <f t="shared" si="0"/>
        <v>113743.78125</v>
      </c>
      <c r="AC7" s="10">
        <f>s_C*(up_Bv!C7+s_MLF_apple)*s_IFAP_res_adj*s_CF_apple</f>
        <v>37914.59375</v>
      </c>
      <c r="AD7" s="10">
        <f>s_C*(up_Bv!D7+s_MLF_asparagus)*s_IFAS_res_adj*s_CF_asparagus</f>
        <v>37914.59375</v>
      </c>
      <c r="AE7" s="10">
        <f>s_C*(up_Bv!E7+s_MLF_beet)*s_IFBT_res_adj*s_CF_beet</f>
        <v>37914.59375</v>
      </c>
      <c r="AF7" s="10">
        <f>s_C*(up_Bv!F7+s_MLF_berries)*s_IFBE_res_adj*s_CF_berries</f>
        <v>37914.59375</v>
      </c>
      <c r="AG7" s="10">
        <f>s_C*(up_Bv!G7+s_MLF_broccoli)*s_IFBR_res_adj*s_CF_broccoli</f>
        <v>37914.59375</v>
      </c>
      <c r="AH7" s="10">
        <f>s_C*(up_Bv!H7+s_MLF_cabbage)*s_IFCB_res_adj*s_CF_cabbage</f>
        <v>37914.59375</v>
      </c>
      <c r="AI7" s="10">
        <f>s_C*(up_Bv!I7+s_MLF_carrot)*s_IFCR_res_adj*s_CF_carrot</f>
        <v>37914.59375</v>
      </c>
      <c r="AJ7" s="10">
        <f>s_C*(up_Bv!J7+s_MLF_citrus)*s_IFCI_res_adj*s_CF_citrus</f>
        <v>37914.59375</v>
      </c>
      <c r="AK7" s="10">
        <f>s_C*(up_Bv!K7+s_MLF_corn)*s_IFCO_res_adj*s_CF_corn</f>
        <v>37914.59375</v>
      </c>
      <c r="AL7" s="10">
        <f>s_C*(up_Bv!L7+s_MLF_cucumber)*s_IFCU_res_adj*s_CF_cucumber</f>
        <v>37914.59375</v>
      </c>
      <c r="AM7" s="10">
        <f>s_C*(up_Bv!M7+s_MLF_lettuce)*s_IFLE_res_adj*s_CF_lettuce</f>
        <v>37914.59375</v>
      </c>
      <c r="AN7" s="10">
        <f>s_C*(up_Bv!N7+s_MLF_lima_bean)*s_IFLI_res_adj*s_CF_lima_bean</f>
        <v>37914.59375</v>
      </c>
      <c r="AO7" s="10">
        <f>s_C*(up_Bv!O7+s_MLF_okra)*s_IFOK_res_adj*s_CF_okra</f>
        <v>37914.59375</v>
      </c>
      <c r="AP7" s="10">
        <f>s_C*(up_Bv!P7+s_MLF_onion)*s_IFON_res_adj*s_CF_onion</f>
        <v>37914.59375</v>
      </c>
      <c r="AQ7" s="10">
        <f>s_C*(up_Bv!Q7+s_MLF_peach)*s_IFPC_res_adj*s_CF_peach</f>
        <v>37914.59375</v>
      </c>
      <c r="AR7" s="10">
        <f>s_C*(up_Bv!R7+s_MLF_pear)*s_IFPR_res_adj*s_CF_pear</f>
        <v>37914.59375</v>
      </c>
      <c r="AS7" s="10">
        <f>s_C*(up_Bv!S7+s_MLF_peas)*s_IFPE_res_adj*s_CF_peas</f>
        <v>37914.59375</v>
      </c>
      <c r="AT7" s="10">
        <f>s_C*(up_Bv!T7+s_MLF_potato)*s_IFPT_res_adj*s_CF_potato</f>
        <v>37914.59375</v>
      </c>
      <c r="AU7" s="10">
        <f>s_C*(up_Bv!U7+s_MLF_pumpkin)*s_IFPU_res_adj*s_CF_pumpkin</f>
        <v>37914.59375</v>
      </c>
      <c r="AV7" s="10">
        <f>s_C*(up_Bv!V7+s_MLF_snap_bean)*s_IFSN_res_adj*s_CF_snap_bean</f>
        <v>37914.59375</v>
      </c>
      <c r="AW7" s="10">
        <f>s_C*(up_Bv!W7+s_MLF_strawberry)*s_IFST_res_adj*s_CF_strawberry</f>
        <v>37914.59375</v>
      </c>
      <c r="AX7" s="10">
        <f>s_C*(up_Bv!X7+s_MLF_tomato)*s_IFTO_res_adj*s_CF_tomato</f>
        <v>37914.59375</v>
      </c>
      <c r="AY7" s="10">
        <f>s_C*(up_Bv!Y7+s_MLF_rice)*s_IFRI_res_adj*s_CF_rice</f>
        <v>37914.59375</v>
      </c>
      <c r="AZ7" s="10">
        <f>s_C*(up_Bv!Z7+s_MLF_cereal)*s_IFCG_res_adj*s_CF_cereal</f>
        <v>37914.59375</v>
      </c>
      <c r="BA7" s="2">
        <f t="shared" si="2"/>
        <v>4.3958447178843029E-5</v>
      </c>
      <c r="BB7" s="2">
        <f>IFERROR((up_dir!AC7/(up_Bv!C7+s_MLF_apple)),".")</f>
        <v>1.3187534153652909E-4</v>
      </c>
      <c r="BC7" s="2">
        <f>IFERROR((up_dir!AD7/(up_Bv!D7+s_MLF_asparagus)),".")</f>
        <v>1.3187534153652909E-4</v>
      </c>
      <c r="BD7" s="2">
        <f>IFERROR((up_dir!AE7/(up_Bv!E7+s_MLF_beet)),".")</f>
        <v>1.3187534153652909E-4</v>
      </c>
      <c r="BE7" s="2">
        <f>IFERROR((up_dir!AF7/(up_Bv!F7+s_MLF_berries)),".")</f>
        <v>1.3187534153652909E-4</v>
      </c>
      <c r="BF7" s="2">
        <f>IFERROR((up_dir!AG7/(up_Bv!G7+s_MLF_broccoli)),".")</f>
        <v>1.3187534153652909E-4</v>
      </c>
      <c r="BG7" s="2">
        <f>IFERROR((up_dir!AH7/(up_Bv!H7+s_MLF_cabbage)),".")</f>
        <v>1.3187534153652909E-4</v>
      </c>
      <c r="BH7" s="2">
        <f>IFERROR((up_dir!AI7/(up_Bv!I7+s_MLF_carrot)),".")</f>
        <v>1.3187534153652909E-4</v>
      </c>
      <c r="BI7" s="2">
        <f>IFERROR((up_dir!AJ7/(up_Bv!J7+s_MLF_citrus)),".")</f>
        <v>1.3187534153652909E-4</v>
      </c>
      <c r="BJ7" s="2">
        <f>IFERROR((up_dir!AK7/(up_Bv!K7+s_MLF_corn)),".")</f>
        <v>1.3187534153652909E-4</v>
      </c>
      <c r="BK7" s="2">
        <f>IFERROR((up_dir!AL7/(up_Bv!L7+s_MLF_cucumber)),".")</f>
        <v>1.3187534153652909E-4</v>
      </c>
      <c r="BL7" s="2">
        <f>IFERROR((up_dir!AM7/(up_Bv!M7+s_MLF_lettuce)),".")</f>
        <v>1.3187534153652909E-4</v>
      </c>
      <c r="BM7" s="2">
        <f>IFERROR((up_dir!AN7/(up_Bv!N7+s_MLF_lima_bean)),".")</f>
        <v>1.3187534153652909E-4</v>
      </c>
      <c r="BN7" s="2">
        <f>IFERROR((up_dir!AO7/(up_Bv!O7+s_MLF_okra)),".")</f>
        <v>1.3187534153652909E-4</v>
      </c>
      <c r="BO7" s="2">
        <f>IFERROR((up_dir!AP7/(up_Bv!P7+s_MLF_onion)),".")</f>
        <v>1.3187534153652909E-4</v>
      </c>
      <c r="BP7" s="2">
        <f>IFERROR((up_dir!AQ7/(up_Bv!Q7+s_MLF_peach)),".")</f>
        <v>1.3187534153652909E-4</v>
      </c>
      <c r="BQ7" s="2">
        <f>IFERROR((up_dir!AR7/(up_Bv!R7+s_MLF_pear)),".")</f>
        <v>1.3187534153652909E-4</v>
      </c>
      <c r="BR7" s="2">
        <f>IFERROR((up_dir!AS7/(up_Bv!S7+s_MLF_peas)),".")</f>
        <v>1.3187534153652909E-4</v>
      </c>
      <c r="BS7" s="2">
        <f>IFERROR((up_dir!AT7/(up_Bv!T7+s_MLF_potato)),".")</f>
        <v>1.3187534153652909E-4</v>
      </c>
      <c r="BT7" s="2">
        <f>IFERROR((up_dir!AU7/(up_Bv!U7+s_MLF_pumpkin)),".")</f>
        <v>1.3187534153652909E-4</v>
      </c>
      <c r="BU7" s="2">
        <f>IFERROR((up_dir!AV7/(up_Bv!V7+s_MLF_snap_bean)),".")</f>
        <v>1.3187534153652909E-4</v>
      </c>
      <c r="BV7" s="2">
        <f>IFERROR((up_dir!AW7/(up_Bv!W7+s_MLF_strawberry)),".")</f>
        <v>1.3187534153652909E-4</v>
      </c>
      <c r="BW7" s="2">
        <f>IFERROR((up_dir!AX7/(up_Bv!X7+s_MLF_tomato)),".")</f>
        <v>1.3187534153652909E-4</v>
      </c>
      <c r="BX7" s="2">
        <f>IFERROR((up_dir!AY7/(up_Bv!Y7+s_MLF_rice)),".")</f>
        <v>1.3187534153652909E-4</v>
      </c>
      <c r="BY7" s="2">
        <f>IFERROR((up_dir!AZ7/(up_Bv!Z7+s_MLF_cereal)),".")</f>
        <v>1.3187534153652909E-4</v>
      </c>
      <c r="BZ7" s="10">
        <f t="shared" si="3"/>
        <v>113743.78125</v>
      </c>
      <c r="CA7" s="10">
        <f>IFERROR(s_C*(up_Bv!C7+s_MLF_apple)*s_IFAP_far_adj*s_CF_apple,".")</f>
        <v>37914.59375</v>
      </c>
      <c r="CB7" s="10">
        <f>IFERROR(s_C*(up_Bv!D7+s_MLF_asparagus)*s_IFAS_far_adj*s_CF_asparagus,".")</f>
        <v>37914.59375</v>
      </c>
      <c r="CC7" s="10">
        <f>IFERROR(s_C*(up_Bv!E7+s_MLF_beet)*s_IFBT_far_adj*s_CF_beet,".")</f>
        <v>37914.59375</v>
      </c>
      <c r="CD7" s="10">
        <f>IFERROR(s_C*(up_Bv!F7+s_MLF_berries)*s_IFBR_far_adj*s_CF_berries,".")</f>
        <v>37914.59375</v>
      </c>
      <c r="CE7" s="10">
        <f>IFERROR(s_C*(up_Bv!G7+s_MLF_broccoli)*s_IFBR_far_adj*s_CF_broccoli,".")</f>
        <v>37914.59375</v>
      </c>
      <c r="CF7" s="10">
        <f>IFERROR(s_C*(up_Bv!H7+s_MLF_cabbage)*s_IFCB_far_adj*s_CF_cabbage,".")</f>
        <v>37914.59375</v>
      </c>
      <c r="CG7" s="10">
        <f>IFERROR(s_C*(up_Bv!I7+s_MLF_carrot)*s_IFCR_far_adj*s_CF_carrot,".")</f>
        <v>37914.59375</v>
      </c>
      <c r="CH7" s="10">
        <f>IFERROR(s_C*(up_Bv!J7+s_MLF_citrus)*s_IFCI_far_adj*s_CF_citrus,".")</f>
        <v>37914.59375</v>
      </c>
      <c r="CI7" s="10">
        <f>IFERROR(s_C*(up_Bv!K7+s_MLF_corn)*s_IFCO_far_adj*s_CF_corn,".")</f>
        <v>37914.59375</v>
      </c>
      <c r="CJ7" s="10">
        <f>IFERROR(s_C*(up_Bv!L7+s_MLF_cucumber)*s_IFCU_far_adj*s_CF_cucumber,".")</f>
        <v>37914.59375</v>
      </c>
      <c r="CK7" s="10">
        <f>IFERROR(s_C*(up_Bv!M7+s_MLF_lettuce)*s_IFLE_far_adj*s_CF_lettuce,".")</f>
        <v>37914.59375</v>
      </c>
      <c r="CL7" s="10">
        <f>IFERROR(s_C*(up_Bv!N7+s_MLF_lima_bean)*s_IFLI_far_adj*s_CF_lima_bean,".")</f>
        <v>37914.59375</v>
      </c>
      <c r="CM7" s="10">
        <f>IFERROR(s_C*(up_Bv!O7+s_MLF_okra)*s_IFOK_far_adj*s_CF_okra,".")</f>
        <v>37914.59375</v>
      </c>
      <c r="CN7" s="10">
        <f>IFERROR(s_C*(up_Bv!P7+s_MLF_onion)*s_IFON_far_adj*s_CF_onion,".")</f>
        <v>37914.59375</v>
      </c>
      <c r="CO7" s="10">
        <f>IFERROR(s_C*(up_Bv!Q7+s_MLF_peach)*s_IFPC_far_adj*s_CF_peach,".")</f>
        <v>37914.59375</v>
      </c>
      <c r="CP7" s="10">
        <f>IFERROR(s_C*(up_Bv!R7+s_MLF_pear)*s_IFPR_far_adj*s_CF_pear,".")</f>
        <v>37914.59375</v>
      </c>
      <c r="CQ7" s="10">
        <f>IFERROR(s_C*(up_Bv!S7+s_MLF_peas)*s_IFPE_far_adj*s_CF_peas,".")</f>
        <v>37914.59375</v>
      </c>
      <c r="CR7" s="10">
        <f>IFERROR(s_C*(up_Bv!T7+s_MLF_potato)*s_IFPT_far_adj*s_CF_potato,".")</f>
        <v>37914.59375</v>
      </c>
      <c r="CS7" s="10">
        <f>IFERROR(s_C*(up_Bv!U7+s_MLF_pumpkin)*s_IFPU_far_adj*s_CF_pumpkin,".")</f>
        <v>37914.59375</v>
      </c>
      <c r="CT7" s="10">
        <f>IFERROR(s_C*(up_Bv!V7+s_MLF_snap_bean)*s_IFSN_far_adj*s_CF_snap_bean,".")</f>
        <v>37914.59375</v>
      </c>
      <c r="CU7" s="10">
        <f>IFERROR(s_C*(up_Bv!W7+s_MLF_strawberry)*s_IFST_far_adj*s_CF_strawberry,".")</f>
        <v>37914.59375</v>
      </c>
      <c r="CV7" s="10">
        <f>IFERROR(s_C*(up_Bv!X7+s_MLF_tomato)*s_IFTO_far_adj*s_CF_tomato,".")</f>
        <v>37914.59375</v>
      </c>
      <c r="CW7" s="10">
        <f>IFERROR(s_C*(up_Bv!Y7+s_MLF_rice)*s_IFRI_far_adj*s_CF_rice,".")</f>
        <v>37914.59375</v>
      </c>
      <c r="CX7" s="10">
        <f>IFERROR(s_C*(up_Bv!Z7+s_MLF_cereal)*s_IFCG_far_adj*s_CF_cereal,".")</f>
        <v>37914.59375</v>
      </c>
    </row>
    <row r="8" spans="1:102" ht="15" customHeight="1" x14ac:dyDescent="0.25">
      <c r="A8" s="31" t="s">
        <v>6</v>
      </c>
      <c r="B8" s="3" t="s">
        <v>1059</v>
      </c>
      <c r="C8" s="73">
        <f t="shared" si="1"/>
        <v>4.3958447178843029E-5</v>
      </c>
      <c r="D8" s="73">
        <f>IFERROR((up_dir!D8/(up_Bv!C8+s_MLF_apple)),".")</f>
        <v>1.3187534153652909E-4</v>
      </c>
      <c r="E8" s="73">
        <f>IFERROR((up_dir!E8/(up_Bv!D8+s_MLF_asparagus)),".")</f>
        <v>1.3187534153652909E-4</v>
      </c>
      <c r="F8" s="73">
        <f>IFERROR((up_dir!F8/(up_Bv!E8+s_MLF_beet)),".")</f>
        <v>1.3187534153652909E-4</v>
      </c>
      <c r="G8" s="73">
        <f>IFERROR((up_dir!G8/(up_Bv!F8+s_MLF_berries)),".")</f>
        <v>1.3187534153652909E-4</v>
      </c>
      <c r="H8" s="73">
        <f>IFERROR((up_dir!H8/(up_Bv!G8+s_MLF_broccoli)),".")</f>
        <v>1.3187534153652909E-4</v>
      </c>
      <c r="I8" s="73">
        <f>IFERROR((up_dir!I8/(up_Bv!H8+s_MLF_cabbage)),".")</f>
        <v>1.3187534153652909E-4</v>
      </c>
      <c r="J8" s="73">
        <f>IFERROR((up_dir!J8/(up_Bv!I8+s_MLF_carrot)),".")</f>
        <v>1.3187534153652909E-4</v>
      </c>
      <c r="K8" s="73">
        <f>IFERROR((up_dir!K8/(up_Bv!J8+s_MLF_citrus)),".")</f>
        <v>1.3187534153652909E-4</v>
      </c>
      <c r="L8" s="73">
        <f>IFERROR((up_dir!L8/(up_Bv!K8+s_MLF_corn)),".")</f>
        <v>1.3187534153652909E-4</v>
      </c>
      <c r="M8" s="73">
        <f>IFERROR((up_dir!M8/(up_Bv!L8+s_MLF_cucumber)),".")</f>
        <v>1.3187534153652909E-4</v>
      </c>
      <c r="N8" s="73">
        <f>IFERROR((up_dir!N8/(up_Bv!M8+s_MLF_lettuce)),".")</f>
        <v>1.3187534153652909E-4</v>
      </c>
      <c r="O8" s="73">
        <f>IFERROR((up_dir!O8/(up_Bv!N8+s_MLF_lima_bean)),".")</f>
        <v>1.3187534153652909E-4</v>
      </c>
      <c r="P8" s="73">
        <f>IFERROR((up_dir!P8/(up_Bv!O8+s_MLF_okra)),".")</f>
        <v>1.3187534153652909E-4</v>
      </c>
      <c r="Q8" s="73">
        <f>IFERROR((up_dir!Q8/(up_Bv!P8+s_MLF_onion)),".")</f>
        <v>1.3187534153652909E-4</v>
      </c>
      <c r="R8" s="73">
        <f>IFERROR((up_dir!R8/(up_Bv!Q8+s_MLF_peach)),".")</f>
        <v>1.3187534153652909E-4</v>
      </c>
      <c r="S8" s="73">
        <f>IFERROR((up_dir!S8/(up_Bv!R8+s_MLF_pear)),".")</f>
        <v>1.3187534153652909E-4</v>
      </c>
      <c r="T8" s="73">
        <f>IFERROR((up_dir!T8/(up_Bv!S8+s_MLF_peas)),".")</f>
        <v>1.3187534153652909E-4</v>
      </c>
      <c r="U8" s="73">
        <f>IFERROR((up_dir!U8/(up_Bv!T8+s_MLF_potato)),".")</f>
        <v>1.3187534153652909E-4</v>
      </c>
      <c r="V8" s="73">
        <f>IFERROR((up_dir!V8/(up_Bv!U8+s_MLF_pumpkin)),".")</f>
        <v>1.3187534153652909E-4</v>
      </c>
      <c r="W8" s="73">
        <f>IFERROR((up_dir!W8/(up_Bv!V8+s_MLF_snap_bean)),".")</f>
        <v>1.3187534153652909E-4</v>
      </c>
      <c r="X8" s="73">
        <f>IFERROR((up_dir!X8/(up_Bv!W8+s_MLF_strawberry)),".")</f>
        <v>1.3187534153652909E-4</v>
      </c>
      <c r="Y8" s="73">
        <f>IFERROR((up_dir!Y8/(up_Bv!X8+s_MLF_tomato)),".")</f>
        <v>1.3187534153652909E-4</v>
      </c>
      <c r="Z8" s="73">
        <f>IFERROR((up_dir!Z8/(up_Bv!Y8+s_MLF_rice)),".")</f>
        <v>1.3187534153652909E-4</v>
      </c>
      <c r="AA8" s="73">
        <f>IFERROR((up_dir!AA8/(up_Bv!Z8+s_MLF_cereal)),".")</f>
        <v>1.3187534153652909E-4</v>
      </c>
      <c r="AB8" s="10">
        <f t="shared" si="0"/>
        <v>113743.78125</v>
      </c>
      <c r="AC8" s="10">
        <f>s_C*(up_Bv!C8+s_MLF_apple)*s_IFAP_res_adj*s_CF_apple</f>
        <v>37914.59375</v>
      </c>
      <c r="AD8" s="10">
        <f>s_C*(up_Bv!D8+s_MLF_asparagus)*s_IFAS_res_adj*s_CF_asparagus</f>
        <v>37914.59375</v>
      </c>
      <c r="AE8" s="10">
        <f>s_C*(up_Bv!E8+s_MLF_beet)*s_IFBT_res_adj*s_CF_beet</f>
        <v>37914.59375</v>
      </c>
      <c r="AF8" s="10">
        <f>s_C*(up_Bv!F8+s_MLF_berries)*s_IFBE_res_adj*s_CF_berries</f>
        <v>37914.59375</v>
      </c>
      <c r="AG8" s="10">
        <f>s_C*(up_Bv!G8+s_MLF_broccoli)*s_IFBR_res_adj*s_CF_broccoli</f>
        <v>37914.59375</v>
      </c>
      <c r="AH8" s="10">
        <f>s_C*(up_Bv!H8+s_MLF_cabbage)*s_IFCB_res_adj*s_CF_cabbage</f>
        <v>37914.59375</v>
      </c>
      <c r="AI8" s="10">
        <f>s_C*(up_Bv!I8+s_MLF_carrot)*s_IFCR_res_adj*s_CF_carrot</f>
        <v>37914.59375</v>
      </c>
      <c r="AJ8" s="10">
        <f>s_C*(up_Bv!J8+s_MLF_citrus)*s_IFCI_res_adj*s_CF_citrus</f>
        <v>37914.59375</v>
      </c>
      <c r="AK8" s="10">
        <f>s_C*(up_Bv!K8+s_MLF_corn)*s_IFCO_res_adj*s_CF_corn</f>
        <v>37914.59375</v>
      </c>
      <c r="AL8" s="10">
        <f>s_C*(up_Bv!L8+s_MLF_cucumber)*s_IFCU_res_adj*s_CF_cucumber</f>
        <v>37914.59375</v>
      </c>
      <c r="AM8" s="10">
        <f>s_C*(up_Bv!M8+s_MLF_lettuce)*s_IFLE_res_adj*s_CF_lettuce</f>
        <v>37914.59375</v>
      </c>
      <c r="AN8" s="10">
        <f>s_C*(up_Bv!N8+s_MLF_lima_bean)*s_IFLI_res_adj*s_CF_lima_bean</f>
        <v>37914.59375</v>
      </c>
      <c r="AO8" s="10">
        <f>s_C*(up_Bv!O8+s_MLF_okra)*s_IFOK_res_adj*s_CF_okra</f>
        <v>37914.59375</v>
      </c>
      <c r="AP8" s="10">
        <f>s_C*(up_Bv!P8+s_MLF_onion)*s_IFON_res_adj*s_CF_onion</f>
        <v>37914.59375</v>
      </c>
      <c r="AQ8" s="10">
        <f>s_C*(up_Bv!Q8+s_MLF_peach)*s_IFPC_res_adj*s_CF_peach</f>
        <v>37914.59375</v>
      </c>
      <c r="AR8" s="10">
        <f>s_C*(up_Bv!R8+s_MLF_pear)*s_IFPR_res_adj*s_CF_pear</f>
        <v>37914.59375</v>
      </c>
      <c r="AS8" s="10">
        <f>s_C*(up_Bv!S8+s_MLF_peas)*s_IFPE_res_adj*s_CF_peas</f>
        <v>37914.59375</v>
      </c>
      <c r="AT8" s="10">
        <f>s_C*(up_Bv!T8+s_MLF_potato)*s_IFPT_res_adj*s_CF_potato</f>
        <v>37914.59375</v>
      </c>
      <c r="AU8" s="10">
        <f>s_C*(up_Bv!U8+s_MLF_pumpkin)*s_IFPU_res_adj*s_CF_pumpkin</f>
        <v>37914.59375</v>
      </c>
      <c r="AV8" s="10">
        <f>s_C*(up_Bv!V8+s_MLF_snap_bean)*s_IFSN_res_adj*s_CF_snap_bean</f>
        <v>37914.59375</v>
      </c>
      <c r="AW8" s="10">
        <f>s_C*(up_Bv!W8+s_MLF_strawberry)*s_IFST_res_adj*s_CF_strawberry</f>
        <v>37914.59375</v>
      </c>
      <c r="AX8" s="10">
        <f>s_C*(up_Bv!X8+s_MLF_tomato)*s_IFTO_res_adj*s_CF_tomato</f>
        <v>37914.59375</v>
      </c>
      <c r="AY8" s="10">
        <f>s_C*(up_Bv!Y8+s_MLF_rice)*s_IFRI_res_adj*s_CF_rice</f>
        <v>37914.59375</v>
      </c>
      <c r="AZ8" s="10">
        <f>s_C*(up_Bv!Z8+s_MLF_cereal)*s_IFCG_res_adj*s_CF_cereal</f>
        <v>37914.59375</v>
      </c>
      <c r="BA8" s="2">
        <f t="shared" si="2"/>
        <v>4.3958447178843029E-5</v>
      </c>
      <c r="BB8" s="2">
        <f>IFERROR((up_dir!AC8/(up_Bv!C8+s_MLF_apple)),".")</f>
        <v>1.3187534153652909E-4</v>
      </c>
      <c r="BC8" s="2">
        <f>IFERROR((up_dir!AD8/(up_Bv!D8+s_MLF_asparagus)),".")</f>
        <v>1.3187534153652909E-4</v>
      </c>
      <c r="BD8" s="2">
        <f>IFERROR((up_dir!AE8/(up_Bv!E8+s_MLF_beet)),".")</f>
        <v>1.3187534153652909E-4</v>
      </c>
      <c r="BE8" s="2">
        <f>IFERROR((up_dir!AF8/(up_Bv!F8+s_MLF_berries)),".")</f>
        <v>1.3187534153652909E-4</v>
      </c>
      <c r="BF8" s="2">
        <f>IFERROR((up_dir!AG8/(up_Bv!G8+s_MLF_broccoli)),".")</f>
        <v>1.3187534153652909E-4</v>
      </c>
      <c r="BG8" s="2">
        <f>IFERROR((up_dir!AH8/(up_Bv!H8+s_MLF_cabbage)),".")</f>
        <v>1.3187534153652909E-4</v>
      </c>
      <c r="BH8" s="2">
        <f>IFERROR((up_dir!AI8/(up_Bv!I8+s_MLF_carrot)),".")</f>
        <v>1.3187534153652909E-4</v>
      </c>
      <c r="BI8" s="2">
        <f>IFERROR((up_dir!AJ8/(up_Bv!J8+s_MLF_citrus)),".")</f>
        <v>1.3187534153652909E-4</v>
      </c>
      <c r="BJ8" s="2">
        <f>IFERROR((up_dir!AK8/(up_Bv!K8+s_MLF_corn)),".")</f>
        <v>1.3187534153652909E-4</v>
      </c>
      <c r="BK8" s="2">
        <f>IFERROR((up_dir!AL8/(up_Bv!L8+s_MLF_cucumber)),".")</f>
        <v>1.3187534153652909E-4</v>
      </c>
      <c r="BL8" s="2">
        <f>IFERROR((up_dir!AM8/(up_Bv!M8+s_MLF_lettuce)),".")</f>
        <v>1.3187534153652909E-4</v>
      </c>
      <c r="BM8" s="2">
        <f>IFERROR((up_dir!AN8/(up_Bv!N8+s_MLF_lima_bean)),".")</f>
        <v>1.3187534153652909E-4</v>
      </c>
      <c r="BN8" s="2">
        <f>IFERROR((up_dir!AO8/(up_Bv!O8+s_MLF_okra)),".")</f>
        <v>1.3187534153652909E-4</v>
      </c>
      <c r="BO8" s="2">
        <f>IFERROR((up_dir!AP8/(up_Bv!P8+s_MLF_onion)),".")</f>
        <v>1.3187534153652909E-4</v>
      </c>
      <c r="BP8" s="2">
        <f>IFERROR((up_dir!AQ8/(up_Bv!Q8+s_MLF_peach)),".")</f>
        <v>1.3187534153652909E-4</v>
      </c>
      <c r="BQ8" s="2">
        <f>IFERROR((up_dir!AR8/(up_Bv!R8+s_MLF_pear)),".")</f>
        <v>1.3187534153652909E-4</v>
      </c>
      <c r="BR8" s="2">
        <f>IFERROR((up_dir!AS8/(up_Bv!S8+s_MLF_peas)),".")</f>
        <v>1.3187534153652909E-4</v>
      </c>
      <c r="BS8" s="2">
        <f>IFERROR((up_dir!AT8/(up_Bv!T8+s_MLF_potato)),".")</f>
        <v>1.3187534153652909E-4</v>
      </c>
      <c r="BT8" s="2">
        <f>IFERROR((up_dir!AU8/(up_Bv!U8+s_MLF_pumpkin)),".")</f>
        <v>1.3187534153652909E-4</v>
      </c>
      <c r="BU8" s="2">
        <f>IFERROR((up_dir!AV8/(up_Bv!V8+s_MLF_snap_bean)),".")</f>
        <v>1.3187534153652909E-4</v>
      </c>
      <c r="BV8" s="2">
        <f>IFERROR((up_dir!AW8/(up_Bv!W8+s_MLF_strawberry)),".")</f>
        <v>1.3187534153652909E-4</v>
      </c>
      <c r="BW8" s="2">
        <f>IFERROR((up_dir!AX8/(up_Bv!X8+s_MLF_tomato)),".")</f>
        <v>1.3187534153652909E-4</v>
      </c>
      <c r="BX8" s="2">
        <f>IFERROR((up_dir!AY8/(up_Bv!Y8+s_MLF_rice)),".")</f>
        <v>1.3187534153652909E-4</v>
      </c>
      <c r="BY8" s="2">
        <f>IFERROR((up_dir!AZ8/(up_Bv!Z8+s_MLF_cereal)),".")</f>
        <v>1.3187534153652909E-4</v>
      </c>
      <c r="BZ8" s="10">
        <f t="shared" si="3"/>
        <v>113743.78125</v>
      </c>
      <c r="CA8" s="10">
        <f>IFERROR(s_C*(up_Bv!C8+s_MLF_apple)*s_IFAP_far_adj*s_CF_apple,".")</f>
        <v>37914.59375</v>
      </c>
      <c r="CB8" s="10">
        <f>IFERROR(s_C*(up_Bv!D8+s_MLF_asparagus)*s_IFAS_far_adj*s_CF_asparagus,".")</f>
        <v>37914.59375</v>
      </c>
      <c r="CC8" s="10">
        <f>IFERROR(s_C*(up_Bv!E8+s_MLF_beet)*s_IFBT_far_adj*s_CF_beet,".")</f>
        <v>37914.59375</v>
      </c>
      <c r="CD8" s="10">
        <f>IFERROR(s_C*(up_Bv!F8+s_MLF_berries)*s_IFBR_far_adj*s_CF_berries,".")</f>
        <v>37914.59375</v>
      </c>
      <c r="CE8" s="10">
        <f>IFERROR(s_C*(up_Bv!G8+s_MLF_broccoli)*s_IFBR_far_adj*s_CF_broccoli,".")</f>
        <v>37914.59375</v>
      </c>
      <c r="CF8" s="10">
        <f>IFERROR(s_C*(up_Bv!H8+s_MLF_cabbage)*s_IFCB_far_adj*s_CF_cabbage,".")</f>
        <v>37914.59375</v>
      </c>
      <c r="CG8" s="10">
        <f>IFERROR(s_C*(up_Bv!I8+s_MLF_carrot)*s_IFCR_far_adj*s_CF_carrot,".")</f>
        <v>37914.59375</v>
      </c>
      <c r="CH8" s="10">
        <f>IFERROR(s_C*(up_Bv!J8+s_MLF_citrus)*s_IFCI_far_adj*s_CF_citrus,".")</f>
        <v>37914.59375</v>
      </c>
      <c r="CI8" s="10">
        <f>IFERROR(s_C*(up_Bv!K8+s_MLF_corn)*s_IFCO_far_adj*s_CF_corn,".")</f>
        <v>37914.59375</v>
      </c>
      <c r="CJ8" s="10">
        <f>IFERROR(s_C*(up_Bv!L8+s_MLF_cucumber)*s_IFCU_far_adj*s_CF_cucumber,".")</f>
        <v>37914.59375</v>
      </c>
      <c r="CK8" s="10">
        <f>IFERROR(s_C*(up_Bv!M8+s_MLF_lettuce)*s_IFLE_far_adj*s_CF_lettuce,".")</f>
        <v>37914.59375</v>
      </c>
      <c r="CL8" s="10">
        <f>IFERROR(s_C*(up_Bv!N8+s_MLF_lima_bean)*s_IFLI_far_adj*s_CF_lima_bean,".")</f>
        <v>37914.59375</v>
      </c>
      <c r="CM8" s="10">
        <f>IFERROR(s_C*(up_Bv!O8+s_MLF_okra)*s_IFOK_far_adj*s_CF_okra,".")</f>
        <v>37914.59375</v>
      </c>
      <c r="CN8" s="10">
        <f>IFERROR(s_C*(up_Bv!P8+s_MLF_onion)*s_IFON_far_adj*s_CF_onion,".")</f>
        <v>37914.59375</v>
      </c>
      <c r="CO8" s="10">
        <f>IFERROR(s_C*(up_Bv!Q8+s_MLF_peach)*s_IFPC_far_adj*s_CF_peach,".")</f>
        <v>37914.59375</v>
      </c>
      <c r="CP8" s="10">
        <f>IFERROR(s_C*(up_Bv!R8+s_MLF_pear)*s_IFPR_far_adj*s_CF_pear,".")</f>
        <v>37914.59375</v>
      </c>
      <c r="CQ8" s="10">
        <f>IFERROR(s_C*(up_Bv!S8+s_MLF_peas)*s_IFPE_far_adj*s_CF_peas,".")</f>
        <v>37914.59375</v>
      </c>
      <c r="CR8" s="10">
        <f>IFERROR(s_C*(up_Bv!T8+s_MLF_potato)*s_IFPT_far_adj*s_CF_potato,".")</f>
        <v>37914.59375</v>
      </c>
      <c r="CS8" s="10">
        <f>IFERROR(s_C*(up_Bv!U8+s_MLF_pumpkin)*s_IFPU_far_adj*s_CF_pumpkin,".")</f>
        <v>37914.59375</v>
      </c>
      <c r="CT8" s="10">
        <f>IFERROR(s_C*(up_Bv!V8+s_MLF_snap_bean)*s_IFSN_far_adj*s_CF_snap_bean,".")</f>
        <v>37914.59375</v>
      </c>
      <c r="CU8" s="10">
        <f>IFERROR(s_C*(up_Bv!W8+s_MLF_strawberry)*s_IFST_far_adj*s_CF_strawberry,".")</f>
        <v>37914.59375</v>
      </c>
      <c r="CV8" s="10">
        <f>IFERROR(s_C*(up_Bv!X8+s_MLF_tomato)*s_IFTO_far_adj*s_CF_tomato,".")</f>
        <v>37914.59375</v>
      </c>
      <c r="CW8" s="10">
        <f>IFERROR(s_C*(up_Bv!Y8+s_MLF_rice)*s_IFRI_far_adj*s_CF_rice,".")</f>
        <v>37914.59375</v>
      </c>
      <c r="CX8" s="10">
        <f>IFERROR(s_C*(up_Bv!Z8+s_MLF_cereal)*s_IFCG_far_adj*s_CF_cereal,".")</f>
        <v>37914.59375</v>
      </c>
    </row>
    <row r="9" spans="1:102" ht="15" customHeight="1" x14ac:dyDescent="0.25">
      <c r="A9" s="31" t="s">
        <v>7</v>
      </c>
      <c r="B9" s="3" t="s">
        <v>1059</v>
      </c>
      <c r="C9" s="73">
        <f t="shared" si="1"/>
        <v>4.3958447178843029E-5</v>
      </c>
      <c r="D9" s="73">
        <f>IFERROR((up_dir!D9/(up_Bv!C9+s_MLF_apple)),".")</f>
        <v>1.3187534153652909E-4</v>
      </c>
      <c r="E9" s="73">
        <f>IFERROR((up_dir!E9/(up_Bv!D9+s_MLF_asparagus)),".")</f>
        <v>1.3187534153652909E-4</v>
      </c>
      <c r="F9" s="73">
        <f>IFERROR((up_dir!F9/(up_Bv!E9+s_MLF_beet)),".")</f>
        <v>1.3187534153652909E-4</v>
      </c>
      <c r="G9" s="73">
        <f>IFERROR((up_dir!G9/(up_Bv!F9+s_MLF_berries)),".")</f>
        <v>1.3187534153652909E-4</v>
      </c>
      <c r="H9" s="73">
        <f>IFERROR((up_dir!H9/(up_Bv!G9+s_MLF_broccoli)),".")</f>
        <v>1.3187534153652909E-4</v>
      </c>
      <c r="I9" s="73">
        <f>IFERROR((up_dir!I9/(up_Bv!H9+s_MLF_cabbage)),".")</f>
        <v>1.3187534153652909E-4</v>
      </c>
      <c r="J9" s="73">
        <f>IFERROR((up_dir!J9/(up_Bv!I9+s_MLF_carrot)),".")</f>
        <v>1.3187534153652909E-4</v>
      </c>
      <c r="K9" s="73">
        <f>IFERROR((up_dir!K9/(up_Bv!J9+s_MLF_citrus)),".")</f>
        <v>1.3187534153652909E-4</v>
      </c>
      <c r="L9" s="73">
        <f>IFERROR((up_dir!L9/(up_Bv!K9+s_MLF_corn)),".")</f>
        <v>1.3187534153652909E-4</v>
      </c>
      <c r="M9" s="73">
        <f>IFERROR((up_dir!M9/(up_Bv!L9+s_MLF_cucumber)),".")</f>
        <v>1.3187534153652909E-4</v>
      </c>
      <c r="N9" s="73">
        <f>IFERROR((up_dir!N9/(up_Bv!M9+s_MLF_lettuce)),".")</f>
        <v>1.3187534153652909E-4</v>
      </c>
      <c r="O9" s="73">
        <f>IFERROR((up_dir!O9/(up_Bv!N9+s_MLF_lima_bean)),".")</f>
        <v>1.3187534153652909E-4</v>
      </c>
      <c r="P9" s="73">
        <f>IFERROR((up_dir!P9/(up_Bv!O9+s_MLF_okra)),".")</f>
        <v>1.3187534153652909E-4</v>
      </c>
      <c r="Q9" s="73">
        <f>IFERROR((up_dir!Q9/(up_Bv!P9+s_MLF_onion)),".")</f>
        <v>1.3187534153652909E-4</v>
      </c>
      <c r="R9" s="73">
        <f>IFERROR((up_dir!R9/(up_Bv!Q9+s_MLF_peach)),".")</f>
        <v>1.3187534153652909E-4</v>
      </c>
      <c r="S9" s="73">
        <f>IFERROR((up_dir!S9/(up_Bv!R9+s_MLF_pear)),".")</f>
        <v>1.3187534153652909E-4</v>
      </c>
      <c r="T9" s="73">
        <f>IFERROR((up_dir!T9/(up_Bv!S9+s_MLF_peas)),".")</f>
        <v>1.3187534153652909E-4</v>
      </c>
      <c r="U9" s="73">
        <f>IFERROR((up_dir!U9/(up_Bv!T9+s_MLF_potato)),".")</f>
        <v>1.3187534153652909E-4</v>
      </c>
      <c r="V9" s="73">
        <f>IFERROR((up_dir!V9/(up_Bv!U9+s_MLF_pumpkin)),".")</f>
        <v>1.3187534153652909E-4</v>
      </c>
      <c r="W9" s="73">
        <f>IFERROR((up_dir!W9/(up_Bv!V9+s_MLF_snap_bean)),".")</f>
        <v>1.3187534153652909E-4</v>
      </c>
      <c r="X9" s="73">
        <f>IFERROR((up_dir!X9/(up_Bv!W9+s_MLF_strawberry)),".")</f>
        <v>1.3187534153652909E-4</v>
      </c>
      <c r="Y9" s="73">
        <f>IFERROR((up_dir!Y9/(up_Bv!X9+s_MLF_tomato)),".")</f>
        <v>1.3187534153652909E-4</v>
      </c>
      <c r="Z9" s="73">
        <f>IFERROR((up_dir!Z9/(up_Bv!Y9+s_MLF_rice)),".")</f>
        <v>1.3187534153652909E-4</v>
      </c>
      <c r="AA9" s="73">
        <f>IFERROR((up_dir!AA9/(up_Bv!Z9+s_MLF_cereal)),".")</f>
        <v>1.3187534153652909E-4</v>
      </c>
      <c r="AB9" s="10">
        <f t="shared" si="0"/>
        <v>113743.78125</v>
      </c>
      <c r="AC9" s="10">
        <f>s_C*(up_Bv!C9+s_MLF_apple)*s_IFAP_res_adj*s_CF_apple</f>
        <v>37914.59375</v>
      </c>
      <c r="AD9" s="10">
        <f>s_C*(up_Bv!D9+s_MLF_asparagus)*s_IFAS_res_adj*s_CF_asparagus</f>
        <v>37914.59375</v>
      </c>
      <c r="AE9" s="10">
        <f>s_C*(up_Bv!E9+s_MLF_beet)*s_IFBT_res_adj*s_CF_beet</f>
        <v>37914.59375</v>
      </c>
      <c r="AF9" s="10">
        <f>s_C*(up_Bv!F9+s_MLF_berries)*s_IFBE_res_adj*s_CF_berries</f>
        <v>37914.59375</v>
      </c>
      <c r="AG9" s="10">
        <f>s_C*(up_Bv!G9+s_MLF_broccoli)*s_IFBR_res_adj*s_CF_broccoli</f>
        <v>37914.59375</v>
      </c>
      <c r="AH9" s="10">
        <f>s_C*(up_Bv!H9+s_MLF_cabbage)*s_IFCB_res_adj*s_CF_cabbage</f>
        <v>37914.59375</v>
      </c>
      <c r="AI9" s="10">
        <f>s_C*(up_Bv!I9+s_MLF_carrot)*s_IFCR_res_adj*s_CF_carrot</f>
        <v>37914.59375</v>
      </c>
      <c r="AJ9" s="10">
        <f>s_C*(up_Bv!J9+s_MLF_citrus)*s_IFCI_res_adj*s_CF_citrus</f>
        <v>37914.59375</v>
      </c>
      <c r="AK9" s="10">
        <f>s_C*(up_Bv!K9+s_MLF_corn)*s_IFCO_res_adj*s_CF_corn</f>
        <v>37914.59375</v>
      </c>
      <c r="AL9" s="10">
        <f>s_C*(up_Bv!L9+s_MLF_cucumber)*s_IFCU_res_adj*s_CF_cucumber</f>
        <v>37914.59375</v>
      </c>
      <c r="AM9" s="10">
        <f>s_C*(up_Bv!M9+s_MLF_lettuce)*s_IFLE_res_adj*s_CF_lettuce</f>
        <v>37914.59375</v>
      </c>
      <c r="AN9" s="10">
        <f>s_C*(up_Bv!N9+s_MLF_lima_bean)*s_IFLI_res_adj*s_CF_lima_bean</f>
        <v>37914.59375</v>
      </c>
      <c r="AO9" s="10">
        <f>s_C*(up_Bv!O9+s_MLF_okra)*s_IFOK_res_adj*s_CF_okra</f>
        <v>37914.59375</v>
      </c>
      <c r="AP9" s="10">
        <f>s_C*(up_Bv!P9+s_MLF_onion)*s_IFON_res_adj*s_CF_onion</f>
        <v>37914.59375</v>
      </c>
      <c r="AQ9" s="10">
        <f>s_C*(up_Bv!Q9+s_MLF_peach)*s_IFPC_res_adj*s_CF_peach</f>
        <v>37914.59375</v>
      </c>
      <c r="AR9" s="10">
        <f>s_C*(up_Bv!R9+s_MLF_pear)*s_IFPR_res_adj*s_CF_pear</f>
        <v>37914.59375</v>
      </c>
      <c r="AS9" s="10">
        <f>s_C*(up_Bv!S9+s_MLF_peas)*s_IFPE_res_adj*s_CF_peas</f>
        <v>37914.59375</v>
      </c>
      <c r="AT9" s="10">
        <f>s_C*(up_Bv!T9+s_MLF_potato)*s_IFPT_res_adj*s_CF_potato</f>
        <v>37914.59375</v>
      </c>
      <c r="AU9" s="10">
        <f>s_C*(up_Bv!U9+s_MLF_pumpkin)*s_IFPU_res_adj*s_CF_pumpkin</f>
        <v>37914.59375</v>
      </c>
      <c r="AV9" s="10">
        <f>s_C*(up_Bv!V9+s_MLF_snap_bean)*s_IFSN_res_adj*s_CF_snap_bean</f>
        <v>37914.59375</v>
      </c>
      <c r="AW9" s="10">
        <f>s_C*(up_Bv!W9+s_MLF_strawberry)*s_IFST_res_adj*s_CF_strawberry</f>
        <v>37914.59375</v>
      </c>
      <c r="AX9" s="10">
        <f>s_C*(up_Bv!X9+s_MLF_tomato)*s_IFTO_res_adj*s_CF_tomato</f>
        <v>37914.59375</v>
      </c>
      <c r="AY9" s="10">
        <f>s_C*(up_Bv!Y9+s_MLF_rice)*s_IFRI_res_adj*s_CF_rice</f>
        <v>37914.59375</v>
      </c>
      <c r="AZ9" s="10">
        <f>s_C*(up_Bv!Z9+s_MLF_cereal)*s_IFCG_res_adj*s_CF_cereal</f>
        <v>37914.59375</v>
      </c>
      <c r="BA9" s="2">
        <f t="shared" si="2"/>
        <v>4.3958447178843029E-5</v>
      </c>
      <c r="BB9" s="2">
        <f>IFERROR((up_dir!AC9/(up_Bv!C9+s_MLF_apple)),".")</f>
        <v>1.3187534153652909E-4</v>
      </c>
      <c r="BC9" s="2">
        <f>IFERROR((up_dir!AD9/(up_Bv!D9+s_MLF_asparagus)),".")</f>
        <v>1.3187534153652909E-4</v>
      </c>
      <c r="BD9" s="2">
        <f>IFERROR((up_dir!AE9/(up_Bv!E9+s_MLF_beet)),".")</f>
        <v>1.3187534153652909E-4</v>
      </c>
      <c r="BE9" s="2">
        <f>IFERROR((up_dir!AF9/(up_Bv!F9+s_MLF_berries)),".")</f>
        <v>1.3187534153652909E-4</v>
      </c>
      <c r="BF9" s="2">
        <f>IFERROR((up_dir!AG9/(up_Bv!G9+s_MLF_broccoli)),".")</f>
        <v>1.3187534153652909E-4</v>
      </c>
      <c r="BG9" s="2">
        <f>IFERROR((up_dir!AH9/(up_Bv!H9+s_MLF_cabbage)),".")</f>
        <v>1.3187534153652909E-4</v>
      </c>
      <c r="BH9" s="2">
        <f>IFERROR((up_dir!AI9/(up_Bv!I9+s_MLF_carrot)),".")</f>
        <v>1.3187534153652909E-4</v>
      </c>
      <c r="BI9" s="2">
        <f>IFERROR((up_dir!AJ9/(up_Bv!J9+s_MLF_citrus)),".")</f>
        <v>1.3187534153652909E-4</v>
      </c>
      <c r="BJ9" s="2">
        <f>IFERROR((up_dir!AK9/(up_Bv!K9+s_MLF_corn)),".")</f>
        <v>1.3187534153652909E-4</v>
      </c>
      <c r="BK9" s="2">
        <f>IFERROR((up_dir!AL9/(up_Bv!L9+s_MLF_cucumber)),".")</f>
        <v>1.3187534153652909E-4</v>
      </c>
      <c r="BL9" s="2">
        <f>IFERROR((up_dir!AM9/(up_Bv!M9+s_MLF_lettuce)),".")</f>
        <v>1.3187534153652909E-4</v>
      </c>
      <c r="BM9" s="2">
        <f>IFERROR((up_dir!AN9/(up_Bv!N9+s_MLF_lima_bean)),".")</f>
        <v>1.3187534153652909E-4</v>
      </c>
      <c r="BN9" s="2">
        <f>IFERROR((up_dir!AO9/(up_Bv!O9+s_MLF_okra)),".")</f>
        <v>1.3187534153652909E-4</v>
      </c>
      <c r="BO9" s="2">
        <f>IFERROR((up_dir!AP9/(up_Bv!P9+s_MLF_onion)),".")</f>
        <v>1.3187534153652909E-4</v>
      </c>
      <c r="BP9" s="2">
        <f>IFERROR((up_dir!AQ9/(up_Bv!Q9+s_MLF_peach)),".")</f>
        <v>1.3187534153652909E-4</v>
      </c>
      <c r="BQ9" s="2">
        <f>IFERROR((up_dir!AR9/(up_Bv!R9+s_MLF_pear)),".")</f>
        <v>1.3187534153652909E-4</v>
      </c>
      <c r="BR9" s="2">
        <f>IFERROR((up_dir!AS9/(up_Bv!S9+s_MLF_peas)),".")</f>
        <v>1.3187534153652909E-4</v>
      </c>
      <c r="BS9" s="2">
        <f>IFERROR((up_dir!AT9/(up_Bv!T9+s_MLF_potato)),".")</f>
        <v>1.3187534153652909E-4</v>
      </c>
      <c r="BT9" s="2">
        <f>IFERROR((up_dir!AU9/(up_Bv!U9+s_MLF_pumpkin)),".")</f>
        <v>1.3187534153652909E-4</v>
      </c>
      <c r="BU9" s="2">
        <f>IFERROR((up_dir!AV9/(up_Bv!V9+s_MLF_snap_bean)),".")</f>
        <v>1.3187534153652909E-4</v>
      </c>
      <c r="BV9" s="2">
        <f>IFERROR((up_dir!AW9/(up_Bv!W9+s_MLF_strawberry)),".")</f>
        <v>1.3187534153652909E-4</v>
      </c>
      <c r="BW9" s="2">
        <f>IFERROR((up_dir!AX9/(up_Bv!X9+s_MLF_tomato)),".")</f>
        <v>1.3187534153652909E-4</v>
      </c>
      <c r="BX9" s="2">
        <f>IFERROR((up_dir!AY9/(up_Bv!Y9+s_MLF_rice)),".")</f>
        <v>1.3187534153652909E-4</v>
      </c>
      <c r="BY9" s="2">
        <f>IFERROR((up_dir!AZ9/(up_Bv!Z9+s_MLF_cereal)),".")</f>
        <v>1.3187534153652909E-4</v>
      </c>
      <c r="BZ9" s="10">
        <f t="shared" si="3"/>
        <v>113743.78125</v>
      </c>
      <c r="CA9" s="10">
        <f>IFERROR(s_C*(up_Bv!C9+s_MLF_apple)*s_IFAP_far_adj*s_CF_apple,".")</f>
        <v>37914.59375</v>
      </c>
      <c r="CB9" s="10">
        <f>IFERROR(s_C*(up_Bv!D9+s_MLF_asparagus)*s_IFAS_far_adj*s_CF_asparagus,".")</f>
        <v>37914.59375</v>
      </c>
      <c r="CC9" s="10">
        <f>IFERROR(s_C*(up_Bv!E9+s_MLF_beet)*s_IFBT_far_adj*s_CF_beet,".")</f>
        <v>37914.59375</v>
      </c>
      <c r="CD9" s="10">
        <f>IFERROR(s_C*(up_Bv!F9+s_MLF_berries)*s_IFBR_far_adj*s_CF_berries,".")</f>
        <v>37914.59375</v>
      </c>
      <c r="CE9" s="10">
        <f>IFERROR(s_C*(up_Bv!G9+s_MLF_broccoli)*s_IFBR_far_adj*s_CF_broccoli,".")</f>
        <v>37914.59375</v>
      </c>
      <c r="CF9" s="10">
        <f>IFERROR(s_C*(up_Bv!H9+s_MLF_cabbage)*s_IFCB_far_adj*s_CF_cabbage,".")</f>
        <v>37914.59375</v>
      </c>
      <c r="CG9" s="10">
        <f>IFERROR(s_C*(up_Bv!I9+s_MLF_carrot)*s_IFCR_far_adj*s_CF_carrot,".")</f>
        <v>37914.59375</v>
      </c>
      <c r="CH9" s="10">
        <f>IFERROR(s_C*(up_Bv!J9+s_MLF_citrus)*s_IFCI_far_adj*s_CF_citrus,".")</f>
        <v>37914.59375</v>
      </c>
      <c r="CI9" s="10">
        <f>IFERROR(s_C*(up_Bv!K9+s_MLF_corn)*s_IFCO_far_adj*s_CF_corn,".")</f>
        <v>37914.59375</v>
      </c>
      <c r="CJ9" s="10">
        <f>IFERROR(s_C*(up_Bv!L9+s_MLF_cucumber)*s_IFCU_far_adj*s_CF_cucumber,".")</f>
        <v>37914.59375</v>
      </c>
      <c r="CK9" s="10">
        <f>IFERROR(s_C*(up_Bv!M9+s_MLF_lettuce)*s_IFLE_far_adj*s_CF_lettuce,".")</f>
        <v>37914.59375</v>
      </c>
      <c r="CL9" s="10">
        <f>IFERROR(s_C*(up_Bv!N9+s_MLF_lima_bean)*s_IFLI_far_adj*s_CF_lima_bean,".")</f>
        <v>37914.59375</v>
      </c>
      <c r="CM9" s="10">
        <f>IFERROR(s_C*(up_Bv!O9+s_MLF_okra)*s_IFOK_far_adj*s_CF_okra,".")</f>
        <v>37914.59375</v>
      </c>
      <c r="CN9" s="10">
        <f>IFERROR(s_C*(up_Bv!P9+s_MLF_onion)*s_IFON_far_adj*s_CF_onion,".")</f>
        <v>37914.59375</v>
      </c>
      <c r="CO9" s="10">
        <f>IFERROR(s_C*(up_Bv!Q9+s_MLF_peach)*s_IFPC_far_adj*s_CF_peach,".")</f>
        <v>37914.59375</v>
      </c>
      <c r="CP9" s="10">
        <f>IFERROR(s_C*(up_Bv!R9+s_MLF_pear)*s_IFPR_far_adj*s_CF_pear,".")</f>
        <v>37914.59375</v>
      </c>
      <c r="CQ9" s="10">
        <f>IFERROR(s_C*(up_Bv!S9+s_MLF_peas)*s_IFPE_far_adj*s_CF_peas,".")</f>
        <v>37914.59375</v>
      </c>
      <c r="CR9" s="10">
        <f>IFERROR(s_C*(up_Bv!T9+s_MLF_potato)*s_IFPT_far_adj*s_CF_potato,".")</f>
        <v>37914.59375</v>
      </c>
      <c r="CS9" s="10">
        <f>IFERROR(s_C*(up_Bv!U9+s_MLF_pumpkin)*s_IFPU_far_adj*s_CF_pumpkin,".")</f>
        <v>37914.59375</v>
      </c>
      <c r="CT9" s="10">
        <f>IFERROR(s_C*(up_Bv!V9+s_MLF_snap_bean)*s_IFSN_far_adj*s_CF_snap_bean,".")</f>
        <v>37914.59375</v>
      </c>
      <c r="CU9" s="10">
        <f>IFERROR(s_C*(up_Bv!W9+s_MLF_strawberry)*s_IFST_far_adj*s_CF_strawberry,".")</f>
        <v>37914.59375</v>
      </c>
      <c r="CV9" s="10">
        <f>IFERROR(s_C*(up_Bv!X9+s_MLF_tomato)*s_IFTO_far_adj*s_CF_tomato,".")</f>
        <v>37914.59375</v>
      </c>
      <c r="CW9" s="10">
        <f>IFERROR(s_C*(up_Bv!Y9+s_MLF_rice)*s_IFRI_far_adj*s_CF_rice,".")</f>
        <v>37914.59375</v>
      </c>
      <c r="CX9" s="10">
        <f>IFERROR(s_C*(up_Bv!Z9+s_MLF_cereal)*s_IFCG_far_adj*s_CF_cereal,".")</f>
        <v>37914.59375</v>
      </c>
    </row>
    <row r="10" spans="1:102" x14ac:dyDescent="0.25">
      <c r="A10" s="32" t="s">
        <v>8</v>
      </c>
      <c r="B10" s="3" t="s">
        <v>336</v>
      </c>
      <c r="C10" s="73">
        <f t="shared" si="1"/>
        <v>4.3958447178843029E-5</v>
      </c>
      <c r="D10" s="73">
        <f>IFERROR((up_dir!D10/(up_Bv!C10+s_MLF_apple)),".")</f>
        <v>1.3187534153652909E-4</v>
      </c>
      <c r="E10" s="73">
        <f>IFERROR((up_dir!E10/(up_Bv!D10+s_MLF_asparagus)),".")</f>
        <v>1.3187534153652909E-4</v>
      </c>
      <c r="F10" s="73">
        <f>IFERROR((up_dir!F10/(up_Bv!E10+s_MLF_beet)),".")</f>
        <v>1.3187534153652909E-4</v>
      </c>
      <c r="G10" s="73">
        <f>IFERROR((up_dir!G10/(up_Bv!F10+s_MLF_berries)),".")</f>
        <v>1.3187534153652909E-4</v>
      </c>
      <c r="H10" s="73">
        <f>IFERROR((up_dir!H10/(up_Bv!G10+s_MLF_broccoli)),".")</f>
        <v>1.3187534153652909E-4</v>
      </c>
      <c r="I10" s="73">
        <f>IFERROR((up_dir!I10/(up_Bv!H10+s_MLF_cabbage)),".")</f>
        <v>1.3187534153652909E-4</v>
      </c>
      <c r="J10" s="73">
        <f>IFERROR((up_dir!J10/(up_Bv!I10+s_MLF_carrot)),".")</f>
        <v>1.3187534153652909E-4</v>
      </c>
      <c r="K10" s="73">
        <f>IFERROR((up_dir!K10/(up_Bv!J10+s_MLF_citrus)),".")</f>
        <v>1.3187534153652909E-4</v>
      </c>
      <c r="L10" s="73">
        <f>IFERROR((up_dir!L10/(up_Bv!K10+s_MLF_corn)),".")</f>
        <v>1.3187534153652909E-4</v>
      </c>
      <c r="M10" s="73">
        <f>IFERROR((up_dir!M10/(up_Bv!L10+s_MLF_cucumber)),".")</f>
        <v>1.3187534153652909E-4</v>
      </c>
      <c r="N10" s="73">
        <f>IFERROR((up_dir!N10/(up_Bv!M10+s_MLF_lettuce)),".")</f>
        <v>1.3187534153652909E-4</v>
      </c>
      <c r="O10" s="73">
        <f>IFERROR((up_dir!O10/(up_Bv!N10+s_MLF_lima_bean)),".")</f>
        <v>1.3187534153652909E-4</v>
      </c>
      <c r="P10" s="73">
        <f>IFERROR((up_dir!P10/(up_Bv!O10+s_MLF_okra)),".")</f>
        <v>1.3187534153652909E-4</v>
      </c>
      <c r="Q10" s="73">
        <f>IFERROR((up_dir!Q10/(up_Bv!P10+s_MLF_onion)),".")</f>
        <v>1.3187534153652909E-4</v>
      </c>
      <c r="R10" s="73">
        <f>IFERROR((up_dir!R10/(up_Bv!Q10+s_MLF_peach)),".")</f>
        <v>1.3187534153652909E-4</v>
      </c>
      <c r="S10" s="73">
        <f>IFERROR((up_dir!S10/(up_Bv!R10+s_MLF_pear)),".")</f>
        <v>1.3187534153652909E-4</v>
      </c>
      <c r="T10" s="73">
        <f>IFERROR((up_dir!T10/(up_Bv!S10+s_MLF_peas)),".")</f>
        <v>1.3187534153652909E-4</v>
      </c>
      <c r="U10" s="73">
        <f>IFERROR((up_dir!U10/(up_Bv!T10+s_MLF_potato)),".")</f>
        <v>1.3187534153652909E-4</v>
      </c>
      <c r="V10" s="73">
        <f>IFERROR((up_dir!V10/(up_Bv!U10+s_MLF_pumpkin)),".")</f>
        <v>1.3187534153652909E-4</v>
      </c>
      <c r="W10" s="73">
        <f>IFERROR((up_dir!W10/(up_Bv!V10+s_MLF_snap_bean)),".")</f>
        <v>1.3187534153652909E-4</v>
      </c>
      <c r="X10" s="73">
        <f>IFERROR((up_dir!X10/(up_Bv!W10+s_MLF_strawberry)),".")</f>
        <v>1.3187534153652909E-4</v>
      </c>
      <c r="Y10" s="73">
        <f>IFERROR((up_dir!Y10/(up_Bv!X10+s_MLF_tomato)),".")</f>
        <v>1.3187534153652909E-4</v>
      </c>
      <c r="Z10" s="73">
        <f>IFERROR((up_dir!Z10/(up_Bv!Y10+s_MLF_rice)),".")</f>
        <v>1.3187534153652909E-4</v>
      </c>
      <c r="AA10" s="73">
        <f>IFERROR((up_dir!AA10/(up_Bv!Z10+s_MLF_cereal)),".")</f>
        <v>1.3187534153652909E-4</v>
      </c>
      <c r="AB10" s="10">
        <f t="shared" si="0"/>
        <v>113743.78125</v>
      </c>
      <c r="AC10" s="10">
        <f>s_C*(up_Bv!C10+s_MLF_apple)*s_IFAP_res_adj*s_CF_apple</f>
        <v>37914.59375</v>
      </c>
      <c r="AD10" s="10">
        <f>s_C*(up_Bv!D10+s_MLF_asparagus)*s_IFAS_res_adj*s_CF_asparagus</f>
        <v>37914.59375</v>
      </c>
      <c r="AE10" s="10">
        <f>s_C*(up_Bv!E10+s_MLF_beet)*s_IFBT_res_adj*s_CF_beet</f>
        <v>37914.59375</v>
      </c>
      <c r="AF10" s="10">
        <f>s_C*(up_Bv!F10+s_MLF_berries)*s_IFBE_res_adj*s_CF_berries</f>
        <v>37914.59375</v>
      </c>
      <c r="AG10" s="10">
        <f>s_C*(up_Bv!G10+s_MLF_broccoli)*s_IFBR_res_adj*s_CF_broccoli</f>
        <v>37914.59375</v>
      </c>
      <c r="AH10" s="10">
        <f>s_C*(up_Bv!H10+s_MLF_cabbage)*s_IFCB_res_adj*s_CF_cabbage</f>
        <v>37914.59375</v>
      </c>
      <c r="AI10" s="10">
        <f>s_C*(up_Bv!I10+s_MLF_carrot)*s_IFCR_res_adj*s_CF_carrot</f>
        <v>37914.59375</v>
      </c>
      <c r="AJ10" s="10">
        <f>s_C*(up_Bv!J10+s_MLF_citrus)*s_IFCI_res_adj*s_CF_citrus</f>
        <v>37914.59375</v>
      </c>
      <c r="AK10" s="10">
        <f>s_C*(up_Bv!K10+s_MLF_corn)*s_IFCO_res_adj*s_CF_corn</f>
        <v>37914.59375</v>
      </c>
      <c r="AL10" s="10">
        <f>s_C*(up_Bv!L10+s_MLF_cucumber)*s_IFCU_res_adj*s_CF_cucumber</f>
        <v>37914.59375</v>
      </c>
      <c r="AM10" s="10">
        <f>s_C*(up_Bv!M10+s_MLF_lettuce)*s_IFLE_res_adj*s_CF_lettuce</f>
        <v>37914.59375</v>
      </c>
      <c r="AN10" s="10">
        <f>s_C*(up_Bv!N10+s_MLF_lima_bean)*s_IFLI_res_adj*s_CF_lima_bean</f>
        <v>37914.59375</v>
      </c>
      <c r="AO10" s="10">
        <f>s_C*(up_Bv!O10+s_MLF_okra)*s_IFOK_res_adj*s_CF_okra</f>
        <v>37914.59375</v>
      </c>
      <c r="AP10" s="10">
        <f>s_C*(up_Bv!P10+s_MLF_onion)*s_IFON_res_adj*s_CF_onion</f>
        <v>37914.59375</v>
      </c>
      <c r="AQ10" s="10">
        <f>s_C*(up_Bv!Q10+s_MLF_peach)*s_IFPC_res_adj*s_CF_peach</f>
        <v>37914.59375</v>
      </c>
      <c r="AR10" s="10">
        <f>s_C*(up_Bv!R10+s_MLF_pear)*s_IFPR_res_adj*s_CF_pear</f>
        <v>37914.59375</v>
      </c>
      <c r="AS10" s="10">
        <f>s_C*(up_Bv!S10+s_MLF_peas)*s_IFPE_res_adj*s_CF_peas</f>
        <v>37914.59375</v>
      </c>
      <c r="AT10" s="10">
        <f>s_C*(up_Bv!T10+s_MLF_potato)*s_IFPT_res_adj*s_CF_potato</f>
        <v>37914.59375</v>
      </c>
      <c r="AU10" s="10">
        <f>s_C*(up_Bv!U10+s_MLF_pumpkin)*s_IFPU_res_adj*s_CF_pumpkin</f>
        <v>37914.59375</v>
      </c>
      <c r="AV10" s="10">
        <f>s_C*(up_Bv!V10+s_MLF_snap_bean)*s_IFSN_res_adj*s_CF_snap_bean</f>
        <v>37914.59375</v>
      </c>
      <c r="AW10" s="10">
        <f>s_C*(up_Bv!W10+s_MLF_strawberry)*s_IFST_res_adj*s_CF_strawberry</f>
        <v>37914.59375</v>
      </c>
      <c r="AX10" s="10">
        <f>s_C*(up_Bv!X10+s_MLF_tomato)*s_IFTO_res_adj*s_CF_tomato</f>
        <v>37914.59375</v>
      </c>
      <c r="AY10" s="10">
        <f>s_C*(up_Bv!Y10+s_MLF_rice)*s_IFRI_res_adj*s_CF_rice</f>
        <v>37914.59375</v>
      </c>
      <c r="AZ10" s="10">
        <f>s_C*(up_Bv!Z10+s_MLF_cereal)*s_IFCG_res_adj*s_CF_cereal</f>
        <v>37914.59375</v>
      </c>
      <c r="BA10" s="2">
        <f t="shared" si="2"/>
        <v>4.3958447178843029E-5</v>
      </c>
      <c r="BB10" s="2">
        <f>IFERROR((up_dir!AC10/(up_Bv!C10+s_MLF_apple)),".")</f>
        <v>1.3187534153652909E-4</v>
      </c>
      <c r="BC10" s="2">
        <f>IFERROR((up_dir!AD10/(up_Bv!D10+s_MLF_asparagus)),".")</f>
        <v>1.3187534153652909E-4</v>
      </c>
      <c r="BD10" s="2">
        <f>IFERROR((up_dir!AE10/(up_Bv!E10+s_MLF_beet)),".")</f>
        <v>1.3187534153652909E-4</v>
      </c>
      <c r="BE10" s="2">
        <f>IFERROR((up_dir!AF10/(up_Bv!F10+s_MLF_berries)),".")</f>
        <v>1.3187534153652909E-4</v>
      </c>
      <c r="BF10" s="2">
        <f>IFERROR((up_dir!AG10/(up_Bv!G10+s_MLF_broccoli)),".")</f>
        <v>1.3187534153652909E-4</v>
      </c>
      <c r="BG10" s="2">
        <f>IFERROR((up_dir!AH10/(up_Bv!H10+s_MLF_cabbage)),".")</f>
        <v>1.3187534153652909E-4</v>
      </c>
      <c r="BH10" s="2">
        <f>IFERROR((up_dir!AI10/(up_Bv!I10+s_MLF_carrot)),".")</f>
        <v>1.3187534153652909E-4</v>
      </c>
      <c r="BI10" s="2">
        <f>IFERROR((up_dir!AJ10/(up_Bv!J10+s_MLF_citrus)),".")</f>
        <v>1.3187534153652909E-4</v>
      </c>
      <c r="BJ10" s="2">
        <f>IFERROR((up_dir!AK10/(up_Bv!K10+s_MLF_corn)),".")</f>
        <v>1.3187534153652909E-4</v>
      </c>
      <c r="BK10" s="2">
        <f>IFERROR((up_dir!AL10/(up_Bv!L10+s_MLF_cucumber)),".")</f>
        <v>1.3187534153652909E-4</v>
      </c>
      <c r="BL10" s="2">
        <f>IFERROR((up_dir!AM10/(up_Bv!M10+s_MLF_lettuce)),".")</f>
        <v>1.3187534153652909E-4</v>
      </c>
      <c r="BM10" s="2">
        <f>IFERROR((up_dir!AN10/(up_Bv!N10+s_MLF_lima_bean)),".")</f>
        <v>1.3187534153652909E-4</v>
      </c>
      <c r="BN10" s="2">
        <f>IFERROR((up_dir!AO10/(up_Bv!O10+s_MLF_okra)),".")</f>
        <v>1.3187534153652909E-4</v>
      </c>
      <c r="BO10" s="2">
        <f>IFERROR((up_dir!AP10/(up_Bv!P10+s_MLF_onion)),".")</f>
        <v>1.3187534153652909E-4</v>
      </c>
      <c r="BP10" s="2">
        <f>IFERROR((up_dir!AQ10/(up_Bv!Q10+s_MLF_peach)),".")</f>
        <v>1.3187534153652909E-4</v>
      </c>
      <c r="BQ10" s="2">
        <f>IFERROR((up_dir!AR10/(up_Bv!R10+s_MLF_pear)),".")</f>
        <v>1.3187534153652909E-4</v>
      </c>
      <c r="BR10" s="2">
        <f>IFERROR((up_dir!AS10/(up_Bv!S10+s_MLF_peas)),".")</f>
        <v>1.3187534153652909E-4</v>
      </c>
      <c r="BS10" s="2">
        <f>IFERROR((up_dir!AT10/(up_Bv!T10+s_MLF_potato)),".")</f>
        <v>1.3187534153652909E-4</v>
      </c>
      <c r="BT10" s="2">
        <f>IFERROR((up_dir!AU10/(up_Bv!U10+s_MLF_pumpkin)),".")</f>
        <v>1.3187534153652909E-4</v>
      </c>
      <c r="BU10" s="2">
        <f>IFERROR((up_dir!AV10/(up_Bv!V10+s_MLF_snap_bean)),".")</f>
        <v>1.3187534153652909E-4</v>
      </c>
      <c r="BV10" s="2">
        <f>IFERROR((up_dir!AW10/(up_Bv!W10+s_MLF_strawberry)),".")</f>
        <v>1.3187534153652909E-4</v>
      </c>
      <c r="BW10" s="2">
        <f>IFERROR((up_dir!AX10/(up_Bv!X10+s_MLF_tomato)),".")</f>
        <v>1.3187534153652909E-4</v>
      </c>
      <c r="BX10" s="2">
        <f>IFERROR((up_dir!AY10/(up_Bv!Y10+s_MLF_rice)),".")</f>
        <v>1.3187534153652909E-4</v>
      </c>
      <c r="BY10" s="2">
        <f>IFERROR((up_dir!AZ10/(up_Bv!Z10+s_MLF_cereal)),".")</f>
        <v>1.3187534153652909E-4</v>
      </c>
      <c r="BZ10" s="10">
        <f t="shared" si="3"/>
        <v>113743.78125</v>
      </c>
      <c r="CA10" s="10">
        <f>IFERROR(s_C*(up_Bv!C10+s_MLF_apple)*s_IFAP_far_adj*s_CF_apple,".")</f>
        <v>37914.59375</v>
      </c>
      <c r="CB10" s="10">
        <f>IFERROR(s_C*(up_Bv!D10+s_MLF_asparagus)*s_IFAS_far_adj*s_CF_asparagus,".")</f>
        <v>37914.59375</v>
      </c>
      <c r="CC10" s="10">
        <f>IFERROR(s_C*(up_Bv!E10+s_MLF_beet)*s_IFBT_far_adj*s_CF_beet,".")</f>
        <v>37914.59375</v>
      </c>
      <c r="CD10" s="10">
        <f>IFERROR(s_C*(up_Bv!F10+s_MLF_berries)*s_IFBR_far_adj*s_CF_berries,".")</f>
        <v>37914.59375</v>
      </c>
      <c r="CE10" s="10">
        <f>IFERROR(s_C*(up_Bv!G10+s_MLF_broccoli)*s_IFBR_far_adj*s_CF_broccoli,".")</f>
        <v>37914.59375</v>
      </c>
      <c r="CF10" s="10">
        <f>IFERROR(s_C*(up_Bv!H10+s_MLF_cabbage)*s_IFCB_far_adj*s_CF_cabbage,".")</f>
        <v>37914.59375</v>
      </c>
      <c r="CG10" s="10">
        <f>IFERROR(s_C*(up_Bv!I10+s_MLF_carrot)*s_IFCR_far_adj*s_CF_carrot,".")</f>
        <v>37914.59375</v>
      </c>
      <c r="CH10" s="10">
        <f>IFERROR(s_C*(up_Bv!J10+s_MLF_citrus)*s_IFCI_far_adj*s_CF_citrus,".")</f>
        <v>37914.59375</v>
      </c>
      <c r="CI10" s="10">
        <f>IFERROR(s_C*(up_Bv!K10+s_MLF_corn)*s_IFCO_far_adj*s_CF_corn,".")</f>
        <v>37914.59375</v>
      </c>
      <c r="CJ10" s="10">
        <f>IFERROR(s_C*(up_Bv!L10+s_MLF_cucumber)*s_IFCU_far_adj*s_CF_cucumber,".")</f>
        <v>37914.59375</v>
      </c>
      <c r="CK10" s="10">
        <f>IFERROR(s_C*(up_Bv!M10+s_MLF_lettuce)*s_IFLE_far_adj*s_CF_lettuce,".")</f>
        <v>37914.59375</v>
      </c>
      <c r="CL10" s="10">
        <f>IFERROR(s_C*(up_Bv!N10+s_MLF_lima_bean)*s_IFLI_far_adj*s_CF_lima_bean,".")</f>
        <v>37914.59375</v>
      </c>
      <c r="CM10" s="10">
        <f>IFERROR(s_C*(up_Bv!O10+s_MLF_okra)*s_IFOK_far_adj*s_CF_okra,".")</f>
        <v>37914.59375</v>
      </c>
      <c r="CN10" s="10">
        <f>IFERROR(s_C*(up_Bv!P10+s_MLF_onion)*s_IFON_far_adj*s_CF_onion,".")</f>
        <v>37914.59375</v>
      </c>
      <c r="CO10" s="10">
        <f>IFERROR(s_C*(up_Bv!Q10+s_MLF_peach)*s_IFPC_far_adj*s_CF_peach,".")</f>
        <v>37914.59375</v>
      </c>
      <c r="CP10" s="10">
        <f>IFERROR(s_C*(up_Bv!R10+s_MLF_pear)*s_IFPR_far_adj*s_CF_pear,".")</f>
        <v>37914.59375</v>
      </c>
      <c r="CQ10" s="10">
        <f>IFERROR(s_C*(up_Bv!S10+s_MLF_peas)*s_IFPE_far_adj*s_CF_peas,".")</f>
        <v>37914.59375</v>
      </c>
      <c r="CR10" s="10">
        <f>IFERROR(s_C*(up_Bv!T10+s_MLF_potato)*s_IFPT_far_adj*s_CF_potato,".")</f>
        <v>37914.59375</v>
      </c>
      <c r="CS10" s="10">
        <f>IFERROR(s_C*(up_Bv!U10+s_MLF_pumpkin)*s_IFPU_far_adj*s_CF_pumpkin,".")</f>
        <v>37914.59375</v>
      </c>
      <c r="CT10" s="10">
        <f>IFERROR(s_C*(up_Bv!V10+s_MLF_snap_bean)*s_IFSN_far_adj*s_CF_snap_bean,".")</f>
        <v>37914.59375</v>
      </c>
      <c r="CU10" s="10">
        <f>IFERROR(s_C*(up_Bv!W10+s_MLF_strawberry)*s_IFST_far_adj*s_CF_strawberry,".")</f>
        <v>37914.59375</v>
      </c>
      <c r="CV10" s="10">
        <f>IFERROR(s_C*(up_Bv!X10+s_MLF_tomato)*s_IFTO_far_adj*s_CF_tomato,".")</f>
        <v>37914.59375</v>
      </c>
      <c r="CW10" s="10">
        <f>IFERROR(s_C*(up_Bv!Y10+s_MLF_rice)*s_IFRI_far_adj*s_CF_rice,".")</f>
        <v>37914.59375</v>
      </c>
      <c r="CX10" s="10">
        <f>IFERROR(s_C*(up_Bv!Z10+s_MLF_cereal)*s_IFCG_far_adj*s_CF_cereal,".")</f>
        <v>37914.59375</v>
      </c>
    </row>
    <row r="11" spans="1:102" ht="15" customHeight="1" x14ac:dyDescent="0.25">
      <c r="A11" s="31" t="s">
        <v>9</v>
      </c>
      <c r="B11" s="3" t="s">
        <v>1059</v>
      </c>
      <c r="C11" s="73">
        <f t="shared" si="1"/>
        <v>4.3958447178843029E-5</v>
      </c>
      <c r="D11" s="73">
        <f>IFERROR((up_dir!D11/(up_Bv!C11+s_MLF_apple)),".")</f>
        <v>1.3187534153652909E-4</v>
      </c>
      <c r="E11" s="73">
        <f>IFERROR((up_dir!E11/(up_Bv!D11+s_MLF_asparagus)),".")</f>
        <v>1.3187534153652909E-4</v>
      </c>
      <c r="F11" s="73">
        <f>IFERROR((up_dir!F11/(up_Bv!E11+s_MLF_beet)),".")</f>
        <v>1.3187534153652909E-4</v>
      </c>
      <c r="G11" s="73">
        <f>IFERROR((up_dir!G11/(up_Bv!F11+s_MLF_berries)),".")</f>
        <v>1.3187534153652909E-4</v>
      </c>
      <c r="H11" s="73">
        <f>IFERROR((up_dir!H11/(up_Bv!G11+s_MLF_broccoli)),".")</f>
        <v>1.3187534153652909E-4</v>
      </c>
      <c r="I11" s="73">
        <f>IFERROR((up_dir!I11/(up_Bv!H11+s_MLF_cabbage)),".")</f>
        <v>1.3187534153652909E-4</v>
      </c>
      <c r="J11" s="73">
        <f>IFERROR((up_dir!J11/(up_Bv!I11+s_MLF_carrot)),".")</f>
        <v>1.3187534153652909E-4</v>
      </c>
      <c r="K11" s="73">
        <f>IFERROR((up_dir!K11/(up_Bv!J11+s_MLF_citrus)),".")</f>
        <v>1.3187534153652909E-4</v>
      </c>
      <c r="L11" s="73">
        <f>IFERROR((up_dir!L11/(up_Bv!K11+s_MLF_corn)),".")</f>
        <v>1.3187534153652909E-4</v>
      </c>
      <c r="M11" s="73">
        <f>IFERROR((up_dir!M11/(up_Bv!L11+s_MLF_cucumber)),".")</f>
        <v>1.3187534153652909E-4</v>
      </c>
      <c r="N11" s="73">
        <f>IFERROR((up_dir!N11/(up_Bv!M11+s_MLF_lettuce)),".")</f>
        <v>1.3187534153652909E-4</v>
      </c>
      <c r="O11" s="73">
        <f>IFERROR((up_dir!O11/(up_Bv!N11+s_MLF_lima_bean)),".")</f>
        <v>1.3187534153652909E-4</v>
      </c>
      <c r="P11" s="73">
        <f>IFERROR((up_dir!P11/(up_Bv!O11+s_MLF_okra)),".")</f>
        <v>1.3187534153652909E-4</v>
      </c>
      <c r="Q11" s="73">
        <f>IFERROR((up_dir!Q11/(up_Bv!P11+s_MLF_onion)),".")</f>
        <v>1.3187534153652909E-4</v>
      </c>
      <c r="R11" s="73">
        <f>IFERROR((up_dir!R11/(up_Bv!Q11+s_MLF_peach)),".")</f>
        <v>1.3187534153652909E-4</v>
      </c>
      <c r="S11" s="73">
        <f>IFERROR((up_dir!S11/(up_Bv!R11+s_MLF_pear)),".")</f>
        <v>1.3187534153652909E-4</v>
      </c>
      <c r="T11" s="73">
        <f>IFERROR((up_dir!T11/(up_Bv!S11+s_MLF_peas)),".")</f>
        <v>1.3187534153652909E-4</v>
      </c>
      <c r="U11" s="73">
        <f>IFERROR((up_dir!U11/(up_Bv!T11+s_MLF_potato)),".")</f>
        <v>1.3187534153652909E-4</v>
      </c>
      <c r="V11" s="73">
        <f>IFERROR((up_dir!V11/(up_Bv!U11+s_MLF_pumpkin)),".")</f>
        <v>1.3187534153652909E-4</v>
      </c>
      <c r="W11" s="73">
        <f>IFERROR((up_dir!W11/(up_Bv!V11+s_MLF_snap_bean)),".")</f>
        <v>1.3187534153652909E-4</v>
      </c>
      <c r="X11" s="73">
        <f>IFERROR((up_dir!X11/(up_Bv!W11+s_MLF_strawberry)),".")</f>
        <v>1.3187534153652909E-4</v>
      </c>
      <c r="Y11" s="73">
        <f>IFERROR((up_dir!Y11/(up_Bv!X11+s_MLF_tomato)),".")</f>
        <v>1.3187534153652909E-4</v>
      </c>
      <c r="Z11" s="73">
        <f>IFERROR((up_dir!Z11/(up_Bv!Y11+s_MLF_rice)),".")</f>
        <v>1.3187534153652909E-4</v>
      </c>
      <c r="AA11" s="73">
        <f>IFERROR((up_dir!AA11/(up_Bv!Z11+s_MLF_cereal)),".")</f>
        <v>1.3187534153652909E-4</v>
      </c>
      <c r="AB11" s="10">
        <f t="shared" si="0"/>
        <v>113743.78125</v>
      </c>
      <c r="AC11" s="10">
        <f>s_C*(up_Bv!C11+s_MLF_apple)*s_IFAP_res_adj*s_CF_apple</f>
        <v>37914.59375</v>
      </c>
      <c r="AD11" s="10">
        <f>s_C*(up_Bv!D11+s_MLF_asparagus)*s_IFAS_res_adj*s_CF_asparagus</f>
        <v>37914.59375</v>
      </c>
      <c r="AE11" s="10">
        <f>s_C*(up_Bv!E11+s_MLF_beet)*s_IFBT_res_adj*s_CF_beet</f>
        <v>37914.59375</v>
      </c>
      <c r="AF11" s="10">
        <f>s_C*(up_Bv!F11+s_MLF_berries)*s_IFBE_res_adj*s_CF_berries</f>
        <v>37914.59375</v>
      </c>
      <c r="AG11" s="10">
        <f>s_C*(up_Bv!G11+s_MLF_broccoli)*s_IFBR_res_adj*s_CF_broccoli</f>
        <v>37914.59375</v>
      </c>
      <c r="AH11" s="10">
        <f>s_C*(up_Bv!H11+s_MLF_cabbage)*s_IFCB_res_adj*s_CF_cabbage</f>
        <v>37914.59375</v>
      </c>
      <c r="AI11" s="10">
        <f>s_C*(up_Bv!I11+s_MLF_carrot)*s_IFCR_res_adj*s_CF_carrot</f>
        <v>37914.59375</v>
      </c>
      <c r="AJ11" s="10">
        <f>s_C*(up_Bv!J11+s_MLF_citrus)*s_IFCI_res_adj*s_CF_citrus</f>
        <v>37914.59375</v>
      </c>
      <c r="AK11" s="10">
        <f>s_C*(up_Bv!K11+s_MLF_corn)*s_IFCO_res_adj*s_CF_corn</f>
        <v>37914.59375</v>
      </c>
      <c r="AL11" s="10">
        <f>s_C*(up_Bv!L11+s_MLF_cucumber)*s_IFCU_res_adj*s_CF_cucumber</f>
        <v>37914.59375</v>
      </c>
      <c r="AM11" s="10">
        <f>s_C*(up_Bv!M11+s_MLF_lettuce)*s_IFLE_res_adj*s_CF_lettuce</f>
        <v>37914.59375</v>
      </c>
      <c r="AN11" s="10">
        <f>s_C*(up_Bv!N11+s_MLF_lima_bean)*s_IFLI_res_adj*s_CF_lima_bean</f>
        <v>37914.59375</v>
      </c>
      <c r="AO11" s="10">
        <f>s_C*(up_Bv!O11+s_MLF_okra)*s_IFOK_res_adj*s_CF_okra</f>
        <v>37914.59375</v>
      </c>
      <c r="AP11" s="10">
        <f>s_C*(up_Bv!P11+s_MLF_onion)*s_IFON_res_adj*s_CF_onion</f>
        <v>37914.59375</v>
      </c>
      <c r="AQ11" s="10">
        <f>s_C*(up_Bv!Q11+s_MLF_peach)*s_IFPC_res_adj*s_CF_peach</f>
        <v>37914.59375</v>
      </c>
      <c r="AR11" s="10">
        <f>s_C*(up_Bv!R11+s_MLF_pear)*s_IFPR_res_adj*s_CF_pear</f>
        <v>37914.59375</v>
      </c>
      <c r="AS11" s="10">
        <f>s_C*(up_Bv!S11+s_MLF_peas)*s_IFPE_res_adj*s_CF_peas</f>
        <v>37914.59375</v>
      </c>
      <c r="AT11" s="10">
        <f>s_C*(up_Bv!T11+s_MLF_potato)*s_IFPT_res_adj*s_CF_potato</f>
        <v>37914.59375</v>
      </c>
      <c r="AU11" s="10">
        <f>s_C*(up_Bv!U11+s_MLF_pumpkin)*s_IFPU_res_adj*s_CF_pumpkin</f>
        <v>37914.59375</v>
      </c>
      <c r="AV11" s="10">
        <f>s_C*(up_Bv!V11+s_MLF_snap_bean)*s_IFSN_res_adj*s_CF_snap_bean</f>
        <v>37914.59375</v>
      </c>
      <c r="AW11" s="10">
        <f>s_C*(up_Bv!W11+s_MLF_strawberry)*s_IFST_res_adj*s_CF_strawberry</f>
        <v>37914.59375</v>
      </c>
      <c r="AX11" s="10">
        <f>s_C*(up_Bv!X11+s_MLF_tomato)*s_IFTO_res_adj*s_CF_tomato</f>
        <v>37914.59375</v>
      </c>
      <c r="AY11" s="10">
        <f>s_C*(up_Bv!Y11+s_MLF_rice)*s_IFRI_res_adj*s_CF_rice</f>
        <v>37914.59375</v>
      </c>
      <c r="AZ11" s="10">
        <f>s_C*(up_Bv!Z11+s_MLF_cereal)*s_IFCG_res_adj*s_CF_cereal</f>
        <v>37914.59375</v>
      </c>
      <c r="BA11" s="2">
        <f t="shared" si="2"/>
        <v>4.3958447178843029E-5</v>
      </c>
      <c r="BB11" s="2">
        <f>IFERROR((up_dir!AC11/(up_Bv!C11+s_MLF_apple)),".")</f>
        <v>1.3187534153652909E-4</v>
      </c>
      <c r="BC11" s="2">
        <f>IFERROR((up_dir!AD11/(up_Bv!D11+s_MLF_asparagus)),".")</f>
        <v>1.3187534153652909E-4</v>
      </c>
      <c r="BD11" s="2">
        <f>IFERROR((up_dir!AE11/(up_Bv!E11+s_MLF_beet)),".")</f>
        <v>1.3187534153652909E-4</v>
      </c>
      <c r="BE11" s="2">
        <f>IFERROR((up_dir!AF11/(up_Bv!F11+s_MLF_berries)),".")</f>
        <v>1.3187534153652909E-4</v>
      </c>
      <c r="BF11" s="2">
        <f>IFERROR((up_dir!AG11/(up_Bv!G11+s_MLF_broccoli)),".")</f>
        <v>1.3187534153652909E-4</v>
      </c>
      <c r="BG11" s="2">
        <f>IFERROR((up_dir!AH11/(up_Bv!H11+s_MLF_cabbage)),".")</f>
        <v>1.3187534153652909E-4</v>
      </c>
      <c r="BH11" s="2">
        <f>IFERROR((up_dir!AI11/(up_Bv!I11+s_MLF_carrot)),".")</f>
        <v>1.3187534153652909E-4</v>
      </c>
      <c r="BI11" s="2">
        <f>IFERROR((up_dir!AJ11/(up_Bv!J11+s_MLF_citrus)),".")</f>
        <v>1.3187534153652909E-4</v>
      </c>
      <c r="BJ11" s="2">
        <f>IFERROR((up_dir!AK11/(up_Bv!K11+s_MLF_corn)),".")</f>
        <v>1.3187534153652909E-4</v>
      </c>
      <c r="BK11" s="2">
        <f>IFERROR((up_dir!AL11/(up_Bv!L11+s_MLF_cucumber)),".")</f>
        <v>1.3187534153652909E-4</v>
      </c>
      <c r="BL11" s="2">
        <f>IFERROR((up_dir!AM11/(up_Bv!M11+s_MLF_lettuce)),".")</f>
        <v>1.3187534153652909E-4</v>
      </c>
      <c r="BM11" s="2">
        <f>IFERROR((up_dir!AN11/(up_Bv!N11+s_MLF_lima_bean)),".")</f>
        <v>1.3187534153652909E-4</v>
      </c>
      <c r="BN11" s="2">
        <f>IFERROR((up_dir!AO11/(up_Bv!O11+s_MLF_okra)),".")</f>
        <v>1.3187534153652909E-4</v>
      </c>
      <c r="BO11" s="2">
        <f>IFERROR((up_dir!AP11/(up_Bv!P11+s_MLF_onion)),".")</f>
        <v>1.3187534153652909E-4</v>
      </c>
      <c r="BP11" s="2">
        <f>IFERROR((up_dir!AQ11/(up_Bv!Q11+s_MLF_peach)),".")</f>
        <v>1.3187534153652909E-4</v>
      </c>
      <c r="BQ11" s="2">
        <f>IFERROR((up_dir!AR11/(up_Bv!R11+s_MLF_pear)),".")</f>
        <v>1.3187534153652909E-4</v>
      </c>
      <c r="BR11" s="2">
        <f>IFERROR((up_dir!AS11/(up_Bv!S11+s_MLF_peas)),".")</f>
        <v>1.3187534153652909E-4</v>
      </c>
      <c r="BS11" s="2">
        <f>IFERROR((up_dir!AT11/(up_Bv!T11+s_MLF_potato)),".")</f>
        <v>1.3187534153652909E-4</v>
      </c>
      <c r="BT11" s="2">
        <f>IFERROR((up_dir!AU11/(up_Bv!U11+s_MLF_pumpkin)),".")</f>
        <v>1.3187534153652909E-4</v>
      </c>
      <c r="BU11" s="2">
        <f>IFERROR((up_dir!AV11/(up_Bv!V11+s_MLF_snap_bean)),".")</f>
        <v>1.3187534153652909E-4</v>
      </c>
      <c r="BV11" s="2">
        <f>IFERROR((up_dir!AW11/(up_Bv!W11+s_MLF_strawberry)),".")</f>
        <v>1.3187534153652909E-4</v>
      </c>
      <c r="BW11" s="2">
        <f>IFERROR((up_dir!AX11/(up_Bv!X11+s_MLF_tomato)),".")</f>
        <v>1.3187534153652909E-4</v>
      </c>
      <c r="BX11" s="2">
        <f>IFERROR((up_dir!AY11/(up_Bv!Y11+s_MLF_rice)),".")</f>
        <v>1.3187534153652909E-4</v>
      </c>
      <c r="BY11" s="2">
        <f>IFERROR((up_dir!AZ11/(up_Bv!Z11+s_MLF_cereal)),".")</f>
        <v>1.3187534153652909E-4</v>
      </c>
      <c r="BZ11" s="10">
        <f t="shared" si="3"/>
        <v>113743.78125</v>
      </c>
      <c r="CA11" s="10">
        <f>IFERROR(s_C*(up_Bv!C11+s_MLF_apple)*s_IFAP_far_adj*s_CF_apple,".")</f>
        <v>37914.59375</v>
      </c>
      <c r="CB11" s="10">
        <f>IFERROR(s_C*(up_Bv!D11+s_MLF_asparagus)*s_IFAS_far_adj*s_CF_asparagus,".")</f>
        <v>37914.59375</v>
      </c>
      <c r="CC11" s="10">
        <f>IFERROR(s_C*(up_Bv!E11+s_MLF_beet)*s_IFBT_far_adj*s_CF_beet,".")</f>
        <v>37914.59375</v>
      </c>
      <c r="CD11" s="10">
        <f>IFERROR(s_C*(up_Bv!F11+s_MLF_berries)*s_IFBR_far_adj*s_CF_berries,".")</f>
        <v>37914.59375</v>
      </c>
      <c r="CE11" s="10">
        <f>IFERROR(s_C*(up_Bv!G11+s_MLF_broccoli)*s_IFBR_far_adj*s_CF_broccoli,".")</f>
        <v>37914.59375</v>
      </c>
      <c r="CF11" s="10">
        <f>IFERROR(s_C*(up_Bv!H11+s_MLF_cabbage)*s_IFCB_far_adj*s_CF_cabbage,".")</f>
        <v>37914.59375</v>
      </c>
      <c r="CG11" s="10">
        <f>IFERROR(s_C*(up_Bv!I11+s_MLF_carrot)*s_IFCR_far_adj*s_CF_carrot,".")</f>
        <v>37914.59375</v>
      </c>
      <c r="CH11" s="10">
        <f>IFERROR(s_C*(up_Bv!J11+s_MLF_citrus)*s_IFCI_far_adj*s_CF_citrus,".")</f>
        <v>37914.59375</v>
      </c>
      <c r="CI11" s="10">
        <f>IFERROR(s_C*(up_Bv!K11+s_MLF_corn)*s_IFCO_far_adj*s_CF_corn,".")</f>
        <v>37914.59375</v>
      </c>
      <c r="CJ11" s="10">
        <f>IFERROR(s_C*(up_Bv!L11+s_MLF_cucumber)*s_IFCU_far_adj*s_CF_cucumber,".")</f>
        <v>37914.59375</v>
      </c>
      <c r="CK11" s="10">
        <f>IFERROR(s_C*(up_Bv!M11+s_MLF_lettuce)*s_IFLE_far_adj*s_CF_lettuce,".")</f>
        <v>37914.59375</v>
      </c>
      <c r="CL11" s="10">
        <f>IFERROR(s_C*(up_Bv!N11+s_MLF_lima_bean)*s_IFLI_far_adj*s_CF_lima_bean,".")</f>
        <v>37914.59375</v>
      </c>
      <c r="CM11" s="10">
        <f>IFERROR(s_C*(up_Bv!O11+s_MLF_okra)*s_IFOK_far_adj*s_CF_okra,".")</f>
        <v>37914.59375</v>
      </c>
      <c r="CN11" s="10">
        <f>IFERROR(s_C*(up_Bv!P11+s_MLF_onion)*s_IFON_far_adj*s_CF_onion,".")</f>
        <v>37914.59375</v>
      </c>
      <c r="CO11" s="10">
        <f>IFERROR(s_C*(up_Bv!Q11+s_MLF_peach)*s_IFPC_far_adj*s_CF_peach,".")</f>
        <v>37914.59375</v>
      </c>
      <c r="CP11" s="10">
        <f>IFERROR(s_C*(up_Bv!R11+s_MLF_pear)*s_IFPR_far_adj*s_CF_pear,".")</f>
        <v>37914.59375</v>
      </c>
      <c r="CQ11" s="10">
        <f>IFERROR(s_C*(up_Bv!S11+s_MLF_peas)*s_IFPE_far_adj*s_CF_peas,".")</f>
        <v>37914.59375</v>
      </c>
      <c r="CR11" s="10">
        <f>IFERROR(s_C*(up_Bv!T11+s_MLF_potato)*s_IFPT_far_adj*s_CF_potato,".")</f>
        <v>37914.59375</v>
      </c>
      <c r="CS11" s="10">
        <f>IFERROR(s_C*(up_Bv!U11+s_MLF_pumpkin)*s_IFPU_far_adj*s_CF_pumpkin,".")</f>
        <v>37914.59375</v>
      </c>
      <c r="CT11" s="10">
        <f>IFERROR(s_C*(up_Bv!V11+s_MLF_snap_bean)*s_IFSN_far_adj*s_CF_snap_bean,".")</f>
        <v>37914.59375</v>
      </c>
      <c r="CU11" s="10">
        <f>IFERROR(s_C*(up_Bv!W11+s_MLF_strawberry)*s_IFST_far_adj*s_CF_strawberry,".")</f>
        <v>37914.59375</v>
      </c>
      <c r="CV11" s="10">
        <f>IFERROR(s_C*(up_Bv!X11+s_MLF_tomato)*s_IFTO_far_adj*s_CF_tomato,".")</f>
        <v>37914.59375</v>
      </c>
      <c r="CW11" s="10">
        <f>IFERROR(s_C*(up_Bv!Y11+s_MLF_rice)*s_IFRI_far_adj*s_CF_rice,".")</f>
        <v>37914.59375</v>
      </c>
      <c r="CX11" s="10">
        <f>IFERROR(s_C*(up_Bv!Z11+s_MLF_cereal)*s_IFCG_far_adj*s_CF_cereal,".")</f>
        <v>37914.59375</v>
      </c>
    </row>
    <row r="12" spans="1:102" ht="15" customHeight="1" x14ac:dyDescent="0.25">
      <c r="A12" s="31" t="s">
        <v>10</v>
      </c>
      <c r="B12" s="3" t="s">
        <v>1059</v>
      </c>
      <c r="C12" s="73">
        <f t="shared" si="1"/>
        <v>4.3958447178843029E-5</v>
      </c>
      <c r="D12" s="73">
        <f>IFERROR((up_dir!D12/(up_Bv!C12+s_MLF_apple)),".")</f>
        <v>1.3187534153652909E-4</v>
      </c>
      <c r="E12" s="73">
        <f>IFERROR((up_dir!E12/(up_Bv!D12+s_MLF_asparagus)),".")</f>
        <v>1.3187534153652909E-4</v>
      </c>
      <c r="F12" s="73">
        <f>IFERROR((up_dir!F12/(up_Bv!E12+s_MLF_beet)),".")</f>
        <v>1.3187534153652909E-4</v>
      </c>
      <c r="G12" s="73">
        <f>IFERROR((up_dir!G12/(up_Bv!F12+s_MLF_berries)),".")</f>
        <v>1.3187534153652909E-4</v>
      </c>
      <c r="H12" s="73">
        <f>IFERROR((up_dir!H12/(up_Bv!G12+s_MLF_broccoli)),".")</f>
        <v>1.3187534153652909E-4</v>
      </c>
      <c r="I12" s="73">
        <f>IFERROR((up_dir!I12/(up_Bv!H12+s_MLF_cabbage)),".")</f>
        <v>1.3187534153652909E-4</v>
      </c>
      <c r="J12" s="73">
        <f>IFERROR((up_dir!J12/(up_Bv!I12+s_MLF_carrot)),".")</f>
        <v>1.3187534153652909E-4</v>
      </c>
      <c r="K12" s="73">
        <f>IFERROR((up_dir!K12/(up_Bv!J12+s_MLF_citrus)),".")</f>
        <v>1.3187534153652909E-4</v>
      </c>
      <c r="L12" s="73">
        <f>IFERROR((up_dir!L12/(up_Bv!K12+s_MLF_corn)),".")</f>
        <v>1.3187534153652909E-4</v>
      </c>
      <c r="M12" s="73">
        <f>IFERROR((up_dir!M12/(up_Bv!L12+s_MLF_cucumber)),".")</f>
        <v>1.3187534153652909E-4</v>
      </c>
      <c r="N12" s="73">
        <f>IFERROR((up_dir!N12/(up_Bv!M12+s_MLF_lettuce)),".")</f>
        <v>1.3187534153652909E-4</v>
      </c>
      <c r="O12" s="73">
        <f>IFERROR((up_dir!O12/(up_Bv!N12+s_MLF_lima_bean)),".")</f>
        <v>1.3187534153652909E-4</v>
      </c>
      <c r="P12" s="73">
        <f>IFERROR((up_dir!P12/(up_Bv!O12+s_MLF_okra)),".")</f>
        <v>1.3187534153652909E-4</v>
      </c>
      <c r="Q12" s="73">
        <f>IFERROR((up_dir!Q12/(up_Bv!P12+s_MLF_onion)),".")</f>
        <v>1.3187534153652909E-4</v>
      </c>
      <c r="R12" s="73">
        <f>IFERROR((up_dir!R12/(up_Bv!Q12+s_MLF_peach)),".")</f>
        <v>1.3187534153652909E-4</v>
      </c>
      <c r="S12" s="73">
        <f>IFERROR((up_dir!S12/(up_Bv!R12+s_MLF_pear)),".")</f>
        <v>1.3187534153652909E-4</v>
      </c>
      <c r="T12" s="73">
        <f>IFERROR((up_dir!T12/(up_Bv!S12+s_MLF_peas)),".")</f>
        <v>1.3187534153652909E-4</v>
      </c>
      <c r="U12" s="73">
        <f>IFERROR((up_dir!U12/(up_Bv!T12+s_MLF_potato)),".")</f>
        <v>1.3187534153652909E-4</v>
      </c>
      <c r="V12" s="73">
        <f>IFERROR((up_dir!V12/(up_Bv!U12+s_MLF_pumpkin)),".")</f>
        <v>1.3187534153652909E-4</v>
      </c>
      <c r="W12" s="73">
        <f>IFERROR((up_dir!W12/(up_Bv!V12+s_MLF_snap_bean)),".")</f>
        <v>1.3187534153652909E-4</v>
      </c>
      <c r="X12" s="73">
        <f>IFERROR((up_dir!X12/(up_Bv!W12+s_MLF_strawberry)),".")</f>
        <v>1.3187534153652909E-4</v>
      </c>
      <c r="Y12" s="73">
        <f>IFERROR((up_dir!Y12/(up_Bv!X12+s_MLF_tomato)),".")</f>
        <v>1.3187534153652909E-4</v>
      </c>
      <c r="Z12" s="73">
        <f>IFERROR((up_dir!Z12/(up_Bv!Y12+s_MLF_rice)),".")</f>
        <v>1.3187534153652909E-4</v>
      </c>
      <c r="AA12" s="73">
        <f>IFERROR((up_dir!AA12/(up_Bv!Z12+s_MLF_cereal)),".")</f>
        <v>1.3187534153652909E-4</v>
      </c>
      <c r="AB12" s="10">
        <f t="shared" si="0"/>
        <v>113743.78125</v>
      </c>
      <c r="AC12" s="10">
        <f>s_C*(up_Bv!C12+s_MLF_apple)*s_IFAP_res_adj*s_CF_apple</f>
        <v>37914.59375</v>
      </c>
      <c r="AD12" s="10">
        <f>s_C*(up_Bv!D12+s_MLF_asparagus)*s_IFAS_res_adj*s_CF_asparagus</f>
        <v>37914.59375</v>
      </c>
      <c r="AE12" s="10">
        <f>s_C*(up_Bv!E12+s_MLF_beet)*s_IFBT_res_adj*s_CF_beet</f>
        <v>37914.59375</v>
      </c>
      <c r="AF12" s="10">
        <f>s_C*(up_Bv!F12+s_MLF_berries)*s_IFBE_res_adj*s_CF_berries</f>
        <v>37914.59375</v>
      </c>
      <c r="AG12" s="10">
        <f>s_C*(up_Bv!G12+s_MLF_broccoli)*s_IFBR_res_adj*s_CF_broccoli</f>
        <v>37914.59375</v>
      </c>
      <c r="AH12" s="10">
        <f>s_C*(up_Bv!H12+s_MLF_cabbage)*s_IFCB_res_adj*s_CF_cabbage</f>
        <v>37914.59375</v>
      </c>
      <c r="AI12" s="10">
        <f>s_C*(up_Bv!I12+s_MLF_carrot)*s_IFCR_res_adj*s_CF_carrot</f>
        <v>37914.59375</v>
      </c>
      <c r="AJ12" s="10">
        <f>s_C*(up_Bv!J12+s_MLF_citrus)*s_IFCI_res_adj*s_CF_citrus</f>
        <v>37914.59375</v>
      </c>
      <c r="AK12" s="10">
        <f>s_C*(up_Bv!K12+s_MLF_corn)*s_IFCO_res_adj*s_CF_corn</f>
        <v>37914.59375</v>
      </c>
      <c r="AL12" s="10">
        <f>s_C*(up_Bv!L12+s_MLF_cucumber)*s_IFCU_res_adj*s_CF_cucumber</f>
        <v>37914.59375</v>
      </c>
      <c r="AM12" s="10">
        <f>s_C*(up_Bv!M12+s_MLF_lettuce)*s_IFLE_res_adj*s_CF_lettuce</f>
        <v>37914.59375</v>
      </c>
      <c r="AN12" s="10">
        <f>s_C*(up_Bv!N12+s_MLF_lima_bean)*s_IFLI_res_adj*s_CF_lima_bean</f>
        <v>37914.59375</v>
      </c>
      <c r="AO12" s="10">
        <f>s_C*(up_Bv!O12+s_MLF_okra)*s_IFOK_res_adj*s_CF_okra</f>
        <v>37914.59375</v>
      </c>
      <c r="AP12" s="10">
        <f>s_C*(up_Bv!P12+s_MLF_onion)*s_IFON_res_adj*s_CF_onion</f>
        <v>37914.59375</v>
      </c>
      <c r="AQ12" s="10">
        <f>s_C*(up_Bv!Q12+s_MLF_peach)*s_IFPC_res_adj*s_CF_peach</f>
        <v>37914.59375</v>
      </c>
      <c r="AR12" s="10">
        <f>s_C*(up_Bv!R12+s_MLF_pear)*s_IFPR_res_adj*s_CF_pear</f>
        <v>37914.59375</v>
      </c>
      <c r="AS12" s="10">
        <f>s_C*(up_Bv!S12+s_MLF_peas)*s_IFPE_res_adj*s_CF_peas</f>
        <v>37914.59375</v>
      </c>
      <c r="AT12" s="10">
        <f>s_C*(up_Bv!T12+s_MLF_potato)*s_IFPT_res_adj*s_CF_potato</f>
        <v>37914.59375</v>
      </c>
      <c r="AU12" s="10">
        <f>s_C*(up_Bv!U12+s_MLF_pumpkin)*s_IFPU_res_adj*s_CF_pumpkin</f>
        <v>37914.59375</v>
      </c>
      <c r="AV12" s="10">
        <f>s_C*(up_Bv!V12+s_MLF_snap_bean)*s_IFSN_res_adj*s_CF_snap_bean</f>
        <v>37914.59375</v>
      </c>
      <c r="AW12" s="10">
        <f>s_C*(up_Bv!W12+s_MLF_strawberry)*s_IFST_res_adj*s_CF_strawberry</f>
        <v>37914.59375</v>
      </c>
      <c r="AX12" s="10">
        <f>s_C*(up_Bv!X12+s_MLF_tomato)*s_IFTO_res_adj*s_CF_tomato</f>
        <v>37914.59375</v>
      </c>
      <c r="AY12" s="10">
        <f>s_C*(up_Bv!Y12+s_MLF_rice)*s_IFRI_res_adj*s_CF_rice</f>
        <v>37914.59375</v>
      </c>
      <c r="AZ12" s="10">
        <f>s_C*(up_Bv!Z12+s_MLF_cereal)*s_IFCG_res_adj*s_CF_cereal</f>
        <v>37914.59375</v>
      </c>
      <c r="BA12" s="2">
        <f t="shared" si="2"/>
        <v>4.3958447178843029E-5</v>
      </c>
      <c r="BB12" s="2">
        <f>IFERROR((up_dir!AC12/(up_Bv!C12+s_MLF_apple)),".")</f>
        <v>1.3187534153652909E-4</v>
      </c>
      <c r="BC12" s="2">
        <f>IFERROR((up_dir!AD12/(up_Bv!D12+s_MLF_asparagus)),".")</f>
        <v>1.3187534153652909E-4</v>
      </c>
      <c r="BD12" s="2">
        <f>IFERROR((up_dir!AE12/(up_Bv!E12+s_MLF_beet)),".")</f>
        <v>1.3187534153652909E-4</v>
      </c>
      <c r="BE12" s="2">
        <f>IFERROR((up_dir!AF12/(up_Bv!F12+s_MLF_berries)),".")</f>
        <v>1.3187534153652909E-4</v>
      </c>
      <c r="BF12" s="2">
        <f>IFERROR((up_dir!AG12/(up_Bv!G12+s_MLF_broccoli)),".")</f>
        <v>1.3187534153652909E-4</v>
      </c>
      <c r="BG12" s="2">
        <f>IFERROR((up_dir!AH12/(up_Bv!H12+s_MLF_cabbage)),".")</f>
        <v>1.3187534153652909E-4</v>
      </c>
      <c r="BH12" s="2">
        <f>IFERROR((up_dir!AI12/(up_Bv!I12+s_MLF_carrot)),".")</f>
        <v>1.3187534153652909E-4</v>
      </c>
      <c r="BI12" s="2">
        <f>IFERROR((up_dir!AJ12/(up_Bv!J12+s_MLF_citrus)),".")</f>
        <v>1.3187534153652909E-4</v>
      </c>
      <c r="BJ12" s="2">
        <f>IFERROR((up_dir!AK12/(up_Bv!K12+s_MLF_corn)),".")</f>
        <v>1.3187534153652909E-4</v>
      </c>
      <c r="BK12" s="2">
        <f>IFERROR((up_dir!AL12/(up_Bv!L12+s_MLF_cucumber)),".")</f>
        <v>1.3187534153652909E-4</v>
      </c>
      <c r="BL12" s="2">
        <f>IFERROR((up_dir!AM12/(up_Bv!M12+s_MLF_lettuce)),".")</f>
        <v>1.3187534153652909E-4</v>
      </c>
      <c r="BM12" s="2">
        <f>IFERROR((up_dir!AN12/(up_Bv!N12+s_MLF_lima_bean)),".")</f>
        <v>1.3187534153652909E-4</v>
      </c>
      <c r="BN12" s="2">
        <f>IFERROR((up_dir!AO12/(up_Bv!O12+s_MLF_okra)),".")</f>
        <v>1.3187534153652909E-4</v>
      </c>
      <c r="BO12" s="2">
        <f>IFERROR((up_dir!AP12/(up_Bv!P12+s_MLF_onion)),".")</f>
        <v>1.3187534153652909E-4</v>
      </c>
      <c r="BP12" s="2">
        <f>IFERROR((up_dir!AQ12/(up_Bv!Q12+s_MLF_peach)),".")</f>
        <v>1.3187534153652909E-4</v>
      </c>
      <c r="BQ12" s="2">
        <f>IFERROR((up_dir!AR12/(up_Bv!R12+s_MLF_pear)),".")</f>
        <v>1.3187534153652909E-4</v>
      </c>
      <c r="BR12" s="2">
        <f>IFERROR((up_dir!AS12/(up_Bv!S12+s_MLF_peas)),".")</f>
        <v>1.3187534153652909E-4</v>
      </c>
      <c r="BS12" s="2">
        <f>IFERROR((up_dir!AT12/(up_Bv!T12+s_MLF_potato)),".")</f>
        <v>1.3187534153652909E-4</v>
      </c>
      <c r="BT12" s="2">
        <f>IFERROR((up_dir!AU12/(up_Bv!U12+s_MLF_pumpkin)),".")</f>
        <v>1.3187534153652909E-4</v>
      </c>
      <c r="BU12" s="2">
        <f>IFERROR((up_dir!AV12/(up_Bv!V12+s_MLF_snap_bean)),".")</f>
        <v>1.3187534153652909E-4</v>
      </c>
      <c r="BV12" s="2">
        <f>IFERROR((up_dir!AW12/(up_Bv!W12+s_MLF_strawberry)),".")</f>
        <v>1.3187534153652909E-4</v>
      </c>
      <c r="BW12" s="2">
        <f>IFERROR((up_dir!AX12/(up_Bv!X12+s_MLF_tomato)),".")</f>
        <v>1.3187534153652909E-4</v>
      </c>
      <c r="BX12" s="2">
        <f>IFERROR((up_dir!AY12/(up_Bv!Y12+s_MLF_rice)),".")</f>
        <v>1.3187534153652909E-4</v>
      </c>
      <c r="BY12" s="2">
        <f>IFERROR((up_dir!AZ12/(up_Bv!Z12+s_MLF_cereal)),".")</f>
        <v>1.3187534153652909E-4</v>
      </c>
      <c r="BZ12" s="10">
        <f t="shared" si="3"/>
        <v>113743.78125</v>
      </c>
      <c r="CA12" s="10">
        <f>IFERROR(s_C*(up_Bv!C12+s_MLF_apple)*s_IFAP_far_adj*s_CF_apple,".")</f>
        <v>37914.59375</v>
      </c>
      <c r="CB12" s="10">
        <f>IFERROR(s_C*(up_Bv!D12+s_MLF_asparagus)*s_IFAS_far_adj*s_CF_asparagus,".")</f>
        <v>37914.59375</v>
      </c>
      <c r="CC12" s="10">
        <f>IFERROR(s_C*(up_Bv!E12+s_MLF_beet)*s_IFBT_far_adj*s_CF_beet,".")</f>
        <v>37914.59375</v>
      </c>
      <c r="CD12" s="10">
        <f>IFERROR(s_C*(up_Bv!F12+s_MLF_berries)*s_IFBR_far_adj*s_CF_berries,".")</f>
        <v>37914.59375</v>
      </c>
      <c r="CE12" s="10">
        <f>IFERROR(s_C*(up_Bv!G12+s_MLF_broccoli)*s_IFBR_far_adj*s_CF_broccoli,".")</f>
        <v>37914.59375</v>
      </c>
      <c r="CF12" s="10">
        <f>IFERROR(s_C*(up_Bv!H12+s_MLF_cabbage)*s_IFCB_far_adj*s_CF_cabbage,".")</f>
        <v>37914.59375</v>
      </c>
      <c r="CG12" s="10">
        <f>IFERROR(s_C*(up_Bv!I12+s_MLF_carrot)*s_IFCR_far_adj*s_CF_carrot,".")</f>
        <v>37914.59375</v>
      </c>
      <c r="CH12" s="10">
        <f>IFERROR(s_C*(up_Bv!J12+s_MLF_citrus)*s_IFCI_far_adj*s_CF_citrus,".")</f>
        <v>37914.59375</v>
      </c>
      <c r="CI12" s="10">
        <f>IFERROR(s_C*(up_Bv!K12+s_MLF_corn)*s_IFCO_far_adj*s_CF_corn,".")</f>
        <v>37914.59375</v>
      </c>
      <c r="CJ12" s="10">
        <f>IFERROR(s_C*(up_Bv!L12+s_MLF_cucumber)*s_IFCU_far_adj*s_CF_cucumber,".")</f>
        <v>37914.59375</v>
      </c>
      <c r="CK12" s="10">
        <f>IFERROR(s_C*(up_Bv!M12+s_MLF_lettuce)*s_IFLE_far_adj*s_CF_lettuce,".")</f>
        <v>37914.59375</v>
      </c>
      <c r="CL12" s="10">
        <f>IFERROR(s_C*(up_Bv!N12+s_MLF_lima_bean)*s_IFLI_far_adj*s_CF_lima_bean,".")</f>
        <v>37914.59375</v>
      </c>
      <c r="CM12" s="10">
        <f>IFERROR(s_C*(up_Bv!O12+s_MLF_okra)*s_IFOK_far_adj*s_CF_okra,".")</f>
        <v>37914.59375</v>
      </c>
      <c r="CN12" s="10">
        <f>IFERROR(s_C*(up_Bv!P12+s_MLF_onion)*s_IFON_far_adj*s_CF_onion,".")</f>
        <v>37914.59375</v>
      </c>
      <c r="CO12" s="10">
        <f>IFERROR(s_C*(up_Bv!Q12+s_MLF_peach)*s_IFPC_far_adj*s_CF_peach,".")</f>
        <v>37914.59375</v>
      </c>
      <c r="CP12" s="10">
        <f>IFERROR(s_C*(up_Bv!R12+s_MLF_pear)*s_IFPR_far_adj*s_CF_pear,".")</f>
        <v>37914.59375</v>
      </c>
      <c r="CQ12" s="10">
        <f>IFERROR(s_C*(up_Bv!S12+s_MLF_peas)*s_IFPE_far_adj*s_CF_peas,".")</f>
        <v>37914.59375</v>
      </c>
      <c r="CR12" s="10">
        <f>IFERROR(s_C*(up_Bv!T12+s_MLF_potato)*s_IFPT_far_adj*s_CF_potato,".")</f>
        <v>37914.59375</v>
      </c>
      <c r="CS12" s="10">
        <f>IFERROR(s_C*(up_Bv!U12+s_MLF_pumpkin)*s_IFPU_far_adj*s_CF_pumpkin,".")</f>
        <v>37914.59375</v>
      </c>
      <c r="CT12" s="10">
        <f>IFERROR(s_C*(up_Bv!V12+s_MLF_snap_bean)*s_IFSN_far_adj*s_CF_snap_bean,".")</f>
        <v>37914.59375</v>
      </c>
      <c r="CU12" s="10">
        <f>IFERROR(s_C*(up_Bv!W12+s_MLF_strawberry)*s_IFST_far_adj*s_CF_strawberry,".")</f>
        <v>37914.59375</v>
      </c>
      <c r="CV12" s="10">
        <f>IFERROR(s_C*(up_Bv!X12+s_MLF_tomato)*s_IFTO_far_adj*s_CF_tomato,".")</f>
        <v>37914.59375</v>
      </c>
      <c r="CW12" s="10">
        <f>IFERROR(s_C*(up_Bv!Y12+s_MLF_rice)*s_IFRI_far_adj*s_CF_rice,".")</f>
        <v>37914.59375</v>
      </c>
      <c r="CX12" s="10">
        <f>IFERROR(s_C*(up_Bv!Z12+s_MLF_cereal)*s_IFCG_far_adj*s_CF_cereal,".")</f>
        <v>37914.59375</v>
      </c>
    </row>
    <row r="13" spans="1:102" ht="15" customHeight="1" x14ac:dyDescent="0.25">
      <c r="A13" s="31" t="s">
        <v>11</v>
      </c>
      <c r="B13" s="3" t="s">
        <v>1059</v>
      </c>
      <c r="C13" s="73">
        <f t="shared" si="1"/>
        <v>4.3958447178843029E-5</v>
      </c>
      <c r="D13" s="73">
        <f>IFERROR((up_dir!D13/(up_Bv!C13+s_MLF_apple)),".")</f>
        <v>1.3187534153652909E-4</v>
      </c>
      <c r="E13" s="73">
        <f>IFERROR((up_dir!E13/(up_Bv!D13+s_MLF_asparagus)),".")</f>
        <v>1.3187534153652909E-4</v>
      </c>
      <c r="F13" s="73">
        <f>IFERROR((up_dir!F13/(up_Bv!E13+s_MLF_beet)),".")</f>
        <v>1.3187534153652909E-4</v>
      </c>
      <c r="G13" s="73">
        <f>IFERROR((up_dir!G13/(up_Bv!F13+s_MLF_berries)),".")</f>
        <v>1.3187534153652909E-4</v>
      </c>
      <c r="H13" s="73">
        <f>IFERROR((up_dir!H13/(up_Bv!G13+s_MLF_broccoli)),".")</f>
        <v>1.3187534153652909E-4</v>
      </c>
      <c r="I13" s="73">
        <f>IFERROR((up_dir!I13/(up_Bv!H13+s_MLF_cabbage)),".")</f>
        <v>1.3187534153652909E-4</v>
      </c>
      <c r="J13" s="73">
        <f>IFERROR((up_dir!J13/(up_Bv!I13+s_MLF_carrot)),".")</f>
        <v>1.3187534153652909E-4</v>
      </c>
      <c r="K13" s="73">
        <f>IFERROR((up_dir!K13/(up_Bv!J13+s_MLF_citrus)),".")</f>
        <v>1.3187534153652909E-4</v>
      </c>
      <c r="L13" s="73">
        <f>IFERROR((up_dir!L13/(up_Bv!K13+s_MLF_corn)),".")</f>
        <v>1.3187534153652909E-4</v>
      </c>
      <c r="M13" s="73">
        <f>IFERROR((up_dir!M13/(up_Bv!L13+s_MLF_cucumber)),".")</f>
        <v>1.3187534153652909E-4</v>
      </c>
      <c r="N13" s="73">
        <f>IFERROR((up_dir!N13/(up_Bv!M13+s_MLF_lettuce)),".")</f>
        <v>1.3187534153652909E-4</v>
      </c>
      <c r="O13" s="73">
        <f>IFERROR((up_dir!O13/(up_Bv!N13+s_MLF_lima_bean)),".")</f>
        <v>1.3187534153652909E-4</v>
      </c>
      <c r="P13" s="73">
        <f>IFERROR((up_dir!P13/(up_Bv!O13+s_MLF_okra)),".")</f>
        <v>1.3187534153652909E-4</v>
      </c>
      <c r="Q13" s="73">
        <f>IFERROR((up_dir!Q13/(up_Bv!P13+s_MLF_onion)),".")</f>
        <v>1.3187534153652909E-4</v>
      </c>
      <c r="R13" s="73">
        <f>IFERROR((up_dir!R13/(up_Bv!Q13+s_MLF_peach)),".")</f>
        <v>1.3187534153652909E-4</v>
      </c>
      <c r="S13" s="73">
        <f>IFERROR((up_dir!S13/(up_Bv!R13+s_MLF_pear)),".")</f>
        <v>1.3187534153652909E-4</v>
      </c>
      <c r="T13" s="73">
        <f>IFERROR((up_dir!T13/(up_Bv!S13+s_MLF_peas)),".")</f>
        <v>1.3187534153652909E-4</v>
      </c>
      <c r="U13" s="73">
        <f>IFERROR((up_dir!U13/(up_Bv!T13+s_MLF_potato)),".")</f>
        <v>1.3187534153652909E-4</v>
      </c>
      <c r="V13" s="73">
        <f>IFERROR((up_dir!V13/(up_Bv!U13+s_MLF_pumpkin)),".")</f>
        <v>1.3187534153652909E-4</v>
      </c>
      <c r="W13" s="73">
        <f>IFERROR((up_dir!W13/(up_Bv!V13+s_MLF_snap_bean)),".")</f>
        <v>1.3187534153652909E-4</v>
      </c>
      <c r="X13" s="73">
        <f>IFERROR((up_dir!X13/(up_Bv!W13+s_MLF_strawberry)),".")</f>
        <v>1.3187534153652909E-4</v>
      </c>
      <c r="Y13" s="73">
        <f>IFERROR((up_dir!Y13/(up_Bv!X13+s_MLF_tomato)),".")</f>
        <v>1.3187534153652909E-4</v>
      </c>
      <c r="Z13" s="73">
        <f>IFERROR((up_dir!Z13/(up_Bv!Y13+s_MLF_rice)),".")</f>
        <v>1.3187534153652909E-4</v>
      </c>
      <c r="AA13" s="73">
        <f>IFERROR((up_dir!AA13/(up_Bv!Z13+s_MLF_cereal)),".")</f>
        <v>1.3187534153652909E-4</v>
      </c>
      <c r="AB13" s="10">
        <f>SUM(AC13,AY13:AZ13)</f>
        <v>113743.78125</v>
      </c>
      <c r="AC13" s="10">
        <f>s_C*(up_Bv!C13+s_MLF_apple)*s_IFAP_res_adj*s_CF_apple</f>
        <v>37914.59375</v>
      </c>
      <c r="AD13" s="10">
        <f>s_C*(up_Bv!D13+s_MLF_asparagus)*s_IFAS_res_adj*s_CF_asparagus</f>
        <v>37914.59375</v>
      </c>
      <c r="AE13" s="10">
        <f>s_C*(up_Bv!E13+s_MLF_beet)*s_IFBT_res_adj*s_CF_beet</f>
        <v>37914.59375</v>
      </c>
      <c r="AF13" s="10">
        <f>s_C*(up_Bv!F13+s_MLF_berries)*s_IFBE_res_adj*s_CF_berries</f>
        <v>37914.59375</v>
      </c>
      <c r="AG13" s="10">
        <f>s_C*(up_Bv!G13+s_MLF_broccoli)*s_IFBR_res_adj*s_CF_broccoli</f>
        <v>37914.59375</v>
      </c>
      <c r="AH13" s="10">
        <f>s_C*(up_Bv!H13+s_MLF_cabbage)*s_IFCB_res_adj*s_CF_cabbage</f>
        <v>37914.59375</v>
      </c>
      <c r="AI13" s="10">
        <f>s_C*(up_Bv!I13+s_MLF_carrot)*s_IFCR_res_adj*s_CF_carrot</f>
        <v>37914.59375</v>
      </c>
      <c r="AJ13" s="10">
        <f>s_C*(up_Bv!J13+s_MLF_citrus)*s_IFCI_res_adj*s_CF_citrus</f>
        <v>37914.59375</v>
      </c>
      <c r="AK13" s="10">
        <f>s_C*(up_Bv!K13+s_MLF_corn)*s_IFCO_res_adj*s_CF_corn</f>
        <v>37914.59375</v>
      </c>
      <c r="AL13" s="10">
        <f>s_C*(up_Bv!L13+s_MLF_cucumber)*s_IFCU_res_adj*s_CF_cucumber</f>
        <v>37914.59375</v>
      </c>
      <c r="AM13" s="10">
        <f>s_C*(up_Bv!M13+s_MLF_lettuce)*s_IFLE_res_adj*s_CF_lettuce</f>
        <v>37914.59375</v>
      </c>
      <c r="AN13" s="10">
        <f>s_C*(up_Bv!N13+s_MLF_lima_bean)*s_IFLI_res_adj*s_CF_lima_bean</f>
        <v>37914.59375</v>
      </c>
      <c r="AO13" s="10">
        <f>s_C*(up_Bv!O13+s_MLF_okra)*s_IFOK_res_adj*s_CF_okra</f>
        <v>37914.59375</v>
      </c>
      <c r="AP13" s="10">
        <f>s_C*(up_Bv!P13+s_MLF_onion)*s_IFON_res_adj*s_CF_onion</f>
        <v>37914.59375</v>
      </c>
      <c r="AQ13" s="10">
        <f>s_C*(up_Bv!Q13+s_MLF_peach)*s_IFPC_res_adj*s_CF_peach</f>
        <v>37914.59375</v>
      </c>
      <c r="AR13" s="10">
        <f>s_C*(up_Bv!R13+s_MLF_pear)*s_IFPR_res_adj*s_CF_pear</f>
        <v>37914.59375</v>
      </c>
      <c r="AS13" s="10">
        <f>s_C*(up_Bv!S13+s_MLF_peas)*s_IFPE_res_adj*s_CF_peas</f>
        <v>37914.59375</v>
      </c>
      <c r="AT13" s="10">
        <f>s_C*(up_Bv!T13+s_MLF_potato)*s_IFPT_res_adj*s_CF_potato</f>
        <v>37914.59375</v>
      </c>
      <c r="AU13" s="10">
        <f>s_C*(up_Bv!U13+s_MLF_pumpkin)*s_IFPU_res_adj*s_CF_pumpkin</f>
        <v>37914.59375</v>
      </c>
      <c r="AV13" s="10">
        <f>s_C*(up_Bv!V13+s_MLF_snap_bean)*s_IFSN_res_adj*s_CF_snap_bean</f>
        <v>37914.59375</v>
      </c>
      <c r="AW13" s="10">
        <f>s_C*(up_Bv!W13+s_MLF_strawberry)*s_IFST_res_adj*s_CF_strawberry</f>
        <v>37914.59375</v>
      </c>
      <c r="AX13" s="10">
        <f>s_C*(up_Bv!X13+s_MLF_tomato)*s_IFTO_res_adj*s_CF_tomato</f>
        <v>37914.59375</v>
      </c>
      <c r="AY13" s="10">
        <f>s_C*(up_Bv!Y13+s_MLF_rice)*s_IFRI_res_adj*s_CF_rice</f>
        <v>37914.59375</v>
      </c>
      <c r="AZ13" s="10">
        <f>s_C*(up_Bv!Z13+s_MLF_cereal)*s_IFCG_res_adj*s_CF_cereal</f>
        <v>37914.59375</v>
      </c>
      <c r="BA13" s="2">
        <f t="shared" si="2"/>
        <v>4.3958447178843029E-5</v>
      </c>
      <c r="BB13" s="2">
        <f>IFERROR((up_dir!AC13/(up_Bv!C13+s_MLF_apple)),".")</f>
        <v>1.3187534153652909E-4</v>
      </c>
      <c r="BC13" s="2">
        <f>IFERROR((up_dir!AD13/(up_Bv!D13+s_MLF_asparagus)),".")</f>
        <v>1.3187534153652909E-4</v>
      </c>
      <c r="BD13" s="2">
        <f>IFERROR((up_dir!AE13/(up_Bv!E13+s_MLF_beet)),".")</f>
        <v>1.3187534153652909E-4</v>
      </c>
      <c r="BE13" s="2">
        <f>IFERROR((up_dir!AF13/(up_Bv!F13+s_MLF_berries)),".")</f>
        <v>1.3187534153652909E-4</v>
      </c>
      <c r="BF13" s="2">
        <f>IFERROR((up_dir!AG13/(up_Bv!G13+s_MLF_broccoli)),".")</f>
        <v>1.3187534153652909E-4</v>
      </c>
      <c r="BG13" s="2">
        <f>IFERROR((up_dir!AH13/(up_Bv!H13+s_MLF_cabbage)),".")</f>
        <v>1.3187534153652909E-4</v>
      </c>
      <c r="BH13" s="2">
        <f>IFERROR((up_dir!AI13/(up_Bv!I13+s_MLF_carrot)),".")</f>
        <v>1.3187534153652909E-4</v>
      </c>
      <c r="BI13" s="2">
        <f>IFERROR((up_dir!AJ13/(up_Bv!J13+s_MLF_citrus)),".")</f>
        <v>1.3187534153652909E-4</v>
      </c>
      <c r="BJ13" s="2">
        <f>IFERROR((up_dir!AK13/(up_Bv!K13+s_MLF_corn)),".")</f>
        <v>1.3187534153652909E-4</v>
      </c>
      <c r="BK13" s="2">
        <f>IFERROR((up_dir!AL13/(up_Bv!L13+s_MLF_cucumber)),".")</f>
        <v>1.3187534153652909E-4</v>
      </c>
      <c r="BL13" s="2">
        <f>IFERROR((up_dir!AM13/(up_Bv!M13+s_MLF_lettuce)),".")</f>
        <v>1.3187534153652909E-4</v>
      </c>
      <c r="BM13" s="2">
        <f>IFERROR((up_dir!AN13/(up_Bv!N13+s_MLF_lima_bean)),".")</f>
        <v>1.3187534153652909E-4</v>
      </c>
      <c r="BN13" s="2">
        <f>IFERROR((up_dir!AO13/(up_Bv!O13+s_MLF_okra)),".")</f>
        <v>1.3187534153652909E-4</v>
      </c>
      <c r="BO13" s="2">
        <f>IFERROR((up_dir!AP13/(up_Bv!P13+s_MLF_onion)),".")</f>
        <v>1.3187534153652909E-4</v>
      </c>
      <c r="BP13" s="2">
        <f>IFERROR((up_dir!AQ13/(up_Bv!Q13+s_MLF_peach)),".")</f>
        <v>1.3187534153652909E-4</v>
      </c>
      <c r="BQ13" s="2">
        <f>IFERROR((up_dir!AR13/(up_Bv!R13+s_MLF_pear)),".")</f>
        <v>1.3187534153652909E-4</v>
      </c>
      <c r="BR13" s="2">
        <f>IFERROR((up_dir!AS13/(up_Bv!S13+s_MLF_peas)),".")</f>
        <v>1.3187534153652909E-4</v>
      </c>
      <c r="BS13" s="2">
        <f>IFERROR((up_dir!AT13/(up_Bv!T13+s_MLF_potato)),".")</f>
        <v>1.3187534153652909E-4</v>
      </c>
      <c r="BT13" s="2">
        <f>IFERROR((up_dir!AU13/(up_Bv!U13+s_MLF_pumpkin)),".")</f>
        <v>1.3187534153652909E-4</v>
      </c>
      <c r="BU13" s="2">
        <f>IFERROR((up_dir!AV13/(up_Bv!V13+s_MLF_snap_bean)),".")</f>
        <v>1.3187534153652909E-4</v>
      </c>
      <c r="BV13" s="2">
        <f>IFERROR((up_dir!AW13/(up_Bv!W13+s_MLF_strawberry)),".")</f>
        <v>1.3187534153652909E-4</v>
      </c>
      <c r="BW13" s="2">
        <f>IFERROR((up_dir!AX13/(up_Bv!X13+s_MLF_tomato)),".")</f>
        <v>1.3187534153652909E-4</v>
      </c>
      <c r="BX13" s="2">
        <f>IFERROR((up_dir!AY13/(up_Bv!Y13+s_MLF_rice)),".")</f>
        <v>1.3187534153652909E-4</v>
      </c>
      <c r="BY13" s="2">
        <f>IFERROR((up_dir!AZ13/(up_Bv!Z13+s_MLF_cereal)),".")</f>
        <v>1.3187534153652909E-4</v>
      </c>
      <c r="BZ13" s="10">
        <f t="shared" si="3"/>
        <v>113743.78125</v>
      </c>
      <c r="CA13" s="10">
        <f>IFERROR(s_C*(up_Bv!C13+s_MLF_apple)*s_IFAP_far_adj*s_CF_apple,".")</f>
        <v>37914.59375</v>
      </c>
      <c r="CB13" s="10">
        <f>IFERROR(s_C*(up_Bv!D13+s_MLF_asparagus)*s_IFAS_far_adj*s_CF_asparagus,".")</f>
        <v>37914.59375</v>
      </c>
      <c r="CC13" s="10">
        <f>IFERROR(s_C*(up_Bv!E13+s_MLF_beet)*s_IFBT_far_adj*s_CF_beet,".")</f>
        <v>37914.59375</v>
      </c>
      <c r="CD13" s="10">
        <f>IFERROR(s_C*(up_Bv!F13+s_MLF_berries)*s_IFBR_far_adj*s_CF_berries,".")</f>
        <v>37914.59375</v>
      </c>
      <c r="CE13" s="10">
        <f>IFERROR(s_C*(up_Bv!G13+s_MLF_broccoli)*s_IFBR_far_adj*s_CF_broccoli,".")</f>
        <v>37914.59375</v>
      </c>
      <c r="CF13" s="10">
        <f>IFERROR(s_C*(up_Bv!H13+s_MLF_cabbage)*s_IFCB_far_adj*s_CF_cabbage,".")</f>
        <v>37914.59375</v>
      </c>
      <c r="CG13" s="10">
        <f>IFERROR(s_C*(up_Bv!I13+s_MLF_carrot)*s_IFCR_far_adj*s_CF_carrot,".")</f>
        <v>37914.59375</v>
      </c>
      <c r="CH13" s="10">
        <f>IFERROR(s_C*(up_Bv!J13+s_MLF_citrus)*s_IFCI_far_adj*s_CF_citrus,".")</f>
        <v>37914.59375</v>
      </c>
      <c r="CI13" s="10">
        <f>IFERROR(s_C*(up_Bv!K13+s_MLF_corn)*s_IFCO_far_adj*s_CF_corn,".")</f>
        <v>37914.59375</v>
      </c>
      <c r="CJ13" s="10">
        <f>IFERROR(s_C*(up_Bv!L13+s_MLF_cucumber)*s_IFCU_far_adj*s_CF_cucumber,".")</f>
        <v>37914.59375</v>
      </c>
      <c r="CK13" s="10">
        <f>IFERROR(s_C*(up_Bv!M13+s_MLF_lettuce)*s_IFLE_far_adj*s_CF_lettuce,".")</f>
        <v>37914.59375</v>
      </c>
      <c r="CL13" s="10">
        <f>IFERROR(s_C*(up_Bv!N13+s_MLF_lima_bean)*s_IFLI_far_adj*s_CF_lima_bean,".")</f>
        <v>37914.59375</v>
      </c>
      <c r="CM13" s="10">
        <f>IFERROR(s_C*(up_Bv!O13+s_MLF_okra)*s_IFOK_far_adj*s_CF_okra,".")</f>
        <v>37914.59375</v>
      </c>
      <c r="CN13" s="10">
        <f>IFERROR(s_C*(up_Bv!P13+s_MLF_onion)*s_IFON_far_adj*s_CF_onion,".")</f>
        <v>37914.59375</v>
      </c>
      <c r="CO13" s="10">
        <f>IFERROR(s_C*(up_Bv!Q13+s_MLF_peach)*s_IFPC_far_adj*s_CF_peach,".")</f>
        <v>37914.59375</v>
      </c>
      <c r="CP13" s="10">
        <f>IFERROR(s_C*(up_Bv!R13+s_MLF_pear)*s_IFPR_far_adj*s_CF_pear,".")</f>
        <v>37914.59375</v>
      </c>
      <c r="CQ13" s="10">
        <f>IFERROR(s_C*(up_Bv!S13+s_MLF_peas)*s_IFPE_far_adj*s_CF_peas,".")</f>
        <v>37914.59375</v>
      </c>
      <c r="CR13" s="10">
        <f>IFERROR(s_C*(up_Bv!T13+s_MLF_potato)*s_IFPT_far_adj*s_CF_potato,".")</f>
        <v>37914.59375</v>
      </c>
      <c r="CS13" s="10">
        <f>IFERROR(s_C*(up_Bv!U13+s_MLF_pumpkin)*s_IFPU_far_adj*s_CF_pumpkin,".")</f>
        <v>37914.59375</v>
      </c>
      <c r="CT13" s="10">
        <f>IFERROR(s_C*(up_Bv!V13+s_MLF_snap_bean)*s_IFSN_far_adj*s_CF_snap_bean,".")</f>
        <v>37914.59375</v>
      </c>
      <c r="CU13" s="10">
        <f>IFERROR(s_C*(up_Bv!W13+s_MLF_strawberry)*s_IFST_far_adj*s_CF_strawberry,".")</f>
        <v>37914.59375</v>
      </c>
      <c r="CV13" s="10">
        <f>IFERROR(s_C*(up_Bv!X13+s_MLF_tomato)*s_IFTO_far_adj*s_CF_tomato,".")</f>
        <v>37914.59375</v>
      </c>
      <c r="CW13" s="10">
        <f>IFERROR(s_C*(up_Bv!Y13+s_MLF_rice)*s_IFRI_far_adj*s_CF_rice,".")</f>
        <v>37914.59375</v>
      </c>
      <c r="CX13" s="10">
        <f>IFERROR(s_C*(up_Bv!Z13+s_MLF_cereal)*s_IFCG_far_adj*s_CF_cereal,".")</f>
        <v>37914.59375</v>
      </c>
    </row>
    <row r="14" spans="1:102" ht="15" customHeight="1" x14ac:dyDescent="0.25">
      <c r="A14" s="31" t="s">
        <v>12</v>
      </c>
      <c r="B14" s="3" t="s">
        <v>1059</v>
      </c>
      <c r="C14" s="73">
        <f t="shared" si="1"/>
        <v>4.3958447178843029E-5</v>
      </c>
      <c r="D14" s="73">
        <f>IFERROR((up_dir!D14/(up_Bv!C14+s_MLF_apple)),".")</f>
        <v>1.3187534153652909E-4</v>
      </c>
      <c r="E14" s="73">
        <f>IFERROR((up_dir!E14/(up_Bv!D14+s_MLF_asparagus)),".")</f>
        <v>1.3187534153652909E-4</v>
      </c>
      <c r="F14" s="73">
        <f>IFERROR((up_dir!F14/(up_Bv!E14+s_MLF_beet)),".")</f>
        <v>1.3187534153652909E-4</v>
      </c>
      <c r="G14" s="73">
        <f>IFERROR((up_dir!G14/(up_Bv!F14+s_MLF_berries)),".")</f>
        <v>1.3187534153652909E-4</v>
      </c>
      <c r="H14" s="73">
        <f>IFERROR((up_dir!H14/(up_Bv!G14+s_MLF_broccoli)),".")</f>
        <v>1.3187534153652909E-4</v>
      </c>
      <c r="I14" s="73">
        <f>IFERROR((up_dir!I14/(up_Bv!H14+s_MLF_cabbage)),".")</f>
        <v>1.3187534153652909E-4</v>
      </c>
      <c r="J14" s="73">
        <f>IFERROR((up_dir!J14/(up_Bv!I14+s_MLF_carrot)),".")</f>
        <v>1.3187534153652909E-4</v>
      </c>
      <c r="K14" s="73">
        <f>IFERROR((up_dir!K14/(up_Bv!J14+s_MLF_citrus)),".")</f>
        <v>1.3187534153652909E-4</v>
      </c>
      <c r="L14" s="73">
        <f>IFERROR((up_dir!L14/(up_Bv!K14+s_MLF_corn)),".")</f>
        <v>1.3187534153652909E-4</v>
      </c>
      <c r="M14" s="73">
        <f>IFERROR((up_dir!M14/(up_Bv!L14+s_MLF_cucumber)),".")</f>
        <v>1.3187534153652909E-4</v>
      </c>
      <c r="N14" s="73">
        <f>IFERROR((up_dir!N14/(up_Bv!M14+s_MLF_lettuce)),".")</f>
        <v>1.3187534153652909E-4</v>
      </c>
      <c r="O14" s="73">
        <f>IFERROR((up_dir!O14/(up_Bv!N14+s_MLF_lima_bean)),".")</f>
        <v>1.3187534153652909E-4</v>
      </c>
      <c r="P14" s="73">
        <f>IFERROR((up_dir!P14/(up_Bv!O14+s_MLF_okra)),".")</f>
        <v>1.3187534153652909E-4</v>
      </c>
      <c r="Q14" s="73">
        <f>IFERROR((up_dir!Q14/(up_Bv!P14+s_MLF_onion)),".")</f>
        <v>1.3187534153652909E-4</v>
      </c>
      <c r="R14" s="73">
        <f>IFERROR((up_dir!R14/(up_Bv!Q14+s_MLF_peach)),".")</f>
        <v>1.3187534153652909E-4</v>
      </c>
      <c r="S14" s="73">
        <f>IFERROR((up_dir!S14/(up_Bv!R14+s_MLF_pear)),".")</f>
        <v>1.3187534153652909E-4</v>
      </c>
      <c r="T14" s="73">
        <f>IFERROR((up_dir!T14/(up_Bv!S14+s_MLF_peas)),".")</f>
        <v>1.3187534153652909E-4</v>
      </c>
      <c r="U14" s="73">
        <f>IFERROR((up_dir!U14/(up_Bv!T14+s_MLF_potato)),".")</f>
        <v>1.3187534153652909E-4</v>
      </c>
      <c r="V14" s="73">
        <f>IFERROR((up_dir!V14/(up_Bv!U14+s_MLF_pumpkin)),".")</f>
        <v>1.3187534153652909E-4</v>
      </c>
      <c r="W14" s="73">
        <f>IFERROR((up_dir!W14/(up_Bv!V14+s_MLF_snap_bean)),".")</f>
        <v>1.3187534153652909E-4</v>
      </c>
      <c r="X14" s="73">
        <f>IFERROR((up_dir!X14/(up_Bv!W14+s_MLF_strawberry)),".")</f>
        <v>1.3187534153652909E-4</v>
      </c>
      <c r="Y14" s="73">
        <f>IFERROR((up_dir!Y14/(up_Bv!X14+s_MLF_tomato)),".")</f>
        <v>1.3187534153652909E-4</v>
      </c>
      <c r="Z14" s="73">
        <f>IFERROR((up_dir!Z14/(up_Bv!Y14+s_MLF_rice)),".")</f>
        <v>1.3187534153652909E-4</v>
      </c>
      <c r="AA14" s="73">
        <f>IFERROR((up_dir!AA14/(up_Bv!Z14+s_MLF_cereal)),".")</f>
        <v>1.3187534153652909E-4</v>
      </c>
      <c r="AB14" s="10">
        <f t="shared" ref="AB14:AB76" si="4">SUM(AC14,AY14:AZ14)</f>
        <v>113743.78125</v>
      </c>
      <c r="AC14" s="10">
        <f>s_C*(up_Bv!C14+s_MLF_apple)*s_IFAP_res_adj*s_CF_apple</f>
        <v>37914.59375</v>
      </c>
      <c r="AD14" s="10">
        <f>s_C*(up_Bv!D14+s_MLF_asparagus)*s_IFAS_res_adj*s_CF_asparagus</f>
        <v>37914.59375</v>
      </c>
      <c r="AE14" s="10">
        <f>s_C*(up_Bv!E14+s_MLF_beet)*s_IFBT_res_adj*s_CF_beet</f>
        <v>37914.59375</v>
      </c>
      <c r="AF14" s="10">
        <f>s_C*(up_Bv!F14+s_MLF_berries)*s_IFBE_res_adj*s_CF_berries</f>
        <v>37914.59375</v>
      </c>
      <c r="AG14" s="10">
        <f>s_C*(up_Bv!G14+s_MLF_broccoli)*s_IFBR_res_adj*s_CF_broccoli</f>
        <v>37914.59375</v>
      </c>
      <c r="AH14" s="10">
        <f>s_C*(up_Bv!H14+s_MLF_cabbage)*s_IFCB_res_adj*s_CF_cabbage</f>
        <v>37914.59375</v>
      </c>
      <c r="AI14" s="10">
        <f>s_C*(up_Bv!I14+s_MLF_carrot)*s_IFCR_res_adj*s_CF_carrot</f>
        <v>37914.59375</v>
      </c>
      <c r="AJ14" s="10">
        <f>s_C*(up_Bv!J14+s_MLF_citrus)*s_IFCI_res_adj*s_CF_citrus</f>
        <v>37914.59375</v>
      </c>
      <c r="AK14" s="10">
        <f>s_C*(up_Bv!K14+s_MLF_corn)*s_IFCO_res_adj*s_CF_corn</f>
        <v>37914.59375</v>
      </c>
      <c r="AL14" s="10">
        <f>s_C*(up_Bv!L14+s_MLF_cucumber)*s_IFCU_res_adj*s_CF_cucumber</f>
        <v>37914.59375</v>
      </c>
      <c r="AM14" s="10">
        <f>s_C*(up_Bv!M14+s_MLF_lettuce)*s_IFLE_res_adj*s_CF_lettuce</f>
        <v>37914.59375</v>
      </c>
      <c r="AN14" s="10">
        <f>s_C*(up_Bv!N14+s_MLF_lima_bean)*s_IFLI_res_adj*s_CF_lima_bean</f>
        <v>37914.59375</v>
      </c>
      <c r="AO14" s="10">
        <f>s_C*(up_Bv!O14+s_MLF_okra)*s_IFOK_res_adj*s_CF_okra</f>
        <v>37914.59375</v>
      </c>
      <c r="AP14" s="10">
        <f>s_C*(up_Bv!P14+s_MLF_onion)*s_IFON_res_adj*s_CF_onion</f>
        <v>37914.59375</v>
      </c>
      <c r="AQ14" s="10">
        <f>s_C*(up_Bv!Q14+s_MLF_peach)*s_IFPC_res_adj*s_CF_peach</f>
        <v>37914.59375</v>
      </c>
      <c r="AR14" s="10">
        <f>s_C*(up_Bv!R14+s_MLF_pear)*s_IFPR_res_adj*s_CF_pear</f>
        <v>37914.59375</v>
      </c>
      <c r="AS14" s="10">
        <f>s_C*(up_Bv!S14+s_MLF_peas)*s_IFPE_res_adj*s_CF_peas</f>
        <v>37914.59375</v>
      </c>
      <c r="AT14" s="10">
        <f>s_C*(up_Bv!T14+s_MLF_potato)*s_IFPT_res_adj*s_CF_potato</f>
        <v>37914.59375</v>
      </c>
      <c r="AU14" s="10">
        <f>s_C*(up_Bv!U14+s_MLF_pumpkin)*s_IFPU_res_adj*s_CF_pumpkin</f>
        <v>37914.59375</v>
      </c>
      <c r="AV14" s="10">
        <f>s_C*(up_Bv!V14+s_MLF_snap_bean)*s_IFSN_res_adj*s_CF_snap_bean</f>
        <v>37914.59375</v>
      </c>
      <c r="AW14" s="10">
        <f>s_C*(up_Bv!W14+s_MLF_strawberry)*s_IFST_res_adj*s_CF_strawberry</f>
        <v>37914.59375</v>
      </c>
      <c r="AX14" s="10">
        <f>s_C*(up_Bv!X14+s_MLF_tomato)*s_IFTO_res_adj*s_CF_tomato</f>
        <v>37914.59375</v>
      </c>
      <c r="AY14" s="10">
        <f>s_C*(up_Bv!Y14+s_MLF_rice)*s_IFRI_res_adj*s_CF_rice</f>
        <v>37914.59375</v>
      </c>
      <c r="AZ14" s="10">
        <f>s_C*(up_Bv!Z14+s_MLF_cereal)*s_IFCG_res_adj*s_CF_cereal</f>
        <v>37914.59375</v>
      </c>
      <c r="BA14" s="2">
        <f t="shared" si="2"/>
        <v>4.3958447178843029E-5</v>
      </c>
      <c r="BB14" s="2">
        <f>IFERROR((up_dir!AC14/(up_Bv!C14+s_MLF_apple)),".")</f>
        <v>1.3187534153652909E-4</v>
      </c>
      <c r="BC14" s="2">
        <f>IFERROR((up_dir!AD14/(up_Bv!D14+s_MLF_asparagus)),".")</f>
        <v>1.3187534153652909E-4</v>
      </c>
      <c r="BD14" s="2">
        <f>IFERROR((up_dir!AE14/(up_Bv!E14+s_MLF_beet)),".")</f>
        <v>1.3187534153652909E-4</v>
      </c>
      <c r="BE14" s="2">
        <f>IFERROR((up_dir!AF14/(up_Bv!F14+s_MLF_berries)),".")</f>
        <v>1.3187534153652909E-4</v>
      </c>
      <c r="BF14" s="2">
        <f>IFERROR((up_dir!AG14/(up_Bv!G14+s_MLF_broccoli)),".")</f>
        <v>1.3187534153652909E-4</v>
      </c>
      <c r="BG14" s="2">
        <f>IFERROR((up_dir!AH14/(up_Bv!H14+s_MLF_cabbage)),".")</f>
        <v>1.3187534153652909E-4</v>
      </c>
      <c r="BH14" s="2">
        <f>IFERROR((up_dir!AI14/(up_Bv!I14+s_MLF_carrot)),".")</f>
        <v>1.3187534153652909E-4</v>
      </c>
      <c r="BI14" s="2">
        <f>IFERROR((up_dir!AJ14/(up_Bv!J14+s_MLF_citrus)),".")</f>
        <v>1.3187534153652909E-4</v>
      </c>
      <c r="BJ14" s="2">
        <f>IFERROR((up_dir!AK14/(up_Bv!K14+s_MLF_corn)),".")</f>
        <v>1.3187534153652909E-4</v>
      </c>
      <c r="BK14" s="2">
        <f>IFERROR((up_dir!AL14/(up_Bv!L14+s_MLF_cucumber)),".")</f>
        <v>1.3187534153652909E-4</v>
      </c>
      <c r="BL14" s="2">
        <f>IFERROR((up_dir!AM14/(up_Bv!M14+s_MLF_lettuce)),".")</f>
        <v>1.3187534153652909E-4</v>
      </c>
      <c r="BM14" s="2">
        <f>IFERROR((up_dir!AN14/(up_Bv!N14+s_MLF_lima_bean)),".")</f>
        <v>1.3187534153652909E-4</v>
      </c>
      <c r="BN14" s="2">
        <f>IFERROR((up_dir!AO14/(up_Bv!O14+s_MLF_okra)),".")</f>
        <v>1.3187534153652909E-4</v>
      </c>
      <c r="BO14" s="2">
        <f>IFERROR((up_dir!AP14/(up_Bv!P14+s_MLF_onion)),".")</f>
        <v>1.3187534153652909E-4</v>
      </c>
      <c r="BP14" s="2">
        <f>IFERROR((up_dir!AQ14/(up_Bv!Q14+s_MLF_peach)),".")</f>
        <v>1.3187534153652909E-4</v>
      </c>
      <c r="BQ14" s="2">
        <f>IFERROR((up_dir!AR14/(up_Bv!R14+s_MLF_pear)),".")</f>
        <v>1.3187534153652909E-4</v>
      </c>
      <c r="BR14" s="2">
        <f>IFERROR((up_dir!AS14/(up_Bv!S14+s_MLF_peas)),".")</f>
        <v>1.3187534153652909E-4</v>
      </c>
      <c r="BS14" s="2">
        <f>IFERROR((up_dir!AT14/(up_Bv!T14+s_MLF_potato)),".")</f>
        <v>1.3187534153652909E-4</v>
      </c>
      <c r="BT14" s="2">
        <f>IFERROR((up_dir!AU14/(up_Bv!U14+s_MLF_pumpkin)),".")</f>
        <v>1.3187534153652909E-4</v>
      </c>
      <c r="BU14" s="2">
        <f>IFERROR((up_dir!AV14/(up_Bv!V14+s_MLF_snap_bean)),".")</f>
        <v>1.3187534153652909E-4</v>
      </c>
      <c r="BV14" s="2">
        <f>IFERROR((up_dir!AW14/(up_Bv!W14+s_MLF_strawberry)),".")</f>
        <v>1.3187534153652909E-4</v>
      </c>
      <c r="BW14" s="2">
        <f>IFERROR((up_dir!AX14/(up_Bv!X14+s_MLF_tomato)),".")</f>
        <v>1.3187534153652909E-4</v>
      </c>
      <c r="BX14" s="2">
        <f>IFERROR((up_dir!AY14/(up_Bv!Y14+s_MLF_rice)),".")</f>
        <v>1.3187534153652909E-4</v>
      </c>
      <c r="BY14" s="2">
        <f>IFERROR((up_dir!AZ14/(up_Bv!Z14+s_MLF_cereal)),".")</f>
        <v>1.3187534153652909E-4</v>
      </c>
      <c r="BZ14" s="10">
        <f t="shared" si="3"/>
        <v>113743.78125</v>
      </c>
      <c r="CA14" s="10">
        <f>IFERROR(s_C*(up_Bv!C14+s_MLF_apple)*s_IFAP_far_adj*s_CF_apple,".")</f>
        <v>37914.59375</v>
      </c>
      <c r="CB14" s="10">
        <f>IFERROR(s_C*(up_Bv!D14+s_MLF_asparagus)*s_IFAS_far_adj*s_CF_asparagus,".")</f>
        <v>37914.59375</v>
      </c>
      <c r="CC14" s="10">
        <f>IFERROR(s_C*(up_Bv!E14+s_MLF_beet)*s_IFBT_far_adj*s_CF_beet,".")</f>
        <v>37914.59375</v>
      </c>
      <c r="CD14" s="10">
        <f>IFERROR(s_C*(up_Bv!F14+s_MLF_berries)*s_IFBR_far_adj*s_CF_berries,".")</f>
        <v>37914.59375</v>
      </c>
      <c r="CE14" s="10">
        <f>IFERROR(s_C*(up_Bv!G14+s_MLF_broccoli)*s_IFBR_far_adj*s_CF_broccoli,".")</f>
        <v>37914.59375</v>
      </c>
      <c r="CF14" s="10">
        <f>IFERROR(s_C*(up_Bv!H14+s_MLF_cabbage)*s_IFCB_far_adj*s_CF_cabbage,".")</f>
        <v>37914.59375</v>
      </c>
      <c r="CG14" s="10">
        <f>IFERROR(s_C*(up_Bv!I14+s_MLF_carrot)*s_IFCR_far_adj*s_CF_carrot,".")</f>
        <v>37914.59375</v>
      </c>
      <c r="CH14" s="10">
        <f>IFERROR(s_C*(up_Bv!J14+s_MLF_citrus)*s_IFCI_far_adj*s_CF_citrus,".")</f>
        <v>37914.59375</v>
      </c>
      <c r="CI14" s="10">
        <f>IFERROR(s_C*(up_Bv!K14+s_MLF_corn)*s_IFCO_far_adj*s_CF_corn,".")</f>
        <v>37914.59375</v>
      </c>
      <c r="CJ14" s="10">
        <f>IFERROR(s_C*(up_Bv!L14+s_MLF_cucumber)*s_IFCU_far_adj*s_CF_cucumber,".")</f>
        <v>37914.59375</v>
      </c>
      <c r="CK14" s="10">
        <f>IFERROR(s_C*(up_Bv!M14+s_MLF_lettuce)*s_IFLE_far_adj*s_CF_lettuce,".")</f>
        <v>37914.59375</v>
      </c>
      <c r="CL14" s="10">
        <f>IFERROR(s_C*(up_Bv!N14+s_MLF_lima_bean)*s_IFLI_far_adj*s_CF_lima_bean,".")</f>
        <v>37914.59375</v>
      </c>
      <c r="CM14" s="10">
        <f>IFERROR(s_C*(up_Bv!O14+s_MLF_okra)*s_IFOK_far_adj*s_CF_okra,".")</f>
        <v>37914.59375</v>
      </c>
      <c r="CN14" s="10">
        <f>IFERROR(s_C*(up_Bv!P14+s_MLF_onion)*s_IFON_far_adj*s_CF_onion,".")</f>
        <v>37914.59375</v>
      </c>
      <c r="CO14" s="10">
        <f>IFERROR(s_C*(up_Bv!Q14+s_MLF_peach)*s_IFPC_far_adj*s_CF_peach,".")</f>
        <v>37914.59375</v>
      </c>
      <c r="CP14" s="10">
        <f>IFERROR(s_C*(up_Bv!R14+s_MLF_pear)*s_IFPR_far_adj*s_CF_pear,".")</f>
        <v>37914.59375</v>
      </c>
      <c r="CQ14" s="10">
        <f>IFERROR(s_C*(up_Bv!S14+s_MLF_peas)*s_IFPE_far_adj*s_CF_peas,".")</f>
        <v>37914.59375</v>
      </c>
      <c r="CR14" s="10">
        <f>IFERROR(s_C*(up_Bv!T14+s_MLF_potato)*s_IFPT_far_adj*s_CF_potato,".")</f>
        <v>37914.59375</v>
      </c>
      <c r="CS14" s="10">
        <f>IFERROR(s_C*(up_Bv!U14+s_MLF_pumpkin)*s_IFPU_far_adj*s_CF_pumpkin,".")</f>
        <v>37914.59375</v>
      </c>
      <c r="CT14" s="10">
        <f>IFERROR(s_C*(up_Bv!V14+s_MLF_snap_bean)*s_IFSN_far_adj*s_CF_snap_bean,".")</f>
        <v>37914.59375</v>
      </c>
      <c r="CU14" s="10">
        <f>IFERROR(s_C*(up_Bv!W14+s_MLF_strawberry)*s_IFST_far_adj*s_CF_strawberry,".")</f>
        <v>37914.59375</v>
      </c>
      <c r="CV14" s="10">
        <f>IFERROR(s_C*(up_Bv!X14+s_MLF_tomato)*s_IFTO_far_adj*s_CF_tomato,".")</f>
        <v>37914.59375</v>
      </c>
      <c r="CW14" s="10">
        <f>IFERROR(s_C*(up_Bv!Y14+s_MLF_rice)*s_IFRI_far_adj*s_CF_rice,".")</f>
        <v>37914.59375</v>
      </c>
      <c r="CX14" s="10">
        <f>IFERROR(s_C*(up_Bv!Z14+s_MLF_cereal)*s_IFCG_far_adj*s_CF_cereal,".")</f>
        <v>37914.59375</v>
      </c>
    </row>
    <row r="15" spans="1:102" ht="15" customHeight="1" x14ac:dyDescent="0.25">
      <c r="A15" s="31" t="s">
        <v>13</v>
      </c>
      <c r="B15" s="3" t="s">
        <v>1059</v>
      </c>
      <c r="C15" s="73">
        <f t="shared" si="1"/>
        <v>4.3958447178843029E-5</v>
      </c>
      <c r="D15" s="73">
        <f>IFERROR((up_dir!D15/(up_Bv!C15+s_MLF_apple)),".")</f>
        <v>1.3187534153652909E-4</v>
      </c>
      <c r="E15" s="73">
        <f>IFERROR((up_dir!E15/(up_Bv!D15+s_MLF_asparagus)),".")</f>
        <v>1.3187534153652909E-4</v>
      </c>
      <c r="F15" s="73">
        <f>IFERROR((up_dir!F15/(up_Bv!E15+s_MLF_beet)),".")</f>
        <v>1.3187534153652909E-4</v>
      </c>
      <c r="G15" s="73">
        <f>IFERROR((up_dir!G15/(up_Bv!F15+s_MLF_berries)),".")</f>
        <v>1.3187534153652909E-4</v>
      </c>
      <c r="H15" s="73">
        <f>IFERROR((up_dir!H15/(up_Bv!G15+s_MLF_broccoli)),".")</f>
        <v>1.3187534153652909E-4</v>
      </c>
      <c r="I15" s="73">
        <f>IFERROR((up_dir!I15/(up_Bv!H15+s_MLF_cabbage)),".")</f>
        <v>1.3187534153652909E-4</v>
      </c>
      <c r="J15" s="73">
        <f>IFERROR((up_dir!J15/(up_Bv!I15+s_MLF_carrot)),".")</f>
        <v>1.3187534153652909E-4</v>
      </c>
      <c r="K15" s="73">
        <f>IFERROR((up_dir!K15/(up_Bv!J15+s_MLF_citrus)),".")</f>
        <v>1.3187534153652909E-4</v>
      </c>
      <c r="L15" s="73">
        <f>IFERROR((up_dir!L15/(up_Bv!K15+s_MLF_corn)),".")</f>
        <v>1.3187534153652909E-4</v>
      </c>
      <c r="M15" s="73">
        <f>IFERROR((up_dir!M15/(up_Bv!L15+s_MLF_cucumber)),".")</f>
        <v>1.3187534153652909E-4</v>
      </c>
      <c r="N15" s="73">
        <f>IFERROR((up_dir!N15/(up_Bv!M15+s_MLF_lettuce)),".")</f>
        <v>1.3187534153652909E-4</v>
      </c>
      <c r="O15" s="73">
        <f>IFERROR((up_dir!O15/(up_Bv!N15+s_MLF_lima_bean)),".")</f>
        <v>1.3187534153652909E-4</v>
      </c>
      <c r="P15" s="73">
        <f>IFERROR((up_dir!P15/(up_Bv!O15+s_MLF_okra)),".")</f>
        <v>1.3187534153652909E-4</v>
      </c>
      <c r="Q15" s="73">
        <f>IFERROR((up_dir!Q15/(up_Bv!P15+s_MLF_onion)),".")</f>
        <v>1.3187534153652909E-4</v>
      </c>
      <c r="R15" s="73">
        <f>IFERROR((up_dir!R15/(up_Bv!Q15+s_MLF_peach)),".")</f>
        <v>1.3187534153652909E-4</v>
      </c>
      <c r="S15" s="73">
        <f>IFERROR((up_dir!S15/(up_Bv!R15+s_MLF_pear)),".")</f>
        <v>1.3187534153652909E-4</v>
      </c>
      <c r="T15" s="73">
        <f>IFERROR((up_dir!T15/(up_Bv!S15+s_MLF_peas)),".")</f>
        <v>1.3187534153652909E-4</v>
      </c>
      <c r="U15" s="73">
        <f>IFERROR((up_dir!U15/(up_Bv!T15+s_MLF_potato)),".")</f>
        <v>1.3187534153652909E-4</v>
      </c>
      <c r="V15" s="73">
        <f>IFERROR((up_dir!V15/(up_Bv!U15+s_MLF_pumpkin)),".")</f>
        <v>1.3187534153652909E-4</v>
      </c>
      <c r="W15" s="73">
        <f>IFERROR((up_dir!W15/(up_Bv!V15+s_MLF_snap_bean)),".")</f>
        <v>1.3187534153652909E-4</v>
      </c>
      <c r="X15" s="73">
        <f>IFERROR((up_dir!X15/(up_Bv!W15+s_MLF_strawberry)),".")</f>
        <v>1.3187534153652909E-4</v>
      </c>
      <c r="Y15" s="73">
        <f>IFERROR((up_dir!Y15/(up_Bv!X15+s_MLF_tomato)),".")</f>
        <v>1.3187534153652909E-4</v>
      </c>
      <c r="Z15" s="73">
        <f>IFERROR((up_dir!Z15/(up_Bv!Y15+s_MLF_rice)),".")</f>
        <v>1.3187534153652909E-4</v>
      </c>
      <c r="AA15" s="73">
        <f>IFERROR((up_dir!AA15/(up_Bv!Z15+s_MLF_cereal)),".")</f>
        <v>1.3187534153652909E-4</v>
      </c>
      <c r="AB15" s="10">
        <f t="shared" si="4"/>
        <v>113743.78125</v>
      </c>
      <c r="AC15" s="10">
        <f>s_C*(up_Bv!C15+s_MLF_apple)*s_IFAP_res_adj*s_CF_apple</f>
        <v>37914.59375</v>
      </c>
      <c r="AD15" s="10">
        <f>s_C*(up_Bv!D15+s_MLF_asparagus)*s_IFAS_res_adj*s_CF_asparagus</f>
        <v>37914.59375</v>
      </c>
      <c r="AE15" s="10">
        <f>s_C*(up_Bv!E15+s_MLF_beet)*s_IFBT_res_adj*s_CF_beet</f>
        <v>37914.59375</v>
      </c>
      <c r="AF15" s="10">
        <f>s_C*(up_Bv!F15+s_MLF_berries)*s_IFBE_res_adj*s_CF_berries</f>
        <v>37914.59375</v>
      </c>
      <c r="AG15" s="10">
        <f>s_C*(up_Bv!G15+s_MLF_broccoli)*s_IFBR_res_adj*s_CF_broccoli</f>
        <v>37914.59375</v>
      </c>
      <c r="AH15" s="10">
        <f>s_C*(up_Bv!H15+s_MLF_cabbage)*s_IFCB_res_adj*s_CF_cabbage</f>
        <v>37914.59375</v>
      </c>
      <c r="AI15" s="10">
        <f>s_C*(up_Bv!I15+s_MLF_carrot)*s_IFCR_res_adj*s_CF_carrot</f>
        <v>37914.59375</v>
      </c>
      <c r="AJ15" s="10">
        <f>s_C*(up_Bv!J15+s_MLF_citrus)*s_IFCI_res_adj*s_CF_citrus</f>
        <v>37914.59375</v>
      </c>
      <c r="AK15" s="10">
        <f>s_C*(up_Bv!K15+s_MLF_corn)*s_IFCO_res_adj*s_CF_corn</f>
        <v>37914.59375</v>
      </c>
      <c r="AL15" s="10">
        <f>s_C*(up_Bv!L15+s_MLF_cucumber)*s_IFCU_res_adj*s_CF_cucumber</f>
        <v>37914.59375</v>
      </c>
      <c r="AM15" s="10">
        <f>s_C*(up_Bv!M15+s_MLF_lettuce)*s_IFLE_res_adj*s_CF_lettuce</f>
        <v>37914.59375</v>
      </c>
      <c r="AN15" s="10">
        <f>s_C*(up_Bv!N15+s_MLF_lima_bean)*s_IFLI_res_adj*s_CF_lima_bean</f>
        <v>37914.59375</v>
      </c>
      <c r="AO15" s="10">
        <f>s_C*(up_Bv!O15+s_MLF_okra)*s_IFOK_res_adj*s_CF_okra</f>
        <v>37914.59375</v>
      </c>
      <c r="AP15" s="10">
        <f>s_C*(up_Bv!P15+s_MLF_onion)*s_IFON_res_adj*s_CF_onion</f>
        <v>37914.59375</v>
      </c>
      <c r="AQ15" s="10">
        <f>s_C*(up_Bv!Q15+s_MLF_peach)*s_IFPC_res_adj*s_CF_peach</f>
        <v>37914.59375</v>
      </c>
      <c r="AR15" s="10">
        <f>s_C*(up_Bv!R15+s_MLF_pear)*s_IFPR_res_adj*s_CF_pear</f>
        <v>37914.59375</v>
      </c>
      <c r="AS15" s="10">
        <f>s_C*(up_Bv!S15+s_MLF_peas)*s_IFPE_res_adj*s_CF_peas</f>
        <v>37914.59375</v>
      </c>
      <c r="AT15" s="10">
        <f>s_C*(up_Bv!T15+s_MLF_potato)*s_IFPT_res_adj*s_CF_potato</f>
        <v>37914.59375</v>
      </c>
      <c r="AU15" s="10">
        <f>s_C*(up_Bv!U15+s_MLF_pumpkin)*s_IFPU_res_adj*s_CF_pumpkin</f>
        <v>37914.59375</v>
      </c>
      <c r="AV15" s="10">
        <f>s_C*(up_Bv!V15+s_MLF_snap_bean)*s_IFSN_res_adj*s_CF_snap_bean</f>
        <v>37914.59375</v>
      </c>
      <c r="AW15" s="10">
        <f>s_C*(up_Bv!W15+s_MLF_strawberry)*s_IFST_res_adj*s_CF_strawberry</f>
        <v>37914.59375</v>
      </c>
      <c r="AX15" s="10">
        <f>s_C*(up_Bv!X15+s_MLF_tomato)*s_IFTO_res_adj*s_CF_tomato</f>
        <v>37914.59375</v>
      </c>
      <c r="AY15" s="10">
        <f>s_C*(up_Bv!Y15+s_MLF_rice)*s_IFRI_res_adj*s_CF_rice</f>
        <v>37914.59375</v>
      </c>
      <c r="AZ15" s="10">
        <f>s_C*(up_Bv!Z15+s_MLF_cereal)*s_IFCG_res_adj*s_CF_cereal</f>
        <v>37914.59375</v>
      </c>
      <c r="BA15" s="2">
        <f t="shared" si="2"/>
        <v>4.3958447178843029E-5</v>
      </c>
      <c r="BB15" s="2">
        <f>IFERROR((up_dir!AC15/(up_Bv!C15+s_MLF_apple)),".")</f>
        <v>1.3187534153652909E-4</v>
      </c>
      <c r="BC15" s="2">
        <f>IFERROR((up_dir!AD15/(up_Bv!D15+s_MLF_asparagus)),".")</f>
        <v>1.3187534153652909E-4</v>
      </c>
      <c r="BD15" s="2">
        <f>IFERROR((up_dir!AE15/(up_Bv!E15+s_MLF_beet)),".")</f>
        <v>1.3187534153652909E-4</v>
      </c>
      <c r="BE15" s="2">
        <f>IFERROR((up_dir!AF15/(up_Bv!F15+s_MLF_berries)),".")</f>
        <v>1.3187534153652909E-4</v>
      </c>
      <c r="BF15" s="2">
        <f>IFERROR((up_dir!AG15/(up_Bv!G15+s_MLF_broccoli)),".")</f>
        <v>1.3187534153652909E-4</v>
      </c>
      <c r="BG15" s="2">
        <f>IFERROR((up_dir!AH15/(up_Bv!H15+s_MLF_cabbage)),".")</f>
        <v>1.3187534153652909E-4</v>
      </c>
      <c r="BH15" s="2">
        <f>IFERROR((up_dir!AI15/(up_Bv!I15+s_MLF_carrot)),".")</f>
        <v>1.3187534153652909E-4</v>
      </c>
      <c r="BI15" s="2">
        <f>IFERROR((up_dir!AJ15/(up_Bv!J15+s_MLF_citrus)),".")</f>
        <v>1.3187534153652909E-4</v>
      </c>
      <c r="BJ15" s="2">
        <f>IFERROR((up_dir!AK15/(up_Bv!K15+s_MLF_corn)),".")</f>
        <v>1.3187534153652909E-4</v>
      </c>
      <c r="BK15" s="2">
        <f>IFERROR((up_dir!AL15/(up_Bv!L15+s_MLF_cucumber)),".")</f>
        <v>1.3187534153652909E-4</v>
      </c>
      <c r="BL15" s="2">
        <f>IFERROR((up_dir!AM15/(up_Bv!M15+s_MLF_lettuce)),".")</f>
        <v>1.3187534153652909E-4</v>
      </c>
      <c r="BM15" s="2">
        <f>IFERROR((up_dir!AN15/(up_Bv!N15+s_MLF_lima_bean)),".")</f>
        <v>1.3187534153652909E-4</v>
      </c>
      <c r="BN15" s="2">
        <f>IFERROR((up_dir!AO15/(up_Bv!O15+s_MLF_okra)),".")</f>
        <v>1.3187534153652909E-4</v>
      </c>
      <c r="BO15" s="2">
        <f>IFERROR((up_dir!AP15/(up_Bv!P15+s_MLF_onion)),".")</f>
        <v>1.3187534153652909E-4</v>
      </c>
      <c r="BP15" s="2">
        <f>IFERROR((up_dir!AQ15/(up_Bv!Q15+s_MLF_peach)),".")</f>
        <v>1.3187534153652909E-4</v>
      </c>
      <c r="BQ15" s="2">
        <f>IFERROR((up_dir!AR15/(up_Bv!R15+s_MLF_pear)),".")</f>
        <v>1.3187534153652909E-4</v>
      </c>
      <c r="BR15" s="2">
        <f>IFERROR((up_dir!AS15/(up_Bv!S15+s_MLF_peas)),".")</f>
        <v>1.3187534153652909E-4</v>
      </c>
      <c r="BS15" s="2">
        <f>IFERROR((up_dir!AT15/(up_Bv!T15+s_MLF_potato)),".")</f>
        <v>1.3187534153652909E-4</v>
      </c>
      <c r="BT15" s="2">
        <f>IFERROR((up_dir!AU15/(up_Bv!U15+s_MLF_pumpkin)),".")</f>
        <v>1.3187534153652909E-4</v>
      </c>
      <c r="BU15" s="2">
        <f>IFERROR((up_dir!AV15/(up_Bv!V15+s_MLF_snap_bean)),".")</f>
        <v>1.3187534153652909E-4</v>
      </c>
      <c r="BV15" s="2">
        <f>IFERROR((up_dir!AW15/(up_Bv!W15+s_MLF_strawberry)),".")</f>
        <v>1.3187534153652909E-4</v>
      </c>
      <c r="BW15" s="2">
        <f>IFERROR((up_dir!AX15/(up_Bv!X15+s_MLF_tomato)),".")</f>
        <v>1.3187534153652909E-4</v>
      </c>
      <c r="BX15" s="2">
        <f>IFERROR((up_dir!AY15/(up_Bv!Y15+s_MLF_rice)),".")</f>
        <v>1.3187534153652909E-4</v>
      </c>
      <c r="BY15" s="2">
        <f>IFERROR((up_dir!AZ15/(up_Bv!Z15+s_MLF_cereal)),".")</f>
        <v>1.3187534153652909E-4</v>
      </c>
      <c r="BZ15" s="10">
        <f t="shared" si="3"/>
        <v>113743.78125</v>
      </c>
      <c r="CA15" s="10">
        <f>IFERROR(s_C*(up_Bv!C15+s_MLF_apple)*s_IFAP_far_adj*s_CF_apple,".")</f>
        <v>37914.59375</v>
      </c>
      <c r="CB15" s="10">
        <f>IFERROR(s_C*(up_Bv!D15+s_MLF_asparagus)*s_IFAS_far_adj*s_CF_asparagus,".")</f>
        <v>37914.59375</v>
      </c>
      <c r="CC15" s="10">
        <f>IFERROR(s_C*(up_Bv!E15+s_MLF_beet)*s_IFBT_far_adj*s_CF_beet,".")</f>
        <v>37914.59375</v>
      </c>
      <c r="CD15" s="10">
        <f>IFERROR(s_C*(up_Bv!F15+s_MLF_berries)*s_IFBR_far_adj*s_CF_berries,".")</f>
        <v>37914.59375</v>
      </c>
      <c r="CE15" s="10">
        <f>IFERROR(s_C*(up_Bv!G15+s_MLF_broccoli)*s_IFBR_far_adj*s_CF_broccoli,".")</f>
        <v>37914.59375</v>
      </c>
      <c r="CF15" s="10">
        <f>IFERROR(s_C*(up_Bv!H15+s_MLF_cabbage)*s_IFCB_far_adj*s_CF_cabbage,".")</f>
        <v>37914.59375</v>
      </c>
      <c r="CG15" s="10">
        <f>IFERROR(s_C*(up_Bv!I15+s_MLF_carrot)*s_IFCR_far_adj*s_CF_carrot,".")</f>
        <v>37914.59375</v>
      </c>
      <c r="CH15" s="10">
        <f>IFERROR(s_C*(up_Bv!J15+s_MLF_citrus)*s_IFCI_far_adj*s_CF_citrus,".")</f>
        <v>37914.59375</v>
      </c>
      <c r="CI15" s="10">
        <f>IFERROR(s_C*(up_Bv!K15+s_MLF_corn)*s_IFCO_far_adj*s_CF_corn,".")</f>
        <v>37914.59375</v>
      </c>
      <c r="CJ15" s="10">
        <f>IFERROR(s_C*(up_Bv!L15+s_MLF_cucumber)*s_IFCU_far_adj*s_CF_cucumber,".")</f>
        <v>37914.59375</v>
      </c>
      <c r="CK15" s="10">
        <f>IFERROR(s_C*(up_Bv!M15+s_MLF_lettuce)*s_IFLE_far_adj*s_CF_lettuce,".")</f>
        <v>37914.59375</v>
      </c>
      <c r="CL15" s="10">
        <f>IFERROR(s_C*(up_Bv!N15+s_MLF_lima_bean)*s_IFLI_far_adj*s_CF_lima_bean,".")</f>
        <v>37914.59375</v>
      </c>
      <c r="CM15" s="10">
        <f>IFERROR(s_C*(up_Bv!O15+s_MLF_okra)*s_IFOK_far_adj*s_CF_okra,".")</f>
        <v>37914.59375</v>
      </c>
      <c r="CN15" s="10">
        <f>IFERROR(s_C*(up_Bv!P15+s_MLF_onion)*s_IFON_far_adj*s_CF_onion,".")</f>
        <v>37914.59375</v>
      </c>
      <c r="CO15" s="10">
        <f>IFERROR(s_C*(up_Bv!Q15+s_MLF_peach)*s_IFPC_far_adj*s_CF_peach,".")</f>
        <v>37914.59375</v>
      </c>
      <c r="CP15" s="10">
        <f>IFERROR(s_C*(up_Bv!R15+s_MLF_pear)*s_IFPR_far_adj*s_CF_pear,".")</f>
        <v>37914.59375</v>
      </c>
      <c r="CQ15" s="10">
        <f>IFERROR(s_C*(up_Bv!S15+s_MLF_peas)*s_IFPE_far_adj*s_CF_peas,".")</f>
        <v>37914.59375</v>
      </c>
      <c r="CR15" s="10">
        <f>IFERROR(s_C*(up_Bv!T15+s_MLF_potato)*s_IFPT_far_adj*s_CF_potato,".")</f>
        <v>37914.59375</v>
      </c>
      <c r="CS15" s="10">
        <f>IFERROR(s_C*(up_Bv!U15+s_MLF_pumpkin)*s_IFPU_far_adj*s_CF_pumpkin,".")</f>
        <v>37914.59375</v>
      </c>
      <c r="CT15" s="10">
        <f>IFERROR(s_C*(up_Bv!V15+s_MLF_snap_bean)*s_IFSN_far_adj*s_CF_snap_bean,".")</f>
        <v>37914.59375</v>
      </c>
      <c r="CU15" s="10">
        <f>IFERROR(s_C*(up_Bv!W15+s_MLF_strawberry)*s_IFST_far_adj*s_CF_strawberry,".")</f>
        <v>37914.59375</v>
      </c>
      <c r="CV15" s="10">
        <f>IFERROR(s_C*(up_Bv!X15+s_MLF_tomato)*s_IFTO_far_adj*s_CF_tomato,".")</f>
        <v>37914.59375</v>
      </c>
      <c r="CW15" s="10">
        <f>IFERROR(s_C*(up_Bv!Y15+s_MLF_rice)*s_IFRI_far_adj*s_CF_rice,".")</f>
        <v>37914.59375</v>
      </c>
      <c r="CX15" s="10">
        <f>IFERROR(s_C*(up_Bv!Z15+s_MLF_cereal)*s_IFCG_far_adj*s_CF_cereal,".")</f>
        <v>37914.59375</v>
      </c>
    </row>
    <row r="16" spans="1:102" ht="15" customHeight="1" x14ac:dyDescent="0.25">
      <c r="A16" s="31" t="s">
        <v>14</v>
      </c>
      <c r="B16" s="3" t="s">
        <v>1059</v>
      </c>
      <c r="C16" s="73">
        <f t="shared" si="1"/>
        <v>4.3958447178843029E-5</v>
      </c>
      <c r="D16" s="73">
        <f>IFERROR((up_dir!D16/(up_Bv!C16+s_MLF_apple)),".")</f>
        <v>1.3187534153652909E-4</v>
      </c>
      <c r="E16" s="73">
        <f>IFERROR((up_dir!E16/(up_Bv!D16+s_MLF_asparagus)),".")</f>
        <v>1.3187534153652909E-4</v>
      </c>
      <c r="F16" s="73">
        <f>IFERROR((up_dir!F16/(up_Bv!E16+s_MLF_beet)),".")</f>
        <v>1.3187534153652909E-4</v>
      </c>
      <c r="G16" s="73">
        <f>IFERROR((up_dir!G16/(up_Bv!F16+s_MLF_berries)),".")</f>
        <v>1.3187534153652909E-4</v>
      </c>
      <c r="H16" s="73">
        <f>IFERROR((up_dir!H16/(up_Bv!G16+s_MLF_broccoli)),".")</f>
        <v>1.3187534153652909E-4</v>
      </c>
      <c r="I16" s="73">
        <f>IFERROR((up_dir!I16/(up_Bv!H16+s_MLF_cabbage)),".")</f>
        <v>1.3187534153652909E-4</v>
      </c>
      <c r="J16" s="73">
        <f>IFERROR((up_dir!J16/(up_Bv!I16+s_MLF_carrot)),".")</f>
        <v>1.3187534153652909E-4</v>
      </c>
      <c r="K16" s="73">
        <f>IFERROR((up_dir!K16/(up_Bv!J16+s_MLF_citrus)),".")</f>
        <v>1.3187534153652909E-4</v>
      </c>
      <c r="L16" s="73">
        <f>IFERROR((up_dir!L16/(up_Bv!K16+s_MLF_corn)),".")</f>
        <v>1.3187534153652909E-4</v>
      </c>
      <c r="M16" s="73">
        <f>IFERROR((up_dir!M16/(up_Bv!L16+s_MLF_cucumber)),".")</f>
        <v>1.3187534153652909E-4</v>
      </c>
      <c r="N16" s="73">
        <f>IFERROR((up_dir!N16/(up_Bv!M16+s_MLF_lettuce)),".")</f>
        <v>1.3187534153652909E-4</v>
      </c>
      <c r="O16" s="73">
        <f>IFERROR((up_dir!O16/(up_Bv!N16+s_MLF_lima_bean)),".")</f>
        <v>1.3187534153652909E-4</v>
      </c>
      <c r="P16" s="73">
        <f>IFERROR((up_dir!P16/(up_Bv!O16+s_MLF_okra)),".")</f>
        <v>1.3187534153652909E-4</v>
      </c>
      <c r="Q16" s="73">
        <f>IFERROR((up_dir!Q16/(up_Bv!P16+s_MLF_onion)),".")</f>
        <v>1.3187534153652909E-4</v>
      </c>
      <c r="R16" s="73">
        <f>IFERROR((up_dir!R16/(up_Bv!Q16+s_MLF_peach)),".")</f>
        <v>1.3187534153652909E-4</v>
      </c>
      <c r="S16" s="73">
        <f>IFERROR((up_dir!S16/(up_Bv!R16+s_MLF_pear)),".")</f>
        <v>1.3187534153652909E-4</v>
      </c>
      <c r="T16" s="73">
        <f>IFERROR((up_dir!T16/(up_Bv!S16+s_MLF_peas)),".")</f>
        <v>1.3187534153652909E-4</v>
      </c>
      <c r="U16" s="73">
        <f>IFERROR((up_dir!U16/(up_Bv!T16+s_MLF_potato)),".")</f>
        <v>1.3187534153652909E-4</v>
      </c>
      <c r="V16" s="73">
        <f>IFERROR((up_dir!V16/(up_Bv!U16+s_MLF_pumpkin)),".")</f>
        <v>1.3187534153652909E-4</v>
      </c>
      <c r="W16" s="73">
        <f>IFERROR((up_dir!W16/(up_Bv!V16+s_MLF_snap_bean)),".")</f>
        <v>1.3187534153652909E-4</v>
      </c>
      <c r="X16" s="73">
        <f>IFERROR((up_dir!X16/(up_Bv!W16+s_MLF_strawberry)),".")</f>
        <v>1.3187534153652909E-4</v>
      </c>
      <c r="Y16" s="73">
        <f>IFERROR((up_dir!Y16/(up_Bv!X16+s_MLF_tomato)),".")</f>
        <v>1.3187534153652909E-4</v>
      </c>
      <c r="Z16" s="73">
        <f>IFERROR((up_dir!Z16/(up_Bv!Y16+s_MLF_rice)),".")</f>
        <v>1.3187534153652909E-4</v>
      </c>
      <c r="AA16" s="73">
        <f>IFERROR((up_dir!AA16/(up_Bv!Z16+s_MLF_cereal)),".")</f>
        <v>1.3187534153652909E-4</v>
      </c>
      <c r="AB16" s="10">
        <f t="shared" si="4"/>
        <v>113743.78125</v>
      </c>
      <c r="AC16" s="10">
        <f>s_C*(up_Bv!C16+s_MLF_apple)*s_IFAP_res_adj*s_CF_apple</f>
        <v>37914.59375</v>
      </c>
      <c r="AD16" s="10">
        <f>s_C*(up_Bv!D16+s_MLF_asparagus)*s_IFAS_res_adj*s_CF_asparagus</f>
        <v>37914.59375</v>
      </c>
      <c r="AE16" s="10">
        <f>s_C*(up_Bv!E16+s_MLF_beet)*s_IFBT_res_adj*s_CF_beet</f>
        <v>37914.59375</v>
      </c>
      <c r="AF16" s="10">
        <f>s_C*(up_Bv!F16+s_MLF_berries)*s_IFBE_res_adj*s_CF_berries</f>
        <v>37914.59375</v>
      </c>
      <c r="AG16" s="10">
        <f>s_C*(up_Bv!G16+s_MLF_broccoli)*s_IFBR_res_adj*s_CF_broccoli</f>
        <v>37914.59375</v>
      </c>
      <c r="AH16" s="10">
        <f>s_C*(up_Bv!H16+s_MLF_cabbage)*s_IFCB_res_adj*s_CF_cabbage</f>
        <v>37914.59375</v>
      </c>
      <c r="AI16" s="10">
        <f>s_C*(up_Bv!I16+s_MLF_carrot)*s_IFCR_res_adj*s_CF_carrot</f>
        <v>37914.59375</v>
      </c>
      <c r="AJ16" s="10">
        <f>s_C*(up_Bv!J16+s_MLF_citrus)*s_IFCI_res_adj*s_CF_citrus</f>
        <v>37914.59375</v>
      </c>
      <c r="AK16" s="10">
        <f>s_C*(up_Bv!K16+s_MLF_corn)*s_IFCO_res_adj*s_CF_corn</f>
        <v>37914.59375</v>
      </c>
      <c r="AL16" s="10">
        <f>s_C*(up_Bv!L16+s_MLF_cucumber)*s_IFCU_res_adj*s_CF_cucumber</f>
        <v>37914.59375</v>
      </c>
      <c r="AM16" s="10">
        <f>s_C*(up_Bv!M16+s_MLF_lettuce)*s_IFLE_res_adj*s_CF_lettuce</f>
        <v>37914.59375</v>
      </c>
      <c r="AN16" s="10">
        <f>s_C*(up_Bv!N16+s_MLF_lima_bean)*s_IFLI_res_adj*s_CF_lima_bean</f>
        <v>37914.59375</v>
      </c>
      <c r="AO16" s="10">
        <f>s_C*(up_Bv!O16+s_MLF_okra)*s_IFOK_res_adj*s_CF_okra</f>
        <v>37914.59375</v>
      </c>
      <c r="AP16" s="10">
        <f>s_C*(up_Bv!P16+s_MLF_onion)*s_IFON_res_adj*s_CF_onion</f>
        <v>37914.59375</v>
      </c>
      <c r="AQ16" s="10">
        <f>s_C*(up_Bv!Q16+s_MLF_peach)*s_IFPC_res_adj*s_CF_peach</f>
        <v>37914.59375</v>
      </c>
      <c r="AR16" s="10">
        <f>s_C*(up_Bv!R16+s_MLF_pear)*s_IFPR_res_adj*s_CF_pear</f>
        <v>37914.59375</v>
      </c>
      <c r="AS16" s="10">
        <f>s_C*(up_Bv!S16+s_MLF_peas)*s_IFPE_res_adj*s_CF_peas</f>
        <v>37914.59375</v>
      </c>
      <c r="AT16" s="10">
        <f>s_C*(up_Bv!T16+s_MLF_potato)*s_IFPT_res_adj*s_CF_potato</f>
        <v>37914.59375</v>
      </c>
      <c r="AU16" s="10">
        <f>s_C*(up_Bv!U16+s_MLF_pumpkin)*s_IFPU_res_adj*s_CF_pumpkin</f>
        <v>37914.59375</v>
      </c>
      <c r="AV16" s="10">
        <f>s_C*(up_Bv!V16+s_MLF_snap_bean)*s_IFSN_res_adj*s_CF_snap_bean</f>
        <v>37914.59375</v>
      </c>
      <c r="AW16" s="10">
        <f>s_C*(up_Bv!W16+s_MLF_strawberry)*s_IFST_res_adj*s_CF_strawberry</f>
        <v>37914.59375</v>
      </c>
      <c r="AX16" s="10">
        <f>s_C*(up_Bv!X16+s_MLF_tomato)*s_IFTO_res_adj*s_CF_tomato</f>
        <v>37914.59375</v>
      </c>
      <c r="AY16" s="10">
        <f>s_C*(up_Bv!Y16+s_MLF_rice)*s_IFRI_res_adj*s_CF_rice</f>
        <v>37914.59375</v>
      </c>
      <c r="AZ16" s="10">
        <f>s_C*(up_Bv!Z16+s_MLF_cereal)*s_IFCG_res_adj*s_CF_cereal</f>
        <v>37914.59375</v>
      </c>
      <c r="BA16" s="2">
        <f t="shared" si="2"/>
        <v>4.3958447178843029E-5</v>
      </c>
      <c r="BB16" s="2">
        <f>IFERROR((up_dir!AC16/(up_Bv!C16+s_MLF_apple)),".")</f>
        <v>1.3187534153652909E-4</v>
      </c>
      <c r="BC16" s="2">
        <f>IFERROR((up_dir!AD16/(up_Bv!D16+s_MLF_asparagus)),".")</f>
        <v>1.3187534153652909E-4</v>
      </c>
      <c r="BD16" s="2">
        <f>IFERROR((up_dir!AE16/(up_Bv!E16+s_MLF_beet)),".")</f>
        <v>1.3187534153652909E-4</v>
      </c>
      <c r="BE16" s="2">
        <f>IFERROR((up_dir!AF16/(up_Bv!F16+s_MLF_berries)),".")</f>
        <v>1.3187534153652909E-4</v>
      </c>
      <c r="BF16" s="2">
        <f>IFERROR((up_dir!AG16/(up_Bv!G16+s_MLF_broccoli)),".")</f>
        <v>1.3187534153652909E-4</v>
      </c>
      <c r="BG16" s="2">
        <f>IFERROR((up_dir!AH16/(up_Bv!H16+s_MLF_cabbage)),".")</f>
        <v>1.3187534153652909E-4</v>
      </c>
      <c r="BH16" s="2">
        <f>IFERROR((up_dir!AI16/(up_Bv!I16+s_MLF_carrot)),".")</f>
        <v>1.3187534153652909E-4</v>
      </c>
      <c r="BI16" s="2">
        <f>IFERROR((up_dir!AJ16/(up_Bv!J16+s_MLF_citrus)),".")</f>
        <v>1.3187534153652909E-4</v>
      </c>
      <c r="BJ16" s="2">
        <f>IFERROR((up_dir!AK16/(up_Bv!K16+s_MLF_corn)),".")</f>
        <v>1.3187534153652909E-4</v>
      </c>
      <c r="BK16" s="2">
        <f>IFERROR((up_dir!AL16/(up_Bv!L16+s_MLF_cucumber)),".")</f>
        <v>1.3187534153652909E-4</v>
      </c>
      <c r="BL16" s="2">
        <f>IFERROR((up_dir!AM16/(up_Bv!M16+s_MLF_lettuce)),".")</f>
        <v>1.3187534153652909E-4</v>
      </c>
      <c r="BM16" s="2">
        <f>IFERROR((up_dir!AN16/(up_Bv!N16+s_MLF_lima_bean)),".")</f>
        <v>1.3187534153652909E-4</v>
      </c>
      <c r="BN16" s="2">
        <f>IFERROR((up_dir!AO16/(up_Bv!O16+s_MLF_okra)),".")</f>
        <v>1.3187534153652909E-4</v>
      </c>
      <c r="BO16" s="2">
        <f>IFERROR((up_dir!AP16/(up_Bv!P16+s_MLF_onion)),".")</f>
        <v>1.3187534153652909E-4</v>
      </c>
      <c r="BP16" s="2">
        <f>IFERROR((up_dir!AQ16/(up_Bv!Q16+s_MLF_peach)),".")</f>
        <v>1.3187534153652909E-4</v>
      </c>
      <c r="BQ16" s="2">
        <f>IFERROR((up_dir!AR16/(up_Bv!R16+s_MLF_pear)),".")</f>
        <v>1.3187534153652909E-4</v>
      </c>
      <c r="BR16" s="2">
        <f>IFERROR((up_dir!AS16/(up_Bv!S16+s_MLF_peas)),".")</f>
        <v>1.3187534153652909E-4</v>
      </c>
      <c r="BS16" s="2">
        <f>IFERROR((up_dir!AT16/(up_Bv!T16+s_MLF_potato)),".")</f>
        <v>1.3187534153652909E-4</v>
      </c>
      <c r="BT16" s="2">
        <f>IFERROR((up_dir!AU16/(up_Bv!U16+s_MLF_pumpkin)),".")</f>
        <v>1.3187534153652909E-4</v>
      </c>
      <c r="BU16" s="2">
        <f>IFERROR((up_dir!AV16/(up_Bv!V16+s_MLF_snap_bean)),".")</f>
        <v>1.3187534153652909E-4</v>
      </c>
      <c r="BV16" s="2">
        <f>IFERROR((up_dir!AW16/(up_Bv!W16+s_MLF_strawberry)),".")</f>
        <v>1.3187534153652909E-4</v>
      </c>
      <c r="BW16" s="2">
        <f>IFERROR((up_dir!AX16/(up_Bv!X16+s_MLF_tomato)),".")</f>
        <v>1.3187534153652909E-4</v>
      </c>
      <c r="BX16" s="2">
        <f>IFERROR((up_dir!AY16/(up_Bv!Y16+s_MLF_rice)),".")</f>
        <v>1.3187534153652909E-4</v>
      </c>
      <c r="BY16" s="2">
        <f>IFERROR((up_dir!AZ16/(up_Bv!Z16+s_MLF_cereal)),".")</f>
        <v>1.3187534153652909E-4</v>
      </c>
      <c r="BZ16" s="10">
        <f t="shared" si="3"/>
        <v>113743.78125</v>
      </c>
      <c r="CA16" s="10">
        <f>IFERROR(s_C*(up_Bv!C16+s_MLF_apple)*s_IFAP_far_adj*s_CF_apple,".")</f>
        <v>37914.59375</v>
      </c>
      <c r="CB16" s="10">
        <f>IFERROR(s_C*(up_Bv!D16+s_MLF_asparagus)*s_IFAS_far_adj*s_CF_asparagus,".")</f>
        <v>37914.59375</v>
      </c>
      <c r="CC16" s="10">
        <f>IFERROR(s_C*(up_Bv!E16+s_MLF_beet)*s_IFBT_far_adj*s_CF_beet,".")</f>
        <v>37914.59375</v>
      </c>
      <c r="CD16" s="10">
        <f>IFERROR(s_C*(up_Bv!F16+s_MLF_berries)*s_IFBR_far_adj*s_CF_berries,".")</f>
        <v>37914.59375</v>
      </c>
      <c r="CE16" s="10">
        <f>IFERROR(s_C*(up_Bv!G16+s_MLF_broccoli)*s_IFBR_far_adj*s_CF_broccoli,".")</f>
        <v>37914.59375</v>
      </c>
      <c r="CF16" s="10">
        <f>IFERROR(s_C*(up_Bv!H16+s_MLF_cabbage)*s_IFCB_far_adj*s_CF_cabbage,".")</f>
        <v>37914.59375</v>
      </c>
      <c r="CG16" s="10">
        <f>IFERROR(s_C*(up_Bv!I16+s_MLF_carrot)*s_IFCR_far_adj*s_CF_carrot,".")</f>
        <v>37914.59375</v>
      </c>
      <c r="CH16" s="10">
        <f>IFERROR(s_C*(up_Bv!J16+s_MLF_citrus)*s_IFCI_far_adj*s_CF_citrus,".")</f>
        <v>37914.59375</v>
      </c>
      <c r="CI16" s="10">
        <f>IFERROR(s_C*(up_Bv!K16+s_MLF_corn)*s_IFCO_far_adj*s_CF_corn,".")</f>
        <v>37914.59375</v>
      </c>
      <c r="CJ16" s="10">
        <f>IFERROR(s_C*(up_Bv!L16+s_MLF_cucumber)*s_IFCU_far_adj*s_CF_cucumber,".")</f>
        <v>37914.59375</v>
      </c>
      <c r="CK16" s="10">
        <f>IFERROR(s_C*(up_Bv!M16+s_MLF_lettuce)*s_IFLE_far_adj*s_CF_lettuce,".")</f>
        <v>37914.59375</v>
      </c>
      <c r="CL16" s="10">
        <f>IFERROR(s_C*(up_Bv!N16+s_MLF_lima_bean)*s_IFLI_far_adj*s_CF_lima_bean,".")</f>
        <v>37914.59375</v>
      </c>
      <c r="CM16" s="10">
        <f>IFERROR(s_C*(up_Bv!O16+s_MLF_okra)*s_IFOK_far_adj*s_CF_okra,".")</f>
        <v>37914.59375</v>
      </c>
      <c r="CN16" s="10">
        <f>IFERROR(s_C*(up_Bv!P16+s_MLF_onion)*s_IFON_far_adj*s_CF_onion,".")</f>
        <v>37914.59375</v>
      </c>
      <c r="CO16" s="10">
        <f>IFERROR(s_C*(up_Bv!Q16+s_MLF_peach)*s_IFPC_far_adj*s_CF_peach,".")</f>
        <v>37914.59375</v>
      </c>
      <c r="CP16" s="10">
        <f>IFERROR(s_C*(up_Bv!R16+s_MLF_pear)*s_IFPR_far_adj*s_CF_pear,".")</f>
        <v>37914.59375</v>
      </c>
      <c r="CQ16" s="10">
        <f>IFERROR(s_C*(up_Bv!S16+s_MLF_peas)*s_IFPE_far_adj*s_CF_peas,".")</f>
        <v>37914.59375</v>
      </c>
      <c r="CR16" s="10">
        <f>IFERROR(s_C*(up_Bv!T16+s_MLF_potato)*s_IFPT_far_adj*s_CF_potato,".")</f>
        <v>37914.59375</v>
      </c>
      <c r="CS16" s="10">
        <f>IFERROR(s_C*(up_Bv!U16+s_MLF_pumpkin)*s_IFPU_far_adj*s_CF_pumpkin,".")</f>
        <v>37914.59375</v>
      </c>
      <c r="CT16" s="10">
        <f>IFERROR(s_C*(up_Bv!V16+s_MLF_snap_bean)*s_IFSN_far_adj*s_CF_snap_bean,".")</f>
        <v>37914.59375</v>
      </c>
      <c r="CU16" s="10">
        <f>IFERROR(s_C*(up_Bv!W16+s_MLF_strawberry)*s_IFST_far_adj*s_CF_strawberry,".")</f>
        <v>37914.59375</v>
      </c>
      <c r="CV16" s="10">
        <f>IFERROR(s_C*(up_Bv!X16+s_MLF_tomato)*s_IFTO_far_adj*s_CF_tomato,".")</f>
        <v>37914.59375</v>
      </c>
      <c r="CW16" s="10">
        <f>IFERROR(s_C*(up_Bv!Y16+s_MLF_rice)*s_IFRI_far_adj*s_CF_rice,".")</f>
        <v>37914.59375</v>
      </c>
      <c r="CX16" s="10">
        <f>IFERROR(s_C*(up_Bv!Z16+s_MLF_cereal)*s_IFCG_far_adj*s_CF_cereal,".")</f>
        <v>37914.59375</v>
      </c>
    </row>
    <row r="17" spans="1:102" ht="15" customHeight="1" x14ac:dyDescent="0.25">
      <c r="A17" s="31" t="s">
        <v>15</v>
      </c>
      <c r="B17" s="3" t="s">
        <v>1059</v>
      </c>
      <c r="C17" s="73">
        <f t="shared" si="1"/>
        <v>4.3958447178843029E-5</v>
      </c>
      <c r="D17" s="73">
        <f>IFERROR((up_dir!D17/(up_Bv!C17+s_MLF_apple)),".")</f>
        <v>1.3187534153652909E-4</v>
      </c>
      <c r="E17" s="73">
        <f>IFERROR((up_dir!E17/(up_Bv!D17+s_MLF_asparagus)),".")</f>
        <v>1.3187534153652909E-4</v>
      </c>
      <c r="F17" s="73">
        <f>IFERROR((up_dir!F17/(up_Bv!E17+s_MLF_beet)),".")</f>
        <v>1.3187534153652909E-4</v>
      </c>
      <c r="G17" s="73">
        <f>IFERROR((up_dir!G17/(up_Bv!F17+s_MLF_berries)),".")</f>
        <v>1.3187534153652909E-4</v>
      </c>
      <c r="H17" s="73">
        <f>IFERROR((up_dir!H17/(up_Bv!G17+s_MLF_broccoli)),".")</f>
        <v>1.3187534153652909E-4</v>
      </c>
      <c r="I17" s="73">
        <f>IFERROR((up_dir!I17/(up_Bv!H17+s_MLF_cabbage)),".")</f>
        <v>1.3187534153652909E-4</v>
      </c>
      <c r="J17" s="73">
        <f>IFERROR((up_dir!J17/(up_Bv!I17+s_MLF_carrot)),".")</f>
        <v>1.3187534153652909E-4</v>
      </c>
      <c r="K17" s="73">
        <f>IFERROR((up_dir!K17/(up_Bv!J17+s_MLF_citrus)),".")</f>
        <v>1.3187534153652909E-4</v>
      </c>
      <c r="L17" s="73">
        <f>IFERROR((up_dir!L17/(up_Bv!K17+s_MLF_corn)),".")</f>
        <v>1.3187534153652909E-4</v>
      </c>
      <c r="M17" s="73">
        <f>IFERROR((up_dir!M17/(up_Bv!L17+s_MLF_cucumber)),".")</f>
        <v>1.3187534153652909E-4</v>
      </c>
      <c r="N17" s="73">
        <f>IFERROR((up_dir!N17/(up_Bv!M17+s_MLF_lettuce)),".")</f>
        <v>1.3187534153652909E-4</v>
      </c>
      <c r="O17" s="73">
        <f>IFERROR((up_dir!O17/(up_Bv!N17+s_MLF_lima_bean)),".")</f>
        <v>1.3187534153652909E-4</v>
      </c>
      <c r="P17" s="73">
        <f>IFERROR((up_dir!P17/(up_Bv!O17+s_MLF_okra)),".")</f>
        <v>1.3187534153652909E-4</v>
      </c>
      <c r="Q17" s="73">
        <f>IFERROR((up_dir!Q17/(up_Bv!P17+s_MLF_onion)),".")</f>
        <v>1.3187534153652909E-4</v>
      </c>
      <c r="R17" s="73">
        <f>IFERROR((up_dir!R17/(up_Bv!Q17+s_MLF_peach)),".")</f>
        <v>1.3187534153652909E-4</v>
      </c>
      <c r="S17" s="73">
        <f>IFERROR((up_dir!S17/(up_Bv!R17+s_MLF_pear)),".")</f>
        <v>1.3187534153652909E-4</v>
      </c>
      <c r="T17" s="73">
        <f>IFERROR((up_dir!T17/(up_Bv!S17+s_MLF_peas)),".")</f>
        <v>1.3187534153652909E-4</v>
      </c>
      <c r="U17" s="73">
        <f>IFERROR((up_dir!U17/(up_Bv!T17+s_MLF_potato)),".")</f>
        <v>1.3187534153652909E-4</v>
      </c>
      <c r="V17" s="73">
        <f>IFERROR((up_dir!V17/(up_Bv!U17+s_MLF_pumpkin)),".")</f>
        <v>1.3187534153652909E-4</v>
      </c>
      <c r="W17" s="73">
        <f>IFERROR((up_dir!W17/(up_Bv!V17+s_MLF_snap_bean)),".")</f>
        <v>1.3187534153652909E-4</v>
      </c>
      <c r="X17" s="73">
        <f>IFERROR((up_dir!X17/(up_Bv!W17+s_MLF_strawberry)),".")</f>
        <v>1.3187534153652909E-4</v>
      </c>
      <c r="Y17" s="73">
        <f>IFERROR((up_dir!Y17/(up_Bv!X17+s_MLF_tomato)),".")</f>
        <v>1.3187534153652909E-4</v>
      </c>
      <c r="Z17" s="73">
        <f>IFERROR((up_dir!Z17/(up_Bv!Y17+s_MLF_rice)),".")</f>
        <v>1.3187534153652909E-4</v>
      </c>
      <c r="AA17" s="73">
        <f>IFERROR((up_dir!AA17/(up_Bv!Z17+s_MLF_cereal)),".")</f>
        <v>1.3187534153652909E-4</v>
      </c>
      <c r="AB17" s="10">
        <f t="shared" si="4"/>
        <v>113743.78125</v>
      </c>
      <c r="AC17" s="10">
        <f>s_C*(up_Bv!C17+s_MLF_apple)*s_IFAP_res_adj*s_CF_apple</f>
        <v>37914.59375</v>
      </c>
      <c r="AD17" s="10">
        <f>s_C*(up_Bv!D17+s_MLF_asparagus)*s_IFAS_res_adj*s_CF_asparagus</f>
        <v>37914.59375</v>
      </c>
      <c r="AE17" s="10">
        <f>s_C*(up_Bv!E17+s_MLF_beet)*s_IFBT_res_adj*s_CF_beet</f>
        <v>37914.59375</v>
      </c>
      <c r="AF17" s="10">
        <f>s_C*(up_Bv!F17+s_MLF_berries)*s_IFBE_res_adj*s_CF_berries</f>
        <v>37914.59375</v>
      </c>
      <c r="AG17" s="10">
        <f>s_C*(up_Bv!G17+s_MLF_broccoli)*s_IFBR_res_adj*s_CF_broccoli</f>
        <v>37914.59375</v>
      </c>
      <c r="AH17" s="10">
        <f>s_C*(up_Bv!H17+s_MLF_cabbage)*s_IFCB_res_adj*s_CF_cabbage</f>
        <v>37914.59375</v>
      </c>
      <c r="AI17" s="10">
        <f>s_C*(up_Bv!I17+s_MLF_carrot)*s_IFCR_res_adj*s_CF_carrot</f>
        <v>37914.59375</v>
      </c>
      <c r="AJ17" s="10">
        <f>s_C*(up_Bv!J17+s_MLF_citrus)*s_IFCI_res_adj*s_CF_citrus</f>
        <v>37914.59375</v>
      </c>
      <c r="AK17" s="10">
        <f>s_C*(up_Bv!K17+s_MLF_corn)*s_IFCO_res_adj*s_CF_corn</f>
        <v>37914.59375</v>
      </c>
      <c r="AL17" s="10">
        <f>s_C*(up_Bv!L17+s_MLF_cucumber)*s_IFCU_res_adj*s_CF_cucumber</f>
        <v>37914.59375</v>
      </c>
      <c r="AM17" s="10">
        <f>s_C*(up_Bv!M17+s_MLF_lettuce)*s_IFLE_res_adj*s_CF_lettuce</f>
        <v>37914.59375</v>
      </c>
      <c r="AN17" s="10">
        <f>s_C*(up_Bv!N17+s_MLF_lima_bean)*s_IFLI_res_adj*s_CF_lima_bean</f>
        <v>37914.59375</v>
      </c>
      <c r="AO17" s="10">
        <f>s_C*(up_Bv!O17+s_MLF_okra)*s_IFOK_res_adj*s_CF_okra</f>
        <v>37914.59375</v>
      </c>
      <c r="AP17" s="10">
        <f>s_C*(up_Bv!P17+s_MLF_onion)*s_IFON_res_adj*s_CF_onion</f>
        <v>37914.59375</v>
      </c>
      <c r="AQ17" s="10">
        <f>s_C*(up_Bv!Q17+s_MLF_peach)*s_IFPC_res_adj*s_CF_peach</f>
        <v>37914.59375</v>
      </c>
      <c r="AR17" s="10">
        <f>s_C*(up_Bv!R17+s_MLF_pear)*s_IFPR_res_adj*s_CF_pear</f>
        <v>37914.59375</v>
      </c>
      <c r="AS17" s="10">
        <f>s_C*(up_Bv!S17+s_MLF_peas)*s_IFPE_res_adj*s_CF_peas</f>
        <v>37914.59375</v>
      </c>
      <c r="AT17" s="10">
        <f>s_C*(up_Bv!T17+s_MLF_potato)*s_IFPT_res_adj*s_CF_potato</f>
        <v>37914.59375</v>
      </c>
      <c r="AU17" s="10">
        <f>s_C*(up_Bv!U17+s_MLF_pumpkin)*s_IFPU_res_adj*s_CF_pumpkin</f>
        <v>37914.59375</v>
      </c>
      <c r="AV17" s="10">
        <f>s_C*(up_Bv!V17+s_MLF_snap_bean)*s_IFSN_res_adj*s_CF_snap_bean</f>
        <v>37914.59375</v>
      </c>
      <c r="AW17" s="10">
        <f>s_C*(up_Bv!W17+s_MLF_strawberry)*s_IFST_res_adj*s_CF_strawberry</f>
        <v>37914.59375</v>
      </c>
      <c r="AX17" s="10">
        <f>s_C*(up_Bv!X17+s_MLF_tomato)*s_IFTO_res_adj*s_CF_tomato</f>
        <v>37914.59375</v>
      </c>
      <c r="AY17" s="10">
        <f>s_C*(up_Bv!Y17+s_MLF_rice)*s_IFRI_res_adj*s_CF_rice</f>
        <v>37914.59375</v>
      </c>
      <c r="AZ17" s="10">
        <f>s_C*(up_Bv!Z17+s_MLF_cereal)*s_IFCG_res_adj*s_CF_cereal</f>
        <v>37914.59375</v>
      </c>
      <c r="BA17" s="2">
        <f t="shared" si="2"/>
        <v>4.3958447178843029E-5</v>
      </c>
      <c r="BB17" s="2">
        <f>IFERROR((up_dir!AC17/(up_Bv!C17+s_MLF_apple)),".")</f>
        <v>1.3187534153652909E-4</v>
      </c>
      <c r="BC17" s="2">
        <f>IFERROR((up_dir!AD17/(up_Bv!D17+s_MLF_asparagus)),".")</f>
        <v>1.3187534153652909E-4</v>
      </c>
      <c r="BD17" s="2">
        <f>IFERROR((up_dir!AE17/(up_Bv!E17+s_MLF_beet)),".")</f>
        <v>1.3187534153652909E-4</v>
      </c>
      <c r="BE17" s="2">
        <f>IFERROR((up_dir!AF17/(up_Bv!F17+s_MLF_berries)),".")</f>
        <v>1.3187534153652909E-4</v>
      </c>
      <c r="BF17" s="2">
        <f>IFERROR((up_dir!AG17/(up_Bv!G17+s_MLF_broccoli)),".")</f>
        <v>1.3187534153652909E-4</v>
      </c>
      <c r="BG17" s="2">
        <f>IFERROR((up_dir!AH17/(up_Bv!H17+s_MLF_cabbage)),".")</f>
        <v>1.3187534153652909E-4</v>
      </c>
      <c r="BH17" s="2">
        <f>IFERROR((up_dir!AI17/(up_Bv!I17+s_MLF_carrot)),".")</f>
        <v>1.3187534153652909E-4</v>
      </c>
      <c r="BI17" s="2">
        <f>IFERROR((up_dir!AJ17/(up_Bv!J17+s_MLF_citrus)),".")</f>
        <v>1.3187534153652909E-4</v>
      </c>
      <c r="BJ17" s="2">
        <f>IFERROR((up_dir!AK17/(up_Bv!K17+s_MLF_corn)),".")</f>
        <v>1.3187534153652909E-4</v>
      </c>
      <c r="BK17" s="2">
        <f>IFERROR((up_dir!AL17/(up_Bv!L17+s_MLF_cucumber)),".")</f>
        <v>1.3187534153652909E-4</v>
      </c>
      <c r="BL17" s="2">
        <f>IFERROR((up_dir!AM17/(up_Bv!M17+s_MLF_lettuce)),".")</f>
        <v>1.3187534153652909E-4</v>
      </c>
      <c r="BM17" s="2">
        <f>IFERROR((up_dir!AN17/(up_Bv!N17+s_MLF_lima_bean)),".")</f>
        <v>1.3187534153652909E-4</v>
      </c>
      <c r="BN17" s="2">
        <f>IFERROR((up_dir!AO17/(up_Bv!O17+s_MLF_okra)),".")</f>
        <v>1.3187534153652909E-4</v>
      </c>
      <c r="BO17" s="2">
        <f>IFERROR((up_dir!AP17/(up_Bv!P17+s_MLF_onion)),".")</f>
        <v>1.3187534153652909E-4</v>
      </c>
      <c r="BP17" s="2">
        <f>IFERROR((up_dir!AQ17/(up_Bv!Q17+s_MLF_peach)),".")</f>
        <v>1.3187534153652909E-4</v>
      </c>
      <c r="BQ17" s="2">
        <f>IFERROR((up_dir!AR17/(up_Bv!R17+s_MLF_pear)),".")</f>
        <v>1.3187534153652909E-4</v>
      </c>
      <c r="BR17" s="2">
        <f>IFERROR((up_dir!AS17/(up_Bv!S17+s_MLF_peas)),".")</f>
        <v>1.3187534153652909E-4</v>
      </c>
      <c r="BS17" s="2">
        <f>IFERROR((up_dir!AT17/(up_Bv!T17+s_MLF_potato)),".")</f>
        <v>1.3187534153652909E-4</v>
      </c>
      <c r="BT17" s="2">
        <f>IFERROR((up_dir!AU17/(up_Bv!U17+s_MLF_pumpkin)),".")</f>
        <v>1.3187534153652909E-4</v>
      </c>
      <c r="BU17" s="2">
        <f>IFERROR((up_dir!AV17/(up_Bv!V17+s_MLF_snap_bean)),".")</f>
        <v>1.3187534153652909E-4</v>
      </c>
      <c r="BV17" s="2">
        <f>IFERROR((up_dir!AW17/(up_Bv!W17+s_MLF_strawberry)),".")</f>
        <v>1.3187534153652909E-4</v>
      </c>
      <c r="BW17" s="2">
        <f>IFERROR((up_dir!AX17/(up_Bv!X17+s_MLF_tomato)),".")</f>
        <v>1.3187534153652909E-4</v>
      </c>
      <c r="BX17" s="2">
        <f>IFERROR((up_dir!AY17/(up_Bv!Y17+s_MLF_rice)),".")</f>
        <v>1.3187534153652909E-4</v>
      </c>
      <c r="BY17" s="2">
        <f>IFERROR((up_dir!AZ17/(up_Bv!Z17+s_MLF_cereal)),".")</f>
        <v>1.3187534153652909E-4</v>
      </c>
      <c r="BZ17" s="10">
        <f t="shared" si="3"/>
        <v>113743.78125</v>
      </c>
      <c r="CA17" s="10">
        <f>IFERROR(s_C*(up_Bv!C17+s_MLF_apple)*s_IFAP_far_adj*s_CF_apple,".")</f>
        <v>37914.59375</v>
      </c>
      <c r="CB17" s="10">
        <f>IFERROR(s_C*(up_Bv!D17+s_MLF_asparagus)*s_IFAS_far_adj*s_CF_asparagus,".")</f>
        <v>37914.59375</v>
      </c>
      <c r="CC17" s="10">
        <f>IFERROR(s_C*(up_Bv!E17+s_MLF_beet)*s_IFBT_far_adj*s_CF_beet,".")</f>
        <v>37914.59375</v>
      </c>
      <c r="CD17" s="10">
        <f>IFERROR(s_C*(up_Bv!F17+s_MLF_berries)*s_IFBR_far_adj*s_CF_berries,".")</f>
        <v>37914.59375</v>
      </c>
      <c r="CE17" s="10">
        <f>IFERROR(s_C*(up_Bv!G17+s_MLF_broccoli)*s_IFBR_far_adj*s_CF_broccoli,".")</f>
        <v>37914.59375</v>
      </c>
      <c r="CF17" s="10">
        <f>IFERROR(s_C*(up_Bv!H17+s_MLF_cabbage)*s_IFCB_far_adj*s_CF_cabbage,".")</f>
        <v>37914.59375</v>
      </c>
      <c r="CG17" s="10">
        <f>IFERROR(s_C*(up_Bv!I17+s_MLF_carrot)*s_IFCR_far_adj*s_CF_carrot,".")</f>
        <v>37914.59375</v>
      </c>
      <c r="CH17" s="10">
        <f>IFERROR(s_C*(up_Bv!J17+s_MLF_citrus)*s_IFCI_far_adj*s_CF_citrus,".")</f>
        <v>37914.59375</v>
      </c>
      <c r="CI17" s="10">
        <f>IFERROR(s_C*(up_Bv!K17+s_MLF_corn)*s_IFCO_far_adj*s_CF_corn,".")</f>
        <v>37914.59375</v>
      </c>
      <c r="CJ17" s="10">
        <f>IFERROR(s_C*(up_Bv!L17+s_MLF_cucumber)*s_IFCU_far_adj*s_CF_cucumber,".")</f>
        <v>37914.59375</v>
      </c>
      <c r="CK17" s="10">
        <f>IFERROR(s_C*(up_Bv!M17+s_MLF_lettuce)*s_IFLE_far_adj*s_CF_lettuce,".")</f>
        <v>37914.59375</v>
      </c>
      <c r="CL17" s="10">
        <f>IFERROR(s_C*(up_Bv!N17+s_MLF_lima_bean)*s_IFLI_far_adj*s_CF_lima_bean,".")</f>
        <v>37914.59375</v>
      </c>
      <c r="CM17" s="10">
        <f>IFERROR(s_C*(up_Bv!O17+s_MLF_okra)*s_IFOK_far_adj*s_CF_okra,".")</f>
        <v>37914.59375</v>
      </c>
      <c r="CN17" s="10">
        <f>IFERROR(s_C*(up_Bv!P17+s_MLF_onion)*s_IFON_far_adj*s_CF_onion,".")</f>
        <v>37914.59375</v>
      </c>
      <c r="CO17" s="10">
        <f>IFERROR(s_C*(up_Bv!Q17+s_MLF_peach)*s_IFPC_far_adj*s_CF_peach,".")</f>
        <v>37914.59375</v>
      </c>
      <c r="CP17" s="10">
        <f>IFERROR(s_C*(up_Bv!R17+s_MLF_pear)*s_IFPR_far_adj*s_CF_pear,".")</f>
        <v>37914.59375</v>
      </c>
      <c r="CQ17" s="10">
        <f>IFERROR(s_C*(up_Bv!S17+s_MLF_peas)*s_IFPE_far_adj*s_CF_peas,".")</f>
        <v>37914.59375</v>
      </c>
      <c r="CR17" s="10">
        <f>IFERROR(s_C*(up_Bv!T17+s_MLF_potato)*s_IFPT_far_adj*s_CF_potato,".")</f>
        <v>37914.59375</v>
      </c>
      <c r="CS17" s="10">
        <f>IFERROR(s_C*(up_Bv!U17+s_MLF_pumpkin)*s_IFPU_far_adj*s_CF_pumpkin,".")</f>
        <v>37914.59375</v>
      </c>
      <c r="CT17" s="10">
        <f>IFERROR(s_C*(up_Bv!V17+s_MLF_snap_bean)*s_IFSN_far_adj*s_CF_snap_bean,".")</f>
        <v>37914.59375</v>
      </c>
      <c r="CU17" s="10">
        <f>IFERROR(s_C*(up_Bv!W17+s_MLF_strawberry)*s_IFST_far_adj*s_CF_strawberry,".")</f>
        <v>37914.59375</v>
      </c>
      <c r="CV17" s="10">
        <f>IFERROR(s_C*(up_Bv!X17+s_MLF_tomato)*s_IFTO_far_adj*s_CF_tomato,".")</f>
        <v>37914.59375</v>
      </c>
      <c r="CW17" s="10">
        <f>IFERROR(s_C*(up_Bv!Y17+s_MLF_rice)*s_IFRI_far_adj*s_CF_rice,".")</f>
        <v>37914.59375</v>
      </c>
      <c r="CX17" s="10">
        <f>IFERROR(s_C*(up_Bv!Z17+s_MLF_cereal)*s_IFCG_far_adj*s_CF_cereal,".")</f>
        <v>37914.59375</v>
      </c>
    </row>
    <row r="18" spans="1:102" ht="15" customHeight="1" x14ac:dyDescent="0.25">
      <c r="A18" s="31" t="s">
        <v>16</v>
      </c>
      <c r="B18" s="3" t="s">
        <v>1059</v>
      </c>
      <c r="C18" s="73">
        <f t="shared" si="1"/>
        <v>4.3958447178843029E-5</v>
      </c>
      <c r="D18" s="73">
        <f>IFERROR((up_dir!D18/(up_Bv!C18+s_MLF_apple)),".")</f>
        <v>1.3187534153652909E-4</v>
      </c>
      <c r="E18" s="73">
        <f>IFERROR((up_dir!E18/(up_Bv!D18+s_MLF_asparagus)),".")</f>
        <v>1.3187534153652909E-4</v>
      </c>
      <c r="F18" s="73">
        <f>IFERROR((up_dir!F18/(up_Bv!E18+s_MLF_beet)),".")</f>
        <v>1.3187534153652909E-4</v>
      </c>
      <c r="G18" s="73">
        <f>IFERROR((up_dir!G18/(up_Bv!F18+s_MLF_berries)),".")</f>
        <v>1.3187534153652909E-4</v>
      </c>
      <c r="H18" s="73">
        <f>IFERROR((up_dir!H18/(up_Bv!G18+s_MLF_broccoli)),".")</f>
        <v>1.3187534153652909E-4</v>
      </c>
      <c r="I18" s="73">
        <f>IFERROR((up_dir!I18/(up_Bv!H18+s_MLF_cabbage)),".")</f>
        <v>1.3187534153652909E-4</v>
      </c>
      <c r="J18" s="73">
        <f>IFERROR((up_dir!J18/(up_Bv!I18+s_MLF_carrot)),".")</f>
        <v>1.3187534153652909E-4</v>
      </c>
      <c r="K18" s="73">
        <f>IFERROR((up_dir!K18/(up_Bv!J18+s_MLF_citrus)),".")</f>
        <v>1.3187534153652909E-4</v>
      </c>
      <c r="L18" s="73">
        <f>IFERROR((up_dir!L18/(up_Bv!K18+s_MLF_corn)),".")</f>
        <v>1.3187534153652909E-4</v>
      </c>
      <c r="M18" s="73">
        <f>IFERROR((up_dir!M18/(up_Bv!L18+s_MLF_cucumber)),".")</f>
        <v>1.3187534153652909E-4</v>
      </c>
      <c r="N18" s="73">
        <f>IFERROR((up_dir!N18/(up_Bv!M18+s_MLF_lettuce)),".")</f>
        <v>1.3187534153652909E-4</v>
      </c>
      <c r="O18" s="73">
        <f>IFERROR((up_dir!O18/(up_Bv!N18+s_MLF_lima_bean)),".")</f>
        <v>1.3187534153652909E-4</v>
      </c>
      <c r="P18" s="73">
        <f>IFERROR((up_dir!P18/(up_Bv!O18+s_MLF_okra)),".")</f>
        <v>1.3187534153652909E-4</v>
      </c>
      <c r="Q18" s="73">
        <f>IFERROR((up_dir!Q18/(up_Bv!P18+s_MLF_onion)),".")</f>
        <v>1.3187534153652909E-4</v>
      </c>
      <c r="R18" s="73">
        <f>IFERROR((up_dir!R18/(up_Bv!Q18+s_MLF_peach)),".")</f>
        <v>1.3187534153652909E-4</v>
      </c>
      <c r="S18" s="73">
        <f>IFERROR((up_dir!S18/(up_Bv!R18+s_MLF_pear)),".")</f>
        <v>1.3187534153652909E-4</v>
      </c>
      <c r="T18" s="73">
        <f>IFERROR((up_dir!T18/(up_Bv!S18+s_MLF_peas)),".")</f>
        <v>1.3187534153652909E-4</v>
      </c>
      <c r="U18" s="73">
        <f>IFERROR((up_dir!U18/(up_Bv!T18+s_MLF_potato)),".")</f>
        <v>1.3187534153652909E-4</v>
      </c>
      <c r="V18" s="73">
        <f>IFERROR((up_dir!V18/(up_Bv!U18+s_MLF_pumpkin)),".")</f>
        <v>1.3187534153652909E-4</v>
      </c>
      <c r="W18" s="73">
        <f>IFERROR((up_dir!W18/(up_Bv!V18+s_MLF_snap_bean)),".")</f>
        <v>1.3187534153652909E-4</v>
      </c>
      <c r="X18" s="73">
        <f>IFERROR((up_dir!X18/(up_Bv!W18+s_MLF_strawberry)),".")</f>
        <v>1.3187534153652909E-4</v>
      </c>
      <c r="Y18" s="73">
        <f>IFERROR((up_dir!Y18/(up_Bv!X18+s_MLF_tomato)),".")</f>
        <v>1.3187534153652909E-4</v>
      </c>
      <c r="Z18" s="73">
        <f>IFERROR((up_dir!Z18/(up_Bv!Y18+s_MLF_rice)),".")</f>
        <v>1.3187534153652909E-4</v>
      </c>
      <c r="AA18" s="73">
        <f>IFERROR((up_dir!AA18/(up_Bv!Z18+s_MLF_cereal)),".")</f>
        <v>1.3187534153652909E-4</v>
      </c>
      <c r="AB18" s="10">
        <f t="shared" si="4"/>
        <v>113743.78125</v>
      </c>
      <c r="AC18" s="10">
        <f>s_C*(up_Bv!C18+s_MLF_apple)*s_IFAP_res_adj*s_CF_apple</f>
        <v>37914.59375</v>
      </c>
      <c r="AD18" s="10">
        <f>s_C*(up_Bv!D18+s_MLF_asparagus)*s_IFAS_res_adj*s_CF_asparagus</f>
        <v>37914.59375</v>
      </c>
      <c r="AE18" s="10">
        <f>s_C*(up_Bv!E18+s_MLF_beet)*s_IFBT_res_adj*s_CF_beet</f>
        <v>37914.59375</v>
      </c>
      <c r="AF18" s="10">
        <f>s_C*(up_Bv!F18+s_MLF_berries)*s_IFBE_res_adj*s_CF_berries</f>
        <v>37914.59375</v>
      </c>
      <c r="AG18" s="10">
        <f>s_C*(up_Bv!G18+s_MLF_broccoli)*s_IFBR_res_adj*s_CF_broccoli</f>
        <v>37914.59375</v>
      </c>
      <c r="AH18" s="10">
        <f>s_C*(up_Bv!H18+s_MLF_cabbage)*s_IFCB_res_adj*s_CF_cabbage</f>
        <v>37914.59375</v>
      </c>
      <c r="AI18" s="10">
        <f>s_C*(up_Bv!I18+s_MLF_carrot)*s_IFCR_res_adj*s_CF_carrot</f>
        <v>37914.59375</v>
      </c>
      <c r="AJ18" s="10">
        <f>s_C*(up_Bv!J18+s_MLF_citrus)*s_IFCI_res_adj*s_CF_citrus</f>
        <v>37914.59375</v>
      </c>
      <c r="AK18" s="10">
        <f>s_C*(up_Bv!K18+s_MLF_corn)*s_IFCO_res_adj*s_CF_corn</f>
        <v>37914.59375</v>
      </c>
      <c r="AL18" s="10">
        <f>s_C*(up_Bv!L18+s_MLF_cucumber)*s_IFCU_res_adj*s_CF_cucumber</f>
        <v>37914.59375</v>
      </c>
      <c r="AM18" s="10">
        <f>s_C*(up_Bv!M18+s_MLF_lettuce)*s_IFLE_res_adj*s_CF_lettuce</f>
        <v>37914.59375</v>
      </c>
      <c r="AN18" s="10">
        <f>s_C*(up_Bv!N18+s_MLF_lima_bean)*s_IFLI_res_adj*s_CF_lima_bean</f>
        <v>37914.59375</v>
      </c>
      <c r="AO18" s="10">
        <f>s_C*(up_Bv!O18+s_MLF_okra)*s_IFOK_res_adj*s_CF_okra</f>
        <v>37914.59375</v>
      </c>
      <c r="AP18" s="10">
        <f>s_C*(up_Bv!P18+s_MLF_onion)*s_IFON_res_adj*s_CF_onion</f>
        <v>37914.59375</v>
      </c>
      <c r="AQ18" s="10">
        <f>s_C*(up_Bv!Q18+s_MLF_peach)*s_IFPC_res_adj*s_CF_peach</f>
        <v>37914.59375</v>
      </c>
      <c r="AR18" s="10">
        <f>s_C*(up_Bv!R18+s_MLF_pear)*s_IFPR_res_adj*s_CF_pear</f>
        <v>37914.59375</v>
      </c>
      <c r="AS18" s="10">
        <f>s_C*(up_Bv!S18+s_MLF_peas)*s_IFPE_res_adj*s_CF_peas</f>
        <v>37914.59375</v>
      </c>
      <c r="AT18" s="10">
        <f>s_C*(up_Bv!T18+s_MLF_potato)*s_IFPT_res_adj*s_CF_potato</f>
        <v>37914.59375</v>
      </c>
      <c r="AU18" s="10">
        <f>s_C*(up_Bv!U18+s_MLF_pumpkin)*s_IFPU_res_adj*s_CF_pumpkin</f>
        <v>37914.59375</v>
      </c>
      <c r="AV18" s="10">
        <f>s_C*(up_Bv!V18+s_MLF_snap_bean)*s_IFSN_res_adj*s_CF_snap_bean</f>
        <v>37914.59375</v>
      </c>
      <c r="AW18" s="10">
        <f>s_C*(up_Bv!W18+s_MLF_strawberry)*s_IFST_res_adj*s_CF_strawberry</f>
        <v>37914.59375</v>
      </c>
      <c r="AX18" s="10">
        <f>s_C*(up_Bv!X18+s_MLF_tomato)*s_IFTO_res_adj*s_CF_tomato</f>
        <v>37914.59375</v>
      </c>
      <c r="AY18" s="10">
        <f>s_C*(up_Bv!Y18+s_MLF_rice)*s_IFRI_res_adj*s_CF_rice</f>
        <v>37914.59375</v>
      </c>
      <c r="AZ18" s="10">
        <f>s_C*(up_Bv!Z18+s_MLF_cereal)*s_IFCG_res_adj*s_CF_cereal</f>
        <v>37914.59375</v>
      </c>
      <c r="BA18" s="2">
        <f t="shared" si="2"/>
        <v>4.3958447178843029E-5</v>
      </c>
      <c r="BB18" s="2">
        <f>IFERROR((up_dir!AC18/(up_Bv!C18+s_MLF_apple)),".")</f>
        <v>1.3187534153652909E-4</v>
      </c>
      <c r="BC18" s="2">
        <f>IFERROR((up_dir!AD18/(up_Bv!D18+s_MLF_asparagus)),".")</f>
        <v>1.3187534153652909E-4</v>
      </c>
      <c r="BD18" s="2">
        <f>IFERROR((up_dir!AE18/(up_Bv!E18+s_MLF_beet)),".")</f>
        <v>1.3187534153652909E-4</v>
      </c>
      <c r="BE18" s="2">
        <f>IFERROR((up_dir!AF18/(up_Bv!F18+s_MLF_berries)),".")</f>
        <v>1.3187534153652909E-4</v>
      </c>
      <c r="BF18" s="2">
        <f>IFERROR((up_dir!AG18/(up_Bv!G18+s_MLF_broccoli)),".")</f>
        <v>1.3187534153652909E-4</v>
      </c>
      <c r="BG18" s="2">
        <f>IFERROR((up_dir!AH18/(up_Bv!H18+s_MLF_cabbage)),".")</f>
        <v>1.3187534153652909E-4</v>
      </c>
      <c r="BH18" s="2">
        <f>IFERROR((up_dir!AI18/(up_Bv!I18+s_MLF_carrot)),".")</f>
        <v>1.3187534153652909E-4</v>
      </c>
      <c r="BI18" s="2">
        <f>IFERROR((up_dir!AJ18/(up_Bv!J18+s_MLF_citrus)),".")</f>
        <v>1.3187534153652909E-4</v>
      </c>
      <c r="BJ18" s="2">
        <f>IFERROR((up_dir!AK18/(up_Bv!K18+s_MLF_corn)),".")</f>
        <v>1.3187534153652909E-4</v>
      </c>
      <c r="BK18" s="2">
        <f>IFERROR((up_dir!AL18/(up_Bv!L18+s_MLF_cucumber)),".")</f>
        <v>1.3187534153652909E-4</v>
      </c>
      <c r="BL18" s="2">
        <f>IFERROR((up_dir!AM18/(up_Bv!M18+s_MLF_lettuce)),".")</f>
        <v>1.3187534153652909E-4</v>
      </c>
      <c r="BM18" s="2">
        <f>IFERROR((up_dir!AN18/(up_Bv!N18+s_MLF_lima_bean)),".")</f>
        <v>1.3187534153652909E-4</v>
      </c>
      <c r="BN18" s="2">
        <f>IFERROR((up_dir!AO18/(up_Bv!O18+s_MLF_okra)),".")</f>
        <v>1.3187534153652909E-4</v>
      </c>
      <c r="BO18" s="2">
        <f>IFERROR((up_dir!AP18/(up_Bv!P18+s_MLF_onion)),".")</f>
        <v>1.3187534153652909E-4</v>
      </c>
      <c r="BP18" s="2">
        <f>IFERROR((up_dir!AQ18/(up_Bv!Q18+s_MLF_peach)),".")</f>
        <v>1.3187534153652909E-4</v>
      </c>
      <c r="BQ18" s="2">
        <f>IFERROR((up_dir!AR18/(up_Bv!R18+s_MLF_pear)),".")</f>
        <v>1.3187534153652909E-4</v>
      </c>
      <c r="BR18" s="2">
        <f>IFERROR((up_dir!AS18/(up_Bv!S18+s_MLF_peas)),".")</f>
        <v>1.3187534153652909E-4</v>
      </c>
      <c r="BS18" s="2">
        <f>IFERROR((up_dir!AT18/(up_Bv!T18+s_MLF_potato)),".")</f>
        <v>1.3187534153652909E-4</v>
      </c>
      <c r="BT18" s="2">
        <f>IFERROR((up_dir!AU18/(up_Bv!U18+s_MLF_pumpkin)),".")</f>
        <v>1.3187534153652909E-4</v>
      </c>
      <c r="BU18" s="2">
        <f>IFERROR((up_dir!AV18/(up_Bv!V18+s_MLF_snap_bean)),".")</f>
        <v>1.3187534153652909E-4</v>
      </c>
      <c r="BV18" s="2">
        <f>IFERROR((up_dir!AW18/(up_Bv!W18+s_MLF_strawberry)),".")</f>
        <v>1.3187534153652909E-4</v>
      </c>
      <c r="BW18" s="2">
        <f>IFERROR((up_dir!AX18/(up_Bv!X18+s_MLF_tomato)),".")</f>
        <v>1.3187534153652909E-4</v>
      </c>
      <c r="BX18" s="2">
        <f>IFERROR((up_dir!AY18/(up_Bv!Y18+s_MLF_rice)),".")</f>
        <v>1.3187534153652909E-4</v>
      </c>
      <c r="BY18" s="2">
        <f>IFERROR((up_dir!AZ18/(up_Bv!Z18+s_MLF_cereal)),".")</f>
        <v>1.3187534153652909E-4</v>
      </c>
      <c r="BZ18" s="10">
        <f t="shared" si="3"/>
        <v>113743.78125</v>
      </c>
      <c r="CA18" s="10">
        <f>IFERROR(s_C*(up_Bv!C18+s_MLF_apple)*s_IFAP_far_adj*s_CF_apple,".")</f>
        <v>37914.59375</v>
      </c>
      <c r="CB18" s="10">
        <f>IFERROR(s_C*(up_Bv!D18+s_MLF_asparagus)*s_IFAS_far_adj*s_CF_asparagus,".")</f>
        <v>37914.59375</v>
      </c>
      <c r="CC18" s="10">
        <f>IFERROR(s_C*(up_Bv!E18+s_MLF_beet)*s_IFBT_far_adj*s_CF_beet,".")</f>
        <v>37914.59375</v>
      </c>
      <c r="CD18" s="10">
        <f>IFERROR(s_C*(up_Bv!F18+s_MLF_berries)*s_IFBR_far_adj*s_CF_berries,".")</f>
        <v>37914.59375</v>
      </c>
      <c r="CE18" s="10">
        <f>IFERROR(s_C*(up_Bv!G18+s_MLF_broccoli)*s_IFBR_far_adj*s_CF_broccoli,".")</f>
        <v>37914.59375</v>
      </c>
      <c r="CF18" s="10">
        <f>IFERROR(s_C*(up_Bv!H18+s_MLF_cabbage)*s_IFCB_far_adj*s_CF_cabbage,".")</f>
        <v>37914.59375</v>
      </c>
      <c r="CG18" s="10">
        <f>IFERROR(s_C*(up_Bv!I18+s_MLF_carrot)*s_IFCR_far_adj*s_CF_carrot,".")</f>
        <v>37914.59375</v>
      </c>
      <c r="CH18" s="10">
        <f>IFERROR(s_C*(up_Bv!J18+s_MLF_citrus)*s_IFCI_far_adj*s_CF_citrus,".")</f>
        <v>37914.59375</v>
      </c>
      <c r="CI18" s="10">
        <f>IFERROR(s_C*(up_Bv!K18+s_MLF_corn)*s_IFCO_far_adj*s_CF_corn,".")</f>
        <v>37914.59375</v>
      </c>
      <c r="CJ18" s="10">
        <f>IFERROR(s_C*(up_Bv!L18+s_MLF_cucumber)*s_IFCU_far_adj*s_CF_cucumber,".")</f>
        <v>37914.59375</v>
      </c>
      <c r="CK18" s="10">
        <f>IFERROR(s_C*(up_Bv!M18+s_MLF_lettuce)*s_IFLE_far_adj*s_CF_lettuce,".")</f>
        <v>37914.59375</v>
      </c>
      <c r="CL18" s="10">
        <f>IFERROR(s_C*(up_Bv!N18+s_MLF_lima_bean)*s_IFLI_far_adj*s_CF_lima_bean,".")</f>
        <v>37914.59375</v>
      </c>
      <c r="CM18" s="10">
        <f>IFERROR(s_C*(up_Bv!O18+s_MLF_okra)*s_IFOK_far_adj*s_CF_okra,".")</f>
        <v>37914.59375</v>
      </c>
      <c r="CN18" s="10">
        <f>IFERROR(s_C*(up_Bv!P18+s_MLF_onion)*s_IFON_far_adj*s_CF_onion,".")</f>
        <v>37914.59375</v>
      </c>
      <c r="CO18" s="10">
        <f>IFERROR(s_C*(up_Bv!Q18+s_MLF_peach)*s_IFPC_far_adj*s_CF_peach,".")</f>
        <v>37914.59375</v>
      </c>
      <c r="CP18" s="10">
        <f>IFERROR(s_C*(up_Bv!R18+s_MLF_pear)*s_IFPR_far_adj*s_CF_pear,".")</f>
        <v>37914.59375</v>
      </c>
      <c r="CQ18" s="10">
        <f>IFERROR(s_C*(up_Bv!S18+s_MLF_peas)*s_IFPE_far_adj*s_CF_peas,".")</f>
        <v>37914.59375</v>
      </c>
      <c r="CR18" s="10">
        <f>IFERROR(s_C*(up_Bv!T18+s_MLF_potato)*s_IFPT_far_adj*s_CF_potato,".")</f>
        <v>37914.59375</v>
      </c>
      <c r="CS18" s="10">
        <f>IFERROR(s_C*(up_Bv!U18+s_MLF_pumpkin)*s_IFPU_far_adj*s_CF_pumpkin,".")</f>
        <v>37914.59375</v>
      </c>
      <c r="CT18" s="10">
        <f>IFERROR(s_C*(up_Bv!V18+s_MLF_snap_bean)*s_IFSN_far_adj*s_CF_snap_bean,".")</f>
        <v>37914.59375</v>
      </c>
      <c r="CU18" s="10">
        <f>IFERROR(s_C*(up_Bv!W18+s_MLF_strawberry)*s_IFST_far_adj*s_CF_strawberry,".")</f>
        <v>37914.59375</v>
      </c>
      <c r="CV18" s="10">
        <f>IFERROR(s_C*(up_Bv!X18+s_MLF_tomato)*s_IFTO_far_adj*s_CF_tomato,".")</f>
        <v>37914.59375</v>
      </c>
      <c r="CW18" s="10">
        <f>IFERROR(s_C*(up_Bv!Y18+s_MLF_rice)*s_IFRI_far_adj*s_CF_rice,".")</f>
        <v>37914.59375</v>
      </c>
      <c r="CX18" s="10">
        <f>IFERROR(s_C*(up_Bv!Z18+s_MLF_cereal)*s_IFCG_far_adj*s_CF_cereal,".")</f>
        <v>37914.59375</v>
      </c>
    </row>
    <row r="19" spans="1:102" ht="15" customHeight="1" x14ac:dyDescent="0.25">
      <c r="A19" s="31" t="s">
        <v>17</v>
      </c>
      <c r="B19" s="3" t="s">
        <v>1059</v>
      </c>
      <c r="C19" s="73">
        <f t="shared" si="1"/>
        <v>4.3958447178843029E-5</v>
      </c>
      <c r="D19" s="73">
        <f>IFERROR((up_dir!D19/(up_Bv!C19+s_MLF_apple)),".")</f>
        <v>1.3187534153652909E-4</v>
      </c>
      <c r="E19" s="73">
        <f>IFERROR((up_dir!E19/(up_Bv!D19+s_MLF_asparagus)),".")</f>
        <v>1.3187534153652909E-4</v>
      </c>
      <c r="F19" s="73">
        <f>IFERROR((up_dir!F19/(up_Bv!E19+s_MLF_beet)),".")</f>
        <v>1.3187534153652909E-4</v>
      </c>
      <c r="G19" s="73">
        <f>IFERROR((up_dir!G19/(up_Bv!F19+s_MLF_berries)),".")</f>
        <v>1.3187534153652909E-4</v>
      </c>
      <c r="H19" s="73">
        <f>IFERROR((up_dir!H19/(up_Bv!G19+s_MLF_broccoli)),".")</f>
        <v>1.3187534153652909E-4</v>
      </c>
      <c r="I19" s="73">
        <f>IFERROR((up_dir!I19/(up_Bv!H19+s_MLF_cabbage)),".")</f>
        <v>1.3187534153652909E-4</v>
      </c>
      <c r="J19" s="73">
        <f>IFERROR((up_dir!J19/(up_Bv!I19+s_MLF_carrot)),".")</f>
        <v>1.3187534153652909E-4</v>
      </c>
      <c r="K19" s="73">
        <f>IFERROR((up_dir!K19/(up_Bv!J19+s_MLF_citrus)),".")</f>
        <v>1.3187534153652909E-4</v>
      </c>
      <c r="L19" s="73">
        <f>IFERROR((up_dir!L19/(up_Bv!K19+s_MLF_corn)),".")</f>
        <v>1.3187534153652909E-4</v>
      </c>
      <c r="M19" s="73">
        <f>IFERROR((up_dir!M19/(up_Bv!L19+s_MLF_cucumber)),".")</f>
        <v>1.3187534153652909E-4</v>
      </c>
      <c r="N19" s="73">
        <f>IFERROR((up_dir!N19/(up_Bv!M19+s_MLF_lettuce)),".")</f>
        <v>1.3187534153652909E-4</v>
      </c>
      <c r="O19" s="73">
        <f>IFERROR((up_dir!O19/(up_Bv!N19+s_MLF_lima_bean)),".")</f>
        <v>1.3187534153652909E-4</v>
      </c>
      <c r="P19" s="73">
        <f>IFERROR((up_dir!P19/(up_Bv!O19+s_MLF_okra)),".")</f>
        <v>1.3187534153652909E-4</v>
      </c>
      <c r="Q19" s="73">
        <f>IFERROR((up_dir!Q19/(up_Bv!P19+s_MLF_onion)),".")</f>
        <v>1.3187534153652909E-4</v>
      </c>
      <c r="R19" s="73">
        <f>IFERROR((up_dir!R19/(up_Bv!Q19+s_MLF_peach)),".")</f>
        <v>1.3187534153652909E-4</v>
      </c>
      <c r="S19" s="73">
        <f>IFERROR((up_dir!S19/(up_Bv!R19+s_MLF_pear)),".")</f>
        <v>1.3187534153652909E-4</v>
      </c>
      <c r="T19" s="73">
        <f>IFERROR((up_dir!T19/(up_Bv!S19+s_MLF_peas)),".")</f>
        <v>1.3187534153652909E-4</v>
      </c>
      <c r="U19" s="73">
        <f>IFERROR((up_dir!U19/(up_Bv!T19+s_MLF_potato)),".")</f>
        <v>1.3187534153652909E-4</v>
      </c>
      <c r="V19" s="73">
        <f>IFERROR((up_dir!V19/(up_Bv!U19+s_MLF_pumpkin)),".")</f>
        <v>1.3187534153652909E-4</v>
      </c>
      <c r="W19" s="73">
        <f>IFERROR((up_dir!W19/(up_Bv!V19+s_MLF_snap_bean)),".")</f>
        <v>1.3187534153652909E-4</v>
      </c>
      <c r="X19" s="73">
        <f>IFERROR((up_dir!X19/(up_Bv!W19+s_MLF_strawberry)),".")</f>
        <v>1.3187534153652909E-4</v>
      </c>
      <c r="Y19" s="73">
        <f>IFERROR((up_dir!Y19/(up_Bv!X19+s_MLF_tomato)),".")</f>
        <v>1.3187534153652909E-4</v>
      </c>
      <c r="Z19" s="73">
        <f>IFERROR((up_dir!Z19/(up_Bv!Y19+s_MLF_rice)),".")</f>
        <v>1.3187534153652909E-4</v>
      </c>
      <c r="AA19" s="73">
        <f>IFERROR((up_dir!AA19/(up_Bv!Z19+s_MLF_cereal)),".")</f>
        <v>1.3187534153652909E-4</v>
      </c>
      <c r="AB19" s="10">
        <f t="shared" si="4"/>
        <v>113743.78125</v>
      </c>
      <c r="AC19" s="10">
        <f>s_C*(up_Bv!C19+s_MLF_apple)*s_IFAP_res_adj*s_CF_apple</f>
        <v>37914.59375</v>
      </c>
      <c r="AD19" s="10">
        <f>s_C*(up_Bv!D19+s_MLF_asparagus)*s_IFAS_res_adj*s_CF_asparagus</f>
        <v>37914.59375</v>
      </c>
      <c r="AE19" s="10">
        <f>s_C*(up_Bv!E19+s_MLF_beet)*s_IFBT_res_adj*s_CF_beet</f>
        <v>37914.59375</v>
      </c>
      <c r="AF19" s="10">
        <f>s_C*(up_Bv!F19+s_MLF_berries)*s_IFBE_res_adj*s_CF_berries</f>
        <v>37914.59375</v>
      </c>
      <c r="AG19" s="10">
        <f>s_C*(up_Bv!G19+s_MLF_broccoli)*s_IFBR_res_adj*s_CF_broccoli</f>
        <v>37914.59375</v>
      </c>
      <c r="AH19" s="10">
        <f>s_C*(up_Bv!H19+s_MLF_cabbage)*s_IFCB_res_adj*s_CF_cabbage</f>
        <v>37914.59375</v>
      </c>
      <c r="AI19" s="10">
        <f>s_C*(up_Bv!I19+s_MLF_carrot)*s_IFCR_res_adj*s_CF_carrot</f>
        <v>37914.59375</v>
      </c>
      <c r="AJ19" s="10">
        <f>s_C*(up_Bv!J19+s_MLF_citrus)*s_IFCI_res_adj*s_CF_citrus</f>
        <v>37914.59375</v>
      </c>
      <c r="AK19" s="10">
        <f>s_C*(up_Bv!K19+s_MLF_corn)*s_IFCO_res_adj*s_CF_corn</f>
        <v>37914.59375</v>
      </c>
      <c r="AL19" s="10">
        <f>s_C*(up_Bv!L19+s_MLF_cucumber)*s_IFCU_res_adj*s_CF_cucumber</f>
        <v>37914.59375</v>
      </c>
      <c r="AM19" s="10">
        <f>s_C*(up_Bv!M19+s_MLF_lettuce)*s_IFLE_res_adj*s_CF_lettuce</f>
        <v>37914.59375</v>
      </c>
      <c r="AN19" s="10">
        <f>s_C*(up_Bv!N19+s_MLF_lima_bean)*s_IFLI_res_adj*s_CF_lima_bean</f>
        <v>37914.59375</v>
      </c>
      <c r="AO19" s="10">
        <f>s_C*(up_Bv!O19+s_MLF_okra)*s_IFOK_res_adj*s_CF_okra</f>
        <v>37914.59375</v>
      </c>
      <c r="AP19" s="10">
        <f>s_C*(up_Bv!P19+s_MLF_onion)*s_IFON_res_adj*s_CF_onion</f>
        <v>37914.59375</v>
      </c>
      <c r="AQ19" s="10">
        <f>s_C*(up_Bv!Q19+s_MLF_peach)*s_IFPC_res_adj*s_CF_peach</f>
        <v>37914.59375</v>
      </c>
      <c r="AR19" s="10">
        <f>s_C*(up_Bv!R19+s_MLF_pear)*s_IFPR_res_adj*s_CF_pear</f>
        <v>37914.59375</v>
      </c>
      <c r="AS19" s="10">
        <f>s_C*(up_Bv!S19+s_MLF_peas)*s_IFPE_res_adj*s_CF_peas</f>
        <v>37914.59375</v>
      </c>
      <c r="AT19" s="10">
        <f>s_C*(up_Bv!T19+s_MLF_potato)*s_IFPT_res_adj*s_CF_potato</f>
        <v>37914.59375</v>
      </c>
      <c r="AU19" s="10">
        <f>s_C*(up_Bv!U19+s_MLF_pumpkin)*s_IFPU_res_adj*s_CF_pumpkin</f>
        <v>37914.59375</v>
      </c>
      <c r="AV19" s="10">
        <f>s_C*(up_Bv!V19+s_MLF_snap_bean)*s_IFSN_res_adj*s_CF_snap_bean</f>
        <v>37914.59375</v>
      </c>
      <c r="AW19" s="10">
        <f>s_C*(up_Bv!W19+s_MLF_strawberry)*s_IFST_res_adj*s_CF_strawberry</f>
        <v>37914.59375</v>
      </c>
      <c r="AX19" s="10">
        <f>s_C*(up_Bv!X19+s_MLF_tomato)*s_IFTO_res_adj*s_CF_tomato</f>
        <v>37914.59375</v>
      </c>
      <c r="AY19" s="10">
        <f>s_C*(up_Bv!Y19+s_MLF_rice)*s_IFRI_res_adj*s_CF_rice</f>
        <v>37914.59375</v>
      </c>
      <c r="AZ19" s="10">
        <f>s_C*(up_Bv!Z19+s_MLF_cereal)*s_IFCG_res_adj*s_CF_cereal</f>
        <v>37914.59375</v>
      </c>
      <c r="BA19" s="2">
        <f t="shared" si="2"/>
        <v>4.3958447178843029E-5</v>
      </c>
      <c r="BB19" s="2">
        <f>IFERROR((up_dir!AC19/(up_Bv!C19+s_MLF_apple)),".")</f>
        <v>1.3187534153652909E-4</v>
      </c>
      <c r="BC19" s="2">
        <f>IFERROR((up_dir!AD19/(up_Bv!D19+s_MLF_asparagus)),".")</f>
        <v>1.3187534153652909E-4</v>
      </c>
      <c r="BD19" s="2">
        <f>IFERROR((up_dir!AE19/(up_Bv!E19+s_MLF_beet)),".")</f>
        <v>1.3187534153652909E-4</v>
      </c>
      <c r="BE19" s="2">
        <f>IFERROR((up_dir!AF19/(up_Bv!F19+s_MLF_berries)),".")</f>
        <v>1.3187534153652909E-4</v>
      </c>
      <c r="BF19" s="2">
        <f>IFERROR((up_dir!AG19/(up_Bv!G19+s_MLF_broccoli)),".")</f>
        <v>1.3187534153652909E-4</v>
      </c>
      <c r="BG19" s="2">
        <f>IFERROR((up_dir!AH19/(up_Bv!H19+s_MLF_cabbage)),".")</f>
        <v>1.3187534153652909E-4</v>
      </c>
      <c r="BH19" s="2">
        <f>IFERROR((up_dir!AI19/(up_Bv!I19+s_MLF_carrot)),".")</f>
        <v>1.3187534153652909E-4</v>
      </c>
      <c r="BI19" s="2">
        <f>IFERROR((up_dir!AJ19/(up_Bv!J19+s_MLF_citrus)),".")</f>
        <v>1.3187534153652909E-4</v>
      </c>
      <c r="BJ19" s="2">
        <f>IFERROR((up_dir!AK19/(up_Bv!K19+s_MLF_corn)),".")</f>
        <v>1.3187534153652909E-4</v>
      </c>
      <c r="BK19" s="2">
        <f>IFERROR((up_dir!AL19/(up_Bv!L19+s_MLF_cucumber)),".")</f>
        <v>1.3187534153652909E-4</v>
      </c>
      <c r="BL19" s="2">
        <f>IFERROR((up_dir!AM19/(up_Bv!M19+s_MLF_lettuce)),".")</f>
        <v>1.3187534153652909E-4</v>
      </c>
      <c r="BM19" s="2">
        <f>IFERROR((up_dir!AN19/(up_Bv!N19+s_MLF_lima_bean)),".")</f>
        <v>1.3187534153652909E-4</v>
      </c>
      <c r="BN19" s="2">
        <f>IFERROR((up_dir!AO19/(up_Bv!O19+s_MLF_okra)),".")</f>
        <v>1.3187534153652909E-4</v>
      </c>
      <c r="BO19" s="2">
        <f>IFERROR((up_dir!AP19/(up_Bv!P19+s_MLF_onion)),".")</f>
        <v>1.3187534153652909E-4</v>
      </c>
      <c r="BP19" s="2">
        <f>IFERROR((up_dir!AQ19/(up_Bv!Q19+s_MLF_peach)),".")</f>
        <v>1.3187534153652909E-4</v>
      </c>
      <c r="BQ19" s="2">
        <f>IFERROR((up_dir!AR19/(up_Bv!R19+s_MLF_pear)),".")</f>
        <v>1.3187534153652909E-4</v>
      </c>
      <c r="BR19" s="2">
        <f>IFERROR((up_dir!AS19/(up_Bv!S19+s_MLF_peas)),".")</f>
        <v>1.3187534153652909E-4</v>
      </c>
      <c r="BS19" s="2">
        <f>IFERROR((up_dir!AT19/(up_Bv!T19+s_MLF_potato)),".")</f>
        <v>1.3187534153652909E-4</v>
      </c>
      <c r="BT19" s="2">
        <f>IFERROR((up_dir!AU19/(up_Bv!U19+s_MLF_pumpkin)),".")</f>
        <v>1.3187534153652909E-4</v>
      </c>
      <c r="BU19" s="2">
        <f>IFERROR((up_dir!AV19/(up_Bv!V19+s_MLF_snap_bean)),".")</f>
        <v>1.3187534153652909E-4</v>
      </c>
      <c r="BV19" s="2">
        <f>IFERROR((up_dir!AW19/(up_Bv!W19+s_MLF_strawberry)),".")</f>
        <v>1.3187534153652909E-4</v>
      </c>
      <c r="BW19" s="2">
        <f>IFERROR((up_dir!AX19/(up_Bv!X19+s_MLF_tomato)),".")</f>
        <v>1.3187534153652909E-4</v>
      </c>
      <c r="BX19" s="2">
        <f>IFERROR((up_dir!AY19/(up_Bv!Y19+s_MLF_rice)),".")</f>
        <v>1.3187534153652909E-4</v>
      </c>
      <c r="BY19" s="2">
        <f>IFERROR((up_dir!AZ19/(up_Bv!Z19+s_MLF_cereal)),".")</f>
        <v>1.3187534153652909E-4</v>
      </c>
      <c r="BZ19" s="10">
        <f t="shared" si="3"/>
        <v>113743.78125</v>
      </c>
      <c r="CA19" s="10">
        <f>IFERROR(s_C*(up_Bv!C19+s_MLF_apple)*s_IFAP_far_adj*s_CF_apple,".")</f>
        <v>37914.59375</v>
      </c>
      <c r="CB19" s="10">
        <f>IFERROR(s_C*(up_Bv!D19+s_MLF_asparagus)*s_IFAS_far_adj*s_CF_asparagus,".")</f>
        <v>37914.59375</v>
      </c>
      <c r="CC19" s="10">
        <f>IFERROR(s_C*(up_Bv!E19+s_MLF_beet)*s_IFBT_far_adj*s_CF_beet,".")</f>
        <v>37914.59375</v>
      </c>
      <c r="CD19" s="10">
        <f>IFERROR(s_C*(up_Bv!F19+s_MLF_berries)*s_IFBR_far_adj*s_CF_berries,".")</f>
        <v>37914.59375</v>
      </c>
      <c r="CE19" s="10">
        <f>IFERROR(s_C*(up_Bv!G19+s_MLF_broccoli)*s_IFBR_far_adj*s_CF_broccoli,".")</f>
        <v>37914.59375</v>
      </c>
      <c r="CF19" s="10">
        <f>IFERROR(s_C*(up_Bv!H19+s_MLF_cabbage)*s_IFCB_far_adj*s_CF_cabbage,".")</f>
        <v>37914.59375</v>
      </c>
      <c r="CG19" s="10">
        <f>IFERROR(s_C*(up_Bv!I19+s_MLF_carrot)*s_IFCR_far_adj*s_CF_carrot,".")</f>
        <v>37914.59375</v>
      </c>
      <c r="CH19" s="10">
        <f>IFERROR(s_C*(up_Bv!J19+s_MLF_citrus)*s_IFCI_far_adj*s_CF_citrus,".")</f>
        <v>37914.59375</v>
      </c>
      <c r="CI19" s="10">
        <f>IFERROR(s_C*(up_Bv!K19+s_MLF_corn)*s_IFCO_far_adj*s_CF_corn,".")</f>
        <v>37914.59375</v>
      </c>
      <c r="CJ19" s="10">
        <f>IFERROR(s_C*(up_Bv!L19+s_MLF_cucumber)*s_IFCU_far_adj*s_CF_cucumber,".")</f>
        <v>37914.59375</v>
      </c>
      <c r="CK19" s="10">
        <f>IFERROR(s_C*(up_Bv!M19+s_MLF_lettuce)*s_IFLE_far_adj*s_CF_lettuce,".")</f>
        <v>37914.59375</v>
      </c>
      <c r="CL19" s="10">
        <f>IFERROR(s_C*(up_Bv!N19+s_MLF_lima_bean)*s_IFLI_far_adj*s_CF_lima_bean,".")</f>
        <v>37914.59375</v>
      </c>
      <c r="CM19" s="10">
        <f>IFERROR(s_C*(up_Bv!O19+s_MLF_okra)*s_IFOK_far_adj*s_CF_okra,".")</f>
        <v>37914.59375</v>
      </c>
      <c r="CN19" s="10">
        <f>IFERROR(s_C*(up_Bv!P19+s_MLF_onion)*s_IFON_far_adj*s_CF_onion,".")</f>
        <v>37914.59375</v>
      </c>
      <c r="CO19" s="10">
        <f>IFERROR(s_C*(up_Bv!Q19+s_MLF_peach)*s_IFPC_far_adj*s_CF_peach,".")</f>
        <v>37914.59375</v>
      </c>
      <c r="CP19" s="10">
        <f>IFERROR(s_C*(up_Bv!R19+s_MLF_pear)*s_IFPR_far_adj*s_CF_pear,".")</f>
        <v>37914.59375</v>
      </c>
      <c r="CQ19" s="10">
        <f>IFERROR(s_C*(up_Bv!S19+s_MLF_peas)*s_IFPE_far_adj*s_CF_peas,".")</f>
        <v>37914.59375</v>
      </c>
      <c r="CR19" s="10">
        <f>IFERROR(s_C*(up_Bv!T19+s_MLF_potato)*s_IFPT_far_adj*s_CF_potato,".")</f>
        <v>37914.59375</v>
      </c>
      <c r="CS19" s="10">
        <f>IFERROR(s_C*(up_Bv!U19+s_MLF_pumpkin)*s_IFPU_far_adj*s_CF_pumpkin,".")</f>
        <v>37914.59375</v>
      </c>
      <c r="CT19" s="10">
        <f>IFERROR(s_C*(up_Bv!V19+s_MLF_snap_bean)*s_IFSN_far_adj*s_CF_snap_bean,".")</f>
        <v>37914.59375</v>
      </c>
      <c r="CU19" s="10">
        <f>IFERROR(s_C*(up_Bv!W19+s_MLF_strawberry)*s_IFST_far_adj*s_CF_strawberry,".")</f>
        <v>37914.59375</v>
      </c>
      <c r="CV19" s="10">
        <f>IFERROR(s_C*(up_Bv!X19+s_MLF_tomato)*s_IFTO_far_adj*s_CF_tomato,".")</f>
        <v>37914.59375</v>
      </c>
      <c r="CW19" s="10">
        <f>IFERROR(s_C*(up_Bv!Y19+s_MLF_rice)*s_IFRI_far_adj*s_CF_rice,".")</f>
        <v>37914.59375</v>
      </c>
      <c r="CX19" s="10">
        <f>IFERROR(s_C*(up_Bv!Z19+s_MLF_cereal)*s_IFCG_far_adj*s_CF_cereal,".")</f>
        <v>37914.59375</v>
      </c>
    </row>
    <row r="20" spans="1:102" ht="15" customHeight="1" x14ac:dyDescent="0.25">
      <c r="A20" s="31" t="s">
        <v>18</v>
      </c>
      <c r="B20" s="3" t="s">
        <v>1059</v>
      </c>
      <c r="C20" s="73">
        <f t="shared" si="1"/>
        <v>4.3958447178843029E-5</v>
      </c>
      <c r="D20" s="73">
        <f>IFERROR((up_dir!D20/(up_Bv!C20+s_MLF_apple)),".")</f>
        <v>1.3187534153652909E-4</v>
      </c>
      <c r="E20" s="73">
        <f>IFERROR((up_dir!E20/(up_Bv!D20+s_MLF_asparagus)),".")</f>
        <v>1.3187534153652909E-4</v>
      </c>
      <c r="F20" s="73">
        <f>IFERROR((up_dir!F20/(up_Bv!E20+s_MLF_beet)),".")</f>
        <v>1.3187534153652909E-4</v>
      </c>
      <c r="G20" s="73">
        <f>IFERROR((up_dir!G20/(up_Bv!F20+s_MLF_berries)),".")</f>
        <v>1.3187534153652909E-4</v>
      </c>
      <c r="H20" s="73">
        <f>IFERROR((up_dir!H20/(up_Bv!G20+s_MLF_broccoli)),".")</f>
        <v>1.3187534153652909E-4</v>
      </c>
      <c r="I20" s="73">
        <f>IFERROR((up_dir!I20/(up_Bv!H20+s_MLF_cabbage)),".")</f>
        <v>1.3187534153652909E-4</v>
      </c>
      <c r="J20" s="73">
        <f>IFERROR((up_dir!J20/(up_Bv!I20+s_MLF_carrot)),".")</f>
        <v>1.3187534153652909E-4</v>
      </c>
      <c r="K20" s="73">
        <f>IFERROR((up_dir!K20/(up_Bv!J20+s_MLF_citrus)),".")</f>
        <v>1.3187534153652909E-4</v>
      </c>
      <c r="L20" s="73">
        <f>IFERROR((up_dir!L20/(up_Bv!K20+s_MLF_corn)),".")</f>
        <v>1.3187534153652909E-4</v>
      </c>
      <c r="M20" s="73">
        <f>IFERROR((up_dir!M20/(up_Bv!L20+s_MLF_cucumber)),".")</f>
        <v>1.3187534153652909E-4</v>
      </c>
      <c r="N20" s="73">
        <f>IFERROR((up_dir!N20/(up_Bv!M20+s_MLF_lettuce)),".")</f>
        <v>1.3187534153652909E-4</v>
      </c>
      <c r="O20" s="73">
        <f>IFERROR((up_dir!O20/(up_Bv!N20+s_MLF_lima_bean)),".")</f>
        <v>1.3187534153652909E-4</v>
      </c>
      <c r="P20" s="73">
        <f>IFERROR((up_dir!P20/(up_Bv!O20+s_MLF_okra)),".")</f>
        <v>1.3187534153652909E-4</v>
      </c>
      <c r="Q20" s="73">
        <f>IFERROR((up_dir!Q20/(up_Bv!P20+s_MLF_onion)),".")</f>
        <v>1.3187534153652909E-4</v>
      </c>
      <c r="R20" s="73">
        <f>IFERROR((up_dir!R20/(up_Bv!Q20+s_MLF_peach)),".")</f>
        <v>1.3187534153652909E-4</v>
      </c>
      <c r="S20" s="73">
        <f>IFERROR((up_dir!S20/(up_Bv!R20+s_MLF_pear)),".")</f>
        <v>1.3187534153652909E-4</v>
      </c>
      <c r="T20" s="73">
        <f>IFERROR((up_dir!T20/(up_Bv!S20+s_MLF_peas)),".")</f>
        <v>1.3187534153652909E-4</v>
      </c>
      <c r="U20" s="73">
        <f>IFERROR((up_dir!U20/(up_Bv!T20+s_MLF_potato)),".")</f>
        <v>1.3187534153652909E-4</v>
      </c>
      <c r="V20" s="73">
        <f>IFERROR((up_dir!V20/(up_Bv!U20+s_MLF_pumpkin)),".")</f>
        <v>1.3187534153652909E-4</v>
      </c>
      <c r="W20" s="73">
        <f>IFERROR((up_dir!W20/(up_Bv!V20+s_MLF_snap_bean)),".")</f>
        <v>1.3187534153652909E-4</v>
      </c>
      <c r="X20" s="73">
        <f>IFERROR((up_dir!X20/(up_Bv!W20+s_MLF_strawberry)),".")</f>
        <v>1.3187534153652909E-4</v>
      </c>
      <c r="Y20" s="73">
        <f>IFERROR((up_dir!Y20/(up_Bv!X20+s_MLF_tomato)),".")</f>
        <v>1.3187534153652909E-4</v>
      </c>
      <c r="Z20" s="73">
        <f>IFERROR((up_dir!Z20/(up_Bv!Y20+s_MLF_rice)),".")</f>
        <v>1.3187534153652909E-4</v>
      </c>
      <c r="AA20" s="73">
        <f>IFERROR((up_dir!AA20/(up_Bv!Z20+s_MLF_cereal)),".")</f>
        <v>1.3187534153652909E-4</v>
      </c>
      <c r="AB20" s="10">
        <f t="shared" si="4"/>
        <v>113743.78125</v>
      </c>
      <c r="AC20" s="10">
        <f>s_C*(up_Bv!C20+s_MLF_apple)*s_IFAP_res_adj*s_CF_apple</f>
        <v>37914.59375</v>
      </c>
      <c r="AD20" s="10">
        <f>s_C*(up_Bv!D20+s_MLF_asparagus)*s_IFAS_res_adj*s_CF_asparagus</f>
        <v>37914.59375</v>
      </c>
      <c r="AE20" s="10">
        <f>s_C*(up_Bv!E20+s_MLF_beet)*s_IFBT_res_adj*s_CF_beet</f>
        <v>37914.59375</v>
      </c>
      <c r="AF20" s="10">
        <f>s_C*(up_Bv!F20+s_MLF_berries)*s_IFBE_res_adj*s_CF_berries</f>
        <v>37914.59375</v>
      </c>
      <c r="AG20" s="10">
        <f>s_C*(up_Bv!G20+s_MLF_broccoli)*s_IFBR_res_adj*s_CF_broccoli</f>
        <v>37914.59375</v>
      </c>
      <c r="AH20" s="10">
        <f>s_C*(up_Bv!H20+s_MLF_cabbage)*s_IFCB_res_adj*s_CF_cabbage</f>
        <v>37914.59375</v>
      </c>
      <c r="AI20" s="10">
        <f>s_C*(up_Bv!I20+s_MLF_carrot)*s_IFCR_res_adj*s_CF_carrot</f>
        <v>37914.59375</v>
      </c>
      <c r="AJ20" s="10">
        <f>s_C*(up_Bv!J20+s_MLF_citrus)*s_IFCI_res_adj*s_CF_citrus</f>
        <v>37914.59375</v>
      </c>
      <c r="AK20" s="10">
        <f>s_C*(up_Bv!K20+s_MLF_corn)*s_IFCO_res_adj*s_CF_corn</f>
        <v>37914.59375</v>
      </c>
      <c r="AL20" s="10">
        <f>s_C*(up_Bv!L20+s_MLF_cucumber)*s_IFCU_res_adj*s_CF_cucumber</f>
        <v>37914.59375</v>
      </c>
      <c r="AM20" s="10">
        <f>s_C*(up_Bv!M20+s_MLF_lettuce)*s_IFLE_res_adj*s_CF_lettuce</f>
        <v>37914.59375</v>
      </c>
      <c r="AN20" s="10">
        <f>s_C*(up_Bv!N20+s_MLF_lima_bean)*s_IFLI_res_adj*s_CF_lima_bean</f>
        <v>37914.59375</v>
      </c>
      <c r="AO20" s="10">
        <f>s_C*(up_Bv!O20+s_MLF_okra)*s_IFOK_res_adj*s_CF_okra</f>
        <v>37914.59375</v>
      </c>
      <c r="AP20" s="10">
        <f>s_C*(up_Bv!P20+s_MLF_onion)*s_IFON_res_adj*s_CF_onion</f>
        <v>37914.59375</v>
      </c>
      <c r="AQ20" s="10">
        <f>s_C*(up_Bv!Q20+s_MLF_peach)*s_IFPC_res_adj*s_CF_peach</f>
        <v>37914.59375</v>
      </c>
      <c r="AR20" s="10">
        <f>s_C*(up_Bv!R20+s_MLF_pear)*s_IFPR_res_adj*s_CF_pear</f>
        <v>37914.59375</v>
      </c>
      <c r="AS20" s="10">
        <f>s_C*(up_Bv!S20+s_MLF_peas)*s_IFPE_res_adj*s_CF_peas</f>
        <v>37914.59375</v>
      </c>
      <c r="AT20" s="10">
        <f>s_C*(up_Bv!T20+s_MLF_potato)*s_IFPT_res_adj*s_CF_potato</f>
        <v>37914.59375</v>
      </c>
      <c r="AU20" s="10">
        <f>s_C*(up_Bv!U20+s_MLF_pumpkin)*s_IFPU_res_adj*s_CF_pumpkin</f>
        <v>37914.59375</v>
      </c>
      <c r="AV20" s="10">
        <f>s_C*(up_Bv!V20+s_MLF_snap_bean)*s_IFSN_res_adj*s_CF_snap_bean</f>
        <v>37914.59375</v>
      </c>
      <c r="AW20" s="10">
        <f>s_C*(up_Bv!W20+s_MLF_strawberry)*s_IFST_res_adj*s_CF_strawberry</f>
        <v>37914.59375</v>
      </c>
      <c r="AX20" s="10">
        <f>s_C*(up_Bv!X20+s_MLF_tomato)*s_IFTO_res_adj*s_CF_tomato</f>
        <v>37914.59375</v>
      </c>
      <c r="AY20" s="10">
        <f>s_C*(up_Bv!Y20+s_MLF_rice)*s_IFRI_res_adj*s_CF_rice</f>
        <v>37914.59375</v>
      </c>
      <c r="AZ20" s="10">
        <f>s_C*(up_Bv!Z20+s_MLF_cereal)*s_IFCG_res_adj*s_CF_cereal</f>
        <v>37914.59375</v>
      </c>
      <c r="BA20" s="2">
        <f t="shared" si="2"/>
        <v>4.3958447178843029E-5</v>
      </c>
      <c r="BB20" s="2">
        <f>IFERROR((up_dir!AC20/(up_Bv!C20+s_MLF_apple)),".")</f>
        <v>1.3187534153652909E-4</v>
      </c>
      <c r="BC20" s="2">
        <f>IFERROR((up_dir!AD20/(up_Bv!D20+s_MLF_asparagus)),".")</f>
        <v>1.3187534153652909E-4</v>
      </c>
      <c r="BD20" s="2">
        <f>IFERROR((up_dir!AE20/(up_Bv!E20+s_MLF_beet)),".")</f>
        <v>1.3187534153652909E-4</v>
      </c>
      <c r="BE20" s="2">
        <f>IFERROR((up_dir!AF20/(up_Bv!F20+s_MLF_berries)),".")</f>
        <v>1.3187534153652909E-4</v>
      </c>
      <c r="BF20" s="2">
        <f>IFERROR((up_dir!AG20/(up_Bv!G20+s_MLF_broccoli)),".")</f>
        <v>1.3187534153652909E-4</v>
      </c>
      <c r="BG20" s="2">
        <f>IFERROR((up_dir!AH20/(up_Bv!H20+s_MLF_cabbage)),".")</f>
        <v>1.3187534153652909E-4</v>
      </c>
      <c r="BH20" s="2">
        <f>IFERROR((up_dir!AI20/(up_Bv!I20+s_MLF_carrot)),".")</f>
        <v>1.3187534153652909E-4</v>
      </c>
      <c r="BI20" s="2">
        <f>IFERROR((up_dir!AJ20/(up_Bv!J20+s_MLF_citrus)),".")</f>
        <v>1.3187534153652909E-4</v>
      </c>
      <c r="BJ20" s="2">
        <f>IFERROR((up_dir!AK20/(up_Bv!K20+s_MLF_corn)),".")</f>
        <v>1.3187534153652909E-4</v>
      </c>
      <c r="BK20" s="2">
        <f>IFERROR((up_dir!AL20/(up_Bv!L20+s_MLF_cucumber)),".")</f>
        <v>1.3187534153652909E-4</v>
      </c>
      <c r="BL20" s="2">
        <f>IFERROR((up_dir!AM20/(up_Bv!M20+s_MLF_lettuce)),".")</f>
        <v>1.3187534153652909E-4</v>
      </c>
      <c r="BM20" s="2">
        <f>IFERROR((up_dir!AN20/(up_Bv!N20+s_MLF_lima_bean)),".")</f>
        <v>1.3187534153652909E-4</v>
      </c>
      <c r="BN20" s="2">
        <f>IFERROR((up_dir!AO20/(up_Bv!O20+s_MLF_okra)),".")</f>
        <v>1.3187534153652909E-4</v>
      </c>
      <c r="BO20" s="2">
        <f>IFERROR((up_dir!AP20/(up_Bv!P20+s_MLF_onion)),".")</f>
        <v>1.3187534153652909E-4</v>
      </c>
      <c r="BP20" s="2">
        <f>IFERROR((up_dir!AQ20/(up_Bv!Q20+s_MLF_peach)),".")</f>
        <v>1.3187534153652909E-4</v>
      </c>
      <c r="BQ20" s="2">
        <f>IFERROR((up_dir!AR20/(up_Bv!R20+s_MLF_pear)),".")</f>
        <v>1.3187534153652909E-4</v>
      </c>
      <c r="BR20" s="2">
        <f>IFERROR((up_dir!AS20/(up_Bv!S20+s_MLF_peas)),".")</f>
        <v>1.3187534153652909E-4</v>
      </c>
      <c r="BS20" s="2">
        <f>IFERROR((up_dir!AT20/(up_Bv!T20+s_MLF_potato)),".")</f>
        <v>1.3187534153652909E-4</v>
      </c>
      <c r="BT20" s="2">
        <f>IFERROR((up_dir!AU20/(up_Bv!U20+s_MLF_pumpkin)),".")</f>
        <v>1.3187534153652909E-4</v>
      </c>
      <c r="BU20" s="2">
        <f>IFERROR((up_dir!AV20/(up_Bv!V20+s_MLF_snap_bean)),".")</f>
        <v>1.3187534153652909E-4</v>
      </c>
      <c r="BV20" s="2">
        <f>IFERROR((up_dir!AW20/(up_Bv!W20+s_MLF_strawberry)),".")</f>
        <v>1.3187534153652909E-4</v>
      </c>
      <c r="BW20" s="2">
        <f>IFERROR((up_dir!AX20/(up_Bv!X20+s_MLF_tomato)),".")</f>
        <v>1.3187534153652909E-4</v>
      </c>
      <c r="BX20" s="2">
        <f>IFERROR((up_dir!AY20/(up_Bv!Y20+s_MLF_rice)),".")</f>
        <v>1.3187534153652909E-4</v>
      </c>
      <c r="BY20" s="2">
        <f>IFERROR((up_dir!AZ20/(up_Bv!Z20+s_MLF_cereal)),".")</f>
        <v>1.3187534153652909E-4</v>
      </c>
      <c r="BZ20" s="10">
        <f t="shared" si="3"/>
        <v>113743.78125</v>
      </c>
      <c r="CA20" s="10">
        <f>IFERROR(s_C*(up_Bv!C20+s_MLF_apple)*s_IFAP_far_adj*s_CF_apple,".")</f>
        <v>37914.59375</v>
      </c>
      <c r="CB20" s="10">
        <f>IFERROR(s_C*(up_Bv!D20+s_MLF_asparagus)*s_IFAS_far_adj*s_CF_asparagus,".")</f>
        <v>37914.59375</v>
      </c>
      <c r="CC20" s="10">
        <f>IFERROR(s_C*(up_Bv!E20+s_MLF_beet)*s_IFBT_far_adj*s_CF_beet,".")</f>
        <v>37914.59375</v>
      </c>
      <c r="CD20" s="10">
        <f>IFERROR(s_C*(up_Bv!F20+s_MLF_berries)*s_IFBR_far_adj*s_CF_berries,".")</f>
        <v>37914.59375</v>
      </c>
      <c r="CE20" s="10">
        <f>IFERROR(s_C*(up_Bv!G20+s_MLF_broccoli)*s_IFBR_far_adj*s_CF_broccoli,".")</f>
        <v>37914.59375</v>
      </c>
      <c r="CF20" s="10">
        <f>IFERROR(s_C*(up_Bv!H20+s_MLF_cabbage)*s_IFCB_far_adj*s_CF_cabbage,".")</f>
        <v>37914.59375</v>
      </c>
      <c r="CG20" s="10">
        <f>IFERROR(s_C*(up_Bv!I20+s_MLF_carrot)*s_IFCR_far_adj*s_CF_carrot,".")</f>
        <v>37914.59375</v>
      </c>
      <c r="CH20" s="10">
        <f>IFERROR(s_C*(up_Bv!J20+s_MLF_citrus)*s_IFCI_far_adj*s_CF_citrus,".")</f>
        <v>37914.59375</v>
      </c>
      <c r="CI20" s="10">
        <f>IFERROR(s_C*(up_Bv!K20+s_MLF_corn)*s_IFCO_far_adj*s_CF_corn,".")</f>
        <v>37914.59375</v>
      </c>
      <c r="CJ20" s="10">
        <f>IFERROR(s_C*(up_Bv!L20+s_MLF_cucumber)*s_IFCU_far_adj*s_CF_cucumber,".")</f>
        <v>37914.59375</v>
      </c>
      <c r="CK20" s="10">
        <f>IFERROR(s_C*(up_Bv!M20+s_MLF_lettuce)*s_IFLE_far_adj*s_CF_lettuce,".")</f>
        <v>37914.59375</v>
      </c>
      <c r="CL20" s="10">
        <f>IFERROR(s_C*(up_Bv!N20+s_MLF_lima_bean)*s_IFLI_far_adj*s_CF_lima_bean,".")</f>
        <v>37914.59375</v>
      </c>
      <c r="CM20" s="10">
        <f>IFERROR(s_C*(up_Bv!O20+s_MLF_okra)*s_IFOK_far_adj*s_CF_okra,".")</f>
        <v>37914.59375</v>
      </c>
      <c r="CN20" s="10">
        <f>IFERROR(s_C*(up_Bv!P20+s_MLF_onion)*s_IFON_far_adj*s_CF_onion,".")</f>
        <v>37914.59375</v>
      </c>
      <c r="CO20" s="10">
        <f>IFERROR(s_C*(up_Bv!Q20+s_MLF_peach)*s_IFPC_far_adj*s_CF_peach,".")</f>
        <v>37914.59375</v>
      </c>
      <c r="CP20" s="10">
        <f>IFERROR(s_C*(up_Bv!R20+s_MLF_pear)*s_IFPR_far_adj*s_CF_pear,".")</f>
        <v>37914.59375</v>
      </c>
      <c r="CQ20" s="10">
        <f>IFERROR(s_C*(up_Bv!S20+s_MLF_peas)*s_IFPE_far_adj*s_CF_peas,".")</f>
        <v>37914.59375</v>
      </c>
      <c r="CR20" s="10">
        <f>IFERROR(s_C*(up_Bv!T20+s_MLF_potato)*s_IFPT_far_adj*s_CF_potato,".")</f>
        <v>37914.59375</v>
      </c>
      <c r="CS20" s="10">
        <f>IFERROR(s_C*(up_Bv!U20+s_MLF_pumpkin)*s_IFPU_far_adj*s_CF_pumpkin,".")</f>
        <v>37914.59375</v>
      </c>
      <c r="CT20" s="10">
        <f>IFERROR(s_C*(up_Bv!V20+s_MLF_snap_bean)*s_IFSN_far_adj*s_CF_snap_bean,".")</f>
        <v>37914.59375</v>
      </c>
      <c r="CU20" s="10">
        <f>IFERROR(s_C*(up_Bv!W20+s_MLF_strawberry)*s_IFST_far_adj*s_CF_strawberry,".")</f>
        <v>37914.59375</v>
      </c>
      <c r="CV20" s="10">
        <f>IFERROR(s_C*(up_Bv!X20+s_MLF_tomato)*s_IFTO_far_adj*s_CF_tomato,".")</f>
        <v>37914.59375</v>
      </c>
      <c r="CW20" s="10">
        <f>IFERROR(s_C*(up_Bv!Y20+s_MLF_rice)*s_IFRI_far_adj*s_CF_rice,".")</f>
        <v>37914.59375</v>
      </c>
      <c r="CX20" s="10">
        <f>IFERROR(s_C*(up_Bv!Z20+s_MLF_cereal)*s_IFCG_far_adj*s_CF_cereal,".")</f>
        <v>37914.59375</v>
      </c>
    </row>
    <row r="21" spans="1:102" ht="15" customHeight="1" x14ac:dyDescent="0.25">
      <c r="A21" s="31" t="s">
        <v>19</v>
      </c>
      <c r="B21" s="3" t="s">
        <v>1059</v>
      </c>
      <c r="C21" s="73">
        <f t="shared" si="1"/>
        <v>4.3958447178843029E-5</v>
      </c>
      <c r="D21" s="73">
        <f>IFERROR((up_dir!D21/(up_Bv!C21+s_MLF_apple)),".")</f>
        <v>1.3187534153652909E-4</v>
      </c>
      <c r="E21" s="73">
        <f>IFERROR((up_dir!E21/(up_Bv!D21+s_MLF_asparagus)),".")</f>
        <v>1.3187534153652909E-4</v>
      </c>
      <c r="F21" s="73">
        <f>IFERROR((up_dir!F21/(up_Bv!E21+s_MLF_beet)),".")</f>
        <v>1.3187534153652909E-4</v>
      </c>
      <c r="G21" s="73">
        <f>IFERROR((up_dir!G21/(up_Bv!F21+s_MLF_berries)),".")</f>
        <v>1.3187534153652909E-4</v>
      </c>
      <c r="H21" s="73">
        <f>IFERROR((up_dir!H21/(up_Bv!G21+s_MLF_broccoli)),".")</f>
        <v>1.3187534153652909E-4</v>
      </c>
      <c r="I21" s="73">
        <f>IFERROR((up_dir!I21/(up_Bv!H21+s_MLF_cabbage)),".")</f>
        <v>1.3187534153652909E-4</v>
      </c>
      <c r="J21" s="73">
        <f>IFERROR((up_dir!J21/(up_Bv!I21+s_MLF_carrot)),".")</f>
        <v>1.3187534153652909E-4</v>
      </c>
      <c r="K21" s="73">
        <f>IFERROR((up_dir!K21/(up_Bv!J21+s_MLF_citrus)),".")</f>
        <v>1.3187534153652909E-4</v>
      </c>
      <c r="L21" s="73">
        <f>IFERROR((up_dir!L21/(up_Bv!K21+s_MLF_corn)),".")</f>
        <v>1.3187534153652909E-4</v>
      </c>
      <c r="M21" s="73">
        <f>IFERROR((up_dir!M21/(up_Bv!L21+s_MLF_cucumber)),".")</f>
        <v>1.3187534153652909E-4</v>
      </c>
      <c r="N21" s="73">
        <f>IFERROR((up_dir!N21/(up_Bv!M21+s_MLF_lettuce)),".")</f>
        <v>1.3187534153652909E-4</v>
      </c>
      <c r="O21" s="73">
        <f>IFERROR((up_dir!O21/(up_Bv!N21+s_MLF_lima_bean)),".")</f>
        <v>1.3187534153652909E-4</v>
      </c>
      <c r="P21" s="73">
        <f>IFERROR((up_dir!P21/(up_Bv!O21+s_MLF_okra)),".")</f>
        <v>1.3187534153652909E-4</v>
      </c>
      <c r="Q21" s="73">
        <f>IFERROR((up_dir!Q21/(up_Bv!P21+s_MLF_onion)),".")</f>
        <v>1.3187534153652909E-4</v>
      </c>
      <c r="R21" s="73">
        <f>IFERROR((up_dir!R21/(up_Bv!Q21+s_MLF_peach)),".")</f>
        <v>1.3187534153652909E-4</v>
      </c>
      <c r="S21" s="73">
        <f>IFERROR((up_dir!S21/(up_Bv!R21+s_MLF_pear)),".")</f>
        <v>1.3187534153652909E-4</v>
      </c>
      <c r="T21" s="73">
        <f>IFERROR((up_dir!T21/(up_Bv!S21+s_MLF_peas)),".")</f>
        <v>1.3187534153652909E-4</v>
      </c>
      <c r="U21" s="73">
        <f>IFERROR((up_dir!U21/(up_Bv!T21+s_MLF_potato)),".")</f>
        <v>1.3187534153652909E-4</v>
      </c>
      <c r="V21" s="73">
        <f>IFERROR((up_dir!V21/(up_Bv!U21+s_MLF_pumpkin)),".")</f>
        <v>1.3187534153652909E-4</v>
      </c>
      <c r="W21" s="73">
        <f>IFERROR((up_dir!W21/(up_Bv!V21+s_MLF_snap_bean)),".")</f>
        <v>1.3187534153652909E-4</v>
      </c>
      <c r="X21" s="73">
        <f>IFERROR((up_dir!X21/(up_Bv!W21+s_MLF_strawberry)),".")</f>
        <v>1.3187534153652909E-4</v>
      </c>
      <c r="Y21" s="73">
        <f>IFERROR((up_dir!Y21/(up_Bv!X21+s_MLF_tomato)),".")</f>
        <v>1.3187534153652909E-4</v>
      </c>
      <c r="Z21" s="73">
        <f>IFERROR((up_dir!Z21/(up_Bv!Y21+s_MLF_rice)),".")</f>
        <v>1.3187534153652909E-4</v>
      </c>
      <c r="AA21" s="73">
        <f>IFERROR((up_dir!AA21/(up_Bv!Z21+s_MLF_cereal)),".")</f>
        <v>1.3187534153652909E-4</v>
      </c>
      <c r="AB21" s="10">
        <f t="shared" si="4"/>
        <v>113743.78125</v>
      </c>
      <c r="AC21" s="10">
        <f>s_C*(up_Bv!C21+s_MLF_apple)*s_IFAP_res_adj*s_CF_apple</f>
        <v>37914.59375</v>
      </c>
      <c r="AD21" s="10">
        <f>s_C*(up_Bv!D21+s_MLF_asparagus)*s_IFAS_res_adj*s_CF_asparagus</f>
        <v>37914.59375</v>
      </c>
      <c r="AE21" s="10">
        <f>s_C*(up_Bv!E21+s_MLF_beet)*s_IFBT_res_adj*s_CF_beet</f>
        <v>37914.59375</v>
      </c>
      <c r="AF21" s="10">
        <f>s_C*(up_Bv!F21+s_MLF_berries)*s_IFBE_res_adj*s_CF_berries</f>
        <v>37914.59375</v>
      </c>
      <c r="AG21" s="10">
        <f>s_C*(up_Bv!G21+s_MLF_broccoli)*s_IFBR_res_adj*s_CF_broccoli</f>
        <v>37914.59375</v>
      </c>
      <c r="AH21" s="10">
        <f>s_C*(up_Bv!H21+s_MLF_cabbage)*s_IFCB_res_adj*s_CF_cabbage</f>
        <v>37914.59375</v>
      </c>
      <c r="AI21" s="10">
        <f>s_C*(up_Bv!I21+s_MLF_carrot)*s_IFCR_res_adj*s_CF_carrot</f>
        <v>37914.59375</v>
      </c>
      <c r="AJ21" s="10">
        <f>s_C*(up_Bv!J21+s_MLF_citrus)*s_IFCI_res_adj*s_CF_citrus</f>
        <v>37914.59375</v>
      </c>
      <c r="AK21" s="10">
        <f>s_C*(up_Bv!K21+s_MLF_corn)*s_IFCO_res_adj*s_CF_corn</f>
        <v>37914.59375</v>
      </c>
      <c r="AL21" s="10">
        <f>s_C*(up_Bv!L21+s_MLF_cucumber)*s_IFCU_res_adj*s_CF_cucumber</f>
        <v>37914.59375</v>
      </c>
      <c r="AM21" s="10">
        <f>s_C*(up_Bv!M21+s_MLF_lettuce)*s_IFLE_res_adj*s_CF_lettuce</f>
        <v>37914.59375</v>
      </c>
      <c r="AN21" s="10">
        <f>s_C*(up_Bv!N21+s_MLF_lima_bean)*s_IFLI_res_adj*s_CF_lima_bean</f>
        <v>37914.59375</v>
      </c>
      <c r="AO21" s="10">
        <f>s_C*(up_Bv!O21+s_MLF_okra)*s_IFOK_res_adj*s_CF_okra</f>
        <v>37914.59375</v>
      </c>
      <c r="AP21" s="10">
        <f>s_C*(up_Bv!P21+s_MLF_onion)*s_IFON_res_adj*s_CF_onion</f>
        <v>37914.59375</v>
      </c>
      <c r="AQ21" s="10">
        <f>s_C*(up_Bv!Q21+s_MLF_peach)*s_IFPC_res_adj*s_CF_peach</f>
        <v>37914.59375</v>
      </c>
      <c r="AR21" s="10">
        <f>s_C*(up_Bv!R21+s_MLF_pear)*s_IFPR_res_adj*s_CF_pear</f>
        <v>37914.59375</v>
      </c>
      <c r="AS21" s="10">
        <f>s_C*(up_Bv!S21+s_MLF_peas)*s_IFPE_res_adj*s_CF_peas</f>
        <v>37914.59375</v>
      </c>
      <c r="AT21" s="10">
        <f>s_C*(up_Bv!T21+s_MLF_potato)*s_IFPT_res_adj*s_CF_potato</f>
        <v>37914.59375</v>
      </c>
      <c r="AU21" s="10">
        <f>s_C*(up_Bv!U21+s_MLF_pumpkin)*s_IFPU_res_adj*s_CF_pumpkin</f>
        <v>37914.59375</v>
      </c>
      <c r="AV21" s="10">
        <f>s_C*(up_Bv!V21+s_MLF_snap_bean)*s_IFSN_res_adj*s_CF_snap_bean</f>
        <v>37914.59375</v>
      </c>
      <c r="AW21" s="10">
        <f>s_C*(up_Bv!W21+s_MLF_strawberry)*s_IFST_res_adj*s_CF_strawberry</f>
        <v>37914.59375</v>
      </c>
      <c r="AX21" s="10">
        <f>s_C*(up_Bv!X21+s_MLF_tomato)*s_IFTO_res_adj*s_CF_tomato</f>
        <v>37914.59375</v>
      </c>
      <c r="AY21" s="10">
        <f>s_C*(up_Bv!Y21+s_MLF_rice)*s_IFRI_res_adj*s_CF_rice</f>
        <v>37914.59375</v>
      </c>
      <c r="AZ21" s="10">
        <f>s_C*(up_Bv!Z21+s_MLF_cereal)*s_IFCG_res_adj*s_CF_cereal</f>
        <v>37914.59375</v>
      </c>
      <c r="BA21" s="2">
        <f t="shared" si="2"/>
        <v>4.3958447178843029E-5</v>
      </c>
      <c r="BB21" s="2">
        <f>IFERROR((up_dir!AC21/(up_Bv!C21+s_MLF_apple)),".")</f>
        <v>1.3187534153652909E-4</v>
      </c>
      <c r="BC21" s="2">
        <f>IFERROR((up_dir!AD21/(up_Bv!D21+s_MLF_asparagus)),".")</f>
        <v>1.3187534153652909E-4</v>
      </c>
      <c r="BD21" s="2">
        <f>IFERROR((up_dir!AE21/(up_Bv!E21+s_MLF_beet)),".")</f>
        <v>1.3187534153652909E-4</v>
      </c>
      <c r="BE21" s="2">
        <f>IFERROR((up_dir!AF21/(up_Bv!F21+s_MLF_berries)),".")</f>
        <v>1.3187534153652909E-4</v>
      </c>
      <c r="BF21" s="2">
        <f>IFERROR((up_dir!AG21/(up_Bv!G21+s_MLF_broccoli)),".")</f>
        <v>1.3187534153652909E-4</v>
      </c>
      <c r="BG21" s="2">
        <f>IFERROR((up_dir!AH21/(up_Bv!H21+s_MLF_cabbage)),".")</f>
        <v>1.3187534153652909E-4</v>
      </c>
      <c r="BH21" s="2">
        <f>IFERROR((up_dir!AI21/(up_Bv!I21+s_MLF_carrot)),".")</f>
        <v>1.3187534153652909E-4</v>
      </c>
      <c r="BI21" s="2">
        <f>IFERROR((up_dir!AJ21/(up_Bv!J21+s_MLF_citrus)),".")</f>
        <v>1.3187534153652909E-4</v>
      </c>
      <c r="BJ21" s="2">
        <f>IFERROR((up_dir!AK21/(up_Bv!K21+s_MLF_corn)),".")</f>
        <v>1.3187534153652909E-4</v>
      </c>
      <c r="BK21" s="2">
        <f>IFERROR((up_dir!AL21/(up_Bv!L21+s_MLF_cucumber)),".")</f>
        <v>1.3187534153652909E-4</v>
      </c>
      <c r="BL21" s="2">
        <f>IFERROR((up_dir!AM21/(up_Bv!M21+s_MLF_lettuce)),".")</f>
        <v>1.3187534153652909E-4</v>
      </c>
      <c r="BM21" s="2">
        <f>IFERROR((up_dir!AN21/(up_Bv!N21+s_MLF_lima_bean)),".")</f>
        <v>1.3187534153652909E-4</v>
      </c>
      <c r="BN21" s="2">
        <f>IFERROR((up_dir!AO21/(up_Bv!O21+s_MLF_okra)),".")</f>
        <v>1.3187534153652909E-4</v>
      </c>
      <c r="BO21" s="2">
        <f>IFERROR((up_dir!AP21/(up_Bv!P21+s_MLF_onion)),".")</f>
        <v>1.3187534153652909E-4</v>
      </c>
      <c r="BP21" s="2">
        <f>IFERROR((up_dir!AQ21/(up_Bv!Q21+s_MLF_peach)),".")</f>
        <v>1.3187534153652909E-4</v>
      </c>
      <c r="BQ21" s="2">
        <f>IFERROR((up_dir!AR21/(up_Bv!R21+s_MLF_pear)),".")</f>
        <v>1.3187534153652909E-4</v>
      </c>
      <c r="BR21" s="2">
        <f>IFERROR((up_dir!AS21/(up_Bv!S21+s_MLF_peas)),".")</f>
        <v>1.3187534153652909E-4</v>
      </c>
      <c r="BS21" s="2">
        <f>IFERROR((up_dir!AT21/(up_Bv!T21+s_MLF_potato)),".")</f>
        <v>1.3187534153652909E-4</v>
      </c>
      <c r="BT21" s="2">
        <f>IFERROR((up_dir!AU21/(up_Bv!U21+s_MLF_pumpkin)),".")</f>
        <v>1.3187534153652909E-4</v>
      </c>
      <c r="BU21" s="2">
        <f>IFERROR((up_dir!AV21/(up_Bv!V21+s_MLF_snap_bean)),".")</f>
        <v>1.3187534153652909E-4</v>
      </c>
      <c r="BV21" s="2">
        <f>IFERROR((up_dir!AW21/(up_Bv!W21+s_MLF_strawberry)),".")</f>
        <v>1.3187534153652909E-4</v>
      </c>
      <c r="BW21" s="2">
        <f>IFERROR((up_dir!AX21/(up_Bv!X21+s_MLF_tomato)),".")</f>
        <v>1.3187534153652909E-4</v>
      </c>
      <c r="BX21" s="2">
        <f>IFERROR((up_dir!AY21/(up_Bv!Y21+s_MLF_rice)),".")</f>
        <v>1.3187534153652909E-4</v>
      </c>
      <c r="BY21" s="2">
        <f>IFERROR((up_dir!AZ21/(up_Bv!Z21+s_MLF_cereal)),".")</f>
        <v>1.3187534153652909E-4</v>
      </c>
      <c r="BZ21" s="10">
        <f t="shared" si="3"/>
        <v>113743.78125</v>
      </c>
      <c r="CA21" s="10">
        <f>IFERROR(s_C*(up_Bv!C21+s_MLF_apple)*s_IFAP_far_adj*s_CF_apple,".")</f>
        <v>37914.59375</v>
      </c>
      <c r="CB21" s="10">
        <f>IFERROR(s_C*(up_Bv!D21+s_MLF_asparagus)*s_IFAS_far_adj*s_CF_asparagus,".")</f>
        <v>37914.59375</v>
      </c>
      <c r="CC21" s="10">
        <f>IFERROR(s_C*(up_Bv!E21+s_MLF_beet)*s_IFBT_far_adj*s_CF_beet,".")</f>
        <v>37914.59375</v>
      </c>
      <c r="CD21" s="10">
        <f>IFERROR(s_C*(up_Bv!F21+s_MLF_berries)*s_IFBR_far_adj*s_CF_berries,".")</f>
        <v>37914.59375</v>
      </c>
      <c r="CE21" s="10">
        <f>IFERROR(s_C*(up_Bv!G21+s_MLF_broccoli)*s_IFBR_far_adj*s_CF_broccoli,".")</f>
        <v>37914.59375</v>
      </c>
      <c r="CF21" s="10">
        <f>IFERROR(s_C*(up_Bv!H21+s_MLF_cabbage)*s_IFCB_far_adj*s_CF_cabbage,".")</f>
        <v>37914.59375</v>
      </c>
      <c r="CG21" s="10">
        <f>IFERROR(s_C*(up_Bv!I21+s_MLF_carrot)*s_IFCR_far_adj*s_CF_carrot,".")</f>
        <v>37914.59375</v>
      </c>
      <c r="CH21" s="10">
        <f>IFERROR(s_C*(up_Bv!J21+s_MLF_citrus)*s_IFCI_far_adj*s_CF_citrus,".")</f>
        <v>37914.59375</v>
      </c>
      <c r="CI21" s="10">
        <f>IFERROR(s_C*(up_Bv!K21+s_MLF_corn)*s_IFCO_far_adj*s_CF_corn,".")</f>
        <v>37914.59375</v>
      </c>
      <c r="CJ21" s="10">
        <f>IFERROR(s_C*(up_Bv!L21+s_MLF_cucumber)*s_IFCU_far_adj*s_CF_cucumber,".")</f>
        <v>37914.59375</v>
      </c>
      <c r="CK21" s="10">
        <f>IFERROR(s_C*(up_Bv!M21+s_MLF_lettuce)*s_IFLE_far_adj*s_CF_lettuce,".")</f>
        <v>37914.59375</v>
      </c>
      <c r="CL21" s="10">
        <f>IFERROR(s_C*(up_Bv!N21+s_MLF_lima_bean)*s_IFLI_far_adj*s_CF_lima_bean,".")</f>
        <v>37914.59375</v>
      </c>
      <c r="CM21" s="10">
        <f>IFERROR(s_C*(up_Bv!O21+s_MLF_okra)*s_IFOK_far_adj*s_CF_okra,".")</f>
        <v>37914.59375</v>
      </c>
      <c r="CN21" s="10">
        <f>IFERROR(s_C*(up_Bv!P21+s_MLF_onion)*s_IFON_far_adj*s_CF_onion,".")</f>
        <v>37914.59375</v>
      </c>
      <c r="CO21" s="10">
        <f>IFERROR(s_C*(up_Bv!Q21+s_MLF_peach)*s_IFPC_far_adj*s_CF_peach,".")</f>
        <v>37914.59375</v>
      </c>
      <c r="CP21" s="10">
        <f>IFERROR(s_C*(up_Bv!R21+s_MLF_pear)*s_IFPR_far_adj*s_CF_pear,".")</f>
        <v>37914.59375</v>
      </c>
      <c r="CQ21" s="10">
        <f>IFERROR(s_C*(up_Bv!S21+s_MLF_peas)*s_IFPE_far_adj*s_CF_peas,".")</f>
        <v>37914.59375</v>
      </c>
      <c r="CR21" s="10">
        <f>IFERROR(s_C*(up_Bv!T21+s_MLF_potato)*s_IFPT_far_adj*s_CF_potato,".")</f>
        <v>37914.59375</v>
      </c>
      <c r="CS21" s="10">
        <f>IFERROR(s_C*(up_Bv!U21+s_MLF_pumpkin)*s_IFPU_far_adj*s_CF_pumpkin,".")</f>
        <v>37914.59375</v>
      </c>
      <c r="CT21" s="10">
        <f>IFERROR(s_C*(up_Bv!V21+s_MLF_snap_bean)*s_IFSN_far_adj*s_CF_snap_bean,".")</f>
        <v>37914.59375</v>
      </c>
      <c r="CU21" s="10">
        <f>IFERROR(s_C*(up_Bv!W21+s_MLF_strawberry)*s_IFST_far_adj*s_CF_strawberry,".")</f>
        <v>37914.59375</v>
      </c>
      <c r="CV21" s="10">
        <f>IFERROR(s_C*(up_Bv!X21+s_MLF_tomato)*s_IFTO_far_adj*s_CF_tomato,".")</f>
        <v>37914.59375</v>
      </c>
      <c r="CW21" s="10">
        <f>IFERROR(s_C*(up_Bv!Y21+s_MLF_rice)*s_IFRI_far_adj*s_CF_rice,".")</f>
        <v>37914.59375</v>
      </c>
      <c r="CX21" s="10">
        <f>IFERROR(s_C*(up_Bv!Z21+s_MLF_cereal)*s_IFCG_far_adj*s_CF_cereal,".")</f>
        <v>37914.59375</v>
      </c>
    </row>
    <row r="22" spans="1:102" ht="15" customHeight="1" x14ac:dyDescent="0.25">
      <c r="A22" s="31" t="s">
        <v>20</v>
      </c>
      <c r="B22" s="3" t="s">
        <v>1059</v>
      </c>
      <c r="C22" s="73">
        <f t="shared" si="1"/>
        <v>4.3958447178843029E-5</v>
      </c>
      <c r="D22" s="73">
        <f>IFERROR((up_dir!D22/(up_Bv!C22+s_MLF_apple)),".")</f>
        <v>1.3187534153652909E-4</v>
      </c>
      <c r="E22" s="73">
        <f>IFERROR((up_dir!E22/(up_Bv!D22+s_MLF_asparagus)),".")</f>
        <v>1.3187534153652909E-4</v>
      </c>
      <c r="F22" s="73">
        <f>IFERROR((up_dir!F22/(up_Bv!E22+s_MLF_beet)),".")</f>
        <v>1.3187534153652909E-4</v>
      </c>
      <c r="G22" s="73">
        <f>IFERROR((up_dir!G22/(up_Bv!F22+s_MLF_berries)),".")</f>
        <v>1.3187534153652909E-4</v>
      </c>
      <c r="H22" s="73">
        <f>IFERROR((up_dir!H22/(up_Bv!G22+s_MLF_broccoli)),".")</f>
        <v>1.3187534153652909E-4</v>
      </c>
      <c r="I22" s="73">
        <f>IFERROR((up_dir!I22/(up_Bv!H22+s_MLF_cabbage)),".")</f>
        <v>1.3187534153652909E-4</v>
      </c>
      <c r="J22" s="73">
        <f>IFERROR((up_dir!J22/(up_Bv!I22+s_MLF_carrot)),".")</f>
        <v>1.3187534153652909E-4</v>
      </c>
      <c r="K22" s="73">
        <f>IFERROR((up_dir!K22/(up_Bv!J22+s_MLF_citrus)),".")</f>
        <v>1.3187534153652909E-4</v>
      </c>
      <c r="L22" s="73">
        <f>IFERROR((up_dir!L22/(up_Bv!K22+s_MLF_corn)),".")</f>
        <v>1.3187534153652909E-4</v>
      </c>
      <c r="M22" s="73">
        <f>IFERROR((up_dir!M22/(up_Bv!L22+s_MLF_cucumber)),".")</f>
        <v>1.3187534153652909E-4</v>
      </c>
      <c r="N22" s="73">
        <f>IFERROR((up_dir!N22/(up_Bv!M22+s_MLF_lettuce)),".")</f>
        <v>1.3187534153652909E-4</v>
      </c>
      <c r="O22" s="73">
        <f>IFERROR((up_dir!O22/(up_Bv!N22+s_MLF_lima_bean)),".")</f>
        <v>1.3187534153652909E-4</v>
      </c>
      <c r="P22" s="73">
        <f>IFERROR((up_dir!P22/(up_Bv!O22+s_MLF_okra)),".")</f>
        <v>1.3187534153652909E-4</v>
      </c>
      <c r="Q22" s="73">
        <f>IFERROR((up_dir!Q22/(up_Bv!P22+s_MLF_onion)),".")</f>
        <v>1.3187534153652909E-4</v>
      </c>
      <c r="R22" s="73">
        <f>IFERROR((up_dir!R22/(up_Bv!Q22+s_MLF_peach)),".")</f>
        <v>1.3187534153652909E-4</v>
      </c>
      <c r="S22" s="73">
        <f>IFERROR((up_dir!S22/(up_Bv!R22+s_MLF_pear)),".")</f>
        <v>1.3187534153652909E-4</v>
      </c>
      <c r="T22" s="73">
        <f>IFERROR((up_dir!T22/(up_Bv!S22+s_MLF_peas)),".")</f>
        <v>1.3187534153652909E-4</v>
      </c>
      <c r="U22" s="73">
        <f>IFERROR((up_dir!U22/(up_Bv!T22+s_MLF_potato)),".")</f>
        <v>1.3187534153652909E-4</v>
      </c>
      <c r="V22" s="73">
        <f>IFERROR((up_dir!V22/(up_Bv!U22+s_MLF_pumpkin)),".")</f>
        <v>1.3187534153652909E-4</v>
      </c>
      <c r="W22" s="73">
        <f>IFERROR((up_dir!W22/(up_Bv!V22+s_MLF_snap_bean)),".")</f>
        <v>1.3187534153652909E-4</v>
      </c>
      <c r="X22" s="73">
        <f>IFERROR((up_dir!X22/(up_Bv!W22+s_MLF_strawberry)),".")</f>
        <v>1.3187534153652909E-4</v>
      </c>
      <c r="Y22" s="73">
        <f>IFERROR((up_dir!Y22/(up_Bv!X22+s_MLF_tomato)),".")</f>
        <v>1.3187534153652909E-4</v>
      </c>
      <c r="Z22" s="73">
        <f>IFERROR((up_dir!Z22/(up_Bv!Y22+s_MLF_rice)),".")</f>
        <v>1.3187534153652909E-4</v>
      </c>
      <c r="AA22" s="73">
        <f>IFERROR((up_dir!AA22/(up_Bv!Z22+s_MLF_cereal)),".")</f>
        <v>1.3187534153652909E-4</v>
      </c>
      <c r="AB22" s="10">
        <f t="shared" si="4"/>
        <v>113743.78125</v>
      </c>
      <c r="AC22" s="10">
        <f>s_C*(up_Bv!C22+s_MLF_apple)*s_IFAP_res_adj*s_CF_apple</f>
        <v>37914.59375</v>
      </c>
      <c r="AD22" s="10">
        <f>s_C*(up_Bv!D22+s_MLF_asparagus)*s_IFAS_res_adj*s_CF_asparagus</f>
        <v>37914.59375</v>
      </c>
      <c r="AE22" s="10">
        <f>s_C*(up_Bv!E22+s_MLF_beet)*s_IFBT_res_adj*s_CF_beet</f>
        <v>37914.59375</v>
      </c>
      <c r="AF22" s="10">
        <f>s_C*(up_Bv!F22+s_MLF_berries)*s_IFBE_res_adj*s_CF_berries</f>
        <v>37914.59375</v>
      </c>
      <c r="AG22" s="10">
        <f>s_C*(up_Bv!G22+s_MLF_broccoli)*s_IFBR_res_adj*s_CF_broccoli</f>
        <v>37914.59375</v>
      </c>
      <c r="AH22" s="10">
        <f>s_C*(up_Bv!H22+s_MLF_cabbage)*s_IFCB_res_adj*s_CF_cabbage</f>
        <v>37914.59375</v>
      </c>
      <c r="AI22" s="10">
        <f>s_C*(up_Bv!I22+s_MLF_carrot)*s_IFCR_res_adj*s_CF_carrot</f>
        <v>37914.59375</v>
      </c>
      <c r="AJ22" s="10">
        <f>s_C*(up_Bv!J22+s_MLF_citrus)*s_IFCI_res_adj*s_CF_citrus</f>
        <v>37914.59375</v>
      </c>
      <c r="AK22" s="10">
        <f>s_C*(up_Bv!K22+s_MLF_corn)*s_IFCO_res_adj*s_CF_corn</f>
        <v>37914.59375</v>
      </c>
      <c r="AL22" s="10">
        <f>s_C*(up_Bv!L22+s_MLF_cucumber)*s_IFCU_res_adj*s_CF_cucumber</f>
        <v>37914.59375</v>
      </c>
      <c r="AM22" s="10">
        <f>s_C*(up_Bv!M22+s_MLF_lettuce)*s_IFLE_res_adj*s_CF_lettuce</f>
        <v>37914.59375</v>
      </c>
      <c r="AN22" s="10">
        <f>s_C*(up_Bv!N22+s_MLF_lima_bean)*s_IFLI_res_adj*s_CF_lima_bean</f>
        <v>37914.59375</v>
      </c>
      <c r="AO22" s="10">
        <f>s_C*(up_Bv!O22+s_MLF_okra)*s_IFOK_res_adj*s_CF_okra</f>
        <v>37914.59375</v>
      </c>
      <c r="AP22" s="10">
        <f>s_C*(up_Bv!P22+s_MLF_onion)*s_IFON_res_adj*s_CF_onion</f>
        <v>37914.59375</v>
      </c>
      <c r="AQ22" s="10">
        <f>s_C*(up_Bv!Q22+s_MLF_peach)*s_IFPC_res_adj*s_CF_peach</f>
        <v>37914.59375</v>
      </c>
      <c r="AR22" s="10">
        <f>s_C*(up_Bv!R22+s_MLF_pear)*s_IFPR_res_adj*s_CF_pear</f>
        <v>37914.59375</v>
      </c>
      <c r="AS22" s="10">
        <f>s_C*(up_Bv!S22+s_MLF_peas)*s_IFPE_res_adj*s_CF_peas</f>
        <v>37914.59375</v>
      </c>
      <c r="AT22" s="10">
        <f>s_C*(up_Bv!T22+s_MLF_potato)*s_IFPT_res_adj*s_CF_potato</f>
        <v>37914.59375</v>
      </c>
      <c r="AU22" s="10">
        <f>s_C*(up_Bv!U22+s_MLF_pumpkin)*s_IFPU_res_adj*s_CF_pumpkin</f>
        <v>37914.59375</v>
      </c>
      <c r="AV22" s="10">
        <f>s_C*(up_Bv!V22+s_MLF_snap_bean)*s_IFSN_res_adj*s_CF_snap_bean</f>
        <v>37914.59375</v>
      </c>
      <c r="AW22" s="10">
        <f>s_C*(up_Bv!W22+s_MLF_strawberry)*s_IFST_res_adj*s_CF_strawberry</f>
        <v>37914.59375</v>
      </c>
      <c r="AX22" s="10">
        <f>s_C*(up_Bv!X22+s_MLF_tomato)*s_IFTO_res_adj*s_CF_tomato</f>
        <v>37914.59375</v>
      </c>
      <c r="AY22" s="10">
        <f>s_C*(up_Bv!Y22+s_MLF_rice)*s_IFRI_res_adj*s_CF_rice</f>
        <v>37914.59375</v>
      </c>
      <c r="AZ22" s="10">
        <f>s_C*(up_Bv!Z22+s_MLF_cereal)*s_IFCG_res_adj*s_CF_cereal</f>
        <v>37914.59375</v>
      </c>
      <c r="BA22" s="2">
        <f t="shared" si="2"/>
        <v>4.3958447178843029E-5</v>
      </c>
      <c r="BB22" s="2">
        <f>IFERROR((up_dir!AC22/(up_Bv!C22+s_MLF_apple)),".")</f>
        <v>1.3187534153652909E-4</v>
      </c>
      <c r="BC22" s="2">
        <f>IFERROR((up_dir!AD22/(up_Bv!D22+s_MLF_asparagus)),".")</f>
        <v>1.3187534153652909E-4</v>
      </c>
      <c r="BD22" s="2">
        <f>IFERROR((up_dir!AE22/(up_Bv!E22+s_MLF_beet)),".")</f>
        <v>1.3187534153652909E-4</v>
      </c>
      <c r="BE22" s="2">
        <f>IFERROR((up_dir!AF22/(up_Bv!F22+s_MLF_berries)),".")</f>
        <v>1.3187534153652909E-4</v>
      </c>
      <c r="BF22" s="2">
        <f>IFERROR((up_dir!AG22/(up_Bv!G22+s_MLF_broccoli)),".")</f>
        <v>1.3187534153652909E-4</v>
      </c>
      <c r="BG22" s="2">
        <f>IFERROR((up_dir!AH22/(up_Bv!H22+s_MLF_cabbage)),".")</f>
        <v>1.3187534153652909E-4</v>
      </c>
      <c r="BH22" s="2">
        <f>IFERROR((up_dir!AI22/(up_Bv!I22+s_MLF_carrot)),".")</f>
        <v>1.3187534153652909E-4</v>
      </c>
      <c r="BI22" s="2">
        <f>IFERROR((up_dir!AJ22/(up_Bv!J22+s_MLF_citrus)),".")</f>
        <v>1.3187534153652909E-4</v>
      </c>
      <c r="BJ22" s="2">
        <f>IFERROR((up_dir!AK22/(up_Bv!K22+s_MLF_corn)),".")</f>
        <v>1.3187534153652909E-4</v>
      </c>
      <c r="BK22" s="2">
        <f>IFERROR((up_dir!AL22/(up_Bv!L22+s_MLF_cucumber)),".")</f>
        <v>1.3187534153652909E-4</v>
      </c>
      <c r="BL22" s="2">
        <f>IFERROR((up_dir!AM22/(up_Bv!M22+s_MLF_lettuce)),".")</f>
        <v>1.3187534153652909E-4</v>
      </c>
      <c r="BM22" s="2">
        <f>IFERROR((up_dir!AN22/(up_Bv!N22+s_MLF_lima_bean)),".")</f>
        <v>1.3187534153652909E-4</v>
      </c>
      <c r="BN22" s="2">
        <f>IFERROR((up_dir!AO22/(up_Bv!O22+s_MLF_okra)),".")</f>
        <v>1.3187534153652909E-4</v>
      </c>
      <c r="BO22" s="2">
        <f>IFERROR((up_dir!AP22/(up_Bv!P22+s_MLF_onion)),".")</f>
        <v>1.3187534153652909E-4</v>
      </c>
      <c r="BP22" s="2">
        <f>IFERROR((up_dir!AQ22/(up_Bv!Q22+s_MLF_peach)),".")</f>
        <v>1.3187534153652909E-4</v>
      </c>
      <c r="BQ22" s="2">
        <f>IFERROR((up_dir!AR22/(up_Bv!R22+s_MLF_pear)),".")</f>
        <v>1.3187534153652909E-4</v>
      </c>
      <c r="BR22" s="2">
        <f>IFERROR((up_dir!AS22/(up_Bv!S22+s_MLF_peas)),".")</f>
        <v>1.3187534153652909E-4</v>
      </c>
      <c r="BS22" s="2">
        <f>IFERROR((up_dir!AT22/(up_Bv!T22+s_MLF_potato)),".")</f>
        <v>1.3187534153652909E-4</v>
      </c>
      <c r="BT22" s="2">
        <f>IFERROR((up_dir!AU22/(up_Bv!U22+s_MLF_pumpkin)),".")</f>
        <v>1.3187534153652909E-4</v>
      </c>
      <c r="BU22" s="2">
        <f>IFERROR((up_dir!AV22/(up_Bv!V22+s_MLF_snap_bean)),".")</f>
        <v>1.3187534153652909E-4</v>
      </c>
      <c r="BV22" s="2">
        <f>IFERROR((up_dir!AW22/(up_Bv!W22+s_MLF_strawberry)),".")</f>
        <v>1.3187534153652909E-4</v>
      </c>
      <c r="BW22" s="2">
        <f>IFERROR((up_dir!AX22/(up_Bv!X22+s_MLF_tomato)),".")</f>
        <v>1.3187534153652909E-4</v>
      </c>
      <c r="BX22" s="2">
        <f>IFERROR((up_dir!AY22/(up_Bv!Y22+s_MLF_rice)),".")</f>
        <v>1.3187534153652909E-4</v>
      </c>
      <c r="BY22" s="2">
        <f>IFERROR((up_dir!AZ22/(up_Bv!Z22+s_MLF_cereal)),".")</f>
        <v>1.3187534153652909E-4</v>
      </c>
      <c r="BZ22" s="10">
        <f t="shared" si="3"/>
        <v>113743.78125</v>
      </c>
      <c r="CA22" s="10">
        <f>IFERROR(s_C*(up_Bv!C22+s_MLF_apple)*s_IFAP_far_adj*s_CF_apple,".")</f>
        <v>37914.59375</v>
      </c>
      <c r="CB22" s="10">
        <f>IFERROR(s_C*(up_Bv!D22+s_MLF_asparagus)*s_IFAS_far_adj*s_CF_asparagus,".")</f>
        <v>37914.59375</v>
      </c>
      <c r="CC22" s="10">
        <f>IFERROR(s_C*(up_Bv!E22+s_MLF_beet)*s_IFBT_far_adj*s_CF_beet,".")</f>
        <v>37914.59375</v>
      </c>
      <c r="CD22" s="10">
        <f>IFERROR(s_C*(up_Bv!F22+s_MLF_berries)*s_IFBR_far_adj*s_CF_berries,".")</f>
        <v>37914.59375</v>
      </c>
      <c r="CE22" s="10">
        <f>IFERROR(s_C*(up_Bv!G22+s_MLF_broccoli)*s_IFBR_far_adj*s_CF_broccoli,".")</f>
        <v>37914.59375</v>
      </c>
      <c r="CF22" s="10">
        <f>IFERROR(s_C*(up_Bv!H22+s_MLF_cabbage)*s_IFCB_far_adj*s_CF_cabbage,".")</f>
        <v>37914.59375</v>
      </c>
      <c r="CG22" s="10">
        <f>IFERROR(s_C*(up_Bv!I22+s_MLF_carrot)*s_IFCR_far_adj*s_CF_carrot,".")</f>
        <v>37914.59375</v>
      </c>
      <c r="CH22" s="10">
        <f>IFERROR(s_C*(up_Bv!J22+s_MLF_citrus)*s_IFCI_far_adj*s_CF_citrus,".")</f>
        <v>37914.59375</v>
      </c>
      <c r="CI22" s="10">
        <f>IFERROR(s_C*(up_Bv!K22+s_MLF_corn)*s_IFCO_far_adj*s_CF_corn,".")</f>
        <v>37914.59375</v>
      </c>
      <c r="CJ22" s="10">
        <f>IFERROR(s_C*(up_Bv!L22+s_MLF_cucumber)*s_IFCU_far_adj*s_CF_cucumber,".")</f>
        <v>37914.59375</v>
      </c>
      <c r="CK22" s="10">
        <f>IFERROR(s_C*(up_Bv!M22+s_MLF_lettuce)*s_IFLE_far_adj*s_CF_lettuce,".")</f>
        <v>37914.59375</v>
      </c>
      <c r="CL22" s="10">
        <f>IFERROR(s_C*(up_Bv!N22+s_MLF_lima_bean)*s_IFLI_far_adj*s_CF_lima_bean,".")</f>
        <v>37914.59375</v>
      </c>
      <c r="CM22" s="10">
        <f>IFERROR(s_C*(up_Bv!O22+s_MLF_okra)*s_IFOK_far_adj*s_CF_okra,".")</f>
        <v>37914.59375</v>
      </c>
      <c r="CN22" s="10">
        <f>IFERROR(s_C*(up_Bv!P22+s_MLF_onion)*s_IFON_far_adj*s_CF_onion,".")</f>
        <v>37914.59375</v>
      </c>
      <c r="CO22" s="10">
        <f>IFERROR(s_C*(up_Bv!Q22+s_MLF_peach)*s_IFPC_far_adj*s_CF_peach,".")</f>
        <v>37914.59375</v>
      </c>
      <c r="CP22" s="10">
        <f>IFERROR(s_C*(up_Bv!R22+s_MLF_pear)*s_IFPR_far_adj*s_CF_pear,".")</f>
        <v>37914.59375</v>
      </c>
      <c r="CQ22" s="10">
        <f>IFERROR(s_C*(up_Bv!S22+s_MLF_peas)*s_IFPE_far_adj*s_CF_peas,".")</f>
        <v>37914.59375</v>
      </c>
      <c r="CR22" s="10">
        <f>IFERROR(s_C*(up_Bv!T22+s_MLF_potato)*s_IFPT_far_adj*s_CF_potato,".")</f>
        <v>37914.59375</v>
      </c>
      <c r="CS22" s="10">
        <f>IFERROR(s_C*(up_Bv!U22+s_MLF_pumpkin)*s_IFPU_far_adj*s_CF_pumpkin,".")</f>
        <v>37914.59375</v>
      </c>
      <c r="CT22" s="10">
        <f>IFERROR(s_C*(up_Bv!V22+s_MLF_snap_bean)*s_IFSN_far_adj*s_CF_snap_bean,".")</f>
        <v>37914.59375</v>
      </c>
      <c r="CU22" s="10">
        <f>IFERROR(s_C*(up_Bv!W22+s_MLF_strawberry)*s_IFST_far_adj*s_CF_strawberry,".")</f>
        <v>37914.59375</v>
      </c>
      <c r="CV22" s="10">
        <f>IFERROR(s_C*(up_Bv!X22+s_MLF_tomato)*s_IFTO_far_adj*s_CF_tomato,".")</f>
        <v>37914.59375</v>
      </c>
      <c r="CW22" s="10">
        <f>IFERROR(s_C*(up_Bv!Y22+s_MLF_rice)*s_IFRI_far_adj*s_CF_rice,".")</f>
        <v>37914.59375</v>
      </c>
      <c r="CX22" s="10">
        <f>IFERROR(s_C*(up_Bv!Z22+s_MLF_cereal)*s_IFCG_far_adj*s_CF_cereal,".")</f>
        <v>37914.59375</v>
      </c>
    </row>
    <row r="23" spans="1:102" x14ac:dyDescent="0.25">
      <c r="A23" s="32" t="s">
        <v>21</v>
      </c>
      <c r="B23" s="3" t="s">
        <v>336</v>
      </c>
      <c r="C23" s="73">
        <f t="shared" si="1"/>
        <v>4.3958447178843029E-5</v>
      </c>
      <c r="D23" s="73">
        <f>IFERROR((up_dir!D23/(up_Bv!C23+s_MLF_apple)),".")</f>
        <v>1.3187534153652909E-4</v>
      </c>
      <c r="E23" s="73">
        <f>IFERROR((up_dir!E23/(up_Bv!D23+s_MLF_asparagus)),".")</f>
        <v>1.3187534153652909E-4</v>
      </c>
      <c r="F23" s="73">
        <f>IFERROR((up_dir!F23/(up_Bv!E23+s_MLF_beet)),".")</f>
        <v>1.3187534153652909E-4</v>
      </c>
      <c r="G23" s="73">
        <f>IFERROR((up_dir!G23/(up_Bv!F23+s_MLF_berries)),".")</f>
        <v>1.3187534153652909E-4</v>
      </c>
      <c r="H23" s="73">
        <f>IFERROR((up_dir!H23/(up_Bv!G23+s_MLF_broccoli)),".")</f>
        <v>1.3187534153652909E-4</v>
      </c>
      <c r="I23" s="73">
        <f>IFERROR((up_dir!I23/(up_Bv!H23+s_MLF_cabbage)),".")</f>
        <v>1.3187534153652909E-4</v>
      </c>
      <c r="J23" s="73">
        <f>IFERROR((up_dir!J23/(up_Bv!I23+s_MLF_carrot)),".")</f>
        <v>1.3187534153652909E-4</v>
      </c>
      <c r="K23" s="73">
        <f>IFERROR((up_dir!K23/(up_Bv!J23+s_MLF_citrus)),".")</f>
        <v>1.3187534153652909E-4</v>
      </c>
      <c r="L23" s="73">
        <f>IFERROR((up_dir!L23/(up_Bv!K23+s_MLF_corn)),".")</f>
        <v>1.3187534153652909E-4</v>
      </c>
      <c r="M23" s="73">
        <f>IFERROR((up_dir!M23/(up_Bv!L23+s_MLF_cucumber)),".")</f>
        <v>1.3187534153652909E-4</v>
      </c>
      <c r="N23" s="73">
        <f>IFERROR((up_dir!N23/(up_Bv!M23+s_MLF_lettuce)),".")</f>
        <v>1.3187534153652909E-4</v>
      </c>
      <c r="O23" s="73">
        <f>IFERROR((up_dir!O23/(up_Bv!N23+s_MLF_lima_bean)),".")</f>
        <v>1.3187534153652909E-4</v>
      </c>
      <c r="P23" s="73">
        <f>IFERROR((up_dir!P23/(up_Bv!O23+s_MLF_okra)),".")</f>
        <v>1.3187534153652909E-4</v>
      </c>
      <c r="Q23" s="73">
        <f>IFERROR((up_dir!Q23/(up_Bv!P23+s_MLF_onion)),".")</f>
        <v>1.3187534153652909E-4</v>
      </c>
      <c r="R23" s="73">
        <f>IFERROR((up_dir!R23/(up_Bv!Q23+s_MLF_peach)),".")</f>
        <v>1.3187534153652909E-4</v>
      </c>
      <c r="S23" s="73">
        <f>IFERROR((up_dir!S23/(up_Bv!R23+s_MLF_pear)),".")</f>
        <v>1.3187534153652909E-4</v>
      </c>
      <c r="T23" s="73">
        <f>IFERROR((up_dir!T23/(up_Bv!S23+s_MLF_peas)),".")</f>
        <v>1.3187534153652909E-4</v>
      </c>
      <c r="U23" s="73">
        <f>IFERROR((up_dir!U23/(up_Bv!T23+s_MLF_potato)),".")</f>
        <v>1.3187534153652909E-4</v>
      </c>
      <c r="V23" s="73">
        <f>IFERROR((up_dir!V23/(up_Bv!U23+s_MLF_pumpkin)),".")</f>
        <v>1.3187534153652909E-4</v>
      </c>
      <c r="W23" s="73">
        <f>IFERROR((up_dir!W23/(up_Bv!V23+s_MLF_snap_bean)),".")</f>
        <v>1.3187534153652909E-4</v>
      </c>
      <c r="X23" s="73">
        <f>IFERROR((up_dir!X23/(up_Bv!W23+s_MLF_strawberry)),".")</f>
        <v>1.3187534153652909E-4</v>
      </c>
      <c r="Y23" s="73">
        <f>IFERROR((up_dir!Y23/(up_Bv!X23+s_MLF_tomato)),".")</f>
        <v>1.3187534153652909E-4</v>
      </c>
      <c r="Z23" s="73">
        <f>IFERROR((up_dir!Z23/(up_Bv!Y23+s_MLF_rice)),".")</f>
        <v>1.3187534153652909E-4</v>
      </c>
      <c r="AA23" s="73">
        <f>IFERROR((up_dir!AA23/(up_Bv!Z23+s_MLF_cereal)),".")</f>
        <v>1.3187534153652909E-4</v>
      </c>
      <c r="AB23" s="10">
        <f t="shared" si="4"/>
        <v>113743.78125</v>
      </c>
      <c r="AC23" s="10">
        <f>s_C*(up_Bv!C23+s_MLF_apple)*s_IFAP_res_adj*s_CF_apple</f>
        <v>37914.59375</v>
      </c>
      <c r="AD23" s="10">
        <f>s_C*(up_Bv!D23+s_MLF_asparagus)*s_IFAS_res_adj*s_CF_asparagus</f>
        <v>37914.59375</v>
      </c>
      <c r="AE23" s="10">
        <f>s_C*(up_Bv!E23+s_MLF_beet)*s_IFBT_res_adj*s_CF_beet</f>
        <v>37914.59375</v>
      </c>
      <c r="AF23" s="10">
        <f>s_C*(up_Bv!F23+s_MLF_berries)*s_IFBE_res_adj*s_CF_berries</f>
        <v>37914.59375</v>
      </c>
      <c r="AG23" s="10">
        <f>s_C*(up_Bv!G23+s_MLF_broccoli)*s_IFBR_res_adj*s_CF_broccoli</f>
        <v>37914.59375</v>
      </c>
      <c r="AH23" s="10">
        <f>s_C*(up_Bv!H23+s_MLF_cabbage)*s_IFCB_res_adj*s_CF_cabbage</f>
        <v>37914.59375</v>
      </c>
      <c r="AI23" s="10">
        <f>s_C*(up_Bv!I23+s_MLF_carrot)*s_IFCR_res_adj*s_CF_carrot</f>
        <v>37914.59375</v>
      </c>
      <c r="AJ23" s="10">
        <f>s_C*(up_Bv!J23+s_MLF_citrus)*s_IFCI_res_adj*s_CF_citrus</f>
        <v>37914.59375</v>
      </c>
      <c r="AK23" s="10">
        <f>s_C*(up_Bv!K23+s_MLF_corn)*s_IFCO_res_adj*s_CF_corn</f>
        <v>37914.59375</v>
      </c>
      <c r="AL23" s="10">
        <f>s_C*(up_Bv!L23+s_MLF_cucumber)*s_IFCU_res_adj*s_CF_cucumber</f>
        <v>37914.59375</v>
      </c>
      <c r="AM23" s="10">
        <f>s_C*(up_Bv!M23+s_MLF_lettuce)*s_IFLE_res_adj*s_CF_lettuce</f>
        <v>37914.59375</v>
      </c>
      <c r="AN23" s="10">
        <f>s_C*(up_Bv!N23+s_MLF_lima_bean)*s_IFLI_res_adj*s_CF_lima_bean</f>
        <v>37914.59375</v>
      </c>
      <c r="AO23" s="10">
        <f>s_C*(up_Bv!O23+s_MLF_okra)*s_IFOK_res_adj*s_CF_okra</f>
        <v>37914.59375</v>
      </c>
      <c r="AP23" s="10">
        <f>s_C*(up_Bv!P23+s_MLF_onion)*s_IFON_res_adj*s_CF_onion</f>
        <v>37914.59375</v>
      </c>
      <c r="AQ23" s="10">
        <f>s_C*(up_Bv!Q23+s_MLF_peach)*s_IFPC_res_adj*s_CF_peach</f>
        <v>37914.59375</v>
      </c>
      <c r="AR23" s="10">
        <f>s_C*(up_Bv!R23+s_MLF_pear)*s_IFPR_res_adj*s_CF_pear</f>
        <v>37914.59375</v>
      </c>
      <c r="AS23" s="10">
        <f>s_C*(up_Bv!S23+s_MLF_peas)*s_IFPE_res_adj*s_CF_peas</f>
        <v>37914.59375</v>
      </c>
      <c r="AT23" s="10">
        <f>s_C*(up_Bv!T23+s_MLF_potato)*s_IFPT_res_adj*s_CF_potato</f>
        <v>37914.59375</v>
      </c>
      <c r="AU23" s="10">
        <f>s_C*(up_Bv!U23+s_MLF_pumpkin)*s_IFPU_res_adj*s_CF_pumpkin</f>
        <v>37914.59375</v>
      </c>
      <c r="AV23" s="10">
        <f>s_C*(up_Bv!V23+s_MLF_snap_bean)*s_IFSN_res_adj*s_CF_snap_bean</f>
        <v>37914.59375</v>
      </c>
      <c r="AW23" s="10">
        <f>s_C*(up_Bv!W23+s_MLF_strawberry)*s_IFST_res_adj*s_CF_strawberry</f>
        <v>37914.59375</v>
      </c>
      <c r="AX23" s="10">
        <f>s_C*(up_Bv!X23+s_MLF_tomato)*s_IFTO_res_adj*s_CF_tomato</f>
        <v>37914.59375</v>
      </c>
      <c r="AY23" s="10">
        <f>s_C*(up_Bv!Y23+s_MLF_rice)*s_IFRI_res_adj*s_CF_rice</f>
        <v>37914.59375</v>
      </c>
      <c r="AZ23" s="10">
        <f>s_C*(up_Bv!Z23+s_MLF_cereal)*s_IFCG_res_adj*s_CF_cereal</f>
        <v>37914.59375</v>
      </c>
      <c r="BA23" s="2">
        <f t="shared" si="2"/>
        <v>4.3958447178843029E-5</v>
      </c>
      <c r="BB23" s="2">
        <f>IFERROR((up_dir!AC23/(up_Bv!C23+s_MLF_apple)),".")</f>
        <v>1.3187534153652909E-4</v>
      </c>
      <c r="BC23" s="2">
        <f>IFERROR((up_dir!AD23/(up_Bv!D23+s_MLF_asparagus)),".")</f>
        <v>1.3187534153652909E-4</v>
      </c>
      <c r="BD23" s="2">
        <f>IFERROR((up_dir!AE23/(up_Bv!E23+s_MLF_beet)),".")</f>
        <v>1.3187534153652909E-4</v>
      </c>
      <c r="BE23" s="2">
        <f>IFERROR((up_dir!AF23/(up_Bv!F23+s_MLF_berries)),".")</f>
        <v>1.3187534153652909E-4</v>
      </c>
      <c r="BF23" s="2">
        <f>IFERROR((up_dir!AG23/(up_Bv!G23+s_MLF_broccoli)),".")</f>
        <v>1.3187534153652909E-4</v>
      </c>
      <c r="BG23" s="2">
        <f>IFERROR((up_dir!AH23/(up_Bv!H23+s_MLF_cabbage)),".")</f>
        <v>1.3187534153652909E-4</v>
      </c>
      <c r="BH23" s="2">
        <f>IFERROR((up_dir!AI23/(up_Bv!I23+s_MLF_carrot)),".")</f>
        <v>1.3187534153652909E-4</v>
      </c>
      <c r="BI23" s="2">
        <f>IFERROR((up_dir!AJ23/(up_Bv!J23+s_MLF_citrus)),".")</f>
        <v>1.3187534153652909E-4</v>
      </c>
      <c r="BJ23" s="2">
        <f>IFERROR((up_dir!AK23/(up_Bv!K23+s_MLF_corn)),".")</f>
        <v>1.3187534153652909E-4</v>
      </c>
      <c r="BK23" s="2">
        <f>IFERROR((up_dir!AL23/(up_Bv!L23+s_MLF_cucumber)),".")</f>
        <v>1.3187534153652909E-4</v>
      </c>
      <c r="BL23" s="2">
        <f>IFERROR((up_dir!AM23/(up_Bv!M23+s_MLF_lettuce)),".")</f>
        <v>1.3187534153652909E-4</v>
      </c>
      <c r="BM23" s="2">
        <f>IFERROR((up_dir!AN23/(up_Bv!N23+s_MLF_lima_bean)),".")</f>
        <v>1.3187534153652909E-4</v>
      </c>
      <c r="BN23" s="2">
        <f>IFERROR((up_dir!AO23/(up_Bv!O23+s_MLF_okra)),".")</f>
        <v>1.3187534153652909E-4</v>
      </c>
      <c r="BO23" s="2">
        <f>IFERROR((up_dir!AP23/(up_Bv!P23+s_MLF_onion)),".")</f>
        <v>1.3187534153652909E-4</v>
      </c>
      <c r="BP23" s="2">
        <f>IFERROR((up_dir!AQ23/(up_Bv!Q23+s_MLF_peach)),".")</f>
        <v>1.3187534153652909E-4</v>
      </c>
      <c r="BQ23" s="2">
        <f>IFERROR((up_dir!AR23/(up_Bv!R23+s_MLF_pear)),".")</f>
        <v>1.3187534153652909E-4</v>
      </c>
      <c r="BR23" s="2">
        <f>IFERROR((up_dir!AS23/(up_Bv!S23+s_MLF_peas)),".")</f>
        <v>1.3187534153652909E-4</v>
      </c>
      <c r="BS23" s="2">
        <f>IFERROR((up_dir!AT23/(up_Bv!T23+s_MLF_potato)),".")</f>
        <v>1.3187534153652909E-4</v>
      </c>
      <c r="BT23" s="2">
        <f>IFERROR((up_dir!AU23/(up_Bv!U23+s_MLF_pumpkin)),".")</f>
        <v>1.3187534153652909E-4</v>
      </c>
      <c r="BU23" s="2">
        <f>IFERROR((up_dir!AV23/(up_Bv!V23+s_MLF_snap_bean)),".")</f>
        <v>1.3187534153652909E-4</v>
      </c>
      <c r="BV23" s="2">
        <f>IFERROR((up_dir!AW23/(up_Bv!W23+s_MLF_strawberry)),".")</f>
        <v>1.3187534153652909E-4</v>
      </c>
      <c r="BW23" s="2">
        <f>IFERROR((up_dir!AX23/(up_Bv!X23+s_MLF_tomato)),".")</f>
        <v>1.3187534153652909E-4</v>
      </c>
      <c r="BX23" s="2">
        <f>IFERROR((up_dir!AY23/(up_Bv!Y23+s_MLF_rice)),".")</f>
        <v>1.3187534153652909E-4</v>
      </c>
      <c r="BY23" s="2">
        <f>IFERROR((up_dir!AZ23/(up_Bv!Z23+s_MLF_cereal)),".")</f>
        <v>1.3187534153652909E-4</v>
      </c>
      <c r="BZ23" s="10">
        <f t="shared" si="3"/>
        <v>113743.78125</v>
      </c>
      <c r="CA23" s="10">
        <f>IFERROR(s_C*(up_Bv!C23+s_MLF_apple)*s_IFAP_far_adj*s_CF_apple,".")</f>
        <v>37914.59375</v>
      </c>
      <c r="CB23" s="10">
        <f>IFERROR(s_C*(up_Bv!D23+s_MLF_asparagus)*s_IFAS_far_adj*s_CF_asparagus,".")</f>
        <v>37914.59375</v>
      </c>
      <c r="CC23" s="10">
        <f>IFERROR(s_C*(up_Bv!E23+s_MLF_beet)*s_IFBT_far_adj*s_CF_beet,".")</f>
        <v>37914.59375</v>
      </c>
      <c r="CD23" s="10">
        <f>IFERROR(s_C*(up_Bv!F23+s_MLF_berries)*s_IFBR_far_adj*s_CF_berries,".")</f>
        <v>37914.59375</v>
      </c>
      <c r="CE23" s="10">
        <f>IFERROR(s_C*(up_Bv!G23+s_MLF_broccoli)*s_IFBR_far_adj*s_CF_broccoli,".")</f>
        <v>37914.59375</v>
      </c>
      <c r="CF23" s="10">
        <f>IFERROR(s_C*(up_Bv!H23+s_MLF_cabbage)*s_IFCB_far_adj*s_CF_cabbage,".")</f>
        <v>37914.59375</v>
      </c>
      <c r="CG23" s="10">
        <f>IFERROR(s_C*(up_Bv!I23+s_MLF_carrot)*s_IFCR_far_adj*s_CF_carrot,".")</f>
        <v>37914.59375</v>
      </c>
      <c r="CH23" s="10">
        <f>IFERROR(s_C*(up_Bv!J23+s_MLF_citrus)*s_IFCI_far_adj*s_CF_citrus,".")</f>
        <v>37914.59375</v>
      </c>
      <c r="CI23" s="10">
        <f>IFERROR(s_C*(up_Bv!K23+s_MLF_corn)*s_IFCO_far_adj*s_CF_corn,".")</f>
        <v>37914.59375</v>
      </c>
      <c r="CJ23" s="10">
        <f>IFERROR(s_C*(up_Bv!L23+s_MLF_cucumber)*s_IFCU_far_adj*s_CF_cucumber,".")</f>
        <v>37914.59375</v>
      </c>
      <c r="CK23" s="10">
        <f>IFERROR(s_C*(up_Bv!M23+s_MLF_lettuce)*s_IFLE_far_adj*s_CF_lettuce,".")</f>
        <v>37914.59375</v>
      </c>
      <c r="CL23" s="10">
        <f>IFERROR(s_C*(up_Bv!N23+s_MLF_lima_bean)*s_IFLI_far_adj*s_CF_lima_bean,".")</f>
        <v>37914.59375</v>
      </c>
      <c r="CM23" s="10">
        <f>IFERROR(s_C*(up_Bv!O23+s_MLF_okra)*s_IFOK_far_adj*s_CF_okra,".")</f>
        <v>37914.59375</v>
      </c>
      <c r="CN23" s="10">
        <f>IFERROR(s_C*(up_Bv!P23+s_MLF_onion)*s_IFON_far_adj*s_CF_onion,".")</f>
        <v>37914.59375</v>
      </c>
      <c r="CO23" s="10">
        <f>IFERROR(s_C*(up_Bv!Q23+s_MLF_peach)*s_IFPC_far_adj*s_CF_peach,".")</f>
        <v>37914.59375</v>
      </c>
      <c r="CP23" s="10">
        <f>IFERROR(s_C*(up_Bv!R23+s_MLF_pear)*s_IFPR_far_adj*s_CF_pear,".")</f>
        <v>37914.59375</v>
      </c>
      <c r="CQ23" s="10">
        <f>IFERROR(s_C*(up_Bv!S23+s_MLF_peas)*s_IFPE_far_adj*s_CF_peas,".")</f>
        <v>37914.59375</v>
      </c>
      <c r="CR23" s="10">
        <f>IFERROR(s_C*(up_Bv!T23+s_MLF_potato)*s_IFPT_far_adj*s_CF_potato,".")</f>
        <v>37914.59375</v>
      </c>
      <c r="CS23" s="10">
        <f>IFERROR(s_C*(up_Bv!U23+s_MLF_pumpkin)*s_IFPU_far_adj*s_CF_pumpkin,".")</f>
        <v>37914.59375</v>
      </c>
      <c r="CT23" s="10">
        <f>IFERROR(s_C*(up_Bv!V23+s_MLF_snap_bean)*s_IFSN_far_adj*s_CF_snap_bean,".")</f>
        <v>37914.59375</v>
      </c>
      <c r="CU23" s="10">
        <f>IFERROR(s_C*(up_Bv!W23+s_MLF_strawberry)*s_IFST_far_adj*s_CF_strawberry,".")</f>
        <v>37914.59375</v>
      </c>
      <c r="CV23" s="10">
        <f>IFERROR(s_C*(up_Bv!X23+s_MLF_tomato)*s_IFTO_far_adj*s_CF_tomato,".")</f>
        <v>37914.59375</v>
      </c>
      <c r="CW23" s="10">
        <f>IFERROR(s_C*(up_Bv!Y23+s_MLF_rice)*s_IFRI_far_adj*s_CF_rice,".")</f>
        <v>37914.59375</v>
      </c>
      <c r="CX23" s="10">
        <f>IFERROR(s_C*(up_Bv!Z23+s_MLF_cereal)*s_IFCG_far_adj*s_CF_cereal,".")</f>
        <v>37914.59375</v>
      </c>
    </row>
    <row r="24" spans="1:102" ht="15" customHeight="1" x14ac:dyDescent="0.25">
      <c r="A24" s="31" t="s">
        <v>22</v>
      </c>
      <c r="B24" s="3" t="s">
        <v>1059</v>
      </c>
      <c r="C24" s="73">
        <f t="shared" si="1"/>
        <v>4.3958447178843029E-5</v>
      </c>
      <c r="D24" s="73">
        <f>IFERROR((up_dir!D24/(up_Bv!C24+s_MLF_apple)),".")</f>
        <v>1.3187534153652909E-4</v>
      </c>
      <c r="E24" s="73">
        <f>IFERROR((up_dir!E24/(up_Bv!D24+s_MLF_asparagus)),".")</f>
        <v>1.3187534153652909E-4</v>
      </c>
      <c r="F24" s="73">
        <f>IFERROR((up_dir!F24/(up_Bv!E24+s_MLF_beet)),".")</f>
        <v>1.3187534153652909E-4</v>
      </c>
      <c r="G24" s="73">
        <f>IFERROR((up_dir!G24/(up_Bv!F24+s_MLF_berries)),".")</f>
        <v>1.3187534153652909E-4</v>
      </c>
      <c r="H24" s="73">
        <f>IFERROR((up_dir!H24/(up_Bv!G24+s_MLF_broccoli)),".")</f>
        <v>1.3187534153652909E-4</v>
      </c>
      <c r="I24" s="73">
        <f>IFERROR((up_dir!I24/(up_Bv!H24+s_MLF_cabbage)),".")</f>
        <v>1.3187534153652909E-4</v>
      </c>
      <c r="J24" s="73">
        <f>IFERROR((up_dir!J24/(up_Bv!I24+s_MLF_carrot)),".")</f>
        <v>1.3187534153652909E-4</v>
      </c>
      <c r="K24" s="73">
        <f>IFERROR((up_dir!K24/(up_Bv!J24+s_MLF_citrus)),".")</f>
        <v>1.3187534153652909E-4</v>
      </c>
      <c r="L24" s="73">
        <f>IFERROR((up_dir!L24/(up_Bv!K24+s_MLF_corn)),".")</f>
        <v>1.3187534153652909E-4</v>
      </c>
      <c r="M24" s="73">
        <f>IFERROR((up_dir!M24/(up_Bv!L24+s_MLF_cucumber)),".")</f>
        <v>1.3187534153652909E-4</v>
      </c>
      <c r="N24" s="73">
        <f>IFERROR((up_dir!N24/(up_Bv!M24+s_MLF_lettuce)),".")</f>
        <v>1.3187534153652909E-4</v>
      </c>
      <c r="O24" s="73">
        <f>IFERROR((up_dir!O24/(up_Bv!N24+s_MLF_lima_bean)),".")</f>
        <v>1.3187534153652909E-4</v>
      </c>
      <c r="P24" s="73">
        <f>IFERROR((up_dir!P24/(up_Bv!O24+s_MLF_okra)),".")</f>
        <v>1.3187534153652909E-4</v>
      </c>
      <c r="Q24" s="73">
        <f>IFERROR((up_dir!Q24/(up_Bv!P24+s_MLF_onion)),".")</f>
        <v>1.3187534153652909E-4</v>
      </c>
      <c r="R24" s="73">
        <f>IFERROR((up_dir!R24/(up_Bv!Q24+s_MLF_peach)),".")</f>
        <v>1.3187534153652909E-4</v>
      </c>
      <c r="S24" s="73">
        <f>IFERROR((up_dir!S24/(up_Bv!R24+s_MLF_pear)),".")</f>
        <v>1.3187534153652909E-4</v>
      </c>
      <c r="T24" s="73">
        <f>IFERROR((up_dir!T24/(up_Bv!S24+s_MLF_peas)),".")</f>
        <v>1.3187534153652909E-4</v>
      </c>
      <c r="U24" s="73">
        <f>IFERROR((up_dir!U24/(up_Bv!T24+s_MLF_potato)),".")</f>
        <v>1.3187534153652909E-4</v>
      </c>
      <c r="V24" s="73">
        <f>IFERROR((up_dir!V24/(up_Bv!U24+s_MLF_pumpkin)),".")</f>
        <v>1.3187534153652909E-4</v>
      </c>
      <c r="W24" s="73">
        <f>IFERROR((up_dir!W24/(up_Bv!V24+s_MLF_snap_bean)),".")</f>
        <v>1.3187534153652909E-4</v>
      </c>
      <c r="X24" s="73">
        <f>IFERROR((up_dir!X24/(up_Bv!W24+s_MLF_strawberry)),".")</f>
        <v>1.3187534153652909E-4</v>
      </c>
      <c r="Y24" s="73">
        <f>IFERROR((up_dir!Y24/(up_Bv!X24+s_MLF_tomato)),".")</f>
        <v>1.3187534153652909E-4</v>
      </c>
      <c r="Z24" s="73">
        <f>IFERROR((up_dir!Z24/(up_Bv!Y24+s_MLF_rice)),".")</f>
        <v>1.3187534153652909E-4</v>
      </c>
      <c r="AA24" s="73">
        <f>IFERROR((up_dir!AA24/(up_Bv!Z24+s_MLF_cereal)),".")</f>
        <v>1.3187534153652909E-4</v>
      </c>
      <c r="AB24" s="10">
        <f t="shared" si="4"/>
        <v>113743.78125</v>
      </c>
      <c r="AC24" s="10">
        <f>s_C*(up_Bv!C24+s_MLF_apple)*s_IFAP_res_adj*s_CF_apple</f>
        <v>37914.59375</v>
      </c>
      <c r="AD24" s="10">
        <f>s_C*(up_Bv!D24+s_MLF_asparagus)*s_IFAS_res_adj*s_CF_asparagus</f>
        <v>37914.59375</v>
      </c>
      <c r="AE24" s="10">
        <f>s_C*(up_Bv!E24+s_MLF_beet)*s_IFBT_res_adj*s_CF_beet</f>
        <v>37914.59375</v>
      </c>
      <c r="AF24" s="10">
        <f>s_C*(up_Bv!F24+s_MLF_berries)*s_IFBE_res_adj*s_CF_berries</f>
        <v>37914.59375</v>
      </c>
      <c r="AG24" s="10">
        <f>s_C*(up_Bv!G24+s_MLF_broccoli)*s_IFBR_res_adj*s_CF_broccoli</f>
        <v>37914.59375</v>
      </c>
      <c r="AH24" s="10">
        <f>s_C*(up_Bv!H24+s_MLF_cabbage)*s_IFCB_res_adj*s_CF_cabbage</f>
        <v>37914.59375</v>
      </c>
      <c r="AI24" s="10">
        <f>s_C*(up_Bv!I24+s_MLF_carrot)*s_IFCR_res_adj*s_CF_carrot</f>
        <v>37914.59375</v>
      </c>
      <c r="AJ24" s="10">
        <f>s_C*(up_Bv!J24+s_MLF_citrus)*s_IFCI_res_adj*s_CF_citrus</f>
        <v>37914.59375</v>
      </c>
      <c r="AK24" s="10">
        <f>s_C*(up_Bv!K24+s_MLF_corn)*s_IFCO_res_adj*s_CF_corn</f>
        <v>37914.59375</v>
      </c>
      <c r="AL24" s="10">
        <f>s_C*(up_Bv!L24+s_MLF_cucumber)*s_IFCU_res_adj*s_CF_cucumber</f>
        <v>37914.59375</v>
      </c>
      <c r="AM24" s="10">
        <f>s_C*(up_Bv!M24+s_MLF_lettuce)*s_IFLE_res_adj*s_CF_lettuce</f>
        <v>37914.59375</v>
      </c>
      <c r="AN24" s="10">
        <f>s_C*(up_Bv!N24+s_MLF_lima_bean)*s_IFLI_res_adj*s_CF_lima_bean</f>
        <v>37914.59375</v>
      </c>
      <c r="AO24" s="10">
        <f>s_C*(up_Bv!O24+s_MLF_okra)*s_IFOK_res_adj*s_CF_okra</f>
        <v>37914.59375</v>
      </c>
      <c r="AP24" s="10">
        <f>s_C*(up_Bv!P24+s_MLF_onion)*s_IFON_res_adj*s_CF_onion</f>
        <v>37914.59375</v>
      </c>
      <c r="AQ24" s="10">
        <f>s_C*(up_Bv!Q24+s_MLF_peach)*s_IFPC_res_adj*s_CF_peach</f>
        <v>37914.59375</v>
      </c>
      <c r="AR24" s="10">
        <f>s_C*(up_Bv!R24+s_MLF_pear)*s_IFPR_res_adj*s_CF_pear</f>
        <v>37914.59375</v>
      </c>
      <c r="AS24" s="10">
        <f>s_C*(up_Bv!S24+s_MLF_peas)*s_IFPE_res_adj*s_CF_peas</f>
        <v>37914.59375</v>
      </c>
      <c r="AT24" s="10">
        <f>s_C*(up_Bv!T24+s_MLF_potato)*s_IFPT_res_adj*s_CF_potato</f>
        <v>37914.59375</v>
      </c>
      <c r="AU24" s="10">
        <f>s_C*(up_Bv!U24+s_MLF_pumpkin)*s_IFPU_res_adj*s_CF_pumpkin</f>
        <v>37914.59375</v>
      </c>
      <c r="AV24" s="10">
        <f>s_C*(up_Bv!V24+s_MLF_snap_bean)*s_IFSN_res_adj*s_CF_snap_bean</f>
        <v>37914.59375</v>
      </c>
      <c r="AW24" s="10">
        <f>s_C*(up_Bv!W24+s_MLF_strawberry)*s_IFST_res_adj*s_CF_strawberry</f>
        <v>37914.59375</v>
      </c>
      <c r="AX24" s="10">
        <f>s_C*(up_Bv!X24+s_MLF_tomato)*s_IFTO_res_adj*s_CF_tomato</f>
        <v>37914.59375</v>
      </c>
      <c r="AY24" s="10">
        <f>s_C*(up_Bv!Y24+s_MLF_rice)*s_IFRI_res_adj*s_CF_rice</f>
        <v>37914.59375</v>
      </c>
      <c r="AZ24" s="10">
        <f>s_C*(up_Bv!Z24+s_MLF_cereal)*s_IFCG_res_adj*s_CF_cereal</f>
        <v>37914.59375</v>
      </c>
      <c r="BA24" s="2">
        <f t="shared" si="2"/>
        <v>4.3958447178843029E-5</v>
      </c>
      <c r="BB24" s="2">
        <f>IFERROR((up_dir!AC24/(up_Bv!C24+s_MLF_apple)),".")</f>
        <v>1.3187534153652909E-4</v>
      </c>
      <c r="BC24" s="2">
        <f>IFERROR((up_dir!AD24/(up_Bv!D24+s_MLF_asparagus)),".")</f>
        <v>1.3187534153652909E-4</v>
      </c>
      <c r="BD24" s="2">
        <f>IFERROR((up_dir!AE24/(up_Bv!E24+s_MLF_beet)),".")</f>
        <v>1.3187534153652909E-4</v>
      </c>
      <c r="BE24" s="2">
        <f>IFERROR((up_dir!AF24/(up_Bv!F24+s_MLF_berries)),".")</f>
        <v>1.3187534153652909E-4</v>
      </c>
      <c r="BF24" s="2">
        <f>IFERROR((up_dir!AG24/(up_Bv!G24+s_MLF_broccoli)),".")</f>
        <v>1.3187534153652909E-4</v>
      </c>
      <c r="BG24" s="2">
        <f>IFERROR((up_dir!AH24/(up_Bv!H24+s_MLF_cabbage)),".")</f>
        <v>1.3187534153652909E-4</v>
      </c>
      <c r="BH24" s="2">
        <f>IFERROR((up_dir!AI24/(up_Bv!I24+s_MLF_carrot)),".")</f>
        <v>1.3187534153652909E-4</v>
      </c>
      <c r="BI24" s="2">
        <f>IFERROR((up_dir!AJ24/(up_Bv!J24+s_MLF_citrus)),".")</f>
        <v>1.3187534153652909E-4</v>
      </c>
      <c r="BJ24" s="2">
        <f>IFERROR((up_dir!AK24/(up_Bv!K24+s_MLF_corn)),".")</f>
        <v>1.3187534153652909E-4</v>
      </c>
      <c r="BK24" s="2">
        <f>IFERROR((up_dir!AL24/(up_Bv!L24+s_MLF_cucumber)),".")</f>
        <v>1.3187534153652909E-4</v>
      </c>
      <c r="BL24" s="2">
        <f>IFERROR((up_dir!AM24/(up_Bv!M24+s_MLF_lettuce)),".")</f>
        <v>1.3187534153652909E-4</v>
      </c>
      <c r="BM24" s="2">
        <f>IFERROR((up_dir!AN24/(up_Bv!N24+s_MLF_lima_bean)),".")</f>
        <v>1.3187534153652909E-4</v>
      </c>
      <c r="BN24" s="2">
        <f>IFERROR((up_dir!AO24/(up_Bv!O24+s_MLF_okra)),".")</f>
        <v>1.3187534153652909E-4</v>
      </c>
      <c r="BO24" s="2">
        <f>IFERROR((up_dir!AP24/(up_Bv!P24+s_MLF_onion)),".")</f>
        <v>1.3187534153652909E-4</v>
      </c>
      <c r="BP24" s="2">
        <f>IFERROR((up_dir!AQ24/(up_Bv!Q24+s_MLF_peach)),".")</f>
        <v>1.3187534153652909E-4</v>
      </c>
      <c r="BQ24" s="2">
        <f>IFERROR((up_dir!AR24/(up_Bv!R24+s_MLF_pear)),".")</f>
        <v>1.3187534153652909E-4</v>
      </c>
      <c r="BR24" s="2">
        <f>IFERROR((up_dir!AS24/(up_Bv!S24+s_MLF_peas)),".")</f>
        <v>1.3187534153652909E-4</v>
      </c>
      <c r="BS24" s="2">
        <f>IFERROR((up_dir!AT24/(up_Bv!T24+s_MLF_potato)),".")</f>
        <v>1.3187534153652909E-4</v>
      </c>
      <c r="BT24" s="2">
        <f>IFERROR((up_dir!AU24/(up_Bv!U24+s_MLF_pumpkin)),".")</f>
        <v>1.3187534153652909E-4</v>
      </c>
      <c r="BU24" s="2">
        <f>IFERROR((up_dir!AV24/(up_Bv!V24+s_MLF_snap_bean)),".")</f>
        <v>1.3187534153652909E-4</v>
      </c>
      <c r="BV24" s="2">
        <f>IFERROR((up_dir!AW24/(up_Bv!W24+s_MLF_strawberry)),".")</f>
        <v>1.3187534153652909E-4</v>
      </c>
      <c r="BW24" s="2">
        <f>IFERROR((up_dir!AX24/(up_Bv!X24+s_MLF_tomato)),".")</f>
        <v>1.3187534153652909E-4</v>
      </c>
      <c r="BX24" s="2">
        <f>IFERROR((up_dir!AY24/(up_Bv!Y24+s_MLF_rice)),".")</f>
        <v>1.3187534153652909E-4</v>
      </c>
      <c r="BY24" s="2">
        <f>IFERROR((up_dir!AZ24/(up_Bv!Z24+s_MLF_cereal)),".")</f>
        <v>1.3187534153652909E-4</v>
      </c>
      <c r="BZ24" s="10">
        <f t="shared" si="3"/>
        <v>113743.78125</v>
      </c>
      <c r="CA24" s="10">
        <f>IFERROR(s_C*(up_Bv!C24+s_MLF_apple)*s_IFAP_far_adj*s_CF_apple,".")</f>
        <v>37914.59375</v>
      </c>
      <c r="CB24" s="10">
        <f>IFERROR(s_C*(up_Bv!D24+s_MLF_asparagus)*s_IFAS_far_adj*s_CF_asparagus,".")</f>
        <v>37914.59375</v>
      </c>
      <c r="CC24" s="10">
        <f>IFERROR(s_C*(up_Bv!E24+s_MLF_beet)*s_IFBT_far_adj*s_CF_beet,".")</f>
        <v>37914.59375</v>
      </c>
      <c r="CD24" s="10">
        <f>IFERROR(s_C*(up_Bv!F24+s_MLF_berries)*s_IFBR_far_adj*s_CF_berries,".")</f>
        <v>37914.59375</v>
      </c>
      <c r="CE24" s="10">
        <f>IFERROR(s_C*(up_Bv!G24+s_MLF_broccoli)*s_IFBR_far_adj*s_CF_broccoli,".")</f>
        <v>37914.59375</v>
      </c>
      <c r="CF24" s="10">
        <f>IFERROR(s_C*(up_Bv!H24+s_MLF_cabbage)*s_IFCB_far_adj*s_CF_cabbage,".")</f>
        <v>37914.59375</v>
      </c>
      <c r="CG24" s="10">
        <f>IFERROR(s_C*(up_Bv!I24+s_MLF_carrot)*s_IFCR_far_adj*s_CF_carrot,".")</f>
        <v>37914.59375</v>
      </c>
      <c r="CH24" s="10">
        <f>IFERROR(s_C*(up_Bv!J24+s_MLF_citrus)*s_IFCI_far_adj*s_CF_citrus,".")</f>
        <v>37914.59375</v>
      </c>
      <c r="CI24" s="10">
        <f>IFERROR(s_C*(up_Bv!K24+s_MLF_corn)*s_IFCO_far_adj*s_CF_corn,".")</f>
        <v>37914.59375</v>
      </c>
      <c r="CJ24" s="10">
        <f>IFERROR(s_C*(up_Bv!L24+s_MLF_cucumber)*s_IFCU_far_adj*s_CF_cucumber,".")</f>
        <v>37914.59375</v>
      </c>
      <c r="CK24" s="10">
        <f>IFERROR(s_C*(up_Bv!M24+s_MLF_lettuce)*s_IFLE_far_adj*s_CF_lettuce,".")</f>
        <v>37914.59375</v>
      </c>
      <c r="CL24" s="10">
        <f>IFERROR(s_C*(up_Bv!N24+s_MLF_lima_bean)*s_IFLI_far_adj*s_CF_lima_bean,".")</f>
        <v>37914.59375</v>
      </c>
      <c r="CM24" s="10">
        <f>IFERROR(s_C*(up_Bv!O24+s_MLF_okra)*s_IFOK_far_adj*s_CF_okra,".")</f>
        <v>37914.59375</v>
      </c>
      <c r="CN24" s="10">
        <f>IFERROR(s_C*(up_Bv!P24+s_MLF_onion)*s_IFON_far_adj*s_CF_onion,".")</f>
        <v>37914.59375</v>
      </c>
      <c r="CO24" s="10">
        <f>IFERROR(s_C*(up_Bv!Q24+s_MLF_peach)*s_IFPC_far_adj*s_CF_peach,".")</f>
        <v>37914.59375</v>
      </c>
      <c r="CP24" s="10">
        <f>IFERROR(s_C*(up_Bv!R24+s_MLF_pear)*s_IFPR_far_adj*s_CF_pear,".")</f>
        <v>37914.59375</v>
      </c>
      <c r="CQ24" s="10">
        <f>IFERROR(s_C*(up_Bv!S24+s_MLF_peas)*s_IFPE_far_adj*s_CF_peas,".")</f>
        <v>37914.59375</v>
      </c>
      <c r="CR24" s="10">
        <f>IFERROR(s_C*(up_Bv!T24+s_MLF_potato)*s_IFPT_far_adj*s_CF_potato,".")</f>
        <v>37914.59375</v>
      </c>
      <c r="CS24" s="10">
        <f>IFERROR(s_C*(up_Bv!U24+s_MLF_pumpkin)*s_IFPU_far_adj*s_CF_pumpkin,".")</f>
        <v>37914.59375</v>
      </c>
      <c r="CT24" s="10">
        <f>IFERROR(s_C*(up_Bv!V24+s_MLF_snap_bean)*s_IFSN_far_adj*s_CF_snap_bean,".")</f>
        <v>37914.59375</v>
      </c>
      <c r="CU24" s="10">
        <f>IFERROR(s_C*(up_Bv!W24+s_MLF_strawberry)*s_IFST_far_adj*s_CF_strawberry,".")</f>
        <v>37914.59375</v>
      </c>
      <c r="CV24" s="10">
        <f>IFERROR(s_C*(up_Bv!X24+s_MLF_tomato)*s_IFTO_far_adj*s_CF_tomato,".")</f>
        <v>37914.59375</v>
      </c>
      <c r="CW24" s="10">
        <f>IFERROR(s_C*(up_Bv!Y24+s_MLF_rice)*s_IFRI_far_adj*s_CF_rice,".")</f>
        <v>37914.59375</v>
      </c>
      <c r="CX24" s="10">
        <f>IFERROR(s_C*(up_Bv!Z24+s_MLF_cereal)*s_IFCG_far_adj*s_CF_cereal,".")</f>
        <v>37914.59375</v>
      </c>
    </row>
    <row r="25" spans="1:102" x14ac:dyDescent="0.25">
      <c r="A25" s="32" t="s">
        <v>23</v>
      </c>
      <c r="B25" s="3" t="s">
        <v>336</v>
      </c>
      <c r="C25" s="73">
        <f t="shared" si="1"/>
        <v>4.3958447178843029E-5</v>
      </c>
      <c r="D25" s="73">
        <f>IFERROR((up_dir!D25/(up_Bv!C25+s_MLF_apple)),".")</f>
        <v>1.3187534153652909E-4</v>
      </c>
      <c r="E25" s="73">
        <f>IFERROR((up_dir!E25/(up_Bv!D25+s_MLF_asparagus)),".")</f>
        <v>1.3187534153652909E-4</v>
      </c>
      <c r="F25" s="73">
        <f>IFERROR((up_dir!F25/(up_Bv!E25+s_MLF_beet)),".")</f>
        <v>1.3187534153652909E-4</v>
      </c>
      <c r="G25" s="73">
        <f>IFERROR((up_dir!G25/(up_Bv!F25+s_MLF_berries)),".")</f>
        <v>1.3187534153652909E-4</v>
      </c>
      <c r="H25" s="73">
        <f>IFERROR((up_dir!H25/(up_Bv!G25+s_MLF_broccoli)),".")</f>
        <v>1.3187534153652909E-4</v>
      </c>
      <c r="I25" s="73">
        <f>IFERROR((up_dir!I25/(up_Bv!H25+s_MLF_cabbage)),".")</f>
        <v>1.3187534153652909E-4</v>
      </c>
      <c r="J25" s="73">
        <f>IFERROR((up_dir!J25/(up_Bv!I25+s_MLF_carrot)),".")</f>
        <v>1.3187534153652909E-4</v>
      </c>
      <c r="K25" s="73">
        <f>IFERROR((up_dir!K25/(up_Bv!J25+s_MLF_citrus)),".")</f>
        <v>1.3187534153652909E-4</v>
      </c>
      <c r="L25" s="73">
        <f>IFERROR((up_dir!L25/(up_Bv!K25+s_MLF_corn)),".")</f>
        <v>1.3187534153652909E-4</v>
      </c>
      <c r="M25" s="73">
        <f>IFERROR((up_dir!M25/(up_Bv!L25+s_MLF_cucumber)),".")</f>
        <v>1.3187534153652909E-4</v>
      </c>
      <c r="N25" s="73">
        <f>IFERROR((up_dir!N25/(up_Bv!M25+s_MLF_lettuce)),".")</f>
        <v>1.3187534153652909E-4</v>
      </c>
      <c r="O25" s="73">
        <f>IFERROR((up_dir!O25/(up_Bv!N25+s_MLF_lima_bean)),".")</f>
        <v>1.3187534153652909E-4</v>
      </c>
      <c r="P25" s="73">
        <f>IFERROR((up_dir!P25/(up_Bv!O25+s_MLF_okra)),".")</f>
        <v>1.3187534153652909E-4</v>
      </c>
      <c r="Q25" s="73">
        <f>IFERROR((up_dir!Q25/(up_Bv!P25+s_MLF_onion)),".")</f>
        <v>1.3187534153652909E-4</v>
      </c>
      <c r="R25" s="73">
        <f>IFERROR((up_dir!R25/(up_Bv!Q25+s_MLF_peach)),".")</f>
        <v>1.3187534153652909E-4</v>
      </c>
      <c r="S25" s="73">
        <f>IFERROR((up_dir!S25/(up_Bv!R25+s_MLF_pear)),".")</f>
        <v>1.3187534153652909E-4</v>
      </c>
      <c r="T25" s="73">
        <f>IFERROR((up_dir!T25/(up_Bv!S25+s_MLF_peas)),".")</f>
        <v>1.3187534153652909E-4</v>
      </c>
      <c r="U25" s="73">
        <f>IFERROR((up_dir!U25/(up_Bv!T25+s_MLF_potato)),".")</f>
        <v>1.3187534153652909E-4</v>
      </c>
      <c r="V25" s="73">
        <f>IFERROR((up_dir!V25/(up_Bv!U25+s_MLF_pumpkin)),".")</f>
        <v>1.3187534153652909E-4</v>
      </c>
      <c r="W25" s="73">
        <f>IFERROR((up_dir!W25/(up_Bv!V25+s_MLF_snap_bean)),".")</f>
        <v>1.3187534153652909E-4</v>
      </c>
      <c r="X25" s="73">
        <f>IFERROR((up_dir!X25/(up_Bv!W25+s_MLF_strawberry)),".")</f>
        <v>1.3187534153652909E-4</v>
      </c>
      <c r="Y25" s="73">
        <f>IFERROR((up_dir!Y25/(up_Bv!X25+s_MLF_tomato)),".")</f>
        <v>1.3187534153652909E-4</v>
      </c>
      <c r="Z25" s="73">
        <f>IFERROR((up_dir!Z25/(up_Bv!Y25+s_MLF_rice)),".")</f>
        <v>1.3187534153652909E-4</v>
      </c>
      <c r="AA25" s="73">
        <f>IFERROR((up_dir!AA25/(up_Bv!Z25+s_MLF_cereal)),".")</f>
        <v>1.3187534153652909E-4</v>
      </c>
      <c r="AB25" s="10">
        <f t="shared" si="4"/>
        <v>113743.78125</v>
      </c>
      <c r="AC25" s="10">
        <f>s_C*(up_Bv!C25+s_MLF_apple)*s_IFAP_res_adj*s_CF_apple</f>
        <v>37914.59375</v>
      </c>
      <c r="AD25" s="10">
        <f>s_C*(up_Bv!D25+s_MLF_asparagus)*s_IFAS_res_adj*s_CF_asparagus</f>
        <v>37914.59375</v>
      </c>
      <c r="AE25" s="10">
        <f>s_C*(up_Bv!E25+s_MLF_beet)*s_IFBT_res_adj*s_CF_beet</f>
        <v>37914.59375</v>
      </c>
      <c r="AF25" s="10">
        <f>s_C*(up_Bv!F25+s_MLF_berries)*s_IFBE_res_adj*s_CF_berries</f>
        <v>37914.59375</v>
      </c>
      <c r="AG25" s="10">
        <f>s_C*(up_Bv!G25+s_MLF_broccoli)*s_IFBR_res_adj*s_CF_broccoli</f>
        <v>37914.59375</v>
      </c>
      <c r="AH25" s="10">
        <f>s_C*(up_Bv!H25+s_MLF_cabbage)*s_IFCB_res_adj*s_CF_cabbage</f>
        <v>37914.59375</v>
      </c>
      <c r="AI25" s="10">
        <f>s_C*(up_Bv!I25+s_MLF_carrot)*s_IFCR_res_adj*s_CF_carrot</f>
        <v>37914.59375</v>
      </c>
      <c r="AJ25" s="10">
        <f>s_C*(up_Bv!J25+s_MLF_citrus)*s_IFCI_res_adj*s_CF_citrus</f>
        <v>37914.59375</v>
      </c>
      <c r="AK25" s="10">
        <f>s_C*(up_Bv!K25+s_MLF_corn)*s_IFCO_res_adj*s_CF_corn</f>
        <v>37914.59375</v>
      </c>
      <c r="AL25" s="10">
        <f>s_C*(up_Bv!L25+s_MLF_cucumber)*s_IFCU_res_adj*s_CF_cucumber</f>
        <v>37914.59375</v>
      </c>
      <c r="AM25" s="10">
        <f>s_C*(up_Bv!M25+s_MLF_lettuce)*s_IFLE_res_adj*s_CF_lettuce</f>
        <v>37914.59375</v>
      </c>
      <c r="AN25" s="10">
        <f>s_C*(up_Bv!N25+s_MLF_lima_bean)*s_IFLI_res_adj*s_CF_lima_bean</f>
        <v>37914.59375</v>
      </c>
      <c r="AO25" s="10">
        <f>s_C*(up_Bv!O25+s_MLF_okra)*s_IFOK_res_adj*s_CF_okra</f>
        <v>37914.59375</v>
      </c>
      <c r="AP25" s="10">
        <f>s_C*(up_Bv!P25+s_MLF_onion)*s_IFON_res_adj*s_CF_onion</f>
        <v>37914.59375</v>
      </c>
      <c r="AQ25" s="10">
        <f>s_C*(up_Bv!Q25+s_MLF_peach)*s_IFPC_res_adj*s_CF_peach</f>
        <v>37914.59375</v>
      </c>
      <c r="AR25" s="10">
        <f>s_C*(up_Bv!R25+s_MLF_pear)*s_IFPR_res_adj*s_CF_pear</f>
        <v>37914.59375</v>
      </c>
      <c r="AS25" s="10">
        <f>s_C*(up_Bv!S25+s_MLF_peas)*s_IFPE_res_adj*s_CF_peas</f>
        <v>37914.59375</v>
      </c>
      <c r="AT25" s="10">
        <f>s_C*(up_Bv!T25+s_MLF_potato)*s_IFPT_res_adj*s_CF_potato</f>
        <v>37914.59375</v>
      </c>
      <c r="AU25" s="10">
        <f>s_C*(up_Bv!U25+s_MLF_pumpkin)*s_IFPU_res_adj*s_CF_pumpkin</f>
        <v>37914.59375</v>
      </c>
      <c r="AV25" s="10">
        <f>s_C*(up_Bv!V25+s_MLF_snap_bean)*s_IFSN_res_adj*s_CF_snap_bean</f>
        <v>37914.59375</v>
      </c>
      <c r="AW25" s="10">
        <f>s_C*(up_Bv!W25+s_MLF_strawberry)*s_IFST_res_adj*s_CF_strawberry</f>
        <v>37914.59375</v>
      </c>
      <c r="AX25" s="10">
        <f>s_C*(up_Bv!X25+s_MLF_tomato)*s_IFTO_res_adj*s_CF_tomato</f>
        <v>37914.59375</v>
      </c>
      <c r="AY25" s="10">
        <f>s_C*(up_Bv!Y25+s_MLF_rice)*s_IFRI_res_adj*s_CF_rice</f>
        <v>37914.59375</v>
      </c>
      <c r="AZ25" s="10">
        <f>s_C*(up_Bv!Z25+s_MLF_cereal)*s_IFCG_res_adj*s_CF_cereal</f>
        <v>37914.59375</v>
      </c>
      <c r="BA25" s="2">
        <f t="shared" si="2"/>
        <v>4.3958447178843029E-5</v>
      </c>
      <c r="BB25" s="2">
        <f>IFERROR((up_dir!AC25/(up_Bv!C25+s_MLF_apple)),".")</f>
        <v>1.3187534153652909E-4</v>
      </c>
      <c r="BC25" s="2">
        <f>IFERROR((up_dir!AD25/(up_Bv!D25+s_MLF_asparagus)),".")</f>
        <v>1.3187534153652909E-4</v>
      </c>
      <c r="BD25" s="2">
        <f>IFERROR((up_dir!AE25/(up_Bv!E25+s_MLF_beet)),".")</f>
        <v>1.3187534153652909E-4</v>
      </c>
      <c r="BE25" s="2">
        <f>IFERROR((up_dir!AF25/(up_Bv!F25+s_MLF_berries)),".")</f>
        <v>1.3187534153652909E-4</v>
      </c>
      <c r="BF25" s="2">
        <f>IFERROR((up_dir!AG25/(up_Bv!G25+s_MLF_broccoli)),".")</f>
        <v>1.3187534153652909E-4</v>
      </c>
      <c r="BG25" s="2">
        <f>IFERROR((up_dir!AH25/(up_Bv!H25+s_MLF_cabbage)),".")</f>
        <v>1.3187534153652909E-4</v>
      </c>
      <c r="BH25" s="2">
        <f>IFERROR((up_dir!AI25/(up_Bv!I25+s_MLF_carrot)),".")</f>
        <v>1.3187534153652909E-4</v>
      </c>
      <c r="BI25" s="2">
        <f>IFERROR((up_dir!AJ25/(up_Bv!J25+s_MLF_citrus)),".")</f>
        <v>1.3187534153652909E-4</v>
      </c>
      <c r="BJ25" s="2">
        <f>IFERROR((up_dir!AK25/(up_Bv!K25+s_MLF_corn)),".")</f>
        <v>1.3187534153652909E-4</v>
      </c>
      <c r="BK25" s="2">
        <f>IFERROR((up_dir!AL25/(up_Bv!L25+s_MLF_cucumber)),".")</f>
        <v>1.3187534153652909E-4</v>
      </c>
      <c r="BL25" s="2">
        <f>IFERROR((up_dir!AM25/(up_Bv!M25+s_MLF_lettuce)),".")</f>
        <v>1.3187534153652909E-4</v>
      </c>
      <c r="BM25" s="2">
        <f>IFERROR((up_dir!AN25/(up_Bv!N25+s_MLF_lima_bean)),".")</f>
        <v>1.3187534153652909E-4</v>
      </c>
      <c r="BN25" s="2">
        <f>IFERROR((up_dir!AO25/(up_Bv!O25+s_MLF_okra)),".")</f>
        <v>1.3187534153652909E-4</v>
      </c>
      <c r="BO25" s="2">
        <f>IFERROR((up_dir!AP25/(up_Bv!P25+s_MLF_onion)),".")</f>
        <v>1.3187534153652909E-4</v>
      </c>
      <c r="BP25" s="2">
        <f>IFERROR((up_dir!AQ25/(up_Bv!Q25+s_MLF_peach)),".")</f>
        <v>1.3187534153652909E-4</v>
      </c>
      <c r="BQ25" s="2">
        <f>IFERROR((up_dir!AR25/(up_Bv!R25+s_MLF_pear)),".")</f>
        <v>1.3187534153652909E-4</v>
      </c>
      <c r="BR25" s="2">
        <f>IFERROR((up_dir!AS25/(up_Bv!S25+s_MLF_peas)),".")</f>
        <v>1.3187534153652909E-4</v>
      </c>
      <c r="BS25" s="2">
        <f>IFERROR((up_dir!AT25/(up_Bv!T25+s_MLF_potato)),".")</f>
        <v>1.3187534153652909E-4</v>
      </c>
      <c r="BT25" s="2">
        <f>IFERROR((up_dir!AU25/(up_Bv!U25+s_MLF_pumpkin)),".")</f>
        <v>1.3187534153652909E-4</v>
      </c>
      <c r="BU25" s="2">
        <f>IFERROR((up_dir!AV25/(up_Bv!V25+s_MLF_snap_bean)),".")</f>
        <v>1.3187534153652909E-4</v>
      </c>
      <c r="BV25" s="2">
        <f>IFERROR((up_dir!AW25/(up_Bv!W25+s_MLF_strawberry)),".")</f>
        <v>1.3187534153652909E-4</v>
      </c>
      <c r="BW25" s="2">
        <f>IFERROR((up_dir!AX25/(up_Bv!X25+s_MLF_tomato)),".")</f>
        <v>1.3187534153652909E-4</v>
      </c>
      <c r="BX25" s="2">
        <f>IFERROR((up_dir!AY25/(up_Bv!Y25+s_MLF_rice)),".")</f>
        <v>1.3187534153652909E-4</v>
      </c>
      <c r="BY25" s="2">
        <f>IFERROR((up_dir!AZ25/(up_Bv!Z25+s_MLF_cereal)),".")</f>
        <v>1.3187534153652909E-4</v>
      </c>
      <c r="BZ25" s="10">
        <f t="shared" si="3"/>
        <v>113743.78125</v>
      </c>
      <c r="CA25" s="10">
        <f>IFERROR(s_C*(up_Bv!C25+s_MLF_apple)*s_IFAP_far_adj*s_CF_apple,".")</f>
        <v>37914.59375</v>
      </c>
      <c r="CB25" s="10">
        <f>IFERROR(s_C*(up_Bv!D25+s_MLF_asparagus)*s_IFAS_far_adj*s_CF_asparagus,".")</f>
        <v>37914.59375</v>
      </c>
      <c r="CC25" s="10">
        <f>IFERROR(s_C*(up_Bv!E25+s_MLF_beet)*s_IFBT_far_adj*s_CF_beet,".")</f>
        <v>37914.59375</v>
      </c>
      <c r="CD25" s="10">
        <f>IFERROR(s_C*(up_Bv!F25+s_MLF_berries)*s_IFBR_far_adj*s_CF_berries,".")</f>
        <v>37914.59375</v>
      </c>
      <c r="CE25" s="10">
        <f>IFERROR(s_C*(up_Bv!G25+s_MLF_broccoli)*s_IFBR_far_adj*s_CF_broccoli,".")</f>
        <v>37914.59375</v>
      </c>
      <c r="CF25" s="10">
        <f>IFERROR(s_C*(up_Bv!H25+s_MLF_cabbage)*s_IFCB_far_adj*s_CF_cabbage,".")</f>
        <v>37914.59375</v>
      </c>
      <c r="CG25" s="10">
        <f>IFERROR(s_C*(up_Bv!I25+s_MLF_carrot)*s_IFCR_far_adj*s_CF_carrot,".")</f>
        <v>37914.59375</v>
      </c>
      <c r="CH25" s="10">
        <f>IFERROR(s_C*(up_Bv!J25+s_MLF_citrus)*s_IFCI_far_adj*s_CF_citrus,".")</f>
        <v>37914.59375</v>
      </c>
      <c r="CI25" s="10">
        <f>IFERROR(s_C*(up_Bv!K25+s_MLF_corn)*s_IFCO_far_adj*s_CF_corn,".")</f>
        <v>37914.59375</v>
      </c>
      <c r="CJ25" s="10">
        <f>IFERROR(s_C*(up_Bv!L25+s_MLF_cucumber)*s_IFCU_far_adj*s_CF_cucumber,".")</f>
        <v>37914.59375</v>
      </c>
      <c r="CK25" s="10">
        <f>IFERROR(s_C*(up_Bv!M25+s_MLF_lettuce)*s_IFLE_far_adj*s_CF_lettuce,".")</f>
        <v>37914.59375</v>
      </c>
      <c r="CL25" s="10">
        <f>IFERROR(s_C*(up_Bv!N25+s_MLF_lima_bean)*s_IFLI_far_adj*s_CF_lima_bean,".")</f>
        <v>37914.59375</v>
      </c>
      <c r="CM25" s="10">
        <f>IFERROR(s_C*(up_Bv!O25+s_MLF_okra)*s_IFOK_far_adj*s_CF_okra,".")</f>
        <v>37914.59375</v>
      </c>
      <c r="CN25" s="10">
        <f>IFERROR(s_C*(up_Bv!P25+s_MLF_onion)*s_IFON_far_adj*s_CF_onion,".")</f>
        <v>37914.59375</v>
      </c>
      <c r="CO25" s="10">
        <f>IFERROR(s_C*(up_Bv!Q25+s_MLF_peach)*s_IFPC_far_adj*s_CF_peach,".")</f>
        <v>37914.59375</v>
      </c>
      <c r="CP25" s="10">
        <f>IFERROR(s_C*(up_Bv!R25+s_MLF_pear)*s_IFPR_far_adj*s_CF_pear,".")</f>
        <v>37914.59375</v>
      </c>
      <c r="CQ25" s="10">
        <f>IFERROR(s_C*(up_Bv!S25+s_MLF_peas)*s_IFPE_far_adj*s_CF_peas,".")</f>
        <v>37914.59375</v>
      </c>
      <c r="CR25" s="10">
        <f>IFERROR(s_C*(up_Bv!T25+s_MLF_potato)*s_IFPT_far_adj*s_CF_potato,".")</f>
        <v>37914.59375</v>
      </c>
      <c r="CS25" s="10">
        <f>IFERROR(s_C*(up_Bv!U25+s_MLF_pumpkin)*s_IFPU_far_adj*s_CF_pumpkin,".")</f>
        <v>37914.59375</v>
      </c>
      <c r="CT25" s="10">
        <f>IFERROR(s_C*(up_Bv!V25+s_MLF_snap_bean)*s_IFSN_far_adj*s_CF_snap_bean,".")</f>
        <v>37914.59375</v>
      </c>
      <c r="CU25" s="10">
        <f>IFERROR(s_C*(up_Bv!W25+s_MLF_strawberry)*s_IFST_far_adj*s_CF_strawberry,".")</f>
        <v>37914.59375</v>
      </c>
      <c r="CV25" s="10">
        <f>IFERROR(s_C*(up_Bv!X25+s_MLF_tomato)*s_IFTO_far_adj*s_CF_tomato,".")</f>
        <v>37914.59375</v>
      </c>
      <c r="CW25" s="10">
        <f>IFERROR(s_C*(up_Bv!Y25+s_MLF_rice)*s_IFRI_far_adj*s_CF_rice,".")</f>
        <v>37914.59375</v>
      </c>
      <c r="CX25" s="10">
        <f>IFERROR(s_C*(up_Bv!Z25+s_MLF_cereal)*s_IFCG_far_adj*s_CF_cereal,".")</f>
        <v>37914.59375</v>
      </c>
    </row>
    <row r="26" spans="1:102" ht="15" customHeight="1" x14ac:dyDescent="0.25">
      <c r="A26" s="31" t="s">
        <v>24</v>
      </c>
      <c r="B26" s="3" t="s">
        <v>1059</v>
      </c>
      <c r="C26" s="73">
        <f t="shared" si="1"/>
        <v>4.3958447178843029E-5</v>
      </c>
      <c r="D26" s="73">
        <f>IFERROR((up_dir!D26/(up_Bv!C26+s_MLF_apple)),".")</f>
        <v>1.3187534153652909E-4</v>
      </c>
      <c r="E26" s="73">
        <f>IFERROR((up_dir!E26/(up_Bv!D26+s_MLF_asparagus)),".")</f>
        <v>1.3187534153652909E-4</v>
      </c>
      <c r="F26" s="73">
        <f>IFERROR((up_dir!F26/(up_Bv!E26+s_MLF_beet)),".")</f>
        <v>1.3187534153652909E-4</v>
      </c>
      <c r="G26" s="73">
        <f>IFERROR((up_dir!G26/(up_Bv!F26+s_MLF_berries)),".")</f>
        <v>1.3187534153652909E-4</v>
      </c>
      <c r="H26" s="73">
        <f>IFERROR((up_dir!H26/(up_Bv!G26+s_MLF_broccoli)),".")</f>
        <v>1.3187534153652909E-4</v>
      </c>
      <c r="I26" s="73">
        <f>IFERROR((up_dir!I26/(up_Bv!H26+s_MLF_cabbage)),".")</f>
        <v>1.3187534153652909E-4</v>
      </c>
      <c r="J26" s="73">
        <f>IFERROR((up_dir!J26/(up_Bv!I26+s_MLF_carrot)),".")</f>
        <v>1.3187534153652909E-4</v>
      </c>
      <c r="K26" s="73">
        <f>IFERROR((up_dir!K26/(up_Bv!J26+s_MLF_citrus)),".")</f>
        <v>1.3187534153652909E-4</v>
      </c>
      <c r="L26" s="73">
        <f>IFERROR((up_dir!L26/(up_Bv!K26+s_MLF_corn)),".")</f>
        <v>1.3187534153652909E-4</v>
      </c>
      <c r="M26" s="73">
        <f>IFERROR((up_dir!M26/(up_Bv!L26+s_MLF_cucumber)),".")</f>
        <v>1.3187534153652909E-4</v>
      </c>
      <c r="N26" s="73">
        <f>IFERROR((up_dir!N26/(up_Bv!M26+s_MLF_lettuce)),".")</f>
        <v>1.3187534153652909E-4</v>
      </c>
      <c r="O26" s="73">
        <f>IFERROR((up_dir!O26/(up_Bv!N26+s_MLF_lima_bean)),".")</f>
        <v>1.3187534153652909E-4</v>
      </c>
      <c r="P26" s="73">
        <f>IFERROR((up_dir!P26/(up_Bv!O26+s_MLF_okra)),".")</f>
        <v>1.3187534153652909E-4</v>
      </c>
      <c r="Q26" s="73">
        <f>IFERROR((up_dir!Q26/(up_Bv!P26+s_MLF_onion)),".")</f>
        <v>1.3187534153652909E-4</v>
      </c>
      <c r="R26" s="73">
        <f>IFERROR((up_dir!R26/(up_Bv!Q26+s_MLF_peach)),".")</f>
        <v>1.3187534153652909E-4</v>
      </c>
      <c r="S26" s="73">
        <f>IFERROR((up_dir!S26/(up_Bv!R26+s_MLF_pear)),".")</f>
        <v>1.3187534153652909E-4</v>
      </c>
      <c r="T26" s="73">
        <f>IFERROR((up_dir!T26/(up_Bv!S26+s_MLF_peas)),".")</f>
        <v>1.3187534153652909E-4</v>
      </c>
      <c r="U26" s="73">
        <f>IFERROR((up_dir!U26/(up_Bv!T26+s_MLF_potato)),".")</f>
        <v>1.3187534153652909E-4</v>
      </c>
      <c r="V26" s="73">
        <f>IFERROR((up_dir!V26/(up_Bv!U26+s_MLF_pumpkin)),".")</f>
        <v>1.3187534153652909E-4</v>
      </c>
      <c r="W26" s="73">
        <f>IFERROR((up_dir!W26/(up_Bv!V26+s_MLF_snap_bean)),".")</f>
        <v>1.3187534153652909E-4</v>
      </c>
      <c r="X26" s="73">
        <f>IFERROR((up_dir!X26/(up_Bv!W26+s_MLF_strawberry)),".")</f>
        <v>1.3187534153652909E-4</v>
      </c>
      <c r="Y26" s="73">
        <f>IFERROR((up_dir!Y26/(up_Bv!X26+s_MLF_tomato)),".")</f>
        <v>1.3187534153652909E-4</v>
      </c>
      <c r="Z26" s="73">
        <f>IFERROR((up_dir!Z26/(up_Bv!Y26+s_MLF_rice)),".")</f>
        <v>1.3187534153652909E-4</v>
      </c>
      <c r="AA26" s="73">
        <f>IFERROR((up_dir!AA26/(up_Bv!Z26+s_MLF_cereal)),".")</f>
        <v>1.3187534153652909E-4</v>
      </c>
      <c r="AB26" s="10">
        <f t="shared" si="4"/>
        <v>113743.78125</v>
      </c>
      <c r="AC26" s="10">
        <f>s_C*(up_Bv!C26+s_MLF_apple)*s_IFAP_res_adj*s_CF_apple</f>
        <v>37914.59375</v>
      </c>
      <c r="AD26" s="10">
        <f>s_C*(up_Bv!D26+s_MLF_asparagus)*s_IFAS_res_adj*s_CF_asparagus</f>
        <v>37914.59375</v>
      </c>
      <c r="AE26" s="10">
        <f>s_C*(up_Bv!E26+s_MLF_beet)*s_IFBT_res_adj*s_CF_beet</f>
        <v>37914.59375</v>
      </c>
      <c r="AF26" s="10">
        <f>s_C*(up_Bv!F26+s_MLF_berries)*s_IFBE_res_adj*s_CF_berries</f>
        <v>37914.59375</v>
      </c>
      <c r="AG26" s="10">
        <f>s_C*(up_Bv!G26+s_MLF_broccoli)*s_IFBR_res_adj*s_CF_broccoli</f>
        <v>37914.59375</v>
      </c>
      <c r="AH26" s="10">
        <f>s_C*(up_Bv!H26+s_MLF_cabbage)*s_IFCB_res_adj*s_CF_cabbage</f>
        <v>37914.59375</v>
      </c>
      <c r="AI26" s="10">
        <f>s_C*(up_Bv!I26+s_MLF_carrot)*s_IFCR_res_adj*s_CF_carrot</f>
        <v>37914.59375</v>
      </c>
      <c r="AJ26" s="10">
        <f>s_C*(up_Bv!J26+s_MLF_citrus)*s_IFCI_res_adj*s_CF_citrus</f>
        <v>37914.59375</v>
      </c>
      <c r="AK26" s="10">
        <f>s_C*(up_Bv!K26+s_MLF_corn)*s_IFCO_res_adj*s_CF_corn</f>
        <v>37914.59375</v>
      </c>
      <c r="AL26" s="10">
        <f>s_C*(up_Bv!L26+s_MLF_cucumber)*s_IFCU_res_adj*s_CF_cucumber</f>
        <v>37914.59375</v>
      </c>
      <c r="AM26" s="10">
        <f>s_C*(up_Bv!M26+s_MLF_lettuce)*s_IFLE_res_adj*s_CF_lettuce</f>
        <v>37914.59375</v>
      </c>
      <c r="AN26" s="10">
        <f>s_C*(up_Bv!N26+s_MLF_lima_bean)*s_IFLI_res_adj*s_CF_lima_bean</f>
        <v>37914.59375</v>
      </c>
      <c r="AO26" s="10">
        <f>s_C*(up_Bv!O26+s_MLF_okra)*s_IFOK_res_adj*s_CF_okra</f>
        <v>37914.59375</v>
      </c>
      <c r="AP26" s="10">
        <f>s_C*(up_Bv!P26+s_MLF_onion)*s_IFON_res_adj*s_CF_onion</f>
        <v>37914.59375</v>
      </c>
      <c r="AQ26" s="10">
        <f>s_C*(up_Bv!Q26+s_MLF_peach)*s_IFPC_res_adj*s_CF_peach</f>
        <v>37914.59375</v>
      </c>
      <c r="AR26" s="10">
        <f>s_C*(up_Bv!R26+s_MLF_pear)*s_IFPR_res_adj*s_CF_pear</f>
        <v>37914.59375</v>
      </c>
      <c r="AS26" s="10">
        <f>s_C*(up_Bv!S26+s_MLF_peas)*s_IFPE_res_adj*s_CF_peas</f>
        <v>37914.59375</v>
      </c>
      <c r="AT26" s="10">
        <f>s_C*(up_Bv!T26+s_MLF_potato)*s_IFPT_res_adj*s_CF_potato</f>
        <v>37914.59375</v>
      </c>
      <c r="AU26" s="10">
        <f>s_C*(up_Bv!U26+s_MLF_pumpkin)*s_IFPU_res_adj*s_CF_pumpkin</f>
        <v>37914.59375</v>
      </c>
      <c r="AV26" s="10">
        <f>s_C*(up_Bv!V26+s_MLF_snap_bean)*s_IFSN_res_adj*s_CF_snap_bean</f>
        <v>37914.59375</v>
      </c>
      <c r="AW26" s="10">
        <f>s_C*(up_Bv!W26+s_MLF_strawberry)*s_IFST_res_adj*s_CF_strawberry</f>
        <v>37914.59375</v>
      </c>
      <c r="AX26" s="10">
        <f>s_C*(up_Bv!X26+s_MLF_tomato)*s_IFTO_res_adj*s_CF_tomato</f>
        <v>37914.59375</v>
      </c>
      <c r="AY26" s="10">
        <f>s_C*(up_Bv!Y26+s_MLF_rice)*s_IFRI_res_adj*s_CF_rice</f>
        <v>37914.59375</v>
      </c>
      <c r="AZ26" s="10">
        <f>s_C*(up_Bv!Z26+s_MLF_cereal)*s_IFCG_res_adj*s_CF_cereal</f>
        <v>37914.59375</v>
      </c>
      <c r="BA26" s="2">
        <f t="shared" si="2"/>
        <v>4.3958447178843029E-5</v>
      </c>
      <c r="BB26" s="2">
        <f>IFERROR((up_dir!AC26/(up_Bv!C26+s_MLF_apple)),".")</f>
        <v>1.3187534153652909E-4</v>
      </c>
      <c r="BC26" s="2">
        <f>IFERROR((up_dir!AD26/(up_Bv!D26+s_MLF_asparagus)),".")</f>
        <v>1.3187534153652909E-4</v>
      </c>
      <c r="BD26" s="2">
        <f>IFERROR((up_dir!AE26/(up_Bv!E26+s_MLF_beet)),".")</f>
        <v>1.3187534153652909E-4</v>
      </c>
      <c r="BE26" s="2">
        <f>IFERROR((up_dir!AF26/(up_Bv!F26+s_MLF_berries)),".")</f>
        <v>1.3187534153652909E-4</v>
      </c>
      <c r="BF26" s="2">
        <f>IFERROR((up_dir!AG26/(up_Bv!G26+s_MLF_broccoli)),".")</f>
        <v>1.3187534153652909E-4</v>
      </c>
      <c r="BG26" s="2">
        <f>IFERROR((up_dir!AH26/(up_Bv!H26+s_MLF_cabbage)),".")</f>
        <v>1.3187534153652909E-4</v>
      </c>
      <c r="BH26" s="2">
        <f>IFERROR((up_dir!AI26/(up_Bv!I26+s_MLF_carrot)),".")</f>
        <v>1.3187534153652909E-4</v>
      </c>
      <c r="BI26" s="2">
        <f>IFERROR((up_dir!AJ26/(up_Bv!J26+s_MLF_citrus)),".")</f>
        <v>1.3187534153652909E-4</v>
      </c>
      <c r="BJ26" s="2">
        <f>IFERROR((up_dir!AK26/(up_Bv!K26+s_MLF_corn)),".")</f>
        <v>1.3187534153652909E-4</v>
      </c>
      <c r="BK26" s="2">
        <f>IFERROR((up_dir!AL26/(up_Bv!L26+s_MLF_cucumber)),".")</f>
        <v>1.3187534153652909E-4</v>
      </c>
      <c r="BL26" s="2">
        <f>IFERROR((up_dir!AM26/(up_Bv!M26+s_MLF_lettuce)),".")</f>
        <v>1.3187534153652909E-4</v>
      </c>
      <c r="BM26" s="2">
        <f>IFERROR((up_dir!AN26/(up_Bv!N26+s_MLF_lima_bean)),".")</f>
        <v>1.3187534153652909E-4</v>
      </c>
      <c r="BN26" s="2">
        <f>IFERROR((up_dir!AO26/(up_Bv!O26+s_MLF_okra)),".")</f>
        <v>1.3187534153652909E-4</v>
      </c>
      <c r="BO26" s="2">
        <f>IFERROR((up_dir!AP26/(up_Bv!P26+s_MLF_onion)),".")</f>
        <v>1.3187534153652909E-4</v>
      </c>
      <c r="BP26" s="2">
        <f>IFERROR((up_dir!AQ26/(up_Bv!Q26+s_MLF_peach)),".")</f>
        <v>1.3187534153652909E-4</v>
      </c>
      <c r="BQ26" s="2">
        <f>IFERROR((up_dir!AR26/(up_Bv!R26+s_MLF_pear)),".")</f>
        <v>1.3187534153652909E-4</v>
      </c>
      <c r="BR26" s="2">
        <f>IFERROR((up_dir!AS26/(up_Bv!S26+s_MLF_peas)),".")</f>
        <v>1.3187534153652909E-4</v>
      </c>
      <c r="BS26" s="2">
        <f>IFERROR((up_dir!AT26/(up_Bv!T26+s_MLF_potato)),".")</f>
        <v>1.3187534153652909E-4</v>
      </c>
      <c r="BT26" s="2">
        <f>IFERROR((up_dir!AU26/(up_Bv!U26+s_MLF_pumpkin)),".")</f>
        <v>1.3187534153652909E-4</v>
      </c>
      <c r="BU26" s="2">
        <f>IFERROR((up_dir!AV26/(up_Bv!V26+s_MLF_snap_bean)),".")</f>
        <v>1.3187534153652909E-4</v>
      </c>
      <c r="BV26" s="2">
        <f>IFERROR((up_dir!AW26/(up_Bv!W26+s_MLF_strawberry)),".")</f>
        <v>1.3187534153652909E-4</v>
      </c>
      <c r="BW26" s="2">
        <f>IFERROR((up_dir!AX26/(up_Bv!X26+s_MLF_tomato)),".")</f>
        <v>1.3187534153652909E-4</v>
      </c>
      <c r="BX26" s="2">
        <f>IFERROR((up_dir!AY26/(up_Bv!Y26+s_MLF_rice)),".")</f>
        <v>1.3187534153652909E-4</v>
      </c>
      <c r="BY26" s="2">
        <f>IFERROR((up_dir!AZ26/(up_Bv!Z26+s_MLF_cereal)),".")</f>
        <v>1.3187534153652909E-4</v>
      </c>
      <c r="BZ26" s="10">
        <f t="shared" si="3"/>
        <v>113743.78125</v>
      </c>
      <c r="CA26" s="10">
        <f>IFERROR(s_C*(up_Bv!C26+s_MLF_apple)*s_IFAP_far_adj*s_CF_apple,".")</f>
        <v>37914.59375</v>
      </c>
      <c r="CB26" s="10">
        <f>IFERROR(s_C*(up_Bv!D26+s_MLF_asparagus)*s_IFAS_far_adj*s_CF_asparagus,".")</f>
        <v>37914.59375</v>
      </c>
      <c r="CC26" s="10">
        <f>IFERROR(s_C*(up_Bv!E26+s_MLF_beet)*s_IFBT_far_adj*s_CF_beet,".")</f>
        <v>37914.59375</v>
      </c>
      <c r="CD26" s="10">
        <f>IFERROR(s_C*(up_Bv!F26+s_MLF_berries)*s_IFBR_far_adj*s_CF_berries,".")</f>
        <v>37914.59375</v>
      </c>
      <c r="CE26" s="10">
        <f>IFERROR(s_C*(up_Bv!G26+s_MLF_broccoli)*s_IFBR_far_adj*s_CF_broccoli,".")</f>
        <v>37914.59375</v>
      </c>
      <c r="CF26" s="10">
        <f>IFERROR(s_C*(up_Bv!H26+s_MLF_cabbage)*s_IFCB_far_adj*s_CF_cabbage,".")</f>
        <v>37914.59375</v>
      </c>
      <c r="CG26" s="10">
        <f>IFERROR(s_C*(up_Bv!I26+s_MLF_carrot)*s_IFCR_far_adj*s_CF_carrot,".")</f>
        <v>37914.59375</v>
      </c>
      <c r="CH26" s="10">
        <f>IFERROR(s_C*(up_Bv!J26+s_MLF_citrus)*s_IFCI_far_adj*s_CF_citrus,".")</f>
        <v>37914.59375</v>
      </c>
      <c r="CI26" s="10">
        <f>IFERROR(s_C*(up_Bv!K26+s_MLF_corn)*s_IFCO_far_adj*s_CF_corn,".")</f>
        <v>37914.59375</v>
      </c>
      <c r="CJ26" s="10">
        <f>IFERROR(s_C*(up_Bv!L26+s_MLF_cucumber)*s_IFCU_far_adj*s_CF_cucumber,".")</f>
        <v>37914.59375</v>
      </c>
      <c r="CK26" s="10">
        <f>IFERROR(s_C*(up_Bv!M26+s_MLF_lettuce)*s_IFLE_far_adj*s_CF_lettuce,".")</f>
        <v>37914.59375</v>
      </c>
      <c r="CL26" s="10">
        <f>IFERROR(s_C*(up_Bv!N26+s_MLF_lima_bean)*s_IFLI_far_adj*s_CF_lima_bean,".")</f>
        <v>37914.59375</v>
      </c>
      <c r="CM26" s="10">
        <f>IFERROR(s_C*(up_Bv!O26+s_MLF_okra)*s_IFOK_far_adj*s_CF_okra,".")</f>
        <v>37914.59375</v>
      </c>
      <c r="CN26" s="10">
        <f>IFERROR(s_C*(up_Bv!P26+s_MLF_onion)*s_IFON_far_adj*s_CF_onion,".")</f>
        <v>37914.59375</v>
      </c>
      <c r="CO26" s="10">
        <f>IFERROR(s_C*(up_Bv!Q26+s_MLF_peach)*s_IFPC_far_adj*s_CF_peach,".")</f>
        <v>37914.59375</v>
      </c>
      <c r="CP26" s="10">
        <f>IFERROR(s_C*(up_Bv!R26+s_MLF_pear)*s_IFPR_far_adj*s_CF_pear,".")</f>
        <v>37914.59375</v>
      </c>
      <c r="CQ26" s="10">
        <f>IFERROR(s_C*(up_Bv!S26+s_MLF_peas)*s_IFPE_far_adj*s_CF_peas,".")</f>
        <v>37914.59375</v>
      </c>
      <c r="CR26" s="10">
        <f>IFERROR(s_C*(up_Bv!T26+s_MLF_potato)*s_IFPT_far_adj*s_CF_potato,".")</f>
        <v>37914.59375</v>
      </c>
      <c r="CS26" s="10">
        <f>IFERROR(s_C*(up_Bv!U26+s_MLF_pumpkin)*s_IFPU_far_adj*s_CF_pumpkin,".")</f>
        <v>37914.59375</v>
      </c>
      <c r="CT26" s="10">
        <f>IFERROR(s_C*(up_Bv!V26+s_MLF_snap_bean)*s_IFSN_far_adj*s_CF_snap_bean,".")</f>
        <v>37914.59375</v>
      </c>
      <c r="CU26" s="10">
        <f>IFERROR(s_C*(up_Bv!W26+s_MLF_strawberry)*s_IFST_far_adj*s_CF_strawberry,".")</f>
        <v>37914.59375</v>
      </c>
      <c r="CV26" s="10">
        <f>IFERROR(s_C*(up_Bv!X26+s_MLF_tomato)*s_IFTO_far_adj*s_CF_tomato,".")</f>
        <v>37914.59375</v>
      </c>
      <c r="CW26" s="10">
        <f>IFERROR(s_C*(up_Bv!Y26+s_MLF_rice)*s_IFRI_far_adj*s_CF_rice,".")</f>
        <v>37914.59375</v>
      </c>
      <c r="CX26" s="10">
        <f>IFERROR(s_C*(up_Bv!Z26+s_MLF_cereal)*s_IFCG_far_adj*s_CF_cereal,".")</f>
        <v>37914.59375</v>
      </c>
    </row>
    <row r="27" spans="1:102" ht="15" customHeight="1" x14ac:dyDescent="0.25">
      <c r="A27" s="31" t="s">
        <v>25</v>
      </c>
      <c r="B27" s="3" t="s">
        <v>1059</v>
      </c>
      <c r="C27" s="73">
        <f t="shared" si="1"/>
        <v>4.3958447178843029E-5</v>
      </c>
      <c r="D27" s="73">
        <f>IFERROR((up_dir!D27/(up_Bv!C27+s_MLF_apple)),".")</f>
        <v>1.3187534153652909E-4</v>
      </c>
      <c r="E27" s="73">
        <f>IFERROR((up_dir!E27/(up_Bv!D27+s_MLF_asparagus)),".")</f>
        <v>1.3187534153652909E-4</v>
      </c>
      <c r="F27" s="73">
        <f>IFERROR((up_dir!F27/(up_Bv!E27+s_MLF_beet)),".")</f>
        <v>1.3187534153652909E-4</v>
      </c>
      <c r="G27" s="73">
        <f>IFERROR((up_dir!G27/(up_Bv!F27+s_MLF_berries)),".")</f>
        <v>1.3187534153652909E-4</v>
      </c>
      <c r="H27" s="73">
        <f>IFERROR((up_dir!H27/(up_Bv!G27+s_MLF_broccoli)),".")</f>
        <v>1.3187534153652909E-4</v>
      </c>
      <c r="I27" s="73">
        <f>IFERROR((up_dir!I27/(up_Bv!H27+s_MLF_cabbage)),".")</f>
        <v>1.3187534153652909E-4</v>
      </c>
      <c r="J27" s="73">
        <f>IFERROR((up_dir!J27/(up_Bv!I27+s_MLF_carrot)),".")</f>
        <v>1.3187534153652909E-4</v>
      </c>
      <c r="K27" s="73">
        <f>IFERROR((up_dir!K27/(up_Bv!J27+s_MLF_citrus)),".")</f>
        <v>1.3187534153652909E-4</v>
      </c>
      <c r="L27" s="73">
        <f>IFERROR((up_dir!L27/(up_Bv!K27+s_MLF_corn)),".")</f>
        <v>1.3187534153652909E-4</v>
      </c>
      <c r="M27" s="73">
        <f>IFERROR((up_dir!M27/(up_Bv!L27+s_MLF_cucumber)),".")</f>
        <v>1.3187534153652909E-4</v>
      </c>
      <c r="N27" s="73">
        <f>IFERROR((up_dir!N27/(up_Bv!M27+s_MLF_lettuce)),".")</f>
        <v>1.3187534153652909E-4</v>
      </c>
      <c r="O27" s="73">
        <f>IFERROR((up_dir!O27/(up_Bv!N27+s_MLF_lima_bean)),".")</f>
        <v>1.3187534153652909E-4</v>
      </c>
      <c r="P27" s="73">
        <f>IFERROR((up_dir!P27/(up_Bv!O27+s_MLF_okra)),".")</f>
        <v>1.3187534153652909E-4</v>
      </c>
      <c r="Q27" s="73">
        <f>IFERROR((up_dir!Q27/(up_Bv!P27+s_MLF_onion)),".")</f>
        <v>1.3187534153652909E-4</v>
      </c>
      <c r="R27" s="73">
        <f>IFERROR((up_dir!R27/(up_Bv!Q27+s_MLF_peach)),".")</f>
        <v>1.3187534153652909E-4</v>
      </c>
      <c r="S27" s="73">
        <f>IFERROR((up_dir!S27/(up_Bv!R27+s_MLF_pear)),".")</f>
        <v>1.3187534153652909E-4</v>
      </c>
      <c r="T27" s="73">
        <f>IFERROR((up_dir!T27/(up_Bv!S27+s_MLF_peas)),".")</f>
        <v>1.3187534153652909E-4</v>
      </c>
      <c r="U27" s="73">
        <f>IFERROR((up_dir!U27/(up_Bv!T27+s_MLF_potato)),".")</f>
        <v>1.3187534153652909E-4</v>
      </c>
      <c r="V27" s="73">
        <f>IFERROR((up_dir!V27/(up_Bv!U27+s_MLF_pumpkin)),".")</f>
        <v>1.3187534153652909E-4</v>
      </c>
      <c r="W27" s="73">
        <f>IFERROR((up_dir!W27/(up_Bv!V27+s_MLF_snap_bean)),".")</f>
        <v>1.3187534153652909E-4</v>
      </c>
      <c r="X27" s="73">
        <f>IFERROR((up_dir!X27/(up_Bv!W27+s_MLF_strawberry)),".")</f>
        <v>1.3187534153652909E-4</v>
      </c>
      <c r="Y27" s="73">
        <f>IFERROR((up_dir!Y27/(up_Bv!X27+s_MLF_tomato)),".")</f>
        <v>1.3187534153652909E-4</v>
      </c>
      <c r="Z27" s="73">
        <f>IFERROR((up_dir!Z27/(up_Bv!Y27+s_MLF_rice)),".")</f>
        <v>1.3187534153652909E-4</v>
      </c>
      <c r="AA27" s="73">
        <f>IFERROR((up_dir!AA27/(up_Bv!Z27+s_MLF_cereal)),".")</f>
        <v>1.3187534153652909E-4</v>
      </c>
      <c r="AB27" s="10">
        <f t="shared" si="4"/>
        <v>113743.78125</v>
      </c>
      <c r="AC27" s="10">
        <f>s_C*(up_Bv!C27+s_MLF_apple)*s_IFAP_res_adj*s_CF_apple</f>
        <v>37914.59375</v>
      </c>
      <c r="AD27" s="10">
        <f>s_C*(up_Bv!D27+s_MLF_asparagus)*s_IFAS_res_adj*s_CF_asparagus</f>
        <v>37914.59375</v>
      </c>
      <c r="AE27" s="10">
        <f>s_C*(up_Bv!E27+s_MLF_beet)*s_IFBT_res_adj*s_CF_beet</f>
        <v>37914.59375</v>
      </c>
      <c r="AF27" s="10">
        <f>s_C*(up_Bv!F27+s_MLF_berries)*s_IFBE_res_adj*s_CF_berries</f>
        <v>37914.59375</v>
      </c>
      <c r="AG27" s="10">
        <f>s_C*(up_Bv!G27+s_MLF_broccoli)*s_IFBR_res_adj*s_CF_broccoli</f>
        <v>37914.59375</v>
      </c>
      <c r="AH27" s="10">
        <f>s_C*(up_Bv!H27+s_MLF_cabbage)*s_IFCB_res_adj*s_CF_cabbage</f>
        <v>37914.59375</v>
      </c>
      <c r="AI27" s="10">
        <f>s_C*(up_Bv!I27+s_MLF_carrot)*s_IFCR_res_adj*s_CF_carrot</f>
        <v>37914.59375</v>
      </c>
      <c r="AJ27" s="10">
        <f>s_C*(up_Bv!J27+s_MLF_citrus)*s_IFCI_res_adj*s_CF_citrus</f>
        <v>37914.59375</v>
      </c>
      <c r="AK27" s="10">
        <f>s_C*(up_Bv!K27+s_MLF_corn)*s_IFCO_res_adj*s_CF_corn</f>
        <v>37914.59375</v>
      </c>
      <c r="AL27" s="10">
        <f>s_C*(up_Bv!L27+s_MLF_cucumber)*s_IFCU_res_adj*s_CF_cucumber</f>
        <v>37914.59375</v>
      </c>
      <c r="AM27" s="10">
        <f>s_C*(up_Bv!M27+s_MLF_lettuce)*s_IFLE_res_adj*s_CF_lettuce</f>
        <v>37914.59375</v>
      </c>
      <c r="AN27" s="10">
        <f>s_C*(up_Bv!N27+s_MLF_lima_bean)*s_IFLI_res_adj*s_CF_lima_bean</f>
        <v>37914.59375</v>
      </c>
      <c r="AO27" s="10">
        <f>s_C*(up_Bv!O27+s_MLF_okra)*s_IFOK_res_adj*s_CF_okra</f>
        <v>37914.59375</v>
      </c>
      <c r="AP27" s="10">
        <f>s_C*(up_Bv!P27+s_MLF_onion)*s_IFON_res_adj*s_CF_onion</f>
        <v>37914.59375</v>
      </c>
      <c r="AQ27" s="10">
        <f>s_C*(up_Bv!Q27+s_MLF_peach)*s_IFPC_res_adj*s_CF_peach</f>
        <v>37914.59375</v>
      </c>
      <c r="AR27" s="10">
        <f>s_C*(up_Bv!R27+s_MLF_pear)*s_IFPR_res_adj*s_CF_pear</f>
        <v>37914.59375</v>
      </c>
      <c r="AS27" s="10">
        <f>s_C*(up_Bv!S27+s_MLF_peas)*s_IFPE_res_adj*s_CF_peas</f>
        <v>37914.59375</v>
      </c>
      <c r="AT27" s="10">
        <f>s_C*(up_Bv!T27+s_MLF_potato)*s_IFPT_res_adj*s_CF_potato</f>
        <v>37914.59375</v>
      </c>
      <c r="AU27" s="10">
        <f>s_C*(up_Bv!U27+s_MLF_pumpkin)*s_IFPU_res_adj*s_CF_pumpkin</f>
        <v>37914.59375</v>
      </c>
      <c r="AV27" s="10">
        <f>s_C*(up_Bv!V27+s_MLF_snap_bean)*s_IFSN_res_adj*s_CF_snap_bean</f>
        <v>37914.59375</v>
      </c>
      <c r="AW27" s="10">
        <f>s_C*(up_Bv!W27+s_MLF_strawberry)*s_IFST_res_adj*s_CF_strawberry</f>
        <v>37914.59375</v>
      </c>
      <c r="AX27" s="10">
        <f>s_C*(up_Bv!X27+s_MLF_tomato)*s_IFTO_res_adj*s_CF_tomato</f>
        <v>37914.59375</v>
      </c>
      <c r="AY27" s="10">
        <f>s_C*(up_Bv!Y27+s_MLF_rice)*s_IFRI_res_adj*s_CF_rice</f>
        <v>37914.59375</v>
      </c>
      <c r="AZ27" s="10">
        <f>s_C*(up_Bv!Z27+s_MLF_cereal)*s_IFCG_res_adj*s_CF_cereal</f>
        <v>37914.59375</v>
      </c>
      <c r="BA27" s="2">
        <f t="shared" si="2"/>
        <v>4.3958447178843029E-5</v>
      </c>
      <c r="BB27" s="2">
        <f>IFERROR((up_dir!AC27/(up_Bv!C27+s_MLF_apple)),".")</f>
        <v>1.3187534153652909E-4</v>
      </c>
      <c r="BC27" s="2">
        <f>IFERROR((up_dir!AD27/(up_Bv!D27+s_MLF_asparagus)),".")</f>
        <v>1.3187534153652909E-4</v>
      </c>
      <c r="BD27" s="2">
        <f>IFERROR((up_dir!AE27/(up_Bv!E27+s_MLF_beet)),".")</f>
        <v>1.3187534153652909E-4</v>
      </c>
      <c r="BE27" s="2">
        <f>IFERROR((up_dir!AF27/(up_Bv!F27+s_MLF_berries)),".")</f>
        <v>1.3187534153652909E-4</v>
      </c>
      <c r="BF27" s="2">
        <f>IFERROR((up_dir!AG27/(up_Bv!G27+s_MLF_broccoli)),".")</f>
        <v>1.3187534153652909E-4</v>
      </c>
      <c r="BG27" s="2">
        <f>IFERROR((up_dir!AH27/(up_Bv!H27+s_MLF_cabbage)),".")</f>
        <v>1.3187534153652909E-4</v>
      </c>
      <c r="BH27" s="2">
        <f>IFERROR((up_dir!AI27/(up_Bv!I27+s_MLF_carrot)),".")</f>
        <v>1.3187534153652909E-4</v>
      </c>
      <c r="BI27" s="2">
        <f>IFERROR((up_dir!AJ27/(up_Bv!J27+s_MLF_citrus)),".")</f>
        <v>1.3187534153652909E-4</v>
      </c>
      <c r="BJ27" s="2">
        <f>IFERROR((up_dir!AK27/(up_Bv!K27+s_MLF_corn)),".")</f>
        <v>1.3187534153652909E-4</v>
      </c>
      <c r="BK27" s="2">
        <f>IFERROR((up_dir!AL27/(up_Bv!L27+s_MLF_cucumber)),".")</f>
        <v>1.3187534153652909E-4</v>
      </c>
      <c r="BL27" s="2">
        <f>IFERROR((up_dir!AM27/(up_Bv!M27+s_MLF_lettuce)),".")</f>
        <v>1.3187534153652909E-4</v>
      </c>
      <c r="BM27" s="2">
        <f>IFERROR((up_dir!AN27/(up_Bv!N27+s_MLF_lima_bean)),".")</f>
        <v>1.3187534153652909E-4</v>
      </c>
      <c r="BN27" s="2">
        <f>IFERROR((up_dir!AO27/(up_Bv!O27+s_MLF_okra)),".")</f>
        <v>1.3187534153652909E-4</v>
      </c>
      <c r="BO27" s="2">
        <f>IFERROR((up_dir!AP27/(up_Bv!P27+s_MLF_onion)),".")</f>
        <v>1.3187534153652909E-4</v>
      </c>
      <c r="BP27" s="2">
        <f>IFERROR((up_dir!AQ27/(up_Bv!Q27+s_MLF_peach)),".")</f>
        <v>1.3187534153652909E-4</v>
      </c>
      <c r="BQ27" s="2">
        <f>IFERROR((up_dir!AR27/(up_Bv!R27+s_MLF_pear)),".")</f>
        <v>1.3187534153652909E-4</v>
      </c>
      <c r="BR27" s="2">
        <f>IFERROR((up_dir!AS27/(up_Bv!S27+s_MLF_peas)),".")</f>
        <v>1.3187534153652909E-4</v>
      </c>
      <c r="BS27" s="2">
        <f>IFERROR((up_dir!AT27/(up_Bv!T27+s_MLF_potato)),".")</f>
        <v>1.3187534153652909E-4</v>
      </c>
      <c r="BT27" s="2">
        <f>IFERROR((up_dir!AU27/(up_Bv!U27+s_MLF_pumpkin)),".")</f>
        <v>1.3187534153652909E-4</v>
      </c>
      <c r="BU27" s="2">
        <f>IFERROR((up_dir!AV27/(up_Bv!V27+s_MLF_snap_bean)),".")</f>
        <v>1.3187534153652909E-4</v>
      </c>
      <c r="BV27" s="2">
        <f>IFERROR((up_dir!AW27/(up_Bv!W27+s_MLF_strawberry)),".")</f>
        <v>1.3187534153652909E-4</v>
      </c>
      <c r="BW27" s="2">
        <f>IFERROR((up_dir!AX27/(up_Bv!X27+s_MLF_tomato)),".")</f>
        <v>1.3187534153652909E-4</v>
      </c>
      <c r="BX27" s="2">
        <f>IFERROR((up_dir!AY27/(up_Bv!Y27+s_MLF_rice)),".")</f>
        <v>1.3187534153652909E-4</v>
      </c>
      <c r="BY27" s="2">
        <f>IFERROR((up_dir!AZ27/(up_Bv!Z27+s_MLF_cereal)),".")</f>
        <v>1.3187534153652909E-4</v>
      </c>
      <c r="BZ27" s="10">
        <f t="shared" si="3"/>
        <v>113743.78125</v>
      </c>
      <c r="CA27" s="10">
        <f>IFERROR(s_C*(up_Bv!C27+s_MLF_apple)*s_IFAP_far_adj*s_CF_apple,".")</f>
        <v>37914.59375</v>
      </c>
      <c r="CB27" s="10">
        <f>IFERROR(s_C*(up_Bv!D27+s_MLF_asparagus)*s_IFAS_far_adj*s_CF_asparagus,".")</f>
        <v>37914.59375</v>
      </c>
      <c r="CC27" s="10">
        <f>IFERROR(s_C*(up_Bv!E27+s_MLF_beet)*s_IFBT_far_adj*s_CF_beet,".")</f>
        <v>37914.59375</v>
      </c>
      <c r="CD27" s="10">
        <f>IFERROR(s_C*(up_Bv!F27+s_MLF_berries)*s_IFBR_far_adj*s_CF_berries,".")</f>
        <v>37914.59375</v>
      </c>
      <c r="CE27" s="10">
        <f>IFERROR(s_C*(up_Bv!G27+s_MLF_broccoli)*s_IFBR_far_adj*s_CF_broccoli,".")</f>
        <v>37914.59375</v>
      </c>
      <c r="CF27" s="10">
        <f>IFERROR(s_C*(up_Bv!H27+s_MLF_cabbage)*s_IFCB_far_adj*s_CF_cabbage,".")</f>
        <v>37914.59375</v>
      </c>
      <c r="CG27" s="10">
        <f>IFERROR(s_C*(up_Bv!I27+s_MLF_carrot)*s_IFCR_far_adj*s_CF_carrot,".")</f>
        <v>37914.59375</v>
      </c>
      <c r="CH27" s="10">
        <f>IFERROR(s_C*(up_Bv!J27+s_MLF_citrus)*s_IFCI_far_adj*s_CF_citrus,".")</f>
        <v>37914.59375</v>
      </c>
      <c r="CI27" s="10">
        <f>IFERROR(s_C*(up_Bv!K27+s_MLF_corn)*s_IFCO_far_adj*s_CF_corn,".")</f>
        <v>37914.59375</v>
      </c>
      <c r="CJ27" s="10">
        <f>IFERROR(s_C*(up_Bv!L27+s_MLF_cucumber)*s_IFCU_far_adj*s_CF_cucumber,".")</f>
        <v>37914.59375</v>
      </c>
      <c r="CK27" s="10">
        <f>IFERROR(s_C*(up_Bv!M27+s_MLF_lettuce)*s_IFLE_far_adj*s_CF_lettuce,".")</f>
        <v>37914.59375</v>
      </c>
      <c r="CL27" s="10">
        <f>IFERROR(s_C*(up_Bv!N27+s_MLF_lima_bean)*s_IFLI_far_adj*s_CF_lima_bean,".")</f>
        <v>37914.59375</v>
      </c>
      <c r="CM27" s="10">
        <f>IFERROR(s_C*(up_Bv!O27+s_MLF_okra)*s_IFOK_far_adj*s_CF_okra,".")</f>
        <v>37914.59375</v>
      </c>
      <c r="CN27" s="10">
        <f>IFERROR(s_C*(up_Bv!P27+s_MLF_onion)*s_IFON_far_adj*s_CF_onion,".")</f>
        <v>37914.59375</v>
      </c>
      <c r="CO27" s="10">
        <f>IFERROR(s_C*(up_Bv!Q27+s_MLF_peach)*s_IFPC_far_adj*s_CF_peach,".")</f>
        <v>37914.59375</v>
      </c>
      <c r="CP27" s="10">
        <f>IFERROR(s_C*(up_Bv!R27+s_MLF_pear)*s_IFPR_far_adj*s_CF_pear,".")</f>
        <v>37914.59375</v>
      </c>
      <c r="CQ27" s="10">
        <f>IFERROR(s_C*(up_Bv!S27+s_MLF_peas)*s_IFPE_far_adj*s_CF_peas,".")</f>
        <v>37914.59375</v>
      </c>
      <c r="CR27" s="10">
        <f>IFERROR(s_C*(up_Bv!T27+s_MLF_potato)*s_IFPT_far_adj*s_CF_potato,".")</f>
        <v>37914.59375</v>
      </c>
      <c r="CS27" s="10">
        <f>IFERROR(s_C*(up_Bv!U27+s_MLF_pumpkin)*s_IFPU_far_adj*s_CF_pumpkin,".")</f>
        <v>37914.59375</v>
      </c>
      <c r="CT27" s="10">
        <f>IFERROR(s_C*(up_Bv!V27+s_MLF_snap_bean)*s_IFSN_far_adj*s_CF_snap_bean,".")</f>
        <v>37914.59375</v>
      </c>
      <c r="CU27" s="10">
        <f>IFERROR(s_C*(up_Bv!W27+s_MLF_strawberry)*s_IFST_far_adj*s_CF_strawberry,".")</f>
        <v>37914.59375</v>
      </c>
      <c r="CV27" s="10">
        <f>IFERROR(s_C*(up_Bv!X27+s_MLF_tomato)*s_IFTO_far_adj*s_CF_tomato,".")</f>
        <v>37914.59375</v>
      </c>
      <c r="CW27" s="10">
        <f>IFERROR(s_C*(up_Bv!Y27+s_MLF_rice)*s_IFRI_far_adj*s_CF_rice,".")</f>
        <v>37914.59375</v>
      </c>
      <c r="CX27" s="10">
        <f>IFERROR(s_C*(up_Bv!Z27+s_MLF_cereal)*s_IFCG_far_adj*s_CF_cereal,".")</f>
        <v>37914.59375</v>
      </c>
    </row>
    <row r="28" spans="1:102" ht="15" customHeight="1" x14ac:dyDescent="0.25">
      <c r="A28" s="31" t="s">
        <v>26</v>
      </c>
      <c r="B28" s="3" t="s">
        <v>1059</v>
      </c>
      <c r="C28" s="73">
        <f t="shared" si="1"/>
        <v>4.3958447178843029E-5</v>
      </c>
      <c r="D28" s="73">
        <f>IFERROR((up_dir!D28/(up_Bv!C28+s_MLF_apple)),".")</f>
        <v>1.3187534153652909E-4</v>
      </c>
      <c r="E28" s="73">
        <f>IFERROR((up_dir!E28/(up_Bv!D28+s_MLF_asparagus)),".")</f>
        <v>1.3187534153652909E-4</v>
      </c>
      <c r="F28" s="73">
        <f>IFERROR((up_dir!F28/(up_Bv!E28+s_MLF_beet)),".")</f>
        <v>1.3187534153652909E-4</v>
      </c>
      <c r="G28" s="73">
        <f>IFERROR((up_dir!G28/(up_Bv!F28+s_MLF_berries)),".")</f>
        <v>1.3187534153652909E-4</v>
      </c>
      <c r="H28" s="73">
        <f>IFERROR((up_dir!H28/(up_Bv!G28+s_MLF_broccoli)),".")</f>
        <v>1.3187534153652909E-4</v>
      </c>
      <c r="I28" s="73">
        <f>IFERROR((up_dir!I28/(up_Bv!H28+s_MLF_cabbage)),".")</f>
        <v>1.3187534153652909E-4</v>
      </c>
      <c r="J28" s="73">
        <f>IFERROR((up_dir!J28/(up_Bv!I28+s_MLF_carrot)),".")</f>
        <v>1.3187534153652909E-4</v>
      </c>
      <c r="K28" s="73">
        <f>IFERROR((up_dir!K28/(up_Bv!J28+s_MLF_citrus)),".")</f>
        <v>1.3187534153652909E-4</v>
      </c>
      <c r="L28" s="73">
        <f>IFERROR((up_dir!L28/(up_Bv!K28+s_MLF_corn)),".")</f>
        <v>1.3187534153652909E-4</v>
      </c>
      <c r="M28" s="73">
        <f>IFERROR((up_dir!M28/(up_Bv!L28+s_MLF_cucumber)),".")</f>
        <v>1.3187534153652909E-4</v>
      </c>
      <c r="N28" s="73">
        <f>IFERROR((up_dir!N28/(up_Bv!M28+s_MLF_lettuce)),".")</f>
        <v>1.3187534153652909E-4</v>
      </c>
      <c r="O28" s="73">
        <f>IFERROR((up_dir!O28/(up_Bv!N28+s_MLF_lima_bean)),".")</f>
        <v>1.3187534153652909E-4</v>
      </c>
      <c r="P28" s="73">
        <f>IFERROR((up_dir!P28/(up_Bv!O28+s_MLF_okra)),".")</f>
        <v>1.3187534153652909E-4</v>
      </c>
      <c r="Q28" s="73">
        <f>IFERROR((up_dir!Q28/(up_Bv!P28+s_MLF_onion)),".")</f>
        <v>1.3187534153652909E-4</v>
      </c>
      <c r="R28" s="73">
        <f>IFERROR((up_dir!R28/(up_Bv!Q28+s_MLF_peach)),".")</f>
        <v>1.3187534153652909E-4</v>
      </c>
      <c r="S28" s="73">
        <f>IFERROR((up_dir!S28/(up_Bv!R28+s_MLF_pear)),".")</f>
        <v>1.3187534153652909E-4</v>
      </c>
      <c r="T28" s="73">
        <f>IFERROR((up_dir!T28/(up_Bv!S28+s_MLF_peas)),".")</f>
        <v>1.3187534153652909E-4</v>
      </c>
      <c r="U28" s="73">
        <f>IFERROR((up_dir!U28/(up_Bv!T28+s_MLF_potato)),".")</f>
        <v>1.3187534153652909E-4</v>
      </c>
      <c r="V28" s="73">
        <f>IFERROR((up_dir!V28/(up_Bv!U28+s_MLF_pumpkin)),".")</f>
        <v>1.3187534153652909E-4</v>
      </c>
      <c r="W28" s="73">
        <f>IFERROR((up_dir!W28/(up_Bv!V28+s_MLF_snap_bean)),".")</f>
        <v>1.3187534153652909E-4</v>
      </c>
      <c r="X28" s="73">
        <f>IFERROR((up_dir!X28/(up_Bv!W28+s_MLF_strawberry)),".")</f>
        <v>1.3187534153652909E-4</v>
      </c>
      <c r="Y28" s="73">
        <f>IFERROR((up_dir!Y28/(up_Bv!X28+s_MLF_tomato)),".")</f>
        <v>1.3187534153652909E-4</v>
      </c>
      <c r="Z28" s="73">
        <f>IFERROR((up_dir!Z28/(up_Bv!Y28+s_MLF_rice)),".")</f>
        <v>1.3187534153652909E-4</v>
      </c>
      <c r="AA28" s="73">
        <f>IFERROR((up_dir!AA28/(up_Bv!Z28+s_MLF_cereal)),".")</f>
        <v>1.3187534153652909E-4</v>
      </c>
      <c r="AB28" s="10">
        <f t="shared" si="4"/>
        <v>113743.78125</v>
      </c>
      <c r="AC28" s="10">
        <f>s_C*(up_Bv!C28+s_MLF_apple)*s_IFAP_res_adj*s_CF_apple</f>
        <v>37914.59375</v>
      </c>
      <c r="AD28" s="10">
        <f>s_C*(up_Bv!D28+s_MLF_asparagus)*s_IFAS_res_adj*s_CF_asparagus</f>
        <v>37914.59375</v>
      </c>
      <c r="AE28" s="10">
        <f>s_C*(up_Bv!E28+s_MLF_beet)*s_IFBT_res_adj*s_CF_beet</f>
        <v>37914.59375</v>
      </c>
      <c r="AF28" s="10">
        <f>s_C*(up_Bv!F28+s_MLF_berries)*s_IFBE_res_adj*s_CF_berries</f>
        <v>37914.59375</v>
      </c>
      <c r="AG28" s="10">
        <f>s_C*(up_Bv!G28+s_MLF_broccoli)*s_IFBR_res_adj*s_CF_broccoli</f>
        <v>37914.59375</v>
      </c>
      <c r="AH28" s="10">
        <f>s_C*(up_Bv!H28+s_MLF_cabbage)*s_IFCB_res_adj*s_CF_cabbage</f>
        <v>37914.59375</v>
      </c>
      <c r="AI28" s="10">
        <f>s_C*(up_Bv!I28+s_MLF_carrot)*s_IFCR_res_adj*s_CF_carrot</f>
        <v>37914.59375</v>
      </c>
      <c r="AJ28" s="10">
        <f>s_C*(up_Bv!J28+s_MLF_citrus)*s_IFCI_res_adj*s_CF_citrus</f>
        <v>37914.59375</v>
      </c>
      <c r="AK28" s="10">
        <f>s_C*(up_Bv!K28+s_MLF_corn)*s_IFCO_res_adj*s_CF_corn</f>
        <v>37914.59375</v>
      </c>
      <c r="AL28" s="10">
        <f>s_C*(up_Bv!L28+s_MLF_cucumber)*s_IFCU_res_adj*s_CF_cucumber</f>
        <v>37914.59375</v>
      </c>
      <c r="AM28" s="10">
        <f>s_C*(up_Bv!M28+s_MLF_lettuce)*s_IFLE_res_adj*s_CF_lettuce</f>
        <v>37914.59375</v>
      </c>
      <c r="AN28" s="10">
        <f>s_C*(up_Bv!N28+s_MLF_lima_bean)*s_IFLI_res_adj*s_CF_lima_bean</f>
        <v>37914.59375</v>
      </c>
      <c r="AO28" s="10">
        <f>s_C*(up_Bv!O28+s_MLF_okra)*s_IFOK_res_adj*s_CF_okra</f>
        <v>37914.59375</v>
      </c>
      <c r="AP28" s="10">
        <f>s_C*(up_Bv!P28+s_MLF_onion)*s_IFON_res_adj*s_CF_onion</f>
        <v>37914.59375</v>
      </c>
      <c r="AQ28" s="10">
        <f>s_C*(up_Bv!Q28+s_MLF_peach)*s_IFPC_res_adj*s_CF_peach</f>
        <v>37914.59375</v>
      </c>
      <c r="AR28" s="10">
        <f>s_C*(up_Bv!R28+s_MLF_pear)*s_IFPR_res_adj*s_CF_pear</f>
        <v>37914.59375</v>
      </c>
      <c r="AS28" s="10">
        <f>s_C*(up_Bv!S28+s_MLF_peas)*s_IFPE_res_adj*s_CF_peas</f>
        <v>37914.59375</v>
      </c>
      <c r="AT28" s="10">
        <f>s_C*(up_Bv!T28+s_MLF_potato)*s_IFPT_res_adj*s_CF_potato</f>
        <v>37914.59375</v>
      </c>
      <c r="AU28" s="10">
        <f>s_C*(up_Bv!U28+s_MLF_pumpkin)*s_IFPU_res_adj*s_CF_pumpkin</f>
        <v>37914.59375</v>
      </c>
      <c r="AV28" s="10">
        <f>s_C*(up_Bv!V28+s_MLF_snap_bean)*s_IFSN_res_adj*s_CF_snap_bean</f>
        <v>37914.59375</v>
      </c>
      <c r="AW28" s="10">
        <f>s_C*(up_Bv!W28+s_MLF_strawberry)*s_IFST_res_adj*s_CF_strawberry</f>
        <v>37914.59375</v>
      </c>
      <c r="AX28" s="10">
        <f>s_C*(up_Bv!X28+s_MLF_tomato)*s_IFTO_res_adj*s_CF_tomato</f>
        <v>37914.59375</v>
      </c>
      <c r="AY28" s="10">
        <f>s_C*(up_Bv!Y28+s_MLF_rice)*s_IFRI_res_adj*s_CF_rice</f>
        <v>37914.59375</v>
      </c>
      <c r="AZ28" s="10">
        <f>s_C*(up_Bv!Z28+s_MLF_cereal)*s_IFCG_res_adj*s_CF_cereal</f>
        <v>37914.59375</v>
      </c>
      <c r="BA28" s="2">
        <f t="shared" si="2"/>
        <v>4.3958447178843029E-5</v>
      </c>
      <c r="BB28" s="2">
        <f>IFERROR((up_dir!AC28/(up_Bv!C28+s_MLF_apple)),".")</f>
        <v>1.3187534153652909E-4</v>
      </c>
      <c r="BC28" s="2">
        <f>IFERROR((up_dir!AD28/(up_Bv!D28+s_MLF_asparagus)),".")</f>
        <v>1.3187534153652909E-4</v>
      </c>
      <c r="BD28" s="2">
        <f>IFERROR((up_dir!AE28/(up_Bv!E28+s_MLF_beet)),".")</f>
        <v>1.3187534153652909E-4</v>
      </c>
      <c r="BE28" s="2">
        <f>IFERROR((up_dir!AF28/(up_Bv!F28+s_MLF_berries)),".")</f>
        <v>1.3187534153652909E-4</v>
      </c>
      <c r="BF28" s="2">
        <f>IFERROR((up_dir!AG28/(up_Bv!G28+s_MLF_broccoli)),".")</f>
        <v>1.3187534153652909E-4</v>
      </c>
      <c r="BG28" s="2">
        <f>IFERROR((up_dir!AH28/(up_Bv!H28+s_MLF_cabbage)),".")</f>
        <v>1.3187534153652909E-4</v>
      </c>
      <c r="BH28" s="2">
        <f>IFERROR((up_dir!AI28/(up_Bv!I28+s_MLF_carrot)),".")</f>
        <v>1.3187534153652909E-4</v>
      </c>
      <c r="BI28" s="2">
        <f>IFERROR((up_dir!AJ28/(up_Bv!J28+s_MLF_citrus)),".")</f>
        <v>1.3187534153652909E-4</v>
      </c>
      <c r="BJ28" s="2">
        <f>IFERROR((up_dir!AK28/(up_Bv!K28+s_MLF_corn)),".")</f>
        <v>1.3187534153652909E-4</v>
      </c>
      <c r="BK28" s="2">
        <f>IFERROR((up_dir!AL28/(up_Bv!L28+s_MLF_cucumber)),".")</f>
        <v>1.3187534153652909E-4</v>
      </c>
      <c r="BL28" s="2">
        <f>IFERROR((up_dir!AM28/(up_Bv!M28+s_MLF_lettuce)),".")</f>
        <v>1.3187534153652909E-4</v>
      </c>
      <c r="BM28" s="2">
        <f>IFERROR((up_dir!AN28/(up_Bv!N28+s_MLF_lima_bean)),".")</f>
        <v>1.3187534153652909E-4</v>
      </c>
      <c r="BN28" s="2">
        <f>IFERROR((up_dir!AO28/(up_Bv!O28+s_MLF_okra)),".")</f>
        <v>1.3187534153652909E-4</v>
      </c>
      <c r="BO28" s="2">
        <f>IFERROR((up_dir!AP28/(up_Bv!P28+s_MLF_onion)),".")</f>
        <v>1.3187534153652909E-4</v>
      </c>
      <c r="BP28" s="2">
        <f>IFERROR((up_dir!AQ28/(up_Bv!Q28+s_MLF_peach)),".")</f>
        <v>1.3187534153652909E-4</v>
      </c>
      <c r="BQ28" s="2">
        <f>IFERROR((up_dir!AR28/(up_Bv!R28+s_MLF_pear)),".")</f>
        <v>1.3187534153652909E-4</v>
      </c>
      <c r="BR28" s="2">
        <f>IFERROR((up_dir!AS28/(up_Bv!S28+s_MLF_peas)),".")</f>
        <v>1.3187534153652909E-4</v>
      </c>
      <c r="BS28" s="2">
        <f>IFERROR((up_dir!AT28/(up_Bv!T28+s_MLF_potato)),".")</f>
        <v>1.3187534153652909E-4</v>
      </c>
      <c r="BT28" s="2">
        <f>IFERROR((up_dir!AU28/(up_Bv!U28+s_MLF_pumpkin)),".")</f>
        <v>1.3187534153652909E-4</v>
      </c>
      <c r="BU28" s="2">
        <f>IFERROR((up_dir!AV28/(up_Bv!V28+s_MLF_snap_bean)),".")</f>
        <v>1.3187534153652909E-4</v>
      </c>
      <c r="BV28" s="2">
        <f>IFERROR((up_dir!AW28/(up_Bv!W28+s_MLF_strawberry)),".")</f>
        <v>1.3187534153652909E-4</v>
      </c>
      <c r="BW28" s="2">
        <f>IFERROR((up_dir!AX28/(up_Bv!X28+s_MLF_tomato)),".")</f>
        <v>1.3187534153652909E-4</v>
      </c>
      <c r="BX28" s="2">
        <f>IFERROR((up_dir!AY28/(up_Bv!Y28+s_MLF_rice)),".")</f>
        <v>1.3187534153652909E-4</v>
      </c>
      <c r="BY28" s="2">
        <f>IFERROR((up_dir!AZ28/(up_Bv!Z28+s_MLF_cereal)),".")</f>
        <v>1.3187534153652909E-4</v>
      </c>
      <c r="BZ28" s="10">
        <f t="shared" si="3"/>
        <v>113743.78125</v>
      </c>
      <c r="CA28" s="10">
        <f>IFERROR(s_C*(up_Bv!C28+s_MLF_apple)*s_IFAP_far_adj*s_CF_apple,".")</f>
        <v>37914.59375</v>
      </c>
      <c r="CB28" s="10">
        <f>IFERROR(s_C*(up_Bv!D28+s_MLF_asparagus)*s_IFAS_far_adj*s_CF_asparagus,".")</f>
        <v>37914.59375</v>
      </c>
      <c r="CC28" s="10">
        <f>IFERROR(s_C*(up_Bv!E28+s_MLF_beet)*s_IFBT_far_adj*s_CF_beet,".")</f>
        <v>37914.59375</v>
      </c>
      <c r="CD28" s="10">
        <f>IFERROR(s_C*(up_Bv!F28+s_MLF_berries)*s_IFBR_far_adj*s_CF_berries,".")</f>
        <v>37914.59375</v>
      </c>
      <c r="CE28" s="10">
        <f>IFERROR(s_C*(up_Bv!G28+s_MLF_broccoli)*s_IFBR_far_adj*s_CF_broccoli,".")</f>
        <v>37914.59375</v>
      </c>
      <c r="CF28" s="10">
        <f>IFERROR(s_C*(up_Bv!H28+s_MLF_cabbage)*s_IFCB_far_adj*s_CF_cabbage,".")</f>
        <v>37914.59375</v>
      </c>
      <c r="CG28" s="10">
        <f>IFERROR(s_C*(up_Bv!I28+s_MLF_carrot)*s_IFCR_far_adj*s_CF_carrot,".")</f>
        <v>37914.59375</v>
      </c>
      <c r="CH28" s="10">
        <f>IFERROR(s_C*(up_Bv!J28+s_MLF_citrus)*s_IFCI_far_adj*s_CF_citrus,".")</f>
        <v>37914.59375</v>
      </c>
      <c r="CI28" s="10">
        <f>IFERROR(s_C*(up_Bv!K28+s_MLF_corn)*s_IFCO_far_adj*s_CF_corn,".")</f>
        <v>37914.59375</v>
      </c>
      <c r="CJ28" s="10">
        <f>IFERROR(s_C*(up_Bv!L28+s_MLF_cucumber)*s_IFCU_far_adj*s_CF_cucumber,".")</f>
        <v>37914.59375</v>
      </c>
      <c r="CK28" s="10">
        <f>IFERROR(s_C*(up_Bv!M28+s_MLF_lettuce)*s_IFLE_far_adj*s_CF_lettuce,".")</f>
        <v>37914.59375</v>
      </c>
      <c r="CL28" s="10">
        <f>IFERROR(s_C*(up_Bv!N28+s_MLF_lima_bean)*s_IFLI_far_adj*s_CF_lima_bean,".")</f>
        <v>37914.59375</v>
      </c>
      <c r="CM28" s="10">
        <f>IFERROR(s_C*(up_Bv!O28+s_MLF_okra)*s_IFOK_far_adj*s_CF_okra,".")</f>
        <v>37914.59375</v>
      </c>
      <c r="CN28" s="10">
        <f>IFERROR(s_C*(up_Bv!P28+s_MLF_onion)*s_IFON_far_adj*s_CF_onion,".")</f>
        <v>37914.59375</v>
      </c>
      <c r="CO28" s="10">
        <f>IFERROR(s_C*(up_Bv!Q28+s_MLF_peach)*s_IFPC_far_adj*s_CF_peach,".")</f>
        <v>37914.59375</v>
      </c>
      <c r="CP28" s="10">
        <f>IFERROR(s_C*(up_Bv!R28+s_MLF_pear)*s_IFPR_far_adj*s_CF_pear,".")</f>
        <v>37914.59375</v>
      </c>
      <c r="CQ28" s="10">
        <f>IFERROR(s_C*(up_Bv!S28+s_MLF_peas)*s_IFPE_far_adj*s_CF_peas,".")</f>
        <v>37914.59375</v>
      </c>
      <c r="CR28" s="10">
        <f>IFERROR(s_C*(up_Bv!T28+s_MLF_potato)*s_IFPT_far_adj*s_CF_potato,".")</f>
        <v>37914.59375</v>
      </c>
      <c r="CS28" s="10">
        <f>IFERROR(s_C*(up_Bv!U28+s_MLF_pumpkin)*s_IFPU_far_adj*s_CF_pumpkin,".")</f>
        <v>37914.59375</v>
      </c>
      <c r="CT28" s="10">
        <f>IFERROR(s_C*(up_Bv!V28+s_MLF_snap_bean)*s_IFSN_far_adj*s_CF_snap_bean,".")</f>
        <v>37914.59375</v>
      </c>
      <c r="CU28" s="10">
        <f>IFERROR(s_C*(up_Bv!W28+s_MLF_strawberry)*s_IFST_far_adj*s_CF_strawberry,".")</f>
        <v>37914.59375</v>
      </c>
      <c r="CV28" s="10">
        <f>IFERROR(s_C*(up_Bv!X28+s_MLF_tomato)*s_IFTO_far_adj*s_CF_tomato,".")</f>
        <v>37914.59375</v>
      </c>
      <c r="CW28" s="10">
        <f>IFERROR(s_C*(up_Bv!Y28+s_MLF_rice)*s_IFRI_far_adj*s_CF_rice,".")</f>
        <v>37914.59375</v>
      </c>
      <c r="CX28" s="10">
        <f>IFERROR(s_C*(up_Bv!Z28+s_MLF_cereal)*s_IFCG_far_adj*s_CF_cereal,".")</f>
        <v>37914.59375</v>
      </c>
    </row>
    <row r="29" spans="1:102" ht="15" customHeight="1" x14ac:dyDescent="0.25">
      <c r="A29" s="31" t="s">
        <v>27</v>
      </c>
      <c r="B29" s="3" t="s">
        <v>1059</v>
      </c>
      <c r="C29" s="73">
        <f t="shared" si="1"/>
        <v>4.3958447178843029E-5</v>
      </c>
      <c r="D29" s="73">
        <f>IFERROR((up_dir!D29/(up_Bv!C29+s_MLF_apple)),".")</f>
        <v>1.3187534153652909E-4</v>
      </c>
      <c r="E29" s="73">
        <f>IFERROR((up_dir!E29/(up_Bv!D29+s_MLF_asparagus)),".")</f>
        <v>1.3187534153652909E-4</v>
      </c>
      <c r="F29" s="73">
        <f>IFERROR((up_dir!F29/(up_Bv!E29+s_MLF_beet)),".")</f>
        <v>1.3187534153652909E-4</v>
      </c>
      <c r="G29" s="73">
        <f>IFERROR((up_dir!G29/(up_Bv!F29+s_MLF_berries)),".")</f>
        <v>1.3187534153652909E-4</v>
      </c>
      <c r="H29" s="73">
        <f>IFERROR((up_dir!H29/(up_Bv!G29+s_MLF_broccoli)),".")</f>
        <v>1.3187534153652909E-4</v>
      </c>
      <c r="I29" s="73">
        <f>IFERROR((up_dir!I29/(up_Bv!H29+s_MLF_cabbage)),".")</f>
        <v>1.3187534153652909E-4</v>
      </c>
      <c r="J29" s="73">
        <f>IFERROR((up_dir!J29/(up_Bv!I29+s_MLF_carrot)),".")</f>
        <v>1.3187534153652909E-4</v>
      </c>
      <c r="K29" s="73">
        <f>IFERROR((up_dir!K29/(up_Bv!J29+s_MLF_citrus)),".")</f>
        <v>1.3187534153652909E-4</v>
      </c>
      <c r="L29" s="73">
        <f>IFERROR((up_dir!L29/(up_Bv!K29+s_MLF_corn)),".")</f>
        <v>1.3187534153652909E-4</v>
      </c>
      <c r="M29" s="73">
        <f>IFERROR((up_dir!M29/(up_Bv!L29+s_MLF_cucumber)),".")</f>
        <v>1.3187534153652909E-4</v>
      </c>
      <c r="N29" s="73">
        <f>IFERROR((up_dir!N29/(up_Bv!M29+s_MLF_lettuce)),".")</f>
        <v>1.3187534153652909E-4</v>
      </c>
      <c r="O29" s="73">
        <f>IFERROR((up_dir!O29/(up_Bv!N29+s_MLF_lima_bean)),".")</f>
        <v>1.3187534153652909E-4</v>
      </c>
      <c r="P29" s="73">
        <f>IFERROR((up_dir!P29/(up_Bv!O29+s_MLF_okra)),".")</f>
        <v>1.3187534153652909E-4</v>
      </c>
      <c r="Q29" s="73">
        <f>IFERROR((up_dir!Q29/(up_Bv!P29+s_MLF_onion)),".")</f>
        <v>1.3187534153652909E-4</v>
      </c>
      <c r="R29" s="73">
        <f>IFERROR((up_dir!R29/(up_Bv!Q29+s_MLF_peach)),".")</f>
        <v>1.3187534153652909E-4</v>
      </c>
      <c r="S29" s="73">
        <f>IFERROR((up_dir!S29/(up_Bv!R29+s_MLF_pear)),".")</f>
        <v>1.3187534153652909E-4</v>
      </c>
      <c r="T29" s="73">
        <f>IFERROR((up_dir!T29/(up_Bv!S29+s_MLF_peas)),".")</f>
        <v>1.3187534153652909E-4</v>
      </c>
      <c r="U29" s="73">
        <f>IFERROR((up_dir!U29/(up_Bv!T29+s_MLF_potato)),".")</f>
        <v>1.3187534153652909E-4</v>
      </c>
      <c r="V29" s="73">
        <f>IFERROR((up_dir!V29/(up_Bv!U29+s_MLF_pumpkin)),".")</f>
        <v>1.3187534153652909E-4</v>
      </c>
      <c r="W29" s="73">
        <f>IFERROR((up_dir!W29/(up_Bv!V29+s_MLF_snap_bean)),".")</f>
        <v>1.3187534153652909E-4</v>
      </c>
      <c r="X29" s="73">
        <f>IFERROR((up_dir!X29/(up_Bv!W29+s_MLF_strawberry)),".")</f>
        <v>1.3187534153652909E-4</v>
      </c>
      <c r="Y29" s="73">
        <f>IFERROR((up_dir!Y29/(up_Bv!X29+s_MLF_tomato)),".")</f>
        <v>1.3187534153652909E-4</v>
      </c>
      <c r="Z29" s="73">
        <f>IFERROR((up_dir!Z29/(up_Bv!Y29+s_MLF_rice)),".")</f>
        <v>1.3187534153652909E-4</v>
      </c>
      <c r="AA29" s="73">
        <f>IFERROR((up_dir!AA29/(up_Bv!Z29+s_MLF_cereal)),".")</f>
        <v>1.3187534153652909E-4</v>
      </c>
      <c r="AB29" s="10">
        <f t="shared" si="4"/>
        <v>113743.78125</v>
      </c>
      <c r="AC29" s="10">
        <f>s_C*(up_Bv!C29+s_MLF_apple)*s_IFAP_res_adj*s_CF_apple</f>
        <v>37914.59375</v>
      </c>
      <c r="AD29" s="10">
        <f>s_C*(up_Bv!D29+s_MLF_asparagus)*s_IFAS_res_adj*s_CF_asparagus</f>
        <v>37914.59375</v>
      </c>
      <c r="AE29" s="10">
        <f>s_C*(up_Bv!E29+s_MLF_beet)*s_IFBT_res_adj*s_CF_beet</f>
        <v>37914.59375</v>
      </c>
      <c r="AF29" s="10">
        <f>s_C*(up_Bv!F29+s_MLF_berries)*s_IFBE_res_adj*s_CF_berries</f>
        <v>37914.59375</v>
      </c>
      <c r="AG29" s="10">
        <f>s_C*(up_Bv!G29+s_MLF_broccoli)*s_IFBR_res_adj*s_CF_broccoli</f>
        <v>37914.59375</v>
      </c>
      <c r="AH29" s="10">
        <f>s_C*(up_Bv!H29+s_MLF_cabbage)*s_IFCB_res_adj*s_CF_cabbage</f>
        <v>37914.59375</v>
      </c>
      <c r="AI29" s="10">
        <f>s_C*(up_Bv!I29+s_MLF_carrot)*s_IFCR_res_adj*s_CF_carrot</f>
        <v>37914.59375</v>
      </c>
      <c r="AJ29" s="10">
        <f>s_C*(up_Bv!J29+s_MLF_citrus)*s_IFCI_res_adj*s_CF_citrus</f>
        <v>37914.59375</v>
      </c>
      <c r="AK29" s="10">
        <f>s_C*(up_Bv!K29+s_MLF_corn)*s_IFCO_res_adj*s_CF_corn</f>
        <v>37914.59375</v>
      </c>
      <c r="AL29" s="10">
        <f>s_C*(up_Bv!L29+s_MLF_cucumber)*s_IFCU_res_adj*s_CF_cucumber</f>
        <v>37914.59375</v>
      </c>
      <c r="AM29" s="10">
        <f>s_C*(up_Bv!M29+s_MLF_lettuce)*s_IFLE_res_adj*s_CF_lettuce</f>
        <v>37914.59375</v>
      </c>
      <c r="AN29" s="10">
        <f>s_C*(up_Bv!N29+s_MLF_lima_bean)*s_IFLI_res_adj*s_CF_lima_bean</f>
        <v>37914.59375</v>
      </c>
      <c r="AO29" s="10">
        <f>s_C*(up_Bv!O29+s_MLF_okra)*s_IFOK_res_adj*s_CF_okra</f>
        <v>37914.59375</v>
      </c>
      <c r="AP29" s="10">
        <f>s_C*(up_Bv!P29+s_MLF_onion)*s_IFON_res_adj*s_CF_onion</f>
        <v>37914.59375</v>
      </c>
      <c r="AQ29" s="10">
        <f>s_C*(up_Bv!Q29+s_MLF_peach)*s_IFPC_res_adj*s_CF_peach</f>
        <v>37914.59375</v>
      </c>
      <c r="AR29" s="10">
        <f>s_C*(up_Bv!R29+s_MLF_pear)*s_IFPR_res_adj*s_CF_pear</f>
        <v>37914.59375</v>
      </c>
      <c r="AS29" s="10">
        <f>s_C*(up_Bv!S29+s_MLF_peas)*s_IFPE_res_adj*s_CF_peas</f>
        <v>37914.59375</v>
      </c>
      <c r="AT29" s="10">
        <f>s_C*(up_Bv!T29+s_MLF_potato)*s_IFPT_res_adj*s_CF_potato</f>
        <v>37914.59375</v>
      </c>
      <c r="AU29" s="10">
        <f>s_C*(up_Bv!U29+s_MLF_pumpkin)*s_IFPU_res_adj*s_CF_pumpkin</f>
        <v>37914.59375</v>
      </c>
      <c r="AV29" s="10">
        <f>s_C*(up_Bv!V29+s_MLF_snap_bean)*s_IFSN_res_adj*s_CF_snap_bean</f>
        <v>37914.59375</v>
      </c>
      <c r="AW29" s="10">
        <f>s_C*(up_Bv!W29+s_MLF_strawberry)*s_IFST_res_adj*s_CF_strawberry</f>
        <v>37914.59375</v>
      </c>
      <c r="AX29" s="10">
        <f>s_C*(up_Bv!X29+s_MLF_tomato)*s_IFTO_res_adj*s_CF_tomato</f>
        <v>37914.59375</v>
      </c>
      <c r="AY29" s="10">
        <f>s_C*(up_Bv!Y29+s_MLF_rice)*s_IFRI_res_adj*s_CF_rice</f>
        <v>37914.59375</v>
      </c>
      <c r="AZ29" s="10">
        <f>s_C*(up_Bv!Z29+s_MLF_cereal)*s_IFCG_res_adj*s_CF_cereal</f>
        <v>37914.59375</v>
      </c>
      <c r="BA29" s="2">
        <f t="shared" si="2"/>
        <v>4.3958447178843029E-5</v>
      </c>
      <c r="BB29" s="2">
        <f>IFERROR((up_dir!AC29/(up_Bv!C29+s_MLF_apple)),".")</f>
        <v>1.3187534153652909E-4</v>
      </c>
      <c r="BC29" s="2">
        <f>IFERROR((up_dir!AD29/(up_Bv!D29+s_MLF_asparagus)),".")</f>
        <v>1.3187534153652909E-4</v>
      </c>
      <c r="BD29" s="2">
        <f>IFERROR((up_dir!AE29/(up_Bv!E29+s_MLF_beet)),".")</f>
        <v>1.3187534153652909E-4</v>
      </c>
      <c r="BE29" s="2">
        <f>IFERROR((up_dir!AF29/(up_Bv!F29+s_MLF_berries)),".")</f>
        <v>1.3187534153652909E-4</v>
      </c>
      <c r="BF29" s="2">
        <f>IFERROR((up_dir!AG29/(up_Bv!G29+s_MLF_broccoli)),".")</f>
        <v>1.3187534153652909E-4</v>
      </c>
      <c r="BG29" s="2">
        <f>IFERROR((up_dir!AH29/(up_Bv!H29+s_MLF_cabbage)),".")</f>
        <v>1.3187534153652909E-4</v>
      </c>
      <c r="BH29" s="2">
        <f>IFERROR((up_dir!AI29/(up_Bv!I29+s_MLF_carrot)),".")</f>
        <v>1.3187534153652909E-4</v>
      </c>
      <c r="BI29" s="2">
        <f>IFERROR((up_dir!AJ29/(up_Bv!J29+s_MLF_citrus)),".")</f>
        <v>1.3187534153652909E-4</v>
      </c>
      <c r="BJ29" s="2">
        <f>IFERROR((up_dir!AK29/(up_Bv!K29+s_MLF_corn)),".")</f>
        <v>1.3187534153652909E-4</v>
      </c>
      <c r="BK29" s="2">
        <f>IFERROR((up_dir!AL29/(up_Bv!L29+s_MLF_cucumber)),".")</f>
        <v>1.3187534153652909E-4</v>
      </c>
      <c r="BL29" s="2">
        <f>IFERROR((up_dir!AM29/(up_Bv!M29+s_MLF_lettuce)),".")</f>
        <v>1.3187534153652909E-4</v>
      </c>
      <c r="BM29" s="2">
        <f>IFERROR((up_dir!AN29/(up_Bv!N29+s_MLF_lima_bean)),".")</f>
        <v>1.3187534153652909E-4</v>
      </c>
      <c r="BN29" s="2">
        <f>IFERROR((up_dir!AO29/(up_Bv!O29+s_MLF_okra)),".")</f>
        <v>1.3187534153652909E-4</v>
      </c>
      <c r="BO29" s="2">
        <f>IFERROR((up_dir!AP29/(up_Bv!P29+s_MLF_onion)),".")</f>
        <v>1.3187534153652909E-4</v>
      </c>
      <c r="BP29" s="2">
        <f>IFERROR((up_dir!AQ29/(up_Bv!Q29+s_MLF_peach)),".")</f>
        <v>1.3187534153652909E-4</v>
      </c>
      <c r="BQ29" s="2">
        <f>IFERROR((up_dir!AR29/(up_Bv!R29+s_MLF_pear)),".")</f>
        <v>1.3187534153652909E-4</v>
      </c>
      <c r="BR29" s="2">
        <f>IFERROR((up_dir!AS29/(up_Bv!S29+s_MLF_peas)),".")</f>
        <v>1.3187534153652909E-4</v>
      </c>
      <c r="BS29" s="2">
        <f>IFERROR((up_dir!AT29/(up_Bv!T29+s_MLF_potato)),".")</f>
        <v>1.3187534153652909E-4</v>
      </c>
      <c r="BT29" s="2">
        <f>IFERROR((up_dir!AU29/(up_Bv!U29+s_MLF_pumpkin)),".")</f>
        <v>1.3187534153652909E-4</v>
      </c>
      <c r="BU29" s="2">
        <f>IFERROR((up_dir!AV29/(up_Bv!V29+s_MLF_snap_bean)),".")</f>
        <v>1.3187534153652909E-4</v>
      </c>
      <c r="BV29" s="2">
        <f>IFERROR((up_dir!AW29/(up_Bv!W29+s_MLF_strawberry)),".")</f>
        <v>1.3187534153652909E-4</v>
      </c>
      <c r="BW29" s="2">
        <f>IFERROR((up_dir!AX29/(up_Bv!X29+s_MLF_tomato)),".")</f>
        <v>1.3187534153652909E-4</v>
      </c>
      <c r="BX29" s="2">
        <f>IFERROR((up_dir!AY29/(up_Bv!Y29+s_MLF_rice)),".")</f>
        <v>1.3187534153652909E-4</v>
      </c>
      <c r="BY29" s="2">
        <f>IFERROR((up_dir!AZ29/(up_Bv!Z29+s_MLF_cereal)),".")</f>
        <v>1.3187534153652909E-4</v>
      </c>
      <c r="BZ29" s="10">
        <f t="shared" si="3"/>
        <v>113743.78125</v>
      </c>
      <c r="CA29" s="10">
        <f>IFERROR(s_C*(up_Bv!C29+s_MLF_apple)*s_IFAP_far_adj*s_CF_apple,".")</f>
        <v>37914.59375</v>
      </c>
      <c r="CB29" s="10">
        <f>IFERROR(s_C*(up_Bv!D29+s_MLF_asparagus)*s_IFAS_far_adj*s_CF_asparagus,".")</f>
        <v>37914.59375</v>
      </c>
      <c r="CC29" s="10">
        <f>IFERROR(s_C*(up_Bv!E29+s_MLF_beet)*s_IFBT_far_adj*s_CF_beet,".")</f>
        <v>37914.59375</v>
      </c>
      <c r="CD29" s="10">
        <f>IFERROR(s_C*(up_Bv!F29+s_MLF_berries)*s_IFBR_far_adj*s_CF_berries,".")</f>
        <v>37914.59375</v>
      </c>
      <c r="CE29" s="10">
        <f>IFERROR(s_C*(up_Bv!G29+s_MLF_broccoli)*s_IFBR_far_adj*s_CF_broccoli,".")</f>
        <v>37914.59375</v>
      </c>
      <c r="CF29" s="10">
        <f>IFERROR(s_C*(up_Bv!H29+s_MLF_cabbage)*s_IFCB_far_adj*s_CF_cabbage,".")</f>
        <v>37914.59375</v>
      </c>
      <c r="CG29" s="10">
        <f>IFERROR(s_C*(up_Bv!I29+s_MLF_carrot)*s_IFCR_far_adj*s_CF_carrot,".")</f>
        <v>37914.59375</v>
      </c>
      <c r="CH29" s="10">
        <f>IFERROR(s_C*(up_Bv!J29+s_MLF_citrus)*s_IFCI_far_adj*s_CF_citrus,".")</f>
        <v>37914.59375</v>
      </c>
      <c r="CI29" s="10">
        <f>IFERROR(s_C*(up_Bv!K29+s_MLF_corn)*s_IFCO_far_adj*s_CF_corn,".")</f>
        <v>37914.59375</v>
      </c>
      <c r="CJ29" s="10">
        <f>IFERROR(s_C*(up_Bv!L29+s_MLF_cucumber)*s_IFCU_far_adj*s_CF_cucumber,".")</f>
        <v>37914.59375</v>
      </c>
      <c r="CK29" s="10">
        <f>IFERROR(s_C*(up_Bv!M29+s_MLF_lettuce)*s_IFLE_far_adj*s_CF_lettuce,".")</f>
        <v>37914.59375</v>
      </c>
      <c r="CL29" s="10">
        <f>IFERROR(s_C*(up_Bv!N29+s_MLF_lima_bean)*s_IFLI_far_adj*s_CF_lima_bean,".")</f>
        <v>37914.59375</v>
      </c>
      <c r="CM29" s="10">
        <f>IFERROR(s_C*(up_Bv!O29+s_MLF_okra)*s_IFOK_far_adj*s_CF_okra,".")</f>
        <v>37914.59375</v>
      </c>
      <c r="CN29" s="10">
        <f>IFERROR(s_C*(up_Bv!P29+s_MLF_onion)*s_IFON_far_adj*s_CF_onion,".")</f>
        <v>37914.59375</v>
      </c>
      <c r="CO29" s="10">
        <f>IFERROR(s_C*(up_Bv!Q29+s_MLF_peach)*s_IFPC_far_adj*s_CF_peach,".")</f>
        <v>37914.59375</v>
      </c>
      <c r="CP29" s="10">
        <f>IFERROR(s_C*(up_Bv!R29+s_MLF_pear)*s_IFPR_far_adj*s_CF_pear,".")</f>
        <v>37914.59375</v>
      </c>
      <c r="CQ29" s="10">
        <f>IFERROR(s_C*(up_Bv!S29+s_MLF_peas)*s_IFPE_far_adj*s_CF_peas,".")</f>
        <v>37914.59375</v>
      </c>
      <c r="CR29" s="10">
        <f>IFERROR(s_C*(up_Bv!T29+s_MLF_potato)*s_IFPT_far_adj*s_CF_potato,".")</f>
        <v>37914.59375</v>
      </c>
      <c r="CS29" s="10">
        <f>IFERROR(s_C*(up_Bv!U29+s_MLF_pumpkin)*s_IFPU_far_adj*s_CF_pumpkin,".")</f>
        <v>37914.59375</v>
      </c>
      <c r="CT29" s="10">
        <f>IFERROR(s_C*(up_Bv!V29+s_MLF_snap_bean)*s_IFSN_far_adj*s_CF_snap_bean,".")</f>
        <v>37914.59375</v>
      </c>
      <c r="CU29" s="10">
        <f>IFERROR(s_C*(up_Bv!W29+s_MLF_strawberry)*s_IFST_far_adj*s_CF_strawberry,".")</f>
        <v>37914.59375</v>
      </c>
      <c r="CV29" s="10">
        <f>IFERROR(s_C*(up_Bv!X29+s_MLF_tomato)*s_IFTO_far_adj*s_CF_tomato,".")</f>
        <v>37914.59375</v>
      </c>
      <c r="CW29" s="10">
        <f>IFERROR(s_C*(up_Bv!Y29+s_MLF_rice)*s_IFRI_far_adj*s_CF_rice,".")</f>
        <v>37914.59375</v>
      </c>
      <c r="CX29" s="10">
        <f>IFERROR(s_C*(up_Bv!Z29+s_MLF_cereal)*s_IFCG_far_adj*s_CF_cereal,".")</f>
        <v>37914.59375</v>
      </c>
    </row>
    <row r="30" spans="1:102" ht="15" customHeight="1" x14ac:dyDescent="0.25">
      <c r="A30" s="31" t="s">
        <v>28</v>
      </c>
      <c r="B30" s="3" t="s">
        <v>1059</v>
      </c>
      <c r="C30" s="73">
        <f t="shared" si="1"/>
        <v>4.3958447178843029E-5</v>
      </c>
      <c r="D30" s="73">
        <f>IFERROR((up_dir!D30/(up_Bv!C30+s_MLF_apple)),".")</f>
        <v>1.3187534153652909E-4</v>
      </c>
      <c r="E30" s="73">
        <f>IFERROR((up_dir!E30/(up_Bv!D30+s_MLF_asparagus)),".")</f>
        <v>1.3187534153652909E-4</v>
      </c>
      <c r="F30" s="73">
        <f>IFERROR((up_dir!F30/(up_Bv!E30+s_MLF_beet)),".")</f>
        <v>1.3187534153652909E-4</v>
      </c>
      <c r="G30" s="73">
        <f>IFERROR((up_dir!G30/(up_Bv!F30+s_MLF_berries)),".")</f>
        <v>1.3187534153652909E-4</v>
      </c>
      <c r="H30" s="73">
        <f>IFERROR((up_dir!H30/(up_Bv!G30+s_MLF_broccoli)),".")</f>
        <v>1.3187534153652909E-4</v>
      </c>
      <c r="I30" s="73">
        <f>IFERROR((up_dir!I30/(up_Bv!H30+s_MLF_cabbage)),".")</f>
        <v>1.3187534153652909E-4</v>
      </c>
      <c r="J30" s="73">
        <f>IFERROR((up_dir!J30/(up_Bv!I30+s_MLF_carrot)),".")</f>
        <v>1.3187534153652909E-4</v>
      </c>
      <c r="K30" s="73">
        <f>IFERROR((up_dir!K30/(up_Bv!J30+s_MLF_citrus)),".")</f>
        <v>1.3187534153652909E-4</v>
      </c>
      <c r="L30" s="73">
        <f>IFERROR((up_dir!L30/(up_Bv!K30+s_MLF_corn)),".")</f>
        <v>1.3187534153652909E-4</v>
      </c>
      <c r="M30" s="73">
        <f>IFERROR((up_dir!M30/(up_Bv!L30+s_MLF_cucumber)),".")</f>
        <v>1.3187534153652909E-4</v>
      </c>
      <c r="N30" s="73">
        <f>IFERROR((up_dir!N30/(up_Bv!M30+s_MLF_lettuce)),".")</f>
        <v>1.3187534153652909E-4</v>
      </c>
      <c r="O30" s="73">
        <f>IFERROR((up_dir!O30/(up_Bv!N30+s_MLF_lima_bean)),".")</f>
        <v>1.3187534153652909E-4</v>
      </c>
      <c r="P30" s="73">
        <f>IFERROR((up_dir!P30/(up_Bv!O30+s_MLF_okra)),".")</f>
        <v>1.3187534153652909E-4</v>
      </c>
      <c r="Q30" s="73">
        <f>IFERROR((up_dir!Q30/(up_Bv!P30+s_MLF_onion)),".")</f>
        <v>1.3187534153652909E-4</v>
      </c>
      <c r="R30" s="73">
        <f>IFERROR((up_dir!R30/(up_Bv!Q30+s_MLF_peach)),".")</f>
        <v>1.3187534153652909E-4</v>
      </c>
      <c r="S30" s="73">
        <f>IFERROR((up_dir!S30/(up_Bv!R30+s_MLF_pear)),".")</f>
        <v>1.3187534153652909E-4</v>
      </c>
      <c r="T30" s="73">
        <f>IFERROR((up_dir!T30/(up_Bv!S30+s_MLF_peas)),".")</f>
        <v>1.3187534153652909E-4</v>
      </c>
      <c r="U30" s="73">
        <f>IFERROR((up_dir!U30/(up_Bv!T30+s_MLF_potato)),".")</f>
        <v>1.3187534153652909E-4</v>
      </c>
      <c r="V30" s="73">
        <f>IFERROR((up_dir!V30/(up_Bv!U30+s_MLF_pumpkin)),".")</f>
        <v>1.3187534153652909E-4</v>
      </c>
      <c r="W30" s="73">
        <f>IFERROR((up_dir!W30/(up_Bv!V30+s_MLF_snap_bean)),".")</f>
        <v>1.3187534153652909E-4</v>
      </c>
      <c r="X30" s="73">
        <f>IFERROR((up_dir!X30/(up_Bv!W30+s_MLF_strawberry)),".")</f>
        <v>1.3187534153652909E-4</v>
      </c>
      <c r="Y30" s="73">
        <f>IFERROR((up_dir!Y30/(up_Bv!X30+s_MLF_tomato)),".")</f>
        <v>1.3187534153652909E-4</v>
      </c>
      <c r="Z30" s="73">
        <f>IFERROR((up_dir!Z30/(up_Bv!Y30+s_MLF_rice)),".")</f>
        <v>1.3187534153652909E-4</v>
      </c>
      <c r="AA30" s="73">
        <f>IFERROR((up_dir!AA30/(up_Bv!Z30+s_MLF_cereal)),".")</f>
        <v>1.3187534153652909E-4</v>
      </c>
      <c r="AB30" s="10">
        <f t="shared" si="4"/>
        <v>113743.78125</v>
      </c>
      <c r="AC30" s="10">
        <f>s_C*(up_Bv!C30+s_MLF_apple)*s_IFAP_res_adj*s_CF_apple</f>
        <v>37914.59375</v>
      </c>
      <c r="AD30" s="10">
        <f>s_C*(up_Bv!D30+s_MLF_asparagus)*s_IFAS_res_adj*s_CF_asparagus</f>
        <v>37914.59375</v>
      </c>
      <c r="AE30" s="10">
        <f>s_C*(up_Bv!E30+s_MLF_beet)*s_IFBT_res_adj*s_CF_beet</f>
        <v>37914.59375</v>
      </c>
      <c r="AF30" s="10">
        <f>s_C*(up_Bv!F30+s_MLF_berries)*s_IFBE_res_adj*s_CF_berries</f>
        <v>37914.59375</v>
      </c>
      <c r="AG30" s="10">
        <f>s_C*(up_Bv!G30+s_MLF_broccoli)*s_IFBR_res_adj*s_CF_broccoli</f>
        <v>37914.59375</v>
      </c>
      <c r="AH30" s="10">
        <f>s_C*(up_Bv!H30+s_MLF_cabbage)*s_IFCB_res_adj*s_CF_cabbage</f>
        <v>37914.59375</v>
      </c>
      <c r="AI30" s="10">
        <f>s_C*(up_Bv!I30+s_MLF_carrot)*s_IFCR_res_adj*s_CF_carrot</f>
        <v>37914.59375</v>
      </c>
      <c r="AJ30" s="10">
        <f>s_C*(up_Bv!J30+s_MLF_citrus)*s_IFCI_res_adj*s_CF_citrus</f>
        <v>37914.59375</v>
      </c>
      <c r="AK30" s="10">
        <f>s_C*(up_Bv!K30+s_MLF_corn)*s_IFCO_res_adj*s_CF_corn</f>
        <v>37914.59375</v>
      </c>
      <c r="AL30" s="10">
        <f>s_C*(up_Bv!L30+s_MLF_cucumber)*s_IFCU_res_adj*s_CF_cucumber</f>
        <v>37914.59375</v>
      </c>
      <c r="AM30" s="10">
        <f>s_C*(up_Bv!M30+s_MLF_lettuce)*s_IFLE_res_adj*s_CF_lettuce</f>
        <v>37914.59375</v>
      </c>
      <c r="AN30" s="10">
        <f>s_C*(up_Bv!N30+s_MLF_lima_bean)*s_IFLI_res_adj*s_CF_lima_bean</f>
        <v>37914.59375</v>
      </c>
      <c r="AO30" s="10">
        <f>s_C*(up_Bv!O30+s_MLF_okra)*s_IFOK_res_adj*s_CF_okra</f>
        <v>37914.59375</v>
      </c>
      <c r="AP30" s="10">
        <f>s_C*(up_Bv!P30+s_MLF_onion)*s_IFON_res_adj*s_CF_onion</f>
        <v>37914.59375</v>
      </c>
      <c r="AQ30" s="10">
        <f>s_C*(up_Bv!Q30+s_MLF_peach)*s_IFPC_res_adj*s_CF_peach</f>
        <v>37914.59375</v>
      </c>
      <c r="AR30" s="10">
        <f>s_C*(up_Bv!R30+s_MLF_pear)*s_IFPR_res_adj*s_CF_pear</f>
        <v>37914.59375</v>
      </c>
      <c r="AS30" s="10">
        <f>s_C*(up_Bv!S30+s_MLF_peas)*s_IFPE_res_adj*s_CF_peas</f>
        <v>37914.59375</v>
      </c>
      <c r="AT30" s="10">
        <f>s_C*(up_Bv!T30+s_MLF_potato)*s_IFPT_res_adj*s_CF_potato</f>
        <v>37914.59375</v>
      </c>
      <c r="AU30" s="10">
        <f>s_C*(up_Bv!U30+s_MLF_pumpkin)*s_IFPU_res_adj*s_CF_pumpkin</f>
        <v>37914.59375</v>
      </c>
      <c r="AV30" s="10">
        <f>s_C*(up_Bv!V30+s_MLF_snap_bean)*s_IFSN_res_adj*s_CF_snap_bean</f>
        <v>37914.59375</v>
      </c>
      <c r="AW30" s="10">
        <f>s_C*(up_Bv!W30+s_MLF_strawberry)*s_IFST_res_adj*s_CF_strawberry</f>
        <v>37914.59375</v>
      </c>
      <c r="AX30" s="10">
        <f>s_C*(up_Bv!X30+s_MLF_tomato)*s_IFTO_res_adj*s_CF_tomato</f>
        <v>37914.59375</v>
      </c>
      <c r="AY30" s="10">
        <f>s_C*(up_Bv!Y30+s_MLF_rice)*s_IFRI_res_adj*s_CF_rice</f>
        <v>37914.59375</v>
      </c>
      <c r="AZ30" s="10">
        <f>s_C*(up_Bv!Z30+s_MLF_cereal)*s_IFCG_res_adj*s_CF_cereal</f>
        <v>37914.59375</v>
      </c>
      <c r="BA30" s="2">
        <f t="shared" si="2"/>
        <v>4.3958447178843029E-5</v>
      </c>
      <c r="BB30" s="2">
        <f>IFERROR((up_dir!AC30/(up_Bv!C30+s_MLF_apple)),".")</f>
        <v>1.3187534153652909E-4</v>
      </c>
      <c r="BC30" s="2">
        <f>IFERROR((up_dir!AD30/(up_Bv!D30+s_MLF_asparagus)),".")</f>
        <v>1.3187534153652909E-4</v>
      </c>
      <c r="BD30" s="2">
        <f>IFERROR((up_dir!AE30/(up_Bv!E30+s_MLF_beet)),".")</f>
        <v>1.3187534153652909E-4</v>
      </c>
      <c r="BE30" s="2">
        <f>IFERROR((up_dir!AF30/(up_Bv!F30+s_MLF_berries)),".")</f>
        <v>1.3187534153652909E-4</v>
      </c>
      <c r="BF30" s="2">
        <f>IFERROR((up_dir!AG30/(up_Bv!G30+s_MLF_broccoli)),".")</f>
        <v>1.3187534153652909E-4</v>
      </c>
      <c r="BG30" s="2">
        <f>IFERROR((up_dir!AH30/(up_Bv!H30+s_MLF_cabbage)),".")</f>
        <v>1.3187534153652909E-4</v>
      </c>
      <c r="BH30" s="2">
        <f>IFERROR((up_dir!AI30/(up_Bv!I30+s_MLF_carrot)),".")</f>
        <v>1.3187534153652909E-4</v>
      </c>
      <c r="BI30" s="2">
        <f>IFERROR((up_dir!AJ30/(up_Bv!J30+s_MLF_citrus)),".")</f>
        <v>1.3187534153652909E-4</v>
      </c>
      <c r="BJ30" s="2">
        <f>IFERROR((up_dir!AK30/(up_Bv!K30+s_MLF_corn)),".")</f>
        <v>1.3187534153652909E-4</v>
      </c>
      <c r="BK30" s="2">
        <f>IFERROR((up_dir!AL30/(up_Bv!L30+s_MLF_cucumber)),".")</f>
        <v>1.3187534153652909E-4</v>
      </c>
      <c r="BL30" s="2">
        <f>IFERROR((up_dir!AM30/(up_Bv!M30+s_MLF_lettuce)),".")</f>
        <v>1.3187534153652909E-4</v>
      </c>
      <c r="BM30" s="2">
        <f>IFERROR((up_dir!AN30/(up_Bv!N30+s_MLF_lima_bean)),".")</f>
        <v>1.3187534153652909E-4</v>
      </c>
      <c r="BN30" s="2">
        <f>IFERROR((up_dir!AO30/(up_Bv!O30+s_MLF_okra)),".")</f>
        <v>1.3187534153652909E-4</v>
      </c>
      <c r="BO30" s="2">
        <f>IFERROR((up_dir!AP30/(up_Bv!P30+s_MLF_onion)),".")</f>
        <v>1.3187534153652909E-4</v>
      </c>
      <c r="BP30" s="2">
        <f>IFERROR((up_dir!AQ30/(up_Bv!Q30+s_MLF_peach)),".")</f>
        <v>1.3187534153652909E-4</v>
      </c>
      <c r="BQ30" s="2">
        <f>IFERROR((up_dir!AR30/(up_Bv!R30+s_MLF_pear)),".")</f>
        <v>1.3187534153652909E-4</v>
      </c>
      <c r="BR30" s="2">
        <f>IFERROR((up_dir!AS30/(up_Bv!S30+s_MLF_peas)),".")</f>
        <v>1.3187534153652909E-4</v>
      </c>
      <c r="BS30" s="2">
        <f>IFERROR((up_dir!AT30/(up_Bv!T30+s_MLF_potato)),".")</f>
        <v>1.3187534153652909E-4</v>
      </c>
      <c r="BT30" s="2">
        <f>IFERROR((up_dir!AU30/(up_Bv!U30+s_MLF_pumpkin)),".")</f>
        <v>1.3187534153652909E-4</v>
      </c>
      <c r="BU30" s="2">
        <f>IFERROR((up_dir!AV30/(up_Bv!V30+s_MLF_snap_bean)),".")</f>
        <v>1.3187534153652909E-4</v>
      </c>
      <c r="BV30" s="2">
        <f>IFERROR((up_dir!AW30/(up_Bv!W30+s_MLF_strawberry)),".")</f>
        <v>1.3187534153652909E-4</v>
      </c>
      <c r="BW30" s="2">
        <f>IFERROR((up_dir!AX30/(up_Bv!X30+s_MLF_tomato)),".")</f>
        <v>1.3187534153652909E-4</v>
      </c>
      <c r="BX30" s="2">
        <f>IFERROR((up_dir!AY30/(up_Bv!Y30+s_MLF_rice)),".")</f>
        <v>1.3187534153652909E-4</v>
      </c>
      <c r="BY30" s="2">
        <f>IFERROR((up_dir!AZ30/(up_Bv!Z30+s_MLF_cereal)),".")</f>
        <v>1.3187534153652909E-4</v>
      </c>
      <c r="BZ30" s="10">
        <f t="shared" si="3"/>
        <v>113743.78125</v>
      </c>
      <c r="CA30" s="10">
        <f>IFERROR(s_C*(up_Bv!C30+s_MLF_apple)*s_IFAP_far_adj*s_CF_apple,".")</f>
        <v>37914.59375</v>
      </c>
      <c r="CB30" s="10">
        <f>IFERROR(s_C*(up_Bv!D30+s_MLF_asparagus)*s_IFAS_far_adj*s_CF_asparagus,".")</f>
        <v>37914.59375</v>
      </c>
      <c r="CC30" s="10">
        <f>IFERROR(s_C*(up_Bv!E30+s_MLF_beet)*s_IFBT_far_adj*s_CF_beet,".")</f>
        <v>37914.59375</v>
      </c>
      <c r="CD30" s="10">
        <f>IFERROR(s_C*(up_Bv!F30+s_MLF_berries)*s_IFBR_far_adj*s_CF_berries,".")</f>
        <v>37914.59375</v>
      </c>
      <c r="CE30" s="10">
        <f>IFERROR(s_C*(up_Bv!G30+s_MLF_broccoli)*s_IFBR_far_adj*s_CF_broccoli,".")</f>
        <v>37914.59375</v>
      </c>
      <c r="CF30" s="10">
        <f>IFERROR(s_C*(up_Bv!H30+s_MLF_cabbage)*s_IFCB_far_adj*s_CF_cabbage,".")</f>
        <v>37914.59375</v>
      </c>
      <c r="CG30" s="10">
        <f>IFERROR(s_C*(up_Bv!I30+s_MLF_carrot)*s_IFCR_far_adj*s_CF_carrot,".")</f>
        <v>37914.59375</v>
      </c>
      <c r="CH30" s="10">
        <f>IFERROR(s_C*(up_Bv!J30+s_MLF_citrus)*s_IFCI_far_adj*s_CF_citrus,".")</f>
        <v>37914.59375</v>
      </c>
      <c r="CI30" s="10">
        <f>IFERROR(s_C*(up_Bv!K30+s_MLF_corn)*s_IFCO_far_adj*s_CF_corn,".")</f>
        <v>37914.59375</v>
      </c>
      <c r="CJ30" s="10">
        <f>IFERROR(s_C*(up_Bv!L30+s_MLF_cucumber)*s_IFCU_far_adj*s_CF_cucumber,".")</f>
        <v>37914.59375</v>
      </c>
      <c r="CK30" s="10">
        <f>IFERROR(s_C*(up_Bv!M30+s_MLF_lettuce)*s_IFLE_far_adj*s_CF_lettuce,".")</f>
        <v>37914.59375</v>
      </c>
      <c r="CL30" s="10">
        <f>IFERROR(s_C*(up_Bv!N30+s_MLF_lima_bean)*s_IFLI_far_adj*s_CF_lima_bean,".")</f>
        <v>37914.59375</v>
      </c>
      <c r="CM30" s="10">
        <f>IFERROR(s_C*(up_Bv!O30+s_MLF_okra)*s_IFOK_far_adj*s_CF_okra,".")</f>
        <v>37914.59375</v>
      </c>
      <c r="CN30" s="10">
        <f>IFERROR(s_C*(up_Bv!P30+s_MLF_onion)*s_IFON_far_adj*s_CF_onion,".")</f>
        <v>37914.59375</v>
      </c>
      <c r="CO30" s="10">
        <f>IFERROR(s_C*(up_Bv!Q30+s_MLF_peach)*s_IFPC_far_adj*s_CF_peach,".")</f>
        <v>37914.59375</v>
      </c>
      <c r="CP30" s="10">
        <f>IFERROR(s_C*(up_Bv!R30+s_MLF_pear)*s_IFPR_far_adj*s_CF_pear,".")</f>
        <v>37914.59375</v>
      </c>
      <c r="CQ30" s="10">
        <f>IFERROR(s_C*(up_Bv!S30+s_MLF_peas)*s_IFPE_far_adj*s_CF_peas,".")</f>
        <v>37914.59375</v>
      </c>
      <c r="CR30" s="10">
        <f>IFERROR(s_C*(up_Bv!T30+s_MLF_potato)*s_IFPT_far_adj*s_CF_potato,".")</f>
        <v>37914.59375</v>
      </c>
      <c r="CS30" s="10">
        <f>IFERROR(s_C*(up_Bv!U30+s_MLF_pumpkin)*s_IFPU_far_adj*s_CF_pumpkin,".")</f>
        <v>37914.59375</v>
      </c>
      <c r="CT30" s="10">
        <f>IFERROR(s_C*(up_Bv!V30+s_MLF_snap_bean)*s_IFSN_far_adj*s_CF_snap_bean,".")</f>
        <v>37914.59375</v>
      </c>
      <c r="CU30" s="10">
        <f>IFERROR(s_C*(up_Bv!W30+s_MLF_strawberry)*s_IFST_far_adj*s_CF_strawberry,".")</f>
        <v>37914.59375</v>
      </c>
      <c r="CV30" s="10">
        <f>IFERROR(s_C*(up_Bv!X30+s_MLF_tomato)*s_IFTO_far_adj*s_CF_tomato,".")</f>
        <v>37914.59375</v>
      </c>
      <c r="CW30" s="10">
        <f>IFERROR(s_C*(up_Bv!Y30+s_MLF_rice)*s_IFRI_far_adj*s_CF_rice,".")</f>
        <v>37914.59375</v>
      </c>
      <c r="CX30" s="10">
        <f>IFERROR(s_C*(up_Bv!Z30+s_MLF_cereal)*s_IFCG_far_adj*s_CF_cereal,".")</f>
        <v>37914.59375</v>
      </c>
    </row>
    <row r="31" spans="1:102" x14ac:dyDescent="0.25">
      <c r="A31" s="54" t="s">
        <v>1</v>
      </c>
      <c r="B31" s="54" t="s">
        <v>1059</v>
      </c>
      <c r="C31" s="40">
        <f>IFERROR(1/SUM(1/D31,1/Z31,1/AA31),".")</f>
        <v>3.663313830985182E-6</v>
      </c>
      <c r="D31" s="40">
        <f t="shared" ref="D31:AA31" si="5">1/SUM(1/D32,1/D33,1/D34,1/D35,1/D36,1/D37,1/D38,1/D39,1/D40,1/D41,1/D42,1/D43,1/D44)</f>
        <v>1.0989941492955547E-5</v>
      </c>
      <c r="E31" s="40">
        <f t="shared" si="5"/>
        <v>1.0989941492955547E-5</v>
      </c>
      <c r="F31" s="40">
        <f t="shared" si="5"/>
        <v>1.0989941492955547E-5</v>
      </c>
      <c r="G31" s="40">
        <f t="shared" si="5"/>
        <v>1.0989941492955547E-5</v>
      </c>
      <c r="H31" s="40">
        <f t="shared" si="5"/>
        <v>1.0989941492955547E-5</v>
      </c>
      <c r="I31" s="40">
        <f t="shared" si="5"/>
        <v>1.0989941492955547E-5</v>
      </c>
      <c r="J31" s="40">
        <f t="shared" si="5"/>
        <v>1.0989941492955547E-5</v>
      </c>
      <c r="K31" s="40">
        <f t="shared" si="5"/>
        <v>1.0989941492955547E-5</v>
      </c>
      <c r="L31" s="40">
        <f t="shared" si="5"/>
        <v>1.0989941492955547E-5</v>
      </c>
      <c r="M31" s="40">
        <f t="shared" si="5"/>
        <v>1.0989941492955547E-5</v>
      </c>
      <c r="N31" s="40">
        <f t="shared" si="5"/>
        <v>1.0989941492955547E-5</v>
      </c>
      <c r="O31" s="40">
        <f t="shared" si="5"/>
        <v>1.0989941492955547E-5</v>
      </c>
      <c r="P31" s="40">
        <f t="shared" si="5"/>
        <v>1.0989941492955547E-5</v>
      </c>
      <c r="Q31" s="40">
        <f t="shared" si="5"/>
        <v>1.0989941492955547E-5</v>
      </c>
      <c r="R31" s="40">
        <f t="shared" si="5"/>
        <v>1.0989941492955547E-5</v>
      </c>
      <c r="S31" s="40">
        <f t="shared" si="5"/>
        <v>1.0989941492955547E-5</v>
      </c>
      <c r="T31" s="40">
        <f t="shared" si="5"/>
        <v>1.0989941492955547E-5</v>
      </c>
      <c r="U31" s="40">
        <f t="shared" si="5"/>
        <v>1.0989941492955547E-5</v>
      </c>
      <c r="V31" s="40">
        <f t="shared" si="5"/>
        <v>1.0989941492955547E-5</v>
      </c>
      <c r="W31" s="40">
        <f t="shared" si="5"/>
        <v>1.0989941492955547E-5</v>
      </c>
      <c r="X31" s="40">
        <f t="shared" si="5"/>
        <v>1.0989941492955547E-5</v>
      </c>
      <c r="Y31" s="40">
        <f t="shared" si="5"/>
        <v>1.0989941492955547E-5</v>
      </c>
      <c r="Z31" s="40">
        <f t="shared" si="5"/>
        <v>1.0989941492955547E-5</v>
      </c>
      <c r="AA31" s="40">
        <f t="shared" si="5"/>
        <v>1.0989941492955547E-5</v>
      </c>
      <c r="AB31" s="33">
        <f>SUM(AC31,AY31:AZ31)</f>
        <v>6824422.1361937504</v>
      </c>
      <c r="AC31" s="33">
        <f>IFERROR(SUM(AC32:AC44),".")</f>
        <v>2274807.3787312503</v>
      </c>
      <c r="AD31" s="33">
        <f t="shared" ref="AD31:AZ31" si="6">IFERROR(SUM(AD32:AD44),".")</f>
        <v>2274807.3787312503</v>
      </c>
      <c r="AE31" s="33">
        <f t="shared" si="6"/>
        <v>2274807.3787312503</v>
      </c>
      <c r="AF31" s="33">
        <f t="shared" si="6"/>
        <v>2274807.3787312503</v>
      </c>
      <c r="AG31" s="33">
        <f t="shared" si="6"/>
        <v>2274807.3787312503</v>
      </c>
      <c r="AH31" s="33">
        <f t="shared" si="6"/>
        <v>2274807.3787312503</v>
      </c>
      <c r="AI31" s="33">
        <f t="shared" si="6"/>
        <v>2274807.3787312503</v>
      </c>
      <c r="AJ31" s="33">
        <f t="shared" si="6"/>
        <v>2274807.3787312503</v>
      </c>
      <c r="AK31" s="33">
        <f t="shared" si="6"/>
        <v>2274807.3787312503</v>
      </c>
      <c r="AL31" s="33">
        <f t="shared" si="6"/>
        <v>2274807.3787312503</v>
      </c>
      <c r="AM31" s="33">
        <f t="shared" si="6"/>
        <v>2274807.3787312503</v>
      </c>
      <c r="AN31" s="33">
        <f t="shared" si="6"/>
        <v>2274807.3787312503</v>
      </c>
      <c r="AO31" s="33">
        <f t="shared" si="6"/>
        <v>2274807.3787312503</v>
      </c>
      <c r="AP31" s="33">
        <f t="shared" si="6"/>
        <v>2274807.3787312503</v>
      </c>
      <c r="AQ31" s="33">
        <f t="shared" si="6"/>
        <v>2274807.3787312503</v>
      </c>
      <c r="AR31" s="33">
        <f t="shared" si="6"/>
        <v>2274807.3787312503</v>
      </c>
      <c r="AS31" s="33">
        <f t="shared" si="6"/>
        <v>2274807.3787312503</v>
      </c>
      <c r="AT31" s="33">
        <f t="shared" si="6"/>
        <v>2274807.3787312503</v>
      </c>
      <c r="AU31" s="33">
        <f t="shared" si="6"/>
        <v>2274807.3787312503</v>
      </c>
      <c r="AV31" s="33">
        <f t="shared" si="6"/>
        <v>2274807.3787312503</v>
      </c>
      <c r="AW31" s="33">
        <f t="shared" si="6"/>
        <v>2274807.3787312503</v>
      </c>
      <c r="AX31" s="33">
        <f t="shared" si="6"/>
        <v>2274807.3787312503</v>
      </c>
      <c r="AY31" s="33">
        <f t="shared" si="6"/>
        <v>2274807.3787312503</v>
      </c>
      <c r="AZ31" s="33">
        <f t="shared" si="6"/>
        <v>2274807.3787312503</v>
      </c>
      <c r="BA31" s="40">
        <f t="shared" si="2"/>
        <v>3.663313830985182E-6</v>
      </c>
      <c r="BB31" s="40">
        <f t="shared" ref="BB31:BY31" si="7">1/SUM(1/BB32,1/BB33,1/BB34,1/BB35,1/BB36,1/BB37,1/BB38,1/BB39,1/BB40,1/BB41,1/BB42,1/BB43,1/BB44)</f>
        <v>1.0989941492955547E-5</v>
      </c>
      <c r="BC31" s="40">
        <f t="shared" si="7"/>
        <v>1.0989941492955547E-5</v>
      </c>
      <c r="BD31" s="40">
        <f t="shared" si="7"/>
        <v>1.0989941492955547E-5</v>
      </c>
      <c r="BE31" s="40">
        <f t="shared" si="7"/>
        <v>1.0989941492955547E-5</v>
      </c>
      <c r="BF31" s="40">
        <f t="shared" si="7"/>
        <v>1.0989941492955547E-5</v>
      </c>
      <c r="BG31" s="40">
        <f t="shared" si="7"/>
        <v>1.0989941492955547E-5</v>
      </c>
      <c r="BH31" s="40">
        <f t="shared" si="7"/>
        <v>1.0989941492955547E-5</v>
      </c>
      <c r="BI31" s="40">
        <f t="shared" si="7"/>
        <v>1.0989941492955547E-5</v>
      </c>
      <c r="BJ31" s="40">
        <f t="shared" si="7"/>
        <v>1.0989941492955547E-5</v>
      </c>
      <c r="BK31" s="40">
        <f t="shared" si="7"/>
        <v>1.0989941492955547E-5</v>
      </c>
      <c r="BL31" s="40">
        <f t="shared" si="7"/>
        <v>1.0989941492955547E-5</v>
      </c>
      <c r="BM31" s="40">
        <f t="shared" si="7"/>
        <v>1.0989941492955547E-5</v>
      </c>
      <c r="BN31" s="40">
        <f t="shared" si="7"/>
        <v>1.0989941492955547E-5</v>
      </c>
      <c r="BO31" s="40">
        <f t="shared" si="7"/>
        <v>1.0989941492955547E-5</v>
      </c>
      <c r="BP31" s="40">
        <f t="shared" si="7"/>
        <v>1.0989941492955547E-5</v>
      </c>
      <c r="BQ31" s="40">
        <f t="shared" si="7"/>
        <v>1.0989941492955547E-5</v>
      </c>
      <c r="BR31" s="40">
        <f t="shared" si="7"/>
        <v>1.0989941492955547E-5</v>
      </c>
      <c r="BS31" s="40">
        <f t="shared" si="7"/>
        <v>1.0989941492955547E-5</v>
      </c>
      <c r="BT31" s="40">
        <f t="shared" si="7"/>
        <v>1.0989941492955547E-5</v>
      </c>
      <c r="BU31" s="40">
        <f t="shared" si="7"/>
        <v>1.0989941492955547E-5</v>
      </c>
      <c r="BV31" s="40">
        <f t="shared" si="7"/>
        <v>1.0989941492955547E-5</v>
      </c>
      <c r="BW31" s="40">
        <f t="shared" si="7"/>
        <v>1.0989941492955547E-5</v>
      </c>
      <c r="BX31" s="40">
        <f t="shared" si="7"/>
        <v>1.0989941492955547E-5</v>
      </c>
      <c r="BY31" s="40">
        <f t="shared" si="7"/>
        <v>1.0989941492955547E-5</v>
      </c>
      <c r="BZ31" s="33">
        <f t="shared" ref="BZ31:BZ76" si="8">SUM(CA31,CW31:CX31)</f>
        <v>6824422.1361937504</v>
      </c>
      <c r="CA31" s="33">
        <f>IFERROR(SUM(CA32:CA44),".")</f>
        <v>2274807.3787312503</v>
      </c>
      <c r="CB31" s="33">
        <f t="shared" ref="CB31" si="9">IFERROR(SUM(CB32:CB44),".")</f>
        <v>2274807.3787312503</v>
      </c>
      <c r="CC31" s="33">
        <f t="shared" ref="CC31" si="10">IFERROR(SUM(CC32:CC44),".")</f>
        <v>2274807.3787312503</v>
      </c>
      <c r="CD31" s="33">
        <f t="shared" ref="CD31" si="11">IFERROR(SUM(CD32:CD44),".")</f>
        <v>2274807.3787312503</v>
      </c>
      <c r="CE31" s="33">
        <f t="shared" ref="CE31" si="12">IFERROR(SUM(CE32:CE44),".")</f>
        <v>2274807.3787312503</v>
      </c>
      <c r="CF31" s="33">
        <f t="shared" ref="CF31" si="13">IFERROR(SUM(CF32:CF44),".")</f>
        <v>2274807.3787312503</v>
      </c>
      <c r="CG31" s="33">
        <f t="shared" ref="CG31" si="14">IFERROR(SUM(CG32:CG44),".")</f>
        <v>2274807.3787312503</v>
      </c>
      <c r="CH31" s="33">
        <f t="shared" ref="CH31" si="15">IFERROR(SUM(CH32:CH44),".")</f>
        <v>2274807.3787312503</v>
      </c>
      <c r="CI31" s="33">
        <f t="shared" ref="CI31" si="16">IFERROR(SUM(CI32:CI44),".")</f>
        <v>2274807.3787312503</v>
      </c>
      <c r="CJ31" s="33">
        <f t="shared" ref="CJ31" si="17">IFERROR(SUM(CJ32:CJ44),".")</f>
        <v>2274807.3787312503</v>
      </c>
      <c r="CK31" s="33">
        <f t="shared" ref="CK31" si="18">IFERROR(SUM(CK32:CK44),".")</f>
        <v>2274807.3787312503</v>
      </c>
      <c r="CL31" s="33">
        <f t="shared" ref="CL31" si="19">IFERROR(SUM(CL32:CL44),".")</f>
        <v>2274807.3787312503</v>
      </c>
      <c r="CM31" s="33">
        <f t="shared" ref="CM31" si="20">IFERROR(SUM(CM32:CM44),".")</f>
        <v>2274807.3787312503</v>
      </c>
      <c r="CN31" s="33">
        <f t="shared" ref="CN31" si="21">IFERROR(SUM(CN32:CN44),".")</f>
        <v>2274807.3787312503</v>
      </c>
      <c r="CO31" s="33">
        <f t="shared" ref="CO31" si="22">IFERROR(SUM(CO32:CO44),".")</f>
        <v>2274807.3787312503</v>
      </c>
      <c r="CP31" s="33">
        <f t="shared" ref="CP31" si="23">IFERROR(SUM(CP32:CP44),".")</f>
        <v>2274807.3787312503</v>
      </c>
      <c r="CQ31" s="33">
        <f t="shared" ref="CQ31" si="24">IFERROR(SUM(CQ32:CQ44),".")</f>
        <v>2274807.3787312503</v>
      </c>
      <c r="CR31" s="33">
        <f t="shared" ref="CR31" si="25">IFERROR(SUM(CR32:CR44),".")</f>
        <v>2274807.3787312503</v>
      </c>
      <c r="CS31" s="33">
        <f t="shared" ref="CS31" si="26">IFERROR(SUM(CS32:CS44),".")</f>
        <v>2274807.3787312503</v>
      </c>
      <c r="CT31" s="33">
        <f t="shared" ref="CT31" si="27">IFERROR(SUM(CT32:CT44),".")</f>
        <v>2274807.3787312503</v>
      </c>
      <c r="CU31" s="33">
        <f t="shared" ref="CU31" si="28">IFERROR(SUM(CU32:CU44),".")</f>
        <v>2274807.3787312503</v>
      </c>
      <c r="CV31" s="33">
        <f t="shared" ref="CV31" si="29">IFERROR(SUM(CV32:CV44),".")</f>
        <v>2274807.3787312503</v>
      </c>
      <c r="CW31" s="33">
        <f t="shared" ref="CW31" si="30">IFERROR(SUM(CW32:CW44),".")</f>
        <v>2274807.3787312503</v>
      </c>
      <c r="CX31" s="33">
        <f t="shared" ref="CX31" si="31">IFERROR(SUM(CX32:CX44),".")</f>
        <v>2274807.3787312503</v>
      </c>
    </row>
    <row r="32" spans="1:102" x14ac:dyDescent="0.25">
      <c r="A32" s="55" t="s">
        <v>1087</v>
      </c>
      <c r="B32" s="3">
        <v>1</v>
      </c>
      <c r="C32" s="42">
        <f>IFERROR(1/SUM(1/D32,1/Z32,1/AA32),".")</f>
        <v>4.3958447178843029E-5</v>
      </c>
      <c r="D32" s="42">
        <f t="shared" ref="D32:AA32" si="32">IFERROR(D3/$B32,0)</f>
        <v>1.3187534153652909E-4</v>
      </c>
      <c r="E32" s="42">
        <f t="shared" si="32"/>
        <v>1.3187534153652909E-4</v>
      </c>
      <c r="F32" s="42">
        <f t="shared" si="32"/>
        <v>1.3187534153652909E-4</v>
      </c>
      <c r="G32" s="42">
        <f t="shared" si="32"/>
        <v>1.3187534153652909E-4</v>
      </c>
      <c r="H32" s="42">
        <f t="shared" si="32"/>
        <v>1.3187534153652909E-4</v>
      </c>
      <c r="I32" s="42">
        <f t="shared" si="32"/>
        <v>1.3187534153652909E-4</v>
      </c>
      <c r="J32" s="42">
        <f t="shared" si="32"/>
        <v>1.3187534153652909E-4</v>
      </c>
      <c r="K32" s="42">
        <f t="shared" si="32"/>
        <v>1.3187534153652909E-4</v>
      </c>
      <c r="L32" s="42">
        <f t="shared" si="32"/>
        <v>1.3187534153652909E-4</v>
      </c>
      <c r="M32" s="42">
        <f t="shared" si="32"/>
        <v>1.3187534153652909E-4</v>
      </c>
      <c r="N32" s="42">
        <f t="shared" si="32"/>
        <v>1.3187534153652909E-4</v>
      </c>
      <c r="O32" s="42">
        <f t="shared" si="32"/>
        <v>1.3187534153652909E-4</v>
      </c>
      <c r="P32" s="42">
        <f t="shared" si="32"/>
        <v>1.3187534153652909E-4</v>
      </c>
      <c r="Q32" s="42">
        <f t="shared" si="32"/>
        <v>1.3187534153652909E-4</v>
      </c>
      <c r="R32" s="42">
        <f t="shared" si="32"/>
        <v>1.3187534153652909E-4</v>
      </c>
      <c r="S32" s="42">
        <f t="shared" si="32"/>
        <v>1.3187534153652909E-4</v>
      </c>
      <c r="T32" s="42">
        <f t="shared" si="32"/>
        <v>1.3187534153652909E-4</v>
      </c>
      <c r="U32" s="42">
        <f t="shared" si="32"/>
        <v>1.3187534153652909E-4</v>
      </c>
      <c r="V32" s="42">
        <f t="shared" si="32"/>
        <v>1.3187534153652909E-4</v>
      </c>
      <c r="W32" s="42">
        <f t="shared" si="32"/>
        <v>1.3187534153652909E-4</v>
      </c>
      <c r="X32" s="42">
        <f t="shared" si="32"/>
        <v>1.3187534153652909E-4</v>
      </c>
      <c r="Y32" s="42">
        <f t="shared" si="32"/>
        <v>1.3187534153652909E-4</v>
      </c>
      <c r="Z32" s="42">
        <f t="shared" si="32"/>
        <v>1.3187534153652909E-4</v>
      </c>
      <c r="AA32" s="42">
        <f t="shared" si="32"/>
        <v>1.3187534153652909E-4</v>
      </c>
      <c r="AB32" s="34">
        <f>SUM(AC32,AY32:AZ32)</f>
        <v>568718.90625</v>
      </c>
      <c r="AC32" s="34">
        <f>IFERROR(up_RadSpec!$J$3*(AC3*$B32),".")</f>
        <v>189572.96875</v>
      </c>
      <c r="AD32" s="34">
        <f>IFERROR(up_RadSpec!$J$3*(AD3*$B32),".")</f>
        <v>189572.96875</v>
      </c>
      <c r="AE32" s="34">
        <f>IFERROR(up_RadSpec!$J$3*(AE3*$B32),".")</f>
        <v>189572.96875</v>
      </c>
      <c r="AF32" s="34">
        <f>IFERROR(up_RadSpec!$J$3*(AF3*$B32),".")</f>
        <v>189572.96875</v>
      </c>
      <c r="AG32" s="34">
        <f>IFERROR(up_RadSpec!$J$3*(AG3*$B32),".")</f>
        <v>189572.96875</v>
      </c>
      <c r="AH32" s="34">
        <f>IFERROR(up_RadSpec!$J$3*(AH3*$B32),".")</f>
        <v>189572.96875</v>
      </c>
      <c r="AI32" s="34">
        <f>IFERROR(up_RadSpec!$J$3*(AI3*$B32),".")</f>
        <v>189572.96875</v>
      </c>
      <c r="AJ32" s="34">
        <f>IFERROR(up_RadSpec!$J$3*(AJ3*$B32),".")</f>
        <v>189572.96875</v>
      </c>
      <c r="AK32" s="34">
        <f>IFERROR(up_RadSpec!$J$3*(AK3*$B32),".")</f>
        <v>189572.96875</v>
      </c>
      <c r="AL32" s="34">
        <f>IFERROR(up_RadSpec!$J$3*(AL3*$B32),".")</f>
        <v>189572.96875</v>
      </c>
      <c r="AM32" s="34">
        <f>IFERROR(up_RadSpec!$J$3*(AM3*$B32),".")</f>
        <v>189572.96875</v>
      </c>
      <c r="AN32" s="34">
        <f>IFERROR(up_RadSpec!$J$3*(AN3*$B32),".")</f>
        <v>189572.96875</v>
      </c>
      <c r="AO32" s="34">
        <f>IFERROR(up_RadSpec!$J$3*(AO3*$B32),".")</f>
        <v>189572.96875</v>
      </c>
      <c r="AP32" s="34">
        <f>IFERROR(up_RadSpec!$J$3*(AP3*$B32),".")</f>
        <v>189572.96875</v>
      </c>
      <c r="AQ32" s="34">
        <f>IFERROR(up_RadSpec!$J$3*(AQ3*$B32),".")</f>
        <v>189572.96875</v>
      </c>
      <c r="AR32" s="34">
        <f>IFERROR(up_RadSpec!$J$3*(AR3*$B32),".")</f>
        <v>189572.96875</v>
      </c>
      <c r="AS32" s="34">
        <f>IFERROR(up_RadSpec!$J$3*(AS3*$B32),".")</f>
        <v>189572.96875</v>
      </c>
      <c r="AT32" s="34">
        <f>IFERROR(up_RadSpec!$J$3*(AT3*$B32),".")</f>
        <v>189572.96875</v>
      </c>
      <c r="AU32" s="34">
        <f>IFERROR(up_RadSpec!$J$3*(AU3*$B32),".")</f>
        <v>189572.96875</v>
      </c>
      <c r="AV32" s="34">
        <f>IFERROR(up_RadSpec!$J$3*(AV3*$B32),".")</f>
        <v>189572.96875</v>
      </c>
      <c r="AW32" s="34">
        <f>IFERROR(up_RadSpec!$J$3*(AW3*$B32),".")</f>
        <v>189572.96875</v>
      </c>
      <c r="AX32" s="34">
        <f>IFERROR(up_RadSpec!$J$3*(AX3*$B32),".")</f>
        <v>189572.96875</v>
      </c>
      <c r="AY32" s="34">
        <f>IFERROR(up_RadSpec!$J$3*(AY3*$B32),".")</f>
        <v>189572.96875</v>
      </c>
      <c r="AZ32" s="34">
        <f>IFERROR(up_RadSpec!$J$3*(AZ3*$B32),".")</f>
        <v>189572.96875</v>
      </c>
      <c r="BA32" s="42">
        <f t="shared" si="2"/>
        <v>4.3958447178843029E-5</v>
      </c>
      <c r="BB32" s="42">
        <f t="shared" ref="BB32:BY32" si="33">IFERROR(BB3/$B32,0)</f>
        <v>1.3187534153652909E-4</v>
      </c>
      <c r="BC32" s="42">
        <f t="shared" si="33"/>
        <v>1.3187534153652909E-4</v>
      </c>
      <c r="BD32" s="42">
        <f t="shared" si="33"/>
        <v>1.3187534153652909E-4</v>
      </c>
      <c r="BE32" s="42">
        <f t="shared" si="33"/>
        <v>1.3187534153652909E-4</v>
      </c>
      <c r="BF32" s="42">
        <f t="shared" si="33"/>
        <v>1.3187534153652909E-4</v>
      </c>
      <c r="BG32" s="42">
        <f t="shared" si="33"/>
        <v>1.3187534153652909E-4</v>
      </c>
      <c r="BH32" s="42">
        <f t="shared" si="33"/>
        <v>1.3187534153652909E-4</v>
      </c>
      <c r="BI32" s="42">
        <f t="shared" si="33"/>
        <v>1.3187534153652909E-4</v>
      </c>
      <c r="BJ32" s="42">
        <f t="shared" si="33"/>
        <v>1.3187534153652909E-4</v>
      </c>
      <c r="BK32" s="42">
        <f t="shared" si="33"/>
        <v>1.3187534153652909E-4</v>
      </c>
      <c r="BL32" s="42">
        <f t="shared" si="33"/>
        <v>1.3187534153652909E-4</v>
      </c>
      <c r="BM32" s="42">
        <f t="shared" si="33"/>
        <v>1.3187534153652909E-4</v>
      </c>
      <c r="BN32" s="42">
        <f t="shared" si="33"/>
        <v>1.3187534153652909E-4</v>
      </c>
      <c r="BO32" s="42">
        <f t="shared" si="33"/>
        <v>1.3187534153652909E-4</v>
      </c>
      <c r="BP32" s="42">
        <f t="shared" si="33"/>
        <v>1.3187534153652909E-4</v>
      </c>
      <c r="BQ32" s="42">
        <f t="shared" si="33"/>
        <v>1.3187534153652909E-4</v>
      </c>
      <c r="BR32" s="42">
        <f t="shared" si="33"/>
        <v>1.3187534153652909E-4</v>
      </c>
      <c r="BS32" s="42">
        <f t="shared" si="33"/>
        <v>1.3187534153652909E-4</v>
      </c>
      <c r="BT32" s="42">
        <f t="shared" si="33"/>
        <v>1.3187534153652909E-4</v>
      </c>
      <c r="BU32" s="42">
        <f t="shared" si="33"/>
        <v>1.3187534153652909E-4</v>
      </c>
      <c r="BV32" s="42">
        <f t="shared" si="33"/>
        <v>1.3187534153652909E-4</v>
      </c>
      <c r="BW32" s="42">
        <f t="shared" si="33"/>
        <v>1.3187534153652909E-4</v>
      </c>
      <c r="BX32" s="42">
        <f t="shared" si="33"/>
        <v>1.3187534153652909E-4</v>
      </c>
      <c r="BY32" s="42">
        <f t="shared" si="33"/>
        <v>1.3187534153652909E-4</v>
      </c>
      <c r="BZ32" s="34">
        <f t="shared" si="8"/>
        <v>568718.90625</v>
      </c>
      <c r="CA32" s="34">
        <f>IFERROR(up_RadSpec!$J$3*(CA3*$B32),".")</f>
        <v>189572.96875</v>
      </c>
      <c r="CB32" s="34">
        <f>IFERROR(up_RadSpec!$J$3*(CB3*$B32),".")</f>
        <v>189572.96875</v>
      </c>
      <c r="CC32" s="34">
        <f>IFERROR(up_RadSpec!$J$3*(CC3*$B32),".")</f>
        <v>189572.96875</v>
      </c>
      <c r="CD32" s="34">
        <f>IFERROR(up_RadSpec!$J$3*(CD3*$B32),".")</f>
        <v>189572.96875</v>
      </c>
      <c r="CE32" s="34">
        <f>IFERROR(up_RadSpec!$J$3*(CE3*$B32),".")</f>
        <v>189572.96875</v>
      </c>
      <c r="CF32" s="34">
        <f>IFERROR(up_RadSpec!$J$3*(CF3*$B32),".")</f>
        <v>189572.96875</v>
      </c>
      <c r="CG32" s="34">
        <f>IFERROR(up_RadSpec!$J$3*(CG3*$B32),".")</f>
        <v>189572.96875</v>
      </c>
      <c r="CH32" s="34">
        <f>IFERROR(up_RadSpec!$J$3*(CH3*$B32),".")</f>
        <v>189572.96875</v>
      </c>
      <c r="CI32" s="34">
        <f>IFERROR(up_RadSpec!$J$3*(CI3*$B32),".")</f>
        <v>189572.96875</v>
      </c>
      <c r="CJ32" s="34">
        <f>IFERROR(up_RadSpec!$J$3*(CJ3*$B32),".")</f>
        <v>189572.96875</v>
      </c>
      <c r="CK32" s="34">
        <f>IFERROR(up_RadSpec!$J$3*(CK3*$B32),".")</f>
        <v>189572.96875</v>
      </c>
      <c r="CL32" s="34">
        <f>IFERROR(up_RadSpec!$J$3*(CL3*$B32),".")</f>
        <v>189572.96875</v>
      </c>
      <c r="CM32" s="34">
        <f>IFERROR(up_RadSpec!$J$3*(CM3*$B32),".")</f>
        <v>189572.96875</v>
      </c>
      <c r="CN32" s="34">
        <f>IFERROR(up_RadSpec!$J$3*(CN3*$B32),".")</f>
        <v>189572.96875</v>
      </c>
      <c r="CO32" s="34">
        <f>IFERROR(up_RadSpec!$J$3*(CO3*$B32),".")</f>
        <v>189572.96875</v>
      </c>
      <c r="CP32" s="34">
        <f>IFERROR(up_RadSpec!$J$3*(CP3*$B32),".")</f>
        <v>189572.96875</v>
      </c>
      <c r="CQ32" s="34">
        <f>IFERROR(up_RadSpec!$J$3*(CQ3*$B32),".")</f>
        <v>189572.96875</v>
      </c>
      <c r="CR32" s="34">
        <f>IFERROR(up_RadSpec!$J$3*(CR3*$B32),".")</f>
        <v>189572.96875</v>
      </c>
      <c r="CS32" s="34">
        <f>IFERROR(up_RadSpec!$J$3*(CS3*$B32),".")</f>
        <v>189572.96875</v>
      </c>
      <c r="CT32" s="34">
        <f>IFERROR(up_RadSpec!$J$3*(CT3*$B32),".")</f>
        <v>189572.96875</v>
      </c>
      <c r="CU32" s="34">
        <f>IFERROR(up_RadSpec!$J$3*(CU3*$B32),".")</f>
        <v>189572.96875</v>
      </c>
      <c r="CV32" s="34">
        <f>IFERROR(up_RadSpec!$J$3*(CV3*$B32),".")</f>
        <v>189572.96875</v>
      </c>
      <c r="CW32" s="34">
        <f>IFERROR(up_RadSpec!$J$3*(CW3*$B32),".")</f>
        <v>189572.96875</v>
      </c>
      <c r="CX32" s="34">
        <f>IFERROR(up_RadSpec!$J$3*(CX3*$B32),".")</f>
        <v>189572.96875</v>
      </c>
    </row>
    <row r="33" spans="1:102" x14ac:dyDescent="0.25">
      <c r="A33" s="55" t="s">
        <v>1063</v>
      </c>
      <c r="B33" s="3">
        <v>1</v>
      </c>
      <c r="C33" s="42">
        <f t="shared" si="1"/>
        <v>4.3958447178843029E-5</v>
      </c>
      <c r="D33" s="42">
        <f t="shared" ref="D33:S34" si="34">IFERROR(D13/$B33,0)</f>
        <v>1.3187534153652909E-4</v>
      </c>
      <c r="E33" s="42">
        <f t="shared" si="34"/>
        <v>1.3187534153652909E-4</v>
      </c>
      <c r="F33" s="42">
        <f t="shared" si="34"/>
        <v>1.3187534153652909E-4</v>
      </c>
      <c r="G33" s="42">
        <f t="shared" si="34"/>
        <v>1.3187534153652909E-4</v>
      </c>
      <c r="H33" s="42">
        <f t="shared" si="34"/>
        <v>1.3187534153652909E-4</v>
      </c>
      <c r="I33" s="42">
        <f t="shared" si="34"/>
        <v>1.3187534153652909E-4</v>
      </c>
      <c r="J33" s="42">
        <f t="shared" si="34"/>
        <v>1.3187534153652909E-4</v>
      </c>
      <c r="K33" s="42">
        <f t="shared" si="34"/>
        <v>1.3187534153652909E-4</v>
      </c>
      <c r="L33" s="42">
        <f t="shared" si="34"/>
        <v>1.3187534153652909E-4</v>
      </c>
      <c r="M33" s="42">
        <f t="shared" si="34"/>
        <v>1.3187534153652909E-4</v>
      </c>
      <c r="N33" s="42">
        <f t="shared" si="34"/>
        <v>1.3187534153652909E-4</v>
      </c>
      <c r="O33" s="42">
        <f t="shared" si="34"/>
        <v>1.3187534153652909E-4</v>
      </c>
      <c r="P33" s="42">
        <f t="shared" si="34"/>
        <v>1.3187534153652909E-4</v>
      </c>
      <c r="Q33" s="42">
        <f t="shared" si="34"/>
        <v>1.3187534153652909E-4</v>
      </c>
      <c r="R33" s="42">
        <f t="shared" si="34"/>
        <v>1.3187534153652909E-4</v>
      </c>
      <c r="S33" s="42">
        <f t="shared" si="34"/>
        <v>1.3187534153652909E-4</v>
      </c>
      <c r="T33" s="42">
        <f t="shared" ref="E33:AA34" si="35">IFERROR(T13/$B33,0)</f>
        <v>1.3187534153652909E-4</v>
      </c>
      <c r="U33" s="42">
        <f t="shared" si="35"/>
        <v>1.3187534153652909E-4</v>
      </c>
      <c r="V33" s="42">
        <f t="shared" si="35"/>
        <v>1.3187534153652909E-4</v>
      </c>
      <c r="W33" s="42">
        <f t="shared" si="35"/>
        <v>1.3187534153652909E-4</v>
      </c>
      <c r="X33" s="42">
        <f t="shared" si="35"/>
        <v>1.3187534153652909E-4</v>
      </c>
      <c r="Y33" s="42">
        <f t="shared" si="35"/>
        <v>1.3187534153652909E-4</v>
      </c>
      <c r="Z33" s="42">
        <f t="shared" si="35"/>
        <v>1.3187534153652909E-4</v>
      </c>
      <c r="AA33" s="42">
        <f t="shared" si="35"/>
        <v>1.3187534153652909E-4</v>
      </c>
      <c r="AB33" s="34">
        <f t="shared" si="4"/>
        <v>568718.90625</v>
      </c>
      <c r="AC33" s="34">
        <f>IFERROR(up_RadSpec!$J$13*(AC13*$B33),".")</f>
        <v>189572.96875</v>
      </c>
      <c r="AD33" s="34">
        <f>IFERROR(up_RadSpec!$J$13*(AD13*$B33),".")</f>
        <v>189572.96875</v>
      </c>
      <c r="AE33" s="34">
        <f>IFERROR(up_RadSpec!$J$13*(AE13*$B33),".")</f>
        <v>189572.96875</v>
      </c>
      <c r="AF33" s="34">
        <f>IFERROR(up_RadSpec!$J$13*(AF13*$B33),".")</f>
        <v>189572.96875</v>
      </c>
      <c r="AG33" s="34">
        <f>IFERROR(up_RadSpec!$J$13*(AG13*$B33),".")</f>
        <v>189572.96875</v>
      </c>
      <c r="AH33" s="34">
        <f>IFERROR(up_RadSpec!$J$13*(AH13*$B33),".")</f>
        <v>189572.96875</v>
      </c>
      <c r="AI33" s="34">
        <f>IFERROR(up_RadSpec!$J$13*(AI13*$B33),".")</f>
        <v>189572.96875</v>
      </c>
      <c r="AJ33" s="34">
        <f>IFERROR(up_RadSpec!$J$13*(AJ13*$B33),".")</f>
        <v>189572.96875</v>
      </c>
      <c r="AK33" s="34">
        <f>IFERROR(up_RadSpec!$J$13*(AK13*$B33),".")</f>
        <v>189572.96875</v>
      </c>
      <c r="AL33" s="34">
        <f>IFERROR(up_RadSpec!$J$13*(AL13*$B33),".")</f>
        <v>189572.96875</v>
      </c>
      <c r="AM33" s="34">
        <f>IFERROR(up_RadSpec!$J$13*(AM13*$B33),".")</f>
        <v>189572.96875</v>
      </c>
      <c r="AN33" s="34">
        <f>IFERROR(up_RadSpec!$J$13*(AN13*$B33),".")</f>
        <v>189572.96875</v>
      </c>
      <c r="AO33" s="34">
        <f>IFERROR(up_RadSpec!$J$13*(AO13*$B33),".")</f>
        <v>189572.96875</v>
      </c>
      <c r="AP33" s="34">
        <f>IFERROR(up_RadSpec!$J$13*(AP13*$B33),".")</f>
        <v>189572.96875</v>
      </c>
      <c r="AQ33" s="34">
        <f>IFERROR(up_RadSpec!$J$13*(AQ13*$B33),".")</f>
        <v>189572.96875</v>
      </c>
      <c r="AR33" s="34">
        <f>IFERROR(up_RadSpec!$J$13*(AR13*$B33),".")</f>
        <v>189572.96875</v>
      </c>
      <c r="AS33" s="34">
        <f>IFERROR(up_RadSpec!$J$13*(AS13*$B33),".")</f>
        <v>189572.96875</v>
      </c>
      <c r="AT33" s="34">
        <f>IFERROR(up_RadSpec!$J$13*(AT13*$B33),".")</f>
        <v>189572.96875</v>
      </c>
      <c r="AU33" s="34">
        <f>IFERROR(up_RadSpec!$J$13*(AU13*$B33),".")</f>
        <v>189572.96875</v>
      </c>
      <c r="AV33" s="34">
        <f>IFERROR(up_RadSpec!$J$13*(AV13*$B33),".")</f>
        <v>189572.96875</v>
      </c>
      <c r="AW33" s="34">
        <f>IFERROR(up_RadSpec!$J$13*(AW13*$B33),".")</f>
        <v>189572.96875</v>
      </c>
      <c r="AX33" s="34">
        <f>IFERROR(up_RadSpec!$J$13*(AX13*$B33),".")</f>
        <v>189572.96875</v>
      </c>
      <c r="AY33" s="34">
        <f>IFERROR(up_RadSpec!$J$13*(AY13*$B33),".")</f>
        <v>189572.96875</v>
      </c>
      <c r="AZ33" s="34">
        <f>IFERROR(up_RadSpec!$J$13*(AZ13*$B33),".")</f>
        <v>189572.96875</v>
      </c>
      <c r="BA33" s="42">
        <f t="shared" si="2"/>
        <v>4.3958447178843029E-5</v>
      </c>
      <c r="BB33" s="42">
        <f t="shared" ref="BB33:BY34" si="36">IFERROR(BB13/$B33,0)</f>
        <v>1.3187534153652909E-4</v>
      </c>
      <c r="BC33" s="42">
        <f t="shared" si="36"/>
        <v>1.3187534153652909E-4</v>
      </c>
      <c r="BD33" s="42">
        <f t="shared" si="36"/>
        <v>1.3187534153652909E-4</v>
      </c>
      <c r="BE33" s="42">
        <f t="shared" si="36"/>
        <v>1.3187534153652909E-4</v>
      </c>
      <c r="BF33" s="42">
        <f t="shared" si="36"/>
        <v>1.3187534153652909E-4</v>
      </c>
      <c r="BG33" s="42">
        <f t="shared" si="36"/>
        <v>1.3187534153652909E-4</v>
      </c>
      <c r="BH33" s="42">
        <f t="shared" si="36"/>
        <v>1.3187534153652909E-4</v>
      </c>
      <c r="BI33" s="42">
        <f t="shared" si="36"/>
        <v>1.3187534153652909E-4</v>
      </c>
      <c r="BJ33" s="42">
        <f t="shared" si="36"/>
        <v>1.3187534153652909E-4</v>
      </c>
      <c r="BK33" s="42">
        <f t="shared" si="36"/>
        <v>1.3187534153652909E-4</v>
      </c>
      <c r="BL33" s="42">
        <f t="shared" si="36"/>
        <v>1.3187534153652909E-4</v>
      </c>
      <c r="BM33" s="42">
        <f t="shared" si="36"/>
        <v>1.3187534153652909E-4</v>
      </c>
      <c r="BN33" s="42">
        <f t="shared" si="36"/>
        <v>1.3187534153652909E-4</v>
      </c>
      <c r="BO33" s="42">
        <f t="shared" si="36"/>
        <v>1.3187534153652909E-4</v>
      </c>
      <c r="BP33" s="42">
        <f t="shared" si="36"/>
        <v>1.3187534153652909E-4</v>
      </c>
      <c r="BQ33" s="42">
        <f t="shared" si="36"/>
        <v>1.3187534153652909E-4</v>
      </c>
      <c r="BR33" s="42">
        <f t="shared" si="36"/>
        <v>1.3187534153652909E-4</v>
      </c>
      <c r="BS33" s="42">
        <f t="shared" si="36"/>
        <v>1.3187534153652909E-4</v>
      </c>
      <c r="BT33" s="42">
        <f t="shared" si="36"/>
        <v>1.3187534153652909E-4</v>
      </c>
      <c r="BU33" s="42">
        <f t="shared" si="36"/>
        <v>1.3187534153652909E-4</v>
      </c>
      <c r="BV33" s="42">
        <f t="shared" si="36"/>
        <v>1.3187534153652909E-4</v>
      </c>
      <c r="BW33" s="42">
        <f t="shared" si="36"/>
        <v>1.3187534153652909E-4</v>
      </c>
      <c r="BX33" s="42">
        <f t="shared" si="36"/>
        <v>1.3187534153652909E-4</v>
      </c>
      <c r="BY33" s="42">
        <f t="shared" si="36"/>
        <v>1.3187534153652909E-4</v>
      </c>
      <c r="BZ33" s="34">
        <f t="shared" si="8"/>
        <v>568718.90625</v>
      </c>
      <c r="CA33" s="34">
        <f>IFERROR(up_RadSpec!$J$13*(CA13*$B33),".")</f>
        <v>189572.96875</v>
      </c>
      <c r="CB33" s="34">
        <f>IFERROR(up_RadSpec!$J$13*(CB13*$B33),".")</f>
        <v>189572.96875</v>
      </c>
      <c r="CC33" s="34">
        <f>IFERROR(up_RadSpec!$J$13*(CC13*$B33),".")</f>
        <v>189572.96875</v>
      </c>
      <c r="CD33" s="34">
        <f>IFERROR(up_RadSpec!$J$13*(CD13*$B33),".")</f>
        <v>189572.96875</v>
      </c>
      <c r="CE33" s="34">
        <f>IFERROR(up_RadSpec!$J$13*(CE13*$B33),".")</f>
        <v>189572.96875</v>
      </c>
      <c r="CF33" s="34">
        <f>IFERROR(up_RadSpec!$J$13*(CF13*$B33),".")</f>
        <v>189572.96875</v>
      </c>
      <c r="CG33" s="34">
        <f>IFERROR(up_RadSpec!$J$13*(CG13*$B33),".")</f>
        <v>189572.96875</v>
      </c>
      <c r="CH33" s="34">
        <f>IFERROR(up_RadSpec!$J$13*(CH13*$B33),".")</f>
        <v>189572.96875</v>
      </c>
      <c r="CI33" s="34">
        <f>IFERROR(up_RadSpec!$J$13*(CI13*$B33),".")</f>
        <v>189572.96875</v>
      </c>
      <c r="CJ33" s="34">
        <f>IFERROR(up_RadSpec!$J$13*(CJ13*$B33),".")</f>
        <v>189572.96875</v>
      </c>
      <c r="CK33" s="34">
        <f>IFERROR(up_RadSpec!$J$13*(CK13*$B33),".")</f>
        <v>189572.96875</v>
      </c>
      <c r="CL33" s="34">
        <f>IFERROR(up_RadSpec!$J$13*(CL13*$B33),".")</f>
        <v>189572.96875</v>
      </c>
      <c r="CM33" s="34">
        <f>IFERROR(up_RadSpec!$J$13*(CM13*$B33),".")</f>
        <v>189572.96875</v>
      </c>
      <c r="CN33" s="34">
        <f>IFERROR(up_RadSpec!$J$13*(CN13*$B33),".")</f>
        <v>189572.96875</v>
      </c>
      <c r="CO33" s="34">
        <f>IFERROR(up_RadSpec!$J$13*(CO13*$B33),".")</f>
        <v>189572.96875</v>
      </c>
      <c r="CP33" s="34">
        <f>IFERROR(up_RadSpec!$J$13*(CP13*$B33),".")</f>
        <v>189572.96875</v>
      </c>
      <c r="CQ33" s="34">
        <f>IFERROR(up_RadSpec!$J$13*(CQ13*$B33),".")</f>
        <v>189572.96875</v>
      </c>
      <c r="CR33" s="34">
        <f>IFERROR(up_RadSpec!$J$13*(CR13*$B33),".")</f>
        <v>189572.96875</v>
      </c>
      <c r="CS33" s="34">
        <f>IFERROR(up_RadSpec!$J$13*(CS13*$B33),".")</f>
        <v>189572.96875</v>
      </c>
      <c r="CT33" s="34">
        <f>IFERROR(up_RadSpec!$J$13*(CT13*$B33),".")</f>
        <v>189572.96875</v>
      </c>
      <c r="CU33" s="34">
        <f>IFERROR(up_RadSpec!$J$13*(CU13*$B33),".")</f>
        <v>189572.96875</v>
      </c>
      <c r="CV33" s="34">
        <f>IFERROR(up_RadSpec!$J$13*(CV13*$B33),".")</f>
        <v>189572.96875</v>
      </c>
      <c r="CW33" s="34">
        <f>IFERROR(up_RadSpec!$J$13*(CW13*$B33),".")</f>
        <v>189572.96875</v>
      </c>
      <c r="CX33" s="34">
        <f>IFERROR(up_RadSpec!$J$13*(CX13*$B33),".")</f>
        <v>189572.96875</v>
      </c>
    </row>
    <row r="34" spans="1:102" x14ac:dyDescent="0.25">
      <c r="A34" s="55" t="s">
        <v>1064</v>
      </c>
      <c r="B34" s="3">
        <v>1</v>
      </c>
      <c r="C34" s="42">
        <f t="shared" si="1"/>
        <v>4.3958447178843029E-5</v>
      </c>
      <c r="D34" s="42">
        <f t="shared" si="34"/>
        <v>1.3187534153652909E-4</v>
      </c>
      <c r="E34" s="42">
        <f t="shared" si="35"/>
        <v>1.3187534153652909E-4</v>
      </c>
      <c r="F34" s="42">
        <f t="shared" si="35"/>
        <v>1.3187534153652909E-4</v>
      </c>
      <c r="G34" s="42">
        <f t="shared" si="35"/>
        <v>1.3187534153652909E-4</v>
      </c>
      <c r="H34" s="42">
        <f t="shared" si="35"/>
        <v>1.3187534153652909E-4</v>
      </c>
      <c r="I34" s="42">
        <f t="shared" si="35"/>
        <v>1.3187534153652909E-4</v>
      </c>
      <c r="J34" s="42">
        <f t="shared" si="35"/>
        <v>1.3187534153652909E-4</v>
      </c>
      <c r="K34" s="42">
        <f t="shared" si="35"/>
        <v>1.3187534153652909E-4</v>
      </c>
      <c r="L34" s="42">
        <f t="shared" si="35"/>
        <v>1.3187534153652909E-4</v>
      </c>
      <c r="M34" s="42">
        <f t="shared" si="35"/>
        <v>1.3187534153652909E-4</v>
      </c>
      <c r="N34" s="42">
        <f t="shared" si="35"/>
        <v>1.3187534153652909E-4</v>
      </c>
      <c r="O34" s="42">
        <f t="shared" si="35"/>
        <v>1.3187534153652909E-4</v>
      </c>
      <c r="P34" s="42">
        <f t="shared" si="35"/>
        <v>1.3187534153652909E-4</v>
      </c>
      <c r="Q34" s="42">
        <f t="shared" si="35"/>
        <v>1.3187534153652909E-4</v>
      </c>
      <c r="R34" s="42">
        <f t="shared" si="35"/>
        <v>1.3187534153652909E-4</v>
      </c>
      <c r="S34" s="42">
        <f t="shared" si="35"/>
        <v>1.3187534153652909E-4</v>
      </c>
      <c r="T34" s="42">
        <f t="shared" si="35"/>
        <v>1.3187534153652909E-4</v>
      </c>
      <c r="U34" s="42">
        <f t="shared" si="35"/>
        <v>1.3187534153652909E-4</v>
      </c>
      <c r="V34" s="42">
        <f t="shared" si="35"/>
        <v>1.3187534153652909E-4</v>
      </c>
      <c r="W34" s="42">
        <f t="shared" si="35"/>
        <v>1.3187534153652909E-4</v>
      </c>
      <c r="X34" s="42">
        <f t="shared" si="35"/>
        <v>1.3187534153652909E-4</v>
      </c>
      <c r="Y34" s="42">
        <f t="shared" si="35"/>
        <v>1.3187534153652909E-4</v>
      </c>
      <c r="Z34" s="42">
        <f t="shared" si="35"/>
        <v>1.3187534153652909E-4</v>
      </c>
      <c r="AA34" s="42">
        <f t="shared" si="35"/>
        <v>1.3187534153652909E-4</v>
      </c>
      <c r="AB34" s="34">
        <f t="shared" si="4"/>
        <v>568718.90625</v>
      </c>
      <c r="AC34" s="34">
        <f>IFERROR(up_RadSpec!$J$14*(AC14*$B34),".")</f>
        <v>189572.96875</v>
      </c>
      <c r="AD34" s="34">
        <f>IFERROR(up_RadSpec!$J$14*(AD14*$B34),".")</f>
        <v>189572.96875</v>
      </c>
      <c r="AE34" s="34">
        <f>IFERROR(up_RadSpec!$J$14*(AE14*$B34),".")</f>
        <v>189572.96875</v>
      </c>
      <c r="AF34" s="34">
        <f>IFERROR(up_RadSpec!$J$14*(AF14*$B34),".")</f>
        <v>189572.96875</v>
      </c>
      <c r="AG34" s="34">
        <f>IFERROR(up_RadSpec!$J$14*(AG14*$B34),".")</f>
        <v>189572.96875</v>
      </c>
      <c r="AH34" s="34">
        <f>IFERROR(up_RadSpec!$J$14*(AH14*$B34),".")</f>
        <v>189572.96875</v>
      </c>
      <c r="AI34" s="34">
        <f>IFERROR(up_RadSpec!$J$14*(AI14*$B34),".")</f>
        <v>189572.96875</v>
      </c>
      <c r="AJ34" s="34">
        <f>IFERROR(up_RadSpec!$J$14*(AJ14*$B34),".")</f>
        <v>189572.96875</v>
      </c>
      <c r="AK34" s="34">
        <f>IFERROR(up_RadSpec!$J$14*(AK14*$B34),".")</f>
        <v>189572.96875</v>
      </c>
      <c r="AL34" s="34">
        <f>IFERROR(up_RadSpec!$J$14*(AL14*$B34),".")</f>
        <v>189572.96875</v>
      </c>
      <c r="AM34" s="34">
        <f>IFERROR(up_RadSpec!$J$14*(AM14*$B34),".")</f>
        <v>189572.96875</v>
      </c>
      <c r="AN34" s="34">
        <f>IFERROR(up_RadSpec!$J$14*(AN14*$B34),".")</f>
        <v>189572.96875</v>
      </c>
      <c r="AO34" s="34">
        <f>IFERROR(up_RadSpec!$J$14*(AO14*$B34),".")</f>
        <v>189572.96875</v>
      </c>
      <c r="AP34" s="34">
        <f>IFERROR(up_RadSpec!$J$14*(AP14*$B34),".")</f>
        <v>189572.96875</v>
      </c>
      <c r="AQ34" s="34">
        <f>IFERROR(up_RadSpec!$J$14*(AQ14*$B34),".")</f>
        <v>189572.96875</v>
      </c>
      <c r="AR34" s="34">
        <f>IFERROR(up_RadSpec!$J$14*(AR14*$B34),".")</f>
        <v>189572.96875</v>
      </c>
      <c r="AS34" s="34">
        <f>IFERROR(up_RadSpec!$J$14*(AS14*$B34),".")</f>
        <v>189572.96875</v>
      </c>
      <c r="AT34" s="34">
        <f>IFERROR(up_RadSpec!$J$14*(AT14*$B34),".")</f>
        <v>189572.96875</v>
      </c>
      <c r="AU34" s="34">
        <f>IFERROR(up_RadSpec!$J$14*(AU14*$B34),".")</f>
        <v>189572.96875</v>
      </c>
      <c r="AV34" s="34">
        <f>IFERROR(up_RadSpec!$J$14*(AV14*$B34),".")</f>
        <v>189572.96875</v>
      </c>
      <c r="AW34" s="34">
        <f>IFERROR(up_RadSpec!$J$14*(AW14*$B34),".")</f>
        <v>189572.96875</v>
      </c>
      <c r="AX34" s="34">
        <f>IFERROR(up_RadSpec!$J$14*(AX14*$B34),".")</f>
        <v>189572.96875</v>
      </c>
      <c r="AY34" s="34">
        <f>IFERROR(up_RadSpec!$J$14*(AY14*$B34),".")</f>
        <v>189572.96875</v>
      </c>
      <c r="AZ34" s="34">
        <f>IFERROR(up_RadSpec!$J$14*(AZ14*$B34),".")</f>
        <v>189572.96875</v>
      </c>
      <c r="BA34" s="42">
        <f t="shared" si="2"/>
        <v>4.3958447178843029E-5</v>
      </c>
      <c r="BB34" s="42">
        <f t="shared" si="36"/>
        <v>1.3187534153652909E-4</v>
      </c>
      <c r="BC34" s="42">
        <f t="shared" si="36"/>
        <v>1.3187534153652909E-4</v>
      </c>
      <c r="BD34" s="42">
        <f t="shared" si="36"/>
        <v>1.3187534153652909E-4</v>
      </c>
      <c r="BE34" s="42">
        <f t="shared" si="36"/>
        <v>1.3187534153652909E-4</v>
      </c>
      <c r="BF34" s="42">
        <f t="shared" si="36"/>
        <v>1.3187534153652909E-4</v>
      </c>
      <c r="BG34" s="42">
        <f t="shared" si="36"/>
        <v>1.3187534153652909E-4</v>
      </c>
      <c r="BH34" s="42">
        <f t="shared" si="36"/>
        <v>1.3187534153652909E-4</v>
      </c>
      <c r="BI34" s="42">
        <f t="shared" si="36"/>
        <v>1.3187534153652909E-4</v>
      </c>
      <c r="BJ34" s="42">
        <f t="shared" si="36"/>
        <v>1.3187534153652909E-4</v>
      </c>
      <c r="BK34" s="42">
        <f t="shared" si="36"/>
        <v>1.3187534153652909E-4</v>
      </c>
      <c r="BL34" s="42">
        <f t="shared" si="36"/>
        <v>1.3187534153652909E-4</v>
      </c>
      <c r="BM34" s="42">
        <f t="shared" si="36"/>
        <v>1.3187534153652909E-4</v>
      </c>
      <c r="BN34" s="42">
        <f t="shared" si="36"/>
        <v>1.3187534153652909E-4</v>
      </c>
      <c r="BO34" s="42">
        <f t="shared" si="36"/>
        <v>1.3187534153652909E-4</v>
      </c>
      <c r="BP34" s="42">
        <f t="shared" si="36"/>
        <v>1.3187534153652909E-4</v>
      </c>
      <c r="BQ34" s="42">
        <f t="shared" si="36"/>
        <v>1.3187534153652909E-4</v>
      </c>
      <c r="BR34" s="42">
        <f t="shared" si="36"/>
        <v>1.3187534153652909E-4</v>
      </c>
      <c r="BS34" s="42">
        <f t="shared" si="36"/>
        <v>1.3187534153652909E-4</v>
      </c>
      <c r="BT34" s="42">
        <f t="shared" si="36"/>
        <v>1.3187534153652909E-4</v>
      </c>
      <c r="BU34" s="42">
        <f t="shared" si="36"/>
        <v>1.3187534153652909E-4</v>
      </c>
      <c r="BV34" s="42">
        <f t="shared" si="36"/>
        <v>1.3187534153652909E-4</v>
      </c>
      <c r="BW34" s="42">
        <f t="shared" si="36"/>
        <v>1.3187534153652909E-4</v>
      </c>
      <c r="BX34" s="42">
        <f t="shared" si="36"/>
        <v>1.3187534153652909E-4</v>
      </c>
      <c r="BY34" s="42">
        <f t="shared" si="36"/>
        <v>1.3187534153652909E-4</v>
      </c>
      <c r="BZ34" s="34">
        <f t="shared" si="8"/>
        <v>568718.90625</v>
      </c>
      <c r="CA34" s="34">
        <f>IFERROR(up_RadSpec!$J$14*(CA14*$B34),".")</f>
        <v>189572.96875</v>
      </c>
      <c r="CB34" s="34">
        <f>IFERROR(up_RadSpec!$J$14*(CB14*$B34),".")</f>
        <v>189572.96875</v>
      </c>
      <c r="CC34" s="34">
        <f>IFERROR(up_RadSpec!$J$14*(CC14*$B34),".")</f>
        <v>189572.96875</v>
      </c>
      <c r="CD34" s="34">
        <f>IFERROR(up_RadSpec!$J$14*(CD14*$B34),".")</f>
        <v>189572.96875</v>
      </c>
      <c r="CE34" s="34">
        <f>IFERROR(up_RadSpec!$J$14*(CE14*$B34),".")</f>
        <v>189572.96875</v>
      </c>
      <c r="CF34" s="34">
        <f>IFERROR(up_RadSpec!$J$14*(CF14*$B34),".")</f>
        <v>189572.96875</v>
      </c>
      <c r="CG34" s="34">
        <f>IFERROR(up_RadSpec!$J$14*(CG14*$B34),".")</f>
        <v>189572.96875</v>
      </c>
      <c r="CH34" s="34">
        <f>IFERROR(up_RadSpec!$J$14*(CH14*$B34),".")</f>
        <v>189572.96875</v>
      </c>
      <c r="CI34" s="34">
        <f>IFERROR(up_RadSpec!$J$14*(CI14*$B34),".")</f>
        <v>189572.96875</v>
      </c>
      <c r="CJ34" s="34">
        <f>IFERROR(up_RadSpec!$J$14*(CJ14*$B34),".")</f>
        <v>189572.96875</v>
      </c>
      <c r="CK34" s="34">
        <f>IFERROR(up_RadSpec!$J$14*(CK14*$B34),".")</f>
        <v>189572.96875</v>
      </c>
      <c r="CL34" s="34">
        <f>IFERROR(up_RadSpec!$J$14*(CL14*$B34),".")</f>
        <v>189572.96875</v>
      </c>
      <c r="CM34" s="34">
        <f>IFERROR(up_RadSpec!$J$14*(CM14*$B34),".")</f>
        <v>189572.96875</v>
      </c>
      <c r="CN34" s="34">
        <f>IFERROR(up_RadSpec!$J$14*(CN14*$B34),".")</f>
        <v>189572.96875</v>
      </c>
      <c r="CO34" s="34">
        <f>IFERROR(up_RadSpec!$J$14*(CO14*$B34),".")</f>
        <v>189572.96875</v>
      </c>
      <c r="CP34" s="34">
        <f>IFERROR(up_RadSpec!$J$14*(CP14*$B34),".")</f>
        <v>189572.96875</v>
      </c>
      <c r="CQ34" s="34">
        <f>IFERROR(up_RadSpec!$J$14*(CQ14*$B34),".")</f>
        <v>189572.96875</v>
      </c>
      <c r="CR34" s="34">
        <f>IFERROR(up_RadSpec!$J$14*(CR14*$B34),".")</f>
        <v>189572.96875</v>
      </c>
      <c r="CS34" s="34">
        <f>IFERROR(up_RadSpec!$J$14*(CS14*$B34),".")</f>
        <v>189572.96875</v>
      </c>
      <c r="CT34" s="34">
        <f>IFERROR(up_RadSpec!$J$14*(CT14*$B34),".")</f>
        <v>189572.96875</v>
      </c>
      <c r="CU34" s="34">
        <f>IFERROR(up_RadSpec!$J$14*(CU14*$B34),".")</f>
        <v>189572.96875</v>
      </c>
      <c r="CV34" s="34">
        <f>IFERROR(up_RadSpec!$J$14*(CV14*$B34),".")</f>
        <v>189572.96875</v>
      </c>
      <c r="CW34" s="34">
        <f>IFERROR(up_RadSpec!$J$14*(CW14*$B34),".")</f>
        <v>189572.96875</v>
      </c>
      <c r="CX34" s="34">
        <f>IFERROR(up_RadSpec!$J$14*(CX14*$B34),".")</f>
        <v>189572.96875</v>
      </c>
    </row>
    <row r="35" spans="1:102" x14ac:dyDescent="0.25">
      <c r="A35" s="55" t="s">
        <v>1065</v>
      </c>
      <c r="B35" s="3">
        <v>1</v>
      </c>
      <c r="C35" s="42">
        <f t="shared" si="1"/>
        <v>4.3958447178843029E-5</v>
      </c>
      <c r="D35" s="42">
        <f t="shared" ref="D35:AA35" si="37">IFERROR(D30/$B35,0)</f>
        <v>1.3187534153652909E-4</v>
      </c>
      <c r="E35" s="42">
        <f t="shared" si="37"/>
        <v>1.3187534153652909E-4</v>
      </c>
      <c r="F35" s="42">
        <f t="shared" si="37"/>
        <v>1.3187534153652909E-4</v>
      </c>
      <c r="G35" s="42">
        <f t="shared" si="37"/>
        <v>1.3187534153652909E-4</v>
      </c>
      <c r="H35" s="42">
        <f t="shared" si="37"/>
        <v>1.3187534153652909E-4</v>
      </c>
      <c r="I35" s="42">
        <f t="shared" si="37"/>
        <v>1.3187534153652909E-4</v>
      </c>
      <c r="J35" s="42">
        <f t="shared" si="37"/>
        <v>1.3187534153652909E-4</v>
      </c>
      <c r="K35" s="42">
        <f t="shared" si="37"/>
        <v>1.3187534153652909E-4</v>
      </c>
      <c r="L35" s="42">
        <f t="shared" si="37"/>
        <v>1.3187534153652909E-4</v>
      </c>
      <c r="M35" s="42">
        <f t="shared" si="37"/>
        <v>1.3187534153652909E-4</v>
      </c>
      <c r="N35" s="42">
        <f t="shared" si="37"/>
        <v>1.3187534153652909E-4</v>
      </c>
      <c r="O35" s="42">
        <f t="shared" si="37"/>
        <v>1.3187534153652909E-4</v>
      </c>
      <c r="P35" s="42">
        <f t="shared" si="37"/>
        <v>1.3187534153652909E-4</v>
      </c>
      <c r="Q35" s="42">
        <f t="shared" si="37"/>
        <v>1.3187534153652909E-4</v>
      </c>
      <c r="R35" s="42">
        <f t="shared" si="37"/>
        <v>1.3187534153652909E-4</v>
      </c>
      <c r="S35" s="42">
        <f t="shared" si="37"/>
        <v>1.3187534153652909E-4</v>
      </c>
      <c r="T35" s="42">
        <f t="shared" si="37"/>
        <v>1.3187534153652909E-4</v>
      </c>
      <c r="U35" s="42">
        <f t="shared" si="37"/>
        <v>1.3187534153652909E-4</v>
      </c>
      <c r="V35" s="42">
        <f t="shared" si="37"/>
        <v>1.3187534153652909E-4</v>
      </c>
      <c r="W35" s="42">
        <f t="shared" si="37"/>
        <v>1.3187534153652909E-4</v>
      </c>
      <c r="X35" s="42">
        <f t="shared" si="37"/>
        <v>1.3187534153652909E-4</v>
      </c>
      <c r="Y35" s="42">
        <f t="shared" si="37"/>
        <v>1.3187534153652909E-4</v>
      </c>
      <c r="Z35" s="42">
        <f t="shared" si="37"/>
        <v>1.3187534153652909E-4</v>
      </c>
      <c r="AA35" s="42">
        <f t="shared" si="37"/>
        <v>1.3187534153652909E-4</v>
      </c>
      <c r="AB35" s="34">
        <f t="shared" si="4"/>
        <v>568718.90625</v>
      </c>
      <c r="AC35" s="34">
        <f>IFERROR(up_RadSpec!$J$30*(AC30*$B35),".")</f>
        <v>189572.96875</v>
      </c>
      <c r="AD35" s="34">
        <f>IFERROR(up_RadSpec!$J$30*(AD30*$B35),".")</f>
        <v>189572.96875</v>
      </c>
      <c r="AE35" s="34">
        <f>IFERROR(up_RadSpec!$J$30*(AE30*$B35),".")</f>
        <v>189572.96875</v>
      </c>
      <c r="AF35" s="34">
        <f>IFERROR(up_RadSpec!$J$30*(AF30*$B35),".")</f>
        <v>189572.96875</v>
      </c>
      <c r="AG35" s="34">
        <f>IFERROR(up_RadSpec!$J$30*(AG30*$B35),".")</f>
        <v>189572.96875</v>
      </c>
      <c r="AH35" s="34">
        <f>IFERROR(up_RadSpec!$J$30*(AH30*$B35),".")</f>
        <v>189572.96875</v>
      </c>
      <c r="AI35" s="34">
        <f>IFERROR(up_RadSpec!$J$30*(AI30*$B35),".")</f>
        <v>189572.96875</v>
      </c>
      <c r="AJ35" s="34">
        <f>IFERROR(up_RadSpec!$J$30*(AJ30*$B35),".")</f>
        <v>189572.96875</v>
      </c>
      <c r="AK35" s="34">
        <f>IFERROR(up_RadSpec!$J$30*(AK30*$B35),".")</f>
        <v>189572.96875</v>
      </c>
      <c r="AL35" s="34">
        <f>IFERROR(up_RadSpec!$J$30*(AL30*$B35),".")</f>
        <v>189572.96875</v>
      </c>
      <c r="AM35" s="34">
        <f>IFERROR(up_RadSpec!$J$30*(AM30*$B35),".")</f>
        <v>189572.96875</v>
      </c>
      <c r="AN35" s="34">
        <f>IFERROR(up_RadSpec!$J$30*(AN30*$B35),".")</f>
        <v>189572.96875</v>
      </c>
      <c r="AO35" s="34">
        <f>IFERROR(up_RadSpec!$J$30*(AO30*$B35),".")</f>
        <v>189572.96875</v>
      </c>
      <c r="AP35" s="34">
        <f>IFERROR(up_RadSpec!$J$30*(AP30*$B35),".")</f>
        <v>189572.96875</v>
      </c>
      <c r="AQ35" s="34">
        <f>IFERROR(up_RadSpec!$J$30*(AQ30*$B35),".")</f>
        <v>189572.96875</v>
      </c>
      <c r="AR35" s="34">
        <f>IFERROR(up_RadSpec!$J$30*(AR30*$B35),".")</f>
        <v>189572.96875</v>
      </c>
      <c r="AS35" s="34">
        <f>IFERROR(up_RadSpec!$J$30*(AS30*$B35),".")</f>
        <v>189572.96875</v>
      </c>
      <c r="AT35" s="34">
        <f>IFERROR(up_RadSpec!$J$30*(AT30*$B35),".")</f>
        <v>189572.96875</v>
      </c>
      <c r="AU35" s="34">
        <f>IFERROR(up_RadSpec!$J$30*(AU30*$B35),".")</f>
        <v>189572.96875</v>
      </c>
      <c r="AV35" s="34">
        <f>IFERROR(up_RadSpec!$J$30*(AV30*$B35),".")</f>
        <v>189572.96875</v>
      </c>
      <c r="AW35" s="34">
        <f>IFERROR(up_RadSpec!$J$30*(AW30*$B35),".")</f>
        <v>189572.96875</v>
      </c>
      <c r="AX35" s="34">
        <f>IFERROR(up_RadSpec!$J$30*(AX30*$B35),".")</f>
        <v>189572.96875</v>
      </c>
      <c r="AY35" s="34">
        <f>IFERROR(up_RadSpec!$J$30*(AY30*$B35),".")</f>
        <v>189572.96875</v>
      </c>
      <c r="AZ35" s="34">
        <f>IFERROR(up_RadSpec!$J$30*(AZ30*$B35),".")</f>
        <v>189572.96875</v>
      </c>
      <c r="BA35" s="42">
        <f t="shared" si="2"/>
        <v>4.3958447178843029E-5</v>
      </c>
      <c r="BB35" s="42">
        <f t="shared" ref="BB35:BY35" si="38">IFERROR(BB30/$B35,0)</f>
        <v>1.3187534153652909E-4</v>
      </c>
      <c r="BC35" s="42">
        <f t="shared" si="38"/>
        <v>1.3187534153652909E-4</v>
      </c>
      <c r="BD35" s="42">
        <f t="shared" si="38"/>
        <v>1.3187534153652909E-4</v>
      </c>
      <c r="BE35" s="42">
        <f t="shared" si="38"/>
        <v>1.3187534153652909E-4</v>
      </c>
      <c r="BF35" s="42">
        <f t="shared" si="38"/>
        <v>1.3187534153652909E-4</v>
      </c>
      <c r="BG35" s="42">
        <f t="shared" si="38"/>
        <v>1.3187534153652909E-4</v>
      </c>
      <c r="BH35" s="42">
        <f t="shared" si="38"/>
        <v>1.3187534153652909E-4</v>
      </c>
      <c r="BI35" s="42">
        <f t="shared" si="38"/>
        <v>1.3187534153652909E-4</v>
      </c>
      <c r="BJ35" s="42">
        <f t="shared" si="38"/>
        <v>1.3187534153652909E-4</v>
      </c>
      <c r="BK35" s="42">
        <f t="shared" si="38"/>
        <v>1.3187534153652909E-4</v>
      </c>
      <c r="BL35" s="42">
        <f t="shared" si="38"/>
        <v>1.3187534153652909E-4</v>
      </c>
      <c r="BM35" s="42">
        <f t="shared" si="38"/>
        <v>1.3187534153652909E-4</v>
      </c>
      <c r="BN35" s="42">
        <f t="shared" si="38"/>
        <v>1.3187534153652909E-4</v>
      </c>
      <c r="BO35" s="42">
        <f t="shared" si="38"/>
        <v>1.3187534153652909E-4</v>
      </c>
      <c r="BP35" s="42">
        <f t="shared" si="38"/>
        <v>1.3187534153652909E-4</v>
      </c>
      <c r="BQ35" s="42">
        <f t="shared" si="38"/>
        <v>1.3187534153652909E-4</v>
      </c>
      <c r="BR35" s="42">
        <f t="shared" si="38"/>
        <v>1.3187534153652909E-4</v>
      </c>
      <c r="BS35" s="42">
        <f t="shared" si="38"/>
        <v>1.3187534153652909E-4</v>
      </c>
      <c r="BT35" s="42">
        <f t="shared" si="38"/>
        <v>1.3187534153652909E-4</v>
      </c>
      <c r="BU35" s="42">
        <f t="shared" si="38"/>
        <v>1.3187534153652909E-4</v>
      </c>
      <c r="BV35" s="42">
        <f t="shared" si="38"/>
        <v>1.3187534153652909E-4</v>
      </c>
      <c r="BW35" s="42">
        <f t="shared" si="38"/>
        <v>1.3187534153652909E-4</v>
      </c>
      <c r="BX35" s="42">
        <f t="shared" si="38"/>
        <v>1.3187534153652909E-4</v>
      </c>
      <c r="BY35" s="42">
        <f t="shared" si="38"/>
        <v>1.3187534153652909E-4</v>
      </c>
      <c r="BZ35" s="34">
        <f t="shared" si="8"/>
        <v>568718.90625</v>
      </c>
      <c r="CA35" s="34">
        <f>IFERROR(up_RadSpec!$J$30*(CA30*$B35),".")</f>
        <v>189572.96875</v>
      </c>
      <c r="CB35" s="34">
        <f>IFERROR(up_RadSpec!$J$30*(CB30*$B35),".")</f>
        <v>189572.96875</v>
      </c>
      <c r="CC35" s="34">
        <f>IFERROR(up_RadSpec!$J$30*(CC30*$B35),".")</f>
        <v>189572.96875</v>
      </c>
      <c r="CD35" s="34">
        <f>IFERROR(up_RadSpec!$J$30*(CD30*$B35),".")</f>
        <v>189572.96875</v>
      </c>
      <c r="CE35" s="34">
        <f>IFERROR(up_RadSpec!$J$30*(CE30*$B35),".")</f>
        <v>189572.96875</v>
      </c>
      <c r="CF35" s="34">
        <f>IFERROR(up_RadSpec!$J$30*(CF30*$B35),".")</f>
        <v>189572.96875</v>
      </c>
      <c r="CG35" s="34">
        <f>IFERROR(up_RadSpec!$J$30*(CG30*$B35),".")</f>
        <v>189572.96875</v>
      </c>
      <c r="CH35" s="34">
        <f>IFERROR(up_RadSpec!$J$30*(CH30*$B35),".")</f>
        <v>189572.96875</v>
      </c>
      <c r="CI35" s="34">
        <f>IFERROR(up_RadSpec!$J$30*(CI30*$B35),".")</f>
        <v>189572.96875</v>
      </c>
      <c r="CJ35" s="34">
        <f>IFERROR(up_RadSpec!$J$30*(CJ30*$B35),".")</f>
        <v>189572.96875</v>
      </c>
      <c r="CK35" s="34">
        <f>IFERROR(up_RadSpec!$J$30*(CK30*$B35),".")</f>
        <v>189572.96875</v>
      </c>
      <c r="CL35" s="34">
        <f>IFERROR(up_RadSpec!$J$30*(CL30*$B35),".")</f>
        <v>189572.96875</v>
      </c>
      <c r="CM35" s="34">
        <f>IFERROR(up_RadSpec!$J$30*(CM30*$B35),".")</f>
        <v>189572.96875</v>
      </c>
      <c r="CN35" s="34">
        <f>IFERROR(up_RadSpec!$J$30*(CN30*$B35),".")</f>
        <v>189572.96875</v>
      </c>
      <c r="CO35" s="34">
        <f>IFERROR(up_RadSpec!$J$30*(CO30*$B35),".")</f>
        <v>189572.96875</v>
      </c>
      <c r="CP35" s="34">
        <f>IFERROR(up_RadSpec!$J$30*(CP30*$B35),".")</f>
        <v>189572.96875</v>
      </c>
      <c r="CQ35" s="34">
        <f>IFERROR(up_RadSpec!$J$30*(CQ30*$B35),".")</f>
        <v>189572.96875</v>
      </c>
      <c r="CR35" s="34">
        <f>IFERROR(up_RadSpec!$J$30*(CR30*$B35),".")</f>
        <v>189572.96875</v>
      </c>
      <c r="CS35" s="34">
        <f>IFERROR(up_RadSpec!$J$30*(CS30*$B35),".")</f>
        <v>189572.96875</v>
      </c>
      <c r="CT35" s="34">
        <f>IFERROR(up_RadSpec!$J$30*(CT30*$B35),".")</f>
        <v>189572.96875</v>
      </c>
      <c r="CU35" s="34">
        <f>IFERROR(up_RadSpec!$J$30*(CU30*$B35),".")</f>
        <v>189572.96875</v>
      </c>
      <c r="CV35" s="34">
        <f>IFERROR(up_RadSpec!$J$30*(CV30*$B35),".")</f>
        <v>189572.96875</v>
      </c>
      <c r="CW35" s="34">
        <f>IFERROR(up_RadSpec!$J$30*(CW30*$B35),".")</f>
        <v>189572.96875</v>
      </c>
      <c r="CX35" s="34">
        <f>IFERROR(up_RadSpec!$J$30*(CX30*$B35),".")</f>
        <v>189572.96875</v>
      </c>
    </row>
    <row r="36" spans="1:102" x14ac:dyDescent="0.25">
      <c r="A36" s="55" t="s">
        <v>1066</v>
      </c>
      <c r="B36" s="3">
        <v>1</v>
      </c>
      <c r="C36" s="42">
        <f t="shared" si="1"/>
        <v>4.3958447178843029E-5</v>
      </c>
      <c r="D36" s="42">
        <f t="shared" ref="D36:AA36" si="39">IFERROR(D26/$B36,0)</f>
        <v>1.3187534153652909E-4</v>
      </c>
      <c r="E36" s="42">
        <f t="shared" si="39"/>
        <v>1.3187534153652909E-4</v>
      </c>
      <c r="F36" s="42">
        <f t="shared" si="39"/>
        <v>1.3187534153652909E-4</v>
      </c>
      <c r="G36" s="42">
        <f t="shared" si="39"/>
        <v>1.3187534153652909E-4</v>
      </c>
      <c r="H36" s="42">
        <f t="shared" si="39"/>
        <v>1.3187534153652909E-4</v>
      </c>
      <c r="I36" s="42">
        <f t="shared" si="39"/>
        <v>1.3187534153652909E-4</v>
      </c>
      <c r="J36" s="42">
        <f t="shared" si="39"/>
        <v>1.3187534153652909E-4</v>
      </c>
      <c r="K36" s="42">
        <f t="shared" si="39"/>
        <v>1.3187534153652909E-4</v>
      </c>
      <c r="L36" s="42">
        <f t="shared" si="39"/>
        <v>1.3187534153652909E-4</v>
      </c>
      <c r="M36" s="42">
        <f t="shared" si="39"/>
        <v>1.3187534153652909E-4</v>
      </c>
      <c r="N36" s="42">
        <f t="shared" si="39"/>
        <v>1.3187534153652909E-4</v>
      </c>
      <c r="O36" s="42">
        <f t="shared" si="39"/>
        <v>1.3187534153652909E-4</v>
      </c>
      <c r="P36" s="42">
        <f t="shared" si="39"/>
        <v>1.3187534153652909E-4</v>
      </c>
      <c r="Q36" s="42">
        <f t="shared" si="39"/>
        <v>1.3187534153652909E-4</v>
      </c>
      <c r="R36" s="42">
        <f t="shared" si="39"/>
        <v>1.3187534153652909E-4</v>
      </c>
      <c r="S36" s="42">
        <f t="shared" si="39"/>
        <v>1.3187534153652909E-4</v>
      </c>
      <c r="T36" s="42">
        <f t="shared" si="39"/>
        <v>1.3187534153652909E-4</v>
      </c>
      <c r="U36" s="42">
        <f t="shared" si="39"/>
        <v>1.3187534153652909E-4</v>
      </c>
      <c r="V36" s="42">
        <f t="shared" si="39"/>
        <v>1.3187534153652909E-4</v>
      </c>
      <c r="W36" s="42">
        <f t="shared" si="39"/>
        <v>1.3187534153652909E-4</v>
      </c>
      <c r="X36" s="42">
        <f t="shared" si="39"/>
        <v>1.3187534153652909E-4</v>
      </c>
      <c r="Y36" s="42">
        <f t="shared" si="39"/>
        <v>1.3187534153652909E-4</v>
      </c>
      <c r="Z36" s="42">
        <f t="shared" si="39"/>
        <v>1.3187534153652909E-4</v>
      </c>
      <c r="AA36" s="42">
        <f t="shared" si="39"/>
        <v>1.3187534153652909E-4</v>
      </c>
      <c r="AB36" s="34">
        <f t="shared" si="4"/>
        <v>568718.90625</v>
      </c>
      <c r="AC36" s="34">
        <f>IFERROR(up_RadSpec!$J$26*(AC26*$B36),".")</f>
        <v>189572.96875</v>
      </c>
      <c r="AD36" s="34">
        <f>IFERROR(up_RadSpec!$J$26*(AD26*$B36),".")</f>
        <v>189572.96875</v>
      </c>
      <c r="AE36" s="34">
        <f>IFERROR(up_RadSpec!$J$26*(AE26*$B36),".")</f>
        <v>189572.96875</v>
      </c>
      <c r="AF36" s="34">
        <f>IFERROR(up_RadSpec!$J$26*(AF26*$B36),".")</f>
        <v>189572.96875</v>
      </c>
      <c r="AG36" s="34">
        <f>IFERROR(up_RadSpec!$J$26*(AG26*$B36),".")</f>
        <v>189572.96875</v>
      </c>
      <c r="AH36" s="34">
        <f>IFERROR(up_RadSpec!$J$26*(AH26*$B36),".")</f>
        <v>189572.96875</v>
      </c>
      <c r="AI36" s="34">
        <f>IFERROR(up_RadSpec!$J$26*(AI26*$B36),".")</f>
        <v>189572.96875</v>
      </c>
      <c r="AJ36" s="34">
        <f>IFERROR(up_RadSpec!$J$26*(AJ26*$B36),".")</f>
        <v>189572.96875</v>
      </c>
      <c r="AK36" s="34">
        <f>IFERROR(up_RadSpec!$J$26*(AK26*$B36),".")</f>
        <v>189572.96875</v>
      </c>
      <c r="AL36" s="34">
        <f>IFERROR(up_RadSpec!$J$26*(AL26*$B36),".")</f>
        <v>189572.96875</v>
      </c>
      <c r="AM36" s="34">
        <f>IFERROR(up_RadSpec!$J$26*(AM26*$B36),".")</f>
        <v>189572.96875</v>
      </c>
      <c r="AN36" s="34">
        <f>IFERROR(up_RadSpec!$J$26*(AN26*$B36),".")</f>
        <v>189572.96875</v>
      </c>
      <c r="AO36" s="34">
        <f>IFERROR(up_RadSpec!$J$26*(AO26*$B36),".")</f>
        <v>189572.96875</v>
      </c>
      <c r="AP36" s="34">
        <f>IFERROR(up_RadSpec!$J$26*(AP26*$B36),".")</f>
        <v>189572.96875</v>
      </c>
      <c r="AQ36" s="34">
        <f>IFERROR(up_RadSpec!$J$26*(AQ26*$B36),".")</f>
        <v>189572.96875</v>
      </c>
      <c r="AR36" s="34">
        <f>IFERROR(up_RadSpec!$J$26*(AR26*$B36),".")</f>
        <v>189572.96875</v>
      </c>
      <c r="AS36" s="34">
        <f>IFERROR(up_RadSpec!$J$26*(AS26*$B36),".")</f>
        <v>189572.96875</v>
      </c>
      <c r="AT36" s="34">
        <f>IFERROR(up_RadSpec!$J$26*(AT26*$B36),".")</f>
        <v>189572.96875</v>
      </c>
      <c r="AU36" s="34">
        <f>IFERROR(up_RadSpec!$J$26*(AU26*$B36),".")</f>
        <v>189572.96875</v>
      </c>
      <c r="AV36" s="34">
        <f>IFERROR(up_RadSpec!$J$26*(AV26*$B36),".")</f>
        <v>189572.96875</v>
      </c>
      <c r="AW36" s="34">
        <f>IFERROR(up_RadSpec!$J$26*(AW26*$B36),".")</f>
        <v>189572.96875</v>
      </c>
      <c r="AX36" s="34">
        <f>IFERROR(up_RadSpec!$J$26*(AX26*$B36),".")</f>
        <v>189572.96875</v>
      </c>
      <c r="AY36" s="34">
        <f>IFERROR(up_RadSpec!$J$26*(AY26*$B36),".")</f>
        <v>189572.96875</v>
      </c>
      <c r="AZ36" s="34">
        <f>IFERROR(up_RadSpec!$J$26*(AZ26*$B36),".")</f>
        <v>189572.96875</v>
      </c>
      <c r="BA36" s="42">
        <f t="shared" si="2"/>
        <v>4.3958447178843029E-5</v>
      </c>
      <c r="BB36" s="42">
        <f t="shared" ref="BB36:BY36" si="40">IFERROR(BB26/$B36,0)</f>
        <v>1.3187534153652909E-4</v>
      </c>
      <c r="BC36" s="42">
        <f t="shared" si="40"/>
        <v>1.3187534153652909E-4</v>
      </c>
      <c r="BD36" s="42">
        <f t="shared" si="40"/>
        <v>1.3187534153652909E-4</v>
      </c>
      <c r="BE36" s="42">
        <f t="shared" si="40"/>
        <v>1.3187534153652909E-4</v>
      </c>
      <c r="BF36" s="42">
        <f t="shared" si="40"/>
        <v>1.3187534153652909E-4</v>
      </c>
      <c r="BG36" s="42">
        <f t="shared" si="40"/>
        <v>1.3187534153652909E-4</v>
      </c>
      <c r="BH36" s="42">
        <f t="shared" si="40"/>
        <v>1.3187534153652909E-4</v>
      </c>
      <c r="BI36" s="42">
        <f t="shared" si="40"/>
        <v>1.3187534153652909E-4</v>
      </c>
      <c r="BJ36" s="42">
        <f t="shared" si="40"/>
        <v>1.3187534153652909E-4</v>
      </c>
      <c r="BK36" s="42">
        <f t="shared" si="40"/>
        <v>1.3187534153652909E-4</v>
      </c>
      <c r="BL36" s="42">
        <f t="shared" si="40"/>
        <v>1.3187534153652909E-4</v>
      </c>
      <c r="BM36" s="42">
        <f t="shared" si="40"/>
        <v>1.3187534153652909E-4</v>
      </c>
      <c r="BN36" s="42">
        <f t="shared" si="40"/>
        <v>1.3187534153652909E-4</v>
      </c>
      <c r="BO36" s="42">
        <f t="shared" si="40"/>
        <v>1.3187534153652909E-4</v>
      </c>
      <c r="BP36" s="42">
        <f t="shared" si="40"/>
        <v>1.3187534153652909E-4</v>
      </c>
      <c r="BQ36" s="42">
        <f t="shared" si="40"/>
        <v>1.3187534153652909E-4</v>
      </c>
      <c r="BR36" s="42">
        <f t="shared" si="40"/>
        <v>1.3187534153652909E-4</v>
      </c>
      <c r="BS36" s="42">
        <f t="shared" si="40"/>
        <v>1.3187534153652909E-4</v>
      </c>
      <c r="BT36" s="42">
        <f t="shared" si="40"/>
        <v>1.3187534153652909E-4</v>
      </c>
      <c r="BU36" s="42">
        <f t="shared" si="40"/>
        <v>1.3187534153652909E-4</v>
      </c>
      <c r="BV36" s="42">
        <f t="shared" si="40"/>
        <v>1.3187534153652909E-4</v>
      </c>
      <c r="BW36" s="42">
        <f t="shared" si="40"/>
        <v>1.3187534153652909E-4</v>
      </c>
      <c r="BX36" s="42">
        <f t="shared" si="40"/>
        <v>1.3187534153652909E-4</v>
      </c>
      <c r="BY36" s="42">
        <f t="shared" si="40"/>
        <v>1.3187534153652909E-4</v>
      </c>
      <c r="BZ36" s="34">
        <f t="shared" si="8"/>
        <v>568718.90625</v>
      </c>
      <c r="CA36" s="34">
        <f>IFERROR(up_RadSpec!$J$26*(CA26*$B36),".")</f>
        <v>189572.96875</v>
      </c>
      <c r="CB36" s="34">
        <f>IFERROR(up_RadSpec!$J$26*(CB26*$B36),".")</f>
        <v>189572.96875</v>
      </c>
      <c r="CC36" s="34">
        <f>IFERROR(up_RadSpec!$J$26*(CC26*$B36),".")</f>
        <v>189572.96875</v>
      </c>
      <c r="CD36" s="34">
        <f>IFERROR(up_RadSpec!$J$26*(CD26*$B36),".")</f>
        <v>189572.96875</v>
      </c>
      <c r="CE36" s="34">
        <f>IFERROR(up_RadSpec!$J$26*(CE26*$B36),".")</f>
        <v>189572.96875</v>
      </c>
      <c r="CF36" s="34">
        <f>IFERROR(up_RadSpec!$J$26*(CF26*$B36),".")</f>
        <v>189572.96875</v>
      </c>
      <c r="CG36" s="34">
        <f>IFERROR(up_RadSpec!$J$26*(CG26*$B36),".")</f>
        <v>189572.96875</v>
      </c>
      <c r="CH36" s="34">
        <f>IFERROR(up_RadSpec!$J$26*(CH26*$B36),".")</f>
        <v>189572.96875</v>
      </c>
      <c r="CI36" s="34">
        <f>IFERROR(up_RadSpec!$J$26*(CI26*$B36),".")</f>
        <v>189572.96875</v>
      </c>
      <c r="CJ36" s="34">
        <f>IFERROR(up_RadSpec!$J$26*(CJ26*$B36),".")</f>
        <v>189572.96875</v>
      </c>
      <c r="CK36" s="34">
        <f>IFERROR(up_RadSpec!$J$26*(CK26*$B36),".")</f>
        <v>189572.96875</v>
      </c>
      <c r="CL36" s="34">
        <f>IFERROR(up_RadSpec!$J$26*(CL26*$B36),".")</f>
        <v>189572.96875</v>
      </c>
      <c r="CM36" s="34">
        <f>IFERROR(up_RadSpec!$J$26*(CM26*$B36),".")</f>
        <v>189572.96875</v>
      </c>
      <c r="CN36" s="34">
        <f>IFERROR(up_RadSpec!$J$26*(CN26*$B36),".")</f>
        <v>189572.96875</v>
      </c>
      <c r="CO36" s="34">
        <f>IFERROR(up_RadSpec!$J$26*(CO26*$B36),".")</f>
        <v>189572.96875</v>
      </c>
      <c r="CP36" s="34">
        <f>IFERROR(up_RadSpec!$J$26*(CP26*$B36),".")</f>
        <v>189572.96875</v>
      </c>
      <c r="CQ36" s="34">
        <f>IFERROR(up_RadSpec!$J$26*(CQ26*$B36),".")</f>
        <v>189572.96875</v>
      </c>
      <c r="CR36" s="34">
        <f>IFERROR(up_RadSpec!$J$26*(CR26*$B36),".")</f>
        <v>189572.96875</v>
      </c>
      <c r="CS36" s="34">
        <f>IFERROR(up_RadSpec!$J$26*(CS26*$B36),".")</f>
        <v>189572.96875</v>
      </c>
      <c r="CT36" s="34">
        <f>IFERROR(up_RadSpec!$J$26*(CT26*$B36),".")</f>
        <v>189572.96875</v>
      </c>
      <c r="CU36" s="34">
        <f>IFERROR(up_RadSpec!$J$26*(CU26*$B36),".")</f>
        <v>189572.96875</v>
      </c>
      <c r="CV36" s="34">
        <f>IFERROR(up_RadSpec!$J$26*(CV26*$B36),".")</f>
        <v>189572.96875</v>
      </c>
      <c r="CW36" s="34">
        <f>IFERROR(up_RadSpec!$J$26*(CW26*$B36),".")</f>
        <v>189572.96875</v>
      </c>
      <c r="CX36" s="34">
        <f>IFERROR(up_RadSpec!$J$26*(CX26*$B36),".")</f>
        <v>189572.96875</v>
      </c>
    </row>
    <row r="37" spans="1:102" x14ac:dyDescent="0.25">
      <c r="A37" s="55" t="s">
        <v>1067</v>
      </c>
      <c r="B37" s="3">
        <v>1</v>
      </c>
      <c r="C37" s="42">
        <f t="shared" si="1"/>
        <v>4.3958447178843029E-5</v>
      </c>
      <c r="D37" s="42">
        <f t="shared" ref="D37:AA37" si="41">IFERROR(D22/$B37,0)</f>
        <v>1.3187534153652909E-4</v>
      </c>
      <c r="E37" s="42">
        <f t="shared" si="41"/>
        <v>1.3187534153652909E-4</v>
      </c>
      <c r="F37" s="42">
        <f t="shared" si="41"/>
        <v>1.3187534153652909E-4</v>
      </c>
      <c r="G37" s="42">
        <f t="shared" si="41"/>
        <v>1.3187534153652909E-4</v>
      </c>
      <c r="H37" s="42">
        <f t="shared" si="41"/>
        <v>1.3187534153652909E-4</v>
      </c>
      <c r="I37" s="42">
        <f t="shared" si="41"/>
        <v>1.3187534153652909E-4</v>
      </c>
      <c r="J37" s="42">
        <f t="shared" si="41"/>
        <v>1.3187534153652909E-4</v>
      </c>
      <c r="K37" s="42">
        <f t="shared" si="41"/>
        <v>1.3187534153652909E-4</v>
      </c>
      <c r="L37" s="42">
        <f t="shared" si="41"/>
        <v>1.3187534153652909E-4</v>
      </c>
      <c r="M37" s="42">
        <f t="shared" si="41"/>
        <v>1.3187534153652909E-4</v>
      </c>
      <c r="N37" s="42">
        <f t="shared" si="41"/>
        <v>1.3187534153652909E-4</v>
      </c>
      <c r="O37" s="42">
        <f t="shared" si="41"/>
        <v>1.3187534153652909E-4</v>
      </c>
      <c r="P37" s="42">
        <f t="shared" si="41"/>
        <v>1.3187534153652909E-4</v>
      </c>
      <c r="Q37" s="42">
        <f t="shared" si="41"/>
        <v>1.3187534153652909E-4</v>
      </c>
      <c r="R37" s="42">
        <f t="shared" si="41"/>
        <v>1.3187534153652909E-4</v>
      </c>
      <c r="S37" s="42">
        <f t="shared" si="41"/>
        <v>1.3187534153652909E-4</v>
      </c>
      <c r="T37" s="42">
        <f t="shared" si="41"/>
        <v>1.3187534153652909E-4</v>
      </c>
      <c r="U37" s="42">
        <f t="shared" si="41"/>
        <v>1.3187534153652909E-4</v>
      </c>
      <c r="V37" s="42">
        <f t="shared" si="41"/>
        <v>1.3187534153652909E-4</v>
      </c>
      <c r="W37" s="42">
        <f t="shared" si="41"/>
        <v>1.3187534153652909E-4</v>
      </c>
      <c r="X37" s="42">
        <f t="shared" si="41"/>
        <v>1.3187534153652909E-4</v>
      </c>
      <c r="Y37" s="42">
        <f t="shared" si="41"/>
        <v>1.3187534153652909E-4</v>
      </c>
      <c r="Z37" s="42">
        <f t="shared" si="41"/>
        <v>1.3187534153652909E-4</v>
      </c>
      <c r="AA37" s="42">
        <f t="shared" si="41"/>
        <v>1.3187534153652909E-4</v>
      </c>
      <c r="AB37" s="34">
        <f t="shared" si="4"/>
        <v>568718.90625</v>
      </c>
      <c r="AC37" s="34">
        <f>IFERROR(up_RadSpec!$J$22*(AC22*$B37),".")</f>
        <v>189572.96875</v>
      </c>
      <c r="AD37" s="34">
        <f>IFERROR(up_RadSpec!$J$22*(AD22*$B37),".")</f>
        <v>189572.96875</v>
      </c>
      <c r="AE37" s="34">
        <f>IFERROR(up_RadSpec!$J$22*(AE22*$B37),".")</f>
        <v>189572.96875</v>
      </c>
      <c r="AF37" s="34">
        <f>IFERROR(up_RadSpec!$J$22*(AF22*$B37),".")</f>
        <v>189572.96875</v>
      </c>
      <c r="AG37" s="34">
        <f>IFERROR(up_RadSpec!$J$22*(AG22*$B37),".")</f>
        <v>189572.96875</v>
      </c>
      <c r="AH37" s="34">
        <f>IFERROR(up_RadSpec!$J$22*(AH22*$B37),".")</f>
        <v>189572.96875</v>
      </c>
      <c r="AI37" s="34">
        <f>IFERROR(up_RadSpec!$J$22*(AI22*$B37),".")</f>
        <v>189572.96875</v>
      </c>
      <c r="AJ37" s="34">
        <f>IFERROR(up_RadSpec!$J$22*(AJ22*$B37),".")</f>
        <v>189572.96875</v>
      </c>
      <c r="AK37" s="34">
        <f>IFERROR(up_RadSpec!$J$22*(AK22*$B37),".")</f>
        <v>189572.96875</v>
      </c>
      <c r="AL37" s="34">
        <f>IFERROR(up_RadSpec!$J$22*(AL22*$B37),".")</f>
        <v>189572.96875</v>
      </c>
      <c r="AM37" s="34">
        <f>IFERROR(up_RadSpec!$J$22*(AM22*$B37),".")</f>
        <v>189572.96875</v>
      </c>
      <c r="AN37" s="34">
        <f>IFERROR(up_RadSpec!$J$22*(AN22*$B37),".")</f>
        <v>189572.96875</v>
      </c>
      <c r="AO37" s="34">
        <f>IFERROR(up_RadSpec!$J$22*(AO22*$B37),".")</f>
        <v>189572.96875</v>
      </c>
      <c r="AP37" s="34">
        <f>IFERROR(up_RadSpec!$J$22*(AP22*$B37),".")</f>
        <v>189572.96875</v>
      </c>
      <c r="AQ37" s="34">
        <f>IFERROR(up_RadSpec!$J$22*(AQ22*$B37),".")</f>
        <v>189572.96875</v>
      </c>
      <c r="AR37" s="34">
        <f>IFERROR(up_RadSpec!$J$22*(AR22*$B37),".")</f>
        <v>189572.96875</v>
      </c>
      <c r="AS37" s="34">
        <f>IFERROR(up_RadSpec!$J$22*(AS22*$B37),".")</f>
        <v>189572.96875</v>
      </c>
      <c r="AT37" s="34">
        <f>IFERROR(up_RadSpec!$J$22*(AT22*$B37),".")</f>
        <v>189572.96875</v>
      </c>
      <c r="AU37" s="34">
        <f>IFERROR(up_RadSpec!$J$22*(AU22*$B37),".")</f>
        <v>189572.96875</v>
      </c>
      <c r="AV37" s="34">
        <f>IFERROR(up_RadSpec!$J$22*(AV22*$B37),".")</f>
        <v>189572.96875</v>
      </c>
      <c r="AW37" s="34">
        <f>IFERROR(up_RadSpec!$J$22*(AW22*$B37),".")</f>
        <v>189572.96875</v>
      </c>
      <c r="AX37" s="34">
        <f>IFERROR(up_RadSpec!$J$22*(AX22*$B37),".")</f>
        <v>189572.96875</v>
      </c>
      <c r="AY37" s="34">
        <f>IFERROR(up_RadSpec!$J$22*(AY22*$B37),".")</f>
        <v>189572.96875</v>
      </c>
      <c r="AZ37" s="34">
        <f>IFERROR(up_RadSpec!$J$22*(AZ22*$B37),".")</f>
        <v>189572.96875</v>
      </c>
      <c r="BA37" s="42">
        <f t="shared" si="2"/>
        <v>4.3958447178843029E-5</v>
      </c>
      <c r="BB37" s="42">
        <f t="shared" ref="BB37:BY37" si="42">IFERROR(BB22/$B37,0)</f>
        <v>1.3187534153652909E-4</v>
      </c>
      <c r="BC37" s="42">
        <f t="shared" si="42"/>
        <v>1.3187534153652909E-4</v>
      </c>
      <c r="BD37" s="42">
        <f t="shared" si="42"/>
        <v>1.3187534153652909E-4</v>
      </c>
      <c r="BE37" s="42">
        <f t="shared" si="42"/>
        <v>1.3187534153652909E-4</v>
      </c>
      <c r="BF37" s="42">
        <f t="shared" si="42"/>
        <v>1.3187534153652909E-4</v>
      </c>
      <c r="BG37" s="42">
        <f t="shared" si="42"/>
        <v>1.3187534153652909E-4</v>
      </c>
      <c r="BH37" s="42">
        <f t="shared" si="42"/>
        <v>1.3187534153652909E-4</v>
      </c>
      <c r="BI37" s="42">
        <f t="shared" si="42"/>
        <v>1.3187534153652909E-4</v>
      </c>
      <c r="BJ37" s="42">
        <f t="shared" si="42"/>
        <v>1.3187534153652909E-4</v>
      </c>
      <c r="BK37" s="42">
        <f t="shared" si="42"/>
        <v>1.3187534153652909E-4</v>
      </c>
      <c r="BL37" s="42">
        <f t="shared" si="42"/>
        <v>1.3187534153652909E-4</v>
      </c>
      <c r="BM37" s="42">
        <f t="shared" si="42"/>
        <v>1.3187534153652909E-4</v>
      </c>
      <c r="BN37" s="42">
        <f t="shared" si="42"/>
        <v>1.3187534153652909E-4</v>
      </c>
      <c r="BO37" s="42">
        <f t="shared" si="42"/>
        <v>1.3187534153652909E-4</v>
      </c>
      <c r="BP37" s="42">
        <f t="shared" si="42"/>
        <v>1.3187534153652909E-4</v>
      </c>
      <c r="BQ37" s="42">
        <f t="shared" si="42"/>
        <v>1.3187534153652909E-4</v>
      </c>
      <c r="BR37" s="42">
        <f t="shared" si="42"/>
        <v>1.3187534153652909E-4</v>
      </c>
      <c r="BS37" s="42">
        <f t="shared" si="42"/>
        <v>1.3187534153652909E-4</v>
      </c>
      <c r="BT37" s="42">
        <f t="shared" si="42"/>
        <v>1.3187534153652909E-4</v>
      </c>
      <c r="BU37" s="42">
        <f t="shared" si="42"/>
        <v>1.3187534153652909E-4</v>
      </c>
      <c r="BV37" s="42">
        <f t="shared" si="42"/>
        <v>1.3187534153652909E-4</v>
      </c>
      <c r="BW37" s="42">
        <f t="shared" si="42"/>
        <v>1.3187534153652909E-4</v>
      </c>
      <c r="BX37" s="42">
        <f t="shared" si="42"/>
        <v>1.3187534153652909E-4</v>
      </c>
      <c r="BY37" s="42">
        <f t="shared" si="42"/>
        <v>1.3187534153652909E-4</v>
      </c>
      <c r="BZ37" s="34">
        <f t="shared" si="8"/>
        <v>568718.90625</v>
      </c>
      <c r="CA37" s="34">
        <f>IFERROR(up_RadSpec!$J$22*(CA22*$B37),".")</f>
        <v>189572.96875</v>
      </c>
      <c r="CB37" s="34">
        <f>IFERROR(up_RadSpec!$J$22*(CB22*$B37),".")</f>
        <v>189572.96875</v>
      </c>
      <c r="CC37" s="34">
        <f>IFERROR(up_RadSpec!$J$22*(CC22*$B37),".")</f>
        <v>189572.96875</v>
      </c>
      <c r="CD37" s="34">
        <f>IFERROR(up_RadSpec!$J$22*(CD22*$B37),".")</f>
        <v>189572.96875</v>
      </c>
      <c r="CE37" s="34">
        <f>IFERROR(up_RadSpec!$J$22*(CE22*$B37),".")</f>
        <v>189572.96875</v>
      </c>
      <c r="CF37" s="34">
        <f>IFERROR(up_RadSpec!$J$22*(CF22*$B37),".")</f>
        <v>189572.96875</v>
      </c>
      <c r="CG37" s="34">
        <f>IFERROR(up_RadSpec!$J$22*(CG22*$B37),".")</f>
        <v>189572.96875</v>
      </c>
      <c r="CH37" s="34">
        <f>IFERROR(up_RadSpec!$J$22*(CH22*$B37),".")</f>
        <v>189572.96875</v>
      </c>
      <c r="CI37" s="34">
        <f>IFERROR(up_RadSpec!$J$22*(CI22*$B37),".")</f>
        <v>189572.96875</v>
      </c>
      <c r="CJ37" s="34">
        <f>IFERROR(up_RadSpec!$J$22*(CJ22*$B37),".")</f>
        <v>189572.96875</v>
      </c>
      <c r="CK37" s="34">
        <f>IFERROR(up_RadSpec!$J$22*(CK22*$B37),".")</f>
        <v>189572.96875</v>
      </c>
      <c r="CL37" s="34">
        <f>IFERROR(up_RadSpec!$J$22*(CL22*$B37),".")</f>
        <v>189572.96875</v>
      </c>
      <c r="CM37" s="34">
        <f>IFERROR(up_RadSpec!$J$22*(CM22*$B37),".")</f>
        <v>189572.96875</v>
      </c>
      <c r="CN37" s="34">
        <f>IFERROR(up_RadSpec!$J$22*(CN22*$B37),".")</f>
        <v>189572.96875</v>
      </c>
      <c r="CO37" s="34">
        <f>IFERROR(up_RadSpec!$J$22*(CO22*$B37),".")</f>
        <v>189572.96875</v>
      </c>
      <c r="CP37" s="34">
        <f>IFERROR(up_RadSpec!$J$22*(CP22*$B37),".")</f>
        <v>189572.96875</v>
      </c>
      <c r="CQ37" s="34">
        <f>IFERROR(up_RadSpec!$J$22*(CQ22*$B37),".")</f>
        <v>189572.96875</v>
      </c>
      <c r="CR37" s="34">
        <f>IFERROR(up_RadSpec!$J$22*(CR22*$B37),".")</f>
        <v>189572.96875</v>
      </c>
      <c r="CS37" s="34">
        <f>IFERROR(up_RadSpec!$J$22*(CS22*$B37),".")</f>
        <v>189572.96875</v>
      </c>
      <c r="CT37" s="34">
        <f>IFERROR(up_RadSpec!$J$22*(CT22*$B37),".")</f>
        <v>189572.96875</v>
      </c>
      <c r="CU37" s="34">
        <f>IFERROR(up_RadSpec!$J$22*(CU22*$B37),".")</f>
        <v>189572.96875</v>
      </c>
      <c r="CV37" s="34">
        <f>IFERROR(up_RadSpec!$J$22*(CV22*$B37),".")</f>
        <v>189572.96875</v>
      </c>
      <c r="CW37" s="34">
        <f>IFERROR(up_RadSpec!$J$22*(CW22*$B37),".")</f>
        <v>189572.96875</v>
      </c>
      <c r="CX37" s="34">
        <f>IFERROR(up_RadSpec!$J$22*(CX22*$B37),".")</f>
        <v>189572.96875</v>
      </c>
    </row>
    <row r="38" spans="1:102" x14ac:dyDescent="0.25">
      <c r="A38" s="55" t="s">
        <v>1068</v>
      </c>
      <c r="B38" s="3">
        <v>1</v>
      </c>
      <c r="C38" s="42">
        <f t="shared" si="1"/>
        <v>4.3958447178843029E-5</v>
      </c>
      <c r="D38" s="42">
        <f t="shared" ref="D38:AA38" si="43">IFERROR(D2/$B38,0)</f>
        <v>1.3187534153652909E-4</v>
      </c>
      <c r="E38" s="42">
        <f t="shared" si="43"/>
        <v>1.3187534153652909E-4</v>
      </c>
      <c r="F38" s="42">
        <f t="shared" si="43"/>
        <v>1.3187534153652909E-4</v>
      </c>
      <c r="G38" s="42">
        <f t="shared" si="43"/>
        <v>1.3187534153652909E-4</v>
      </c>
      <c r="H38" s="42">
        <f t="shared" si="43"/>
        <v>1.3187534153652909E-4</v>
      </c>
      <c r="I38" s="42">
        <f t="shared" si="43"/>
        <v>1.3187534153652909E-4</v>
      </c>
      <c r="J38" s="42">
        <f t="shared" si="43"/>
        <v>1.3187534153652909E-4</v>
      </c>
      <c r="K38" s="42">
        <f t="shared" si="43"/>
        <v>1.3187534153652909E-4</v>
      </c>
      <c r="L38" s="42">
        <f t="shared" si="43"/>
        <v>1.3187534153652909E-4</v>
      </c>
      <c r="M38" s="42">
        <f t="shared" si="43"/>
        <v>1.3187534153652909E-4</v>
      </c>
      <c r="N38" s="42">
        <f t="shared" si="43"/>
        <v>1.3187534153652909E-4</v>
      </c>
      <c r="O38" s="42">
        <f t="shared" si="43"/>
        <v>1.3187534153652909E-4</v>
      </c>
      <c r="P38" s="42">
        <f t="shared" si="43"/>
        <v>1.3187534153652909E-4</v>
      </c>
      <c r="Q38" s="42">
        <f t="shared" si="43"/>
        <v>1.3187534153652909E-4</v>
      </c>
      <c r="R38" s="42">
        <f t="shared" si="43"/>
        <v>1.3187534153652909E-4</v>
      </c>
      <c r="S38" s="42">
        <f t="shared" si="43"/>
        <v>1.3187534153652909E-4</v>
      </c>
      <c r="T38" s="42">
        <f t="shared" si="43"/>
        <v>1.3187534153652909E-4</v>
      </c>
      <c r="U38" s="42">
        <f t="shared" si="43"/>
        <v>1.3187534153652909E-4</v>
      </c>
      <c r="V38" s="42">
        <f t="shared" si="43"/>
        <v>1.3187534153652909E-4</v>
      </c>
      <c r="W38" s="42">
        <f t="shared" si="43"/>
        <v>1.3187534153652909E-4</v>
      </c>
      <c r="X38" s="42">
        <f t="shared" si="43"/>
        <v>1.3187534153652909E-4</v>
      </c>
      <c r="Y38" s="42">
        <f t="shared" si="43"/>
        <v>1.3187534153652909E-4</v>
      </c>
      <c r="Z38" s="42">
        <f t="shared" si="43"/>
        <v>1.3187534153652909E-4</v>
      </c>
      <c r="AA38" s="42">
        <f t="shared" si="43"/>
        <v>1.3187534153652909E-4</v>
      </c>
      <c r="AB38" s="34">
        <f t="shared" si="4"/>
        <v>568718.90625</v>
      </c>
      <c r="AC38" s="34">
        <f>IFERROR(up_RadSpec!$J$2*(AC2*$B38),".")</f>
        <v>189572.96875</v>
      </c>
      <c r="AD38" s="34">
        <f>IFERROR(up_RadSpec!$J$2*(AD2*$B38),".")</f>
        <v>189572.96875</v>
      </c>
      <c r="AE38" s="34">
        <f>IFERROR(up_RadSpec!$J$2*(AE2*$B38),".")</f>
        <v>189572.96875</v>
      </c>
      <c r="AF38" s="34">
        <f>IFERROR(up_RadSpec!$J$2*(AF2*$B38),".")</f>
        <v>189572.96875</v>
      </c>
      <c r="AG38" s="34">
        <f>IFERROR(up_RadSpec!$J$2*(AG2*$B38),".")</f>
        <v>189572.96875</v>
      </c>
      <c r="AH38" s="34">
        <f>IFERROR(up_RadSpec!$J$2*(AH2*$B38),".")</f>
        <v>189572.96875</v>
      </c>
      <c r="AI38" s="34">
        <f>IFERROR(up_RadSpec!$J$2*(AI2*$B38),".")</f>
        <v>189572.96875</v>
      </c>
      <c r="AJ38" s="34">
        <f>IFERROR(up_RadSpec!$J$2*(AJ2*$B38),".")</f>
        <v>189572.96875</v>
      </c>
      <c r="AK38" s="34">
        <f>IFERROR(up_RadSpec!$J$2*(AK2*$B38),".")</f>
        <v>189572.96875</v>
      </c>
      <c r="AL38" s="34">
        <f>IFERROR(up_RadSpec!$J$2*(AL2*$B38),".")</f>
        <v>189572.96875</v>
      </c>
      <c r="AM38" s="34">
        <f>IFERROR(up_RadSpec!$J$2*(AM2*$B38),".")</f>
        <v>189572.96875</v>
      </c>
      <c r="AN38" s="34">
        <f>IFERROR(up_RadSpec!$J$2*(AN2*$B38),".")</f>
        <v>189572.96875</v>
      </c>
      <c r="AO38" s="34">
        <f>IFERROR(up_RadSpec!$J$2*(AO2*$B38),".")</f>
        <v>189572.96875</v>
      </c>
      <c r="AP38" s="34">
        <f>IFERROR(up_RadSpec!$J$2*(AP2*$B38),".")</f>
        <v>189572.96875</v>
      </c>
      <c r="AQ38" s="34">
        <f>IFERROR(up_RadSpec!$J$2*(AQ2*$B38),".")</f>
        <v>189572.96875</v>
      </c>
      <c r="AR38" s="34">
        <f>IFERROR(up_RadSpec!$J$2*(AR2*$B38),".")</f>
        <v>189572.96875</v>
      </c>
      <c r="AS38" s="34">
        <f>IFERROR(up_RadSpec!$J$2*(AS2*$B38),".")</f>
        <v>189572.96875</v>
      </c>
      <c r="AT38" s="34">
        <f>IFERROR(up_RadSpec!$J$2*(AT2*$B38),".")</f>
        <v>189572.96875</v>
      </c>
      <c r="AU38" s="34">
        <f>IFERROR(up_RadSpec!$J$2*(AU2*$B38),".")</f>
        <v>189572.96875</v>
      </c>
      <c r="AV38" s="34">
        <f>IFERROR(up_RadSpec!$J$2*(AV2*$B38),".")</f>
        <v>189572.96875</v>
      </c>
      <c r="AW38" s="34">
        <f>IFERROR(up_RadSpec!$J$2*(AW2*$B38),".")</f>
        <v>189572.96875</v>
      </c>
      <c r="AX38" s="34">
        <f>IFERROR(up_RadSpec!$J$2*(AX2*$B38),".")</f>
        <v>189572.96875</v>
      </c>
      <c r="AY38" s="34">
        <f>IFERROR(up_RadSpec!$J$2*(AY2*$B38),".")</f>
        <v>189572.96875</v>
      </c>
      <c r="AZ38" s="34">
        <f>IFERROR(up_RadSpec!$J$2*(AZ2*$B38),".")</f>
        <v>189572.96875</v>
      </c>
      <c r="BA38" s="42">
        <f t="shared" si="2"/>
        <v>4.3958447178843029E-5</v>
      </c>
      <c r="BB38" s="42">
        <f t="shared" ref="BB38:BY38" si="44">IFERROR(BB2/$B38,0)</f>
        <v>1.3187534153652909E-4</v>
      </c>
      <c r="BC38" s="42">
        <f t="shared" si="44"/>
        <v>1.3187534153652909E-4</v>
      </c>
      <c r="BD38" s="42">
        <f t="shared" si="44"/>
        <v>1.3187534153652909E-4</v>
      </c>
      <c r="BE38" s="42">
        <f t="shared" si="44"/>
        <v>1.3187534153652909E-4</v>
      </c>
      <c r="BF38" s="42">
        <f t="shared" si="44"/>
        <v>1.3187534153652909E-4</v>
      </c>
      <c r="BG38" s="42">
        <f t="shared" si="44"/>
        <v>1.3187534153652909E-4</v>
      </c>
      <c r="BH38" s="42">
        <f t="shared" si="44"/>
        <v>1.3187534153652909E-4</v>
      </c>
      <c r="BI38" s="42">
        <f t="shared" si="44"/>
        <v>1.3187534153652909E-4</v>
      </c>
      <c r="BJ38" s="42">
        <f t="shared" si="44"/>
        <v>1.3187534153652909E-4</v>
      </c>
      <c r="BK38" s="42">
        <f t="shared" si="44"/>
        <v>1.3187534153652909E-4</v>
      </c>
      <c r="BL38" s="42">
        <f t="shared" si="44"/>
        <v>1.3187534153652909E-4</v>
      </c>
      <c r="BM38" s="42">
        <f t="shared" si="44"/>
        <v>1.3187534153652909E-4</v>
      </c>
      <c r="BN38" s="42">
        <f t="shared" si="44"/>
        <v>1.3187534153652909E-4</v>
      </c>
      <c r="BO38" s="42">
        <f t="shared" si="44"/>
        <v>1.3187534153652909E-4</v>
      </c>
      <c r="BP38" s="42">
        <f t="shared" si="44"/>
        <v>1.3187534153652909E-4</v>
      </c>
      <c r="BQ38" s="42">
        <f t="shared" si="44"/>
        <v>1.3187534153652909E-4</v>
      </c>
      <c r="BR38" s="42">
        <f t="shared" si="44"/>
        <v>1.3187534153652909E-4</v>
      </c>
      <c r="BS38" s="42">
        <f t="shared" si="44"/>
        <v>1.3187534153652909E-4</v>
      </c>
      <c r="BT38" s="42">
        <f t="shared" si="44"/>
        <v>1.3187534153652909E-4</v>
      </c>
      <c r="BU38" s="42">
        <f t="shared" si="44"/>
        <v>1.3187534153652909E-4</v>
      </c>
      <c r="BV38" s="42">
        <f t="shared" si="44"/>
        <v>1.3187534153652909E-4</v>
      </c>
      <c r="BW38" s="42">
        <f t="shared" si="44"/>
        <v>1.3187534153652909E-4</v>
      </c>
      <c r="BX38" s="42">
        <f t="shared" si="44"/>
        <v>1.3187534153652909E-4</v>
      </c>
      <c r="BY38" s="42">
        <f t="shared" si="44"/>
        <v>1.3187534153652909E-4</v>
      </c>
      <c r="BZ38" s="34">
        <f t="shared" si="8"/>
        <v>568718.90625</v>
      </c>
      <c r="CA38" s="34">
        <f>IFERROR(up_RadSpec!$J$2*(CA2*$B38),".")</f>
        <v>189572.96875</v>
      </c>
      <c r="CB38" s="34">
        <f>IFERROR(up_RadSpec!$J$2*(CB2*$B38),".")</f>
        <v>189572.96875</v>
      </c>
      <c r="CC38" s="34">
        <f>IFERROR(up_RadSpec!$J$2*(CC2*$B38),".")</f>
        <v>189572.96875</v>
      </c>
      <c r="CD38" s="34">
        <f>IFERROR(up_RadSpec!$J$2*(CD2*$B38),".")</f>
        <v>189572.96875</v>
      </c>
      <c r="CE38" s="34">
        <f>IFERROR(up_RadSpec!$J$2*(CE2*$B38),".")</f>
        <v>189572.96875</v>
      </c>
      <c r="CF38" s="34">
        <f>IFERROR(up_RadSpec!$J$2*(CF2*$B38),".")</f>
        <v>189572.96875</v>
      </c>
      <c r="CG38" s="34">
        <f>IFERROR(up_RadSpec!$J$2*(CG2*$B38),".")</f>
        <v>189572.96875</v>
      </c>
      <c r="CH38" s="34">
        <f>IFERROR(up_RadSpec!$J$2*(CH2*$B38),".")</f>
        <v>189572.96875</v>
      </c>
      <c r="CI38" s="34">
        <f>IFERROR(up_RadSpec!$J$2*(CI2*$B38),".")</f>
        <v>189572.96875</v>
      </c>
      <c r="CJ38" s="34">
        <f>IFERROR(up_RadSpec!$J$2*(CJ2*$B38),".")</f>
        <v>189572.96875</v>
      </c>
      <c r="CK38" s="34">
        <f>IFERROR(up_RadSpec!$J$2*(CK2*$B38),".")</f>
        <v>189572.96875</v>
      </c>
      <c r="CL38" s="34">
        <f>IFERROR(up_RadSpec!$J$2*(CL2*$B38),".")</f>
        <v>189572.96875</v>
      </c>
      <c r="CM38" s="34">
        <f>IFERROR(up_RadSpec!$J$2*(CM2*$B38),".")</f>
        <v>189572.96875</v>
      </c>
      <c r="CN38" s="34">
        <f>IFERROR(up_RadSpec!$J$2*(CN2*$B38),".")</f>
        <v>189572.96875</v>
      </c>
      <c r="CO38" s="34">
        <f>IFERROR(up_RadSpec!$J$2*(CO2*$B38),".")</f>
        <v>189572.96875</v>
      </c>
      <c r="CP38" s="34">
        <f>IFERROR(up_RadSpec!$J$2*(CP2*$B38),".")</f>
        <v>189572.96875</v>
      </c>
      <c r="CQ38" s="34">
        <f>IFERROR(up_RadSpec!$J$2*(CQ2*$B38),".")</f>
        <v>189572.96875</v>
      </c>
      <c r="CR38" s="34">
        <f>IFERROR(up_RadSpec!$J$2*(CR2*$B38),".")</f>
        <v>189572.96875</v>
      </c>
      <c r="CS38" s="34">
        <f>IFERROR(up_RadSpec!$J$2*(CS2*$B38),".")</f>
        <v>189572.96875</v>
      </c>
      <c r="CT38" s="34">
        <f>IFERROR(up_RadSpec!$J$2*(CT2*$B38),".")</f>
        <v>189572.96875</v>
      </c>
      <c r="CU38" s="34">
        <f>IFERROR(up_RadSpec!$J$2*(CU2*$B38),".")</f>
        <v>189572.96875</v>
      </c>
      <c r="CV38" s="34">
        <f>IFERROR(up_RadSpec!$J$2*(CV2*$B38),".")</f>
        <v>189572.96875</v>
      </c>
      <c r="CW38" s="34">
        <f>IFERROR(up_RadSpec!$J$2*(CW2*$B38),".")</f>
        <v>189572.96875</v>
      </c>
      <c r="CX38" s="34">
        <f>IFERROR(up_RadSpec!$J$2*(CX2*$B38),".")</f>
        <v>189572.96875</v>
      </c>
    </row>
    <row r="39" spans="1:102" x14ac:dyDescent="0.25">
      <c r="A39" s="55" t="s">
        <v>1069</v>
      </c>
      <c r="B39" s="3">
        <v>1</v>
      </c>
      <c r="C39" s="42">
        <f t="shared" si="1"/>
        <v>4.3958447178843029E-5</v>
      </c>
      <c r="D39" s="42">
        <f t="shared" ref="D39:AA39" si="45">IFERROR(D11/$B39,0)</f>
        <v>1.3187534153652909E-4</v>
      </c>
      <c r="E39" s="42">
        <f t="shared" si="45"/>
        <v>1.3187534153652909E-4</v>
      </c>
      <c r="F39" s="42">
        <f t="shared" si="45"/>
        <v>1.3187534153652909E-4</v>
      </c>
      <c r="G39" s="42">
        <f t="shared" si="45"/>
        <v>1.3187534153652909E-4</v>
      </c>
      <c r="H39" s="42">
        <f t="shared" si="45"/>
        <v>1.3187534153652909E-4</v>
      </c>
      <c r="I39" s="42">
        <f t="shared" si="45"/>
        <v>1.3187534153652909E-4</v>
      </c>
      <c r="J39" s="42">
        <f t="shared" si="45"/>
        <v>1.3187534153652909E-4</v>
      </c>
      <c r="K39" s="42">
        <f t="shared" si="45"/>
        <v>1.3187534153652909E-4</v>
      </c>
      <c r="L39" s="42">
        <f t="shared" si="45"/>
        <v>1.3187534153652909E-4</v>
      </c>
      <c r="M39" s="42">
        <f t="shared" si="45"/>
        <v>1.3187534153652909E-4</v>
      </c>
      <c r="N39" s="42">
        <f t="shared" si="45"/>
        <v>1.3187534153652909E-4</v>
      </c>
      <c r="O39" s="42">
        <f t="shared" si="45"/>
        <v>1.3187534153652909E-4</v>
      </c>
      <c r="P39" s="42">
        <f t="shared" si="45"/>
        <v>1.3187534153652909E-4</v>
      </c>
      <c r="Q39" s="42">
        <f t="shared" si="45"/>
        <v>1.3187534153652909E-4</v>
      </c>
      <c r="R39" s="42">
        <f t="shared" si="45"/>
        <v>1.3187534153652909E-4</v>
      </c>
      <c r="S39" s="42">
        <f t="shared" si="45"/>
        <v>1.3187534153652909E-4</v>
      </c>
      <c r="T39" s="42">
        <f t="shared" si="45"/>
        <v>1.3187534153652909E-4</v>
      </c>
      <c r="U39" s="42">
        <f t="shared" si="45"/>
        <v>1.3187534153652909E-4</v>
      </c>
      <c r="V39" s="42">
        <f t="shared" si="45"/>
        <v>1.3187534153652909E-4</v>
      </c>
      <c r="W39" s="42">
        <f t="shared" si="45"/>
        <v>1.3187534153652909E-4</v>
      </c>
      <c r="X39" s="42">
        <f t="shared" si="45"/>
        <v>1.3187534153652909E-4</v>
      </c>
      <c r="Y39" s="42">
        <f t="shared" si="45"/>
        <v>1.3187534153652909E-4</v>
      </c>
      <c r="Z39" s="42">
        <f t="shared" si="45"/>
        <v>1.3187534153652909E-4</v>
      </c>
      <c r="AA39" s="42">
        <f t="shared" si="45"/>
        <v>1.3187534153652909E-4</v>
      </c>
      <c r="AB39" s="34">
        <f t="shared" si="4"/>
        <v>568718.90625</v>
      </c>
      <c r="AC39" s="34">
        <f>IFERROR(up_RadSpec!$J$11*(AC11*$B39),".")</f>
        <v>189572.96875</v>
      </c>
      <c r="AD39" s="34">
        <f>IFERROR(up_RadSpec!$J$11*(AD11*$B39),".")</f>
        <v>189572.96875</v>
      </c>
      <c r="AE39" s="34">
        <f>IFERROR(up_RadSpec!$J$11*(AE11*$B39),".")</f>
        <v>189572.96875</v>
      </c>
      <c r="AF39" s="34">
        <f>IFERROR(up_RadSpec!$J$11*(AF11*$B39),".")</f>
        <v>189572.96875</v>
      </c>
      <c r="AG39" s="34">
        <f>IFERROR(up_RadSpec!$J$11*(AG11*$B39),".")</f>
        <v>189572.96875</v>
      </c>
      <c r="AH39" s="34">
        <f>IFERROR(up_RadSpec!$J$11*(AH11*$B39),".")</f>
        <v>189572.96875</v>
      </c>
      <c r="AI39" s="34">
        <f>IFERROR(up_RadSpec!$J$11*(AI11*$B39),".")</f>
        <v>189572.96875</v>
      </c>
      <c r="AJ39" s="34">
        <f>IFERROR(up_RadSpec!$J$11*(AJ11*$B39),".")</f>
        <v>189572.96875</v>
      </c>
      <c r="AK39" s="34">
        <f>IFERROR(up_RadSpec!$J$11*(AK11*$B39),".")</f>
        <v>189572.96875</v>
      </c>
      <c r="AL39" s="34">
        <f>IFERROR(up_RadSpec!$J$11*(AL11*$B39),".")</f>
        <v>189572.96875</v>
      </c>
      <c r="AM39" s="34">
        <f>IFERROR(up_RadSpec!$J$11*(AM11*$B39),".")</f>
        <v>189572.96875</v>
      </c>
      <c r="AN39" s="34">
        <f>IFERROR(up_RadSpec!$J$11*(AN11*$B39),".")</f>
        <v>189572.96875</v>
      </c>
      <c r="AO39" s="34">
        <f>IFERROR(up_RadSpec!$J$11*(AO11*$B39),".")</f>
        <v>189572.96875</v>
      </c>
      <c r="AP39" s="34">
        <f>IFERROR(up_RadSpec!$J$11*(AP11*$B39),".")</f>
        <v>189572.96875</v>
      </c>
      <c r="AQ39" s="34">
        <f>IFERROR(up_RadSpec!$J$11*(AQ11*$B39),".")</f>
        <v>189572.96875</v>
      </c>
      <c r="AR39" s="34">
        <f>IFERROR(up_RadSpec!$J$11*(AR11*$B39),".")</f>
        <v>189572.96875</v>
      </c>
      <c r="AS39" s="34">
        <f>IFERROR(up_RadSpec!$J$11*(AS11*$B39),".")</f>
        <v>189572.96875</v>
      </c>
      <c r="AT39" s="34">
        <f>IFERROR(up_RadSpec!$J$11*(AT11*$B39),".")</f>
        <v>189572.96875</v>
      </c>
      <c r="AU39" s="34">
        <f>IFERROR(up_RadSpec!$J$11*(AU11*$B39),".")</f>
        <v>189572.96875</v>
      </c>
      <c r="AV39" s="34">
        <f>IFERROR(up_RadSpec!$J$11*(AV11*$B39),".")</f>
        <v>189572.96875</v>
      </c>
      <c r="AW39" s="34">
        <f>IFERROR(up_RadSpec!$J$11*(AW11*$B39),".")</f>
        <v>189572.96875</v>
      </c>
      <c r="AX39" s="34">
        <f>IFERROR(up_RadSpec!$J$11*(AX11*$B39),".")</f>
        <v>189572.96875</v>
      </c>
      <c r="AY39" s="34">
        <f>IFERROR(up_RadSpec!$J$11*(AY11*$B39),".")</f>
        <v>189572.96875</v>
      </c>
      <c r="AZ39" s="34">
        <f>IFERROR(up_RadSpec!$J$11*(AZ11*$B39),".")</f>
        <v>189572.96875</v>
      </c>
      <c r="BA39" s="42">
        <f t="shared" si="2"/>
        <v>4.3958447178843029E-5</v>
      </c>
      <c r="BB39" s="42">
        <f t="shared" ref="BB39:BY39" si="46">IFERROR(BB11/$B39,0)</f>
        <v>1.3187534153652909E-4</v>
      </c>
      <c r="BC39" s="42">
        <f t="shared" si="46"/>
        <v>1.3187534153652909E-4</v>
      </c>
      <c r="BD39" s="42">
        <f t="shared" si="46"/>
        <v>1.3187534153652909E-4</v>
      </c>
      <c r="BE39" s="42">
        <f t="shared" si="46"/>
        <v>1.3187534153652909E-4</v>
      </c>
      <c r="BF39" s="42">
        <f t="shared" si="46"/>
        <v>1.3187534153652909E-4</v>
      </c>
      <c r="BG39" s="42">
        <f t="shared" si="46"/>
        <v>1.3187534153652909E-4</v>
      </c>
      <c r="BH39" s="42">
        <f t="shared" si="46"/>
        <v>1.3187534153652909E-4</v>
      </c>
      <c r="BI39" s="42">
        <f t="shared" si="46"/>
        <v>1.3187534153652909E-4</v>
      </c>
      <c r="BJ39" s="42">
        <f t="shared" si="46"/>
        <v>1.3187534153652909E-4</v>
      </c>
      <c r="BK39" s="42">
        <f t="shared" si="46"/>
        <v>1.3187534153652909E-4</v>
      </c>
      <c r="BL39" s="42">
        <f t="shared" si="46"/>
        <v>1.3187534153652909E-4</v>
      </c>
      <c r="BM39" s="42">
        <f t="shared" si="46"/>
        <v>1.3187534153652909E-4</v>
      </c>
      <c r="BN39" s="42">
        <f t="shared" si="46"/>
        <v>1.3187534153652909E-4</v>
      </c>
      <c r="BO39" s="42">
        <f t="shared" si="46"/>
        <v>1.3187534153652909E-4</v>
      </c>
      <c r="BP39" s="42">
        <f t="shared" si="46"/>
        <v>1.3187534153652909E-4</v>
      </c>
      <c r="BQ39" s="42">
        <f t="shared" si="46"/>
        <v>1.3187534153652909E-4</v>
      </c>
      <c r="BR39" s="42">
        <f t="shared" si="46"/>
        <v>1.3187534153652909E-4</v>
      </c>
      <c r="BS39" s="42">
        <f t="shared" si="46"/>
        <v>1.3187534153652909E-4</v>
      </c>
      <c r="BT39" s="42">
        <f t="shared" si="46"/>
        <v>1.3187534153652909E-4</v>
      </c>
      <c r="BU39" s="42">
        <f t="shared" si="46"/>
        <v>1.3187534153652909E-4</v>
      </c>
      <c r="BV39" s="42">
        <f t="shared" si="46"/>
        <v>1.3187534153652909E-4</v>
      </c>
      <c r="BW39" s="42">
        <f t="shared" si="46"/>
        <v>1.3187534153652909E-4</v>
      </c>
      <c r="BX39" s="42">
        <f t="shared" si="46"/>
        <v>1.3187534153652909E-4</v>
      </c>
      <c r="BY39" s="42">
        <f t="shared" si="46"/>
        <v>1.3187534153652909E-4</v>
      </c>
      <c r="BZ39" s="34">
        <f t="shared" si="8"/>
        <v>568718.90625</v>
      </c>
      <c r="CA39" s="34">
        <f>IFERROR(up_RadSpec!$J$11*(CA11*$B39),".")</f>
        <v>189572.96875</v>
      </c>
      <c r="CB39" s="34">
        <f>IFERROR(up_RadSpec!$J$11*(CB11*$B39),".")</f>
        <v>189572.96875</v>
      </c>
      <c r="CC39" s="34">
        <f>IFERROR(up_RadSpec!$J$11*(CC11*$B39),".")</f>
        <v>189572.96875</v>
      </c>
      <c r="CD39" s="34">
        <f>IFERROR(up_RadSpec!$J$11*(CD11*$B39),".")</f>
        <v>189572.96875</v>
      </c>
      <c r="CE39" s="34">
        <f>IFERROR(up_RadSpec!$J$11*(CE11*$B39),".")</f>
        <v>189572.96875</v>
      </c>
      <c r="CF39" s="34">
        <f>IFERROR(up_RadSpec!$J$11*(CF11*$B39),".")</f>
        <v>189572.96875</v>
      </c>
      <c r="CG39" s="34">
        <f>IFERROR(up_RadSpec!$J$11*(CG11*$B39),".")</f>
        <v>189572.96875</v>
      </c>
      <c r="CH39" s="34">
        <f>IFERROR(up_RadSpec!$J$11*(CH11*$B39),".")</f>
        <v>189572.96875</v>
      </c>
      <c r="CI39" s="34">
        <f>IFERROR(up_RadSpec!$J$11*(CI11*$B39),".")</f>
        <v>189572.96875</v>
      </c>
      <c r="CJ39" s="34">
        <f>IFERROR(up_RadSpec!$J$11*(CJ11*$B39),".")</f>
        <v>189572.96875</v>
      </c>
      <c r="CK39" s="34">
        <f>IFERROR(up_RadSpec!$J$11*(CK11*$B39),".")</f>
        <v>189572.96875</v>
      </c>
      <c r="CL39" s="34">
        <f>IFERROR(up_RadSpec!$J$11*(CL11*$B39),".")</f>
        <v>189572.96875</v>
      </c>
      <c r="CM39" s="34">
        <f>IFERROR(up_RadSpec!$J$11*(CM11*$B39),".")</f>
        <v>189572.96875</v>
      </c>
      <c r="CN39" s="34">
        <f>IFERROR(up_RadSpec!$J$11*(CN11*$B39),".")</f>
        <v>189572.96875</v>
      </c>
      <c r="CO39" s="34">
        <f>IFERROR(up_RadSpec!$J$11*(CO11*$B39),".")</f>
        <v>189572.96875</v>
      </c>
      <c r="CP39" s="34">
        <f>IFERROR(up_RadSpec!$J$11*(CP11*$B39),".")</f>
        <v>189572.96875</v>
      </c>
      <c r="CQ39" s="34">
        <f>IFERROR(up_RadSpec!$J$11*(CQ11*$B39),".")</f>
        <v>189572.96875</v>
      </c>
      <c r="CR39" s="34">
        <f>IFERROR(up_RadSpec!$J$11*(CR11*$B39),".")</f>
        <v>189572.96875</v>
      </c>
      <c r="CS39" s="34">
        <f>IFERROR(up_RadSpec!$J$11*(CS11*$B39),".")</f>
        <v>189572.96875</v>
      </c>
      <c r="CT39" s="34">
        <f>IFERROR(up_RadSpec!$J$11*(CT11*$B39),".")</f>
        <v>189572.96875</v>
      </c>
      <c r="CU39" s="34">
        <f>IFERROR(up_RadSpec!$J$11*(CU11*$B39),".")</f>
        <v>189572.96875</v>
      </c>
      <c r="CV39" s="34">
        <f>IFERROR(up_RadSpec!$J$11*(CV11*$B39),".")</f>
        <v>189572.96875</v>
      </c>
      <c r="CW39" s="34">
        <f>IFERROR(up_RadSpec!$J$11*(CW11*$B39),".")</f>
        <v>189572.96875</v>
      </c>
      <c r="CX39" s="34">
        <f>IFERROR(up_RadSpec!$J$11*(CX11*$B39),".")</f>
        <v>189572.96875</v>
      </c>
    </row>
    <row r="40" spans="1:102" x14ac:dyDescent="0.25">
      <c r="A40" s="55" t="s">
        <v>1070</v>
      </c>
      <c r="B40" s="3">
        <v>1</v>
      </c>
      <c r="C40" s="42">
        <f t="shared" si="1"/>
        <v>4.3958447178843029E-5</v>
      </c>
      <c r="D40" s="42">
        <f t="shared" ref="D40:AA40" si="47">IFERROR(D4/$B40,0)</f>
        <v>1.3187534153652909E-4</v>
      </c>
      <c r="E40" s="42">
        <f t="shared" si="47"/>
        <v>1.3187534153652909E-4</v>
      </c>
      <c r="F40" s="42">
        <f t="shared" si="47"/>
        <v>1.3187534153652909E-4</v>
      </c>
      <c r="G40" s="42">
        <f t="shared" si="47"/>
        <v>1.3187534153652909E-4</v>
      </c>
      <c r="H40" s="42">
        <f t="shared" si="47"/>
        <v>1.3187534153652909E-4</v>
      </c>
      <c r="I40" s="42">
        <f t="shared" si="47"/>
        <v>1.3187534153652909E-4</v>
      </c>
      <c r="J40" s="42">
        <f t="shared" si="47"/>
        <v>1.3187534153652909E-4</v>
      </c>
      <c r="K40" s="42">
        <f t="shared" si="47"/>
        <v>1.3187534153652909E-4</v>
      </c>
      <c r="L40" s="42">
        <f t="shared" si="47"/>
        <v>1.3187534153652909E-4</v>
      </c>
      <c r="M40" s="42">
        <f t="shared" si="47"/>
        <v>1.3187534153652909E-4</v>
      </c>
      <c r="N40" s="42">
        <f t="shared" si="47"/>
        <v>1.3187534153652909E-4</v>
      </c>
      <c r="O40" s="42">
        <f t="shared" si="47"/>
        <v>1.3187534153652909E-4</v>
      </c>
      <c r="P40" s="42">
        <f t="shared" si="47"/>
        <v>1.3187534153652909E-4</v>
      </c>
      <c r="Q40" s="42">
        <f t="shared" si="47"/>
        <v>1.3187534153652909E-4</v>
      </c>
      <c r="R40" s="42">
        <f t="shared" si="47"/>
        <v>1.3187534153652909E-4</v>
      </c>
      <c r="S40" s="42">
        <f t="shared" si="47"/>
        <v>1.3187534153652909E-4</v>
      </c>
      <c r="T40" s="42">
        <f t="shared" si="47"/>
        <v>1.3187534153652909E-4</v>
      </c>
      <c r="U40" s="42">
        <f t="shared" si="47"/>
        <v>1.3187534153652909E-4</v>
      </c>
      <c r="V40" s="42">
        <f t="shared" si="47"/>
        <v>1.3187534153652909E-4</v>
      </c>
      <c r="W40" s="42">
        <f t="shared" si="47"/>
        <v>1.3187534153652909E-4</v>
      </c>
      <c r="X40" s="42">
        <f t="shared" si="47"/>
        <v>1.3187534153652909E-4</v>
      </c>
      <c r="Y40" s="42">
        <f t="shared" si="47"/>
        <v>1.3187534153652909E-4</v>
      </c>
      <c r="Z40" s="42">
        <f t="shared" si="47"/>
        <v>1.3187534153652909E-4</v>
      </c>
      <c r="AA40" s="42">
        <f t="shared" si="47"/>
        <v>1.3187534153652909E-4</v>
      </c>
      <c r="AB40" s="34">
        <f t="shared" si="4"/>
        <v>568718.90625</v>
      </c>
      <c r="AC40" s="34">
        <f>IFERROR(up_RadSpec!$J$4*(AC4*$B40),".")</f>
        <v>189572.96875</v>
      </c>
      <c r="AD40" s="34">
        <f>IFERROR(up_RadSpec!$J$4*(AD4*$B40),".")</f>
        <v>189572.96875</v>
      </c>
      <c r="AE40" s="34">
        <f>IFERROR(up_RadSpec!$J$4*(AE4*$B40),".")</f>
        <v>189572.96875</v>
      </c>
      <c r="AF40" s="34">
        <f>IFERROR(up_RadSpec!$J$4*(AF4*$B40),".")</f>
        <v>189572.96875</v>
      </c>
      <c r="AG40" s="34">
        <f>IFERROR(up_RadSpec!$J$4*(AG4*$B40),".")</f>
        <v>189572.96875</v>
      </c>
      <c r="AH40" s="34">
        <f>IFERROR(up_RadSpec!$J$4*(AH4*$B40),".")</f>
        <v>189572.96875</v>
      </c>
      <c r="AI40" s="34">
        <f>IFERROR(up_RadSpec!$J$4*(AI4*$B40),".")</f>
        <v>189572.96875</v>
      </c>
      <c r="AJ40" s="34">
        <f>IFERROR(up_RadSpec!$J$4*(AJ4*$B40),".")</f>
        <v>189572.96875</v>
      </c>
      <c r="AK40" s="34">
        <f>IFERROR(up_RadSpec!$J$4*(AK4*$B40),".")</f>
        <v>189572.96875</v>
      </c>
      <c r="AL40" s="34">
        <f>IFERROR(up_RadSpec!$J$4*(AL4*$B40),".")</f>
        <v>189572.96875</v>
      </c>
      <c r="AM40" s="34">
        <f>IFERROR(up_RadSpec!$J$4*(AM4*$B40),".")</f>
        <v>189572.96875</v>
      </c>
      <c r="AN40" s="34">
        <f>IFERROR(up_RadSpec!$J$4*(AN4*$B40),".")</f>
        <v>189572.96875</v>
      </c>
      <c r="AO40" s="34">
        <f>IFERROR(up_RadSpec!$J$4*(AO4*$B40),".")</f>
        <v>189572.96875</v>
      </c>
      <c r="AP40" s="34">
        <f>IFERROR(up_RadSpec!$J$4*(AP4*$B40),".")</f>
        <v>189572.96875</v>
      </c>
      <c r="AQ40" s="34">
        <f>IFERROR(up_RadSpec!$J$4*(AQ4*$B40),".")</f>
        <v>189572.96875</v>
      </c>
      <c r="AR40" s="34">
        <f>IFERROR(up_RadSpec!$J$4*(AR4*$B40),".")</f>
        <v>189572.96875</v>
      </c>
      <c r="AS40" s="34">
        <f>IFERROR(up_RadSpec!$J$4*(AS4*$B40),".")</f>
        <v>189572.96875</v>
      </c>
      <c r="AT40" s="34">
        <f>IFERROR(up_RadSpec!$J$4*(AT4*$B40),".")</f>
        <v>189572.96875</v>
      </c>
      <c r="AU40" s="34">
        <f>IFERROR(up_RadSpec!$J$4*(AU4*$B40),".")</f>
        <v>189572.96875</v>
      </c>
      <c r="AV40" s="34">
        <f>IFERROR(up_RadSpec!$J$4*(AV4*$B40),".")</f>
        <v>189572.96875</v>
      </c>
      <c r="AW40" s="34">
        <f>IFERROR(up_RadSpec!$J$4*(AW4*$B40),".")</f>
        <v>189572.96875</v>
      </c>
      <c r="AX40" s="34">
        <f>IFERROR(up_RadSpec!$J$4*(AX4*$B40),".")</f>
        <v>189572.96875</v>
      </c>
      <c r="AY40" s="34">
        <f>IFERROR(up_RadSpec!$J$4*(AY4*$B40),".")</f>
        <v>189572.96875</v>
      </c>
      <c r="AZ40" s="34">
        <f>IFERROR(up_RadSpec!$J$4*(AZ4*$B40),".")</f>
        <v>189572.96875</v>
      </c>
      <c r="BA40" s="42">
        <f t="shared" si="2"/>
        <v>4.3958447178843029E-5</v>
      </c>
      <c r="BB40" s="42">
        <f t="shared" ref="BB40:BY40" si="48">IFERROR(BB4/$B40,0)</f>
        <v>1.3187534153652909E-4</v>
      </c>
      <c r="BC40" s="42">
        <f t="shared" si="48"/>
        <v>1.3187534153652909E-4</v>
      </c>
      <c r="BD40" s="42">
        <f t="shared" si="48"/>
        <v>1.3187534153652909E-4</v>
      </c>
      <c r="BE40" s="42">
        <f t="shared" si="48"/>
        <v>1.3187534153652909E-4</v>
      </c>
      <c r="BF40" s="42">
        <f t="shared" si="48"/>
        <v>1.3187534153652909E-4</v>
      </c>
      <c r="BG40" s="42">
        <f t="shared" si="48"/>
        <v>1.3187534153652909E-4</v>
      </c>
      <c r="BH40" s="42">
        <f t="shared" si="48"/>
        <v>1.3187534153652909E-4</v>
      </c>
      <c r="BI40" s="42">
        <f t="shared" si="48"/>
        <v>1.3187534153652909E-4</v>
      </c>
      <c r="BJ40" s="42">
        <f t="shared" si="48"/>
        <v>1.3187534153652909E-4</v>
      </c>
      <c r="BK40" s="42">
        <f t="shared" si="48"/>
        <v>1.3187534153652909E-4</v>
      </c>
      <c r="BL40" s="42">
        <f t="shared" si="48"/>
        <v>1.3187534153652909E-4</v>
      </c>
      <c r="BM40" s="42">
        <f t="shared" si="48"/>
        <v>1.3187534153652909E-4</v>
      </c>
      <c r="BN40" s="42">
        <f t="shared" si="48"/>
        <v>1.3187534153652909E-4</v>
      </c>
      <c r="BO40" s="42">
        <f t="shared" si="48"/>
        <v>1.3187534153652909E-4</v>
      </c>
      <c r="BP40" s="42">
        <f t="shared" si="48"/>
        <v>1.3187534153652909E-4</v>
      </c>
      <c r="BQ40" s="42">
        <f t="shared" si="48"/>
        <v>1.3187534153652909E-4</v>
      </c>
      <c r="BR40" s="42">
        <f t="shared" si="48"/>
        <v>1.3187534153652909E-4</v>
      </c>
      <c r="BS40" s="42">
        <f t="shared" si="48"/>
        <v>1.3187534153652909E-4</v>
      </c>
      <c r="BT40" s="42">
        <f t="shared" si="48"/>
        <v>1.3187534153652909E-4</v>
      </c>
      <c r="BU40" s="42">
        <f t="shared" si="48"/>
        <v>1.3187534153652909E-4</v>
      </c>
      <c r="BV40" s="42">
        <f t="shared" si="48"/>
        <v>1.3187534153652909E-4</v>
      </c>
      <c r="BW40" s="42">
        <f t="shared" si="48"/>
        <v>1.3187534153652909E-4</v>
      </c>
      <c r="BX40" s="42">
        <f t="shared" si="48"/>
        <v>1.3187534153652909E-4</v>
      </c>
      <c r="BY40" s="42">
        <f t="shared" si="48"/>
        <v>1.3187534153652909E-4</v>
      </c>
      <c r="BZ40" s="34">
        <f t="shared" si="8"/>
        <v>568718.90625</v>
      </c>
      <c r="CA40" s="34">
        <f>IFERROR(up_RadSpec!$J$4*(CA4*$B40),".")</f>
        <v>189572.96875</v>
      </c>
      <c r="CB40" s="34">
        <f>IFERROR(up_RadSpec!$J$4*(CB4*$B40),".")</f>
        <v>189572.96875</v>
      </c>
      <c r="CC40" s="34">
        <f>IFERROR(up_RadSpec!$J$4*(CC4*$B40),".")</f>
        <v>189572.96875</v>
      </c>
      <c r="CD40" s="34">
        <f>IFERROR(up_RadSpec!$J$4*(CD4*$B40),".")</f>
        <v>189572.96875</v>
      </c>
      <c r="CE40" s="34">
        <f>IFERROR(up_RadSpec!$J$4*(CE4*$B40),".")</f>
        <v>189572.96875</v>
      </c>
      <c r="CF40" s="34">
        <f>IFERROR(up_RadSpec!$J$4*(CF4*$B40),".")</f>
        <v>189572.96875</v>
      </c>
      <c r="CG40" s="34">
        <f>IFERROR(up_RadSpec!$J$4*(CG4*$B40),".")</f>
        <v>189572.96875</v>
      </c>
      <c r="CH40" s="34">
        <f>IFERROR(up_RadSpec!$J$4*(CH4*$B40),".")</f>
        <v>189572.96875</v>
      </c>
      <c r="CI40" s="34">
        <f>IFERROR(up_RadSpec!$J$4*(CI4*$B40),".")</f>
        <v>189572.96875</v>
      </c>
      <c r="CJ40" s="34">
        <f>IFERROR(up_RadSpec!$J$4*(CJ4*$B40),".")</f>
        <v>189572.96875</v>
      </c>
      <c r="CK40" s="34">
        <f>IFERROR(up_RadSpec!$J$4*(CK4*$B40),".")</f>
        <v>189572.96875</v>
      </c>
      <c r="CL40" s="34">
        <f>IFERROR(up_RadSpec!$J$4*(CL4*$B40),".")</f>
        <v>189572.96875</v>
      </c>
      <c r="CM40" s="34">
        <f>IFERROR(up_RadSpec!$J$4*(CM4*$B40),".")</f>
        <v>189572.96875</v>
      </c>
      <c r="CN40" s="34">
        <f>IFERROR(up_RadSpec!$J$4*(CN4*$B40),".")</f>
        <v>189572.96875</v>
      </c>
      <c r="CO40" s="34">
        <f>IFERROR(up_RadSpec!$J$4*(CO4*$B40),".")</f>
        <v>189572.96875</v>
      </c>
      <c r="CP40" s="34">
        <f>IFERROR(up_RadSpec!$J$4*(CP4*$B40),".")</f>
        <v>189572.96875</v>
      </c>
      <c r="CQ40" s="34">
        <f>IFERROR(up_RadSpec!$J$4*(CQ4*$B40),".")</f>
        <v>189572.96875</v>
      </c>
      <c r="CR40" s="34">
        <f>IFERROR(up_RadSpec!$J$4*(CR4*$B40),".")</f>
        <v>189572.96875</v>
      </c>
      <c r="CS40" s="34">
        <f>IFERROR(up_RadSpec!$J$4*(CS4*$B40),".")</f>
        <v>189572.96875</v>
      </c>
      <c r="CT40" s="34">
        <f>IFERROR(up_RadSpec!$J$4*(CT4*$B40),".")</f>
        <v>189572.96875</v>
      </c>
      <c r="CU40" s="34">
        <f>IFERROR(up_RadSpec!$J$4*(CU4*$B40),".")</f>
        <v>189572.96875</v>
      </c>
      <c r="CV40" s="34">
        <f>IFERROR(up_RadSpec!$J$4*(CV4*$B40),".")</f>
        <v>189572.96875</v>
      </c>
      <c r="CW40" s="34">
        <f>IFERROR(up_RadSpec!$J$4*(CW4*$B40),".")</f>
        <v>189572.96875</v>
      </c>
      <c r="CX40" s="34">
        <f>IFERROR(up_RadSpec!$J$4*(CX4*$B40),".")</f>
        <v>189572.96875</v>
      </c>
    </row>
    <row r="41" spans="1:102" x14ac:dyDescent="0.25">
      <c r="A41" s="55" t="s">
        <v>1071</v>
      </c>
      <c r="B41" s="56">
        <v>0.99987999999999999</v>
      </c>
      <c r="C41" s="42">
        <f t="shared" si="1"/>
        <v>4.3963722825582103E-5</v>
      </c>
      <c r="D41" s="42">
        <f t="shared" ref="D41:AA41" si="49">IFERROR(D8/$B41,0)</f>
        <v>1.3189116847674631E-4</v>
      </c>
      <c r="E41" s="42">
        <f t="shared" si="49"/>
        <v>1.3189116847674631E-4</v>
      </c>
      <c r="F41" s="42">
        <f t="shared" si="49"/>
        <v>1.3189116847674631E-4</v>
      </c>
      <c r="G41" s="42">
        <f t="shared" si="49"/>
        <v>1.3189116847674631E-4</v>
      </c>
      <c r="H41" s="42">
        <f t="shared" si="49"/>
        <v>1.3189116847674631E-4</v>
      </c>
      <c r="I41" s="42">
        <f t="shared" si="49"/>
        <v>1.3189116847674631E-4</v>
      </c>
      <c r="J41" s="42">
        <f t="shared" si="49"/>
        <v>1.3189116847674631E-4</v>
      </c>
      <c r="K41" s="42">
        <f t="shared" si="49"/>
        <v>1.3189116847674631E-4</v>
      </c>
      <c r="L41" s="42">
        <f t="shared" si="49"/>
        <v>1.3189116847674631E-4</v>
      </c>
      <c r="M41" s="42">
        <f t="shared" si="49"/>
        <v>1.3189116847674631E-4</v>
      </c>
      <c r="N41" s="42">
        <f t="shared" si="49"/>
        <v>1.3189116847674631E-4</v>
      </c>
      <c r="O41" s="42">
        <f t="shared" si="49"/>
        <v>1.3189116847674631E-4</v>
      </c>
      <c r="P41" s="42">
        <f t="shared" si="49"/>
        <v>1.3189116847674631E-4</v>
      </c>
      <c r="Q41" s="42">
        <f t="shared" si="49"/>
        <v>1.3189116847674631E-4</v>
      </c>
      <c r="R41" s="42">
        <f t="shared" si="49"/>
        <v>1.3189116847674631E-4</v>
      </c>
      <c r="S41" s="42">
        <f t="shared" si="49"/>
        <v>1.3189116847674631E-4</v>
      </c>
      <c r="T41" s="42">
        <f t="shared" si="49"/>
        <v>1.3189116847674631E-4</v>
      </c>
      <c r="U41" s="42">
        <f t="shared" si="49"/>
        <v>1.3189116847674631E-4</v>
      </c>
      <c r="V41" s="42">
        <f t="shared" si="49"/>
        <v>1.3189116847674631E-4</v>
      </c>
      <c r="W41" s="42">
        <f t="shared" si="49"/>
        <v>1.3189116847674631E-4</v>
      </c>
      <c r="X41" s="42">
        <f t="shared" si="49"/>
        <v>1.3189116847674631E-4</v>
      </c>
      <c r="Y41" s="42">
        <f t="shared" si="49"/>
        <v>1.3189116847674631E-4</v>
      </c>
      <c r="Z41" s="42">
        <f t="shared" si="49"/>
        <v>1.3189116847674631E-4</v>
      </c>
      <c r="AA41" s="42">
        <f t="shared" si="49"/>
        <v>1.3189116847674631E-4</v>
      </c>
      <c r="AB41" s="34">
        <f t="shared" si="4"/>
        <v>568650.65998124995</v>
      </c>
      <c r="AC41" s="34">
        <f>IFERROR(up_RadSpec!$J$8*(AC8*$B41),".")</f>
        <v>189550.21999374998</v>
      </c>
      <c r="AD41" s="34">
        <f>IFERROR(up_RadSpec!$J$8*(AD8*$B41),".")</f>
        <v>189550.21999374998</v>
      </c>
      <c r="AE41" s="34">
        <f>IFERROR(up_RadSpec!$J$8*(AE8*$B41),".")</f>
        <v>189550.21999374998</v>
      </c>
      <c r="AF41" s="34">
        <f>IFERROR(up_RadSpec!$J$8*(AF8*$B41),".")</f>
        <v>189550.21999374998</v>
      </c>
      <c r="AG41" s="34">
        <f>IFERROR(up_RadSpec!$J$8*(AG8*$B41),".")</f>
        <v>189550.21999374998</v>
      </c>
      <c r="AH41" s="34">
        <f>IFERROR(up_RadSpec!$J$8*(AH8*$B41),".")</f>
        <v>189550.21999374998</v>
      </c>
      <c r="AI41" s="34">
        <f>IFERROR(up_RadSpec!$J$8*(AI8*$B41),".")</f>
        <v>189550.21999374998</v>
      </c>
      <c r="AJ41" s="34">
        <f>IFERROR(up_RadSpec!$J$8*(AJ8*$B41),".")</f>
        <v>189550.21999374998</v>
      </c>
      <c r="AK41" s="34">
        <f>IFERROR(up_RadSpec!$J$8*(AK8*$B41),".")</f>
        <v>189550.21999374998</v>
      </c>
      <c r="AL41" s="34">
        <f>IFERROR(up_RadSpec!$J$8*(AL8*$B41),".")</f>
        <v>189550.21999374998</v>
      </c>
      <c r="AM41" s="34">
        <f>IFERROR(up_RadSpec!$J$8*(AM8*$B41),".")</f>
        <v>189550.21999374998</v>
      </c>
      <c r="AN41" s="34">
        <f>IFERROR(up_RadSpec!$J$8*(AN8*$B41),".")</f>
        <v>189550.21999374998</v>
      </c>
      <c r="AO41" s="34">
        <f>IFERROR(up_RadSpec!$J$8*(AO8*$B41),".")</f>
        <v>189550.21999374998</v>
      </c>
      <c r="AP41" s="34">
        <f>IFERROR(up_RadSpec!$J$8*(AP8*$B41),".")</f>
        <v>189550.21999374998</v>
      </c>
      <c r="AQ41" s="34">
        <f>IFERROR(up_RadSpec!$J$8*(AQ8*$B41),".")</f>
        <v>189550.21999374998</v>
      </c>
      <c r="AR41" s="34">
        <f>IFERROR(up_RadSpec!$J$8*(AR8*$B41),".")</f>
        <v>189550.21999374998</v>
      </c>
      <c r="AS41" s="34">
        <f>IFERROR(up_RadSpec!$J$8*(AS8*$B41),".")</f>
        <v>189550.21999374998</v>
      </c>
      <c r="AT41" s="34">
        <f>IFERROR(up_RadSpec!$J$8*(AT8*$B41),".")</f>
        <v>189550.21999374998</v>
      </c>
      <c r="AU41" s="34">
        <f>IFERROR(up_RadSpec!$J$8*(AU8*$B41),".")</f>
        <v>189550.21999374998</v>
      </c>
      <c r="AV41" s="34">
        <f>IFERROR(up_RadSpec!$J$8*(AV8*$B41),".")</f>
        <v>189550.21999374998</v>
      </c>
      <c r="AW41" s="34">
        <f>IFERROR(up_RadSpec!$J$8*(AW8*$B41),".")</f>
        <v>189550.21999374998</v>
      </c>
      <c r="AX41" s="34">
        <f>IFERROR(up_RadSpec!$J$8*(AX8*$B41),".")</f>
        <v>189550.21999374998</v>
      </c>
      <c r="AY41" s="34">
        <f>IFERROR(up_RadSpec!$J$8*(AY8*$B41),".")</f>
        <v>189550.21999374998</v>
      </c>
      <c r="AZ41" s="34">
        <f>IFERROR(up_RadSpec!$J$8*(AZ8*$B41),".")</f>
        <v>189550.21999374998</v>
      </c>
      <c r="BA41" s="42">
        <f t="shared" si="2"/>
        <v>4.3963722825582103E-5</v>
      </c>
      <c r="BB41" s="42">
        <f t="shared" ref="BB41:BY41" si="50">IFERROR(BB8/$B41,0)</f>
        <v>1.3189116847674631E-4</v>
      </c>
      <c r="BC41" s="42">
        <f t="shared" si="50"/>
        <v>1.3189116847674631E-4</v>
      </c>
      <c r="BD41" s="42">
        <f t="shared" si="50"/>
        <v>1.3189116847674631E-4</v>
      </c>
      <c r="BE41" s="42">
        <f t="shared" si="50"/>
        <v>1.3189116847674631E-4</v>
      </c>
      <c r="BF41" s="42">
        <f t="shared" si="50"/>
        <v>1.3189116847674631E-4</v>
      </c>
      <c r="BG41" s="42">
        <f t="shared" si="50"/>
        <v>1.3189116847674631E-4</v>
      </c>
      <c r="BH41" s="42">
        <f t="shared" si="50"/>
        <v>1.3189116847674631E-4</v>
      </c>
      <c r="BI41" s="42">
        <f t="shared" si="50"/>
        <v>1.3189116847674631E-4</v>
      </c>
      <c r="BJ41" s="42">
        <f t="shared" si="50"/>
        <v>1.3189116847674631E-4</v>
      </c>
      <c r="BK41" s="42">
        <f t="shared" si="50"/>
        <v>1.3189116847674631E-4</v>
      </c>
      <c r="BL41" s="42">
        <f t="shared" si="50"/>
        <v>1.3189116847674631E-4</v>
      </c>
      <c r="BM41" s="42">
        <f t="shared" si="50"/>
        <v>1.3189116847674631E-4</v>
      </c>
      <c r="BN41" s="42">
        <f t="shared" si="50"/>
        <v>1.3189116847674631E-4</v>
      </c>
      <c r="BO41" s="42">
        <f t="shared" si="50"/>
        <v>1.3189116847674631E-4</v>
      </c>
      <c r="BP41" s="42">
        <f t="shared" si="50"/>
        <v>1.3189116847674631E-4</v>
      </c>
      <c r="BQ41" s="42">
        <f t="shared" si="50"/>
        <v>1.3189116847674631E-4</v>
      </c>
      <c r="BR41" s="42">
        <f t="shared" si="50"/>
        <v>1.3189116847674631E-4</v>
      </c>
      <c r="BS41" s="42">
        <f t="shared" si="50"/>
        <v>1.3189116847674631E-4</v>
      </c>
      <c r="BT41" s="42">
        <f t="shared" si="50"/>
        <v>1.3189116847674631E-4</v>
      </c>
      <c r="BU41" s="42">
        <f t="shared" si="50"/>
        <v>1.3189116847674631E-4</v>
      </c>
      <c r="BV41" s="42">
        <f t="shared" si="50"/>
        <v>1.3189116847674631E-4</v>
      </c>
      <c r="BW41" s="42">
        <f t="shared" si="50"/>
        <v>1.3189116847674631E-4</v>
      </c>
      <c r="BX41" s="42">
        <f t="shared" si="50"/>
        <v>1.3189116847674631E-4</v>
      </c>
      <c r="BY41" s="42">
        <f t="shared" si="50"/>
        <v>1.3189116847674631E-4</v>
      </c>
      <c r="BZ41" s="34">
        <f t="shared" si="8"/>
        <v>568650.65998124995</v>
      </c>
      <c r="CA41" s="34">
        <f>IFERROR(up_RadSpec!$J$8*(CA8*$B41),".")</f>
        <v>189550.21999374998</v>
      </c>
      <c r="CB41" s="34">
        <f>IFERROR(up_RadSpec!$J$8*(CB8*$B41),".")</f>
        <v>189550.21999374998</v>
      </c>
      <c r="CC41" s="34">
        <f>IFERROR(up_RadSpec!$J$8*(CC8*$B41),".")</f>
        <v>189550.21999374998</v>
      </c>
      <c r="CD41" s="34">
        <f>IFERROR(up_RadSpec!$J$8*(CD8*$B41),".")</f>
        <v>189550.21999374998</v>
      </c>
      <c r="CE41" s="34">
        <f>IFERROR(up_RadSpec!$J$8*(CE8*$B41),".")</f>
        <v>189550.21999374998</v>
      </c>
      <c r="CF41" s="34">
        <f>IFERROR(up_RadSpec!$J$8*(CF8*$B41),".")</f>
        <v>189550.21999374998</v>
      </c>
      <c r="CG41" s="34">
        <f>IFERROR(up_RadSpec!$J$8*(CG8*$B41),".")</f>
        <v>189550.21999374998</v>
      </c>
      <c r="CH41" s="34">
        <f>IFERROR(up_RadSpec!$J$8*(CH8*$B41),".")</f>
        <v>189550.21999374998</v>
      </c>
      <c r="CI41" s="34">
        <f>IFERROR(up_RadSpec!$J$8*(CI8*$B41),".")</f>
        <v>189550.21999374998</v>
      </c>
      <c r="CJ41" s="34">
        <f>IFERROR(up_RadSpec!$J$8*(CJ8*$B41),".")</f>
        <v>189550.21999374998</v>
      </c>
      <c r="CK41" s="34">
        <f>IFERROR(up_RadSpec!$J$8*(CK8*$B41),".")</f>
        <v>189550.21999374998</v>
      </c>
      <c r="CL41" s="34">
        <f>IFERROR(up_RadSpec!$J$8*(CL8*$B41),".")</f>
        <v>189550.21999374998</v>
      </c>
      <c r="CM41" s="34">
        <f>IFERROR(up_RadSpec!$J$8*(CM8*$B41),".")</f>
        <v>189550.21999374998</v>
      </c>
      <c r="CN41" s="34">
        <f>IFERROR(up_RadSpec!$J$8*(CN8*$B41),".")</f>
        <v>189550.21999374998</v>
      </c>
      <c r="CO41" s="34">
        <f>IFERROR(up_RadSpec!$J$8*(CO8*$B41),".")</f>
        <v>189550.21999374998</v>
      </c>
      <c r="CP41" s="34">
        <f>IFERROR(up_RadSpec!$J$8*(CP8*$B41),".")</f>
        <v>189550.21999374998</v>
      </c>
      <c r="CQ41" s="34">
        <f>IFERROR(up_RadSpec!$J$8*(CQ8*$B41),".")</f>
        <v>189550.21999374998</v>
      </c>
      <c r="CR41" s="34">
        <f>IFERROR(up_RadSpec!$J$8*(CR8*$B41),".")</f>
        <v>189550.21999374998</v>
      </c>
      <c r="CS41" s="34">
        <f>IFERROR(up_RadSpec!$J$8*(CS8*$B41),".")</f>
        <v>189550.21999374998</v>
      </c>
      <c r="CT41" s="34">
        <f>IFERROR(up_RadSpec!$J$8*(CT8*$B41),".")</f>
        <v>189550.21999374998</v>
      </c>
      <c r="CU41" s="34">
        <f>IFERROR(up_RadSpec!$J$8*(CU8*$B41),".")</f>
        <v>189550.21999374998</v>
      </c>
      <c r="CV41" s="34">
        <f>IFERROR(up_RadSpec!$J$8*(CV8*$B41),".")</f>
        <v>189550.21999374998</v>
      </c>
      <c r="CW41" s="34">
        <f>IFERROR(up_RadSpec!$J$8*(CW8*$B41),".")</f>
        <v>189550.21999374998</v>
      </c>
      <c r="CX41" s="34">
        <f>IFERROR(up_RadSpec!$J$8*(CX8*$B41),".")</f>
        <v>189550.21999374998</v>
      </c>
    </row>
    <row r="42" spans="1:102" x14ac:dyDescent="0.25">
      <c r="A42" s="55" t="s">
        <v>1072</v>
      </c>
      <c r="B42" s="3">
        <v>0.97898250799999997</v>
      </c>
      <c r="C42" s="42">
        <f t="shared" si="1"/>
        <v>4.4902178353163216E-5</v>
      </c>
      <c r="D42" s="42">
        <f t="shared" ref="D42:AA42" si="51">IFERROR(D19/$B42,0)</f>
        <v>1.3470653505948964E-4</v>
      </c>
      <c r="E42" s="42">
        <f t="shared" si="51"/>
        <v>1.3470653505948964E-4</v>
      </c>
      <c r="F42" s="42">
        <f t="shared" si="51"/>
        <v>1.3470653505948964E-4</v>
      </c>
      <c r="G42" s="42">
        <f t="shared" si="51"/>
        <v>1.3470653505948964E-4</v>
      </c>
      <c r="H42" s="42">
        <f t="shared" si="51"/>
        <v>1.3470653505948964E-4</v>
      </c>
      <c r="I42" s="42">
        <f t="shared" si="51"/>
        <v>1.3470653505948964E-4</v>
      </c>
      <c r="J42" s="42">
        <f t="shared" si="51"/>
        <v>1.3470653505948964E-4</v>
      </c>
      <c r="K42" s="42">
        <f t="shared" si="51"/>
        <v>1.3470653505948964E-4</v>
      </c>
      <c r="L42" s="42">
        <f t="shared" si="51"/>
        <v>1.3470653505948964E-4</v>
      </c>
      <c r="M42" s="42">
        <f t="shared" si="51"/>
        <v>1.3470653505948964E-4</v>
      </c>
      <c r="N42" s="42">
        <f t="shared" si="51"/>
        <v>1.3470653505948964E-4</v>
      </c>
      <c r="O42" s="42">
        <f t="shared" si="51"/>
        <v>1.3470653505948964E-4</v>
      </c>
      <c r="P42" s="42">
        <f t="shared" si="51"/>
        <v>1.3470653505948964E-4</v>
      </c>
      <c r="Q42" s="42">
        <f t="shared" si="51"/>
        <v>1.3470653505948964E-4</v>
      </c>
      <c r="R42" s="42">
        <f t="shared" si="51"/>
        <v>1.3470653505948964E-4</v>
      </c>
      <c r="S42" s="42">
        <f t="shared" si="51"/>
        <v>1.3470653505948964E-4</v>
      </c>
      <c r="T42" s="42">
        <f t="shared" si="51"/>
        <v>1.3470653505948964E-4</v>
      </c>
      <c r="U42" s="42">
        <f t="shared" si="51"/>
        <v>1.3470653505948964E-4</v>
      </c>
      <c r="V42" s="42">
        <f t="shared" si="51"/>
        <v>1.3470653505948964E-4</v>
      </c>
      <c r="W42" s="42">
        <f t="shared" si="51"/>
        <v>1.3470653505948964E-4</v>
      </c>
      <c r="X42" s="42">
        <f t="shared" si="51"/>
        <v>1.3470653505948964E-4</v>
      </c>
      <c r="Y42" s="42">
        <f t="shared" si="51"/>
        <v>1.3470653505948964E-4</v>
      </c>
      <c r="Z42" s="42">
        <f t="shared" si="51"/>
        <v>1.3470653505948964E-4</v>
      </c>
      <c r="AA42" s="42">
        <f t="shared" si="51"/>
        <v>1.3470653505948964E-4</v>
      </c>
      <c r="AB42" s="34">
        <f t="shared" si="4"/>
        <v>556765.86118764174</v>
      </c>
      <c r="AC42" s="34">
        <f>IFERROR(up_RadSpec!$J$19*(AC19*$B42),".")</f>
        <v>185588.6203958806</v>
      </c>
      <c r="AD42" s="34">
        <f>IFERROR(up_RadSpec!$J$19*(AD19*$B42),".")</f>
        <v>185588.6203958806</v>
      </c>
      <c r="AE42" s="34">
        <f>IFERROR(up_RadSpec!$J$19*(AE19*$B42),".")</f>
        <v>185588.6203958806</v>
      </c>
      <c r="AF42" s="34">
        <f>IFERROR(up_RadSpec!$J$19*(AF19*$B42),".")</f>
        <v>185588.6203958806</v>
      </c>
      <c r="AG42" s="34">
        <f>IFERROR(up_RadSpec!$J$19*(AG19*$B42),".")</f>
        <v>185588.6203958806</v>
      </c>
      <c r="AH42" s="34">
        <f>IFERROR(up_RadSpec!$J$19*(AH19*$B42),".")</f>
        <v>185588.6203958806</v>
      </c>
      <c r="AI42" s="34">
        <f>IFERROR(up_RadSpec!$J$19*(AI19*$B42),".")</f>
        <v>185588.6203958806</v>
      </c>
      <c r="AJ42" s="34">
        <f>IFERROR(up_RadSpec!$J$19*(AJ19*$B42),".")</f>
        <v>185588.6203958806</v>
      </c>
      <c r="AK42" s="34">
        <f>IFERROR(up_RadSpec!$J$19*(AK19*$B42),".")</f>
        <v>185588.6203958806</v>
      </c>
      <c r="AL42" s="34">
        <f>IFERROR(up_RadSpec!$J$19*(AL19*$B42),".")</f>
        <v>185588.6203958806</v>
      </c>
      <c r="AM42" s="34">
        <f>IFERROR(up_RadSpec!$J$19*(AM19*$B42),".")</f>
        <v>185588.6203958806</v>
      </c>
      <c r="AN42" s="34">
        <f>IFERROR(up_RadSpec!$J$19*(AN19*$B42),".")</f>
        <v>185588.6203958806</v>
      </c>
      <c r="AO42" s="34">
        <f>IFERROR(up_RadSpec!$J$19*(AO19*$B42),".")</f>
        <v>185588.6203958806</v>
      </c>
      <c r="AP42" s="34">
        <f>IFERROR(up_RadSpec!$J$19*(AP19*$B42),".")</f>
        <v>185588.6203958806</v>
      </c>
      <c r="AQ42" s="34">
        <f>IFERROR(up_RadSpec!$J$19*(AQ19*$B42),".")</f>
        <v>185588.6203958806</v>
      </c>
      <c r="AR42" s="34">
        <f>IFERROR(up_RadSpec!$J$19*(AR19*$B42),".")</f>
        <v>185588.6203958806</v>
      </c>
      <c r="AS42" s="34">
        <f>IFERROR(up_RadSpec!$J$19*(AS19*$B42),".")</f>
        <v>185588.6203958806</v>
      </c>
      <c r="AT42" s="34">
        <f>IFERROR(up_RadSpec!$J$19*(AT19*$B42),".")</f>
        <v>185588.6203958806</v>
      </c>
      <c r="AU42" s="34">
        <f>IFERROR(up_RadSpec!$J$19*(AU19*$B42),".")</f>
        <v>185588.6203958806</v>
      </c>
      <c r="AV42" s="34">
        <f>IFERROR(up_RadSpec!$J$19*(AV19*$B42),".")</f>
        <v>185588.6203958806</v>
      </c>
      <c r="AW42" s="34">
        <f>IFERROR(up_RadSpec!$J$19*(AW19*$B42),".")</f>
        <v>185588.6203958806</v>
      </c>
      <c r="AX42" s="34">
        <f>IFERROR(up_RadSpec!$J$19*(AX19*$B42),".")</f>
        <v>185588.6203958806</v>
      </c>
      <c r="AY42" s="34">
        <f>IFERROR(up_RadSpec!$J$19*(AY19*$B42),".")</f>
        <v>185588.6203958806</v>
      </c>
      <c r="AZ42" s="34">
        <f>IFERROR(up_RadSpec!$J$19*(AZ19*$B42),".")</f>
        <v>185588.6203958806</v>
      </c>
      <c r="BA42" s="42">
        <f t="shared" si="2"/>
        <v>4.4902178353163216E-5</v>
      </c>
      <c r="BB42" s="42">
        <f t="shared" ref="BB42:BY42" si="52">IFERROR(BB19/$B42,0)</f>
        <v>1.3470653505948964E-4</v>
      </c>
      <c r="BC42" s="42">
        <f t="shared" si="52"/>
        <v>1.3470653505948964E-4</v>
      </c>
      <c r="BD42" s="42">
        <f t="shared" si="52"/>
        <v>1.3470653505948964E-4</v>
      </c>
      <c r="BE42" s="42">
        <f t="shared" si="52"/>
        <v>1.3470653505948964E-4</v>
      </c>
      <c r="BF42" s="42">
        <f t="shared" si="52"/>
        <v>1.3470653505948964E-4</v>
      </c>
      <c r="BG42" s="42">
        <f t="shared" si="52"/>
        <v>1.3470653505948964E-4</v>
      </c>
      <c r="BH42" s="42">
        <f t="shared" si="52"/>
        <v>1.3470653505948964E-4</v>
      </c>
      <c r="BI42" s="42">
        <f t="shared" si="52"/>
        <v>1.3470653505948964E-4</v>
      </c>
      <c r="BJ42" s="42">
        <f t="shared" si="52"/>
        <v>1.3470653505948964E-4</v>
      </c>
      <c r="BK42" s="42">
        <f t="shared" si="52"/>
        <v>1.3470653505948964E-4</v>
      </c>
      <c r="BL42" s="42">
        <f t="shared" si="52"/>
        <v>1.3470653505948964E-4</v>
      </c>
      <c r="BM42" s="42">
        <f t="shared" si="52"/>
        <v>1.3470653505948964E-4</v>
      </c>
      <c r="BN42" s="42">
        <f t="shared" si="52"/>
        <v>1.3470653505948964E-4</v>
      </c>
      <c r="BO42" s="42">
        <f t="shared" si="52"/>
        <v>1.3470653505948964E-4</v>
      </c>
      <c r="BP42" s="42">
        <f t="shared" si="52"/>
        <v>1.3470653505948964E-4</v>
      </c>
      <c r="BQ42" s="42">
        <f t="shared" si="52"/>
        <v>1.3470653505948964E-4</v>
      </c>
      <c r="BR42" s="42">
        <f t="shared" si="52"/>
        <v>1.3470653505948964E-4</v>
      </c>
      <c r="BS42" s="42">
        <f t="shared" si="52"/>
        <v>1.3470653505948964E-4</v>
      </c>
      <c r="BT42" s="42">
        <f t="shared" si="52"/>
        <v>1.3470653505948964E-4</v>
      </c>
      <c r="BU42" s="42">
        <f t="shared" si="52"/>
        <v>1.3470653505948964E-4</v>
      </c>
      <c r="BV42" s="42">
        <f t="shared" si="52"/>
        <v>1.3470653505948964E-4</v>
      </c>
      <c r="BW42" s="42">
        <f t="shared" si="52"/>
        <v>1.3470653505948964E-4</v>
      </c>
      <c r="BX42" s="42">
        <f t="shared" si="52"/>
        <v>1.3470653505948964E-4</v>
      </c>
      <c r="BY42" s="42">
        <f t="shared" si="52"/>
        <v>1.3470653505948964E-4</v>
      </c>
      <c r="BZ42" s="34">
        <f t="shared" si="8"/>
        <v>556765.86118764174</v>
      </c>
      <c r="CA42" s="34">
        <f>IFERROR(up_RadSpec!$J$19*(CA19*$B42),".")</f>
        <v>185588.6203958806</v>
      </c>
      <c r="CB42" s="34">
        <f>IFERROR(up_RadSpec!$J$19*(CB19*$B42),".")</f>
        <v>185588.6203958806</v>
      </c>
      <c r="CC42" s="34">
        <f>IFERROR(up_RadSpec!$J$19*(CC19*$B42),".")</f>
        <v>185588.6203958806</v>
      </c>
      <c r="CD42" s="34">
        <f>IFERROR(up_RadSpec!$J$19*(CD19*$B42),".")</f>
        <v>185588.6203958806</v>
      </c>
      <c r="CE42" s="34">
        <f>IFERROR(up_RadSpec!$J$19*(CE19*$B42),".")</f>
        <v>185588.6203958806</v>
      </c>
      <c r="CF42" s="34">
        <f>IFERROR(up_RadSpec!$J$19*(CF19*$B42),".")</f>
        <v>185588.6203958806</v>
      </c>
      <c r="CG42" s="34">
        <f>IFERROR(up_RadSpec!$J$19*(CG19*$B42),".")</f>
        <v>185588.6203958806</v>
      </c>
      <c r="CH42" s="34">
        <f>IFERROR(up_RadSpec!$J$19*(CH19*$B42),".")</f>
        <v>185588.6203958806</v>
      </c>
      <c r="CI42" s="34">
        <f>IFERROR(up_RadSpec!$J$19*(CI19*$B42),".")</f>
        <v>185588.6203958806</v>
      </c>
      <c r="CJ42" s="34">
        <f>IFERROR(up_RadSpec!$J$19*(CJ19*$B42),".")</f>
        <v>185588.6203958806</v>
      </c>
      <c r="CK42" s="34">
        <f>IFERROR(up_RadSpec!$J$19*(CK19*$B42),".")</f>
        <v>185588.6203958806</v>
      </c>
      <c r="CL42" s="34">
        <f>IFERROR(up_RadSpec!$J$19*(CL19*$B42),".")</f>
        <v>185588.6203958806</v>
      </c>
      <c r="CM42" s="34">
        <f>IFERROR(up_RadSpec!$J$19*(CM19*$B42),".")</f>
        <v>185588.6203958806</v>
      </c>
      <c r="CN42" s="34">
        <f>IFERROR(up_RadSpec!$J$19*(CN19*$B42),".")</f>
        <v>185588.6203958806</v>
      </c>
      <c r="CO42" s="34">
        <f>IFERROR(up_RadSpec!$J$19*(CO19*$B42),".")</f>
        <v>185588.6203958806</v>
      </c>
      <c r="CP42" s="34">
        <f>IFERROR(up_RadSpec!$J$19*(CP19*$B42),".")</f>
        <v>185588.6203958806</v>
      </c>
      <c r="CQ42" s="34">
        <f>IFERROR(up_RadSpec!$J$19*(CQ19*$B42),".")</f>
        <v>185588.6203958806</v>
      </c>
      <c r="CR42" s="34">
        <f>IFERROR(up_RadSpec!$J$19*(CR19*$B42),".")</f>
        <v>185588.6203958806</v>
      </c>
      <c r="CS42" s="34">
        <f>IFERROR(up_RadSpec!$J$19*(CS19*$B42),".")</f>
        <v>185588.6203958806</v>
      </c>
      <c r="CT42" s="34">
        <f>IFERROR(up_RadSpec!$J$19*(CT19*$B42),".")</f>
        <v>185588.6203958806</v>
      </c>
      <c r="CU42" s="34">
        <f>IFERROR(up_RadSpec!$J$19*(CU19*$B42),".")</f>
        <v>185588.6203958806</v>
      </c>
      <c r="CV42" s="34">
        <f>IFERROR(up_RadSpec!$J$19*(CV19*$B42),".")</f>
        <v>185588.6203958806</v>
      </c>
      <c r="CW42" s="34">
        <f>IFERROR(up_RadSpec!$J$19*(CW19*$B42),".")</f>
        <v>185588.6203958806</v>
      </c>
      <c r="CX42" s="34">
        <f>IFERROR(up_RadSpec!$J$19*(CX19*$B42),".")</f>
        <v>185588.6203958806</v>
      </c>
    </row>
    <row r="43" spans="1:102" x14ac:dyDescent="0.25">
      <c r="A43" s="55" t="s">
        <v>1073</v>
      </c>
      <c r="B43" s="3">
        <v>2.0897492E-2</v>
      </c>
      <c r="C43" s="42">
        <f t="shared" si="1"/>
        <v>2.1035274079225881E-3</v>
      </c>
      <c r="D43" s="42">
        <f t="shared" ref="D43:AA43" si="53">IFERROR(D28/$B43,0)</f>
        <v>6.3105822237677651E-3</v>
      </c>
      <c r="E43" s="42">
        <f t="shared" si="53"/>
        <v>6.3105822237677651E-3</v>
      </c>
      <c r="F43" s="42">
        <f t="shared" si="53"/>
        <v>6.3105822237677651E-3</v>
      </c>
      <c r="G43" s="42">
        <f t="shared" si="53"/>
        <v>6.3105822237677651E-3</v>
      </c>
      <c r="H43" s="42">
        <f t="shared" si="53"/>
        <v>6.3105822237677651E-3</v>
      </c>
      <c r="I43" s="42">
        <f t="shared" si="53"/>
        <v>6.3105822237677651E-3</v>
      </c>
      <c r="J43" s="42">
        <f t="shared" si="53"/>
        <v>6.3105822237677651E-3</v>
      </c>
      <c r="K43" s="42">
        <f t="shared" si="53"/>
        <v>6.3105822237677651E-3</v>
      </c>
      <c r="L43" s="42">
        <f t="shared" si="53"/>
        <v>6.3105822237677651E-3</v>
      </c>
      <c r="M43" s="42">
        <f t="shared" si="53"/>
        <v>6.3105822237677651E-3</v>
      </c>
      <c r="N43" s="42">
        <f t="shared" si="53"/>
        <v>6.3105822237677651E-3</v>
      </c>
      <c r="O43" s="42">
        <f t="shared" si="53"/>
        <v>6.3105822237677651E-3</v>
      </c>
      <c r="P43" s="42">
        <f t="shared" si="53"/>
        <v>6.3105822237677651E-3</v>
      </c>
      <c r="Q43" s="42">
        <f t="shared" si="53"/>
        <v>6.3105822237677651E-3</v>
      </c>
      <c r="R43" s="42">
        <f t="shared" si="53"/>
        <v>6.3105822237677651E-3</v>
      </c>
      <c r="S43" s="42">
        <f t="shared" si="53"/>
        <v>6.3105822237677651E-3</v>
      </c>
      <c r="T43" s="42">
        <f t="shared" si="53"/>
        <v>6.3105822237677651E-3</v>
      </c>
      <c r="U43" s="42">
        <f t="shared" si="53"/>
        <v>6.3105822237677651E-3</v>
      </c>
      <c r="V43" s="42">
        <f t="shared" si="53"/>
        <v>6.3105822237677651E-3</v>
      </c>
      <c r="W43" s="42">
        <f t="shared" si="53"/>
        <v>6.3105822237677651E-3</v>
      </c>
      <c r="X43" s="42">
        <f t="shared" si="53"/>
        <v>6.3105822237677651E-3</v>
      </c>
      <c r="Y43" s="42">
        <f t="shared" si="53"/>
        <v>6.3105822237677651E-3</v>
      </c>
      <c r="Z43" s="42">
        <f t="shared" si="53"/>
        <v>6.3105822237677651E-3</v>
      </c>
      <c r="AA43" s="42">
        <f t="shared" si="53"/>
        <v>6.3105822237677651E-3</v>
      </c>
      <c r="AB43" s="34">
        <f t="shared" si="4"/>
        <v>11884.798793608126</v>
      </c>
      <c r="AC43" s="34">
        <f>IFERROR(up_RadSpec!$J$28*(AC28*$B43),".")</f>
        <v>3961.5995978693754</v>
      </c>
      <c r="AD43" s="34">
        <f>IFERROR(up_RadSpec!$J$28*(AD28*$B43),".")</f>
        <v>3961.5995978693754</v>
      </c>
      <c r="AE43" s="34">
        <f>IFERROR(up_RadSpec!$J$28*(AE28*$B43),".")</f>
        <v>3961.5995978693754</v>
      </c>
      <c r="AF43" s="34">
        <f>IFERROR(up_RadSpec!$J$28*(AF28*$B43),".")</f>
        <v>3961.5995978693754</v>
      </c>
      <c r="AG43" s="34">
        <f>IFERROR(up_RadSpec!$J$28*(AG28*$B43),".")</f>
        <v>3961.5995978693754</v>
      </c>
      <c r="AH43" s="34">
        <f>IFERROR(up_RadSpec!$J$28*(AH28*$B43),".")</f>
        <v>3961.5995978693754</v>
      </c>
      <c r="AI43" s="34">
        <f>IFERROR(up_RadSpec!$J$28*(AI28*$B43),".")</f>
        <v>3961.5995978693754</v>
      </c>
      <c r="AJ43" s="34">
        <f>IFERROR(up_RadSpec!$J$28*(AJ28*$B43),".")</f>
        <v>3961.5995978693754</v>
      </c>
      <c r="AK43" s="34">
        <f>IFERROR(up_RadSpec!$J$28*(AK28*$B43),".")</f>
        <v>3961.5995978693754</v>
      </c>
      <c r="AL43" s="34">
        <f>IFERROR(up_RadSpec!$J$28*(AL28*$B43),".")</f>
        <v>3961.5995978693754</v>
      </c>
      <c r="AM43" s="34">
        <f>IFERROR(up_RadSpec!$J$28*(AM28*$B43),".")</f>
        <v>3961.5995978693754</v>
      </c>
      <c r="AN43" s="34">
        <f>IFERROR(up_RadSpec!$J$28*(AN28*$B43),".")</f>
        <v>3961.5995978693754</v>
      </c>
      <c r="AO43" s="34">
        <f>IFERROR(up_RadSpec!$J$28*(AO28*$B43),".")</f>
        <v>3961.5995978693754</v>
      </c>
      <c r="AP43" s="34">
        <f>IFERROR(up_RadSpec!$J$28*(AP28*$B43),".")</f>
        <v>3961.5995978693754</v>
      </c>
      <c r="AQ43" s="34">
        <f>IFERROR(up_RadSpec!$J$28*(AQ28*$B43),".")</f>
        <v>3961.5995978693754</v>
      </c>
      <c r="AR43" s="34">
        <f>IFERROR(up_RadSpec!$J$28*(AR28*$B43),".")</f>
        <v>3961.5995978693754</v>
      </c>
      <c r="AS43" s="34">
        <f>IFERROR(up_RadSpec!$J$28*(AS28*$B43),".")</f>
        <v>3961.5995978693754</v>
      </c>
      <c r="AT43" s="34">
        <f>IFERROR(up_RadSpec!$J$28*(AT28*$B43),".")</f>
        <v>3961.5995978693754</v>
      </c>
      <c r="AU43" s="34">
        <f>IFERROR(up_RadSpec!$J$28*(AU28*$B43),".")</f>
        <v>3961.5995978693754</v>
      </c>
      <c r="AV43" s="34">
        <f>IFERROR(up_RadSpec!$J$28*(AV28*$B43),".")</f>
        <v>3961.5995978693754</v>
      </c>
      <c r="AW43" s="34">
        <f>IFERROR(up_RadSpec!$J$28*(AW28*$B43),".")</f>
        <v>3961.5995978693754</v>
      </c>
      <c r="AX43" s="34">
        <f>IFERROR(up_RadSpec!$J$28*(AX28*$B43),".")</f>
        <v>3961.5995978693754</v>
      </c>
      <c r="AY43" s="34">
        <f>IFERROR(up_RadSpec!$J$28*(AY28*$B43),".")</f>
        <v>3961.5995978693754</v>
      </c>
      <c r="AZ43" s="34">
        <f>IFERROR(up_RadSpec!$J$28*(AZ28*$B43),".")</f>
        <v>3961.5995978693754</v>
      </c>
      <c r="BA43" s="42">
        <f t="shared" si="2"/>
        <v>2.1035274079225881E-3</v>
      </c>
      <c r="BB43" s="42">
        <f t="shared" ref="BB43:BY43" si="54">IFERROR(BB28/$B43,0)</f>
        <v>6.3105822237677651E-3</v>
      </c>
      <c r="BC43" s="42">
        <f t="shared" si="54"/>
        <v>6.3105822237677651E-3</v>
      </c>
      <c r="BD43" s="42">
        <f t="shared" si="54"/>
        <v>6.3105822237677651E-3</v>
      </c>
      <c r="BE43" s="42">
        <f t="shared" si="54"/>
        <v>6.3105822237677651E-3</v>
      </c>
      <c r="BF43" s="42">
        <f t="shared" si="54"/>
        <v>6.3105822237677651E-3</v>
      </c>
      <c r="BG43" s="42">
        <f t="shared" si="54"/>
        <v>6.3105822237677651E-3</v>
      </c>
      <c r="BH43" s="42">
        <f t="shared" si="54"/>
        <v>6.3105822237677651E-3</v>
      </c>
      <c r="BI43" s="42">
        <f t="shared" si="54"/>
        <v>6.3105822237677651E-3</v>
      </c>
      <c r="BJ43" s="42">
        <f t="shared" si="54"/>
        <v>6.3105822237677651E-3</v>
      </c>
      <c r="BK43" s="42">
        <f t="shared" si="54"/>
        <v>6.3105822237677651E-3</v>
      </c>
      <c r="BL43" s="42">
        <f t="shared" si="54"/>
        <v>6.3105822237677651E-3</v>
      </c>
      <c r="BM43" s="42">
        <f t="shared" si="54"/>
        <v>6.3105822237677651E-3</v>
      </c>
      <c r="BN43" s="42">
        <f t="shared" si="54"/>
        <v>6.3105822237677651E-3</v>
      </c>
      <c r="BO43" s="42">
        <f t="shared" si="54"/>
        <v>6.3105822237677651E-3</v>
      </c>
      <c r="BP43" s="42">
        <f t="shared" si="54"/>
        <v>6.3105822237677651E-3</v>
      </c>
      <c r="BQ43" s="42">
        <f t="shared" si="54"/>
        <v>6.3105822237677651E-3</v>
      </c>
      <c r="BR43" s="42">
        <f t="shared" si="54"/>
        <v>6.3105822237677651E-3</v>
      </c>
      <c r="BS43" s="42">
        <f t="shared" si="54"/>
        <v>6.3105822237677651E-3</v>
      </c>
      <c r="BT43" s="42">
        <f t="shared" si="54"/>
        <v>6.3105822237677651E-3</v>
      </c>
      <c r="BU43" s="42">
        <f t="shared" si="54"/>
        <v>6.3105822237677651E-3</v>
      </c>
      <c r="BV43" s="42">
        <f t="shared" si="54"/>
        <v>6.3105822237677651E-3</v>
      </c>
      <c r="BW43" s="42">
        <f t="shared" si="54"/>
        <v>6.3105822237677651E-3</v>
      </c>
      <c r="BX43" s="42">
        <f t="shared" si="54"/>
        <v>6.3105822237677651E-3</v>
      </c>
      <c r="BY43" s="42">
        <f t="shared" si="54"/>
        <v>6.3105822237677651E-3</v>
      </c>
      <c r="BZ43" s="34">
        <f t="shared" si="8"/>
        <v>11884.798793608126</v>
      </c>
      <c r="CA43" s="34">
        <f>IFERROR(up_RadSpec!$J$28*(CA28*$B43),".")</f>
        <v>3961.5995978693754</v>
      </c>
      <c r="CB43" s="34">
        <f>IFERROR(up_RadSpec!$J$28*(CB28*$B43),".")</f>
        <v>3961.5995978693754</v>
      </c>
      <c r="CC43" s="34">
        <f>IFERROR(up_RadSpec!$J$28*(CC28*$B43),".")</f>
        <v>3961.5995978693754</v>
      </c>
      <c r="CD43" s="34">
        <f>IFERROR(up_RadSpec!$J$28*(CD28*$B43),".")</f>
        <v>3961.5995978693754</v>
      </c>
      <c r="CE43" s="34">
        <f>IFERROR(up_RadSpec!$J$28*(CE28*$B43),".")</f>
        <v>3961.5995978693754</v>
      </c>
      <c r="CF43" s="34">
        <f>IFERROR(up_RadSpec!$J$28*(CF28*$B43),".")</f>
        <v>3961.5995978693754</v>
      </c>
      <c r="CG43" s="34">
        <f>IFERROR(up_RadSpec!$J$28*(CG28*$B43),".")</f>
        <v>3961.5995978693754</v>
      </c>
      <c r="CH43" s="34">
        <f>IFERROR(up_RadSpec!$J$28*(CH28*$B43),".")</f>
        <v>3961.5995978693754</v>
      </c>
      <c r="CI43" s="34">
        <f>IFERROR(up_RadSpec!$J$28*(CI28*$B43),".")</f>
        <v>3961.5995978693754</v>
      </c>
      <c r="CJ43" s="34">
        <f>IFERROR(up_RadSpec!$J$28*(CJ28*$B43),".")</f>
        <v>3961.5995978693754</v>
      </c>
      <c r="CK43" s="34">
        <f>IFERROR(up_RadSpec!$J$28*(CK28*$B43),".")</f>
        <v>3961.5995978693754</v>
      </c>
      <c r="CL43" s="34">
        <f>IFERROR(up_RadSpec!$J$28*(CL28*$B43),".")</f>
        <v>3961.5995978693754</v>
      </c>
      <c r="CM43" s="34">
        <f>IFERROR(up_RadSpec!$J$28*(CM28*$B43),".")</f>
        <v>3961.5995978693754</v>
      </c>
      <c r="CN43" s="34">
        <f>IFERROR(up_RadSpec!$J$28*(CN28*$B43),".")</f>
        <v>3961.5995978693754</v>
      </c>
      <c r="CO43" s="34">
        <f>IFERROR(up_RadSpec!$J$28*(CO28*$B43),".")</f>
        <v>3961.5995978693754</v>
      </c>
      <c r="CP43" s="34">
        <f>IFERROR(up_RadSpec!$J$28*(CP28*$B43),".")</f>
        <v>3961.5995978693754</v>
      </c>
      <c r="CQ43" s="34">
        <f>IFERROR(up_RadSpec!$J$28*(CQ28*$B43),".")</f>
        <v>3961.5995978693754</v>
      </c>
      <c r="CR43" s="34">
        <f>IFERROR(up_RadSpec!$J$28*(CR28*$B43),".")</f>
        <v>3961.5995978693754</v>
      </c>
      <c r="CS43" s="34">
        <f>IFERROR(up_RadSpec!$J$28*(CS28*$B43),".")</f>
        <v>3961.5995978693754</v>
      </c>
      <c r="CT43" s="34">
        <f>IFERROR(up_RadSpec!$J$28*(CT28*$B43),".")</f>
        <v>3961.5995978693754</v>
      </c>
      <c r="CU43" s="34">
        <f>IFERROR(up_RadSpec!$J$28*(CU28*$B43),".")</f>
        <v>3961.5995978693754</v>
      </c>
      <c r="CV43" s="34">
        <f>IFERROR(up_RadSpec!$J$28*(CV28*$B43),".")</f>
        <v>3961.5995978693754</v>
      </c>
      <c r="CW43" s="34">
        <f>IFERROR(up_RadSpec!$J$28*(CW28*$B43),".")</f>
        <v>3961.5995978693754</v>
      </c>
      <c r="CX43" s="34">
        <f>IFERROR(up_RadSpec!$J$28*(CX28*$B43),".")</f>
        <v>3961.5995978693754</v>
      </c>
    </row>
    <row r="44" spans="1:102" x14ac:dyDescent="0.25">
      <c r="A44" s="55" t="s">
        <v>1074</v>
      </c>
      <c r="B44" s="3">
        <v>0.99987999999999999</v>
      </c>
      <c r="C44" s="42">
        <f t="shared" si="1"/>
        <v>4.3963722825582103E-5</v>
      </c>
      <c r="D44" s="42">
        <f t="shared" ref="D44:AA44" si="55">IFERROR(D15/$B44,0)</f>
        <v>1.3189116847674631E-4</v>
      </c>
      <c r="E44" s="42">
        <f t="shared" si="55"/>
        <v>1.3189116847674631E-4</v>
      </c>
      <c r="F44" s="42">
        <f t="shared" si="55"/>
        <v>1.3189116847674631E-4</v>
      </c>
      <c r="G44" s="42">
        <f t="shared" si="55"/>
        <v>1.3189116847674631E-4</v>
      </c>
      <c r="H44" s="42">
        <f t="shared" si="55"/>
        <v>1.3189116847674631E-4</v>
      </c>
      <c r="I44" s="42">
        <f t="shared" si="55"/>
        <v>1.3189116847674631E-4</v>
      </c>
      <c r="J44" s="42">
        <f t="shared" si="55"/>
        <v>1.3189116847674631E-4</v>
      </c>
      <c r="K44" s="42">
        <f t="shared" si="55"/>
        <v>1.3189116847674631E-4</v>
      </c>
      <c r="L44" s="42">
        <f t="shared" si="55"/>
        <v>1.3189116847674631E-4</v>
      </c>
      <c r="M44" s="42">
        <f t="shared" si="55"/>
        <v>1.3189116847674631E-4</v>
      </c>
      <c r="N44" s="42">
        <f t="shared" si="55"/>
        <v>1.3189116847674631E-4</v>
      </c>
      <c r="O44" s="42">
        <f t="shared" si="55"/>
        <v>1.3189116847674631E-4</v>
      </c>
      <c r="P44" s="42">
        <f t="shared" si="55"/>
        <v>1.3189116847674631E-4</v>
      </c>
      <c r="Q44" s="42">
        <f t="shared" si="55"/>
        <v>1.3189116847674631E-4</v>
      </c>
      <c r="R44" s="42">
        <f t="shared" si="55"/>
        <v>1.3189116847674631E-4</v>
      </c>
      <c r="S44" s="42">
        <f t="shared" si="55"/>
        <v>1.3189116847674631E-4</v>
      </c>
      <c r="T44" s="42">
        <f t="shared" si="55"/>
        <v>1.3189116847674631E-4</v>
      </c>
      <c r="U44" s="42">
        <f t="shared" si="55"/>
        <v>1.3189116847674631E-4</v>
      </c>
      <c r="V44" s="42">
        <f t="shared" si="55"/>
        <v>1.3189116847674631E-4</v>
      </c>
      <c r="W44" s="42">
        <f t="shared" si="55"/>
        <v>1.3189116847674631E-4</v>
      </c>
      <c r="X44" s="42">
        <f t="shared" si="55"/>
        <v>1.3189116847674631E-4</v>
      </c>
      <c r="Y44" s="42">
        <f t="shared" si="55"/>
        <v>1.3189116847674631E-4</v>
      </c>
      <c r="Z44" s="42">
        <f t="shared" si="55"/>
        <v>1.3189116847674631E-4</v>
      </c>
      <c r="AA44" s="42">
        <f t="shared" si="55"/>
        <v>1.3189116847674631E-4</v>
      </c>
      <c r="AB44" s="34">
        <f t="shared" si="4"/>
        <v>568650.65998124995</v>
      </c>
      <c r="AC44" s="34">
        <f>IFERROR(up_RadSpec!$J$15*(AC15*$B44),".")</f>
        <v>189550.21999374998</v>
      </c>
      <c r="AD44" s="34">
        <f>IFERROR(up_RadSpec!$J$15*(AD15*$B44),".")</f>
        <v>189550.21999374998</v>
      </c>
      <c r="AE44" s="34">
        <f>IFERROR(up_RadSpec!$J$15*(AE15*$B44),".")</f>
        <v>189550.21999374998</v>
      </c>
      <c r="AF44" s="34">
        <f>IFERROR(up_RadSpec!$J$15*(AF15*$B44),".")</f>
        <v>189550.21999374998</v>
      </c>
      <c r="AG44" s="34">
        <f>IFERROR(up_RadSpec!$J$15*(AG15*$B44),".")</f>
        <v>189550.21999374998</v>
      </c>
      <c r="AH44" s="34">
        <f>IFERROR(up_RadSpec!$J$15*(AH15*$B44),".")</f>
        <v>189550.21999374998</v>
      </c>
      <c r="AI44" s="34">
        <f>IFERROR(up_RadSpec!$J$15*(AI15*$B44),".")</f>
        <v>189550.21999374998</v>
      </c>
      <c r="AJ44" s="34">
        <f>IFERROR(up_RadSpec!$J$15*(AJ15*$B44),".")</f>
        <v>189550.21999374998</v>
      </c>
      <c r="AK44" s="34">
        <f>IFERROR(up_RadSpec!$J$15*(AK15*$B44),".")</f>
        <v>189550.21999374998</v>
      </c>
      <c r="AL44" s="34">
        <f>IFERROR(up_RadSpec!$J$15*(AL15*$B44),".")</f>
        <v>189550.21999374998</v>
      </c>
      <c r="AM44" s="34">
        <f>IFERROR(up_RadSpec!$J$15*(AM15*$B44),".")</f>
        <v>189550.21999374998</v>
      </c>
      <c r="AN44" s="34">
        <f>IFERROR(up_RadSpec!$J$15*(AN15*$B44),".")</f>
        <v>189550.21999374998</v>
      </c>
      <c r="AO44" s="34">
        <f>IFERROR(up_RadSpec!$J$15*(AO15*$B44),".")</f>
        <v>189550.21999374998</v>
      </c>
      <c r="AP44" s="34">
        <f>IFERROR(up_RadSpec!$J$15*(AP15*$B44),".")</f>
        <v>189550.21999374998</v>
      </c>
      <c r="AQ44" s="34">
        <f>IFERROR(up_RadSpec!$J$15*(AQ15*$B44),".")</f>
        <v>189550.21999374998</v>
      </c>
      <c r="AR44" s="34">
        <f>IFERROR(up_RadSpec!$J$15*(AR15*$B44),".")</f>
        <v>189550.21999374998</v>
      </c>
      <c r="AS44" s="34">
        <f>IFERROR(up_RadSpec!$J$15*(AS15*$B44),".")</f>
        <v>189550.21999374998</v>
      </c>
      <c r="AT44" s="34">
        <f>IFERROR(up_RadSpec!$J$15*(AT15*$B44),".")</f>
        <v>189550.21999374998</v>
      </c>
      <c r="AU44" s="34">
        <f>IFERROR(up_RadSpec!$J$15*(AU15*$B44),".")</f>
        <v>189550.21999374998</v>
      </c>
      <c r="AV44" s="34">
        <f>IFERROR(up_RadSpec!$J$15*(AV15*$B44),".")</f>
        <v>189550.21999374998</v>
      </c>
      <c r="AW44" s="34">
        <f>IFERROR(up_RadSpec!$J$15*(AW15*$B44),".")</f>
        <v>189550.21999374998</v>
      </c>
      <c r="AX44" s="34">
        <f>IFERROR(up_RadSpec!$J$15*(AX15*$B44),".")</f>
        <v>189550.21999374998</v>
      </c>
      <c r="AY44" s="34">
        <f>IFERROR(up_RadSpec!$J$15*(AY15*$B44),".")</f>
        <v>189550.21999374998</v>
      </c>
      <c r="AZ44" s="34">
        <f>IFERROR(up_RadSpec!$J$15*(AZ15*$B44),".")</f>
        <v>189550.21999374998</v>
      </c>
      <c r="BA44" s="42">
        <f t="shared" si="2"/>
        <v>4.3963722825582103E-5</v>
      </c>
      <c r="BB44" s="42">
        <f t="shared" ref="BB44:BY44" si="56">IFERROR(BB15/$B44,0)</f>
        <v>1.3189116847674631E-4</v>
      </c>
      <c r="BC44" s="42">
        <f t="shared" si="56"/>
        <v>1.3189116847674631E-4</v>
      </c>
      <c r="BD44" s="42">
        <f t="shared" si="56"/>
        <v>1.3189116847674631E-4</v>
      </c>
      <c r="BE44" s="42">
        <f t="shared" si="56"/>
        <v>1.3189116847674631E-4</v>
      </c>
      <c r="BF44" s="42">
        <f t="shared" si="56"/>
        <v>1.3189116847674631E-4</v>
      </c>
      <c r="BG44" s="42">
        <f t="shared" si="56"/>
        <v>1.3189116847674631E-4</v>
      </c>
      <c r="BH44" s="42">
        <f t="shared" si="56"/>
        <v>1.3189116847674631E-4</v>
      </c>
      <c r="BI44" s="42">
        <f t="shared" si="56"/>
        <v>1.3189116847674631E-4</v>
      </c>
      <c r="BJ44" s="42">
        <f t="shared" si="56"/>
        <v>1.3189116847674631E-4</v>
      </c>
      <c r="BK44" s="42">
        <f t="shared" si="56"/>
        <v>1.3189116847674631E-4</v>
      </c>
      <c r="BL44" s="42">
        <f t="shared" si="56"/>
        <v>1.3189116847674631E-4</v>
      </c>
      <c r="BM44" s="42">
        <f t="shared" si="56"/>
        <v>1.3189116847674631E-4</v>
      </c>
      <c r="BN44" s="42">
        <f t="shared" si="56"/>
        <v>1.3189116847674631E-4</v>
      </c>
      <c r="BO44" s="42">
        <f t="shared" si="56"/>
        <v>1.3189116847674631E-4</v>
      </c>
      <c r="BP44" s="42">
        <f t="shared" si="56"/>
        <v>1.3189116847674631E-4</v>
      </c>
      <c r="BQ44" s="42">
        <f t="shared" si="56"/>
        <v>1.3189116847674631E-4</v>
      </c>
      <c r="BR44" s="42">
        <f t="shared" si="56"/>
        <v>1.3189116847674631E-4</v>
      </c>
      <c r="BS44" s="42">
        <f t="shared" si="56"/>
        <v>1.3189116847674631E-4</v>
      </c>
      <c r="BT44" s="42">
        <f t="shared" si="56"/>
        <v>1.3189116847674631E-4</v>
      </c>
      <c r="BU44" s="42">
        <f t="shared" si="56"/>
        <v>1.3189116847674631E-4</v>
      </c>
      <c r="BV44" s="42">
        <f t="shared" si="56"/>
        <v>1.3189116847674631E-4</v>
      </c>
      <c r="BW44" s="42">
        <f t="shared" si="56"/>
        <v>1.3189116847674631E-4</v>
      </c>
      <c r="BX44" s="42">
        <f t="shared" si="56"/>
        <v>1.3189116847674631E-4</v>
      </c>
      <c r="BY44" s="42">
        <f t="shared" si="56"/>
        <v>1.3189116847674631E-4</v>
      </c>
      <c r="BZ44" s="34">
        <f t="shared" si="8"/>
        <v>568650.65998124995</v>
      </c>
      <c r="CA44" s="34">
        <f>IFERROR(up_RadSpec!$J$15*(CA15*$B44),".")</f>
        <v>189550.21999374998</v>
      </c>
      <c r="CB44" s="34">
        <f>IFERROR(up_RadSpec!$J$15*(CB15*$B44),".")</f>
        <v>189550.21999374998</v>
      </c>
      <c r="CC44" s="34">
        <f>IFERROR(up_RadSpec!$J$15*(CC15*$B44),".")</f>
        <v>189550.21999374998</v>
      </c>
      <c r="CD44" s="34">
        <f>IFERROR(up_RadSpec!$J$15*(CD15*$B44),".")</f>
        <v>189550.21999374998</v>
      </c>
      <c r="CE44" s="34">
        <f>IFERROR(up_RadSpec!$J$15*(CE15*$B44),".")</f>
        <v>189550.21999374998</v>
      </c>
      <c r="CF44" s="34">
        <f>IFERROR(up_RadSpec!$J$15*(CF15*$B44),".")</f>
        <v>189550.21999374998</v>
      </c>
      <c r="CG44" s="34">
        <f>IFERROR(up_RadSpec!$J$15*(CG15*$B44),".")</f>
        <v>189550.21999374998</v>
      </c>
      <c r="CH44" s="34">
        <f>IFERROR(up_RadSpec!$J$15*(CH15*$B44),".")</f>
        <v>189550.21999374998</v>
      </c>
      <c r="CI44" s="34">
        <f>IFERROR(up_RadSpec!$J$15*(CI15*$B44),".")</f>
        <v>189550.21999374998</v>
      </c>
      <c r="CJ44" s="34">
        <f>IFERROR(up_RadSpec!$J$15*(CJ15*$B44),".")</f>
        <v>189550.21999374998</v>
      </c>
      <c r="CK44" s="34">
        <f>IFERROR(up_RadSpec!$J$15*(CK15*$B44),".")</f>
        <v>189550.21999374998</v>
      </c>
      <c r="CL44" s="34">
        <f>IFERROR(up_RadSpec!$J$15*(CL15*$B44),".")</f>
        <v>189550.21999374998</v>
      </c>
      <c r="CM44" s="34">
        <f>IFERROR(up_RadSpec!$J$15*(CM15*$B44),".")</f>
        <v>189550.21999374998</v>
      </c>
      <c r="CN44" s="34">
        <f>IFERROR(up_RadSpec!$J$15*(CN15*$B44),".")</f>
        <v>189550.21999374998</v>
      </c>
      <c r="CO44" s="34">
        <f>IFERROR(up_RadSpec!$J$15*(CO15*$B44),".")</f>
        <v>189550.21999374998</v>
      </c>
      <c r="CP44" s="34">
        <f>IFERROR(up_RadSpec!$J$15*(CP15*$B44),".")</f>
        <v>189550.21999374998</v>
      </c>
      <c r="CQ44" s="34">
        <f>IFERROR(up_RadSpec!$J$15*(CQ15*$B44),".")</f>
        <v>189550.21999374998</v>
      </c>
      <c r="CR44" s="34">
        <f>IFERROR(up_RadSpec!$J$15*(CR15*$B44),".")</f>
        <v>189550.21999374998</v>
      </c>
      <c r="CS44" s="34">
        <f>IFERROR(up_RadSpec!$J$15*(CS15*$B44),".")</f>
        <v>189550.21999374998</v>
      </c>
      <c r="CT44" s="34">
        <f>IFERROR(up_RadSpec!$J$15*(CT15*$B44),".")</f>
        <v>189550.21999374998</v>
      </c>
      <c r="CU44" s="34">
        <f>IFERROR(up_RadSpec!$J$15*(CU15*$B44),".")</f>
        <v>189550.21999374998</v>
      </c>
      <c r="CV44" s="34">
        <f>IFERROR(up_RadSpec!$J$15*(CV15*$B44),".")</f>
        <v>189550.21999374998</v>
      </c>
      <c r="CW44" s="34">
        <f>IFERROR(up_RadSpec!$J$15*(CW15*$B44),".")</f>
        <v>189550.21999374998</v>
      </c>
      <c r="CX44" s="34">
        <f>IFERROR(up_RadSpec!$J$15*(CX15*$B44),".")</f>
        <v>189550.21999374998</v>
      </c>
    </row>
    <row r="45" spans="1:102" x14ac:dyDescent="0.25">
      <c r="A45" s="54" t="s">
        <v>8</v>
      </c>
      <c r="B45" s="54" t="s">
        <v>1059</v>
      </c>
      <c r="C45" s="40">
        <f t="shared" si="1"/>
        <v>2.2612486267338329E-5</v>
      </c>
      <c r="D45" s="40">
        <f t="shared" ref="D45:AA45" si="57">IFERROR(IF(AND(D46&lt;&gt;0,D47&lt;&gt;0),1/SUM(1/D46,1/D47),IF(AND(D46&lt;&gt;0,D47=0),1/(1/D46),IF(AND(D46=0,D47&lt;&gt;0),1/(1/D47),IF(AND(D46=0,D47=0),".")))),".")</f>
        <v>6.7837458802014983E-5</v>
      </c>
      <c r="E45" s="40">
        <f t="shared" si="57"/>
        <v>6.7837458802014983E-5</v>
      </c>
      <c r="F45" s="40">
        <f t="shared" si="57"/>
        <v>6.7837458802014983E-5</v>
      </c>
      <c r="G45" s="40">
        <f t="shared" si="57"/>
        <v>6.7837458802014983E-5</v>
      </c>
      <c r="H45" s="40">
        <f t="shared" si="57"/>
        <v>6.7837458802014983E-5</v>
      </c>
      <c r="I45" s="40">
        <f t="shared" si="57"/>
        <v>6.7837458802014983E-5</v>
      </c>
      <c r="J45" s="40">
        <f t="shared" si="57"/>
        <v>6.7837458802014983E-5</v>
      </c>
      <c r="K45" s="40">
        <f t="shared" si="57"/>
        <v>6.7837458802014983E-5</v>
      </c>
      <c r="L45" s="40">
        <f t="shared" si="57"/>
        <v>6.7837458802014983E-5</v>
      </c>
      <c r="M45" s="40">
        <f t="shared" si="57"/>
        <v>6.7837458802014983E-5</v>
      </c>
      <c r="N45" s="40">
        <f t="shared" si="57"/>
        <v>6.7837458802014983E-5</v>
      </c>
      <c r="O45" s="40">
        <f t="shared" si="57"/>
        <v>6.7837458802014983E-5</v>
      </c>
      <c r="P45" s="40">
        <f t="shared" si="57"/>
        <v>6.7837458802014983E-5</v>
      </c>
      <c r="Q45" s="40">
        <f t="shared" si="57"/>
        <v>6.7837458802014983E-5</v>
      </c>
      <c r="R45" s="40">
        <f t="shared" si="57"/>
        <v>6.7837458802014983E-5</v>
      </c>
      <c r="S45" s="40">
        <f t="shared" si="57"/>
        <v>6.7837458802014983E-5</v>
      </c>
      <c r="T45" s="40">
        <f t="shared" si="57"/>
        <v>6.7837458802014983E-5</v>
      </c>
      <c r="U45" s="40">
        <f t="shared" si="57"/>
        <v>6.7837458802014983E-5</v>
      </c>
      <c r="V45" s="40">
        <f t="shared" si="57"/>
        <v>6.7837458802014983E-5</v>
      </c>
      <c r="W45" s="40">
        <f t="shared" si="57"/>
        <v>6.7837458802014983E-5</v>
      </c>
      <c r="X45" s="40">
        <f t="shared" si="57"/>
        <v>6.7837458802014983E-5</v>
      </c>
      <c r="Y45" s="40">
        <f t="shared" si="57"/>
        <v>6.7837458802014983E-5</v>
      </c>
      <c r="Z45" s="40">
        <f t="shared" si="57"/>
        <v>6.7837458802014983E-5</v>
      </c>
      <c r="AA45" s="40">
        <f t="shared" si="57"/>
        <v>6.7837458802014983E-5</v>
      </c>
      <c r="AB45" s="33">
        <f t="shared" si="4"/>
        <v>1105583.8665609376</v>
      </c>
      <c r="AC45" s="33">
        <f>IFERROR(SUM(AC46:AC47),".")</f>
        <v>368527.95552031253</v>
      </c>
      <c r="AD45" s="33">
        <f t="shared" ref="AD45:AZ45" si="58">IFERROR(SUM(AD46:AD47),".")</f>
        <v>368527.95552031253</v>
      </c>
      <c r="AE45" s="33">
        <f t="shared" si="58"/>
        <v>368527.95552031253</v>
      </c>
      <c r="AF45" s="33">
        <f t="shared" si="58"/>
        <v>368527.95552031253</v>
      </c>
      <c r="AG45" s="33">
        <f t="shared" si="58"/>
        <v>368527.95552031253</v>
      </c>
      <c r="AH45" s="33">
        <f t="shared" si="58"/>
        <v>368527.95552031253</v>
      </c>
      <c r="AI45" s="33">
        <f t="shared" si="58"/>
        <v>368527.95552031253</v>
      </c>
      <c r="AJ45" s="33">
        <f t="shared" si="58"/>
        <v>368527.95552031253</v>
      </c>
      <c r="AK45" s="33">
        <f t="shared" si="58"/>
        <v>368527.95552031253</v>
      </c>
      <c r="AL45" s="33">
        <f t="shared" si="58"/>
        <v>368527.95552031253</v>
      </c>
      <c r="AM45" s="33">
        <f t="shared" si="58"/>
        <v>368527.95552031253</v>
      </c>
      <c r="AN45" s="33">
        <f t="shared" si="58"/>
        <v>368527.95552031253</v>
      </c>
      <c r="AO45" s="33">
        <f t="shared" si="58"/>
        <v>368527.95552031253</v>
      </c>
      <c r="AP45" s="33">
        <f t="shared" si="58"/>
        <v>368527.95552031253</v>
      </c>
      <c r="AQ45" s="33">
        <f t="shared" si="58"/>
        <v>368527.95552031253</v>
      </c>
      <c r="AR45" s="33">
        <f t="shared" si="58"/>
        <v>368527.95552031253</v>
      </c>
      <c r="AS45" s="33">
        <f t="shared" si="58"/>
        <v>368527.95552031253</v>
      </c>
      <c r="AT45" s="33">
        <f t="shared" si="58"/>
        <v>368527.95552031253</v>
      </c>
      <c r="AU45" s="33">
        <f t="shared" si="58"/>
        <v>368527.95552031253</v>
      </c>
      <c r="AV45" s="33">
        <f t="shared" si="58"/>
        <v>368527.95552031253</v>
      </c>
      <c r="AW45" s="33">
        <f t="shared" si="58"/>
        <v>368527.95552031253</v>
      </c>
      <c r="AX45" s="33">
        <f t="shared" si="58"/>
        <v>368527.95552031253</v>
      </c>
      <c r="AY45" s="33">
        <f t="shared" si="58"/>
        <v>368527.95552031253</v>
      </c>
      <c r="AZ45" s="33">
        <f t="shared" si="58"/>
        <v>368527.95552031253</v>
      </c>
      <c r="BA45" s="40">
        <f t="shared" si="2"/>
        <v>2.2612486267338329E-5</v>
      </c>
      <c r="BB45" s="40">
        <f t="shared" ref="BB45:BY45" si="59">IFERROR(IF(AND(BB46&lt;&gt;0,BB47&lt;&gt;0),1/SUM(1/BB46,1/BB47),IF(AND(BB46&lt;&gt;0,BB47=0),1/(1/BB46),IF(AND(BB46=0,BB47&lt;&gt;0),1/(1/BB47),IF(AND(BB46=0,BB47=0),".")))),".")</f>
        <v>6.7837458802014983E-5</v>
      </c>
      <c r="BC45" s="40">
        <f t="shared" si="59"/>
        <v>6.7837458802014983E-5</v>
      </c>
      <c r="BD45" s="40">
        <f t="shared" si="59"/>
        <v>6.7837458802014983E-5</v>
      </c>
      <c r="BE45" s="40">
        <f t="shared" si="59"/>
        <v>6.7837458802014983E-5</v>
      </c>
      <c r="BF45" s="40">
        <f t="shared" si="59"/>
        <v>6.7837458802014983E-5</v>
      </c>
      <c r="BG45" s="40">
        <f t="shared" si="59"/>
        <v>6.7837458802014983E-5</v>
      </c>
      <c r="BH45" s="40">
        <f t="shared" si="59"/>
        <v>6.7837458802014983E-5</v>
      </c>
      <c r="BI45" s="40">
        <f t="shared" si="59"/>
        <v>6.7837458802014983E-5</v>
      </c>
      <c r="BJ45" s="40">
        <f t="shared" si="59"/>
        <v>6.7837458802014983E-5</v>
      </c>
      <c r="BK45" s="40">
        <f t="shared" si="59"/>
        <v>6.7837458802014983E-5</v>
      </c>
      <c r="BL45" s="40">
        <f t="shared" si="59"/>
        <v>6.7837458802014983E-5</v>
      </c>
      <c r="BM45" s="40">
        <f t="shared" si="59"/>
        <v>6.7837458802014983E-5</v>
      </c>
      <c r="BN45" s="40">
        <f t="shared" si="59"/>
        <v>6.7837458802014983E-5</v>
      </c>
      <c r="BO45" s="40">
        <f t="shared" si="59"/>
        <v>6.7837458802014983E-5</v>
      </c>
      <c r="BP45" s="40">
        <f t="shared" si="59"/>
        <v>6.7837458802014983E-5</v>
      </c>
      <c r="BQ45" s="40">
        <f t="shared" si="59"/>
        <v>6.7837458802014983E-5</v>
      </c>
      <c r="BR45" s="40">
        <f t="shared" si="59"/>
        <v>6.7837458802014983E-5</v>
      </c>
      <c r="BS45" s="40">
        <f t="shared" si="59"/>
        <v>6.7837458802014983E-5</v>
      </c>
      <c r="BT45" s="40">
        <f t="shared" si="59"/>
        <v>6.7837458802014983E-5</v>
      </c>
      <c r="BU45" s="40">
        <f t="shared" si="59"/>
        <v>6.7837458802014983E-5</v>
      </c>
      <c r="BV45" s="40">
        <f t="shared" si="59"/>
        <v>6.7837458802014983E-5</v>
      </c>
      <c r="BW45" s="40">
        <f t="shared" si="59"/>
        <v>6.7837458802014983E-5</v>
      </c>
      <c r="BX45" s="40">
        <f t="shared" si="59"/>
        <v>6.7837458802014983E-5</v>
      </c>
      <c r="BY45" s="40">
        <f t="shared" si="59"/>
        <v>6.7837458802014983E-5</v>
      </c>
      <c r="BZ45" s="33">
        <f t="shared" si="8"/>
        <v>1105583.8665609376</v>
      </c>
      <c r="CA45" s="33">
        <f>IFERROR(SUM(CA46:CA47),".")</f>
        <v>368527.95552031253</v>
      </c>
      <c r="CB45" s="33">
        <f t="shared" ref="CB45" si="60">IFERROR(SUM(CB46:CB47),".")</f>
        <v>368527.95552031253</v>
      </c>
      <c r="CC45" s="33">
        <f t="shared" ref="CC45" si="61">IFERROR(SUM(CC46:CC47),".")</f>
        <v>368527.95552031253</v>
      </c>
      <c r="CD45" s="33">
        <f t="shared" ref="CD45" si="62">IFERROR(SUM(CD46:CD47),".")</f>
        <v>368527.95552031253</v>
      </c>
      <c r="CE45" s="33">
        <f t="shared" ref="CE45" si="63">IFERROR(SUM(CE46:CE47),".")</f>
        <v>368527.95552031253</v>
      </c>
      <c r="CF45" s="33">
        <f t="shared" ref="CF45" si="64">IFERROR(SUM(CF46:CF47),".")</f>
        <v>368527.95552031253</v>
      </c>
      <c r="CG45" s="33">
        <f t="shared" ref="CG45" si="65">IFERROR(SUM(CG46:CG47),".")</f>
        <v>368527.95552031253</v>
      </c>
      <c r="CH45" s="33">
        <f t="shared" ref="CH45" si="66">IFERROR(SUM(CH46:CH47),".")</f>
        <v>368527.95552031253</v>
      </c>
      <c r="CI45" s="33">
        <f t="shared" ref="CI45" si="67">IFERROR(SUM(CI46:CI47),".")</f>
        <v>368527.95552031253</v>
      </c>
      <c r="CJ45" s="33">
        <f t="shared" ref="CJ45" si="68">IFERROR(SUM(CJ46:CJ47),".")</f>
        <v>368527.95552031253</v>
      </c>
      <c r="CK45" s="33">
        <f t="shared" ref="CK45" si="69">IFERROR(SUM(CK46:CK47),".")</f>
        <v>368527.95552031253</v>
      </c>
      <c r="CL45" s="33">
        <f t="shared" ref="CL45" si="70">IFERROR(SUM(CL46:CL47),".")</f>
        <v>368527.95552031253</v>
      </c>
      <c r="CM45" s="33">
        <f t="shared" ref="CM45" si="71">IFERROR(SUM(CM46:CM47),".")</f>
        <v>368527.95552031253</v>
      </c>
      <c r="CN45" s="33">
        <f t="shared" ref="CN45" si="72">IFERROR(SUM(CN46:CN47),".")</f>
        <v>368527.95552031253</v>
      </c>
      <c r="CO45" s="33">
        <f t="shared" ref="CO45" si="73">IFERROR(SUM(CO46:CO47),".")</f>
        <v>368527.95552031253</v>
      </c>
      <c r="CP45" s="33">
        <f t="shared" ref="CP45" si="74">IFERROR(SUM(CP46:CP47),".")</f>
        <v>368527.95552031253</v>
      </c>
      <c r="CQ45" s="33">
        <f t="shared" ref="CQ45" si="75">IFERROR(SUM(CQ46:CQ47),".")</f>
        <v>368527.95552031253</v>
      </c>
      <c r="CR45" s="33">
        <f t="shared" ref="CR45" si="76">IFERROR(SUM(CR46:CR47),".")</f>
        <v>368527.95552031253</v>
      </c>
      <c r="CS45" s="33">
        <f t="shared" ref="CS45" si="77">IFERROR(SUM(CS46:CS47),".")</f>
        <v>368527.95552031253</v>
      </c>
      <c r="CT45" s="33">
        <f t="shared" ref="CT45" si="78">IFERROR(SUM(CT46:CT47),".")</f>
        <v>368527.95552031253</v>
      </c>
      <c r="CU45" s="33">
        <f t="shared" ref="CU45" si="79">IFERROR(SUM(CU46:CU47),".")</f>
        <v>368527.95552031253</v>
      </c>
      <c r="CV45" s="33">
        <f t="shared" ref="CV45" si="80">IFERROR(SUM(CV46:CV47),".")</f>
        <v>368527.95552031253</v>
      </c>
      <c r="CW45" s="33">
        <f t="shared" ref="CW45" si="81">IFERROR(SUM(CW46:CW47),".")</f>
        <v>368527.95552031253</v>
      </c>
      <c r="CX45" s="33">
        <f t="shared" ref="CX45" si="82">IFERROR(SUM(CX46:CX47),".")</f>
        <v>368527.95552031253</v>
      </c>
    </row>
    <row r="46" spans="1:102" x14ac:dyDescent="0.25">
      <c r="A46" s="55" t="s">
        <v>1086</v>
      </c>
      <c r="B46" s="3">
        <v>1</v>
      </c>
      <c r="C46" s="42">
        <f t="shared" si="1"/>
        <v>4.3958447178843029E-5</v>
      </c>
      <c r="D46" s="42">
        <f t="shared" ref="D46:AA46" si="83">IFERROR(D10/$B46,0)</f>
        <v>1.3187534153652909E-4</v>
      </c>
      <c r="E46" s="42">
        <f t="shared" si="83"/>
        <v>1.3187534153652909E-4</v>
      </c>
      <c r="F46" s="42">
        <f t="shared" si="83"/>
        <v>1.3187534153652909E-4</v>
      </c>
      <c r="G46" s="42">
        <f t="shared" si="83"/>
        <v>1.3187534153652909E-4</v>
      </c>
      <c r="H46" s="42">
        <f t="shared" si="83"/>
        <v>1.3187534153652909E-4</v>
      </c>
      <c r="I46" s="42">
        <f t="shared" si="83"/>
        <v>1.3187534153652909E-4</v>
      </c>
      <c r="J46" s="42">
        <f t="shared" si="83"/>
        <v>1.3187534153652909E-4</v>
      </c>
      <c r="K46" s="42">
        <f t="shared" si="83"/>
        <v>1.3187534153652909E-4</v>
      </c>
      <c r="L46" s="42">
        <f t="shared" si="83"/>
        <v>1.3187534153652909E-4</v>
      </c>
      <c r="M46" s="42">
        <f t="shared" si="83"/>
        <v>1.3187534153652909E-4</v>
      </c>
      <c r="N46" s="42">
        <f t="shared" si="83"/>
        <v>1.3187534153652909E-4</v>
      </c>
      <c r="O46" s="42">
        <f t="shared" si="83"/>
        <v>1.3187534153652909E-4</v>
      </c>
      <c r="P46" s="42">
        <f t="shared" si="83"/>
        <v>1.3187534153652909E-4</v>
      </c>
      <c r="Q46" s="42">
        <f t="shared" si="83"/>
        <v>1.3187534153652909E-4</v>
      </c>
      <c r="R46" s="42">
        <f t="shared" si="83"/>
        <v>1.3187534153652909E-4</v>
      </c>
      <c r="S46" s="42">
        <f t="shared" si="83"/>
        <v>1.3187534153652909E-4</v>
      </c>
      <c r="T46" s="42">
        <f t="shared" si="83"/>
        <v>1.3187534153652909E-4</v>
      </c>
      <c r="U46" s="42">
        <f t="shared" si="83"/>
        <v>1.3187534153652909E-4</v>
      </c>
      <c r="V46" s="42">
        <f t="shared" si="83"/>
        <v>1.3187534153652909E-4</v>
      </c>
      <c r="W46" s="42">
        <f t="shared" si="83"/>
        <v>1.3187534153652909E-4</v>
      </c>
      <c r="X46" s="42">
        <f t="shared" si="83"/>
        <v>1.3187534153652909E-4</v>
      </c>
      <c r="Y46" s="42">
        <f t="shared" si="83"/>
        <v>1.3187534153652909E-4</v>
      </c>
      <c r="Z46" s="42">
        <f t="shared" si="83"/>
        <v>1.3187534153652909E-4</v>
      </c>
      <c r="AA46" s="42">
        <f t="shared" si="83"/>
        <v>1.3187534153652909E-4</v>
      </c>
      <c r="AB46" s="34">
        <f t="shared" si="4"/>
        <v>568718.90625</v>
      </c>
      <c r="AC46" s="34">
        <f>IFERROR(up_RadSpec!$J$10*(AC10*$B46),".")</f>
        <v>189572.96875</v>
      </c>
      <c r="AD46" s="34">
        <f>IFERROR(up_RadSpec!$J$10*(AD10*$B46),".")</f>
        <v>189572.96875</v>
      </c>
      <c r="AE46" s="34">
        <f>IFERROR(up_RadSpec!$J$10*(AE10*$B46),".")</f>
        <v>189572.96875</v>
      </c>
      <c r="AF46" s="34">
        <f>IFERROR(up_RadSpec!$J$10*(AF10*$B46),".")</f>
        <v>189572.96875</v>
      </c>
      <c r="AG46" s="34">
        <f>IFERROR(up_RadSpec!$J$10*(AG10*$B46),".")</f>
        <v>189572.96875</v>
      </c>
      <c r="AH46" s="34">
        <f>IFERROR(up_RadSpec!$J$10*(AH10*$B46),".")</f>
        <v>189572.96875</v>
      </c>
      <c r="AI46" s="34">
        <f>IFERROR(up_RadSpec!$J$10*(AI10*$B46),".")</f>
        <v>189572.96875</v>
      </c>
      <c r="AJ46" s="34">
        <f>IFERROR(up_RadSpec!$J$10*(AJ10*$B46),".")</f>
        <v>189572.96875</v>
      </c>
      <c r="AK46" s="34">
        <f>IFERROR(up_RadSpec!$J$10*(AK10*$B46),".")</f>
        <v>189572.96875</v>
      </c>
      <c r="AL46" s="34">
        <f>IFERROR(up_RadSpec!$J$10*(AL10*$B46),".")</f>
        <v>189572.96875</v>
      </c>
      <c r="AM46" s="34">
        <f>IFERROR(up_RadSpec!$J$10*(AM10*$B46),".")</f>
        <v>189572.96875</v>
      </c>
      <c r="AN46" s="34">
        <f>IFERROR(up_RadSpec!$J$10*(AN10*$B46),".")</f>
        <v>189572.96875</v>
      </c>
      <c r="AO46" s="34">
        <f>IFERROR(up_RadSpec!$J$10*(AO10*$B46),".")</f>
        <v>189572.96875</v>
      </c>
      <c r="AP46" s="34">
        <f>IFERROR(up_RadSpec!$J$10*(AP10*$B46),".")</f>
        <v>189572.96875</v>
      </c>
      <c r="AQ46" s="34">
        <f>IFERROR(up_RadSpec!$J$10*(AQ10*$B46),".")</f>
        <v>189572.96875</v>
      </c>
      <c r="AR46" s="34">
        <f>IFERROR(up_RadSpec!$J$10*(AR10*$B46),".")</f>
        <v>189572.96875</v>
      </c>
      <c r="AS46" s="34">
        <f>IFERROR(up_RadSpec!$J$10*(AS10*$B46),".")</f>
        <v>189572.96875</v>
      </c>
      <c r="AT46" s="34">
        <f>IFERROR(up_RadSpec!$J$10*(AT10*$B46),".")</f>
        <v>189572.96875</v>
      </c>
      <c r="AU46" s="34">
        <f>IFERROR(up_RadSpec!$J$10*(AU10*$B46),".")</f>
        <v>189572.96875</v>
      </c>
      <c r="AV46" s="34">
        <f>IFERROR(up_RadSpec!$J$10*(AV10*$B46),".")</f>
        <v>189572.96875</v>
      </c>
      <c r="AW46" s="34">
        <f>IFERROR(up_RadSpec!$J$10*(AW10*$B46),".")</f>
        <v>189572.96875</v>
      </c>
      <c r="AX46" s="34">
        <f>IFERROR(up_RadSpec!$J$10*(AX10*$B46),".")</f>
        <v>189572.96875</v>
      </c>
      <c r="AY46" s="34">
        <f>IFERROR(up_RadSpec!$J$10*(AY10*$B46),".")</f>
        <v>189572.96875</v>
      </c>
      <c r="AZ46" s="34">
        <f>IFERROR(up_RadSpec!$J$10*(AZ10*$B46),".")</f>
        <v>189572.96875</v>
      </c>
      <c r="BA46" s="42">
        <f t="shared" si="2"/>
        <v>4.3958447178843029E-5</v>
      </c>
      <c r="BB46" s="42">
        <f t="shared" ref="BB46:BY46" si="84">IFERROR(BB10/$B46,0)</f>
        <v>1.3187534153652909E-4</v>
      </c>
      <c r="BC46" s="42">
        <f t="shared" si="84"/>
        <v>1.3187534153652909E-4</v>
      </c>
      <c r="BD46" s="42">
        <f t="shared" si="84"/>
        <v>1.3187534153652909E-4</v>
      </c>
      <c r="BE46" s="42">
        <f t="shared" si="84"/>
        <v>1.3187534153652909E-4</v>
      </c>
      <c r="BF46" s="42">
        <f t="shared" si="84"/>
        <v>1.3187534153652909E-4</v>
      </c>
      <c r="BG46" s="42">
        <f t="shared" si="84"/>
        <v>1.3187534153652909E-4</v>
      </c>
      <c r="BH46" s="42">
        <f t="shared" si="84"/>
        <v>1.3187534153652909E-4</v>
      </c>
      <c r="BI46" s="42">
        <f t="shared" si="84"/>
        <v>1.3187534153652909E-4</v>
      </c>
      <c r="BJ46" s="42">
        <f t="shared" si="84"/>
        <v>1.3187534153652909E-4</v>
      </c>
      <c r="BK46" s="42">
        <f t="shared" si="84"/>
        <v>1.3187534153652909E-4</v>
      </c>
      <c r="BL46" s="42">
        <f t="shared" si="84"/>
        <v>1.3187534153652909E-4</v>
      </c>
      <c r="BM46" s="42">
        <f t="shared" si="84"/>
        <v>1.3187534153652909E-4</v>
      </c>
      <c r="BN46" s="42">
        <f t="shared" si="84"/>
        <v>1.3187534153652909E-4</v>
      </c>
      <c r="BO46" s="42">
        <f t="shared" si="84"/>
        <v>1.3187534153652909E-4</v>
      </c>
      <c r="BP46" s="42">
        <f t="shared" si="84"/>
        <v>1.3187534153652909E-4</v>
      </c>
      <c r="BQ46" s="42">
        <f t="shared" si="84"/>
        <v>1.3187534153652909E-4</v>
      </c>
      <c r="BR46" s="42">
        <f t="shared" si="84"/>
        <v>1.3187534153652909E-4</v>
      </c>
      <c r="BS46" s="42">
        <f t="shared" si="84"/>
        <v>1.3187534153652909E-4</v>
      </c>
      <c r="BT46" s="42">
        <f t="shared" si="84"/>
        <v>1.3187534153652909E-4</v>
      </c>
      <c r="BU46" s="42">
        <f t="shared" si="84"/>
        <v>1.3187534153652909E-4</v>
      </c>
      <c r="BV46" s="42">
        <f t="shared" si="84"/>
        <v>1.3187534153652909E-4</v>
      </c>
      <c r="BW46" s="42">
        <f t="shared" si="84"/>
        <v>1.3187534153652909E-4</v>
      </c>
      <c r="BX46" s="42">
        <f t="shared" si="84"/>
        <v>1.3187534153652909E-4</v>
      </c>
      <c r="BY46" s="42">
        <f t="shared" si="84"/>
        <v>1.3187534153652909E-4</v>
      </c>
      <c r="BZ46" s="34">
        <f t="shared" si="8"/>
        <v>568718.90625</v>
      </c>
      <c r="CA46" s="34">
        <f>IFERROR(up_RadSpec!$J$10*(CA10*$B46),".")</f>
        <v>189572.96875</v>
      </c>
      <c r="CB46" s="34">
        <f>IFERROR(up_RadSpec!$J$10*(CB10*$B46),".")</f>
        <v>189572.96875</v>
      </c>
      <c r="CC46" s="34">
        <f>IFERROR(up_RadSpec!$J$10*(CC10*$B46),".")</f>
        <v>189572.96875</v>
      </c>
      <c r="CD46" s="34">
        <f>IFERROR(up_RadSpec!$J$10*(CD10*$B46),".")</f>
        <v>189572.96875</v>
      </c>
      <c r="CE46" s="34">
        <f>IFERROR(up_RadSpec!$J$10*(CE10*$B46),".")</f>
        <v>189572.96875</v>
      </c>
      <c r="CF46" s="34">
        <f>IFERROR(up_RadSpec!$J$10*(CF10*$B46),".")</f>
        <v>189572.96875</v>
      </c>
      <c r="CG46" s="34">
        <f>IFERROR(up_RadSpec!$J$10*(CG10*$B46),".")</f>
        <v>189572.96875</v>
      </c>
      <c r="CH46" s="34">
        <f>IFERROR(up_RadSpec!$J$10*(CH10*$B46),".")</f>
        <v>189572.96875</v>
      </c>
      <c r="CI46" s="34">
        <f>IFERROR(up_RadSpec!$J$10*(CI10*$B46),".")</f>
        <v>189572.96875</v>
      </c>
      <c r="CJ46" s="34">
        <f>IFERROR(up_RadSpec!$J$10*(CJ10*$B46),".")</f>
        <v>189572.96875</v>
      </c>
      <c r="CK46" s="34">
        <f>IFERROR(up_RadSpec!$J$10*(CK10*$B46),".")</f>
        <v>189572.96875</v>
      </c>
      <c r="CL46" s="34">
        <f>IFERROR(up_RadSpec!$J$10*(CL10*$B46),".")</f>
        <v>189572.96875</v>
      </c>
      <c r="CM46" s="34">
        <f>IFERROR(up_RadSpec!$J$10*(CM10*$B46),".")</f>
        <v>189572.96875</v>
      </c>
      <c r="CN46" s="34">
        <f>IFERROR(up_RadSpec!$J$10*(CN10*$B46),".")</f>
        <v>189572.96875</v>
      </c>
      <c r="CO46" s="34">
        <f>IFERROR(up_RadSpec!$J$10*(CO10*$B46),".")</f>
        <v>189572.96875</v>
      </c>
      <c r="CP46" s="34">
        <f>IFERROR(up_RadSpec!$J$10*(CP10*$B46),".")</f>
        <v>189572.96875</v>
      </c>
      <c r="CQ46" s="34">
        <f>IFERROR(up_RadSpec!$J$10*(CQ10*$B46),".")</f>
        <v>189572.96875</v>
      </c>
      <c r="CR46" s="34">
        <f>IFERROR(up_RadSpec!$J$10*(CR10*$B46),".")</f>
        <v>189572.96875</v>
      </c>
      <c r="CS46" s="34">
        <f>IFERROR(up_RadSpec!$J$10*(CS10*$B46),".")</f>
        <v>189572.96875</v>
      </c>
      <c r="CT46" s="34">
        <f>IFERROR(up_RadSpec!$J$10*(CT10*$B46),".")</f>
        <v>189572.96875</v>
      </c>
      <c r="CU46" s="34">
        <f>IFERROR(up_RadSpec!$J$10*(CU10*$B46),".")</f>
        <v>189572.96875</v>
      </c>
      <c r="CV46" s="34">
        <f>IFERROR(up_RadSpec!$J$10*(CV10*$B46),".")</f>
        <v>189572.96875</v>
      </c>
      <c r="CW46" s="34">
        <f>IFERROR(up_RadSpec!$J$10*(CW10*$B46),".")</f>
        <v>189572.96875</v>
      </c>
      <c r="CX46" s="34">
        <f>IFERROR(up_RadSpec!$J$10*(CX10*$B46),".")</f>
        <v>189572.96875</v>
      </c>
    </row>
    <row r="47" spans="1:102" x14ac:dyDescent="0.25">
      <c r="A47" s="55" t="s">
        <v>1060</v>
      </c>
      <c r="B47" s="3">
        <v>0.94399</v>
      </c>
      <c r="C47" s="42">
        <f t="shared" si="1"/>
        <v>4.6566644963233761E-5</v>
      </c>
      <c r="D47" s="42">
        <f t="shared" ref="D47:AA47" si="85">IFERROR(D6/$B$47,0)</f>
        <v>1.3969993488970126E-4</v>
      </c>
      <c r="E47" s="42">
        <f t="shared" si="85"/>
        <v>1.3969993488970126E-4</v>
      </c>
      <c r="F47" s="42">
        <f t="shared" si="85"/>
        <v>1.3969993488970126E-4</v>
      </c>
      <c r="G47" s="42">
        <f t="shared" si="85"/>
        <v>1.3969993488970126E-4</v>
      </c>
      <c r="H47" s="42">
        <f t="shared" si="85"/>
        <v>1.3969993488970126E-4</v>
      </c>
      <c r="I47" s="42">
        <f t="shared" si="85"/>
        <v>1.3969993488970126E-4</v>
      </c>
      <c r="J47" s="42">
        <f t="shared" si="85"/>
        <v>1.3969993488970126E-4</v>
      </c>
      <c r="K47" s="42">
        <f t="shared" si="85"/>
        <v>1.3969993488970126E-4</v>
      </c>
      <c r="L47" s="42">
        <f t="shared" si="85"/>
        <v>1.3969993488970126E-4</v>
      </c>
      <c r="M47" s="42">
        <f t="shared" si="85"/>
        <v>1.3969993488970126E-4</v>
      </c>
      <c r="N47" s="42">
        <f t="shared" si="85"/>
        <v>1.3969993488970126E-4</v>
      </c>
      <c r="O47" s="42">
        <f t="shared" si="85"/>
        <v>1.3969993488970126E-4</v>
      </c>
      <c r="P47" s="42">
        <f t="shared" si="85"/>
        <v>1.3969993488970126E-4</v>
      </c>
      <c r="Q47" s="42">
        <f t="shared" si="85"/>
        <v>1.3969993488970126E-4</v>
      </c>
      <c r="R47" s="42">
        <f t="shared" si="85"/>
        <v>1.3969993488970126E-4</v>
      </c>
      <c r="S47" s="42">
        <f t="shared" si="85"/>
        <v>1.3969993488970126E-4</v>
      </c>
      <c r="T47" s="42">
        <f t="shared" si="85"/>
        <v>1.3969993488970126E-4</v>
      </c>
      <c r="U47" s="42">
        <f t="shared" si="85"/>
        <v>1.3969993488970126E-4</v>
      </c>
      <c r="V47" s="42">
        <f t="shared" si="85"/>
        <v>1.3969993488970126E-4</v>
      </c>
      <c r="W47" s="42">
        <f t="shared" si="85"/>
        <v>1.3969993488970126E-4</v>
      </c>
      <c r="X47" s="42">
        <f t="shared" si="85"/>
        <v>1.3969993488970126E-4</v>
      </c>
      <c r="Y47" s="42">
        <f t="shared" si="85"/>
        <v>1.3969993488970126E-4</v>
      </c>
      <c r="Z47" s="42">
        <f t="shared" si="85"/>
        <v>1.3969993488970126E-4</v>
      </c>
      <c r="AA47" s="42">
        <f t="shared" si="85"/>
        <v>1.3969993488970126E-4</v>
      </c>
      <c r="AB47" s="34">
        <f t="shared" si="4"/>
        <v>536864.96031093749</v>
      </c>
      <c r="AC47" s="34">
        <f>IFERROR(up_RadSpec!$J$6*(AC6*$B47),".")</f>
        <v>178954.98677031251</v>
      </c>
      <c r="AD47" s="34">
        <f>IFERROR(up_RadSpec!$J$6*(AD6*$B47),".")</f>
        <v>178954.98677031251</v>
      </c>
      <c r="AE47" s="34">
        <f>IFERROR(up_RadSpec!$J$6*(AE6*$B47),".")</f>
        <v>178954.98677031251</v>
      </c>
      <c r="AF47" s="34">
        <f>IFERROR(up_RadSpec!$J$6*(AF6*$B47),".")</f>
        <v>178954.98677031251</v>
      </c>
      <c r="AG47" s="34">
        <f>IFERROR(up_RadSpec!$J$6*(AG6*$B47),".")</f>
        <v>178954.98677031251</v>
      </c>
      <c r="AH47" s="34">
        <f>IFERROR(up_RadSpec!$J$6*(AH6*$B47),".")</f>
        <v>178954.98677031251</v>
      </c>
      <c r="AI47" s="34">
        <f>IFERROR(up_RadSpec!$J$6*(AI6*$B47),".")</f>
        <v>178954.98677031251</v>
      </c>
      <c r="AJ47" s="34">
        <f>IFERROR(up_RadSpec!$J$6*(AJ6*$B47),".")</f>
        <v>178954.98677031251</v>
      </c>
      <c r="AK47" s="34">
        <f>IFERROR(up_RadSpec!$J$6*(AK6*$B47),".")</f>
        <v>178954.98677031251</v>
      </c>
      <c r="AL47" s="34">
        <f>IFERROR(up_RadSpec!$J$6*(AL6*$B47),".")</f>
        <v>178954.98677031251</v>
      </c>
      <c r="AM47" s="34">
        <f>IFERROR(up_RadSpec!$J$6*(AM6*$B47),".")</f>
        <v>178954.98677031251</v>
      </c>
      <c r="AN47" s="34">
        <f>IFERROR(up_RadSpec!$J$6*(AN6*$B47),".")</f>
        <v>178954.98677031251</v>
      </c>
      <c r="AO47" s="34">
        <f>IFERROR(up_RadSpec!$J$6*(AO6*$B47),".")</f>
        <v>178954.98677031251</v>
      </c>
      <c r="AP47" s="34">
        <f>IFERROR(up_RadSpec!$J$6*(AP6*$B47),".")</f>
        <v>178954.98677031251</v>
      </c>
      <c r="AQ47" s="34">
        <f>IFERROR(up_RadSpec!$J$6*(AQ6*$B47),".")</f>
        <v>178954.98677031251</v>
      </c>
      <c r="AR47" s="34">
        <f>IFERROR(up_RadSpec!$J$6*(AR6*$B47),".")</f>
        <v>178954.98677031251</v>
      </c>
      <c r="AS47" s="34">
        <f>IFERROR(up_RadSpec!$J$6*(AS6*$B47),".")</f>
        <v>178954.98677031251</v>
      </c>
      <c r="AT47" s="34">
        <f>IFERROR(up_RadSpec!$J$6*(AT6*$B47),".")</f>
        <v>178954.98677031251</v>
      </c>
      <c r="AU47" s="34">
        <f>IFERROR(up_RadSpec!$J$6*(AU6*$B47),".")</f>
        <v>178954.98677031251</v>
      </c>
      <c r="AV47" s="34">
        <f>IFERROR(up_RadSpec!$J$6*(AV6*$B47),".")</f>
        <v>178954.98677031251</v>
      </c>
      <c r="AW47" s="34">
        <f>IFERROR(up_RadSpec!$J$6*(AW6*$B47),".")</f>
        <v>178954.98677031251</v>
      </c>
      <c r="AX47" s="34">
        <f>IFERROR(up_RadSpec!$J$6*(AX6*$B47),".")</f>
        <v>178954.98677031251</v>
      </c>
      <c r="AY47" s="34">
        <f>IFERROR(up_RadSpec!$J$6*(AY6*$B47),".")</f>
        <v>178954.98677031251</v>
      </c>
      <c r="AZ47" s="34">
        <f>IFERROR(up_RadSpec!$J$6*(AZ6*$B47),".")</f>
        <v>178954.98677031251</v>
      </c>
      <c r="BA47" s="42">
        <f t="shared" si="2"/>
        <v>4.6566644963233761E-5</v>
      </c>
      <c r="BB47" s="42">
        <f t="shared" ref="BB47:BY47" si="86">IFERROR(BB6/$B$47,0)</f>
        <v>1.3969993488970126E-4</v>
      </c>
      <c r="BC47" s="42">
        <f t="shared" si="86"/>
        <v>1.3969993488970126E-4</v>
      </c>
      <c r="BD47" s="42">
        <f t="shared" si="86"/>
        <v>1.3969993488970126E-4</v>
      </c>
      <c r="BE47" s="42">
        <f t="shared" si="86"/>
        <v>1.3969993488970126E-4</v>
      </c>
      <c r="BF47" s="42">
        <f t="shared" si="86"/>
        <v>1.3969993488970126E-4</v>
      </c>
      <c r="BG47" s="42">
        <f t="shared" si="86"/>
        <v>1.3969993488970126E-4</v>
      </c>
      <c r="BH47" s="42">
        <f t="shared" si="86"/>
        <v>1.3969993488970126E-4</v>
      </c>
      <c r="BI47" s="42">
        <f t="shared" si="86"/>
        <v>1.3969993488970126E-4</v>
      </c>
      <c r="BJ47" s="42">
        <f t="shared" si="86"/>
        <v>1.3969993488970126E-4</v>
      </c>
      <c r="BK47" s="42">
        <f t="shared" si="86"/>
        <v>1.3969993488970126E-4</v>
      </c>
      <c r="BL47" s="42">
        <f t="shared" si="86"/>
        <v>1.3969993488970126E-4</v>
      </c>
      <c r="BM47" s="42">
        <f t="shared" si="86"/>
        <v>1.3969993488970126E-4</v>
      </c>
      <c r="BN47" s="42">
        <f t="shared" si="86"/>
        <v>1.3969993488970126E-4</v>
      </c>
      <c r="BO47" s="42">
        <f t="shared" si="86"/>
        <v>1.3969993488970126E-4</v>
      </c>
      <c r="BP47" s="42">
        <f t="shared" si="86"/>
        <v>1.3969993488970126E-4</v>
      </c>
      <c r="BQ47" s="42">
        <f t="shared" si="86"/>
        <v>1.3969993488970126E-4</v>
      </c>
      <c r="BR47" s="42">
        <f t="shared" si="86"/>
        <v>1.3969993488970126E-4</v>
      </c>
      <c r="BS47" s="42">
        <f t="shared" si="86"/>
        <v>1.3969993488970126E-4</v>
      </c>
      <c r="BT47" s="42">
        <f t="shared" si="86"/>
        <v>1.3969993488970126E-4</v>
      </c>
      <c r="BU47" s="42">
        <f t="shared" si="86"/>
        <v>1.3969993488970126E-4</v>
      </c>
      <c r="BV47" s="42">
        <f t="shared" si="86"/>
        <v>1.3969993488970126E-4</v>
      </c>
      <c r="BW47" s="42">
        <f t="shared" si="86"/>
        <v>1.3969993488970126E-4</v>
      </c>
      <c r="BX47" s="42">
        <f t="shared" si="86"/>
        <v>1.3969993488970126E-4</v>
      </c>
      <c r="BY47" s="42">
        <f t="shared" si="86"/>
        <v>1.3969993488970126E-4</v>
      </c>
      <c r="BZ47" s="34">
        <f t="shared" si="8"/>
        <v>536864.96031093749</v>
      </c>
      <c r="CA47" s="34">
        <f>IFERROR(up_RadSpec!$J$6*(CA6*$B47),".")</f>
        <v>178954.98677031251</v>
      </c>
      <c r="CB47" s="34">
        <f>IFERROR(up_RadSpec!$J$6*(CB6*$B47),".")</f>
        <v>178954.98677031251</v>
      </c>
      <c r="CC47" s="34">
        <f>IFERROR(up_RadSpec!$J$6*(CC6*$B47),".")</f>
        <v>178954.98677031251</v>
      </c>
      <c r="CD47" s="34">
        <f>IFERROR(up_RadSpec!$J$6*(CD6*$B47),".")</f>
        <v>178954.98677031251</v>
      </c>
      <c r="CE47" s="34">
        <f>IFERROR(up_RadSpec!$J$6*(CE6*$B47),".")</f>
        <v>178954.98677031251</v>
      </c>
      <c r="CF47" s="34">
        <f>IFERROR(up_RadSpec!$J$6*(CF6*$B47),".")</f>
        <v>178954.98677031251</v>
      </c>
      <c r="CG47" s="34">
        <f>IFERROR(up_RadSpec!$J$6*(CG6*$B47),".")</f>
        <v>178954.98677031251</v>
      </c>
      <c r="CH47" s="34">
        <f>IFERROR(up_RadSpec!$J$6*(CH6*$B47),".")</f>
        <v>178954.98677031251</v>
      </c>
      <c r="CI47" s="34">
        <f>IFERROR(up_RadSpec!$J$6*(CI6*$B47),".")</f>
        <v>178954.98677031251</v>
      </c>
      <c r="CJ47" s="34">
        <f>IFERROR(up_RadSpec!$J$6*(CJ6*$B47),".")</f>
        <v>178954.98677031251</v>
      </c>
      <c r="CK47" s="34">
        <f>IFERROR(up_RadSpec!$J$6*(CK6*$B47),".")</f>
        <v>178954.98677031251</v>
      </c>
      <c r="CL47" s="34">
        <f>IFERROR(up_RadSpec!$J$6*(CL6*$B47),".")</f>
        <v>178954.98677031251</v>
      </c>
      <c r="CM47" s="34">
        <f>IFERROR(up_RadSpec!$J$6*(CM6*$B47),".")</f>
        <v>178954.98677031251</v>
      </c>
      <c r="CN47" s="34">
        <f>IFERROR(up_RadSpec!$J$6*(CN6*$B47),".")</f>
        <v>178954.98677031251</v>
      </c>
      <c r="CO47" s="34">
        <f>IFERROR(up_RadSpec!$J$6*(CO6*$B47),".")</f>
        <v>178954.98677031251</v>
      </c>
      <c r="CP47" s="34">
        <f>IFERROR(up_RadSpec!$J$6*(CP6*$B47),".")</f>
        <v>178954.98677031251</v>
      </c>
      <c r="CQ47" s="34">
        <f>IFERROR(up_RadSpec!$J$6*(CQ6*$B47),".")</f>
        <v>178954.98677031251</v>
      </c>
      <c r="CR47" s="34">
        <f>IFERROR(up_RadSpec!$J$6*(CR6*$B47),".")</f>
        <v>178954.98677031251</v>
      </c>
      <c r="CS47" s="34">
        <f>IFERROR(up_RadSpec!$J$6*(CS6*$B47),".")</f>
        <v>178954.98677031251</v>
      </c>
      <c r="CT47" s="34">
        <f>IFERROR(up_RadSpec!$J$6*(CT6*$B47),".")</f>
        <v>178954.98677031251</v>
      </c>
      <c r="CU47" s="34">
        <f>IFERROR(up_RadSpec!$J$6*(CU6*$B47),".")</f>
        <v>178954.98677031251</v>
      </c>
      <c r="CV47" s="34">
        <f>IFERROR(up_RadSpec!$J$6*(CV6*$B47),".")</f>
        <v>178954.98677031251</v>
      </c>
      <c r="CW47" s="34">
        <f>IFERROR(up_RadSpec!$J$6*(CW6*$B47),".")</f>
        <v>178954.98677031251</v>
      </c>
      <c r="CX47" s="34">
        <f>IFERROR(up_RadSpec!$J$6*(CX6*$B47),".")</f>
        <v>178954.98677031251</v>
      </c>
    </row>
    <row r="48" spans="1:102" x14ac:dyDescent="0.25">
      <c r="A48" s="54" t="s">
        <v>21</v>
      </c>
      <c r="B48" s="54" t="s">
        <v>1059</v>
      </c>
      <c r="C48" s="40">
        <f t="shared" si="1"/>
        <v>4.8842711717780875E-6</v>
      </c>
      <c r="D48" s="40">
        <f t="shared" ref="D48:AA48" si="87">1/SUM(1/D49,1/D50,1/D51,1/D52,1/D53,1/D54,1/D55,1/D56,1/D57,1/D58,1/D59,1/D60,1/D61,1/D62)</f>
        <v>1.4652813515334263E-5</v>
      </c>
      <c r="E48" s="40">
        <f t="shared" si="87"/>
        <v>1.4652813515334263E-5</v>
      </c>
      <c r="F48" s="40">
        <f t="shared" si="87"/>
        <v>1.4652813515334263E-5</v>
      </c>
      <c r="G48" s="40">
        <f t="shared" si="87"/>
        <v>1.4652813515334263E-5</v>
      </c>
      <c r="H48" s="40">
        <f t="shared" si="87"/>
        <v>1.4652813515334263E-5</v>
      </c>
      <c r="I48" s="40">
        <f t="shared" si="87"/>
        <v>1.4652813515334263E-5</v>
      </c>
      <c r="J48" s="40">
        <f t="shared" si="87"/>
        <v>1.4652813515334263E-5</v>
      </c>
      <c r="K48" s="40">
        <f t="shared" si="87"/>
        <v>1.4652813515334263E-5</v>
      </c>
      <c r="L48" s="40">
        <f t="shared" si="87"/>
        <v>1.4652813515334263E-5</v>
      </c>
      <c r="M48" s="40">
        <f t="shared" si="87"/>
        <v>1.4652813515334263E-5</v>
      </c>
      <c r="N48" s="40">
        <f t="shared" si="87"/>
        <v>1.4652813515334263E-5</v>
      </c>
      <c r="O48" s="40">
        <f t="shared" si="87"/>
        <v>1.4652813515334263E-5</v>
      </c>
      <c r="P48" s="40">
        <f t="shared" si="87"/>
        <v>1.4652813515334263E-5</v>
      </c>
      <c r="Q48" s="40">
        <f t="shared" si="87"/>
        <v>1.4652813515334263E-5</v>
      </c>
      <c r="R48" s="40">
        <f t="shared" si="87"/>
        <v>1.4652813515334263E-5</v>
      </c>
      <c r="S48" s="40">
        <f t="shared" si="87"/>
        <v>1.4652813515334263E-5</v>
      </c>
      <c r="T48" s="40">
        <f t="shared" si="87"/>
        <v>1.4652813515334263E-5</v>
      </c>
      <c r="U48" s="40">
        <f t="shared" si="87"/>
        <v>1.4652813515334263E-5</v>
      </c>
      <c r="V48" s="40">
        <f t="shared" si="87"/>
        <v>1.4652813515334263E-5</v>
      </c>
      <c r="W48" s="40">
        <f t="shared" si="87"/>
        <v>1.4652813515334263E-5</v>
      </c>
      <c r="X48" s="40">
        <f t="shared" si="87"/>
        <v>1.4652813515334263E-5</v>
      </c>
      <c r="Y48" s="40">
        <f t="shared" si="87"/>
        <v>1.4652813515334263E-5</v>
      </c>
      <c r="Z48" s="40">
        <f t="shared" si="87"/>
        <v>1.4652813515334263E-5</v>
      </c>
      <c r="AA48" s="40">
        <f t="shared" si="87"/>
        <v>1.4652813515334263E-5</v>
      </c>
      <c r="AB48" s="33">
        <f t="shared" si="4"/>
        <v>5118470.9285702743</v>
      </c>
      <c r="AC48" s="33">
        <f>IFERROR(SUM(AC49:AC62),".")</f>
        <v>1706156.9761900916</v>
      </c>
      <c r="AD48" s="33">
        <f t="shared" ref="AD48:AZ48" si="88">IFERROR(SUM(AD49:AD62),".")</f>
        <v>1706156.9761900916</v>
      </c>
      <c r="AE48" s="33">
        <f t="shared" si="88"/>
        <v>1706156.9761900916</v>
      </c>
      <c r="AF48" s="33">
        <f t="shared" si="88"/>
        <v>1706156.9761900916</v>
      </c>
      <c r="AG48" s="33">
        <f t="shared" si="88"/>
        <v>1706156.9761900916</v>
      </c>
      <c r="AH48" s="33">
        <f t="shared" si="88"/>
        <v>1706156.9761900916</v>
      </c>
      <c r="AI48" s="33">
        <f t="shared" si="88"/>
        <v>1706156.9761900916</v>
      </c>
      <c r="AJ48" s="33">
        <f t="shared" si="88"/>
        <v>1706156.9761900916</v>
      </c>
      <c r="AK48" s="33">
        <f t="shared" si="88"/>
        <v>1706156.9761900916</v>
      </c>
      <c r="AL48" s="33">
        <f t="shared" si="88"/>
        <v>1706156.9761900916</v>
      </c>
      <c r="AM48" s="33">
        <f t="shared" si="88"/>
        <v>1706156.9761900916</v>
      </c>
      <c r="AN48" s="33">
        <f t="shared" si="88"/>
        <v>1706156.9761900916</v>
      </c>
      <c r="AO48" s="33">
        <f t="shared" si="88"/>
        <v>1706156.9761900916</v>
      </c>
      <c r="AP48" s="33">
        <f t="shared" si="88"/>
        <v>1706156.9761900916</v>
      </c>
      <c r="AQ48" s="33">
        <f t="shared" si="88"/>
        <v>1706156.9761900916</v>
      </c>
      <c r="AR48" s="33">
        <f t="shared" si="88"/>
        <v>1706156.9761900916</v>
      </c>
      <c r="AS48" s="33">
        <f t="shared" si="88"/>
        <v>1706156.9761900916</v>
      </c>
      <c r="AT48" s="33">
        <f t="shared" si="88"/>
        <v>1706156.9761900916</v>
      </c>
      <c r="AU48" s="33">
        <f t="shared" si="88"/>
        <v>1706156.9761900916</v>
      </c>
      <c r="AV48" s="33">
        <f t="shared" si="88"/>
        <v>1706156.9761900916</v>
      </c>
      <c r="AW48" s="33">
        <f t="shared" si="88"/>
        <v>1706156.9761900916</v>
      </c>
      <c r="AX48" s="33">
        <f t="shared" si="88"/>
        <v>1706156.9761900916</v>
      </c>
      <c r="AY48" s="33">
        <f t="shared" si="88"/>
        <v>1706156.9761900916</v>
      </c>
      <c r="AZ48" s="33">
        <f t="shared" si="88"/>
        <v>1706156.9761900916</v>
      </c>
      <c r="BA48" s="40">
        <f t="shared" si="2"/>
        <v>4.8842711717780875E-6</v>
      </c>
      <c r="BB48" s="40">
        <f t="shared" ref="BB48:BY48" si="89">1/SUM(1/BB49,1/BB50,1/BB51,1/BB52,1/BB53,1/BB54,1/BB55,1/BB56,1/BB57,1/BB58,1/BB59,1/BB60,1/BB61,1/BB62)</f>
        <v>1.4652813515334263E-5</v>
      </c>
      <c r="BC48" s="40">
        <f t="shared" si="89"/>
        <v>1.4652813515334263E-5</v>
      </c>
      <c r="BD48" s="40">
        <f t="shared" si="89"/>
        <v>1.4652813515334263E-5</v>
      </c>
      <c r="BE48" s="40">
        <f t="shared" si="89"/>
        <v>1.4652813515334263E-5</v>
      </c>
      <c r="BF48" s="40">
        <f t="shared" si="89"/>
        <v>1.4652813515334263E-5</v>
      </c>
      <c r="BG48" s="40">
        <f t="shared" si="89"/>
        <v>1.4652813515334263E-5</v>
      </c>
      <c r="BH48" s="40">
        <f t="shared" si="89"/>
        <v>1.4652813515334263E-5</v>
      </c>
      <c r="BI48" s="40">
        <f t="shared" si="89"/>
        <v>1.4652813515334263E-5</v>
      </c>
      <c r="BJ48" s="40">
        <f t="shared" si="89"/>
        <v>1.4652813515334263E-5</v>
      </c>
      <c r="BK48" s="40">
        <f t="shared" si="89"/>
        <v>1.4652813515334263E-5</v>
      </c>
      <c r="BL48" s="40">
        <f t="shared" si="89"/>
        <v>1.4652813515334263E-5</v>
      </c>
      <c r="BM48" s="40">
        <f t="shared" si="89"/>
        <v>1.4652813515334263E-5</v>
      </c>
      <c r="BN48" s="40">
        <f t="shared" si="89"/>
        <v>1.4652813515334263E-5</v>
      </c>
      <c r="BO48" s="40">
        <f t="shared" si="89"/>
        <v>1.4652813515334263E-5</v>
      </c>
      <c r="BP48" s="40">
        <f t="shared" si="89"/>
        <v>1.4652813515334263E-5</v>
      </c>
      <c r="BQ48" s="40">
        <f t="shared" si="89"/>
        <v>1.4652813515334263E-5</v>
      </c>
      <c r="BR48" s="40">
        <f t="shared" si="89"/>
        <v>1.4652813515334263E-5</v>
      </c>
      <c r="BS48" s="40">
        <f t="shared" si="89"/>
        <v>1.4652813515334263E-5</v>
      </c>
      <c r="BT48" s="40">
        <f t="shared" si="89"/>
        <v>1.4652813515334263E-5</v>
      </c>
      <c r="BU48" s="40">
        <f t="shared" si="89"/>
        <v>1.4652813515334263E-5</v>
      </c>
      <c r="BV48" s="40">
        <f t="shared" si="89"/>
        <v>1.4652813515334263E-5</v>
      </c>
      <c r="BW48" s="40">
        <f t="shared" si="89"/>
        <v>1.4652813515334263E-5</v>
      </c>
      <c r="BX48" s="40">
        <f t="shared" si="89"/>
        <v>1.4652813515334263E-5</v>
      </c>
      <c r="BY48" s="40">
        <f t="shared" si="89"/>
        <v>1.4652813515334263E-5</v>
      </c>
      <c r="BZ48" s="33">
        <f t="shared" si="8"/>
        <v>5118470.9285702743</v>
      </c>
      <c r="CA48" s="33">
        <f>IFERROR(SUM(CA49:CA62),".")</f>
        <v>1706156.9761900916</v>
      </c>
      <c r="CB48" s="33">
        <f t="shared" ref="CB48" si="90">IFERROR(SUM(CB49:CB62),".")</f>
        <v>1706156.9761900916</v>
      </c>
      <c r="CC48" s="33">
        <f t="shared" ref="CC48" si="91">IFERROR(SUM(CC49:CC62),".")</f>
        <v>1706156.9761900916</v>
      </c>
      <c r="CD48" s="33">
        <f t="shared" ref="CD48" si="92">IFERROR(SUM(CD49:CD62),".")</f>
        <v>1706156.9761900916</v>
      </c>
      <c r="CE48" s="33">
        <f t="shared" ref="CE48" si="93">IFERROR(SUM(CE49:CE62),".")</f>
        <v>1706156.9761900916</v>
      </c>
      <c r="CF48" s="33">
        <f t="shared" ref="CF48" si="94">IFERROR(SUM(CF49:CF62),".")</f>
        <v>1706156.9761900916</v>
      </c>
      <c r="CG48" s="33">
        <f t="shared" ref="CG48" si="95">IFERROR(SUM(CG49:CG62),".")</f>
        <v>1706156.9761900916</v>
      </c>
      <c r="CH48" s="33">
        <f t="shared" ref="CH48" si="96">IFERROR(SUM(CH49:CH62),".")</f>
        <v>1706156.9761900916</v>
      </c>
      <c r="CI48" s="33">
        <f t="shared" ref="CI48" si="97">IFERROR(SUM(CI49:CI62),".")</f>
        <v>1706156.9761900916</v>
      </c>
      <c r="CJ48" s="33">
        <f t="shared" ref="CJ48" si="98">IFERROR(SUM(CJ49:CJ62),".")</f>
        <v>1706156.9761900916</v>
      </c>
      <c r="CK48" s="33">
        <f t="shared" ref="CK48" si="99">IFERROR(SUM(CK49:CK62),".")</f>
        <v>1706156.9761900916</v>
      </c>
      <c r="CL48" s="33">
        <f t="shared" ref="CL48" si="100">IFERROR(SUM(CL49:CL62),".")</f>
        <v>1706156.9761900916</v>
      </c>
      <c r="CM48" s="33">
        <f t="shared" ref="CM48" si="101">IFERROR(SUM(CM49:CM62),".")</f>
        <v>1706156.9761900916</v>
      </c>
      <c r="CN48" s="33">
        <f t="shared" ref="CN48" si="102">IFERROR(SUM(CN49:CN62),".")</f>
        <v>1706156.9761900916</v>
      </c>
      <c r="CO48" s="33">
        <f t="shared" ref="CO48" si="103">IFERROR(SUM(CO49:CO62),".")</f>
        <v>1706156.9761900916</v>
      </c>
      <c r="CP48" s="33">
        <f t="shared" ref="CP48" si="104">IFERROR(SUM(CP49:CP62),".")</f>
        <v>1706156.9761900916</v>
      </c>
      <c r="CQ48" s="33">
        <f t="shared" ref="CQ48" si="105">IFERROR(SUM(CQ49:CQ62),".")</f>
        <v>1706156.9761900916</v>
      </c>
      <c r="CR48" s="33">
        <f t="shared" ref="CR48" si="106">IFERROR(SUM(CR49:CR62),".")</f>
        <v>1706156.9761900916</v>
      </c>
      <c r="CS48" s="33">
        <f t="shared" ref="CS48" si="107">IFERROR(SUM(CS49:CS62),".")</f>
        <v>1706156.9761900916</v>
      </c>
      <c r="CT48" s="33">
        <f t="shared" ref="CT48" si="108">IFERROR(SUM(CT49:CT62),".")</f>
        <v>1706156.9761900916</v>
      </c>
      <c r="CU48" s="33">
        <f t="shared" ref="CU48" si="109">IFERROR(SUM(CU49:CU62),".")</f>
        <v>1706156.9761900916</v>
      </c>
      <c r="CV48" s="33">
        <f t="shared" ref="CV48" si="110">IFERROR(SUM(CV49:CV62),".")</f>
        <v>1706156.9761900916</v>
      </c>
      <c r="CW48" s="33">
        <f t="shared" ref="CW48" si="111">IFERROR(SUM(CW49:CW62),".")</f>
        <v>1706156.9761900916</v>
      </c>
      <c r="CX48" s="33">
        <f t="shared" ref="CX48" si="112">IFERROR(SUM(CX49:CX62),".")</f>
        <v>1706156.9761900916</v>
      </c>
    </row>
    <row r="49" spans="1:102" x14ac:dyDescent="0.25">
      <c r="A49" s="55" t="s">
        <v>1088</v>
      </c>
      <c r="B49" s="3">
        <v>1</v>
      </c>
      <c r="C49" s="42">
        <f t="shared" si="1"/>
        <v>4.3958447178843029E-5</v>
      </c>
      <c r="D49" s="42">
        <f t="shared" ref="D49:AA49" si="113">IFERROR(D23/$B49,0)</f>
        <v>1.3187534153652909E-4</v>
      </c>
      <c r="E49" s="42">
        <f t="shared" si="113"/>
        <v>1.3187534153652909E-4</v>
      </c>
      <c r="F49" s="42">
        <f t="shared" si="113"/>
        <v>1.3187534153652909E-4</v>
      </c>
      <c r="G49" s="42">
        <f t="shared" si="113"/>
        <v>1.3187534153652909E-4</v>
      </c>
      <c r="H49" s="42">
        <f t="shared" si="113"/>
        <v>1.3187534153652909E-4</v>
      </c>
      <c r="I49" s="42">
        <f t="shared" si="113"/>
        <v>1.3187534153652909E-4</v>
      </c>
      <c r="J49" s="42">
        <f t="shared" si="113"/>
        <v>1.3187534153652909E-4</v>
      </c>
      <c r="K49" s="42">
        <f t="shared" si="113"/>
        <v>1.3187534153652909E-4</v>
      </c>
      <c r="L49" s="42">
        <f t="shared" si="113"/>
        <v>1.3187534153652909E-4</v>
      </c>
      <c r="M49" s="42">
        <f t="shared" si="113"/>
        <v>1.3187534153652909E-4</v>
      </c>
      <c r="N49" s="42">
        <f t="shared" si="113"/>
        <v>1.3187534153652909E-4</v>
      </c>
      <c r="O49" s="42">
        <f t="shared" si="113"/>
        <v>1.3187534153652909E-4</v>
      </c>
      <c r="P49" s="42">
        <f t="shared" si="113"/>
        <v>1.3187534153652909E-4</v>
      </c>
      <c r="Q49" s="42">
        <f t="shared" si="113"/>
        <v>1.3187534153652909E-4</v>
      </c>
      <c r="R49" s="42">
        <f t="shared" si="113"/>
        <v>1.3187534153652909E-4</v>
      </c>
      <c r="S49" s="42">
        <f t="shared" si="113"/>
        <v>1.3187534153652909E-4</v>
      </c>
      <c r="T49" s="42">
        <f t="shared" si="113"/>
        <v>1.3187534153652909E-4</v>
      </c>
      <c r="U49" s="42">
        <f t="shared" si="113"/>
        <v>1.3187534153652909E-4</v>
      </c>
      <c r="V49" s="42">
        <f t="shared" si="113"/>
        <v>1.3187534153652909E-4</v>
      </c>
      <c r="W49" s="42">
        <f t="shared" si="113"/>
        <v>1.3187534153652909E-4</v>
      </c>
      <c r="X49" s="42">
        <f t="shared" si="113"/>
        <v>1.3187534153652909E-4</v>
      </c>
      <c r="Y49" s="42">
        <f t="shared" si="113"/>
        <v>1.3187534153652909E-4</v>
      </c>
      <c r="Z49" s="42">
        <f t="shared" si="113"/>
        <v>1.3187534153652909E-4</v>
      </c>
      <c r="AA49" s="42">
        <f t="shared" si="113"/>
        <v>1.3187534153652909E-4</v>
      </c>
      <c r="AB49" s="34">
        <f t="shared" si="4"/>
        <v>568718.90625</v>
      </c>
      <c r="AC49" s="34">
        <f>IFERROR(up_RadSpec!$J$23*(AC23*$B49),".")</f>
        <v>189572.96875</v>
      </c>
      <c r="AD49" s="34">
        <f>IFERROR(up_RadSpec!$J$23*(AC23*$B49),".")</f>
        <v>189572.96875</v>
      </c>
      <c r="AE49" s="34">
        <f>IFERROR(up_RadSpec!$J$23*(AC23*$B49),".")</f>
        <v>189572.96875</v>
      </c>
      <c r="AF49" s="34">
        <f>IFERROR(up_RadSpec!$J$23*(AC23*$B49),".")</f>
        <v>189572.96875</v>
      </c>
      <c r="AG49" s="34">
        <f>IFERROR(up_RadSpec!$J$23*(AC23*$B49),".")</f>
        <v>189572.96875</v>
      </c>
      <c r="AH49" s="34">
        <f>IFERROR(up_RadSpec!$J$23*(AC23*$B49),".")</f>
        <v>189572.96875</v>
      </c>
      <c r="AI49" s="34">
        <f>IFERROR(up_RadSpec!$J$23*(AC23*$B49),".")</f>
        <v>189572.96875</v>
      </c>
      <c r="AJ49" s="34">
        <f>IFERROR(up_RadSpec!$J$23*(AC23*$B49),".")</f>
        <v>189572.96875</v>
      </c>
      <c r="AK49" s="34">
        <f>IFERROR(up_RadSpec!$J$23*(AC23*$B49),".")</f>
        <v>189572.96875</v>
      </c>
      <c r="AL49" s="34">
        <f>IFERROR(up_RadSpec!$J$23*(AC23*$B49),".")</f>
        <v>189572.96875</v>
      </c>
      <c r="AM49" s="34">
        <f>IFERROR(up_RadSpec!$J$23*(AC23*$B49),".")</f>
        <v>189572.96875</v>
      </c>
      <c r="AN49" s="34">
        <f>IFERROR(up_RadSpec!$J$23*(AC23*$B49),".")</f>
        <v>189572.96875</v>
      </c>
      <c r="AO49" s="34">
        <f>IFERROR(up_RadSpec!$J$23*(AC23*$B49),".")</f>
        <v>189572.96875</v>
      </c>
      <c r="AP49" s="34">
        <f>IFERROR(up_RadSpec!$J$23*(AC23*$B49),".")</f>
        <v>189572.96875</v>
      </c>
      <c r="AQ49" s="34">
        <f>IFERROR(up_RadSpec!$J$23*(AC23*$B49),".")</f>
        <v>189572.96875</v>
      </c>
      <c r="AR49" s="34">
        <f>IFERROR(up_RadSpec!$J$23*(AC23*$B49),".")</f>
        <v>189572.96875</v>
      </c>
      <c r="AS49" s="34">
        <f>IFERROR(up_RadSpec!$J$23*(AC23*$B49),".")</f>
        <v>189572.96875</v>
      </c>
      <c r="AT49" s="34">
        <f>IFERROR(up_RadSpec!$J$23*(AC23*$B49),".")</f>
        <v>189572.96875</v>
      </c>
      <c r="AU49" s="34">
        <f>IFERROR(up_RadSpec!$J$23*(AC23*$B49),".")</f>
        <v>189572.96875</v>
      </c>
      <c r="AV49" s="34">
        <f>IFERROR(up_RadSpec!$J$23*(AC23*$B49),".")</f>
        <v>189572.96875</v>
      </c>
      <c r="AW49" s="34">
        <f>IFERROR(up_RadSpec!$J$23*(AC23*$B49),".")</f>
        <v>189572.96875</v>
      </c>
      <c r="AX49" s="34">
        <f>IFERROR(up_RadSpec!$J$23*(AC23*$B49),".")</f>
        <v>189572.96875</v>
      </c>
      <c r="AY49" s="34">
        <f>IFERROR(up_RadSpec!$J$23*(AC23*$B49),".")</f>
        <v>189572.96875</v>
      </c>
      <c r="AZ49" s="34">
        <f>IFERROR(up_RadSpec!$J$23*(AC23*$B49),".")</f>
        <v>189572.96875</v>
      </c>
      <c r="BA49" s="42">
        <f t="shared" si="2"/>
        <v>4.3958447178843029E-5</v>
      </c>
      <c r="BB49" s="42">
        <f t="shared" ref="BB49:BY49" si="114">IFERROR(BB23/$B49,0)</f>
        <v>1.3187534153652909E-4</v>
      </c>
      <c r="BC49" s="42">
        <f t="shared" si="114"/>
        <v>1.3187534153652909E-4</v>
      </c>
      <c r="BD49" s="42">
        <f t="shared" si="114"/>
        <v>1.3187534153652909E-4</v>
      </c>
      <c r="BE49" s="42">
        <f t="shared" si="114"/>
        <v>1.3187534153652909E-4</v>
      </c>
      <c r="BF49" s="42">
        <f t="shared" si="114"/>
        <v>1.3187534153652909E-4</v>
      </c>
      <c r="BG49" s="42">
        <f t="shared" si="114"/>
        <v>1.3187534153652909E-4</v>
      </c>
      <c r="BH49" s="42">
        <f t="shared" si="114"/>
        <v>1.3187534153652909E-4</v>
      </c>
      <c r="BI49" s="42">
        <f t="shared" si="114"/>
        <v>1.3187534153652909E-4</v>
      </c>
      <c r="BJ49" s="42">
        <f t="shared" si="114"/>
        <v>1.3187534153652909E-4</v>
      </c>
      <c r="BK49" s="42">
        <f t="shared" si="114"/>
        <v>1.3187534153652909E-4</v>
      </c>
      <c r="BL49" s="42">
        <f t="shared" si="114"/>
        <v>1.3187534153652909E-4</v>
      </c>
      <c r="BM49" s="42">
        <f t="shared" si="114"/>
        <v>1.3187534153652909E-4</v>
      </c>
      <c r="BN49" s="42">
        <f t="shared" si="114"/>
        <v>1.3187534153652909E-4</v>
      </c>
      <c r="BO49" s="42">
        <f t="shared" si="114"/>
        <v>1.3187534153652909E-4</v>
      </c>
      <c r="BP49" s="42">
        <f t="shared" si="114"/>
        <v>1.3187534153652909E-4</v>
      </c>
      <c r="BQ49" s="42">
        <f t="shared" si="114"/>
        <v>1.3187534153652909E-4</v>
      </c>
      <c r="BR49" s="42">
        <f t="shared" si="114"/>
        <v>1.3187534153652909E-4</v>
      </c>
      <c r="BS49" s="42">
        <f t="shared" si="114"/>
        <v>1.3187534153652909E-4</v>
      </c>
      <c r="BT49" s="42">
        <f t="shared" si="114"/>
        <v>1.3187534153652909E-4</v>
      </c>
      <c r="BU49" s="42">
        <f t="shared" si="114"/>
        <v>1.3187534153652909E-4</v>
      </c>
      <c r="BV49" s="42">
        <f t="shared" si="114"/>
        <v>1.3187534153652909E-4</v>
      </c>
      <c r="BW49" s="42">
        <f t="shared" si="114"/>
        <v>1.3187534153652909E-4</v>
      </c>
      <c r="BX49" s="42">
        <f t="shared" si="114"/>
        <v>1.3187534153652909E-4</v>
      </c>
      <c r="BY49" s="42">
        <f t="shared" si="114"/>
        <v>1.3187534153652909E-4</v>
      </c>
      <c r="BZ49" s="34">
        <f t="shared" si="8"/>
        <v>568718.90625</v>
      </c>
      <c r="CA49" s="34">
        <f>IFERROR(up_RadSpec!$J$23*(AC23*$B49),".")</f>
        <v>189572.96875</v>
      </c>
      <c r="CB49" s="34">
        <f>IFERROR(up_RadSpec!$J$23*(AC23*$B49),".")</f>
        <v>189572.96875</v>
      </c>
      <c r="CC49" s="34">
        <f>IFERROR(up_RadSpec!$J$23*(AC23*$B49),".")</f>
        <v>189572.96875</v>
      </c>
      <c r="CD49" s="34">
        <f>IFERROR(up_RadSpec!$J$23*(AC23*$B49),".")</f>
        <v>189572.96875</v>
      </c>
      <c r="CE49" s="34">
        <f>IFERROR(up_RadSpec!$J$23*(AC23*$B49),".")</f>
        <v>189572.96875</v>
      </c>
      <c r="CF49" s="34">
        <f>IFERROR(up_RadSpec!$J$23*(AC23*$B49),".")</f>
        <v>189572.96875</v>
      </c>
      <c r="CG49" s="34">
        <f>IFERROR(up_RadSpec!$J$23*(AC23*$B49),".")</f>
        <v>189572.96875</v>
      </c>
      <c r="CH49" s="34">
        <f>IFERROR(up_RadSpec!$J$23*(AC23*$B49),".")</f>
        <v>189572.96875</v>
      </c>
      <c r="CI49" s="34">
        <f>IFERROR(up_RadSpec!$J$23*(AC23*$B49),".")</f>
        <v>189572.96875</v>
      </c>
      <c r="CJ49" s="34">
        <f>IFERROR(up_RadSpec!$J$23*(AC23*$B49),".")</f>
        <v>189572.96875</v>
      </c>
      <c r="CK49" s="34">
        <f>IFERROR(up_RadSpec!$J$23*(AC23*$B49),".")</f>
        <v>189572.96875</v>
      </c>
      <c r="CL49" s="34">
        <f>IFERROR(up_RadSpec!$J$23*(AC23*$B49),".")</f>
        <v>189572.96875</v>
      </c>
      <c r="CM49" s="34">
        <f>IFERROR(up_RadSpec!$J$23*(AC23*$B49),".")</f>
        <v>189572.96875</v>
      </c>
      <c r="CN49" s="34">
        <f>IFERROR(up_RadSpec!$J$23*(AC23*$B49),".")</f>
        <v>189572.96875</v>
      </c>
      <c r="CO49" s="34">
        <f>IFERROR(up_RadSpec!$J$23*(AC23*$B49),".")</f>
        <v>189572.96875</v>
      </c>
      <c r="CP49" s="34">
        <f>IFERROR(up_RadSpec!$J$23*(AC23*$B49),".")</f>
        <v>189572.96875</v>
      </c>
      <c r="CQ49" s="34">
        <f>IFERROR(up_RadSpec!$J$23*(AC23*$B49),".")</f>
        <v>189572.96875</v>
      </c>
      <c r="CR49" s="34">
        <f>IFERROR(up_RadSpec!$J$23*(AC23*$B49),".")</f>
        <v>189572.96875</v>
      </c>
      <c r="CS49" s="34">
        <f>IFERROR(up_RadSpec!$J$23*(AC23*$B49),".")</f>
        <v>189572.96875</v>
      </c>
      <c r="CT49" s="34">
        <f>IFERROR(up_RadSpec!$J$23*(AC23*$B49),".")</f>
        <v>189572.96875</v>
      </c>
      <c r="CU49" s="34">
        <f>IFERROR(up_RadSpec!$J$23*(AC23*$B49),".")</f>
        <v>189572.96875</v>
      </c>
      <c r="CV49" s="34">
        <f>IFERROR(up_RadSpec!$J$23*(AC23*$B49),".")</f>
        <v>189572.96875</v>
      </c>
      <c r="CW49" s="34">
        <f>IFERROR(up_RadSpec!$J$23*(AC23*$B49),".")</f>
        <v>189572.96875</v>
      </c>
      <c r="CX49" s="34">
        <f>IFERROR(up_RadSpec!$J$23*(AC23*$B49),".")</f>
        <v>189572.96875</v>
      </c>
    </row>
    <row r="50" spans="1:102" x14ac:dyDescent="0.25">
      <c r="A50" s="55" t="s">
        <v>1075</v>
      </c>
      <c r="B50" s="3">
        <v>1</v>
      </c>
      <c r="C50" s="42">
        <f t="shared" si="1"/>
        <v>4.3958447178843029E-5</v>
      </c>
      <c r="D50" s="42">
        <f t="shared" ref="D50:AA50" si="115">IFERROR(D25/$B50,0)</f>
        <v>1.3187534153652909E-4</v>
      </c>
      <c r="E50" s="42">
        <f t="shared" si="115"/>
        <v>1.3187534153652909E-4</v>
      </c>
      <c r="F50" s="42">
        <f t="shared" si="115"/>
        <v>1.3187534153652909E-4</v>
      </c>
      <c r="G50" s="42">
        <f t="shared" si="115"/>
        <v>1.3187534153652909E-4</v>
      </c>
      <c r="H50" s="42">
        <f t="shared" si="115"/>
        <v>1.3187534153652909E-4</v>
      </c>
      <c r="I50" s="42">
        <f t="shared" si="115"/>
        <v>1.3187534153652909E-4</v>
      </c>
      <c r="J50" s="42">
        <f t="shared" si="115"/>
        <v>1.3187534153652909E-4</v>
      </c>
      <c r="K50" s="42">
        <f t="shared" si="115"/>
        <v>1.3187534153652909E-4</v>
      </c>
      <c r="L50" s="42">
        <f t="shared" si="115"/>
        <v>1.3187534153652909E-4</v>
      </c>
      <c r="M50" s="42">
        <f t="shared" si="115"/>
        <v>1.3187534153652909E-4</v>
      </c>
      <c r="N50" s="42">
        <f t="shared" si="115"/>
        <v>1.3187534153652909E-4</v>
      </c>
      <c r="O50" s="42">
        <f t="shared" si="115"/>
        <v>1.3187534153652909E-4</v>
      </c>
      <c r="P50" s="42">
        <f t="shared" si="115"/>
        <v>1.3187534153652909E-4</v>
      </c>
      <c r="Q50" s="42">
        <f t="shared" si="115"/>
        <v>1.3187534153652909E-4</v>
      </c>
      <c r="R50" s="42">
        <f t="shared" si="115"/>
        <v>1.3187534153652909E-4</v>
      </c>
      <c r="S50" s="42">
        <f t="shared" si="115"/>
        <v>1.3187534153652909E-4</v>
      </c>
      <c r="T50" s="42">
        <f t="shared" si="115"/>
        <v>1.3187534153652909E-4</v>
      </c>
      <c r="U50" s="42">
        <f t="shared" si="115"/>
        <v>1.3187534153652909E-4</v>
      </c>
      <c r="V50" s="42">
        <f t="shared" si="115"/>
        <v>1.3187534153652909E-4</v>
      </c>
      <c r="W50" s="42">
        <f t="shared" si="115"/>
        <v>1.3187534153652909E-4</v>
      </c>
      <c r="X50" s="42">
        <f t="shared" si="115"/>
        <v>1.3187534153652909E-4</v>
      </c>
      <c r="Y50" s="42">
        <f t="shared" si="115"/>
        <v>1.3187534153652909E-4</v>
      </c>
      <c r="Z50" s="42">
        <f t="shared" si="115"/>
        <v>1.3187534153652909E-4</v>
      </c>
      <c r="AA50" s="42">
        <f t="shared" si="115"/>
        <v>1.3187534153652909E-4</v>
      </c>
      <c r="AB50" s="34">
        <f t="shared" si="4"/>
        <v>568718.90625</v>
      </c>
      <c r="AC50" s="34">
        <f>IFERROR(up_RadSpec!$J$25*(AC25*$B50),".")</f>
        <v>189572.96875</v>
      </c>
      <c r="AD50" s="34">
        <f>IFERROR(up_RadSpec!$J$25*(AC25*$B50),".")</f>
        <v>189572.96875</v>
      </c>
      <c r="AE50" s="34">
        <f>IFERROR(up_RadSpec!$J$25*(AC25*$B50),".")</f>
        <v>189572.96875</v>
      </c>
      <c r="AF50" s="34">
        <f>IFERROR(up_RadSpec!$J$25*(AC25*$B50),".")</f>
        <v>189572.96875</v>
      </c>
      <c r="AG50" s="34">
        <f>IFERROR(up_RadSpec!$J$25*(AC25*$B50),".")</f>
        <v>189572.96875</v>
      </c>
      <c r="AH50" s="34">
        <f>IFERROR(up_RadSpec!$J$25*(AC25*$B50),".")</f>
        <v>189572.96875</v>
      </c>
      <c r="AI50" s="34">
        <f>IFERROR(up_RadSpec!$J$25*(AC25*$B50),".")</f>
        <v>189572.96875</v>
      </c>
      <c r="AJ50" s="34">
        <f>IFERROR(up_RadSpec!$J$25*(AC25*$B50),".")</f>
        <v>189572.96875</v>
      </c>
      <c r="AK50" s="34">
        <f>IFERROR(up_RadSpec!$J$25*(AC25*$B50),".")</f>
        <v>189572.96875</v>
      </c>
      <c r="AL50" s="34">
        <f>IFERROR(up_RadSpec!$J$25*(AC25*$B50),".")</f>
        <v>189572.96875</v>
      </c>
      <c r="AM50" s="34">
        <f>IFERROR(up_RadSpec!$J$25*(AC25*$B50),".")</f>
        <v>189572.96875</v>
      </c>
      <c r="AN50" s="34">
        <f>IFERROR(up_RadSpec!$J$25*(AC25*$B50),".")</f>
        <v>189572.96875</v>
      </c>
      <c r="AO50" s="34">
        <f>IFERROR(up_RadSpec!$J$25*(AC25*$B50),".")</f>
        <v>189572.96875</v>
      </c>
      <c r="AP50" s="34">
        <f>IFERROR(up_RadSpec!$J$25*(AC25*$B50),".")</f>
        <v>189572.96875</v>
      </c>
      <c r="AQ50" s="34">
        <f>IFERROR(up_RadSpec!$J$25*(AC25*$B50),".")</f>
        <v>189572.96875</v>
      </c>
      <c r="AR50" s="34">
        <f>IFERROR(up_RadSpec!$J$25*(AC25*$B50),".")</f>
        <v>189572.96875</v>
      </c>
      <c r="AS50" s="34">
        <f>IFERROR(up_RadSpec!$J$25*(AC25*$B50),".")</f>
        <v>189572.96875</v>
      </c>
      <c r="AT50" s="34">
        <f>IFERROR(up_RadSpec!$J$25*(AC25*$B50),".")</f>
        <v>189572.96875</v>
      </c>
      <c r="AU50" s="34">
        <f>IFERROR(up_RadSpec!$J$25*(AC25*$B50),".")</f>
        <v>189572.96875</v>
      </c>
      <c r="AV50" s="34">
        <f>IFERROR(up_RadSpec!$J$25*(AC25*$B50),".")</f>
        <v>189572.96875</v>
      </c>
      <c r="AW50" s="34">
        <f>IFERROR(up_RadSpec!$J$25*(AC25*$B50),".")</f>
        <v>189572.96875</v>
      </c>
      <c r="AX50" s="34">
        <f>IFERROR(up_RadSpec!$J$25*(AC25*$B50),".")</f>
        <v>189572.96875</v>
      </c>
      <c r="AY50" s="34">
        <f>IFERROR(up_RadSpec!$J$25*(AC25*$B50),".")</f>
        <v>189572.96875</v>
      </c>
      <c r="AZ50" s="34">
        <f>IFERROR(up_RadSpec!$J$25*(AC25*$B50),".")</f>
        <v>189572.96875</v>
      </c>
      <c r="BA50" s="42">
        <f t="shared" si="2"/>
        <v>4.3958447178843029E-5</v>
      </c>
      <c r="BB50" s="42">
        <f t="shared" ref="BB50:BY50" si="116">IFERROR(BB25/$B50,0)</f>
        <v>1.3187534153652909E-4</v>
      </c>
      <c r="BC50" s="42">
        <f t="shared" si="116"/>
        <v>1.3187534153652909E-4</v>
      </c>
      <c r="BD50" s="42">
        <f t="shared" si="116"/>
        <v>1.3187534153652909E-4</v>
      </c>
      <c r="BE50" s="42">
        <f t="shared" si="116"/>
        <v>1.3187534153652909E-4</v>
      </c>
      <c r="BF50" s="42">
        <f t="shared" si="116"/>
        <v>1.3187534153652909E-4</v>
      </c>
      <c r="BG50" s="42">
        <f t="shared" si="116"/>
        <v>1.3187534153652909E-4</v>
      </c>
      <c r="BH50" s="42">
        <f t="shared" si="116"/>
        <v>1.3187534153652909E-4</v>
      </c>
      <c r="BI50" s="42">
        <f t="shared" si="116"/>
        <v>1.3187534153652909E-4</v>
      </c>
      <c r="BJ50" s="42">
        <f t="shared" si="116"/>
        <v>1.3187534153652909E-4</v>
      </c>
      <c r="BK50" s="42">
        <f t="shared" si="116"/>
        <v>1.3187534153652909E-4</v>
      </c>
      <c r="BL50" s="42">
        <f t="shared" si="116"/>
        <v>1.3187534153652909E-4</v>
      </c>
      <c r="BM50" s="42">
        <f t="shared" si="116"/>
        <v>1.3187534153652909E-4</v>
      </c>
      <c r="BN50" s="42">
        <f t="shared" si="116"/>
        <v>1.3187534153652909E-4</v>
      </c>
      <c r="BO50" s="42">
        <f t="shared" si="116"/>
        <v>1.3187534153652909E-4</v>
      </c>
      <c r="BP50" s="42">
        <f t="shared" si="116"/>
        <v>1.3187534153652909E-4</v>
      </c>
      <c r="BQ50" s="42">
        <f t="shared" si="116"/>
        <v>1.3187534153652909E-4</v>
      </c>
      <c r="BR50" s="42">
        <f t="shared" si="116"/>
        <v>1.3187534153652909E-4</v>
      </c>
      <c r="BS50" s="42">
        <f t="shared" si="116"/>
        <v>1.3187534153652909E-4</v>
      </c>
      <c r="BT50" s="42">
        <f t="shared" si="116"/>
        <v>1.3187534153652909E-4</v>
      </c>
      <c r="BU50" s="42">
        <f t="shared" si="116"/>
        <v>1.3187534153652909E-4</v>
      </c>
      <c r="BV50" s="42">
        <f t="shared" si="116"/>
        <v>1.3187534153652909E-4</v>
      </c>
      <c r="BW50" s="42">
        <f t="shared" si="116"/>
        <v>1.3187534153652909E-4</v>
      </c>
      <c r="BX50" s="42">
        <f t="shared" si="116"/>
        <v>1.3187534153652909E-4</v>
      </c>
      <c r="BY50" s="42">
        <f t="shared" si="116"/>
        <v>1.3187534153652909E-4</v>
      </c>
      <c r="BZ50" s="34">
        <f t="shared" si="8"/>
        <v>568718.90625</v>
      </c>
      <c r="CA50" s="34">
        <f>IFERROR(up_RadSpec!$J$25*(AC25*$B50),".")</f>
        <v>189572.96875</v>
      </c>
      <c r="CB50" s="34">
        <f>IFERROR(up_RadSpec!$J$25*(AC25*$B50),".")</f>
        <v>189572.96875</v>
      </c>
      <c r="CC50" s="34">
        <f>IFERROR(up_RadSpec!$J$25*(AC25*$B50),".")</f>
        <v>189572.96875</v>
      </c>
      <c r="CD50" s="34">
        <f>IFERROR(up_RadSpec!$J$25*(AC25*$B50),".")</f>
        <v>189572.96875</v>
      </c>
      <c r="CE50" s="34">
        <f>IFERROR(up_RadSpec!$J$25*(AC25*$B50),".")</f>
        <v>189572.96875</v>
      </c>
      <c r="CF50" s="34">
        <f>IFERROR(up_RadSpec!$J$25*(AC25*$B50),".")</f>
        <v>189572.96875</v>
      </c>
      <c r="CG50" s="34">
        <f>IFERROR(up_RadSpec!$J$25*(AC25*$B50),".")</f>
        <v>189572.96875</v>
      </c>
      <c r="CH50" s="34">
        <f>IFERROR(up_RadSpec!$J$25*(AC25*$B50),".")</f>
        <v>189572.96875</v>
      </c>
      <c r="CI50" s="34">
        <f>IFERROR(up_RadSpec!$J$25*(AC25*$B50),".")</f>
        <v>189572.96875</v>
      </c>
      <c r="CJ50" s="34">
        <f>IFERROR(up_RadSpec!$J$25*(AC25*$B50),".")</f>
        <v>189572.96875</v>
      </c>
      <c r="CK50" s="34">
        <f>IFERROR(up_RadSpec!$J$25*(AC25*$B50),".")</f>
        <v>189572.96875</v>
      </c>
      <c r="CL50" s="34">
        <f>IFERROR(up_RadSpec!$J$25*(AC25*$B50),".")</f>
        <v>189572.96875</v>
      </c>
      <c r="CM50" s="34">
        <f>IFERROR(up_RadSpec!$J$25*(AC25*$B50),".")</f>
        <v>189572.96875</v>
      </c>
      <c r="CN50" s="34">
        <f>IFERROR(up_RadSpec!$J$25*(AC25*$B50),".")</f>
        <v>189572.96875</v>
      </c>
      <c r="CO50" s="34">
        <f>IFERROR(up_RadSpec!$J$25*(AC25*$B50),".")</f>
        <v>189572.96875</v>
      </c>
      <c r="CP50" s="34">
        <f>IFERROR(up_RadSpec!$J$25*(AC25*$B50),".")</f>
        <v>189572.96875</v>
      </c>
      <c r="CQ50" s="34">
        <f>IFERROR(up_RadSpec!$J$25*(AC25*$B50),".")</f>
        <v>189572.96875</v>
      </c>
      <c r="CR50" s="34">
        <f>IFERROR(up_RadSpec!$J$25*(AC25*$B50),".")</f>
        <v>189572.96875</v>
      </c>
      <c r="CS50" s="34">
        <f>IFERROR(up_RadSpec!$J$25*(AC25*$B50),".")</f>
        <v>189572.96875</v>
      </c>
      <c r="CT50" s="34">
        <f>IFERROR(up_RadSpec!$J$25*(AC25*$B50),".")</f>
        <v>189572.96875</v>
      </c>
      <c r="CU50" s="34">
        <f>IFERROR(up_RadSpec!$J$25*(AC25*$B50),".")</f>
        <v>189572.96875</v>
      </c>
      <c r="CV50" s="34">
        <f>IFERROR(up_RadSpec!$J$25*(AC25*$B50),".")</f>
        <v>189572.96875</v>
      </c>
      <c r="CW50" s="34">
        <f>IFERROR(up_RadSpec!$J$25*(AC25*$B50),".")</f>
        <v>189572.96875</v>
      </c>
      <c r="CX50" s="34">
        <f>IFERROR(up_RadSpec!$J$25*(AC25*$B50),".")</f>
        <v>189572.96875</v>
      </c>
    </row>
    <row r="51" spans="1:102" x14ac:dyDescent="0.25">
      <c r="A51" s="55" t="s">
        <v>1061</v>
      </c>
      <c r="B51" s="3">
        <v>1</v>
      </c>
      <c r="C51" s="42">
        <f t="shared" si="1"/>
        <v>4.3958447178843029E-5</v>
      </c>
      <c r="D51" s="42">
        <f t="shared" ref="D51:AA51" si="117">IFERROR(D21/$B51,0)</f>
        <v>1.3187534153652909E-4</v>
      </c>
      <c r="E51" s="42">
        <f t="shared" si="117"/>
        <v>1.3187534153652909E-4</v>
      </c>
      <c r="F51" s="42">
        <f t="shared" si="117"/>
        <v>1.3187534153652909E-4</v>
      </c>
      <c r="G51" s="42">
        <f t="shared" si="117"/>
        <v>1.3187534153652909E-4</v>
      </c>
      <c r="H51" s="42">
        <f t="shared" si="117"/>
        <v>1.3187534153652909E-4</v>
      </c>
      <c r="I51" s="42">
        <f t="shared" si="117"/>
        <v>1.3187534153652909E-4</v>
      </c>
      <c r="J51" s="42">
        <f t="shared" si="117"/>
        <v>1.3187534153652909E-4</v>
      </c>
      <c r="K51" s="42">
        <f t="shared" si="117"/>
        <v>1.3187534153652909E-4</v>
      </c>
      <c r="L51" s="42">
        <f t="shared" si="117"/>
        <v>1.3187534153652909E-4</v>
      </c>
      <c r="M51" s="42">
        <f t="shared" si="117"/>
        <v>1.3187534153652909E-4</v>
      </c>
      <c r="N51" s="42">
        <f t="shared" si="117"/>
        <v>1.3187534153652909E-4</v>
      </c>
      <c r="O51" s="42">
        <f t="shared" si="117"/>
        <v>1.3187534153652909E-4</v>
      </c>
      <c r="P51" s="42">
        <f t="shared" si="117"/>
        <v>1.3187534153652909E-4</v>
      </c>
      <c r="Q51" s="42">
        <f t="shared" si="117"/>
        <v>1.3187534153652909E-4</v>
      </c>
      <c r="R51" s="42">
        <f t="shared" si="117"/>
        <v>1.3187534153652909E-4</v>
      </c>
      <c r="S51" s="42">
        <f t="shared" si="117"/>
        <v>1.3187534153652909E-4</v>
      </c>
      <c r="T51" s="42">
        <f t="shared" si="117"/>
        <v>1.3187534153652909E-4</v>
      </c>
      <c r="U51" s="42">
        <f t="shared" si="117"/>
        <v>1.3187534153652909E-4</v>
      </c>
      <c r="V51" s="42">
        <f t="shared" si="117"/>
        <v>1.3187534153652909E-4</v>
      </c>
      <c r="W51" s="42">
        <f t="shared" si="117"/>
        <v>1.3187534153652909E-4</v>
      </c>
      <c r="X51" s="42">
        <f t="shared" si="117"/>
        <v>1.3187534153652909E-4</v>
      </c>
      <c r="Y51" s="42">
        <f t="shared" si="117"/>
        <v>1.3187534153652909E-4</v>
      </c>
      <c r="Z51" s="42">
        <f t="shared" si="117"/>
        <v>1.3187534153652909E-4</v>
      </c>
      <c r="AA51" s="42">
        <f t="shared" si="117"/>
        <v>1.3187534153652909E-4</v>
      </c>
      <c r="AB51" s="34">
        <f t="shared" si="4"/>
        <v>568718.90625</v>
      </c>
      <c r="AC51" s="34">
        <f>IFERROR(up_RadSpec!$J$21*(AC21*$B51),".")</f>
        <v>189572.96875</v>
      </c>
      <c r="AD51" s="34">
        <f>IFERROR(up_RadSpec!$J$21*(AC21*$B51),".")</f>
        <v>189572.96875</v>
      </c>
      <c r="AE51" s="34">
        <f>IFERROR(up_RadSpec!$J$21*(AC21*$B51),".")</f>
        <v>189572.96875</v>
      </c>
      <c r="AF51" s="34">
        <f>IFERROR(up_RadSpec!$J$21*(AC21*$B51),".")</f>
        <v>189572.96875</v>
      </c>
      <c r="AG51" s="34">
        <f>IFERROR(up_RadSpec!$J$21*(AC21*$B51),".")</f>
        <v>189572.96875</v>
      </c>
      <c r="AH51" s="34">
        <f>IFERROR(up_RadSpec!$J$21*(AC21*$B51),".")</f>
        <v>189572.96875</v>
      </c>
      <c r="AI51" s="34">
        <f>IFERROR(up_RadSpec!$J$21*(AC21*$B51),".")</f>
        <v>189572.96875</v>
      </c>
      <c r="AJ51" s="34">
        <f>IFERROR(up_RadSpec!$J$21*(AC21*$B51),".")</f>
        <v>189572.96875</v>
      </c>
      <c r="AK51" s="34">
        <f>IFERROR(up_RadSpec!$J$21*(AC21*$B51),".")</f>
        <v>189572.96875</v>
      </c>
      <c r="AL51" s="34">
        <f>IFERROR(up_RadSpec!$J$21*(AC21*$B51),".")</f>
        <v>189572.96875</v>
      </c>
      <c r="AM51" s="34">
        <f>IFERROR(up_RadSpec!$J$21*(AC21*$B51),".")</f>
        <v>189572.96875</v>
      </c>
      <c r="AN51" s="34">
        <f>IFERROR(up_RadSpec!$J$21*(AC21*$B51),".")</f>
        <v>189572.96875</v>
      </c>
      <c r="AO51" s="34">
        <f>IFERROR(up_RadSpec!$J$21*(AC21*$B51),".")</f>
        <v>189572.96875</v>
      </c>
      <c r="AP51" s="34">
        <f>IFERROR(up_RadSpec!$J$21*(AC21*$B51),".")</f>
        <v>189572.96875</v>
      </c>
      <c r="AQ51" s="34">
        <f>IFERROR(up_RadSpec!$J$21*(AC21*$B51),".")</f>
        <v>189572.96875</v>
      </c>
      <c r="AR51" s="34">
        <f>IFERROR(up_RadSpec!$J$21*(AC21*$B51),".")</f>
        <v>189572.96875</v>
      </c>
      <c r="AS51" s="34">
        <f>IFERROR(up_RadSpec!$J$21*(AC21*$B51),".")</f>
        <v>189572.96875</v>
      </c>
      <c r="AT51" s="34">
        <f>IFERROR(up_RadSpec!$J$21*(AC21*$B51),".")</f>
        <v>189572.96875</v>
      </c>
      <c r="AU51" s="34">
        <f>IFERROR(up_RadSpec!$J$21*(AC21*$B51),".")</f>
        <v>189572.96875</v>
      </c>
      <c r="AV51" s="34">
        <f>IFERROR(up_RadSpec!$J$21*(AC21*$B51),".")</f>
        <v>189572.96875</v>
      </c>
      <c r="AW51" s="34">
        <f>IFERROR(up_RadSpec!$J$21*(AC21*$B51),".")</f>
        <v>189572.96875</v>
      </c>
      <c r="AX51" s="34">
        <f>IFERROR(up_RadSpec!$J$21*(AC21*$B51),".")</f>
        <v>189572.96875</v>
      </c>
      <c r="AY51" s="34">
        <f>IFERROR(up_RadSpec!$J$21*(AC21*$B51),".")</f>
        <v>189572.96875</v>
      </c>
      <c r="AZ51" s="34">
        <f>IFERROR(up_RadSpec!$J$21*(AC21*$B51),".")</f>
        <v>189572.96875</v>
      </c>
      <c r="BA51" s="42">
        <f t="shared" si="2"/>
        <v>4.3958447178843029E-5</v>
      </c>
      <c r="BB51" s="42">
        <f t="shared" ref="BB51:BY51" si="118">IFERROR(BB21/$B51,0)</f>
        <v>1.3187534153652909E-4</v>
      </c>
      <c r="BC51" s="42">
        <f t="shared" si="118"/>
        <v>1.3187534153652909E-4</v>
      </c>
      <c r="BD51" s="42">
        <f t="shared" si="118"/>
        <v>1.3187534153652909E-4</v>
      </c>
      <c r="BE51" s="42">
        <f t="shared" si="118"/>
        <v>1.3187534153652909E-4</v>
      </c>
      <c r="BF51" s="42">
        <f t="shared" si="118"/>
        <v>1.3187534153652909E-4</v>
      </c>
      <c r="BG51" s="42">
        <f t="shared" si="118"/>
        <v>1.3187534153652909E-4</v>
      </c>
      <c r="BH51" s="42">
        <f t="shared" si="118"/>
        <v>1.3187534153652909E-4</v>
      </c>
      <c r="BI51" s="42">
        <f t="shared" si="118"/>
        <v>1.3187534153652909E-4</v>
      </c>
      <c r="BJ51" s="42">
        <f t="shared" si="118"/>
        <v>1.3187534153652909E-4</v>
      </c>
      <c r="BK51" s="42">
        <f t="shared" si="118"/>
        <v>1.3187534153652909E-4</v>
      </c>
      <c r="BL51" s="42">
        <f t="shared" si="118"/>
        <v>1.3187534153652909E-4</v>
      </c>
      <c r="BM51" s="42">
        <f t="shared" si="118"/>
        <v>1.3187534153652909E-4</v>
      </c>
      <c r="BN51" s="42">
        <f t="shared" si="118"/>
        <v>1.3187534153652909E-4</v>
      </c>
      <c r="BO51" s="42">
        <f t="shared" si="118"/>
        <v>1.3187534153652909E-4</v>
      </c>
      <c r="BP51" s="42">
        <f t="shared" si="118"/>
        <v>1.3187534153652909E-4</v>
      </c>
      <c r="BQ51" s="42">
        <f t="shared" si="118"/>
        <v>1.3187534153652909E-4</v>
      </c>
      <c r="BR51" s="42">
        <f t="shared" si="118"/>
        <v>1.3187534153652909E-4</v>
      </c>
      <c r="BS51" s="42">
        <f t="shared" si="118"/>
        <v>1.3187534153652909E-4</v>
      </c>
      <c r="BT51" s="42">
        <f t="shared" si="118"/>
        <v>1.3187534153652909E-4</v>
      </c>
      <c r="BU51" s="42">
        <f t="shared" si="118"/>
        <v>1.3187534153652909E-4</v>
      </c>
      <c r="BV51" s="42">
        <f t="shared" si="118"/>
        <v>1.3187534153652909E-4</v>
      </c>
      <c r="BW51" s="42">
        <f t="shared" si="118"/>
        <v>1.3187534153652909E-4</v>
      </c>
      <c r="BX51" s="42">
        <f t="shared" si="118"/>
        <v>1.3187534153652909E-4</v>
      </c>
      <c r="BY51" s="42">
        <f t="shared" si="118"/>
        <v>1.3187534153652909E-4</v>
      </c>
      <c r="BZ51" s="34">
        <f t="shared" si="8"/>
        <v>568718.90625</v>
      </c>
      <c r="CA51" s="34">
        <f>IFERROR(up_RadSpec!$J$21*(AC21*$B51),".")</f>
        <v>189572.96875</v>
      </c>
      <c r="CB51" s="34">
        <f>IFERROR(up_RadSpec!$J$21*(AC21*$B51),".")</f>
        <v>189572.96875</v>
      </c>
      <c r="CC51" s="34">
        <f>IFERROR(up_RadSpec!$J$21*(AC21*$B51),".")</f>
        <v>189572.96875</v>
      </c>
      <c r="CD51" s="34">
        <f>IFERROR(up_RadSpec!$J$21*(AC21*$B51),".")</f>
        <v>189572.96875</v>
      </c>
      <c r="CE51" s="34">
        <f>IFERROR(up_RadSpec!$J$21*(AC21*$B51),".")</f>
        <v>189572.96875</v>
      </c>
      <c r="CF51" s="34">
        <f>IFERROR(up_RadSpec!$J$21*(AC21*$B51),".")</f>
        <v>189572.96875</v>
      </c>
      <c r="CG51" s="34">
        <f>IFERROR(up_RadSpec!$J$21*(AC21*$B51),".")</f>
        <v>189572.96875</v>
      </c>
      <c r="CH51" s="34">
        <f>IFERROR(up_RadSpec!$J$21*(AC21*$B51),".")</f>
        <v>189572.96875</v>
      </c>
      <c r="CI51" s="34">
        <f>IFERROR(up_RadSpec!$J$21*(AC21*$B51),".")</f>
        <v>189572.96875</v>
      </c>
      <c r="CJ51" s="34">
        <f>IFERROR(up_RadSpec!$J$21*(AC21*$B51),".")</f>
        <v>189572.96875</v>
      </c>
      <c r="CK51" s="34">
        <f>IFERROR(up_RadSpec!$J$21*(AC21*$B51),".")</f>
        <v>189572.96875</v>
      </c>
      <c r="CL51" s="34">
        <f>IFERROR(up_RadSpec!$J$21*(AC21*$B51),".")</f>
        <v>189572.96875</v>
      </c>
      <c r="CM51" s="34">
        <f>IFERROR(up_RadSpec!$J$21*(AC21*$B51),".")</f>
        <v>189572.96875</v>
      </c>
      <c r="CN51" s="34">
        <f>IFERROR(up_RadSpec!$J$21*(AC21*$B51),".")</f>
        <v>189572.96875</v>
      </c>
      <c r="CO51" s="34">
        <f>IFERROR(up_RadSpec!$J$21*(AC21*$B51),".")</f>
        <v>189572.96875</v>
      </c>
      <c r="CP51" s="34">
        <f>IFERROR(up_RadSpec!$J$21*(AC21*$B51),".")</f>
        <v>189572.96875</v>
      </c>
      <c r="CQ51" s="34">
        <f>IFERROR(up_RadSpec!$J$21*(AC21*$B51),".")</f>
        <v>189572.96875</v>
      </c>
      <c r="CR51" s="34">
        <f>IFERROR(up_RadSpec!$J$21*(AC21*$B51),".")</f>
        <v>189572.96875</v>
      </c>
      <c r="CS51" s="34">
        <f>IFERROR(up_RadSpec!$J$21*(AC21*$B51),".")</f>
        <v>189572.96875</v>
      </c>
      <c r="CT51" s="34">
        <f>IFERROR(up_RadSpec!$J$21*(AC21*$B51),".")</f>
        <v>189572.96875</v>
      </c>
      <c r="CU51" s="34">
        <f>IFERROR(up_RadSpec!$J$21*(AC21*$B51),".")</f>
        <v>189572.96875</v>
      </c>
      <c r="CV51" s="34">
        <f>IFERROR(up_RadSpec!$J$21*(AC21*$B51),".")</f>
        <v>189572.96875</v>
      </c>
      <c r="CW51" s="34">
        <f>IFERROR(up_RadSpec!$J$21*(AC21*$B51),".")</f>
        <v>189572.96875</v>
      </c>
      <c r="CX51" s="34">
        <f>IFERROR(up_RadSpec!$J$21*(AC21*$B51),".")</f>
        <v>189572.96875</v>
      </c>
    </row>
    <row r="52" spans="1:102" x14ac:dyDescent="0.25">
      <c r="A52" s="55" t="s">
        <v>1062</v>
      </c>
      <c r="B52" s="3">
        <v>0.99980000000000002</v>
      </c>
      <c r="C52" s="42">
        <f t="shared" si="1"/>
        <v>4.3967240626968418E-5</v>
      </c>
      <c r="D52" s="42">
        <f t="shared" ref="D52:AA52" si="119">IFERROR(D17/$B52,0)</f>
        <v>1.3190172188090525E-4</v>
      </c>
      <c r="E52" s="42">
        <f t="shared" si="119"/>
        <v>1.3190172188090525E-4</v>
      </c>
      <c r="F52" s="42">
        <f t="shared" si="119"/>
        <v>1.3190172188090525E-4</v>
      </c>
      <c r="G52" s="42">
        <f t="shared" si="119"/>
        <v>1.3190172188090525E-4</v>
      </c>
      <c r="H52" s="42">
        <f t="shared" si="119"/>
        <v>1.3190172188090525E-4</v>
      </c>
      <c r="I52" s="42">
        <f t="shared" si="119"/>
        <v>1.3190172188090525E-4</v>
      </c>
      <c r="J52" s="42">
        <f t="shared" si="119"/>
        <v>1.3190172188090525E-4</v>
      </c>
      <c r="K52" s="42">
        <f t="shared" si="119"/>
        <v>1.3190172188090525E-4</v>
      </c>
      <c r="L52" s="42">
        <f t="shared" si="119"/>
        <v>1.3190172188090525E-4</v>
      </c>
      <c r="M52" s="42">
        <f t="shared" si="119"/>
        <v>1.3190172188090525E-4</v>
      </c>
      <c r="N52" s="42">
        <f t="shared" si="119"/>
        <v>1.3190172188090525E-4</v>
      </c>
      <c r="O52" s="42">
        <f t="shared" si="119"/>
        <v>1.3190172188090525E-4</v>
      </c>
      <c r="P52" s="42">
        <f t="shared" si="119"/>
        <v>1.3190172188090525E-4</v>
      </c>
      <c r="Q52" s="42">
        <f t="shared" si="119"/>
        <v>1.3190172188090525E-4</v>
      </c>
      <c r="R52" s="42">
        <f t="shared" si="119"/>
        <v>1.3190172188090525E-4</v>
      </c>
      <c r="S52" s="42">
        <f t="shared" si="119"/>
        <v>1.3190172188090525E-4</v>
      </c>
      <c r="T52" s="42">
        <f t="shared" si="119"/>
        <v>1.3190172188090525E-4</v>
      </c>
      <c r="U52" s="42">
        <f t="shared" si="119"/>
        <v>1.3190172188090525E-4</v>
      </c>
      <c r="V52" s="42">
        <f t="shared" si="119"/>
        <v>1.3190172188090525E-4</v>
      </c>
      <c r="W52" s="42">
        <f t="shared" si="119"/>
        <v>1.3190172188090525E-4</v>
      </c>
      <c r="X52" s="42">
        <f t="shared" si="119"/>
        <v>1.3190172188090525E-4</v>
      </c>
      <c r="Y52" s="42">
        <f t="shared" si="119"/>
        <v>1.3190172188090525E-4</v>
      </c>
      <c r="Z52" s="42">
        <f t="shared" si="119"/>
        <v>1.3190172188090525E-4</v>
      </c>
      <c r="AA52" s="42">
        <f t="shared" si="119"/>
        <v>1.3190172188090525E-4</v>
      </c>
      <c r="AB52" s="34">
        <f t="shared" si="4"/>
        <v>568605.16246875003</v>
      </c>
      <c r="AC52" s="34">
        <f>IFERROR(up_RadSpec!$J$17*(AC17*$B52),".")</f>
        <v>189535.05415625</v>
      </c>
      <c r="AD52" s="34">
        <f>IFERROR(up_RadSpec!$J$17*(AC17*$B52),".")</f>
        <v>189535.05415625</v>
      </c>
      <c r="AE52" s="34">
        <f>IFERROR(up_RadSpec!$J$17*(AC17*$B52),".")</f>
        <v>189535.05415625</v>
      </c>
      <c r="AF52" s="34">
        <f>IFERROR(up_RadSpec!$J$17*(AC17*$B52),".")</f>
        <v>189535.05415625</v>
      </c>
      <c r="AG52" s="34">
        <f>IFERROR(up_RadSpec!$J$17*(AC17*$B52),".")</f>
        <v>189535.05415625</v>
      </c>
      <c r="AH52" s="34">
        <f>IFERROR(up_RadSpec!$J$17*(AC17*$B52),".")</f>
        <v>189535.05415625</v>
      </c>
      <c r="AI52" s="34">
        <f>IFERROR(up_RadSpec!$J$17*(AC17*$B52),".")</f>
        <v>189535.05415625</v>
      </c>
      <c r="AJ52" s="34">
        <f>IFERROR(up_RadSpec!$J$17*(AC17*$B52),".")</f>
        <v>189535.05415625</v>
      </c>
      <c r="AK52" s="34">
        <f>IFERROR(up_RadSpec!$J$17*(AC17*$B52),".")</f>
        <v>189535.05415625</v>
      </c>
      <c r="AL52" s="34">
        <f>IFERROR(up_RadSpec!$J$17*(AC17*$B52),".")</f>
        <v>189535.05415625</v>
      </c>
      <c r="AM52" s="34">
        <f>IFERROR(up_RadSpec!$J$17*(AC17*$B52),".")</f>
        <v>189535.05415625</v>
      </c>
      <c r="AN52" s="34">
        <f>IFERROR(up_RadSpec!$J$17*(AC17*$B52),".")</f>
        <v>189535.05415625</v>
      </c>
      <c r="AO52" s="34">
        <f>IFERROR(up_RadSpec!$J$17*(AC17*$B52),".")</f>
        <v>189535.05415625</v>
      </c>
      <c r="AP52" s="34">
        <f>IFERROR(up_RadSpec!$J$17*(AC17*$B52),".")</f>
        <v>189535.05415625</v>
      </c>
      <c r="AQ52" s="34">
        <f>IFERROR(up_RadSpec!$J$17*(AC17*$B52),".")</f>
        <v>189535.05415625</v>
      </c>
      <c r="AR52" s="34">
        <f>IFERROR(up_RadSpec!$J$17*(AC17*$B52),".")</f>
        <v>189535.05415625</v>
      </c>
      <c r="AS52" s="34">
        <f>IFERROR(up_RadSpec!$J$17*(AC17*$B52),".")</f>
        <v>189535.05415625</v>
      </c>
      <c r="AT52" s="34">
        <f>IFERROR(up_RadSpec!$J$17*(AC17*$B52),".")</f>
        <v>189535.05415625</v>
      </c>
      <c r="AU52" s="34">
        <f>IFERROR(up_RadSpec!$J$17*(AC17*$B52),".")</f>
        <v>189535.05415625</v>
      </c>
      <c r="AV52" s="34">
        <f>IFERROR(up_RadSpec!$J$17*(AC17*$B52),".")</f>
        <v>189535.05415625</v>
      </c>
      <c r="AW52" s="34">
        <f>IFERROR(up_RadSpec!$J$17*(AC17*$B52),".")</f>
        <v>189535.05415625</v>
      </c>
      <c r="AX52" s="34">
        <f>IFERROR(up_RadSpec!$J$17*(AC17*$B52),".")</f>
        <v>189535.05415625</v>
      </c>
      <c r="AY52" s="34">
        <f>IFERROR(up_RadSpec!$J$17*(AC17*$B52),".")</f>
        <v>189535.05415625</v>
      </c>
      <c r="AZ52" s="34">
        <f>IFERROR(up_RadSpec!$J$17*(AC17*$B52),".")</f>
        <v>189535.05415625</v>
      </c>
      <c r="BA52" s="42">
        <f t="shared" si="2"/>
        <v>4.3967240626968418E-5</v>
      </c>
      <c r="BB52" s="42">
        <f t="shared" ref="BB52:BY52" si="120">IFERROR(BB17/$B52,0)</f>
        <v>1.3190172188090525E-4</v>
      </c>
      <c r="BC52" s="42">
        <f t="shared" si="120"/>
        <v>1.3190172188090525E-4</v>
      </c>
      <c r="BD52" s="42">
        <f t="shared" si="120"/>
        <v>1.3190172188090525E-4</v>
      </c>
      <c r="BE52" s="42">
        <f t="shared" si="120"/>
        <v>1.3190172188090525E-4</v>
      </c>
      <c r="BF52" s="42">
        <f t="shared" si="120"/>
        <v>1.3190172188090525E-4</v>
      </c>
      <c r="BG52" s="42">
        <f t="shared" si="120"/>
        <v>1.3190172188090525E-4</v>
      </c>
      <c r="BH52" s="42">
        <f t="shared" si="120"/>
        <v>1.3190172188090525E-4</v>
      </c>
      <c r="BI52" s="42">
        <f t="shared" si="120"/>
        <v>1.3190172188090525E-4</v>
      </c>
      <c r="BJ52" s="42">
        <f t="shared" si="120"/>
        <v>1.3190172188090525E-4</v>
      </c>
      <c r="BK52" s="42">
        <f t="shared" si="120"/>
        <v>1.3190172188090525E-4</v>
      </c>
      <c r="BL52" s="42">
        <f t="shared" si="120"/>
        <v>1.3190172188090525E-4</v>
      </c>
      <c r="BM52" s="42">
        <f t="shared" si="120"/>
        <v>1.3190172188090525E-4</v>
      </c>
      <c r="BN52" s="42">
        <f t="shared" si="120"/>
        <v>1.3190172188090525E-4</v>
      </c>
      <c r="BO52" s="42">
        <f t="shared" si="120"/>
        <v>1.3190172188090525E-4</v>
      </c>
      <c r="BP52" s="42">
        <f t="shared" si="120"/>
        <v>1.3190172188090525E-4</v>
      </c>
      <c r="BQ52" s="42">
        <f t="shared" si="120"/>
        <v>1.3190172188090525E-4</v>
      </c>
      <c r="BR52" s="42">
        <f t="shared" si="120"/>
        <v>1.3190172188090525E-4</v>
      </c>
      <c r="BS52" s="42">
        <f t="shared" si="120"/>
        <v>1.3190172188090525E-4</v>
      </c>
      <c r="BT52" s="42">
        <f t="shared" si="120"/>
        <v>1.3190172188090525E-4</v>
      </c>
      <c r="BU52" s="42">
        <f t="shared" si="120"/>
        <v>1.3190172188090525E-4</v>
      </c>
      <c r="BV52" s="42">
        <f t="shared" si="120"/>
        <v>1.3190172188090525E-4</v>
      </c>
      <c r="BW52" s="42">
        <f t="shared" si="120"/>
        <v>1.3190172188090525E-4</v>
      </c>
      <c r="BX52" s="42">
        <f t="shared" si="120"/>
        <v>1.3190172188090525E-4</v>
      </c>
      <c r="BY52" s="42">
        <f t="shared" si="120"/>
        <v>1.3190172188090525E-4</v>
      </c>
      <c r="BZ52" s="34">
        <f t="shared" si="8"/>
        <v>568605.16246875003</v>
      </c>
      <c r="CA52" s="34">
        <f>IFERROR(up_RadSpec!$J$17*(AC17*$B52),".")</f>
        <v>189535.05415625</v>
      </c>
      <c r="CB52" s="34">
        <f>IFERROR(up_RadSpec!$J$17*(AC17*$B52),".")</f>
        <v>189535.05415625</v>
      </c>
      <c r="CC52" s="34">
        <f>IFERROR(up_RadSpec!$J$17*(AC17*$B52),".")</f>
        <v>189535.05415625</v>
      </c>
      <c r="CD52" s="34">
        <f>IFERROR(up_RadSpec!$J$17*(AC17*$B52),".")</f>
        <v>189535.05415625</v>
      </c>
      <c r="CE52" s="34">
        <f>IFERROR(up_RadSpec!$J$17*(AC17*$B52),".")</f>
        <v>189535.05415625</v>
      </c>
      <c r="CF52" s="34">
        <f>IFERROR(up_RadSpec!$J$17*(AC17*$B52),".")</f>
        <v>189535.05415625</v>
      </c>
      <c r="CG52" s="34">
        <f>IFERROR(up_RadSpec!$J$17*(AC17*$B52),".")</f>
        <v>189535.05415625</v>
      </c>
      <c r="CH52" s="34">
        <f>IFERROR(up_RadSpec!$J$17*(AC17*$B52),".")</f>
        <v>189535.05415625</v>
      </c>
      <c r="CI52" s="34">
        <f>IFERROR(up_RadSpec!$J$17*(AC17*$B52),".")</f>
        <v>189535.05415625</v>
      </c>
      <c r="CJ52" s="34">
        <f>IFERROR(up_RadSpec!$J$17*(AC17*$B52),".")</f>
        <v>189535.05415625</v>
      </c>
      <c r="CK52" s="34">
        <f>IFERROR(up_RadSpec!$J$17*(AC17*$B52),".")</f>
        <v>189535.05415625</v>
      </c>
      <c r="CL52" s="34">
        <f>IFERROR(up_RadSpec!$J$17*(AC17*$B52),".")</f>
        <v>189535.05415625</v>
      </c>
      <c r="CM52" s="34">
        <f>IFERROR(up_RadSpec!$J$17*(AC17*$B52),".")</f>
        <v>189535.05415625</v>
      </c>
      <c r="CN52" s="34">
        <f>IFERROR(up_RadSpec!$J$17*(AC17*$B52),".")</f>
        <v>189535.05415625</v>
      </c>
      <c r="CO52" s="34">
        <f>IFERROR(up_RadSpec!$J$17*(AC17*$B52),".")</f>
        <v>189535.05415625</v>
      </c>
      <c r="CP52" s="34">
        <f>IFERROR(up_RadSpec!$J$17*(AC17*$B52),".")</f>
        <v>189535.05415625</v>
      </c>
      <c r="CQ52" s="34">
        <f>IFERROR(up_RadSpec!$J$17*(AC17*$B52),".")</f>
        <v>189535.05415625</v>
      </c>
      <c r="CR52" s="34">
        <f>IFERROR(up_RadSpec!$J$17*(AC17*$B52),".")</f>
        <v>189535.05415625</v>
      </c>
      <c r="CS52" s="34">
        <f>IFERROR(up_RadSpec!$J$17*(AC17*$B52),".")</f>
        <v>189535.05415625</v>
      </c>
      <c r="CT52" s="34">
        <f>IFERROR(up_RadSpec!$J$17*(AC17*$B52),".")</f>
        <v>189535.05415625</v>
      </c>
      <c r="CU52" s="34">
        <f>IFERROR(up_RadSpec!$J$17*(AC17*$B52),".")</f>
        <v>189535.05415625</v>
      </c>
      <c r="CV52" s="34">
        <f>IFERROR(up_RadSpec!$J$17*(AC17*$B52),".")</f>
        <v>189535.05415625</v>
      </c>
      <c r="CW52" s="34">
        <f>IFERROR(up_RadSpec!$J$17*(AC17*$B52),".")</f>
        <v>189535.05415625</v>
      </c>
      <c r="CX52" s="34">
        <f>IFERROR(up_RadSpec!$J$17*(AC17*$B52),".")</f>
        <v>189535.05415625</v>
      </c>
    </row>
    <row r="53" spans="1:102" x14ac:dyDescent="0.25">
      <c r="A53" s="55" t="s">
        <v>1076</v>
      </c>
      <c r="B53" s="3">
        <v>2.0000000000000001E-4</v>
      </c>
      <c r="C53" s="42">
        <f t="shared" si="1"/>
        <v>0.21979223589421515</v>
      </c>
      <c r="D53" s="42">
        <f t="shared" ref="D53:AA53" si="121">IFERROR(D5/$B53,0)</f>
        <v>0.65937670768264545</v>
      </c>
      <c r="E53" s="42">
        <f t="shared" si="121"/>
        <v>0.65937670768264545</v>
      </c>
      <c r="F53" s="42">
        <f t="shared" si="121"/>
        <v>0.65937670768264545</v>
      </c>
      <c r="G53" s="42">
        <f t="shared" si="121"/>
        <v>0.65937670768264545</v>
      </c>
      <c r="H53" s="42">
        <f t="shared" si="121"/>
        <v>0.65937670768264545</v>
      </c>
      <c r="I53" s="42">
        <f t="shared" si="121"/>
        <v>0.65937670768264545</v>
      </c>
      <c r="J53" s="42">
        <f t="shared" si="121"/>
        <v>0.65937670768264545</v>
      </c>
      <c r="K53" s="42">
        <f t="shared" si="121"/>
        <v>0.65937670768264545</v>
      </c>
      <c r="L53" s="42">
        <f t="shared" si="121"/>
        <v>0.65937670768264545</v>
      </c>
      <c r="M53" s="42">
        <f t="shared" si="121"/>
        <v>0.65937670768264545</v>
      </c>
      <c r="N53" s="42">
        <f t="shared" si="121"/>
        <v>0.65937670768264545</v>
      </c>
      <c r="O53" s="42">
        <f t="shared" si="121"/>
        <v>0.65937670768264545</v>
      </c>
      <c r="P53" s="42">
        <f t="shared" si="121"/>
        <v>0.65937670768264545</v>
      </c>
      <c r="Q53" s="42">
        <f t="shared" si="121"/>
        <v>0.65937670768264545</v>
      </c>
      <c r="R53" s="42">
        <f t="shared" si="121"/>
        <v>0.65937670768264545</v>
      </c>
      <c r="S53" s="42">
        <f t="shared" si="121"/>
        <v>0.65937670768264545</v>
      </c>
      <c r="T53" s="42">
        <f t="shared" si="121"/>
        <v>0.65937670768264545</v>
      </c>
      <c r="U53" s="42">
        <f t="shared" si="121"/>
        <v>0.65937670768264545</v>
      </c>
      <c r="V53" s="42">
        <f t="shared" si="121"/>
        <v>0.65937670768264545</v>
      </c>
      <c r="W53" s="42">
        <f t="shared" si="121"/>
        <v>0.65937670768264545</v>
      </c>
      <c r="X53" s="42">
        <f t="shared" si="121"/>
        <v>0.65937670768264545</v>
      </c>
      <c r="Y53" s="42">
        <f t="shared" si="121"/>
        <v>0.65937670768264545</v>
      </c>
      <c r="Z53" s="42">
        <f t="shared" si="121"/>
        <v>0.65937670768264545</v>
      </c>
      <c r="AA53" s="42">
        <f t="shared" si="121"/>
        <v>0.65937670768264545</v>
      </c>
      <c r="AB53" s="34">
        <f t="shared" si="4"/>
        <v>113.74378125000001</v>
      </c>
      <c r="AC53" s="34">
        <f>IFERROR(up_RadSpec!$J$5*(AC5*$B53),".")</f>
        <v>37.914593750000002</v>
      </c>
      <c r="AD53" s="34">
        <f>IFERROR(up_RadSpec!$J$5*(AC5*$B53),".")</f>
        <v>37.914593750000002</v>
      </c>
      <c r="AE53" s="34">
        <f>IFERROR(up_RadSpec!$J$5*(AC5*$B53),".")</f>
        <v>37.914593750000002</v>
      </c>
      <c r="AF53" s="34">
        <f>IFERROR(up_RadSpec!$J$5*(AC5*$B53),".")</f>
        <v>37.914593750000002</v>
      </c>
      <c r="AG53" s="34">
        <f>IFERROR(up_RadSpec!$J$5*(AC5*$B53),".")</f>
        <v>37.914593750000002</v>
      </c>
      <c r="AH53" s="34">
        <f>IFERROR(up_RadSpec!$J$5*(AC5*$B53),".")</f>
        <v>37.914593750000002</v>
      </c>
      <c r="AI53" s="34">
        <f>IFERROR(up_RadSpec!$J$5*(AC5*$B53),".")</f>
        <v>37.914593750000002</v>
      </c>
      <c r="AJ53" s="34">
        <f>IFERROR(up_RadSpec!$J$5*(AC5*$B53),".")</f>
        <v>37.914593750000002</v>
      </c>
      <c r="AK53" s="34">
        <f>IFERROR(up_RadSpec!$J$5*(AC5*$B53),".")</f>
        <v>37.914593750000002</v>
      </c>
      <c r="AL53" s="34">
        <f>IFERROR(up_RadSpec!$J$5*(AC5*$B53),".")</f>
        <v>37.914593750000002</v>
      </c>
      <c r="AM53" s="34">
        <f>IFERROR(up_RadSpec!$J$5*(AC5*$B53),".")</f>
        <v>37.914593750000002</v>
      </c>
      <c r="AN53" s="34">
        <f>IFERROR(up_RadSpec!$J$5*(AC5*$B53),".")</f>
        <v>37.914593750000002</v>
      </c>
      <c r="AO53" s="34">
        <f>IFERROR(up_RadSpec!$J$5*(AC5*$B53),".")</f>
        <v>37.914593750000002</v>
      </c>
      <c r="AP53" s="34">
        <f>IFERROR(up_RadSpec!$J$5*(AC5*$B53),".")</f>
        <v>37.914593750000002</v>
      </c>
      <c r="AQ53" s="34">
        <f>IFERROR(up_RadSpec!$J$5*(AC5*$B53),".")</f>
        <v>37.914593750000002</v>
      </c>
      <c r="AR53" s="34">
        <f>IFERROR(up_RadSpec!$J$5*(AC5*$B53),".")</f>
        <v>37.914593750000002</v>
      </c>
      <c r="AS53" s="34">
        <f>IFERROR(up_RadSpec!$J$5*(AC5*$B53),".")</f>
        <v>37.914593750000002</v>
      </c>
      <c r="AT53" s="34">
        <f>IFERROR(up_RadSpec!$J$5*(AC5*$B53),".")</f>
        <v>37.914593750000002</v>
      </c>
      <c r="AU53" s="34">
        <f>IFERROR(up_RadSpec!$J$5*(AC5*$B53),".")</f>
        <v>37.914593750000002</v>
      </c>
      <c r="AV53" s="34">
        <f>IFERROR(up_RadSpec!$J$5*(AC5*$B53),".")</f>
        <v>37.914593750000002</v>
      </c>
      <c r="AW53" s="34">
        <f>IFERROR(up_RadSpec!$J$5*(AC5*$B53),".")</f>
        <v>37.914593750000002</v>
      </c>
      <c r="AX53" s="34">
        <f>IFERROR(up_RadSpec!$J$5*(AC5*$B53),".")</f>
        <v>37.914593750000002</v>
      </c>
      <c r="AY53" s="34">
        <f>IFERROR(up_RadSpec!$J$5*(AC5*$B53),".")</f>
        <v>37.914593750000002</v>
      </c>
      <c r="AZ53" s="34">
        <f>IFERROR(up_RadSpec!$J$5*(AC5*$B53),".")</f>
        <v>37.914593750000002</v>
      </c>
      <c r="BA53" s="42">
        <f t="shared" si="2"/>
        <v>0.21979223589421515</v>
      </c>
      <c r="BB53" s="42">
        <f t="shared" ref="BB53:BY53" si="122">IFERROR(BB5/$B53,0)</f>
        <v>0.65937670768264545</v>
      </c>
      <c r="BC53" s="42">
        <f t="shared" si="122"/>
        <v>0.65937670768264545</v>
      </c>
      <c r="BD53" s="42">
        <f t="shared" si="122"/>
        <v>0.65937670768264545</v>
      </c>
      <c r="BE53" s="42">
        <f t="shared" si="122"/>
        <v>0.65937670768264545</v>
      </c>
      <c r="BF53" s="42">
        <f t="shared" si="122"/>
        <v>0.65937670768264545</v>
      </c>
      <c r="BG53" s="42">
        <f t="shared" si="122"/>
        <v>0.65937670768264545</v>
      </c>
      <c r="BH53" s="42">
        <f t="shared" si="122"/>
        <v>0.65937670768264545</v>
      </c>
      <c r="BI53" s="42">
        <f t="shared" si="122"/>
        <v>0.65937670768264545</v>
      </c>
      <c r="BJ53" s="42">
        <f t="shared" si="122"/>
        <v>0.65937670768264545</v>
      </c>
      <c r="BK53" s="42">
        <f t="shared" si="122"/>
        <v>0.65937670768264545</v>
      </c>
      <c r="BL53" s="42">
        <f t="shared" si="122"/>
        <v>0.65937670768264545</v>
      </c>
      <c r="BM53" s="42">
        <f t="shared" si="122"/>
        <v>0.65937670768264545</v>
      </c>
      <c r="BN53" s="42">
        <f t="shared" si="122"/>
        <v>0.65937670768264545</v>
      </c>
      <c r="BO53" s="42">
        <f t="shared" si="122"/>
        <v>0.65937670768264545</v>
      </c>
      <c r="BP53" s="42">
        <f t="shared" si="122"/>
        <v>0.65937670768264545</v>
      </c>
      <c r="BQ53" s="42">
        <f t="shared" si="122"/>
        <v>0.65937670768264545</v>
      </c>
      <c r="BR53" s="42">
        <f t="shared" si="122"/>
        <v>0.65937670768264545</v>
      </c>
      <c r="BS53" s="42">
        <f t="shared" si="122"/>
        <v>0.65937670768264545</v>
      </c>
      <c r="BT53" s="42">
        <f t="shared" si="122"/>
        <v>0.65937670768264545</v>
      </c>
      <c r="BU53" s="42">
        <f t="shared" si="122"/>
        <v>0.65937670768264545</v>
      </c>
      <c r="BV53" s="42">
        <f t="shared" si="122"/>
        <v>0.65937670768264545</v>
      </c>
      <c r="BW53" s="42">
        <f t="shared" si="122"/>
        <v>0.65937670768264545</v>
      </c>
      <c r="BX53" s="42">
        <f t="shared" si="122"/>
        <v>0.65937670768264545</v>
      </c>
      <c r="BY53" s="42">
        <f t="shared" si="122"/>
        <v>0.65937670768264545</v>
      </c>
      <c r="BZ53" s="34">
        <f t="shared" si="8"/>
        <v>113.74378125000001</v>
      </c>
      <c r="CA53" s="34">
        <f>IFERROR(up_RadSpec!$J$5*(AC5*$B53),".")</f>
        <v>37.914593750000002</v>
      </c>
      <c r="CB53" s="34">
        <f>IFERROR(up_RadSpec!$J$5*(AC5*$B53),".")</f>
        <v>37.914593750000002</v>
      </c>
      <c r="CC53" s="34">
        <f>IFERROR(up_RadSpec!$J$5*(AC5*$B53),".")</f>
        <v>37.914593750000002</v>
      </c>
      <c r="CD53" s="34">
        <f>IFERROR(up_RadSpec!$J$5*(AC5*$B53),".")</f>
        <v>37.914593750000002</v>
      </c>
      <c r="CE53" s="34">
        <f>IFERROR(up_RadSpec!$J$5*(AC5*$B53),".")</f>
        <v>37.914593750000002</v>
      </c>
      <c r="CF53" s="34">
        <f>IFERROR(up_RadSpec!$J$5*(AC5*$B53),".")</f>
        <v>37.914593750000002</v>
      </c>
      <c r="CG53" s="34">
        <f>IFERROR(up_RadSpec!$J$5*(AC5*$B53),".")</f>
        <v>37.914593750000002</v>
      </c>
      <c r="CH53" s="34">
        <f>IFERROR(up_RadSpec!$J$5*(AC5*$B53),".")</f>
        <v>37.914593750000002</v>
      </c>
      <c r="CI53" s="34">
        <f>IFERROR(up_RadSpec!$J$5*(AC5*$B53),".")</f>
        <v>37.914593750000002</v>
      </c>
      <c r="CJ53" s="34">
        <f>IFERROR(up_RadSpec!$J$5*(AC5*$B53),".")</f>
        <v>37.914593750000002</v>
      </c>
      <c r="CK53" s="34">
        <f>IFERROR(up_RadSpec!$J$5*(AC5*$B53),".")</f>
        <v>37.914593750000002</v>
      </c>
      <c r="CL53" s="34">
        <f>IFERROR(up_RadSpec!$J$5*(AC5*$B53),".")</f>
        <v>37.914593750000002</v>
      </c>
      <c r="CM53" s="34">
        <f>IFERROR(up_RadSpec!$J$5*(AC5*$B53),".")</f>
        <v>37.914593750000002</v>
      </c>
      <c r="CN53" s="34">
        <f>IFERROR(up_RadSpec!$J$5*(AC5*$B53),".")</f>
        <v>37.914593750000002</v>
      </c>
      <c r="CO53" s="34">
        <f>IFERROR(up_RadSpec!$J$5*(AC5*$B53),".")</f>
        <v>37.914593750000002</v>
      </c>
      <c r="CP53" s="34">
        <f>IFERROR(up_RadSpec!$J$5*(AC5*$B53),".")</f>
        <v>37.914593750000002</v>
      </c>
      <c r="CQ53" s="34">
        <f>IFERROR(up_RadSpec!$J$5*(AC5*$B53),".")</f>
        <v>37.914593750000002</v>
      </c>
      <c r="CR53" s="34">
        <f>IFERROR(up_RadSpec!$J$5*(AC5*$B53),".")</f>
        <v>37.914593750000002</v>
      </c>
      <c r="CS53" s="34">
        <f>IFERROR(up_RadSpec!$J$5*(AC5*$B53),".")</f>
        <v>37.914593750000002</v>
      </c>
      <c r="CT53" s="34">
        <f>IFERROR(up_RadSpec!$J$5*(AC5*$B53),".")</f>
        <v>37.914593750000002</v>
      </c>
      <c r="CU53" s="34">
        <f>IFERROR(up_RadSpec!$J$5*(AC5*$B53),".")</f>
        <v>37.914593750000002</v>
      </c>
      <c r="CV53" s="34">
        <f>IFERROR(up_RadSpec!$J$5*(AC5*$B53),".")</f>
        <v>37.914593750000002</v>
      </c>
      <c r="CW53" s="34">
        <f>IFERROR(up_RadSpec!$J$5*(AC5*$B53),".")</f>
        <v>37.914593750000002</v>
      </c>
      <c r="CX53" s="34">
        <f>IFERROR(up_RadSpec!$J$5*(AC5*$B53),".")</f>
        <v>37.914593750000002</v>
      </c>
    </row>
    <row r="54" spans="1:102" x14ac:dyDescent="0.25">
      <c r="A54" s="55" t="s">
        <v>1077</v>
      </c>
      <c r="B54" s="3">
        <v>0.99999979999999999</v>
      </c>
      <c r="C54" s="42">
        <f t="shared" si="1"/>
        <v>4.3958455970534227E-5</v>
      </c>
      <c r="D54" s="42">
        <f t="shared" ref="D54:AA54" si="123">IFERROR(D9/$B54,0)</f>
        <v>1.3187536791160268E-4</v>
      </c>
      <c r="E54" s="42">
        <f t="shared" si="123"/>
        <v>1.3187536791160268E-4</v>
      </c>
      <c r="F54" s="42">
        <f t="shared" si="123"/>
        <v>1.3187536791160268E-4</v>
      </c>
      <c r="G54" s="42">
        <f t="shared" si="123"/>
        <v>1.3187536791160268E-4</v>
      </c>
      <c r="H54" s="42">
        <f t="shared" si="123"/>
        <v>1.3187536791160268E-4</v>
      </c>
      <c r="I54" s="42">
        <f t="shared" si="123"/>
        <v>1.3187536791160268E-4</v>
      </c>
      <c r="J54" s="42">
        <f t="shared" si="123"/>
        <v>1.3187536791160268E-4</v>
      </c>
      <c r="K54" s="42">
        <f t="shared" si="123"/>
        <v>1.3187536791160268E-4</v>
      </c>
      <c r="L54" s="42">
        <f t="shared" si="123"/>
        <v>1.3187536791160268E-4</v>
      </c>
      <c r="M54" s="42">
        <f t="shared" si="123"/>
        <v>1.3187536791160268E-4</v>
      </c>
      <c r="N54" s="42">
        <f t="shared" si="123"/>
        <v>1.3187536791160268E-4</v>
      </c>
      <c r="O54" s="42">
        <f t="shared" si="123"/>
        <v>1.3187536791160268E-4</v>
      </c>
      <c r="P54" s="42">
        <f t="shared" si="123"/>
        <v>1.3187536791160268E-4</v>
      </c>
      <c r="Q54" s="42">
        <f t="shared" si="123"/>
        <v>1.3187536791160268E-4</v>
      </c>
      <c r="R54" s="42">
        <f t="shared" si="123"/>
        <v>1.3187536791160268E-4</v>
      </c>
      <c r="S54" s="42">
        <f t="shared" si="123"/>
        <v>1.3187536791160268E-4</v>
      </c>
      <c r="T54" s="42">
        <f t="shared" si="123"/>
        <v>1.3187536791160268E-4</v>
      </c>
      <c r="U54" s="42">
        <f t="shared" si="123"/>
        <v>1.3187536791160268E-4</v>
      </c>
      <c r="V54" s="42">
        <f t="shared" si="123"/>
        <v>1.3187536791160268E-4</v>
      </c>
      <c r="W54" s="42">
        <f t="shared" si="123"/>
        <v>1.3187536791160268E-4</v>
      </c>
      <c r="X54" s="42">
        <f t="shared" si="123"/>
        <v>1.3187536791160268E-4</v>
      </c>
      <c r="Y54" s="42">
        <f t="shared" si="123"/>
        <v>1.3187536791160268E-4</v>
      </c>
      <c r="Z54" s="42">
        <f t="shared" si="123"/>
        <v>1.3187536791160268E-4</v>
      </c>
      <c r="AA54" s="42">
        <f t="shared" si="123"/>
        <v>1.3187536791160268E-4</v>
      </c>
      <c r="AB54" s="34">
        <f t="shared" si="4"/>
        <v>568718.79250621877</v>
      </c>
      <c r="AC54" s="34">
        <f>IFERROR(up_RadSpec!$J$9*(AC9*$B54),".")</f>
        <v>189572.93083540627</v>
      </c>
      <c r="AD54" s="34">
        <f>IFERROR(up_RadSpec!$J$9*(AC9*$B54),".")</f>
        <v>189572.93083540627</v>
      </c>
      <c r="AE54" s="34">
        <f>IFERROR(up_RadSpec!$J$9*(AC9*$B54),".")</f>
        <v>189572.93083540627</v>
      </c>
      <c r="AF54" s="34">
        <f>IFERROR(up_RadSpec!$J$9*(AC9*$B54),".")</f>
        <v>189572.93083540627</v>
      </c>
      <c r="AG54" s="34">
        <f>IFERROR(up_RadSpec!$J$9*(AC9*$B54),".")</f>
        <v>189572.93083540627</v>
      </c>
      <c r="AH54" s="34">
        <f>IFERROR(up_RadSpec!$J$9*(AC9*$B54),".")</f>
        <v>189572.93083540627</v>
      </c>
      <c r="AI54" s="34">
        <f>IFERROR(up_RadSpec!$J$9*(AC9*$B54),".")</f>
        <v>189572.93083540627</v>
      </c>
      <c r="AJ54" s="34">
        <f>IFERROR(up_RadSpec!$J$9*(AC9*$B54),".")</f>
        <v>189572.93083540627</v>
      </c>
      <c r="AK54" s="34">
        <f>IFERROR(up_RadSpec!$J$9*(AC9*$B54),".")</f>
        <v>189572.93083540627</v>
      </c>
      <c r="AL54" s="34">
        <f>IFERROR(up_RadSpec!$J$9*(AC9*$B54),".")</f>
        <v>189572.93083540627</v>
      </c>
      <c r="AM54" s="34">
        <f>IFERROR(up_RadSpec!$J$9*(AC9*$B54),".")</f>
        <v>189572.93083540627</v>
      </c>
      <c r="AN54" s="34">
        <f>IFERROR(up_RadSpec!$J$9*(AC9*$B54),".")</f>
        <v>189572.93083540627</v>
      </c>
      <c r="AO54" s="34">
        <f>IFERROR(up_RadSpec!$J$9*(AC9*$B54),".")</f>
        <v>189572.93083540627</v>
      </c>
      <c r="AP54" s="34">
        <f>IFERROR(up_RadSpec!$J$9*(AC9*$B54),".")</f>
        <v>189572.93083540627</v>
      </c>
      <c r="AQ54" s="34">
        <f>IFERROR(up_RadSpec!$J$9*(AC9*$B54),".")</f>
        <v>189572.93083540627</v>
      </c>
      <c r="AR54" s="34">
        <f>IFERROR(up_RadSpec!$J$9*(AC9*$B54),".")</f>
        <v>189572.93083540627</v>
      </c>
      <c r="AS54" s="34">
        <f>IFERROR(up_RadSpec!$J$9*(AC9*$B54),".")</f>
        <v>189572.93083540627</v>
      </c>
      <c r="AT54" s="34">
        <f>IFERROR(up_RadSpec!$J$9*(AC9*$B54),".")</f>
        <v>189572.93083540627</v>
      </c>
      <c r="AU54" s="34">
        <f>IFERROR(up_RadSpec!$J$9*(AC9*$B54),".")</f>
        <v>189572.93083540627</v>
      </c>
      <c r="AV54" s="34">
        <f>IFERROR(up_RadSpec!$J$9*(AC9*$B54),".")</f>
        <v>189572.93083540627</v>
      </c>
      <c r="AW54" s="34">
        <f>IFERROR(up_RadSpec!$J$9*(AC9*$B54),".")</f>
        <v>189572.93083540627</v>
      </c>
      <c r="AX54" s="34">
        <f>IFERROR(up_RadSpec!$J$9*(AC9*$B54),".")</f>
        <v>189572.93083540627</v>
      </c>
      <c r="AY54" s="34">
        <f>IFERROR(up_RadSpec!$J$9*(AC9*$B54),".")</f>
        <v>189572.93083540627</v>
      </c>
      <c r="AZ54" s="34">
        <f>IFERROR(up_RadSpec!$J$9*(AC9*$B54),".")</f>
        <v>189572.93083540627</v>
      </c>
      <c r="BA54" s="42">
        <f t="shared" si="2"/>
        <v>4.3958455970534227E-5</v>
      </c>
      <c r="BB54" s="42">
        <f t="shared" ref="BB54:BY54" si="124">IFERROR(BB9/$B54,0)</f>
        <v>1.3187536791160268E-4</v>
      </c>
      <c r="BC54" s="42">
        <f t="shared" si="124"/>
        <v>1.3187536791160268E-4</v>
      </c>
      <c r="BD54" s="42">
        <f t="shared" si="124"/>
        <v>1.3187536791160268E-4</v>
      </c>
      <c r="BE54" s="42">
        <f t="shared" si="124"/>
        <v>1.3187536791160268E-4</v>
      </c>
      <c r="BF54" s="42">
        <f t="shared" si="124"/>
        <v>1.3187536791160268E-4</v>
      </c>
      <c r="BG54" s="42">
        <f t="shared" si="124"/>
        <v>1.3187536791160268E-4</v>
      </c>
      <c r="BH54" s="42">
        <f t="shared" si="124"/>
        <v>1.3187536791160268E-4</v>
      </c>
      <c r="BI54" s="42">
        <f t="shared" si="124"/>
        <v>1.3187536791160268E-4</v>
      </c>
      <c r="BJ54" s="42">
        <f t="shared" si="124"/>
        <v>1.3187536791160268E-4</v>
      </c>
      <c r="BK54" s="42">
        <f t="shared" si="124"/>
        <v>1.3187536791160268E-4</v>
      </c>
      <c r="BL54" s="42">
        <f t="shared" si="124"/>
        <v>1.3187536791160268E-4</v>
      </c>
      <c r="BM54" s="42">
        <f t="shared" si="124"/>
        <v>1.3187536791160268E-4</v>
      </c>
      <c r="BN54" s="42">
        <f t="shared" si="124"/>
        <v>1.3187536791160268E-4</v>
      </c>
      <c r="BO54" s="42">
        <f t="shared" si="124"/>
        <v>1.3187536791160268E-4</v>
      </c>
      <c r="BP54" s="42">
        <f t="shared" si="124"/>
        <v>1.3187536791160268E-4</v>
      </c>
      <c r="BQ54" s="42">
        <f t="shared" si="124"/>
        <v>1.3187536791160268E-4</v>
      </c>
      <c r="BR54" s="42">
        <f t="shared" si="124"/>
        <v>1.3187536791160268E-4</v>
      </c>
      <c r="BS54" s="42">
        <f t="shared" si="124"/>
        <v>1.3187536791160268E-4</v>
      </c>
      <c r="BT54" s="42">
        <f t="shared" si="124"/>
        <v>1.3187536791160268E-4</v>
      </c>
      <c r="BU54" s="42">
        <f t="shared" si="124"/>
        <v>1.3187536791160268E-4</v>
      </c>
      <c r="BV54" s="42">
        <f t="shared" si="124"/>
        <v>1.3187536791160268E-4</v>
      </c>
      <c r="BW54" s="42">
        <f t="shared" si="124"/>
        <v>1.3187536791160268E-4</v>
      </c>
      <c r="BX54" s="42">
        <f t="shared" si="124"/>
        <v>1.3187536791160268E-4</v>
      </c>
      <c r="BY54" s="42">
        <f t="shared" si="124"/>
        <v>1.3187536791160268E-4</v>
      </c>
      <c r="BZ54" s="34">
        <f t="shared" si="8"/>
        <v>568718.79250621877</v>
      </c>
      <c r="CA54" s="34">
        <f>IFERROR(up_RadSpec!$J$9*(AC9*$B54),".")</f>
        <v>189572.93083540627</v>
      </c>
      <c r="CB54" s="34">
        <f>IFERROR(up_RadSpec!$J$9*(AC9*$B54),".")</f>
        <v>189572.93083540627</v>
      </c>
      <c r="CC54" s="34">
        <f>IFERROR(up_RadSpec!$J$9*(AC9*$B54),".")</f>
        <v>189572.93083540627</v>
      </c>
      <c r="CD54" s="34">
        <f>IFERROR(up_RadSpec!$J$9*(AC9*$B54),".")</f>
        <v>189572.93083540627</v>
      </c>
      <c r="CE54" s="34">
        <f>IFERROR(up_RadSpec!$J$9*(AC9*$B54),".")</f>
        <v>189572.93083540627</v>
      </c>
      <c r="CF54" s="34">
        <f>IFERROR(up_RadSpec!$J$9*(AC9*$B54),".")</f>
        <v>189572.93083540627</v>
      </c>
      <c r="CG54" s="34">
        <f>IFERROR(up_RadSpec!$J$9*(AC9*$B54),".")</f>
        <v>189572.93083540627</v>
      </c>
      <c r="CH54" s="34">
        <f>IFERROR(up_RadSpec!$J$9*(AC9*$B54),".")</f>
        <v>189572.93083540627</v>
      </c>
      <c r="CI54" s="34">
        <f>IFERROR(up_RadSpec!$J$9*(AC9*$B54),".")</f>
        <v>189572.93083540627</v>
      </c>
      <c r="CJ54" s="34">
        <f>IFERROR(up_RadSpec!$J$9*(AC9*$B54),".")</f>
        <v>189572.93083540627</v>
      </c>
      <c r="CK54" s="34">
        <f>IFERROR(up_RadSpec!$J$9*(AC9*$B54),".")</f>
        <v>189572.93083540627</v>
      </c>
      <c r="CL54" s="34">
        <f>IFERROR(up_RadSpec!$J$9*(AC9*$B54),".")</f>
        <v>189572.93083540627</v>
      </c>
      <c r="CM54" s="34">
        <f>IFERROR(up_RadSpec!$J$9*(AC9*$B54),".")</f>
        <v>189572.93083540627</v>
      </c>
      <c r="CN54" s="34">
        <f>IFERROR(up_RadSpec!$J$9*(AC9*$B54),".")</f>
        <v>189572.93083540627</v>
      </c>
      <c r="CO54" s="34">
        <f>IFERROR(up_RadSpec!$J$9*(AC9*$B54),".")</f>
        <v>189572.93083540627</v>
      </c>
      <c r="CP54" s="34">
        <f>IFERROR(up_RadSpec!$J$9*(AC9*$B54),".")</f>
        <v>189572.93083540627</v>
      </c>
      <c r="CQ54" s="34">
        <f>IFERROR(up_RadSpec!$J$9*(AC9*$B54),".")</f>
        <v>189572.93083540627</v>
      </c>
      <c r="CR54" s="34">
        <f>IFERROR(up_RadSpec!$J$9*(AC9*$B54),".")</f>
        <v>189572.93083540627</v>
      </c>
      <c r="CS54" s="34">
        <f>IFERROR(up_RadSpec!$J$9*(AC9*$B54),".")</f>
        <v>189572.93083540627</v>
      </c>
      <c r="CT54" s="34">
        <f>IFERROR(up_RadSpec!$J$9*(AC9*$B54),".")</f>
        <v>189572.93083540627</v>
      </c>
      <c r="CU54" s="34">
        <f>IFERROR(up_RadSpec!$J$9*(AC9*$B54),".")</f>
        <v>189572.93083540627</v>
      </c>
      <c r="CV54" s="34">
        <f>IFERROR(up_RadSpec!$J$9*(AC9*$B54),".")</f>
        <v>189572.93083540627</v>
      </c>
      <c r="CW54" s="34">
        <f>IFERROR(up_RadSpec!$J$9*(AC9*$B54),".")</f>
        <v>189572.93083540627</v>
      </c>
      <c r="CX54" s="34">
        <f>IFERROR(up_RadSpec!$J$9*(AC9*$B54),".")</f>
        <v>189572.93083540627</v>
      </c>
    </row>
    <row r="55" spans="1:102" x14ac:dyDescent="0.25">
      <c r="A55" s="55" t="s">
        <v>1078</v>
      </c>
      <c r="B55" s="3">
        <v>1.9999999999999999E-7</v>
      </c>
      <c r="C55" s="42">
        <f t="shared" si="1"/>
        <v>219.79223589421517</v>
      </c>
      <c r="D55" s="42">
        <f t="shared" ref="D55:AA55" si="125">IFERROR(D24/$B55,0)</f>
        <v>659.37670768264547</v>
      </c>
      <c r="E55" s="42">
        <f t="shared" si="125"/>
        <v>659.37670768264547</v>
      </c>
      <c r="F55" s="42">
        <f t="shared" si="125"/>
        <v>659.37670768264547</v>
      </c>
      <c r="G55" s="42">
        <f t="shared" si="125"/>
        <v>659.37670768264547</v>
      </c>
      <c r="H55" s="42">
        <f t="shared" si="125"/>
        <v>659.37670768264547</v>
      </c>
      <c r="I55" s="42">
        <f t="shared" si="125"/>
        <v>659.37670768264547</v>
      </c>
      <c r="J55" s="42">
        <f t="shared" si="125"/>
        <v>659.37670768264547</v>
      </c>
      <c r="K55" s="42">
        <f t="shared" si="125"/>
        <v>659.37670768264547</v>
      </c>
      <c r="L55" s="42">
        <f t="shared" si="125"/>
        <v>659.37670768264547</v>
      </c>
      <c r="M55" s="42">
        <f t="shared" si="125"/>
        <v>659.37670768264547</v>
      </c>
      <c r="N55" s="42">
        <f t="shared" si="125"/>
        <v>659.37670768264547</v>
      </c>
      <c r="O55" s="42">
        <f t="shared" si="125"/>
        <v>659.37670768264547</v>
      </c>
      <c r="P55" s="42">
        <f t="shared" si="125"/>
        <v>659.37670768264547</v>
      </c>
      <c r="Q55" s="42">
        <f t="shared" si="125"/>
        <v>659.37670768264547</v>
      </c>
      <c r="R55" s="42">
        <f t="shared" si="125"/>
        <v>659.37670768264547</v>
      </c>
      <c r="S55" s="42">
        <f t="shared" si="125"/>
        <v>659.37670768264547</v>
      </c>
      <c r="T55" s="42">
        <f t="shared" si="125"/>
        <v>659.37670768264547</v>
      </c>
      <c r="U55" s="42">
        <f t="shared" si="125"/>
        <v>659.37670768264547</v>
      </c>
      <c r="V55" s="42">
        <f t="shared" si="125"/>
        <v>659.37670768264547</v>
      </c>
      <c r="W55" s="42">
        <f t="shared" si="125"/>
        <v>659.37670768264547</v>
      </c>
      <c r="X55" s="42">
        <f t="shared" si="125"/>
        <v>659.37670768264547</v>
      </c>
      <c r="Y55" s="42">
        <f t="shared" si="125"/>
        <v>659.37670768264547</v>
      </c>
      <c r="Z55" s="42">
        <f t="shared" si="125"/>
        <v>659.37670768264547</v>
      </c>
      <c r="AA55" s="42">
        <f t="shared" si="125"/>
        <v>659.37670768264547</v>
      </c>
      <c r="AB55" s="34">
        <f t="shared" si="4"/>
        <v>0.11374378124999998</v>
      </c>
      <c r="AC55" s="34">
        <f>IFERROR(up_RadSpec!$J$24*(AC24*$B55),".")</f>
        <v>3.7914593749999996E-2</v>
      </c>
      <c r="AD55" s="34">
        <f>IFERROR(up_RadSpec!$J$24*(AC24*$B55),".")</f>
        <v>3.7914593749999996E-2</v>
      </c>
      <c r="AE55" s="34">
        <f>IFERROR(up_RadSpec!$J$24*(AC24*$B55),".")</f>
        <v>3.7914593749999996E-2</v>
      </c>
      <c r="AF55" s="34">
        <f>IFERROR(up_RadSpec!$J$24*(AC24*$B55),".")</f>
        <v>3.7914593749999996E-2</v>
      </c>
      <c r="AG55" s="34">
        <f>IFERROR(up_RadSpec!$J$24*(AC24*$B55),".")</f>
        <v>3.7914593749999996E-2</v>
      </c>
      <c r="AH55" s="34">
        <f>IFERROR(up_RadSpec!$J$24*(AC24*$B55),".")</f>
        <v>3.7914593749999996E-2</v>
      </c>
      <c r="AI55" s="34">
        <f>IFERROR(up_RadSpec!$J$24*(AC24*$B55),".")</f>
        <v>3.7914593749999996E-2</v>
      </c>
      <c r="AJ55" s="34">
        <f>IFERROR(up_RadSpec!$J$24*(AC24*$B55),".")</f>
        <v>3.7914593749999996E-2</v>
      </c>
      <c r="AK55" s="34">
        <f>IFERROR(up_RadSpec!$J$24*(AC24*$B55),".")</f>
        <v>3.7914593749999996E-2</v>
      </c>
      <c r="AL55" s="34">
        <f>IFERROR(up_RadSpec!$J$24*(AC24*$B55),".")</f>
        <v>3.7914593749999996E-2</v>
      </c>
      <c r="AM55" s="34">
        <f>IFERROR(up_RadSpec!$J$24*(AC24*$B55),".")</f>
        <v>3.7914593749999996E-2</v>
      </c>
      <c r="AN55" s="34">
        <f>IFERROR(up_RadSpec!$J$24*(AC24*$B55),".")</f>
        <v>3.7914593749999996E-2</v>
      </c>
      <c r="AO55" s="34">
        <f>IFERROR(up_RadSpec!$J$24*(AC24*$B55),".")</f>
        <v>3.7914593749999996E-2</v>
      </c>
      <c r="AP55" s="34">
        <f>IFERROR(up_RadSpec!$J$24*(AC24*$B55),".")</f>
        <v>3.7914593749999996E-2</v>
      </c>
      <c r="AQ55" s="34">
        <f>IFERROR(up_RadSpec!$J$24*(AC24*$B55),".")</f>
        <v>3.7914593749999996E-2</v>
      </c>
      <c r="AR55" s="34">
        <f>IFERROR(up_RadSpec!$J$24*(AC24*$B55),".")</f>
        <v>3.7914593749999996E-2</v>
      </c>
      <c r="AS55" s="34">
        <f>IFERROR(up_RadSpec!$J$24*(AC24*$B55),".")</f>
        <v>3.7914593749999996E-2</v>
      </c>
      <c r="AT55" s="34">
        <f>IFERROR(up_RadSpec!$J$24*(AC24*$B55),".")</f>
        <v>3.7914593749999996E-2</v>
      </c>
      <c r="AU55" s="34">
        <f>IFERROR(up_RadSpec!$J$24*(AC24*$B55),".")</f>
        <v>3.7914593749999996E-2</v>
      </c>
      <c r="AV55" s="34">
        <f>IFERROR(up_RadSpec!$J$24*(AC24*$B55),".")</f>
        <v>3.7914593749999996E-2</v>
      </c>
      <c r="AW55" s="34">
        <f>IFERROR(up_RadSpec!$J$24*(AC24*$B55),".")</f>
        <v>3.7914593749999996E-2</v>
      </c>
      <c r="AX55" s="34">
        <f>IFERROR(up_RadSpec!$J$24*(AC24*$B55),".")</f>
        <v>3.7914593749999996E-2</v>
      </c>
      <c r="AY55" s="34">
        <f>IFERROR(up_RadSpec!$J$24*(AC24*$B55),".")</f>
        <v>3.7914593749999996E-2</v>
      </c>
      <c r="AZ55" s="34">
        <f>IFERROR(up_RadSpec!$J$24*(AC24*$B55),".")</f>
        <v>3.7914593749999996E-2</v>
      </c>
      <c r="BA55" s="42">
        <f t="shared" si="2"/>
        <v>219.79223589421517</v>
      </c>
      <c r="BB55" s="42">
        <f t="shared" ref="BB55:BY55" si="126">IFERROR(BB24/$B55,0)</f>
        <v>659.37670768264547</v>
      </c>
      <c r="BC55" s="42">
        <f t="shared" si="126"/>
        <v>659.37670768264547</v>
      </c>
      <c r="BD55" s="42">
        <f t="shared" si="126"/>
        <v>659.37670768264547</v>
      </c>
      <c r="BE55" s="42">
        <f t="shared" si="126"/>
        <v>659.37670768264547</v>
      </c>
      <c r="BF55" s="42">
        <f t="shared" si="126"/>
        <v>659.37670768264547</v>
      </c>
      <c r="BG55" s="42">
        <f t="shared" si="126"/>
        <v>659.37670768264547</v>
      </c>
      <c r="BH55" s="42">
        <f t="shared" si="126"/>
        <v>659.37670768264547</v>
      </c>
      <c r="BI55" s="42">
        <f t="shared" si="126"/>
        <v>659.37670768264547</v>
      </c>
      <c r="BJ55" s="42">
        <f t="shared" si="126"/>
        <v>659.37670768264547</v>
      </c>
      <c r="BK55" s="42">
        <f t="shared" si="126"/>
        <v>659.37670768264547</v>
      </c>
      <c r="BL55" s="42">
        <f t="shared" si="126"/>
        <v>659.37670768264547</v>
      </c>
      <c r="BM55" s="42">
        <f t="shared" si="126"/>
        <v>659.37670768264547</v>
      </c>
      <c r="BN55" s="42">
        <f t="shared" si="126"/>
        <v>659.37670768264547</v>
      </c>
      <c r="BO55" s="42">
        <f t="shared" si="126"/>
        <v>659.37670768264547</v>
      </c>
      <c r="BP55" s="42">
        <f t="shared" si="126"/>
        <v>659.37670768264547</v>
      </c>
      <c r="BQ55" s="42">
        <f t="shared" si="126"/>
        <v>659.37670768264547</v>
      </c>
      <c r="BR55" s="42">
        <f t="shared" si="126"/>
        <v>659.37670768264547</v>
      </c>
      <c r="BS55" s="42">
        <f t="shared" si="126"/>
        <v>659.37670768264547</v>
      </c>
      <c r="BT55" s="42">
        <f t="shared" si="126"/>
        <v>659.37670768264547</v>
      </c>
      <c r="BU55" s="42">
        <f t="shared" si="126"/>
        <v>659.37670768264547</v>
      </c>
      <c r="BV55" s="42">
        <f t="shared" si="126"/>
        <v>659.37670768264547</v>
      </c>
      <c r="BW55" s="42">
        <f t="shared" si="126"/>
        <v>659.37670768264547</v>
      </c>
      <c r="BX55" s="42">
        <f t="shared" si="126"/>
        <v>659.37670768264547</v>
      </c>
      <c r="BY55" s="42">
        <f t="shared" si="126"/>
        <v>659.37670768264547</v>
      </c>
      <c r="BZ55" s="34">
        <f t="shared" si="8"/>
        <v>0.11374378124999998</v>
      </c>
      <c r="CA55" s="34">
        <f>IFERROR(up_RadSpec!$J$24*(AC24*$B55),".")</f>
        <v>3.7914593749999996E-2</v>
      </c>
      <c r="CB55" s="34">
        <f>IFERROR(up_RadSpec!$J$24*(AC24*$B55),".")</f>
        <v>3.7914593749999996E-2</v>
      </c>
      <c r="CC55" s="34">
        <f>IFERROR(up_RadSpec!$J$24*(AC24*$B55),".")</f>
        <v>3.7914593749999996E-2</v>
      </c>
      <c r="CD55" s="34">
        <f>IFERROR(up_RadSpec!$J$24*(AC24*$B55),".")</f>
        <v>3.7914593749999996E-2</v>
      </c>
      <c r="CE55" s="34">
        <f>IFERROR(up_RadSpec!$J$24*(AC24*$B55),".")</f>
        <v>3.7914593749999996E-2</v>
      </c>
      <c r="CF55" s="34">
        <f>IFERROR(up_RadSpec!$J$24*(AC24*$B55),".")</f>
        <v>3.7914593749999996E-2</v>
      </c>
      <c r="CG55" s="34">
        <f>IFERROR(up_RadSpec!$J$24*(AC24*$B55),".")</f>
        <v>3.7914593749999996E-2</v>
      </c>
      <c r="CH55" s="34">
        <f>IFERROR(up_RadSpec!$J$24*(AC24*$B55),".")</f>
        <v>3.7914593749999996E-2</v>
      </c>
      <c r="CI55" s="34">
        <f>IFERROR(up_RadSpec!$J$24*(AC24*$B55),".")</f>
        <v>3.7914593749999996E-2</v>
      </c>
      <c r="CJ55" s="34">
        <f>IFERROR(up_RadSpec!$J$24*(AC24*$B55),".")</f>
        <v>3.7914593749999996E-2</v>
      </c>
      <c r="CK55" s="34">
        <f>IFERROR(up_RadSpec!$J$24*(AC24*$B55),".")</f>
        <v>3.7914593749999996E-2</v>
      </c>
      <c r="CL55" s="34">
        <f>IFERROR(up_RadSpec!$J$24*(AC24*$B55),".")</f>
        <v>3.7914593749999996E-2</v>
      </c>
      <c r="CM55" s="34">
        <f>IFERROR(up_RadSpec!$J$24*(AC24*$B55),".")</f>
        <v>3.7914593749999996E-2</v>
      </c>
      <c r="CN55" s="34">
        <f>IFERROR(up_RadSpec!$J$24*(AC24*$B55),".")</f>
        <v>3.7914593749999996E-2</v>
      </c>
      <c r="CO55" s="34">
        <f>IFERROR(up_RadSpec!$J$24*(AC24*$B55),".")</f>
        <v>3.7914593749999996E-2</v>
      </c>
      <c r="CP55" s="34">
        <f>IFERROR(up_RadSpec!$J$24*(AC24*$B55),".")</f>
        <v>3.7914593749999996E-2</v>
      </c>
      <c r="CQ55" s="34">
        <f>IFERROR(up_RadSpec!$J$24*(AC24*$B55),".")</f>
        <v>3.7914593749999996E-2</v>
      </c>
      <c r="CR55" s="34">
        <f>IFERROR(up_RadSpec!$J$24*(AC24*$B55),".")</f>
        <v>3.7914593749999996E-2</v>
      </c>
      <c r="CS55" s="34">
        <f>IFERROR(up_RadSpec!$J$24*(AC24*$B55),".")</f>
        <v>3.7914593749999996E-2</v>
      </c>
      <c r="CT55" s="34">
        <f>IFERROR(up_RadSpec!$J$24*(AC24*$B55),".")</f>
        <v>3.7914593749999996E-2</v>
      </c>
      <c r="CU55" s="34">
        <f>IFERROR(up_RadSpec!$J$24*(AC24*$B55),".")</f>
        <v>3.7914593749999996E-2</v>
      </c>
      <c r="CV55" s="34">
        <f>IFERROR(up_RadSpec!$J$24*(AC24*$B55),".")</f>
        <v>3.7914593749999996E-2</v>
      </c>
      <c r="CW55" s="34">
        <f>IFERROR(up_RadSpec!$J$24*(AC24*$B55),".")</f>
        <v>3.7914593749999996E-2</v>
      </c>
      <c r="CX55" s="34">
        <f>IFERROR(up_RadSpec!$J$24*(AC24*$B55),".")</f>
        <v>3.7914593749999996E-2</v>
      </c>
    </row>
    <row r="56" spans="1:102" x14ac:dyDescent="0.25">
      <c r="A56" s="55" t="s">
        <v>1079</v>
      </c>
      <c r="B56" s="3">
        <v>0.99979000004200003</v>
      </c>
      <c r="C56" s="42">
        <f t="shared" si="1"/>
        <v>4.3967680389878269E-5</v>
      </c>
      <c r="D56" s="42">
        <f t="shared" ref="D56:AA56" si="127">IFERROR(D20/$B56,0)</f>
        <v>1.3190304116963479E-4</v>
      </c>
      <c r="E56" s="42">
        <f t="shared" si="127"/>
        <v>1.3190304116963479E-4</v>
      </c>
      <c r="F56" s="42">
        <f t="shared" si="127"/>
        <v>1.3190304116963479E-4</v>
      </c>
      <c r="G56" s="42">
        <f t="shared" si="127"/>
        <v>1.3190304116963479E-4</v>
      </c>
      <c r="H56" s="42">
        <f t="shared" si="127"/>
        <v>1.3190304116963479E-4</v>
      </c>
      <c r="I56" s="42">
        <f t="shared" si="127"/>
        <v>1.3190304116963479E-4</v>
      </c>
      <c r="J56" s="42">
        <f t="shared" si="127"/>
        <v>1.3190304116963479E-4</v>
      </c>
      <c r="K56" s="42">
        <f t="shared" si="127"/>
        <v>1.3190304116963479E-4</v>
      </c>
      <c r="L56" s="42">
        <f t="shared" si="127"/>
        <v>1.3190304116963479E-4</v>
      </c>
      <c r="M56" s="42">
        <f t="shared" si="127"/>
        <v>1.3190304116963479E-4</v>
      </c>
      <c r="N56" s="42">
        <f t="shared" si="127"/>
        <v>1.3190304116963479E-4</v>
      </c>
      <c r="O56" s="42">
        <f t="shared" si="127"/>
        <v>1.3190304116963479E-4</v>
      </c>
      <c r="P56" s="42">
        <f t="shared" si="127"/>
        <v>1.3190304116963479E-4</v>
      </c>
      <c r="Q56" s="42">
        <f t="shared" si="127"/>
        <v>1.3190304116963479E-4</v>
      </c>
      <c r="R56" s="42">
        <f t="shared" si="127"/>
        <v>1.3190304116963479E-4</v>
      </c>
      <c r="S56" s="42">
        <f t="shared" si="127"/>
        <v>1.3190304116963479E-4</v>
      </c>
      <c r="T56" s="42">
        <f t="shared" si="127"/>
        <v>1.3190304116963479E-4</v>
      </c>
      <c r="U56" s="42">
        <f t="shared" si="127"/>
        <v>1.3190304116963479E-4</v>
      </c>
      <c r="V56" s="42">
        <f t="shared" si="127"/>
        <v>1.3190304116963479E-4</v>
      </c>
      <c r="W56" s="42">
        <f t="shared" si="127"/>
        <v>1.3190304116963479E-4</v>
      </c>
      <c r="X56" s="42">
        <f t="shared" si="127"/>
        <v>1.3190304116963479E-4</v>
      </c>
      <c r="Y56" s="42">
        <f t="shared" si="127"/>
        <v>1.3190304116963479E-4</v>
      </c>
      <c r="Z56" s="42">
        <f t="shared" si="127"/>
        <v>1.3190304116963479E-4</v>
      </c>
      <c r="AA56" s="42">
        <f t="shared" si="127"/>
        <v>1.3190304116963479E-4</v>
      </c>
      <c r="AB56" s="34">
        <f t="shared" si="4"/>
        <v>568599.47530357365</v>
      </c>
      <c r="AC56" s="34">
        <f>IFERROR(up_RadSpec!$J$20*(AC20*$B56),".")</f>
        <v>189533.15843452455</v>
      </c>
      <c r="AD56" s="34">
        <f>IFERROR(up_RadSpec!$J$20*(AC20*$B56),".")</f>
        <v>189533.15843452455</v>
      </c>
      <c r="AE56" s="34">
        <f>IFERROR(up_RadSpec!$J$20*(AC20*$B56),".")</f>
        <v>189533.15843452455</v>
      </c>
      <c r="AF56" s="34">
        <f>IFERROR(up_RadSpec!$J$20*(AC20*$B56),".")</f>
        <v>189533.15843452455</v>
      </c>
      <c r="AG56" s="34">
        <f>IFERROR(up_RadSpec!$J$20*(AC20*$B56),".")</f>
        <v>189533.15843452455</v>
      </c>
      <c r="AH56" s="34">
        <f>IFERROR(up_RadSpec!$J$20*(AC20*$B56),".")</f>
        <v>189533.15843452455</v>
      </c>
      <c r="AI56" s="34">
        <f>IFERROR(up_RadSpec!$J$20*(AC20*$B56),".")</f>
        <v>189533.15843452455</v>
      </c>
      <c r="AJ56" s="34">
        <f>IFERROR(up_RadSpec!$J$20*(AC20*$B56),".")</f>
        <v>189533.15843452455</v>
      </c>
      <c r="AK56" s="34">
        <f>IFERROR(up_RadSpec!$J$20*(AC20*$B56),".")</f>
        <v>189533.15843452455</v>
      </c>
      <c r="AL56" s="34">
        <f>IFERROR(up_RadSpec!$J$20*(AC20*$B56),".")</f>
        <v>189533.15843452455</v>
      </c>
      <c r="AM56" s="34">
        <f>IFERROR(up_RadSpec!$J$20*(AC20*$B56),".")</f>
        <v>189533.15843452455</v>
      </c>
      <c r="AN56" s="34">
        <f>IFERROR(up_RadSpec!$J$20*(AC20*$B56),".")</f>
        <v>189533.15843452455</v>
      </c>
      <c r="AO56" s="34">
        <f>IFERROR(up_RadSpec!$J$20*(AC20*$B56),".")</f>
        <v>189533.15843452455</v>
      </c>
      <c r="AP56" s="34">
        <f>IFERROR(up_RadSpec!$J$20*(AC20*$B56),".")</f>
        <v>189533.15843452455</v>
      </c>
      <c r="AQ56" s="34">
        <f>IFERROR(up_RadSpec!$J$20*(AC20*$B56),".")</f>
        <v>189533.15843452455</v>
      </c>
      <c r="AR56" s="34">
        <f>IFERROR(up_RadSpec!$J$20*(AC20*$B56),".")</f>
        <v>189533.15843452455</v>
      </c>
      <c r="AS56" s="34">
        <f>IFERROR(up_RadSpec!$J$20*(AC20*$B56),".")</f>
        <v>189533.15843452455</v>
      </c>
      <c r="AT56" s="34">
        <f>IFERROR(up_RadSpec!$J$20*(AC20*$B56),".")</f>
        <v>189533.15843452455</v>
      </c>
      <c r="AU56" s="34">
        <f>IFERROR(up_RadSpec!$J$20*(AC20*$B56),".")</f>
        <v>189533.15843452455</v>
      </c>
      <c r="AV56" s="34">
        <f>IFERROR(up_RadSpec!$J$20*(AC20*$B56),".")</f>
        <v>189533.15843452455</v>
      </c>
      <c r="AW56" s="34">
        <f>IFERROR(up_RadSpec!$J$20*(AC20*$B56),".")</f>
        <v>189533.15843452455</v>
      </c>
      <c r="AX56" s="34">
        <f>IFERROR(up_RadSpec!$J$20*(AC20*$B56),".")</f>
        <v>189533.15843452455</v>
      </c>
      <c r="AY56" s="34">
        <f>IFERROR(up_RadSpec!$J$20*(AC20*$B56),".")</f>
        <v>189533.15843452455</v>
      </c>
      <c r="AZ56" s="34">
        <f>IFERROR(up_RadSpec!$J$20*(AC20*$B56),".")</f>
        <v>189533.15843452455</v>
      </c>
      <c r="BA56" s="42">
        <f t="shared" si="2"/>
        <v>4.3967680389878269E-5</v>
      </c>
      <c r="BB56" s="42">
        <f t="shared" ref="BB56:BY56" si="128">IFERROR(BB20/$B56,0)</f>
        <v>1.3190304116963479E-4</v>
      </c>
      <c r="BC56" s="42">
        <f t="shared" si="128"/>
        <v>1.3190304116963479E-4</v>
      </c>
      <c r="BD56" s="42">
        <f t="shared" si="128"/>
        <v>1.3190304116963479E-4</v>
      </c>
      <c r="BE56" s="42">
        <f t="shared" si="128"/>
        <v>1.3190304116963479E-4</v>
      </c>
      <c r="BF56" s="42">
        <f t="shared" si="128"/>
        <v>1.3190304116963479E-4</v>
      </c>
      <c r="BG56" s="42">
        <f t="shared" si="128"/>
        <v>1.3190304116963479E-4</v>
      </c>
      <c r="BH56" s="42">
        <f t="shared" si="128"/>
        <v>1.3190304116963479E-4</v>
      </c>
      <c r="BI56" s="42">
        <f t="shared" si="128"/>
        <v>1.3190304116963479E-4</v>
      </c>
      <c r="BJ56" s="42">
        <f t="shared" si="128"/>
        <v>1.3190304116963479E-4</v>
      </c>
      <c r="BK56" s="42">
        <f t="shared" si="128"/>
        <v>1.3190304116963479E-4</v>
      </c>
      <c r="BL56" s="42">
        <f t="shared" si="128"/>
        <v>1.3190304116963479E-4</v>
      </c>
      <c r="BM56" s="42">
        <f t="shared" si="128"/>
        <v>1.3190304116963479E-4</v>
      </c>
      <c r="BN56" s="42">
        <f t="shared" si="128"/>
        <v>1.3190304116963479E-4</v>
      </c>
      <c r="BO56" s="42">
        <f t="shared" si="128"/>
        <v>1.3190304116963479E-4</v>
      </c>
      <c r="BP56" s="42">
        <f t="shared" si="128"/>
        <v>1.3190304116963479E-4</v>
      </c>
      <c r="BQ56" s="42">
        <f t="shared" si="128"/>
        <v>1.3190304116963479E-4</v>
      </c>
      <c r="BR56" s="42">
        <f t="shared" si="128"/>
        <v>1.3190304116963479E-4</v>
      </c>
      <c r="BS56" s="42">
        <f t="shared" si="128"/>
        <v>1.3190304116963479E-4</v>
      </c>
      <c r="BT56" s="42">
        <f t="shared" si="128"/>
        <v>1.3190304116963479E-4</v>
      </c>
      <c r="BU56" s="42">
        <f t="shared" si="128"/>
        <v>1.3190304116963479E-4</v>
      </c>
      <c r="BV56" s="42">
        <f t="shared" si="128"/>
        <v>1.3190304116963479E-4</v>
      </c>
      <c r="BW56" s="42">
        <f t="shared" si="128"/>
        <v>1.3190304116963479E-4</v>
      </c>
      <c r="BX56" s="42">
        <f t="shared" si="128"/>
        <v>1.3190304116963479E-4</v>
      </c>
      <c r="BY56" s="42">
        <f t="shared" si="128"/>
        <v>1.3190304116963479E-4</v>
      </c>
      <c r="BZ56" s="34">
        <f t="shared" si="8"/>
        <v>568599.47530357365</v>
      </c>
      <c r="CA56" s="34">
        <f>IFERROR(up_RadSpec!$J$20*(AC20*$B56),".")</f>
        <v>189533.15843452455</v>
      </c>
      <c r="CB56" s="34">
        <f>IFERROR(up_RadSpec!$J$20*(AC20*$B56),".")</f>
        <v>189533.15843452455</v>
      </c>
      <c r="CC56" s="34">
        <f>IFERROR(up_RadSpec!$J$20*(AC20*$B56),".")</f>
        <v>189533.15843452455</v>
      </c>
      <c r="CD56" s="34">
        <f>IFERROR(up_RadSpec!$J$20*(AC20*$B56),".")</f>
        <v>189533.15843452455</v>
      </c>
      <c r="CE56" s="34">
        <f>IFERROR(up_RadSpec!$J$20*(AC20*$B56),".")</f>
        <v>189533.15843452455</v>
      </c>
      <c r="CF56" s="34">
        <f>IFERROR(up_RadSpec!$J$20*(AC20*$B56),".")</f>
        <v>189533.15843452455</v>
      </c>
      <c r="CG56" s="34">
        <f>IFERROR(up_RadSpec!$J$20*(AC20*$B56),".")</f>
        <v>189533.15843452455</v>
      </c>
      <c r="CH56" s="34">
        <f>IFERROR(up_RadSpec!$J$20*(AC20*$B56),".")</f>
        <v>189533.15843452455</v>
      </c>
      <c r="CI56" s="34">
        <f>IFERROR(up_RadSpec!$J$20*(AC20*$B56),".")</f>
        <v>189533.15843452455</v>
      </c>
      <c r="CJ56" s="34">
        <f>IFERROR(up_RadSpec!$J$20*(AC20*$B56),".")</f>
        <v>189533.15843452455</v>
      </c>
      <c r="CK56" s="34">
        <f>IFERROR(up_RadSpec!$J$20*(AC20*$B56),".")</f>
        <v>189533.15843452455</v>
      </c>
      <c r="CL56" s="34">
        <f>IFERROR(up_RadSpec!$J$20*(AC20*$B56),".")</f>
        <v>189533.15843452455</v>
      </c>
      <c r="CM56" s="34">
        <f>IFERROR(up_RadSpec!$J$20*(AC20*$B56),".")</f>
        <v>189533.15843452455</v>
      </c>
      <c r="CN56" s="34">
        <f>IFERROR(up_RadSpec!$J$20*(AC20*$B56),".")</f>
        <v>189533.15843452455</v>
      </c>
      <c r="CO56" s="34">
        <f>IFERROR(up_RadSpec!$J$20*(AC20*$B56),".")</f>
        <v>189533.15843452455</v>
      </c>
      <c r="CP56" s="34">
        <f>IFERROR(up_RadSpec!$J$20*(AC20*$B56),".")</f>
        <v>189533.15843452455</v>
      </c>
      <c r="CQ56" s="34">
        <f>IFERROR(up_RadSpec!$J$20*(AC20*$B56),".")</f>
        <v>189533.15843452455</v>
      </c>
      <c r="CR56" s="34">
        <f>IFERROR(up_RadSpec!$J$20*(AC20*$B56),".")</f>
        <v>189533.15843452455</v>
      </c>
      <c r="CS56" s="34">
        <f>IFERROR(up_RadSpec!$J$20*(AC20*$B56),".")</f>
        <v>189533.15843452455</v>
      </c>
      <c r="CT56" s="34">
        <f>IFERROR(up_RadSpec!$J$20*(AC20*$B56),".")</f>
        <v>189533.15843452455</v>
      </c>
      <c r="CU56" s="34">
        <f>IFERROR(up_RadSpec!$J$20*(AC20*$B56),".")</f>
        <v>189533.15843452455</v>
      </c>
      <c r="CV56" s="34">
        <f>IFERROR(up_RadSpec!$J$20*(AC20*$B56),".")</f>
        <v>189533.15843452455</v>
      </c>
      <c r="CW56" s="34">
        <f>IFERROR(up_RadSpec!$J$20*(AC20*$B56),".")</f>
        <v>189533.15843452455</v>
      </c>
      <c r="CX56" s="34">
        <f>IFERROR(up_RadSpec!$J$20*(AC20*$B56),".")</f>
        <v>189533.15843452455</v>
      </c>
    </row>
    <row r="57" spans="1:102" x14ac:dyDescent="0.25">
      <c r="A57" s="55" t="s">
        <v>1080</v>
      </c>
      <c r="B57" s="3">
        <v>2.0999995799999999E-4</v>
      </c>
      <c r="C57" s="42">
        <f t="shared" si="1"/>
        <v>0.20932598081206771</v>
      </c>
      <c r="D57" s="42">
        <f t="shared" ref="D57:AA57" si="129">IFERROR(D29/$B57,0)</f>
        <v>0.6279779424362032</v>
      </c>
      <c r="E57" s="42">
        <f t="shared" si="129"/>
        <v>0.6279779424362032</v>
      </c>
      <c r="F57" s="42">
        <f t="shared" si="129"/>
        <v>0.6279779424362032</v>
      </c>
      <c r="G57" s="42">
        <f t="shared" si="129"/>
        <v>0.6279779424362032</v>
      </c>
      <c r="H57" s="42">
        <f t="shared" si="129"/>
        <v>0.6279779424362032</v>
      </c>
      <c r="I57" s="42">
        <f t="shared" si="129"/>
        <v>0.6279779424362032</v>
      </c>
      <c r="J57" s="42">
        <f t="shared" si="129"/>
        <v>0.6279779424362032</v>
      </c>
      <c r="K57" s="42">
        <f t="shared" si="129"/>
        <v>0.6279779424362032</v>
      </c>
      <c r="L57" s="42">
        <f t="shared" si="129"/>
        <v>0.6279779424362032</v>
      </c>
      <c r="M57" s="42">
        <f t="shared" si="129"/>
        <v>0.6279779424362032</v>
      </c>
      <c r="N57" s="42">
        <f t="shared" si="129"/>
        <v>0.6279779424362032</v>
      </c>
      <c r="O57" s="42">
        <f t="shared" si="129"/>
        <v>0.6279779424362032</v>
      </c>
      <c r="P57" s="42">
        <f t="shared" si="129"/>
        <v>0.6279779424362032</v>
      </c>
      <c r="Q57" s="42">
        <f t="shared" si="129"/>
        <v>0.6279779424362032</v>
      </c>
      <c r="R57" s="42">
        <f t="shared" si="129"/>
        <v>0.6279779424362032</v>
      </c>
      <c r="S57" s="42">
        <f t="shared" si="129"/>
        <v>0.6279779424362032</v>
      </c>
      <c r="T57" s="42">
        <f t="shared" si="129"/>
        <v>0.6279779424362032</v>
      </c>
      <c r="U57" s="42">
        <f t="shared" si="129"/>
        <v>0.6279779424362032</v>
      </c>
      <c r="V57" s="42">
        <f t="shared" si="129"/>
        <v>0.6279779424362032</v>
      </c>
      <c r="W57" s="42">
        <f t="shared" si="129"/>
        <v>0.6279779424362032</v>
      </c>
      <c r="X57" s="42">
        <f t="shared" si="129"/>
        <v>0.6279779424362032</v>
      </c>
      <c r="Y57" s="42">
        <f t="shared" si="129"/>
        <v>0.6279779424362032</v>
      </c>
      <c r="Z57" s="42">
        <f t="shared" si="129"/>
        <v>0.6279779424362032</v>
      </c>
      <c r="AA57" s="42">
        <f t="shared" si="129"/>
        <v>0.6279779424362032</v>
      </c>
      <c r="AB57" s="34">
        <f t="shared" si="4"/>
        <v>119.43094642630592</v>
      </c>
      <c r="AC57" s="34">
        <f>IFERROR(up_RadSpec!$J$29*(AC29*$B57),".")</f>
        <v>39.81031547543531</v>
      </c>
      <c r="AD57" s="34">
        <f>IFERROR(up_RadSpec!$J$29*(AC29*$B57),".")</f>
        <v>39.81031547543531</v>
      </c>
      <c r="AE57" s="34">
        <f>IFERROR(up_RadSpec!$J$29*(AC29*$B57),".")</f>
        <v>39.81031547543531</v>
      </c>
      <c r="AF57" s="34">
        <f>IFERROR(up_RadSpec!$J$29*(AC29*$B57),".")</f>
        <v>39.81031547543531</v>
      </c>
      <c r="AG57" s="34">
        <f>IFERROR(up_RadSpec!$J$29*(AC29*$B57),".")</f>
        <v>39.81031547543531</v>
      </c>
      <c r="AH57" s="34">
        <f>IFERROR(up_RadSpec!$J$29*(AC29*$B57),".")</f>
        <v>39.81031547543531</v>
      </c>
      <c r="AI57" s="34">
        <f>IFERROR(up_RadSpec!$J$29*(AC29*$B57),".")</f>
        <v>39.81031547543531</v>
      </c>
      <c r="AJ57" s="34">
        <f>IFERROR(up_RadSpec!$J$29*(AC29*$B57),".")</f>
        <v>39.81031547543531</v>
      </c>
      <c r="AK57" s="34">
        <f>IFERROR(up_RadSpec!$J$29*(AC29*$B57),".")</f>
        <v>39.81031547543531</v>
      </c>
      <c r="AL57" s="34">
        <f>IFERROR(up_RadSpec!$J$29*(AC29*$B57),".")</f>
        <v>39.81031547543531</v>
      </c>
      <c r="AM57" s="34">
        <f>IFERROR(up_RadSpec!$J$29*(AC29*$B57),".")</f>
        <v>39.81031547543531</v>
      </c>
      <c r="AN57" s="34">
        <f>IFERROR(up_RadSpec!$J$29*(AC29*$B57),".")</f>
        <v>39.81031547543531</v>
      </c>
      <c r="AO57" s="34">
        <f>IFERROR(up_RadSpec!$J$29*(AC29*$B57),".")</f>
        <v>39.81031547543531</v>
      </c>
      <c r="AP57" s="34">
        <f>IFERROR(up_RadSpec!$J$29*(AC29*$B57),".")</f>
        <v>39.81031547543531</v>
      </c>
      <c r="AQ57" s="34">
        <f>IFERROR(up_RadSpec!$J$29*(AC29*$B57),".")</f>
        <v>39.81031547543531</v>
      </c>
      <c r="AR57" s="34">
        <f>IFERROR(up_RadSpec!$J$29*(AC29*$B57),".")</f>
        <v>39.81031547543531</v>
      </c>
      <c r="AS57" s="34">
        <f>IFERROR(up_RadSpec!$J$29*(AC29*$B57),".")</f>
        <v>39.81031547543531</v>
      </c>
      <c r="AT57" s="34">
        <f>IFERROR(up_RadSpec!$J$29*(AC29*$B57),".")</f>
        <v>39.81031547543531</v>
      </c>
      <c r="AU57" s="34">
        <f>IFERROR(up_RadSpec!$J$29*(AC29*$B57),".")</f>
        <v>39.81031547543531</v>
      </c>
      <c r="AV57" s="34">
        <f>IFERROR(up_RadSpec!$J$29*(AC29*$B57),".")</f>
        <v>39.81031547543531</v>
      </c>
      <c r="AW57" s="34">
        <f>IFERROR(up_RadSpec!$J$29*(AC29*$B57),".")</f>
        <v>39.81031547543531</v>
      </c>
      <c r="AX57" s="34">
        <f>IFERROR(up_RadSpec!$J$29*(AC29*$B57),".")</f>
        <v>39.81031547543531</v>
      </c>
      <c r="AY57" s="34">
        <f>IFERROR(up_RadSpec!$J$29*(AC29*$B57),".")</f>
        <v>39.81031547543531</v>
      </c>
      <c r="AZ57" s="34">
        <f>IFERROR(up_RadSpec!$J$29*(AC29*$B57),".")</f>
        <v>39.81031547543531</v>
      </c>
      <c r="BA57" s="42">
        <f t="shared" si="2"/>
        <v>0.20932598081206771</v>
      </c>
      <c r="BB57" s="42">
        <f t="shared" ref="BB57:BY57" si="130">IFERROR(BB29/$B57,0)</f>
        <v>0.6279779424362032</v>
      </c>
      <c r="BC57" s="42">
        <f t="shared" si="130"/>
        <v>0.6279779424362032</v>
      </c>
      <c r="BD57" s="42">
        <f t="shared" si="130"/>
        <v>0.6279779424362032</v>
      </c>
      <c r="BE57" s="42">
        <f t="shared" si="130"/>
        <v>0.6279779424362032</v>
      </c>
      <c r="BF57" s="42">
        <f t="shared" si="130"/>
        <v>0.6279779424362032</v>
      </c>
      <c r="BG57" s="42">
        <f t="shared" si="130"/>
        <v>0.6279779424362032</v>
      </c>
      <c r="BH57" s="42">
        <f t="shared" si="130"/>
        <v>0.6279779424362032</v>
      </c>
      <c r="BI57" s="42">
        <f t="shared" si="130"/>
        <v>0.6279779424362032</v>
      </c>
      <c r="BJ57" s="42">
        <f t="shared" si="130"/>
        <v>0.6279779424362032</v>
      </c>
      <c r="BK57" s="42">
        <f t="shared" si="130"/>
        <v>0.6279779424362032</v>
      </c>
      <c r="BL57" s="42">
        <f t="shared" si="130"/>
        <v>0.6279779424362032</v>
      </c>
      <c r="BM57" s="42">
        <f t="shared" si="130"/>
        <v>0.6279779424362032</v>
      </c>
      <c r="BN57" s="42">
        <f t="shared" si="130"/>
        <v>0.6279779424362032</v>
      </c>
      <c r="BO57" s="42">
        <f t="shared" si="130"/>
        <v>0.6279779424362032</v>
      </c>
      <c r="BP57" s="42">
        <f t="shared" si="130"/>
        <v>0.6279779424362032</v>
      </c>
      <c r="BQ57" s="42">
        <f t="shared" si="130"/>
        <v>0.6279779424362032</v>
      </c>
      <c r="BR57" s="42">
        <f t="shared" si="130"/>
        <v>0.6279779424362032</v>
      </c>
      <c r="BS57" s="42">
        <f t="shared" si="130"/>
        <v>0.6279779424362032</v>
      </c>
      <c r="BT57" s="42">
        <f t="shared" si="130"/>
        <v>0.6279779424362032</v>
      </c>
      <c r="BU57" s="42">
        <f t="shared" si="130"/>
        <v>0.6279779424362032</v>
      </c>
      <c r="BV57" s="42">
        <f t="shared" si="130"/>
        <v>0.6279779424362032</v>
      </c>
      <c r="BW57" s="42">
        <f t="shared" si="130"/>
        <v>0.6279779424362032</v>
      </c>
      <c r="BX57" s="42">
        <f t="shared" si="130"/>
        <v>0.6279779424362032</v>
      </c>
      <c r="BY57" s="42">
        <f t="shared" si="130"/>
        <v>0.6279779424362032</v>
      </c>
      <c r="BZ57" s="34">
        <f t="shared" si="8"/>
        <v>119.43094642630592</v>
      </c>
      <c r="CA57" s="34">
        <f>IFERROR(up_RadSpec!$J$29*(AC29*$B57),".")</f>
        <v>39.81031547543531</v>
      </c>
      <c r="CB57" s="34">
        <f>IFERROR(up_RadSpec!$J$29*(AC29*$B57),".")</f>
        <v>39.81031547543531</v>
      </c>
      <c r="CC57" s="34">
        <f>IFERROR(up_RadSpec!$J$29*(AC29*$B57),".")</f>
        <v>39.81031547543531</v>
      </c>
      <c r="CD57" s="34">
        <f>IFERROR(up_RadSpec!$J$29*(AC29*$B57),".")</f>
        <v>39.81031547543531</v>
      </c>
      <c r="CE57" s="34">
        <f>IFERROR(up_RadSpec!$J$29*(AC29*$B57),".")</f>
        <v>39.81031547543531</v>
      </c>
      <c r="CF57" s="34">
        <f>IFERROR(up_RadSpec!$J$29*(AC29*$B57),".")</f>
        <v>39.81031547543531</v>
      </c>
      <c r="CG57" s="34">
        <f>IFERROR(up_RadSpec!$J$29*(AC29*$B57),".")</f>
        <v>39.81031547543531</v>
      </c>
      <c r="CH57" s="34">
        <f>IFERROR(up_RadSpec!$J$29*(AC29*$B57),".")</f>
        <v>39.81031547543531</v>
      </c>
      <c r="CI57" s="34">
        <f>IFERROR(up_RadSpec!$J$29*(AC29*$B57),".")</f>
        <v>39.81031547543531</v>
      </c>
      <c r="CJ57" s="34">
        <f>IFERROR(up_RadSpec!$J$29*(AC29*$B57),".")</f>
        <v>39.81031547543531</v>
      </c>
      <c r="CK57" s="34">
        <f>IFERROR(up_RadSpec!$J$29*(AC29*$B57),".")</f>
        <v>39.81031547543531</v>
      </c>
      <c r="CL57" s="34">
        <f>IFERROR(up_RadSpec!$J$29*(AC29*$B57),".")</f>
        <v>39.81031547543531</v>
      </c>
      <c r="CM57" s="34">
        <f>IFERROR(up_RadSpec!$J$29*(AC29*$B57),".")</f>
        <v>39.81031547543531</v>
      </c>
      <c r="CN57" s="34">
        <f>IFERROR(up_RadSpec!$J$29*(AC29*$B57),".")</f>
        <v>39.81031547543531</v>
      </c>
      <c r="CO57" s="34">
        <f>IFERROR(up_RadSpec!$J$29*(AC29*$B57),".")</f>
        <v>39.81031547543531</v>
      </c>
      <c r="CP57" s="34">
        <f>IFERROR(up_RadSpec!$J$29*(AC29*$B57),".")</f>
        <v>39.81031547543531</v>
      </c>
      <c r="CQ57" s="34">
        <f>IFERROR(up_RadSpec!$J$29*(AC29*$B57),".")</f>
        <v>39.81031547543531</v>
      </c>
      <c r="CR57" s="34">
        <f>IFERROR(up_RadSpec!$J$29*(AC29*$B57),".")</f>
        <v>39.81031547543531</v>
      </c>
      <c r="CS57" s="34">
        <f>IFERROR(up_RadSpec!$J$29*(AC29*$B57),".")</f>
        <v>39.81031547543531</v>
      </c>
      <c r="CT57" s="34">
        <f>IFERROR(up_RadSpec!$J$29*(AC29*$B57),".")</f>
        <v>39.81031547543531</v>
      </c>
      <c r="CU57" s="34">
        <f>IFERROR(up_RadSpec!$J$29*(AC29*$B57),".")</f>
        <v>39.81031547543531</v>
      </c>
      <c r="CV57" s="34">
        <f>IFERROR(up_RadSpec!$J$29*(AC29*$B57),".")</f>
        <v>39.81031547543531</v>
      </c>
      <c r="CW57" s="34">
        <f>IFERROR(up_RadSpec!$J$29*(AC29*$B57),".")</f>
        <v>39.81031547543531</v>
      </c>
      <c r="CX57" s="34">
        <f>IFERROR(up_RadSpec!$J$29*(AC29*$B57),".")</f>
        <v>39.81031547543531</v>
      </c>
    </row>
    <row r="58" spans="1:102" x14ac:dyDescent="0.25">
      <c r="A58" s="55" t="s">
        <v>1081</v>
      </c>
      <c r="B58" s="3">
        <v>1</v>
      </c>
      <c r="C58" s="42">
        <f t="shared" si="1"/>
        <v>4.3958447178843029E-5</v>
      </c>
      <c r="D58" s="42">
        <f t="shared" ref="D58:AA58" si="131">IFERROR(D16/$B58,0)</f>
        <v>1.3187534153652909E-4</v>
      </c>
      <c r="E58" s="42">
        <f t="shared" si="131"/>
        <v>1.3187534153652909E-4</v>
      </c>
      <c r="F58" s="42">
        <f t="shared" si="131"/>
        <v>1.3187534153652909E-4</v>
      </c>
      <c r="G58" s="42">
        <f t="shared" si="131"/>
        <v>1.3187534153652909E-4</v>
      </c>
      <c r="H58" s="42">
        <f t="shared" si="131"/>
        <v>1.3187534153652909E-4</v>
      </c>
      <c r="I58" s="42">
        <f t="shared" si="131"/>
        <v>1.3187534153652909E-4</v>
      </c>
      <c r="J58" s="42">
        <f t="shared" si="131"/>
        <v>1.3187534153652909E-4</v>
      </c>
      <c r="K58" s="42">
        <f t="shared" si="131"/>
        <v>1.3187534153652909E-4</v>
      </c>
      <c r="L58" s="42">
        <f t="shared" si="131"/>
        <v>1.3187534153652909E-4</v>
      </c>
      <c r="M58" s="42">
        <f t="shared" si="131"/>
        <v>1.3187534153652909E-4</v>
      </c>
      <c r="N58" s="42">
        <f t="shared" si="131"/>
        <v>1.3187534153652909E-4</v>
      </c>
      <c r="O58" s="42">
        <f t="shared" si="131"/>
        <v>1.3187534153652909E-4</v>
      </c>
      <c r="P58" s="42">
        <f t="shared" si="131"/>
        <v>1.3187534153652909E-4</v>
      </c>
      <c r="Q58" s="42">
        <f t="shared" si="131"/>
        <v>1.3187534153652909E-4</v>
      </c>
      <c r="R58" s="42">
        <f t="shared" si="131"/>
        <v>1.3187534153652909E-4</v>
      </c>
      <c r="S58" s="42">
        <f t="shared" si="131"/>
        <v>1.3187534153652909E-4</v>
      </c>
      <c r="T58" s="42">
        <f t="shared" si="131"/>
        <v>1.3187534153652909E-4</v>
      </c>
      <c r="U58" s="42">
        <f t="shared" si="131"/>
        <v>1.3187534153652909E-4</v>
      </c>
      <c r="V58" s="42">
        <f t="shared" si="131"/>
        <v>1.3187534153652909E-4</v>
      </c>
      <c r="W58" s="42">
        <f t="shared" si="131"/>
        <v>1.3187534153652909E-4</v>
      </c>
      <c r="X58" s="42">
        <f t="shared" si="131"/>
        <v>1.3187534153652909E-4</v>
      </c>
      <c r="Y58" s="42">
        <f t="shared" si="131"/>
        <v>1.3187534153652909E-4</v>
      </c>
      <c r="Z58" s="42">
        <f t="shared" si="131"/>
        <v>1.3187534153652909E-4</v>
      </c>
      <c r="AA58" s="42">
        <f t="shared" si="131"/>
        <v>1.3187534153652909E-4</v>
      </c>
      <c r="AB58" s="34">
        <f t="shared" si="4"/>
        <v>568718.90625</v>
      </c>
      <c r="AC58" s="34">
        <f>IFERROR(up_RadSpec!$J$16*(AC16*$B58),".")</f>
        <v>189572.96875</v>
      </c>
      <c r="AD58" s="34">
        <f>IFERROR(up_RadSpec!$J$16*(AC16*$B58),".")</f>
        <v>189572.96875</v>
      </c>
      <c r="AE58" s="34">
        <f>IFERROR(up_RadSpec!$J$16*(AC16*$B58),".")</f>
        <v>189572.96875</v>
      </c>
      <c r="AF58" s="34">
        <f>IFERROR(up_RadSpec!$J$16*(AC16*$B58),".")</f>
        <v>189572.96875</v>
      </c>
      <c r="AG58" s="34">
        <f>IFERROR(up_RadSpec!$J$16*(AC16*$B58),".")</f>
        <v>189572.96875</v>
      </c>
      <c r="AH58" s="34">
        <f>IFERROR(up_RadSpec!$J$16*(AC16*$B58),".")</f>
        <v>189572.96875</v>
      </c>
      <c r="AI58" s="34">
        <f>IFERROR(up_RadSpec!$J$16*(AC16*$B58),".")</f>
        <v>189572.96875</v>
      </c>
      <c r="AJ58" s="34">
        <f>IFERROR(up_RadSpec!$J$16*(AC16*$B58),".")</f>
        <v>189572.96875</v>
      </c>
      <c r="AK58" s="34">
        <f>IFERROR(up_RadSpec!$J$16*(AC16*$B58),".")</f>
        <v>189572.96875</v>
      </c>
      <c r="AL58" s="34">
        <f>IFERROR(up_RadSpec!$J$16*(AC16*$B58),".")</f>
        <v>189572.96875</v>
      </c>
      <c r="AM58" s="34">
        <f>IFERROR(up_RadSpec!$J$16*(AC16*$B58),".")</f>
        <v>189572.96875</v>
      </c>
      <c r="AN58" s="34">
        <f>IFERROR(up_RadSpec!$J$16*(AC16*$B58),".")</f>
        <v>189572.96875</v>
      </c>
      <c r="AO58" s="34">
        <f>IFERROR(up_RadSpec!$J$16*(AC16*$B58),".")</f>
        <v>189572.96875</v>
      </c>
      <c r="AP58" s="34">
        <f>IFERROR(up_RadSpec!$J$16*(AC16*$B58),".")</f>
        <v>189572.96875</v>
      </c>
      <c r="AQ58" s="34">
        <f>IFERROR(up_RadSpec!$J$16*(AC16*$B58),".")</f>
        <v>189572.96875</v>
      </c>
      <c r="AR58" s="34">
        <f>IFERROR(up_RadSpec!$J$16*(AC16*$B58),".")</f>
        <v>189572.96875</v>
      </c>
      <c r="AS58" s="34">
        <f>IFERROR(up_RadSpec!$J$16*(AC16*$B58),".")</f>
        <v>189572.96875</v>
      </c>
      <c r="AT58" s="34">
        <f>IFERROR(up_RadSpec!$J$16*(AC16*$B58),".")</f>
        <v>189572.96875</v>
      </c>
      <c r="AU58" s="34">
        <f>IFERROR(up_RadSpec!$J$16*(AC16*$B58),".")</f>
        <v>189572.96875</v>
      </c>
      <c r="AV58" s="34">
        <f>IFERROR(up_RadSpec!$J$16*(AC16*$B58),".")</f>
        <v>189572.96875</v>
      </c>
      <c r="AW58" s="34">
        <f>IFERROR(up_RadSpec!$J$16*(AC16*$B58),".")</f>
        <v>189572.96875</v>
      </c>
      <c r="AX58" s="34">
        <f>IFERROR(up_RadSpec!$J$16*(AC16*$B58),".")</f>
        <v>189572.96875</v>
      </c>
      <c r="AY58" s="34">
        <f>IFERROR(up_RadSpec!$J$16*(AC16*$B58),".")</f>
        <v>189572.96875</v>
      </c>
      <c r="AZ58" s="34">
        <f>IFERROR(up_RadSpec!$J$16*(AC16*$B58),".")</f>
        <v>189572.96875</v>
      </c>
      <c r="BA58" s="42">
        <f t="shared" si="2"/>
        <v>4.3958447178843029E-5</v>
      </c>
      <c r="BB58" s="42">
        <f t="shared" ref="BB58:BY58" si="132">IFERROR(BB16/$B58,0)</f>
        <v>1.3187534153652909E-4</v>
      </c>
      <c r="BC58" s="42">
        <f t="shared" si="132"/>
        <v>1.3187534153652909E-4</v>
      </c>
      <c r="BD58" s="42">
        <f t="shared" si="132"/>
        <v>1.3187534153652909E-4</v>
      </c>
      <c r="BE58" s="42">
        <f t="shared" si="132"/>
        <v>1.3187534153652909E-4</v>
      </c>
      <c r="BF58" s="42">
        <f t="shared" si="132"/>
        <v>1.3187534153652909E-4</v>
      </c>
      <c r="BG58" s="42">
        <f t="shared" si="132"/>
        <v>1.3187534153652909E-4</v>
      </c>
      <c r="BH58" s="42">
        <f t="shared" si="132"/>
        <v>1.3187534153652909E-4</v>
      </c>
      <c r="BI58" s="42">
        <f t="shared" si="132"/>
        <v>1.3187534153652909E-4</v>
      </c>
      <c r="BJ58" s="42">
        <f t="shared" si="132"/>
        <v>1.3187534153652909E-4</v>
      </c>
      <c r="BK58" s="42">
        <f t="shared" si="132"/>
        <v>1.3187534153652909E-4</v>
      </c>
      <c r="BL58" s="42">
        <f t="shared" si="132"/>
        <v>1.3187534153652909E-4</v>
      </c>
      <c r="BM58" s="42">
        <f t="shared" si="132"/>
        <v>1.3187534153652909E-4</v>
      </c>
      <c r="BN58" s="42">
        <f t="shared" si="132"/>
        <v>1.3187534153652909E-4</v>
      </c>
      <c r="BO58" s="42">
        <f t="shared" si="132"/>
        <v>1.3187534153652909E-4</v>
      </c>
      <c r="BP58" s="42">
        <f t="shared" si="132"/>
        <v>1.3187534153652909E-4</v>
      </c>
      <c r="BQ58" s="42">
        <f t="shared" si="132"/>
        <v>1.3187534153652909E-4</v>
      </c>
      <c r="BR58" s="42">
        <f t="shared" si="132"/>
        <v>1.3187534153652909E-4</v>
      </c>
      <c r="BS58" s="42">
        <f t="shared" si="132"/>
        <v>1.3187534153652909E-4</v>
      </c>
      <c r="BT58" s="42">
        <f t="shared" si="132"/>
        <v>1.3187534153652909E-4</v>
      </c>
      <c r="BU58" s="42">
        <f t="shared" si="132"/>
        <v>1.3187534153652909E-4</v>
      </c>
      <c r="BV58" s="42">
        <f t="shared" si="132"/>
        <v>1.3187534153652909E-4</v>
      </c>
      <c r="BW58" s="42">
        <f t="shared" si="132"/>
        <v>1.3187534153652909E-4</v>
      </c>
      <c r="BX58" s="42">
        <f t="shared" si="132"/>
        <v>1.3187534153652909E-4</v>
      </c>
      <c r="BY58" s="42">
        <f t="shared" si="132"/>
        <v>1.3187534153652909E-4</v>
      </c>
      <c r="BZ58" s="34">
        <f t="shared" si="8"/>
        <v>568718.90625</v>
      </c>
      <c r="CA58" s="34">
        <f>IFERROR(up_RadSpec!$J$16*(AC16*$B58),".")</f>
        <v>189572.96875</v>
      </c>
      <c r="CB58" s="34">
        <f>IFERROR(up_RadSpec!$J$16*(AC16*$B58),".")</f>
        <v>189572.96875</v>
      </c>
      <c r="CC58" s="34">
        <f>IFERROR(up_RadSpec!$J$16*(AC16*$B58),".")</f>
        <v>189572.96875</v>
      </c>
      <c r="CD58" s="34">
        <f>IFERROR(up_RadSpec!$J$16*(AC16*$B58),".")</f>
        <v>189572.96875</v>
      </c>
      <c r="CE58" s="34">
        <f>IFERROR(up_RadSpec!$J$16*(AC16*$B58),".")</f>
        <v>189572.96875</v>
      </c>
      <c r="CF58" s="34">
        <f>IFERROR(up_RadSpec!$J$16*(AC16*$B58),".")</f>
        <v>189572.96875</v>
      </c>
      <c r="CG58" s="34">
        <f>IFERROR(up_RadSpec!$J$16*(AC16*$B58),".")</f>
        <v>189572.96875</v>
      </c>
      <c r="CH58" s="34">
        <f>IFERROR(up_RadSpec!$J$16*(AC16*$B58),".")</f>
        <v>189572.96875</v>
      </c>
      <c r="CI58" s="34">
        <f>IFERROR(up_RadSpec!$J$16*(AC16*$B58),".")</f>
        <v>189572.96875</v>
      </c>
      <c r="CJ58" s="34">
        <f>IFERROR(up_RadSpec!$J$16*(AC16*$B58),".")</f>
        <v>189572.96875</v>
      </c>
      <c r="CK58" s="34">
        <f>IFERROR(up_RadSpec!$J$16*(AC16*$B58),".")</f>
        <v>189572.96875</v>
      </c>
      <c r="CL58" s="34">
        <f>IFERROR(up_RadSpec!$J$16*(AC16*$B58),".")</f>
        <v>189572.96875</v>
      </c>
      <c r="CM58" s="34">
        <f>IFERROR(up_RadSpec!$J$16*(AC16*$B58),".")</f>
        <v>189572.96875</v>
      </c>
      <c r="CN58" s="34">
        <f>IFERROR(up_RadSpec!$J$16*(AC16*$B58),".")</f>
        <v>189572.96875</v>
      </c>
      <c r="CO58" s="34">
        <f>IFERROR(up_RadSpec!$J$16*(AC16*$B58),".")</f>
        <v>189572.96875</v>
      </c>
      <c r="CP58" s="34">
        <f>IFERROR(up_RadSpec!$J$16*(AC16*$B58),".")</f>
        <v>189572.96875</v>
      </c>
      <c r="CQ58" s="34">
        <f>IFERROR(up_RadSpec!$J$16*(AC16*$B58),".")</f>
        <v>189572.96875</v>
      </c>
      <c r="CR58" s="34">
        <f>IFERROR(up_RadSpec!$J$16*(AC16*$B58),".")</f>
        <v>189572.96875</v>
      </c>
      <c r="CS58" s="34">
        <f>IFERROR(up_RadSpec!$J$16*(AC16*$B58),".")</f>
        <v>189572.96875</v>
      </c>
      <c r="CT58" s="34">
        <f>IFERROR(up_RadSpec!$J$16*(AC16*$B58),".")</f>
        <v>189572.96875</v>
      </c>
      <c r="CU58" s="34">
        <f>IFERROR(up_RadSpec!$J$16*(AC16*$B58),".")</f>
        <v>189572.96875</v>
      </c>
      <c r="CV58" s="34">
        <f>IFERROR(up_RadSpec!$J$16*(AC16*$B58),".")</f>
        <v>189572.96875</v>
      </c>
      <c r="CW58" s="34">
        <f>IFERROR(up_RadSpec!$J$16*(AC16*$B58),".")</f>
        <v>189572.96875</v>
      </c>
      <c r="CX58" s="34">
        <f>IFERROR(up_RadSpec!$J$16*(AC16*$B58),".")</f>
        <v>189572.96875</v>
      </c>
    </row>
    <row r="59" spans="1:102" x14ac:dyDescent="0.25">
      <c r="A59" s="55" t="s">
        <v>1082</v>
      </c>
      <c r="B59" s="3">
        <v>1</v>
      </c>
      <c r="C59" s="42">
        <f t="shared" si="1"/>
        <v>4.3958447178843029E-5</v>
      </c>
      <c r="D59" s="42">
        <f t="shared" ref="D59:AA59" si="133">IFERROR(D7/$B59,0)</f>
        <v>1.3187534153652909E-4</v>
      </c>
      <c r="E59" s="42">
        <f t="shared" si="133"/>
        <v>1.3187534153652909E-4</v>
      </c>
      <c r="F59" s="42">
        <f t="shared" si="133"/>
        <v>1.3187534153652909E-4</v>
      </c>
      <c r="G59" s="42">
        <f t="shared" si="133"/>
        <v>1.3187534153652909E-4</v>
      </c>
      <c r="H59" s="42">
        <f t="shared" si="133"/>
        <v>1.3187534153652909E-4</v>
      </c>
      <c r="I59" s="42">
        <f t="shared" si="133"/>
        <v>1.3187534153652909E-4</v>
      </c>
      <c r="J59" s="42">
        <f t="shared" si="133"/>
        <v>1.3187534153652909E-4</v>
      </c>
      <c r="K59" s="42">
        <f t="shared" si="133"/>
        <v>1.3187534153652909E-4</v>
      </c>
      <c r="L59" s="42">
        <f t="shared" si="133"/>
        <v>1.3187534153652909E-4</v>
      </c>
      <c r="M59" s="42">
        <f t="shared" si="133"/>
        <v>1.3187534153652909E-4</v>
      </c>
      <c r="N59" s="42">
        <f t="shared" si="133"/>
        <v>1.3187534153652909E-4</v>
      </c>
      <c r="O59" s="42">
        <f t="shared" si="133"/>
        <v>1.3187534153652909E-4</v>
      </c>
      <c r="P59" s="42">
        <f t="shared" si="133"/>
        <v>1.3187534153652909E-4</v>
      </c>
      <c r="Q59" s="42">
        <f t="shared" si="133"/>
        <v>1.3187534153652909E-4</v>
      </c>
      <c r="R59" s="42">
        <f t="shared" si="133"/>
        <v>1.3187534153652909E-4</v>
      </c>
      <c r="S59" s="42">
        <f t="shared" si="133"/>
        <v>1.3187534153652909E-4</v>
      </c>
      <c r="T59" s="42">
        <f t="shared" si="133"/>
        <v>1.3187534153652909E-4</v>
      </c>
      <c r="U59" s="42">
        <f t="shared" si="133"/>
        <v>1.3187534153652909E-4</v>
      </c>
      <c r="V59" s="42">
        <f t="shared" si="133"/>
        <v>1.3187534153652909E-4</v>
      </c>
      <c r="W59" s="42">
        <f t="shared" si="133"/>
        <v>1.3187534153652909E-4</v>
      </c>
      <c r="X59" s="42">
        <f t="shared" si="133"/>
        <v>1.3187534153652909E-4</v>
      </c>
      <c r="Y59" s="42">
        <f t="shared" si="133"/>
        <v>1.3187534153652909E-4</v>
      </c>
      <c r="Z59" s="42">
        <f t="shared" si="133"/>
        <v>1.3187534153652909E-4</v>
      </c>
      <c r="AA59" s="42">
        <f t="shared" si="133"/>
        <v>1.3187534153652909E-4</v>
      </c>
      <c r="AB59" s="34">
        <f t="shared" si="4"/>
        <v>568718.90625</v>
      </c>
      <c r="AC59" s="34">
        <f>IFERROR(up_RadSpec!$J$7*(AC7*$B59),".")</f>
        <v>189572.96875</v>
      </c>
      <c r="AD59" s="34">
        <f>IFERROR(up_RadSpec!$J$7*(AC7*$B59),".")</f>
        <v>189572.96875</v>
      </c>
      <c r="AE59" s="34">
        <f>IFERROR(up_RadSpec!$J$7*(AC7*$B59),".")</f>
        <v>189572.96875</v>
      </c>
      <c r="AF59" s="34">
        <f>IFERROR(up_RadSpec!$J$7*(AC7*$B59),".")</f>
        <v>189572.96875</v>
      </c>
      <c r="AG59" s="34">
        <f>IFERROR(up_RadSpec!$J$7*(AC7*$B59),".")</f>
        <v>189572.96875</v>
      </c>
      <c r="AH59" s="34">
        <f>IFERROR(up_RadSpec!$J$7*(AC7*$B59),".")</f>
        <v>189572.96875</v>
      </c>
      <c r="AI59" s="34">
        <f>IFERROR(up_RadSpec!$J$7*(AC7*$B59),".")</f>
        <v>189572.96875</v>
      </c>
      <c r="AJ59" s="34">
        <f>IFERROR(up_RadSpec!$J$7*(AC7*$B59),".")</f>
        <v>189572.96875</v>
      </c>
      <c r="AK59" s="34">
        <f>IFERROR(up_RadSpec!$J$7*(AC7*$B59),".")</f>
        <v>189572.96875</v>
      </c>
      <c r="AL59" s="34">
        <f>IFERROR(up_RadSpec!$J$7*(AC7*$B59),".")</f>
        <v>189572.96875</v>
      </c>
      <c r="AM59" s="34">
        <f>IFERROR(up_RadSpec!$J$7*(AC7*$B59),".")</f>
        <v>189572.96875</v>
      </c>
      <c r="AN59" s="34">
        <f>IFERROR(up_RadSpec!$J$7*(AC7*$B59),".")</f>
        <v>189572.96875</v>
      </c>
      <c r="AO59" s="34">
        <f>IFERROR(up_RadSpec!$J$7*(AC7*$B59),".")</f>
        <v>189572.96875</v>
      </c>
      <c r="AP59" s="34">
        <f>IFERROR(up_RadSpec!$J$7*(AC7*$B59),".")</f>
        <v>189572.96875</v>
      </c>
      <c r="AQ59" s="34">
        <f>IFERROR(up_RadSpec!$J$7*(AC7*$B59),".")</f>
        <v>189572.96875</v>
      </c>
      <c r="AR59" s="34">
        <f>IFERROR(up_RadSpec!$J$7*(AC7*$B59),".")</f>
        <v>189572.96875</v>
      </c>
      <c r="AS59" s="34">
        <f>IFERROR(up_RadSpec!$J$7*(AC7*$B59),".")</f>
        <v>189572.96875</v>
      </c>
      <c r="AT59" s="34">
        <f>IFERROR(up_RadSpec!$J$7*(AC7*$B59),".")</f>
        <v>189572.96875</v>
      </c>
      <c r="AU59" s="34">
        <f>IFERROR(up_RadSpec!$J$7*(AC7*$B59),".")</f>
        <v>189572.96875</v>
      </c>
      <c r="AV59" s="34">
        <f>IFERROR(up_RadSpec!$J$7*(AC7*$B59),".")</f>
        <v>189572.96875</v>
      </c>
      <c r="AW59" s="34">
        <f>IFERROR(up_RadSpec!$J$7*(AC7*$B59),".")</f>
        <v>189572.96875</v>
      </c>
      <c r="AX59" s="34">
        <f>IFERROR(up_RadSpec!$J$7*(AC7*$B59),".")</f>
        <v>189572.96875</v>
      </c>
      <c r="AY59" s="34">
        <f>IFERROR(up_RadSpec!$J$7*(AC7*$B59),".")</f>
        <v>189572.96875</v>
      </c>
      <c r="AZ59" s="34">
        <f>IFERROR(up_RadSpec!$J$7*(AC7*$B59),".")</f>
        <v>189572.96875</v>
      </c>
      <c r="BA59" s="42">
        <f t="shared" si="2"/>
        <v>4.3958447178843029E-5</v>
      </c>
      <c r="BB59" s="42">
        <f t="shared" ref="BB59:BY59" si="134">IFERROR(BB7/$B59,0)</f>
        <v>1.3187534153652909E-4</v>
      </c>
      <c r="BC59" s="42">
        <f t="shared" si="134"/>
        <v>1.3187534153652909E-4</v>
      </c>
      <c r="BD59" s="42">
        <f t="shared" si="134"/>
        <v>1.3187534153652909E-4</v>
      </c>
      <c r="BE59" s="42">
        <f t="shared" si="134"/>
        <v>1.3187534153652909E-4</v>
      </c>
      <c r="BF59" s="42">
        <f t="shared" si="134"/>
        <v>1.3187534153652909E-4</v>
      </c>
      <c r="BG59" s="42">
        <f t="shared" si="134"/>
        <v>1.3187534153652909E-4</v>
      </c>
      <c r="BH59" s="42">
        <f t="shared" si="134"/>
        <v>1.3187534153652909E-4</v>
      </c>
      <c r="BI59" s="42">
        <f t="shared" si="134"/>
        <v>1.3187534153652909E-4</v>
      </c>
      <c r="BJ59" s="42">
        <f t="shared" si="134"/>
        <v>1.3187534153652909E-4</v>
      </c>
      <c r="BK59" s="42">
        <f t="shared" si="134"/>
        <v>1.3187534153652909E-4</v>
      </c>
      <c r="BL59" s="42">
        <f t="shared" si="134"/>
        <v>1.3187534153652909E-4</v>
      </c>
      <c r="BM59" s="42">
        <f t="shared" si="134"/>
        <v>1.3187534153652909E-4</v>
      </c>
      <c r="BN59" s="42">
        <f t="shared" si="134"/>
        <v>1.3187534153652909E-4</v>
      </c>
      <c r="BO59" s="42">
        <f t="shared" si="134"/>
        <v>1.3187534153652909E-4</v>
      </c>
      <c r="BP59" s="42">
        <f t="shared" si="134"/>
        <v>1.3187534153652909E-4</v>
      </c>
      <c r="BQ59" s="42">
        <f t="shared" si="134"/>
        <v>1.3187534153652909E-4</v>
      </c>
      <c r="BR59" s="42">
        <f t="shared" si="134"/>
        <v>1.3187534153652909E-4</v>
      </c>
      <c r="BS59" s="42">
        <f t="shared" si="134"/>
        <v>1.3187534153652909E-4</v>
      </c>
      <c r="BT59" s="42">
        <f t="shared" si="134"/>
        <v>1.3187534153652909E-4</v>
      </c>
      <c r="BU59" s="42">
        <f t="shared" si="134"/>
        <v>1.3187534153652909E-4</v>
      </c>
      <c r="BV59" s="42">
        <f t="shared" si="134"/>
        <v>1.3187534153652909E-4</v>
      </c>
      <c r="BW59" s="42">
        <f t="shared" si="134"/>
        <v>1.3187534153652909E-4</v>
      </c>
      <c r="BX59" s="42">
        <f t="shared" si="134"/>
        <v>1.3187534153652909E-4</v>
      </c>
      <c r="BY59" s="42">
        <f t="shared" si="134"/>
        <v>1.3187534153652909E-4</v>
      </c>
      <c r="BZ59" s="34">
        <f t="shared" si="8"/>
        <v>568718.90625</v>
      </c>
      <c r="CA59" s="34">
        <f>IFERROR(up_RadSpec!$J$7*(AC7*$B59),".")</f>
        <v>189572.96875</v>
      </c>
      <c r="CB59" s="34">
        <f>IFERROR(up_RadSpec!$J$7*(AC7*$B59),".")</f>
        <v>189572.96875</v>
      </c>
      <c r="CC59" s="34">
        <f>IFERROR(up_RadSpec!$J$7*(AC7*$B59),".")</f>
        <v>189572.96875</v>
      </c>
      <c r="CD59" s="34">
        <f>IFERROR(up_RadSpec!$J$7*(AC7*$B59),".")</f>
        <v>189572.96875</v>
      </c>
      <c r="CE59" s="34">
        <f>IFERROR(up_RadSpec!$J$7*(AC7*$B59),".")</f>
        <v>189572.96875</v>
      </c>
      <c r="CF59" s="34">
        <f>IFERROR(up_RadSpec!$J$7*(AC7*$B59),".")</f>
        <v>189572.96875</v>
      </c>
      <c r="CG59" s="34">
        <f>IFERROR(up_RadSpec!$J$7*(AC7*$B59),".")</f>
        <v>189572.96875</v>
      </c>
      <c r="CH59" s="34">
        <f>IFERROR(up_RadSpec!$J$7*(AC7*$B59),".")</f>
        <v>189572.96875</v>
      </c>
      <c r="CI59" s="34">
        <f>IFERROR(up_RadSpec!$J$7*(AC7*$B59),".")</f>
        <v>189572.96875</v>
      </c>
      <c r="CJ59" s="34">
        <f>IFERROR(up_RadSpec!$J$7*(AC7*$B59),".")</f>
        <v>189572.96875</v>
      </c>
      <c r="CK59" s="34">
        <f>IFERROR(up_RadSpec!$J$7*(AC7*$B59),".")</f>
        <v>189572.96875</v>
      </c>
      <c r="CL59" s="34">
        <f>IFERROR(up_RadSpec!$J$7*(AC7*$B59),".")</f>
        <v>189572.96875</v>
      </c>
      <c r="CM59" s="34">
        <f>IFERROR(up_RadSpec!$J$7*(AC7*$B59),".")</f>
        <v>189572.96875</v>
      </c>
      <c r="CN59" s="34">
        <f>IFERROR(up_RadSpec!$J$7*(AC7*$B59),".")</f>
        <v>189572.96875</v>
      </c>
      <c r="CO59" s="34">
        <f>IFERROR(up_RadSpec!$J$7*(AC7*$B59),".")</f>
        <v>189572.96875</v>
      </c>
      <c r="CP59" s="34">
        <f>IFERROR(up_RadSpec!$J$7*(AC7*$B59),".")</f>
        <v>189572.96875</v>
      </c>
      <c r="CQ59" s="34">
        <f>IFERROR(up_RadSpec!$J$7*(AC7*$B59),".")</f>
        <v>189572.96875</v>
      </c>
      <c r="CR59" s="34">
        <f>IFERROR(up_RadSpec!$J$7*(AC7*$B59),".")</f>
        <v>189572.96875</v>
      </c>
      <c r="CS59" s="34">
        <f>IFERROR(up_RadSpec!$J$7*(AC7*$B59),".")</f>
        <v>189572.96875</v>
      </c>
      <c r="CT59" s="34">
        <f>IFERROR(up_RadSpec!$J$7*(AC7*$B59),".")</f>
        <v>189572.96875</v>
      </c>
      <c r="CU59" s="34">
        <f>IFERROR(up_RadSpec!$J$7*(AC7*$B59),".")</f>
        <v>189572.96875</v>
      </c>
      <c r="CV59" s="34">
        <f>IFERROR(up_RadSpec!$J$7*(AC7*$B59),".")</f>
        <v>189572.96875</v>
      </c>
      <c r="CW59" s="34">
        <f>IFERROR(up_RadSpec!$J$7*(AC7*$B59),".")</f>
        <v>189572.96875</v>
      </c>
      <c r="CX59" s="34">
        <f>IFERROR(up_RadSpec!$J$7*(AC7*$B59),".")</f>
        <v>189572.96875</v>
      </c>
    </row>
    <row r="60" spans="1:102" x14ac:dyDescent="0.25">
      <c r="A60" s="55" t="s">
        <v>1083</v>
      </c>
      <c r="B60" s="3">
        <v>1.9000000000000001E-8</v>
      </c>
      <c r="C60" s="42">
        <f t="shared" si="1"/>
        <v>2313.6024830970014</v>
      </c>
      <c r="D60" s="42">
        <f t="shared" ref="D60:AA60" si="135">IFERROR(D12/$B60,0)</f>
        <v>6940.8074492910036</v>
      </c>
      <c r="E60" s="42">
        <f t="shared" si="135"/>
        <v>6940.8074492910036</v>
      </c>
      <c r="F60" s="42">
        <f t="shared" si="135"/>
        <v>6940.8074492910036</v>
      </c>
      <c r="G60" s="42">
        <f t="shared" si="135"/>
        <v>6940.8074492910036</v>
      </c>
      <c r="H60" s="42">
        <f t="shared" si="135"/>
        <v>6940.8074492910036</v>
      </c>
      <c r="I60" s="42">
        <f t="shared" si="135"/>
        <v>6940.8074492910036</v>
      </c>
      <c r="J60" s="42">
        <f t="shared" si="135"/>
        <v>6940.8074492910036</v>
      </c>
      <c r="K60" s="42">
        <f t="shared" si="135"/>
        <v>6940.8074492910036</v>
      </c>
      <c r="L60" s="42">
        <f t="shared" si="135"/>
        <v>6940.8074492910036</v>
      </c>
      <c r="M60" s="42">
        <f t="shared" si="135"/>
        <v>6940.8074492910036</v>
      </c>
      <c r="N60" s="42">
        <f t="shared" si="135"/>
        <v>6940.8074492910036</v>
      </c>
      <c r="O60" s="42">
        <f t="shared" si="135"/>
        <v>6940.8074492910036</v>
      </c>
      <c r="P60" s="42">
        <f t="shared" si="135"/>
        <v>6940.8074492910036</v>
      </c>
      <c r="Q60" s="42">
        <f t="shared" si="135"/>
        <v>6940.8074492910036</v>
      </c>
      <c r="R60" s="42">
        <f t="shared" si="135"/>
        <v>6940.8074492910036</v>
      </c>
      <c r="S60" s="42">
        <f t="shared" si="135"/>
        <v>6940.8074492910036</v>
      </c>
      <c r="T60" s="42">
        <f t="shared" si="135"/>
        <v>6940.8074492910036</v>
      </c>
      <c r="U60" s="42">
        <f t="shared" si="135"/>
        <v>6940.8074492910036</v>
      </c>
      <c r="V60" s="42">
        <f t="shared" si="135"/>
        <v>6940.8074492910036</v>
      </c>
      <c r="W60" s="42">
        <f t="shared" si="135"/>
        <v>6940.8074492910036</v>
      </c>
      <c r="X60" s="42">
        <f t="shared" si="135"/>
        <v>6940.8074492910036</v>
      </c>
      <c r="Y60" s="42">
        <f t="shared" si="135"/>
        <v>6940.8074492910036</v>
      </c>
      <c r="Z60" s="42">
        <f t="shared" si="135"/>
        <v>6940.8074492910036</v>
      </c>
      <c r="AA60" s="42">
        <f t="shared" si="135"/>
        <v>6940.8074492910036</v>
      </c>
      <c r="AB60" s="34">
        <f t="shared" si="4"/>
        <v>1.0805659218750001E-2</v>
      </c>
      <c r="AC60" s="34">
        <f>IFERROR(up_RadSpec!$J$12*(AC12*$B60),".")</f>
        <v>3.6018864062500005E-3</v>
      </c>
      <c r="AD60" s="34">
        <f>IFERROR(up_RadSpec!$J$12*(AC12*$B60),".")</f>
        <v>3.6018864062500005E-3</v>
      </c>
      <c r="AE60" s="34">
        <f>IFERROR(up_RadSpec!$J$12*(AC12*$B60),".")</f>
        <v>3.6018864062500005E-3</v>
      </c>
      <c r="AF60" s="34">
        <f>IFERROR(up_RadSpec!$J$12*(AC12*$B60),".")</f>
        <v>3.6018864062500005E-3</v>
      </c>
      <c r="AG60" s="34">
        <f>IFERROR(up_RadSpec!$J$12*(AC12*$B60),".")</f>
        <v>3.6018864062500005E-3</v>
      </c>
      <c r="AH60" s="34">
        <f>IFERROR(up_RadSpec!$J$12*(AC12*$B60),".")</f>
        <v>3.6018864062500005E-3</v>
      </c>
      <c r="AI60" s="34">
        <f>IFERROR(up_RadSpec!$J$12*(AC12*$B60),".")</f>
        <v>3.6018864062500005E-3</v>
      </c>
      <c r="AJ60" s="34">
        <f>IFERROR(up_RadSpec!$J$12*(AC12*$B60),".")</f>
        <v>3.6018864062500005E-3</v>
      </c>
      <c r="AK60" s="34">
        <f>IFERROR(up_RadSpec!$J$12*(AC12*$B60),".")</f>
        <v>3.6018864062500005E-3</v>
      </c>
      <c r="AL60" s="34">
        <f>IFERROR(up_RadSpec!$J$12*(AC12*$B60),".")</f>
        <v>3.6018864062500005E-3</v>
      </c>
      <c r="AM60" s="34">
        <f>IFERROR(up_RadSpec!$J$12*(AC12*$B60),".")</f>
        <v>3.6018864062500005E-3</v>
      </c>
      <c r="AN60" s="34">
        <f>IFERROR(up_RadSpec!$J$12*(AC12*$B60),".")</f>
        <v>3.6018864062500005E-3</v>
      </c>
      <c r="AO60" s="34">
        <f>IFERROR(up_RadSpec!$J$12*(AC12*$B60),".")</f>
        <v>3.6018864062500005E-3</v>
      </c>
      <c r="AP60" s="34">
        <f>IFERROR(up_RadSpec!$J$12*(AC12*$B60),".")</f>
        <v>3.6018864062500005E-3</v>
      </c>
      <c r="AQ60" s="34">
        <f>IFERROR(up_RadSpec!$J$12*(AC12*$B60),".")</f>
        <v>3.6018864062500005E-3</v>
      </c>
      <c r="AR60" s="34">
        <f>IFERROR(up_RadSpec!$J$12*(AC12*$B60),".")</f>
        <v>3.6018864062500005E-3</v>
      </c>
      <c r="AS60" s="34">
        <f>IFERROR(up_RadSpec!$J$12*(AC12*$B60),".")</f>
        <v>3.6018864062500005E-3</v>
      </c>
      <c r="AT60" s="34">
        <f>IFERROR(up_RadSpec!$J$12*(AC12*$B60),".")</f>
        <v>3.6018864062500005E-3</v>
      </c>
      <c r="AU60" s="34">
        <f>IFERROR(up_RadSpec!$J$12*(AC12*$B60),".")</f>
        <v>3.6018864062500005E-3</v>
      </c>
      <c r="AV60" s="34">
        <f>IFERROR(up_RadSpec!$J$12*(AC12*$B60),".")</f>
        <v>3.6018864062500005E-3</v>
      </c>
      <c r="AW60" s="34">
        <f>IFERROR(up_RadSpec!$J$12*(AC12*$B60),".")</f>
        <v>3.6018864062500005E-3</v>
      </c>
      <c r="AX60" s="34">
        <f>IFERROR(up_RadSpec!$J$12*(AC12*$B60),".")</f>
        <v>3.6018864062500005E-3</v>
      </c>
      <c r="AY60" s="34">
        <f>IFERROR(up_RadSpec!$J$12*(AC12*$B60),".")</f>
        <v>3.6018864062500005E-3</v>
      </c>
      <c r="AZ60" s="34">
        <f>IFERROR(up_RadSpec!$J$12*(AC12*$B60),".")</f>
        <v>3.6018864062500005E-3</v>
      </c>
      <c r="BA60" s="42">
        <f t="shared" si="2"/>
        <v>2313.6024830970014</v>
      </c>
      <c r="BB60" s="42">
        <f t="shared" ref="BB60:BY60" si="136">IFERROR(BB12/$B60,0)</f>
        <v>6940.8074492910036</v>
      </c>
      <c r="BC60" s="42">
        <f t="shared" si="136"/>
        <v>6940.8074492910036</v>
      </c>
      <c r="BD60" s="42">
        <f t="shared" si="136"/>
        <v>6940.8074492910036</v>
      </c>
      <c r="BE60" s="42">
        <f t="shared" si="136"/>
        <v>6940.8074492910036</v>
      </c>
      <c r="BF60" s="42">
        <f t="shared" si="136"/>
        <v>6940.8074492910036</v>
      </c>
      <c r="BG60" s="42">
        <f t="shared" si="136"/>
        <v>6940.8074492910036</v>
      </c>
      <c r="BH60" s="42">
        <f t="shared" si="136"/>
        <v>6940.8074492910036</v>
      </c>
      <c r="BI60" s="42">
        <f t="shared" si="136"/>
        <v>6940.8074492910036</v>
      </c>
      <c r="BJ60" s="42">
        <f t="shared" si="136"/>
        <v>6940.8074492910036</v>
      </c>
      <c r="BK60" s="42">
        <f t="shared" si="136"/>
        <v>6940.8074492910036</v>
      </c>
      <c r="BL60" s="42">
        <f t="shared" si="136"/>
        <v>6940.8074492910036</v>
      </c>
      <c r="BM60" s="42">
        <f t="shared" si="136"/>
        <v>6940.8074492910036</v>
      </c>
      <c r="BN60" s="42">
        <f t="shared" si="136"/>
        <v>6940.8074492910036</v>
      </c>
      <c r="BO60" s="42">
        <f t="shared" si="136"/>
        <v>6940.8074492910036</v>
      </c>
      <c r="BP60" s="42">
        <f t="shared" si="136"/>
        <v>6940.8074492910036</v>
      </c>
      <c r="BQ60" s="42">
        <f t="shared" si="136"/>
        <v>6940.8074492910036</v>
      </c>
      <c r="BR60" s="42">
        <f t="shared" si="136"/>
        <v>6940.8074492910036</v>
      </c>
      <c r="BS60" s="42">
        <f t="shared" si="136"/>
        <v>6940.8074492910036</v>
      </c>
      <c r="BT60" s="42">
        <f t="shared" si="136"/>
        <v>6940.8074492910036</v>
      </c>
      <c r="BU60" s="42">
        <f t="shared" si="136"/>
        <v>6940.8074492910036</v>
      </c>
      <c r="BV60" s="42">
        <f t="shared" si="136"/>
        <v>6940.8074492910036</v>
      </c>
      <c r="BW60" s="42">
        <f t="shared" si="136"/>
        <v>6940.8074492910036</v>
      </c>
      <c r="BX60" s="42">
        <f t="shared" si="136"/>
        <v>6940.8074492910036</v>
      </c>
      <c r="BY60" s="42">
        <f t="shared" si="136"/>
        <v>6940.8074492910036</v>
      </c>
      <c r="BZ60" s="34">
        <f t="shared" si="8"/>
        <v>1.0805659218750001E-2</v>
      </c>
      <c r="CA60" s="34">
        <f>IFERROR(up_RadSpec!$J$12*(AC12*$B60),".")</f>
        <v>3.6018864062500005E-3</v>
      </c>
      <c r="CB60" s="34">
        <f>IFERROR(up_RadSpec!$J$12*(AC12*$B60),".")</f>
        <v>3.6018864062500005E-3</v>
      </c>
      <c r="CC60" s="34">
        <f>IFERROR(up_RadSpec!$J$12*(AC12*$B60),".")</f>
        <v>3.6018864062500005E-3</v>
      </c>
      <c r="CD60" s="34">
        <f>IFERROR(up_RadSpec!$J$12*(AC12*$B60),".")</f>
        <v>3.6018864062500005E-3</v>
      </c>
      <c r="CE60" s="34">
        <f>IFERROR(up_RadSpec!$J$12*(AC12*$B60),".")</f>
        <v>3.6018864062500005E-3</v>
      </c>
      <c r="CF60" s="34">
        <f>IFERROR(up_RadSpec!$J$12*(AC12*$B60),".")</f>
        <v>3.6018864062500005E-3</v>
      </c>
      <c r="CG60" s="34">
        <f>IFERROR(up_RadSpec!$J$12*(AC12*$B60),".")</f>
        <v>3.6018864062500005E-3</v>
      </c>
      <c r="CH60" s="34">
        <f>IFERROR(up_RadSpec!$J$12*(AC12*$B60),".")</f>
        <v>3.6018864062500005E-3</v>
      </c>
      <c r="CI60" s="34">
        <f>IFERROR(up_RadSpec!$J$12*(AC12*$B60),".")</f>
        <v>3.6018864062500005E-3</v>
      </c>
      <c r="CJ60" s="34">
        <f>IFERROR(up_RadSpec!$J$12*(AC12*$B60),".")</f>
        <v>3.6018864062500005E-3</v>
      </c>
      <c r="CK60" s="34">
        <f>IFERROR(up_RadSpec!$J$12*(AC12*$B60),".")</f>
        <v>3.6018864062500005E-3</v>
      </c>
      <c r="CL60" s="34">
        <f>IFERROR(up_RadSpec!$J$12*(AC12*$B60),".")</f>
        <v>3.6018864062500005E-3</v>
      </c>
      <c r="CM60" s="34">
        <f>IFERROR(up_RadSpec!$J$12*(AC12*$B60),".")</f>
        <v>3.6018864062500005E-3</v>
      </c>
      <c r="CN60" s="34">
        <f>IFERROR(up_RadSpec!$J$12*(AC12*$B60),".")</f>
        <v>3.6018864062500005E-3</v>
      </c>
      <c r="CO60" s="34">
        <f>IFERROR(up_RadSpec!$J$12*(AC12*$B60),".")</f>
        <v>3.6018864062500005E-3</v>
      </c>
      <c r="CP60" s="34">
        <f>IFERROR(up_RadSpec!$J$12*(AC12*$B60),".")</f>
        <v>3.6018864062500005E-3</v>
      </c>
      <c r="CQ60" s="34">
        <f>IFERROR(up_RadSpec!$J$12*(AC12*$B60),".")</f>
        <v>3.6018864062500005E-3</v>
      </c>
      <c r="CR60" s="34">
        <f>IFERROR(up_RadSpec!$J$12*(AC12*$B60),".")</f>
        <v>3.6018864062500005E-3</v>
      </c>
      <c r="CS60" s="34">
        <f>IFERROR(up_RadSpec!$J$12*(AC12*$B60),".")</f>
        <v>3.6018864062500005E-3</v>
      </c>
      <c r="CT60" s="34">
        <f>IFERROR(up_RadSpec!$J$12*(AC12*$B60),".")</f>
        <v>3.6018864062500005E-3</v>
      </c>
      <c r="CU60" s="34">
        <f>IFERROR(up_RadSpec!$J$12*(AC12*$B60),".")</f>
        <v>3.6018864062500005E-3</v>
      </c>
      <c r="CV60" s="34">
        <f>IFERROR(up_RadSpec!$J$12*(AC12*$B60),".")</f>
        <v>3.6018864062500005E-3</v>
      </c>
      <c r="CW60" s="34">
        <f>IFERROR(up_RadSpec!$J$12*(AC12*$B60),".")</f>
        <v>3.6018864062500005E-3</v>
      </c>
      <c r="CX60" s="34">
        <f>IFERROR(up_RadSpec!$J$12*(AC12*$B60),".")</f>
        <v>3.6018864062500005E-3</v>
      </c>
    </row>
    <row r="61" spans="1:102" x14ac:dyDescent="0.25">
      <c r="A61" s="55" t="s">
        <v>1084</v>
      </c>
      <c r="B61" s="3">
        <v>1</v>
      </c>
      <c r="C61" s="42">
        <f t="shared" si="1"/>
        <v>4.3958447178843029E-5</v>
      </c>
      <c r="D61" s="42">
        <f t="shared" ref="D61:AA61" si="137">IFERROR(D18/$B61,0)</f>
        <v>1.3187534153652909E-4</v>
      </c>
      <c r="E61" s="42">
        <f t="shared" si="137"/>
        <v>1.3187534153652909E-4</v>
      </c>
      <c r="F61" s="42">
        <f t="shared" si="137"/>
        <v>1.3187534153652909E-4</v>
      </c>
      <c r="G61" s="42">
        <f t="shared" si="137"/>
        <v>1.3187534153652909E-4</v>
      </c>
      <c r="H61" s="42">
        <f t="shared" si="137"/>
        <v>1.3187534153652909E-4</v>
      </c>
      <c r="I61" s="42">
        <f t="shared" si="137"/>
        <v>1.3187534153652909E-4</v>
      </c>
      <c r="J61" s="42">
        <f t="shared" si="137"/>
        <v>1.3187534153652909E-4</v>
      </c>
      <c r="K61" s="42">
        <f t="shared" si="137"/>
        <v>1.3187534153652909E-4</v>
      </c>
      <c r="L61" s="42">
        <f t="shared" si="137"/>
        <v>1.3187534153652909E-4</v>
      </c>
      <c r="M61" s="42">
        <f t="shared" si="137"/>
        <v>1.3187534153652909E-4</v>
      </c>
      <c r="N61" s="42">
        <f t="shared" si="137"/>
        <v>1.3187534153652909E-4</v>
      </c>
      <c r="O61" s="42">
        <f t="shared" si="137"/>
        <v>1.3187534153652909E-4</v>
      </c>
      <c r="P61" s="42">
        <f t="shared" si="137"/>
        <v>1.3187534153652909E-4</v>
      </c>
      <c r="Q61" s="42">
        <f t="shared" si="137"/>
        <v>1.3187534153652909E-4</v>
      </c>
      <c r="R61" s="42">
        <f t="shared" si="137"/>
        <v>1.3187534153652909E-4</v>
      </c>
      <c r="S61" s="42">
        <f t="shared" si="137"/>
        <v>1.3187534153652909E-4</v>
      </c>
      <c r="T61" s="42">
        <f t="shared" si="137"/>
        <v>1.3187534153652909E-4</v>
      </c>
      <c r="U61" s="42">
        <f t="shared" si="137"/>
        <v>1.3187534153652909E-4</v>
      </c>
      <c r="V61" s="42">
        <f t="shared" si="137"/>
        <v>1.3187534153652909E-4</v>
      </c>
      <c r="W61" s="42">
        <f t="shared" si="137"/>
        <v>1.3187534153652909E-4</v>
      </c>
      <c r="X61" s="42">
        <f t="shared" si="137"/>
        <v>1.3187534153652909E-4</v>
      </c>
      <c r="Y61" s="42">
        <f t="shared" si="137"/>
        <v>1.3187534153652909E-4</v>
      </c>
      <c r="Z61" s="42">
        <f t="shared" si="137"/>
        <v>1.3187534153652909E-4</v>
      </c>
      <c r="AA61" s="42">
        <f t="shared" si="137"/>
        <v>1.3187534153652909E-4</v>
      </c>
      <c r="AB61" s="34">
        <f t="shared" si="4"/>
        <v>568718.90625</v>
      </c>
      <c r="AC61" s="34">
        <f>IFERROR(up_RadSpec!$J$18*(AC18*$B61),".")</f>
        <v>189572.96875</v>
      </c>
      <c r="AD61" s="34">
        <f>IFERROR(up_RadSpec!$J$18*(AC18*$B61),".")</f>
        <v>189572.96875</v>
      </c>
      <c r="AE61" s="34">
        <f>IFERROR(up_RadSpec!$J$18*(AC18*$B61),".")</f>
        <v>189572.96875</v>
      </c>
      <c r="AF61" s="34">
        <f>IFERROR(up_RadSpec!$J$18*(AC18*$B61),".")</f>
        <v>189572.96875</v>
      </c>
      <c r="AG61" s="34">
        <f>IFERROR(up_RadSpec!$J$18*(AC18*$B61),".")</f>
        <v>189572.96875</v>
      </c>
      <c r="AH61" s="34">
        <f>IFERROR(up_RadSpec!$J$18*(AC18*$B61),".")</f>
        <v>189572.96875</v>
      </c>
      <c r="AI61" s="34">
        <f>IFERROR(up_RadSpec!$J$18*(AC18*$B61),".")</f>
        <v>189572.96875</v>
      </c>
      <c r="AJ61" s="34">
        <f>IFERROR(up_RadSpec!$J$18*(AC18*$B61),".")</f>
        <v>189572.96875</v>
      </c>
      <c r="AK61" s="34">
        <f>IFERROR(up_RadSpec!$J$18*(AC18*$B61),".")</f>
        <v>189572.96875</v>
      </c>
      <c r="AL61" s="34">
        <f>IFERROR(up_RadSpec!$J$18*(AC18*$B61),".")</f>
        <v>189572.96875</v>
      </c>
      <c r="AM61" s="34">
        <f>IFERROR(up_RadSpec!$J$18*(AC18*$B61),".")</f>
        <v>189572.96875</v>
      </c>
      <c r="AN61" s="34">
        <f>IFERROR(up_RadSpec!$J$18*(AC18*$B61),".")</f>
        <v>189572.96875</v>
      </c>
      <c r="AO61" s="34">
        <f>IFERROR(up_RadSpec!$J$18*(AC18*$B61),".")</f>
        <v>189572.96875</v>
      </c>
      <c r="AP61" s="34">
        <f>IFERROR(up_RadSpec!$J$18*(AC18*$B61),".")</f>
        <v>189572.96875</v>
      </c>
      <c r="AQ61" s="34">
        <f>IFERROR(up_RadSpec!$J$18*(AC18*$B61),".")</f>
        <v>189572.96875</v>
      </c>
      <c r="AR61" s="34">
        <f>IFERROR(up_RadSpec!$J$18*(AC18*$B61),".")</f>
        <v>189572.96875</v>
      </c>
      <c r="AS61" s="34">
        <f>IFERROR(up_RadSpec!$J$18*(AC18*$B61),".")</f>
        <v>189572.96875</v>
      </c>
      <c r="AT61" s="34">
        <f>IFERROR(up_RadSpec!$J$18*(AC18*$B61),".")</f>
        <v>189572.96875</v>
      </c>
      <c r="AU61" s="34">
        <f>IFERROR(up_RadSpec!$J$18*(AC18*$B61),".")</f>
        <v>189572.96875</v>
      </c>
      <c r="AV61" s="34">
        <f>IFERROR(up_RadSpec!$J$18*(AC18*$B61),".")</f>
        <v>189572.96875</v>
      </c>
      <c r="AW61" s="34">
        <f>IFERROR(up_RadSpec!$J$18*(AC18*$B61),".")</f>
        <v>189572.96875</v>
      </c>
      <c r="AX61" s="34">
        <f>IFERROR(up_RadSpec!$J$18*(AC18*$B61),".")</f>
        <v>189572.96875</v>
      </c>
      <c r="AY61" s="34">
        <f>IFERROR(up_RadSpec!$J$18*(AC18*$B61),".")</f>
        <v>189572.96875</v>
      </c>
      <c r="AZ61" s="34">
        <f>IFERROR(up_RadSpec!$J$18*(AC18*$B61),".")</f>
        <v>189572.96875</v>
      </c>
      <c r="BA61" s="42">
        <f t="shared" si="2"/>
        <v>4.3958447178843029E-5</v>
      </c>
      <c r="BB61" s="42">
        <f t="shared" ref="BB61:BY61" si="138">IFERROR(BB18/$B61,0)</f>
        <v>1.3187534153652909E-4</v>
      </c>
      <c r="BC61" s="42">
        <f t="shared" si="138"/>
        <v>1.3187534153652909E-4</v>
      </c>
      <c r="BD61" s="42">
        <f t="shared" si="138"/>
        <v>1.3187534153652909E-4</v>
      </c>
      <c r="BE61" s="42">
        <f t="shared" si="138"/>
        <v>1.3187534153652909E-4</v>
      </c>
      <c r="BF61" s="42">
        <f t="shared" si="138"/>
        <v>1.3187534153652909E-4</v>
      </c>
      <c r="BG61" s="42">
        <f t="shared" si="138"/>
        <v>1.3187534153652909E-4</v>
      </c>
      <c r="BH61" s="42">
        <f t="shared" si="138"/>
        <v>1.3187534153652909E-4</v>
      </c>
      <c r="BI61" s="42">
        <f t="shared" si="138"/>
        <v>1.3187534153652909E-4</v>
      </c>
      <c r="BJ61" s="42">
        <f t="shared" si="138"/>
        <v>1.3187534153652909E-4</v>
      </c>
      <c r="BK61" s="42">
        <f t="shared" si="138"/>
        <v>1.3187534153652909E-4</v>
      </c>
      <c r="BL61" s="42">
        <f t="shared" si="138"/>
        <v>1.3187534153652909E-4</v>
      </c>
      <c r="BM61" s="42">
        <f t="shared" si="138"/>
        <v>1.3187534153652909E-4</v>
      </c>
      <c r="BN61" s="42">
        <f t="shared" si="138"/>
        <v>1.3187534153652909E-4</v>
      </c>
      <c r="BO61" s="42">
        <f t="shared" si="138"/>
        <v>1.3187534153652909E-4</v>
      </c>
      <c r="BP61" s="42">
        <f t="shared" si="138"/>
        <v>1.3187534153652909E-4</v>
      </c>
      <c r="BQ61" s="42">
        <f t="shared" si="138"/>
        <v>1.3187534153652909E-4</v>
      </c>
      <c r="BR61" s="42">
        <f t="shared" si="138"/>
        <v>1.3187534153652909E-4</v>
      </c>
      <c r="BS61" s="42">
        <f t="shared" si="138"/>
        <v>1.3187534153652909E-4</v>
      </c>
      <c r="BT61" s="42">
        <f t="shared" si="138"/>
        <v>1.3187534153652909E-4</v>
      </c>
      <c r="BU61" s="42">
        <f t="shared" si="138"/>
        <v>1.3187534153652909E-4</v>
      </c>
      <c r="BV61" s="42">
        <f t="shared" si="138"/>
        <v>1.3187534153652909E-4</v>
      </c>
      <c r="BW61" s="42">
        <f t="shared" si="138"/>
        <v>1.3187534153652909E-4</v>
      </c>
      <c r="BX61" s="42">
        <f t="shared" si="138"/>
        <v>1.3187534153652909E-4</v>
      </c>
      <c r="BY61" s="42">
        <f t="shared" si="138"/>
        <v>1.3187534153652909E-4</v>
      </c>
      <c r="BZ61" s="34">
        <f t="shared" si="8"/>
        <v>568718.90625</v>
      </c>
      <c r="CA61" s="34">
        <f>IFERROR(up_RadSpec!$J$18*(AC18*$B61),".")</f>
        <v>189572.96875</v>
      </c>
      <c r="CB61" s="34">
        <f>IFERROR(up_RadSpec!$J$18*(AC18*$B61),".")</f>
        <v>189572.96875</v>
      </c>
      <c r="CC61" s="34">
        <f>IFERROR(up_RadSpec!$J$18*(AC18*$B61),".")</f>
        <v>189572.96875</v>
      </c>
      <c r="CD61" s="34">
        <f>IFERROR(up_RadSpec!$J$18*(AC18*$B61),".")</f>
        <v>189572.96875</v>
      </c>
      <c r="CE61" s="34">
        <f>IFERROR(up_RadSpec!$J$18*(AC18*$B61),".")</f>
        <v>189572.96875</v>
      </c>
      <c r="CF61" s="34">
        <f>IFERROR(up_RadSpec!$J$18*(AC18*$B61),".")</f>
        <v>189572.96875</v>
      </c>
      <c r="CG61" s="34">
        <f>IFERROR(up_RadSpec!$J$18*(AC18*$B61),".")</f>
        <v>189572.96875</v>
      </c>
      <c r="CH61" s="34">
        <f>IFERROR(up_RadSpec!$J$18*(AC18*$B61),".")</f>
        <v>189572.96875</v>
      </c>
      <c r="CI61" s="34">
        <f>IFERROR(up_RadSpec!$J$18*(AC18*$B61),".")</f>
        <v>189572.96875</v>
      </c>
      <c r="CJ61" s="34">
        <f>IFERROR(up_RadSpec!$J$18*(AC18*$B61),".")</f>
        <v>189572.96875</v>
      </c>
      <c r="CK61" s="34">
        <f>IFERROR(up_RadSpec!$J$18*(AC18*$B61),".")</f>
        <v>189572.96875</v>
      </c>
      <c r="CL61" s="34">
        <f>IFERROR(up_RadSpec!$J$18*(AC18*$B61),".")</f>
        <v>189572.96875</v>
      </c>
      <c r="CM61" s="34">
        <f>IFERROR(up_RadSpec!$J$18*(AC18*$B61),".")</f>
        <v>189572.96875</v>
      </c>
      <c r="CN61" s="34">
        <f>IFERROR(up_RadSpec!$J$18*(AC18*$B61),".")</f>
        <v>189572.96875</v>
      </c>
      <c r="CO61" s="34">
        <f>IFERROR(up_RadSpec!$J$18*(AC18*$B61),".")</f>
        <v>189572.96875</v>
      </c>
      <c r="CP61" s="34">
        <f>IFERROR(up_RadSpec!$J$18*(AC18*$B61),".")</f>
        <v>189572.96875</v>
      </c>
      <c r="CQ61" s="34">
        <f>IFERROR(up_RadSpec!$J$18*(AC18*$B61),".")</f>
        <v>189572.96875</v>
      </c>
      <c r="CR61" s="34">
        <f>IFERROR(up_RadSpec!$J$18*(AC18*$B61),".")</f>
        <v>189572.96875</v>
      </c>
      <c r="CS61" s="34">
        <f>IFERROR(up_RadSpec!$J$18*(AC18*$B61),".")</f>
        <v>189572.96875</v>
      </c>
      <c r="CT61" s="34">
        <f>IFERROR(up_RadSpec!$J$18*(AC18*$B61),".")</f>
        <v>189572.96875</v>
      </c>
      <c r="CU61" s="34">
        <f>IFERROR(up_RadSpec!$J$18*(AC18*$B61),".")</f>
        <v>189572.96875</v>
      </c>
      <c r="CV61" s="34">
        <f>IFERROR(up_RadSpec!$J$18*(AC18*$B61),".")</f>
        <v>189572.96875</v>
      </c>
      <c r="CW61" s="34">
        <f>IFERROR(up_RadSpec!$J$18*(AC18*$B61),".")</f>
        <v>189572.96875</v>
      </c>
      <c r="CX61" s="34">
        <f>IFERROR(up_RadSpec!$J$18*(AC18*$B61),".")</f>
        <v>189572.96875</v>
      </c>
    </row>
    <row r="62" spans="1:102" x14ac:dyDescent="0.25">
      <c r="A62" s="55" t="s">
        <v>1085</v>
      </c>
      <c r="B62" s="3">
        <v>1.339E-6</v>
      </c>
      <c r="C62" s="42">
        <f t="shared" si="1"/>
        <v>32.829310813176271</v>
      </c>
      <c r="D62" s="42">
        <f t="shared" ref="D62:AA62" si="139">IFERROR(D27/$B62,0)</f>
        <v>98.487932439528819</v>
      </c>
      <c r="E62" s="42">
        <f t="shared" si="139"/>
        <v>98.487932439528819</v>
      </c>
      <c r="F62" s="42">
        <f t="shared" si="139"/>
        <v>98.487932439528819</v>
      </c>
      <c r="G62" s="42">
        <f t="shared" si="139"/>
        <v>98.487932439528819</v>
      </c>
      <c r="H62" s="42">
        <f t="shared" si="139"/>
        <v>98.487932439528819</v>
      </c>
      <c r="I62" s="42">
        <f t="shared" si="139"/>
        <v>98.487932439528819</v>
      </c>
      <c r="J62" s="42">
        <f t="shared" si="139"/>
        <v>98.487932439528819</v>
      </c>
      <c r="K62" s="42">
        <f t="shared" si="139"/>
        <v>98.487932439528819</v>
      </c>
      <c r="L62" s="42">
        <f t="shared" si="139"/>
        <v>98.487932439528819</v>
      </c>
      <c r="M62" s="42">
        <f t="shared" si="139"/>
        <v>98.487932439528819</v>
      </c>
      <c r="N62" s="42">
        <f t="shared" si="139"/>
        <v>98.487932439528819</v>
      </c>
      <c r="O62" s="42">
        <f t="shared" si="139"/>
        <v>98.487932439528819</v>
      </c>
      <c r="P62" s="42">
        <f t="shared" si="139"/>
        <v>98.487932439528819</v>
      </c>
      <c r="Q62" s="42">
        <f t="shared" si="139"/>
        <v>98.487932439528819</v>
      </c>
      <c r="R62" s="42">
        <f t="shared" si="139"/>
        <v>98.487932439528819</v>
      </c>
      <c r="S62" s="42">
        <f t="shared" si="139"/>
        <v>98.487932439528819</v>
      </c>
      <c r="T62" s="42">
        <f t="shared" si="139"/>
        <v>98.487932439528819</v>
      </c>
      <c r="U62" s="42">
        <f t="shared" si="139"/>
        <v>98.487932439528819</v>
      </c>
      <c r="V62" s="42">
        <f t="shared" si="139"/>
        <v>98.487932439528819</v>
      </c>
      <c r="W62" s="42">
        <f t="shared" si="139"/>
        <v>98.487932439528819</v>
      </c>
      <c r="X62" s="42">
        <f t="shared" si="139"/>
        <v>98.487932439528819</v>
      </c>
      <c r="Y62" s="42">
        <f t="shared" si="139"/>
        <v>98.487932439528819</v>
      </c>
      <c r="Z62" s="42">
        <f t="shared" si="139"/>
        <v>98.487932439528819</v>
      </c>
      <c r="AA62" s="42">
        <f t="shared" si="139"/>
        <v>98.487932439528819</v>
      </c>
      <c r="AB62" s="34">
        <f t="shared" si="4"/>
        <v>0.76151461546874999</v>
      </c>
      <c r="AC62" s="34">
        <f>IFERROR(up_RadSpec!$J$27*(AC27*$B62),".")</f>
        <v>0.25383820515625</v>
      </c>
      <c r="AD62" s="34">
        <f>IFERROR(up_RadSpec!$J$27*(AC27*$B62),".")</f>
        <v>0.25383820515625</v>
      </c>
      <c r="AE62" s="34">
        <f>IFERROR(up_RadSpec!$J$27*(AC27*$B62),".")</f>
        <v>0.25383820515625</v>
      </c>
      <c r="AF62" s="34">
        <f>IFERROR(up_RadSpec!$J$27*(AC27*$B62),".")</f>
        <v>0.25383820515625</v>
      </c>
      <c r="AG62" s="34">
        <f>IFERROR(up_RadSpec!$J$27*(AC27*$B62),".")</f>
        <v>0.25383820515625</v>
      </c>
      <c r="AH62" s="34">
        <f>IFERROR(up_RadSpec!$J$27*(AC27*$B62),".")</f>
        <v>0.25383820515625</v>
      </c>
      <c r="AI62" s="34">
        <f>IFERROR(up_RadSpec!$J$27*(AC27*$B62),".")</f>
        <v>0.25383820515625</v>
      </c>
      <c r="AJ62" s="34">
        <f>IFERROR(up_RadSpec!$J$27*(AC27*$B62),".")</f>
        <v>0.25383820515625</v>
      </c>
      <c r="AK62" s="34">
        <f>IFERROR(up_RadSpec!$J$27*(AC27*$B62),".")</f>
        <v>0.25383820515625</v>
      </c>
      <c r="AL62" s="34">
        <f>IFERROR(up_RadSpec!$J$27*(AC27*$B62),".")</f>
        <v>0.25383820515625</v>
      </c>
      <c r="AM62" s="34">
        <f>IFERROR(up_RadSpec!$J$27*(AC27*$B62),".")</f>
        <v>0.25383820515625</v>
      </c>
      <c r="AN62" s="34">
        <f>IFERROR(up_RadSpec!$J$27*(AC27*$B62),".")</f>
        <v>0.25383820515625</v>
      </c>
      <c r="AO62" s="34">
        <f>IFERROR(up_RadSpec!$J$27*(AC27*$B62),".")</f>
        <v>0.25383820515625</v>
      </c>
      <c r="AP62" s="34">
        <f>IFERROR(up_RadSpec!$J$27*(AC27*$B62),".")</f>
        <v>0.25383820515625</v>
      </c>
      <c r="AQ62" s="34">
        <f>IFERROR(up_RadSpec!$J$27*(AC27*$B62),".")</f>
        <v>0.25383820515625</v>
      </c>
      <c r="AR62" s="34">
        <f>IFERROR(up_RadSpec!$J$27*(AC27*$B62),".")</f>
        <v>0.25383820515625</v>
      </c>
      <c r="AS62" s="34">
        <f>IFERROR(up_RadSpec!$J$27*(AC27*$B62),".")</f>
        <v>0.25383820515625</v>
      </c>
      <c r="AT62" s="34">
        <f>IFERROR(up_RadSpec!$J$27*(AC27*$B62),".")</f>
        <v>0.25383820515625</v>
      </c>
      <c r="AU62" s="34">
        <f>IFERROR(up_RadSpec!$J$27*(AC27*$B62),".")</f>
        <v>0.25383820515625</v>
      </c>
      <c r="AV62" s="34">
        <f>IFERROR(up_RadSpec!$J$27*(AC27*$B62),".")</f>
        <v>0.25383820515625</v>
      </c>
      <c r="AW62" s="34">
        <f>IFERROR(up_RadSpec!$J$27*(AC27*$B62),".")</f>
        <v>0.25383820515625</v>
      </c>
      <c r="AX62" s="34">
        <f>IFERROR(up_RadSpec!$J$27*(AC27*$B62),".")</f>
        <v>0.25383820515625</v>
      </c>
      <c r="AY62" s="34">
        <f>IFERROR(up_RadSpec!$J$27*(AC27*$B62),".")</f>
        <v>0.25383820515625</v>
      </c>
      <c r="AZ62" s="34">
        <f>IFERROR(up_RadSpec!$J$27*(AC27*$B62),".")</f>
        <v>0.25383820515625</v>
      </c>
      <c r="BA62" s="42">
        <f t="shared" si="2"/>
        <v>32.829310813176271</v>
      </c>
      <c r="BB62" s="42">
        <f t="shared" ref="BB62:BY62" si="140">IFERROR(BB27/$B62,0)</f>
        <v>98.487932439528819</v>
      </c>
      <c r="BC62" s="42">
        <f t="shared" si="140"/>
        <v>98.487932439528819</v>
      </c>
      <c r="BD62" s="42">
        <f t="shared" si="140"/>
        <v>98.487932439528819</v>
      </c>
      <c r="BE62" s="42">
        <f t="shared" si="140"/>
        <v>98.487932439528819</v>
      </c>
      <c r="BF62" s="42">
        <f t="shared" si="140"/>
        <v>98.487932439528819</v>
      </c>
      <c r="BG62" s="42">
        <f t="shared" si="140"/>
        <v>98.487932439528819</v>
      </c>
      <c r="BH62" s="42">
        <f t="shared" si="140"/>
        <v>98.487932439528819</v>
      </c>
      <c r="BI62" s="42">
        <f t="shared" si="140"/>
        <v>98.487932439528819</v>
      </c>
      <c r="BJ62" s="42">
        <f t="shared" si="140"/>
        <v>98.487932439528819</v>
      </c>
      <c r="BK62" s="42">
        <f t="shared" si="140"/>
        <v>98.487932439528819</v>
      </c>
      <c r="BL62" s="42">
        <f t="shared" si="140"/>
        <v>98.487932439528819</v>
      </c>
      <c r="BM62" s="42">
        <f t="shared" si="140"/>
        <v>98.487932439528819</v>
      </c>
      <c r="BN62" s="42">
        <f t="shared" si="140"/>
        <v>98.487932439528819</v>
      </c>
      <c r="BO62" s="42">
        <f t="shared" si="140"/>
        <v>98.487932439528819</v>
      </c>
      <c r="BP62" s="42">
        <f t="shared" si="140"/>
        <v>98.487932439528819</v>
      </c>
      <c r="BQ62" s="42">
        <f t="shared" si="140"/>
        <v>98.487932439528819</v>
      </c>
      <c r="BR62" s="42">
        <f t="shared" si="140"/>
        <v>98.487932439528819</v>
      </c>
      <c r="BS62" s="42">
        <f t="shared" si="140"/>
        <v>98.487932439528819</v>
      </c>
      <c r="BT62" s="42">
        <f t="shared" si="140"/>
        <v>98.487932439528819</v>
      </c>
      <c r="BU62" s="42">
        <f t="shared" si="140"/>
        <v>98.487932439528819</v>
      </c>
      <c r="BV62" s="42">
        <f t="shared" si="140"/>
        <v>98.487932439528819</v>
      </c>
      <c r="BW62" s="42">
        <f t="shared" si="140"/>
        <v>98.487932439528819</v>
      </c>
      <c r="BX62" s="42">
        <f t="shared" si="140"/>
        <v>98.487932439528819</v>
      </c>
      <c r="BY62" s="42">
        <f t="shared" si="140"/>
        <v>98.487932439528819</v>
      </c>
      <c r="BZ62" s="34">
        <f t="shared" si="8"/>
        <v>0.76151461546874999</v>
      </c>
      <c r="CA62" s="34">
        <f>IFERROR(up_RadSpec!$J$27*(AC27*$B62),".")</f>
        <v>0.25383820515625</v>
      </c>
      <c r="CB62" s="34">
        <f>IFERROR(up_RadSpec!$J$27*(AC27*$B62),".")</f>
        <v>0.25383820515625</v>
      </c>
      <c r="CC62" s="34">
        <f>IFERROR(up_RadSpec!$J$27*(AC27*$B62),".")</f>
        <v>0.25383820515625</v>
      </c>
      <c r="CD62" s="34">
        <f>IFERROR(up_RadSpec!$J$27*(AC27*$B62),".")</f>
        <v>0.25383820515625</v>
      </c>
      <c r="CE62" s="34">
        <f>IFERROR(up_RadSpec!$J$27*(AC27*$B62),".")</f>
        <v>0.25383820515625</v>
      </c>
      <c r="CF62" s="34">
        <f>IFERROR(up_RadSpec!$J$27*(AC27*$B62),".")</f>
        <v>0.25383820515625</v>
      </c>
      <c r="CG62" s="34">
        <f>IFERROR(up_RadSpec!$J$27*(AC27*$B62),".")</f>
        <v>0.25383820515625</v>
      </c>
      <c r="CH62" s="34">
        <f>IFERROR(up_RadSpec!$J$27*(AC27*$B62),".")</f>
        <v>0.25383820515625</v>
      </c>
      <c r="CI62" s="34">
        <f>IFERROR(up_RadSpec!$J$27*(AC27*$B62),".")</f>
        <v>0.25383820515625</v>
      </c>
      <c r="CJ62" s="34">
        <f>IFERROR(up_RadSpec!$J$27*(AC27*$B62),".")</f>
        <v>0.25383820515625</v>
      </c>
      <c r="CK62" s="34">
        <f>IFERROR(up_RadSpec!$J$27*(AC27*$B62),".")</f>
        <v>0.25383820515625</v>
      </c>
      <c r="CL62" s="34">
        <f>IFERROR(up_RadSpec!$J$27*(AC27*$B62),".")</f>
        <v>0.25383820515625</v>
      </c>
      <c r="CM62" s="34">
        <f>IFERROR(up_RadSpec!$J$27*(AC27*$B62),".")</f>
        <v>0.25383820515625</v>
      </c>
      <c r="CN62" s="34">
        <f>IFERROR(up_RadSpec!$J$27*(AC27*$B62),".")</f>
        <v>0.25383820515625</v>
      </c>
      <c r="CO62" s="34">
        <f>IFERROR(up_RadSpec!$J$27*(AC27*$B62),".")</f>
        <v>0.25383820515625</v>
      </c>
      <c r="CP62" s="34">
        <f>IFERROR(up_RadSpec!$J$27*(AC27*$B62),".")</f>
        <v>0.25383820515625</v>
      </c>
      <c r="CQ62" s="34">
        <f>IFERROR(up_RadSpec!$J$27*(AC27*$B62),".")</f>
        <v>0.25383820515625</v>
      </c>
      <c r="CR62" s="34">
        <f>IFERROR(up_RadSpec!$J$27*(AC27*$B62),".")</f>
        <v>0.25383820515625</v>
      </c>
      <c r="CS62" s="34">
        <f>IFERROR(up_RadSpec!$J$27*(AC27*$B62),".")</f>
        <v>0.25383820515625</v>
      </c>
      <c r="CT62" s="34">
        <f>IFERROR(up_RadSpec!$J$27*(AC27*$B62),".")</f>
        <v>0.25383820515625</v>
      </c>
      <c r="CU62" s="34">
        <f>IFERROR(up_RadSpec!$J$27*(AC27*$B62),".")</f>
        <v>0.25383820515625</v>
      </c>
      <c r="CV62" s="34">
        <f>IFERROR(up_RadSpec!$J$27*(AC27*$B62),".")</f>
        <v>0.25383820515625</v>
      </c>
      <c r="CW62" s="34">
        <f>IFERROR(up_RadSpec!$J$27*(AC27*$B62),".")</f>
        <v>0.25383820515625</v>
      </c>
      <c r="CX62" s="34">
        <f>IFERROR(up_RadSpec!$J$27*(AC27*$B62),".")</f>
        <v>0.25383820515625</v>
      </c>
    </row>
    <row r="63" spans="1:102" x14ac:dyDescent="0.25">
      <c r="A63" s="54" t="s">
        <v>23</v>
      </c>
      <c r="B63" s="54" t="s">
        <v>1059</v>
      </c>
      <c r="C63" s="40">
        <f t="shared" si="1"/>
        <v>5.4948049646122372E-6</v>
      </c>
      <c r="D63" s="40">
        <f t="shared" ref="D63:AA63" si="141">1/SUM(1/D64,1/D65,1/D66,1/D67,1/D68,1/D69,1/D70,1/D71,1/D72,1/D73,1/D74,1/D75,1/D76)</f>
        <v>1.6484414893836711E-5</v>
      </c>
      <c r="E63" s="40">
        <f t="shared" si="141"/>
        <v>1.6484414893836711E-5</v>
      </c>
      <c r="F63" s="40">
        <f t="shared" si="141"/>
        <v>1.6484414893836711E-5</v>
      </c>
      <c r="G63" s="40">
        <f t="shared" si="141"/>
        <v>1.6484414893836711E-5</v>
      </c>
      <c r="H63" s="40">
        <f t="shared" si="141"/>
        <v>1.6484414893836711E-5</v>
      </c>
      <c r="I63" s="40">
        <f t="shared" si="141"/>
        <v>1.6484414893836711E-5</v>
      </c>
      <c r="J63" s="40">
        <f t="shared" si="141"/>
        <v>1.6484414893836711E-5</v>
      </c>
      <c r="K63" s="40">
        <f t="shared" si="141"/>
        <v>1.6484414893836711E-5</v>
      </c>
      <c r="L63" s="40">
        <f t="shared" si="141"/>
        <v>1.6484414893836711E-5</v>
      </c>
      <c r="M63" s="40">
        <f t="shared" si="141"/>
        <v>1.6484414893836711E-5</v>
      </c>
      <c r="N63" s="40">
        <f t="shared" si="141"/>
        <v>1.6484414893836711E-5</v>
      </c>
      <c r="O63" s="40">
        <f t="shared" si="141"/>
        <v>1.6484414893836711E-5</v>
      </c>
      <c r="P63" s="40">
        <f t="shared" si="141"/>
        <v>1.6484414893836711E-5</v>
      </c>
      <c r="Q63" s="40">
        <f t="shared" si="141"/>
        <v>1.6484414893836711E-5</v>
      </c>
      <c r="R63" s="40">
        <f t="shared" si="141"/>
        <v>1.6484414893836711E-5</v>
      </c>
      <c r="S63" s="40">
        <f t="shared" si="141"/>
        <v>1.6484414893836711E-5</v>
      </c>
      <c r="T63" s="40">
        <f t="shared" si="141"/>
        <v>1.6484414893836711E-5</v>
      </c>
      <c r="U63" s="40">
        <f t="shared" si="141"/>
        <v>1.6484414893836711E-5</v>
      </c>
      <c r="V63" s="40">
        <f t="shared" si="141"/>
        <v>1.6484414893836711E-5</v>
      </c>
      <c r="W63" s="40">
        <f t="shared" si="141"/>
        <v>1.6484414893836711E-5</v>
      </c>
      <c r="X63" s="40">
        <f t="shared" si="141"/>
        <v>1.6484414893836711E-5</v>
      </c>
      <c r="Y63" s="40">
        <f t="shared" si="141"/>
        <v>1.6484414893836711E-5</v>
      </c>
      <c r="Z63" s="40">
        <f t="shared" si="141"/>
        <v>1.6484414893836711E-5</v>
      </c>
      <c r="AA63" s="40">
        <f t="shared" si="141"/>
        <v>1.6484414893836711E-5</v>
      </c>
      <c r="AB63" s="33">
        <f t="shared" si="4"/>
        <v>4549752.0223202743</v>
      </c>
      <c r="AC63" s="33">
        <f>IFERROR(SUM(AC64:AC76),".")</f>
        <v>1516584.0074400916</v>
      </c>
      <c r="AD63" s="33">
        <f t="shared" ref="AD63:AZ63" si="142">IFERROR(SUM(AD64:AD76),".")</f>
        <v>1516584.0074400916</v>
      </c>
      <c r="AE63" s="33">
        <f t="shared" si="142"/>
        <v>1516584.0074400916</v>
      </c>
      <c r="AF63" s="33">
        <f t="shared" si="142"/>
        <v>1516584.0074400916</v>
      </c>
      <c r="AG63" s="33">
        <f t="shared" si="142"/>
        <v>1516584.0074400916</v>
      </c>
      <c r="AH63" s="33">
        <f t="shared" si="142"/>
        <v>1516584.0074400916</v>
      </c>
      <c r="AI63" s="33">
        <f t="shared" si="142"/>
        <v>1516584.0074400916</v>
      </c>
      <c r="AJ63" s="33">
        <f t="shared" si="142"/>
        <v>1516584.0074400916</v>
      </c>
      <c r="AK63" s="33">
        <f t="shared" si="142"/>
        <v>1516584.0074400916</v>
      </c>
      <c r="AL63" s="33">
        <f t="shared" si="142"/>
        <v>1516584.0074400916</v>
      </c>
      <c r="AM63" s="33">
        <f t="shared" si="142"/>
        <v>1516584.0074400916</v>
      </c>
      <c r="AN63" s="33">
        <f t="shared" si="142"/>
        <v>1516584.0074400916</v>
      </c>
      <c r="AO63" s="33">
        <f t="shared" si="142"/>
        <v>1516584.0074400916</v>
      </c>
      <c r="AP63" s="33">
        <f t="shared" si="142"/>
        <v>1516584.0074400916</v>
      </c>
      <c r="AQ63" s="33">
        <f t="shared" si="142"/>
        <v>1516584.0074400916</v>
      </c>
      <c r="AR63" s="33">
        <f t="shared" si="142"/>
        <v>1516584.0074400916</v>
      </c>
      <c r="AS63" s="33">
        <f t="shared" si="142"/>
        <v>1516584.0074400916</v>
      </c>
      <c r="AT63" s="33">
        <f t="shared" si="142"/>
        <v>1516584.0074400916</v>
      </c>
      <c r="AU63" s="33">
        <f t="shared" si="142"/>
        <v>1516584.0074400916</v>
      </c>
      <c r="AV63" s="33">
        <f t="shared" si="142"/>
        <v>1516584.0074400916</v>
      </c>
      <c r="AW63" s="33">
        <f t="shared" si="142"/>
        <v>1516584.0074400916</v>
      </c>
      <c r="AX63" s="33">
        <f t="shared" si="142"/>
        <v>1516584.0074400916</v>
      </c>
      <c r="AY63" s="33">
        <f t="shared" si="142"/>
        <v>1516584.0074400916</v>
      </c>
      <c r="AZ63" s="33">
        <f t="shared" si="142"/>
        <v>1516584.0074400916</v>
      </c>
      <c r="BA63" s="40">
        <f t="shared" si="2"/>
        <v>5.4948049646122372E-6</v>
      </c>
      <c r="BB63" s="40">
        <f t="shared" ref="BB63:BY63" si="143">1/SUM(1/BB64,1/BB65,1/BB66,1/BB67,1/BB68,1/BB69,1/BB70,1/BB71,1/BB72,1/BB73,1/BB74,1/BB75,1/BB76)</f>
        <v>1.6484414893836711E-5</v>
      </c>
      <c r="BC63" s="40">
        <f t="shared" si="143"/>
        <v>1.6484414893836711E-5</v>
      </c>
      <c r="BD63" s="40">
        <f t="shared" si="143"/>
        <v>1.6484414893836711E-5</v>
      </c>
      <c r="BE63" s="40">
        <f t="shared" si="143"/>
        <v>1.6484414893836711E-5</v>
      </c>
      <c r="BF63" s="40">
        <f t="shared" si="143"/>
        <v>1.6484414893836711E-5</v>
      </c>
      <c r="BG63" s="40">
        <f t="shared" si="143"/>
        <v>1.6484414893836711E-5</v>
      </c>
      <c r="BH63" s="40">
        <f t="shared" si="143"/>
        <v>1.6484414893836711E-5</v>
      </c>
      <c r="BI63" s="40">
        <f t="shared" si="143"/>
        <v>1.6484414893836711E-5</v>
      </c>
      <c r="BJ63" s="40">
        <f t="shared" si="143"/>
        <v>1.6484414893836711E-5</v>
      </c>
      <c r="BK63" s="40">
        <f t="shared" si="143"/>
        <v>1.6484414893836711E-5</v>
      </c>
      <c r="BL63" s="40">
        <f t="shared" si="143"/>
        <v>1.6484414893836711E-5</v>
      </c>
      <c r="BM63" s="40">
        <f t="shared" si="143"/>
        <v>1.6484414893836711E-5</v>
      </c>
      <c r="BN63" s="40">
        <f t="shared" si="143"/>
        <v>1.6484414893836711E-5</v>
      </c>
      <c r="BO63" s="40">
        <f t="shared" si="143"/>
        <v>1.6484414893836711E-5</v>
      </c>
      <c r="BP63" s="40">
        <f t="shared" si="143"/>
        <v>1.6484414893836711E-5</v>
      </c>
      <c r="BQ63" s="40">
        <f t="shared" si="143"/>
        <v>1.6484414893836711E-5</v>
      </c>
      <c r="BR63" s="40">
        <f t="shared" si="143"/>
        <v>1.6484414893836711E-5</v>
      </c>
      <c r="BS63" s="40">
        <f t="shared" si="143"/>
        <v>1.6484414893836711E-5</v>
      </c>
      <c r="BT63" s="40">
        <f t="shared" si="143"/>
        <v>1.6484414893836711E-5</v>
      </c>
      <c r="BU63" s="40">
        <f t="shared" si="143"/>
        <v>1.6484414893836711E-5</v>
      </c>
      <c r="BV63" s="40">
        <f t="shared" si="143"/>
        <v>1.6484414893836711E-5</v>
      </c>
      <c r="BW63" s="40">
        <f t="shared" si="143"/>
        <v>1.6484414893836711E-5</v>
      </c>
      <c r="BX63" s="40">
        <f t="shared" si="143"/>
        <v>1.6484414893836711E-5</v>
      </c>
      <c r="BY63" s="40">
        <f t="shared" si="143"/>
        <v>1.6484414893836711E-5</v>
      </c>
      <c r="BZ63" s="33">
        <f t="shared" si="8"/>
        <v>4549752.0223202743</v>
      </c>
      <c r="CA63" s="33">
        <f>IFERROR(SUM(CA64:CA76),".")</f>
        <v>1516584.0074400916</v>
      </c>
      <c r="CB63" s="33">
        <f t="shared" ref="CB63" si="144">IFERROR(SUM(CB64:CB76),".")</f>
        <v>1516584.0074400916</v>
      </c>
      <c r="CC63" s="33">
        <f t="shared" ref="CC63" si="145">IFERROR(SUM(CC64:CC76),".")</f>
        <v>1516584.0074400916</v>
      </c>
      <c r="CD63" s="33">
        <f t="shared" ref="CD63" si="146">IFERROR(SUM(CD64:CD76),".")</f>
        <v>1516584.0074400916</v>
      </c>
      <c r="CE63" s="33">
        <f t="shared" ref="CE63" si="147">IFERROR(SUM(CE64:CE76),".")</f>
        <v>1516584.0074400916</v>
      </c>
      <c r="CF63" s="33">
        <f t="shared" ref="CF63" si="148">IFERROR(SUM(CF64:CF76),".")</f>
        <v>1516584.0074400916</v>
      </c>
      <c r="CG63" s="33">
        <f t="shared" ref="CG63" si="149">IFERROR(SUM(CG64:CG76),".")</f>
        <v>1516584.0074400916</v>
      </c>
      <c r="CH63" s="33">
        <f t="shared" ref="CH63" si="150">IFERROR(SUM(CH64:CH76),".")</f>
        <v>1516584.0074400916</v>
      </c>
      <c r="CI63" s="33">
        <f t="shared" ref="CI63" si="151">IFERROR(SUM(CI64:CI76),".")</f>
        <v>1516584.0074400916</v>
      </c>
      <c r="CJ63" s="33">
        <f t="shared" ref="CJ63" si="152">IFERROR(SUM(CJ64:CJ76),".")</f>
        <v>1516584.0074400916</v>
      </c>
      <c r="CK63" s="33">
        <f t="shared" ref="CK63" si="153">IFERROR(SUM(CK64:CK76),".")</f>
        <v>1516584.0074400916</v>
      </c>
      <c r="CL63" s="33">
        <f t="shared" ref="CL63" si="154">IFERROR(SUM(CL64:CL76),".")</f>
        <v>1516584.0074400916</v>
      </c>
      <c r="CM63" s="33">
        <f t="shared" ref="CM63" si="155">IFERROR(SUM(CM64:CM76),".")</f>
        <v>1516584.0074400916</v>
      </c>
      <c r="CN63" s="33">
        <f t="shared" ref="CN63" si="156">IFERROR(SUM(CN64:CN76),".")</f>
        <v>1516584.0074400916</v>
      </c>
      <c r="CO63" s="33">
        <f t="shared" ref="CO63" si="157">IFERROR(SUM(CO64:CO76),".")</f>
        <v>1516584.0074400916</v>
      </c>
      <c r="CP63" s="33">
        <f t="shared" ref="CP63" si="158">IFERROR(SUM(CP64:CP76),".")</f>
        <v>1516584.0074400916</v>
      </c>
      <c r="CQ63" s="33">
        <f t="shared" ref="CQ63" si="159">IFERROR(SUM(CQ64:CQ76),".")</f>
        <v>1516584.0074400916</v>
      </c>
      <c r="CR63" s="33">
        <f t="shared" ref="CR63" si="160">IFERROR(SUM(CR64:CR76),".")</f>
        <v>1516584.0074400916</v>
      </c>
      <c r="CS63" s="33">
        <f t="shared" ref="CS63" si="161">IFERROR(SUM(CS64:CS76),".")</f>
        <v>1516584.0074400916</v>
      </c>
      <c r="CT63" s="33">
        <f t="shared" ref="CT63" si="162">IFERROR(SUM(CT64:CT76),".")</f>
        <v>1516584.0074400916</v>
      </c>
      <c r="CU63" s="33">
        <f t="shared" ref="CU63" si="163">IFERROR(SUM(CU64:CU76),".")</f>
        <v>1516584.0074400916</v>
      </c>
      <c r="CV63" s="33">
        <f t="shared" ref="CV63" si="164">IFERROR(SUM(CV64:CV76),".")</f>
        <v>1516584.0074400916</v>
      </c>
      <c r="CW63" s="33">
        <f t="shared" ref="CW63" si="165">IFERROR(SUM(CW64:CW76),".")</f>
        <v>1516584.0074400916</v>
      </c>
      <c r="CX63" s="33">
        <f t="shared" ref="CX63" si="166">IFERROR(SUM(CX64:CX76),".")</f>
        <v>1516584.0074400916</v>
      </c>
    </row>
    <row r="64" spans="1:102" x14ac:dyDescent="0.25">
      <c r="A64" s="55" t="s">
        <v>1075</v>
      </c>
      <c r="B64" s="3">
        <v>1</v>
      </c>
      <c r="C64" s="42">
        <f t="shared" si="1"/>
        <v>4.3958447178843029E-5</v>
      </c>
      <c r="D64" s="42">
        <f t="shared" ref="D64:AA64" si="167">IFERROR(D25/$B50,0)</f>
        <v>1.3187534153652909E-4</v>
      </c>
      <c r="E64" s="42">
        <f t="shared" si="167"/>
        <v>1.3187534153652909E-4</v>
      </c>
      <c r="F64" s="42">
        <f t="shared" si="167"/>
        <v>1.3187534153652909E-4</v>
      </c>
      <c r="G64" s="42">
        <f t="shared" si="167"/>
        <v>1.3187534153652909E-4</v>
      </c>
      <c r="H64" s="42">
        <f t="shared" si="167"/>
        <v>1.3187534153652909E-4</v>
      </c>
      <c r="I64" s="42">
        <f t="shared" si="167"/>
        <v>1.3187534153652909E-4</v>
      </c>
      <c r="J64" s="42">
        <f t="shared" si="167"/>
        <v>1.3187534153652909E-4</v>
      </c>
      <c r="K64" s="42">
        <f t="shared" si="167"/>
        <v>1.3187534153652909E-4</v>
      </c>
      <c r="L64" s="42">
        <f t="shared" si="167"/>
        <v>1.3187534153652909E-4</v>
      </c>
      <c r="M64" s="42">
        <f t="shared" si="167"/>
        <v>1.3187534153652909E-4</v>
      </c>
      <c r="N64" s="42">
        <f t="shared" si="167"/>
        <v>1.3187534153652909E-4</v>
      </c>
      <c r="O64" s="42">
        <f t="shared" si="167"/>
        <v>1.3187534153652909E-4</v>
      </c>
      <c r="P64" s="42">
        <f t="shared" si="167"/>
        <v>1.3187534153652909E-4</v>
      </c>
      <c r="Q64" s="42">
        <f t="shared" si="167"/>
        <v>1.3187534153652909E-4</v>
      </c>
      <c r="R64" s="42">
        <f t="shared" si="167"/>
        <v>1.3187534153652909E-4</v>
      </c>
      <c r="S64" s="42">
        <f t="shared" si="167"/>
        <v>1.3187534153652909E-4</v>
      </c>
      <c r="T64" s="42">
        <f t="shared" si="167"/>
        <v>1.3187534153652909E-4</v>
      </c>
      <c r="U64" s="42">
        <f t="shared" si="167"/>
        <v>1.3187534153652909E-4</v>
      </c>
      <c r="V64" s="42">
        <f t="shared" si="167"/>
        <v>1.3187534153652909E-4</v>
      </c>
      <c r="W64" s="42">
        <f t="shared" si="167"/>
        <v>1.3187534153652909E-4</v>
      </c>
      <c r="X64" s="42">
        <f t="shared" si="167"/>
        <v>1.3187534153652909E-4</v>
      </c>
      <c r="Y64" s="42">
        <f t="shared" si="167"/>
        <v>1.3187534153652909E-4</v>
      </c>
      <c r="Z64" s="42">
        <f t="shared" si="167"/>
        <v>1.3187534153652909E-4</v>
      </c>
      <c r="AA64" s="42">
        <f t="shared" si="167"/>
        <v>1.3187534153652909E-4</v>
      </c>
      <c r="AB64" s="34">
        <f t="shared" si="4"/>
        <v>568718.90625</v>
      </c>
      <c r="AC64" s="34">
        <f>IFERROR(up_RadSpec!$J$25*(AC25*$B64),".")</f>
        <v>189572.96875</v>
      </c>
      <c r="AD64" s="34">
        <f>IFERROR(up_RadSpec!$J$25*(AC25*$B64),".")</f>
        <v>189572.96875</v>
      </c>
      <c r="AE64" s="34">
        <f>IFERROR(up_RadSpec!$J$25*(AC25*$B64),".")</f>
        <v>189572.96875</v>
      </c>
      <c r="AF64" s="34">
        <f>IFERROR(up_RadSpec!$J$25*(AC25*$B64),".")</f>
        <v>189572.96875</v>
      </c>
      <c r="AG64" s="34">
        <f>IFERROR(up_RadSpec!$J$25*(AC25*$B64),".")</f>
        <v>189572.96875</v>
      </c>
      <c r="AH64" s="34">
        <f>IFERROR(up_RadSpec!$J$25*(AC25*$B64),".")</f>
        <v>189572.96875</v>
      </c>
      <c r="AI64" s="34">
        <f>IFERROR(up_RadSpec!$J$25*(AC25*$B64),".")</f>
        <v>189572.96875</v>
      </c>
      <c r="AJ64" s="34">
        <f>IFERROR(up_RadSpec!$J$25*(AC25*$B64),".")</f>
        <v>189572.96875</v>
      </c>
      <c r="AK64" s="34">
        <f>IFERROR(up_RadSpec!$J$25*(AC25*$B64),".")</f>
        <v>189572.96875</v>
      </c>
      <c r="AL64" s="34">
        <f>IFERROR(up_RadSpec!$J$25*(AC25*$B64),".")</f>
        <v>189572.96875</v>
      </c>
      <c r="AM64" s="34">
        <f>IFERROR(up_RadSpec!$J$25*(AC25*$B64),".")</f>
        <v>189572.96875</v>
      </c>
      <c r="AN64" s="34">
        <f>IFERROR(up_RadSpec!$J$25*(AC25*$B64),".")</f>
        <v>189572.96875</v>
      </c>
      <c r="AO64" s="34">
        <f>IFERROR(up_RadSpec!$J$25*(AC25*$B64),".")</f>
        <v>189572.96875</v>
      </c>
      <c r="AP64" s="34">
        <f>IFERROR(up_RadSpec!$J$25*(AC25*$B64),".")</f>
        <v>189572.96875</v>
      </c>
      <c r="AQ64" s="34">
        <f>IFERROR(up_RadSpec!$J$25*(AC25*$B64),".")</f>
        <v>189572.96875</v>
      </c>
      <c r="AR64" s="34">
        <f>IFERROR(up_RadSpec!$J$25*(AC25*$B64),".")</f>
        <v>189572.96875</v>
      </c>
      <c r="AS64" s="34">
        <f>IFERROR(up_RadSpec!$J$25*(AC25*$B64),".")</f>
        <v>189572.96875</v>
      </c>
      <c r="AT64" s="34">
        <f>IFERROR(up_RadSpec!$J$25*(AC25*$B64),".")</f>
        <v>189572.96875</v>
      </c>
      <c r="AU64" s="34">
        <f>IFERROR(up_RadSpec!$J$25*(AC25*$B64),".")</f>
        <v>189572.96875</v>
      </c>
      <c r="AV64" s="34">
        <f>IFERROR(up_RadSpec!$J$25*(AC25*$B64),".")</f>
        <v>189572.96875</v>
      </c>
      <c r="AW64" s="34">
        <f>IFERROR(up_RadSpec!$J$25*(AC25*$B64),".")</f>
        <v>189572.96875</v>
      </c>
      <c r="AX64" s="34">
        <f>IFERROR(up_RadSpec!$J$25*(AC25*$B64),".")</f>
        <v>189572.96875</v>
      </c>
      <c r="AY64" s="34">
        <f>IFERROR(up_RadSpec!$J$25*(AC25*$B64),".")</f>
        <v>189572.96875</v>
      </c>
      <c r="AZ64" s="34">
        <f>IFERROR(up_RadSpec!$J$25*(AC25*$B64),".")</f>
        <v>189572.96875</v>
      </c>
      <c r="BA64" s="42">
        <f t="shared" si="2"/>
        <v>4.3958447178843029E-5</v>
      </c>
      <c r="BB64" s="42">
        <f t="shared" ref="BB64:BY64" si="168">IFERROR(BB25/$B50,0)</f>
        <v>1.3187534153652909E-4</v>
      </c>
      <c r="BC64" s="42">
        <f t="shared" si="168"/>
        <v>1.3187534153652909E-4</v>
      </c>
      <c r="BD64" s="42">
        <f t="shared" si="168"/>
        <v>1.3187534153652909E-4</v>
      </c>
      <c r="BE64" s="42">
        <f t="shared" si="168"/>
        <v>1.3187534153652909E-4</v>
      </c>
      <c r="BF64" s="42">
        <f t="shared" si="168"/>
        <v>1.3187534153652909E-4</v>
      </c>
      <c r="BG64" s="42">
        <f t="shared" si="168"/>
        <v>1.3187534153652909E-4</v>
      </c>
      <c r="BH64" s="42">
        <f t="shared" si="168"/>
        <v>1.3187534153652909E-4</v>
      </c>
      <c r="BI64" s="42">
        <f t="shared" si="168"/>
        <v>1.3187534153652909E-4</v>
      </c>
      <c r="BJ64" s="42">
        <f t="shared" si="168"/>
        <v>1.3187534153652909E-4</v>
      </c>
      <c r="BK64" s="42">
        <f t="shared" si="168"/>
        <v>1.3187534153652909E-4</v>
      </c>
      <c r="BL64" s="42">
        <f t="shared" si="168"/>
        <v>1.3187534153652909E-4</v>
      </c>
      <c r="BM64" s="42">
        <f t="shared" si="168"/>
        <v>1.3187534153652909E-4</v>
      </c>
      <c r="BN64" s="42">
        <f t="shared" si="168"/>
        <v>1.3187534153652909E-4</v>
      </c>
      <c r="BO64" s="42">
        <f t="shared" si="168"/>
        <v>1.3187534153652909E-4</v>
      </c>
      <c r="BP64" s="42">
        <f t="shared" si="168"/>
        <v>1.3187534153652909E-4</v>
      </c>
      <c r="BQ64" s="42">
        <f t="shared" si="168"/>
        <v>1.3187534153652909E-4</v>
      </c>
      <c r="BR64" s="42">
        <f t="shared" si="168"/>
        <v>1.3187534153652909E-4</v>
      </c>
      <c r="BS64" s="42">
        <f t="shared" si="168"/>
        <v>1.3187534153652909E-4</v>
      </c>
      <c r="BT64" s="42">
        <f t="shared" si="168"/>
        <v>1.3187534153652909E-4</v>
      </c>
      <c r="BU64" s="42">
        <f t="shared" si="168"/>
        <v>1.3187534153652909E-4</v>
      </c>
      <c r="BV64" s="42">
        <f t="shared" si="168"/>
        <v>1.3187534153652909E-4</v>
      </c>
      <c r="BW64" s="42">
        <f t="shared" si="168"/>
        <v>1.3187534153652909E-4</v>
      </c>
      <c r="BX64" s="42">
        <f t="shared" si="168"/>
        <v>1.3187534153652909E-4</v>
      </c>
      <c r="BY64" s="42">
        <f t="shared" si="168"/>
        <v>1.3187534153652909E-4</v>
      </c>
      <c r="BZ64" s="34">
        <f t="shared" si="8"/>
        <v>568718.90625</v>
      </c>
      <c r="CA64" s="34">
        <f>IFERROR(up_RadSpec!$J$25*(AC25*$B64),".")</f>
        <v>189572.96875</v>
      </c>
      <c r="CB64" s="34">
        <f>IFERROR(up_RadSpec!$J$25*(AC25*$B64),".")</f>
        <v>189572.96875</v>
      </c>
      <c r="CC64" s="34">
        <f>IFERROR(up_RadSpec!$J$25*(AC25*$B64),".")</f>
        <v>189572.96875</v>
      </c>
      <c r="CD64" s="34">
        <f>IFERROR(up_RadSpec!$J$25*(AC25*$B64),".")</f>
        <v>189572.96875</v>
      </c>
      <c r="CE64" s="34">
        <f>IFERROR(up_RadSpec!$J$25*(AC25*$B64),".")</f>
        <v>189572.96875</v>
      </c>
      <c r="CF64" s="34">
        <f>IFERROR(up_RadSpec!$J$25*(AC25*$B64),".")</f>
        <v>189572.96875</v>
      </c>
      <c r="CG64" s="34">
        <f>IFERROR(up_RadSpec!$J$25*(AC25*$B64),".")</f>
        <v>189572.96875</v>
      </c>
      <c r="CH64" s="34">
        <f>IFERROR(up_RadSpec!$J$25*(AC25*$B64),".")</f>
        <v>189572.96875</v>
      </c>
      <c r="CI64" s="34">
        <f>IFERROR(up_RadSpec!$J$25*(AC25*$B64),".")</f>
        <v>189572.96875</v>
      </c>
      <c r="CJ64" s="34">
        <f>IFERROR(up_RadSpec!$J$25*(AC25*$B64),".")</f>
        <v>189572.96875</v>
      </c>
      <c r="CK64" s="34">
        <f>IFERROR(up_RadSpec!$J$25*(AC25*$B64),".")</f>
        <v>189572.96875</v>
      </c>
      <c r="CL64" s="34">
        <f>IFERROR(up_RadSpec!$J$25*(AC25*$B64),".")</f>
        <v>189572.96875</v>
      </c>
      <c r="CM64" s="34">
        <f>IFERROR(up_RadSpec!$J$25*(AC25*$B64),".")</f>
        <v>189572.96875</v>
      </c>
      <c r="CN64" s="34">
        <f>IFERROR(up_RadSpec!$J$25*(AC25*$B64),".")</f>
        <v>189572.96875</v>
      </c>
      <c r="CO64" s="34">
        <f>IFERROR(up_RadSpec!$J$25*(AC25*$B64),".")</f>
        <v>189572.96875</v>
      </c>
      <c r="CP64" s="34">
        <f>IFERROR(up_RadSpec!$J$25*(AC25*$B64),".")</f>
        <v>189572.96875</v>
      </c>
      <c r="CQ64" s="34">
        <f>IFERROR(up_RadSpec!$J$25*(AC25*$B64),".")</f>
        <v>189572.96875</v>
      </c>
      <c r="CR64" s="34">
        <f>IFERROR(up_RadSpec!$J$25*(AC25*$B64),".")</f>
        <v>189572.96875</v>
      </c>
      <c r="CS64" s="34">
        <f>IFERROR(up_RadSpec!$J$25*(AC25*$B64),".")</f>
        <v>189572.96875</v>
      </c>
      <c r="CT64" s="34">
        <f>IFERROR(up_RadSpec!$J$25*(AC25*$B64),".")</f>
        <v>189572.96875</v>
      </c>
      <c r="CU64" s="34">
        <f>IFERROR(up_RadSpec!$J$25*(AC25*$B64),".")</f>
        <v>189572.96875</v>
      </c>
      <c r="CV64" s="34">
        <f>IFERROR(up_RadSpec!$J$25*(AC25*$B64),".")</f>
        <v>189572.96875</v>
      </c>
      <c r="CW64" s="34">
        <f>IFERROR(up_RadSpec!$J$25*(AC25*$B64),".")</f>
        <v>189572.96875</v>
      </c>
      <c r="CX64" s="34">
        <f>IFERROR(up_RadSpec!$J$25*(AC25*$B64),".")</f>
        <v>189572.96875</v>
      </c>
    </row>
    <row r="65" spans="1:102" x14ac:dyDescent="0.25">
      <c r="A65" s="55" t="s">
        <v>1061</v>
      </c>
      <c r="B65" s="3">
        <v>1</v>
      </c>
      <c r="C65" s="42">
        <f t="shared" si="1"/>
        <v>4.3958447178843029E-5</v>
      </c>
      <c r="D65" s="42">
        <f t="shared" ref="D65:AA65" si="169">IFERROR(D21/$B51,0)</f>
        <v>1.3187534153652909E-4</v>
      </c>
      <c r="E65" s="42">
        <f t="shared" si="169"/>
        <v>1.3187534153652909E-4</v>
      </c>
      <c r="F65" s="42">
        <f t="shared" si="169"/>
        <v>1.3187534153652909E-4</v>
      </c>
      <c r="G65" s="42">
        <f t="shared" si="169"/>
        <v>1.3187534153652909E-4</v>
      </c>
      <c r="H65" s="42">
        <f t="shared" si="169"/>
        <v>1.3187534153652909E-4</v>
      </c>
      <c r="I65" s="42">
        <f t="shared" si="169"/>
        <v>1.3187534153652909E-4</v>
      </c>
      <c r="J65" s="42">
        <f t="shared" si="169"/>
        <v>1.3187534153652909E-4</v>
      </c>
      <c r="K65" s="42">
        <f t="shared" si="169"/>
        <v>1.3187534153652909E-4</v>
      </c>
      <c r="L65" s="42">
        <f t="shared" si="169"/>
        <v>1.3187534153652909E-4</v>
      </c>
      <c r="M65" s="42">
        <f t="shared" si="169"/>
        <v>1.3187534153652909E-4</v>
      </c>
      <c r="N65" s="42">
        <f t="shared" si="169"/>
        <v>1.3187534153652909E-4</v>
      </c>
      <c r="O65" s="42">
        <f t="shared" si="169"/>
        <v>1.3187534153652909E-4</v>
      </c>
      <c r="P65" s="42">
        <f t="shared" si="169"/>
        <v>1.3187534153652909E-4</v>
      </c>
      <c r="Q65" s="42">
        <f t="shared" si="169"/>
        <v>1.3187534153652909E-4</v>
      </c>
      <c r="R65" s="42">
        <f t="shared" si="169"/>
        <v>1.3187534153652909E-4</v>
      </c>
      <c r="S65" s="42">
        <f t="shared" si="169"/>
        <v>1.3187534153652909E-4</v>
      </c>
      <c r="T65" s="42">
        <f t="shared" si="169"/>
        <v>1.3187534153652909E-4</v>
      </c>
      <c r="U65" s="42">
        <f t="shared" si="169"/>
        <v>1.3187534153652909E-4</v>
      </c>
      <c r="V65" s="42">
        <f t="shared" si="169"/>
        <v>1.3187534153652909E-4</v>
      </c>
      <c r="W65" s="42">
        <f t="shared" si="169"/>
        <v>1.3187534153652909E-4</v>
      </c>
      <c r="X65" s="42">
        <f t="shared" si="169"/>
        <v>1.3187534153652909E-4</v>
      </c>
      <c r="Y65" s="42">
        <f t="shared" si="169"/>
        <v>1.3187534153652909E-4</v>
      </c>
      <c r="Z65" s="42">
        <f t="shared" si="169"/>
        <v>1.3187534153652909E-4</v>
      </c>
      <c r="AA65" s="42">
        <f t="shared" si="169"/>
        <v>1.3187534153652909E-4</v>
      </c>
      <c r="AB65" s="34">
        <f t="shared" si="4"/>
        <v>568718.90625</v>
      </c>
      <c r="AC65" s="34">
        <f>IFERROR(up_RadSpec!$J$21*(AC21*$B65),".")</f>
        <v>189572.96875</v>
      </c>
      <c r="AD65" s="34">
        <f>IFERROR(up_RadSpec!$J$21*(AC21*$B65),".")</f>
        <v>189572.96875</v>
      </c>
      <c r="AE65" s="34">
        <f>IFERROR(up_RadSpec!$J$21*(AC21*$B65),".")</f>
        <v>189572.96875</v>
      </c>
      <c r="AF65" s="34">
        <f>IFERROR(up_RadSpec!$J$21*(AC21*$B65),".")</f>
        <v>189572.96875</v>
      </c>
      <c r="AG65" s="34">
        <f>IFERROR(up_RadSpec!$J$21*(AC21*$B65),".")</f>
        <v>189572.96875</v>
      </c>
      <c r="AH65" s="34">
        <f>IFERROR(up_RadSpec!$J$21*(AC21*$B65),".")</f>
        <v>189572.96875</v>
      </c>
      <c r="AI65" s="34">
        <f>IFERROR(up_RadSpec!$J$21*(AC21*$B65),".")</f>
        <v>189572.96875</v>
      </c>
      <c r="AJ65" s="34">
        <f>IFERROR(up_RadSpec!$J$21*(AC21*$B65),".")</f>
        <v>189572.96875</v>
      </c>
      <c r="AK65" s="34">
        <f>IFERROR(up_RadSpec!$J$21*(AC21*$B65),".")</f>
        <v>189572.96875</v>
      </c>
      <c r="AL65" s="34">
        <f>IFERROR(up_RadSpec!$J$21*(AC21*$B65),".")</f>
        <v>189572.96875</v>
      </c>
      <c r="AM65" s="34">
        <f>IFERROR(up_RadSpec!$J$21*(AC21*$B65),".")</f>
        <v>189572.96875</v>
      </c>
      <c r="AN65" s="34">
        <f>IFERROR(up_RadSpec!$J$21*(AC21*$B65),".")</f>
        <v>189572.96875</v>
      </c>
      <c r="AO65" s="34">
        <f>IFERROR(up_RadSpec!$J$21*(AC21*$B65),".")</f>
        <v>189572.96875</v>
      </c>
      <c r="AP65" s="34">
        <f>IFERROR(up_RadSpec!$J$21*(AC21*$B65),".")</f>
        <v>189572.96875</v>
      </c>
      <c r="AQ65" s="34">
        <f>IFERROR(up_RadSpec!$J$21*(AC21*$B65),".")</f>
        <v>189572.96875</v>
      </c>
      <c r="AR65" s="34">
        <f>IFERROR(up_RadSpec!$J$21*(AC21*$B65),".")</f>
        <v>189572.96875</v>
      </c>
      <c r="AS65" s="34">
        <f>IFERROR(up_RadSpec!$J$21*(AC21*$B65),".")</f>
        <v>189572.96875</v>
      </c>
      <c r="AT65" s="34">
        <f>IFERROR(up_RadSpec!$J$21*(AC21*$B65),".")</f>
        <v>189572.96875</v>
      </c>
      <c r="AU65" s="34">
        <f>IFERROR(up_RadSpec!$J$21*(AC21*$B65),".")</f>
        <v>189572.96875</v>
      </c>
      <c r="AV65" s="34">
        <f>IFERROR(up_RadSpec!$J$21*(AC21*$B65),".")</f>
        <v>189572.96875</v>
      </c>
      <c r="AW65" s="34">
        <f>IFERROR(up_RadSpec!$J$21*(AC21*$B65),".")</f>
        <v>189572.96875</v>
      </c>
      <c r="AX65" s="34">
        <f>IFERROR(up_RadSpec!$J$21*(AC21*$B65),".")</f>
        <v>189572.96875</v>
      </c>
      <c r="AY65" s="34">
        <f>IFERROR(up_RadSpec!$J$21*(AC21*$B65),".")</f>
        <v>189572.96875</v>
      </c>
      <c r="AZ65" s="34">
        <f>IFERROR(up_RadSpec!$J$21*(AC21*$B65),".")</f>
        <v>189572.96875</v>
      </c>
      <c r="BA65" s="42">
        <f t="shared" si="2"/>
        <v>4.3958447178843029E-5</v>
      </c>
      <c r="BB65" s="42">
        <f t="shared" ref="BB65:BY65" si="170">IFERROR(BB21/$B51,0)</f>
        <v>1.3187534153652909E-4</v>
      </c>
      <c r="BC65" s="42">
        <f t="shared" si="170"/>
        <v>1.3187534153652909E-4</v>
      </c>
      <c r="BD65" s="42">
        <f t="shared" si="170"/>
        <v>1.3187534153652909E-4</v>
      </c>
      <c r="BE65" s="42">
        <f t="shared" si="170"/>
        <v>1.3187534153652909E-4</v>
      </c>
      <c r="BF65" s="42">
        <f t="shared" si="170"/>
        <v>1.3187534153652909E-4</v>
      </c>
      <c r="BG65" s="42">
        <f t="shared" si="170"/>
        <v>1.3187534153652909E-4</v>
      </c>
      <c r="BH65" s="42">
        <f t="shared" si="170"/>
        <v>1.3187534153652909E-4</v>
      </c>
      <c r="BI65" s="42">
        <f t="shared" si="170"/>
        <v>1.3187534153652909E-4</v>
      </c>
      <c r="BJ65" s="42">
        <f t="shared" si="170"/>
        <v>1.3187534153652909E-4</v>
      </c>
      <c r="BK65" s="42">
        <f t="shared" si="170"/>
        <v>1.3187534153652909E-4</v>
      </c>
      <c r="BL65" s="42">
        <f t="shared" si="170"/>
        <v>1.3187534153652909E-4</v>
      </c>
      <c r="BM65" s="42">
        <f t="shared" si="170"/>
        <v>1.3187534153652909E-4</v>
      </c>
      <c r="BN65" s="42">
        <f t="shared" si="170"/>
        <v>1.3187534153652909E-4</v>
      </c>
      <c r="BO65" s="42">
        <f t="shared" si="170"/>
        <v>1.3187534153652909E-4</v>
      </c>
      <c r="BP65" s="42">
        <f t="shared" si="170"/>
        <v>1.3187534153652909E-4</v>
      </c>
      <c r="BQ65" s="42">
        <f t="shared" si="170"/>
        <v>1.3187534153652909E-4</v>
      </c>
      <c r="BR65" s="42">
        <f t="shared" si="170"/>
        <v>1.3187534153652909E-4</v>
      </c>
      <c r="BS65" s="42">
        <f t="shared" si="170"/>
        <v>1.3187534153652909E-4</v>
      </c>
      <c r="BT65" s="42">
        <f t="shared" si="170"/>
        <v>1.3187534153652909E-4</v>
      </c>
      <c r="BU65" s="42">
        <f t="shared" si="170"/>
        <v>1.3187534153652909E-4</v>
      </c>
      <c r="BV65" s="42">
        <f t="shared" si="170"/>
        <v>1.3187534153652909E-4</v>
      </c>
      <c r="BW65" s="42">
        <f t="shared" si="170"/>
        <v>1.3187534153652909E-4</v>
      </c>
      <c r="BX65" s="42">
        <f t="shared" si="170"/>
        <v>1.3187534153652909E-4</v>
      </c>
      <c r="BY65" s="42">
        <f t="shared" si="170"/>
        <v>1.3187534153652909E-4</v>
      </c>
      <c r="BZ65" s="34">
        <f t="shared" si="8"/>
        <v>568718.90625</v>
      </c>
      <c r="CA65" s="34">
        <f>IFERROR(up_RadSpec!$J$21*(AC21*$B65),".")</f>
        <v>189572.96875</v>
      </c>
      <c r="CB65" s="34">
        <f>IFERROR(up_RadSpec!$J$21*(AC21*$B65),".")</f>
        <v>189572.96875</v>
      </c>
      <c r="CC65" s="34">
        <f>IFERROR(up_RadSpec!$J$21*(AC21*$B65),".")</f>
        <v>189572.96875</v>
      </c>
      <c r="CD65" s="34">
        <f>IFERROR(up_RadSpec!$J$21*(AC21*$B65),".")</f>
        <v>189572.96875</v>
      </c>
      <c r="CE65" s="34">
        <f>IFERROR(up_RadSpec!$J$21*(AC21*$B65),".")</f>
        <v>189572.96875</v>
      </c>
      <c r="CF65" s="34">
        <f>IFERROR(up_RadSpec!$J$21*(AC21*$B65),".")</f>
        <v>189572.96875</v>
      </c>
      <c r="CG65" s="34">
        <f>IFERROR(up_RadSpec!$J$21*(AC21*$B65),".")</f>
        <v>189572.96875</v>
      </c>
      <c r="CH65" s="34">
        <f>IFERROR(up_RadSpec!$J$21*(AC21*$B65),".")</f>
        <v>189572.96875</v>
      </c>
      <c r="CI65" s="34">
        <f>IFERROR(up_RadSpec!$J$21*(AC21*$B65),".")</f>
        <v>189572.96875</v>
      </c>
      <c r="CJ65" s="34">
        <f>IFERROR(up_RadSpec!$J$21*(AC21*$B65),".")</f>
        <v>189572.96875</v>
      </c>
      <c r="CK65" s="34">
        <f>IFERROR(up_RadSpec!$J$21*(AC21*$B65),".")</f>
        <v>189572.96875</v>
      </c>
      <c r="CL65" s="34">
        <f>IFERROR(up_RadSpec!$J$21*(AC21*$B65),".")</f>
        <v>189572.96875</v>
      </c>
      <c r="CM65" s="34">
        <f>IFERROR(up_RadSpec!$J$21*(AC21*$B65),".")</f>
        <v>189572.96875</v>
      </c>
      <c r="CN65" s="34">
        <f>IFERROR(up_RadSpec!$J$21*(AC21*$B65),".")</f>
        <v>189572.96875</v>
      </c>
      <c r="CO65" s="34">
        <f>IFERROR(up_RadSpec!$J$21*(AC21*$B65),".")</f>
        <v>189572.96875</v>
      </c>
      <c r="CP65" s="34">
        <f>IFERROR(up_RadSpec!$J$21*(AC21*$B65),".")</f>
        <v>189572.96875</v>
      </c>
      <c r="CQ65" s="34">
        <f>IFERROR(up_RadSpec!$J$21*(AC21*$B65),".")</f>
        <v>189572.96875</v>
      </c>
      <c r="CR65" s="34">
        <f>IFERROR(up_RadSpec!$J$21*(AC21*$B65),".")</f>
        <v>189572.96875</v>
      </c>
      <c r="CS65" s="34">
        <f>IFERROR(up_RadSpec!$J$21*(AC21*$B65),".")</f>
        <v>189572.96875</v>
      </c>
      <c r="CT65" s="34">
        <f>IFERROR(up_RadSpec!$J$21*(AC21*$B65),".")</f>
        <v>189572.96875</v>
      </c>
      <c r="CU65" s="34">
        <f>IFERROR(up_RadSpec!$J$21*(AC21*$B65),".")</f>
        <v>189572.96875</v>
      </c>
      <c r="CV65" s="34">
        <f>IFERROR(up_RadSpec!$J$21*(AC21*$B65),".")</f>
        <v>189572.96875</v>
      </c>
      <c r="CW65" s="34">
        <f>IFERROR(up_RadSpec!$J$21*(AC21*$B65),".")</f>
        <v>189572.96875</v>
      </c>
      <c r="CX65" s="34">
        <f>IFERROR(up_RadSpec!$J$21*(AC21*$B65),".")</f>
        <v>189572.96875</v>
      </c>
    </row>
    <row r="66" spans="1:102" x14ac:dyDescent="0.25">
      <c r="A66" s="55" t="s">
        <v>1062</v>
      </c>
      <c r="B66" s="3">
        <v>0.99980000000000002</v>
      </c>
      <c r="C66" s="42">
        <f t="shared" si="1"/>
        <v>4.3967240626968418E-5</v>
      </c>
      <c r="D66" s="42">
        <f t="shared" ref="D66:AA66" si="171">IFERROR(D17/$B52,0)</f>
        <v>1.3190172188090525E-4</v>
      </c>
      <c r="E66" s="42">
        <f t="shared" si="171"/>
        <v>1.3190172188090525E-4</v>
      </c>
      <c r="F66" s="42">
        <f t="shared" si="171"/>
        <v>1.3190172188090525E-4</v>
      </c>
      <c r="G66" s="42">
        <f t="shared" si="171"/>
        <v>1.3190172188090525E-4</v>
      </c>
      <c r="H66" s="42">
        <f t="shared" si="171"/>
        <v>1.3190172188090525E-4</v>
      </c>
      <c r="I66" s="42">
        <f t="shared" si="171"/>
        <v>1.3190172188090525E-4</v>
      </c>
      <c r="J66" s="42">
        <f t="shared" si="171"/>
        <v>1.3190172188090525E-4</v>
      </c>
      <c r="K66" s="42">
        <f t="shared" si="171"/>
        <v>1.3190172188090525E-4</v>
      </c>
      <c r="L66" s="42">
        <f t="shared" si="171"/>
        <v>1.3190172188090525E-4</v>
      </c>
      <c r="M66" s="42">
        <f t="shared" si="171"/>
        <v>1.3190172188090525E-4</v>
      </c>
      <c r="N66" s="42">
        <f t="shared" si="171"/>
        <v>1.3190172188090525E-4</v>
      </c>
      <c r="O66" s="42">
        <f t="shared" si="171"/>
        <v>1.3190172188090525E-4</v>
      </c>
      <c r="P66" s="42">
        <f t="shared" si="171"/>
        <v>1.3190172188090525E-4</v>
      </c>
      <c r="Q66" s="42">
        <f t="shared" si="171"/>
        <v>1.3190172188090525E-4</v>
      </c>
      <c r="R66" s="42">
        <f t="shared" si="171"/>
        <v>1.3190172188090525E-4</v>
      </c>
      <c r="S66" s="42">
        <f t="shared" si="171"/>
        <v>1.3190172188090525E-4</v>
      </c>
      <c r="T66" s="42">
        <f t="shared" si="171"/>
        <v>1.3190172188090525E-4</v>
      </c>
      <c r="U66" s="42">
        <f t="shared" si="171"/>
        <v>1.3190172188090525E-4</v>
      </c>
      <c r="V66" s="42">
        <f t="shared" si="171"/>
        <v>1.3190172188090525E-4</v>
      </c>
      <c r="W66" s="42">
        <f t="shared" si="171"/>
        <v>1.3190172188090525E-4</v>
      </c>
      <c r="X66" s="42">
        <f t="shared" si="171"/>
        <v>1.3190172188090525E-4</v>
      </c>
      <c r="Y66" s="42">
        <f t="shared" si="171"/>
        <v>1.3190172188090525E-4</v>
      </c>
      <c r="Z66" s="42">
        <f t="shared" si="171"/>
        <v>1.3190172188090525E-4</v>
      </c>
      <c r="AA66" s="42">
        <f t="shared" si="171"/>
        <v>1.3190172188090525E-4</v>
      </c>
      <c r="AB66" s="34">
        <f t="shared" si="4"/>
        <v>568605.16246875003</v>
      </c>
      <c r="AC66" s="34">
        <f>IFERROR(up_RadSpec!$J$17*(AC17*$B66),".")</f>
        <v>189535.05415625</v>
      </c>
      <c r="AD66" s="34">
        <f>IFERROR(up_RadSpec!$J$17*(AC17*$B66),".")</f>
        <v>189535.05415625</v>
      </c>
      <c r="AE66" s="34">
        <f>IFERROR(up_RadSpec!$J$17*(AC17*$B66),".")</f>
        <v>189535.05415625</v>
      </c>
      <c r="AF66" s="34">
        <f>IFERROR(up_RadSpec!$J$17*(AC17*$B66),".")</f>
        <v>189535.05415625</v>
      </c>
      <c r="AG66" s="34">
        <f>IFERROR(up_RadSpec!$J$17*(AC17*$B66),".")</f>
        <v>189535.05415625</v>
      </c>
      <c r="AH66" s="34">
        <f>IFERROR(up_RadSpec!$J$17*(AC17*$B66),".")</f>
        <v>189535.05415625</v>
      </c>
      <c r="AI66" s="34">
        <f>IFERROR(up_RadSpec!$J$17*(AC17*$B66),".")</f>
        <v>189535.05415625</v>
      </c>
      <c r="AJ66" s="34">
        <f>IFERROR(up_RadSpec!$J$17*(AC17*$B66),".")</f>
        <v>189535.05415625</v>
      </c>
      <c r="AK66" s="34">
        <f>IFERROR(up_RadSpec!$J$17*(AC17*$B66),".")</f>
        <v>189535.05415625</v>
      </c>
      <c r="AL66" s="34">
        <f>IFERROR(up_RadSpec!$J$17*(AC17*$B66),".")</f>
        <v>189535.05415625</v>
      </c>
      <c r="AM66" s="34">
        <f>IFERROR(up_RadSpec!$J$17*(AC17*$B66),".")</f>
        <v>189535.05415625</v>
      </c>
      <c r="AN66" s="34">
        <f>IFERROR(up_RadSpec!$J$17*(AC17*$B66),".")</f>
        <v>189535.05415625</v>
      </c>
      <c r="AO66" s="34">
        <f>IFERROR(up_RadSpec!$J$17*(AC17*$B66),".")</f>
        <v>189535.05415625</v>
      </c>
      <c r="AP66" s="34">
        <f>IFERROR(up_RadSpec!$J$17*(AC17*$B66),".")</f>
        <v>189535.05415625</v>
      </c>
      <c r="AQ66" s="34">
        <f>IFERROR(up_RadSpec!$J$17*(AC17*$B66),".")</f>
        <v>189535.05415625</v>
      </c>
      <c r="AR66" s="34">
        <f>IFERROR(up_RadSpec!$J$17*(AC17*$B66),".")</f>
        <v>189535.05415625</v>
      </c>
      <c r="AS66" s="34">
        <f>IFERROR(up_RadSpec!$J$17*(AC17*$B66),".")</f>
        <v>189535.05415625</v>
      </c>
      <c r="AT66" s="34">
        <f>IFERROR(up_RadSpec!$J$17*(AC17*$B66),".")</f>
        <v>189535.05415625</v>
      </c>
      <c r="AU66" s="34">
        <f>IFERROR(up_RadSpec!$J$17*(AC17*$B66),".")</f>
        <v>189535.05415625</v>
      </c>
      <c r="AV66" s="34">
        <f>IFERROR(up_RadSpec!$J$17*(AC17*$B66),".")</f>
        <v>189535.05415625</v>
      </c>
      <c r="AW66" s="34">
        <f>IFERROR(up_RadSpec!$J$17*(AC17*$B66),".")</f>
        <v>189535.05415625</v>
      </c>
      <c r="AX66" s="34">
        <f>IFERROR(up_RadSpec!$J$17*(AC17*$B66),".")</f>
        <v>189535.05415625</v>
      </c>
      <c r="AY66" s="34">
        <f>IFERROR(up_RadSpec!$J$17*(AC17*$B66),".")</f>
        <v>189535.05415625</v>
      </c>
      <c r="AZ66" s="34">
        <f>IFERROR(up_RadSpec!$J$17*(AC17*$B66),".")</f>
        <v>189535.05415625</v>
      </c>
      <c r="BA66" s="42">
        <f t="shared" si="2"/>
        <v>4.3967240626968418E-5</v>
      </c>
      <c r="BB66" s="42">
        <f t="shared" ref="BB66:BY66" si="172">IFERROR(BB17/$B52,0)</f>
        <v>1.3190172188090525E-4</v>
      </c>
      <c r="BC66" s="42">
        <f t="shared" si="172"/>
        <v>1.3190172188090525E-4</v>
      </c>
      <c r="BD66" s="42">
        <f t="shared" si="172"/>
        <v>1.3190172188090525E-4</v>
      </c>
      <c r="BE66" s="42">
        <f t="shared" si="172"/>
        <v>1.3190172188090525E-4</v>
      </c>
      <c r="BF66" s="42">
        <f t="shared" si="172"/>
        <v>1.3190172188090525E-4</v>
      </c>
      <c r="BG66" s="42">
        <f t="shared" si="172"/>
        <v>1.3190172188090525E-4</v>
      </c>
      <c r="BH66" s="42">
        <f t="shared" si="172"/>
        <v>1.3190172188090525E-4</v>
      </c>
      <c r="BI66" s="42">
        <f t="shared" si="172"/>
        <v>1.3190172188090525E-4</v>
      </c>
      <c r="BJ66" s="42">
        <f t="shared" si="172"/>
        <v>1.3190172188090525E-4</v>
      </c>
      <c r="BK66" s="42">
        <f t="shared" si="172"/>
        <v>1.3190172188090525E-4</v>
      </c>
      <c r="BL66" s="42">
        <f t="shared" si="172"/>
        <v>1.3190172188090525E-4</v>
      </c>
      <c r="BM66" s="42">
        <f t="shared" si="172"/>
        <v>1.3190172188090525E-4</v>
      </c>
      <c r="BN66" s="42">
        <f t="shared" si="172"/>
        <v>1.3190172188090525E-4</v>
      </c>
      <c r="BO66" s="42">
        <f t="shared" si="172"/>
        <v>1.3190172188090525E-4</v>
      </c>
      <c r="BP66" s="42">
        <f t="shared" si="172"/>
        <v>1.3190172188090525E-4</v>
      </c>
      <c r="BQ66" s="42">
        <f t="shared" si="172"/>
        <v>1.3190172188090525E-4</v>
      </c>
      <c r="BR66" s="42">
        <f t="shared" si="172"/>
        <v>1.3190172188090525E-4</v>
      </c>
      <c r="BS66" s="42">
        <f t="shared" si="172"/>
        <v>1.3190172188090525E-4</v>
      </c>
      <c r="BT66" s="42">
        <f t="shared" si="172"/>
        <v>1.3190172188090525E-4</v>
      </c>
      <c r="BU66" s="42">
        <f t="shared" si="172"/>
        <v>1.3190172188090525E-4</v>
      </c>
      <c r="BV66" s="42">
        <f t="shared" si="172"/>
        <v>1.3190172188090525E-4</v>
      </c>
      <c r="BW66" s="42">
        <f t="shared" si="172"/>
        <v>1.3190172188090525E-4</v>
      </c>
      <c r="BX66" s="42">
        <f t="shared" si="172"/>
        <v>1.3190172188090525E-4</v>
      </c>
      <c r="BY66" s="42">
        <f t="shared" si="172"/>
        <v>1.3190172188090525E-4</v>
      </c>
      <c r="BZ66" s="34">
        <f t="shared" si="8"/>
        <v>568605.16246875003</v>
      </c>
      <c r="CA66" s="34">
        <f>IFERROR(up_RadSpec!$J$17*(AC17*$B66),".")</f>
        <v>189535.05415625</v>
      </c>
      <c r="CB66" s="34">
        <f>IFERROR(up_RadSpec!$J$17*(AC17*$B66),".")</f>
        <v>189535.05415625</v>
      </c>
      <c r="CC66" s="34">
        <f>IFERROR(up_RadSpec!$J$17*(AC17*$B66),".")</f>
        <v>189535.05415625</v>
      </c>
      <c r="CD66" s="34">
        <f>IFERROR(up_RadSpec!$J$17*(AC17*$B66),".")</f>
        <v>189535.05415625</v>
      </c>
      <c r="CE66" s="34">
        <f>IFERROR(up_RadSpec!$J$17*(AC17*$B66),".")</f>
        <v>189535.05415625</v>
      </c>
      <c r="CF66" s="34">
        <f>IFERROR(up_RadSpec!$J$17*(AC17*$B66),".")</f>
        <v>189535.05415625</v>
      </c>
      <c r="CG66" s="34">
        <f>IFERROR(up_RadSpec!$J$17*(AC17*$B66),".")</f>
        <v>189535.05415625</v>
      </c>
      <c r="CH66" s="34">
        <f>IFERROR(up_RadSpec!$J$17*(AC17*$B66),".")</f>
        <v>189535.05415625</v>
      </c>
      <c r="CI66" s="34">
        <f>IFERROR(up_RadSpec!$J$17*(AC17*$B66),".")</f>
        <v>189535.05415625</v>
      </c>
      <c r="CJ66" s="34">
        <f>IFERROR(up_RadSpec!$J$17*(AC17*$B66),".")</f>
        <v>189535.05415625</v>
      </c>
      <c r="CK66" s="34">
        <f>IFERROR(up_RadSpec!$J$17*(AC17*$B66),".")</f>
        <v>189535.05415625</v>
      </c>
      <c r="CL66" s="34">
        <f>IFERROR(up_RadSpec!$J$17*(AC17*$B66),".")</f>
        <v>189535.05415625</v>
      </c>
      <c r="CM66" s="34">
        <f>IFERROR(up_RadSpec!$J$17*(AC17*$B66),".")</f>
        <v>189535.05415625</v>
      </c>
      <c r="CN66" s="34">
        <f>IFERROR(up_RadSpec!$J$17*(AC17*$B66),".")</f>
        <v>189535.05415625</v>
      </c>
      <c r="CO66" s="34">
        <f>IFERROR(up_RadSpec!$J$17*(AC17*$B66),".")</f>
        <v>189535.05415625</v>
      </c>
      <c r="CP66" s="34">
        <f>IFERROR(up_RadSpec!$J$17*(AC17*$B66),".")</f>
        <v>189535.05415625</v>
      </c>
      <c r="CQ66" s="34">
        <f>IFERROR(up_RadSpec!$J$17*(AC17*$B66),".")</f>
        <v>189535.05415625</v>
      </c>
      <c r="CR66" s="34">
        <f>IFERROR(up_RadSpec!$J$17*(AC17*$B66),".")</f>
        <v>189535.05415625</v>
      </c>
      <c r="CS66" s="34">
        <f>IFERROR(up_RadSpec!$J$17*(AC17*$B66),".")</f>
        <v>189535.05415625</v>
      </c>
      <c r="CT66" s="34">
        <f>IFERROR(up_RadSpec!$J$17*(AC17*$B66),".")</f>
        <v>189535.05415625</v>
      </c>
      <c r="CU66" s="34">
        <f>IFERROR(up_RadSpec!$J$17*(AC17*$B66),".")</f>
        <v>189535.05415625</v>
      </c>
      <c r="CV66" s="34">
        <f>IFERROR(up_RadSpec!$J$17*(AC17*$B66),".")</f>
        <v>189535.05415625</v>
      </c>
      <c r="CW66" s="34">
        <f>IFERROR(up_RadSpec!$J$17*(AC17*$B66),".")</f>
        <v>189535.05415625</v>
      </c>
      <c r="CX66" s="34">
        <f>IFERROR(up_RadSpec!$J$17*(AC17*$B66),".")</f>
        <v>189535.05415625</v>
      </c>
    </row>
    <row r="67" spans="1:102" x14ac:dyDescent="0.25">
      <c r="A67" s="55" t="s">
        <v>1076</v>
      </c>
      <c r="B67" s="3">
        <v>2.0000000000000001E-4</v>
      </c>
      <c r="C67" s="42">
        <f t="shared" ref="C67:C76" si="173">IFERROR(1/SUM(1/D67,1/Z67,1/AA67),".")</f>
        <v>0.21979223589421515</v>
      </c>
      <c r="D67" s="42">
        <f t="shared" ref="D67:AA67" si="174">IFERROR(D5/$B53,0)</f>
        <v>0.65937670768264545</v>
      </c>
      <c r="E67" s="42">
        <f t="shared" si="174"/>
        <v>0.65937670768264545</v>
      </c>
      <c r="F67" s="42">
        <f t="shared" si="174"/>
        <v>0.65937670768264545</v>
      </c>
      <c r="G67" s="42">
        <f t="shared" si="174"/>
        <v>0.65937670768264545</v>
      </c>
      <c r="H67" s="42">
        <f t="shared" si="174"/>
        <v>0.65937670768264545</v>
      </c>
      <c r="I67" s="42">
        <f t="shared" si="174"/>
        <v>0.65937670768264545</v>
      </c>
      <c r="J67" s="42">
        <f t="shared" si="174"/>
        <v>0.65937670768264545</v>
      </c>
      <c r="K67" s="42">
        <f t="shared" si="174"/>
        <v>0.65937670768264545</v>
      </c>
      <c r="L67" s="42">
        <f t="shared" si="174"/>
        <v>0.65937670768264545</v>
      </c>
      <c r="M67" s="42">
        <f t="shared" si="174"/>
        <v>0.65937670768264545</v>
      </c>
      <c r="N67" s="42">
        <f t="shared" si="174"/>
        <v>0.65937670768264545</v>
      </c>
      <c r="O67" s="42">
        <f t="shared" si="174"/>
        <v>0.65937670768264545</v>
      </c>
      <c r="P67" s="42">
        <f t="shared" si="174"/>
        <v>0.65937670768264545</v>
      </c>
      <c r="Q67" s="42">
        <f t="shared" si="174"/>
        <v>0.65937670768264545</v>
      </c>
      <c r="R67" s="42">
        <f t="shared" si="174"/>
        <v>0.65937670768264545</v>
      </c>
      <c r="S67" s="42">
        <f t="shared" si="174"/>
        <v>0.65937670768264545</v>
      </c>
      <c r="T67" s="42">
        <f t="shared" si="174"/>
        <v>0.65937670768264545</v>
      </c>
      <c r="U67" s="42">
        <f t="shared" si="174"/>
        <v>0.65937670768264545</v>
      </c>
      <c r="V67" s="42">
        <f t="shared" si="174"/>
        <v>0.65937670768264545</v>
      </c>
      <c r="W67" s="42">
        <f t="shared" si="174"/>
        <v>0.65937670768264545</v>
      </c>
      <c r="X67" s="42">
        <f t="shared" si="174"/>
        <v>0.65937670768264545</v>
      </c>
      <c r="Y67" s="42">
        <f t="shared" si="174"/>
        <v>0.65937670768264545</v>
      </c>
      <c r="Z67" s="42">
        <f t="shared" si="174"/>
        <v>0.65937670768264545</v>
      </c>
      <c r="AA67" s="42">
        <f t="shared" si="174"/>
        <v>0.65937670768264545</v>
      </c>
      <c r="AB67" s="34">
        <f t="shared" si="4"/>
        <v>113.74378125000001</v>
      </c>
      <c r="AC67" s="34">
        <f>IFERROR(up_RadSpec!$J$5*(AC5*$B67),".")</f>
        <v>37.914593750000002</v>
      </c>
      <c r="AD67" s="34">
        <f>IFERROR(up_RadSpec!$J$5*(AC5*$B67),".")</f>
        <v>37.914593750000002</v>
      </c>
      <c r="AE67" s="34">
        <f>IFERROR(up_RadSpec!$J$5*(AC5*$B67),".")</f>
        <v>37.914593750000002</v>
      </c>
      <c r="AF67" s="34">
        <f>IFERROR(up_RadSpec!$J$5*(AC5*$B67),".")</f>
        <v>37.914593750000002</v>
      </c>
      <c r="AG67" s="34">
        <f>IFERROR(up_RadSpec!$J$5*(AC5*$B67),".")</f>
        <v>37.914593750000002</v>
      </c>
      <c r="AH67" s="34">
        <f>IFERROR(up_RadSpec!$J$5*(AC5*$B67),".")</f>
        <v>37.914593750000002</v>
      </c>
      <c r="AI67" s="34">
        <f>IFERROR(up_RadSpec!$J$5*(AC5*$B67),".")</f>
        <v>37.914593750000002</v>
      </c>
      <c r="AJ67" s="34">
        <f>IFERROR(up_RadSpec!$J$5*(AC5*$B67),".")</f>
        <v>37.914593750000002</v>
      </c>
      <c r="AK67" s="34">
        <f>IFERROR(up_RadSpec!$J$5*(AC5*$B67),".")</f>
        <v>37.914593750000002</v>
      </c>
      <c r="AL67" s="34">
        <f>IFERROR(up_RadSpec!$J$5*(AC5*$B67),".")</f>
        <v>37.914593750000002</v>
      </c>
      <c r="AM67" s="34">
        <f>IFERROR(up_RadSpec!$J$5*(AC5*$B67),".")</f>
        <v>37.914593750000002</v>
      </c>
      <c r="AN67" s="34">
        <f>IFERROR(up_RadSpec!$J$5*(AC5*$B67),".")</f>
        <v>37.914593750000002</v>
      </c>
      <c r="AO67" s="34">
        <f>IFERROR(up_RadSpec!$J$5*(AC5*$B67),".")</f>
        <v>37.914593750000002</v>
      </c>
      <c r="AP67" s="34">
        <f>IFERROR(up_RadSpec!$J$5*(AC5*$B67),".")</f>
        <v>37.914593750000002</v>
      </c>
      <c r="AQ67" s="34">
        <f>IFERROR(up_RadSpec!$J$5*(AC5*$B67),".")</f>
        <v>37.914593750000002</v>
      </c>
      <c r="AR67" s="34">
        <f>IFERROR(up_RadSpec!$J$5*(AC5*$B67),".")</f>
        <v>37.914593750000002</v>
      </c>
      <c r="AS67" s="34">
        <f>IFERROR(up_RadSpec!$J$5*(AC5*$B67),".")</f>
        <v>37.914593750000002</v>
      </c>
      <c r="AT67" s="34">
        <f>IFERROR(up_RadSpec!$J$5*(AC5*$B67),".")</f>
        <v>37.914593750000002</v>
      </c>
      <c r="AU67" s="34">
        <f>IFERROR(up_RadSpec!$J$5*(AC5*$B67),".")</f>
        <v>37.914593750000002</v>
      </c>
      <c r="AV67" s="34">
        <f>IFERROR(up_RadSpec!$J$5*(AC5*$B67),".")</f>
        <v>37.914593750000002</v>
      </c>
      <c r="AW67" s="34">
        <f>IFERROR(up_RadSpec!$J$5*(AC5*$B67),".")</f>
        <v>37.914593750000002</v>
      </c>
      <c r="AX67" s="34">
        <f>IFERROR(up_RadSpec!$J$5*(AC5*$B67),".")</f>
        <v>37.914593750000002</v>
      </c>
      <c r="AY67" s="34">
        <f>IFERROR(up_RadSpec!$J$5*(AC5*$B67),".")</f>
        <v>37.914593750000002</v>
      </c>
      <c r="AZ67" s="34">
        <f>IFERROR(up_RadSpec!$J$5*(AC5*$B67),".")</f>
        <v>37.914593750000002</v>
      </c>
      <c r="BA67" s="42">
        <f t="shared" ref="BA67:BA76" si="175">IFERROR(1/SUM(1/BB67,1/BX67,1/BY67),".")</f>
        <v>0.21979223589421515</v>
      </c>
      <c r="BB67" s="42">
        <f t="shared" ref="BB67:BY67" si="176">IFERROR(BB5/$B53,0)</f>
        <v>0.65937670768264545</v>
      </c>
      <c r="BC67" s="42">
        <f t="shared" si="176"/>
        <v>0.65937670768264545</v>
      </c>
      <c r="BD67" s="42">
        <f t="shared" si="176"/>
        <v>0.65937670768264545</v>
      </c>
      <c r="BE67" s="42">
        <f t="shared" si="176"/>
        <v>0.65937670768264545</v>
      </c>
      <c r="BF67" s="42">
        <f t="shared" si="176"/>
        <v>0.65937670768264545</v>
      </c>
      <c r="BG67" s="42">
        <f t="shared" si="176"/>
        <v>0.65937670768264545</v>
      </c>
      <c r="BH67" s="42">
        <f t="shared" si="176"/>
        <v>0.65937670768264545</v>
      </c>
      <c r="BI67" s="42">
        <f t="shared" si="176"/>
        <v>0.65937670768264545</v>
      </c>
      <c r="BJ67" s="42">
        <f t="shared" si="176"/>
        <v>0.65937670768264545</v>
      </c>
      <c r="BK67" s="42">
        <f t="shared" si="176"/>
        <v>0.65937670768264545</v>
      </c>
      <c r="BL67" s="42">
        <f t="shared" si="176"/>
        <v>0.65937670768264545</v>
      </c>
      <c r="BM67" s="42">
        <f t="shared" si="176"/>
        <v>0.65937670768264545</v>
      </c>
      <c r="BN67" s="42">
        <f t="shared" si="176"/>
        <v>0.65937670768264545</v>
      </c>
      <c r="BO67" s="42">
        <f t="shared" si="176"/>
        <v>0.65937670768264545</v>
      </c>
      <c r="BP67" s="42">
        <f t="shared" si="176"/>
        <v>0.65937670768264545</v>
      </c>
      <c r="BQ67" s="42">
        <f t="shared" si="176"/>
        <v>0.65937670768264545</v>
      </c>
      <c r="BR67" s="42">
        <f t="shared" si="176"/>
        <v>0.65937670768264545</v>
      </c>
      <c r="BS67" s="42">
        <f t="shared" si="176"/>
        <v>0.65937670768264545</v>
      </c>
      <c r="BT67" s="42">
        <f t="shared" si="176"/>
        <v>0.65937670768264545</v>
      </c>
      <c r="BU67" s="42">
        <f t="shared" si="176"/>
        <v>0.65937670768264545</v>
      </c>
      <c r="BV67" s="42">
        <f t="shared" si="176"/>
        <v>0.65937670768264545</v>
      </c>
      <c r="BW67" s="42">
        <f t="shared" si="176"/>
        <v>0.65937670768264545</v>
      </c>
      <c r="BX67" s="42">
        <f t="shared" si="176"/>
        <v>0.65937670768264545</v>
      </c>
      <c r="BY67" s="42">
        <f t="shared" si="176"/>
        <v>0.65937670768264545</v>
      </c>
      <c r="BZ67" s="34">
        <f t="shared" si="8"/>
        <v>113.74378125000001</v>
      </c>
      <c r="CA67" s="34">
        <f>IFERROR(up_RadSpec!$J$5*(AC5*$B67),".")</f>
        <v>37.914593750000002</v>
      </c>
      <c r="CB67" s="34">
        <f>IFERROR(up_RadSpec!$J$5*(AC5*$B67),".")</f>
        <v>37.914593750000002</v>
      </c>
      <c r="CC67" s="34">
        <f>IFERROR(up_RadSpec!$J$5*(AC5*$B67),".")</f>
        <v>37.914593750000002</v>
      </c>
      <c r="CD67" s="34">
        <f>IFERROR(up_RadSpec!$J$5*(AC5*$B67),".")</f>
        <v>37.914593750000002</v>
      </c>
      <c r="CE67" s="34">
        <f>IFERROR(up_RadSpec!$J$5*(AC5*$B67),".")</f>
        <v>37.914593750000002</v>
      </c>
      <c r="CF67" s="34">
        <f>IFERROR(up_RadSpec!$J$5*(AC5*$B67),".")</f>
        <v>37.914593750000002</v>
      </c>
      <c r="CG67" s="34">
        <f>IFERROR(up_RadSpec!$J$5*(AC5*$B67),".")</f>
        <v>37.914593750000002</v>
      </c>
      <c r="CH67" s="34">
        <f>IFERROR(up_RadSpec!$J$5*(AC5*$B67),".")</f>
        <v>37.914593750000002</v>
      </c>
      <c r="CI67" s="34">
        <f>IFERROR(up_RadSpec!$J$5*(AC5*$B67),".")</f>
        <v>37.914593750000002</v>
      </c>
      <c r="CJ67" s="34">
        <f>IFERROR(up_RadSpec!$J$5*(AC5*$B67),".")</f>
        <v>37.914593750000002</v>
      </c>
      <c r="CK67" s="34">
        <f>IFERROR(up_RadSpec!$J$5*(AC5*$B67),".")</f>
        <v>37.914593750000002</v>
      </c>
      <c r="CL67" s="34">
        <f>IFERROR(up_RadSpec!$J$5*(AC5*$B67),".")</f>
        <v>37.914593750000002</v>
      </c>
      <c r="CM67" s="34">
        <f>IFERROR(up_RadSpec!$J$5*(AC5*$B67),".")</f>
        <v>37.914593750000002</v>
      </c>
      <c r="CN67" s="34">
        <f>IFERROR(up_RadSpec!$J$5*(AC5*$B67),".")</f>
        <v>37.914593750000002</v>
      </c>
      <c r="CO67" s="34">
        <f>IFERROR(up_RadSpec!$J$5*(AC5*$B67),".")</f>
        <v>37.914593750000002</v>
      </c>
      <c r="CP67" s="34">
        <f>IFERROR(up_RadSpec!$J$5*(AC5*$B67),".")</f>
        <v>37.914593750000002</v>
      </c>
      <c r="CQ67" s="34">
        <f>IFERROR(up_RadSpec!$J$5*(AC5*$B67),".")</f>
        <v>37.914593750000002</v>
      </c>
      <c r="CR67" s="34">
        <f>IFERROR(up_RadSpec!$J$5*(AC5*$B67),".")</f>
        <v>37.914593750000002</v>
      </c>
      <c r="CS67" s="34">
        <f>IFERROR(up_RadSpec!$J$5*(AC5*$B67),".")</f>
        <v>37.914593750000002</v>
      </c>
      <c r="CT67" s="34">
        <f>IFERROR(up_RadSpec!$J$5*(AC5*$B67),".")</f>
        <v>37.914593750000002</v>
      </c>
      <c r="CU67" s="34">
        <f>IFERROR(up_RadSpec!$J$5*(AC5*$B67),".")</f>
        <v>37.914593750000002</v>
      </c>
      <c r="CV67" s="34">
        <f>IFERROR(up_RadSpec!$J$5*(AC5*$B67),".")</f>
        <v>37.914593750000002</v>
      </c>
      <c r="CW67" s="34">
        <f>IFERROR(up_RadSpec!$J$5*(AC5*$B67),".")</f>
        <v>37.914593750000002</v>
      </c>
      <c r="CX67" s="34">
        <f>IFERROR(up_RadSpec!$J$5*(AC5*$B67),".")</f>
        <v>37.914593750000002</v>
      </c>
    </row>
    <row r="68" spans="1:102" x14ac:dyDescent="0.25">
      <c r="A68" s="55" t="s">
        <v>1077</v>
      </c>
      <c r="B68" s="3">
        <v>0.99999979999999999</v>
      </c>
      <c r="C68" s="42">
        <f t="shared" si="173"/>
        <v>4.3958455970534227E-5</v>
      </c>
      <c r="D68" s="42">
        <f t="shared" ref="D68:AA68" si="177">IFERROR(D9/$B54,0)</f>
        <v>1.3187536791160268E-4</v>
      </c>
      <c r="E68" s="42">
        <f t="shared" si="177"/>
        <v>1.3187536791160268E-4</v>
      </c>
      <c r="F68" s="42">
        <f t="shared" si="177"/>
        <v>1.3187536791160268E-4</v>
      </c>
      <c r="G68" s="42">
        <f t="shared" si="177"/>
        <v>1.3187536791160268E-4</v>
      </c>
      <c r="H68" s="42">
        <f t="shared" si="177"/>
        <v>1.3187536791160268E-4</v>
      </c>
      <c r="I68" s="42">
        <f t="shared" si="177"/>
        <v>1.3187536791160268E-4</v>
      </c>
      <c r="J68" s="42">
        <f t="shared" si="177"/>
        <v>1.3187536791160268E-4</v>
      </c>
      <c r="K68" s="42">
        <f t="shared" si="177"/>
        <v>1.3187536791160268E-4</v>
      </c>
      <c r="L68" s="42">
        <f t="shared" si="177"/>
        <v>1.3187536791160268E-4</v>
      </c>
      <c r="M68" s="42">
        <f t="shared" si="177"/>
        <v>1.3187536791160268E-4</v>
      </c>
      <c r="N68" s="42">
        <f t="shared" si="177"/>
        <v>1.3187536791160268E-4</v>
      </c>
      <c r="O68" s="42">
        <f t="shared" si="177"/>
        <v>1.3187536791160268E-4</v>
      </c>
      <c r="P68" s="42">
        <f t="shared" si="177"/>
        <v>1.3187536791160268E-4</v>
      </c>
      <c r="Q68" s="42">
        <f t="shared" si="177"/>
        <v>1.3187536791160268E-4</v>
      </c>
      <c r="R68" s="42">
        <f t="shared" si="177"/>
        <v>1.3187536791160268E-4</v>
      </c>
      <c r="S68" s="42">
        <f t="shared" si="177"/>
        <v>1.3187536791160268E-4</v>
      </c>
      <c r="T68" s="42">
        <f t="shared" si="177"/>
        <v>1.3187536791160268E-4</v>
      </c>
      <c r="U68" s="42">
        <f t="shared" si="177"/>
        <v>1.3187536791160268E-4</v>
      </c>
      <c r="V68" s="42">
        <f t="shared" si="177"/>
        <v>1.3187536791160268E-4</v>
      </c>
      <c r="W68" s="42">
        <f t="shared" si="177"/>
        <v>1.3187536791160268E-4</v>
      </c>
      <c r="X68" s="42">
        <f t="shared" si="177"/>
        <v>1.3187536791160268E-4</v>
      </c>
      <c r="Y68" s="42">
        <f t="shared" si="177"/>
        <v>1.3187536791160268E-4</v>
      </c>
      <c r="Z68" s="42">
        <f t="shared" si="177"/>
        <v>1.3187536791160268E-4</v>
      </c>
      <c r="AA68" s="42">
        <f t="shared" si="177"/>
        <v>1.3187536791160268E-4</v>
      </c>
      <c r="AB68" s="34">
        <f t="shared" si="4"/>
        <v>568718.79250621877</v>
      </c>
      <c r="AC68" s="34">
        <f>IFERROR(up_RadSpec!$J$9*(AC9*$B68),".")</f>
        <v>189572.93083540627</v>
      </c>
      <c r="AD68" s="34">
        <f>IFERROR(up_RadSpec!$J$9*(AC9*$B68),".")</f>
        <v>189572.93083540627</v>
      </c>
      <c r="AE68" s="34">
        <f>IFERROR(up_RadSpec!$J$9*(AC9*$B68),".")</f>
        <v>189572.93083540627</v>
      </c>
      <c r="AF68" s="34">
        <f>IFERROR(up_RadSpec!$J$9*(AC9*$B68),".")</f>
        <v>189572.93083540627</v>
      </c>
      <c r="AG68" s="34">
        <f>IFERROR(up_RadSpec!$J$9*(AC9*$B68),".")</f>
        <v>189572.93083540627</v>
      </c>
      <c r="AH68" s="34">
        <f>IFERROR(up_RadSpec!$J$9*(AC9*$B68),".")</f>
        <v>189572.93083540627</v>
      </c>
      <c r="AI68" s="34">
        <f>IFERROR(up_RadSpec!$J$9*(AC9*$B68),".")</f>
        <v>189572.93083540627</v>
      </c>
      <c r="AJ68" s="34">
        <f>IFERROR(up_RadSpec!$J$9*(AC9*$B68),".")</f>
        <v>189572.93083540627</v>
      </c>
      <c r="AK68" s="34">
        <f>IFERROR(up_RadSpec!$J$9*(AC9*$B68),".")</f>
        <v>189572.93083540627</v>
      </c>
      <c r="AL68" s="34">
        <f>IFERROR(up_RadSpec!$J$9*(AC9*$B68),".")</f>
        <v>189572.93083540627</v>
      </c>
      <c r="AM68" s="34">
        <f>IFERROR(up_RadSpec!$J$9*(AC9*$B68),".")</f>
        <v>189572.93083540627</v>
      </c>
      <c r="AN68" s="34">
        <f>IFERROR(up_RadSpec!$J$9*(AC9*$B68),".")</f>
        <v>189572.93083540627</v>
      </c>
      <c r="AO68" s="34">
        <f>IFERROR(up_RadSpec!$J$9*(AC9*$B68),".")</f>
        <v>189572.93083540627</v>
      </c>
      <c r="AP68" s="34">
        <f>IFERROR(up_RadSpec!$J$9*(AC9*$B68),".")</f>
        <v>189572.93083540627</v>
      </c>
      <c r="AQ68" s="34">
        <f>IFERROR(up_RadSpec!$J$9*(AC9*$B68),".")</f>
        <v>189572.93083540627</v>
      </c>
      <c r="AR68" s="34">
        <f>IFERROR(up_RadSpec!$J$9*(AC9*$B68),".")</f>
        <v>189572.93083540627</v>
      </c>
      <c r="AS68" s="34">
        <f>IFERROR(up_RadSpec!$J$9*(AC9*$B68),".")</f>
        <v>189572.93083540627</v>
      </c>
      <c r="AT68" s="34">
        <f>IFERROR(up_RadSpec!$J$9*(AC9*$B68),".")</f>
        <v>189572.93083540627</v>
      </c>
      <c r="AU68" s="34">
        <f>IFERROR(up_RadSpec!$J$9*(AC9*$B68),".")</f>
        <v>189572.93083540627</v>
      </c>
      <c r="AV68" s="34">
        <f>IFERROR(up_RadSpec!$J$9*(AC9*$B68),".")</f>
        <v>189572.93083540627</v>
      </c>
      <c r="AW68" s="34">
        <f>IFERROR(up_RadSpec!$J$9*(AC9*$B68),".")</f>
        <v>189572.93083540627</v>
      </c>
      <c r="AX68" s="34">
        <f>IFERROR(up_RadSpec!$J$9*(AC9*$B68),".")</f>
        <v>189572.93083540627</v>
      </c>
      <c r="AY68" s="34">
        <f>IFERROR(up_RadSpec!$J$9*(AC9*$B68),".")</f>
        <v>189572.93083540627</v>
      </c>
      <c r="AZ68" s="34">
        <f>IFERROR(up_RadSpec!$J$9*(AC9*$B68),".")</f>
        <v>189572.93083540627</v>
      </c>
      <c r="BA68" s="42">
        <f t="shared" si="175"/>
        <v>4.3958455970534227E-5</v>
      </c>
      <c r="BB68" s="42">
        <f t="shared" ref="BB68:BY68" si="178">IFERROR(BB9/$B54,0)</f>
        <v>1.3187536791160268E-4</v>
      </c>
      <c r="BC68" s="42">
        <f t="shared" si="178"/>
        <v>1.3187536791160268E-4</v>
      </c>
      <c r="BD68" s="42">
        <f t="shared" si="178"/>
        <v>1.3187536791160268E-4</v>
      </c>
      <c r="BE68" s="42">
        <f t="shared" si="178"/>
        <v>1.3187536791160268E-4</v>
      </c>
      <c r="BF68" s="42">
        <f t="shared" si="178"/>
        <v>1.3187536791160268E-4</v>
      </c>
      <c r="BG68" s="42">
        <f t="shared" si="178"/>
        <v>1.3187536791160268E-4</v>
      </c>
      <c r="BH68" s="42">
        <f t="shared" si="178"/>
        <v>1.3187536791160268E-4</v>
      </c>
      <c r="BI68" s="42">
        <f t="shared" si="178"/>
        <v>1.3187536791160268E-4</v>
      </c>
      <c r="BJ68" s="42">
        <f t="shared" si="178"/>
        <v>1.3187536791160268E-4</v>
      </c>
      <c r="BK68" s="42">
        <f t="shared" si="178"/>
        <v>1.3187536791160268E-4</v>
      </c>
      <c r="BL68" s="42">
        <f t="shared" si="178"/>
        <v>1.3187536791160268E-4</v>
      </c>
      <c r="BM68" s="42">
        <f t="shared" si="178"/>
        <v>1.3187536791160268E-4</v>
      </c>
      <c r="BN68" s="42">
        <f t="shared" si="178"/>
        <v>1.3187536791160268E-4</v>
      </c>
      <c r="BO68" s="42">
        <f t="shared" si="178"/>
        <v>1.3187536791160268E-4</v>
      </c>
      <c r="BP68" s="42">
        <f t="shared" si="178"/>
        <v>1.3187536791160268E-4</v>
      </c>
      <c r="BQ68" s="42">
        <f t="shared" si="178"/>
        <v>1.3187536791160268E-4</v>
      </c>
      <c r="BR68" s="42">
        <f t="shared" si="178"/>
        <v>1.3187536791160268E-4</v>
      </c>
      <c r="BS68" s="42">
        <f t="shared" si="178"/>
        <v>1.3187536791160268E-4</v>
      </c>
      <c r="BT68" s="42">
        <f t="shared" si="178"/>
        <v>1.3187536791160268E-4</v>
      </c>
      <c r="BU68" s="42">
        <f t="shared" si="178"/>
        <v>1.3187536791160268E-4</v>
      </c>
      <c r="BV68" s="42">
        <f t="shared" si="178"/>
        <v>1.3187536791160268E-4</v>
      </c>
      <c r="BW68" s="42">
        <f t="shared" si="178"/>
        <v>1.3187536791160268E-4</v>
      </c>
      <c r="BX68" s="42">
        <f t="shared" si="178"/>
        <v>1.3187536791160268E-4</v>
      </c>
      <c r="BY68" s="42">
        <f t="shared" si="178"/>
        <v>1.3187536791160268E-4</v>
      </c>
      <c r="BZ68" s="34">
        <f t="shared" si="8"/>
        <v>568718.79250621877</v>
      </c>
      <c r="CA68" s="34">
        <f>IFERROR(up_RadSpec!$J$9*(AC9*$B68),".")</f>
        <v>189572.93083540627</v>
      </c>
      <c r="CB68" s="34">
        <f>IFERROR(up_RadSpec!$J$9*(AC9*$B68),".")</f>
        <v>189572.93083540627</v>
      </c>
      <c r="CC68" s="34">
        <f>IFERROR(up_RadSpec!$J$9*(AC9*$B68),".")</f>
        <v>189572.93083540627</v>
      </c>
      <c r="CD68" s="34">
        <f>IFERROR(up_RadSpec!$J$9*(AC9*$B68),".")</f>
        <v>189572.93083540627</v>
      </c>
      <c r="CE68" s="34">
        <f>IFERROR(up_RadSpec!$J$9*(AC9*$B68),".")</f>
        <v>189572.93083540627</v>
      </c>
      <c r="CF68" s="34">
        <f>IFERROR(up_RadSpec!$J$9*(AC9*$B68),".")</f>
        <v>189572.93083540627</v>
      </c>
      <c r="CG68" s="34">
        <f>IFERROR(up_RadSpec!$J$9*(AC9*$B68),".")</f>
        <v>189572.93083540627</v>
      </c>
      <c r="CH68" s="34">
        <f>IFERROR(up_RadSpec!$J$9*(AC9*$B68),".")</f>
        <v>189572.93083540627</v>
      </c>
      <c r="CI68" s="34">
        <f>IFERROR(up_RadSpec!$J$9*(AC9*$B68),".")</f>
        <v>189572.93083540627</v>
      </c>
      <c r="CJ68" s="34">
        <f>IFERROR(up_RadSpec!$J$9*(AC9*$B68),".")</f>
        <v>189572.93083540627</v>
      </c>
      <c r="CK68" s="34">
        <f>IFERROR(up_RadSpec!$J$9*(AC9*$B68),".")</f>
        <v>189572.93083540627</v>
      </c>
      <c r="CL68" s="34">
        <f>IFERROR(up_RadSpec!$J$9*(AC9*$B68),".")</f>
        <v>189572.93083540627</v>
      </c>
      <c r="CM68" s="34">
        <f>IFERROR(up_RadSpec!$J$9*(AC9*$B68),".")</f>
        <v>189572.93083540627</v>
      </c>
      <c r="CN68" s="34">
        <f>IFERROR(up_RadSpec!$J$9*(AC9*$B68),".")</f>
        <v>189572.93083540627</v>
      </c>
      <c r="CO68" s="34">
        <f>IFERROR(up_RadSpec!$J$9*(AC9*$B68),".")</f>
        <v>189572.93083540627</v>
      </c>
      <c r="CP68" s="34">
        <f>IFERROR(up_RadSpec!$J$9*(AC9*$B68),".")</f>
        <v>189572.93083540627</v>
      </c>
      <c r="CQ68" s="34">
        <f>IFERROR(up_RadSpec!$J$9*(AC9*$B68),".")</f>
        <v>189572.93083540627</v>
      </c>
      <c r="CR68" s="34">
        <f>IFERROR(up_RadSpec!$J$9*(AC9*$B68),".")</f>
        <v>189572.93083540627</v>
      </c>
      <c r="CS68" s="34">
        <f>IFERROR(up_RadSpec!$J$9*(AC9*$B68),".")</f>
        <v>189572.93083540627</v>
      </c>
      <c r="CT68" s="34">
        <f>IFERROR(up_RadSpec!$J$9*(AC9*$B68),".")</f>
        <v>189572.93083540627</v>
      </c>
      <c r="CU68" s="34">
        <f>IFERROR(up_RadSpec!$J$9*(AC9*$B68),".")</f>
        <v>189572.93083540627</v>
      </c>
      <c r="CV68" s="34">
        <f>IFERROR(up_RadSpec!$J$9*(AC9*$B68),".")</f>
        <v>189572.93083540627</v>
      </c>
      <c r="CW68" s="34">
        <f>IFERROR(up_RadSpec!$J$9*(AC9*$B68),".")</f>
        <v>189572.93083540627</v>
      </c>
      <c r="CX68" s="34">
        <f>IFERROR(up_RadSpec!$J$9*(AC9*$B68),".")</f>
        <v>189572.93083540627</v>
      </c>
    </row>
    <row r="69" spans="1:102" x14ac:dyDescent="0.25">
      <c r="A69" s="55" t="s">
        <v>1078</v>
      </c>
      <c r="B69" s="3">
        <v>1.9999999999999999E-7</v>
      </c>
      <c r="C69" s="42">
        <f t="shared" si="173"/>
        <v>219.79223589421517</v>
      </c>
      <c r="D69" s="42">
        <f t="shared" ref="D69:AA69" si="179">IFERROR(D24/$B55,0)</f>
        <v>659.37670768264547</v>
      </c>
      <c r="E69" s="42">
        <f t="shared" si="179"/>
        <v>659.37670768264547</v>
      </c>
      <c r="F69" s="42">
        <f t="shared" si="179"/>
        <v>659.37670768264547</v>
      </c>
      <c r="G69" s="42">
        <f t="shared" si="179"/>
        <v>659.37670768264547</v>
      </c>
      <c r="H69" s="42">
        <f t="shared" si="179"/>
        <v>659.37670768264547</v>
      </c>
      <c r="I69" s="42">
        <f t="shared" si="179"/>
        <v>659.37670768264547</v>
      </c>
      <c r="J69" s="42">
        <f t="shared" si="179"/>
        <v>659.37670768264547</v>
      </c>
      <c r="K69" s="42">
        <f t="shared" si="179"/>
        <v>659.37670768264547</v>
      </c>
      <c r="L69" s="42">
        <f t="shared" si="179"/>
        <v>659.37670768264547</v>
      </c>
      <c r="M69" s="42">
        <f t="shared" si="179"/>
        <v>659.37670768264547</v>
      </c>
      <c r="N69" s="42">
        <f t="shared" si="179"/>
        <v>659.37670768264547</v>
      </c>
      <c r="O69" s="42">
        <f t="shared" si="179"/>
        <v>659.37670768264547</v>
      </c>
      <c r="P69" s="42">
        <f t="shared" si="179"/>
        <v>659.37670768264547</v>
      </c>
      <c r="Q69" s="42">
        <f t="shared" si="179"/>
        <v>659.37670768264547</v>
      </c>
      <c r="R69" s="42">
        <f t="shared" si="179"/>
        <v>659.37670768264547</v>
      </c>
      <c r="S69" s="42">
        <f t="shared" si="179"/>
        <v>659.37670768264547</v>
      </c>
      <c r="T69" s="42">
        <f t="shared" si="179"/>
        <v>659.37670768264547</v>
      </c>
      <c r="U69" s="42">
        <f t="shared" si="179"/>
        <v>659.37670768264547</v>
      </c>
      <c r="V69" s="42">
        <f t="shared" si="179"/>
        <v>659.37670768264547</v>
      </c>
      <c r="W69" s="42">
        <f t="shared" si="179"/>
        <v>659.37670768264547</v>
      </c>
      <c r="X69" s="42">
        <f t="shared" si="179"/>
        <v>659.37670768264547</v>
      </c>
      <c r="Y69" s="42">
        <f t="shared" si="179"/>
        <v>659.37670768264547</v>
      </c>
      <c r="Z69" s="42">
        <f t="shared" si="179"/>
        <v>659.37670768264547</v>
      </c>
      <c r="AA69" s="42">
        <f t="shared" si="179"/>
        <v>659.37670768264547</v>
      </c>
      <c r="AB69" s="34">
        <f t="shared" si="4"/>
        <v>0.11374378124999998</v>
      </c>
      <c r="AC69" s="34">
        <f>IFERROR(up_RadSpec!$J$24*(AC24*$B69),".")</f>
        <v>3.7914593749999996E-2</v>
      </c>
      <c r="AD69" s="34">
        <f>IFERROR(up_RadSpec!$J$24*(AC24*$B69),".")</f>
        <v>3.7914593749999996E-2</v>
      </c>
      <c r="AE69" s="34">
        <f>IFERROR(up_RadSpec!$J$24*(AC24*$B69),".")</f>
        <v>3.7914593749999996E-2</v>
      </c>
      <c r="AF69" s="34">
        <f>IFERROR(up_RadSpec!$J$24*(AC24*$B69),".")</f>
        <v>3.7914593749999996E-2</v>
      </c>
      <c r="AG69" s="34">
        <f>IFERROR(up_RadSpec!$J$24*(AC24*$B69),".")</f>
        <v>3.7914593749999996E-2</v>
      </c>
      <c r="AH69" s="34">
        <f>IFERROR(up_RadSpec!$J$24*(AC24*$B69),".")</f>
        <v>3.7914593749999996E-2</v>
      </c>
      <c r="AI69" s="34">
        <f>IFERROR(up_RadSpec!$J$24*(AC24*$B69),".")</f>
        <v>3.7914593749999996E-2</v>
      </c>
      <c r="AJ69" s="34">
        <f>IFERROR(up_RadSpec!$J$24*(AC24*$B69),".")</f>
        <v>3.7914593749999996E-2</v>
      </c>
      <c r="AK69" s="34">
        <f>IFERROR(up_RadSpec!$J$24*(AC24*$B69),".")</f>
        <v>3.7914593749999996E-2</v>
      </c>
      <c r="AL69" s="34">
        <f>IFERROR(up_RadSpec!$J$24*(AC24*$B69),".")</f>
        <v>3.7914593749999996E-2</v>
      </c>
      <c r="AM69" s="34">
        <f>IFERROR(up_RadSpec!$J$24*(AC24*$B69),".")</f>
        <v>3.7914593749999996E-2</v>
      </c>
      <c r="AN69" s="34">
        <f>IFERROR(up_RadSpec!$J$24*(AC24*$B69),".")</f>
        <v>3.7914593749999996E-2</v>
      </c>
      <c r="AO69" s="34">
        <f>IFERROR(up_RadSpec!$J$24*(AC24*$B69),".")</f>
        <v>3.7914593749999996E-2</v>
      </c>
      <c r="AP69" s="34">
        <f>IFERROR(up_RadSpec!$J$24*(AC24*$B69),".")</f>
        <v>3.7914593749999996E-2</v>
      </c>
      <c r="AQ69" s="34">
        <f>IFERROR(up_RadSpec!$J$24*(AC24*$B69),".")</f>
        <v>3.7914593749999996E-2</v>
      </c>
      <c r="AR69" s="34">
        <f>IFERROR(up_RadSpec!$J$24*(AC24*$B69),".")</f>
        <v>3.7914593749999996E-2</v>
      </c>
      <c r="AS69" s="34">
        <f>IFERROR(up_RadSpec!$J$24*(AC24*$B69),".")</f>
        <v>3.7914593749999996E-2</v>
      </c>
      <c r="AT69" s="34">
        <f>IFERROR(up_RadSpec!$J$24*(AC24*$B69),".")</f>
        <v>3.7914593749999996E-2</v>
      </c>
      <c r="AU69" s="34">
        <f>IFERROR(up_RadSpec!$J$24*(AC24*$B69),".")</f>
        <v>3.7914593749999996E-2</v>
      </c>
      <c r="AV69" s="34">
        <f>IFERROR(up_RadSpec!$J$24*(AC24*$B69),".")</f>
        <v>3.7914593749999996E-2</v>
      </c>
      <c r="AW69" s="34">
        <f>IFERROR(up_RadSpec!$J$24*(AC24*$B69),".")</f>
        <v>3.7914593749999996E-2</v>
      </c>
      <c r="AX69" s="34">
        <f>IFERROR(up_RadSpec!$J$24*(AC24*$B69),".")</f>
        <v>3.7914593749999996E-2</v>
      </c>
      <c r="AY69" s="34">
        <f>IFERROR(up_RadSpec!$J$24*(AC24*$B69),".")</f>
        <v>3.7914593749999996E-2</v>
      </c>
      <c r="AZ69" s="34">
        <f>IFERROR(up_RadSpec!$J$24*(AC24*$B69),".")</f>
        <v>3.7914593749999996E-2</v>
      </c>
      <c r="BA69" s="42">
        <f t="shared" si="175"/>
        <v>219.79223589421517</v>
      </c>
      <c r="BB69" s="42">
        <f t="shared" ref="BB69:BY69" si="180">IFERROR(BB24/$B55,0)</f>
        <v>659.37670768264547</v>
      </c>
      <c r="BC69" s="42">
        <f t="shared" si="180"/>
        <v>659.37670768264547</v>
      </c>
      <c r="BD69" s="42">
        <f t="shared" si="180"/>
        <v>659.37670768264547</v>
      </c>
      <c r="BE69" s="42">
        <f t="shared" si="180"/>
        <v>659.37670768264547</v>
      </c>
      <c r="BF69" s="42">
        <f t="shared" si="180"/>
        <v>659.37670768264547</v>
      </c>
      <c r="BG69" s="42">
        <f t="shared" si="180"/>
        <v>659.37670768264547</v>
      </c>
      <c r="BH69" s="42">
        <f t="shared" si="180"/>
        <v>659.37670768264547</v>
      </c>
      <c r="BI69" s="42">
        <f t="shared" si="180"/>
        <v>659.37670768264547</v>
      </c>
      <c r="BJ69" s="42">
        <f t="shared" si="180"/>
        <v>659.37670768264547</v>
      </c>
      <c r="BK69" s="42">
        <f t="shared" si="180"/>
        <v>659.37670768264547</v>
      </c>
      <c r="BL69" s="42">
        <f t="shared" si="180"/>
        <v>659.37670768264547</v>
      </c>
      <c r="BM69" s="42">
        <f t="shared" si="180"/>
        <v>659.37670768264547</v>
      </c>
      <c r="BN69" s="42">
        <f t="shared" si="180"/>
        <v>659.37670768264547</v>
      </c>
      <c r="BO69" s="42">
        <f t="shared" si="180"/>
        <v>659.37670768264547</v>
      </c>
      <c r="BP69" s="42">
        <f t="shared" si="180"/>
        <v>659.37670768264547</v>
      </c>
      <c r="BQ69" s="42">
        <f t="shared" si="180"/>
        <v>659.37670768264547</v>
      </c>
      <c r="BR69" s="42">
        <f t="shared" si="180"/>
        <v>659.37670768264547</v>
      </c>
      <c r="BS69" s="42">
        <f t="shared" si="180"/>
        <v>659.37670768264547</v>
      </c>
      <c r="BT69" s="42">
        <f t="shared" si="180"/>
        <v>659.37670768264547</v>
      </c>
      <c r="BU69" s="42">
        <f t="shared" si="180"/>
        <v>659.37670768264547</v>
      </c>
      <c r="BV69" s="42">
        <f t="shared" si="180"/>
        <v>659.37670768264547</v>
      </c>
      <c r="BW69" s="42">
        <f t="shared" si="180"/>
        <v>659.37670768264547</v>
      </c>
      <c r="BX69" s="42">
        <f t="shared" si="180"/>
        <v>659.37670768264547</v>
      </c>
      <c r="BY69" s="42">
        <f t="shared" si="180"/>
        <v>659.37670768264547</v>
      </c>
      <c r="BZ69" s="34">
        <f t="shared" si="8"/>
        <v>0.11374378124999998</v>
      </c>
      <c r="CA69" s="34">
        <f>IFERROR(up_RadSpec!$J$24*(AC24*$B69),".")</f>
        <v>3.7914593749999996E-2</v>
      </c>
      <c r="CB69" s="34">
        <f>IFERROR(up_RadSpec!$J$24*(AC24*$B69),".")</f>
        <v>3.7914593749999996E-2</v>
      </c>
      <c r="CC69" s="34">
        <f>IFERROR(up_RadSpec!$J$24*(AC24*$B69),".")</f>
        <v>3.7914593749999996E-2</v>
      </c>
      <c r="CD69" s="34">
        <f>IFERROR(up_RadSpec!$J$24*(AC24*$B69),".")</f>
        <v>3.7914593749999996E-2</v>
      </c>
      <c r="CE69" s="34">
        <f>IFERROR(up_RadSpec!$J$24*(AC24*$B69),".")</f>
        <v>3.7914593749999996E-2</v>
      </c>
      <c r="CF69" s="34">
        <f>IFERROR(up_RadSpec!$J$24*(AC24*$B69),".")</f>
        <v>3.7914593749999996E-2</v>
      </c>
      <c r="CG69" s="34">
        <f>IFERROR(up_RadSpec!$J$24*(AC24*$B69),".")</f>
        <v>3.7914593749999996E-2</v>
      </c>
      <c r="CH69" s="34">
        <f>IFERROR(up_RadSpec!$J$24*(AC24*$B69),".")</f>
        <v>3.7914593749999996E-2</v>
      </c>
      <c r="CI69" s="34">
        <f>IFERROR(up_RadSpec!$J$24*(AC24*$B69),".")</f>
        <v>3.7914593749999996E-2</v>
      </c>
      <c r="CJ69" s="34">
        <f>IFERROR(up_RadSpec!$J$24*(AC24*$B69),".")</f>
        <v>3.7914593749999996E-2</v>
      </c>
      <c r="CK69" s="34">
        <f>IFERROR(up_RadSpec!$J$24*(AC24*$B69),".")</f>
        <v>3.7914593749999996E-2</v>
      </c>
      <c r="CL69" s="34">
        <f>IFERROR(up_RadSpec!$J$24*(AC24*$B69),".")</f>
        <v>3.7914593749999996E-2</v>
      </c>
      <c r="CM69" s="34">
        <f>IFERROR(up_RadSpec!$J$24*(AC24*$B69),".")</f>
        <v>3.7914593749999996E-2</v>
      </c>
      <c r="CN69" s="34">
        <f>IFERROR(up_RadSpec!$J$24*(AC24*$B69),".")</f>
        <v>3.7914593749999996E-2</v>
      </c>
      <c r="CO69" s="34">
        <f>IFERROR(up_RadSpec!$J$24*(AC24*$B69),".")</f>
        <v>3.7914593749999996E-2</v>
      </c>
      <c r="CP69" s="34">
        <f>IFERROR(up_RadSpec!$J$24*(AC24*$B69),".")</f>
        <v>3.7914593749999996E-2</v>
      </c>
      <c r="CQ69" s="34">
        <f>IFERROR(up_RadSpec!$J$24*(AC24*$B69),".")</f>
        <v>3.7914593749999996E-2</v>
      </c>
      <c r="CR69" s="34">
        <f>IFERROR(up_RadSpec!$J$24*(AC24*$B69),".")</f>
        <v>3.7914593749999996E-2</v>
      </c>
      <c r="CS69" s="34">
        <f>IFERROR(up_RadSpec!$J$24*(AC24*$B69),".")</f>
        <v>3.7914593749999996E-2</v>
      </c>
      <c r="CT69" s="34">
        <f>IFERROR(up_RadSpec!$J$24*(AC24*$B69),".")</f>
        <v>3.7914593749999996E-2</v>
      </c>
      <c r="CU69" s="34">
        <f>IFERROR(up_RadSpec!$J$24*(AC24*$B69),".")</f>
        <v>3.7914593749999996E-2</v>
      </c>
      <c r="CV69" s="34">
        <f>IFERROR(up_RadSpec!$J$24*(AC24*$B69),".")</f>
        <v>3.7914593749999996E-2</v>
      </c>
      <c r="CW69" s="34">
        <f>IFERROR(up_RadSpec!$J$24*(AC24*$B69),".")</f>
        <v>3.7914593749999996E-2</v>
      </c>
      <c r="CX69" s="34">
        <f>IFERROR(up_RadSpec!$J$24*(AC24*$B69),".")</f>
        <v>3.7914593749999996E-2</v>
      </c>
    </row>
    <row r="70" spans="1:102" x14ac:dyDescent="0.25">
      <c r="A70" s="55" t="s">
        <v>1079</v>
      </c>
      <c r="B70" s="3">
        <v>0.99979000004200003</v>
      </c>
      <c r="C70" s="42">
        <f t="shared" si="173"/>
        <v>4.3967680389878269E-5</v>
      </c>
      <c r="D70" s="42">
        <f t="shared" ref="D70:AA70" si="181">IFERROR(D20/$B56,0)</f>
        <v>1.3190304116963479E-4</v>
      </c>
      <c r="E70" s="42">
        <f t="shared" si="181"/>
        <v>1.3190304116963479E-4</v>
      </c>
      <c r="F70" s="42">
        <f t="shared" si="181"/>
        <v>1.3190304116963479E-4</v>
      </c>
      <c r="G70" s="42">
        <f t="shared" si="181"/>
        <v>1.3190304116963479E-4</v>
      </c>
      <c r="H70" s="42">
        <f t="shared" si="181"/>
        <v>1.3190304116963479E-4</v>
      </c>
      <c r="I70" s="42">
        <f t="shared" si="181"/>
        <v>1.3190304116963479E-4</v>
      </c>
      <c r="J70" s="42">
        <f t="shared" si="181"/>
        <v>1.3190304116963479E-4</v>
      </c>
      <c r="K70" s="42">
        <f t="shared" si="181"/>
        <v>1.3190304116963479E-4</v>
      </c>
      <c r="L70" s="42">
        <f t="shared" si="181"/>
        <v>1.3190304116963479E-4</v>
      </c>
      <c r="M70" s="42">
        <f t="shared" si="181"/>
        <v>1.3190304116963479E-4</v>
      </c>
      <c r="N70" s="42">
        <f t="shared" si="181"/>
        <v>1.3190304116963479E-4</v>
      </c>
      <c r="O70" s="42">
        <f t="shared" si="181"/>
        <v>1.3190304116963479E-4</v>
      </c>
      <c r="P70" s="42">
        <f t="shared" si="181"/>
        <v>1.3190304116963479E-4</v>
      </c>
      <c r="Q70" s="42">
        <f t="shared" si="181"/>
        <v>1.3190304116963479E-4</v>
      </c>
      <c r="R70" s="42">
        <f t="shared" si="181"/>
        <v>1.3190304116963479E-4</v>
      </c>
      <c r="S70" s="42">
        <f t="shared" si="181"/>
        <v>1.3190304116963479E-4</v>
      </c>
      <c r="T70" s="42">
        <f t="shared" si="181"/>
        <v>1.3190304116963479E-4</v>
      </c>
      <c r="U70" s="42">
        <f t="shared" si="181"/>
        <v>1.3190304116963479E-4</v>
      </c>
      <c r="V70" s="42">
        <f t="shared" si="181"/>
        <v>1.3190304116963479E-4</v>
      </c>
      <c r="W70" s="42">
        <f t="shared" si="181"/>
        <v>1.3190304116963479E-4</v>
      </c>
      <c r="X70" s="42">
        <f t="shared" si="181"/>
        <v>1.3190304116963479E-4</v>
      </c>
      <c r="Y70" s="42">
        <f t="shared" si="181"/>
        <v>1.3190304116963479E-4</v>
      </c>
      <c r="Z70" s="42">
        <f t="shared" si="181"/>
        <v>1.3190304116963479E-4</v>
      </c>
      <c r="AA70" s="42">
        <f t="shared" si="181"/>
        <v>1.3190304116963479E-4</v>
      </c>
      <c r="AB70" s="34">
        <f t="shared" si="4"/>
        <v>568599.47530357365</v>
      </c>
      <c r="AC70" s="34">
        <f>IFERROR(up_RadSpec!$J$20*(AC20*$B70),".")</f>
        <v>189533.15843452455</v>
      </c>
      <c r="AD70" s="34">
        <f>IFERROR(up_RadSpec!$J$20*(AC20*$B70),".")</f>
        <v>189533.15843452455</v>
      </c>
      <c r="AE70" s="34">
        <f>IFERROR(up_RadSpec!$J$20*(AC20*$B70),".")</f>
        <v>189533.15843452455</v>
      </c>
      <c r="AF70" s="34">
        <f>IFERROR(up_RadSpec!$J$20*(AC20*$B70),".")</f>
        <v>189533.15843452455</v>
      </c>
      <c r="AG70" s="34">
        <f>IFERROR(up_RadSpec!$J$20*(AC20*$B70),".")</f>
        <v>189533.15843452455</v>
      </c>
      <c r="AH70" s="34">
        <f>IFERROR(up_RadSpec!$J$20*(AC20*$B70),".")</f>
        <v>189533.15843452455</v>
      </c>
      <c r="AI70" s="34">
        <f>IFERROR(up_RadSpec!$J$20*(AC20*$B70),".")</f>
        <v>189533.15843452455</v>
      </c>
      <c r="AJ70" s="34">
        <f>IFERROR(up_RadSpec!$J$20*(AC20*$B70),".")</f>
        <v>189533.15843452455</v>
      </c>
      <c r="AK70" s="34">
        <f>IFERROR(up_RadSpec!$J$20*(AC20*$B70),".")</f>
        <v>189533.15843452455</v>
      </c>
      <c r="AL70" s="34">
        <f>IFERROR(up_RadSpec!$J$20*(AC20*$B70),".")</f>
        <v>189533.15843452455</v>
      </c>
      <c r="AM70" s="34">
        <f>IFERROR(up_RadSpec!$J$20*(AC20*$B70),".")</f>
        <v>189533.15843452455</v>
      </c>
      <c r="AN70" s="34">
        <f>IFERROR(up_RadSpec!$J$20*(AC20*$B70),".")</f>
        <v>189533.15843452455</v>
      </c>
      <c r="AO70" s="34">
        <f>IFERROR(up_RadSpec!$J$20*(AC20*$B70),".")</f>
        <v>189533.15843452455</v>
      </c>
      <c r="AP70" s="34">
        <f>IFERROR(up_RadSpec!$J$20*(AC20*$B70),".")</f>
        <v>189533.15843452455</v>
      </c>
      <c r="AQ70" s="34">
        <f>IFERROR(up_RadSpec!$J$20*(AC20*$B70),".")</f>
        <v>189533.15843452455</v>
      </c>
      <c r="AR70" s="34">
        <f>IFERROR(up_RadSpec!$J$20*(AC20*$B70),".")</f>
        <v>189533.15843452455</v>
      </c>
      <c r="AS70" s="34">
        <f>IFERROR(up_RadSpec!$J$20*(AC20*$B70),".")</f>
        <v>189533.15843452455</v>
      </c>
      <c r="AT70" s="34">
        <f>IFERROR(up_RadSpec!$J$20*(AC20*$B70),".")</f>
        <v>189533.15843452455</v>
      </c>
      <c r="AU70" s="34">
        <f>IFERROR(up_RadSpec!$J$20*(AC20*$B70),".")</f>
        <v>189533.15843452455</v>
      </c>
      <c r="AV70" s="34">
        <f>IFERROR(up_RadSpec!$J$20*(AC20*$B70),".")</f>
        <v>189533.15843452455</v>
      </c>
      <c r="AW70" s="34">
        <f>IFERROR(up_RadSpec!$J$20*(AC20*$B70),".")</f>
        <v>189533.15843452455</v>
      </c>
      <c r="AX70" s="34">
        <f>IFERROR(up_RadSpec!$J$20*(AC20*$B70),".")</f>
        <v>189533.15843452455</v>
      </c>
      <c r="AY70" s="34">
        <f>IFERROR(up_RadSpec!$J$20*(AC20*$B70),".")</f>
        <v>189533.15843452455</v>
      </c>
      <c r="AZ70" s="34">
        <f>IFERROR(up_RadSpec!$J$20*(AC20*$B70),".")</f>
        <v>189533.15843452455</v>
      </c>
      <c r="BA70" s="42">
        <f t="shared" si="175"/>
        <v>4.3967680389878269E-5</v>
      </c>
      <c r="BB70" s="42">
        <f t="shared" ref="BB70:BY70" si="182">IFERROR(BB20/$B56,0)</f>
        <v>1.3190304116963479E-4</v>
      </c>
      <c r="BC70" s="42">
        <f t="shared" si="182"/>
        <v>1.3190304116963479E-4</v>
      </c>
      <c r="BD70" s="42">
        <f t="shared" si="182"/>
        <v>1.3190304116963479E-4</v>
      </c>
      <c r="BE70" s="42">
        <f t="shared" si="182"/>
        <v>1.3190304116963479E-4</v>
      </c>
      <c r="BF70" s="42">
        <f t="shared" si="182"/>
        <v>1.3190304116963479E-4</v>
      </c>
      <c r="BG70" s="42">
        <f t="shared" si="182"/>
        <v>1.3190304116963479E-4</v>
      </c>
      <c r="BH70" s="42">
        <f t="shared" si="182"/>
        <v>1.3190304116963479E-4</v>
      </c>
      <c r="BI70" s="42">
        <f t="shared" si="182"/>
        <v>1.3190304116963479E-4</v>
      </c>
      <c r="BJ70" s="42">
        <f t="shared" si="182"/>
        <v>1.3190304116963479E-4</v>
      </c>
      <c r="BK70" s="42">
        <f t="shared" si="182"/>
        <v>1.3190304116963479E-4</v>
      </c>
      <c r="BL70" s="42">
        <f t="shared" si="182"/>
        <v>1.3190304116963479E-4</v>
      </c>
      <c r="BM70" s="42">
        <f t="shared" si="182"/>
        <v>1.3190304116963479E-4</v>
      </c>
      <c r="BN70" s="42">
        <f t="shared" si="182"/>
        <v>1.3190304116963479E-4</v>
      </c>
      <c r="BO70" s="42">
        <f t="shared" si="182"/>
        <v>1.3190304116963479E-4</v>
      </c>
      <c r="BP70" s="42">
        <f t="shared" si="182"/>
        <v>1.3190304116963479E-4</v>
      </c>
      <c r="BQ70" s="42">
        <f t="shared" si="182"/>
        <v>1.3190304116963479E-4</v>
      </c>
      <c r="BR70" s="42">
        <f t="shared" si="182"/>
        <v>1.3190304116963479E-4</v>
      </c>
      <c r="BS70" s="42">
        <f t="shared" si="182"/>
        <v>1.3190304116963479E-4</v>
      </c>
      <c r="BT70" s="42">
        <f t="shared" si="182"/>
        <v>1.3190304116963479E-4</v>
      </c>
      <c r="BU70" s="42">
        <f t="shared" si="182"/>
        <v>1.3190304116963479E-4</v>
      </c>
      <c r="BV70" s="42">
        <f t="shared" si="182"/>
        <v>1.3190304116963479E-4</v>
      </c>
      <c r="BW70" s="42">
        <f t="shared" si="182"/>
        <v>1.3190304116963479E-4</v>
      </c>
      <c r="BX70" s="42">
        <f t="shared" si="182"/>
        <v>1.3190304116963479E-4</v>
      </c>
      <c r="BY70" s="42">
        <f t="shared" si="182"/>
        <v>1.3190304116963479E-4</v>
      </c>
      <c r="BZ70" s="34">
        <f t="shared" si="8"/>
        <v>568599.47530357365</v>
      </c>
      <c r="CA70" s="34">
        <f>IFERROR(up_RadSpec!$J$20*(AC20*$B70),".")</f>
        <v>189533.15843452455</v>
      </c>
      <c r="CB70" s="34">
        <f>IFERROR(up_RadSpec!$J$20*(AC20*$B70),".")</f>
        <v>189533.15843452455</v>
      </c>
      <c r="CC70" s="34">
        <f>IFERROR(up_RadSpec!$J$20*(AC20*$B70),".")</f>
        <v>189533.15843452455</v>
      </c>
      <c r="CD70" s="34">
        <f>IFERROR(up_RadSpec!$J$20*(AC20*$B70),".")</f>
        <v>189533.15843452455</v>
      </c>
      <c r="CE70" s="34">
        <f>IFERROR(up_RadSpec!$J$20*(AC20*$B70),".")</f>
        <v>189533.15843452455</v>
      </c>
      <c r="CF70" s="34">
        <f>IFERROR(up_RadSpec!$J$20*(AC20*$B70),".")</f>
        <v>189533.15843452455</v>
      </c>
      <c r="CG70" s="34">
        <f>IFERROR(up_RadSpec!$J$20*(AC20*$B70),".")</f>
        <v>189533.15843452455</v>
      </c>
      <c r="CH70" s="34">
        <f>IFERROR(up_RadSpec!$J$20*(AC20*$B70),".")</f>
        <v>189533.15843452455</v>
      </c>
      <c r="CI70" s="34">
        <f>IFERROR(up_RadSpec!$J$20*(AC20*$B70),".")</f>
        <v>189533.15843452455</v>
      </c>
      <c r="CJ70" s="34">
        <f>IFERROR(up_RadSpec!$J$20*(AC20*$B70),".")</f>
        <v>189533.15843452455</v>
      </c>
      <c r="CK70" s="34">
        <f>IFERROR(up_RadSpec!$J$20*(AC20*$B70),".")</f>
        <v>189533.15843452455</v>
      </c>
      <c r="CL70" s="34">
        <f>IFERROR(up_RadSpec!$J$20*(AC20*$B70),".")</f>
        <v>189533.15843452455</v>
      </c>
      <c r="CM70" s="34">
        <f>IFERROR(up_RadSpec!$J$20*(AC20*$B70),".")</f>
        <v>189533.15843452455</v>
      </c>
      <c r="CN70" s="34">
        <f>IFERROR(up_RadSpec!$J$20*(AC20*$B70),".")</f>
        <v>189533.15843452455</v>
      </c>
      <c r="CO70" s="34">
        <f>IFERROR(up_RadSpec!$J$20*(AC20*$B70),".")</f>
        <v>189533.15843452455</v>
      </c>
      <c r="CP70" s="34">
        <f>IFERROR(up_RadSpec!$J$20*(AC20*$B70),".")</f>
        <v>189533.15843452455</v>
      </c>
      <c r="CQ70" s="34">
        <f>IFERROR(up_RadSpec!$J$20*(AC20*$B70),".")</f>
        <v>189533.15843452455</v>
      </c>
      <c r="CR70" s="34">
        <f>IFERROR(up_RadSpec!$J$20*(AC20*$B70),".")</f>
        <v>189533.15843452455</v>
      </c>
      <c r="CS70" s="34">
        <f>IFERROR(up_RadSpec!$J$20*(AC20*$B70),".")</f>
        <v>189533.15843452455</v>
      </c>
      <c r="CT70" s="34">
        <f>IFERROR(up_RadSpec!$J$20*(AC20*$B70),".")</f>
        <v>189533.15843452455</v>
      </c>
      <c r="CU70" s="34">
        <f>IFERROR(up_RadSpec!$J$20*(AC20*$B70),".")</f>
        <v>189533.15843452455</v>
      </c>
      <c r="CV70" s="34">
        <f>IFERROR(up_RadSpec!$J$20*(AC20*$B70),".")</f>
        <v>189533.15843452455</v>
      </c>
      <c r="CW70" s="34">
        <f>IFERROR(up_RadSpec!$J$20*(AC20*$B70),".")</f>
        <v>189533.15843452455</v>
      </c>
      <c r="CX70" s="34">
        <f>IFERROR(up_RadSpec!$J$20*(AC20*$B70),".")</f>
        <v>189533.15843452455</v>
      </c>
    </row>
    <row r="71" spans="1:102" x14ac:dyDescent="0.25">
      <c r="A71" s="55" t="s">
        <v>1080</v>
      </c>
      <c r="B71" s="3">
        <v>2.0999995799999999E-4</v>
      </c>
      <c r="C71" s="42">
        <f t="shared" si="173"/>
        <v>0.20932598081206771</v>
      </c>
      <c r="D71" s="42">
        <f t="shared" ref="D71:AA71" si="183">IFERROR(D29/$B57,0)</f>
        <v>0.6279779424362032</v>
      </c>
      <c r="E71" s="42">
        <f t="shared" si="183"/>
        <v>0.6279779424362032</v>
      </c>
      <c r="F71" s="42">
        <f t="shared" si="183"/>
        <v>0.6279779424362032</v>
      </c>
      <c r="G71" s="42">
        <f t="shared" si="183"/>
        <v>0.6279779424362032</v>
      </c>
      <c r="H71" s="42">
        <f t="shared" si="183"/>
        <v>0.6279779424362032</v>
      </c>
      <c r="I71" s="42">
        <f t="shared" si="183"/>
        <v>0.6279779424362032</v>
      </c>
      <c r="J71" s="42">
        <f t="shared" si="183"/>
        <v>0.6279779424362032</v>
      </c>
      <c r="K71" s="42">
        <f t="shared" si="183"/>
        <v>0.6279779424362032</v>
      </c>
      <c r="L71" s="42">
        <f t="shared" si="183"/>
        <v>0.6279779424362032</v>
      </c>
      <c r="M71" s="42">
        <f t="shared" si="183"/>
        <v>0.6279779424362032</v>
      </c>
      <c r="N71" s="42">
        <f t="shared" si="183"/>
        <v>0.6279779424362032</v>
      </c>
      <c r="O71" s="42">
        <f t="shared" si="183"/>
        <v>0.6279779424362032</v>
      </c>
      <c r="P71" s="42">
        <f t="shared" si="183"/>
        <v>0.6279779424362032</v>
      </c>
      <c r="Q71" s="42">
        <f t="shared" si="183"/>
        <v>0.6279779424362032</v>
      </c>
      <c r="R71" s="42">
        <f t="shared" si="183"/>
        <v>0.6279779424362032</v>
      </c>
      <c r="S71" s="42">
        <f t="shared" si="183"/>
        <v>0.6279779424362032</v>
      </c>
      <c r="T71" s="42">
        <f t="shared" si="183"/>
        <v>0.6279779424362032</v>
      </c>
      <c r="U71" s="42">
        <f t="shared" si="183"/>
        <v>0.6279779424362032</v>
      </c>
      <c r="V71" s="42">
        <f t="shared" si="183"/>
        <v>0.6279779424362032</v>
      </c>
      <c r="W71" s="42">
        <f t="shared" si="183"/>
        <v>0.6279779424362032</v>
      </c>
      <c r="X71" s="42">
        <f t="shared" si="183"/>
        <v>0.6279779424362032</v>
      </c>
      <c r="Y71" s="42">
        <f t="shared" si="183"/>
        <v>0.6279779424362032</v>
      </c>
      <c r="Z71" s="42">
        <f t="shared" si="183"/>
        <v>0.6279779424362032</v>
      </c>
      <c r="AA71" s="42">
        <f t="shared" si="183"/>
        <v>0.6279779424362032</v>
      </c>
      <c r="AB71" s="34">
        <f t="shared" si="4"/>
        <v>119.43094642630592</v>
      </c>
      <c r="AC71" s="34">
        <f>IFERROR(up_RadSpec!$J$29*(AC29*$B71),".")</f>
        <v>39.81031547543531</v>
      </c>
      <c r="AD71" s="34">
        <f>IFERROR(up_RadSpec!$J$29*(AC29*$B71),".")</f>
        <v>39.81031547543531</v>
      </c>
      <c r="AE71" s="34">
        <f>IFERROR(up_RadSpec!$J$29*(AC29*$B71),".")</f>
        <v>39.81031547543531</v>
      </c>
      <c r="AF71" s="34">
        <f>IFERROR(up_RadSpec!$J$29*(AC29*$B71),".")</f>
        <v>39.81031547543531</v>
      </c>
      <c r="AG71" s="34">
        <f>IFERROR(up_RadSpec!$J$29*(AC29*$B71),".")</f>
        <v>39.81031547543531</v>
      </c>
      <c r="AH71" s="34">
        <f>IFERROR(up_RadSpec!$J$29*(AC29*$B71),".")</f>
        <v>39.81031547543531</v>
      </c>
      <c r="AI71" s="34">
        <f>IFERROR(up_RadSpec!$J$29*(AC29*$B71),".")</f>
        <v>39.81031547543531</v>
      </c>
      <c r="AJ71" s="34">
        <f>IFERROR(up_RadSpec!$J$29*(AC29*$B71),".")</f>
        <v>39.81031547543531</v>
      </c>
      <c r="AK71" s="34">
        <f>IFERROR(up_RadSpec!$J$29*(AC29*$B71),".")</f>
        <v>39.81031547543531</v>
      </c>
      <c r="AL71" s="34">
        <f>IFERROR(up_RadSpec!$J$29*(AC29*$B71),".")</f>
        <v>39.81031547543531</v>
      </c>
      <c r="AM71" s="34">
        <f>IFERROR(up_RadSpec!$J$29*(AC29*$B71),".")</f>
        <v>39.81031547543531</v>
      </c>
      <c r="AN71" s="34">
        <f>IFERROR(up_RadSpec!$J$29*(AC29*$B71),".")</f>
        <v>39.81031547543531</v>
      </c>
      <c r="AO71" s="34">
        <f>IFERROR(up_RadSpec!$J$29*(AC29*$B71),".")</f>
        <v>39.81031547543531</v>
      </c>
      <c r="AP71" s="34">
        <f>IFERROR(up_RadSpec!$J$29*(AC29*$B71),".")</f>
        <v>39.81031547543531</v>
      </c>
      <c r="AQ71" s="34">
        <f>IFERROR(up_RadSpec!$J$29*(AC29*$B71),".")</f>
        <v>39.81031547543531</v>
      </c>
      <c r="AR71" s="34">
        <f>IFERROR(up_RadSpec!$J$29*(AC29*$B71),".")</f>
        <v>39.81031547543531</v>
      </c>
      <c r="AS71" s="34">
        <f>IFERROR(up_RadSpec!$J$29*(AC29*$B71),".")</f>
        <v>39.81031547543531</v>
      </c>
      <c r="AT71" s="34">
        <f>IFERROR(up_RadSpec!$J$29*(AC29*$B71),".")</f>
        <v>39.81031547543531</v>
      </c>
      <c r="AU71" s="34">
        <f>IFERROR(up_RadSpec!$J$29*(AC29*$B71),".")</f>
        <v>39.81031547543531</v>
      </c>
      <c r="AV71" s="34">
        <f>IFERROR(up_RadSpec!$J$29*(AC29*$B71),".")</f>
        <v>39.81031547543531</v>
      </c>
      <c r="AW71" s="34">
        <f>IFERROR(up_RadSpec!$J$29*(AC29*$B71),".")</f>
        <v>39.81031547543531</v>
      </c>
      <c r="AX71" s="34">
        <f>IFERROR(up_RadSpec!$J$29*(AC29*$B71),".")</f>
        <v>39.81031547543531</v>
      </c>
      <c r="AY71" s="34">
        <f>IFERROR(up_RadSpec!$J$29*(AC29*$B71),".")</f>
        <v>39.81031547543531</v>
      </c>
      <c r="AZ71" s="34">
        <f>IFERROR(up_RadSpec!$J$29*(AC29*$B71),".")</f>
        <v>39.81031547543531</v>
      </c>
      <c r="BA71" s="42">
        <f t="shared" si="175"/>
        <v>0.20932598081206771</v>
      </c>
      <c r="BB71" s="42">
        <f t="shared" ref="BB71:BY71" si="184">IFERROR(BB29/$B57,0)</f>
        <v>0.6279779424362032</v>
      </c>
      <c r="BC71" s="42">
        <f t="shared" si="184"/>
        <v>0.6279779424362032</v>
      </c>
      <c r="BD71" s="42">
        <f t="shared" si="184"/>
        <v>0.6279779424362032</v>
      </c>
      <c r="BE71" s="42">
        <f t="shared" si="184"/>
        <v>0.6279779424362032</v>
      </c>
      <c r="BF71" s="42">
        <f t="shared" si="184"/>
        <v>0.6279779424362032</v>
      </c>
      <c r="BG71" s="42">
        <f t="shared" si="184"/>
        <v>0.6279779424362032</v>
      </c>
      <c r="BH71" s="42">
        <f t="shared" si="184"/>
        <v>0.6279779424362032</v>
      </c>
      <c r="BI71" s="42">
        <f t="shared" si="184"/>
        <v>0.6279779424362032</v>
      </c>
      <c r="BJ71" s="42">
        <f t="shared" si="184"/>
        <v>0.6279779424362032</v>
      </c>
      <c r="BK71" s="42">
        <f t="shared" si="184"/>
        <v>0.6279779424362032</v>
      </c>
      <c r="BL71" s="42">
        <f t="shared" si="184"/>
        <v>0.6279779424362032</v>
      </c>
      <c r="BM71" s="42">
        <f t="shared" si="184"/>
        <v>0.6279779424362032</v>
      </c>
      <c r="BN71" s="42">
        <f t="shared" si="184"/>
        <v>0.6279779424362032</v>
      </c>
      <c r="BO71" s="42">
        <f t="shared" si="184"/>
        <v>0.6279779424362032</v>
      </c>
      <c r="BP71" s="42">
        <f t="shared" si="184"/>
        <v>0.6279779424362032</v>
      </c>
      <c r="BQ71" s="42">
        <f t="shared" si="184"/>
        <v>0.6279779424362032</v>
      </c>
      <c r="BR71" s="42">
        <f t="shared" si="184"/>
        <v>0.6279779424362032</v>
      </c>
      <c r="BS71" s="42">
        <f t="shared" si="184"/>
        <v>0.6279779424362032</v>
      </c>
      <c r="BT71" s="42">
        <f t="shared" si="184"/>
        <v>0.6279779424362032</v>
      </c>
      <c r="BU71" s="42">
        <f t="shared" si="184"/>
        <v>0.6279779424362032</v>
      </c>
      <c r="BV71" s="42">
        <f t="shared" si="184"/>
        <v>0.6279779424362032</v>
      </c>
      <c r="BW71" s="42">
        <f t="shared" si="184"/>
        <v>0.6279779424362032</v>
      </c>
      <c r="BX71" s="42">
        <f t="shared" si="184"/>
        <v>0.6279779424362032</v>
      </c>
      <c r="BY71" s="42">
        <f t="shared" si="184"/>
        <v>0.6279779424362032</v>
      </c>
      <c r="BZ71" s="34">
        <f t="shared" si="8"/>
        <v>119.43094642630592</v>
      </c>
      <c r="CA71" s="34">
        <f>IFERROR(up_RadSpec!$J$29*(AC29*$B71),".")</f>
        <v>39.81031547543531</v>
      </c>
      <c r="CB71" s="34">
        <f>IFERROR(up_RadSpec!$J$29*(AC29*$B71),".")</f>
        <v>39.81031547543531</v>
      </c>
      <c r="CC71" s="34">
        <f>IFERROR(up_RadSpec!$J$29*(AC29*$B71),".")</f>
        <v>39.81031547543531</v>
      </c>
      <c r="CD71" s="34">
        <f>IFERROR(up_RadSpec!$J$29*(AC29*$B71),".")</f>
        <v>39.81031547543531</v>
      </c>
      <c r="CE71" s="34">
        <f>IFERROR(up_RadSpec!$J$29*(AC29*$B71),".")</f>
        <v>39.81031547543531</v>
      </c>
      <c r="CF71" s="34">
        <f>IFERROR(up_RadSpec!$J$29*(AC29*$B71),".")</f>
        <v>39.81031547543531</v>
      </c>
      <c r="CG71" s="34">
        <f>IFERROR(up_RadSpec!$J$29*(AC29*$B71),".")</f>
        <v>39.81031547543531</v>
      </c>
      <c r="CH71" s="34">
        <f>IFERROR(up_RadSpec!$J$29*(AC29*$B71),".")</f>
        <v>39.81031547543531</v>
      </c>
      <c r="CI71" s="34">
        <f>IFERROR(up_RadSpec!$J$29*(AC29*$B71),".")</f>
        <v>39.81031547543531</v>
      </c>
      <c r="CJ71" s="34">
        <f>IFERROR(up_RadSpec!$J$29*(AC29*$B71),".")</f>
        <v>39.81031547543531</v>
      </c>
      <c r="CK71" s="34">
        <f>IFERROR(up_RadSpec!$J$29*(AC29*$B71),".")</f>
        <v>39.81031547543531</v>
      </c>
      <c r="CL71" s="34">
        <f>IFERROR(up_RadSpec!$J$29*(AC29*$B71),".")</f>
        <v>39.81031547543531</v>
      </c>
      <c r="CM71" s="34">
        <f>IFERROR(up_RadSpec!$J$29*(AC29*$B71),".")</f>
        <v>39.81031547543531</v>
      </c>
      <c r="CN71" s="34">
        <f>IFERROR(up_RadSpec!$J$29*(AC29*$B71),".")</f>
        <v>39.81031547543531</v>
      </c>
      <c r="CO71" s="34">
        <f>IFERROR(up_RadSpec!$J$29*(AC29*$B71),".")</f>
        <v>39.81031547543531</v>
      </c>
      <c r="CP71" s="34">
        <f>IFERROR(up_RadSpec!$J$29*(AC29*$B71),".")</f>
        <v>39.81031547543531</v>
      </c>
      <c r="CQ71" s="34">
        <f>IFERROR(up_RadSpec!$J$29*(AC29*$B71),".")</f>
        <v>39.81031547543531</v>
      </c>
      <c r="CR71" s="34">
        <f>IFERROR(up_RadSpec!$J$29*(AC29*$B71),".")</f>
        <v>39.81031547543531</v>
      </c>
      <c r="CS71" s="34">
        <f>IFERROR(up_RadSpec!$J$29*(AC29*$B71),".")</f>
        <v>39.81031547543531</v>
      </c>
      <c r="CT71" s="34">
        <f>IFERROR(up_RadSpec!$J$29*(AC29*$B71),".")</f>
        <v>39.81031547543531</v>
      </c>
      <c r="CU71" s="34">
        <f>IFERROR(up_RadSpec!$J$29*(AC29*$B71),".")</f>
        <v>39.81031547543531</v>
      </c>
      <c r="CV71" s="34">
        <f>IFERROR(up_RadSpec!$J$29*(AC29*$B71),".")</f>
        <v>39.81031547543531</v>
      </c>
      <c r="CW71" s="34">
        <f>IFERROR(up_RadSpec!$J$29*(AC29*$B71),".")</f>
        <v>39.81031547543531</v>
      </c>
      <c r="CX71" s="34">
        <f>IFERROR(up_RadSpec!$J$29*(AC29*$B71),".")</f>
        <v>39.81031547543531</v>
      </c>
    </row>
    <row r="72" spans="1:102" x14ac:dyDescent="0.25">
      <c r="A72" s="55" t="s">
        <v>1081</v>
      </c>
      <c r="B72" s="3">
        <v>1</v>
      </c>
      <c r="C72" s="42">
        <f t="shared" si="173"/>
        <v>4.3958447178843029E-5</v>
      </c>
      <c r="D72" s="42">
        <f t="shared" ref="D72:AA72" si="185">IFERROR(D16/$B58,0)</f>
        <v>1.3187534153652909E-4</v>
      </c>
      <c r="E72" s="42">
        <f t="shared" si="185"/>
        <v>1.3187534153652909E-4</v>
      </c>
      <c r="F72" s="42">
        <f t="shared" si="185"/>
        <v>1.3187534153652909E-4</v>
      </c>
      <c r="G72" s="42">
        <f t="shared" si="185"/>
        <v>1.3187534153652909E-4</v>
      </c>
      <c r="H72" s="42">
        <f t="shared" si="185"/>
        <v>1.3187534153652909E-4</v>
      </c>
      <c r="I72" s="42">
        <f t="shared" si="185"/>
        <v>1.3187534153652909E-4</v>
      </c>
      <c r="J72" s="42">
        <f t="shared" si="185"/>
        <v>1.3187534153652909E-4</v>
      </c>
      <c r="K72" s="42">
        <f t="shared" si="185"/>
        <v>1.3187534153652909E-4</v>
      </c>
      <c r="L72" s="42">
        <f t="shared" si="185"/>
        <v>1.3187534153652909E-4</v>
      </c>
      <c r="M72" s="42">
        <f t="shared" si="185"/>
        <v>1.3187534153652909E-4</v>
      </c>
      <c r="N72" s="42">
        <f t="shared" si="185"/>
        <v>1.3187534153652909E-4</v>
      </c>
      <c r="O72" s="42">
        <f t="shared" si="185"/>
        <v>1.3187534153652909E-4</v>
      </c>
      <c r="P72" s="42">
        <f t="shared" si="185"/>
        <v>1.3187534153652909E-4</v>
      </c>
      <c r="Q72" s="42">
        <f t="shared" si="185"/>
        <v>1.3187534153652909E-4</v>
      </c>
      <c r="R72" s="42">
        <f t="shared" si="185"/>
        <v>1.3187534153652909E-4</v>
      </c>
      <c r="S72" s="42">
        <f t="shared" si="185"/>
        <v>1.3187534153652909E-4</v>
      </c>
      <c r="T72" s="42">
        <f t="shared" si="185"/>
        <v>1.3187534153652909E-4</v>
      </c>
      <c r="U72" s="42">
        <f t="shared" si="185"/>
        <v>1.3187534153652909E-4</v>
      </c>
      <c r="V72" s="42">
        <f t="shared" si="185"/>
        <v>1.3187534153652909E-4</v>
      </c>
      <c r="W72" s="42">
        <f t="shared" si="185"/>
        <v>1.3187534153652909E-4</v>
      </c>
      <c r="X72" s="42">
        <f t="shared" si="185"/>
        <v>1.3187534153652909E-4</v>
      </c>
      <c r="Y72" s="42">
        <f t="shared" si="185"/>
        <v>1.3187534153652909E-4</v>
      </c>
      <c r="Z72" s="42">
        <f t="shared" si="185"/>
        <v>1.3187534153652909E-4</v>
      </c>
      <c r="AA72" s="42">
        <f t="shared" si="185"/>
        <v>1.3187534153652909E-4</v>
      </c>
      <c r="AB72" s="34">
        <f t="shared" si="4"/>
        <v>568718.90625</v>
      </c>
      <c r="AC72" s="34">
        <f>IFERROR(up_RadSpec!$J$16*(AC16*$B72),".")</f>
        <v>189572.96875</v>
      </c>
      <c r="AD72" s="34">
        <f>IFERROR(up_RadSpec!$J$16*(AC16*$B72),".")</f>
        <v>189572.96875</v>
      </c>
      <c r="AE72" s="34">
        <f>IFERROR(up_RadSpec!$J$16*(AC16*$B72),".")</f>
        <v>189572.96875</v>
      </c>
      <c r="AF72" s="34">
        <f>IFERROR(up_RadSpec!$J$16*(AC16*$B72),".")</f>
        <v>189572.96875</v>
      </c>
      <c r="AG72" s="34">
        <f>IFERROR(up_RadSpec!$J$16*(AC16*$B72),".")</f>
        <v>189572.96875</v>
      </c>
      <c r="AH72" s="34">
        <f>IFERROR(up_RadSpec!$J$16*(AC16*$B72),".")</f>
        <v>189572.96875</v>
      </c>
      <c r="AI72" s="34">
        <f>IFERROR(up_RadSpec!$J$16*(AC16*$B72),".")</f>
        <v>189572.96875</v>
      </c>
      <c r="AJ72" s="34">
        <f>IFERROR(up_RadSpec!$J$16*(AC16*$B72),".")</f>
        <v>189572.96875</v>
      </c>
      <c r="AK72" s="34">
        <f>IFERROR(up_RadSpec!$J$16*(AC16*$B72),".")</f>
        <v>189572.96875</v>
      </c>
      <c r="AL72" s="34">
        <f>IFERROR(up_RadSpec!$J$16*(AC16*$B72),".")</f>
        <v>189572.96875</v>
      </c>
      <c r="AM72" s="34">
        <f>IFERROR(up_RadSpec!$J$16*(AC16*$B72),".")</f>
        <v>189572.96875</v>
      </c>
      <c r="AN72" s="34">
        <f>IFERROR(up_RadSpec!$J$16*(AC16*$B72),".")</f>
        <v>189572.96875</v>
      </c>
      <c r="AO72" s="34">
        <f>IFERROR(up_RadSpec!$J$16*(AC16*$B72),".")</f>
        <v>189572.96875</v>
      </c>
      <c r="AP72" s="34">
        <f>IFERROR(up_RadSpec!$J$16*(AC16*$B72),".")</f>
        <v>189572.96875</v>
      </c>
      <c r="AQ72" s="34">
        <f>IFERROR(up_RadSpec!$J$16*(AC16*$B72),".")</f>
        <v>189572.96875</v>
      </c>
      <c r="AR72" s="34">
        <f>IFERROR(up_RadSpec!$J$16*(AC16*$B72),".")</f>
        <v>189572.96875</v>
      </c>
      <c r="AS72" s="34">
        <f>IFERROR(up_RadSpec!$J$16*(AC16*$B72),".")</f>
        <v>189572.96875</v>
      </c>
      <c r="AT72" s="34">
        <f>IFERROR(up_RadSpec!$J$16*(AC16*$B72),".")</f>
        <v>189572.96875</v>
      </c>
      <c r="AU72" s="34">
        <f>IFERROR(up_RadSpec!$J$16*(AC16*$B72),".")</f>
        <v>189572.96875</v>
      </c>
      <c r="AV72" s="34">
        <f>IFERROR(up_RadSpec!$J$16*(AC16*$B72),".")</f>
        <v>189572.96875</v>
      </c>
      <c r="AW72" s="34">
        <f>IFERROR(up_RadSpec!$J$16*(AC16*$B72),".")</f>
        <v>189572.96875</v>
      </c>
      <c r="AX72" s="34">
        <f>IFERROR(up_RadSpec!$J$16*(AC16*$B72),".")</f>
        <v>189572.96875</v>
      </c>
      <c r="AY72" s="34">
        <f>IFERROR(up_RadSpec!$J$16*(AC16*$B72),".")</f>
        <v>189572.96875</v>
      </c>
      <c r="AZ72" s="34">
        <f>IFERROR(up_RadSpec!$J$16*(AC16*$B72),".")</f>
        <v>189572.96875</v>
      </c>
      <c r="BA72" s="42">
        <f t="shared" si="175"/>
        <v>4.3958447178843029E-5</v>
      </c>
      <c r="BB72" s="42">
        <f t="shared" ref="BB72:BY72" si="186">IFERROR(BB16/$B58,0)</f>
        <v>1.3187534153652909E-4</v>
      </c>
      <c r="BC72" s="42">
        <f t="shared" si="186"/>
        <v>1.3187534153652909E-4</v>
      </c>
      <c r="BD72" s="42">
        <f t="shared" si="186"/>
        <v>1.3187534153652909E-4</v>
      </c>
      <c r="BE72" s="42">
        <f t="shared" si="186"/>
        <v>1.3187534153652909E-4</v>
      </c>
      <c r="BF72" s="42">
        <f t="shared" si="186"/>
        <v>1.3187534153652909E-4</v>
      </c>
      <c r="BG72" s="42">
        <f t="shared" si="186"/>
        <v>1.3187534153652909E-4</v>
      </c>
      <c r="BH72" s="42">
        <f t="shared" si="186"/>
        <v>1.3187534153652909E-4</v>
      </c>
      <c r="BI72" s="42">
        <f t="shared" si="186"/>
        <v>1.3187534153652909E-4</v>
      </c>
      <c r="BJ72" s="42">
        <f t="shared" si="186"/>
        <v>1.3187534153652909E-4</v>
      </c>
      <c r="BK72" s="42">
        <f t="shared" si="186"/>
        <v>1.3187534153652909E-4</v>
      </c>
      <c r="BL72" s="42">
        <f t="shared" si="186"/>
        <v>1.3187534153652909E-4</v>
      </c>
      <c r="BM72" s="42">
        <f t="shared" si="186"/>
        <v>1.3187534153652909E-4</v>
      </c>
      <c r="BN72" s="42">
        <f t="shared" si="186"/>
        <v>1.3187534153652909E-4</v>
      </c>
      <c r="BO72" s="42">
        <f t="shared" si="186"/>
        <v>1.3187534153652909E-4</v>
      </c>
      <c r="BP72" s="42">
        <f t="shared" si="186"/>
        <v>1.3187534153652909E-4</v>
      </c>
      <c r="BQ72" s="42">
        <f t="shared" si="186"/>
        <v>1.3187534153652909E-4</v>
      </c>
      <c r="BR72" s="42">
        <f t="shared" si="186"/>
        <v>1.3187534153652909E-4</v>
      </c>
      <c r="BS72" s="42">
        <f t="shared" si="186"/>
        <v>1.3187534153652909E-4</v>
      </c>
      <c r="BT72" s="42">
        <f t="shared" si="186"/>
        <v>1.3187534153652909E-4</v>
      </c>
      <c r="BU72" s="42">
        <f t="shared" si="186"/>
        <v>1.3187534153652909E-4</v>
      </c>
      <c r="BV72" s="42">
        <f t="shared" si="186"/>
        <v>1.3187534153652909E-4</v>
      </c>
      <c r="BW72" s="42">
        <f t="shared" si="186"/>
        <v>1.3187534153652909E-4</v>
      </c>
      <c r="BX72" s="42">
        <f t="shared" si="186"/>
        <v>1.3187534153652909E-4</v>
      </c>
      <c r="BY72" s="42">
        <f t="shared" si="186"/>
        <v>1.3187534153652909E-4</v>
      </c>
      <c r="BZ72" s="34">
        <f t="shared" si="8"/>
        <v>568718.90625</v>
      </c>
      <c r="CA72" s="34">
        <f>IFERROR(up_RadSpec!$J$16*(AC16*$B72),".")</f>
        <v>189572.96875</v>
      </c>
      <c r="CB72" s="34">
        <f>IFERROR(up_RadSpec!$J$16*(AC16*$B72),".")</f>
        <v>189572.96875</v>
      </c>
      <c r="CC72" s="34">
        <f>IFERROR(up_RadSpec!$J$16*(AC16*$B72),".")</f>
        <v>189572.96875</v>
      </c>
      <c r="CD72" s="34">
        <f>IFERROR(up_RadSpec!$J$16*(AC16*$B72),".")</f>
        <v>189572.96875</v>
      </c>
      <c r="CE72" s="34">
        <f>IFERROR(up_RadSpec!$J$16*(AC16*$B72),".")</f>
        <v>189572.96875</v>
      </c>
      <c r="CF72" s="34">
        <f>IFERROR(up_RadSpec!$J$16*(AC16*$B72),".")</f>
        <v>189572.96875</v>
      </c>
      <c r="CG72" s="34">
        <f>IFERROR(up_RadSpec!$J$16*(AC16*$B72),".")</f>
        <v>189572.96875</v>
      </c>
      <c r="CH72" s="34">
        <f>IFERROR(up_RadSpec!$J$16*(AC16*$B72),".")</f>
        <v>189572.96875</v>
      </c>
      <c r="CI72" s="34">
        <f>IFERROR(up_RadSpec!$J$16*(AC16*$B72),".")</f>
        <v>189572.96875</v>
      </c>
      <c r="CJ72" s="34">
        <f>IFERROR(up_RadSpec!$J$16*(AC16*$B72),".")</f>
        <v>189572.96875</v>
      </c>
      <c r="CK72" s="34">
        <f>IFERROR(up_RadSpec!$J$16*(AC16*$B72),".")</f>
        <v>189572.96875</v>
      </c>
      <c r="CL72" s="34">
        <f>IFERROR(up_RadSpec!$J$16*(AC16*$B72),".")</f>
        <v>189572.96875</v>
      </c>
      <c r="CM72" s="34">
        <f>IFERROR(up_RadSpec!$J$16*(AC16*$B72),".")</f>
        <v>189572.96875</v>
      </c>
      <c r="CN72" s="34">
        <f>IFERROR(up_RadSpec!$J$16*(AC16*$B72),".")</f>
        <v>189572.96875</v>
      </c>
      <c r="CO72" s="34">
        <f>IFERROR(up_RadSpec!$J$16*(AC16*$B72),".")</f>
        <v>189572.96875</v>
      </c>
      <c r="CP72" s="34">
        <f>IFERROR(up_RadSpec!$J$16*(AC16*$B72),".")</f>
        <v>189572.96875</v>
      </c>
      <c r="CQ72" s="34">
        <f>IFERROR(up_RadSpec!$J$16*(AC16*$B72),".")</f>
        <v>189572.96875</v>
      </c>
      <c r="CR72" s="34">
        <f>IFERROR(up_RadSpec!$J$16*(AC16*$B72),".")</f>
        <v>189572.96875</v>
      </c>
      <c r="CS72" s="34">
        <f>IFERROR(up_RadSpec!$J$16*(AC16*$B72),".")</f>
        <v>189572.96875</v>
      </c>
      <c r="CT72" s="34">
        <f>IFERROR(up_RadSpec!$J$16*(AC16*$B72),".")</f>
        <v>189572.96875</v>
      </c>
      <c r="CU72" s="34">
        <f>IFERROR(up_RadSpec!$J$16*(AC16*$B72),".")</f>
        <v>189572.96875</v>
      </c>
      <c r="CV72" s="34">
        <f>IFERROR(up_RadSpec!$J$16*(AC16*$B72),".")</f>
        <v>189572.96875</v>
      </c>
      <c r="CW72" s="34">
        <f>IFERROR(up_RadSpec!$J$16*(AC16*$B72),".")</f>
        <v>189572.96875</v>
      </c>
      <c r="CX72" s="34">
        <f>IFERROR(up_RadSpec!$J$16*(AC16*$B72),".")</f>
        <v>189572.96875</v>
      </c>
    </row>
    <row r="73" spans="1:102" x14ac:dyDescent="0.25">
      <c r="A73" s="55" t="s">
        <v>1082</v>
      </c>
      <c r="B73" s="3">
        <v>1</v>
      </c>
      <c r="C73" s="42">
        <f t="shared" si="173"/>
        <v>4.3958447178843029E-5</v>
      </c>
      <c r="D73" s="42">
        <f t="shared" ref="D73:AA73" si="187">IFERROR(D7/$B59,0)</f>
        <v>1.3187534153652909E-4</v>
      </c>
      <c r="E73" s="42">
        <f t="shared" si="187"/>
        <v>1.3187534153652909E-4</v>
      </c>
      <c r="F73" s="42">
        <f t="shared" si="187"/>
        <v>1.3187534153652909E-4</v>
      </c>
      <c r="G73" s="42">
        <f t="shared" si="187"/>
        <v>1.3187534153652909E-4</v>
      </c>
      <c r="H73" s="42">
        <f t="shared" si="187"/>
        <v>1.3187534153652909E-4</v>
      </c>
      <c r="I73" s="42">
        <f t="shared" si="187"/>
        <v>1.3187534153652909E-4</v>
      </c>
      <c r="J73" s="42">
        <f t="shared" si="187"/>
        <v>1.3187534153652909E-4</v>
      </c>
      <c r="K73" s="42">
        <f t="shared" si="187"/>
        <v>1.3187534153652909E-4</v>
      </c>
      <c r="L73" s="42">
        <f t="shared" si="187"/>
        <v>1.3187534153652909E-4</v>
      </c>
      <c r="M73" s="42">
        <f t="shared" si="187"/>
        <v>1.3187534153652909E-4</v>
      </c>
      <c r="N73" s="42">
        <f t="shared" si="187"/>
        <v>1.3187534153652909E-4</v>
      </c>
      <c r="O73" s="42">
        <f t="shared" si="187"/>
        <v>1.3187534153652909E-4</v>
      </c>
      <c r="P73" s="42">
        <f t="shared" si="187"/>
        <v>1.3187534153652909E-4</v>
      </c>
      <c r="Q73" s="42">
        <f t="shared" si="187"/>
        <v>1.3187534153652909E-4</v>
      </c>
      <c r="R73" s="42">
        <f t="shared" si="187"/>
        <v>1.3187534153652909E-4</v>
      </c>
      <c r="S73" s="42">
        <f t="shared" si="187"/>
        <v>1.3187534153652909E-4</v>
      </c>
      <c r="T73" s="42">
        <f t="shared" si="187"/>
        <v>1.3187534153652909E-4</v>
      </c>
      <c r="U73" s="42">
        <f t="shared" si="187"/>
        <v>1.3187534153652909E-4</v>
      </c>
      <c r="V73" s="42">
        <f t="shared" si="187"/>
        <v>1.3187534153652909E-4</v>
      </c>
      <c r="W73" s="42">
        <f t="shared" si="187"/>
        <v>1.3187534153652909E-4</v>
      </c>
      <c r="X73" s="42">
        <f t="shared" si="187"/>
        <v>1.3187534153652909E-4</v>
      </c>
      <c r="Y73" s="42">
        <f t="shared" si="187"/>
        <v>1.3187534153652909E-4</v>
      </c>
      <c r="Z73" s="42">
        <f t="shared" si="187"/>
        <v>1.3187534153652909E-4</v>
      </c>
      <c r="AA73" s="42">
        <f t="shared" si="187"/>
        <v>1.3187534153652909E-4</v>
      </c>
      <c r="AB73" s="34">
        <f t="shared" si="4"/>
        <v>568718.90625</v>
      </c>
      <c r="AC73" s="34">
        <f>IFERROR(up_RadSpec!$J$7*(AC7*$B73),".")</f>
        <v>189572.96875</v>
      </c>
      <c r="AD73" s="34">
        <f>IFERROR(up_RadSpec!$J$7*(AC7*$B73),".")</f>
        <v>189572.96875</v>
      </c>
      <c r="AE73" s="34">
        <f>IFERROR(up_RadSpec!$J$7*(AC7*$B73),".")</f>
        <v>189572.96875</v>
      </c>
      <c r="AF73" s="34">
        <f>IFERROR(up_RadSpec!$J$7*(AC7*$B73),".")</f>
        <v>189572.96875</v>
      </c>
      <c r="AG73" s="34">
        <f>IFERROR(up_RadSpec!$J$7*(AC7*$B73),".")</f>
        <v>189572.96875</v>
      </c>
      <c r="AH73" s="34">
        <f>IFERROR(up_RadSpec!$J$7*(AC7*$B73),".")</f>
        <v>189572.96875</v>
      </c>
      <c r="AI73" s="34">
        <f>IFERROR(up_RadSpec!$J$7*(AC7*$B73),".")</f>
        <v>189572.96875</v>
      </c>
      <c r="AJ73" s="34">
        <f>IFERROR(up_RadSpec!$J$7*(AC7*$B73),".")</f>
        <v>189572.96875</v>
      </c>
      <c r="AK73" s="34">
        <f>IFERROR(up_RadSpec!$J$7*(AC7*$B73),".")</f>
        <v>189572.96875</v>
      </c>
      <c r="AL73" s="34">
        <f>IFERROR(up_RadSpec!$J$7*(AC7*$B73),".")</f>
        <v>189572.96875</v>
      </c>
      <c r="AM73" s="34">
        <f>IFERROR(up_RadSpec!$J$7*(AC7*$B73),".")</f>
        <v>189572.96875</v>
      </c>
      <c r="AN73" s="34">
        <f>IFERROR(up_RadSpec!$J$7*(AC7*$B73),".")</f>
        <v>189572.96875</v>
      </c>
      <c r="AO73" s="34">
        <f>IFERROR(up_RadSpec!$J$7*(AC7*$B73),".")</f>
        <v>189572.96875</v>
      </c>
      <c r="AP73" s="34">
        <f>IFERROR(up_RadSpec!$J$7*(AC7*$B73),".")</f>
        <v>189572.96875</v>
      </c>
      <c r="AQ73" s="34">
        <f>IFERROR(up_RadSpec!$J$7*(AC7*$B73),".")</f>
        <v>189572.96875</v>
      </c>
      <c r="AR73" s="34">
        <f>IFERROR(up_RadSpec!$J$7*(AC7*$B73),".")</f>
        <v>189572.96875</v>
      </c>
      <c r="AS73" s="34">
        <f>IFERROR(up_RadSpec!$J$7*(AC7*$B73),".")</f>
        <v>189572.96875</v>
      </c>
      <c r="AT73" s="34">
        <f>IFERROR(up_RadSpec!$J$7*(AC7*$B73),".")</f>
        <v>189572.96875</v>
      </c>
      <c r="AU73" s="34">
        <f>IFERROR(up_RadSpec!$J$7*(AC7*$B73),".")</f>
        <v>189572.96875</v>
      </c>
      <c r="AV73" s="34">
        <f>IFERROR(up_RadSpec!$J$7*(AC7*$B73),".")</f>
        <v>189572.96875</v>
      </c>
      <c r="AW73" s="34">
        <f>IFERROR(up_RadSpec!$J$7*(AC7*$B73),".")</f>
        <v>189572.96875</v>
      </c>
      <c r="AX73" s="34">
        <f>IFERROR(up_RadSpec!$J$7*(AC7*$B73),".")</f>
        <v>189572.96875</v>
      </c>
      <c r="AY73" s="34">
        <f>IFERROR(up_RadSpec!$J$7*(AC7*$B73),".")</f>
        <v>189572.96875</v>
      </c>
      <c r="AZ73" s="34">
        <f>IFERROR(up_RadSpec!$J$7*(AC7*$B73),".")</f>
        <v>189572.96875</v>
      </c>
      <c r="BA73" s="42">
        <f t="shared" si="175"/>
        <v>4.3958447178843029E-5</v>
      </c>
      <c r="BB73" s="42">
        <f t="shared" ref="BB73:BY73" si="188">IFERROR(BB7/$B59,0)</f>
        <v>1.3187534153652909E-4</v>
      </c>
      <c r="BC73" s="42">
        <f t="shared" si="188"/>
        <v>1.3187534153652909E-4</v>
      </c>
      <c r="BD73" s="42">
        <f t="shared" si="188"/>
        <v>1.3187534153652909E-4</v>
      </c>
      <c r="BE73" s="42">
        <f t="shared" si="188"/>
        <v>1.3187534153652909E-4</v>
      </c>
      <c r="BF73" s="42">
        <f t="shared" si="188"/>
        <v>1.3187534153652909E-4</v>
      </c>
      <c r="BG73" s="42">
        <f t="shared" si="188"/>
        <v>1.3187534153652909E-4</v>
      </c>
      <c r="BH73" s="42">
        <f t="shared" si="188"/>
        <v>1.3187534153652909E-4</v>
      </c>
      <c r="BI73" s="42">
        <f t="shared" si="188"/>
        <v>1.3187534153652909E-4</v>
      </c>
      <c r="BJ73" s="42">
        <f t="shared" si="188"/>
        <v>1.3187534153652909E-4</v>
      </c>
      <c r="BK73" s="42">
        <f t="shared" si="188"/>
        <v>1.3187534153652909E-4</v>
      </c>
      <c r="BL73" s="42">
        <f t="shared" si="188"/>
        <v>1.3187534153652909E-4</v>
      </c>
      <c r="BM73" s="42">
        <f t="shared" si="188"/>
        <v>1.3187534153652909E-4</v>
      </c>
      <c r="BN73" s="42">
        <f t="shared" si="188"/>
        <v>1.3187534153652909E-4</v>
      </c>
      <c r="BO73" s="42">
        <f t="shared" si="188"/>
        <v>1.3187534153652909E-4</v>
      </c>
      <c r="BP73" s="42">
        <f t="shared" si="188"/>
        <v>1.3187534153652909E-4</v>
      </c>
      <c r="BQ73" s="42">
        <f t="shared" si="188"/>
        <v>1.3187534153652909E-4</v>
      </c>
      <c r="BR73" s="42">
        <f t="shared" si="188"/>
        <v>1.3187534153652909E-4</v>
      </c>
      <c r="BS73" s="42">
        <f t="shared" si="188"/>
        <v>1.3187534153652909E-4</v>
      </c>
      <c r="BT73" s="42">
        <f t="shared" si="188"/>
        <v>1.3187534153652909E-4</v>
      </c>
      <c r="BU73" s="42">
        <f t="shared" si="188"/>
        <v>1.3187534153652909E-4</v>
      </c>
      <c r="BV73" s="42">
        <f t="shared" si="188"/>
        <v>1.3187534153652909E-4</v>
      </c>
      <c r="BW73" s="42">
        <f t="shared" si="188"/>
        <v>1.3187534153652909E-4</v>
      </c>
      <c r="BX73" s="42">
        <f t="shared" si="188"/>
        <v>1.3187534153652909E-4</v>
      </c>
      <c r="BY73" s="42">
        <f t="shared" si="188"/>
        <v>1.3187534153652909E-4</v>
      </c>
      <c r="BZ73" s="34">
        <f t="shared" si="8"/>
        <v>568718.90625</v>
      </c>
      <c r="CA73" s="34">
        <f>IFERROR(up_RadSpec!$J$7*(AC7*$B73),".")</f>
        <v>189572.96875</v>
      </c>
      <c r="CB73" s="34">
        <f>IFERROR(up_RadSpec!$J$7*(AC7*$B73),".")</f>
        <v>189572.96875</v>
      </c>
      <c r="CC73" s="34">
        <f>IFERROR(up_RadSpec!$J$7*(AC7*$B73),".")</f>
        <v>189572.96875</v>
      </c>
      <c r="CD73" s="34">
        <f>IFERROR(up_RadSpec!$J$7*(AC7*$B73),".")</f>
        <v>189572.96875</v>
      </c>
      <c r="CE73" s="34">
        <f>IFERROR(up_RadSpec!$J$7*(AC7*$B73),".")</f>
        <v>189572.96875</v>
      </c>
      <c r="CF73" s="34">
        <f>IFERROR(up_RadSpec!$J$7*(AC7*$B73),".")</f>
        <v>189572.96875</v>
      </c>
      <c r="CG73" s="34">
        <f>IFERROR(up_RadSpec!$J$7*(AC7*$B73),".")</f>
        <v>189572.96875</v>
      </c>
      <c r="CH73" s="34">
        <f>IFERROR(up_RadSpec!$J$7*(AC7*$B73),".")</f>
        <v>189572.96875</v>
      </c>
      <c r="CI73" s="34">
        <f>IFERROR(up_RadSpec!$J$7*(AC7*$B73),".")</f>
        <v>189572.96875</v>
      </c>
      <c r="CJ73" s="34">
        <f>IFERROR(up_RadSpec!$J$7*(AC7*$B73),".")</f>
        <v>189572.96875</v>
      </c>
      <c r="CK73" s="34">
        <f>IFERROR(up_RadSpec!$J$7*(AC7*$B73),".")</f>
        <v>189572.96875</v>
      </c>
      <c r="CL73" s="34">
        <f>IFERROR(up_RadSpec!$J$7*(AC7*$B73),".")</f>
        <v>189572.96875</v>
      </c>
      <c r="CM73" s="34">
        <f>IFERROR(up_RadSpec!$J$7*(AC7*$B73),".")</f>
        <v>189572.96875</v>
      </c>
      <c r="CN73" s="34">
        <f>IFERROR(up_RadSpec!$J$7*(AC7*$B73),".")</f>
        <v>189572.96875</v>
      </c>
      <c r="CO73" s="34">
        <f>IFERROR(up_RadSpec!$J$7*(AC7*$B73),".")</f>
        <v>189572.96875</v>
      </c>
      <c r="CP73" s="34">
        <f>IFERROR(up_RadSpec!$J$7*(AC7*$B73),".")</f>
        <v>189572.96875</v>
      </c>
      <c r="CQ73" s="34">
        <f>IFERROR(up_RadSpec!$J$7*(AC7*$B73),".")</f>
        <v>189572.96875</v>
      </c>
      <c r="CR73" s="34">
        <f>IFERROR(up_RadSpec!$J$7*(AC7*$B73),".")</f>
        <v>189572.96875</v>
      </c>
      <c r="CS73" s="34">
        <f>IFERROR(up_RadSpec!$J$7*(AC7*$B73),".")</f>
        <v>189572.96875</v>
      </c>
      <c r="CT73" s="34">
        <f>IFERROR(up_RadSpec!$J$7*(AC7*$B73),".")</f>
        <v>189572.96875</v>
      </c>
      <c r="CU73" s="34">
        <f>IFERROR(up_RadSpec!$J$7*(AC7*$B73),".")</f>
        <v>189572.96875</v>
      </c>
      <c r="CV73" s="34">
        <f>IFERROR(up_RadSpec!$J$7*(AC7*$B73),".")</f>
        <v>189572.96875</v>
      </c>
      <c r="CW73" s="34">
        <f>IFERROR(up_RadSpec!$J$7*(AC7*$B73),".")</f>
        <v>189572.96875</v>
      </c>
      <c r="CX73" s="34">
        <f>IFERROR(up_RadSpec!$J$7*(AC7*$B73),".")</f>
        <v>189572.96875</v>
      </c>
    </row>
    <row r="74" spans="1:102" x14ac:dyDescent="0.25">
      <c r="A74" s="55" t="s">
        <v>1083</v>
      </c>
      <c r="B74" s="3">
        <v>1.9000000000000001E-8</v>
      </c>
      <c r="C74" s="42">
        <f t="shared" si="173"/>
        <v>2313.6024830970014</v>
      </c>
      <c r="D74" s="42">
        <f t="shared" ref="D74:AA74" si="189">IFERROR(D12/$B60,0)</f>
        <v>6940.8074492910036</v>
      </c>
      <c r="E74" s="42">
        <f t="shared" si="189"/>
        <v>6940.8074492910036</v>
      </c>
      <c r="F74" s="42">
        <f t="shared" si="189"/>
        <v>6940.8074492910036</v>
      </c>
      <c r="G74" s="42">
        <f t="shared" si="189"/>
        <v>6940.8074492910036</v>
      </c>
      <c r="H74" s="42">
        <f t="shared" si="189"/>
        <v>6940.8074492910036</v>
      </c>
      <c r="I74" s="42">
        <f t="shared" si="189"/>
        <v>6940.8074492910036</v>
      </c>
      <c r="J74" s="42">
        <f t="shared" si="189"/>
        <v>6940.8074492910036</v>
      </c>
      <c r="K74" s="42">
        <f t="shared" si="189"/>
        <v>6940.8074492910036</v>
      </c>
      <c r="L74" s="42">
        <f t="shared" si="189"/>
        <v>6940.8074492910036</v>
      </c>
      <c r="M74" s="42">
        <f t="shared" si="189"/>
        <v>6940.8074492910036</v>
      </c>
      <c r="N74" s="42">
        <f t="shared" si="189"/>
        <v>6940.8074492910036</v>
      </c>
      <c r="O74" s="42">
        <f t="shared" si="189"/>
        <v>6940.8074492910036</v>
      </c>
      <c r="P74" s="42">
        <f t="shared" si="189"/>
        <v>6940.8074492910036</v>
      </c>
      <c r="Q74" s="42">
        <f t="shared" si="189"/>
        <v>6940.8074492910036</v>
      </c>
      <c r="R74" s="42">
        <f t="shared" si="189"/>
        <v>6940.8074492910036</v>
      </c>
      <c r="S74" s="42">
        <f t="shared" si="189"/>
        <v>6940.8074492910036</v>
      </c>
      <c r="T74" s="42">
        <f t="shared" si="189"/>
        <v>6940.8074492910036</v>
      </c>
      <c r="U74" s="42">
        <f t="shared" si="189"/>
        <v>6940.8074492910036</v>
      </c>
      <c r="V74" s="42">
        <f t="shared" si="189"/>
        <v>6940.8074492910036</v>
      </c>
      <c r="W74" s="42">
        <f t="shared" si="189"/>
        <v>6940.8074492910036</v>
      </c>
      <c r="X74" s="42">
        <f t="shared" si="189"/>
        <v>6940.8074492910036</v>
      </c>
      <c r="Y74" s="42">
        <f t="shared" si="189"/>
        <v>6940.8074492910036</v>
      </c>
      <c r="Z74" s="42">
        <f t="shared" si="189"/>
        <v>6940.8074492910036</v>
      </c>
      <c r="AA74" s="42">
        <f t="shared" si="189"/>
        <v>6940.8074492910036</v>
      </c>
      <c r="AB74" s="34">
        <f t="shared" si="4"/>
        <v>1.0805659218750001E-2</v>
      </c>
      <c r="AC74" s="34">
        <f>IFERROR(up_RadSpec!$J$12*(AC12*$B74),".")</f>
        <v>3.6018864062500005E-3</v>
      </c>
      <c r="AD74" s="34">
        <f>IFERROR(up_RadSpec!$J$12*(AC12*$B74),".")</f>
        <v>3.6018864062500005E-3</v>
      </c>
      <c r="AE74" s="34">
        <f>IFERROR(up_RadSpec!$J$12*(AC12*$B74),".")</f>
        <v>3.6018864062500005E-3</v>
      </c>
      <c r="AF74" s="34">
        <f>IFERROR(up_RadSpec!$J$12*(AC12*$B74),".")</f>
        <v>3.6018864062500005E-3</v>
      </c>
      <c r="AG74" s="34">
        <f>IFERROR(up_RadSpec!$J$12*(AC12*$B74),".")</f>
        <v>3.6018864062500005E-3</v>
      </c>
      <c r="AH74" s="34">
        <f>IFERROR(up_RadSpec!$J$12*(AC12*$B74),".")</f>
        <v>3.6018864062500005E-3</v>
      </c>
      <c r="AI74" s="34">
        <f>IFERROR(up_RadSpec!$J$12*(AC12*$B74),".")</f>
        <v>3.6018864062500005E-3</v>
      </c>
      <c r="AJ74" s="34">
        <f>IFERROR(up_RadSpec!$J$12*(AC12*$B74),".")</f>
        <v>3.6018864062500005E-3</v>
      </c>
      <c r="AK74" s="34">
        <f>IFERROR(up_RadSpec!$J$12*(AC12*$B74),".")</f>
        <v>3.6018864062500005E-3</v>
      </c>
      <c r="AL74" s="34">
        <f>IFERROR(up_RadSpec!$J$12*(AC12*$B74),".")</f>
        <v>3.6018864062500005E-3</v>
      </c>
      <c r="AM74" s="34">
        <f>IFERROR(up_RadSpec!$J$12*(AC12*$B74),".")</f>
        <v>3.6018864062500005E-3</v>
      </c>
      <c r="AN74" s="34">
        <f>IFERROR(up_RadSpec!$J$12*(AC12*$B74),".")</f>
        <v>3.6018864062500005E-3</v>
      </c>
      <c r="AO74" s="34">
        <f>IFERROR(up_RadSpec!$J$12*(AC12*$B74),".")</f>
        <v>3.6018864062500005E-3</v>
      </c>
      <c r="AP74" s="34">
        <f>IFERROR(up_RadSpec!$J$12*(AC12*$B74),".")</f>
        <v>3.6018864062500005E-3</v>
      </c>
      <c r="AQ74" s="34">
        <f>IFERROR(up_RadSpec!$J$12*(AC12*$B74),".")</f>
        <v>3.6018864062500005E-3</v>
      </c>
      <c r="AR74" s="34">
        <f>IFERROR(up_RadSpec!$J$12*(AC12*$B74),".")</f>
        <v>3.6018864062500005E-3</v>
      </c>
      <c r="AS74" s="34">
        <f>IFERROR(up_RadSpec!$J$12*(AC12*$B74),".")</f>
        <v>3.6018864062500005E-3</v>
      </c>
      <c r="AT74" s="34">
        <f>IFERROR(up_RadSpec!$J$12*(AC12*$B74),".")</f>
        <v>3.6018864062500005E-3</v>
      </c>
      <c r="AU74" s="34">
        <f>IFERROR(up_RadSpec!$J$12*(AC12*$B74),".")</f>
        <v>3.6018864062500005E-3</v>
      </c>
      <c r="AV74" s="34">
        <f>IFERROR(up_RadSpec!$J$12*(AC12*$B74),".")</f>
        <v>3.6018864062500005E-3</v>
      </c>
      <c r="AW74" s="34">
        <f>IFERROR(up_RadSpec!$J$12*(AC12*$B74),".")</f>
        <v>3.6018864062500005E-3</v>
      </c>
      <c r="AX74" s="34">
        <f>IFERROR(up_RadSpec!$J$12*(AC12*$B74),".")</f>
        <v>3.6018864062500005E-3</v>
      </c>
      <c r="AY74" s="34">
        <f>IFERROR(up_RadSpec!$J$12*(AC12*$B74),".")</f>
        <v>3.6018864062500005E-3</v>
      </c>
      <c r="AZ74" s="34">
        <f>IFERROR(up_RadSpec!$J$12*(AC12*$B74),".")</f>
        <v>3.6018864062500005E-3</v>
      </c>
      <c r="BA74" s="42">
        <f t="shared" si="175"/>
        <v>2313.6024830970014</v>
      </c>
      <c r="BB74" s="42">
        <f t="shared" ref="BB74:BY74" si="190">IFERROR(BB12/$B60,0)</f>
        <v>6940.8074492910036</v>
      </c>
      <c r="BC74" s="42">
        <f t="shared" si="190"/>
        <v>6940.8074492910036</v>
      </c>
      <c r="BD74" s="42">
        <f t="shared" si="190"/>
        <v>6940.8074492910036</v>
      </c>
      <c r="BE74" s="42">
        <f t="shared" si="190"/>
        <v>6940.8074492910036</v>
      </c>
      <c r="BF74" s="42">
        <f t="shared" si="190"/>
        <v>6940.8074492910036</v>
      </c>
      <c r="BG74" s="42">
        <f t="shared" si="190"/>
        <v>6940.8074492910036</v>
      </c>
      <c r="BH74" s="42">
        <f t="shared" si="190"/>
        <v>6940.8074492910036</v>
      </c>
      <c r="BI74" s="42">
        <f t="shared" si="190"/>
        <v>6940.8074492910036</v>
      </c>
      <c r="BJ74" s="42">
        <f t="shared" si="190"/>
        <v>6940.8074492910036</v>
      </c>
      <c r="BK74" s="42">
        <f t="shared" si="190"/>
        <v>6940.8074492910036</v>
      </c>
      <c r="BL74" s="42">
        <f t="shared" si="190"/>
        <v>6940.8074492910036</v>
      </c>
      <c r="BM74" s="42">
        <f t="shared" si="190"/>
        <v>6940.8074492910036</v>
      </c>
      <c r="BN74" s="42">
        <f t="shared" si="190"/>
        <v>6940.8074492910036</v>
      </c>
      <c r="BO74" s="42">
        <f t="shared" si="190"/>
        <v>6940.8074492910036</v>
      </c>
      <c r="BP74" s="42">
        <f t="shared" si="190"/>
        <v>6940.8074492910036</v>
      </c>
      <c r="BQ74" s="42">
        <f t="shared" si="190"/>
        <v>6940.8074492910036</v>
      </c>
      <c r="BR74" s="42">
        <f t="shared" si="190"/>
        <v>6940.8074492910036</v>
      </c>
      <c r="BS74" s="42">
        <f t="shared" si="190"/>
        <v>6940.8074492910036</v>
      </c>
      <c r="BT74" s="42">
        <f t="shared" si="190"/>
        <v>6940.8074492910036</v>
      </c>
      <c r="BU74" s="42">
        <f t="shared" si="190"/>
        <v>6940.8074492910036</v>
      </c>
      <c r="BV74" s="42">
        <f t="shared" si="190"/>
        <v>6940.8074492910036</v>
      </c>
      <c r="BW74" s="42">
        <f t="shared" si="190"/>
        <v>6940.8074492910036</v>
      </c>
      <c r="BX74" s="42">
        <f t="shared" si="190"/>
        <v>6940.8074492910036</v>
      </c>
      <c r="BY74" s="42">
        <f t="shared" si="190"/>
        <v>6940.8074492910036</v>
      </c>
      <c r="BZ74" s="34">
        <f t="shared" si="8"/>
        <v>1.0805659218750001E-2</v>
      </c>
      <c r="CA74" s="34">
        <f>IFERROR(up_RadSpec!$J$12*(AC12*$B74),".")</f>
        <v>3.6018864062500005E-3</v>
      </c>
      <c r="CB74" s="34">
        <f>IFERROR(up_RadSpec!$J$12*(AC12*$B74),".")</f>
        <v>3.6018864062500005E-3</v>
      </c>
      <c r="CC74" s="34">
        <f>IFERROR(up_RadSpec!$J$12*(AC12*$B74),".")</f>
        <v>3.6018864062500005E-3</v>
      </c>
      <c r="CD74" s="34">
        <f>IFERROR(up_RadSpec!$J$12*(AC12*$B74),".")</f>
        <v>3.6018864062500005E-3</v>
      </c>
      <c r="CE74" s="34">
        <f>IFERROR(up_RadSpec!$J$12*(AC12*$B74),".")</f>
        <v>3.6018864062500005E-3</v>
      </c>
      <c r="CF74" s="34">
        <f>IFERROR(up_RadSpec!$J$12*(AC12*$B74),".")</f>
        <v>3.6018864062500005E-3</v>
      </c>
      <c r="CG74" s="34">
        <f>IFERROR(up_RadSpec!$J$12*(AC12*$B74),".")</f>
        <v>3.6018864062500005E-3</v>
      </c>
      <c r="CH74" s="34">
        <f>IFERROR(up_RadSpec!$J$12*(AC12*$B74),".")</f>
        <v>3.6018864062500005E-3</v>
      </c>
      <c r="CI74" s="34">
        <f>IFERROR(up_RadSpec!$J$12*(AC12*$B74),".")</f>
        <v>3.6018864062500005E-3</v>
      </c>
      <c r="CJ74" s="34">
        <f>IFERROR(up_RadSpec!$J$12*(AC12*$B74),".")</f>
        <v>3.6018864062500005E-3</v>
      </c>
      <c r="CK74" s="34">
        <f>IFERROR(up_RadSpec!$J$12*(AC12*$B74),".")</f>
        <v>3.6018864062500005E-3</v>
      </c>
      <c r="CL74" s="34">
        <f>IFERROR(up_RadSpec!$J$12*(AC12*$B74),".")</f>
        <v>3.6018864062500005E-3</v>
      </c>
      <c r="CM74" s="34">
        <f>IFERROR(up_RadSpec!$J$12*(AC12*$B74),".")</f>
        <v>3.6018864062500005E-3</v>
      </c>
      <c r="CN74" s="34">
        <f>IFERROR(up_RadSpec!$J$12*(AC12*$B74),".")</f>
        <v>3.6018864062500005E-3</v>
      </c>
      <c r="CO74" s="34">
        <f>IFERROR(up_RadSpec!$J$12*(AC12*$B74),".")</f>
        <v>3.6018864062500005E-3</v>
      </c>
      <c r="CP74" s="34">
        <f>IFERROR(up_RadSpec!$J$12*(AC12*$B74),".")</f>
        <v>3.6018864062500005E-3</v>
      </c>
      <c r="CQ74" s="34">
        <f>IFERROR(up_RadSpec!$J$12*(AC12*$B74),".")</f>
        <v>3.6018864062500005E-3</v>
      </c>
      <c r="CR74" s="34">
        <f>IFERROR(up_RadSpec!$J$12*(AC12*$B74),".")</f>
        <v>3.6018864062500005E-3</v>
      </c>
      <c r="CS74" s="34">
        <f>IFERROR(up_RadSpec!$J$12*(AC12*$B74),".")</f>
        <v>3.6018864062500005E-3</v>
      </c>
      <c r="CT74" s="34">
        <f>IFERROR(up_RadSpec!$J$12*(AC12*$B74),".")</f>
        <v>3.6018864062500005E-3</v>
      </c>
      <c r="CU74" s="34">
        <f>IFERROR(up_RadSpec!$J$12*(AC12*$B74),".")</f>
        <v>3.6018864062500005E-3</v>
      </c>
      <c r="CV74" s="34">
        <f>IFERROR(up_RadSpec!$J$12*(AC12*$B74),".")</f>
        <v>3.6018864062500005E-3</v>
      </c>
      <c r="CW74" s="34">
        <f>IFERROR(up_RadSpec!$J$12*(AC12*$B74),".")</f>
        <v>3.6018864062500005E-3</v>
      </c>
      <c r="CX74" s="34">
        <f>IFERROR(up_RadSpec!$J$12*(AC12*$B74),".")</f>
        <v>3.6018864062500005E-3</v>
      </c>
    </row>
    <row r="75" spans="1:102" x14ac:dyDescent="0.25">
      <c r="A75" s="55" t="s">
        <v>1084</v>
      </c>
      <c r="B75" s="3">
        <v>1</v>
      </c>
      <c r="C75" s="42">
        <f t="shared" si="173"/>
        <v>4.3958447178843029E-5</v>
      </c>
      <c r="D75" s="42">
        <f t="shared" ref="D75:AA75" si="191">IFERROR(D18/$B61,0)</f>
        <v>1.3187534153652909E-4</v>
      </c>
      <c r="E75" s="42">
        <f t="shared" si="191"/>
        <v>1.3187534153652909E-4</v>
      </c>
      <c r="F75" s="42">
        <f t="shared" si="191"/>
        <v>1.3187534153652909E-4</v>
      </c>
      <c r="G75" s="42">
        <f t="shared" si="191"/>
        <v>1.3187534153652909E-4</v>
      </c>
      <c r="H75" s="42">
        <f t="shared" si="191"/>
        <v>1.3187534153652909E-4</v>
      </c>
      <c r="I75" s="42">
        <f t="shared" si="191"/>
        <v>1.3187534153652909E-4</v>
      </c>
      <c r="J75" s="42">
        <f t="shared" si="191"/>
        <v>1.3187534153652909E-4</v>
      </c>
      <c r="K75" s="42">
        <f t="shared" si="191"/>
        <v>1.3187534153652909E-4</v>
      </c>
      <c r="L75" s="42">
        <f t="shared" si="191"/>
        <v>1.3187534153652909E-4</v>
      </c>
      <c r="M75" s="42">
        <f t="shared" si="191"/>
        <v>1.3187534153652909E-4</v>
      </c>
      <c r="N75" s="42">
        <f t="shared" si="191"/>
        <v>1.3187534153652909E-4</v>
      </c>
      <c r="O75" s="42">
        <f t="shared" si="191"/>
        <v>1.3187534153652909E-4</v>
      </c>
      <c r="P75" s="42">
        <f t="shared" si="191"/>
        <v>1.3187534153652909E-4</v>
      </c>
      <c r="Q75" s="42">
        <f t="shared" si="191"/>
        <v>1.3187534153652909E-4</v>
      </c>
      <c r="R75" s="42">
        <f t="shared" si="191"/>
        <v>1.3187534153652909E-4</v>
      </c>
      <c r="S75" s="42">
        <f t="shared" si="191"/>
        <v>1.3187534153652909E-4</v>
      </c>
      <c r="T75" s="42">
        <f t="shared" si="191"/>
        <v>1.3187534153652909E-4</v>
      </c>
      <c r="U75" s="42">
        <f t="shared" si="191"/>
        <v>1.3187534153652909E-4</v>
      </c>
      <c r="V75" s="42">
        <f t="shared" si="191"/>
        <v>1.3187534153652909E-4</v>
      </c>
      <c r="W75" s="42">
        <f t="shared" si="191"/>
        <v>1.3187534153652909E-4</v>
      </c>
      <c r="X75" s="42">
        <f t="shared" si="191"/>
        <v>1.3187534153652909E-4</v>
      </c>
      <c r="Y75" s="42">
        <f t="shared" si="191"/>
        <v>1.3187534153652909E-4</v>
      </c>
      <c r="Z75" s="42">
        <f t="shared" si="191"/>
        <v>1.3187534153652909E-4</v>
      </c>
      <c r="AA75" s="42">
        <f t="shared" si="191"/>
        <v>1.3187534153652909E-4</v>
      </c>
      <c r="AB75" s="34">
        <f t="shared" si="4"/>
        <v>568718.90625</v>
      </c>
      <c r="AC75" s="34">
        <f>IFERROR(up_RadSpec!$J$18*(AC18*$B75),".")</f>
        <v>189572.96875</v>
      </c>
      <c r="AD75" s="34">
        <f>IFERROR(up_RadSpec!$J$18*(AC18*$B75),".")</f>
        <v>189572.96875</v>
      </c>
      <c r="AE75" s="34">
        <f>IFERROR(up_RadSpec!$J$18*(AC18*$B75),".")</f>
        <v>189572.96875</v>
      </c>
      <c r="AF75" s="34">
        <f>IFERROR(up_RadSpec!$J$18*(AC18*$B75),".")</f>
        <v>189572.96875</v>
      </c>
      <c r="AG75" s="34">
        <f>IFERROR(up_RadSpec!$J$18*(AC18*$B75),".")</f>
        <v>189572.96875</v>
      </c>
      <c r="AH75" s="34">
        <f>IFERROR(up_RadSpec!$J$18*(AC18*$B75),".")</f>
        <v>189572.96875</v>
      </c>
      <c r="AI75" s="34">
        <f>IFERROR(up_RadSpec!$J$18*(AC18*$B75),".")</f>
        <v>189572.96875</v>
      </c>
      <c r="AJ75" s="34">
        <f>IFERROR(up_RadSpec!$J$18*(AC18*$B75),".")</f>
        <v>189572.96875</v>
      </c>
      <c r="AK75" s="34">
        <f>IFERROR(up_RadSpec!$J$18*(AC18*$B75),".")</f>
        <v>189572.96875</v>
      </c>
      <c r="AL75" s="34">
        <f>IFERROR(up_RadSpec!$J$18*(AC18*$B75),".")</f>
        <v>189572.96875</v>
      </c>
      <c r="AM75" s="34">
        <f>IFERROR(up_RadSpec!$J$18*(AC18*$B75),".")</f>
        <v>189572.96875</v>
      </c>
      <c r="AN75" s="34">
        <f>IFERROR(up_RadSpec!$J$18*(AC18*$B75),".")</f>
        <v>189572.96875</v>
      </c>
      <c r="AO75" s="34">
        <f>IFERROR(up_RadSpec!$J$18*(AC18*$B75),".")</f>
        <v>189572.96875</v>
      </c>
      <c r="AP75" s="34">
        <f>IFERROR(up_RadSpec!$J$18*(AC18*$B75),".")</f>
        <v>189572.96875</v>
      </c>
      <c r="AQ75" s="34">
        <f>IFERROR(up_RadSpec!$J$18*(AC18*$B75),".")</f>
        <v>189572.96875</v>
      </c>
      <c r="AR75" s="34">
        <f>IFERROR(up_RadSpec!$J$18*(AC18*$B75),".")</f>
        <v>189572.96875</v>
      </c>
      <c r="AS75" s="34">
        <f>IFERROR(up_RadSpec!$J$18*(AC18*$B75),".")</f>
        <v>189572.96875</v>
      </c>
      <c r="AT75" s="34">
        <f>IFERROR(up_RadSpec!$J$18*(AC18*$B75),".")</f>
        <v>189572.96875</v>
      </c>
      <c r="AU75" s="34">
        <f>IFERROR(up_RadSpec!$J$18*(AC18*$B75),".")</f>
        <v>189572.96875</v>
      </c>
      <c r="AV75" s="34">
        <f>IFERROR(up_RadSpec!$J$18*(AC18*$B75),".")</f>
        <v>189572.96875</v>
      </c>
      <c r="AW75" s="34">
        <f>IFERROR(up_RadSpec!$J$18*(AC18*$B75),".")</f>
        <v>189572.96875</v>
      </c>
      <c r="AX75" s="34">
        <f>IFERROR(up_RadSpec!$J$18*(AC18*$B75),".")</f>
        <v>189572.96875</v>
      </c>
      <c r="AY75" s="34">
        <f>IFERROR(up_RadSpec!$J$18*(AC18*$B75),".")</f>
        <v>189572.96875</v>
      </c>
      <c r="AZ75" s="34">
        <f>IFERROR(up_RadSpec!$J$18*(AC18*$B75),".")</f>
        <v>189572.96875</v>
      </c>
      <c r="BA75" s="42">
        <f t="shared" si="175"/>
        <v>4.3958447178843029E-5</v>
      </c>
      <c r="BB75" s="42">
        <f t="shared" ref="BB75:BY75" si="192">IFERROR(BB18/$B61,0)</f>
        <v>1.3187534153652909E-4</v>
      </c>
      <c r="BC75" s="42">
        <f t="shared" si="192"/>
        <v>1.3187534153652909E-4</v>
      </c>
      <c r="BD75" s="42">
        <f t="shared" si="192"/>
        <v>1.3187534153652909E-4</v>
      </c>
      <c r="BE75" s="42">
        <f t="shared" si="192"/>
        <v>1.3187534153652909E-4</v>
      </c>
      <c r="BF75" s="42">
        <f t="shared" si="192"/>
        <v>1.3187534153652909E-4</v>
      </c>
      <c r="BG75" s="42">
        <f t="shared" si="192"/>
        <v>1.3187534153652909E-4</v>
      </c>
      <c r="BH75" s="42">
        <f t="shared" si="192"/>
        <v>1.3187534153652909E-4</v>
      </c>
      <c r="BI75" s="42">
        <f t="shared" si="192"/>
        <v>1.3187534153652909E-4</v>
      </c>
      <c r="BJ75" s="42">
        <f t="shared" si="192"/>
        <v>1.3187534153652909E-4</v>
      </c>
      <c r="BK75" s="42">
        <f t="shared" si="192"/>
        <v>1.3187534153652909E-4</v>
      </c>
      <c r="BL75" s="42">
        <f t="shared" si="192"/>
        <v>1.3187534153652909E-4</v>
      </c>
      <c r="BM75" s="42">
        <f t="shared" si="192"/>
        <v>1.3187534153652909E-4</v>
      </c>
      <c r="BN75" s="42">
        <f t="shared" si="192"/>
        <v>1.3187534153652909E-4</v>
      </c>
      <c r="BO75" s="42">
        <f t="shared" si="192"/>
        <v>1.3187534153652909E-4</v>
      </c>
      <c r="BP75" s="42">
        <f t="shared" si="192"/>
        <v>1.3187534153652909E-4</v>
      </c>
      <c r="BQ75" s="42">
        <f t="shared" si="192"/>
        <v>1.3187534153652909E-4</v>
      </c>
      <c r="BR75" s="42">
        <f t="shared" si="192"/>
        <v>1.3187534153652909E-4</v>
      </c>
      <c r="BS75" s="42">
        <f t="shared" si="192"/>
        <v>1.3187534153652909E-4</v>
      </c>
      <c r="BT75" s="42">
        <f t="shared" si="192"/>
        <v>1.3187534153652909E-4</v>
      </c>
      <c r="BU75" s="42">
        <f t="shared" si="192"/>
        <v>1.3187534153652909E-4</v>
      </c>
      <c r="BV75" s="42">
        <f t="shared" si="192"/>
        <v>1.3187534153652909E-4</v>
      </c>
      <c r="BW75" s="42">
        <f t="shared" si="192"/>
        <v>1.3187534153652909E-4</v>
      </c>
      <c r="BX75" s="42">
        <f t="shared" si="192"/>
        <v>1.3187534153652909E-4</v>
      </c>
      <c r="BY75" s="42">
        <f t="shared" si="192"/>
        <v>1.3187534153652909E-4</v>
      </c>
      <c r="BZ75" s="34">
        <f t="shared" si="8"/>
        <v>568718.90625</v>
      </c>
      <c r="CA75" s="34">
        <f>IFERROR(up_RadSpec!$J$18*(AC18*$B75),".")</f>
        <v>189572.96875</v>
      </c>
      <c r="CB75" s="34">
        <f>IFERROR(up_RadSpec!$J$18*(AC18*$B75),".")</f>
        <v>189572.96875</v>
      </c>
      <c r="CC75" s="34">
        <f>IFERROR(up_RadSpec!$J$18*(AC18*$B75),".")</f>
        <v>189572.96875</v>
      </c>
      <c r="CD75" s="34">
        <f>IFERROR(up_RadSpec!$J$18*(AC18*$B75),".")</f>
        <v>189572.96875</v>
      </c>
      <c r="CE75" s="34">
        <f>IFERROR(up_RadSpec!$J$18*(AC18*$B75),".")</f>
        <v>189572.96875</v>
      </c>
      <c r="CF75" s="34">
        <f>IFERROR(up_RadSpec!$J$18*(AC18*$B75),".")</f>
        <v>189572.96875</v>
      </c>
      <c r="CG75" s="34">
        <f>IFERROR(up_RadSpec!$J$18*(AC18*$B75),".")</f>
        <v>189572.96875</v>
      </c>
      <c r="CH75" s="34">
        <f>IFERROR(up_RadSpec!$J$18*(AC18*$B75),".")</f>
        <v>189572.96875</v>
      </c>
      <c r="CI75" s="34">
        <f>IFERROR(up_RadSpec!$J$18*(AC18*$B75),".")</f>
        <v>189572.96875</v>
      </c>
      <c r="CJ75" s="34">
        <f>IFERROR(up_RadSpec!$J$18*(AC18*$B75),".")</f>
        <v>189572.96875</v>
      </c>
      <c r="CK75" s="34">
        <f>IFERROR(up_RadSpec!$J$18*(AC18*$B75),".")</f>
        <v>189572.96875</v>
      </c>
      <c r="CL75" s="34">
        <f>IFERROR(up_RadSpec!$J$18*(AC18*$B75),".")</f>
        <v>189572.96875</v>
      </c>
      <c r="CM75" s="34">
        <f>IFERROR(up_RadSpec!$J$18*(AC18*$B75),".")</f>
        <v>189572.96875</v>
      </c>
      <c r="CN75" s="34">
        <f>IFERROR(up_RadSpec!$J$18*(AC18*$B75),".")</f>
        <v>189572.96875</v>
      </c>
      <c r="CO75" s="34">
        <f>IFERROR(up_RadSpec!$J$18*(AC18*$B75),".")</f>
        <v>189572.96875</v>
      </c>
      <c r="CP75" s="34">
        <f>IFERROR(up_RadSpec!$J$18*(AC18*$B75),".")</f>
        <v>189572.96875</v>
      </c>
      <c r="CQ75" s="34">
        <f>IFERROR(up_RadSpec!$J$18*(AC18*$B75),".")</f>
        <v>189572.96875</v>
      </c>
      <c r="CR75" s="34">
        <f>IFERROR(up_RadSpec!$J$18*(AC18*$B75),".")</f>
        <v>189572.96875</v>
      </c>
      <c r="CS75" s="34">
        <f>IFERROR(up_RadSpec!$J$18*(AC18*$B75),".")</f>
        <v>189572.96875</v>
      </c>
      <c r="CT75" s="34">
        <f>IFERROR(up_RadSpec!$J$18*(AC18*$B75),".")</f>
        <v>189572.96875</v>
      </c>
      <c r="CU75" s="34">
        <f>IFERROR(up_RadSpec!$J$18*(AC18*$B75),".")</f>
        <v>189572.96875</v>
      </c>
      <c r="CV75" s="34">
        <f>IFERROR(up_RadSpec!$J$18*(AC18*$B75),".")</f>
        <v>189572.96875</v>
      </c>
      <c r="CW75" s="34">
        <f>IFERROR(up_RadSpec!$J$18*(AC18*$B75),".")</f>
        <v>189572.96875</v>
      </c>
      <c r="CX75" s="34">
        <f>IFERROR(up_RadSpec!$J$18*(AC18*$B75),".")</f>
        <v>189572.96875</v>
      </c>
    </row>
    <row r="76" spans="1:102" x14ac:dyDescent="0.25">
      <c r="A76" s="55" t="s">
        <v>1085</v>
      </c>
      <c r="B76" s="3">
        <v>1.339E-6</v>
      </c>
      <c r="C76" s="42">
        <f t="shared" si="173"/>
        <v>32.829310813176271</v>
      </c>
      <c r="D76" s="42">
        <f t="shared" ref="D76:AA76" si="193">IFERROR(D27/$B62,0)</f>
        <v>98.487932439528819</v>
      </c>
      <c r="E76" s="42">
        <f t="shared" si="193"/>
        <v>98.487932439528819</v>
      </c>
      <c r="F76" s="42">
        <f t="shared" si="193"/>
        <v>98.487932439528819</v>
      </c>
      <c r="G76" s="42">
        <f t="shared" si="193"/>
        <v>98.487932439528819</v>
      </c>
      <c r="H76" s="42">
        <f t="shared" si="193"/>
        <v>98.487932439528819</v>
      </c>
      <c r="I76" s="42">
        <f t="shared" si="193"/>
        <v>98.487932439528819</v>
      </c>
      <c r="J76" s="42">
        <f t="shared" si="193"/>
        <v>98.487932439528819</v>
      </c>
      <c r="K76" s="42">
        <f t="shared" si="193"/>
        <v>98.487932439528819</v>
      </c>
      <c r="L76" s="42">
        <f t="shared" si="193"/>
        <v>98.487932439528819</v>
      </c>
      <c r="M76" s="42">
        <f t="shared" si="193"/>
        <v>98.487932439528819</v>
      </c>
      <c r="N76" s="42">
        <f t="shared" si="193"/>
        <v>98.487932439528819</v>
      </c>
      <c r="O76" s="42">
        <f t="shared" si="193"/>
        <v>98.487932439528819</v>
      </c>
      <c r="P76" s="42">
        <f t="shared" si="193"/>
        <v>98.487932439528819</v>
      </c>
      <c r="Q76" s="42">
        <f t="shared" si="193"/>
        <v>98.487932439528819</v>
      </c>
      <c r="R76" s="42">
        <f t="shared" si="193"/>
        <v>98.487932439528819</v>
      </c>
      <c r="S76" s="42">
        <f t="shared" si="193"/>
        <v>98.487932439528819</v>
      </c>
      <c r="T76" s="42">
        <f t="shared" si="193"/>
        <v>98.487932439528819</v>
      </c>
      <c r="U76" s="42">
        <f t="shared" si="193"/>
        <v>98.487932439528819</v>
      </c>
      <c r="V76" s="42">
        <f t="shared" si="193"/>
        <v>98.487932439528819</v>
      </c>
      <c r="W76" s="42">
        <f t="shared" si="193"/>
        <v>98.487932439528819</v>
      </c>
      <c r="X76" s="42">
        <f t="shared" si="193"/>
        <v>98.487932439528819</v>
      </c>
      <c r="Y76" s="42">
        <f t="shared" si="193"/>
        <v>98.487932439528819</v>
      </c>
      <c r="Z76" s="42">
        <f t="shared" si="193"/>
        <v>98.487932439528819</v>
      </c>
      <c r="AA76" s="42">
        <f t="shared" si="193"/>
        <v>98.487932439528819</v>
      </c>
      <c r="AB76" s="34">
        <f t="shared" si="4"/>
        <v>0.76151461546874999</v>
      </c>
      <c r="AC76" s="34">
        <f>IFERROR(up_RadSpec!$J$27*(AC27*$B76),".")</f>
        <v>0.25383820515625</v>
      </c>
      <c r="AD76" s="34">
        <f>IFERROR(up_RadSpec!$J$27*(AC27*$B76),".")</f>
        <v>0.25383820515625</v>
      </c>
      <c r="AE76" s="34">
        <f>IFERROR(up_RadSpec!$J$27*(AC27*$B76),".")</f>
        <v>0.25383820515625</v>
      </c>
      <c r="AF76" s="34">
        <f>IFERROR(up_RadSpec!$J$27*(AC27*$B76),".")</f>
        <v>0.25383820515625</v>
      </c>
      <c r="AG76" s="34">
        <f>IFERROR(up_RadSpec!$J$27*(AC27*$B76),".")</f>
        <v>0.25383820515625</v>
      </c>
      <c r="AH76" s="34">
        <f>IFERROR(up_RadSpec!$J$27*(AC27*$B76),".")</f>
        <v>0.25383820515625</v>
      </c>
      <c r="AI76" s="34">
        <f>IFERROR(up_RadSpec!$J$27*(AC27*$B76),".")</f>
        <v>0.25383820515625</v>
      </c>
      <c r="AJ76" s="34">
        <f>IFERROR(up_RadSpec!$J$27*(AC27*$B76),".")</f>
        <v>0.25383820515625</v>
      </c>
      <c r="AK76" s="34">
        <f>IFERROR(up_RadSpec!$J$27*(AC27*$B76),".")</f>
        <v>0.25383820515625</v>
      </c>
      <c r="AL76" s="34">
        <f>IFERROR(up_RadSpec!$J$27*(AC27*$B76),".")</f>
        <v>0.25383820515625</v>
      </c>
      <c r="AM76" s="34">
        <f>IFERROR(up_RadSpec!$J$27*(AC27*$B76),".")</f>
        <v>0.25383820515625</v>
      </c>
      <c r="AN76" s="34">
        <f>IFERROR(up_RadSpec!$J$27*(AC27*$B76),".")</f>
        <v>0.25383820515625</v>
      </c>
      <c r="AO76" s="34">
        <f>IFERROR(up_RadSpec!$J$27*(AC27*$B76),".")</f>
        <v>0.25383820515625</v>
      </c>
      <c r="AP76" s="34">
        <f>IFERROR(up_RadSpec!$J$27*(AC27*$B76),".")</f>
        <v>0.25383820515625</v>
      </c>
      <c r="AQ76" s="34">
        <f>IFERROR(up_RadSpec!$J$27*(AC27*$B76),".")</f>
        <v>0.25383820515625</v>
      </c>
      <c r="AR76" s="34">
        <f>IFERROR(up_RadSpec!$J$27*(AC27*$B76),".")</f>
        <v>0.25383820515625</v>
      </c>
      <c r="AS76" s="34">
        <f>IFERROR(up_RadSpec!$J$27*(AC27*$B76),".")</f>
        <v>0.25383820515625</v>
      </c>
      <c r="AT76" s="34">
        <f>IFERROR(up_RadSpec!$J$27*(AC27*$B76),".")</f>
        <v>0.25383820515625</v>
      </c>
      <c r="AU76" s="34">
        <f>IFERROR(up_RadSpec!$J$27*(AC27*$B76),".")</f>
        <v>0.25383820515625</v>
      </c>
      <c r="AV76" s="34">
        <f>IFERROR(up_RadSpec!$J$27*(AC27*$B76),".")</f>
        <v>0.25383820515625</v>
      </c>
      <c r="AW76" s="34">
        <f>IFERROR(up_RadSpec!$J$27*(AC27*$B76),".")</f>
        <v>0.25383820515625</v>
      </c>
      <c r="AX76" s="34">
        <f>IFERROR(up_RadSpec!$J$27*(AC27*$B76),".")</f>
        <v>0.25383820515625</v>
      </c>
      <c r="AY76" s="34">
        <f>IFERROR(up_RadSpec!$J$27*(AC27*$B76),".")</f>
        <v>0.25383820515625</v>
      </c>
      <c r="AZ76" s="34">
        <f>IFERROR(up_RadSpec!$J$27*(AC27*$B76),".")</f>
        <v>0.25383820515625</v>
      </c>
      <c r="BA76" s="42">
        <f t="shared" si="175"/>
        <v>32.829310813176271</v>
      </c>
      <c r="BB76" s="42">
        <f t="shared" ref="BB76:BY76" si="194">IFERROR(BB27/$B62,0)</f>
        <v>98.487932439528819</v>
      </c>
      <c r="BC76" s="42">
        <f t="shared" si="194"/>
        <v>98.487932439528819</v>
      </c>
      <c r="BD76" s="42">
        <f t="shared" si="194"/>
        <v>98.487932439528819</v>
      </c>
      <c r="BE76" s="42">
        <f t="shared" si="194"/>
        <v>98.487932439528819</v>
      </c>
      <c r="BF76" s="42">
        <f t="shared" si="194"/>
        <v>98.487932439528819</v>
      </c>
      <c r="BG76" s="42">
        <f t="shared" si="194"/>
        <v>98.487932439528819</v>
      </c>
      <c r="BH76" s="42">
        <f t="shared" si="194"/>
        <v>98.487932439528819</v>
      </c>
      <c r="BI76" s="42">
        <f t="shared" si="194"/>
        <v>98.487932439528819</v>
      </c>
      <c r="BJ76" s="42">
        <f t="shared" si="194"/>
        <v>98.487932439528819</v>
      </c>
      <c r="BK76" s="42">
        <f t="shared" si="194"/>
        <v>98.487932439528819</v>
      </c>
      <c r="BL76" s="42">
        <f t="shared" si="194"/>
        <v>98.487932439528819</v>
      </c>
      <c r="BM76" s="42">
        <f t="shared" si="194"/>
        <v>98.487932439528819</v>
      </c>
      <c r="BN76" s="42">
        <f t="shared" si="194"/>
        <v>98.487932439528819</v>
      </c>
      <c r="BO76" s="42">
        <f t="shared" si="194"/>
        <v>98.487932439528819</v>
      </c>
      <c r="BP76" s="42">
        <f t="shared" si="194"/>
        <v>98.487932439528819</v>
      </c>
      <c r="BQ76" s="42">
        <f t="shared" si="194"/>
        <v>98.487932439528819</v>
      </c>
      <c r="BR76" s="42">
        <f t="shared" si="194"/>
        <v>98.487932439528819</v>
      </c>
      <c r="BS76" s="42">
        <f t="shared" si="194"/>
        <v>98.487932439528819</v>
      </c>
      <c r="BT76" s="42">
        <f t="shared" si="194"/>
        <v>98.487932439528819</v>
      </c>
      <c r="BU76" s="42">
        <f t="shared" si="194"/>
        <v>98.487932439528819</v>
      </c>
      <c r="BV76" s="42">
        <f t="shared" si="194"/>
        <v>98.487932439528819</v>
      </c>
      <c r="BW76" s="42">
        <f t="shared" si="194"/>
        <v>98.487932439528819</v>
      </c>
      <c r="BX76" s="42">
        <f t="shared" si="194"/>
        <v>98.487932439528819</v>
      </c>
      <c r="BY76" s="42">
        <f t="shared" si="194"/>
        <v>98.487932439528819</v>
      </c>
      <c r="BZ76" s="34">
        <f t="shared" si="8"/>
        <v>0.76151461546874999</v>
      </c>
      <c r="CA76" s="34">
        <f>IFERROR(up_RadSpec!$J$27*(AC27*$B76),".")</f>
        <v>0.25383820515625</v>
      </c>
      <c r="CB76" s="34">
        <f>IFERROR(up_RadSpec!$J$27*(AC27*$B76),".")</f>
        <v>0.25383820515625</v>
      </c>
      <c r="CC76" s="34">
        <f>IFERROR(up_RadSpec!$J$27*(AC27*$B76),".")</f>
        <v>0.25383820515625</v>
      </c>
      <c r="CD76" s="34">
        <f>IFERROR(up_RadSpec!$J$27*(AC27*$B76),".")</f>
        <v>0.25383820515625</v>
      </c>
      <c r="CE76" s="34">
        <f>IFERROR(up_RadSpec!$J$27*(AC27*$B76),".")</f>
        <v>0.25383820515625</v>
      </c>
      <c r="CF76" s="34">
        <f>IFERROR(up_RadSpec!$J$27*(AC27*$B76),".")</f>
        <v>0.25383820515625</v>
      </c>
      <c r="CG76" s="34">
        <f>IFERROR(up_RadSpec!$J$27*(AC27*$B76),".")</f>
        <v>0.25383820515625</v>
      </c>
      <c r="CH76" s="34">
        <f>IFERROR(up_RadSpec!$J$27*(AC27*$B76),".")</f>
        <v>0.25383820515625</v>
      </c>
      <c r="CI76" s="34">
        <f>IFERROR(up_RadSpec!$J$27*(AC27*$B76),".")</f>
        <v>0.25383820515625</v>
      </c>
      <c r="CJ76" s="34">
        <f>IFERROR(up_RadSpec!$J$27*(AC27*$B76),".")</f>
        <v>0.25383820515625</v>
      </c>
      <c r="CK76" s="34">
        <f>IFERROR(up_RadSpec!$J$27*(AC27*$B76),".")</f>
        <v>0.25383820515625</v>
      </c>
      <c r="CL76" s="34">
        <f>IFERROR(up_RadSpec!$J$27*(AC27*$B76),".")</f>
        <v>0.25383820515625</v>
      </c>
      <c r="CM76" s="34">
        <f>IFERROR(up_RadSpec!$J$27*(AC27*$B76),".")</f>
        <v>0.25383820515625</v>
      </c>
      <c r="CN76" s="34">
        <f>IFERROR(up_RadSpec!$J$27*(AC27*$B76),".")</f>
        <v>0.25383820515625</v>
      </c>
      <c r="CO76" s="34">
        <f>IFERROR(up_RadSpec!$J$27*(AC27*$B76),".")</f>
        <v>0.25383820515625</v>
      </c>
      <c r="CP76" s="34">
        <f>IFERROR(up_RadSpec!$J$27*(AC27*$B76),".")</f>
        <v>0.25383820515625</v>
      </c>
      <c r="CQ76" s="34">
        <f>IFERROR(up_RadSpec!$J$27*(AC27*$B76),".")</f>
        <v>0.25383820515625</v>
      </c>
      <c r="CR76" s="34">
        <f>IFERROR(up_RadSpec!$J$27*(AC27*$B76),".")</f>
        <v>0.25383820515625</v>
      </c>
      <c r="CS76" s="34">
        <f>IFERROR(up_RadSpec!$J$27*(AC27*$B76),".")</f>
        <v>0.25383820515625</v>
      </c>
      <c r="CT76" s="34">
        <f>IFERROR(up_RadSpec!$J$27*(AC27*$B76),".")</f>
        <v>0.25383820515625</v>
      </c>
      <c r="CU76" s="34">
        <f>IFERROR(up_RadSpec!$J$27*(AC27*$B76),".")</f>
        <v>0.25383820515625</v>
      </c>
      <c r="CV76" s="34">
        <f>IFERROR(up_RadSpec!$J$27*(AC27*$B76),".")</f>
        <v>0.25383820515625</v>
      </c>
      <c r="CW76" s="34">
        <f>IFERROR(up_RadSpec!$J$27*(AC27*$B76),".")</f>
        <v>0.25383820515625</v>
      </c>
      <c r="CX76" s="34">
        <f>IFERROR(up_RadSpec!$J$27*(AC27*$B76),".")</f>
        <v>0.25383820515625</v>
      </c>
    </row>
  </sheetData>
  <sheetProtection algorithmName="SHA-512" hashValue="loqybXsS3Wy39GoUGWAMeEYwJpAu7Apni17XlBnliVPhjJrCjdaS9mPXohlMLX1FP3/xIjKZprFAHvp47S7GFA==" saltValue="CFcka2XC+GZWrwKEdygRkg==" spinCount="100000" sheet="1" objects="1" scenarios="1" formatColumns="0" formatRows="0" autoFilter="0"/>
  <autoFilter ref="A1:CX76" xr:uid="{6E27F3FE-A4C7-4CF2-9825-ED84E3DEE6B6}"/>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CX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49" bestFit="1" customWidth="1"/>
    <col min="2" max="2" width="11.7109375" style="49" bestFit="1" customWidth="1"/>
    <col min="3" max="3" width="22.85546875" style="49" bestFit="1" customWidth="1"/>
    <col min="4" max="4" width="14.5703125" style="49" bestFit="1" customWidth="1"/>
    <col min="5" max="5" width="14.28515625" style="49" bestFit="1" customWidth="1"/>
    <col min="6" max="6" width="13.85546875" style="49" bestFit="1" customWidth="1"/>
    <col min="7" max="7" width="14.28515625" style="49" bestFit="1" customWidth="1"/>
    <col min="8" max="8" width="13.7109375" style="49" bestFit="1" customWidth="1"/>
    <col min="9" max="9" width="14" style="49" bestFit="1" customWidth="1"/>
    <col min="10" max="10" width="13.140625" style="49" bestFit="1" customWidth="1"/>
    <col min="11" max="11" width="14.5703125" style="49" bestFit="1" customWidth="1"/>
    <col min="12" max="12" width="13.7109375" style="49" bestFit="1" customWidth="1"/>
    <col min="13" max="13" width="15.42578125" style="49" bestFit="1" customWidth="1"/>
    <col min="14" max="14" width="12.85546875" style="49" bestFit="1" customWidth="1"/>
    <col min="15" max="15" width="13.42578125" style="49" bestFit="1" customWidth="1"/>
    <col min="16" max="16" width="13.5703125" style="49" bestFit="1" customWidth="1"/>
    <col min="17" max="17" width="14.7109375" style="49" bestFit="1" customWidth="1"/>
    <col min="18" max="18" width="15" style="49" bestFit="1" customWidth="1"/>
    <col min="19" max="19" width="13.7109375" style="49" bestFit="1" customWidth="1"/>
    <col min="20" max="20" width="13" style="49" bestFit="1" customWidth="1"/>
    <col min="21" max="21" width="14.42578125" style="49" bestFit="1" customWidth="1"/>
    <col min="22" max="22" width="14.85546875" style="49" bestFit="1" customWidth="1"/>
    <col min="23" max="23" width="13.85546875" style="49" bestFit="1" customWidth="1"/>
    <col min="24" max="24" width="14.5703125" style="49" bestFit="1" customWidth="1"/>
    <col min="25" max="25" width="13.42578125" style="49" bestFit="1" customWidth="1"/>
    <col min="26" max="26" width="13" style="49" bestFit="1" customWidth="1"/>
    <col min="27" max="27" width="15" style="49" bestFit="1" customWidth="1"/>
    <col min="28" max="28" width="20.7109375" style="49" bestFit="1" customWidth="1"/>
    <col min="29" max="30" width="14.7109375" style="49" bestFit="1" customWidth="1"/>
    <col min="31" max="31" width="13.85546875" style="49" bestFit="1" customWidth="1"/>
    <col min="32" max="32" width="14.5703125" style="49" bestFit="1" customWidth="1"/>
    <col min="33" max="33" width="13.85546875" style="49" bestFit="1" customWidth="1"/>
    <col min="34" max="34" width="14.140625" style="49" bestFit="1" customWidth="1"/>
    <col min="35" max="35" width="13.5703125" style="49" bestFit="1" customWidth="1"/>
    <col min="36" max="36" width="14.7109375" style="49" bestFit="1" customWidth="1"/>
    <col min="37" max="37" width="13.85546875" style="49" bestFit="1" customWidth="1"/>
    <col min="38" max="38" width="15.5703125" style="49" bestFit="1" customWidth="1"/>
    <col min="39" max="39" width="13.140625" style="49" bestFit="1" customWidth="1"/>
    <col min="40" max="40" width="13.85546875" style="49" bestFit="1" customWidth="1"/>
    <col min="41" max="41" width="14" style="49" bestFit="1" customWidth="1"/>
    <col min="42" max="42" width="14.7109375" style="49" bestFit="1" customWidth="1"/>
    <col min="43" max="43" width="15" style="49" bestFit="1" customWidth="1"/>
    <col min="44" max="44" width="14" style="49" bestFit="1" customWidth="1"/>
    <col min="45" max="45" width="13.28515625" style="49" bestFit="1" customWidth="1"/>
    <col min="46" max="46" width="14.7109375" style="49" bestFit="1" customWidth="1"/>
    <col min="47" max="47" width="14.85546875" style="49" bestFit="1" customWidth="1"/>
    <col min="48" max="48" width="14" style="49" bestFit="1" customWidth="1"/>
    <col min="49" max="49" width="14.85546875" style="49" bestFit="1" customWidth="1"/>
    <col min="50" max="50" width="13.5703125" style="49" bestFit="1" customWidth="1"/>
    <col min="51" max="51" width="13.28515625" style="49" bestFit="1" customWidth="1"/>
    <col min="52" max="52" width="15.140625" style="49" bestFit="1" customWidth="1"/>
    <col min="53" max="53" width="26.140625" style="49" bestFit="1" customWidth="1"/>
    <col min="54" max="54" width="14.28515625" style="49" bestFit="1" customWidth="1"/>
    <col min="55" max="55" width="14.140625" style="49" bestFit="1" customWidth="1"/>
    <col min="56" max="56" width="13.5703125" style="49" bestFit="1" customWidth="1"/>
    <col min="57" max="57" width="14.140625" style="49" bestFit="1" customWidth="1"/>
    <col min="58" max="58" width="13.42578125" style="49" bestFit="1" customWidth="1"/>
    <col min="59" max="59" width="13.7109375" style="49" bestFit="1" customWidth="1"/>
    <col min="60" max="60" width="13" style="49" bestFit="1" customWidth="1"/>
    <col min="61" max="61" width="14.28515625" style="49" bestFit="1" customWidth="1"/>
    <col min="62" max="62" width="13.42578125" style="49" bestFit="1" customWidth="1"/>
    <col min="63" max="63" width="15.28515625" style="49" bestFit="1" customWidth="1"/>
    <col min="64" max="64" width="12.7109375" style="49" bestFit="1" customWidth="1"/>
    <col min="65" max="65" width="13.28515625" style="49" bestFit="1" customWidth="1"/>
    <col min="66" max="66" width="13.42578125" style="49" bestFit="1" customWidth="1"/>
    <col min="67" max="67" width="14.5703125" style="49" bestFit="1" customWidth="1"/>
    <col min="68" max="68" width="14.7109375" style="49" bestFit="1" customWidth="1"/>
    <col min="69" max="69" width="13.42578125" style="49" bestFit="1" customWidth="1"/>
    <col min="70" max="70" width="12.85546875" style="49" bestFit="1" customWidth="1"/>
    <col min="71" max="71" width="14.140625" style="49" bestFit="1" customWidth="1"/>
    <col min="72" max="72" width="14.5703125" style="49" bestFit="1" customWidth="1"/>
    <col min="73" max="73" width="13.5703125" style="49" bestFit="1" customWidth="1"/>
    <col min="74" max="74" width="14.28515625" style="49" bestFit="1" customWidth="1"/>
    <col min="75" max="75" width="13.140625" style="49" bestFit="1" customWidth="1"/>
    <col min="76" max="76" width="12.85546875" style="49" bestFit="1" customWidth="1"/>
    <col min="77" max="77" width="13.85546875" style="49" bestFit="1" customWidth="1"/>
    <col min="78" max="78" width="20.7109375" style="49" bestFit="1" customWidth="1"/>
    <col min="79" max="79" width="14.5703125" style="49" bestFit="1" customWidth="1"/>
    <col min="80" max="80" width="14.7109375" style="49" bestFit="1" customWidth="1"/>
    <col min="81" max="81" width="13.85546875" style="49" bestFit="1" customWidth="1"/>
    <col min="82" max="82" width="14.42578125" style="49" bestFit="1" customWidth="1"/>
    <col min="83" max="83" width="13.85546875" style="49" bestFit="1" customWidth="1"/>
    <col min="84" max="84" width="14" style="49" bestFit="1" customWidth="1"/>
    <col min="85" max="85" width="13.42578125" style="49" bestFit="1" customWidth="1"/>
    <col min="86" max="86" width="14.7109375" style="49" bestFit="1" customWidth="1"/>
    <col min="87" max="87" width="13.85546875" style="49" bestFit="1" customWidth="1"/>
    <col min="88" max="88" width="15.5703125" style="49" bestFit="1" customWidth="1"/>
    <col min="89" max="89" width="13" style="49" bestFit="1" customWidth="1"/>
    <col min="90" max="91" width="13.85546875" style="49" bestFit="1" customWidth="1"/>
    <col min="92" max="92" width="14.7109375" style="49" bestFit="1" customWidth="1"/>
    <col min="93" max="93" width="15" style="49" bestFit="1" customWidth="1"/>
    <col min="94" max="94" width="13.85546875" style="49" bestFit="1" customWidth="1"/>
    <col min="95" max="95" width="13.140625" style="49" bestFit="1" customWidth="1"/>
    <col min="96" max="96" width="14.5703125" style="49" bestFit="1" customWidth="1"/>
    <col min="97" max="97" width="14.85546875" style="49" bestFit="1" customWidth="1"/>
    <col min="98" max="98" width="14" style="49" bestFit="1" customWidth="1"/>
    <col min="99" max="99" width="14.85546875" style="49" bestFit="1" customWidth="1"/>
    <col min="100" max="100" width="13.5703125" style="49" bestFit="1" customWidth="1"/>
    <col min="101" max="101" width="13.140625" style="49" bestFit="1" customWidth="1"/>
    <col min="102" max="102" width="14.28515625" style="49" bestFit="1" customWidth="1"/>
    <col min="103" max="16384" width="9.140625" style="49"/>
  </cols>
  <sheetData>
    <row r="1" spans="1:102" x14ac:dyDescent="0.25">
      <c r="A1" s="57" t="s">
        <v>39</v>
      </c>
      <c r="B1" s="58" t="s">
        <v>335</v>
      </c>
      <c r="C1" s="59" t="s">
        <v>1387</v>
      </c>
      <c r="D1" s="49" t="s">
        <v>1362</v>
      </c>
      <c r="E1" s="49" t="s">
        <v>1363</v>
      </c>
      <c r="F1" s="49" t="s">
        <v>1364</v>
      </c>
      <c r="G1" s="49" t="s">
        <v>1365</v>
      </c>
      <c r="H1" s="49" t="s">
        <v>1366</v>
      </c>
      <c r="I1" s="49" t="s">
        <v>1367</v>
      </c>
      <c r="J1" s="49" t="s">
        <v>1368</v>
      </c>
      <c r="K1" s="49" t="s">
        <v>1369</v>
      </c>
      <c r="L1" s="49" t="s">
        <v>1370</v>
      </c>
      <c r="M1" s="49" t="s">
        <v>1371</v>
      </c>
      <c r="N1" s="49" t="s">
        <v>1372</v>
      </c>
      <c r="O1" s="49" t="s">
        <v>1373</v>
      </c>
      <c r="P1" s="49" t="s">
        <v>1374</v>
      </c>
      <c r="Q1" s="49" t="s">
        <v>1375</v>
      </c>
      <c r="R1" s="49" t="s">
        <v>1376</v>
      </c>
      <c r="S1" s="49" t="s">
        <v>1377</v>
      </c>
      <c r="T1" s="49" t="s">
        <v>1378</v>
      </c>
      <c r="U1" s="49" t="s">
        <v>1379</v>
      </c>
      <c r="V1" s="49" t="s">
        <v>1380</v>
      </c>
      <c r="W1" s="49" t="s">
        <v>1381</v>
      </c>
      <c r="X1" s="49" t="s">
        <v>1382</v>
      </c>
      <c r="Y1" s="49" t="s">
        <v>1383</v>
      </c>
      <c r="Z1" s="49" t="s">
        <v>1384</v>
      </c>
      <c r="AA1" s="49" t="s">
        <v>1385</v>
      </c>
      <c r="AB1" s="60" t="s">
        <v>1109</v>
      </c>
      <c r="AC1" s="60" t="s">
        <v>1110</v>
      </c>
      <c r="AD1" s="60" t="s">
        <v>1111</v>
      </c>
      <c r="AE1" s="60" t="s">
        <v>1112</v>
      </c>
      <c r="AF1" s="60" t="s">
        <v>1113</v>
      </c>
      <c r="AG1" s="60" t="s">
        <v>1114</v>
      </c>
      <c r="AH1" s="60" t="s">
        <v>1115</v>
      </c>
      <c r="AI1" s="60" t="s">
        <v>1116</v>
      </c>
      <c r="AJ1" s="60" t="s">
        <v>1117</v>
      </c>
      <c r="AK1" s="60" t="s">
        <v>1118</v>
      </c>
      <c r="AL1" s="60" t="s">
        <v>1119</v>
      </c>
      <c r="AM1" s="60" t="s">
        <v>1120</v>
      </c>
      <c r="AN1" s="60" t="s">
        <v>1121</v>
      </c>
      <c r="AO1" s="60" t="s">
        <v>1122</v>
      </c>
      <c r="AP1" s="60" t="s">
        <v>1123</v>
      </c>
      <c r="AQ1" s="60" t="s">
        <v>1124</v>
      </c>
      <c r="AR1" s="60" t="s">
        <v>1125</v>
      </c>
      <c r="AS1" s="60" t="s">
        <v>1126</v>
      </c>
      <c r="AT1" s="60" t="s">
        <v>1127</v>
      </c>
      <c r="AU1" s="60" t="s">
        <v>1128</v>
      </c>
      <c r="AV1" s="60" t="s">
        <v>1129</v>
      </c>
      <c r="AW1" s="60" t="s">
        <v>1130</v>
      </c>
      <c r="AX1" s="60" t="s">
        <v>1131</v>
      </c>
      <c r="AY1" s="60" t="s">
        <v>1132</v>
      </c>
      <c r="AZ1" s="60" t="s">
        <v>1133</v>
      </c>
      <c r="BA1" s="49" t="s">
        <v>1389</v>
      </c>
      <c r="BB1" s="49" t="s">
        <v>1337</v>
      </c>
      <c r="BC1" s="49" t="s">
        <v>1338</v>
      </c>
      <c r="BD1" s="49" t="s">
        <v>1339</v>
      </c>
      <c r="BE1" s="49" t="s">
        <v>1340</v>
      </c>
      <c r="BF1" s="49" t="s">
        <v>1341</v>
      </c>
      <c r="BG1" s="49" t="s">
        <v>1342</v>
      </c>
      <c r="BH1" s="49" t="s">
        <v>1343</v>
      </c>
      <c r="BI1" s="49" t="s">
        <v>1344</v>
      </c>
      <c r="BJ1" s="49" t="s">
        <v>1345</v>
      </c>
      <c r="BK1" s="49" t="s">
        <v>1346</v>
      </c>
      <c r="BL1" s="49" t="s">
        <v>1347</v>
      </c>
      <c r="BM1" s="49" t="s">
        <v>1348</v>
      </c>
      <c r="BN1" s="49" t="s">
        <v>1349</v>
      </c>
      <c r="BO1" s="49" t="s">
        <v>1350</v>
      </c>
      <c r="BP1" s="49" t="s">
        <v>1351</v>
      </c>
      <c r="BQ1" s="49" t="s">
        <v>1352</v>
      </c>
      <c r="BR1" s="49" t="s">
        <v>1353</v>
      </c>
      <c r="BS1" s="49" t="s">
        <v>1354</v>
      </c>
      <c r="BT1" s="49" t="s">
        <v>1355</v>
      </c>
      <c r="BU1" s="49" t="s">
        <v>1356</v>
      </c>
      <c r="BV1" s="49" t="s">
        <v>1357</v>
      </c>
      <c r="BW1" s="49" t="s">
        <v>1358</v>
      </c>
      <c r="BX1" s="49" t="s">
        <v>1359</v>
      </c>
      <c r="BY1" s="49" t="s">
        <v>1360</v>
      </c>
      <c r="BZ1" s="60" t="s">
        <v>1134</v>
      </c>
      <c r="CA1" s="60" t="s">
        <v>1312</v>
      </c>
      <c r="CB1" s="60" t="s">
        <v>1313</v>
      </c>
      <c r="CC1" s="60" t="s">
        <v>1314</v>
      </c>
      <c r="CD1" s="60" t="s">
        <v>1315</v>
      </c>
      <c r="CE1" s="60" t="s">
        <v>1316</v>
      </c>
      <c r="CF1" s="60" t="s">
        <v>1317</v>
      </c>
      <c r="CG1" s="60" t="s">
        <v>1318</v>
      </c>
      <c r="CH1" s="60" t="s">
        <v>1319</v>
      </c>
      <c r="CI1" s="60" t="s">
        <v>1320</v>
      </c>
      <c r="CJ1" s="60" t="s">
        <v>1321</v>
      </c>
      <c r="CK1" s="60" t="s">
        <v>1322</v>
      </c>
      <c r="CL1" s="60" t="s">
        <v>1323</v>
      </c>
      <c r="CM1" s="60" t="s">
        <v>1324</v>
      </c>
      <c r="CN1" s="60" t="s">
        <v>1325</v>
      </c>
      <c r="CO1" s="60" t="s">
        <v>1326</v>
      </c>
      <c r="CP1" s="60" t="s">
        <v>1327</v>
      </c>
      <c r="CQ1" s="60" t="s">
        <v>1328</v>
      </c>
      <c r="CR1" s="60" t="s">
        <v>1329</v>
      </c>
      <c r="CS1" s="60" t="s">
        <v>1330</v>
      </c>
      <c r="CT1" s="60" t="s">
        <v>1331</v>
      </c>
      <c r="CU1" s="60" t="s">
        <v>1332</v>
      </c>
      <c r="CV1" s="60" t="s">
        <v>1333</v>
      </c>
      <c r="CW1" s="60" t="s">
        <v>1334</v>
      </c>
      <c r="CX1" s="60" t="s">
        <v>1335</v>
      </c>
    </row>
    <row r="2" spans="1:102" ht="15" customHeight="1" x14ac:dyDescent="0.25">
      <c r="A2" s="61" t="s">
        <v>0</v>
      </c>
      <c r="B2" s="49" t="s">
        <v>1059</v>
      </c>
      <c r="C2" s="48">
        <f>IFERROR(1/SUM(1/D2,1/Z2,1/AA2),".")</f>
        <v>2.1924550381384044E-4</v>
      </c>
      <c r="D2" s="48">
        <f>IFERROR(IF(AND(up_Irr!C2&lt;&gt;".",up_Irr!AA2&lt;&gt;".",up_Irr!AY2&lt;&gt;"."),up_dir!D2/((1/1000)*(up_Irr!C2+up_Irr!AA2+up_Irr!AY2)),IF(AND(up_Irr!C2&lt;&gt;".",up_Irr!AA2&lt;&gt;".",up_Irr!AY2="."),up_dir!D2/((1/1000)*(up_Irr!C2+up_Irr!AA2)),IF(AND(up_Irr!C2&lt;&gt;".",up_Irr!AA2=".",up_Irr!AY2&lt;&gt;"."),up_dir!D2/((1/1000)*(up_Irr!C2+up_Irr!AY2)),IF(AND(up_Irr!C2=".",up_Irr!AA2&lt;&gt;".",up_Irr!AY2&lt;&gt;"."),up_dir!D2/((1/1000)*(up_Irr!AA2+up_Irr!AY2)),IF(AND(up_Irr!C2=".",up_Irr!AA2=".",up_Irr!AY2&lt;&gt;"."),up_dir!D2/((1/1000)*(up_Irr!AY2)),IF(AND(up_Irr!C2=".",up_Irr!AA2&lt;&gt;".",up_Irr!AY2="."),up_dir!D2/((1/1000)*(up_Irr!AA2)),IF(AND(up_Irr!C2&lt;&gt;".",up_Irr!AA2=".",up_Irr!AY2="."),up_dir!D2/((1/1000)*(up_Irr!C2)),IF(AND(up_Irr!C2=".",up_Irr!AA2=".",up_Irr!AY2="."),up_dir!D2*1000)))))))),".")</f>
        <v>6.5773651144152131E-4</v>
      </c>
      <c r="E2" s="48">
        <f>IFERROR(IF(AND(up_Irr!D2&lt;&gt;".",up_Irr!AB2&lt;&gt;".",up_Irr!AZ2&lt;&gt;"."),up_dir!E2/((1/1000)*(up_Irr!D2+up_Irr!AB2+up_Irr!AZ2)),IF(AND(up_Irr!D2&lt;&gt;".",up_Irr!AB2&lt;&gt;".",up_Irr!AZ2="."),up_dir!E2/((1/1000)*(up_Irr!D2+up_Irr!AB2)),IF(AND(up_Irr!D2&lt;&gt;".",up_Irr!AB2=".",up_Irr!AZ2&lt;&gt;"."),up_dir!E2/((1/1000)*(up_Irr!D2+up_Irr!AZ2)),IF(AND(up_Irr!D2=".",up_Irr!AB2&lt;&gt;".",up_Irr!AZ2&lt;&gt;"."),up_dir!E2/((1/1000)*(up_Irr!AB2+up_Irr!AZ2)),IF(AND(up_Irr!D2=".",up_Irr!AB2=".",up_Irr!AZ2&lt;&gt;"."),up_dir!E2/((1/1000)*(up_Irr!AZ2)),IF(AND(up_Irr!D2=".",up_Irr!AB2&lt;&gt;".",up_Irr!AZ2="."),up_dir!E2/((1/1000)*(up_Irr!AB2)),IF(AND(up_Irr!D2&lt;&gt;".",up_Irr!AB2=".",up_Irr!AZ2="."),up_dir!E2/((1/1000)*(up_Irr!D2)),IF(AND(up_Irr!D2=".",up_Irr!AB2=".",up_Irr!AZ2="."),up_dir!E2*1000)))))))),".")</f>
        <v>6.5773651144152131E-4</v>
      </c>
      <c r="F2" s="48">
        <f>IFERROR(IF(AND(up_Irr!E2&lt;&gt;".",up_Irr!AC2&lt;&gt;".",up_Irr!BA2&lt;&gt;"."),up_dir!F2/((1/1000)*(up_Irr!E2+up_Irr!AC2+up_Irr!BA2)),IF(AND(up_Irr!E2&lt;&gt;".",up_Irr!AC2&lt;&gt;".",up_Irr!BA2="."),up_dir!F2/((1/1000)*(up_Irr!E2+up_Irr!AC2)),IF(AND(up_Irr!E2&lt;&gt;".",up_Irr!AC2=".",up_Irr!BA2&lt;&gt;"."),up_dir!F2/((1/1000)*(up_Irr!E2+up_Irr!BA2)),IF(AND(up_Irr!E2=".",up_Irr!AC2&lt;&gt;".",up_Irr!BA2&lt;&gt;"."),up_dir!F2/((1/1000)*(up_Irr!AC2+up_Irr!BA2)),IF(AND(up_Irr!E2=".",up_Irr!AC2=".",up_Irr!BA2&lt;&gt;"."),up_dir!F2/((1/1000)*(up_Irr!BA2)),IF(AND(up_Irr!E2=".",up_Irr!AC2&lt;&gt;".",up_Irr!BA2="."),up_dir!F2/((1/1000)*(up_Irr!AC2)),IF(AND(up_Irr!E2&lt;&gt;".",up_Irr!AC2=".",up_Irr!BA2="."),up_dir!F2/((1/1000)*(up_Irr!E2)),IF(AND(up_Irr!E2=".",up_Irr!AC2=".",up_Irr!BA2="."),up_dir!F2*1000)))))))),".")</f>
        <v>6.5773651144152131E-4</v>
      </c>
      <c r="G2" s="48">
        <f>IFERROR(IF(AND(up_Irr!F2&lt;&gt;".",up_Irr!AD2&lt;&gt;".",up_Irr!BB2&lt;&gt;"."),up_dir!G2/((1/1000)*(up_Irr!F2+up_Irr!AD2+up_Irr!BB2)),IF(AND(up_Irr!F2&lt;&gt;".",up_Irr!AD2&lt;&gt;".",up_Irr!BB2="."),up_dir!G2/((1/1000)*(up_Irr!F2+up_Irr!AD2)),IF(AND(up_Irr!F2&lt;&gt;".",up_Irr!AD2=".",up_Irr!BB2&lt;&gt;"."),up_dir!G2/((1/1000)*(up_Irr!F2+up_Irr!BB2)),IF(AND(up_Irr!F2=".",up_Irr!AD2&lt;&gt;".",up_Irr!BB2&lt;&gt;"."),up_dir!G2/((1/1000)*(up_Irr!AD2+up_Irr!BB2)),IF(AND(up_Irr!F2=".",up_Irr!AD2=".",up_Irr!BB2&lt;&gt;"."),up_dir!G2/((1/1000)*(up_Irr!BB2)),IF(AND(up_Irr!F2=".",up_Irr!AD2&lt;&gt;".",up_Irr!BB2="."),up_dir!G2/((1/1000)*(up_Irr!AD2)),IF(AND(up_Irr!F2&lt;&gt;".",up_Irr!AD2=".",up_Irr!BB2="."),up_dir!G2/((1/1000)*(up_Irr!F2)),IF(AND(up_Irr!F2=".",up_Irr!AD2=".",up_Irr!BB2="."),up_dir!G2*1000)))))))),".")</f>
        <v>6.5773651144152131E-4</v>
      </c>
      <c r="H2" s="48">
        <f>IFERROR(IF(AND(up_Irr!G2&lt;&gt;".",up_Irr!AE2&lt;&gt;".",up_Irr!BC2&lt;&gt;"."),up_dir!H2/((1/1000)*(up_Irr!G2+up_Irr!AE2+up_Irr!BC2)),IF(AND(up_Irr!G2&lt;&gt;".",up_Irr!AE2&lt;&gt;".",up_Irr!BC2="."),up_dir!H2/((1/1000)*(up_Irr!G2+up_Irr!AE2)),IF(AND(up_Irr!G2&lt;&gt;".",up_Irr!AE2=".",up_Irr!BC2&lt;&gt;"."),up_dir!H2/((1/1000)*(up_Irr!G2+up_Irr!BC2)),IF(AND(up_Irr!G2=".",up_Irr!AE2&lt;&gt;".",up_Irr!BC2&lt;&gt;"."),up_dir!H2/((1/1000)*(up_Irr!AE2+up_Irr!BC2)),IF(AND(up_Irr!G2=".",up_Irr!AE2=".",up_Irr!BC2&lt;&gt;"."),up_dir!H2/((1/1000)*(up_Irr!BC2)),IF(AND(up_Irr!G2=".",up_Irr!AE2&lt;&gt;".",up_Irr!BC2="."),up_dir!H2/((1/1000)*(up_Irr!AE2)),IF(AND(up_Irr!G2&lt;&gt;".",up_Irr!AE2=".",up_Irr!BC2="."),up_dir!H2/((1/1000)*(up_Irr!G2)),IF(AND(up_Irr!G2=".",up_Irr!AE2=".",up_Irr!BC2="."),up_dir!H2*1000)))))))),".")</f>
        <v>6.5773651144152131E-4</v>
      </c>
      <c r="I2" s="48">
        <f>IFERROR(IF(AND(up_Irr!H2&lt;&gt;".",up_Irr!AF2&lt;&gt;".",up_Irr!BD2&lt;&gt;"."),up_dir!I2/((1/1000)*(up_Irr!H2+up_Irr!AF2+up_Irr!BD2)),IF(AND(up_Irr!H2&lt;&gt;".",up_Irr!AF2&lt;&gt;".",up_Irr!BD2="."),up_dir!I2/((1/1000)*(up_Irr!H2+up_Irr!AF2)),IF(AND(up_Irr!H2&lt;&gt;".",up_Irr!AF2=".",up_Irr!BD2&lt;&gt;"."),up_dir!I2/((1/1000)*(up_Irr!H2+up_Irr!BD2)),IF(AND(up_Irr!H2=".",up_Irr!AF2&lt;&gt;".",up_Irr!BD2&lt;&gt;"."),up_dir!I2/((1/1000)*(up_Irr!AF2+up_Irr!BD2)),IF(AND(up_Irr!H2=".",up_Irr!AF2=".",up_Irr!BD2&lt;&gt;"."),up_dir!I2/((1/1000)*(up_Irr!BD2)),IF(AND(up_Irr!H2=".",up_Irr!AF2&lt;&gt;".",up_Irr!BD2="."),up_dir!I2/((1/1000)*(up_Irr!AF2)),IF(AND(up_Irr!H2&lt;&gt;".",up_Irr!AF2=".",up_Irr!BD2="."),up_dir!I2/((1/1000)*(up_Irr!H2)),IF(AND(up_Irr!H2=".",up_Irr!AF2=".",up_Irr!BD2="."),up_dir!I2*1000)))))))),".")</f>
        <v>6.5773651144152131E-4</v>
      </c>
      <c r="J2" s="48">
        <f>IFERROR(IF(AND(up_Irr!I2&lt;&gt;".",up_Irr!AG2&lt;&gt;".",up_Irr!BE2&lt;&gt;"."),up_dir!J2/((1/1000)*(up_Irr!I2+up_Irr!AG2+up_Irr!BE2)),IF(AND(up_Irr!I2&lt;&gt;".",up_Irr!AG2&lt;&gt;".",up_Irr!BE2="."),up_dir!J2/((1/1000)*(up_Irr!I2+up_Irr!AG2)),IF(AND(up_Irr!I2&lt;&gt;".",up_Irr!AG2=".",up_Irr!BE2&lt;&gt;"."),up_dir!J2/((1/1000)*(up_Irr!I2+up_Irr!BE2)),IF(AND(up_Irr!I2=".",up_Irr!AG2&lt;&gt;".",up_Irr!BE2&lt;&gt;"."),up_dir!J2/((1/1000)*(up_Irr!AG2+up_Irr!BE2)),IF(AND(up_Irr!I2=".",up_Irr!AG2=".",up_Irr!BE2&lt;&gt;"."),up_dir!J2/((1/1000)*(up_Irr!BE2)),IF(AND(up_Irr!I2=".",up_Irr!AG2&lt;&gt;".",up_Irr!BE2="."),up_dir!J2/((1/1000)*(up_Irr!AG2)),IF(AND(up_Irr!I2&lt;&gt;".",up_Irr!AG2=".",up_Irr!BE2="."),up_dir!J2/((1/1000)*(up_Irr!I2)),IF(AND(up_Irr!I2=".",up_Irr!AG2=".",up_Irr!BE2="."),up_dir!J2*1000)))))))),".")</f>
        <v>6.5773651144152131E-4</v>
      </c>
      <c r="K2" s="48">
        <f>IFERROR(IF(AND(up_Irr!J2&lt;&gt;".",up_Irr!AH2&lt;&gt;".",up_Irr!BF2&lt;&gt;"."),up_dir!K2/((1/1000)*(up_Irr!J2+up_Irr!AH2+up_Irr!BF2)),IF(AND(up_Irr!J2&lt;&gt;".",up_Irr!AH2&lt;&gt;".",up_Irr!BF2="."),up_dir!K2/((1/1000)*(up_Irr!J2+up_Irr!AH2)),IF(AND(up_Irr!J2&lt;&gt;".",up_Irr!AH2=".",up_Irr!BF2&lt;&gt;"."),up_dir!K2/((1/1000)*(up_Irr!J2+up_Irr!BF2)),IF(AND(up_Irr!J2=".",up_Irr!AH2&lt;&gt;".",up_Irr!BF2&lt;&gt;"."),up_dir!K2/((1/1000)*(up_Irr!AH2+up_Irr!BF2)),IF(AND(up_Irr!J2=".",up_Irr!AH2=".",up_Irr!BF2&lt;&gt;"."),up_dir!K2/((1/1000)*(up_Irr!BF2)),IF(AND(up_Irr!J2=".",up_Irr!AH2&lt;&gt;".",up_Irr!BF2="."),up_dir!K2/((1/1000)*(up_Irr!AH2)),IF(AND(up_Irr!J2&lt;&gt;".",up_Irr!AH2=".",up_Irr!BF2="."),up_dir!K2/((1/1000)*(up_Irr!J2)),IF(AND(up_Irr!J2=".",up_Irr!AH2=".",up_Irr!BF2="."),up_dir!K2*1000)))))))),".")</f>
        <v>6.5773651144152131E-4</v>
      </c>
      <c r="L2" s="48">
        <f>IFERROR(IF(AND(up_Irr!K2&lt;&gt;".",up_Irr!AI2&lt;&gt;".",up_Irr!BG2&lt;&gt;"."),up_dir!L2/((1/1000)*(up_Irr!K2+up_Irr!AI2+up_Irr!BG2)),IF(AND(up_Irr!K2&lt;&gt;".",up_Irr!AI2&lt;&gt;".",up_Irr!BG2="."),up_dir!L2/((1/1000)*(up_Irr!K2+up_Irr!AI2)),IF(AND(up_Irr!K2&lt;&gt;".",up_Irr!AI2=".",up_Irr!BG2&lt;&gt;"."),up_dir!L2/((1/1000)*(up_Irr!K2+up_Irr!BG2)),IF(AND(up_Irr!K2=".",up_Irr!AI2&lt;&gt;".",up_Irr!BG2&lt;&gt;"."),up_dir!L2/((1/1000)*(up_Irr!AI2+up_Irr!BG2)),IF(AND(up_Irr!K2=".",up_Irr!AI2=".",up_Irr!BG2&lt;&gt;"."),up_dir!L2/((1/1000)*(up_Irr!BG2)),IF(AND(up_Irr!K2=".",up_Irr!AI2&lt;&gt;".",up_Irr!BG2="."),up_dir!L2/((1/1000)*(up_Irr!AI2)),IF(AND(up_Irr!K2&lt;&gt;".",up_Irr!AI2=".",up_Irr!BG2="."),up_dir!L2/((1/1000)*(up_Irr!K2)),IF(AND(up_Irr!K2=".",up_Irr!AI2=".",up_Irr!BG2="."),up_dir!L2*1000)))))))),".")</f>
        <v>6.5773651144152131E-4</v>
      </c>
      <c r="M2" s="48">
        <f>IFERROR(IF(AND(up_Irr!L2&lt;&gt;".",up_Irr!AJ2&lt;&gt;".",up_Irr!BH2&lt;&gt;"."),up_dir!M2/((1/1000)*(up_Irr!L2+up_Irr!AJ2+up_Irr!BH2)),IF(AND(up_Irr!L2&lt;&gt;".",up_Irr!AJ2&lt;&gt;".",up_Irr!BH2="."),up_dir!M2/((1/1000)*(up_Irr!L2+up_Irr!AJ2)),IF(AND(up_Irr!L2&lt;&gt;".",up_Irr!AJ2=".",up_Irr!BH2&lt;&gt;"."),up_dir!M2/((1/1000)*(up_Irr!L2+up_Irr!BH2)),IF(AND(up_Irr!L2=".",up_Irr!AJ2&lt;&gt;".",up_Irr!BH2&lt;&gt;"."),up_dir!M2/((1/1000)*(up_Irr!AJ2+up_Irr!BH2)),IF(AND(up_Irr!L2=".",up_Irr!AJ2=".",up_Irr!BH2&lt;&gt;"."),up_dir!M2/((1/1000)*(up_Irr!BH2)),IF(AND(up_Irr!L2=".",up_Irr!AJ2&lt;&gt;".",up_Irr!BH2="."),up_dir!M2/((1/1000)*(up_Irr!AJ2)),IF(AND(up_Irr!L2&lt;&gt;".",up_Irr!AJ2=".",up_Irr!BH2="."),up_dir!M2/((1/1000)*(up_Irr!L2)),IF(AND(up_Irr!L2=".",up_Irr!AJ2=".",up_Irr!BH2="."),up_dir!M2*1000)))))))),".")</f>
        <v>6.5773651144152131E-4</v>
      </c>
      <c r="N2" s="48">
        <f>IFERROR(IF(AND(up_Irr!M2&lt;&gt;".",up_Irr!AK2&lt;&gt;".",up_Irr!BI2&lt;&gt;"."),up_dir!N2/((1/1000)*(up_Irr!M2+up_Irr!AK2+up_Irr!BI2)),IF(AND(up_Irr!M2&lt;&gt;".",up_Irr!AK2&lt;&gt;".",up_Irr!BI2="."),up_dir!N2/((1/1000)*(up_Irr!M2+up_Irr!AK2)),IF(AND(up_Irr!M2&lt;&gt;".",up_Irr!AK2=".",up_Irr!BI2&lt;&gt;"."),up_dir!N2/((1/1000)*(up_Irr!M2+up_Irr!BI2)),IF(AND(up_Irr!M2=".",up_Irr!AK2&lt;&gt;".",up_Irr!BI2&lt;&gt;"."),up_dir!N2/((1/1000)*(up_Irr!AK2+up_Irr!BI2)),IF(AND(up_Irr!M2=".",up_Irr!AK2=".",up_Irr!BI2&lt;&gt;"."),up_dir!N2/((1/1000)*(up_Irr!BI2)),IF(AND(up_Irr!M2=".",up_Irr!AK2&lt;&gt;".",up_Irr!BI2="."),up_dir!N2/((1/1000)*(up_Irr!AK2)),IF(AND(up_Irr!M2&lt;&gt;".",up_Irr!AK2=".",up_Irr!BI2="."),up_dir!N2/((1/1000)*(up_Irr!M2)),IF(AND(up_Irr!M2=".",up_Irr!AK2=".",up_Irr!BI2="."),up_dir!N2*1000)))))))),".")</f>
        <v>6.5773651144152131E-4</v>
      </c>
      <c r="O2" s="48">
        <f>IFERROR(IF(AND(up_Irr!N2&lt;&gt;".",up_Irr!AL2&lt;&gt;".",up_Irr!BJ2&lt;&gt;"."),up_dir!O2/((1/1000)*(up_Irr!N2+up_Irr!AL2+up_Irr!BJ2)),IF(AND(up_Irr!N2&lt;&gt;".",up_Irr!AL2&lt;&gt;".",up_Irr!BJ2="."),up_dir!O2/((1/1000)*(up_Irr!N2+up_Irr!AL2)),IF(AND(up_Irr!N2&lt;&gt;".",up_Irr!AL2=".",up_Irr!BJ2&lt;&gt;"."),up_dir!O2/((1/1000)*(up_Irr!N2+up_Irr!BJ2)),IF(AND(up_Irr!N2=".",up_Irr!AL2&lt;&gt;".",up_Irr!BJ2&lt;&gt;"."),up_dir!O2/((1/1000)*(up_Irr!AL2+up_Irr!BJ2)),IF(AND(up_Irr!N2=".",up_Irr!AL2=".",up_Irr!BJ2&lt;&gt;"."),up_dir!O2/((1/1000)*(up_Irr!BJ2)),IF(AND(up_Irr!N2=".",up_Irr!AL2&lt;&gt;".",up_Irr!BJ2="."),up_dir!O2/((1/1000)*(up_Irr!AL2)),IF(AND(up_Irr!N2&lt;&gt;".",up_Irr!AL2=".",up_Irr!BJ2="."),up_dir!O2/((1/1000)*(up_Irr!N2)),IF(AND(up_Irr!N2=".",up_Irr!AL2=".",up_Irr!BJ2="."),up_dir!O2*1000)))))))),".")</f>
        <v>6.5773651144152131E-4</v>
      </c>
      <c r="P2" s="48">
        <f>IFERROR(IF(AND(up_Irr!O2&lt;&gt;".",up_Irr!AM2&lt;&gt;".",up_Irr!BK2&lt;&gt;"."),up_dir!P2/((1/1000)*(up_Irr!O2+up_Irr!AM2+up_Irr!BK2)),IF(AND(up_Irr!O2&lt;&gt;".",up_Irr!AM2&lt;&gt;".",up_Irr!BK2="."),up_dir!P2/((1/1000)*(up_Irr!O2+up_Irr!AM2)),IF(AND(up_Irr!O2&lt;&gt;".",up_Irr!AM2=".",up_Irr!BK2&lt;&gt;"."),up_dir!P2/((1/1000)*(up_Irr!O2+up_Irr!BK2)),IF(AND(up_Irr!O2=".",up_Irr!AM2&lt;&gt;".",up_Irr!BK2&lt;&gt;"."),up_dir!P2/((1/1000)*(up_Irr!AM2+up_Irr!BK2)),IF(AND(up_Irr!O2=".",up_Irr!AM2=".",up_Irr!BK2&lt;&gt;"."),up_dir!P2/((1/1000)*(up_Irr!BK2)),IF(AND(up_Irr!O2=".",up_Irr!AM2&lt;&gt;".",up_Irr!BK2="."),up_dir!P2/((1/1000)*(up_Irr!AM2)),IF(AND(up_Irr!O2&lt;&gt;".",up_Irr!AM2=".",up_Irr!BK2="."),up_dir!P2/((1/1000)*(up_Irr!O2)),IF(AND(up_Irr!O2=".",up_Irr!AM2=".",up_Irr!BK2="."),up_dir!P2*1000)))))))),".")</f>
        <v>6.5773651144152131E-4</v>
      </c>
      <c r="Q2" s="48">
        <f>IFERROR(IF(AND(up_Irr!P2&lt;&gt;".",up_Irr!AN2&lt;&gt;".",up_Irr!BL2&lt;&gt;"."),up_dir!Q2/((1/1000)*(up_Irr!P2+up_Irr!AN2+up_Irr!BL2)),IF(AND(up_Irr!P2&lt;&gt;".",up_Irr!AN2&lt;&gt;".",up_Irr!BL2="."),up_dir!Q2/((1/1000)*(up_Irr!P2+up_Irr!AN2)),IF(AND(up_Irr!P2&lt;&gt;".",up_Irr!AN2=".",up_Irr!BL2&lt;&gt;"."),up_dir!Q2/((1/1000)*(up_Irr!P2+up_Irr!BL2)),IF(AND(up_Irr!P2=".",up_Irr!AN2&lt;&gt;".",up_Irr!BL2&lt;&gt;"."),up_dir!Q2/((1/1000)*(up_Irr!AN2+up_Irr!BL2)),IF(AND(up_Irr!P2=".",up_Irr!AN2=".",up_Irr!BL2&lt;&gt;"."),up_dir!Q2/((1/1000)*(up_Irr!BL2)),IF(AND(up_Irr!P2=".",up_Irr!AN2&lt;&gt;".",up_Irr!BL2="."),up_dir!Q2/((1/1000)*(up_Irr!AN2)),IF(AND(up_Irr!P2&lt;&gt;".",up_Irr!AN2=".",up_Irr!BL2="."),up_dir!Q2/((1/1000)*(up_Irr!P2)),IF(AND(up_Irr!P2=".",up_Irr!AN2=".",up_Irr!BL2="."),up_dir!Q2*1000)))))))),".")</f>
        <v>6.5773651144152131E-4</v>
      </c>
      <c r="R2" s="48">
        <f>IFERROR(IF(AND(up_Irr!Q2&lt;&gt;".",up_Irr!AO2&lt;&gt;".",up_Irr!BM2&lt;&gt;"."),up_dir!R2/((1/1000)*(up_Irr!Q2+up_Irr!AO2+up_Irr!BM2)),IF(AND(up_Irr!Q2&lt;&gt;".",up_Irr!AO2&lt;&gt;".",up_Irr!BM2="."),up_dir!R2/((1/1000)*(up_Irr!Q2+up_Irr!AO2)),IF(AND(up_Irr!Q2&lt;&gt;".",up_Irr!AO2=".",up_Irr!BM2&lt;&gt;"."),up_dir!R2/((1/1000)*(up_Irr!Q2+up_Irr!BM2)),IF(AND(up_Irr!Q2=".",up_Irr!AO2&lt;&gt;".",up_Irr!BM2&lt;&gt;"."),up_dir!R2/((1/1000)*(up_Irr!AO2+up_Irr!BM2)),IF(AND(up_Irr!Q2=".",up_Irr!AO2=".",up_Irr!BM2&lt;&gt;"."),up_dir!R2/((1/1000)*(up_Irr!BM2)),IF(AND(up_Irr!Q2=".",up_Irr!AO2&lt;&gt;".",up_Irr!BM2="."),up_dir!R2/((1/1000)*(up_Irr!AO2)),IF(AND(up_Irr!Q2&lt;&gt;".",up_Irr!AO2=".",up_Irr!BM2="."),up_dir!R2/((1/1000)*(up_Irr!Q2)),IF(AND(up_Irr!Q2=".",up_Irr!AO2=".",up_Irr!BM2="."),up_dir!R2*1000)))))))),".")</f>
        <v>6.5773651144152131E-4</v>
      </c>
      <c r="S2" s="48">
        <f>IFERROR(IF(AND(up_Irr!R2&lt;&gt;".",up_Irr!AP2&lt;&gt;".",up_Irr!BN2&lt;&gt;"."),up_dir!S2/((1/1000)*(up_Irr!R2+up_Irr!AP2+up_Irr!BN2)),IF(AND(up_Irr!R2&lt;&gt;".",up_Irr!AP2&lt;&gt;".",up_Irr!BN2="."),up_dir!S2/((1/1000)*(up_Irr!R2+up_Irr!AP2)),IF(AND(up_Irr!R2&lt;&gt;".",up_Irr!AP2=".",up_Irr!BN2&lt;&gt;"."),up_dir!S2/((1/1000)*(up_Irr!R2+up_Irr!BN2)),IF(AND(up_Irr!R2=".",up_Irr!AP2&lt;&gt;".",up_Irr!BN2&lt;&gt;"."),up_dir!S2/((1/1000)*(up_Irr!AP2+up_Irr!BN2)),IF(AND(up_Irr!R2=".",up_Irr!AP2=".",up_Irr!BN2&lt;&gt;"."),up_dir!S2/((1/1000)*(up_Irr!BN2)),IF(AND(up_Irr!R2=".",up_Irr!AP2&lt;&gt;".",up_Irr!BN2="."),up_dir!S2/((1/1000)*(up_Irr!AP2)),IF(AND(up_Irr!R2&lt;&gt;".",up_Irr!AP2=".",up_Irr!BN2="."),up_dir!S2/((1/1000)*(up_Irr!R2)),IF(AND(up_Irr!R2=".",up_Irr!AP2=".",up_Irr!BN2="."),up_dir!S2*1000)))))))),".")</f>
        <v>6.5773651144152131E-4</v>
      </c>
      <c r="T2" s="48">
        <f>IFERROR(IF(AND(up_Irr!S2&lt;&gt;".",up_Irr!AQ2&lt;&gt;".",up_Irr!BO2&lt;&gt;"."),up_dir!T2/((1/1000)*(up_Irr!S2+up_Irr!AQ2+up_Irr!BO2)),IF(AND(up_Irr!S2&lt;&gt;".",up_Irr!AQ2&lt;&gt;".",up_Irr!BO2="."),up_dir!T2/((1/1000)*(up_Irr!S2+up_Irr!AQ2)),IF(AND(up_Irr!S2&lt;&gt;".",up_Irr!AQ2=".",up_Irr!BO2&lt;&gt;"."),up_dir!T2/((1/1000)*(up_Irr!S2+up_Irr!BO2)),IF(AND(up_Irr!S2=".",up_Irr!AQ2&lt;&gt;".",up_Irr!BO2&lt;&gt;"."),up_dir!T2/((1/1000)*(up_Irr!AQ2+up_Irr!BO2)),IF(AND(up_Irr!S2=".",up_Irr!AQ2=".",up_Irr!BO2&lt;&gt;"."),up_dir!T2/((1/1000)*(up_Irr!BO2)),IF(AND(up_Irr!S2=".",up_Irr!AQ2&lt;&gt;".",up_Irr!BO2="."),up_dir!T2/((1/1000)*(up_Irr!AQ2)),IF(AND(up_Irr!S2&lt;&gt;".",up_Irr!AQ2=".",up_Irr!BO2="."),up_dir!T2/((1/1000)*(up_Irr!S2)),IF(AND(up_Irr!S2=".",up_Irr!AQ2=".",up_Irr!BO2="."),up_dir!T2*1000)))))))),".")</f>
        <v>6.5773651144152131E-4</v>
      </c>
      <c r="U2" s="48">
        <f>IFERROR(IF(AND(up_Irr!T2&lt;&gt;".",up_Irr!AR2&lt;&gt;".",up_Irr!BP2&lt;&gt;"."),up_dir!U2/((1/1000)*(up_Irr!T2+up_Irr!AR2+up_Irr!BP2)),IF(AND(up_Irr!T2&lt;&gt;".",up_Irr!AR2&lt;&gt;".",up_Irr!BP2="."),up_dir!U2/((1/1000)*(up_Irr!T2+up_Irr!AR2)),IF(AND(up_Irr!T2&lt;&gt;".",up_Irr!AR2=".",up_Irr!BP2&lt;&gt;"."),up_dir!U2/((1/1000)*(up_Irr!T2+up_Irr!BP2)),IF(AND(up_Irr!T2=".",up_Irr!AR2&lt;&gt;".",up_Irr!BP2&lt;&gt;"."),up_dir!U2/((1/1000)*(up_Irr!AR2+up_Irr!BP2)),IF(AND(up_Irr!T2=".",up_Irr!AR2=".",up_Irr!BP2&lt;&gt;"."),up_dir!U2/((1/1000)*(up_Irr!BP2)),IF(AND(up_Irr!T2=".",up_Irr!AR2&lt;&gt;".",up_Irr!BP2="."),up_dir!U2/((1/1000)*(up_Irr!AR2)),IF(AND(up_Irr!T2&lt;&gt;".",up_Irr!AR2=".",up_Irr!BP2="."),up_dir!U2/((1/1000)*(up_Irr!T2)),IF(AND(up_Irr!T2=".",up_Irr!AR2=".",up_Irr!BP2="."),up_dir!U2*1000)))))))),".")</f>
        <v>6.5773651144152131E-4</v>
      </c>
      <c r="V2" s="48">
        <f>IFERROR(IF(AND(up_Irr!U2&lt;&gt;".",up_Irr!AS2&lt;&gt;".",up_Irr!BQ2&lt;&gt;"."),up_dir!V2/((1/1000)*(up_Irr!U2+up_Irr!AS2+up_Irr!BQ2)),IF(AND(up_Irr!U2&lt;&gt;".",up_Irr!AS2&lt;&gt;".",up_Irr!BQ2="."),up_dir!V2/((1/1000)*(up_Irr!U2+up_Irr!AS2)),IF(AND(up_Irr!U2&lt;&gt;".",up_Irr!AS2=".",up_Irr!BQ2&lt;&gt;"."),up_dir!V2/((1/1000)*(up_Irr!U2+up_Irr!BQ2)),IF(AND(up_Irr!U2=".",up_Irr!AS2&lt;&gt;".",up_Irr!BQ2&lt;&gt;"."),up_dir!V2/((1/1000)*(up_Irr!AS2+up_Irr!BQ2)),IF(AND(up_Irr!U2=".",up_Irr!AS2=".",up_Irr!BQ2&lt;&gt;"."),up_dir!V2/((1/1000)*(up_Irr!BQ2)),IF(AND(up_Irr!U2=".",up_Irr!AS2&lt;&gt;".",up_Irr!BQ2="."),up_dir!V2/((1/1000)*(up_Irr!AS2)),IF(AND(up_Irr!U2&lt;&gt;".",up_Irr!AS2=".",up_Irr!BQ2="."),up_dir!V2/((1/1000)*(up_Irr!U2)),IF(AND(up_Irr!U2=".",up_Irr!AS2=".",up_Irr!BQ2="."),up_dir!V2*1000)))))))),".")</f>
        <v>6.5773651144152131E-4</v>
      </c>
      <c r="W2" s="48">
        <f>IFERROR(IF(AND(up_Irr!V2&lt;&gt;".",up_Irr!AT2&lt;&gt;".",up_Irr!BR2&lt;&gt;"."),up_dir!W2/((1/1000)*(up_Irr!V2+up_Irr!AT2+up_Irr!BR2)),IF(AND(up_Irr!V2&lt;&gt;".",up_Irr!AT2&lt;&gt;".",up_Irr!BR2="."),up_dir!W2/((1/1000)*(up_Irr!V2+up_Irr!AT2)),IF(AND(up_Irr!V2&lt;&gt;".",up_Irr!AT2=".",up_Irr!BR2&lt;&gt;"."),up_dir!W2/((1/1000)*(up_Irr!V2+up_Irr!BR2)),IF(AND(up_Irr!V2=".",up_Irr!AT2&lt;&gt;".",up_Irr!BR2&lt;&gt;"."),up_dir!W2/((1/1000)*(up_Irr!AT2+up_Irr!BR2)),IF(AND(up_Irr!V2=".",up_Irr!AT2=".",up_Irr!BR2&lt;&gt;"."),up_dir!W2/((1/1000)*(up_Irr!BR2)),IF(AND(up_Irr!V2=".",up_Irr!AT2&lt;&gt;".",up_Irr!BR2="."),up_dir!W2/((1/1000)*(up_Irr!AT2)),IF(AND(up_Irr!V2&lt;&gt;".",up_Irr!AT2=".",up_Irr!BR2="."),up_dir!W2/((1/1000)*(up_Irr!V2)),IF(AND(up_Irr!V2=".",up_Irr!AT2=".",up_Irr!BR2="."),up_dir!W2*1000)))))))),".")</f>
        <v>6.5773651144152131E-4</v>
      </c>
      <c r="X2" s="48">
        <f>IFERROR(IF(AND(up_Irr!W2&lt;&gt;".",up_Irr!AU2&lt;&gt;".",up_Irr!BS2&lt;&gt;"."),up_dir!X2/((1/1000)*(up_Irr!W2+up_Irr!AU2+up_Irr!BS2)),IF(AND(up_Irr!W2&lt;&gt;".",up_Irr!AU2&lt;&gt;".",up_Irr!BS2="."),up_dir!X2/((1/1000)*(up_Irr!W2+up_Irr!AU2)),IF(AND(up_Irr!W2&lt;&gt;".",up_Irr!AU2=".",up_Irr!BS2&lt;&gt;"."),up_dir!X2/((1/1000)*(up_Irr!W2+up_Irr!BS2)),IF(AND(up_Irr!W2=".",up_Irr!AU2&lt;&gt;".",up_Irr!BS2&lt;&gt;"."),up_dir!X2/((1/1000)*(up_Irr!AU2+up_Irr!BS2)),IF(AND(up_Irr!W2=".",up_Irr!AU2=".",up_Irr!BS2&lt;&gt;"."),up_dir!X2/((1/1000)*(up_Irr!BS2)),IF(AND(up_Irr!W2=".",up_Irr!AU2&lt;&gt;".",up_Irr!BS2="."),up_dir!X2/((1/1000)*(up_Irr!AU2)),IF(AND(up_Irr!W2&lt;&gt;".",up_Irr!AU2=".",up_Irr!BS2="."),up_dir!X2/((1/1000)*(up_Irr!W2)),IF(AND(up_Irr!W2=".",up_Irr!AU2=".",up_Irr!BS2="."),up_dir!X2*1000)))))))),".")</f>
        <v>6.5773651144152131E-4</v>
      </c>
      <c r="Y2" s="48">
        <f>IFERROR(IF(AND(up_Irr!X2&lt;&gt;".",up_Irr!AV2&lt;&gt;".",up_Irr!BT2&lt;&gt;"."),up_dir!Y2/((1/1000)*(up_Irr!X2+up_Irr!AV2+up_Irr!BT2)),IF(AND(up_Irr!X2&lt;&gt;".",up_Irr!AV2&lt;&gt;".",up_Irr!BT2="."),up_dir!Y2/((1/1000)*(up_Irr!X2+up_Irr!AV2)),IF(AND(up_Irr!X2&lt;&gt;".",up_Irr!AV2=".",up_Irr!BT2&lt;&gt;"."),up_dir!Y2/((1/1000)*(up_Irr!X2+up_Irr!BT2)),IF(AND(up_Irr!X2=".",up_Irr!AV2&lt;&gt;".",up_Irr!BT2&lt;&gt;"."),up_dir!Y2/((1/1000)*(up_Irr!AV2+up_Irr!BT2)),IF(AND(up_Irr!X2=".",up_Irr!AV2=".",up_Irr!BT2&lt;&gt;"."),up_dir!Y2/((1/1000)*(up_Irr!BT2)),IF(AND(up_Irr!X2=".",up_Irr!AV2&lt;&gt;".",up_Irr!BT2="."),up_dir!Y2/((1/1000)*(up_Irr!AV2)),IF(AND(up_Irr!X2&lt;&gt;".",up_Irr!AV2=".",up_Irr!BT2="."),up_dir!Y2/((1/1000)*(up_Irr!X2)),IF(AND(up_Irr!X2=".",up_Irr!AV2=".",up_Irr!BT2="."),up_dir!Y2*1000)))))))),".")</f>
        <v>6.5773651144152131E-4</v>
      </c>
      <c r="Z2" s="48">
        <f>IFERROR(IF(AND(up_Irr!Y2&lt;&gt;".",up_Irr!AW2&lt;&gt;".",up_Irr!BU2&lt;&gt;"."),up_dir!Z2/((1/1000)*(up_Irr!Y2+up_Irr!AW2+up_Irr!BU2)),IF(AND(up_Irr!Y2&lt;&gt;".",up_Irr!AW2&lt;&gt;".",up_Irr!BU2="."),up_dir!Z2/((1/1000)*(up_Irr!Y2+up_Irr!AW2)),IF(AND(up_Irr!Y2&lt;&gt;".",up_Irr!AW2=".",up_Irr!BU2&lt;&gt;"."),up_dir!Z2/((1/1000)*(up_Irr!Y2+up_Irr!BU2)),IF(AND(up_Irr!Y2=".",up_Irr!AW2&lt;&gt;".",up_Irr!BU2&lt;&gt;"."),up_dir!Z2/((1/1000)*(up_Irr!AW2+up_Irr!BU2)),IF(AND(up_Irr!Y2=".",up_Irr!AW2=".",up_Irr!BU2&lt;&gt;"."),up_dir!Z2/((1/1000)*(up_Irr!BU2)),IF(AND(up_Irr!Y2=".",up_Irr!AW2&lt;&gt;".",up_Irr!BU2="."),up_dir!Z2/((1/1000)*(up_Irr!AW2)),IF(AND(up_Irr!Y2&lt;&gt;".",up_Irr!AW2=".",up_Irr!BU2="."),up_dir!Z2/((1/1000)*(up_Irr!Y2)),IF(AND(up_Irr!Y2=".",up_Irr!AW2=".",up_Irr!BU2="."),up_dir!Z2*1000)))))))),".")</f>
        <v>6.5773651144152131E-4</v>
      </c>
      <c r="AA2" s="48">
        <f>IFERROR(IF(AND(up_Irr!Z2&lt;&gt;".",up_Irr!AX2&lt;&gt;".",up_Irr!BV2&lt;&gt;"."),up_dir!AA2/((1/1000)*(up_Irr!Z2+up_Irr!AX2+up_Irr!BV2)),IF(AND(up_Irr!Z2&lt;&gt;".",up_Irr!AX2&lt;&gt;".",up_Irr!BV2="."),up_dir!AA2/((1/1000)*(up_Irr!Z2+up_Irr!AX2)),IF(AND(up_Irr!Z2&lt;&gt;".",up_Irr!AX2=".",up_Irr!BV2&lt;&gt;"."),up_dir!AA2/((1/1000)*(up_Irr!Z2+up_Irr!BV2)),IF(AND(up_Irr!Z2=".",up_Irr!AX2&lt;&gt;".",up_Irr!BV2&lt;&gt;"."),up_dir!AA2/((1/1000)*(up_Irr!AX2+up_Irr!BV2)),IF(AND(up_Irr!Z2=".",up_Irr!AX2=".",up_Irr!BV2&lt;&gt;"."),up_dir!AA2/((1/1000)*(up_Irr!BV2)),IF(AND(up_Irr!Z2=".",up_Irr!AX2&lt;&gt;".",up_Irr!BV2="."),up_dir!AA2/((1/1000)*(up_Irr!AX2)),IF(AND(up_Irr!Z2&lt;&gt;".",up_Irr!AX2=".",up_Irr!BV2="."),up_dir!AA2/((1/1000)*(up_Irr!Z2)),IF(AND(up_Irr!Z2=".",up_Irr!AX2=".",up_Irr!BV2="."),up_dir!AA2*1000)))))))),".")</f>
        <v>6.5773651144152131E-4</v>
      </c>
      <c r="AB2" s="62">
        <f>SUM(AC2,AY2:AZ2)</f>
        <v>22805.4847785862</v>
      </c>
      <c r="AC2" s="62">
        <f>IFERROR(s_C*s_IFAP_res_adj*s_CF_apple*0.001*(up_Irr!C2+up_Irr!AA2+up_Irr!AY2),".")</f>
        <v>7601.8282595287337</v>
      </c>
      <c r="AD2" s="62">
        <f>IFERROR(s_C*s_IFAS_res_adj*s_CF_asparagus*0.001*(up_Irr!D2+up_Irr!AB2+up_Irr!AZ2),".")</f>
        <v>7601.8282595287337</v>
      </c>
      <c r="AE2" s="62">
        <f>IFERROR(s_C*s_IFBT_res_adj*s_CF_beet*0.001*(up_Irr!E2+up_Irr!AC2+up_Irr!BA2),".")</f>
        <v>7601.8282595287337</v>
      </c>
      <c r="AF2" s="62">
        <f>IFERROR(s_C*s_IFBE_res_adj*s_CF_berries*0.001*(up_Irr!F2+up_Irr!AD2+up_Irr!BB2),".")</f>
        <v>7601.8282595287337</v>
      </c>
      <c r="AG2" s="62">
        <f>IFERROR(s_C*s_IFBR_res_adj*s_CF_broccoli*0.001*(up_Irr!G2+up_Irr!AE2+up_Irr!BC2),".")</f>
        <v>7601.8282595287337</v>
      </c>
      <c r="AH2" s="62">
        <f>IFERROR(s_C*s_IFCB_res_adj*s_CF_cabbage*0.001*(up_Irr!H2+up_Irr!AF2+up_Irr!BD2),".")</f>
        <v>7601.8282595287337</v>
      </c>
      <c r="AI2" s="62">
        <f>IFERROR(s_C*s_IFCR_res_adj*s_CF_carrot*0.001*(up_Irr!I2+up_Irr!AG2+up_Irr!BE2),".")</f>
        <v>7601.8282595287337</v>
      </c>
      <c r="AJ2" s="62">
        <f>IFERROR(s_C*s_IFCI_res_adj*s_CF_citrus*0.001*(up_Irr!J2+up_Irr!AH2+up_Irr!BF2),".")</f>
        <v>7601.8282595287337</v>
      </c>
      <c r="AK2" s="62">
        <f>IFERROR(s_C*s_IFCO_res_adj*s_CF_corn*0.001*(up_Irr!K2+up_Irr!AI2+up_Irr!BG2),".")</f>
        <v>7601.8282595287337</v>
      </c>
      <c r="AL2" s="62">
        <f>IFERROR(s_C*s_IFCU_res_adj*s_CF_cucumber*0.001*(up_Irr!L2+up_Irr!AJ2+up_Irr!BH2),".")</f>
        <v>7601.8282595287337</v>
      </c>
      <c r="AM2" s="62">
        <f>IFERROR(s_C*s_IFLE_res_adj*s_CF_lettuce*0.001*(up_Irr!M2+up_Irr!AK2+up_Irr!BI2),".")</f>
        <v>7601.8282595287337</v>
      </c>
      <c r="AN2" s="62">
        <f>IFERROR(s_C*s_IFLI_res_adj*s_CF_lima_bean*0.001*(up_Irr!N2+up_Irr!AL2+up_Irr!BJ2),".")</f>
        <v>7601.8282595287337</v>
      </c>
      <c r="AO2" s="62">
        <f>IFERROR(s_C*s_IFOK_res_adj*s_CF_okra*0.001*(up_Irr!O2+up_Irr!AM2+up_Irr!BK2),".")</f>
        <v>7601.8282595287337</v>
      </c>
      <c r="AP2" s="62">
        <f>IFERROR(s_C*s_IFON_res_adj*s_CF_onion*0.001*(up_Irr!P2+up_Irr!AN2+up_Irr!BL2),".")</f>
        <v>7601.8282595287337</v>
      </c>
      <c r="AQ2" s="62">
        <f>IFERROR(s_C*s_IFPC_res_adj*s_CF_peach*0.001*(up_Irr!Q2+up_Irr!AO2+up_Irr!BM2),".")</f>
        <v>7601.8282595287337</v>
      </c>
      <c r="AR2" s="62">
        <f>IFERROR(s_C*s_IFPR_res_adj*s_CF_pear*0.001*(up_Irr!R2+up_Irr!AP2+up_Irr!BN2),".")</f>
        <v>7601.8282595287337</v>
      </c>
      <c r="AS2" s="62">
        <f>IFERROR(s_C*s_IFPE_res_adj*s_CF_peas*0.001*(up_Irr!S2+up_Irr!AQ2+up_Irr!BO2),".")</f>
        <v>7601.8282595287337</v>
      </c>
      <c r="AT2" s="62">
        <f>IFERROR(s_C*s_IFPT_res_adj*s_CF_potato*0.001*(up_Irr!T2+up_Irr!AR2+up_Irr!BP2),".")</f>
        <v>7601.8282595287337</v>
      </c>
      <c r="AU2" s="62">
        <f>IFERROR(s_C*s_IFPU_res_adj*s_CF_pumpkin*0.001*(up_Irr!U2+up_Irr!AS2+up_Irr!BQ2),".")</f>
        <v>7601.8282595287337</v>
      </c>
      <c r="AV2" s="62">
        <f>IFERROR(s_C*s_IFSN_res_adj*s_CF_snap_bean*0.001*(up_Irr!V2+up_Irr!AT2+up_Irr!BR2),".")</f>
        <v>7601.8282595287337</v>
      </c>
      <c r="AW2" s="62">
        <f>IFERROR(s_C*s_IFST_res_adj*s_CF_strawberry*0.001*(up_Irr!W2+up_Irr!AU2+up_Irr!BS2),".")</f>
        <v>7601.8282595287337</v>
      </c>
      <c r="AX2" s="62">
        <f>IFERROR(s_C*s_IFTO_res_adj*s_CF_tomato*0.001*(up_Irr!X2+up_Irr!AV2+up_Irr!BT2),".")</f>
        <v>7601.8282595287337</v>
      </c>
      <c r="AY2" s="62">
        <f>IFERROR(s_C*s_IFRI_res_adj*s_CF_rice*0.001*(up_Irr!Y2+up_Irr!AW2+up_Irr!BU2),".")</f>
        <v>7601.8282595287337</v>
      </c>
      <c r="AZ2" s="62">
        <f>IFERROR(s_C*s_IFCG_res_adj*s_CF_cereal*0.001*(up_Irr!Z2+up_Irr!AX2+up_Irr!BV2),".")</f>
        <v>7601.8282595287337</v>
      </c>
      <c r="BA2" s="48">
        <f>IFERROR(1/SUM(1/BB2,1/BX2,1/BY2),".")</f>
        <v>2.1924550381384044E-4</v>
      </c>
      <c r="BB2" s="48">
        <f>IFERROR(IF(AND(up_Irr!C2&lt;&gt;".",up_Irr!AA2&lt;&gt;".",up_Irr!AY2&lt;&gt;"."),up_dir!AC2/((1/1000)*(up_Irr!C2+up_Irr!AA2+up_Irr!AY2)),IF(AND(up_Irr!C2&lt;&gt;".",up_Irr!AA2&lt;&gt;".",up_Irr!AY2="."),up_dir!AC2/((1/1000)*(up_Irr!C2+up_Irr!AA2)),IF(AND(up_Irr!C2&lt;&gt;".",up_Irr!AA2=".",up_Irr!AY2&lt;&gt;"."),up_dir!AC2/((1/1000)*(up_Irr!C2+up_Irr!AY2)),IF(AND(up_Irr!C2=".",up_Irr!AA2&lt;&gt;".",up_Irr!AY2&lt;&gt;"."),up_dir!AC2/((1/1000)*(up_Irr!AA2+up_Irr!AY2)),IF(AND(up_Irr!C2=".",up_Irr!AA2=".",up_Irr!AY2&lt;&gt;"."),up_dir!AC2/((1/1000)*(up_Irr!AY2)),IF(AND(up_Irr!C2=".",up_Irr!AA2&lt;&gt;".",up_Irr!AY2="."),up_dir!AC2/((1/1000)*(up_Irr!AA2)),IF(AND(up_Irr!C2&lt;&gt;".",up_Irr!AA2=".",up_Irr!AY2="."),up_dir!AC2/((1/1000)*(up_Irr!C2)),IF(AND(up_Irr!C2=".",up_Irr!AA2=".",up_Irr!AY2="."),up_dir!AC2*1000)))))))),".")</f>
        <v>6.5773651144152131E-4</v>
      </c>
      <c r="BC2" s="48">
        <f>IFERROR(IF(AND(up_Irr!D2&lt;&gt;".",up_Irr!AB2&lt;&gt;".",up_Irr!AZ2&lt;&gt;"."),up_dir!AD2/((1/1000)*(up_Irr!D2+up_Irr!AB2+up_Irr!AZ2)),IF(AND(up_Irr!D2&lt;&gt;".",up_Irr!AB2&lt;&gt;".",up_Irr!AZ2="."),up_dir!AD2/((1/1000)*(up_Irr!D2+up_Irr!AB2)),IF(AND(up_Irr!D2&lt;&gt;".",up_Irr!AB2=".",up_Irr!AZ2&lt;&gt;"."),up_dir!AD2/((1/1000)*(up_Irr!D2+up_Irr!AZ2)),IF(AND(up_Irr!D2=".",up_Irr!AB2&lt;&gt;".",up_Irr!AZ2&lt;&gt;"."),up_dir!AD2/((1/1000)*(up_Irr!AB2+up_Irr!AZ2)),IF(AND(up_Irr!D2=".",up_Irr!AB2=".",up_Irr!AZ2&lt;&gt;"."),up_dir!AD2/((1/1000)*(up_Irr!AZ2)),IF(AND(up_Irr!D2=".",up_Irr!AB2&lt;&gt;".",up_Irr!AZ2="."),up_dir!AD2/((1/1000)*(up_Irr!AB2)),IF(AND(up_Irr!D2&lt;&gt;".",up_Irr!AB2=".",up_Irr!AZ2="."),up_dir!AD2/((1/1000)*(up_Irr!D2)),IF(AND(up_Irr!D2=".",up_Irr!AB2=".",up_Irr!AZ2="."),up_dir!AD2*1000)))))))),".")</f>
        <v>6.5773651144152131E-4</v>
      </c>
      <c r="BD2" s="48">
        <f>IFERROR(IF(AND(up_Irr!E2&lt;&gt;".",up_Irr!AC2&lt;&gt;".",up_Irr!BA2&lt;&gt;"."),up_dir!AE2/((1/1000)*(up_Irr!E2+up_Irr!AC2+up_Irr!BA2)),IF(AND(up_Irr!E2&lt;&gt;".",up_Irr!AC2&lt;&gt;".",up_Irr!BA2="."),up_dir!AE2/((1/1000)*(up_Irr!E2+up_Irr!AC2)),IF(AND(up_Irr!E2&lt;&gt;".",up_Irr!AC2=".",up_Irr!BA2&lt;&gt;"."),up_dir!AE2/((1/1000)*(up_Irr!E2+up_Irr!BA2)),IF(AND(up_Irr!E2=".",up_Irr!AC2&lt;&gt;".",up_Irr!BA2&lt;&gt;"."),up_dir!AE2/((1/1000)*(up_Irr!AC2+up_Irr!BA2)),IF(AND(up_Irr!E2=".",up_Irr!AC2=".",up_Irr!BA2&lt;&gt;"."),up_dir!AE2/((1/1000)*(up_Irr!BA2)),IF(AND(up_Irr!E2=".",up_Irr!AC2&lt;&gt;".",up_Irr!BA2="."),up_dir!AE2/((1/1000)*(up_Irr!AC2)),IF(AND(up_Irr!E2&lt;&gt;".",up_Irr!AC2=".",up_Irr!BA2="."),up_dir!AE2/((1/1000)*(up_Irr!E2)),IF(AND(up_Irr!E2=".",up_Irr!AC2=".",up_Irr!BA2="."),up_dir!AE2*1000)))))))),".")</f>
        <v>6.5773651144152131E-4</v>
      </c>
      <c r="BE2" s="48">
        <f>IFERROR(IF(AND(up_Irr!F2&lt;&gt;".",up_Irr!AD2&lt;&gt;".",up_Irr!BB2&lt;&gt;"."),up_dir!AF2/((1/1000)*(up_Irr!F2+up_Irr!AD2+up_Irr!BB2)),IF(AND(up_Irr!F2&lt;&gt;".",up_Irr!AD2&lt;&gt;".",up_Irr!BB2="."),up_dir!AF2/((1/1000)*(up_Irr!F2+up_Irr!AD2)),IF(AND(up_Irr!F2&lt;&gt;".",up_Irr!AD2=".",up_Irr!BB2&lt;&gt;"."),up_dir!AF2/((1/1000)*(up_Irr!F2+up_Irr!BB2)),IF(AND(up_Irr!F2=".",up_Irr!AD2&lt;&gt;".",up_Irr!BB2&lt;&gt;"."),up_dir!AF2/((1/1000)*(up_Irr!AD2+up_Irr!BB2)),IF(AND(up_Irr!F2=".",up_Irr!AD2=".",up_Irr!BB2&lt;&gt;"."),up_dir!AF2/((1/1000)*(up_Irr!BB2)),IF(AND(up_Irr!F2=".",up_Irr!AD2&lt;&gt;".",up_Irr!BB2="."),up_dir!AF2/((1/1000)*(up_Irr!AD2)),IF(AND(up_Irr!F2&lt;&gt;".",up_Irr!AD2=".",up_Irr!BB2="."),up_dir!AF2/((1/1000)*(up_Irr!F2)),IF(AND(up_Irr!F2=".",up_Irr!AD2=".",up_Irr!BB2="."),up_dir!AF2*1000)))))))),".")</f>
        <v>6.5773651144152131E-4</v>
      </c>
      <c r="BF2" s="48">
        <f>IFERROR(IF(AND(up_Irr!G2&lt;&gt;".",up_Irr!AE2&lt;&gt;".",up_Irr!BC2&lt;&gt;"."),up_dir!AG2/((1/1000)*(up_Irr!G2+up_Irr!AE2+up_Irr!BC2)),IF(AND(up_Irr!G2&lt;&gt;".",up_Irr!AE2&lt;&gt;".",up_Irr!BC2="."),up_dir!AG2/((1/1000)*(up_Irr!G2+up_Irr!AE2)),IF(AND(up_Irr!G2&lt;&gt;".",up_Irr!AE2=".",up_Irr!BC2&lt;&gt;"."),up_dir!AG2/((1/1000)*(up_Irr!G2+up_Irr!BC2)),IF(AND(up_Irr!G2=".",up_Irr!AE2&lt;&gt;".",up_Irr!BC2&lt;&gt;"."),up_dir!AG2/((1/1000)*(up_Irr!AE2+up_Irr!BC2)),IF(AND(up_Irr!G2=".",up_Irr!AE2=".",up_Irr!BC2&lt;&gt;"."),up_dir!AG2/((1/1000)*(up_Irr!BC2)),IF(AND(up_Irr!G2=".",up_Irr!AE2&lt;&gt;".",up_Irr!BC2="."),up_dir!AG2/((1/1000)*(up_Irr!AE2)),IF(AND(up_Irr!G2&lt;&gt;".",up_Irr!AE2=".",up_Irr!BC2="."),up_dir!AG2/((1/1000)*(up_Irr!G2)),IF(AND(up_Irr!G2=".",up_Irr!AE2=".",up_Irr!BC2="."),up_dir!AG2*1000)))))))),".")</f>
        <v>6.5773651144152131E-4</v>
      </c>
      <c r="BG2" s="48">
        <f>IFERROR(IF(AND(up_Irr!H2&lt;&gt;".",up_Irr!AF2&lt;&gt;".",up_Irr!BD2&lt;&gt;"."),up_dir!AH2/((1/1000)*(up_Irr!H2+up_Irr!AF2+up_Irr!BD2)),IF(AND(up_Irr!H2&lt;&gt;".",up_Irr!AF2&lt;&gt;".",up_Irr!BD2="."),up_dir!AH2/((1/1000)*(up_Irr!H2+up_Irr!AF2)),IF(AND(up_Irr!H2&lt;&gt;".",up_Irr!AF2=".",up_Irr!BD2&lt;&gt;"."),up_dir!AH2/((1/1000)*(up_Irr!H2+up_Irr!BD2)),IF(AND(up_Irr!H2=".",up_Irr!AF2&lt;&gt;".",up_Irr!BD2&lt;&gt;"."),up_dir!AH2/((1/1000)*(up_Irr!AF2+up_Irr!BD2)),IF(AND(up_Irr!H2=".",up_Irr!AF2=".",up_Irr!BD2&lt;&gt;"."),up_dir!AH2/((1/1000)*(up_Irr!BD2)),IF(AND(up_Irr!H2=".",up_Irr!AF2&lt;&gt;".",up_Irr!BD2="."),up_dir!AH2/((1/1000)*(up_Irr!AF2)),IF(AND(up_Irr!H2&lt;&gt;".",up_Irr!AF2=".",up_Irr!BD2="."),up_dir!AH2/((1/1000)*(up_Irr!H2)),IF(AND(up_Irr!H2=".",up_Irr!AF2=".",up_Irr!BD2="."),up_dir!AH2*1000)))))))),".")</f>
        <v>6.5773651144152131E-4</v>
      </c>
      <c r="BH2" s="48">
        <f>IFERROR(IF(AND(up_Irr!I2&lt;&gt;".",up_Irr!AG2&lt;&gt;".",up_Irr!BE2&lt;&gt;"."),up_dir!AI2/((1/1000)*(up_Irr!I2+up_Irr!AG2+up_Irr!BE2)),IF(AND(up_Irr!I2&lt;&gt;".",up_Irr!AG2&lt;&gt;".",up_Irr!BE2="."),up_dir!AI2/((1/1000)*(up_Irr!I2+up_Irr!AG2)),IF(AND(up_Irr!I2&lt;&gt;".",up_Irr!AG2=".",up_Irr!BE2&lt;&gt;"."),up_dir!AI2/((1/1000)*(up_Irr!I2+up_Irr!BE2)),IF(AND(up_Irr!I2=".",up_Irr!AG2&lt;&gt;".",up_Irr!BE2&lt;&gt;"."),up_dir!AI2/((1/1000)*(up_Irr!AG2+up_Irr!BE2)),IF(AND(up_Irr!I2=".",up_Irr!AG2=".",up_Irr!BE2&lt;&gt;"."),up_dir!AI2/((1/1000)*(up_Irr!BE2)),IF(AND(up_Irr!I2=".",up_Irr!AG2&lt;&gt;".",up_Irr!BE2="."),up_dir!AI2/((1/1000)*(up_Irr!AG2)),IF(AND(up_Irr!I2&lt;&gt;".",up_Irr!AG2=".",up_Irr!BE2="."),up_dir!AI2/((1/1000)*(up_Irr!I2)),IF(AND(up_Irr!I2=".",up_Irr!AG2=".",up_Irr!BE2="."),up_dir!AI2*1000)))))))),".")</f>
        <v>6.5773651144152131E-4</v>
      </c>
      <c r="BI2" s="48">
        <f>IFERROR(IF(AND(up_Irr!J2&lt;&gt;".",up_Irr!AH2&lt;&gt;".",up_Irr!BF2&lt;&gt;"."),up_dir!AJ2/((1/1000)*(up_Irr!J2+up_Irr!AH2+up_Irr!BF2)),IF(AND(up_Irr!J2&lt;&gt;".",up_Irr!AH2&lt;&gt;".",up_Irr!BF2="."),up_dir!AJ2/((1/1000)*(up_Irr!J2+up_Irr!AH2)),IF(AND(up_Irr!J2&lt;&gt;".",up_Irr!AH2=".",up_Irr!BF2&lt;&gt;"."),up_dir!AJ2/((1/1000)*(up_Irr!J2+up_Irr!BF2)),IF(AND(up_Irr!J2=".",up_Irr!AH2&lt;&gt;".",up_Irr!BF2&lt;&gt;"."),up_dir!AJ2/((1/1000)*(up_Irr!AH2+up_Irr!BF2)),IF(AND(up_Irr!J2=".",up_Irr!AH2=".",up_Irr!BF2&lt;&gt;"."),up_dir!AJ2/((1/1000)*(up_Irr!BF2)),IF(AND(up_Irr!J2=".",up_Irr!AH2&lt;&gt;".",up_Irr!BF2="."),up_dir!AJ2/((1/1000)*(up_Irr!AH2)),IF(AND(up_Irr!J2&lt;&gt;".",up_Irr!AH2=".",up_Irr!BF2="."),up_dir!AJ2/((1/1000)*(up_Irr!J2)),IF(AND(up_Irr!J2=".",up_Irr!AH2=".",up_Irr!BF2="."),up_dir!AJ2*1000)))))))),".")</f>
        <v>6.5773651144152131E-4</v>
      </c>
      <c r="BJ2" s="48">
        <f>IFERROR(IF(AND(up_Irr!K2&lt;&gt;".",up_Irr!AI2&lt;&gt;".",up_Irr!BG2&lt;&gt;"."),up_dir!AK2/((1/1000)*(up_Irr!K2+up_Irr!AI2+up_Irr!BG2)),IF(AND(up_Irr!K2&lt;&gt;".",up_Irr!AI2&lt;&gt;".",up_Irr!BG2="."),up_dir!AK2/((1/1000)*(up_Irr!K2+up_Irr!AI2)),IF(AND(up_Irr!K2&lt;&gt;".",up_Irr!AI2=".",up_Irr!BG2&lt;&gt;"."),up_dir!AK2/((1/1000)*(up_Irr!K2+up_Irr!BG2)),IF(AND(up_Irr!K2=".",up_Irr!AI2&lt;&gt;".",up_Irr!BG2&lt;&gt;"."),up_dir!AK2/((1/1000)*(up_Irr!AI2+up_Irr!BG2)),IF(AND(up_Irr!K2=".",up_Irr!AI2=".",up_Irr!BG2&lt;&gt;"."),up_dir!AK2/((1/1000)*(up_Irr!BG2)),IF(AND(up_Irr!K2=".",up_Irr!AI2&lt;&gt;".",up_Irr!BG2="."),up_dir!AK2/((1/1000)*(up_Irr!AI2)),IF(AND(up_Irr!K2&lt;&gt;".",up_Irr!AI2=".",up_Irr!BG2="."),up_dir!AK2/((1/1000)*(up_Irr!K2)),IF(AND(up_Irr!K2=".",up_Irr!AI2=".",up_Irr!BG2="."),up_dir!AK2*1000)))))))),".")</f>
        <v>6.5773651144152131E-4</v>
      </c>
      <c r="BK2" s="48">
        <f>IFERROR(IF(AND(up_Irr!L2&lt;&gt;".",up_Irr!AJ2&lt;&gt;".",up_Irr!BH2&lt;&gt;"."),up_dir!AL2/((1/1000)*(up_Irr!L2+up_Irr!AJ2+up_Irr!BH2)),IF(AND(up_Irr!L2&lt;&gt;".",up_Irr!AJ2&lt;&gt;".",up_Irr!BH2="."),up_dir!AL2/((1/1000)*(up_Irr!L2+up_Irr!AJ2)),IF(AND(up_Irr!L2&lt;&gt;".",up_Irr!AJ2=".",up_Irr!BH2&lt;&gt;"."),up_dir!AL2/((1/1000)*(up_Irr!L2+up_Irr!BH2)),IF(AND(up_Irr!L2=".",up_Irr!AJ2&lt;&gt;".",up_Irr!BH2&lt;&gt;"."),up_dir!AL2/((1/1000)*(up_Irr!AJ2+up_Irr!BH2)),IF(AND(up_Irr!L2=".",up_Irr!AJ2=".",up_Irr!BH2&lt;&gt;"."),up_dir!AL2/((1/1000)*(up_Irr!BH2)),IF(AND(up_Irr!L2=".",up_Irr!AJ2&lt;&gt;".",up_Irr!BH2="."),up_dir!AL2/((1/1000)*(up_Irr!AJ2)),IF(AND(up_Irr!L2&lt;&gt;".",up_Irr!AJ2=".",up_Irr!BH2="."),up_dir!AL2/((1/1000)*(up_Irr!L2)),IF(AND(up_Irr!L2=".",up_Irr!AJ2=".",up_Irr!BH2="."),up_dir!AL2*1000)))))))),".")</f>
        <v>6.5773651144152131E-4</v>
      </c>
      <c r="BL2" s="48">
        <f>IFERROR(IF(AND(up_Irr!M2&lt;&gt;".",up_Irr!AK2&lt;&gt;".",up_Irr!BI2&lt;&gt;"."),up_dir!AM2/((1/1000)*(up_Irr!M2+up_Irr!AK2+up_Irr!BI2)),IF(AND(up_Irr!M2&lt;&gt;".",up_Irr!AK2&lt;&gt;".",up_Irr!BI2="."),up_dir!AM2/((1/1000)*(up_Irr!M2+up_Irr!AK2)),IF(AND(up_Irr!M2&lt;&gt;".",up_Irr!AK2=".",up_Irr!BI2&lt;&gt;"."),up_dir!AM2/((1/1000)*(up_Irr!M2+up_Irr!BI2)),IF(AND(up_Irr!M2=".",up_Irr!AK2&lt;&gt;".",up_Irr!BI2&lt;&gt;"."),up_dir!AM2/((1/1000)*(up_Irr!AK2+up_Irr!BI2)),IF(AND(up_Irr!M2=".",up_Irr!AK2=".",up_Irr!BI2&lt;&gt;"."),up_dir!AM2/((1/1000)*(up_Irr!BI2)),IF(AND(up_Irr!M2=".",up_Irr!AK2&lt;&gt;".",up_Irr!BI2="."),up_dir!AM2/((1/1000)*(up_Irr!AK2)),IF(AND(up_Irr!M2&lt;&gt;".",up_Irr!AK2=".",up_Irr!BI2="."),up_dir!AM2/((1/1000)*(up_Irr!M2)),IF(AND(up_Irr!M2=".",up_Irr!AK2=".",up_Irr!BI2="."),up_dir!AM2*1000)))))))),".")</f>
        <v>6.5773651144152131E-4</v>
      </c>
      <c r="BM2" s="48">
        <f>IFERROR(IF(AND(up_Irr!N2&lt;&gt;".",up_Irr!AL2&lt;&gt;".",up_Irr!BJ2&lt;&gt;"."),up_dir!AN2/((1/1000)*(up_Irr!N2+up_Irr!AL2+up_Irr!BJ2)),IF(AND(up_Irr!N2&lt;&gt;".",up_Irr!AL2&lt;&gt;".",up_Irr!BJ2="."),up_dir!AN2/((1/1000)*(up_Irr!N2+up_Irr!AL2)),IF(AND(up_Irr!N2&lt;&gt;".",up_Irr!AL2=".",up_Irr!BJ2&lt;&gt;"."),up_dir!AN2/((1/1000)*(up_Irr!N2+up_Irr!BJ2)),IF(AND(up_Irr!N2=".",up_Irr!AL2&lt;&gt;".",up_Irr!BJ2&lt;&gt;"."),up_dir!AN2/((1/1000)*(up_Irr!AL2+up_Irr!BJ2)),IF(AND(up_Irr!N2=".",up_Irr!AL2=".",up_Irr!BJ2&lt;&gt;"."),up_dir!AN2/((1/1000)*(up_Irr!BJ2)),IF(AND(up_Irr!N2=".",up_Irr!AL2&lt;&gt;".",up_Irr!BJ2="."),up_dir!AN2/((1/1000)*(up_Irr!AL2)),IF(AND(up_Irr!N2&lt;&gt;".",up_Irr!AL2=".",up_Irr!BJ2="."),up_dir!AN2/((1/1000)*(up_Irr!N2)),IF(AND(up_Irr!N2=".",up_Irr!AL2=".",up_Irr!BJ2="."),up_dir!AN2*1000)))))))),".")</f>
        <v>6.5773651144152131E-4</v>
      </c>
      <c r="BN2" s="48">
        <f>IFERROR(IF(AND(up_Irr!O2&lt;&gt;".",up_Irr!AM2&lt;&gt;".",up_Irr!BK2&lt;&gt;"."),up_dir!AO2/((1/1000)*(up_Irr!O2+up_Irr!AM2+up_Irr!BK2)),IF(AND(up_Irr!O2&lt;&gt;".",up_Irr!AM2&lt;&gt;".",up_Irr!BK2="."),up_dir!AO2/((1/1000)*(up_Irr!O2+up_Irr!AM2)),IF(AND(up_Irr!O2&lt;&gt;".",up_Irr!AM2=".",up_Irr!BK2&lt;&gt;"."),up_dir!AO2/((1/1000)*(up_Irr!O2+up_Irr!BK2)),IF(AND(up_Irr!O2=".",up_Irr!AM2&lt;&gt;".",up_Irr!BK2&lt;&gt;"."),up_dir!AO2/((1/1000)*(up_Irr!AM2+up_Irr!BK2)),IF(AND(up_Irr!O2=".",up_Irr!AM2=".",up_Irr!BK2&lt;&gt;"."),up_dir!AO2/((1/1000)*(up_Irr!BK2)),IF(AND(up_Irr!O2=".",up_Irr!AM2&lt;&gt;".",up_Irr!BK2="."),up_dir!AO2/((1/1000)*(up_Irr!AM2)),IF(AND(up_Irr!O2&lt;&gt;".",up_Irr!AM2=".",up_Irr!BK2="."),up_dir!AO2/((1/1000)*(up_Irr!O2)),IF(AND(up_Irr!O2=".",up_Irr!AM2=".",up_Irr!BK2="."),up_dir!AO2*1000)))))))),".")</f>
        <v>6.5773651144152131E-4</v>
      </c>
      <c r="BO2" s="48">
        <f>IFERROR(IF(AND(up_Irr!P2&lt;&gt;".",up_Irr!AN2&lt;&gt;".",up_Irr!BL2&lt;&gt;"."),up_dir!AP2/((1/1000)*(up_Irr!P2+up_Irr!AN2+up_Irr!BL2)),IF(AND(up_Irr!P2&lt;&gt;".",up_Irr!AN2&lt;&gt;".",up_Irr!BL2="."),up_dir!AP2/((1/1000)*(up_Irr!P2+up_Irr!AN2)),IF(AND(up_Irr!P2&lt;&gt;".",up_Irr!AN2=".",up_Irr!BL2&lt;&gt;"."),up_dir!AP2/((1/1000)*(up_Irr!P2+up_Irr!BL2)),IF(AND(up_Irr!P2=".",up_Irr!AN2&lt;&gt;".",up_Irr!BL2&lt;&gt;"."),up_dir!AP2/((1/1000)*(up_Irr!AN2+up_Irr!BL2)),IF(AND(up_Irr!P2=".",up_Irr!AN2=".",up_Irr!BL2&lt;&gt;"."),up_dir!AP2/((1/1000)*(up_Irr!BL2)),IF(AND(up_Irr!P2=".",up_Irr!AN2&lt;&gt;".",up_Irr!BL2="."),up_dir!AP2/((1/1000)*(up_Irr!AN2)),IF(AND(up_Irr!P2&lt;&gt;".",up_Irr!AN2=".",up_Irr!BL2="."),up_dir!AP2/((1/1000)*(up_Irr!P2)),IF(AND(up_Irr!P2=".",up_Irr!AN2=".",up_Irr!BL2="."),up_dir!AP2*1000)))))))),".")</f>
        <v>6.5773651144152131E-4</v>
      </c>
      <c r="BP2" s="48">
        <f>IFERROR(IF(AND(up_Irr!Q2&lt;&gt;".",up_Irr!AO2&lt;&gt;".",up_Irr!BM2&lt;&gt;"."),up_dir!AQ2/((1/1000)*(up_Irr!Q2+up_Irr!AO2+up_Irr!BM2)),IF(AND(up_Irr!Q2&lt;&gt;".",up_Irr!AO2&lt;&gt;".",up_Irr!BM2="."),up_dir!AQ2/((1/1000)*(up_Irr!Q2+up_Irr!AO2)),IF(AND(up_Irr!Q2&lt;&gt;".",up_Irr!AO2=".",up_Irr!BM2&lt;&gt;"."),up_dir!AQ2/((1/1000)*(up_Irr!Q2+up_Irr!BM2)),IF(AND(up_Irr!Q2=".",up_Irr!AO2&lt;&gt;".",up_Irr!BM2&lt;&gt;"."),up_dir!AQ2/((1/1000)*(up_Irr!AO2+up_Irr!BM2)),IF(AND(up_Irr!Q2=".",up_Irr!AO2=".",up_Irr!BM2&lt;&gt;"."),up_dir!AQ2/((1/1000)*(up_Irr!BM2)),IF(AND(up_Irr!Q2=".",up_Irr!AO2&lt;&gt;".",up_Irr!BM2="."),up_dir!AQ2/((1/1000)*(up_Irr!AO2)),IF(AND(up_Irr!Q2&lt;&gt;".",up_Irr!AO2=".",up_Irr!BM2="."),up_dir!AQ2/((1/1000)*(up_Irr!Q2)),IF(AND(up_Irr!Q2=".",up_Irr!AO2=".",up_Irr!BM2="."),up_dir!AQ2*1000)))))))),".")</f>
        <v>6.5773651144152131E-4</v>
      </c>
      <c r="BQ2" s="48">
        <f>IFERROR(IF(AND(up_Irr!R2&lt;&gt;".",up_Irr!AP2&lt;&gt;".",up_Irr!BN2&lt;&gt;"."),up_dir!AR2/((1/1000)*(up_Irr!R2+up_Irr!AP2+up_Irr!BN2)),IF(AND(up_Irr!R2&lt;&gt;".",up_Irr!AP2&lt;&gt;".",up_Irr!BN2="."),up_dir!AR2/((1/1000)*(up_Irr!R2+up_Irr!AP2)),IF(AND(up_Irr!R2&lt;&gt;".",up_Irr!AP2=".",up_Irr!BN2&lt;&gt;"."),up_dir!AR2/((1/1000)*(up_Irr!R2+up_Irr!BN2)),IF(AND(up_Irr!R2=".",up_Irr!AP2&lt;&gt;".",up_Irr!BN2&lt;&gt;"."),up_dir!AR2/((1/1000)*(up_Irr!AP2+up_Irr!BN2)),IF(AND(up_Irr!R2=".",up_Irr!AP2=".",up_Irr!BN2&lt;&gt;"."),up_dir!AR2/((1/1000)*(up_Irr!BN2)),IF(AND(up_Irr!R2=".",up_Irr!AP2&lt;&gt;".",up_Irr!BN2="."),up_dir!AR2/((1/1000)*(up_Irr!AP2)),IF(AND(up_Irr!R2&lt;&gt;".",up_Irr!AP2=".",up_Irr!BN2="."),up_dir!AR2/((1/1000)*(up_Irr!R2)),IF(AND(up_Irr!R2=".",up_Irr!AP2=".",up_Irr!BN2="."),up_dir!AR2*1000)))))))),".")</f>
        <v>6.5773651144152131E-4</v>
      </c>
      <c r="BR2" s="48">
        <f>IFERROR(IF(AND(up_Irr!S2&lt;&gt;".",up_Irr!AQ2&lt;&gt;".",up_Irr!BO2&lt;&gt;"."),up_dir!AS2/((1/1000)*(up_Irr!S2+up_Irr!AQ2+up_Irr!BO2)),IF(AND(up_Irr!S2&lt;&gt;".",up_Irr!AQ2&lt;&gt;".",up_Irr!BO2="."),up_dir!AS2/((1/1000)*(up_Irr!S2+up_Irr!AQ2)),IF(AND(up_Irr!S2&lt;&gt;".",up_Irr!AQ2=".",up_Irr!BO2&lt;&gt;"."),up_dir!AS2/((1/1000)*(up_Irr!S2+up_Irr!BO2)),IF(AND(up_Irr!S2=".",up_Irr!AQ2&lt;&gt;".",up_Irr!BO2&lt;&gt;"."),up_dir!AS2/((1/1000)*(up_Irr!AQ2+up_Irr!BO2)),IF(AND(up_Irr!S2=".",up_Irr!AQ2=".",up_Irr!BO2&lt;&gt;"."),up_dir!AS2/((1/1000)*(up_Irr!BO2)),IF(AND(up_Irr!S2=".",up_Irr!AQ2&lt;&gt;".",up_Irr!BO2="."),up_dir!AS2/((1/1000)*(up_Irr!AQ2)),IF(AND(up_Irr!S2&lt;&gt;".",up_Irr!AQ2=".",up_Irr!BO2="."),up_dir!AS2/((1/1000)*(up_Irr!S2)),IF(AND(up_Irr!S2=".",up_Irr!AQ2=".",up_Irr!BO2="."),up_dir!AS2*1000)))))))),".")</f>
        <v>6.5773651144152131E-4</v>
      </c>
      <c r="BS2" s="48">
        <f>IFERROR(IF(AND(up_Irr!T2&lt;&gt;".",up_Irr!AR2&lt;&gt;".",up_Irr!BP2&lt;&gt;"."),up_dir!AT2/((1/1000)*(up_Irr!T2+up_Irr!AR2+up_Irr!BP2)),IF(AND(up_Irr!T2&lt;&gt;".",up_Irr!AR2&lt;&gt;".",up_Irr!BP2="."),up_dir!AT2/((1/1000)*(up_Irr!T2+up_Irr!AR2)),IF(AND(up_Irr!T2&lt;&gt;".",up_Irr!AR2=".",up_Irr!BP2&lt;&gt;"."),up_dir!AT2/((1/1000)*(up_Irr!T2+up_Irr!BP2)),IF(AND(up_Irr!T2=".",up_Irr!AR2&lt;&gt;".",up_Irr!BP2&lt;&gt;"."),up_dir!AT2/((1/1000)*(up_Irr!AR2+up_Irr!BP2)),IF(AND(up_Irr!T2=".",up_Irr!AR2=".",up_Irr!BP2&lt;&gt;"."),up_dir!AT2/((1/1000)*(up_Irr!BP2)),IF(AND(up_Irr!T2=".",up_Irr!AR2&lt;&gt;".",up_Irr!BP2="."),up_dir!AT2/((1/1000)*(up_Irr!AR2)),IF(AND(up_Irr!T2&lt;&gt;".",up_Irr!AR2=".",up_Irr!BP2="."),up_dir!AT2/((1/1000)*(up_Irr!T2)),IF(AND(up_Irr!T2=".",up_Irr!AR2=".",up_Irr!BP2="."),up_dir!AT2*1000)))))))),".")</f>
        <v>6.5773651144152131E-4</v>
      </c>
      <c r="BT2" s="48">
        <f>IFERROR(IF(AND(up_Irr!U2&lt;&gt;".",up_Irr!AS2&lt;&gt;".",up_Irr!BQ2&lt;&gt;"."),up_dir!AU2/((1/1000)*(up_Irr!U2+up_Irr!AS2+up_Irr!BQ2)),IF(AND(up_Irr!U2&lt;&gt;".",up_Irr!AS2&lt;&gt;".",up_Irr!BQ2="."),up_dir!AU2/((1/1000)*(up_Irr!U2+up_Irr!AS2)),IF(AND(up_Irr!U2&lt;&gt;".",up_Irr!AS2=".",up_Irr!BQ2&lt;&gt;"."),up_dir!AU2/((1/1000)*(up_Irr!U2+up_Irr!BQ2)),IF(AND(up_Irr!U2=".",up_Irr!AS2&lt;&gt;".",up_Irr!BQ2&lt;&gt;"."),up_dir!AU2/((1/1000)*(up_Irr!AS2+up_Irr!BQ2)),IF(AND(up_Irr!U2=".",up_Irr!AS2=".",up_Irr!BQ2&lt;&gt;"."),up_dir!AU2/((1/1000)*(up_Irr!BQ2)),IF(AND(up_Irr!U2=".",up_Irr!AS2&lt;&gt;".",up_Irr!BQ2="."),up_dir!AU2/((1/1000)*(up_Irr!AS2)),IF(AND(up_Irr!U2&lt;&gt;".",up_Irr!AS2=".",up_Irr!BQ2="."),up_dir!AU2/((1/1000)*(up_Irr!U2)),IF(AND(up_Irr!U2=".",up_Irr!AS2=".",up_Irr!BQ2="."),up_dir!AU2*1000)))))))),".")</f>
        <v>6.5773651144152131E-4</v>
      </c>
      <c r="BU2" s="48">
        <f>IFERROR(IF(AND(up_Irr!V2&lt;&gt;".",up_Irr!AT2&lt;&gt;".",up_Irr!BR2&lt;&gt;"."),up_dir!AV2/((1/1000)*(up_Irr!V2+up_Irr!AT2+up_Irr!BR2)),IF(AND(up_Irr!V2&lt;&gt;".",up_Irr!AT2&lt;&gt;".",up_Irr!BR2="."),up_dir!AV2/((1/1000)*(up_Irr!V2+up_Irr!AT2)),IF(AND(up_Irr!V2&lt;&gt;".",up_Irr!AT2=".",up_Irr!BR2&lt;&gt;"."),up_dir!AV2/((1/1000)*(up_Irr!V2+up_Irr!BR2)),IF(AND(up_Irr!V2=".",up_Irr!AT2&lt;&gt;".",up_Irr!BR2&lt;&gt;"."),up_dir!AV2/((1/1000)*(up_Irr!AT2+up_Irr!BR2)),IF(AND(up_Irr!V2=".",up_Irr!AT2=".",up_Irr!BR2&lt;&gt;"."),up_dir!AV2/((1/1000)*(up_Irr!BR2)),IF(AND(up_Irr!V2=".",up_Irr!AT2&lt;&gt;".",up_Irr!BR2="."),up_dir!AV2/((1/1000)*(up_Irr!AT2)),IF(AND(up_Irr!V2&lt;&gt;".",up_Irr!AT2=".",up_Irr!BR2="."),up_dir!AV2/((1/1000)*(up_Irr!V2)),IF(AND(up_Irr!V2=".",up_Irr!AT2=".",up_Irr!BR2="."),up_dir!AV2*1000)))))))),".")</f>
        <v>6.5773651144152131E-4</v>
      </c>
      <c r="BV2" s="48">
        <f>IFERROR(IF(AND(up_Irr!W2&lt;&gt;".",up_Irr!AU2&lt;&gt;".",up_Irr!BS2&lt;&gt;"."),up_dir!AW2/((1/1000)*(up_Irr!W2+up_Irr!AU2+up_Irr!BS2)),IF(AND(up_Irr!W2&lt;&gt;".",up_Irr!AU2&lt;&gt;".",up_Irr!BS2="."),up_dir!AW2/((1/1000)*(up_Irr!W2+up_Irr!AU2)),IF(AND(up_Irr!W2&lt;&gt;".",up_Irr!AU2=".",up_Irr!BS2&lt;&gt;"."),up_dir!AW2/((1/1000)*(up_Irr!W2+up_Irr!BS2)),IF(AND(up_Irr!W2=".",up_Irr!AU2&lt;&gt;".",up_Irr!BS2&lt;&gt;"."),up_dir!AW2/((1/1000)*(up_Irr!AU2+up_Irr!BS2)),IF(AND(up_Irr!W2=".",up_Irr!AU2=".",up_Irr!BS2&lt;&gt;"."),up_dir!AW2/((1/1000)*(up_Irr!BS2)),IF(AND(up_Irr!W2=".",up_Irr!AU2&lt;&gt;".",up_Irr!BS2="."),up_dir!AW2/((1/1000)*(up_Irr!AU2)),IF(AND(up_Irr!W2&lt;&gt;".",up_Irr!AU2=".",up_Irr!BS2="."),up_dir!AW2/((1/1000)*(up_Irr!W2)),IF(AND(up_Irr!W2=".",up_Irr!AU2=".",up_Irr!BS2="."),up_dir!AW2*1000)))))))),".")</f>
        <v>6.5773651144152131E-4</v>
      </c>
      <c r="BW2" s="48">
        <f>IFERROR(IF(AND(up_Irr!X2&lt;&gt;".",up_Irr!AV2&lt;&gt;".",up_Irr!BT2&lt;&gt;"."),up_dir!AX2/((1/1000)*(up_Irr!X2+up_Irr!AV2+up_Irr!BT2)),IF(AND(up_Irr!X2&lt;&gt;".",up_Irr!AV2&lt;&gt;".",up_Irr!BT2="."),up_dir!AX2/((1/1000)*(up_Irr!X2+up_Irr!AV2)),IF(AND(up_Irr!X2&lt;&gt;".",up_Irr!AV2=".",up_Irr!BT2&lt;&gt;"."),up_dir!AX2/((1/1000)*(up_Irr!X2+up_Irr!BT2)),IF(AND(up_Irr!X2=".",up_Irr!AV2&lt;&gt;".",up_Irr!BT2&lt;&gt;"."),up_dir!AX2/((1/1000)*(up_Irr!AV2+up_Irr!BT2)),IF(AND(up_Irr!X2=".",up_Irr!AV2=".",up_Irr!BT2&lt;&gt;"."),up_dir!AX2/((1/1000)*(up_Irr!BT2)),IF(AND(up_Irr!X2=".",up_Irr!AV2&lt;&gt;".",up_Irr!BT2="."),up_dir!AX2/((1/1000)*(up_Irr!AV2)),IF(AND(up_Irr!X2&lt;&gt;".",up_Irr!AV2=".",up_Irr!BT2="."),up_dir!AX2/((1/1000)*(up_Irr!X2)),IF(AND(up_Irr!X2=".",up_Irr!AV2=".",up_Irr!BT2="."),up_dir!AX2*1000)))))))),".")</f>
        <v>6.5773651144152131E-4</v>
      </c>
      <c r="BX2" s="48">
        <f>IFERROR(IF(AND(up_Irr!Y2&lt;&gt;".",up_Irr!AW2&lt;&gt;".",up_Irr!BU2&lt;&gt;"."),up_dir!AY2/((1/1000)*(up_Irr!Y2+up_Irr!AW2+up_Irr!BU2)),IF(AND(up_Irr!Y2&lt;&gt;".",up_Irr!AW2&lt;&gt;".",up_Irr!BU2="."),up_dir!AY2/((1/1000)*(up_Irr!Y2+up_Irr!AW2)),IF(AND(up_Irr!Y2&lt;&gt;".",up_Irr!AW2=".",up_Irr!BU2&lt;&gt;"."),up_dir!AY2/((1/1000)*(up_Irr!Y2+up_Irr!BU2)),IF(AND(up_Irr!Y2=".",up_Irr!AW2&lt;&gt;".",up_Irr!BU2&lt;&gt;"."),up_dir!AY2/((1/1000)*(up_Irr!AW2+up_Irr!BU2)),IF(AND(up_Irr!Y2=".",up_Irr!AW2=".",up_Irr!BU2&lt;&gt;"."),up_dir!AY2/((1/1000)*(up_Irr!BU2)),IF(AND(up_Irr!Y2=".",up_Irr!AW2&lt;&gt;".",up_Irr!BU2="."),up_dir!AY2/((1/1000)*(up_Irr!AW2)),IF(AND(up_Irr!Y2&lt;&gt;".",up_Irr!AW2=".",up_Irr!BU2="."),up_dir!AY2/((1/1000)*(up_Irr!Y2)),IF(AND(up_Irr!Y2=".",up_Irr!AW2=".",up_Irr!BU2="."),up_dir!AY2*1000)))))))),".")</f>
        <v>6.5773651144152131E-4</v>
      </c>
      <c r="BY2" s="48">
        <f>IFERROR(IF(AND(up_Irr!Z2&lt;&gt;".",up_Irr!AX2&lt;&gt;".",up_Irr!BV2&lt;&gt;"."),up_dir!AZ2/((1/1000)*(up_Irr!Z2+up_Irr!AX2+up_Irr!BV2)),IF(AND(up_Irr!Z2&lt;&gt;".",up_Irr!AX2&lt;&gt;".",up_Irr!BV2="."),up_dir!AZ2/((1/1000)*(up_Irr!Z2+up_Irr!AX2)),IF(AND(up_Irr!Z2&lt;&gt;".",up_Irr!AX2=".",up_Irr!BV2&lt;&gt;"."),up_dir!AZ2/((1/1000)*(up_Irr!Z2+up_Irr!BV2)),IF(AND(up_Irr!Z2=".",up_Irr!AX2&lt;&gt;".",up_Irr!BV2&lt;&gt;"."),up_dir!AZ2/((1/1000)*(up_Irr!AX2+up_Irr!BV2)),IF(AND(up_Irr!Z2=".",up_Irr!AX2=".",up_Irr!BV2&lt;&gt;"."),up_dir!AZ2/((1/1000)*(up_Irr!BV2)),IF(AND(up_Irr!Z2=".",up_Irr!AX2&lt;&gt;".",up_Irr!BV2="."),up_dir!AZ2/((1/1000)*(up_Irr!AX2)),IF(AND(up_Irr!Z2&lt;&gt;".",up_Irr!AX2=".",up_Irr!BV2="."),up_dir!AZ2/((1/1000)*(up_Irr!Z2)),IF(AND(up_Irr!Z2=".",up_Irr!AX2=".",up_Irr!BV2="."),up_dir!AZ2*1000)))))))),".")</f>
        <v>6.5773651144152131E-4</v>
      </c>
      <c r="BZ2" s="62">
        <f>SUM(CA2,CW2:CX2)</f>
        <v>22805.4847785862</v>
      </c>
      <c r="CA2" s="62">
        <f>IFERROR(s_C*s_IFAP_far_adj*s_CF_apple*(1/1000)*(up_Irr!C2+up_Irr!AA2+up_Irr!AY2),".")</f>
        <v>7601.8282595287337</v>
      </c>
      <c r="CB2" s="62">
        <f>IFERROR(s_C*s_IFAS_far_adj*s_CF_asparagus*(1/1000)*(up_Irr!D2+up_Irr!AB2+up_Irr!AZ2),".")</f>
        <v>7601.8282595287337</v>
      </c>
      <c r="CC2" s="62">
        <f>IFERROR(s_C*s_IFBT_far_adj*s_CF_beet*(1/1000)*(up_Irr!E2+up_Irr!AC2+up_Irr!BA2),".")</f>
        <v>7601.8282595287337</v>
      </c>
      <c r="CD2" s="62">
        <f>IFERROR(s_C*s_IFBE_far_adj*s_CF_berries*(1/1000)*(up_Irr!F2+up_Irr!AD2+up_Irr!BB2),".")</f>
        <v>7601.8282595287337</v>
      </c>
      <c r="CE2" s="62">
        <f>IFERROR(s_C*s_IFBR_far_adj*s_CF_broccoli*(1/1000)*(up_Irr!G2+up_Irr!AE2+up_Irr!BC2),".")</f>
        <v>7601.8282595287337</v>
      </c>
      <c r="CF2" s="62">
        <f>IFERROR(s_C*s_IFCB_far_adj*s_CF_cabbage*(1/1000)*(up_Irr!H2+up_Irr!AF2+up_Irr!BD2),".")</f>
        <v>7601.8282595287337</v>
      </c>
      <c r="CG2" s="62">
        <f>IFERROR(s_C*s_IFCR_far_adj*s_CF_carrot*(1/1000)*(up_Irr!I2+up_Irr!AG2+up_Irr!BE2),".")</f>
        <v>7601.8282595287337</v>
      </c>
      <c r="CH2" s="62">
        <f>IFERROR(s_C*s_IFCI_far_adj*s_CF_citrus*(1/1000)*(up_Irr!J2+up_Irr!AH2+up_Irr!BF2),".")</f>
        <v>7601.8282595287337</v>
      </c>
      <c r="CI2" s="62">
        <f>IFERROR(s_C*s_IFCO_far_adj*s_CF_corn*(1/1000)*(up_Irr!K2+up_Irr!AI2+up_Irr!BG2),".")</f>
        <v>7601.8282595287337</v>
      </c>
      <c r="CJ2" s="62">
        <f>IFERROR(s_C*s_IFCU_far_adj*s_CF_cucumber*(1/1000)*(up_Irr!L2+up_Irr!AJ2+up_Irr!BH2),".")</f>
        <v>7601.8282595287337</v>
      </c>
      <c r="CK2" s="62">
        <f>IFERROR(s_C*s_IFLE_far_adj*s_CF_lettuce*(1/1000)*(up_Irr!M2+up_Irr!AK2+up_Irr!BI2),".")</f>
        <v>7601.8282595287337</v>
      </c>
      <c r="CL2" s="62">
        <f>IFERROR(s_C*s_IFLI_far_adj*s_CF_lima_bean*(1/1000)*(up_Irr!N2+up_Irr!AL2+up_Irr!BJ2),".")</f>
        <v>7601.8282595287337</v>
      </c>
      <c r="CM2" s="62">
        <f>IFERROR(s_C*s_IFOK_far_adj*s_CF_okra*(1/1000)*(up_Irr!O2+up_Irr!AM2+up_Irr!BK2),".")</f>
        <v>7601.8282595287337</v>
      </c>
      <c r="CN2" s="62">
        <f>IFERROR(s_C*s_IFON_far_adj*s_CF_onion*(1/1000)*(up_Irr!P2+up_Irr!AN2+up_Irr!BL2),".")</f>
        <v>7601.8282595287337</v>
      </c>
      <c r="CO2" s="62">
        <f>IFERROR(s_C*s_IFPC_far_adj*s_CF_peach*(1/1000)*(up_Irr!Q2+up_Irr!AO2+up_Irr!BM2),".")</f>
        <v>7601.8282595287337</v>
      </c>
      <c r="CP2" s="62">
        <f>IFERROR(s_C*s_IFPR_far_adj*s_CF_pear*(1/1000)*(up_Irr!R2+up_Irr!AP2+up_Irr!BN2),".")</f>
        <v>7601.8282595287337</v>
      </c>
      <c r="CQ2" s="62">
        <f>IFERROR(s_C*s_IFPE_far_adj*s_CF_peas*(1/1000)*(up_Irr!S2+up_Irr!AQ2+up_Irr!BO2),".")</f>
        <v>7601.8282595287337</v>
      </c>
      <c r="CR2" s="62">
        <f>IFERROR(s_C*s_IFPT_far_adj*s_CF_potato*(1/1000)*(up_Irr!T2+up_Irr!AR2+up_Irr!BP2),".")</f>
        <v>7601.8282595287337</v>
      </c>
      <c r="CS2" s="62">
        <f>IFERROR(s_C*s_IFPU_far_adj*s_CF_pumpkin*(1/1000)*(up_Irr!U2+up_Irr!AS2+up_Irr!BQ2),".")</f>
        <v>7601.8282595287337</v>
      </c>
      <c r="CT2" s="62">
        <f>IFERROR(s_C*s_IFSN_far_adj*s_CF_snap_bean*(1/1000)*(up_Irr!V2+up_Irr!AT2+up_Irr!BR2),".")</f>
        <v>7601.8282595287337</v>
      </c>
      <c r="CU2" s="62">
        <f>IFERROR(s_C*s_IFST_far_adj*s_CF_strawberry*(1/1000)*(up_Irr!W2+up_Irr!AU2+up_Irr!BS2),".")</f>
        <v>7601.8282595287337</v>
      </c>
      <c r="CV2" s="62">
        <f>IFERROR(s_C*s_IFTO_far_adj*s_CF_tomato*(1/1000)*(up_Irr!X2+up_Irr!AV2+up_Irr!BT2),".")</f>
        <v>7601.8282595287337</v>
      </c>
      <c r="CW2" s="62">
        <f>IFERROR(s_C*s_IFRI_far_adj*s_CF_rice*(1/1000)*(up_Irr!Y2+up_Irr!AW2+up_Irr!BU2),".")</f>
        <v>7601.8282595287337</v>
      </c>
      <c r="CX2" s="62">
        <f>IFERROR(s_C*s_IFCG_far_adj*s_CF_cereal*(1/1000)*(up_Irr!Z2+up_Irr!AX2+up_Irr!BV2),".")</f>
        <v>7601.8282595287337</v>
      </c>
    </row>
    <row r="3" spans="1:102" x14ac:dyDescent="0.25">
      <c r="A3" s="63" t="s">
        <v>1</v>
      </c>
      <c r="B3" s="49" t="s">
        <v>336</v>
      </c>
      <c r="C3" s="48">
        <f t="shared" ref="C3:C66" si="0">IFERROR(1/SUM(1/D3,1/Z3,1/AA3),".")</f>
        <v>2.1924550381384044E-4</v>
      </c>
      <c r="D3" s="48">
        <f>IFERROR(IF(AND(up_Irr!C3&lt;&gt;".",up_Irr!AA3&lt;&gt;".",up_Irr!AY3&lt;&gt;"."),up_dir!D3/((1/1000)*(up_Irr!C3+up_Irr!AA3+up_Irr!AY3)),IF(AND(up_Irr!C3&lt;&gt;".",up_Irr!AA3&lt;&gt;".",up_Irr!AY3="."),up_dir!D3/((1/1000)*(up_Irr!C3+up_Irr!AA3)),IF(AND(up_Irr!C3&lt;&gt;".",up_Irr!AA3=".",up_Irr!AY3&lt;&gt;"."),up_dir!D3/((1/1000)*(up_Irr!C3+up_Irr!AY3)),IF(AND(up_Irr!C3=".",up_Irr!AA3&lt;&gt;".",up_Irr!AY3&lt;&gt;"."),up_dir!D3/((1/1000)*(up_Irr!AA3+up_Irr!AY3)),IF(AND(up_Irr!C3=".",up_Irr!AA3=".",up_Irr!AY3&lt;&gt;"."),up_dir!D3/((1/1000)*(up_Irr!AY3)),IF(AND(up_Irr!C3=".",up_Irr!AA3&lt;&gt;".",up_Irr!AY3="."),up_dir!D3/((1/1000)*(up_Irr!AA3)),IF(AND(up_Irr!C3&lt;&gt;".",up_Irr!AA3=".",up_Irr!AY3="."),up_dir!D3/((1/1000)*(up_Irr!C3)),IF(AND(up_Irr!C3=".",up_Irr!AA3=".",up_Irr!AY3="."),up_dir!D3*1000)))))))),".")</f>
        <v>6.5773651144152131E-4</v>
      </c>
      <c r="E3" s="48">
        <f>IFERROR(IF(AND(up_Irr!D3&lt;&gt;".",up_Irr!AB3&lt;&gt;".",up_Irr!AZ3&lt;&gt;"."),up_dir!E3/((1/1000)*(up_Irr!D3+up_Irr!AB3+up_Irr!AZ3)),IF(AND(up_Irr!D3&lt;&gt;".",up_Irr!AB3&lt;&gt;".",up_Irr!AZ3="."),up_dir!E3/((1/1000)*(up_Irr!D3+up_Irr!AB3)),IF(AND(up_Irr!D3&lt;&gt;".",up_Irr!AB3=".",up_Irr!AZ3&lt;&gt;"."),up_dir!E3/((1/1000)*(up_Irr!D3+up_Irr!AZ3)),IF(AND(up_Irr!D3=".",up_Irr!AB3&lt;&gt;".",up_Irr!AZ3&lt;&gt;"."),up_dir!E3/((1/1000)*(up_Irr!AB3+up_Irr!AZ3)),IF(AND(up_Irr!D3=".",up_Irr!AB3=".",up_Irr!AZ3&lt;&gt;"."),up_dir!E3/((1/1000)*(up_Irr!AZ3)),IF(AND(up_Irr!D3=".",up_Irr!AB3&lt;&gt;".",up_Irr!AZ3="."),up_dir!E3/((1/1000)*(up_Irr!AB3)),IF(AND(up_Irr!D3&lt;&gt;".",up_Irr!AB3=".",up_Irr!AZ3="."),up_dir!E3/((1/1000)*(up_Irr!D3)),IF(AND(up_Irr!D3=".",up_Irr!AB3=".",up_Irr!AZ3="."),up_dir!E3*1000)))))))),".")</f>
        <v>6.5773651144152131E-4</v>
      </c>
      <c r="F3" s="48">
        <f>IFERROR(IF(AND(up_Irr!E3&lt;&gt;".",up_Irr!AC3&lt;&gt;".",up_Irr!BA3&lt;&gt;"."),up_dir!F3/((1/1000)*(up_Irr!E3+up_Irr!AC3+up_Irr!BA3)),IF(AND(up_Irr!E3&lt;&gt;".",up_Irr!AC3&lt;&gt;".",up_Irr!BA3="."),up_dir!F3/((1/1000)*(up_Irr!E3+up_Irr!AC3)),IF(AND(up_Irr!E3&lt;&gt;".",up_Irr!AC3=".",up_Irr!BA3&lt;&gt;"."),up_dir!F3/((1/1000)*(up_Irr!E3+up_Irr!BA3)),IF(AND(up_Irr!E3=".",up_Irr!AC3&lt;&gt;".",up_Irr!BA3&lt;&gt;"."),up_dir!F3/((1/1000)*(up_Irr!AC3+up_Irr!BA3)),IF(AND(up_Irr!E3=".",up_Irr!AC3=".",up_Irr!BA3&lt;&gt;"."),up_dir!F3/((1/1000)*(up_Irr!BA3)),IF(AND(up_Irr!E3=".",up_Irr!AC3&lt;&gt;".",up_Irr!BA3="."),up_dir!F3/((1/1000)*(up_Irr!AC3)),IF(AND(up_Irr!E3&lt;&gt;".",up_Irr!AC3=".",up_Irr!BA3="."),up_dir!F3/((1/1000)*(up_Irr!E3)),IF(AND(up_Irr!E3=".",up_Irr!AC3=".",up_Irr!BA3="."),up_dir!F3*1000)))))))),".")</f>
        <v>6.5773651144152131E-4</v>
      </c>
      <c r="G3" s="48">
        <f>IFERROR(IF(AND(up_Irr!F3&lt;&gt;".",up_Irr!AD3&lt;&gt;".",up_Irr!BB3&lt;&gt;"."),up_dir!G3/((1/1000)*(up_Irr!F3+up_Irr!AD3+up_Irr!BB3)),IF(AND(up_Irr!F3&lt;&gt;".",up_Irr!AD3&lt;&gt;".",up_Irr!BB3="."),up_dir!G3/((1/1000)*(up_Irr!F3+up_Irr!AD3)),IF(AND(up_Irr!F3&lt;&gt;".",up_Irr!AD3=".",up_Irr!BB3&lt;&gt;"."),up_dir!G3/((1/1000)*(up_Irr!F3+up_Irr!BB3)),IF(AND(up_Irr!F3=".",up_Irr!AD3&lt;&gt;".",up_Irr!BB3&lt;&gt;"."),up_dir!G3/((1/1000)*(up_Irr!AD3+up_Irr!BB3)),IF(AND(up_Irr!F3=".",up_Irr!AD3=".",up_Irr!BB3&lt;&gt;"."),up_dir!G3/((1/1000)*(up_Irr!BB3)),IF(AND(up_Irr!F3=".",up_Irr!AD3&lt;&gt;".",up_Irr!BB3="."),up_dir!G3/((1/1000)*(up_Irr!AD3)),IF(AND(up_Irr!F3&lt;&gt;".",up_Irr!AD3=".",up_Irr!BB3="."),up_dir!G3/((1/1000)*(up_Irr!F3)),IF(AND(up_Irr!F3=".",up_Irr!AD3=".",up_Irr!BB3="."),up_dir!G3*1000)))))))),".")</f>
        <v>6.5773651144152131E-4</v>
      </c>
      <c r="H3" s="48">
        <f>IFERROR(IF(AND(up_Irr!G3&lt;&gt;".",up_Irr!AE3&lt;&gt;".",up_Irr!BC3&lt;&gt;"."),up_dir!H3/((1/1000)*(up_Irr!G3+up_Irr!AE3+up_Irr!BC3)),IF(AND(up_Irr!G3&lt;&gt;".",up_Irr!AE3&lt;&gt;".",up_Irr!BC3="."),up_dir!H3/((1/1000)*(up_Irr!G3+up_Irr!AE3)),IF(AND(up_Irr!G3&lt;&gt;".",up_Irr!AE3=".",up_Irr!BC3&lt;&gt;"."),up_dir!H3/((1/1000)*(up_Irr!G3+up_Irr!BC3)),IF(AND(up_Irr!G3=".",up_Irr!AE3&lt;&gt;".",up_Irr!BC3&lt;&gt;"."),up_dir!H3/((1/1000)*(up_Irr!AE3+up_Irr!BC3)),IF(AND(up_Irr!G3=".",up_Irr!AE3=".",up_Irr!BC3&lt;&gt;"."),up_dir!H3/((1/1000)*(up_Irr!BC3)),IF(AND(up_Irr!G3=".",up_Irr!AE3&lt;&gt;".",up_Irr!BC3="."),up_dir!H3/((1/1000)*(up_Irr!AE3)),IF(AND(up_Irr!G3&lt;&gt;".",up_Irr!AE3=".",up_Irr!BC3="."),up_dir!H3/((1/1000)*(up_Irr!G3)),IF(AND(up_Irr!G3=".",up_Irr!AE3=".",up_Irr!BC3="."),up_dir!H3*1000)))))))),".")</f>
        <v>6.5773651144152131E-4</v>
      </c>
      <c r="I3" s="48">
        <f>IFERROR(IF(AND(up_Irr!H3&lt;&gt;".",up_Irr!AF3&lt;&gt;".",up_Irr!BD3&lt;&gt;"."),up_dir!I3/((1/1000)*(up_Irr!H3+up_Irr!AF3+up_Irr!BD3)),IF(AND(up_Irr!H3&lt;&gt;".",up_Irr!AF3&lt;&gt;".",up_Irr!BD3="."),up_dir!I3/((1/1000)*(up_Irr!H3+up_Irr!AF3)),IF(AND(up_Irr!H3&lt;&gt;".",up_Irr!AF3=".",up_Irr!BD3&lt;&gt;"."),up_dir!I3/((1/1000)*(up_Irr!H3+up_Irr!BD3)),IF(AND(up_Irr!H3=".",up_Irr!AF3&lt;&gt;".",up_Irr!BD3&lt;&gt;"."),up_dir!I3/((1/1000)*(up_Irr!AF3+up_Irr!BD3)),IF(AND(up_Irr!H3=".",up_Irr!AF3=".",up_Irr!BD3&lt;&gt;"."),up_dir!I3/((1/1000)*(up_Irr!BD3)),IF(AND(up_Irr!H3=".",up_Irr!AF3&lt;&gt;".",up_Irr!BD3="."),up_dir!I3/((1/1000)*(up_Irr!AF3)),IF(AND(up_Irr!H3&lt;&gt;".",up_Irr!AF3=".",up_Irr!BD3="."),up_dir!I3/((1/1000)*(up_Irr!H3)),IF(AND(up_Irr!H3=".",up_Irr!AF3=".",up_Irr!BD3="."),up_dir!I3*1000)))))))),".")</f>
        <v>6.5773651144152131E-4</v>
      </c>
      <c r="J3" s="48">
        <f>IFERROR(IF(AND(up_Irr!I3&lt;&gt;".",up_Irr!AG3&lt;&gt;".",up_Irr!BE3&lt;&gt;"."),up_dir!J3/((1/1000)*(up_Irr!I3+up_Irr!AG3+up_Irr!BE3)),IF(AND(up_Irr!I3&lt;&gt;".",up_Irr!AG3&lt;&gt;".",up_Irr!BE3="."),up_dir!J3/((1/1000)*(up_Irr!I3+up_Irr!AG3)),IF(AND(up_Irr!I3&lt;&gt;".",up_Irr!AG3=".",up_Irr!BE3&lt;&gt;"."),up_dir!J3/((1/1000)*(up_Irr!I3+up_Irr!BE3)),IF(AND(up_Irr!I3=".",up_Irr!AG3&lt;&gt;".",up_Irr!BE3&lt;&gt;"."),up_dir!J3/((1/1000)*(up_Irr!AG3+up_Irr!BE3)),IF(AND(up_Irr!I3=".",up_Irr!AG3=".",up_Irr!BE3&lt;&gt;"."),up_dir!J3/((1/1000)*(up_Irr!BE3)),IF(AND(up_Irr!I3=".",up_Irr!AG3&lt;&gt;".",up_Irr!BE3="."),up_dir!J3/((1/1000)*(up_Irr!AG3)),IF(AND(up_Irr!I3&lt;&gt;".",up_Irr!AG3=".",up_Irr!BE3="."),up_dir!J3/((1/1000)*(up_Irr!I3)),IF(AND(up_Irr!I3=".",up_Irr!AG3=".",up_Irr!BE3="."),up_dir!J3*1000)))))))),".")</f>
        <v>6.5773651144152131E-4</v>
      </c>
      <c r="K3" s="48">
        <f>IFERROR(IF(AND(up_Irr!J3&lt;&gt;".",up_Irr!AH3&lt;&gt;".",up_Irr!BF3&lt;&gt;"."),up_dir!K3/((1/1000)*(up_Irr!J3+up_Irr!AH3+up_Irr!BF3)),IF(AND(up_Irr!J3&lt;&gt;".",up_Irr!AH3&lt;&gt;".",up_Irr!BF3="."),up_dir!K3/((1/1000)*(up_Irr!J3+up_Irr!AH3)),IF(AND(up_Irr!J3&lt;&gt;".",up_Irr!AH3=".",up_Irr!BF3&lt;&gt;"."),up_dir!K3/((1/1000)*(up_Irr!J3+up_Irr!BF3)),IF(AND(up_Irr!J3=".",up_Irr!AH3&lt;&gt;".",up_Irr!BF3&lt;&gt;"."),up_dir!K3/((1/1000)*(up_Irr!AH3+up_Irr!BF3)),IF(AND(up_Irr!J3=".",up_Irr!AH3=".",up_Irr!BF3&lt;&gt;"."),up_dir!K3/((1/1000)*(up_Irr!BF3)),IF(AND(up_Irr!J3=".",up_Irr!AH3&lt;&gt;".",up_Irr!BF3="."),up_dir!K3/((1/1000)*(up_Irr!AH3)),IF(AND(up_Irr!J3&lt;&gt;".",up_Irr!AH3=".",up_Irr!BF3="."),up_dir!K3/((1/1000)*(up_Irr!J3)),IF(AND(up_Irr!J3=".",up_Irr!AH3=".",up_Irr!BF3="."),up_dir!K3*1000)))))))),".")</f>
        <v>6.5773651144152131E-4</v>
      </c>
      <c r="L3" s="48">
        <f>IFERROR(IF(AND(up_Irr!K3&lt;&gt;".",up_Irr!AI3&lt;&gt;".",up_Irr!BG3&lt;&gt;"."),up_dir!L3/((1/1000)*(up_Irr!K3+up_Irr!AI3+up_Irr!BG3)),IF(AND(up_Irr!K3&lt;&gt;".",up_Irr!AI3&lt;&gt;".",up_Irr!BG3="."),up_dir!L3/((1/1000)*(up_Irr!K3+up_Irr!AI3)),IF(AND(up_Irr!K3&lt;&gt;".",up_Irr!AI3=".",up_Irr!BG3&lt;&gt;"."),up_dir!L3/((1/1000)*(up_Irr!K3+up_Irr!BG3)),IF(AND(up_Irr!K3=".",up_Irr!AI3&lt;&gt;".",up_Irr!BG3&lt;&gt;"."),up_dir!L3/((1/1000)*(up_Irr!AI3+up_Irr!BG3)),IF(AND(up_Irr!K3=".",up_Irr!AI3=".",up_Irr!BG3&lt;&gt;"."),up_dir!L3/((1/1000)*(up_Irr!BG3)),IF(AND(up_Irr!K3=".",up_Irr!AI3&lt;&gt;".",up_Irr!BG3="."),up_dir!L3/((1/1000)*(up_Irr!AI3)),IF(AND(up_Irr!K3&lt;&gt;".",up_Irr!AI3=".",up_Irr!BG3="."),up_dir!L3/((1/1000)*(up_Irr!K3)),IF(AND(up_Irr!K3=".",up_Irr!AI3=".",up_Irr!BG3="."),up_dir!L3*1000)))))))),".")</f>
        <v>6.5773651144152131E-4</v>
      </c>
      <c r="M3" s="48">
        <f>IFERROR(IF(AND(up_Irr!L3&lt;&gt;".",up_Irr!AJ3&lt;&gt;".",up_Irr!BH3&lt;&gt;"."),up_dir!M3/((1/1000)*(up_Irr!L3+up_Irr!AJ3+up_Irr!BH3)),IF(AND(up_Irr!L3&lt;&gt;".",up_Irr!AJ3&lt;&gt;".",up_Irr!BH3="."),up_dir!M3/((1/1000)*(up_Irr!L3+up_Irr!AJ3)),IF(AND(up_Irr!L3&lt;&gt;".",up_Irr!AJ3=".",up_Irr!BH3&lt;&gt;"."),up_dir!M3/((1/1000)*(up_Irr!L3+up_Irr!BH3)),IF(AND(up_Irr!L3=".",up_Irr!AJ3&lt;&gt;".",up_Irr!BH3&lt;&gt;"."),up_dir!M3/((1/1000)*(up_Irr!AJ3+up_Irr!BH3)),IF(AND(up_Irr!L3=".",up_Irr!AJ3=".",up_Irr!BH3&lt;&gt;"."),up_dir!M3/((1/1000)*(up_Irr!BH3)),IF(AND(up_Irr!L3=".",up_Irr!AJ3&lt;&gt;".",up_Irr!BH3="."),up_dir!M3/((1/1000)*(up_Irr!AJ3)),IF(AND(up_Irr!L3&lt;&gt;".",up_Irr!AJ3=".",up_Irr!BH3="."),up_dir!M3/((1/1000)*(up_Irr!L3)),IF(AND(up_Irr!L3=".",up_Irr!AJ3=".",up_Irr!BH3="."),up_dir!M3*1000)))))))),".")</f>
        <v>6.5773651144152131E-4</v>
      </c>
      <c r="N3" s="48">
        <f>IFERROR(IF(AND(up_Irr!M3&lt;&gt;".",up_Irr!AK3&lt;&gt;".",up_Irr!BI3&lt;&gt;"."),up_dir!N3/((1/1000)*(up_Irr!M3+up_Irr!AK3+up_Irr!BI3)),IF(AND(up_Irr!M3&lt;&gt;".",up_Irr!AK3&lt;&gt;".",up_Irr!BI3="."),up_dir!N3/((1/1000)*(up_Irr!M3+up_Irr!AK3)),IF(AND(up_Irr!M3&lt;&gt;".",up_Irr!AK3=".",up_Irr!BI3&lt;&gt;"."),up_dir!N3/((1/1000)*(up_Irr!M3+up_Irr!BI3)),IF(AND(up_Irr!M3=".",up_Irr!AK3&lt;&gt;".",up_Irr!BI3&lt;&gt;"."),up_dir!N3/((1/1000)*(up_Irr!AK3+up_Irr!BI3)),IF(AND(up_Irr!M3=".",up_Irr!AK3=".",up_Irr!BI3&lt;&gt;"."),up_dir!N3/((1/1000)*(up_Irr!BI3)),IF(AND(up_Irr!M3=".",up_Irr!AK3&lt;&gt;".",up_Irr!BI3="."),up_dir!N3/((1/1000)*(up_Irr!AK3)),IF(AND(up_Irr!M3&lt;&gt;".",up_Irr!AK3=".",up_Irr!BI3="."),up_dir!N3/((1/1000)*(up_Irr!M3)),IF(AND(up_Irr!M3=".",up_Irr!AK3=".",up_Irr!BI3="."),up_dir!N3*1000)))))))),".")</f>
        <v>6.5773651144152131E-4</v>
      </c>
      <c r="O3" s="48">
        <f>IFERROR(IF(AND(up_Irr!N3&lt;&gt;".",up_Irr!AL3&lt;&gt;".",up_Irr!BJ3&lt;&gt;"."),up_dir!O3/((1/1000)*(up_Irr!N3+up_Irr!AL3+up_Irr!BJ3)),IF(AND(up_Irr!N3&lt;&gt;".",up_Irr!AL3&lt;&gt;".",up_Irr!BJ3="."),up_dir!O3/((1/1000)*(up_Irr!N3+up_Irr!AL3)),IF(AND(up_Irr!N3&lt;&gt;".",up_Irr!AL3=".",up_Irr!BJ3&lt;&gt;"."),up_dir!O3/((1/1000)*(up_Irr!N3+up_Irr!BJ3)),IF(AND(up_Irr!N3=".",up_Irr!AL3&lt;&gt;".",up_Irr!BJ3&lt;&gt;"."),up_dir!O3/((1/1000)*(up_Irr!AL3+up_Irr!BJ3)),IF(AND(up_Irr!N3=".",up_Irr!AL3=".",up_Irr!BJ3&lt;&gt;"."),up_dir!O3/((1/1000)*(up_Irr!BJ3)),IF(AND(up_Irr!N3=".",up_Irr!AL3&lt;&gt;".",up_Irr!BJ3="."),up_dir!O3/((1/1000)*(up_Irr!AL3)),IF(AND(up_Irr!N3&lt;&gt;".",up_Irr!AL3=".",up_Irr!BJ3="."),up_dir!O3/((1/1000)*(up_Irr!N3)),IF(AND(up_Irr!N3=".",up_Irr!AL3=".",up_Irr!BJ3="."),up_dir!O3*1000)))))))),".")</f>
        <v>6.5773651144152131E-4</v>
      </c>
      <c r="P3" s="48">
        <f>IFERROR(IF(AND(up_Irr!O3&lt;&gt;".",up_Irr!AM3&lt;&gt;".",up_Irr!BK3&lt;&gt;"."),up_dir!P3/((1/1000)*(up_Irr!O3+up_Irr!AM3+up_Irr!BK3)),IF(AND(up_Irr!O3&lt;&gt;".",up_Irr!AM3&lt;&gt;".",up_Irr!BK3="."),up_dir!P3/((1/1000)*(up_Irr!O3+up_Irr!AM3)),IF(AND(up_Irr!O3&lt;&gt;".",up_Irr!AM3=".",up_Irr!BK3&lt;&gt;"."),up_dir!P3/((1/1000)*(up_Irr!O3+up_Irr!BK3)),IF(AND(up_Irr!O3=".",up_Irr!AM3&lt;&gt;".",up_Irr!BK3&lt;&gt;"."),up_dir!P3/((1/1000)*(up_Irr!AM3+up_Irr!BK3)),IF(AND(up_Irr!O3=".",up_Irr!AM3=".",up_Irr!BK3&lt;&gt;"."),up_dir!P3/((1/1000)*(up_Irr!BK3)),IF(AND(up_Irr!O3=".",up_Irr!AM3&lt;&gt;".",up_Irr!BK3="."),up_dir!P3/((1/1000)*(up_Irr!AM3)),IF(AND(up_Irr!O3&lt;&gt;".",up_Irr!AM3=".",up_Irr!BK3="."),up_dir!P3/((1/1000)*(up_Irr!O3)),IF(AND(up_Irr!O3=".",up_Irr!AM3=".",up_Irr!BK3="."),up_dir!P3*1000)))))))),".")</f>
        <v>6.5773651144152131E-4</v>
      </c>
      <c r="Q3" s="48">
        <f>IFERROR(IF(AND(up_Irr!P3&lt;&gt;".",up_Irr!AN3&lt;&gt;".",up_Irr!BL3&lt;&gt;"."),up_dir!Q3/((1/1000)*(up_Irr!P3+up_Irr!AN3+up_Irr!BL3)),IF(AND(up_Irr!P3&lt;&gt;".",up_Irr!AN3&lt;&gt;".",up_Irr!BL3="."),up_dir!Q3/((1/1000)*(up_Irr!P3+up_Irr!AN3)),IF(AND(up_Irr!P3&lt;&gt;".",up_Irr!AN3=".",up_Irr!BL3&lt;&gt;"."),up_dir!Q3/((1/1000)*(up_Irr!P3+up_Irr!BL3)),IF(AND(up_Irr!P3=".",up_Irr!AN3&lt;&gt;".",up_Irr!BL3&lt;&gt;"."),up_dir!Q3/((1/1000)*(up_Irr!AN3+up_Irr!BL3)),IF(AND(up_Irr!P3=".",up_Irr!AN3=".",up_Irr!BL3&lt;&gt;"."),up_dir!Q3/((1/1000)*(up_Irr!BL3)),IF(AND(up_Irr!P3=".",up_Irr!AN3&lt;&gt;".",up_Irr!BL3="."),up_dir!Q3/((1/1000)*(up_Irr!AN3)),IF(AND(up_Irr!P3&lt;&gt;".",up_Irr!AN3=".",up_Irr!BL3="."),up_dir!Q3/((1/1000)*(up_Irr!P3)),IF(AND(up_Irr!P3=".",up_Irr!AN3=".",up_Irr!BL3="."),up_dir!Q3*1000)))))))),".")</f>
        <v>6.5773651144152131E-4</v>
      </c>
      <c r="R3" s="48">
        <f>IFERROR(IF(AND(up_Irr!Q3&lt;&gt;".",up_Irr!AO3&lt;&gt;".",up_Irr!BM3&lt;&gt;"."),up_dir!R3/((1/1000)*(up_Irr!Q3+up_Irr!AO3+up_Irr!BM3)),IF(AND(up_Irr!Q3&lt;&gt;".",up_Irr!AO3&lt;&gt;".",up_Irr!BM3="."),up_dir!R3/((1/1000)*(up_Irr!Q3+up_Irr!AO3)),IF(AND(up_Irr!Q3&lt;&gt;".",up_Irr!AO3=".",up_Irr!BM3&lt;&gt;"."),up_dir!R3/((1/1000)*(up_Irr!Q3+up_Irr!BM3)),IF(AND(up_Irr!Q3=".",up_Irr!AO3&lt;&gt;".",up_Irr!BM3&lt;&gt;"."),up_dir!R3/((1/1000)*(up_Irr!AO3+up_Irr!BM3)),IF(AND(up_Irr!Q3=".",up_Irr!AO3=".",up_Irr!BM3&lt;&gt;"."),up_dir!R3/((1/1000)*(up_Irr!BM3)),IF(AND(up_Irr!Q3=".",up_Irr!AO3&lt;&gt;".",up_Irr!BM3="."),up_dir!R3/((1/1000)*(up_Irr!AO3)),IF(AND(up_Irr!Q3&lt;&gt;".",up_Irr!AO3=".",up_Irr!BM3="."),up_dir!R3/((1/1000)*(up_Irr!Q3)),IF(AND(up_Irr!Q3=".",up_Irr!AO3=".",up_Irr!BM3="."),up_dir!R3*1000)))))))),".")</f>
        <v>6.5773651144152131E-4</v>
      </c>
      <c r="S3" s="48">
        <f>IFERROR(IF(AND(up_Irr!R3&lt;&gt;".",up_Irr!AP3&lt;&gt;".",up_Irr!BN3&lt;&gt;"."),up_dir!S3/((1/1000)*(up_Irr!R3+up_Irr!AP3+up_Irr!BN3)),IF(AND(up_Irr!R3&lt;&gt;".",up_Irr!AP3&lt;&gt;".",up_Irr!BN3="."),up_dir!S3/((1/1000)*(up_Irr!R3+up_Irr!AP3)),IF(AND(up_Irr!R3&lt;&gt;".",up_Irr!AP3=".",up_Irr!BN3&lt;&gt;"."),up_dir!S3/((1/1000)*(up_Irr!R3+up_Irr!BN3)),IF(AND(up_Irr!R3=".",up_Irr!AP3&lt;&gt;".",up_Irr!BN3&lt;&gt;"."),up_dir!S3/((1/1000)*(up_Irr!AP3+up_Irr!BN3)),IF(AND(up_Irr!R3=".",up_Irr!AP3=".",up_Irr!BN3&lt;&gt;"."),up_dir!S3/((1/1000)*(up_Irr!BN3)),IF(AND(up_Irr!R3=".",up_Irr!AP3&lt;&gt;".",up_Irr!BN3="."),up_dir!S3/((1/1000)*(up_Irr!AP3)),IF(AND(up_Irr!R3&lt;&gt;".",up_Irr!AP3=".",up_Irr!BN3="."),up_dir!S3/((1/1000)*(up_Irr!R3)),IF(AND(up_Irr!R3=".",up_Irr!AP3=".",up_Irr!BN3="."),up_dir!S3*1000)))))))),".")</f>
        <v>6.5773651144152131E-4</v>
      </c>
      <c r="T3" s="48">
        <f>IFERROR(IF(AND(up_Irr!S3&lt;&gt;".",up_Irr!AQ3&lt;&gt;".",up_Irr!BO3&lt;&gt;"."),up_dir!T3/((1/1000)*(up_Irr!S3+up_Irr!AQ3+up_Irr!BO3)),IF(AND(up_Irr!S3&lt;&gt;".",up_Irr!AQ3&lt;&gt;".",up_Irr!BO3="."),up_dir!T3/((1/1000)*(up_Irr!S3+up_Irr!AQ3)),IF(AND(up_Irr!S3&lt;&gt;".",up_Irr!AQ3=".",up_Irr!BO3&lt;&gt;"."),up_dir!T3/((1/1000)*(up_Irr!S3+up_Irr!BO3)),IF(AND(up_Irr!S3=".",up_Irr!AQ3&lt;&gt;".",up_Irr!BO3&lt;&gt;"."),up_dir!T3/((1/1000)*(up_Irr!AQ3+up_Irr!BO3)),IF(AND(up_Irr!S3=".",up_Irr!AQ3=".",up_Irr!BO3&lt;&gt;"."),up_dir!T3/((1/1000)*(up_Irr!BO3)),IF(AND(up_Irr!S3=".",up_Irr!AQ3&lt;&gt;".",up_Irr!BO3="."),up_dir!T3/((1/1000)*(up_Irr!AQ3)),IF(AND(up_Irr!S3&lt;&gt;".",up_Irr!AQ3=".",up_Irr!BO3="."),up_dir!T3/((1/1000)*(up_Irr!S3)),IF(AND(up_Irr!S3=".",up_Irr!AQ3=".",up_Irr!BO3="."),up_dir!T3*1000)))))))),".")</f>
        <v>6.5773651144152131E-4</v>
      </c>
      <c r="U3" s="48">
        <f>IFERROR(IF(AND(up_Irr!T3&lt;&gt;".",up_Irr!AR3&lt;&gt;".",up_Irr!BP3&lt;&gt;"."),up_dir!U3/((1/1000)*(up_Irr!T3+up_Irr!AR3+up_Irr!BP3)),IF(AND(up_Irr!T3&lt;&gt;".",up_Irr!AR3&lt;&gt;".",up_Irr!BP3="."),up_dir!U3/((1/1000)*(up_Irr!T3+up_Irr!AR3)),IF(AND(up_Irr!T3&lt;&gt;".",up_Irr!AR3=".",up_Irr!BP3&lt;&gt;"."),up_dir!U3/((1/1000)*(up_Irr!T3+up_Irr!BP3)),IF(AND(up_Irr!T3=".",up_Irr!AR3&lt;&gt;".",up_Irr!BP3&lt;&gt;"."),up_dir!U3/((1/1000)*(up_Irr!AR3+up_Irr!BP3)),IF(AND(up_Irr!T3=".",up_Irr!AR3=".",up_Irr!BP3&lt;&gt;"."),up_dir!U3/((1/1000)*(up_Irr!BP3)),IF(AND(up_Irr!T3=".",up_Irr!AR3&lt;&gt;".",up_Irr!BP3="."),up_dir!U3/((1/1000)*(up_Irr!AR3)),IF(AND(up_Irr!T3&lt;&gt;".",up_Irr!AR3=".",up_Irr!BP3="."),up_dir!U3/((1/1000)*(up_Irr!T3)),IF(AND(up_Irr!T3=".",up_Irr!AR3=".",up_Irr!BP3="."),up_dir!U3*1000)))))))),".")</f>
        <v>6.5773651144152131E-4</v>
      </c>
      <c r="V3" s="48">
        <f>IFERROR(IF(AND(up_Irr!U3&lt;&gt;".",up_Irr!AS3&lt;&gt;".",up_Irr!BQ3&lt;&gt;"."),up_dir!V3/((1/1000)*(up_Irr!U3+up_Irr!AS3+up_Irr!BQ3)),IF(AND(up_Irr!U3&lt;&gt;".",up_Irr!AS3&lt;&gt;".",up_Irr!BQ3="."),up_dir!V3/((1/1000)*(up_Irr!U3+up_Irr!AS3)),IF(AND(up_Irr!U3&lt;&gt;".",up_Irr!AS3=".",up_Irr!BQ3&lt;&gt;"."),up_dir!V3/((1/1000)*(up_Irr!U3+up_Irr!BQ3)),IF(AND(up_Irr!U3=".",up_Irr!AS3&lt;&gt;".",up_Irr!BQ3&lt;&gt;"."),up_dir!V3/((1/1000)*(up_Irr!AS3+up_Irr!BQ3)),IF(AND(up_Irr!U3=".",up_Irr!AS3=".",up_Irr!BQ3&lt;&gt;"."),up_dir!V3/((1/1000)*(up_Irr!BQ3)),IF(AND(up_Irr!U3=".",up_Irr!AS3&lt;&gt;".",up_Irr!BQ3="."),up_dir!V3/((1/1000)*(up_Irr!AS3)),IF(AND(up_Irr!U3&lt;&gt;".",up_Irr!AS3=".",up_Irr!BQ3="."),up_dir!V3/((1/1000)*(up_Irr!U3)),IF(AND(up_Irr!U3=".",up_Irr!AS3=".",up_Irr!BQ3="."),up_dir!V3*1000)))))))),".")</f>
        <v>6.5773651144152131E-4</v>
      </c>
      <c r="W3" s="48">
        <f>IFERROR(IF(AND(up_Irr!V3&lt;&gt;".",up_Irr!AT3&lt;&gt;".",up_Irr!BR3&lt;&gt;"."),up_dir!W3/((1/1000)*(up_Irr!V3+up_Irr!AT3+up_Irr!BR3)),IF(AND(up_Irr!V3&lt;&gt;".",up_Irr!AT3&lt;&gt;".",up_Irr!BR3="."),up_dir!W3/((1/1000)*(up_Irr!V3+up_Irr!AT3)),IF(AND(up_Irr!V3&lt;&gt;".",up_Irr!AT3=".",up_Irr!BR3&lt;&gt;"."),up_dir!W3/((1/1000)*(up_Irr!V3+up_Irr!BR3)),IF(AND(up_Irr!V3=".",up_Irr!AT3&lt;&gt;".",up_Irr!BR3&lt;&gt;"."),up_dir!W3/((1/1000)*(up_Irr!AT3+up_Irr!BR3)),IF(AND(up_Irr!V3=".",up_Irr!AT3=".",up_Irr!BR3&lt;&gt;"."),up_dir!W3/((1/1000)*(up_Irr!BR3)),IF(AND(up_Irr!V3=".",up_Irr!AT3&lt;&gt;".",up_Irr!BR3="."),up_dir!W3/((1/1000)*(up_Irr!AT3)),IF(AND(up_Irr!V3&lt;&gt;".",up_Irr!AT3=".",up_Irr!BR3="."),up_dir!W3/((1/1000)*(up_Irr!V3)),IF(AND(up_Irr!V3=".",up_Irr!AT3=".",up_Irr!BR3="."),up_dir!W3*1000)))))))),".")</f>
        <v>6.5773651144152131E-4</v>
      </c>
      <c r="X3" s="48">
        <f>IFERROR(IF(AND(up_Irr!W3&lt;&gt;".",up_Irr!AU3&lt;&gt;".",up_Irr!BS3&lt;&gt;"."),up_dir!X3/((1/1000)*(up_Irr!W3+up_Irr!AU3+up_Irr!BS3)),IF(AND(up_Irr!W3&lt;&gt;".",up_Irr!AU3&lt;&gt;".",up_Irr!BS3="."),up_dir!X3/((1/1000)*(up_Irr!W3+up_Irr!AU3)),IF(AND(up_Irr!W3&lt;&gt;".",up_Irr!AU3=".",up_Irr!BS3&lt;&gt;"."),up_dir!X3/((1/1000)*(up_Irr!W3+up_Irr!BS3)),IF(AND(up_Irr!W3=".",up_Irr!AU3&lt;&gt;".",up_Irr!BS3&lt;&gt;"."),up_dir!X3/((1/1000)*(up_Irr!AU3+up_Irr!BS3)),IF(AND(up_Irr!W3=".",up_Irr!AU3=".",up_Irr!BS3&lt;&gt;"."),up_dir!X3/((1/1000)*(up_Irr!BS3)),IF(AND(up_Irr!W3=".",up_Irr!AU3&lt;&gt;".",up_Irr!BS3="."),up_dir!X3/((1/1000)*(up_Irr!AU3)),IF(AND(up_Irr!W3&lt;&gt;".",up_Irr!AU3=".",up_Irr!BS3="."),up_dir!X3/((1/1000)*(up_Irr!W3)),IF(AND(up_Irr!W3=".",up_Irr!AU3=".",up_Irr!BS3="."),up_dir!X3*1000)))))))),".")</f>
        <v>6.5773651144152131E-4</v>
      </c>
      <c r="Y3" s="48">
        <f>IFERROR(IF(AND(up_Irr!X3&lt;&gt;".",up_Irr!AV3&lt;&gt;".",up_Irr!BT3&lt;&gt;"."),up_dir!Y3/((1/1000)*(up_Irr!X3+up_Irr!AV3+up_Irr!BT3)),IF(AND(up_Irr!X3&lt;&gt;".",up_Irr!AV3&lt;&gt;".",up_Irr!BT3="."),up_dir!Y3/((1/1000)*(up_Irr!X3+up_Irr!AV3)),IF(AND(up_Irr!X3&lt;&gt;".",up_Irr!AV3=".",up_Irr!BT3&lt;&gt;"."),up_dir!Y3/((1/1000)*(up_Irr!X3+up_Irr!BT3)),IF(AND(up_Irr!X3=".",up_Irr!AV3&lt;&gt;".",up_Irr!BT3&lt;&gt;"."),up_dir!Y3/((1/1000)*(up_Irr!AV3+up_Irr!BT3)),IF(AND(up_Irr!X3=".",up_Irr!AV3=".",up_Irr!BT3&lt;&gt;"."),up_dir!Y3/((1/1000)*(up_Irr!BT3)),IF(AND(up_Irr!X3=".",up_Irr!AV3&lt;&gt;".",up_Irr!BT3="."),up_dir!Y3/((1/1000)*(up_Irr!AV3)),IF(AND(up_Irr!X3&lt;&gt;".",up_Irr!AV3=".",up_Irr!BT3="."),up_dir!Y3/((1/1000)*(up_Irr!X3)),IF(AND(up_Irr!X3=".",up_Irr!AV3=".",up_Irr!BT3="."),up_dir!Y3*1000)))))))),".")</f>
        <v>6.5773651144152131E-4</v>
      </c>
      <c r="Z3" s="48">
        <f>IFERROR(IF(AND(up_Irr!Y3&lt;&gt;".",up_Irr!AW3&lt;&gt;".",up_Irr!BU3&lt;&gt;"."),up_dir!Z3/((1/1000)*(up_Irr!Y3+up_Irr!AW3+up_Irr!BU3)),IF(AND(up_Irr!Y3&lt;&gt;".",up_Irr!AW3&lt;&gt;".",up_Irr!BU3="."),up_dir!Z3/((1/1000)*(up_Irr!Y3+up_Irr!AW3)),IF(AND(up_Irr!Y3&lt;&gt;".",up_Irr!AW3=".",up_Irr!BU3&lt;&gt;"."),up_dir!Z3/((1/1000)*(up_Irr!Y3+up_Irr!BU3)),IF(AND(up_Irr!Y3=".",up_Irr!AW3&lt;&gt;".",up_Irr!BU3&lt;&gt;"."),up_dir!Z3/((1/1000)*(up_Irr!AW3+up_Irr!BU3)),IF(AND(up_Irr!Y3=".",up_Irr!AW3=".",up_Irr!BU3&lt;&gt;"."),up_dir!Z3/((1/1000)*(up_Irr!BU3)),IF(AND(up_Irr!Y3=".",up_Irr!AW3&lt;&gt;".",up_Irr!BU3="."),up_dir!Z3/((1/1000)*(up_Irr!AW3)),IF(AND(up_Irr!Y3&lt;&gt;".",up_Irr!AW3=".",up_Irr!BU3="."),up_dir!Z3/((1/1000)*(up_Irr!Y3)),IF(AND(up_Irr!Y3=".",up_Irr!AW3=".",up_Irr!BU3="."),up_dir!Z3*1000)))))))),".")</f>
        <v>6.5773651144152131E-4</v>
      </c>
      <c r="AA3" s="48">
        <f>IFERROR(IF(AND(up_Irr!Z3&lt;&gt;".",up_Irr!AX3&lt;&gt;".",up_Irr!BV3&lt;&gt;"."),up_dir!AA3/((1/1000)*(up_Irr!Z3+up_Irr!AX3+up_Irr!BV3)),IF(AND(up_Irr!Z3&lt;&gt;".",up_Irr!AX3&lt;&gt;".",up_Irr!BV3="."),up_dir!AA3/((1/1000)*(up_Irr!Z3+up_Irr!AX3)),IF(AND(up_Irr!Z3&lt;&gt;".",up_Irr!AX3=".",up_Irr!BV3&lt;&gt;"."),up_dir!AA3/((1/1000)*(up_Irr!Z3+up_Irr!BV3)),IF(AND(up_Irr!Z3=".",up_Irr!AX3&lt;&gt;".",up_Irr!BV3&lt;&gt;"."),up_dir!AA3/((1/1000)*(up_Irr!AX3+up_Irr!BV3)),IF(AND(up_Irr!Z3=".",up_Irr!AX3=".",up_Irr!BV3&lt;&gt;"."),up_dir!AA3/((1/1000)*(up_Irr!BV3)),IF(AND(up_Irr!Z3=".",up_Irr!AX3&lt;&gt;".",up_Irr!BV3="."),up_dir!AA3/((1/1000)*(up_Irr!AX3)),IF(AND(up_Irr!Z3&lt;&gt;".",up_Irr!AX3=".",up_Irr!BV3="."),up_dir!AA3/((1/1000)*(up_Irr!Z3)),IF(AND(up_Irr!Z3=".",up_Irr!AX3=".",up_Irr!BV3="."),up_dir!AA3*1000)))))))),".")</f>
        <v>6.5773651144152131E-4</v>
      </c>
      <c r="AB3" s="62">
        <f t="shared" ref="AB3:AB30" si="1">SUM(AC3,AY3:AZ3)</f>
        <v>22805.4847785862</v>
      </c>
      <c r="AC3" s="62">
        <f>IFERROR(s_C*s_IFAP_res_adj*s_CF_apple*0.001*(up_Irr!C3+up_Irr!AA3+up_Irr!AY3),".")</f>
        <v>7601.8282595287337</v>
      </c>
      <c r="AD3" s="62">
        <f>IFERROR(s_C*s_IFAS_res_adj*s_CF_asparagus*0.001*(up_Irr!D3+up_Irr!AB3+up_Irr!AZ3),".")</f>
        <v>7601.8282595287337</v>
      </c>
      <c r="AE3" s="62">
        <f>IFERROR(s_C*s_IFBT_res_adj*s_CF_beet*0.001*(up_Irr!E3+up_Irr!AC3+up_Irr!BA3),".")</f>
        <v>7601.8282595287337</v>
      </c>
      <c r="AF3" s="62">
        <f>IFERROR(s_C*s_IFBE_res_adj*s_CF_berries*0.001*(up_Irr!F3+up_Irr!AD3+up_Irr!BB3),".")</f>
        <v>7601.8282595287337</v>
      </c>
      <c r="AG3" s="62">
        <f>IFERROR(s_C*s_IFBR_res_adj*s_CF_broccoli*0.001*(up_Irr!G3+up_Irr!AE3+up_Irr!BC3),".")</f>
        <v>7601.8282595287337</v>
      </c>
      <c r="AH3" s="62">
        <f>IFERROR(s_C*s_IFCB_res_adj*s_CF_cabbage*0.001*(up_Irr!H3+up_Irr!AF3+up_Irr!BD3),".")</f>
        <v>7601.8282595287337</v>
      </c>
      <c r="AI3" s="62">
        <f>IFERROR(s_C*s_IFCR_res_adj*s_CF_carrot*0.001*(up_Irr!I3+up_Irr!AG3+up_Irr!BE3),".")</f>
        <v>7601.8282595287337</v>
      </c>
      <c r="AJ3" s="62">
        <f>IFERROR(s_C*s_IFCI_res_adj*s_CF_citrus*0.001*(up_Irr!J3+up_Irr!AH3+up_Irr!BF3),".")</f>
        <v>7601.8282595287337</v>
      </c>
      <c r="AK3" s="62">
        <f>IFERROR(s_C*s_IFCO_res_adj*s_CF_corn*0.001*(up_Irr!K3+up_Irr!AI3+up_Irr!BG3),".")</f>
        <v>7601.8282595287337</v>
      </c>
      <c r="AL3" s="62">
        <f>IFERROR(s_C*s_IFCU_res_adj*s_CF_cucumber*0.001*(up_Irr!L3+up_Irr!AJ3+up_Irr!BH3),".")</f>
        <v>7601.8282595287337</v>
      </c>
      <c r="AM3" s="62">
        <f>IFERROR(s_C*s_IFLE_res_adj*s_CF_lettuce*0.001*(up_Irr!M3+up_Irr!AK3+up_Irr!BI3),".")</f>
        <v>7601.8282595287337</v>
      </c>
      <c r="AN3" s="62">
        <f>IFERROR(s_C*s_IFLI_res_adj*s_CF_lima_bean*0.001*(up_Irr!N3+up_Irr!AL3+up_Irr!BJ3),".")</f>
        <v>7601.8282595287337</v>
      </c>
      <c r="AO3" s="62">
        <f>IFERROR(s_C*s_IFOK_res_adj*s_CF_okra*0.001*(up_Irr!O3+up_Irr!AM3+up_Irr!BK3),".")</f>
        <v>7601.8282595287337</v>
      </c>
      <c r="AP3" s="62">
        <f>IFERROR(s_C*s_IFON_res_adj*s_CF_onion*0.001*(up_Irr!P3+up_Irr!AN3+up_Irr!BL3),".")</f>
        <v>7601.8282595287337</v>
      </c>
      <c r="AQ3" s="62">
        <f>IFERROR(s_C*s_IFPC_res_adj*s_CF_peach*0.001*(up_Irr!Q3+up_Irr!AO3+up_Irr!BM3),".")</f>
        <v>7601.8282595287337</v>
      </c>
      <c r="AR3" s="62">
        <f>IFERROR(s_C*s_IFPR_res_adj*s_CF_pear*0.001*(up_Irr!R3+up_Irr!AP3+up_Irr!BN3),".")</f>
        <v>7601.8282595287337</v>
      </c>
      <c r="AS3" s="62">
        <f>IFERROR(s_C*s_IFPE_res_adj*s_CF_peas*0.001*(up_Irr!S3+up_Irr!AQ3+up_Irr!BO3),".")</f>
        <v>7601.8282595287337</v>
      </c>
      <c r="AT3" s="62">
        <f>IFERROR(s_C*s_IFPT_res_adj*s_CF_potato*0.001*(up_Irr!T3+up_Irr!AR3+up_Irr!BP3),".")</f>
        <v>7601.8282595287337</v>
      </c>
      <c r="AU3" s="62">
        <f>IFERROR(s_C*s_IFPU_res_adj*s_CF_pumpkin*0.001*(up_Irr!U3+up_Irr!AS3+up_Irr!BQ3),".")</f>
        <v>7601.8282595287337</v>
      </c>
      <c r="AV3" s="62">
        <f>IFERROR(s_C*s_IFSN_res_adj*s_CF_snap_bean*0.001*(up_Irr!V3+up_Irr!AT3+up_Irr!BR3),".")</f>
        <v>7601.8282595287337</v>
      </c>
      <c r="AW3" s="62">
        <f>IFERROR(s_C*s_IFST_res_adj*s_CF_strawberry*0.001*(up_Irr!W3+up_Irr!AU3+up_Irr!BS3),".")</f>
        <v>7601.8282595287337</v>
      </c>
      <c r="AX3" s="62">
        <f>IFERROR(s_C*s_IFTO_res_adj*s_CF_tomato*0.001*(up_Irr!X3+up_Irr!AV3+up_Irr!BT3),".")</f>
        <v>7601.8282595287337</v>
      </c>
      <c r="AY3" s="62">
        <f>IFERROR(s_C*s_IFRI_res_adj*s_CF_rice*0.001*(up_Irr!Y3+up_Irr!AW3+up_Irr!BU3),".")</f>
        <v>7601.8282595287337</v>
      </c>
      <c r="AZ3" s="62">
        <f>IFERROR(s_C*s_IFCG_res_adj*s_CF_cereal*0.001*(up_Irr!Z3+up_Irr!AX3+up_Irr!BV3),".")</f>
        <v>7601.8282595287337</v>
      </c>
      <c r="BA3" s="48">
        <f t="shared" ref="BA3:BA66" si="2">IFERROR(1/SUM(1/BB3,1/BX3,1/BY3),".")</f>
        <v>2.1924550381384044E-4</v>
      </c>
      <c r="BB3" s="48">
        <f>IFERROR(IF(AND(up_Irr!C3&lt;&gt;".",up_Irr!AA3&lt;&gt;".",up_Irr!AY3&lt;&gt;"."),up_dir!AC3/((1/1000)*(up_Irr!C3+up_Irr!AA3+up_Irr!AY3)),IF(AND(up_Irr!C3&lt;&gt;".",up_Irr!AA3&lt;&gt;".",up_Irr!AY3="."),up_dir!AC3/((1/1000)*(up_Irr!C3+up_Irr!AA3)),IF(AND(up_Irr!C3&lt;&gt;".",up_Irr!AA3=".",up_Irr!AY3&lt;&gt;"."),up_dir!AC3/((1/1000)*(up_Irr!C3+up_Irr!AY3)),IF(AND(up_Irr!C3=".",up_Irr!AA3&lt;&gt;".",up_Irr!AY3&lt;&gt;"."),up_dir!AC3/((1/1000)*(up_Irr!AA3+up_Irr!AY3)),IF(AND(up_Irr!C3=".",up_Irr!AA3=".",up_Irr!AY3&lt;&gt;"."),up_dir!AC3/((1/1000)*(up_Irr!AY3)),IF(AND(up_Irr!C3=".",up_Irr!AA3&lt;&gt;".",up_Irr!AY3="."),up_dir!AC3/((1/1000)*(up_Irr!AA3)),IF(AND(up_Irr!C3&lt;&gt;".",up_Irr!AA3=".",up_Irr!AY3="."),up_dir!AC3/((1/1000)*(up_Irr!C3)),IF(AND(up_Irr!C3=".",up_Irr!AA3=".",up_Irr!AY3="."),up_dir!AC3*1000)))))))),".")</f>
        <v>6.5773651144152131E-4</v>
      </c>
      <c r="BC3" s="48">
        <f>IFERROR(IF(AND(up_Irr!D3&lt;&gt;".",up_Irr!AB3&lt;&gt;".",up_Irr!AZ3&lt;&gt;"."),up_dir!AD3/((1/1000)*(up_Irr!D3+up_Irr!AB3+up_Irr!AZ3)),IF(AND(up_Irr!D3&lt;&gt;".",up_Irr!AB3&lt;&gt;".",up_Irr!AZ3="."),up_dir!AD3/((1/1000)*(up_Irr!D3+up_Irr!AB3)),IF(AND(up_Irr!D3&lt;&gt;".",up_Irr!AB3=".",up_Irr!AZ3&lt;&gt;"."),up_dir!AD3/((1/1000)*(up_Irr!D3+up_Irr!AZ3)),IF(AND(up_Irr!D3=".",up_Irr!AB3&lt;&gt;".",up_Irr!AZ3&lt;&gt;"."),up_dir!AD3/((1/1000)*(up_Irr!AB3+up_Irr!AZ3)),IF(AND(up_Irr!D3=".",up_Irr!AB3=".",up_Irr!AZ3&lt;&gt;"."),up_dir!AD3/((1/1000)*(up_Irr!AZ3)),IF(AND(up_Irr!D3=".",up_Irr!AB3&lt;&gt;".",up_Irr!AZ3="."),up_dir!AD3/((1/1000)*(up_Irr!AB3)),IF(AND(up_Irr!D3&lt;&gt;".",up_Irr!AB3=".",up_Irr!AZ3="."),up_dir!AD3/((1/1000)*(up_Irr!D3)),IF(AND(up_Irr!D3=".",up_Irr!AB3=".",up_Irr!AZ3="."),up_dir!AD3*1000)))))))),".")</f>
        <v>6.5773651144152131E-4</v>
      </c>
      <c r="BD3" s="48">
        <f>IFERROR(IF(AND(up_Irr!E3&lt;&gt;".",up_Irr!AC3&lt;&gt;".",up_Irr!BA3&lt;&gt;"."),up_dir!AE3/((1/1000)*(up_Irr!E3+up_Irr!AC3+up_Irr!BA3)),IF(AND(up_Irr!E3&lt;&gt;".",up_Irr!AC3&lt;&gt;".",up_Irr!BA3="."),up_dir!AE3/((1/1000)*(up_Irr!E3+up_Irr!AC3)),IF(AND(up_Irr!E3&lt;&gt;".",up_Irr!AC3=".",up_Irr!BA3&lt;&gt;"."),up_dir!AE3/((1/1000)*(up_Irr!E3+up_Irr!BA3)),IF(AND(up_Irr!E3=".",up_Irr!AC3&lt;&gt;".",up_Irr!BA3&lt;&gt;"."),up_dir!AE3/((1/1000)*(up_Irr!AC3+up_Irr!BA3)),IF(AND(up_Irr!E3=".",up_Irr!AC3=".",up_Irr!BA3&lt;&gt;"."),up_dir!AE3/((1/1000)*(up_Irr!BA3)),IF(AND(up_Irr!E3=".",up_Irr!AC3&lt;&gt;".",up_Irr!BA3="."),up_dir!AE3/((1/1000)*(up_Irr!AC3)),IF(AND(up_Irr!E3&lt;&gt;".",up_Irr!AC3=".",up_Irr!BA3="."),up_dir!AE3/((1/1000)*(up_Irr!E3)),IF(AND(up_Irr!E3=".",up_Irr!AC3=".",up_Irr!BA3="."),up_dir!AE3*1000)))))))),".")</f>
        <v>6.5773651144152131E-4</v>
      </c>
      <c r="BE3" s="48">
        <f>IFERROR(IF(AND(up_Irr!F3&lt;&gt;".",up_Irr!AD3&lt;&gt;".",up_Irr!BB3&lt;&gt;"."),up_dir!AF3/((1/1000)*(up_Irr!F3+up_Irr!AD3+up_Irr!BB3)),IF(AND(up_Irr!F3&lt;&gt;".",up_Irr!AD3&lt;&gt;".",up_Irr!BB3="."),up_dir!AF3/((1/1000)*(up_Irr!F3+up_Irr!AD3)),IF(AND(up_Irr!F3&lt;&gt;".",up_Irr!AD3=".",up_Irr!BB3&lt;&gt;"."),up_dir!AF3/((1/1000)*(up_Irr!F3+up_Irr!BB3)),IF(AND(up_Irr!F3=".",up_Irr!AD3&lt;&gt;".",up_Irr!BB3&lt;&gt;"."),up_dir!AF3/((1/1000)*(up_Irr!AD3+up_Irr!BB3)),IF(AND(up_Irr!F3=".",up_Irr!AD3=".",up_Irr!BB3&lt;&gt;"."),up_dir!AF3/((1/1000)*(up_Irr!BB3)),IF(AND(up_Irr!F3=".",up_Irr!AD3&lt;&gt;".",up_Irr!BB3="."),up_dir!AF3/((1/1000)*(up_Irr!AD3)),IF(AND(up_Irr!F3&lt;&gt;".",up_Irr!AD3=".",up_Irr!BB3="."),up_dir!AF3/((1/1000)*(up_Irr!F3)),IF(AND(up_Irr!F3=".",up_Irr!AD3=".",up_Irr!BB3="."),up_dir!AF3*1000)))))))),".")</f>
        <v>6.5773651144152131E-4</v>
      </c>
      <c r="BF3" s="48">
        <f>IFERROR(IF(AND(up_Irr!G3&lt;&gt;".",up_Irr!AE3&lt;&gt;".",up_Irr!BC3&lt;&gt;"."),up_dir!AG3/((1/1000)*(up_Irr!G3+up_Irr!AE3+up_Irr!BC3)),IF(AND(up_Irr!G3&lt;&gt;".",up_Irr!AE3&lt;&gt;".",up_Irr!BC3="."),up_dir!AG3/((1/1000)*(up_Irr!G3+up_Irr!AE3)),IF(AND(up_Irr!G3&lt;&gt;".",up_Irr!AE3=".",up_Irr!BC3&lt;&gt;"."),up_dir!AG3/((1/1000)*(up_Irr!G3+up_Irr!BC3)),IF(AND(up_Irr!G3=".",up_Irr!AE3&lt;&gt;".",up_Irr!BC3&lt;&gt;"."),up_dir!AG3/((1/1000)*(up_Irr!AE3+up_Irr!BC3)),IF(AND(up_Irr!G3=".",up_Irr!AE3=".",up_Irr!BC3&lt;&gt;"."),up_dir!AG3/((1/1000)*(up_Irr!BC3)),IF(AND(up_Irr!G3=".",up_Irr!AE3&lt;&gt;".",up_Irr!BC3="."),up_dir!AG3/((1/1000)*(up_Irr!AE3)),IF(AND(up_Irr!G3&lt;&gt;".",up_Irr!AE3=".",up_Irr!BC3="."),up_dir!AG3/((1/1000)*(up_Irr!G3)),IF(AND(up_Irr!G3=".",up_Irr!AE3=".",up_Irr!BC3="."),up_dir!AG3*1000)))))))),".")</f>
        <v>6.5773651144152131E-4</v>
      </c>
      <c r="BG3" s="48">
        <f>IFERROR(IF(AND(up_Irr!H3&lt;&gt;".",up_Irr!AF3&lt;&gt;".",up_Irr!BD3&lt;&gt;"."),up_dir!AH3/((1/1000)*(up_Irr!H3+up_Irr!AF3+up_Irr!BD3)),IF(AND(up_Irr!H3&lt;&gt;".",up_Irr!AF3&lt;&gt;".",up_Irr!BD3="."),up_dir!AH3/((1/1000)*(up_Irr!H3+up_Irr!AF3)),IF(AND(up_Irr!H3&lt;&gt;".",up_Irr!AF3=".",up_Irr!BD3&lt;&gt;"."),up_dir!AH3/((1/1000)*(up_Irr!H3+up_Irr!BD3)),IF(AND(up_Irr!H3=".",up_Irr!AF3&lt;&gt;".",up_Irr!BD3&lt;&gt;"."),up_dir!AH3/((1/1000)*(up_Irr!AF3+up_Irr!BD3)),IF(AND(up_Irr!H3=".",up_Irr!AF3=".",up_Irr!BD3&lt;&gt;"."),up_dir!AH3/((1/1000)*(up_Irr!BD3)),IF(AND(up_Irr!H3=".",up_Irr!AF3&lt;&gt;".",up_Irr!BD3="."),up_dir!AH3/((1/1000)*(up_Irr!AF3)),IF(AND(up_Irr!H3&lt;&gt;".",up_Irr!AF3=".",up_Irr!BD3="."),up_dir!AH3/((1/1000)*(up_Irr!H3)),IF(AND(up_Irr!H3=".",up_Irr!AF3=".",up_Irr!BD3="."),up_dir!AH3*1000)))))))),".")</f>
        <v>6.5773651144152131E-4</v>
      </c>
      <c r="BH3" s="48">
        <f>IFERROR(IF(AND(up_Irr!I3&lt;&gt;".",up_Irr!AG3&lt;&gt;".",up_Irr!BE3&lt;&gt;"."),up_dir!AI3/((1/1000)*(up_Irr!I3+up_Irr!AG3+up_Irr!BE3)),IF(AND(up_Irr!I3&lt;&gt;".",up_Irr!AG3&lt;&gt;".",up_Irr!BE3="."),up_dir!AI3/((1/1000)*(up_Irr!I3+up_Irr!AG3)),IF(AND(up_Irr!I3&lt;&gt;".",up_Irr!AG3=".",up_Irr!BE3&lt;&gt;"."),up_dir!AI3/((1/1000)*(up_Irr!I3+up_Irr!BE3)),IF(AND(up_Irr!I3=".",up_Irr!AG3&lt;&gt;".",up_Irr!BE3&lt;&gt;"."),up_dir!AI3/((1/1000)*(up_Irr!AG3+up_Irr!BE3)),IF(AND(up_Irr!I3=".",up_Irr!AG3=".",up_Irr!BE3&lt;&gt;"."),up_dir!AI3/((1/1000)*(up_Irr!BE3)),IF(AND(up_Irr!I3=".",up_Irr!AG3&lt;&gt;".",up_Irr!BE3="."),up_dir!AI3/((1/1000)*(up_Irr!AG3)),IF(AND(up_Irr!I3&lt;&gt;".",up_Irr!AG3=".",up_Irr!BE3="."),up_dir!AI3/((1/1000)*(up_Irr!I3)),IF(AND(up_Irr!I3=".",up_Irr!AG3=".",up_Irr!BE3="."),up_dir!AI3*1000)))))))),".")</f>
        <v>6.5773651144152131E-4</v>
      </c>
      <c r="BI3" s="48">
        <f>IFERROR(IF(AND(up_Irr!J3&lt;&gt;".",up_Irr!AH3&lt;&gt;".",up_Irr!BF3&lt;&gt;"."),up_dir!AJ3/((1/1000)*(up_Irr!J3+up_Irr!AH3+up_Irr!BF3)),IF(AND(up_Irr!J3&lt;&gt;".",up_Irr!AH3&lt;&gt;".",up_Irr!BF3="."),up_dir!AJ3/((1/1000)*(up_Irr!J3+up_Irr!AH3)),IF(AND(up_Irr!J3&lt;&gt;".",up_Irr!AH3=".",up_Irr!BF3&lt;&gt;"."),up_dir!AJ3/((1/1000)*(up_Irr!J3+up_Irr!BF3)),IF(AND(up_Irr!J3=".",up_Irr!AH3&lt;&gt;".",up_Irr!BF3&lt;&gt;"."),up_dir!AJ3/((1/1000)*(up_Irr!AH3+up_Irr!BF3)),IF(AND(up_Irr!J3=".",up_Irr!AH3=".",up_Irr!BF3&lt;&gt;"."),up_dir!AJ3/((1/1000)*(up_Irr!BF3)),IF(AND(up_Irr!J3=".",up_Irr!AH3&lt;&gt;".",up_Irr!BF3="."),up_dir!AJ3/((1/1000)*(up_Irr!AH3)),IF(AND(up_Irr!J3&lt;&gt;".",up_Irr!AH3=".",up_Irr!BF3="."),up_dir!AJ3/((1/1000)*(up_Irr!J3)),IF(AND(up_Irr!J3=".",up_Irr!AH3=".",up_Irr!BF3="."),up_dir!AJ3*1000)))))))),".")</f>
        <v>6.5773651144152131E-4</v>
      </c>
      <c r="BJ3" s="48">
        <f>IFERROR(IF(AND(up_Irr!K3&lt;&gt;".",up_Irr!AI3&lt;&gt;".",up_Irr!BG3&lt;&gt;"."),up_dir!AK3/((1/1000)*(up_Irr!K3+up_Irr!AI3+up_Irr!BG3)),IF(AND(up_Irr!K3&lt;&gt;".",up_Irr!AI3&lt;&gt;".",up_Irr!BG3="."),up_dir!AK3/((1/1000)*(up_Irr!K3+up_Irr!AI3)),IF(AND(up_Irr!K3&lt;&gt;".",up_Irr!AI3=".",up_Irr!BG3&lt;&gt;"."),up_dir!AK3/((1/1000)*(up_Irr!K3+up_Irr!BG3)),IF(AND(up_Irr!K3=".",up_Irr!AI3&lt;&gt;".",up_Irr!BG3&lt;&gt;"."),up_dir!AK3/((1/1000)*(up_Irr!AI3+up_Irr!BG3)),IF(AND(up_Irr!K3=".",up_Irr!AI3=".",up_Irr!BG3&lt;&gt;"."),up_dir!AK3/((1/1000)*(up_Irr!BG3)),IF(AND(up_Irr!K3=".",up_Irr!AI3&lt;&gt;".",up_Irr!BG3="."),up_dir!AK3/((1/1000)*(up_Irr!AI3)),IF(AND(up_Irr!K3&lt;&gt;".",up_Irr!AI3=".",up_Irr!BG3="."),up_dir!AK3/((1/1000)*(up_Irr!K3)),IF(AND(up_Irr!K3=".",up_Irr!AI3=".",up_Irr!BG3="."),up_dir!AK3*1000)))))))),".")</f>
        <v>6.5773651144152131E-4</v>
      </c>
      <c r="BK3" s="48">
        <f>IFERROR(IF(AND(up_Irr!L3&lt;&gt;".",up_Irr!AJ3&lt;&gt;".",up_Irr!BH3&lt;&gt;"."),up_dir!AL3/((1/1000)*(up_Irr!L3+up_Irr!AJ3+up_Irr!BH3)),IF(AND(up_Irr!L3&lt;&gt;".",up_Irr!AJ3&lt;&gt;".",up_Irr!BH3="."),up_dir!AL3/((1/1000)*(up_Irr!L3+up_Irr!AJ3)),IF(AND(up_Irr!L3&lt;&gt;".",up_Irr!AJ3=".",up_Irr!BH3&lt;&gt;"."),up_dir!AL3/((1/1000)*(up_Irr!L3+up_Irr!BH3)),IF(AND(up_Irr!L3=".",up_Irr!AJ3&lt;&gt;".",up_Irr!BH3&lt;&gt;"."),up_dir!AL3/((1/1000)*(up_Irr!AJ3+up_Irr!BH3)),IF(AND(up_Irr!L3=".",up_Irr!AJ3=".",up_Irr!BH3&lt;&gt;"."),up_dir!AL3/((1/1000)*(up_Irr!BH3)),IF(AND(up_Irr!L3=".",up_Irr!AJ3&lt;&gt;".",up_Irr!BH3="."),up_dir!AL3/((1/1000)*(up_Irr!AJ3)),IF(AND(up_Irr!L3&lt;&gt;".",up_Irr!AJ3=".",up_Irr!BH3="."),up_dir!AL3/((1/1000)*(up_Irr!L3)),IF(AND(up_Irr!L3=".",up_Irr!AJ3=".",up_Irr!BH3="."),up_dir!AL3*1000)))))))),".")</f>
        <v>6.5773651144152131E-4</v>
      </c>
      <c r="BL3" s="48">
        <f>IFERROR(IF(AND(up_Irr!M3&lt;&gt;".",up_Irr!AK3&lt;&gt;".",up_Irr!BI3&lt;&gt;"."),up_dir!AM3/((1/1000)*(up_Irr!M3+up_Irr!AK3+up_Irr!BI3)),IF(AND(up_Irr!M3&lt;&gt;".",up_Irr!AK3&lt;&gt;".",up_Irr!BI3="."),up_dir!AM3/((1/1000)*(up_Irr!M3+up_Irr!AK3)),IF(AND(up_Irr!M3&lt;&gt;".",up_Irr!AK3=".",up_Irr!BI3&lt;&gt;"."),up_dir!AM3/((1/1000)*(up_Irr!M3+up_Irr!BI3)),IF(AND(up_Irr!M3=".",up_Irr!AK3&lt;&gt;".",up_Irr!BI3&lt;&gt;"."),up_dir!AM3/((1/1000)*(up_Irr!AK3+up_Irr!BI3)),IF(AND(up_Irr!M3=".",up_Irr!AK3=".",up_Irr!BI3&lt;&gt;"."),up_dir!AM3/((1/1000)*(up_Irr!BI3)),IF(AND(up_Irr!M3=".",up_Irr!AK3&lt;&gt;".",up_Irr!BI3="."),up_dir!AM3/((1/1000)*(up_Irr!AK3)),IF(AND(up_Irr!M3&lt;&gt;".",up_Irr!AK3=".",up_Irr!BI3="."),up_dir!AM3/((1/1000)*(up_Irr!M3)),IF(AND(up_Irr!M3=".",up_Irr!AK3=".",up_Irr!BI3="."),up_dir!AM3*1000)))))))),".")</f>
        <v>6.5773651144152131E-4</v>
      </c>
      <c r="BM3" s="48">
        <f>IFERROR(IF(AND(up_Irr!N3&lt;&gt;".",up_Irr!AL3&lt;&gt;".",up_Irr!BJ3&lt;&gt;"."),up_dir!AN3/((1/1000)*(up_Irr!N3+up_Irr!AL3+up_Irr!BJ3)),IF(AND(up_Irr!N3&lt;&gt;".",up_Irr!AL3&lt;&gt;".",up_Irr!BJ3="."),up_dir!AN3/((1/1000)*(up_Irr!N3+up_Irr!AL3)),IF(AND(up_Irr!N3&lt;&gt;".",up_Irr!AL3=".",up_Irr!BJ3&lt;&gt;"."),up_dir!AN3/((1/1000)*(up_Irr!N3+up_Irr!BJ3)),IF(AND(up_Irr!N3=".",up_Irr!AL3&lt;&gt;".",up_Irr!BJ3&lt;&gt;"."),up_dir!AN3/((1/1000)*(up_Irr!AL3+up_Irr!BJ3)),IF(AND(up_Irr!N3=".",up_Irr!AL3=".",up_Irr!BJ3&lt;&gt;"."),up_dir!AN3/((1/1000)*(up_Irr!BJ3)),IF(AND(up_Irr!N3=".",up_Irr!AL3&lt;&gt;".",up_Irr!BJ3="."),up_dir!AN3/((1/1000)*(up_Irr!AL3)),IF(AND(up_Irr!N3&lt;&gt;".",up_Irr!AL3=".",up_Irr!BJ3="."),up_dir!AN3/((1/1000)*(up_Irr!N3)),IF(AND(up_Irr!N3=".",up_Irr!AL3=".",up_Irr!BJ3="."),up_dir!AN3*1000)))))))),".")</f>
        <v>6.5773651144152131E-4</v>
      </c>
      <c r="BN3" s="48">
        <f>IFERROR(IF(AND(up_Irr!O3&lt;&gt;".",up_Irr!AM3&lt;&gt;".",up_Irr!BK3&lt;&gt;"."),up_dir!AO3/((1/1000)*(up_Irr!O3+up_Irr!AM3+up_Irr!BK3)),IF(AND(up_Irr!O3&lt;&gt;".",up_Irr!AM3&lt;&gt;".",up_Irr!BK3="."),up_dir!AO3/((1/1000)*(up_Irr!O3+up_Irr!AM3)),IF(AND(up_Irr!O3&lt;&gt;".",up_Irr!AM3=".",up_Irr!BK3&lt;&gt;"."),up_dir!AO3/((1/1000)*(up_Irr!O3+up_Irr!BK3)),IF(AND(up_Irr!O3=".",up_Irr!AM3&lt;&gt;".",up_Irr!BK3&lt;&gt;"."),up_dir!AO3/((1/1000)*(up_Irr!AM3+up_Irr!BK3)),IF(AND(up_Irr!O3=".",up_Irr!AM3=".",up_Irr!BK3&lt;&gt;"."),up_dir!AO3/((1/1000)*(up_Irr!BK3)),IF(AND(up_Irr!O3=".",up_Irr!AM3&lt;&gt;".",up_Irr!BK3="."),up_dir!AO3/((1/1000)*(up_Irr!AM3)),IF(AND(up_Irr!O3&lt;&gt;".",up_Irr!AM3=".",up_Irr!BK3="."),up_dir!AO3/((1/1000)*(up_Irr!O3)),IF(AND(up_Irr!O3=".",up_Irr!AM3=".",up_Irr!BK3="."),up_dir!AO3*1000)))))))),".")</f>
        <v>6.5773651144152131E-4</v>
      </c>
      <c r="BO3" s="48">
        <f>IFERROR(IF(AND(up_Irr!P3&lt;&gt;".",up_Irr!AN3&lt;&gt;".",up_Irr!BL3&lt;&gt;"."),up_dir!AP3/((1/1000)*(up_Irr!P3+up_Irr!AN3+up_Irr!BL3)),IF(AND(up_Irr!P3&lt;&gt;".",up_Irr!AN3&lt;&gt;".",up_Irr!BL3="."),up_dir!AP3/((1/1000)*(up_Irr!P3+up_Irr!AN3)),IF(AND(up_Irr!P3&lt;&gt;".",up_Irr!AN3=".",up_Irr!BL3&lt;&gt;"."),up_dir!AP3/((1/1000)*(up_Irr!P3+up_Irr!BL3)),IF(AND(up_Irr!P3=".",up_Irr!AN3&lt;&gt;".",up_Irr!BL3&lt;&gt;"."),up_dir!AP3/((1/1000)*(up_Irr!AN3+up_Irr!BL3)),IF(AND(up_Irr!P3=".",up_Irr!AN3=".",up_Irr!BL3&lt;&gt;"."),up_dir!AP3/((1/1000)*(up_Irr!BL3)),IF(AND(up_Irr!P3=".",up_Irr!AN3&lt;&gt;".",up_Irr!BL3="."),up_dir!AP3/((1/1000)*(up_Irr!AN3)),IF(AND(up_Irr!P3&lt;&gt;".",up_Irr!AN3=".",up_Irr!BL3="."),up_dir!AP3/((1/1000)*(up_Irr!P3)),IF(AND(up_Irr!P3=".",up_Irr!AN3=".",up_Irr!BL3="."),up_dir!AP3*1000)))))))),".")</f>
        <v>6.5773651144152131E-4</v>
      </c>
      <c r="BP3" s="48">
        <f>IFERROR(IF(AND(up_Irr!Q3&lt;&gt;".",up_Irr!AO3&lt;&gt;".",up_Irr!BM3&lt;&gt;"."),up_dir!AQ3/((1/1000)*(up_Irr!Q3+up_Irr!AO3+up_Irr!BM3)),IF(AND(up_Irr!Q3&lt;&gt;".",up_Irr!AO3&lt;&gt;".",up_Irr!BM3="."),up_dir!AQ3/((1/1000)*(up_Irr!Q3+up_Irr!AO3)),IF(AND(up_Irr!Q3&lt;&gt;".",up_Irr!AO3=".",up_Irr!BM3&lt;&gt;"."),up_dir!AQ3/((1/1000)*(up_Irr!Q3+up_Irr!BM3)),IF(AND(up_Irr!Q3=".",up_Irr!AO3&lt;&gt;".",up_Irr!BM3&lt;&gt;"."),up_dir!AQ3/((1/1000)*(up_Irr!AO3+up_Irr!BM3)),IF(AND(up_Irr!Q3=".",up_Irr!AO3=".",up_Irr!BM3&lt;&gt;"."),up_dir!AQ3/((1/1000)*(up_Irr!BM3)),IF(AND(up_Irr!Q3=".",up_Irr!AO3&lt;&gt;".",up_Irr!BM3="."),up_dir!AQ3/((1/1000)*(up_Irr!AO3)),IF(AND(up_Irr!Q3&lt;&gt;".",up_Irr!AO3=".",up_Irr!BM3="."),up_dir!AQ3/((1/1000)*(up_Irr!Q3)),IF(AND(up_Irr!Q3=".",up_Irr!AO3=".",up_Irr!BM3="."),up_dir!AQ3*1000)))))))),".")</f>
        <v>6.5773651144152131E-4</v>
      </c>
      <c r="BQ3" s="48">
        <f>IFERROR(IF(AND(up_Irr!R3&lt;&gt;".",up_Irr!AP3&lt;&gt;".",up_Irr!BN3&lt;&gt;"."),up_dir!AR3/((1/1000)*(up_Irr!R3+up_Irr!AP3+up_Irr!BN3)),IF(AND(up_Irr!R3&lt;&gt;".",up_Irr!AP3&lt;&gt;".",up_Irr!BN3="."),up_dir!AR3/((1/1000)*(up_Irr!R3+up_Irr!AP3)),IF(AND(up_Irr!R3&lt;&gt;".",up_Irr!AP3=".",up_Irr!BN3&lt;&gt;"."),up_dir!AR3/((1/1000)*(up_Irr!R3+up_Irr!BN3)),IF(AND(up_Irr!R3=".",up_Irr!AP3&lt;&gt;".",up_Irr!BN3&lt;&gt;"."),up_dir!AR3/((1/1000)*(up_Irr!AP3+up_Irr!BN3)),IF(AND(up_Irr!R3=".",up_Irr!AP3=".",up_Irr!BN3&lt;&gt;"."),up_dir!AR3/((1/1000)*(up_Irr!BN3)),IF(AND(up_Irr!R3=".",up_Irr!AP3&lt;&gt;".",up_Irr!BN3="."),up_dir!AR3/((1/1000)*(up_Irr!AP3)),IF(AND(up_Irr!R3&lt;&gt;".",up_Irr!AP3=".",up_Irr!BN3="."),up_dir!AR3/((1/1000)*(up_Irr!R3)),IF(AND(up_Irr!R3=".",up_Irr!AP3=".",up_Irr!BN3="."),up_dir!AR3*1000)))))))),".")</f>
        <v>6.5773651144152131E-4</v>
      </c>
      <c r="BR3" s="48">
        <f>IFERROR(IF(AND(up_Irr!S3&lt;&gt;".",up_Irr!AQ3&lt;&gt;".",up_Irr!BO3&lt;&gt;"."),up_dir!AS3/((1/1000)*(up_Irr!S3+up_Irr!AQ3+up_Irr!BO3)),IF(AND(up_Irr!S3&lt;&gt;".",up_Irr!AQ3&lt;&gt;".",up_Irr!BO3="."),up_dir!AS3/((1/1000)*(up_Irr!S3+up_Irr!AQ3)),IF(AND(up_Irr!S3&lt;&gt;".",up_Irr!AQ3=".",up_Irr!BO3&lt;&gt;"."),up_dir!AS3/((1/1000)*(up_Irr!S3+up_Irr!BO3)),IF(AND(up_Irr!S3=".",up_Irr!AQ3&lt;&gt;".",up_Irr!BO3&lt;&gt;"."),up_dir!AS3/((1/1000)*(up_Irr!AQ3+up_Irr!BO3)),IF(AND(up_Irr!S3=".",up_Irr!AQ3=".",up_Irr!BO3&lt;&gt;"."),up_dir!AS3/((1/1000)*(up_Irr!BO3)),IF(AND(up_Irr!S3=".",up_Irr!AQ3&lt;&gt;".",up_Irr!BO3="."),up_dir!AS3/((1/1000)*(up_Irr!AQ3)),IF(AND(up_Irr!S3&lt;&gt;".",up_Irr!AQ3=".",up_Irr!BO3="."),up_dir!AS3/((1/1000)*(up_Irr!S3)),IF(AND(up_Irr!S3=".",up_Irr!AQ3=".",up_Irr!BO3="."),up_dir!AS3*1000)))))))),".")</f>
        <v>6.5773651144152131E-4</v>
      </c>
      <c r="BS3" s="48">
        <f>IFERROR(IF(AND(up_Irr!T3&lt;&gt;".",up_Irr!AR3&lt;&gt;".",up_Irr!BP3&lt;&gt;"."),up_dir!AT3/((1/1000)*(up_Irr!T3+up_Irr!AR3+up_Irr!BP3)),IF(AND(up_Irr!T3&lt;&gt;".",up_Irr!AR3&lt;&gt;".",up_Irr!BP3="."),up_dir!AT3/((1/1000)*(up_Irr!T3+up_Irr!AR3)),IF(AND(up_Irr!T3&lt;&gt;".",up_Irr!AR3=".",up_Irr!BP3&lt;&gt;"."),up_dir!AT3/((1/1000)*(up_Irr!T3+up_Irr!BP3)),IF(AND(up_Irr!T3=".",up_Irr!AR3&lt;&gt;".",up_Irr!BP3&lt;&gt;"."),up_dir!AT3/((1/1000)*(up_Irr!AR3+up_Irr!BP3)),IF(AND(up_Irr!T3=".",up_Irr!AR3=".",up_Irr!BP3&lt;&gt;"."),up_dir!AT3/((1/1000)*(up_Irr!BP3)),IF(AND(up_Irr!T3=".",up_Irr!AR3&lt;&gt;".",up_Irr!BP3="."),up_dir!AT3/((1/1000)*(up_Irr!AR3)),IF(AND(up_Irr!T3&lt;&gt;".",up_Irr!AR3=".",up_Irr!BP3="."),up_dir!AT3/((1/1000)*(up_Irr!T3)),IF(AND(up_Irr!T3=".",up_Irr!AR3=".",up_Irr!BP3="."),up_dir!AT3*1000)))))))),".")</f>
        <v>6.5773651144152131E-4</v>
      </c>
      <c r="BT3" s="48">
        <f>IFERROR(IF(AND(up_Irr!U3&lt;&gt;".",up_Irr!AS3&lt;&gt;".",up_Irr!BQ3&lt;&gt;"."),up_dir!AU3/((1/1000)*(up_Irr!U3+up_Irr!AS3+up_Irr!BQ3)),IF(AND(up_Irr!U3&lt;&gt;".",up_Irr!AS3&lt;&gt;".",up_Irr!BQ3="."),up_dir!AU3/((1/1000)*(up_Irr!U3+up_Irr!AS3)),IF(AND(up_Irr!U3&lt;&gt;".",up_Irr!AS3=".",up_Irr!BQ3&lt;&gt;"."),up_dir!AU3/((1/1000)*(up_Irr!U3+up_Irr!BQ3)),IF(AND(up_Irr!U3=".",up_Irr!AS3&lt;&gt;".",up_Irr!BQ3&lt;&gt;"."),up_dir!AU3/((1/1000)*(up_Irr!AS3+up_Irr!BQ3)),IF(AND(up_Irr!U3=".",up_Irr!AS3=".",up_Irr!BQ3&lt;&gt;"."),up_dir!AU3/((1/1000)*(up_Irr!BQ3)),IF(AND(up_Irr!U3=".",up_Irr!AS3&lt;&gt;".",up_Irr!BQ3="."),up_dir!AU3/((1/1000)*(up_Irr!AS3)),IF(AND(up_Irr!U3&lt;&gt;".",up_Irr!AS3=".",up_Irr!BQ3="."),up_dir!AU3/((1/1000)*(up_Irr!U3)),IF(AND(up_Irr!U3=".",up_Irr!AS3=".",up_Irr!BQ3="."),up_dir!AU3*1000)))))))),".")</f>
        <v>6.5773651144152131E-4</v>
      </c>
      <c r="BU3" s="48">
        <f>IFERROR(IF(AND(up_Irr!V3&lt;&gt;".",up_Irr!AT3&lt;&gt;".",up_Irr!BR3&lt;&gt;"."),up_dir!AV3/((1/1000)*(up_Irr!V3+up_Irr!AT3+up_Irr!BR3)),IF(AND(up_Irr!V3&lt;&gt;".",up_Irr!AT3&lt;&gt;".",up_Irr!BR3="."),up_dir!AV3/((1/1000)*(up_Irr!V3+up_Irr!AT3)),IF(AND(up_Irr!V3&lt;&gt;".",up_Irr!AT3=".",up_Irr!BR3&lt;&gt;"."),up_dir!AV3/((1/1000)*(up_Irr!V3+up_Irr!BR3)),IF(AND(up_Irr!V3=".",up_Irr!AT3&lt;&gt;".",up_Irr!BR3&lt;&gt;"."),up_dir!AV3/((1/1000)*(up_Irr!AT3+up_Irr!BR3)),IF(AND(up_Irr!V3=".",up_Irr!AT3=".",up_Irr!BR3&lt;&gt;"."),up_dir!AV3/((1/1000)*(up_Irr!BR3)),IF(AND(up_Irr!V3=".",up_Irr!AT3&lt;&gt;".",up_Irr!BR3="."),up_dir!AV3/((1/1000)*(up_Irr!AT3)),IF(AND(up_Irr!V3&lt;&gt;".",up_Irr!AT3=".",up_Irr!BR3="."),up_dir!AV3/((1/1000)*(up_Irr!V3)),IF(AND(up_Irr!V3=".",up_Irr!AT3=".",up_Irr!BR3="."),up_dir!AV3*1000)))))))),".")</f>
        <v>6.5773651144152131E-4</v>
      </c>
      <c r="BV3" s="48">
        <f>IFERROR(IF(AND(up_Irr!W3&lt;&gt;".",up_Irr!AU3&lt;&gt;".",up_Irr!BS3&lt;&gt;"."),up_dir!AW3/((1/1000)*(up_Irr!W3+up_Irr!AU3+up_Irr!BS3)),IF(AND(up_Irr!W3&lt;&gt;".",up_Irr!AU3&lt;&gt;".",up_Irr!BS3="."),up_dir!AW3/((1/1000)*(up_Irr!W3+up_Irr!AU3)),IF(AND(up_Irr!W3&lt;&gt;".",up_Irr!AU3=".",up_Irr!BS3&lt;&gt;"."),up_dir!AW3/((1/1000)*(up_Irr!W3+up_Irr!BS3)),IF(AND(up_Irr!W3=".",up_Irr!AU3&lt;&gt;".",up_Irr!BS3&lt;&gt;"."),up_dir!AW3/((1/1000)*(up_Irr!AU3+up_Irr!BS3)),IF(AND(up_Irr!W3=".",up_Irr!AU3=".",up_Irr!BS3&lt;&gt;"."),up_dir!AW3/((1/1000)*(up_Irr!BS3)),IF(AND(up_Irr!W3=".",up_Irr!AU3&lt;&gt;".",up_Irr!BS3="."),up_dir!AW3/((1/1000)*(up_Irr!AU3)),IF(AND(up_Irr!W3&lt;&gt;".",up_Irr!AU3=".",up_Irr!BS3="."),up_dir!AW3/((1/1000)*(up_Irr!W3)),IF(AND(up_Irr!W3=".",up_Irr!AU3=".",up_Irr!BS3="."),up_dir!AW3*1000)))))))),".")</f>
        <v>6.5773651144152131E-4</v>
      </c>
      <c r="BW3" s="48">
        <f>IFERROR(IF(AND(up_Irr!X3&lt;&gt;".",up_Irr!AV3&lt;&gt;".",up_Irr!BT3&lt;&gt;"."),up_dir!AX3/((1/1000)*(up_Irr!X3+up_Irr!AV3+up_Irr!BT3)),IF(AND(up_Irr!X3&lt;&gt;".",up_Irr!AV3&lt;&gt;".",up_Irr!BT3="."),up_dir!AX3/((1/1000)*(up_Irr!X3+up_Irr!AV3)),IF(AND(up_Irr!X3&lt;&gt;".",up_Irr!AV3=".",up_Irr!BT3&lt;&gt;"."),up_dir!AX3/((1/1000)*(up_Irr!X3+up_Irr!BT3)),IF(AND(up_Irr!X3=".",up_Irr!AV3&lt;&gt;".",up_Irr!BT3&lt;&gt;"."),up_dir!AX3/((1/1000)*(up_Irr!AV3+up_Irr!BT3)),IF(AND(up_Irr!X3=".",up_Irr!AV3=".",up_Irr!BT3&lt;&gt;"."),up_dir!AX3/((1/1000)*(up_Irr!BT3)),IF(AND(up_Irr!X3=".",up_Irr!AV3&lt;&gt;".",up_Irr!BT3="."),up_dir!AX3/((1/1000)*(up_Irr!AV3)),IF(AND(up_Irr!X3&lt;&gt;".",up_Irr!AV3=".",up_Irr!BT3="."),up_dir!AX3/((1/1000)*(up_Irr!X3)),IF(AND(up_Irr!X3=".",up_Irr!AV3=".",up_Irr!BT3="."),up_dir!AX3*1000)))))))),".")</f>
        <v>6.5773651144152131E-4</v>
      </c>
      <c r="BX3" s="48">
        <f>IFERROR(IF(AND(up_Irr!Y3&lt;&gt;".",up_Irr!AW3&lt;&gt;".",up_Irr!BU3&lt;&gt;"."),up_dir!AY3/((1/1000)*(up_Irr!Y3+up_Irr!AW3+up_Irr!BU3)),IF(AND(up_Irr!Y3&lt;&gt;".",up_Irr!AW3&lt;&gt;".",up_Irr!BU3="."),up_dir!AY3/((1/1000)*(up_Irr!Y3+up_Irr!AW3)),IF(AND(up_Irr!Y3&lt;&gt;".",up_Irr!AW3=".",up_Irr!BU3&lt;&gt;"."),up_dir!AY3/((1/1000)*(up_Irr!Y3+up_Irr!BU3)),IF(AND(up_Irr!Y3=".",up_Irr!AW3&lt;&gt;".",up_Irr!BU3&lt;&gt;"."),up_dir!AY3/((1/1000)*(up_Irr!AW3+up_Irr!BU3)),IF(AND(up_Irr!Y3=".",up_Irr!AW3=".",up_Irr!BU3&lt;&gt;"."),up_dir!AY3/((1/1000)*(up_Irr!BU3)),IF(AND(up_Irr!Y3=".",up_Irr!AW3&lt;&gt;".",up_Irr!BU3="."),up_dir!AY3/((1/1000)*(up_Irr!AW3)),IF(AND(up_Irr!Y3&lt;&gt;".",up_Irr!AW3=".",up_Irr!BU3="."),up_dir!AY3/((1/1000)*(up_Irr!Y3)),IF(AND(up_Irr!Y3=".",up_Irr!AW3=".",up_Irr!BU3="."),up_dir!AY3*1000)))))))),".")</f>
        <v>6.5773651144152131E-4</v>
      </c>
      <c r="BY3" s="48">
        <f>IFERROR(IF(AND(up_Irr!Z3&lt;&gt;".",up_Irr!AX3&lt;&gt;".",up_Irr!BV3&lt;&gt;"."),up_dir!AZ3/((1/1000)*(up_Irr!Z3+up_Irr!AX3+up_Irr!BV3)),IF(AND(up_Irr!Z3&lt;&gt;".",up_Irr!AX3&lt;&gt;".",up_Irr!BV3="."),up_dir!AZ3/((1/1000)*(up_Irr!Z3+up_Irr!AX3)),IF(AND(up_Irr!Z3&lt;&gt;".",up_Irr!AX3=".",up_Irr!BV3&lt;&gt;"."),up_dir!AZ3/((1/1000)*(up_Irr!Z3+up_Irr!BV3)),IF(AND(up_Irr!Z3=".",up_Irr!AX3&lt;&gt;".",up_Irr!BV3&lt;&gt;"."),up_dir!AZ3/((1/1000)*(up_Irr!AX3+up_Irr!BV3)),IF(AND(up_Irr!Z3=".",up_Irr!AX3=".",up_Irr!BV3&lt;&gt;"."),up_dir!AZ3/((1/1000)*(up_Irr!BV3)),IF(AND(up_Irr!Z3=".",up_Irr!AX3&lt;&gt;".",up_Irr!BV3="."),up_dir!AZ3/((1/1000)*(up_Irr!AX3)),IF(AND(up_Irr!Z3&lt;&gt;".",up_Irr!AX3=".",up_Irr!BV3="."),up_dir!AZ3/((1/1000)*(up_Irr!Z3)),IF(AND(up_Irr!Z3=".",up_Irr!AX3=".",up_Irr!BV3="."),up_dir!AZ3*1000)))))))),".")</f>
        <v>6.5773651144152131E-4</v>
      </c>
      <c r="BZ3" s="62">
        <f t="shared" ref="BZ3:BZ66" si="3">SUM(CA3,CW3:CX3)</f>
        <v>22805.4847785862</v>
      </c>
      <c r="CA3" s="62">
        <f>IFERROR(s_C*s_IFAP_far_adj*s_CF_apple*(1/1000)*(up_Irr!C3+up_Irr!AA3+up_Irr!AY3),".")</f>
        <v>7601.8282595287337</v>
      </c>
      <c r="CB3" s="62">
        <f>IFERROR(s_C*s_IFAS_far_adj*s_CF_asparagus*(1/1000)*(up_Irr!D3+up_Irr!AB3+up_Irr!AZ3),".")</f>
        <v>7601.8282595287337</v>
      </c>
      <c r="CC3" s="62">
        <f>IFERROR(s_C*s_IFBT_far_adj*s_CF_beet*(1/1000)*(up_Irr!E3+up_Irr!AC3+up_Irr!BA3),".")</f>
        <v>7601.8282595287337</v>
      </c>
      <c r="CD3" s="62">
        <f>IFERROR(s_C*s_IFBE_far_adj*s_CF_berries*(1/1000)*(up_Irr!F3+up_Irr!AD3+up_Irr!BB3),".")</f>
        <v>7601.8282595287337</v>
      </c>
      <c r="CE3" s="62">
        <f>IFERROR(s_C*s_IFBR_far_adj*s_CF_broccoli*(1/1000)*(up_Irr!G3+up_Irr!AE3+up_Irr!BC3),".")</f>
        <v>7601.8282595287337</v>
      </c>
      <c r="CF3" s="62">
        <f>IFERROR(s_C*s_IFCB_far_adj*s_CF_cabbage*(1/1000)*(up_Irr!H3+up_Irr!AF3+up_Irr!BD3),".")</f>
        <v>7601.8282595287337</v>
      </c>
      <c r="CG3" s="62">
        <f>IFERROR(s_C*s_IFCR_far_adj*s_CF_carrot*(1/1000)*(up_Irr!I3+up_Irr!AG3+up_Irr!BE3),".")</f>
        <v>7601.8282595287337</v>
      </c>
      <c r="CH3" s="62">
        <f>IFERROR(s_C*s_IFCI_far_adj*s_CF_citrus*(1/1000)*(up_Irr!J3+up_Irr!AH3+up_Irr!BF3),".")</f>
        <v>7601.8282595287337</v>
      </c>
      <c r="CI3" s="62">
        <f>IFERROR(s_C*s_IFCO_far_adj*s_CF_corn*(1/1000)*(up_Irr!K3+up_Irr!AI3+up_Irr!BG3),".")</f>
        <v>7601.8282595287337</v>
      </c>
      <c r="CJ3" s="62">
        <f>IFERROR(s_C*s_IFCU_far_adj*s_CF_cucumber*(1/1000)*(up_Irr!L3+up_Irr!AJ3+up_Irr!BH3),".")</f>
        <v>7601.8282595287337</v>
      </c>
      <c r="CK3" s="62">
        <f>IFERROR(s_C*s_IFLE_far_adj*s_CF_lettuce*(1/1000)*(up_Irr!M3+up_Irr!AK3+up_Irr!BI3),".")</f>
        <v>7601.8282595287337</v>
      </c>
      <c r="CL3" s="62">
        <f>IFERROR(s_C*s_IFLI_far_adj*s_CF_lima_bean*(1/1000)*(up_Irr!N3+up_Irr!AL3+up_Irr!BJ3),".")</f>
        <v>7601.8282595287337</v>
      </c>
      <c r="CM3" s="62">
        <f>IFERROR(s_C*s_IFOK_far_adj*s_CF_okra*(1/1000)*(up_Irr!O3+up_Irr!AM3+up_Irr!BK3),".")</f>
        <v>7601.8282595287337</v>
      </c>
      <c r="CN3" s="62">
        <f>IFERROR(s_C*s_IFON_far_adj*s_CF_onion*(1/1000)*(up_Irr!P3+up_Irr!AN3+up_Irr!BL3),".")</f>
        <v>7601.8282595287337</v>
      </c>
      <c r="CO3" s="62">
        <f>IFERROR(s_C*s_IFPC_far_adj*s_CF_peach*(1/1000)*(up_Irr!Q3+up_Irr!AO3+up_Irr!BM3),".")</f>
        <v>7601.8282595287337</v>
      </c>
      <c r="CP3" s="62">
        <f>IFERROR(s_C*s_IFPR_far_adj*s_CF_pear*(1/1000)*(up_Irr!R3+up_Irr!AP3+up_Irr!BN3),".")</f>
        <v>7601.8282595287337</v>
      </c>
      <c r="CQ3" s="62">
        <f>IFERROR(s_C*s_IFPE_far_adj*s_CF_peas*(1/1000)*(up_Irr!S3+up_Irr!AQ3+up_Irr!BO3),".")</f>
        <v>7601.8282595287337</v>
      </c>
      <c r="CR3" s="62">
        <f>IFERROR(s_C*s_IFPT_far_adj*s_CF_potato*(1/1000)*(up_Irr!T3+up_Irr!AR3+up_Irr!BP3),".")</f>
        <v>7601.8282595287337</v>
      </c>
      <c r="CS3" s="62">
        <f>IFERROR(s_C*s_IFPU_far_adj*s_CF_pumpkin*(1/1000)*(up_Irr!U3+up_Irr!AS3+up_Irr!BQ3),".")</f>
        <v>7601.8282595287337</v>
      </c>
      <c r="CT3" s="62">
        <f>IFERROR(s_C*s_IFSN_far_adj*s_CF_snap_bean*(1/1000)*(up_Irr!V3+up_Irr!AT3+up_Irr!BR3),".")</f>
        <v>7601.8282595287337</v>
      </c>
      <c r="CU3" s="62">
        <f>IFERROR(s_C*s_IFST_far_adj*s_CF_strawberry*(1/1000)*(up_Irr!W3+up_Irr!AU3+up_Irr!BS3),".")</f>
        <v>7601.8282595287337</v>
      </c>
      <c r="CV3" s="62">
        <f>IFERROR(s_C*s_IFTO_far_adj*s_CF_tomato*(1/1000)*(up_Irr!X3+up_Irr!AV3+up_Irr!BT3),".")</f>
        <v>7601.8282595287337</v>
      </c>
      <c r="CW3" s="62">
        <f>IFERROR(s_C*s_IFRI_far_adj*s_CF_rice*(1/1000)*(up_Irr!Y3+up_Irr!AW3+up_Irr!BU3),".")</f>
        <v>7601.8282595287337</v>
      </c>
      <c r="CX3" s="62">
        <f>IFERROR(s_C*s_IFCG_far_adj*s_CF_cereal*(1/1000)*(up_Irr!Z3+up_Irr!AX3+up_Irr!BV3),".")</f>
        <v>7601.8282595287337</v>
      </c>
    </row>
    <row r="4" spans="1:102" ht="15" customHeight="1" x14ac:dyDescent="0.25">
      <c r="A4" s="61" t="s">
        <v>2</v>
      </c>
      <c r="B4" s="49" t="s">
        <v>1059</v>
      </c>
      <c r="C4" s="48">
        <f t="shared" si="0"/>
        <v>2.1924550381384044E-4</v>
      </c>
      <c r="D4" s="48">
        <f>IFERROR(IF(AND(up_Irr!C4&lt;&gt;".",up_Irr!AA4&lt;&gt;".",up_Irr!AY4&lt;&gt;"."),up_dir!D4/((1/1000)*(up_Irr!C4+up_Irr!AA4+up_Irr!AY4)),IF(AND(up_Irr!C4&lt;&gt;".",up_Irr!AA4&lt;&gt;".",up_Irr!AY4="."),up_dir!D4/((1/1000)*(up_Irr!C4+up_Irr!AA4)),IF(AND(up_Irr!C4&lt;&gt;".",up_Irr!AA4=".",up_Irr!AY4&lt;&gt;"."),up_dir!D4/((1/1000)*(up_Irr!C4+up_Irr!AY4)),IF(AND(up_Irr!C4=".",up_Irr!AA4&lt;&gt;".",up_Irr!AY4&lt;&gt;"."),up_dir!D4/((1/1000)*(up_Irr!AA4+up_Irr!AY4)),IF(AND(up_Irr!C4=".",up_Irr!AA4=".",up_Irr!AY4&lt;&gt;"."),up_dir!D4/((1/1000)*(up_Irr!AY4)),IF(AND(up_Irr!C4=".",up_Irr!AA4&lt;&gt;".",up_Irr!AY4="."),up_dir!D4/((1/1000)*(up_Irr!AA4)),IF(AND(up_Irr!C4&lt;&gt;".",up_Irr!AA4=".",up_Irr!AY4="."),up_dir!D4/((1/1000)*(up_Irr!C4)),IF(AND(up_Irr!C4=".",up_Irr!AA4=".",up_Irr!AY4="."),up_dir!D4*1000)))))))),".")</f>
        <v>6.5773651144152131E-4</v>
      </c>
      <c r="E4" s="48">
        <f>IFERROR(IF(AND(up_Irr!D4&lt;&gt;".",up_Irr!AB4&lt;&gt;".",up_Irr!AZ4&lt;&gt;"."),up_dir!E4/((1/1000)*(up_Irr!D4+up_Irr!AB4+up_Irr!AZ4)),IF(AND(up_Irr!D4&lt;&gt;".",up_Irr!AB4&lt;&gt;".",up_Irr!AZ4="."),up_dir!E4/((1/1000)*(up_Irr!D4+up_Irr!AB4)),IF(AND(up_Irr!D4&lt;&gt;".",up_Irr!AB4=".",up_Irr!AZ4&lt;&gt;"."),up_dir!E4/((1/1000)*(up_Irr!D4+up_Irr!AZ4)),IF(AND(up_Irr!D4=".",up_Irr!AB4&lt;&gt;".",up_Irr!AZ4&lt;&gt;"."),up_dir!E4/((1/1000)*(up_Irr!AB4+up_Irr!AZ4)),IF(AND(up_Irr!D4=".",up_Irr!AB4=".",up_Irr!AZ4&lt;&gt;"."),up_dir!E4/((1/1000)*(up_Irr!AZ4)),IF(AND(up_Irr!D4=".",up_Irr!AB4&lt;&gt;".",up_Irr!AZ4="."),up_dir!E4/((1/1000)*(up_Irr!AB4)),IF(AND(up_Irr!D4&lt;&gt;".",up_Irr!AB4=".",up_Irr!AZ4="."),up_dir!E4/((1/1000)*(up_Irr!D4)),IF(AND(up_Irr!D4=".",up_Irr!AB4=".",up_Irr!AZ4="."),up_dir!E4*1000)))))))),".")</f>
        <v>6.5773651144152131E-4</v>
      </c>
      <c r="F4" s="48">
        <f>IFERROR(IF(AND(up_Irr!E4&lt;&gt;".",up_Irr!AC4&lt;&gt;".",up_Irr!BA4&lt;&gt;"."),up_dir!F4/((1/1000)*(up_Irr!E4+up_Irr!AC4+up_Irr!BA4)),IF(AND(up_Irr!E4&lt;&gt;".",up_Irr!AC4&lt;&gt;".",up_Irr!BA4="."),up_dir!F4/((1/1000)*(up_Irr!E4+up_Irr!AC4)),IF(AND(up_Irr!E4&lt;&gt;".",up_Irr!AC4=".",up_Irr!BA4&lt;&gt;"."),up_dir!F4/((1/1000)*(up_Irr!E4+up_Irr!BA4)),IF(AND(up_Irr!E4=".",up_Irr!AC4&lt;&gt;".",up_Irr!BA4&lt;&gt;"."),up_dir!F4/((1/1000)*(up_Irr!AC4+up_Irr!BA4)),IF(AND(up_Irr!E4=".",up_Irr!AC4=".",up_Irr!BA4&lt;&gt;"."),up_dir!F4/((1/1000)*(up_Irr!BA4)),IF(AND(up_Irr!E4=".",up_Irr!AC4&lt;&gt;".",up_Irr!BA4="."),up_dir!F4/((1/1000)*(up_Irr!AC4)),IF(AND(up_Irr!E4&lt;&gt;".",up_Irr!AC4=".",up_Irr!BA4="."),up_dir!F4/((1/1000)*(up_Irr!E4)),IF(AND(up_Irr!E4=".",up_Irr!AC4=".",up_Irr!BA4="."),up_dir!F4*1000)))))))),".")</f>
        <v>6.5773651144152131E-4</v>
      </c>
      <c r="G4" s="48">
        <f>IFERROR(IF(AND(up_Irr!F4&lt;&gt;".",up_Irr!AD4&lt;&gt;".",up_Irr!BB4&lt;&gt;"."),up_dir!G4/((1/1000)*(up_Irr!F4+up_Irr!AD4+up_Irr!BB4)),IF(AND(up_Irr!F4&lt;&gt;".",up_Irr!AD4&lt;&gt;".",up_Irr!BB4="."),up_dir!G4/((1/1000)*(up_Irr!F4+up_Irr!AD4)),IF(AND(up_Irr!F4&lt;&gt;".",up_Irr!AD4=".",up_Irr!BB4&lt;&gt;"."),up_dir!G4/((1/1000)*(up_Irr!F4+up_Irr!BB4)),IF(AND(up_Irr!F4=".",up_Irr!AD4&lt;&gt;".",up_Irr!BB4&lt;&gt;"."),up_dir!G4/((1/1000)*(up_Irr!AD4+up_Irr!BB4)),IF(AND(up_Irr!F4=".",up_Irr!AD4=".",up_Irr!BB4&lt;&gt;"."),up_dir!G4/((1/1000)*(up_Irr!BB4)),IF(AND(up_Irr!F4=".",up_Irr!AD4&lt;&gt;".",up_Irr!BB4="."),up_dir!G4/((1/1000)*(up_Irr!AD4)),IF(AND(up_Irr!F4&lt;&gt;".",up_Irr!AD4=".",up_Irr!BB4="."),up_dir!G4/((1/1000)*(up_Irr!F4)),IF(AND(up_Irr!F4=".",up_Irr!AD4=".",up_Irr!BB4="."),up_dir!G4*1000)))))))),".")</f>
        <v>6.5773651144152131E-4</v>
      </c>
      <c r="H4" s="48">
        <f>IFERROR(IF(AND(up_Irr!G4&lt;&gt;".",up_Irr!AE4&lt;&gt;".",up_Irr!BC4&lt;&gt;"."),up_dir!H4/((1/1000)*(up_Irr!G4+up_Irr!AE4+up_Irr!BC4)),IF(AND(up_Irr!G4&lt;&gt;".",up_Irr!AE4&lt;&gt;".",up_Irr!BC4="."),up_dir!H4/((1/1000)*(up_Irr!G4+up_Irr!AE4)),IF(AND(up_Irr!G4&lt;&gt;".",up_Irr!AE4=".",up_Irr!BC4&lt;&gt;"."),up_dir!H4/((1/1000)*(up_Irr!G4+up_Irr!BC4)),IF(AND(up_Irr!G4=".",up_Irr!AE4&lt;&gt;".",up_Irr!BC4&lt;&gt;"."),up_dir!H4/((1/1000)*(up_Irr!AE4+up_Irr!BC4)),IF(AND(up_Irr!G4=".",up_Irr!AE4=".",up_Irr!BC4&lt;&gt;"."),up_dir!H4/((1/1000)*(up_Irr!BC4)),IF(AND(up_Irr!G4=".",up_Irr!AE4&lt;&gt;".",up_Irr!BC4="."),up_dir!H4/((1/1000)*(up_Irr!AE4)),IF(AND(up_Irr!G4&lt;&gt;".",up_Irr!AE4=".",up_Irr!BC4="."),up_dir!H4/((1/1000)*(up_Irr!G4)),IF(AND(up_Irr!G4=".",up_Irr!AE4=".",up_Irr!BC4="."),up_dir!H4*1000)))))))),".")</f>
        <v>6.5773651144152131E-4</v>
      </c>
      <c r="I4" s="48">
        <f>IFERROR(IF(AND(up_Irr!H4&lt;&gt;".",up_Irr!AF4&lt;&gt;".",up_Irr!BD4&lt;&gt;"."),up_dir!I4/((1/1000)*(up_Irr!H4+up_Irr!AF4+up_Irr!BD4)),IF(AND(up_Irr!H4&lt;&gt;".",up_Irr!AF4&lt;&gt;".",up_Irr!BD4="."),up_dir!I4/((1/1000)*(up_Irr!H4+up_Irr!AF4)),IF(AND(up_Irr!H4&lt;&gt;".",up_Irr!AF4=".",up_Irr!BD4&lt;&gt;"."),up_dir!I4/((1/1000)*(up_Irr!H4+up_Irr!BD4)),IF(AND(up_Irr!H4=".",up_Irr!AF4&lt;&gt;".",up_Irr!BD4&lt;&gt;"."),up_dir!I4/((1/1000)*(up_Irr!AF4+up_Irr!BD4)),IF(AND(up_Irr!H4=".",up_Irr!AF4=".",up_Irr!BD4&lt;&gt;"."),up_dir!I4/((1/1000)*(up_Irr!BD4)),IF(AND(up_Irr!H4=".",up_Irr!AF4&lt;&gt;".",up_Irr!BD4="."),up_dir!I4/((1/1000)*(up_Irr!AF4)),IF(AND(up_Irr!H4&lt;&gt;".",up_Irr!AF4=".",up_Irr!BD4="."),up_dir!I4/((1/1000)*(up_Irr!H4)),IF(AND(up_Irr!H4=".",up_Irr!AF4=".",up_Irr!BD4="."),up_dir!I4*1000)))))))),".")</f>
        <v>6.5773651144152131E-4</v>
      </c>
      <c r="J4" s="48">
        <f>IFERROR(IF(AND(up_Irr!I4&lt;&gt;".",up_Irr!AG4&lt;&gt;".",up_Irr!BE4&lt;&gt;"."),up_dir!J4/((1/1000)*(up_Irr!I4+up_Irr!AG4+up_Irr!BE4)),IF(AND(up_Irr!I4&lt;&gt;".",up_Irr!AG4&lt;&gt;".",up_Irr!BE4="."),up_dir!J4/((1/1000)*(up_Irr!I4+up_Irr!AG4)),IF(AND(up_Irr!I4&lt;&gt;".",up_Irr!AG4=".",up_Irr!BE4&lt;&gt;"."),up_dir!J4/((1/1000)*(up_Irr!I4+up_Irr!BE4)),IF(AND(up_Irr!I4=".",up_Irr!AG4&lt;&gt;".",up_Irr!BE4&lt;&gt;"."),up_dir!J4/((1/1000)*(up_Irr!AG4+up_Irr!BE4)),IF(AND(up_Irr!I4=".",up_Irr!AG4=".",up_Irr!BE4&lt;&gt;"."),up_dir!J4/((1/1000)*(up_Irr!BE4)),IF(AND(up_Irr!I4=".",up_Irr!AG4&lt;&gt;".",up_Irr!BE4="."),up_dir!J4/((1/1000)*(up_Irr!AG4)),IF(AND(up_Irr!I4&lt;&gt;".",up_Irr!AG4=".",up_Irr!BE4="."),up_dir!J4/((1/1000)*(up_Irr!I4)),IF(AND(up_Irr!I4=".",up_Irr!AG4=".",up_Irr!BE4="."),up_dir!J4*1000)))))))),".")</f>
        <v>6.5773651144152131E-4</v>
      </c>
      <c r="K4" s="48">
        <f>IFERROR(IF(AND(up_Irr!J4&lt;&gt;".",up_Irr!AH4&lt;&gt;".",up_Irr!BF4&lt;&gt;"."),up_dir!K4/((1/1000)*(up_Irr!J4+up_Irr!AH4+up_Irr!BF4)),IF(AND(up_Irr!J4&lt;&gt;".",up_Irr!AH4&lt;&gt;".",up_Irr!BF4="."),up_dir!K4/((1/1000)*(up_Irr!J4+up_Irr!AH4)),IF(AND(up_Irr!J4&lt;&gt;".",up_Irr!AH4=".",up_Irr!BF4&lt;&gt;"."),up_dir!K4/((1/1000)*(up_Irr!J4+up_Irr!BF4)),IF(AND(up_Irr!J4=".",up_Irr!AH4&lt;&gt;".",up_Irr!BF4&lt;&gt;"."),up_dir!K4/((1/1000)*(up_Irr!AH4+up_Irr!BF4)),IF(AND(up_Irr!J4=".",up_Irr!AH4=".",up_Irr!BF4&lt;&gt;"."),up_dir!K4/((1/1000)*(up_Irr!BF4)),IF(AND(up_Irr!J4=".",up_Irr!AH4&lt;&gt;".",up_Irr!BF4="."),up_dir!K4/((1/1000)*(up_Irr!AH4)),IF(AND(up_Irr!J4&lt;&gt;".",up_Irr!AH4=".",up_Irr!BF4="."),up_dir!K4/((1/1000)*(up_Irr!J4)),IF(AND(up_Irr!J4=".",up_Irr!AH4=".",up_Irr!BF4="."),up_dir!K4*1000)))))))),".")</f>
        <v>6.5773651144152131E-4</v>
      </c>
      <c r="L4" s="48">
        <f>IFERROR(IF(AND(up_Irr!K4&lt;&gt;".",up_Irr!AI4&lt;&gt;".",up_Irr!BG4&lt;&gt;"."),up_dir!L4/((1/1000)*(up_Irr!K4+up_Irr!AI4+up_Irr!BG4)),IF(AND(up_Irr!K4&lt;&gt;".",up_Irr!AI4&lt;&gt;".",up_Irr!BG4="."),up_dir!L4/((1/1000)*(up_Irr!K4+up_Irr!AI4)),IF(AND(up_Irr!K4&lt;&gt;".",up_Irr!AI4=".",up_Irr!BG4&lt;&gt;"."),up_dir!L4/((1/1000)*(up_Irr!K4+up_Irr!BG4)),IF(AND(up_Irr!K4=".",up_Irr!AI4&lt;&gt;".",up_Irr!BG4&lt;&gt;"."),up_dir!L4/((1/1000)*(up_Irr!AI4+up_Irr!BG4)),IF(AND(up_Irr!K4=".",up_Irr!AI4=".",up_Irr!BG4&lt;&gt;"."),up_dir!L4/((1/1000)*(up_Irr!BG4)),IF(AND(up_Irr!K4=".",up_Irr!AI4&lt;&gt;".",up_Irr!BG4="."),up_dir!L4/((1/1000)*(up_Irr!AI4)),IF(AND(up_Irr!K4&lt;&gt;".",up_Irr!AI4=".",up_Irr!BG4="."),up_dir!L4/((1/1000)*(up_Irr!K4)),IF(AND(up_Irr!K4=".",up_Irr!AI4=".",up_Irr!BG4="."),up_dir!L4*1000)))))))),".")</f>
        <v>6.5773651144152131E-4</v>
      </c>
      <c r="M4" s="48">
        <f>IFERROR(IF(AND(up_Irr!L4&lt;&gt;".",up_Irr!AJ4&lt;&gt;".",up_Irr!BH4&lt;&gt;"."),up_dir!M4/((1/1000)*(up_Irr!L4+up_Irr!AJ4+up_Irr!BH4)),IF(AND(up_Irr!L4&lt;&gt;".",up_Irr!AJ4&lt;&gt;".",up_Irr!BH4="."),up_dir!M4/((1/1000)*(up_Irr!L4+up_Irr!AJ4)),IF(AND(up_Irr!L4&lt;&gt;".",up_Irr!AJ4=".",up_Irr!BH4&lt;&gt;"."),up_dir!M4/((1/1000)*(up_Irr!L4+up_Irr!BH4)),IF(AND(up_Irr!L4=".",up_Irr!AJ4&lt;&gt;".",up_Irr!BH4&lt;&gt;"."),up_dir!M4/((1/1000)*(up_Irr!AJ4+up_Irr!BH4)),IF(AND(up_Irr!L4=".",up_Irr!AJ4=".",up_Irr!BH4&lt;&gt;"."),up_dir!M4/((1/1000)*(up_Irr!BH4)),IF(AND(up_Irr!L4=".",up_Irr!AJ4&lt;&gt;".",up_Irr!BH4="."),up_dir!M4/((1/1000)*(up_Irr!AJ4)),IF(AND(up_Irr!L4&lt;&gt;".",up_Irr!AJ4=".",up_Irr!BH4="."),up_dir!M4/((1/1000)*(up_Irr!L4)),IF(AND(up_Irr!L4=".",up_Irr!AJ4=".",up_Irr!BH4="."),up_dir!M4*1000)))))))),".")</f>
        <v>6.5773651144152131E-4</v>
      </c>
      <c r="N4" s="48">
        <f>IFERROR(IF(AND(up_Irr!M4&lt;&gt;".",up_Irr!AK4&lt;&gt;".",up_Irr!BI4&lt;&gt;"."),up_dir!N4/((1/1000)*(up_Irr!M4+up_Irr!AK4+up_Irr!BI4)),IF(AND(up_Irr!M4&lt;&gt;".",up_Irr!AK4&lt;&gt;".",up_Irr!BI4="."),up_dir!N4/((1/1000)*(up_Irr!M4+up_Irr!AK4)),IF(AND(up_Irr!M4&lt;&gt;".",up_Irr!AK4=".",up_Irr!BI4&lt;&gt;"."),up_dir!N4/((1/1000)*(up_Irr!M4+up_Irr!BI4)),IF(AND(up_Irr!M4=".",up_Irr!AK4&lt;&gt;".",up_Irr!BI4&lt;&gt;"."),up_dir!N4/((1/1000)*(up_Irr!AK4+up_Irr!BI4)),IF(AND(up_Irr!M4=".",up_Irr!AK4=".",up_Irr!BI4&lt;&gt;"."),up_dir!N4/((1/1000)*(up_Irr!BI4)),IF(AND(up_Irr!M4=".",up_Irr!AK4&lt;&gt;".",up_Irr!BI4="."),up_dir!N4/((1/1000)*(up_Irr!AK4)),IF(AND(up_Irr!M4&lt;&gt;".",up_Irr!AK4=".",up_Irr!BI4="."),up_dir!N4/((1/1000)*(up_Irr!M4)),IF(AND(up_Irr!M4=".",up_Irr!AK4=".",up_Irr!BI4="."),up_dir!N4*1000)))))))),".")</f>
        <v>6.5773651144152131E-4</v>
      </c>
      <c r="O4" s="48">
        <f>IFERROR(IF(AND(up_Irr!N4&lt;&gt;".",up_Irr!AL4&lt;&gt;".",up_Irr!BJ4&lt;&gt;"."),up_dir!O4/((1/1000)*(up_Irr!N4+up_Irr!AL4+up_Irr!BJ4)),IF(AND(up_Irr!N4&lt;&gt;".",up_Irr!AL4&lt;&gt;".",up_Irr!BJ4="."),up_dir!O4/((1/1000)*(up_Irr!N4+up_Irr!AL4)),IF(AND(up_Irr!N4&lt;&gt;".",up_Irr!AL4=".",up_Irr!BJ4&lt;&gt;"."),up_dir!O4/((1/1000)*(up_Irr!N4+up_Irr!BJ4)),IF(AND(up_Irr!N4=".",up_Irr!AL4&lt;&gt;".",up_Irr!BJ4&lt;&gt;"."),up_dir!O4/((1/1000)*(up_Irr!AL4+up_Irr!BJ4)),IF(AND(up_Irr!N4=".",up_Irr!AL4=".",up_Irr!BJ4&lt;&gt;"."),up_dir!O4/((1/1000)*(up_Irr!BJ4)),IF(AND(up_Irr!N4=".",up_Irr!AL4&lt;&gt;".",up_Irr!BJ4="."),up_dir!O4/((1/1000)*(up_Irr!AL4)),IF(AND(up_Irr!N4&lt;&gt;".",up_Irr!AL4=".",up_Irr!BJ4="."),up_dir!O4/((1/1000)*(up_Irr!N4)),IF(AND(up_Irr!N4=".",up_Irr!AL4=".",up_Irr!BJ4="."),up_dir!O4*1000)))))))),".")</f>
        <v>6.5773651144152131E-4</v>
      </c>
      <c r="P4" s="48">
        <f>IFERROR(IF(AND(up_Irr!O4&lt;&gt;".",up_Irr!AM4&lt;&gt;".",up_Irr!BK4&lt;&gt;"."),up_dir!P4/((1/1000)*(up_Irr!O4+up_Irr!AM4+up_Irr!BK4)),IF(AND(up_Irr!O4&lt;&gt;".",up_Irr!AM4&lt;&gt;".",up_Irr!BK4="."),up_dir!P4/((1/1000)*(up_Irr!O4+up_Irr!AM4)),IF(AND(up_Irr!O4&lt;&gt;".",up_Irr!AM4=".",up_Irr!BK4&lt;&gt;"."),up_dir!P4/((1/1000)*(up_Irr!O4+up_Irr!BK4)),IF(AND(up_Irr!O4=".",up_Irr!AM4&lt;&gt;".",up_Irr!BK4&lt;&gt;"."),up_dir!P4/((1/1000)*(up_Irr!AM4+up_Irr!BK4)),IF(AND(up_Irr!O4=".",up_Irr!AM4=".",up_Irr!BK4&lt;&gt;"."),up_dir!P4/((1/1000)*(up_Irr!BK4)),IF(AND(up_Irr!O4=".",up_Irr!AM4&lt;&gt;".",up_Irr!BK4="."),up_dir!P4/((1/1000)*(up_Irr!AM4)),IF(AND(up_Irr!O4&lt;&gt;".",up_Irr!AM4=".",up_Irr!BK4="."),up_dir!P4/((1/1000)*(up_Irr!O4)),IF(AND(up_Irr!O4=".",up_Irr!AM4=".",up_Irr!BK4="."),up_dir!P4*1000)))))))),".")</f>
        <v>6.5773651144152131E-4</v>
      </c>
      <c r="Q4" s="48">
        <f>IFERROR(IF(AND(up_Irr!P4&lt;&gt;".",up_Irr!AN4&lt;&gt;".",up_Irr!BL4&lt;&gt;"."),up_dir!Q4/((1/1000)*(up_Irr!P4+up_Irr!AN4+up_Irr!BL4)),IF(AND(up_Irr!P4&lt;&gt;".",up_Irr!AN4&lt;&gt;".",up_Irr!BL4="."),up_dir!Q4/((1/1000)*(up_Irr!P4+up_Irr!AN4)),IF(AND(up_Irr!P4&lt;&gt;".",up_Irr!AN4=".",up_Irr!BL4&lt;&gt;"."),up_dir!Q4/((1/1000)*(up_Irr!P4+up_Irr!BL4)),IF(AND(up_Irr!P4=".",up_Irr!AN4&lt;&gt;".",up_Irr!BL4&lt;&gt;"."),up_dir!Q4/((1/1000)*(up_Irr!AN4+up_Irr!BL4)),IF(AND(up_Irr!P4=".",up_Irr!AN4=".",up_Irr!BL4&lt;&gt;"."),up_dir!Q4/((1/1000)*(up_Irr!BL4)),IF(AND(up_Irr!P4=".",up_Irr!AN4&lt;&gt;".",up_Irr!BL4="."),up_dir!Q4/((1/1000)*(up_Irr!AN4)),IF(AND(up_Irr!P4&lt;&gt;".",up_Irr!AN4=".",up_Irr!BL4="."),up_dir!Q4/((1/1000)*(up_Irr!P4)),IF(AND(up_Irr!P4=".",up_Irr!AN4=".",up_Irr!BL4="."),up_dir!Q4*1000)))))))),".")</f>
        <v>6.5773651144152131E-4</v>
      </c>
      <c r="R4" s="48">
        <f>IFERROR(IF(AND(up_Irr!Q4&lt;&gt;".",up_Irr!AO4&lt;&gt;".",up_Irr!BM4&lt;&gt;"."),up_dir!R4/((1/1000)*(up_Irr!Q4+up_Irr!AO4+up_Irr!BM4)),IF(AND(up_Irr!Q4&lt;&gt;".",up_Irr!AO4&lt;&gt;".",up_Irr!BM4="."),up_dir!R4/((1/1000)*(up_Irr!Q4+up_Irr!AO4)),IF(AND(up_Irr!Q4&lt;&gt;".",up_Irr!AO4=".",up_Irr!BM4&lt;&gt;"."),up_dir!R4/((1/1000)*(up_Irr!Q4+up_Irr!BM4)),IF(AND(up_Irr!Q4=".",up_Irr!AO4&lt;&gt;".",up_Irr!BM4&lt;&gt;"."),up_dir!R4/((1/1000)*(up_Irr!AO4+up_Irr!BM4)),IF(AND(up_Irr!Q4=".",up_Irr!AO4=".",up_Irr!BM4&lt;&gt;"."),up_dir!R4/((1/1000)*(up_Irr!BM4)),IF(AND(up_Irr!Q4=".",up_Irr!AO4&lt;&gt;".",up_Irr!BM4="."),up_dir!R4/((1/1000)*(up_Irr!AO4)),IF(AND(up_Irr!Q4&lt;&gt;".",up_Irr!AO4=".",up_Irr!BM4="."),up_dir!R4/((1/1000)*(up_Irr!Q4)),IF(AND(up_Irr!Q4=".",up_Irr!AO4=".",up_Irr!BM4="."),up_dir!R4*1000)))))))),".")</f>
        <v>6.5773651144152131E-4</v>
      </c>
      <c r="S4" s="48">
        <f>IFERROR(IF(AND(up_Irr!R4&lt;&gt;".",up_Irr!AP4&lt;&gt;".",up_Irr!BN4&lt;&gt;"."),up_dir!S4/((1/1000)*(up_Irr!R4+up_Irr!AP4+up_Irr!BN4)),IF(AND(up_Irr!R4&lt;&gt;".",up_Irr!AP4&lt;&gt;".",up_Irr!BN4="."),up_dir!S4/((1/1000)*(up_Irr!R4+up_Irr!AP4)),IF(AND(up_Irr!R4&lt;&gt;".",up_Irr!AP4=".",up_Irr!BN4&lt;&gt;"."),up_dir!S4/((1/1000)*(up_Irr!R4+up_Irr!BN4)),IF(AND(up_Irr!R4=".",up_Irr!AP4&lt;&gt;".",up_Irr!BN4&lt;&gt;"."),up_dir!S4/((1/1000)*(up_Irr!AP4+up_Irr!BN4)),IF(AND(up_Irr!R4=".",up_Irr!AP4=".",up_Irr!BN4&lt;&gt;"."),up_dir!S4/((1/1000)*(up_Irr!BN4)),IF(AND(up_Irr!R4=".",up_Irr!AP4&lt;&gt;".",up_Irr!BN4="."),up_dir!S4/((1/1000)*(up_Irr!AP4)),IF(AND(up_Irr!R4&lt;&gt;".",up_Irr!AP4=".",up_Irr!BN4="."),up_dir!S4/((1/1000)*(up_Irr!R4)),IF(AND(up_Irr!R4=".",up_Irr!AP4=".",up_Irr!BN4="."),up_dir!S4*1000)))))))),".")</f>
        <v>6.5773651144152131E-4</v>
      </c>
      <c r="T4" s="48">
        <f>IFERROR(IF(AND(up_Irr!S4&lt;&gt;".",up_Irr!AQ4&lt;&gt;".",up_Irr!BO4&lt;&gt;"."),up_dir!T4/((1/1000)*(up_Irr!S4+up_Irr!AQ4+up_Irr!BO4)),IF(AND(up_Irr!S4&lt;&gt;".",up_Irr!AQ4&lt;&gt;".",up_Irr!BO4="."),up_dir!T4/((1/1000)*(up_Irr!S4+up_Irr!AQ4)),IF(AND(up_Irr!S4&lt;&gt;".",up_Irr!AQ4=".",up_Irr!BO4&lt;&gt;"."),up_dir!T4/((1/1000)*(up_Irr!S4+up_Irr!BO4)),IF(AND(up_Irr!S4=".",up_Irr!AQ4&lt;&gt;".",up_Irr!BO4&lt;&gt;"."),up_dir!T4/((1/1000)*(up_Irr!AQ4+up_Irr!BO4)),IF(AND(up_Irr!S4=".",up_Irr!AQ4=".",up_Irr!BO4&lt;&gt;"."),up_dir!T4/((1/1000)*(up_Irr!BO4)),IF(AND(up_Irr!S4=".",up_Irr!AQ4&lt;&gt;".",up_Irr!BO4="."),up_dir!T4/((1/1000)*(up_Irr!AQ4)),IF(AND(up_Irr!S4&lt;&gt;".",up_Irr!AQ4=".",up_Irr!BO4="."),up_dir!T4/((1/1000)*(up_Irr!S4)),IF(AND(up_Irr!S4=".",up_Irr!AQ4=".",up_Irr!BO4="."),up_dir!T4*1000)))))))),".")</f>
        <v>6.5773651144152131E-4</v>
      </c>
      <c r="U4" s="48">
        <f>IFERROR(IF(AND(up_Irr!T4&lt;&gt;".",up_Irr!AR4&lt;&gt;".",up_Irr!BP4&lt;&gt;"."),up_dir!U4/((1/1000)*(up_Irr!T4+up_Irr!AR4+up_Irr!BP4)),IF(AND(up_Irr!T4&lt;&gt;".",up_Irr!AR4&lt;&gt;".",up_Irr!BP4="."),up_dir!U4/((1/1000)*(up_Irr!T4+up_Irr!AR4)),IF(AND(up_Irr!T4&lt;&gt;".",up_Irr!AR4=".",up_Irr!BP4&lt;&gt;"."),up_dir!U4/((1/1000)*(up_Irr!T4+up_Irr!BP4)),IF(AND(up_Irr!T4=".",up_Irr!AR4&lt;&gt;".",up_Irr!BP4&lt;&gt;"."),up_dir!U4/((1/1000)*(up_Irr!AR4+up_Irr!BP4)),IF(AND(up_Irr!T4=".",up_Irr!AR4=".",up_Irr!BP4&lt;&gt;"."),up_dir!U4/((1/1000)*(up_Irr!BP4)),IF(AND(up_Irr!T4=".",up_Irr!AR4&lt;&gt;".",up_Irr!BP4="."),up_dir!U4/((1/1000)*(up_Irr!AR4)),IF(AND(up_Irr!T4&lt;&gt;".",up_Irr!AR4=".",up_Irr!BP4="."),up_dir!U4/((1/1000)*(up_Irr!T4)),IF(AND(up_Irr!T4=".",up_Irr!AR4=".",up_Irr!BP4="."),up_dir!U4*1000)))))))),".")</f>
        <v>6.5773651144152131E-4</v>
      </c>
      <c r="V4" s="48">
        <f>IFERROR(IF(AND(up_Irr!U4&lt;&gt;".",up_Irr!AS4&lt;&gt;".",up_Irr!BQ4&lt;&gt;"."),up_dir!V4/((1/1000)*(up_Irr!U4+up_Irr!AS4+up_Irr!BQ4)),IF(AND(up_Irr!U4&lt;&gt;".",up_Irr!AS4&lt;&gt;".",up_Irr!BQ4="."),up_dir!V4/((1/1000)*(up_Irr!U4+up_Irr!AS4)),IF(AND(up_Irr!U4&lt;&gt;".",up_Irr!AS4=".",up_Irr!BQ4&lt;&gt;"."),up_dir!V4/((1/1000)*(up_Irr!U4+up_Irr!BQ4)),IF(AND(up_Irr!U4=".",up_Irr!AS4&lt;&gt;".",up_Irr!BQ4&lt;&gt;"."),up_dir!V4/((1/1000)*(up_Irr!AS4+up_Irr!BQ4)),IF(AND(up_Irr!U4=".",up_Irr!AS4=".",up_Irr!BQ4&lt;&gt;"."),up_dir!V4/((1/1000)*(up_Irr!BQ4)),IF(AND(up_Irr!U4=".",up_Irr!AS4&lt;&gt;".",up_Irr!BQ4="."),up_dir!V4/((1/1000)*(up_Irr!AS4)),IF(AND(up_Irr!U4&lt;&gt;".",up_Irr!AS4=".",up_Irr!BQ4="."),up_dir!V4/((1/1000)*(up_Irr!U4)),IF(AND(up_Irr!U4=".",up_Irr!AS4=".",up_Irr!BQ4="."),up_dir!V4*1000)))))))),".")</f>
        <v>6.5773651144152131E-4</v>
      </c>
      <c r="W4" s="48">
        <f>IFERROR(IF(AND(up_Irr!V4&lt;&gt;".",up_Irr!AT4&lt;&gt;".",up_Irr!BR4&lt;&gt;"."),up_dir!W4/((1/1000)*(up_Irr!V4+up_Irr!AT4+up_Irr!BR4)),IF(AND(up_Irr!V4&lt;&gt;".",up_Irr!AT4&lt;&gt;".",up_Irr!BR4="."),up_dir!W4/((1/1000)*(up_Irr!V4+up_Irr!AT4)),IF(AND(up_Irr!V4&lt;&gt;".",up_Irr!AT4=".",up_Irr!BR4&lt;&gt;"."),up_dir!W4/((1/1000)*(up_Irr!V4+up_Irr!BR4)),IF(AND(up_Irr!V4=".",up_Irr!AT4&lt;&gt;".",up_Irr!BR4&lt;&gt;"."),up_dir!W4/((1/1000)*(up_Irr!AT4+up_Irr!BR4)),IF(AND(up_Irr!V4=".",up_Irr!AT4=".",up_Irr!BR4&lt;&gt;"."),up_dir!W4/((1/1000)*(up_Irr!BR4)),IF(AND(up_Irr!V4=".",up_Irr!AT4&lt;&gt;".",up_Irr!BR4="."),up_dir!W4/((1/1000)*(up_Irr!AT4)),IF(AND(up_Irr!V4&lt;&gt;".",up_Irr!AT4=".",up_Irr!BR4="."),up_dir!W4/((1/1000)*(up_Irr!V4)),IF(AND(up_Irr!V4=".",up_Irr!AT4=".",up_Irr!BR4="."),up_dir!W4*1000)))))))),".")</f>
        <v>6.5773651144152131E-4</v>
      </c>
      <c r="X4" s="48">
        <f>IFERROR(IF(AND(up_Irr!W4&lt;&gt;".",up_Irr!AU4&lt;&gt;".",up_Irr!BS4&lt;&gt;"."),up_dir!X4/((1/1000)*(up_Irr!W4+up_Irr!AU4+up_Irr!BS4)),IF(AND(up_Irr!W4&lt;&gt;".",up_Irr!AU4&lt;&gt;".",up_Irr!BS4="."),up_dir!X4/((1/1000)*(up_Irr!W4+up_Irr!AU4)),IF(AND(up_Irr!W4&lt;&gt;".",up_Irr!AU4=".",up_Irr!BS4&lt;&gt;"."),up_dir!X4/((1/1000)*(up_Irr!W4+up_Irr!BS4)),IF(AND(up_Irr!W4=".",up_Irr!AU4&lt;&gt;".",up_Irr!BS4&lt;&gt;"."),up_dir!X4/((1/1000)*(up_Irr!AU4+up_Irr!BS4)),IF(AND(up_Irr!W4=".",up_Irr!AU4=".",up_Irr!BS4&lt;&gt;"."),up_dir!X4/((1/1000)*(up_Irr!BS4)),IF(AND(up_Irr!W4=".",up_Irr!AU4&lt;&gt;".",up_Irr!BS4="."),up_dir!X4/((1/1000)*(up_Irr!AU4)),IF(AND(up_Irr!W4&lt;&gt;".",up_Irr!AU4=".",up_Irr!BS4="."),up_dir!X4/((1/1000)*(up_Irr!W4)),IF(AND(up_Irr!W4=".",up_Irr!AU4=".",up_Irr!BS4="."),up_dir!X4*1000)))))))),".")</f>
        <v>6.5773651144152131E-4</v>
      </c>
      <c r="Y4" s="48">
        <f>IFERROR(IF(AND(up_Irr!X4&lt;&gt;".",up_Irr!AV4&lt;&gt;".",up_Irr!BT4&lt;&gt;"."),up_dir!Y4/((1/1000)*(up_Irr!X4+up_Irr!AV4+up_Irr!BT4)),IF(AND(up_Irr!X4&lt;&gt;".",up_Irr!AV4&lt;&gt;".",up_Irr!BT4="."),up_dir!Y4/((1/1000)*(up_Irr!X4+up_Irr!AV4)),IF(AND(up_Irr!X4&lt;&gt;".",up_Irr!AV4=".",up_Irr!BT4&lt;&gt;"."),up_dir!Y4/((1/1000)*(up_Irr!X4+up_Irr!BT4)),IF(AND(up_Irr!X4=".",up_Irr!AV4&lt;&gt;".",up_Irr!BT4&lt;&gt;"."),up_dir!Y4/((1/1000)*(up_Irr!AV4+up_Irr!BT4)),IF(AND(up_Irr!X4=".",up_Irr!AV4=".",up_Irr!BT4&lt;&gt;"."),up_dir!Y4/((1/1000)*(up_Irr!BT4)),IF(AND(up_Irr!X4=".",up_Irr!AV4&lt;&gt;".",up_Irr!BT4="."),up_dir!Y4/((1/1000)*(up_Irr!AV4)),IF(AND(up_Irr!X4&lt;&gt;".",up_Irr!AV4=".",up_Irr!BT4="."),up_dir!Y4/((1/1000)*(up_Irr!X4)),IF(AND(up_Irr!X4=".",up_Irr!AV4=".",up_Irr!BT4="."),up_dir!Y4*1000)))))))),".")</f>
        <v>6.5773651144152131E-4</v>
      </c>
      <c r="Z4" s="48">
        <f>IFERROR(IF(AND(up_Irr!Y4&lt;&gt;".",up_Irr!AW4&lt;&gt;".",up_Irr!BU4&lt;&gt;"."),up_dir!Z4/((1/1000)*(up_Irr!Y4+up_Irr!AW4+up_Irr!BU4)),IF(AND(up_Irr!Y4&lt;&gt;".",up_Irr!AW4&lt;&gt;".",up_Irr!BU4="."),up_dir!Z4/((1/1000)*(up_Irr!Y4+up_Irr!AW4)),IF(AND(up_Irr!Y4&lt;&gt;".",up_Irr!AW4=".",up_Irr!BU4&lt;&gt;"."),up_dir!Z4/((1/1000)*(up_Irr!Y4+up_Irr!BU4)),IF(AND(up_Irr!Y4=".",up_Irr!AW4&lt;&gt;".",up_Irr!BU4&lt;&gt;"."),up_dir!Z4/((1/1000)*(up_Irr!AW4+up_Irr!BU4)),IF(AND(up_Irr!Y4=".",up_Irr!AW4=".",up_Irr!BU4&lt;&gt;"."),up_dir!Z4/((1/1000)*(up_Irr!BU4)),IF(AND(up_Irr!Y4=".",up_Irr!AW4&lt;&gt;".",up_Irr!BU4="."),up_dir!Z4/((1/1000)*(up_Irr!AW4)),IF(AND(up_Irr!Y4&lt;&gt;".",up_Irr!AW4=".",up_Irr!BU4="."),up_dir!Z4/((1/1000)*(up_Irr!Y4)),IF(AND(up_Irr!Y4=".",up_Irr!AW4=".",up_Irr!BU4="."),up_dir!Z4*1000)))))))),".")</f>
        <v>6.5773651144152131E-4</v>
      </c>
      <c r="AA4" s="48">
        <f>IFERROR(IF(AND(up_Irr!Z4&lt;&gt;".",up_Irr!AX4&lt;&gt;".",up_Irr!BV4&lt;&gt;"."),up_dir!AA4/((1/1000)*(up_Irr!Z4+up_Irr!AX4+up_Irr!BV4)),IF(AND(up_Irr!Z4&lt;&gt;".",up_Irr!AX4&lt;&gt;".",up_Irr!BV4="."),up_dir!AA4/((1/1000)*(up_Irr!Z4+up_Irr!AX4)),IF(AND(up_Irr!Z4&lt;&gt;".",up_Irr!AX4=".",up_Irr!BV4&lt;&gt;"."),up_dir!AA4/((1/1000)*(up_Irr!Z4+up_Irr!BV4)),IF(AND(up_Irr!Z4=".",up_Irr!AX4&lt;&gt;".",up_Irr!BV4&lt;&gt;"."),up_dir!AA4/((1/1000)*(up_Irr!AX4+up_Irr!BV4)),IF(AND(up_Irr!Z4=".",up_Irr!AX4=".",up_Irr!BV4&lt;&gt;"."),up_dir!AA4/((1/1000)*(up_Irr!BV4)),IF(AND(up_Irr!Z4=".",up_Irr!AX4&lt;&gt;".",up_Irr!BV4="."),up_dir!AA4/((1/1000)*(up_Irr!AX4)),IF(AND(up_Irr!Z4&lt;&gt;".",up_Irr!AX4=".",up_Irr!BV4="."),up_dir!AA4/((1/1000)*(up_Irr!Z4)),IF(AND(up_Irr!Z4=".",up_Irr!AX4=".",up_Irr!BV4="."),up_dir!AA4*1000)))))))),".")</f>
        <v>6.5773651144152131E-4</v>
      </c>
      <c r="AB4" s="62">
        <f t="shared" si="1"/>
        <v>22805.4847785862</v>
      </c>
      <c r="AC4" s="62">
        <f>IFERROR(s_C*s_IFAP_res_adj*s_CF_apple*0.001*(up_Irr!C4+up_Irr!AA4+up_Irr!AY4),".")</f>
        <v>7601.8282595287337</v>
      </c>
      <c r="AD4" s="62">
        <f>IFERROR(s_C*s_IFAS_res_adj*s_CF_asparagus*0.001*(up_Irr!D4+up_Irr!AB4+up_Irr!AZ4),".")</f>
        <v>7601.8282595287337</v>
      </c>
      <c r="AE4" s="62">
        <f>IFERROR(s_C*s_IFBT_res_adj*s_CF_beet*0.001*(up_Irr!E4+up_Irr!AC4+up_Irr!BA4),".")</f>
        <v>7601.8282595287337</v>
      </c>
      <c r="AF4" s="62">
        <f>IFERROR(s_C*s_IFBE_res_adj*s_CF_berries*0.001*(up_Irr!F4+up_Irr!AD4+up_Irr!BB4),".")</f>
        <v>7601.8282595287337</v>
      </c>
      <c r="AG4" s="62">
        <f>IFERROR(s_C*s_IFBR_res_adj*s_CF_broccoli*0.001*(up_Irr!G4+up_Irr!AE4+up_Irr!BC4),".")</f>
        <v>7601.8282595287337</v>
      </c>
      <c r="AH4" s="62">
        <f>IFERROR(s_C*s_IFCB_res_adj*s_CF_cabbage*0.001*(up_Irr!H4+up_Irr!AF4+up_Irr!BD4),".")</f>
        <v>7601.8282595287337</v>
      </c>
      <c r="AI4" s="62">
        <f>IFERROR(s_C*s_IFCR_res_adj*s_CF_carrot*0.001*(up_Irr!I4+up_Irr!AG4+up_Irr!BE4),".")</f>
        <v>7601.8282595287337</v>
      </c>
      <c r="AJ4" s="62">
        <f>IFERROR(s_C*s_IFCI_res_adj*s_CF_citrus*0.001*(up_Irr!J4+up_Irr!AH4+up_Irr!BF4),".")</f>
        <v>7601.8282595287337</v>
      </c>
      <c r="AK4" s="62">
        <f>IFERROR(s_C*s_IFCO_res_adj*s_CF_corn*0.001*(up_Irr!K4+up_Irr!AI4+up_Irr!BG4),".")</f>
        <v>7601.8282595287337</v>
      </c>
      <c r="AL4" s="62">
        <f>IFERROR(s_C*s_IFCU_res_adj*s_CF_cucumber*0.001*(up_Irr!L4+up_Irr!AJ4+up_Irr!BH4),".")</f>
        <v>7601.8282595287337</v>
      </c>
      <c r="AM4" s="62">
        <f>IFERROR(s_C*s_IFLE_res_adj*s_CF_lettuce*0.001*(up_Irr!M4+up_Irr!AK4+up_Irr!BI4),".")</f>
        <v>7601.8282595287337</v>
      </c>
      <c r="AN4" s="62">
        <f>IFERROR(s_C*s_IFLI_res_adj*s_CF_lima_bean*0.001*(up_Irr!N4+up_Irr!AL4+up_Irr!BJ4),".")</f>
        <v>7601.8282595287337</v>
      </c>
      <c r="AO4" s="62">
        <f>IFERROR(s_C*s_IFOK_res_adj*s_CF_okra*0.001*(up_Irr!O4+up_Irr!AM4+up_Irr!BK4),".")</f>
        <v>7601.8282595287337</v>
      </c>
      <c r="AP4" s="62">
        <f>IFERROR(s_C*s_IFON_res_adj*s_CF_onion*0.001*(up_Irr!P4+up_Irr!AN4+up_Irr!BL4),".")</f>
        <v>7601.8282595287337</v>
      </c>
      <c r="AQ4" s="62">
        <f>IFERROR(s_C*s_IFPC_res_adj*s_CF_peach*0.001*(up_Irr!Q4+up_Irr!AO4+up_Irr!BM4),".")</f>
        <v>7601.8282595287337</v>
      </c>
      <c r="AR4" s="62">
        <f>IFERROR(s_C*s_IFPR_res_adj*s_CF_pear*0.001*(up_Irr!R4+up_Irr!AP4+up_Irr!BN4),".")</f>
        <v>7601.8282595287337</v>
      </c>
      <c r="AS4" s="62">
        <f>IFERROR(s_C*s_IFPE_res_adj*s_CF_peas*0.001*(up_Irr!S4+up_Irr!AQ4+up_Irr!BO4),".")</f>
        <v>7601.8282595287337</v>
      </c>
      <c r="AT4" s="62">
        <f>IFERROR(s_C*s_IFPT_res_adj*s_CF_potato*0.001*(up_Irr!T4+up_Irr!AR4+up_Irr!BP4),".")</f>
        <v>7601.8282595287337</v>
      </c>
      <c r="AU4" s="62">
        <f>IFERROR(s_C*s_IFPU_res_adj*s_CF_pumpkin*0.001*(up_Irr!U4+up_Irr!AS4+up_Irr!BQ4),".")</f>
        <v>7601.8282595287337</v>
      </c>
      <c r="AV4" s="62">
        <f>IFERROR(s_C*s_IFSN_res_adj*s_CF_snap_bean*0.001*(up_Irr!V4+up_Irr!AT4+up_Irr!BR4),".")</f>
        <v>7601.8282595287337</v>
      </c>
      <c r="AW4" s="62">
        <f>IFERROR(s_C*s_IFST_res_adj*s_CF_strawberry*0.001*(up_Irr!W4+up_Irr!AU4+up_Irr!BS4),".")</f>
        <v>7601.8282595287337</v>
      </c>
      <c r="AX4" s="62">
        <f>IFERROR(s_C*s_IFTO_res_adj*s_CF_tomato*0.001*(up_Irr!X4+up_Irr!AV4+up_Irr!BT4),".")</f>
        <v>7601.8282595287337</v>
      </c>
      <c r="AY4" s="62">
        <f>IFERROR(s_C*s_IFRI_res_adj*s_CF_rice*0.001*(up_Irr!Y4+up_Irr!AW4+up_Irr!BU4),".")</f>
        <v>7601.8282595287337</v>
      </c>
      <c r="AZ4" s="62">
        <f>IFERROR(s_C*s_IFCG_res_adj*s_CF_cereal*0.001*(up_Irr!Z4+up_Irr!AX4+up_Irr!BV4),".")</f>
        <v>7601.8282595287337</v>
      </c>
      <c r="BA4" s="48">
        <f t="shared" si="2"/>
        <v>2.1924550381384044E-4</v>
      </c>
      <c r="BB4" s="48">
        <f>IFERROR(IF(AND(up_Irr!C4&lt;&gt;".",up_Irr!AA4&lt;&gt;".",up_Irr!AY4&lt;&gt;"."),up_dir!AC4/((1/1000)*(up_Irr!C4+up_Irr!AA4+up_Irr!AY4)),IF(AND(up_Irr!C4&lt;&gt;".",up_Irr!AA4&lt;&gt;".",up_Irr!AY4="."),up_dir!AC4/((1/1000)*(up_Irr!C4+up_Irr!AA4)),IF(AND(up_Irr!C4&lt;&gt;".",up_Irr!AA4=".",up_Irr!AY4&lt;&gt;"."),up_dir!AC4/((1/1000)*(up_Irr!C4+up_Irr!AY4)),IF(AND(up_Irr!C4=".",up_Irr!AA4&lt;&gt;".",up_Irr!AY4&lt;&gt;"."),up_dir!AC4/((1/1000)*(up_Irr!AA4+up_Irr!AY4)),IF(AND(up_Irr!C4=".",up_Irr!AA4=".",up_Irr!AY4&lt;&gt;"."),up_dir!AC4/((1/1000)*(up_Irr!AY4)),IF(AND(up_Irr!C4=".",up_Irr!AA4&lt;&gt;".",up_Irr!AY4="."),up_dir!AC4/((1/1000)*(up_Irr!AA4)),IF(AND(up_Irr!C4&lt;&gt;".",up_Irr!AA4=".",up_Irr!AY4="."),up_dir!AC4/((1/1000)*(up_Irr!C4)),IF(AND(up_Irr!C4=".",up_Irr!AA4=".",up_Irr!AY4="."),up_dir!AC4*1000)))))))),".")</f>
        <v>6.5773651144152131E-4</v>
      </c>
      <c r="BC4" s="48">
        <f>IFERROR(IF(AND(up_Irr!D4&lt;&gt;".",up_Irr!AB4&lt;&gt;".",up_Irr!AZ4&lt;&gt;"."),up_dir!AD4/((1/1000)*(up_Irr!D4+up_Irr!AB4+up_Irr!AZ4)),IF(AND(up_Irr!D4&lt;&gt;".",up_Irr!AB4&lt;&gt;".",up_Irr!AZ4="."),up_dir!AD4/((1/1000)*(up_Irr!D4+up_Irr!AB4)),IF(AND(up_Irr!D4&lt;&gt;".",up_Irr!AB4=".",up_Irr!AZ4&lt;&gt;"."),up_dir!AD4/((1/1000)*(up_Irr!D4+up_Irr!AZ4)),IF(AND(up_Irr!D4=".",up_Irr!AB4&lt;&gt;".",up_Irr!AZ4&lt;&gt;"."),up_dir!AD4/((1/1000)*(up_Irr!AB4+up_Irr!AZ4)),IF(AND(up_Irr!D4=".",up_Irr!AB4=".",up_Irr!AZ4&lt;&gt;"."),up_dir!AD4/((1/1000)*(up_Irr!AZ4)),IF(AND(up_Irr!D4=".",up_Irr!AB4&lt;&gt;".",up_Irr!AZ4="."),up_dir!AD4/((1/1000)*(up_Irr!AB4)),IF(AND(up_Irr!D4&lt;&gt;".",up_Irr!AB4=".",up_Irr!AZ4="."),up_dir!AD4/((1/1000)*(up_Irr!D4)),IF(AND(up_Irr!D4=".",up_Irr!AB4=".",up_Irr!AZ4="."),up_dir!AD4*1000)))))))),".")</f>
        <v>6.5773651144152131E-4</v>
      </c>
      <c r="BD4" s="48">
        <f>IFERROR(IF(AND(up_Irr!E4&lt;&gt;".",up_Irr!AC4&lt;&gt;".",up_Irr!BA4&lt;&gt;"."),up_dir!AE4/((1/1000)*(up_Irr!E4+up_Irr!AC4+up_Irr!BA4)),IF(AND(up_Irr!E4&lt;&gt;".",up_Irr!AC4&lt;&gt;".",up_Irr!BA4="."),up_dir!AE4/((1/1000)*(up_Irr!E4+up_Irr!AC4)),IF(AND(up_Irr!E4&lt;&gt;".",up_Irr!AC4=".",up_Irr!BA4&lt;&gt;"."),up_dir!AE4/((1/1000)*(up_Irr!E4+up_Irr!BA4)),IF(AND(up_Irr!E4=".",up_Irr!AC4&lt;&gt;".",up_Irr!BA4&lt;&gt;"."),up_dir!AE4/((1/1000)*(up_Irr!AC4+up_Irr!BA4)),IF(AND(up_Irr!E4=".",up_Irr!AC4=".",up_Irr!BA4&lt;&gt;"."),up_dir!AE4/((1/1000)*(up_Irr!BA4)),IF(AND(up_Irr!E4=".",up_Irr!AC4&lt;&gt;".",up_Irr!BA4="."),up_dir!AE4/((1/1000)*(up_Irr!AC4)),IF(AND(up_Irr!E4&lt;&gt;".",up_Irr!AC4=".",up_Irr!BA4="."),up_dir!AE4/((1/1000)*(up_Irr!E4)),IF(AND(up_Irr!E4=".",up_Irr!AC4=".",up_Irr!BA4="."),up_dir!AE4*1000)))))))),".")</f>
        <v>6.5773651144152131E-4</v>
      </c>
      <c r="BE4" s="48">
        <f>IFERROR(IF(AND(up_Irr!F4&lt;&gt;".",up_Irr!AD4&lt;&gt;".",up_Irr!BB4&lt;&gt;"."),up_dir!AF4/((1/1000)*(up_Irr!F4+up_Irr!AD4+up_Irr!BB4)),IF(AND(up_Irr!F4&lt;&gt;".",up_Irr!AD4&lt;&gt;".",up_Irr!BB4="."),up_dir!AF4/((1/1000)*(up_Irr!F4+up_Irr!AD4)),IF(AND(up_Irr!F4&lt;&gt;".",up_Irr!AD4=".",up_Irr!BB4&lt;&gt;"."),up_dir!AF4/((1/1000)*(up_Irr!F4+up_Irr!BB4)),IF(AND(up_Irr!F4=".",up_Irr!AD4&lt;&gt;".",up_Irr!BB4&lt;&gt;"."),up_dir!AF4/((1/1000)*(up_Irr!AD4+up_Irr!BB4)),IF(AND(up_Irr!F4=".",up_Irr!AD4=".",up_Irr!BB4&lt;&gt;"."),up_dir!AF4/((1/1000)*(up_Irr!BB4)),IF(AND(up_Irr!F4=".",up_Irr!AD4&lt;&gt;".",up_Irr!BB4="."),up_dir!AF4/((1/1000)*(up_Irr!AD4)),IF(AND(up_Irr!F4&lt;&gt;".",up_Irr!AD4=".",up_Irr!BB4="."),up_dir!AF4/((1/1000)*(up_Irr!F4)),IF(AND(up_Irr!F4=".",up_Irr!AD4=".",up_Irr!BB4="."),up_dir!AF4*1000)))))))),".")</f>
        <v>6.5773651144152131E-4</v>
      </c>
      <c r="BF4" s="48">
        <f>IFERROR(IF(AND(up_Irr!G4&lt;&gt;".",up_Irr!AE4&lt;&gt;".",up_Irr!BC4&lt;&gt;"."),up_dir!AG4/((1/1000)*(up_Irr!G4+up_Irr!AE4+up_Irr!BC4)),IF(AND(up_Irr!G4&lt;&gt;".",up_Irr!AE4&lt;&gt;".",up_Irr!BC4="."),up_dir!AG4/((1/1000)*(up_Irr!G4+up_Irr!AE4)),IF(AND(up_Irr!G4&lt;&gt;".",up_Irr!AE4=".",up_Irr!BC4&lt;&gt;"."),up_dir!AG4/((1/1000)*(up_Irr!G4+up_Irr!BC4)),IF(AND(up_Irr!G4=".",up_Irr!AE4&lt;&gt;".",up_Irr!BC4&lt;&gt;"."),up_dir!AG4/((1/1000)*(up_Irr!AE4+up_Irr!BC4)),IF(AND(up_Irr!G4=".",up_Irr!AE4=".",up_Irr!BC4&lt;&gt;"."),up_dir!AG4/((1/1000)*(up_Irr!BC4)),IF(AND(up_Irr!G4=".",up_Irr!AE4&lt;&gt;".",up_Irr!BC4="."),up_dir!AG4/((1/1000)*(up_Irr!AE4)),IF(AND(up_Irr!G4&lt;&gt;".",up_Irr!AE4=".",up_Irr!BC4="."),up_dir!AG4/((1/1000)*(up_Irr!G4)),IF(AND(up_Irr!G4=".",up_Irr!AE4=".",up_Irr!BC4="."),up_dir!AG4*1000)))))))),".")</f>
        <v>6.5773651144152131E-4</v>
      </c>
      <c r="BG4" s="48">
        <f>IFERROR(IF(AND(up_Irr!H4&lt;&gt;".",up_Irr!AF4&lt;&gt;".",up_Irr!BD4&lt;&gt;"."),up_dir!AH4/((1/1000)*(up_Irr!H4+up_Irr!AF4+up_Irr!BD4)),IF(AND(up_Irr!H4&lt;&gt;".",up_Irr!AF4&lt;&gt;".",up_Irr!BD4="."),up_dir!AH4/((1/1000)*(up_Irr!H4+up_Irr!AF4)),IF(AND(up_Irr!H4&lt;&gt;".",up_Irr!AF4=".",up_Irr!BD4&lt;&gt;"."),up_dir!AH4/((1/1000)*(up_Irr!H4+up_Irr!BD4)),IF(AND(up_Irr!H4=".",up_Irr!AF4&lt;&gt;".",up_Irr!BD4&lt;&gt;"."),up_dir!AH4/((1/1000)*(up_Irr!AF4+up_Irr!BD4)),IF(AND(up_Irr!H4=".",up_Irr!AF4=".",up_Irr!BD4&lt;&gt;"."),up_dir!AH4/((1/1000)*(up_Irr!BD4)),IF(AND(up_Irr!H4=".",up_Irr!AF4&lt;&gt;".",up_Irr!BD4="."),up_dir!AH4/((1/1000)*(up_Irr!AF4)),IF(AND(up_Irr!H4&lt;&gt;".",up_Irr!AF4=".",up_Irr!BD4="."),up_dir!AH4/((1/1000)*(up_Irr!H4)),IF(AND(up_Irr!H4=".",up_Irr!AF4=".",up_Irr!BD4="."),up_dir!AH4*1000)))))))),".")</f>
        <v>6.5773651144152131E-4</v>
      </c>
      <c r="BH4" s="48">
        <f>IFERROR(IF(AND(up_Irr!I4&lt;&gt;".",up_Irr!AG4&lt;&gt;".",up_Irr!BE4&lt;&gt;"."),up_dir!AI4/((1/1000)*(up_Irr!I4+up_Irr!AG4+up_Irr!BE4)),IF(AND(up_Irr!I4&lt;&gt;".",up_Irr!AG4&lt;&gt;".",up_Irr!BE4="."),up_dir!AI4/((1/1000)*(up_Irr!I4+up_Irr!AG4)),IF(AND(up_Irr!I4&lt;&gt;".",up_Irr!AG4=".",up_Irr!BE4&lt;&gt;"."),up_dir!AI4/((1/1000)*(up_Irr!I4+up_Irr!BE4)),IF(AND(up_Irr!I4=".",up_Irr!AG4&lt;&gt;".",up_Irr!BE4&lt;&gt;"."),up_dir!AI4/((1/1000)*(up_Irr!AG4+up_Irr!BE4)),IF(AND(up_Irr!I4=".",up_Irr!AG4=".",up_Irr!BE4&lt;&gt;"."),up_dir!AI4/((1/1000)*(up_Irr!BE4)),IF(AND(up_Irr!I4=".",up_Irr!AG4&lt;&gt;".",up_Irr!BE4="."),up_dir!AI4/((1/1000)*(up_Irr!AG4)),IF(AND(up_Irr!I4&lt;&gt;".",up_Irr!AG4=".",up_Irr!BE4="."),up_dir!AI4/((1/1000)*(up_Irr!I4)),IF(AND(up_Irr!I4=".",up_Irr!AG4=".",up_Irr!BE4="."),up_dir!AI4*1000)))))))),".")</f>
        <v>6.5773651144152131E-4</v>
      </c>
      <c r="BI4" s="48">
        <f>IFERROR(IF(AND(up_Irr!J4&lt;&gt;".",up_Irr!AH4&lt;&gt;".",up_Irr!BF4&lt;&gt;"."),up_dir!AJ4/((1/1000)*(up_Irr!J4+up_Irr!AH4+up_Irr!BF4)),IF(AND(up_Irr!J4&lt;&gt;".",up_Irr!AH4&lt;&gt;".",up_Irr!BF4="."),up_dir!AJ4/((1/1000)*(up_Irr!J4+up_Irr!AH4)),IF(AND(up_Irr!J4&lt;&gt;".",up_Irr!AH4=".",up_Irr!BF4&lt;&gt;"."),up_dir!AJ4/((1/1000)*(up_Irr!J4+up_Irr!BF4)),IF(AND(up_Irr!J4=".",up_Irr!AH4&lt;&gt;".",up_Irr!BF4&lt;&gt;"."),up_dir!AJ4/((1/1000)*(up_Irr!AH4+up_Irr!BF4)),IF(AND(up_Irr!J4=".",up_Irr!AH4=".",up_Irr!BF4&lt;&gt;"."),up_dir!AJ4/((1/1000)*(up_Irr!BF4)),IF(AND(up_Irr!J4=".",up_Irr!AH4&lt;&gt;".",up_Irr!BF4="."),up_dir!AJ4/((1/1000)*(up_Irr!AH4)),IF(AND(up_Irr!J4&lt;&gt;".",up_Irr!AH4=".",up_Irr!BF4="."),up_dir!AJ4/((1/1000)*(up_Irr!J4)),IF(AND(up_Irr!J4=".",up_Irr!AH4=".",up_Irr!BF4="."),up_dir!AJ4*1000)))))))),".")</f>
        <v>6.5773651144152131E-4</v>
      </c>
      <c r="BJ4" s="48">
        <f>IFERROR(IF(AND(up_Irr!K4&lt;&gt;".",up_Irr!AI4&lt;&gt;".",up_Irr!BG4&lt;&gt;"."),up_dir!AK4/((1/1000)*(up_Irr!K4+up_Irr!AI4+up_Irr!BG4)),IF(AND(up_Irr!K4&lt;&gt;".",up_Irr!AI4&lt;&gt;".",up_Irr!BG4="."),up_dir!AK4/((1/1000)*(up_Irr!K4+up_Irr!AI4)),IF(AND(up_Irr!K4&lt;&gt;".",up_Irr!AI4=".",up_Irr!BG4&lt;&gt;"."),up_dir!AK4/((1/1000)*(up_Irr!K4+up_Irr!BG4)),IF(AND(up_Irr!K4=".",up_Irr!AI4&lt;&gt;".",up_Irr!BG4&lt;&gt;"."),up_dir!AK4/((1/1000)*(up_Irr!AI4+up_Irr!BG4)),IF(AND(up_Irr!K4=".",up_Irr!AI4=".",up_Irr!BG4&lt;&gt;"."),up_dir!AK4/((1/1000)*(up_Irr!BG4)),IF(AND(up_Irr!K4=".",up_Irr!AI4&lt;&gt;".",up_Irr!BG4="."),up_dir!AK4/((1/1000)*(up_Irr!AI4)),IF(AND(up_Irr!K4&lt;&gt;".",up_Irr!AI4=".",up_Irr!BG4="."),up_dir!AK4/((1/1000)*(up_Irr!K4)),IF(AND(up_Irr!K4=".",up_Irr!AI4=".",up_Irr!BG4="."),up_dir!AK4*1000)))))))),".")</f>
        <v>6.5773651144152131E-4</v>
      </c>
      <c r="BK4" s="48">
        <f>IFERROR(IF(AND(up_Irr!L4&lt;&gt;".",up_Irr!AJ4&lt;&gt;".",up_Irr!BH4&lt;&gt;"."),up_dir!AL4/((1/1000)*(up_Irr!L4+up_Irr!AJ4+up_Irr!BH4)),IF(AND(up_Irr!L4&lt;&gt;".",up_Irr!AJ4&lt;&gt;".",up_Irr!BH4="."),up_dir!AL4/((1/1000)*(up_Irr!L4+up_Irr!AJ4)),IF(AND(up_Irr!L4&lt;&gt;".",up_Irr!AJ4=".",up_Irr!BH4&lt;&gt;"."),up_dir!AL4/((1/1000)*(up_Irr!L4+up_Irr!BH4)),IF(AND(up_Irr!L4=".",up_Irr!AJ4&lt;&gt;".",up_Irr!BH4&lt;&gt;"."),up_dir!AL4/((1/1000)*(up_Irr!AJ4+up_Irr!BH4)),IF(AND(up_Irr!L4=".",up_Irr!AJ4=".",up_Irr!BH4&lt;&gt;"."),up_dir!AL4/((1/1000)*(up_Irr!BH4)),IF(AND(up_Irr!L4=".",up_Irr!AJ4&lt;&gt;".",up_Irr!BH4="."),up_dir!AL4/((1/1000)*(up_Irr!AJ4)),IF(AND(up_Irr!L4&lt;&gt;".",up_Irr!AJ4=".",up_Irr!BH4="."),up_dir!AL4/((1/1000)*(up_Irr!L4)),IF(AND(up_Irr!L4=".",up_Irr!AJ4=".",up_Irr!BH4="."),up_dir!AL4*1000)))))))),".")</f>
        <v>6.5773651144152131E-4</v>
      </c>
      <c r="BL4" s="48">
        <f>IFERROR(IF(AND(up_Irr!M4&lt;&gt;".",up_Irr!AK4&lt;&gt;".",up_Irr!BI4&lt;&gt;"."),up_dir!AM4/((1/1000)*(up_Irr!M4+up_Irr!AK4+up_Irr!BI4)),IF(AND(up_Irr!M4&lt;&gt;".",up_Irr!AK4&lt;&gt;".",up_Irr!BI4="."),up_dir!AM4/((1/1000)*(up_Irr!M4+up_Irr!AK4)),IF(AND(up_Irr!M4&lt;&gt;".",up_Irr!AK4=".",up_Irr!BI4&lt;&gt;"."),up_dir!AM4/((1/1000)*(up_Irr!M4+up_Irr!BI4)),IF(AND(up_Irr!M4=".",up_Irr!AK4&lt;&gt;".",up_Irr!BI4&lt;&gt;"."),up_dir!AM4/((1/1000)*(up_Irr!AK4+up_Irr!BI4)),IF(AND(up_Irr!M4=".",up_Irr!AK4=".",up_Irr!BI4&lt;&gt;"."),up_dir!AM4/((1/1000)*(up_Irr!BI4)),IF(AND(up_Irr!M4=".",up_Irr!AK4&lt;&gt;".",up_Irr!BI4="."),up_dir!AM4/((1/1000)*(up_Irr!AK4)),IF(AND(up_Irr!M4&lt;&gt;".",up_Irr!AK4=".",up_Irr!BI4="."),up_dir!AM4/((1/1000)*(up_Irr!M4)),IF(AND(up_Irr!M4=".",up_Irr!AK4=".",up_Irr!BI4="."),up_dir!AM4*1000)))))))),".")</f>
        <v>6.5773651144152131E-4</v>
      </c>
      <c r="BM4" s="48">
        <f>IFERROR(IF(AND(up_Irr!N4&lt;&gt;".",up_Irr!AL4&lt;&gt;".",up_Irr!BJ4&lt;&gt;"."),up_dir!AN4/((1/1000)*(up_Irr!N4+up_Irr!AL4+up_Irr!BJ4)),IF(AND(up_Irr!N4&lt;&gt;".",up_Irr!AL4&lt;&gt;".",up_Irr!BJ4="."),up_dir!AN4/((1/1000)*(up_Irr!N4+up_Irr!AL4)),IF(AND(up_Irr!N4&lt;&gt;".",up_Irr!AL4=".",up_Irr!BJ4&lt;&gt;"."),up_dir!AN4/((1/1000)*(up_Irr!N4+up_Irr!BJ4)),IF(AND(up_Irr!N4=".",up_Irr!AL4&lt;&gt;".",up_Irr!BJ4&lt;&gt;"."),up_dir!AN4/((1/1000)*(up_Irr!AL4+up_Irr!BJ4)),IF(AND(up_Irr!N4=".",up_Irr!AL4=".",up_Irr!BJ4&lt;&gt;"."),up_dir!AN4/((1/1000)*(up_Irr!BJ4)),IF(AND(up_Irr!N4=".",up_Irr!AL4&lt;&gt;".",up_Irr!BJ4="."),up_dir!AN4/((1/1000)*(up_Irr!AL4)),IF(AND(up_Irr!N4&lt;&gt;".",up_Irr!AL4=".",up_Irr!BJ4="."),up_dir!AN4/((1/1000)*(up_Irr!N4)),IF(AND(up_Irr!N4=".",up_Irr!AL4=".",up_Irr!BJ4="."),up_dir!AN4*1000)))))))),".")</f>
        <v>6.5773651144152131E-4</v>
      </c>
      <c r="BN4" s="48">
        <f>IFERROR(IF(AND(up_Irr!O4&lt;&gt;".",up_Irr!AM4&lt;&gt;".",up_Irr!BK4&lt;&gt;"."),up_dir!AO4/((1/1000)*(up_Irr!O4+up_Irr!AM4+up_Irr!BK4)),IF(AND(up_Irr!O4&lt;&gt;".",up_Irr!AM4&lt;&gt;".",up_Irr!BK4="."),up_dir!AO4/((1/1000)*(up_Irr!O4+up_Irr!AM4)),IF(AND(up_Irr!O4&lt;&gt;".",up_Irr!AM4=".",up_Irr!BK4&lt;&gt;"."),up_dir!AO4/((1/1000)*(up_Irr!O4+up_Irr!BK4)),IF(AND(up_Irr!O4=".",up_Irr!AM4&lt;&gt;".",up_Irr!BK4&lt;&gt;"."),up_dir!AO4/((1/1000)*(up_Irr!AM4+up_Irr!BK4)),IF(AND(up_Irr!O4=".",up_Irr!AM4=".",up_Irr!BK4&lt;&gt;"."),up_dir!AO4/((1/1000)*(up_Irr!BK4)),IF(AND(up_Irr!O4=".",up_Irr!AM4&lt;&gt;".",up_Irr!BK4="."),up_dir!AO4/((1/1000)*(up_Irr!AM4)),IF(AND(up_Irr!O4&lt;&gt;".",up_Irr!AM4=".",up_Irr!BK4="."),up_dir!AO4/((1/1000)*(up_Irr!O4)),IF(AND(up_Irr!O4=".",up_Irr!AM4=".",up_Irr!BK4="."),up_dir!AO4*1000)))))))),".")</f>
        <v>6.5773651144152131E-4</v>
      </c>
      <c r="BO4" s="48">
        <f>IFERROR(IF(AND(up_Irr!P4&lt;&gt;".",up_Irr!AN4&lt;&gt;".",up_Irr!BL4&lt;&gt;"."),up_dir!AP4/((1/1000)*(up_Irr!P4+up_Irr!AN4+up_Irr!BL4)),IF(AND(up_Irr!P4&lt;&gt;".",up_Irr!AN4&lt;&gt;".",up_Irr!BL4="."),up_dir!AP4/((1/1000)*(up_Irr!P4+up_Irr!AN4)),IF(AND(up_Irr!P4&lt;&gt;".",up_Irr!AN4=".",up_Irr!BL4&lt;&gt;"."),up_dir!AP4/((1/1000)*(up_Irr!P4+up_Irr!BL4)),IF(AND(up_Irr!P4=".",up_Irr!AN4&lt;&gt;".",up_Irr!BL4&lt;&gt;"."),up_dir!AP4/((1/1000)*(up_Irr!AN4+up_Irr!BL4)),IF(AND(up_Irr!P4=".",up_Irr!AN4=".",up_Irr!BL4&lt;&gt;"."),up_dir!AP4/((1/1000)*(up_Irr!BL4)),IF(AND(up_Irr!P4=".",up_Irr!AN4&lt;&gt;".",up_Irr!BL4="."),up_dir!AP4/((1/1000)*(up_Irr!AN4)),IF(AND(up_Irr!P4&lt;&gt;".",up_Irr!AN4=".",up_Irr!BL4="."),up_dir!AP4/((1/1000)*(up_Irr!P4)),IF(AND(up_Irr!P4=".",up_Irr!AN4=".",up_Irr!BL4="."),up_dir!AP4*1000)))))))),".")</f>
        <v>6.5773651144152131E-4</v>
      </c>
      <c r="BP4" s="48">
        <f>IFERROR(IF(AND(up_Irr!Q4&lt;&gt;".",up_Irr!AO4&lt;&gt;".",up_Irr!BM4&lt;&gt;"."),up_dir!AQ4/((1/1000)*(up_Irr!Q4+up_Irr!AO4+up_Irr!BM4)),IF(AND(up_Irr!Q4&lt;&gt;".",up_Irr!AO4&lt;&gt;".",up_Irr!BM4="."),up_dir!AQ4/((1/1000)*(up_Irr!Q4+up_Irr!AO4)),IF(AND(up_Irr!Q4&lt;&gt;".",up_Irr!AO4=".",up_Irr!BM4&lt;&gt;"."),up_dir!AQ4/((1/1000)*(up_Irr!Q4+up_Irr!BM4)),IF(AND(up_Irr!Q4=".",up_Irr!AO4&lt;&gt;".",up_Irr!BM4&lt;&gt;"."),up_dir!AQ4/((1/1000)*(up_Irr!AO4+up_Irr!BM4)),IF(AND(up_Irr!Q4=".",up_Irr!AO4=".",up_Irr!BM4&lt;&gt;"."),up_dir!AQ4/((1/1000)*(up_Irr!BM4)),IF(AND(up_Irr!Q4=".",up_Irr!AO4&lt;&gt;".",up_Irr!BM4="."),up_dir!AQ4/((1/1000)*(up_Irr!AO4)),IF(AND(up_Irr!Q4&lt;&gt;".",up_Irr!AO4=".",up_Irr!BM4="."),up_dir!AQ4/((1/1000)*(up_Irr!Q4)),IF(AND(up_Irr!Q4=".",up_Irr!AO4=".",up_Irr!BM4="."),up_dir!AQ4*1000)))))))),".")</f>
        <v>6.5773651144152131E-4</v>
      </c>
      <c r="BQ4" s="48">
        <f>IFERROR(IF(AND(up_Irr!R4&lt;&gt;".",up_Irr!AP4&lt;&gt;".",up_Irr!BN4&lt;&gt;"."),up_dir!AR4/((1/1000)*(up_Irr!R4+up_Irr!AP4+up_Irr!BN4)),IF(AND(up_Irr!R4&lt;&gt;".",up_Irr!AP4&lt;&gt;".",up_Irr!BN4="."),up_dir!AR4/((1/1000)*(up_Irr!R4+up_Irr!AP4)),IF(AND(up_Irr!R4&lt;&gt;".",up_Irr!AP4=".",up_Irr!BN4&lt;&gt;"."),up_dir!AR4/((1/1000)*(up_Irr!R4+up_Irr!BN4)),IF(AND(up_Irr!R4=".",up_Irr!AP4&lt;&gt;".",up_Irr!BN4&lt;&gt;"."),up_dir!AR4/((1/1000)*(up_Irr!AP4+up_Irr!BN4)),IF(AND(up_Irr!R4=".",up_Irr!AP4=".",up_Irr!BN4&lt;&gt;"."),up_dir!AR4/((1/1000)*(up_Irr!BN4)),IF(AND(up_Irr!R4=".",up_Irr!AP4&lt;&gt;".",up_Irr!BN4="."),up_dir!AR4/((1/1000)*(up_Irr!AP4)),IF(AND(up_Irr!R4&lt;&gt;".",up_Irr!AP4=".",up_Irr!BN4="."),up_dir!AR4/((1/1000)*(up_Irr!R4)),IF(AND(up_Irr!R4=".",up_Irr!AP4=".",up_Irr!BN4="."),up_dir!AR4*1000)))))))),".")</f>
        <v>6.5773651144152131E-4</v>
      </c>
      <c r="BR4" s="48">
        <f>IFERROR(IF(AND(up_Irr!S4&lt;&gt;".",up_Irr!AQ4&lt;&gt;".",up_Irr!BO4&lt;&gt;"."),up_dir!AS4/((1/1000)*(up_Irr!S4+up_Irr!AQ4+up_Irr!BO4)),IF(AND(up_Irr!S4&lt;&gt;".",up_Irr!AQ4&lt;&gt;".",up_Irr!BO4="."),up_dir!AS4/((1/1000)*(up_Irr!S4+up_Irr!AQ4)),IF(AND(up_Irr!S4&lt;&gt;".",up_Irr!AQ4=".",up_Irr!BO4&lt;&gt;"."),up_dir!AS4/((1/1000)*(up_Irr!S4+up_Irr!BO4)),IF(AND(up_Irr!S4=".",up_Irr!AQ4&lt;&gt;".",up_Irr!BO4&lt;&gt;"."),up_dir!AS4/((1/1000)*(up_Irr!AQ4+up_Irr!BO4)),IF(AND(up_Irr!S4=".",up_Irr!AQ4=".",up_Irr!BO4&lt;&gt;"."),up_dir!AS4/((1/1000)*(up_Irr!BO4)),IF(AND(up_Irr!S4=".",up_Irr!AQ4&lt;&gt;".",up_Irr!BO4="."),up_dir!AS4/((1/1000)*(up_Irr!AQ4)),IF(AND(up_Irr!S4&lt;&gt;".",up_Irr!AQ4=".",up_Irr!BO4="."),up_dir!AS4/((1/1000)*(up_Irr!S4)),IF(AND(up_Irr!S4=".",up_Irr!AQ4=".",up_Irr!BO4="."),up_dir!AS4*1000)))))))),".")</f>
        <v>6.5773651144152131E-4</v>
      </c>
      <c r="BS4" s="48">
        <f>IFERROR(IF(AND(up_Irr!T4&lt;&gt;".",up_Irr!AR4&lt;&gt;".",up_Irr!BP4&lt;&gt;"."),up_dir!AT4/((1/1000)*(up_Irr!T4+up_Irr!AR4+up_Irr!BP4)),IF(AND(up_Irr!T4&lt;&gt;".",up_Irr!AR4&lt;&gt;".",up_Irr!BP4="."),up_dir!AT4/((1/1000)*(up_Irr!T4+up_Irr!AR4)),IF(AND(up_Irr!T4&lt;&gt;".",up_Irr!AR4=".",up_Irr!BP4&lt;&gt;"."),up_dir!AT4/((1/1000)*(up_Irr!T4+up_Irr!BP4)),IF(AND(up_Irr!T4=".",up_Irr!AR4&lt;&gt;".",up_Irr!BP4&lt;&gt;"."),up_dir!AT4/((1/1000)*(up_Irr!AR4+up_Irr!BP4)),IF(AND(up_Irr!T4=".",up_Irr!AR4=".",up_Irr!BP4&lt;&gt;"."),up_dir!AT4/((1/1000)*(up_Irr!BP4)),IF(AND(up_Irr!T4=".",up_Irr!AR4&lt;&gt;".",up_Irr!BP4="."),up_dir!AT4/((1/1000)*(up_Irr!AR4)),IF(AND(up_Irr!T4&lt;&gt;".",up_Irr!AR4=".",up_Irr!BP4="."),up_dir!AT4/((1/1000)*(up_Irr!T4)),IF(AND(up_Irr!T4=".",up_Irr!AR4=".",up_Irr!BP4="."),up_dir!AT4*1000)))))))),".")</f>
        <v>6.5773651144152131E-4</v>
      </c>
      <c r="BT4" s="48">
        <f>IFERROR(IF(AND(up_Irr!U4&lt;&gt;".",up_Irr!AS4&lt;&gt;".",up_Irr!BQ4&lt;&gt;"."),up_dir!AU4/((1/1000)*(up_Irr!U4+up_Irr!AS4+up_Irr!BQ4)),IF(AND(up_Irr!U4&lt;&gt;".",up_Irr!AS4&lt;&gt;".",up_Irr!BQ4="."),up_dir!AU4/((1/1000)*(up_Irr!U4+up_Irr!AS4)),IF(AND(up_Irr!U4&lt;&gt;".",up_Irr!AS4=".",up_Irr!BQ4&lt;&gt;"."),up_dir!AU4/((1/1000)*(up_Irr!U4+up_Irr!BQ4)),IF(AND(up_Irr!U4=".",up_Irr!AS4&lt;&gt;".",up_Irr!BQ4&lt;&gt;"."),up_dir!AU4/((1/1000)*(up_Irr!AS4+up_Irr!BQ4)),IF(AND(up_Irr!U4=".",up_Irr!AS4=".",up_Irr!BQ4&lt;&gt;"."),up_dir!AU4/((1/1000)*(up_Irr!BQ4)),IF(AND(up_Irr!U4=".",up_Irr!AS4&lt;&gt;".",up_Irr!BQ4="."),up_dir!AU4/((1/1000)*(up_Irr!AS4)),IF(AND(up_Irr!U4&lt;&gt;".",up_Irr!AS4=".",up_Irr!BQ4="."),up_dir!AU4/((1/1000)*(up_Irr!U4)),IF(AND(up_Irr!U4=".",up_Irr!AS4=".",up_Irr!BQ4="."),up_dir!AU4*1000)))))))),".")</f>
        <v>6.5773651144152131E-4</v>
      </c>
      <c r="BU4" s="48">
        <f>IFERROR(IF(AND(up_Irr!V4&lt;&gt;".",up_Irr!AT4&lt;&gt;".",up_Irr!BR4&lt;&gt;"."),up_dir!AV4/((1/1000)*(up_Irr!V4+up_Irr!AT4+up_Irr!BR4)),IF(AND(up_Irr!V4&lt;&gt;".",up_Irr!AT4&lt;&gt;".",up_Irr!BR4="."),up_dir!AV4/((1/1000)*(up_Irr!V4+up_Irr!AT4)),IF(AND(up_Irr!V4&lt;&gt;".",up_Irr!AT4=".",up_Irr!BR4&lt;&gt;"."),up_dir!AV4/((1/1000)*(up_Irr!V4+up_Irr!BR4)),IF(AND(up_Irr!V4=".",up_Irr!AT4&lt;&gt;".",up_Irr!BR4&lt;&gt;"."),up_dir!AV4/((1/1000)*(up_Irr!AT4+up_Irr!BR4)),IF(AND(up_Irr!V4=".",up_Irr!AT4=".",up_Irr!BR4&lt;&gt;"."),up_dir!AV4/((1/1000)*(up_Irr!BR4)),IF(AND(up_Irr!V4=".",up_Irr!AT4&lt;&gt;".",up_Irr!BR4="."),up_dir!AV4/((1/1000)*(up_Irr!AT4)),IF(AND(up_Irr!V4&lt;&gt;".",up_Irr!AT4=".",up_Irr!BR4="."),up_dir!AV4/((1/1000)*(up_Irr!V4)),IF(AND(up_Irr!V4=".",up_Irr!AT4=".",up_Irr!BR4="."),up_dir!AV4*1000)))))))),".")</f>
        <v>6.5773651144152131E-4</v>
      </c>
      <c r="BV4" s="48">
        <f>IFERROR(IF(AND(up_Irr!W4&lt;&gt;".",up_Irr!AU4&lt;&gt;".",up_Irr!BS4&lt;&gt;"."),up_dir!AW4/((1/1000)*(up_Irr!W4+up_Irr!AU4+up_Irr!BS4)),IF(AND(up_Irr!W4&lt;&gt;".",up_Irr!AU4&lt;&gt;".",up_Irr!BS4="."),up_dir!AW4/((1/1000)*(up_Irr!W4+up_Irr!AU4)),IF(AND(up_Irr!W4&lt;&gt;".",up_Irr!AU4=".",up_Irr!BS4&lt;&gt;"."),up_dir!AW4/((1/1000)*(up_Irr!W4+up_Irr!BS4)),IF(AND(up_Irr!W4=".",up_Irr!AU4&lt;&gt;".",up_Irr!BS4&lt;&gt;"."),up_dir!AW4/((1/1000)*(up_Irr!AU4+up_Irr!BS4)),IF(AND(up_Irr!W4=".",up_Irr!AU4=".",up_Irr!BS4&lt;&gt;"."),up_dir!AW4/((1/1000)*(up_Irr!BS4)),IF(AND(up_Irr!W4=".",up_Irr!AU4&lt;&gt;".",up_Irr!BS4="."),up_dir!AW4/((1/1000)*(up_Irr!AU4)),IF(AND(up_Irr!W4&lt;&gt;".",up_Irr!AU4=".",up_Irr!BS4="."),up_dir!AW4/((1/1000)*(up_Irr!W4)),IF(AND(up_Irr!W4=".",up_Irr!AU4=".",up_Irr!BS4="."),up_dir!AW4*1000)))))))),".")</f>
        <v>6.5773651144152131E-4</v>
      </c>
      <c r="BW4" s="48">
        <f>IFERROR(IF(AND(up_Irr!X4&lt;&gt;".",up_Irr!AV4&lt;&gt;".",up_Irr!BT4&lt;&gt;"."),up_dir!AX4/((1/1000)*(up_Irr!X4+up_Irr!AV4+up_Irr!BT4)),IF(AND(up_Irr!X4&lt;&gt;".",up_Irr!AV4&lt;&gt;".",up_Irr!BT4="."),up_dir!AX4/((1/1000)*(up_Irr!X4+up_Irr!AV4)),IF(AND(up_Irr!X4&lt;&gt;".",up_Irr!AV4=".",up_Irr!BT4&lt;&gt;"."),up_dir!AX4/((1/1000)*(up_Irr!X4+up_Irr!BT4)),IF(AND(up_Irr!X4=".",up_Irr!AV4&lt;&gt;".",up_Irr!BT4&lt;&gt;"."),up_dir!AX4/((1/1000)*(up_Irr!AV4+up_Irr!BT4)),IF(AND(up_Irr!X4=".",up_Irr!AV4=".",up_Irr!BT4&lt;&gt;"."),up_dir!AX4/((1/1000)*(up_Irr!BT4)),IF(AND(up_Irr!X4=".",up_Irr!AV4&lt;&gt;".",up_Irr!BT4="."),up_dir!AX4/((1/1000)*(up_Irr!AV4)),IF(AND(up_Irr!X4&lt;&gt;".",up_Irr!AV4=".",up_Irr!BT4="."),up_dir!AX4/((1/1000)*(up_Irr!X4)),IF(AND(up_Irr!X4=".",up_Irr!AV4=".",up_Irr!BT4="."),up_dir!AX4*1000)))))))),".")</f>
        <v>6.5773651144152131E-4</v>
      </c>
      <c r="BX4" s="48">
        <f>IFERROR(IF(AND(up_Irr!Y4&lt;&gt;".",up_Irr!AW4&lt;&gt;".",up_Irr!BU4&lt;&gt;"."),up_dir!AY4/((1/1000)*(up_Irr!Y4+up_Irr!AW4+up_Irr!BU4)),IF(AND(up_Irr!Y4&lt;&gt;".",up_Irr!AW4&lt;&gt;".",up_Irr!BU4="."),up_dir!AY4/((1/1000)*(up_Irr!Y4+up_Irr!AW4)),IF(AND(up_Irr!Y4&lt;&gt;".",up_Irr!AW4=".",up_Irr!BU4&lt;&gt;"."),up_dir!AY4/((1/1000)*(up_Irr!Y4+up_Irr!BU4)),IF(AND(up_Irr!Y4=".",up_Irr!AW4&lt;&gt;".",up_Irr!BU4&lt;&gt;"."),up_dir!AY4/((1/1000)*(up_Irr!AW4+up_Irr!BU4)),IF(AND(up_Irr!Y4=".",up_Irr!AW4=".",up_Irr!BU4&lt;&gt;"."),up_dir!AY4/((1/1000)*(up_Irr!BU4)),IF(AND(up_Irr!Y4=".",up_Irr!AW4&lt;&gt;".",up_Irr!BU4="."),up_dir!AY4/((1/1000)*(up_Irr!AW4)),IF(AND(up_Irr!Y4&lt;&gt;".",up_Irr!AW4=".",up_Irr!BU4="."),up_dir!AY4/((1/1000)*(up_Irr!Y4)),IF(AND(up_Irr!Y4=".",up_Irr!AW4=".",up_Irr!BU4="."),up_dir!AY4*1000)))))))),".")</f>
        <v>6.5773651144152131E-4</v>
      </c>
      <c r="BY4" s="48">
        <f>IFERROR(IF(AND(up_Irr!Z4&lt;&gt;".",up_Irr!AX4&lt;&gt;".",up_Irr!BV4&lt;&gt;"."),up_dir!AZ4/((1/1000)*(up_Irr!Z4+up_Irr!AX4+up_Irr!BV4)),IF(AND(up_Irr!Z4&lt;&gt;".",up_Irr!AX4&lt;&gt;".",up_Irr!BV4="."),up_dir!AZ4/((1/1000)*(up_Irr!Z4+up_Irr!AX4)),IF(AND(up_Irr!Z4&lt;&gt;".",up_Irr!AX4=".",up_Irr!BV4&lt;&gt;"."),up_dir!AZ4/((1/1000)*(up_Irr!Z4+up_Irr!BV4)),IF(AND(up_Irr!Z4=".",up_Irr!AX4&lt;&gt;".",up_Irr!BV4&lt;&gt;"."),up_dir!AZ4/((1/1000)*(up_Irr!AX4+up_Irr!BV4)),IF(AND(up_Irr!Z4=".",up_Irr!AX4=".",up_Irr!BV4&lt;&gt;"."),up_dir!AZ4/((1/1000)*(up_Irr!BV4)),IF(AND(up_Irr!Z4=".",up_Irr!AX4&lt;&gt;".",up_Irr!BV4="."),up_dir!AZ4/((1/1000)*(up_Irr!AX4)),IF(AND(up_Irr!Z4&lt;&gt;".",up_Irr!AX4=".",up_Irr!BV4="."),up_dir!AZ4/((1/1000)*(up_Irr!Z4)),IF(AND(up_Irr!Z4=".",up_Irr!AX4=".",up_Irr!BV4="."),up_dir!AZ4*1000)))))))),".")</f>
        <v>6.5773651144152131E-4</v>
      </c>
      <c r="BZ4" s="62">
        <f t="shared" si="3"/>
        <v>22805.4847785862</v>
      </c>
      <c r="CA4" s="62">
        <f>IFERROR(s_C*s_IFAP_far_adj*s_CF_apple*(1/1000)*(up_Irr!C4+up_Irr!AA4+up_Irr!AY4),".")</f>
        <v>7601.8282595287337</v>
      </c>
      <c r="CB4" s="62">
        <f>IFERROR(s_C*s_IFAS_far_adj*s_CF_asparagus*(1/1000)*(up_Irr!D4+up_Irr!AB4+up_Irr!AZ4),".")</f>
        <v>7601.8282595287337</v>
      </c>
      <c r="CC4" s="62">
        <f>IFERROR(s_C*s_IFBT_far_adj*s_CF_beet*(1/1000)*(up_Irr!E4+up_Irr!AC4+up_Irr!BA4),".")</f>
        <v>7601.8282595287337</v>
      </c>
      <c r="CD4" s="62">
        <f>IFERROR(s_C*s_IFBE_far_adj*s_CF_berries*(1/1000)*(up_Irr!F4+up_Irr!AD4+up_Irr!BB4),".")</f>
        <v>7601.8282595287337</v>
      </c>
      <c r="CE4" s="62">
        <f>IFERROR(s_C*s_IFBR_far_adj*s_CF_broccoli*(1/1000)*(up_Irr!G4+up_Irr!AE4+up_Irr!BC4),".")</f>
        <v>7601.8282595287337</v>
      </c>
      <c r="CF4" s="62">
        <f>IFERROR(s_C*s_IFCB_far_adj*s_CF_cabbage*(1/1000)*(up_Irr!H4+up_Irr!AF4+up_Irr!BD4),".")</f>
        <v>7601.8282595287337</v>
      </c>
      <c r="CG4" s="62">
        <f>IFERROR(s_C*s_IFCR_far_adj*s_CF_carrot*(1/1000)*(up_Irr!I4+up_Irr!AG4+up_Irr!BE4),".")</f>
        <v>7601.8282595287337</v>
      </c>
      <c r="CH4" s="62">
        <f>IFERROR(s_C*s_IFCI_far_adj*s_CF_citrus*(1/1000)*(up_Irr!J4+up_Irr!AH4+up_Irr!BF4),".")</f>
        <v>7601.8282595287337</v>
      </c>
      <c r="CI4" s="62">
        <f>IFERROR(s_C*s_IFCO_far_adj*s_CF_corn*(1/1000)*(up_Irr!K4+up_Irr!AI4+up_Irr!BG4),".")</f>
        <v>7601.8282595287337</v>
      </c>
      <c r="CJ4" s="62">
        <f>IFERROR(s_C*s_IFCU_far_adj*s_CF_cucumber*(1/1000)*(up_Irr!L4+up_Irr!AJ4+up_Irr!BH4),".")</f>
        <v>7601.8282595287337</v>
      </c>
      <c r="CK4" s="62">
        <f>IFERROR(s_C*s_IFLE_far_adj*s_CF_lettuce*(1/1000)*(up_Irr!M4+up_Irr!AK4+up_Irr!BI4),".")</f>
        <v>7601.8282595287337</v>
      </c>
      <c r="CL4" s="62">
        <f>IFERROR(s_C*s_IFLI_far_adj*s_CF_lima_bean*(1/1000)*(up_Irr!N4+up_Irr!AL4+up_Irr!BJ4),".")</f>
        <v>7601.8282595287337</v>
      </c>
      <c r="CM4" s="62">
        <f>IFERROR(s_C*s_IFOK_far_adj*s_CF_okra*(1/1000)*(up_Irr!O4+up_Irr!AM4+up_Irr!BK4),".")</f>
        <v>7601.8282595287337</v>
      </c>
      <c r="CN4" s="62">
        <f>IFERROR(s_C*s_IFON_far_adj*s_CF_onion*(1/1000)*(up_Irr!P4+up_Irr!AN4+up_Irr!BL4),".")</f>
        <v>7601.8282595287337</v>
      </c>
      <c r="CO4" s="62">
        <f>IFERROR(s_C*s_IFPC_far_adj*s_CF_peach*(1/1000)*(up_Irr!Q4+up_Irr!AO4+up_Irr!BM4),".")</f>
        <v>7601.8282595287337</v>
      </c>
      <c r="CP4" s="62">
        <f>IFERROR(s_C*s_IFPR_far_adj*s_CF_pear*(1/1000)*(up_Irr!R4+up_Irr!AP4+up_Irr!BN4),".")</f>
        <v>7601.8282595287337</v>
      </c>
      <c r="CQ4" s="62">
        <f>IFERROR(s_C*s_IFPE_far_adj*s_CF_peas*(1/1000)*(up_Irr!S4+up_Irr!AQ4+up_Irr!BO4),".")</f>
        <v>7601.8282595287337</v>
      </c>
      <c r="CR4" s="62">
        <f>IFERROR(s_C*s_IFPT_far_adj*s_CF_potato*(1/1000)*(up_Irr!T4+up_Irr!AR4+up_Irr!BP4),".")</f>
        <v>7601.8282595287337</v>
      </c>
      <c r="CS4" s="62">
        <f>IFERROR(s_C*s_IFPU_far_adj*s_CF_pumpkin*(1/1000)*(up_Irr!U4+up_Irr!AS4+up_Irr!BQ4),".")</f>
        <v>7601.8282595287337</v>
      </c>
      <c r="CT4" s="62">
        <f>IFERROR(s_C*s_IFSN_far_adj*s_CF_snap_bean*(1/1000)*(up_Irr!V4+up_Irr!AT4+up_Irr!BR4),".")</f>
        <v>7601.8282595287337</v>
      </c>
      <c r="CU4" s="62">
        <f>IFERROR(s_C*s_IFST_far_adj*s_CF_strawberry*(1/1000)*(up_Irr!W4+up_Irr!AU4+up_Irr!BS4),".")</f>
        <v>7601.8282595287337</v>
      </c>
      <c r="CV4" s="62">
        <f>IFERROR(s_C*s_IFTO_far_adj*s_CF_tomato*(1/1000)*(up_Irr!X4+up_Irr!AV4+up_Irr!BT4),".")</f>
        <v>7601.8282595287337</v>
      </c>
      <c r="CW4" s="62">
        <f>IFERROR(s_C*s_IFRI_far_adj*s_CF_rice*(1/1000)*(up_Irr!Y4+up_Irr!AW4+up_Irr!BU4),".")</f>
        <v>7601.8282595287337</v>
      </c>
      <c r="CX4" s="62">
        <f>IFERROR(s_C*s_IFCG_far_adj*s_CF_cereal*(1/1000)*(up_Irr!Z4+up_Irr!AX4+up_Irr!BV4),".")</f>
        <v>7601.8282595287337</v>
      </c>
    </row>
    <row r="5" spans="1:102" ht="15" customHeight="1" x14ac:dyDescent="0.25">
      <c r="A5" s="61" t="s">
        <v>3</v>
      </c>
      <c r="B5" s="49" t="s">
        <v>1059</v>
      </c>
      <c r="C5" s="48">
        <f t="shared" si="0"/>
        <v>2.1924550381384044E-4</v>
      </c>
      <c r="D5" s="48">
        <f>IFERROR(IF(AND(up_Irr!C5&lt;&gt;".",up_Irr!AA5&lt;&gt;".",up_Irr!AY5&lt;&gt;"."),up_dir!D5/((1/1000)*(up_Irr!C5+up_Irr!AA5+up_Irr!AY5)),IF(AND(up_Irr!C5&lt;&gt;".",up_Irr!AA5&lt;&gt;".",up_Irr!AY5="."),up_dir!D5/((1/1000)*(up_Irr!C5+up_Irr!AA5)),IF(AND(up_Irr!C5&lt;&gt;".",up_Irr!AA5=".",up_Irr!AY5&lt;&gt;"."),up_dir!D5/((1/1000)*(up_Irr!C5+up_Irr!AY5)),IF(AND(up_Irr!C5=".",up_Irr!AA5&lt;&gt;".",up_Irr!AY5&lt;&gt;"."),up_dir!D5/((1/1000)*(up_Irr!AA5+up_Irr!AY5)),IF(AND(up_Irr!C5=".",up_Irr!AA5=".",up_Irr!AY5&lt;&gt;"."),up_dir!D5/((1/1000)*(up_Irr!AY5)),IF(AND(up_Irr!C5=".",up_Irr!AA5&lt;&gt;".",up_Irr!AY5="."),up_dir!D5/((1/1000)*(up_Irr!AA5)),IF(AND(up_Irr!C5&lt;&gt;".",up_Irr!AA5=".",up_Irr!AY5="."),up_dir!D5/((1/1000)*(up_Irr!C5)),IF(AND(up_Irr!C5=".",up_Irr!AA5=".",up_Irr!AY5="."),up_dir!D5*1000)))))))),".")</f>
        <v>6.5773651144152131E-4</v>
      </c>
      <c r="E5" s="48">
        <f>IFERROR(IF(AND(up_Irr!D5&lt;&gt;".",up_Irr!AB5&lt;&gt;".",up_Irr!AZ5&lt;&gt;"."),up_dir!E5/((1/1000)*(up_Irr!D5+up_Irr!AB5+up_Irr!AZ5)),IF(AND(up_Irr!D5&lt;&gt;".",up_Irr!AB5&lt;&gt;".",up_Irr!AZ5="."),up_dir!E5/((1/1000)*(up_Irr!D5+up_Irr!AB5)),IF(AND(up_Irr!D5&lt;&gt;".",up_Irr!AB5=".",up_Irr!AZ5&lt;&gt;"."),up_dir!E5/((1/1000)*(up_Irr!D5+up_Irr!AZ5)),IF(AND(up_Irr!D5=".",up_Irr!AB5&lt;&gt;".",up_Irr!AZ5&lt;&gt;"."),up_dir!E5/((1/1000)*(up_Irr!AB5+up_Irr!AZ5)),IF(AND(up_Irr!D5=".",up_Irr!AB5=".",up_Irr!AZ5&lt;&gt;"."),up_dir!E5/((1/1000)*(up_Irr!AZ5)),IF(AND(up_Irr!D5=".",up_Irr!AB5&lt;&gt;".",up_Irr!AZ5="."),up_dir!E5/((1/1000)*(up_Irr!AB5)),IF(AND(up_Irr!D5&lt;&gt;".",up_Irr!AB5=".",up_Irr!AZ5="."),up_dir!E5/((1/1000)*(up_Irr!D5)),IF(AND(up_Irr!D5=".",up_Irr!AB5=".",up_Irr!AZ5="."),up_dir!E5*1000)))))))),".")</f>
        <v>6.5773651144152131E-4</v>
      </c>
      <c r="F5" s="48">
        <f>IFERROR(IF(AND(up_Irr!E5&lt;&gt;".",up_Irr!AC5&lt;&gt;".",up_Irr!BA5&lt;&gt;"."),up_dir!F5/((1/1000)*(up_Irr!E5+up_Irr!AC5+up_Irr!BA5)),IF(AND(up_Irr!E5&lt;&gt;".",up_Irr!AC5&lt;&gt;".",up_Irr!BA5="."),up_dir!F5/((1/1000)*(up_Irr!E5+up_Irr!AC5)),IF(AND(up_Irr!E5&lt;&gt;".",up_Irr!AC5=".",up_Irr!BA5&lt;&gt;"."),up_dir!F5/((1/1000)*(up_Irr!E5+up_Irr!BA5)),IF(AND(up_Irr!E5=".",up_Irr!AC5&lt;&gt;".",up_Irr!BA5&lt;&gt;"."),up_dir!F5/((1/1000)*(up_Irr!AC5+up_Irr!BA5)),IF(AND(up_Irr!E5=".",up_Irr!AC5=".",up_Irr!BA5&lt;&gt;"."),up_dir!F5/((1/1000)*(up_Irr!BA5)),IF(AND(up_Irr!E5=".",up_Irr!AC5&lt;&gt;".",up_Irr!BA5="."),up_dir!F5/((1/1000)*(up_Irr!AC5)),IF(AND(up_Irr!E5&lt;&gt;".",up_Irr!AC5=".",up_Irr!BA5="."),up_dir!F5/((1/1000)*(up_Irr!E5)),IF(AND(up_Irr!E5=".",up_Irr!AC5=".",up_Irr!BA5="."),up_dir!F5*1000)))))))),".")</f>
        <v>6.5773651144152131E-4</v>
      </c>
      <c r="G5" s="48">
        <f>IFERROR(IF(AND(up_Irr!F5&lt;&gt;".",up_Irr!AD5&lt;&gt;".",up_Irr!BB5&lt;&gt;"."),up_dir!G5/((1/1000)*(up_Irr!F5+up_Irr!AD5+up_Irr!BB5)),IF(AND(up_Irr!F5&lt;&gt;".",up_Irr!AD5&lt;&gt;".",up_Irr!BB5="."),up_dir!G5/((1/1000)*(up_Irr!F5+up_Irr!AD5)),IF(AND(up_Irr!F5&lt;&gt;".",up_Irr!AD5=".",up_Irr!BB5&lt;&gt;"."),up_dir!G5/((1/1000)*(up_Irr!F5+up_Irr!BB5)),IF(AND(up_Irr!F5=".",up_Irr!AD5&lt;&gt;".",up_Irr!BB5&lt;&gt;"."),up_dir!G5/((1/1000)*(up_Irr!AD5+up_Irr!BB5)),IF(AND(up_Irr!F5=".",up_Irr!AD5=".",up_Irr!BB5&lt;&gt;"."),up_dir!G5/((1/1000)*(up_Irr!BB5)),IF(AND(up_Irr!F5=".",up_Irr!AD5&lt;&gt;".",up_Irr!BB5="."),up_dir!G5/((1/1000)*(up_Irr!AD5)),IF(AND(up_Irr!F5&lt;&gt;".",up_Irr!AD5=".",up_Irr!BB5="."),up_dir!G5/((1/1000)*(up_Irr!F5)),IF(AND(up_Irr!F5=".",up_Irr!AD5=".",up_Irr!BB5="."),up_dir!G5*1000)))))))),".")</f>
        <v>6.5773651144152131E-4</v>
      </c>
      <c r="H5" s="48">
        <f>IFERROR(IF(AND(up_Irr!G5&lt;&gt;".",up_Irr!AE5&lt;&gt;".",up_Irr!BC5&lt;&gt;"."),up_dir!H5/((1/1000)*(up_Irr!G5+up_Irr!AE5+up_Irr!BC5)),IF(AND(up_Irr!G5&lt;&gt;".",up_Irr!AE5&lt;&gt;".",up_Irr!BC5="."),up_dir!H5/((1/1000)*(up_Irr!G5+up_Irr!AE5)),IF(AND(up_Irr!G5&lt;&gt;".",up_Irr!AE5=".",up_Irr!BC5&lt;&gt;"."),up_dir!H5/((1/1000)*(up_Irr!G5+up_Irr!BC5)),IF(AND(up_Irr!G5=".",up_Irr!AE5&lt;&gt;".",up_Irr!BC5&lt;&gt;"."),up_dir!H5/((1/1000)*(up_Irr!AE5+up_Irr!BC5)),IF(AND(up_Irr!G5=".",up_Irr!AE5=".",up_Irr!BC5&lt;&gt;"."),up_dir!H5/((1/1000)*(up_Irr!BC5)),IF(AND(up_Irr!G5=".",up_Irr!AE5&lt;&gt;".",up_Irr!BC5="."),up_dir!H5/((1/1000)*(up_Irr!AE5)),IF(AND(up_Irr!G5&lt;&gt;".",up_Irr!AE5=".",up_Irr!BC5="."),up_dir!H5/((1/1000)*(up_Irr!G5)),IF(AND(up_Irr!G5=".",up_Irr!AE5=".",up_Irr!BC5="."),up_dir!H5*1000)))))))),".")</f>
        <v>6.5773651144152131E-4</v>
      </c>
      <c r="I5" s="48">
        <f>IFERROR(IF(AND(up_Irr!H5&lt;&gt;".",up_Irr!AF5&lt;&gt;".",up_Irr!BD5&lt;&gt;"."),up_dir!I5/((1/1000)*(up_Irr!H5+up_Irr!AF5+up_Irr!BD5)),IF(AND(up_Irr!H5&lt;&gt;".",up_Irr!AF5&lt;&gt;".",up_Irr!BD5="."),up_dir!I5/((1/1000)*(up_Irr!H5+up_Irr!AF5)),IF(AND(up_Irr!H5&lt;&gt;".",up_Irr!AF5=".",up_Irr!BD5&lt;&gt;"."),up_dir!I5/((1/1000)*(up_Irr!H5+up_Irr!BD5)),IF(AND(up_Irr!H5=".",up_Irr!AF5&lt;&gt;".",up_Irr!BD5&lt;&gt;"."),up_dir!I5/((1/1000)*(up_Irr!AF5+up_Irr!BD5)),IF(AND(up_Irr!H5=".",up_Irr!AF5=".",up_Irr!BD5&lt;&gt;"."),up_dir!I5/((1/1000)*(up_Irr!BD5)),IF(AND(up_Irr!H5=".",up_Irr!AF5&lt;&gt;".",up_Irr!BD5="."),up_dir!I5/((1/1000)*(up_Irr!AF5)),IF(AND(up_Irr!H5&lt;&gt;".",up_Irr!AF5=".",up_Irr!BD5="."),up_dir!I5/((1/1000)*(up_Irr!H5)),IF(AND(up_Irr!H5=".",up_Irr!AF5=".",up_Irr!BD5="."),up_dir!I5*1000)))))))),".")</f>
        <v>6.5773651144152131E-4</v>
      </c>
      <c r="J5" s="48">
        <f>IFERROR(IF(AND(up_Irr!I5&lt;&gt;".",up_Irr!AG5&lt;&gt;".",up_Irr!BE5&lt;&gt;"."),up_dir!J5/((1/1000)*(up_Irr!I5+up_Irr!AG5+up_Irr!BE5)),IF(AND(up_Irr!I5&lt;&gt;".",up_Irr!AG5&lt;&gt;".",up_Irr!BE5="."),up_dir!J5/((1/1000)*(up_Irr!I5+up_Irr!AG5)),IF(AND(up_Irr!I5&lt;&gt;".",up_Irr!AG5=".",up_Irr!BE5&lt;&gt;"."),up_dir!J5/((1/1000)*(up_Irr!I5+up_Irr!BE5)),IF(AND(up_Irr!I5=".",up_Irr!AG5&lt;&gt;".",up_Irr!BE5&lt;&gt;"."),up_dir!J5/((1/1000)*(up_Irr!AG5+up_Irr!BE5)),IF(AND(up_Irr!I5=".",up_Irr!AG5=".",up_Irr!BE5&lt;&gt;"."),up_dir!J5/((1/1000)*(up_Irr!BE5)),IF(AND(up_Irr!I5=".",up_Irr!AG5&lt;&gt;".",up_Irr!BE5="."),up_dir!J5/((1/1000)*(up_Irr!AG5)),IF(AND(up_Irr!I5&lt;&gt;".",up_Irr!AG5=".",up_Irr!BE5="."),up_dir!J5/((1/1000)*(up_Irr!I5)),IF(AND(up_Irr!I5=".",up_Irr!AG5=".",up_Irr!BE5="."),up_dir!J5*1000)))))))),".")</f>
        <v>6.5773651144152131E-4</v>
      </c>
      <c r="K5" s="48">
        <f>IFERROR(IF(AND(up_Irr!J5&lt;&gt;".",up_Irr!AH5&lt;&gt;".",up_Irr!BF5&lt;&gt;"."),up_dir!K5/((1/1000)*(up_Irr!J5+up_Irr!AH5+up_Irr!BF5)),IF(AND(up_Irr!J5&lt;&gt;".",up_Irr!AH5&lt;&gt;".",up_Irr!BF5="."),up_dir!K5/((1/1000)*(up_Irr!J5+up_Irr!AH5)),IF(AND(up_Irr!J5&lt;&gt;".",up_Irr!AH5=".",up_Irr!BF5&lt;&gt;"."),up_dir!K5/((1/1000)*(up_Irr!J5+up_Irr!BF5)),IF(AND(up_Irr!J5=".",up_Irr!AH5&lt;&gt;".",up_Irr!BF5&lt;&gt;"."),up_dir!K5/((1/1000)*(up_Irr!AH5+up_Irr!BF5)),IF(AND(up_Irr!J5=".",up_Irr!AH5=".",up_Irr!BF5&lt;&gt;"."),up_dir!K5/((1/1000)*(up_Irr!BF5)),IF(AND(up_Irr!J5=".",up_Irr!AH5&lt;&gt;".",up_Irr!BF5="."),up_dir!K5/((1/1000)*(up_Irr!AH5)),IF(AND(up_Irr!J5&lt;&gt;".",up_Irr!AH5=".",up_Irr!BF5="."),up_dir!K5/((1/1000)*(up_Irr!J5)),IF(AND(up_Irr!J5=".",up_Irr!AH5=".",up_Irr!BF5="."),up_dir!K5*1000)))))))),".")</f>
        <v>6.5773651144152131E-4</v>
      </c>
      <c r="L5" s="48">
        <f>IFERROR(IF(AND(up_Irr!K5&lt;&gt;".",up_Irr!AI5&lt;&gt;".",up_Irr!BG5&lt;&gt;"."),up_dir!L5/((1/1000)*(up_Irr!K5+up_Irr!AI5+up_Irr!BG5)),IF(AND(up_Irr!K5&lt;&gt;".",up_Irr!AI5&lt;&gt;".",up_Irr!BG5="."),up_dir!L5/((1/1000)*(up_Irr!K5+up_Irr!AI5)),IF(AND(up_Irr!K5&lt;&gt;".",up_Irr!AI5=".",up_Irr!BG5&lt;&gt;"."),up_dir!L5/((1/1000)*(up_Irr!K5+up_Irr!BG5)),IF(AND(up_Irr!K5=".",up_Irr!AI5&lt;&gt;".",up_Irr!BG5&lt;&gt;"."),up_dir!L5/((1/1000)*(up_Irr!AI5+up_Irr!BG5)),IF(AND(up_Irr!K5=".",up_Irr!AI5=".",up_Irr!BG5&lt;&gt;"."),up_dir!L5/((1/1000)*(up_Irr!BG5)),IF(AND(up_Irr!K5=".",up_Irr!AI5&lt;&gt;".",up_Irr!BG5="."),up_dir!L5/((1/1000)*(up_Irr!AI5)),IF(AND(up_Irr!K5&lt;&gt;".",up_Irr!AI5=".",up_Irr!BG5="."),up_dir!L5/((1/1000)*(up_Irr!K5)),IF(AND(up_Irr!K5=".",up_Irr!AI5=".",up_Irr!BG5="."),up_dir!L5*1000)))))))),".")</f>
        <v>6.5773651144152131E-4</v>
      </c>
      <c r="M5" s="48">
        <f>IFERROR(IF(AND(up_Irr!L5&lt;&gt;".",up_Irr!AJ5&lt;&gt;".",up_Irr!BH5&lt;&gt;"."),up_dir!M5/((1/1000)*(up_Irr!L5+up_Irr!AJ5+up_Irr!BH5)),IF(AND(up_Irr!L5&lt;&gt;".",up_Irr!AJ5&lt;&gt;".",up_Irr!BH5="."),up_dir!M5/((1/1000)*(up_Irr!L5+up_Irr!AJ5)),IF(AND(up_Irr!L5&lt;&gt;".",up_Irr!AJ5=".",up_Irr!BH5&lt;&gt;"."),up_dir!M5/((1/1000)*(up_Irr!L5+up_Irr!BH5)),IF(AND(up_Irr!L5=".",up_Irr!AJ5&lt;&gt;".",up_Irr!BH5&lt;&gt;"."),up_dir!M5/((1/1000)*(up_Irr!AJ5+up_Irr!BH5)),IF(AND(up_Irr!L5=".",up_Irr!AJ5=".",up_Irr!BH5&lt;&gt;"."),up_dir!M5/((1/1000)*(up_Irr!BH5)),IF(AND(up_Irr!L5=".",up_Irr!AJ5&lt;&gt;".",up_Irr!BH5="."),up_dir!M5/((1/1000)*(up_Irr!AJ5)),IF(AND(up_Irr!L5&lt;&gt;".",up_Irr!AJ5=".",up_Irr!BH5="."),up_dir!M5/((1/1000)*(up_Irr!L5)),IF(AND(up_Irr!L5=".",up_Irr!AJ5=".",up_Irr!BH5="."),up_dir!M5*1000)))))))),".")</f>
        <v>6.5773651144152131E-4</v>
      </c>
      <c r="N5" s="48">
        <f>IFERROR(IF(AND(up_Irr!M5&lt;&gt;".",up_Irr!AK5&lt;&gt;".",up_Irr!BI5&lt;&gt;"."),up_dir!N5/((1/1000)*(up_Irr!M5+up_Irr!AK5+up_Irr!BI5)),IF(AND(up_Irr!M5&lt;&gt;".",up_Irr!AK5&lt;&gt;".",up_Irr!BI5="."),up_dir!N5/((1/1000)*(up_Irr!M5+up_Irr!AK5)),IF(AND(up_Irr!M5&lt;&gt;".",up_Irr!AK5=".",up_Irr!BI5&lt;&gt;"."),up_dir!N5/((1/1000)*(up_Irr!M5+up_Irr!BI5)),IF(AND(up_Irr!M5=".",up_Irr!AK5&lt;&gt;".",up_Irr!BI5&lt;&gt;"."),up_dir!N5/((1/1000)*(up_Irr!AK5+up_Irr!BI5)),IF(AND(up_Irr!M5=".",up_Irr!AK5=".",up_Irr!BI5&lt;&gt;"."),up_dir!N5/((1/1000)*(up_Irr!BI5)),IF(AND(up_Irr!M5=".",up_Irr!AK5&lt;&gt;".",up_Irr!BI5="."),up_dir!N5/((1/1000)*(up_Irr!AK5)),IF(AND(up_Irr!M5&lt;&gt;".",up_Irr!AK5=".",up_Irr!BI5="."),up_dir!N5/((1/1000)*(up_Irr!M5)),IF(AND(up_Irr!M5=".",up_Irr!AK5=".",up_Irr!BI5="."),up_dir!N5*1000)))))))),".")</f>
        <v>6.5773651144152131E-4</v>
      </c>
      <c r="O5" s="48">
        <f>IFERROR(IF(AND(up_Irr!N5&lt;&gt;".",up_Irr!AL5&lt;&gt;".",up_Irr!BJ5&lt;&gt;"."),up_dir!O5/((1/1000)*(up_Irr!N5+up_Irr!AL5+up_Irr!BJ5)),IF(AND(up_Irr!N5&lt;&gt;".",up_Irr!AL5&lt;&gt;".",up_Irr!BJ5="."),up_dir!O5/((1/1000)*(up_Irr!N5+up_Irr!AL5)),IF(AND(up_Irr!N5&lt;&gt;".",up_Irr!AL5=".",up_Irr!BJ5&lt;&gt;"."),up_dir!O5/((1/1000)*(up_Irr!N5+up_Irr!BJ5)),IF(AND(up_Irr!N5=".",up_Irr!AL5&lt;&gt;".",up_Irr!BJ5&lt;&gt;"."),up_dir!O5/((1/1000)*(up_Irr!AL5+up_Irr!BJ5)),IF(AND(up_Irr!N5=".",up_Irr!AL5=".",up_Irr!BJ5&lt;&gt;"."),up_dir!O5/((1/1000)*(up_Irr!BJ5)),IF(AND(up_Irr!N5=".",up_Irr!AL5&lt;&gt;".",up_Irr!BJ5="."),up_dir!O5/((1/1000)*(up_Irr!AL5)),IF(AND(up_Irr!N5&lt;&gt;".",up_Irr!AL5=".",up_Irr!BJ5="."),up_dir!O5/((1/1000)*(up_Irr!N5)),IF(AND(up_Irr!N5=".",up_Irr!AL5=".",up_Irr!BJ5="."),up_dir!O5*1000)))))))),".")</f>
        <v>6.5773651144152131E-4</v>
      </c>
      <c r="P5" s="48">
        <f>IFERROR(IF(AND(up_Irr!O5&lt;&gt;".",up_Irr!AM5&lt;&gt;".",up_Irr!BK5&lt;&gt;"."),up_dir!P5/((1/1000)*(up_Irr!O5+up_Irr!AM5+up_Irr!BK5)),IF(AND(up_Irr!O5&lt;&gt;".",up_Irr!AM5&lt;&gt;".",up_Irr!BK5="."),up_dir!P5/((1/1000)*(up_Irr!O5+up_Irr!AM5)),IF(AND(up_Irr!O5&lt;&gt;".",up_Irr!AM5=".",up_Irr!BK5&lt;&gt;"."),up_dir!P5/((1/1000)*(up_Irr!O5+up_Irr!BK5)),IF(AND(up_Irr!O5=".",up_Irr!AM5&lt;&gt;".",up_Irr!BK5&lt;&gt;"."),up_dir!P5/((1/1000)*(up_Irr!AM5+up_Irr!BK5)),IF(AND(up_Irr!O5=".",up_Irr!AM5=".",up_Irr!BK5&lt;&gt;"."),up_dir!P5/((1/1000)*(up_Irr!BK5)),IF(AND(up_Irr!O5=".",up_Irr!AM5&lt;&gt;".",up_Irr!BK5="."),up_dir!P5/((1/1000)*(up_Irr!AM5)),IF(AND(up_Irr!O5&lt;&gt;".",up_Irr!AM5=".",up_Irr!BK5="."),up_dir!P5/((1/1000)*(up_Irr!O5)),IF(AND(up_Irr!O5=".",up_Irr!AM5=".",up_Irr!BK5="."),up_dir!P5*1000)))))))),".")</f>
        <v>6.5773651144152131E-4</v>
      </c>
      <c r="Q5" s="48">
        <f>IFERROR(IF(AND(up_Irr!P5&lt;&gt;".",up_Irr!AN5&lt;&gt;".",up_Irr!BL5&lt;&gt;"."),up_dir!Q5/((1/1000)*(up_Irr!P5+up_Irr!AN5+up_Irr!BL5)),IF(AND(up_Irr!P5&lt;&gt;".",up_Irr!AN5&lt;&gt;".",up_Irr!BL5="."),up_dir!Q5/((1/1000)*(up_Irr!P5+up_Irr!AN5)),IF(AND(up_Irr!P5&lt;&gt;".",up_Irr!AN5=".",up_Irr!BL5&lt;&gt;"."),up_dir!Q5/((1/1000)*(up_Irr!P5+up_Irr!BL5)),IF(AND(up_Irr!P5=".",up_Irr!AN5&lt;&gt;".",up_Irr!BL5&lt;&gt;"."),up_dir!Q5/((1/1000)*(up_Irr!AN5+up_Irr!BL5)),IF(AND(up_Irr!P5=".",up_Irr!AN5=".",up_Irr!BL5&lt;&gt;"."),up_dir!Q5/((1/1000)*(up_Irr!BL5)),IF(AND(up_Irr!P5=".",up_Irr!AN5&lt;&gt;".",up_Irr!BL5="."),up_dir!Q5/((1/1000)*(up_Irr!AN5)),IF(AND(up_Irr!P5&lt;&gt;".",up_Irr!AN5=".",up_Irr!BL5="."),up_dir!Q5/((1/1000)*(up_Irr!P5)),IF(AND(up_Irr!P5=".",up_Irr!AN5=".",up_Irr!BL5="."),up_dir!Q5*1000)))))))),".")</f>
        <v>6.5773651144152131E-4</v>
      </c>
      <c r="R5" s="48">
        <f>IFERROR(IF(AND(up_Irr!Q5&lt;&gt;".",up_Irr!AO5&lt;&gt;".",up_Irr!BM5&lt;&gt;"."),up_dir!R5/((1/1000)*(up_Irr!Q5+up_Irr!AO5+up_Irr!BM5)),IF(AND(up_Irr!Q5&lt;&gt;".",up_Irr!AO5&lt;&gt;".",up_Irr!BM5="."),up_dir!R5/((1/1000)*(up_Irr!Q5+up_Irr!AO5)),IF(AND(up_Irr!Q5&lt;&gt;".",up_Irr!AO5=".",up_Irr!BM5&lt;&gt;"."),up_dir!R5/((1/1000)*(up_Irr!Q5+up_Irr!BM5)),IF(AND(up_Irr!Q5=".",up_Irr!AO5&lt;&gt;".",up_Irr!BM5&lt;&gt;"."),up_dir!R5/((1/1000)*(up_Irr!AO5+up_Irr!BM5)),IF(AND(up_Irr!Q5=".",up_Irr!AO5=".",up_Irr!BM5&lt;&gt;"."),up_dir!R5/((1/1000)*(up_Irr!BM5)),IF(AND(up_Irr!Q5=".",up_Irr!AO5&lt;&gt;".",up_Irr!BM5="."),up_dir!R5/((1/1000)*(up_Irr!AO5)),IF(AND(up_Irr!Q5&lt;&gt;".",up_Irr!AO5=".",up_Irr!BM5="."),up_dir!R5/((1/1000)*(up_Irr!Q5)),IF(AND(up_Irr!Q5=".",up_Irr!AO5=".",up_Irr!BM5="."),up_dir!R5*1000)))))))),".")</f>
        <v>6.5773651144152131E-4</v>
      </c>
      <c r="S5" s="48">
        <f>IFERROR(IF(AND(up_Irr!R5&lt;&gt;".",up_Irr!AP5&lt;&gt;".",up_Irr!BN5&lt;&gt;"."),up_dir!S5/((1/1000)*(up_Irr!R5+up_Irr!AP5+up_Irr!BN5)),IF(AND(up_Irr!R5&lt;&gt;".",up_Irr!AP5&lt;&gt;".",up_Irr!BN5="."),up_dir!S5/((1/1000)*(up_Irr!R5+up_Irr!AP5)),IF(AND(up_Irr!R5&lt;&gt;".",up_Irr!AP5=".",up_Irr!BN5&lt;&gt;"."),up_dir!S5/((1/1000)*(up_Irr!R5+up_Irr!BN5)),IF(AND(up_Irr!R5=".",up_Irr!AP5&lt;&gt;".",up_Irr!BN5&lt;&gt;"."),up_dir!S5/((1/1000)*(up_Irr!AP5+up_Irr!BN5)),IF(AND(up_Irr!R5=".",up_Irr!AP5=".",up_Irr!BN5&lt;&gt;"."),up_dir!S5/((1/1000)*(up_Irr!BN5)),IF(AND(up_Irr!R5=".",up_Irr!AP5&lt;&gt;".",up_Irr!BN5="."),up_dir!S5/((1/1000)*(up_Irr!AP5)),IF(AND(up_Irr!R5&lt;&gt;".",up_Irr!AP5=".",up_Irr!BN5="."),up_dir!S5/((1/1000)*(up_Irr!R5)),IF(AND(up_Irr!R5=".",up_Irr!AP5=".",up_Irr!BN5="."),up_dir!S5*1000)))))))),".")</f>
        <v>6.5773651144152131E-4</v>
      </c>
      <c r="T5" s="48">
        <f>IFERROR(IF(AND(up_Irr!S5&lt;&gt;".",up_Irr!AQ5&lt;&gt;".",up_Irr!BO5&lt;&gt;"."),up_dir!T5/((1/1000)*(up_Irr!S5+up_Irr!AQ5+up_Irr!BO5)),IF(AND(up_Irr!S5&lt;&gt;".",up_Irr!AQ5&lt;&gt;".",up_Irr!BO5="."),up_dir!T5/((1/1000)*(up_Irr!S5+up_Irr!AQ5)),IF(AND(up_Irr!S5&lt;&gt;".",up_Irr!AQ5=".",up_Irr!BO5&lt;&gt;"."),up_dir!T5/((1/1000)*(up_Irr!S5+up_Irr!BO5)),IF(AND(up_Irr!S5=".",up_Irr!AQ5&lt;&gt;".",up_Irr!BO5&lt;&gt;"."),up_dir!T5/((1/1000)*(up_Irr!AQ5+up_Irr!BO5)),IF(AND(up_Irr!S5=".",up_Irr!AQ5=".",up_Irr!BO5&lt;&gt;"."),up_dir!T5/((1/1000)*(up_Irr!BO5)),IF(AND(up_Irr!S5=".",up_Irr!AQ5&lt;&gt;".",up_Irr!BO5="."),up_dir!T5/((1/1000)*(up_Irr!AQ5)),IF(AND(up_Irr!S5&lt;&gt;".",up_Irr!AQ5=".",up_Irr!BO5="."),up_dir!T5/((1/1000)*(up_Irr!S5)),IF(AND(up_Irr!S5=".",up_Irr!AQ5=".",up_Irr!BO5="."),up_dir!T5*1000)))))))),".")</f>
        <v>6.5773651144152131E-4</v>
      </c>
      <c r="U5" s="48">
        <f>IFERROR(IF(AND(up_Irr!T5&lt;&gt;".",up_Irr!AR5&lt;&gt;".",up_Irr!BP5&lt;&gt;"."),up_dir!U5/((1/1000)*(up_Irr!T5+up_Irr!AR5+up_Irr!BP5)),IF(AND(up_Irr!T5&lt;&gt;".",up_Irr!AR5&lt;&gt;".",up_Irr!BP5="."),up_dir!U5/((1/1000)*(up_Irr!T5+up_Irr!AR5)),IF(AND(up_Irr!T5&lt;&gt;".",up_Irr!AR5=".",up_Irr!BP5&lt;&gt;"."),up_dir!U5/((1/1000)*(up_Irr!T5+up_Irr!BP5)),IF(AND(up_Irr!T5=".",up_Irr!AR5&lt;&gt;".",up_Irr!BP5&lt;&gt;"."),up_dir!U5/((1/1000)*(up_Irr!AR5+up_Irr!BP5)),IF(AND(up_Irr!T5=".",up_Irr!AR5=".",up_Irr!BP5&lt;&gt;"."),up_dir!U5/((1/1000)*(up_Irr!BP5)),IF(AND(up_Irr!T5=".",up_Irr!AR5&lt;&gt;".",up_Irr!BP5="."),up_dir!U5/((1/1000)*(up_Irr!AR5)),IF(AND(up_Irr!T5&lt;&gt;".",up_Irr!AR5=".",up_Irr!BP5="."),up_dir!U5/((1/1000)*(up_Irr!T5)),IF(AND(up_Irr!T5=".",up_Irr!AR5=".",up_Irr!BP5="."),up_dir!U5*1000)))))))),".")</f>
        <v>6.5773651144152131E-4</v>
      </c>
      <c r="V5" s="48">
        <f>IFERROR(IF(AND(up_Irr!U5&lt;&gt;".",up_Irr!AS5&lt;&gt;".",up_Irr!BQ5&lt;&gt;"."),up_dir!V5/((1/1000)*(up_Irr!U5+up_Irr!AS5+up_Irr!BQ5)),IF(AND(up_Irr!U5&lt;&gt;".",up_Irr!AS5&lt;&gt;".",up_Irr!BQ5="."),up_dir!V5/((1/1000)*(up_Irr!U5+up_Irr!AS5)),IF(AND(up_Irr!U5&lt;&gt;".",up_Irr!AS5=".",up_Irr!BQ5&lt;&gt;"."),up_dir!V5/((1/1000)*(up_Irr!U5+up_Irr!BQ5)),IF(AND(up_Irr!U5=".",up_Irr!AS5&lt;&gt;".",up_Irr!BQ5&lt;&gt;"."),up_dir!V5/((1/1000)*(up_Irr!AS5+up_Irr!BQ5)),IF(AND(up_Irr!U5=".",up_Irr!AS5=".",up_Irr!BQ5&lt;&gt;"."),up_dir!V5/((1/1000)*(up_Irr!BQ5)),IF(AND(up_Irr!U5=".",up_Irr!AS5&lt;&gt;".",up_Irr!BQ5="."),up_dir!V5/((1/1000)*(up_Irr!AS5)),IF(AND(up_Irr!U5&lt;&gt;".",up_Irr!AS5=".",up_Irr!BQ5="."),up_dir!V5/((1/1000)*(up_Irr!U5)),IF(AND(up_Irr!U5=".",up_Irr!AS5=".",up_Irr!BQ5="."),up_dir!V5*1000)))))))),".")</f>
        <v>6.5773651144152131E-4</v>
      </c>
      <c r="W5" s="48">
        <f>IFERROR(IF(AND(up_Irr!V5&lt;&gt;".",up_Irr!AT5&lt;&gt;".",up_Irr!BR5&lt;&gt;"."),up_dir!W5/((1/1000)*(up_Irr!V5+up_Irr!AT5+up_Irr!BR5)),IF(AND(up_Irr!V5&lt;&gt;".",up_Irr!AT5&lt;&gt;".",up_Irr!BR5="."),up_dir!W5/((1/1000)*(up_Irr!V5+up_Irr!AT5)),IF(AND(up_Irr!V5&lt;&gt;".",up_Irr!AT5=".",up_Irr!BR5&lt;&gt;"."),up_dir!W5/((1/1000)*(up_Irr!V5+up_Irr!BR5)),IF(AND(up_Irr!V5=".",up_Irr!AT5&lt;&gt;".",up_Irr!BR5&lt;&gt;"."),up_dir!W5/((1/1000)*(up_Irr!AT5+up_Irr!BR5)),IF(AND(up_Irr!V5=".",up_Irr!AT5=".",up_Irr!BR5&lt;&gt;"."),up_dir!W5/((1/1000)*(up_Irr!BR5)),IF(AND(up_Irr!V5=".",up_Irr!AT5&lt;&gt;".",up_Irr!BR5="."),up_dir!W5/((1/1000)*(up_Irr!AT5)),IF(AND(up_Irr!V5&lt;&gt;".",up_Irr!AT5=".",up_Irr!BR5="."),up_dir!W5/((1/1000)*(up_Irr!V5)),IF(AND(up_Irr!V5=".",up_Irr!AT5=".",up_Irr!BR5="."),up_dir!W5*1000)))))))),".")</f>
        <v>6.5773651144152131E-4</v>
      </c>
      <c r="X5" s="48">
        <f>IFERROR(IF(AND(up_Irr!W5&lt;&gt;".",up_Irr!AU5&lt;&gt;".",up_Irr!BS5&lt;&gt;"."),up_dir!X5/((1/1000)*(up_Irr!W5+up_Irr!AU5+up_Irr!BS5)),IF(AND(up_Irr!W5&lt;&gt;".",up_Irr!AU5&lt;&gt;".",up_Irr!BS5="."),up_dir!X5/((1/1000)*(up_Irr!W5+up_Irr!AU5)),IF(AND(up_Irr!W5&lt;&gt;".",up_Irr!AU5=".",up_Irr!BS5&lt;&gt;"."),up_dir!X5/((1/1000)*(up_Irr!W5+up_Irr!BS5)),IF(AND(up_Irr!W5=".",up_Irr!AU5&lt;&gt;".",up_Irr!BS5&lt;&gt;"."),up_dir!X5/((1/1000)*(up_Irr!AU5+up_Irr!BS5)),IF(AND(up_Irr!W5=".",up_Irr!AU5=".",up_Irr!BS5&lt;&gt;"."),up_dir!X5/((1/1000)*(up_Irr!BS5)),IF(AND(up_Irr!W5=".",up_Irr!AU5&lt;&gt;".",up_Irr!BS5="."),up_dir!X5/((1/1000)*(up_Irr!AU5)),IF(AND(up_Irr!W5&lt;&gt;".",up_Irr!AU5=".",up_Irr!BS5="."),up_dir!X5/((1/1000)*(up_Irr!W5)),IF(AND(up_Irr!W5=".",up_Irr!AU5=".",up_Irr!BS5="."),up_dir!X5*1000)))))))),".")</f>
        <v>6.5773651144152131E-4</v>
      </c>
      <c r="Y5" s="48">
        <f>IFERROR(IF(AND(up_Irr!X5&lt;&gt;".",up_Irr!AV5&lt;&gt;".",up_Irr!BT5&lt;&gt;"."),up_dir!Y5/((1/1000)*(up_Irr!X5+up_Irr!AV5+up_Irr!BT5)),IF(AND(up_Irr!X5&lt;&gt;".",up_Irr!AV5&lt;&gt;".",up_Irr!BT5="."),up_dir!Y5/((1/1000)*(up_Irr!X5+up_Irr!AV5)),IF(AND(up_Irr!X5&lt;&gt;".",up_Irr!AV5=".",up_Irr!BT5&lt;&gt;"."),up_dir!Y5/((1/1000)*(up_Irr!X5+up_Irr!BT5)),IF(AND(up_Irr!X5=".",up_Irr!AV5&lt;&gt;".",up_Irr!BT5&lt;&gt;"."),up_dir!Y5/((1/1000)*(up_Irr!AV5+up_Irr!BT5)),IF(AND(up_Irr!X5=".",up_Irr!AV5=".",up_Irr!BT5&lt;&gt;"."),up_dir!Y5/((1/1000)*(up_Irr!BT5)),IF(AND(up_Irr!X5=".",up_Irr!AV5&lt;&gt;".",up_Irr!BT5="."),up_dir!Y5/((1/1000)*(up_Irr!AV5)),IF(AND(up_Irr!X5&lt;&gt;".",up_Irr!AV5=".",up_Irr!BT5="."),up_dir!Y5/((1/1000)*(up_Irr!X5)),IF(AND(up_Irr!X5=".",up_Irr!AV5=".",up_Irr!BT5="."),up_dir!Y5*1000)))))))),".")</f>
        <v>6.5773651144152131E-4</v>
      </c>
      <c r="Z5" s="48">
        <f>IFERROR(IF(AND(up_Irr!Y5&lt;&gt;".",up_Irr!AW5&lt;&gt;".",up_Irr!BU5&lt;&gt;"."),up_dir!Z5/((1/1000)*(up_Irr!Y5+up_Irr!AW5+up_Irr!BU5)),IF(AND(up_Irr!Y5&lt;&gt;".",up_Irr!AW5&lt;&gt;".",up_Irr!BU5="."),up_dir!Z5/((1/1000)*(up_Irr!Y5+up_Irr!AW5)),IF(AND(up_Irr!Y5&lt;&gt;".",up_Irr!AW5=".",up_Irr!BU5&lt;&gt;"."),up_dir!Z5/((1/1000)*(up_Irr!Y5+up_Irr!BU5)),IF(AND(up_Irr!Y5=".",up_Irr!AW5&lt;&gt;".",up_Irr!BU5&lt;&gt;"."),up_dir!Z5/((1/1000)*(up_Irr!AW5+up_Irr!BU5)),IF(AND(up_Irr!Y5=".",up_Irr!AW5=".",up_Irr!BU5&lt;&gt;"."),up_dir!Z5/((1/1000)*(up_Irr!BU5)),IF(AND(up_Irr!Y5=".",up_Irr!AW5&lt;&gt;".",up_Irr!BU5="."),up_dir!Z5/((1/1000)*(up_Irr!AW5)),IF(AND(up_Irr!Y5&lt;&gt;".",up_Irr!AW5=".",up_Irr!BU5="."),up_dir!Z5/((1/1000)*(up_Irr!Y5)),IF(AND(up_Irr!Y5=".",up_Irr!AW5=".",up_Irr!BU5="."),up_dir!Z5*1000)))))))),".")</f>
        <v>6.5773651144152131E-4</v>
      </c>
      <c r="AA5" s="48">
        <f>IFERROR(IF(AND(up_Irr!Z5&lt;&gt;".",up_Irr!AX5&lt;&gt;".",up_Irr!BV5&lt;&gt;"."),up_dir!AA5/((1/1000)*(up_Irr!Z5+up_Irr!AX5+up_Irr!BV5)),IF(AND(up_Irr!Z5&lt;&gt;".",up_Irr!AX5&lt;&gt;".",up_Irr!BV5="."),up_dir!AA5/((1/1000)*(up_Irr!Z5+up_Irr!AX5)),IF(AND(up_Irr!Z5&lt;&gt;".",up_Irr!AX5=".",up_Irr!BV5&lt;&gt;"."),up_dir!AA5/((1/1000)*(up_Irr!Z5+up_Irr!BV5)),IF(AND(up_Irr!Z5=".",up_Irr!AX5&lt;&gt;".",up_Irr!BV5&lt;&gt;"."),up_dir!AA5/((1/1000)*(up_Irr!AX5+up_Irr!BV5)),IF(AND(up_Irr!Z5=".",up_Irr!AX5=".",up_Irr!BV5&lt;&gt;"."),up_dir!AA5/((1/1000)*(up_Irr!BV5)),IF(AND(up_Irr!Z5=".",up_Irr!AX5&lt;&gt;".",up_Irr!BV5="."),up_dir!AA5/((1/1000)*(up_Irr!AX5)),IF(AND(up_Irr!Z5&lt;&gt;".",up_Irr!AX5=".",up_Irr!BV5="."),up_dir!AA5/((1/1000)*(up_Irr!Z5)),IF(AND(up_Irr!Z5=".",up_Irr!AX5=".",up_Irr!BV5="."),up_dir!AA5*1000)))))))),".")</f>
        <v>6.5773651144152131E-4</v>
      </c>
      <c r="AB5" s="62">
        <f t="shared" si="1"/>
        <v>22805.4847785862</v>
      </c>
      <c r="AC5" s="62">
        <f>IFERROR(s_C*s_IFAP_res_adj*s_CF_apple*0.001*(up_Irr!C5+up_Irr!AA5+up_Irr!AY5),".")</f>
        <v>7601.8282595287337</v>
      </c>
      <c r="AD5" s="62">
        <f>IFERROR(s_C*s_IFAS_res_adj*s_CF_asparagus*0.001*(up_Irr!D5+up_Irr!AB5+up_Irr!AZ5),".")</f>
        <v>7601.8282595287337</v>
      </c>
      <c r="AE5" s="62">
        <f>IFERROR(s_C*s_IFBT_res_adj*s_CF_beet*0.001*(up_Irr!E5+up_Irr!AC5+up_Irr!BA5),".")</f>
        <v>7601.8282595287337</v>
      </c>
      <c r="AF5" s="62">
        <f>IFERROR(s_C*s_IFBE_res_adj*s_CF_berries*0.001*(up_Irr!F5+up_Irr!AD5+up_Irr!BB5),".")</f>
        <v>7601.8282595287337</v>
      </c>
      <c r="AG5" s="62">
        <f>IFERROR(s_C*s_IFBR_res_adj*s_CF_broccoli*0.001*(up_Irr!G5+up_Irr!AE5+up_Irr!BC5),".")</f>
        <v>7601.8282595287337</v>
      </c>
      <c r="AH5" s="62">
        <f>IFERROR(s_C*s_IFCB_res_adj*s_CF_cabbage*0.001*(up_Irr!H5+up_Irr!AF5+up_Irr!BD5),".")</f>
        <v>7601.8282595287337</v>
      </c>
      <c r="AI5" s="62">
        <f>IFERROR(s_C*s_IFCR_res_adj*s_CF_carrot*0.001*(up_Irr!I5+up_Irr!AG5+up_Irr!BE5),".")</f>
        <v>7601.8282595287337</v>
      </c>
      <c r="AJ5" s="62">
        <f>IFERROR(s_C*s_IFCI_res_adj*s_CF_citrus*0.001*(up_Irr!J5+up_Irr!AH5+up_Irr!BF5),".")</f>
        <v>7601.8282595287337</v>
      </c>
      <c r="AK5" s="62">
        <f>IFERROR(s_C*s_IFCO_res_adj*s_CF_corn*0.001*(up_Irr!K5+up_Irr!AI5+up_Irr!BG5),".")</f>
        <v>7601.8282595287337</v>
      </c>
      <c r="AL5" s="62">
        <f>IFERROR(s_C*s_IFCU_res_adj*s_CF_cucumber*0.001*(up_Irr!L5+up_Irr!AJ5+up_Irr!BH5),".")</f>
        <v>7601.8282595287337</v>
      </c>
      <c r="AM5" s="62">
        <f>IFERROR(s_C*s_IFLE_res_adj*s_CF_lettuce*0.001*(up_Irr!M5+up_Irr!AK5+up_Irr!BI5),".")</f>
        <v>7601.8282595287337</v>
      </c>
      <c r="AN5" s="62">
        <f>IFERROR(s_C*s_IFLI_res_adj*s_CF_lima_bean*0.001*(up_Irr!N5+up_Irr!AL5+up_Irr!BJ5),".")</f>
        <v>7601.8282595287337</v>
      </c>
      <c r="AO5" s="62">
        <f>IFERROR(s_C*s_IFOK_res_adj*s_CF_okra*0.001*(up_Irr!O5+up_Irr!AM5+up_Irr!BK5),".")</f>
        <v>7601.8282595287337</v>
      </c>
      <c r="AP5" s="62">
        <f>IFERROR(s_C*s_IFON_res_adj*s_CF_onion*0.001*(up_Irr!P5+up_Irr!AN5+up_Irr!BL5),".")</f>
        <v>7601.8282595287337</v>
      </c>
      <c r="AQ5" s="62">
        <f>IFERROR(s_C*s_IFPC_res_adj*s_CF_peach*0.001*(up_Irr!Q5+up_Irr!AO5+up_Irr!BM5),".")</f>
        <v>7601.8282595287337</v>
      </c>
      <c r="AR5" s="62">
        <f>IFERROR(s_C*s_IFPR_res_adj*s_CF_pear*0.001*(up_Irr!R5+up_Irr!AP5+up_Irr!BN5),".")</f>
        <v>7601.8282595287337</v>
      </c>
      <c r="AS5" s="62">
        <f>IFERROR(s_C*s_IFPE_res_adj*s_CF_peas*0.001*(up_Irr!S5+up_Irr!AQ5+up_Irr!BO5),".")</f>
        <v>7601.8282595287337</v>
      </c>
      <c r="AT5" s="62">
        <f>IFERROR(s_C*s_IFPT_res_adj*s_CF_potato*0.001*(up_Irr!T5+up_Irr!AR5+up_Irr!BP5),".")</f>
        <v>7601.8282595287337</v>
      </c>
      <c r="AU5" s="62">
        <f>IFERROR(s_C*s_IFPU_res_adj*s_CF_pumpkin*0.001*(up_Irr!U5+up_Irr!AS5+up_Irr!BQ5),".")</f>
        <v>7601.8282595287337</v>
      </c>
      <c r="AV5" s="62">
        <f>IFERROR(s_C*s_IFSN_res_adj*s_CF_snap_bean*0.001*(up_Irr!V5+up_Irr!AT5+up_Irr!BR5),".")</f>
        <v>7601.8282595287337</v>
      </c>
      <c r="AW5" s="62">
        <f>IFERROR(s_C*s_IFST_res_adj*s_CF_strawberry*0.001*(up_Irr!W5+up_Irr!AU5+up_Irr!BS5),".")</f>
        <v>7601.8282595287337</v>
      </c>
      <c r="AX5" s="62">
        <f>IFERROR(s_C*s_IFTO_res_adj*s_CF_tomato*0.001*(up_Irr!X5+up_Irr!AV5+up_Irr!BT5),".")</f>
        <v>7601.8282595287337</v>
      </c>
      <c r="AY5" s="62">
        <f>IFERROR(s_C*s_IFRI_res_adj*s_CF_rice*0.001*(up_Irr!Y5+up_Irr!AW5+up_Irr!BU5),".")</f>
        <v>7601.8282595287337</v>
      </c>
      <c r="AZ5" s="62">
        <f>IFERROR(s_C*s_IFCG_res_adj*s_CF_cereal*0.001*(up_Irr!Z5+up_Irr!AX5+up_Irr!BV5),".")</f>
        <v>7601.8282595287337</v>
      </c>
      <c r="BA5" s="48">
        <f t="shared" si="2"/>
        <v>2.1924550381384044E-4</v>
      </c>
      <c r="BB5" s="48">
        <f>IFERROR(IF(AND(up_Irr!C5&lt;&gt;".",up_Irr!AA5&lt;&gt;".",up_Irr!AY5&lt;&gt;"."),up_dir!AC5/((1/1000)*(up_Irr!C5+up_Irr!AA5+up_Irr!AY5)),IF(AND(up_Irr!C5&lt;&gt;".",up_Irr!AA5&lt;&gt;".",up_Irr!AY5="."),up_dir!AC5/((1/1000)*(up_Irr!C5+up_Irr!AA5)),IF(AND(up_Irr!C5&lt;&gt;".",up_Irr!AA5=".",up_Irr!AY5&lt;&gt;"."),up_dir!AC5/((1/1000)*(up_Irr!C5+up_Irr!AY5)),IF(AND(up_Irr!C5=".",up_Irr!AA5&lt;&gt;".",up_Irr!AY5&lt;&gt;"."),up_dir!AC5/((1/1000)*(up_Irr!AA5+up_Irr!AY5)),IF(AND(up_Irr!C5=".",up_Irr!AA5=".",up_Irr!AY5&lt;&gt;"."),up_dir!AC5/((1/1000)*(up_Irr!AY5)),IF(AND(up_Irr!C5=".",up_Irr!AA5&lt;&gt;".",up_Irr!AY5="."),up_dir!AC5/((1/1000)*(up_Irr!AA5)),IF(AND(up_Irr!C5&lt;&gt;".",up_Irr!AA5=".",up_Irr!AY5="."),up_dir!AC5/((1/1000)*(up_Irr!C5)),IF(AND(up_Irr!C5=".",up_Irr!AA5=".",up_Irr!AY5="."),up_dir!AC5*1000)))))))),".")</f>
        <v>6.5773651144152131E-4</v>
      </c>
      <c r="BC5" s="48">
        <f>IFERROR(IF(AND(up_Irr!D5&lt;&gt;".",up_Irr!AB5&lt;&gt;".",up_Irr!AZ5&lt;&gt;"."),up_dir!AD5/((1/1000)*(up_Irr!D5+up_Irr!AB5+up_Irr!AZ5)),IF(AND(up_Irr!D5&lt;&gt;".",up_Irr!AB5&lt;&gt;".",up_Irr!AZ5="."),up_dir!AD5/((1/1000)*(up_Irr!D5+up_Irr!AB5)),IF(AND(up_Irr!D5&lt;&gt;".",up_Irr!AB5=".",up_Irr!AZ5&lt;&gt;"."),up_dir!AD5/((1/1000)*(up_Irr!D5+up_Irr!AZ5)),IF(AND(up_Irr!D5=".",up_Irr!AB5&lt;&gt;".",up_Irr!AZ5&lt;&gt;"."),up_dir!AD5/((1/1000)*(up_Irr!AB5+up_Irr!AZ5)),IF(AND(up_Irr!D5=".",up_Irr!AB5=".",up_Irr!AZ5&lt;&gt;"."),up_dir!AD5/((1/1000)*(up_Irr!AZ5)),IF(AND(up_Irr!D5=".",up_Irr!AB5&lt;&gt;".",up_Irr!AZ5="."),up_dir!AD5/((1/1000)*(up_Irr!AB5)),IF(AND(up_Irr!D5&lt;&gt;".",up_Irr!AB5=".",up_Irr!AZ5="."),up_dir!AD5/((1/1000)*(up_Irr!D5)),IF(AND(up_Irr!D5=".",up_Irr!AB5=".",up_Irr!AZ5="."),up_dir!AD5*1000)))))))),".")</f>
        <v>6.5773651144152131E-4</v>
      </c>
      <c r="BD5" s="48">
        <f>IFERROR(IF(AND(up_Irr!E5&lt;&gt;".",up_Irr!AC5&lt;&gt;".",up_Irr!BA5&lt;&gt;"."),up_dir!AE5/((1/1000)*(up_Irr!E5+up_Irr!AC5+up_Irr!BA5)),IF(AND(up_Irr!E5&lt;&gt;".",up_Irr!AC5&lt;&gt;".",up_Irr!BA5="."),up_dir!AE5/((1/1000)*(up_Irr!E5+up_Irr!AC5)),IF(AND(up_Irr!E5&lt;&gt;".",up_Irr!AC5=".",up_Irr!BA5&lt;&gt;"."),up_dir!AE5/((1/1000)*(up_Irr!E5+up_Irr!BA5)),IF(AND(up_Irr!E5=".",up_Irr!AC5&lt;&gt;".",up_Irr!BA5&lt;&gt;"."),up_dir!AE5/((1/1000)*(up_Irr!AC5+up_Irr!BA5)),IF(AND(up_Irr!E5=".",up_Irr!AC5=".",up_Irr!BA5&lt;&gt;"."),up_dir!AE5/((1/1000)*(up_Irr!BA5)),IF(AND(up_Irr!E5=".",up_Irr!AC5&lt;&gt;".",up_Irr!BA5="."),up_dir!AE5/((1/1000)*(up_Irr!AC5)),IF(AND(up_Irr!E5&lt;&gt;".",up_Irr!AC5=".",up_Irr!BA5="."),up_dir!AE5/((1/1000)*(up_Irr!E5)),IF(AND(up_Irr!E5=".",up_Irr!AC5=".",up_Irr!BA5="."),up_dir!AE5*1000)))))))),".")</f>
        <v>6.5773651144152131E-4</v>
      </c>
      <c r="BE5" s="48">
        <f>IFERROR(IF(AND(up_Irr!F5&lt;&gt;".",up_Irr!AD5&lt;&gt;".",up_Irr!BB5&lt;&gt;"."),up_dir!AF5/((1/1000)*(up_Irr!F5+up_Irr!AD5+up_Irr!BB5)),IF(AND(up_Irr!F5&lt;&gt;".",up_Irr!AD5&lt;&gt;".",up_Irr!BB5="."),up_dir!AF5/((1/1000)*(up_Irr!F5+up_Irr!AD5)),IF(AND(up_Irr!F5&lt;&gt;".",up_Irr!AD5=".",up_Irr!BB5&lt;&gt;"."),up_dir!AF5/((1/1000)*(up_Irr!F5+up_Irr!BB5)),IF(AND(up_Irr!F5=".",up_Irr!AD5&lt;&gt;".",up_Irr!BB5&lt;&gt;"."),up_dir!AF5/((1/1000)*(up_Irr!AD5+up_Irr!BB5)),IF(AND(up_Irr!F5=".",up_Irr!AD5=".",up_Irr!BB5&lt;&gt;"."),up_dir!AF5/((1/1000)*(up_Irr!BB5)),IF(AND(up_Irr!F5=".",up_Irr!AD5&lt;&gt;".",up_Irr!BB5="."),up_dir!AF5/((1/1000)*(up_Irr!AD5)),IF(AND(up_Irr!F5&lt;&gt;".",up_Irr!AD5=".",up_Irr!BB5="."),up_dir!AF5/((1/1000)*(up_Irr!F5)),IF(AND(up_Irr!F5=".",up_Irr!AD5=".",up_Irr!BB5="."),up_dir!AF5*1000)))))))),".")</f>
        <v>6.5773651144152131E-4</v>
      </c>
      <c r="BF5" s="48">
        <f>IFERROR(IF(AND(up_Irr!G5&lt;&gt;".",up_Irr!AE5&lt;&gt;".",up_Irr!BC5&lt;&gt;"."),up_dir!AG5/((1/1000)*(up_Irr!G5+up_Irr!AE5+up_Irr!BC5)),IF(AND(up_Irr!G5&lt;&gt;".",up_Irr!AE5&lt;&gt;".",up_Irr!BC5="."),up_dir!AG5/((1/1000)*(up_Irr!G5+up_Irr!AE5)),IF(AND(up_Irr!G5&lt;&gt;".",up_Irr!AE5=".",up_Irr!BC5&lt;&gt;"."),up_dir!AG5/((1/1000)*(up_Irr!G5+up_Irr!BC5)),IF(AND(up_Irr!G5=".",up_Irr!AE5&lt;&gt;".",up_Irr!BC5&lt;&gt;"."),up_dir!AG5/((1/1000)*(up_Irr!AE5+up_Irr!BC5)),IF(AND(up_Irr!G5=".",up_Irr!AE5=".",up_Irr!BC5&lt;&gt;"."),up_dir!AG5/((1/1000)*(up_Irr!BC5)),IF(AND(up_Irr!G5=".",up_Irr!AE5&lt;&gt;".",up_Irr!BC5="."),up_dir!AG5/((1/1000)*(up_Irr!AE5)),IF(AND(up_Irr!G5&lt;&gt;".",up_Irr!AE5=".",up_Irr!BC5="."),up_dir!AG5/((1/1000)*(up_Irr!G5)),IF(AND(up_Irr!G5=".",up_Irr!AE5=".",up_Irr!BC5="."),up_dir!AG5*1000)))))))),".")</f>
        <v>6.5773651144152131E-4</v>
      </c>
      <c r="BG5" s="48">
        <f>IFERROR(IF(AND(up_Irr!H5&lt;&gt;".",up_Irr!AF5&lt;&gt;".",up_Irr!BD5&lt;&gt;"."),up_dir!AH5/((1/1000)*(up_Irr!H5+up_Irr!AF5+up_Irr!BD5)),IF(AND(up_Irr!H5&lt;&gt;".",up_Irr!AF5&lt;&gt;".",up_Irr!BD5="."),up_dir!AH5/((1/1000)*(up_Irr!H5+up_Irr!AF5)),IF(AND(up_Irr!H5&lt;&gt;".",up_Irr!AF5=".",up_Irr!BD5&lt;&gt;"."),up_dir!AH5/((1/1000)*(up_Irr!H5+up_Irr!BD5)),IF(AND(up_Irr!H5=".",up_Irr!AF5&lt;&gt;".",up_Irr!BD5&lt;&gt;"."),up_dir!AH5/((1/1000)*(up_Irr!AF5+up_Irr!BD5)),IF(AND(up_Irr!H5=".",up_Irr!AF5=".",up_Irr!BD5&lt;&gt;"."),up_dir!AH5/((1/1000)*(up_Irr!BD5)),IF(AND(up_Irr!H5=".",up_Irr!AF5&lt;&gt;".",up_Irr!BD5="."),up_dir!AH5/((1/1000)*(up_Irr!AF5)),IF(AND(up_Irr!H5&lt;&gt;".",up_Irr!AF5=".",up_Irr!BD5="."),up_dir!AH5/((1/1000)*(up_Irr!H5)),IF(AND(up_Irr!H5=".",up_Irr!AF5=".",up_Irr!BD5="."),up_dir!AH5*1000)))))))),".")</f>
        <v>6.5773651144152131E-4</v>
      </c>
      <c r="BH5" s="48">
        <f>IFERROR(IF(AND(up_Irr!I5&lt;&gt;".",up_Irr!AG5&lt;&gt;".",up_Irr!BE5&lt;&gt;"."),up_dir!AI5/((1/1000)*(up_Irr!I5+up_Irr!AG5+up_Irr!BE5)),IF(AND(up_Irr!I5&lt;&gt;".",up_Irr!AG5&lt;&gt;".",up_Irr!BE5="."),up_dir!AI5/((1/1000)*(up_Irr!I5+up_Irr!AG5)),IF(AND(up_Irr!I5&lt;&gt;".",up_Irr!AG5=".",up_Irr!BE5&lt;&gt;"."),up_dir!AI5/((1/1000)*(up_Irr!I5+up_Irr!BE5)),IF(AND(up_Irr!I5=".",up_Irr!AG5&lt;&gt;".",up_Irr!BE5&lt;&gt;"."),up_dir!AI5/((1/1000)*(up_Irr!AG5+up_Irr!BE5)),IF(AND(up_Irr!I5=".",up_Irr!AG5=".",up_Irr!BE5&lt;&gt;"."),up_dir!AI5/((1/1000)*(up_Irr!BE5)),IF(AND(up_Irr!I5=".",up_Irr!AG5&lt;&gt;".",up_Irr!BE5="."),up_dir!AI5/((1/1000)*(up_Irr!AG5)),IF(AND(up_Irr!I5&lt;&gt;".",up_Irr!AG5=".",up_Irr!BE5="."),up_dir!AI5/((1/1000)*(up_Irr!I5)),IF(AND(up_Irr!I5=".",up_Irr!AG5=".",up_Irr!BE5="."),up_dir!AI5*1000)))))))),".")</f>
        <v>6.5773651144152131E-4</v>
      </c>
      <c r="BI5" s="48">
        <f>IFERROR(IF(AND(up_Irr!J5&lt;&gt;".",up_Irr!AH5&lt;&gt;".",up_Irr!BF5&lt;&gt;"."),up_dir!AJ5/((1/1000)*(up_Irr!J5+up_Irr!AH5+up_Irr!BF5)),IF(AND(up_Irr!J5&lt;&gt;".",up_Irr!AH5&lt;&gt;".",up_Irr!BF5="."),up_dir!AJ5/((1/1000)*(up_Irr!J5+up_Irr!AH5)),IF(AND(up_Irr!J5&lt;&gt;".",up_Irr!AH5=".",up_Irr!BF5&lt;&gt;"."),up_dir!AJ5/((1/1000)*(up_Irr!J5+up_Irr!BF5)),IF(AND(up_Irr!J5=".",up_Irr!AH5&lt;&gt;".",up_Irr!BF5&lt;&gt;"."),up_dir!AJ5/((1/1000)*(up_Irr!AH5+up_Irr!BF5)),IF(AND(up_Irr!J5=".",up_Irr!AH5=".",up_Irr!BF5&lt;&gt;"."),up_dir!AJ5/((1/1000)*(up_Irr!BF5)),IF(AND(up_Irr!J5=".",up_Irr!AH5&lt;&gt;".",up_Irr!BF5="."),up_dir!AJ5/((1/1000)*(up_Irr!AH5)),IF(AND(up_Irr!J5&lt;&gt;".",up_Irr!AH5=".",up_Irr!BF5="."),up_dir!AJ5/((1/1000)*(up_Irr!J5)),IF(AND(up_Irr!J5=".",up_Irr!AH5=".",up_Irr!BF5="."),up_dir!AJ5*1000)))))))),".")</f>
        <v>6.5773651144152131E-4</v>
      </c>
      <c r="BJ5" s="48">
        <f>IFERROR(IF(AND(up_Irr!K5&lt;&gt;".",up_Irr!AI5&lt;&gt;".",up_Irr!BG5&lt;&gt;"."),up_dir!AK5/((1/1000)*(up_Irr!K5+up_Irr!AI5+up_Irr!BG5)),IF(AND(up_Irr!K5&lt;&gt;".",up_Irr!AI5&lt;&gt;".",up_Irr!BG5="."),up_dir!AK5/((1/1000)*(up_Irr!K5+up_Irr!AI5)),IF(AND(up_Irr!K5&lt;&gt;".",up_Irr!AI5=".",up_Irr!BG5&lt;&gt;"."),up_dir!AK5/((1/1000)*(up_Irr!K5+up_Irr!BG5)),IF(AND(up_Irr!K5=".",up_Irr!AI5&lt;&gt;".",up_Irr!BG5&lt;&gt;"."),up_dir!AK5/((1/1000)*(up_Irr!AI5+up_Irr!BG5)),IF(AND(up_Irr!K5=".",up_Irr!AI5=".",up_Irr!BG5&lt;&gt;"."),up_dir!AK5/((1/1000)*(up_Irr!BG5)),IF(AND(up_Irr!K5=".",up_Irr!AI5&lt;&gt;".",up_Irr!BG5="."),up_dir!AK5/((1/1000)*(up_Irr!AI5)),IF(AND(up_Irr!K5&lt;&gt;".",up_Irr!AI5=".",up_Irr!BG5="."),up_dir!AK5/((1/1000)*(up_Irr!K5)),IF(AND(up_Irr!K5=".",up_Irr!AI5=".",up_Irr!BG5="."),up_dir!AK5*1000)))))))),".")</f>
        <v>6.5773651144152131E-4</v>
      </c>
      <c r="BK5" s="48">
        <f>IFERROR(IF(AND(up_Irr!L5&lt;&gt;".",up_Irr!AJ5&lt;&gt;".",up_Irr!BH5&lt;&gt;"."),up_dir!AL5/((1/1000)*(up_Irr!L5+up_Irr!AJ5+up_Irr!BH5)),IF(AND(up_Irr!L5&lt;&gt;".",up_Irr!AJ5&lt;&gt;".",up_Irr!BH5="."),up_dir!AL5/((1/1000)*(up_Irr!L5+up_Irr!AJ5)),IF(AND(up_Irr!L5&lt;&gt;".",up_Irr!AJ5=".",up_Irr!BH5&lt;&gt;"."),up_dir!AL5/((1/1000)*(up_Irr!L5+up_Irr!BH5)),IF(AND(up_Irr!L5=".",up_Irr!AJ5&lt;&gt;".",up_Irr!BH5&lt;&gt;"."),up_dir!AL5/((1/1000)*(up_Irr!AJ5+up_Irr!BH5)),IF(AND(up_Irr!L5=".",up_Irr!AJ5=".",up_Irr!BH5&lt;&gt;"."),up_dir!AL5/((1/1000)*(up_Irr!BH5)),IF(AND(up_Irr!L5=".",up_Irr!AJ5&lt;&gt;".",up_Irr!BH5="."),up_dir!AL5/((1/1000)*(up_Irr!AJ5)),IF(AND(up_Irr!L5&lt;&gt;".",up_Irr!AJ5=".",up_Irr!BH5="."),up_dir!AL5/((1/1000)*(up_Irr!L5)),IF(AND(up_Irr!L5=".",up_Irr!AJ5=".",up_Irr!BH5="."),up_dir!AL5*1000)))))))),".")</f>
        <v>6.5773651144152131E-4</v>
      </c>
      <c r="BL5" s="48">
        <f>IFERROR(IF(AND(up_Irr!M5&lt;&gt;".",up_Irr!AK5&lt;&gt;".",up_Irr!BI5&lt;&gt;"."),up_dir!AM5/((1/1000)*(up_Irr!M5+up_Irr!AK5+up_Irr!BI5)),IF(AND(up_Irr!M5&lt;&gt;".",up_Irr!AK5&lt;&gt;".",up_Irr!BI5="."),up_dir!AM5/((1/1000)*(up_Irr!M5+up_Irr!AK5)),IF(AND(up_Irr!M5&lt;&gt;".",up_Irr!AK5=".",up_Irr!BI5&lt;&gt;"."),up_dir!AM5/((1/1000)*(up_Irr!M5+up_Irr!BI5)),IF(AND(up_Irr!M5=".",up_Irr!AK5&lt;&gt;".",up_Irr!BI5&lt;&gt;"."),up_dir!AM5/((1/1000)*(up_Irr!AK5+up_Irr!BI5)),IF(AND(up_Irr!M5=".",up_Irr!AK5=".",up_Irr!BI5&lt;&gt;"."),up_dir!AM5/((1/1000)*(up_Irr!BI5)),IF(AND(up_Irr!M5=".",up_Irr!AK5&lt;&gt;".",up_Irr!BI5="."),up_dir!AM5/((1/1000)*(up_Irr!AK5)),IF(AND(up_Irr!M5&lt;&gt;".",up_Irr!AK5=".",up_Irr!BI5="."),up_dir!AM5/((1/1000)*(up_Irr!M5)),IF(AND(up_Irr!M5=".",up_Irr!AK5=".",up_Irr!BI5="."),up_dir!AM5*1000)))))))),".")</f>
        <v>6.5773651144152131E-4</v>
      </c>
      <c r="BM5" s="48">
        <f>IFERROR(IF(AND(up_Irr!N5&lt;&gt;".",up_Irr!AL5&lt;&gt;".",up_Irr!BJ5&lt;&gt;"."),up_dir!AN5/((1/1000)*(up_Irr!N5+up_Irr!AL5+up_Irr!BJ5)),IF(AND(up_Irr!N5&lt;&gt;".",up_Irr!AL5&lt;&gt;".",up_Irr!BJ5="."),up_dir!AN5/((1/1000)*(up_Irr!N5+up_Irr!AL5)),IF(AND(up_Irr!N5&lt;&gt;".",up_Irr!AL5=".",up_Irr!BJ5&lt;&gt;"."),up_dir!AN5/((1/1000)*(up_Irr!N5+up_Irr!BJ5)),IF(AND(up_Irr!N5=".",up_Irr!AL5&lt;&gt;".",up_Irr!BJ5&lt;&gt;"."),up_dir!AN5/((1/1000)*(up_Irr!AL5+up_Irr!BJ5)),IF(AND(up_Irr!N5=".",up_Irr!AL5=".",up_Irr!BJ5&lt;&gt;"."),up_dir!AN5/((1/1000)*(up_Irr!BJ5)),IF(AND(up_Irr!N5=".",up_Irr!AL5&lt;&gt;".",up_Irr!BJ5="."),up_dir!AN5/((1/1000)*(up_Irr!AL5)),IF(AND(up_Irr!N5&lt;&gt;".",up_Irr!AL5=".",up_Irr!BJ5="."),up_dir!AN5/((1/1000)*(up_Irr!N5)),IF(AND(up_Irr!N5=".",up_Irr!AL5=".",up_Irr!BJ5="."),up_dir!AN5*1000)))))))),".")</f>
        <v>6.5773651144152131E-4</v>
      </c>
      <c r="BN5" s="48">
        <f>IFERROR(IF(AND(up_Irr!O5&lt;&gt;".",up_Irr!AM5&lt;&gt;".",up_Irr!BK5&lt;&gt;"."),up_dir!AO5/((1/1000)*(up_Irr!O5+up_Irr!AM5+up_Irr!BK5)),IF(AND(up_Irr!O5&lt;&gt;".",up_Irr!AM5&lt;&gt;".",up_Irr!BK5="."),up_dir!AO5/((1/1000)*(up_Irr!O5+up_Irr!AM5)),IF(AND(up_Irr!O5&lt;&gt;".",up_Irr!AM5=".",up_Irr!BK5&lt;&gt;"."),up_dir!AO5/((1/1000)*(up_Irr!O5+up_Irr!BK5)),IF(AND(up_Irr!O5=".",up_Irr!AM5&lt;&gt;".",up_Irr!BK5&lt;&gt;"."),up_dir!AO5/((1/1000)*(up_Irr!AM5+up_Irr!BK5)),IF(AND(up_Irr!O5=".",up_Irr!AM5=".",up_Irr!BK5&lt;&gt;"."),up_dir!AO5/((1/1000)*(up_Irr!BK5)),IF(AND(up_Irr!O5=".",up_Irr!AM5&lt;&gt;".",up_Irr!BK5="."),up_dir!AO5/((1/1000)*(up_Irr!AM5)),IF(AND(up_Irr!O5&lt;&gt;".",up_Irr!AM5=".",up_Irr!BK5="."),up_dir!AO5/((1/1000)*(up_Irr!O5)),IF(AND(up_Irr!O5=".",up_Irr!AM5=".",up_Irr!BK5="."),up_dir!AO5*1000)))))))),".")</f>
        <v>6.5773651144152131E-4</v>
      </c>
      <c r="BO5" s="48">
        <f>IFERROR(IF(AND(up_Irr!P5&lt;&gt;".",up_Irr!AN5&lt;&gt;".",up_Irr!BL5&lt;&gt;"."),up_dir!AP5/((1/1000)*(up_Irr!P5+up_Irr!AN5+up_Irr!BL5)),IF(AND(up_Irr!P5&lt;&gt;".",up_Irr!AN5&lt;&gt;".",up_Irr!BL5="."),up_dir!AP5/((1/1000)*(up_Irr!P5+up_Irr!AN5)),IF(AND(up_Irr!P5&lt;&gt;".",up_Irr!AN5=".",up_Irr!BL5&lt;&gt;"."),up_dir!AP5/((1/1000)*(up_Irr!P5+up_Irr!BL5)),IF(AND(up_Irr!P5=".",up_Irr!AN5&lt;&gt;".",up_Irr!BL5&lt;&gt;"."),up_dir!AP5/((1/1000)*(up_Irr!AN5+up_Irr!BL5)),IF(AND(up_Irr!P5=".",up_Irr!AN5=".",up_Irr!BL5&lt;&gt;"."),up_dir!AP5/((1/1000)*(up_Irr!BL5)),IF(AND(up_Irr!P5=".",up_Irr!AN5&lt;&gt;".",up_Irr!BL5="."),up_dir!AP5/((1/1000)*(up_Irr!AN5)),IF(AND(up_Irr!P5&lt;&gt;".",up_Irr!AN5=".",up_Irr!BL5="."),up_dir!AP5/((1/1000)*(up_Irr!P5)),IF(AND(up_Irr!P5=".",up_Irr!AN5=".",up_Irr!BL5="."),up_dir!AP5*1000)))))))),".")</f>
        <v>6.5773651144152131E-4</v>
      </c>
      <c r="BP5" s="48">
        <f>IFERROR(IF(AND(up_Irr!Q5&lt;&gt;".",up_Irr!AO5&lt;&gt;".",up_Irr!BM5&lt;&gt;"."),up_dir!AQ5/((1/1000)*(up_Irr!Q5+up_Irr!AO5+up_Irr!BM5)),IF(AND(up_Irr!Q5&lt;&gt;".",up_Irr!AO5&lt;&gt;".",up_Irr!BM5="."),up_dir!AQ5/((1/1000)*(up_Irr!Q5+up_Irr!AO5)),IF(AND(up_Irr!Q5&lt;&gt;".",up_Irr!AO5=".",up_Irr!BM5&lt;&gt;"."),up_dir!AQ5/((1/1000)*(up_Irr!Q5+up_Irr!BM5)),IF(AND(up_Irr!Q5=".",up_Irr!AO5&lt;&gt;".",up_Irr!BM5&lt;&gt;"."),up_dir!AQ5/((1/1000)*(up_Irr!AO5+up_Irr!BM5)),IF(AND(up_Irr!Q5=".",up_Irr!AO5=".",up_Irr!BM5&lt;&gt;"."),up_dir!AQ5/((1/1000)*(up_Irr!BM5)),IF(AND(up_Irr!Q5=".",up_Irr!AO5&lt;&gt;".",up_Irr!BM5="."),up_dir!AQ5/((1/1000)*(up_Irr!AO5)),IF(AND(up_Irr!Q5&lt;&gt;".",up_Irr!AO5=".",up_Irr!BM5="."),up_dir!AQ5/((1/1000)*(up_Irr!Q5)),IF(AND(up_Irr!Q5=".",up_Irr!AO5=".",up_Irr!BM5="."),up_dir!AQ5*1000)))))))),".")</f>
        <v>6.5773651144152131E-4</v>
      </c>
      <c r="BQ5" s="48">
        <f>IFERROR(IF(AND(up_Irr!R5&lt;&gt;".",up_Irr!AP5&lt;&gt;".",up_Irr!BN5&lt;&gt;"."),up_dir!AR5/((1/1000)*(up_Irr!R5+up_Irr!AP5+up_Irr!BN5)),IF(AND(up_Irr!R5&lt;&gt;".",up_Irr!AP5&lt;&gt;".",up_Irr!BN5="."),up_dir!AR5/((1/1000)*(up_Irr!R5+up_Irr!AP5)),IF(AND(up_Irr!R5&lt;&gt;".",up_Irr!AP5=".",up_Irr!BN5&lt;&gt;"."),up_dir!AR5/((1/1000)*(up_Irr!R5+up_Irr!BN5)),IF(AND(up_Irr!R5=".",up_Irr!AP5&lt;&gt;".",up_Irr!BN5&lt;&gt;"."),up_dir!AR5/((1/1000)*(up_Irr!AP5+up_Irr!BN5)),IF(AND(up_Irr!R5=".",up_Irr!AP5=".",up_Irr!BN5&lt;&gt;"."),up_dir!AR5/((1/1000)*(up_Irr!BN5)),IF(AND(up_Irr!R5=".",up_Irr!AP5&lt;&gt;".",up_Irr!BN5="."),up_dir!AR5/((1/1000)*(up_Irr!AP5)),IF(AND(up_Irr!R5&lt;&gt;".",up_Irr!AP5=".",up_Irr!BN5="."),up_dir!AR5/((1/1000)*(up_Irr!R5)),IF(AND(up_Irr!R5=".",up_Irr!AP5=".",up_Irr!BN5="."),up_dir!AR5*1000)))))))),".")</f>
        <v>6.5773651144152131E-4</v>
      </c>
      <c r="BR5" s="48">
        <f>IFERROR(IF(AND(up_Irr!S5&lt;&gt;".",up_Irr!AQ5&lt;&gt;".",up_Irr!BO5&lt;&gt;"."),up_dir!AS5/((1/1000)*(up_Irr!S5+up_Irr!AQ5+up_Irr!BO5)),IF(AND(up_Irr!S5&lt;&gt;".",up_Irr!AQ5&lt;&gt;".",up_Irr!BO5="."),up_dir!AS5/((1/1000)*(up_Irr!S5+up_Irr!AQ5)),IF(AND(up_Irr!S5&lt;&gt;".",up_Irr!AQ5=".",up_Irr!BO5&lt;&gt;"."),up_dir!AS5/((1/1000)*(up_Irr!S5+up_Irr!BO5)),IF(AND(up_Irr!S5=".",up_Irr!AQ5&lt;&gt;".",up_Irr!BO5&lt;&gt;"."),up_dir!AS5/((1/1000)*(up_Irr!AQ5+up_Irr!BO5)),IF(AND(up_Irr!S5=".",up_Irr!AQ5=".",up_Irr!BO5&lt;&gt;"."),up_dir!AS5/((1/1000)*(up_Irr!BO5)),IF(AND(up_Irr!S5=".",up_Irr!AQ5&lt;&gt;".",up_Irr!BO5="."),up_dir!AS5/((1/1000)*(up_Irr!AQ5)),IF(AND(up_Irr!S5&lt;&gt;".",up_Irr!AQ5=".",up_Irr!BO5="."),up_dir!AS5/((1/1000)*(up_Irr!S5)),IF(AND(up_Irr!S5=".",up_Irr!AQ5=".",up_Irr!BO5="."),up_dir!AS5*1000)))))))),".")</f>
        <v>6.5773651144152131E-4</v>
      </c>
      <c r="BS5" s="48">
        <f>IFERROR(IF(AND(up_Irr!T5&lt;&gt;".",up_Irr!AR5&lt;&gt;".",up_Irr!BP5&lt;&gt;"."),up_dir!AT5/((1/1000)*(up_Irr!T5+up_Irr!AR5+up_Irr!BP5)),IF(AND(up_Irr!T5&lt;&gt;".",up_Irr!AR5&lt;&gt;".",up_Irr!BP5="."),up_dir!AT5/((1/1000)*(up_Irr!T5+up_Irr!AR5)),IF(AND(up_Irr!T5&lt;&gt;".",up_Irr!AR5=".",up_Irr!BP5&lt;&gt;"."),up_dir!AT5/((1/1000)*(up_Irr!T5+up_Irr!BP5)),IF(AND(up_Irr!T5=".",up_Irr!AR5&lt;&gt;".",up_Irr!BP5&lt;&gt;"."),up_dir!AT5/((1/1000)*(up_Irr!AR5+up_Irr!BP5)),IF(AND(up_Irr!T5=".",up_Irr!AR5=".",up_Irr!BP5&lt;&gt;"."),up_dir!AT5/((1/1000)*(up_Irr!BP5)),IF(AND(up_Irr!T5=".",up_Irr!AR5&lt;&gt;".",up_Irr!BP5="."),up_dir!AT5/((1/1000)*(up_Irr!AR5)),IF(AND(up_Irr!T5&lt;&gt;".",up_Irr!AR5=".",up_Irr!BP5="."),up_dir!AT5/((1/1000)*(up_Irr!T5)),IF(AND(up_Irr!T5=".",up_Irr!AR5=".",up_Irr!BP5="."),up_dir!AT5*1000)))))))),".")</f>
        <v>6.5773651144152131E-4</v>
      </c>
      <c r="BT5" s="48">
        <f>IFERROR(IF(AND(up_Irr!U5&lt;&gt;".",up_Irr!AS5&lt;&gt;".",up_Irr!BQ5&lt;&gt;"."),up_dir!AU5/((1/1000)*(up_Irr!U5+up_Irr!AS5+up_Irr!BQ5)),IF(AND(up_Irr!U5&lt;&gt;".",up_Irr!AS5&lt;&gt;".",up_Irr!BQ5="."),up_dir!AU5/((1/1000)*(up_Irr!U5+up_Irr!AS5)),IF(AND(up_Irr!U5&lt;&gt;".",up_Irr!AS5=".",up_Irr!BQ5&lt;&gt;"."),up_dir!AU5/((1/1000)*(up_Irr!U5+up_Irr!BQ5)),IF(AND(up_Irr!U5=".",up_Irr!AS5&lt;&gt;".",up_Irr!BQ5&lt;&gt;"."),up_dir!AU5/((1/1000)*(up_Irr!AS5+up_Irr!BQ5)),IF(AND(up_Irr!U5=".",up_Irr!AS5=".",up_Irr!BQ5&lt;&gt;"."),up_dir!AU5/((1/1000)*(up_Irr!BQ5)),IF(AND(up_Irr!U5=".",up_Irr!AS5&lt;&gt;".",up_Irr!BQ5="."),up_dir!AU5/((1/1000)*(up_Irr!AS5)),IF(AND(up_Irr!U5&lt;&gt;".",up_Irr!AS5=".",up_Irr!BQ5="."),up_dir!AU5/((1/1000)*(up_Irr!U5)),IF(AND(up_Irr!U5=".",up_Irr!AS5=".",up_Irr!BQ5="."),up_dir!AU5*1000)))))))),".")</f>
        <v>6.5773651144152131E-4</v>
      </c>
      <c r="BU5" s="48">
        <f>IFERROR(IF(AND(up_Irr!V5&lt;&gt;".",up_Irr!AT5&lt;&gt;".",up_Irr!BR5&lt;&gt;"."),up_dir!AV5/((1/1000)*(up_Irr!V5+up_Irr!AT5+up_Irr!BR5)),IF(AND(up_Irr!V5&lt;&gt;".",up_Irr!AT5&lt;&gt;".",up_Irr!BR5="."),up_dir!AV5/((1/1000)*(up_Irr!V5+up_Irr!AT5)),IF(AND(up_Irr!V5&lt;&gt;".",up_Irr!AT5=".",up_Irr!BR5&lt;&gt;"."),up_dir!AV5/((1/1000)*(up_Irr!V5+up_Irr!BR5)),IF(AND(up_Irr!V5=".",up_Irr!AT5&lt;&gt;".",up_Irr!BR5&lt;&gt;"."),up_dir!AV5/((1/1000)*(up_Irr!AT5+up_Irr!BR5)),IF(AND(up_Irr!V5=".",up_Irr!AT5=".",up_Irr!BR5&lt;&gt;"."),up_dir!AV5/((1/1000)*(up_Irr!BR5)),IF(AND(up_Irr!V5=".",up_Irr!AT5&lt;&gt;".",up_Irr!BR5="."),up_dir!AV5/((1/1000)*(up_Irr!AT5)),IF(AND(up_Irr!V5&lt;&gt;".",up_Irr!AT5=".",up_Irr!BR5="."),up_dir!AV5/((1/1000)*(up_Irr!V5)),IF(AND(up_Irr!V5=".",up_Irr!AT5=".",up_Irr!BR5="."),up_dir!AV5*1000)))))))),".")</f>
        <v>6.5773651144152131E-4</v>
      </c>
      <c r="BV5" s="48">
        <f>IFERROR(IF(AND(up_Irr!W5&lt;&gt;".",up_Irr!AU5&lt;&gt;".",up_Irr!BS5&lt;&gt;"."),up_dir!AW5/((1/1000)*(up_Irr!W5+up_Irr!AU5+up_Irr!BS5)),IF(AND(up_Irr!W5&lt;&gt;".",up_Irr!AU5&lt;&gt;".",up_Irr!BS5="."),up_dir!AW5/((1/1000)*(up_Irr!W5+up_Irr!AU5)),IF(AND(up_Irr!W5&lt;&gt;".",up_Irr!AU5=".",up_Irr!BS5&lt;&gt;"."),up_dir!AW5/((1/1000)*(up_Irr!W5+up_Irr!BS5)),IF(AND(up_Irr!W5=".",up_Irr!AU5&lt;&gt;".",up_Irr!BS5&lt;&gt;"."),up_dir!AW5/((1/1000)*(up_Irr!AU5+up_Irr!BS5)),IF(AND(up_Irr!W5=".",up_Irr!AU5=".",up_Irr!BS5&lt;&gt;"."),up_dir!AW5/((1/1000)*(up_Irr!BS5)),IF(AND(up_Irr!W5=".",up_Irr!AU5&lt;&gt;".",up_Irr!BS5="."),up_dir!AW5/((1/1000)*(up_Irr!AU5)),IF(AND(up_Irr!W5&lt;&gt;".",up_Irr!AU5=".",up_Irr!BS5="."),up_dir!AW5/((1/1000)*(up_Irr!W5)),IF(AND(up_Irr!W5=".",up_Irr!AU5=".",up_Irr!BS5="."),up_dir!AW5*1000)))))))),".")</f>
        <v>6.5773651144152131E-4</v>
      </c>
      <c r="BW5" s="48">
        <f>IFERROR(IF(AND(up_Irr!X5&lt;&gt;".",up_Irr!AV5&lt;&gt;".",up_Irr!BT5&lt;&gt;"."),up_dir!AX5/((1/1000)*(up_Irr!X5+up_Irr!AV5+up_Irr!BT5)),IF(AND(up_Irr!X5&lt;&gt;".",up_Irr!AV5&lt;&gt;".",up_Irr!BT5="."),up_dir!AX5/((1/1000)*(up_Irr!X5+up_Irr!AV5)),IF(AND(up_Irr!X5&lt;&gt;".",up_Irr!AV5=".",up_Irr!BT5&lt;&gt;"."),up_dir!AX5/((1/1000)*(up_Irr!X5+up_Irr!BT5)),IF(AND(up_Irr!X5=".",up_Irr!AV5&lt;&gt;".",up_Irr!BT5&lt;&gt;"."),up_dir!AX5/((1/1000)*(up_Irr!AV5+up_Irr!BT5)),IF(AND(up_Irr!X5=".",up_Irr!AV5=".",up_Irr!BT5&lt;&gt;"."),up_dir!AX5/((1/1000)*(up_Irr!BT5)),IF(AND(up_Irr!X5=".",up_Irr!AV5&lt;&gt;".",up_Irr!BT5="."),up_dir!AX5/((1/1000)*(up_Irr!AV5)),IF(AND(up_Irr!X5&lt;&gt;".",up_Irr!AV5=".",up_Irr!BT5="."),up_dir!AX5/((1/1000)*(up_Irr!X5)),IF(AND(up_Irr!X5=".",up_Irr!AV5=".",up_Irr!BT5="."),up_dir!AX5*1000)))))))),".")</f>
        <v>6.5773651144152131E-4</v>
      </c>
      <c r="BX5" s="48">
        <f>IFERROR(IF(AND(up_Irr!Y5&lt;&gt;".",up_Irr!AW5&lt;&gt;".",up_Irr!BU5&lt;&gt;"."),up_dir!AY5/((1/1000)*(up_Irr!Y5+up_Irr!AW5+up_Irr!BU5)),IF(AND(up_Irr!Y5&lt;&gt;".",up_Irr!AW5&lt;&gt;".",up_Irr!BU5="."),up_dir!AY5/((1/1000)*(up_Irr!Y5+up_Irr!AW5)),IF(AND(up_Irr!Y5&lt;&gt;".",up_Irr!AW5=".",up_Irr!BU5&lt;&gt;"."),up_dir!AY5/((1/1000)*(up_Irr!Y5+up_Irr!BU5)),IF(AND(up_Irr!Y5=".",up_Irr!AW5&lt;&gt;".",up_Irr!BU5&lt;&gt;"."),up_dir!AY5/((1/1000)*(up_Irr!AW5+up_Irr!BU5)),IF(AND(up_Irr!Y5=".",up_Irr!AW5=".",up_Irr!BU5&lt;&gt;"."),up_dir!AY5/((1/1000)*(up_Irr!BU5)),IF(AND(up_Irr!Y5=".",up_Irr!AW5&lt;&gt;".",up_Irr!BU5="."),up_dir!AY5/((1/1000)*(up_Irr!AW5)),IF(AND(up_Irr!Y5&lt;&gt;".",up_Irr!AW5=".",up_Irr!BU5="."),up_dir!AY5/((1/1000)*(up_Irr!Y5)),IF(AND(up_Irr!Y5=".",up_Irr!AW5=".",up_Irr!BU5="."),up_dir!AY5*1000)))))))),".")</f>
        <v>6.5773651144152131E-4</v>
      </c>
      <c r="BY5" s="48">
        <f>IFERROR(IF(AND(up_Irr!Z5&lt;&gt;".",up_Irr!AX5&lt;&gt;".",up_Irr!BV5&lt;&gt;"."),up_dir!AZ5/((1/1000)*(up_Irr!Z5+up_Irr!AX5+up_Irr!BV5)),IF(AND(up_Irr!Z5&lt;&gt;".",up_Irr!AX5&lt;&gt;".",up_Irr!BV5="."),up_dir!AZ5/((1/1000)*(up_Irr!Z5+up_Irr!AX5)),IF(AND(up_Irr!Z5&lt;&gt;".",up_Irr!AX5=".",up_Irr!BV5&lt;&gt;"."),up_dir!AZ5/((1/1000)*(up_Irr!Z5+up_Irr!BV5)),IF(AND(up_Irr!Z5=".",up_Irr!AX5&lt;&gt;".",up_Irr!BV5&lt;&gt;"."),up_dir!AZ5/((1/1000)*(up_Irr!AX5+up_Irr!BV5)),IF(AND(up_Irr!Z5=".",up_Irr!AX5=".",up_Irr!BV5&lt;&gt;"."),up_dir!AZ5/((1/1000)*(up_Irr!BV5)),IF(AND(up_Irr!Z5=".",up_Irr!AX5&lt;&gt;".",up_Irr!BV5="."),up_dir!AZ5/((1/1000)*(up_Irr!AX5)),IF(AND(up_Irr!Z5&lt;&gt;".",up_Irr!AX5=".",up_Irr!BV5="."),up_dir!AZ5/((1/1000)*(up_Irr!Z5)),IF(AND(up_Irr!Z5=".",up_Irr!AX5=".",up_Irr!BV5="."),up_dir!AZ5*1000)))))))),".")</f>
        <v>6.5773651144152131E-4</v>
      </c>
      <c r="BZ5" s="62">
        <f t="shared" si="3"/>
        <v>22805.4847785862</v>
      </c>
      <c r="CA5" s="62">
        <f>IFERROR(s_C*s_IFAP_far_adj*s_CF_apple*(1/1000)*(up_Irr!C5+up_Irr!AA5+up_Irr!AY5),".")</f>
        <v>7601.8282595287337</v>
      </c>
      <c r="CB5" s="62">
        <f>IFERROR(s_C*s_IFAS_far_adj*s_CF_asparagus*(1/1000)*(up_Irr!D5+up_Irr!AB5+up_Irr!AZ5),".")</f>
        <v>7601.8282595287337</v>
      </c>
      <c r="CC5" s="62">
        <f>IFERROR(s_C*s_IFBT_far_adj*s_CF_beet*(1/1000)*(up_Irr!E5+up_Irr!AC5+up_Irr!BA5),".")</f>
        <v>7601.8282595287337</v>
      </c>
      <c r="CD5" s="62">
        <f>IFERROR(s_C*s_IFBE_far_adj*s_CF_berries*(1/1000)*(up_Irr!F5+up_Irr!AD5+up_Irr!BB5),".")</f>
        <v>7601.8282595287337</v>
      </c>
      <c r="CE5" s="62">
        <f>IFERROR(s_C*s_IFBR_far_adj*s_CF_broccoli*(1/1000)*(up_Irr!G5+up_Irr!AE5+up_Irr!BC5),".")</f>
        <v>7601.8282595287337</v>
      </c>
      <c r="CF5" s="62">
        <f>IFERROR(s_C*s_IFCB_far_adj*s_CF_cabbage*(1/1000)*(up_Irr!H5+up_Irr!AF5+up_Irr!BD5),".")</f>
        <v>7601.8282595287337</v>
      </c>
      <c r="CG5" s="62">
        <f>IFERROR(s_C*s_IFCR_far_adj*s_CF_carrot*(1/1000)*(up_Irr!I5+up_Irr!AG5+up_Irr!BE5),".")</f>
        <v>7601.8282595287337</v>
      </c>
      <c r="CH5" s="62">
        <f>IFERROR(s_C*s_IFCI_far_adj*s_CF_citrus*(1/1000)*(up_Irr!J5+up_Irr!AH5+up_Irr!BF5),".")</f>
        <v>7601.8282595287337</v>
      </c>
      <c r="CI5" s="62">
        <f>IFERROR(s_C*s_IFCO_far_adj*s_CF_corn*(1/1000)*(up_Irr!K5+up_Irr!AI5+up_Irr!BG5),".")</f>
        <v>7601.8282595287337</v>
      </c>
      <c r="CJ5" s="62">
        <f>IFERROR(s_C*s_IFCU_far_adj*s_CF_cucumber*(1/1000)*(up_Irr!L5+up_Irr!AJ5+up_Irr!BH5),".")</f>
        <v>7601.8282595287337</v>
      </c>
      <c r="CK5" s="62">
        <f>IFERROR(s_C*s_IFLE_far_adj*s_CF_lettuce*(1/1000)*(up_Irr!M5+up_Irr!AK5+up_Irr!BI5),".")</f>
        <v>7601.8282595287337</v>
      </c>
      <c r="CL5" s="62">
        <f>IFERROR(s_C*s_IFLI_far_adj*s_CF_lima_bean*(1/1000)*(up_Irr!N5+up_Irr!AL5+up_Irr!BJ5),".")</f>
        <v>7601.8282595287337</v>
      </c>
      <c r="CM5" s="62">
        <f>IFERROR(s_C*s_IFOK_far_adj*s_CF_okra*(1/1000)*(up_Irr!O5+up_Irr!AM5+up_Irr!BK5),".")</f>
        <v>7601.8282595287337</v>
      </c>
      <c r="CN5" s="62">
        <f>IFERROR(s_C*s_IFON_far_adj*s_CF_onion*(1/1000)*(up_Irr!P5+up_Irr!AN5+up_Irr!BL5),".")</f>
        <v>7601.8282595287337</v>
      </c>
      <c r="CO5" s="62">
        <f>IFERROR(s_C*s_IFPC_far_adj*s_CF_peach*(1/1000)*(up_Irr!Q5+up_Irr!AO5+up_Irr!BM5),".")</f>
        <v>7601.8282595287337</v>
      </c>
      <c r="CP5" s="62">
        <f>IFERROR(s_C*s_IFPR_far_adj*s_CF_pear*(1/1000)*(up_Irr!R5+up_Irr!AP5+up_Irr!BN5),".")</f>
        <v>7601.8282595287337</v>
      </c>
      <c r="CQ5" s="62">
        <f>IFERROR(s_C*s_IFPE_far_adj*s_CF_peas*(1/1000)*(up_Irr!S5+up_Irr!AQ5+up_Irr!BO5),".")</f>
        <v>7601.8282595287337</v>
      </c>
      <c r="CR5" s="62">
        <f>IFERROR(s_C*s_IFPT_far_adj*s_CF_potato*(1/1000)*(up_Irr!T5+up_Irr!AR5+up_Irr!BP5),".")</f>
        <v>7601.8282595287337</v>
      </c>
      <c r="CS5" s="62">
        <f>IFERROR(s_C*s_IFPU_far_adj*s_CF_pumpkin*(1/1000)*(up_Irr!U5+up_Irr!AS5+up_Irr!BQ5),".")</f>
        <v>7601.8282595287337</v>
      </c>
      <c r="CT5" s="62">
        <f>IFERROR(s_C*s_IFSN_far_adj*s_CF_snap_bean*(1/1000)*(up_Irr!V5+up_Irr!AT5+up_Irr!BR5),".")</f>
        <v>7601.8282595287337</v>
      </c>
      <c r="CU5" s="62">
        <f>IFERROR(s_C*s_IFST_far_adj*s_CF_strawberry*(1/1000)*(up_Irr!W5+up_Irr!AU5+up_Irr!BS5),".")</f>
        <v>7601.8282595287337</v>
      </c>
      <c r="CV5" s="62">
        <f>IFERROR(s_C*s_IFTO_far_adj*s_CF_tomato*(1/1000)*(up_Irr!X5+up_Irr!AV5+up_Irr!BT5),".")</f>
        <v>7601.8282595287337</v>
      </c>
      <c r="CW5" s="62">
        <f>IFERROR(s_C*s_IFRI_far_adj*s_CF_rice*(1/1000)*(up_Irr!Y5+up_Irr!AW5+up_Irr!BU5),".")</f>
        <v>7601.8282595287337</v>
      </c>
      <c r="CX5" s="62">
        <f>IFERROR(s_C*s_IFCG_far_adj*s_CF_cereal*(1/1000)*(up_Irr!Z5+up_Irr!AX5+up_Irr!BV5),".")</f>
        <v>7601.8282595287337</v>
      </c>
    </row>
    <row r="6" spans="1:102" ht="15" customHeight="1" x14ac:dyDescent="0.25">
      <c r="A6" s="61" t="s">
        <v>4</v>
      </c>
      <c r="B6" s="49" t="s">
        <v>1059</v>
      </c>
      <c r="C6" s="48">
        <f t="shared" si="0"/>
        <v>2.1924550381384044E-4</v>
      </c>
      <c r="D6" s="48">
        <f>IFERROR(IF(AND(up_Irr!C6&lt;&gt;".",up_Irr!AA6&lt;&gt;".",up_Irr!AY6&lt;&gt;"."),up_dir!D6/((1/1000)*(up_Irr!C6+up_Irr!AA6+up_Irr!AY6)),IF(AND(up_Irr!C6&lt;&gt;".",up_Irr!AA6&lt;&gt;".",up_Irr!AY6="."),up_dir!D6/((1/1000)*(up_Irr!C6+up_Irr!AA6)),IF(AND(up_Irr!C6&lt;&gt;".",up_Irr!AA6=".",up_Irr!AY6&lt;&gt;"."),up_dir!D6/((1/1000)*(up_Irr!C6+up_Irr!AY6)),IF(AND(up_Irr!C6=".",up_Irr!AA6&lt;&gt;".",up_Irr!AY6&lt;&gt;"."),up_dir!D6/((1/1000)*(up_Irr!AA6+up_Irr!AY6)),IF(AND(up_Irr!C6=".",up_Irr!AA6=".",up_Irr!AY6&lt;&gt;"."),up_dir!D6/((1/1000)*(up_Irr!AY6)),IF(AND(up_Irr!C6=".",up_Irr!AA6&lt;&gt;".",up_Irr!AY6="."),up_dir!D6/((1/1000)*(up_Irr!AA6)),IF(AND(up_Irr!C6&lt;&gt;".",up_Irr!AA6=".",up_Irr!AY6="."),up_dir!D6/((1/1000)*(up_Irr!C6)),IF(AND(up_Irr!C6=".",up_Irr!AA6=".",up_Irr!AY6="."),up_dir!D6*1000)))))))),".")</f>
        <v>6.5773651144152131E-4</v>
      </c>
      <c r="E6" s="48">
        <f>IFERROR(IF(AND(up_Irr!D6&lt;&gt;".",up_Irr!AB6&lt;&gt;".",up_Irr!AZ6&lt;&gt;"."),up_dir!E6/((1/1000)*(up_Irr!D6+up_Irr!AB6+up_Irr!AZ6)),IF(AND(up_Irr!D6&lt;&gt;".",up_Irr!AB6&lt;&gt;".",up_Irr!AZ6="."),up_dir!E6/((1/1000)*(up_Irr!D6+up_Irr!AB6)),IF(AND(up_Irr!D6&lt;&gt;".",up_Irr!AB6=".",up_Irr!AZ6&lt;&gt;"."),up_dir!E6/((1/1000)*(up_Irr!D6+up_Irr!AZ6)),IF(AND(up_Irr!D6=".",up_Irr!AB6&lt;&gt;".",up_Irr!AZ6&lt;&gt;"."),up_dir!E6/((1/1000)*(up_Irr!AB6+up_Irr!AZ6)),IF(AND(up_Irr!D6=".",up_Irr!AB6=".",up_Irr!AZ6&lt;&gt;"."),up_dir!E6/((1/1000)*(up_Irr!AZ6)),IF(AND(up_Irr!D6=".",up_Irr!AB6&lt;&gt;".",up_Irr!AZ6="."),up_dir!E6/((1/1000)*(up_Irr!AB6)),IF(AND(up_Irr!D6&lt;&gt;".",up_Irr!AB6=".",up_Irr!AZ6="."),up_dir!E6/((1/1000)*(up_Irr!D6)),IF(AND(up_Irr!D6=".",up_Irr!AB6=".",up_Irr!AZ6="."),up_dir!E6*1000)))))))),".")</f>
        <v>6.5773651144152131E-4</v>
      </c>
      <c r="F6" s="48">
        <f>IFERROR(IF(AND(up_Irr!E6&lt;&gt;".",up_Irr!AC6&lt;&gt;".",up_Irr!BA6&lt;&gt;"."),up_dir!F6/((1/1000)*(up_Irr!E6+up_Irr!AC6+up_Irr!BA6)),IF(AND(up_Irr!E6&lt;&gt;".",up_Irr!AC6&lt;&gt;".",up_Irr!BA6="."),up_dir!F6/((1/1000)*(up_Irr!E6+up_Irr!AC6)),IF(AND(up_Irr!E6&lt;&gt;".",up_Irr!AC6=".",up_Irr!BA6&lt;&gt;"."),up_dir!F6/((1/1000)*(up_Irr!E6+up_Irr!BA6)),IF(AND(up_Irr!E6=".",up_Irr!AC6&lt;&gt;".",up_Irr!BA6&lt;&gt;"."),up_dir!F6/((1/1000)*(up_Irr!AC6+up_Irr!BA6)),IF(AND(up_Irr!E6=".",up_Irr!AC6=".",up_Irr!BA6&lt;&gt;"."),up_dir!F6/((1/1000)*(up_Irr!BA6)),IF(AND(up_Irr!E6=".",up_Irr!AC6&lt;&gt;".",up_Irr!BA6="."),up_dir!F6/((1/1000)*(up_Irr!AC6)),IF(AND(up_Irr!E6&lt;&gt;".",up_Irr!AC6=".",up_Irr!BA6="."),up_dir!F6/((1/1000)*(up_Irr!E6)),IF(AND(up_Irr!E6=".",up_Irr!AC6=".",up_Irr!BA6="."),up_dir!F6*1000)))))))),".")</f>
        <v>6.5773651144152131E-4</v>
      </c>
      <c r="G6" s="48">
        <f>IFERROR(IF(AND(up_Irr!F6&lt;&gt;".",up_Irr!AD6&lt;&gt;".",up_Irr!BB6&lt;&gt;"."),up_dir!G6/((1/1000)*(up_Irr!F6+up_Irr!AD6+up_Irr!BB6)),IF(AND(up_Irr!F6&lt;&gt;".",up_Irr!AD6&lt;&gt;".",up_Irr!BB6="."),up_dir!G6/((1/1000)*(up_Irr!F6+up_Irr!AD6)),IF(AND(up_Irr!F6&lt;&gt;".",up_Irr!AD6=".",up_Irr!BB6&lt;&gt;"."),up_dir!G6/((1/1000)*(up_Irr!F6+up_Irr!BB6)),IF(AND(up_Irr!F6=".",up_Irr!AD6&lt;&gt;".",up_Irr!BB6&lt;&gt;"."),up_dir!G6/((1/1000)*(up_Irr!AD6+up_Irr!BB6)),IF(AND(up_Irr!F6=".",up_Irr!AD6=".",up_Irr!BB6&lt;&gt;"."),up_dir!G6/((1/1000)*(up_Irr!BB6)),IF(AND(up_Irr!F6=".",up_Irr!AD6&lt;&gt;".",up_Irr!BB6="."),up_dir!G6/((1/1000)*(up_Irr!AD6)),IF(AND(up_Irr!F6&lt;&gt;".",up_Irr!AD6=".",up_Irr!BB6="."),up_dir!G6/((1/1000)*(up_Irr!F6)),IF(AND(up_Irr!F6=".",up_Irr!AD6=".",up_Irr!BB6="."),up_dir!G6*1000)))))))),".")</f>
        <v>6.5773651144152131E-4</v>
      </c>
      <c r="H6" s="48">
        <f>IFERROR(IF(AND(up_Irr!G6&lt;&gt;".",up_Irr!AE6&lt;&gt;".",up_Irr!BC6&lt;&gt;"."),up_dir!H6/((1/1000)*(up_Irr!G6+up_Irr!AE6+up_Irr!BC6)),IF(AND(up_Irr!G6&lt;&gt;".",up_Irr!AE6&lt;&gt;".",up_Irr!BC6="."),up_dir!H6/((1/1000)*(up_Irr!G6+up_Irr!AE6)),IF(AND(up_Irr!G6&lt;&gt;".",up_Irr!AE6=".",up_Irr!BC6&lt;&gt;"."),up_dir!H6/((1/1000)*(up_Irr!G6+up_Irr!BC6)),IF(AND(up_Irr!G6=".",up_Irr!AE6&lt;&gt;".",up_Irr!BC6&lt;&gt;"."),up_dir!H6/((1/1000)*(up_Irr!AE6+up_Irr!BC6)),IF(AND(up_Irr!G6=".",up_Irr!AE6=".",up_Irr!BC6&lt;&gt;"."),up_dir!H6/((1/1000)*(up_Irr!BC6)),IF(AND(up_Irr!G6=".",up_Irr!AE6&lt;&gt;".",up_Irr!BC6="."),up_dir!H6/((1/1000)*(up_Irr!AE6)),IF(AND(up_Irr!G6&lt;&gt;".",up_Irr!AE6=".",up_Irr!BC6="."),up_dir!H6/((1/1000)*(up_Irr!G6)),IF(AND(up_Irr!G6=".",up_Irr!AE6=".",up_Irr!BC6="."),up_dir!H6*1000)))))))),".")</f>
        <v>6.5773651144152131E-4</v>
      </c>
      <c r="I6" s="48">
        <f>IFERROR(IF(AND(up_Irr!H6&lt;&gt;".",up_Irr!AF6&lt;&gt;".",up_Irr!BD6&lt;&gt;"."),up_dir!I6/((1/1000)*(up_Irr!H6+up_Irr!AF6+up_Irr!BD6)),IF(AND(up_Irr!H6&lt;&gt;".",up_Irr!AF6&lt;&gt;".",up_Irr!BD6="."),up_dir!I6/((1/1000)*(up_Irr!H6+up_Irr!AF6)),IF(AND(up_Irr!H6&lt;&gt;".",up_Irr!AF6=".",up_Irr!BD6&lt;&gt;"."),up_dir!I6/((1/1000)*(up_Irr!H6+up_Irr!BD6)),IF(AND(up_Irr!H6=".",up_Irr!AF6&lt;&gt;".",up_Irr!BD6&lt;&gt;"."),up_dir!I6/((1/1000)*(up_Irr!AF6+up_Irr!BD6)),IF(AND(up_Irr!H6=".",up_Irr!AF6=".",up_Irr!BD6&lt;&gt;"."),up_dir!I6/((1/1000)*(up_Irr!BD6)),IF(AND(up_Irr!H6=".",up_Irr!AF6&lt;&gt;".",up_Irr!BD6="."),up_dir!I6/((1/1000)*(up_Irr!AF6)),IF(AND(up_Irr!H6&lt;&gt;".",up_Irr!AF6=".",up_Irr!BD6="."),up_dir!I6/((1/1000)*(up_Irr!H6)),IF(AND(up_Irr!H6=".",up_Irr!AF6=".",up_Irr!BD6="."),up_dir!I6*1000)))))))),".")</f>
        <v>6.5773651144152131E-4</v>
      </c>
      <c r="J6" s="48">
        <f>IFERROR(IF(AND(up_Irr!I6&lt;&gt;".",up_Irr!AG6&lt;&gt;".",up_Irr!BE6&lt;&gt;"."),up_dir!J6/((1/1000)*(up_Irr!I6+up_Irr!AG6+up_Irr!BE6)),IF(AND(up_Irr!I6&lt;&gt;".",up_Irr!AG6&lt;&gt;".",up_Irr!BE6="."),up_dir!J6/((1/1000)*(up_Irr!I6+up_Irr!AG6)),IF(AND(up_Irr!I6&lt;&gt;".",up_Irr!AG6=".",up_Irr!BE6&lt;&gt;"."),up_dir!J6/((1/1000)*(up_Irr!I6+up_Irr!BE6)),IF(AND(up_Irr!I6=".",up_Irr!AG6&lt;&gt;".",up_Irr!BE6&lt;&gt;"."),up_dir!J6/((1/1000)*(up_Irr!AG6+up_Irr!BE6)),IF(AND(up_Irr!I6=".",up_Irr!AG6=".",up_Irr!BE6&lt;&gt;"."),up_dir!J6/((1/1000)*(up_Irr!BE6)),IF(AND(up_Irr!I6=".",up_Irr!AG6&lt;&gt;".",up_Irr!BE6="."),up_dir!J6/((1/1000)*(up_Irr!AG6)),IF(AND(up_Irr!I6&lt;&gt;".",up_Irr!AG6=".",up_Irr!BE6="."),up_dir!J6/((1/1000)*(up_Irr!I6)),IF(AND(up_Irr!I6=".",up_Irr!AG6=".",up_Irr!BE6="."),up_dir!J6*1000)))))))),".")</f>
        <v>6.5773651144152131E-4</v>
      </c>
      <c r="K6" s="48">
        <f>IFERROR(IF(AND(up_Irr!J6&lt;&gt;".",up_Irr!AH6&lt;&gt;".",up_Irr!BF6&lt;&gt;"."),up_dir!K6/((1/1000)*(up_Irr!J6+up_Irr!AH6+up_Irr!BF6)),IF(AND(up_Irr!J6&lt;&gt;".",up_Irr!AH6&lt;&gt;".",up_Irr!BF6="."),up_dir!K6/((1/1000)*(up_Irr!J6+up_Irr!AH6)),IF(AND(up_Irr!J6&lt;&gt;".",up_Irr!AH6=".",up_Irr!BF6&lt;&gt;"."),up_dir!K6/((1/1000)*(up_Irr!J6+up_Irr!BF6)),IF(AND(up_Irr!J6=".",up_Irr!AH6&lt;&gt;".",up_Irr!BF6&lt;&gt;"."),up_dir!K6/((1/1000)*(up_Irr!AH6+up_Irr!BF6)),IF(AND(up_Irr!J6=".",up_Irr!AH6=".",up_Irr!BF6&lt;&gt;"."),up_dir!K6/((1/1000)*(up_Irr!BF6)),IF(AND(up_Irr!J6=".",up_Irr!AH6&lt;&gt;".",up_Irr!BF6="."),up_dir!K6/((1/1000)*(up_Irr!AH6)),IF(AND(up_Irr!J6&lt;&gt;".",up_Irr!AH6=".",up_Irr!BF6="."),up_dir!K6/((1/1000)*(up_Irr!J6)),IF(AND(up_Irr!J6=".",up_Irr!AH6=".",up_Irr!BF6="."),up_dir!K6*1000)))))))),".")</f>
        <v>6.5773651144152131E-4</v>
      </c>
      <c r="L6" s="48">
        <f>IFERROR(IF(AND(up_Irr!K6&lt;&gt;".",up_Irr!AI6&lt;&gt;".",up_Irr!BG6&lt;&gt;"."),up_dir!L6/((1/1000)*(up_Irr!K6+up_Irr!AI6+up_Irr!BG6)),IF(AND(up_Irr!K6&lt;&gt;".",up_Irr!AI6&lt;&gt;".",up_Irr!BG6="."),up_dir!L6/((1/1000)*(up_Irr!K6+up_Irr!AI6)),IF(AND(up_Irr!K6&lt;&gt;".",up_Irr!AI6=".",up_Irr!BG6&lt;&gt;"."),up_dir!L6/((1/1000)*(up_Irr!K6+up_Irr!BG6)),IF(AND(up_Irr!K6=".",up_Irr!AI6&lt;&gt;".",up_Irr!BG6&lt;&gt;"."),up_dir!L6/((1/1000)*(up_Irr!AI6+up_Irr!BG6)),IF(AND(up_Irr!K6=".",up_Irr!AI6=".",up_Irr!BG6&lt;&gt;"."),up_dir!L6/((1/1000)*(up_Irr!BG6)),IF(AND(up_Irr!K6=".",up_Irr!AI6&lt;&gt;".",up_Irr!BG6="."),up_dir!L6/((1/1000)*(up_Irr!AI6)),IF(AND(up_Irr!K6&lt;&gt;".",up_Irr!AI6=".",up_Irr!BG6="."),up_dir!L6/((1/1000)*(up_Irr!K6)),IF(AND(up_Irr!K6=".",up_Irr!AI6=".",up_Irr!BG6="."),up_dir!L6*1000)))))))),".")</f>
        <v>6.5773651144152131E-4</v>
      </c>
      <c r="M6" s="48">
        <f>IFERROR(IF(AND(up_Irr!L6&lt;&gt;".",up_Irr!AJ6&lt;&gt;".",up_Irr!BH6&lt;&gt;"."),up_dir!M6/((1/1000)*(up_Irr!L6+up_Irr!AJ6+up_Irr!BH6)),IF(AND(up_Irr!L6&lt;&gt;".",up_Irr!AJ6&lt;&gt;".",up_Irr!BH6="."),up_dir!M6/((1/1000)*(up_Irr!L6+up_Irr!AJ6)),IF(AND(up_Irr!L6&lt;&gt;".",up_Irr!AJ6=".",up_Irr!BH6&lt;&gt;"."),up_dir!M6/((1/1000)*(up_Irr!L6+up_Irr!BH6)),IF(AND(up_Irr!L6=".",up_Irr!AJ6&lt;&gt;".",up_Irr!BH6&lt;&gt;"."),up_dir!M6/((1/1000)*(up_Irr!AJ6+up_Irr!BH6)),IF(AND(up_Irr!L6=".",up_Irr!AJ6=".",up_Irr!BH6&lt;&gt;"."),up_dir!M6/((1/1000)*(up_Irr!BH6)),IF(AND(up_Irr!L6=".",up_Irr!AJ6&lt;&gt;".",up_Irr!BH6="."),up_dir!M6/((1/1000)*(up_Irr!AJ6)),IF(AND(up_Irr!L6&lt;&gt;".",up_Irr!AJ6=".",up_Irr!BH6="."),up_dir!M6/((1/1000)*(up_Irr!L6)),IF(AND(up_Irr!L6=".",up_Irr!AJ6=".",up_Irr!BH6="."),up_dir!M6*1000)))))))),".")</f>
        <v>6.5773651144152131E-4</v>
      </c>
      <c r="N6" s="48">
        <f>IFERROR(IF(AND(up_Irr!M6&lt;&gt;".",up_Irr!AK6&lt;&gt;".",up_Irr!BI6&lt;&gt;"."),up_dir!N6/((1/1000)*(up_Irr!M6+up_Irr!AK6+up_Irr!BI6)),IF(AND(up_Irr!M6&lt;&gt;".",up_Irr!AK6&lt;&gt;".",up_Irr!BI6="."),up_dir!N6/((1/1000)*(up_Irr!M6+up_Irr!AK6)),IF(AND(up_Irr!M6&lt;&gt;".",up_Irr!AK6=".",up_Irr!BI6&lt;&gt;"."),up_dir!N6/((1/1000)*(up_Irr!M6+up_Irr!BI6)),IF(AND(up_Irr!M6=".",up_Irr!AK6&lt;&gt;".",up_Irr!BI6&lt;&gt;"."),up_dir!N6/((1/1000)*(up_Irr!AK6+up_Irr!BI6)),IF(AND(up_Irr!M6=".",up_Irr!AK6=".",up_Irr!BI6&lt;&gt;"."),up_dir!N6/((1/1000)*(up_Irr!BI6)),IF(AND(up_Irr!M6=".",up_Irr!AK6&lt;&gt;".",up_Irr!BI6="."),up_dir!N6/((1/1000)*(up_Irr!AK6)),IF(AND(up_Irr!M6&lt;&gt;".",up_Irr!AK6=".",up_Irr!BI6="."),up_dir!N6/((1/1000)*(up_Irr!M6)),IF(AND(up_Irr!M6=".",up_Irr!AK6=".",up_Irr!BI6="."),up_dir!N6*1000)))))))),".")</f>
        <v>6.5773651144152131E-4</v>
      </c>
      <c r="O6" s="48">
        <f>IFERROR(IF(AND(up_Irr!N6&lt;&gt;".",up_Irr!AL6&lt;&gt;".",up_Irr!BJ6&lt;&gt;"."),up_dir!O6/((1/1000)*(up_Irr!N6+up_Irr!AL6+up_Irr!BJ6)),IF(AND(up_Irr!N6&lt;&gt;".",up_Irr!AL6&lt;&gt;".",up_Irr!BJ6="."),up_dir!O6/((1/1000)*(up_Irr!N6+up_Irr!AL6)),IF(AND(up_Irr!N6&lt;&gt;".",up_Irr!AL6=".",up_Irr!BJ6&lt;&gt;"."),up_dir!O6/((1/1000)*(up_Irr!N6+up_Irr!BJ6)),IF(AND(up_Irr!N6=".",up_Irr!AL6&lt;&gt;".",up_Irr!BJ6&lt;&gt;"."),up_dir!O6/((1/1000)*(up_Irr!AL6+up_Irr!BJ6)),IF(AND(up_Irr!N6=".",up_Irr!AL6=".",up_Irr!BJ6&lt;&gt;"."),up_dir!O6/((1/1000)*(up_Irr!BJ6)),IF(AND(up_Irr!N6=".",up_Irr!AL6&lt;&gt;".",up_Irr!BJ6="."),up_dir!O6/((1/1000)*(up_Irr!AL6)),IF(AND(up_Irr!N6&lt;&gt;".",up_Irr!AL6=".",up_Irr!BJ6="."),up_dir!O6/((1/1000)*(up_Irr!N6)),IF(AND(up_Irr!N6=".",up_Irr!AL6=".",up_Irr!BJ6="."),up_dir!O6*1000)))))))),".")</f>
        <v>6.5773651144152131E-4</v>
      </c>
      <c r="P6" s="48">
        <f>IFERROR(IF(AND(up_Irr!O6&lt;&gt;".",up_Irr!AM6&lt;&gt;".",up_Irr!BK6&lt;&gt;"."),up_dir!P6/((1/1000)*(up_Irr!O6+up_Irr!AM6+up_Irr!BK6)),IF(AND(up_Irr!O6&lt;&gt;".",up_Irr!AM6&lt;&gt;".",up_Irr!BK6="."),up_dir!P6/((1/1000)*(up_Irr!O6+up_Irr!AM6)),IF(AND(up_Irr!O6&lt;&gt;".",up_Irr!AM6=".",up_Irr!BK6&lt;&gt;"."),up_dir!P6/((1/1000)*(up_Irr!O6+up_Irr!BK6)),IF(AND(up_Irr!O6=".",up_Irr!AM6&lt;&gt;".",up_Irr!BK6&lt;&gt;"."),up_dir!P6/((1/1000)*(up_Irr!AM6+up_Irr!BK6)),IF(AND(up_Irr!O6=".",up_Irr!AM6=".",up_Irr!BK6&lt;&gt;"."),up_dir!P6/((1/1000)*(up_Irr!BK6)),IF(AND(up_Irr!O6=".",up_Irr!AM6&lt;&gt;".",up_Irr!BK6="."),up_dir!P6/((1/1000)*(up_Irr!AM6)),IF(AND(up_Irr!O6&lt;&gt;".",up_Irr!AM6=".",up_Irr!BK6="."),up_dir!P6/((1/1000)*(up_Irr!O6)),IF(AND(up_Irr!O6=".",up_Irr!AM6=".",up_Irr!BK6="."),up_dir!P6*1000)))))))),".")</f>
        <v>6.5773651144152131E-4</v>
      </c>
      <c r="Q6" s="48">
        <f>IFERROR(IF(AND(up_Irr!P6&lt;&gt;".",up_Irr!AN6&lt;&gt;".",up_Irr!BL6&lt;&gt;"."),up_dir!Q6/((1/1000)*(up_Irr!P6+up_Irr!AN6+up_Irr!BL6)),IF(AND(up_Irr!P6&lt;&gt;".",up_Irr!AN6&lt;&gt;".",up_Irr!BL6="."),up_dir!Q6/((1/1000)*(up_Irr!P6+up_Irr!AN6)),IF(AND(up_Irr!P6&lt;&gt;".",up_Irr!AN6=".",up_Irr!BL6&lt;&gt;"."),up_dir!Q6/((1/1000)*(up_Irr!P6+up_Irr!BL6)),IF(AND(up_Irr!P6=".",up_Irr!AN6&lt;&gt;".",up_Irr!BL6&lt;&gt;"."),up_dir!Q6/((1/1000)*(up_Irr!AN6+up_Irr!BL6)),IF(AND(up_Irr!P6=".",up_Irr!AN6=".",up_Irr!BL6&lt;&gt;"."),up_dir!Q6/((1/1000)*(up_Irr!BL6)),IF(AND(up_Irr!P6=".",up_Irr!AN6&lt;&gt;".",up_Irr!BL6="."),up_dir!Q6/((1/1000)*(up_Irr!AN6)),IF(AND(up_Irr!P6&lt;&gt;".",up_Irr!AN6=".",up_Irr!BL6="."),up_dir!Q6/((1/1000)*(up_Irr!P6)),IF(AND(up_Irr!P6=".",up_Irr!AN6=".",up_Irr!BL6="."),up_dir!Q6*1000)))))))),".")</f>
        <v>6.5773651144152131E-4</v>
      </c>
      <c r="R6" s="48">
        <f>IFERROR(IF(AND(up_Irr!Q6&lt;&gt;".",up_Irr!AO6&lt;&gt;".",up_Irr!BM6&lt;&gt;"."),up_dir!R6/((1/1000)*(up_Irr!Q6+up_Irr!AO6+up_Irr!BM6)),IF(AND(up_Irr!Q6&lt;&gt;".",up_Irr!AO6&lt;&gt;".",up_Irr!BM6="."),up_dir!R6/((1/1000)*(up_Irr!Q6+up_Irr!AO6)),IF(AND(up_Irr!Q6&lt;&gt;".",up_Irr!AO6=".",up_Irr!BM6&lt;&gt;"."),up_dir!R6/((1/1000)*(up_Irr!Q6+up_Irr!BM6)),IF(AND(up_Irr!Q6=".",up_Irr!AO6&lt;&gt;".",up_Irr!BM6&lt;&gt;"."),up_dir!R6/((1/1000)*(up_Irr!AO6+up_Irr!BM6)),IF(AND(up_Irr!Q6=".",up_Irr!AO6=".",up_Irr!BM6&lt;&gt;"."),up_dir!R6/((1/1000)*(up_Irr!BM6)),IF(AND(up_Irr!Q6=".",up_Irr!AO6&lt;&gt;".",up_Irr!BM6="."),up_dir!R6/((1/1000)*(up_Irr!AO6)),IF(AND(up_Irr!Q6&lt;&gt;".",up_Irr!AO6=".",up_Irr!BM6="."),up_dir!R6/((1/1000)*(up_Irr!Q6)),IF(AND(up_Irr!Q6=".",up_Irr!AO6=".",up_Irr!BM6="."),up_dir!R6*1000)))))))),".")</f>
        <v>6.5773651144152131E-4</v>
      </c>
      <c r="S6" s="48">
        <f>IFERROR(IF(AND(up_Irr!R6&lt;&gt;".",up_Irr!AP6&lt;&gt;".",up_Irr!BN6&lt;&gt;"."),up_dir!S6/((1/1000)*(up_Irr!R6+up_Irr!AP6+up_Irr!BN6)),IF(AND(up_Irr!R6&lt;&gt;".",up_Irr!AP6&lt;&gt;".",up_Irr!BN6="."),up_dir!S6/((1/1000)*(up_Irr!R6+up_Irr!AP6)),IF(AND(up_Irr!R6&lt;&gt;".",up_Irr!AP6=".",up_Irr!BN6&lt;&gt;"."),up_dir!S6/((1/1000)*(up_Irr!R6+up_Irr!BN6)),IF(AND(up_Irr!R6=".",up_Irr!AP6&lt;&gt;".",up_Irr!BN6&lt;&gt;"."),up_dir!S6/((1/1000)*(up_Irr!AP6+up_Irr!BN6)),IF(AND(up_Irr!R6=".",up_Irr!AP6=".",up_Irr!BN6&lt;&gt;"."),up_dir!S6/((1/1000)*(up_Irr!BN6)),IF(AND(up_Irr!R6=".",up_Irr!AP6&lt;&gt;".",up_Irr!BN6="."),up_dir!S6/((1/1000)*(up_Irr!AP6)),IF(AND(up_Irr!R6&lt;&gt;".",up_Irr!AP6=".",up_Irr!BN6="."),up_dir!S6/((1/1000)*(up_Irr!R6)),IF(AND(up_Irr!R6=".",up_Irr!AP6=".",up_Irr!BN6="."),up_dir!S6*1000)))))))),".")</f>
        <v>6.5773651144152131E-4</v>
      </c>
      <c r="T6" s="48">
        <f>IFERROR(IF(AND(up_Irr!S6&lt;&gt;".",up_Irr!AQ6&lt;&gt;".",up_Irr!BO6&lt;&gt;"."),up_dir!T6/((1/1000)*(up_Irr!S6+up_Irr!AQ6+up_Irr!BO6)),IF(AND(up_Irr!S6&lt;&gt;".",up_Irr!AQ6&lt;&gt;".",up_Irr!BO6="."),up_dir!T6/((1/1000)*(up_Irr!S6+up_Irr!AQ6)),IF(AND(up_Irr!S6&lt;&gt;".",up_Irr!AQ6=".",up_Irr!BO6&lt;&gt;"."),up_dir!T6/((1/1000)*(up_Irr!S6+up_Irr!BO6)),IF(AND(up_Irr!S6=".",up_Irr!AQ6&lt;&gt;".",up_Irr!BO6&lt;&gt;"."),up_dir!T6/((1/1000)*(up_Irr!AQ6+up_Irr!BO6)),IF(AND(up_Irr!S6=".",up_Irr!AQ6=".",up_Irr!BO6&lt;&gt;"."),up_dir!T6/((1/1000)*(up_Irr!BO6)),IF(AND(up_Irr!S6=".",up_Irr!AQ6&lt;&gt;".",up_Irr!BO6="."),up_dir!T6/((1/1000)*(up_Irr!AQ6)),IF(AND(up_Irr!S6&lt;&gt;".",up_Irr!AQ6=".",up_Irr!BO6="."),up_dir!T6/((1/1000)*(up_Irr!S6)),IF(AND(up_Irr!S6=".",up_Irr!AQ6=".",up_Irr!BO6="."),up_dir!T6*1000)))))))),".")</f>
        <v>6.5773651144152131E-4</v>
      </c>
      <c r="U6" s="48">
        <f>IFERROR(IF(AND(up_Irr!T6&lt;&gt;".",up_Irr!AR6&lt;&gt;".",up_Irr!BP6&lt;&gt;"."),up_dir!U6/((1/1000)*(up_Irr!T6+up_Irr!AR6+up_Irr!BP6)),IF(AND(up_Irr!T6&lt;&gt;".",up_Irr!AR6&lt;&gt;".",up_Irr!BP6="."),up_dir!U6/((1/1000)*(up_Irr!T6+up_Irr!AR6)),IF(AND(up_Irr!T6&lt;&gt;".",up_Irr!AR6=".",up_Irr!BP6&lt;&gt;"."),up_dir!U6/((1/1000)*(up_Irr!T6+up_Irr!BP6)),IF(AND(up_Irr!T6=".",up_Irr!AR6&lt;&gt;".",up_Irr!BP6&lt;&gt;"."),up_dir!U6/((1/1000)*(up_Irr!AR6+up_Irr!BP6)),IF(AND(up_Irr!T6=".",up_Irr!AR6=".",up_Irr!BP6&lt;&gt;"."),up_dir!U6/((1/1000)*(up_Irr!BP6)),IF(AND(up_Irr!T6=".",up_Irr!AR6&lt;&gt;".",up_Irr!BP6="."),up_dir!U6/((1/1000)*(up_Irr!AR6)),IF(AND(up_Irr!T6&lt;&gt;".",up_Irr!AR6=".",up_Irr!BP6="."),up_dir!U6/((1/1000)*(up_Irr!T6)),IF(AND(up_Irr!T6=".",up_Irr!AR6=".",up_Irr!BP6="."),up_dir!U6*1000)))))))),".")</f>
        <v>6.5773651144152131E-4</v>
      </c>
      <c r="V6" s="48">
        <f>IFERROR(IF(AND(up_Irr!U6&lt;&gt;".",up_Irr!AS6&lt;&gt;".",up_Irr!BQ6&lt;&gt;"."),up_dir!V6/((1/1000)*(up_Irr!U6+up_Irr!AS6+up_Irr!BQ6)),IF(AND(up_Irr!U6&lt;&gt;".",up_Irr!AS6&lt;&gt;".",up_Irr!BQ6="."),up_dir!V6/((1/1000)*(up_Irr!U6+up_Irr!AS6)),IF(AND(up_Irr!U6&lt;&gt;".",up_Irr!AS6=".",up_Irr!BQ6&lt;&gt;"."),up_dir!V6/((1/1000)*(up_Irr!U6+up_Irr!BQ6)),IF(AND(up_Irr!U6=".",up_Irr!AS6&lt;&gt;".",up_Irr!BQ6&lt;&gt;"."),up_dir!V6/((1/1000)*(up_Irr!AS6+up_Irr!BQ6)),IF(AND(up_Irr!U6=".",up_Irr!AS6=".",up_Irr!BQ6&lt;&gt;"."),up_dir!V6/((1/1000)*(up_Irr!BQ6)),IF(AND(up_Irr!U6=".",up_Irr!AS6&lt;&gt;".",up_Irr!BQ6="."),up_dir!V6/((1/1000)*(up_Irr!AS6)),IF(AND(up_Irr!U6&lt;&gt;".",up_Irr!AS6=".",up_Irr!BQ6="."),up_dir!V6/((1/1000)*(up_Irr!U6)),IF(AND(up_Irr!U6=".",up_Irr!AS6=".",up_Irr!BQ6="."),up_dir!V6*1000)))))))),".")</f>
        <v>6.5773651144152131E-4</v>
      </c>
      <c r="W6" s="48">
        <f>IFERROR(IF(AND(up_Irr!V6&lt;&gt;".",up_Irr!AT6&lt;&gt;".",up_Irr!BR6&lt;&gt;"."),up_dir!W6/((1/1000)*(up_Irr!V6+up_Irr!AT6+up_Irr!BR6)),IF(AND(up_Irr!V6&lt;&gt;".",up_Irr!AT6&lt;&gt;".",up_Irr!BR6="."),up_dir!W6/((1/1000)*(up_Irr!V6+up_Irr!AT6)),IF(AND(up_Irr!V6&lt;&gt;".",up_Irr!AT6=".",up_Irr!BR6&lt;&gt;"."),up_dir!W6/((1/1000)*(up_Irr!V6+up_Irr!BR6)),IF(AND(up_Irr!V6=".",up_Irr!AT6&lt;&gt;".",up_Irr!BR6&lt;&gt;"."),up_dir!W6/((1/1000)*(up_Irr!AT6+up_Irr!BR6)),IF(AND(up_Irr!V6=".",up_Irr!AT6=".",up_Irr!BR6&lt;&gt;"."),up_dir!W6/((1/1000)*(up_Irr!BR6)),IF(AND(up_Irr!V6=".",up_Irr!AT6&lt;&gt;".",up_Irr!BR6="."),up_dir!W6/((1/1000)*(up_Irr!AT6)),IF(AND(up_Irr!V6&lt;&gt;".",up_Irr!AT6=".",up_Irr!BR6="."),up_dir!W6/((1/1000)*(up_Irr!V6)),IF(AND(up_Irr!V6=".",up_Irr!AT6=".",up_Irr!BR6="."),up_dir!W6*1000)))))))),".")</f>
        <v>6.5773651144152131E-4</v>
      </c>
      <c r="X6" s="48">
        <f>IFERROR(IF(AND(up_Irr!W6&lt;&gt;".",up_Irr!AU6&lt;&gt;".",up_Irr!BS6&lt;&gt;"."),up_dir!X6/((1/1000)*(up_Irr!W6+up_Irr!AU6+up_Irr!BS6)),IF(AND(up_Irr!W6&lt;&gt;".",up_Irr!AU6&lt;&gt;".",up_Irr!BS6="."),up_dir!X6/((1/1000)*(up_Irr!W6+up_Irr!AU6)),IF(AND(up_Irr!W6&lt;&gt;".",up_Irr!AU6=".",up_Irr!BS6&lt;&gt;"."),up_dir!X6/((1/1000)*(up_Irr!W6+up_Irr!BS6)),IF(AND(up_Irr!W6=".",up_Irr!AU6&lt;&gt;".",up_Irr!BS6&lt;&gt;"."),up_dir!X6/((1/1000)*(up_Irr!AU6+up_Irr!BS6)),IF(AND(up_Irr!W6=".",up_Irr!AU6=".",up_Irr!BS6&lt;&gt;"."),up_dir!X6/((1/1000)*(up_Irr!BS6)),IF(AND(up_Irr!W6=".",up_Irr!AU6&lt;&gt;".",up_Irr!BS6="."),up_dir!X6/((1/1000)*(up_Irr!AU6)),IF(AND(up_Irr!W6&lt;&gt;".",up_Irr!AU6=".",up_Irr!BS6="."),up_dir!X6/((1/1000)*(up_Irr!W6)),IF(AND(up_Irr!W6=".",up_Irr!AU6=".",up_Irr!BS6="."),up_dir!X6*1000)))))))),".")</f>
        <v>6.5773651144152131E-4</v>
      </c>
      <c r="Y6" s="48">
        <f>IFERROR(IF(AND(up_Irr!X6&lt;&gt;".",up_Irr!AV6&lt;&gt;".",up_Irr!BT6&lt;&gt;"."),up_dir!Y6/((1/1000)*(up_Irr!X6+up_Irr!AV6+up_Irr!BT6)),IF(AND(up_Irr!X6&lt;&gt;".",up_Irr!AV6&lt;&gt;".",up_Irr!BT6="."),up_dir!Y6/((1/1000)*(up_Irr!X6+up_Irr!AV6)),IF(AND(up_Irr!X6&lt;&gt;".",up_Irr!AV6=".",up_Irr!BT6&lt;&gt;"."),up_dir!Y6/((1/1000)*(up_Irr!X6+up_Irr!BT6)),IF(AND(up_Irr!X6=".",up_Irr!AV6&lt;&gt;".",up_Irr!BT6&lt;&gt;"."),up_dir!Y6/((1/1000)*(up_Irr!AV6+up_Irr!BT6)),IF(AND(up_Irr!X6=".",up_Irr!AV6=".",up_Irr!BT6&lt;&gt;"."),up_dir!Y6/((1/1000)*(up_Irr!BT6)),IF(AND(up_Irr!X6=".",up_Irr!AV6&lt;&gt;".",up_Irr!BT6="."),up_dir!Y6/((1/1000)*(up_Irr!AV6)),IF(AND(up_Irr!X6&lt;&gt;".",up_Irr!AV6=".",up_Irr!BT6="."),up_dir!Y6/((1/1000)*(up_Irr!X6)),IF(AND(up_Irr!X6=".",up_Irr!AV6=".",up_Irr!BT6="."),up_dir!Y6*1000)))))))),".")</f>
        <v>6.5773651144152131E-4</v>
      </c>
      <c r="Z6" s="48">
        <f>IFERROR(IF(AND(up_Irr!Y6&lt;&gt;".",up_Irr!AW6&lt;&gt;".",up_Irr!BU6&lt;&gt;"."),up_dir!Z6/((1/1000)*(up_Irr!Y6+up_Irr!AW6+up_Irr!BU6)),IF(AND(up_Irr!Y6&lt;&gt;".",up_Irr!AW6&lt;&gt;".",up_Irr!BU6="."),up_dir!Z6/((1/1000)*(up_Irr!Y6+up_Irr!AW6)),IF(AND(up_Irr!Y6&lt;&gt;".",up_Irr!AW6=".",up_Irr!BU6&lt;&gt;"."),up_dir!Z6/((1/1000)*(up_Irr!Y6+up_Irr!BU6)),IF(AND(up_Irr!Y6=".",up_Irr!AW6&lt;&gt;".",up_Irr!BU6&lt;&gt;"."),up_dir!Z6/((1/1000)*(up_Irr!AW6+up_Irr!BU6)),IF(AND(up_Irr!Y6=".",up_Irr!AW6=".",up_Irr!BU6&lt;&gt;"."),up_dir!Z6/((1/1000)*(up_Irr!BU6)),IF(AND(up_Irr!Y6=".",up_Irr!AW6&lt;&gt;".",up_Irr!BU6="."),up_dir!Z6/((1/1000)*(up_Irr!AW6)),IF(AND(up_Irr!Y6&lt;&gt;".",up_Irr!AW6=".",up_Irr!BU6="."),up_dir!Z6/((1/1000)*(up_Irr!Y6)),IF(AND(up_Irr!Y6=".",up_Irr!AW6=".",up_Irr!BU6="."),up_dir!Z6*1000)))))))),".")</f>
        <v>6.5773651144152131E-4</v>
      </c>
      <c r="AA6" s="48">
        <f>IFERROR(IF(AND(up_Irr!Z6&lt;&gt;".",up_Irr!AX6&lt;&gt;".",up_Irr!BV6&lt;&gt;"."),up_dir!AA6/((1/1000)*(up_Irr!Z6+up_Irr!AX6+up_Irr!BV6)),IF(AND(up_Irr!Z6&lt;&gt;".",up_Irr!AX6&lt;&gt;".",up_Irr!BV6="."),up_dir!AA6/((1/1000)*(up_Irr!Z6+up_Irr!AX6)),IF(AND(up_Irr!Z6&lt;&gt;".",up_Irr!AX6=".",up_Irr!BV6&lt;&gt;"."),up_dir!AA6/((1/1000)*(up_Irr!Z6+up_Irr!BV6)),IF(AND(up_Irr!Z6=".",up_Irr!AX6&lt;&gt;".",up_Irr!BV6&lt;&gt;"."),up_dir!AA6/((1/1000)*(up_Irr!AX6+up_Irr!BV6)),IF(AND(up_Irr!Z6=".",up_Irr!AX6=".",up_Irr!BV6&lt;&gt;"."),up_dir!AA6/((1/1000)*(up_Irr!BV6)),IF(AND(up_Irr!Z6=".",up_Irr!AX6&lt;&gt;".",up_Irr!BV6="."),up_dir!AA6/((1/1000)*(up_Irr!AX6)),IF(AND(up_Irr!Z6&lt;&gt;".",up_Irr!AX6=".",up_Irr!BV6="."),up_dir!AA6/((1/1000)*(up_Irr!Z6)),IF(AND(up_Irr!Z6=".",up_Irr!AX6=".",up_Irr!BV6="."),up_dir!AA6*1000)))))))),".")</f>
        <v>6.5773651144152131E-4</v>
      </c>
      <c r="AB6" s="62">
        <f t="shared" si="1"/>
        <v>22805.4847785862</v>
      </c>
      <c r="AC6" s="62">
        <f>IFERROR(s_C*s_IFAP_res_adj*s_CF_apple*0.001*(up_Irr!C6+up_Irr!AA6+up_Irr!AY6),".")</f>
        <v>7601.8282595287337</v>
      </c>
      <c r="AD6" s="62">
        <f>IFERROR(s_C*s_IFAS_res_adj*s_CF_asparagus*0.001*(up_Irr!D6+up_Irr!AB6+up_Irr!AZ6),".")</f>
        <v>7601.8282595287337</v>
      </c>
      <c r="AE6" s="62">
        <f>IFERROR(s_C*s_IFBT_res_adj*s_CF_beet*0.001*(up_Irr!E6+up_Irr!AC6+up_Irr!BA6),".")</f>
        <v>7601.8282595287337</v>
      </c>
      <c r="AF6" s="62">
        <f>IFERROR(s_C*s_IFBE_res_adj*s_CF_berries*0.001*(up_Irr!F6+up_Irr!AD6+up_Irr!BB6),".")</f>
        <v>7601.8282595287337</v>
      </c>
      <c r="AG6" s="62">
        <f>IFERROR(s_C*s_IFBR_res_adj*s_CF_broccoli*0.001*(up_Irr!G6+up_Irr!AE6+up_Irr!BC6),".")</f>
        <v>7601.8282595287337</v>
      </c>
      <c r="AH6" s="62">
        <f>IFERROR(s_C*s_IFCB_res_adj*s_CF_cabbage*0.001*(up_Irr!H6+up_Irr!AF6+up_Irr!BD6),".")</f>
        <v>7601.8282595287337</v>
      </c>
      <c r="AI6" s="62">
        <f>IFERROR(s_C*s_IFCR_res_adj*s_CF_carrot*0.001*(up_Irr!I6+up_Irr!AG6+up_Irr!BE6),".")</f>
        <v>7601.8282595287337</v>
      </c>
      <c r="AJ6" s="62">
        <f>IFERROR(s_C*s_IFCI_res_adj*s_CF_citrus*0.001*(up_Irr!J6+up_Irr!AH6+up_Irr!BF6),".")</f>
        <v>7601.8282595287337</v>
      </c>
      <c r="AK6" s="62">
        <f>IFERROR(s_C*s_IFCO_res_adj*s_CF_corn*0.001*(up_Irr!K6+up_Irr!AI6+up_Irr!BG6),".")</f>
        <v>7601.8282595287337</v>
      </c>
      <c r="AL6" s="62">
        <f>IFERROR(s_C*s_IFCU_res_adj*s_CF_cucumber*0.001*(up_Irr!L6+up_Irr!AJ6+up_Irr!BH6),".")</f>
        <v>7601.8282595287337</v>
      </c>
      <c r="AM6" s="62">
        <f>IFERROR(s_C*s_IFLE_res_adj*s_CF_lettuce*0.001*(up_Irr!M6+up_Irr!AK6+up_Irr!BI6),".")</f>
        <v>7601.8282595287337</v>
      </c>
      <c r="AN6" s="62">
        <f>IFERROR(s_C*s_IFLI_res_adj*s_CF_lima_bean*0.001*(up_Irr!N6+up_Irr!AL6+up_Irr!BJ6),".")</f>
        <v>7601.8282595287337</v>
      </c>
      <c r="AO6" s="62">
        <f>IFERROR(s_C*s_IFOK_res_adj*s_CF_okra*0.001*(up_Irr!O6+up_Irr!AM6+up_Irr!BK6),".")</f>
        <v>7601.8282595287337</v>
      </c>
      <c r="AP6" s="62">
        <f>IFERROR(s_C*s_IFON_res_adj*s_CF_onion*0.001*(up_Irr!P6+up_Irr!AN6+up_Irr!BL6),".")</f>
        <v>7601.8282595287337</v>
      </c>
      <c r="AQ6" s="62">
        <f>IFERROR(s_C*s_IFPC_res_adj*s_CF_peach*0.001*(up_Irr!Q6+up_Irr!AO6+up_Irr!BM6),".")</f>
        <v>7601.8282595287337</v>
      </c>
      <c r="AR6" s="62">
        <f>IFERROR(s_C*s_IFPR_res_adj*s_CF_pear*0.001*(up_Irr!R6+up_Irr!AP6+up_Irr!BN6),".")</f>
        <v>7601.8282595287337</v>
      </c>
      <c r="AS6" s="62">
        <f>IFERROR(s_C*s_IFPE_res_adj*s_CF_peas*0.001*(up_Irr!S6+up_Irr!AQ6+up_Irr!BO6),".")</f>
        <v>7601.8282595287337</v>
      </c>
      <c r="AT6" s="62">
        <f>IFERROR(s_C*s_IFPT_res_adj*s_CF_potato*0.001*(up_Irr!T6+up_Irr!AR6+up_Irr!BP6),".")</f>
        <v>7601.8282595287337</v>
      </c>
      <c r="AU6" s="62">
        <f>IFERROR(s_C*s_IFPU_res_adj*s_CF_pumpkin*0.001*(up_Irr!U6+up_Irr!AS6+up_Irr!BQ6),".")</f>
        <v>7601.8282595287337</v>
      </c>
      <c r="AV6" s="62">
        <f>IFERROR(s_C*s_IFSN_res_adj*s_CF_snap_bean*0.001*(up_Irr!V6+up_Irr!AT6+up_Irr!BR6),".")</f>
        <v>7601.8282595287337</v>
      </c>
      <c r="AW6" s="62">
        <f>IFERROR(s_C*s_IFST_res_adj*s_CF_strawberry*0.001*(up_Irr!W6+up_Irr!AU6+up_Irr!BS6),".")</f>
        <v>7601.8282595287337</v>
      </c>
      <c r="AX6" s="62">
        <f>IFERROR(s_C*s_IFTO_res_adj*s_CF_tomato*0.001*(up_Irr!X6+up_Irr!AV6+up_Irr!BT6),".")</f>
        <v>7601.8282595287337</v>
      </c>
      <c r="AY6" s="62">
        <f>IFERROR(s_C*s_IFRI_res_adj*s_CF_rice*0.001*(up_Irr!Y6+up_Irr!AW6+up_Irr!BU6),".")</f>
        <v>7601.8282595287337</v>
      </c>
      <c r="AZ6" s="62">
        <f>IFERROR(s_C*s_IFCG_res_adj*s_CF_cereal*0.001*(up_Irr!Z6+up_Irr!AX6+up_Irr!BV6),".")</f>
        <v>7601.8282595287337</v>
      </c>
      <c r="BA6" s="48">
        <f t="shared" si="2"/>
        <v>2.1924550381384044E-4</v>
      </c>
      <c r="BB6" s="48">
        <f>IFERROR(IF(AND(up_Irr!C6&lt;&gt;".",up_Irr!AA6&lt;&gt;".",up_Irr!AY6&lt;&gt;"."),up_dir!AC6/((1/1000)*(up_Irr!C6+up_Irr!AA6+up_Irr!AY6)),IF(AND(up_Irr!C6&lt;&gt;".",up_Irr!AA6&lt;&gt;".",up_Irr!AY6="."),up_dir!AC6/((1/1000)*(up_Irr!C6+up_Irr!AA6)),IF(AND(up_Irr!C6&lt;&gt;".",up_Irr!AA6=".",up_Irr!AY6&lt;&gt;"."),up_dir!AC6/((1/1000)*(up_Irr!C6+up_Irr!AY6)),IF(AND(up_Irr!C6=".",up_Irr!AA6&lt;&gt;".",up_Irr!AY6&lt;&gt;"."),up_dir!AC6/((1/1000)*(up_Irr!AA6+up_Irr!AY6)),IF(AND(up_Irr!C6=".",up_Irr!AA6=".",up_Irr!AY6&lt;&gt;"."),up_dir!AC6/((1/1000)*(up_Irr!AY6)),IF(AND(up_Irr!C6=".",up_Irr!AA6&lt;&gt;".",up_Irr!AY6="."),up_dir!AC6/((1/1000)*(up_Irr!AA6)),IF(AND(up_Irr!C6&lt;&gt;".",up_Irr!AA6=".",up_Irr!AY6="."),up_dir!AC6/((1/1000)*(up_Irr!C6)),IF(AND(up_Irr!C6=".",up_Irr!AA6=".",up_Irr!AY6="."),up_dir!AC6*1000)))))))),".")</f>
        <v>6.5773651144152131E-4</v>
      </c>
      <c r="BC6" s="48">
        <f>IFERROR(IF(AND(up_Irr!D6&lt;&gt;".",up_Irr!AB6&lt;&gt;".",up_Irr!AZ6&lt;&gt;"."),up_dir!AD6/((1/1000)*(up_Irr!D6+up_Irr!AB6+up_Irr!AZ6)),IF(AND(up_Irr!D6&lt;&gt;".",up_Irr!AB6&lt;&gt;".",up_Irr!AZ6="."),up_dir!AD6/((1/1000)*(up_Irr!D6+up_Irr!AB6)),IF(AND(up_Irr!D6&lt;&gt;".",up_Irr!AB6=".",up_Irr!AZ6&lt;&gt;"."),up_dir!AD6/((1/1000)*(up_Irr!D6+up_Irr!AZ6)),IF(AND(up_Irr!D6=".",up_Irr!AB6&lt;&gt;".",up_Irr!AZ6&lt;&gt;"."),up_dir!AD6/((1/1000)*(up_Irr!AB6+up_Irr!AZ6)),IF(AND(up_Irr!D6=".",up_Irr!AB6=".",up_Irr!AZ6&lt;&gt;"."),up_dir!AD6/((1/1000)*(up_Irr!AZ6)),IF(AND(up_Irr!D6=".",up_Irr!AB6&lt;&gt;".",up_Irr!AZ6="."),up_dir!AD6/((1/1000)*(up_Irr!AB6)),IF(AND(up_Irr!D6&lt;&gt;".",up_Irr!AB6=".",up_Irr!AZ6="."),up_dir!AD6/((1/1000)*(up_Irr!D6)),IF(AND(up_Irr!D6=".",up_Irr!AB6=".",up_Irr!AZ6="."),up_dir!AD6*1000)))))))),".")</f>
        <v>6.5773651144152131E-4</v>
      </c>
      <c r="BD6" s="48">
        <f>IFERROR(IF(AND(up_Irr!E6&lt;&gt;".",up_Irr!AC6&lt;&gt;".",up_Irr!BA6&lt;&gt;"."),up_dir!AE6/((1/1000)*(up_Irr!E6+up_Irr!AC6+up_Irr!BA6)),IF(AND(up_Irr!E6&lt;&gt;".",up_Irr!AC6&lt;&gt;".",up_Irr!BA6="."),up_dir!AE6/((1/1000)*(up_Irr!E6+up_Irr!AC6)),IF(AND(up_Irr!E6&lt;&gt;".",up_Irr!AC6=".",up_Irr!BA6&lt;&gt;"."),up_dir!AE6/((1/1000)*(up_Irr!E6+up_Irr!BA6)),IF(AND(up_Irr!E6=".",up_Irr!AC6&lt;&gt;".",up_Irr!BA6&lt;&gt;"."),up_dir!AE6/((1/1000)*(up_Irr!AC6+up_Irr!BA6)),IF(AND(up_Irr!E6=".",up_Irr!AC6=".",up_Irr!BA6&lt;&gt;"."),up_dir!AE6/((1/1000)*(up_Irr!BA6)),IF(AND(up_Irr!E6=".",up_Irr!AC6&lt;&gt;".",up_Irr!BA6="."),up_dir!AE6/((1/1000)*(up_Irr!AC6)),IF(AND(up_Irr!E6&lt;&gt;".",up_Irr!AC6=".",up_Irr!BA6="."),up_dir!AE6/((1/1000)*(up_Irr!E6)),IF(AND(up_Irr!E6=".",up_Irr!AC6=".",up_Irr!BA6="."),up_dir!AE6*1000)))))))),".")</f>
        <v>6.5773651144152131E-4</v>
      </c>
      <c r="BE6" s="48">
        <f>IFERROR(IF(AND(up_Irr!F6&lt;&gt;".",up_Irr!AD6&lt;&gt;".",up_Irr!BB6&lt;&gt;"."),up_dir!AF6/((1/1000)*(up_Irr!F6+up_Irr!AD6+up_Irr!BB6)),IF(AND(up_Irr!F6&lt;&gt;".",up_Irr!AD6&lt;&gt;".",up_Irr!BB6="."),up_dir!AF6/((1/1000)*(up_Irr!F6+up_Irr!AD6)),IF(AND(up_Irr!F6&lt;&gt;".",up_Irr!AD6=".",up_Irr!BB6&lt;&gt;"."),up_dir!AF6/((1/1000)*(up_Irr!F6+up_Irr!BB6)),IF(AND(up_Irr!F6=".",up_Irr!AD6&lt;&gt;".",up_Irr!BB6&lt;&gt;"."),up_dir!AF6/((1/1000)*(up_Irr!AD6+up_Irr!BB6)),IF(AND(up_Irr!F6=".",up_Irr!AD6=".",up_Irr!BB6&lt;&gt;"."),up_dir!AF6/((1/1000)*(up_Irr!BB6)),IF(AND(up_Irr!F6=".",up_Irr!AD6&lt;&gt;".",up_Irr!BB6="."),up_dir!AF6/((1/1000)*(up_Irr!AD6)),IF(AND(up_Irr!F6&lt;&gt;".",up_Irr!AD6=".",up_Irr!BB6="."),up_dir!AF6/((1/1000)*(up_Irr!F6)),IF(AND(up_Irr!F6=".",up_Irr!AD6=".",up_Irr!BB6="."),up_dir!AF6*1000)))))))),".")</f>
        <v>6.5773651144152131E-4</v>
      </c>
      <c r="BF6" s="48">
        <f>IFERROR(IF(AND(up_Irr!G6&lt;&gt;".",up_Irr!AE6&lt;&gt;".",up_Irr!BC6&lt;&gt;"."),up_dir!AG6/((1/1000)*(up_Irr!G6+up_Irr!AE6+up_Irr!BC6)),IF(AND(up_Irr!G6&lt;&gt;".",up_Irr!AE6&lt;&gt;".",up_Irr!BC6="."),up_dir!AG6/((1/1000)*(up_Irr!G6+up_Irr!AE6)),IF(AND(up_Irr!G6&lt;&gt;".",up_Irr!AE6=".",up_Irr!BC6&lt;&gt;"."),up_dir!AG6/((1/1000)*(up_Irr!G6+up_Irr!BC6)),IF(AND(up_Irr!G6=".",up_Irr!AE6&lt;&gt;".",up_Irr!BC6&lt;&gt;"."),up_dir!AG6/((1/1000)*(up_Irr!AE6+up_Irr!BC6)),IF(AND(up_Irr!G6=".",up_Irr!AE6=".",up_Irr!BC6&lt;&gt;"."),up_dir!AG6/((1/1000)*(up_Irr!BC6)),IF(AND(up_Irr!G6=".",up_Irr!AE6&lt;&gt;".",up_Irr!BC6="."),up_dir!AG6/((1/1000)*(up_Irr!AE6)),IF(AND(up_Irr!G6&lt;&gt;".",up_Irr!AE6=".",up_Irr!BC6="."),up_dir!AG6/((1/1000)*(up_Irr!G6)),IF(AND(up_Irr!G6=".",up_Irr!AE6=".",up_Irr!BC6="."),up_dir!AG6*1000)))))))),".")</f>
        <v>6.5773651144152131E-4</v>
      </c>
      <c r="BG6" s="48">
        <f>IFERROR(IF(AND(up_Irr!H6&lt;&gt;".",up_Irr!AF6&lt;&gt;".",up_Irr!BD6&lt;&gt;"."),up_dir!AH6/((1/1000)*(up_Irr!H6+up_Irr!AF6+up_Irr!BD6)),IF(AND(up_Irr!H6&lt;&gt;".",up_Irr!AF6&lt;&gt;".",up_Irr!BD6="."),up_dir!AH6/((1/1000)*(up_Irr!H6+up_Irr!AF6)),IF(AND(up_Irr!H6&lt;&gt;".",up_Irr!AF6=".",up_Irr!BD6&lt;&gt;"."),up_dir!AH6/((1/1000)*(up_Irr!H6+up_Irr!BD6)),IF(AND(up_Irr!H6=".",up_Irr!AF6&lt;&gt;".",up_Irr!BD6&lt;&gt;"."),up_dir!AH6/((1/1000)*(up_Irr!AF6+up_Irr!BD6)),IF(AND(up_Irr!H6=".",up_Irr!AF6=".",up_Irr!BD6&lt;&gt;"."),up_dir!AH6/((1/1000)*(up_Irr!BD6)),IF(AND(up_Irr!H6=".",up_Irr!AF6&lt;&gt;".",up_Irr!BD6="."),up_dir!AH6/((1/1000)*(up_Irr!AF6)),IF(AND(up_Irr!H6&lt;&gt;".",up_Irr!AF6=".",up_Irr!BD6="."),up_dir!AH6/((1/1000)*(up_Irr!H6)),IF(AND(up_Irr!H6=".",up_Irr!AF6=".",up_Irr!BD6="."),up_dir!AH6*1000)))))))),".")</f>
        <v>6.5773651144152131E-4</v>
      </c>
      <c r="BH6" s="48">
        <f>IFERROR(IF(AND(up_Irr!I6&lt;&gt;".",up_Irr!AG6&lt;&gt;".",up_Irr!BE6&lt;&gt;"."),up_dir!AI6/((1/1000)*(up_Irr!I6+up_Irr!AG6+up_Irr!BE6)),IF(AND(up_Irr!I6&lt;&gt;".",up_Irr!AG6&lt;&gt;".",up_Irr!BE6="."),up_dir!AI6/((1/1000)*(up_Irr!I6+up_Irr!AG6)),IF(AND(up_Irr!I6&lt;&gt;".",up_Irr!AG6=".",up_Irr!BE6&lt;&gt;"."),up_dir!AI6/((1/1000)*(up_Irr!I6+up_Irr!BE6)),IF(AND(up_Irr!I6=".",up_Irr!AG6&lt;&gt;".",up_Irr!BE6&lt;&gt;"."),up_dir!AI6/((1/1000)*(up_Irr!AG6+up_Irr!BE6)),IF(AND(up_Irr!I6=".",up_Irr!AG6=".",up_Irr!BE6&lt;&gt;"."),up_dir!AI6/((1/1000)*(up_Irr!BE6)),IF(AND(up_Irr!I6=".",up_Irr!AG6&lt;&gt;".",up_Irr!BE6="."),up_dir!AI6/((1/1000)*(up_Irr!AG6)),IF(AND(up_Irr!I6&lt;&gt;".",up_Irr!AG6=".",up_Irr!BE6="."),up_dir!AI6/((1/1000)*(up_Irr!I6)),IF(AND(up_Irr!I6=".",up_Irr!AG6=".",up_Irr!BE6="."),up_dir!AI6*1000)))))))),".")</f>
        <v>6.5773651144152131E-4</v>
      </c>
      <c r="BI6" s="48">
        <f>IFERROR(IF(AND(up_Irr!J6&lt;&gt;".",up_Irr!AH6&lt;&gt;".",up_Irr!BF6&lt;&gt;"."),up_dir!AJ6/((1/1000)*(up_Irr!J6+up_Irr!AH6+up_Irr!BF6)),IF(AND(up_Irr!J6&lt;&gt;".",up_Irr!AH6&lt;&gt;".",up_Irr!BF6="."),up_dir!AJ6/((1/1000)*(up_Irr!J6+up_Irr!AH6)),IF(AND(up_Irr!J6&lt;&gt;".",up_Irr!AH6=".",up_Irr!BF6&lt;&gt;"."),up_dir!AJ6/((1/1000)*(up_Irr!J6+up_Irr!BF6)),IF(AND(up_Irr!J6=".",up_Irr!AH6&lt;&gt;".",up_Irr!BF6&lt;&gt;"."),up_dir!AJ6/((1/1000)*(up_Irr!AH6+up_Irr!BF6)),IF(AND(up_Irr!J6=".",up_Irr!AH6=".",up_Irr!BF6&lt;&gt;"."),up_dir!AJ6/((1/1000)*(up_Irr!BF6)),IF(AND(up_Irr!J6=".",up_Irr!AH6&lt;&gt;".",up_Irr!BF6="."),up_dir!AJ6/((1/1000)*(up_Irr!AH6)),IF(AND(up_Irr!J6&lt;&gt;".",up_Irr!AH6=".",up_Irr!BF6="."),up_dir!AJ6/((1/1000)*(up_Irr!J6)),IF(AND(up_Irr!J6=".",up_Irr!AH6=".",up_Irr!BF6="."),up_dir!AJ6*1000)))))))),".")</f>
        <v>6.5773651144152131E-4</v>
      </c>
      <c r="BJ6" s="48">
        <f>IFERROR(IF(AND(up_Irr!K6&lt;&gt;".",up_Irr!AI6&lt;&gt;".",up_Irr!BG6&lt;&gt;"."),up_dir!AK6/((1/1000)*(up_Irr!K6+up_Irr!AI6+up_Irr!BG6)),IF(AND(up_Irr!K6&lt;&gt;".",up_Irr!AI6&lt;&gt;".",up_Irr!BG6="."),up_dir!AK6/((1/1000)*(up_Irr!K6+up_Irr!AI6)),IF(AND(up_Irr!K6&lt;&gt;".",up_Irr!AI6=".",up_Irr!BG6&lt;&gt;"."),up_dir!AK6/((1/1000)*(up_Irr!K6+up_Irr!BG6)),IF(AND(up_Irr!K6=".",up_Irr!AI6&lt;&gt;".",up_Irr!BG6&lt;&gt;"."),up_dir!AK6/((1/1000)*(up_Irr!AI6+up_Irr!BG6)),IF(AND(up_Irr!K6=".",up_Irr!AI6=".",up_Irr!BG6&lt;&gt;"."),up_dir!AK6/((1/1000)*(up_Irr!BG6)),IF(AND(up_Irr!K6=".",up_Irr!AI6&lt;&gt;".",up_Irr!BG6="."),up_dir!AK6/((1/1000)*(up_Irr!AI6)),IF(AND(up_Irr!K6&lt;&gt;".",up_Irr!AI6=".",up_Irr!BG6="."),up_dir!AK6/((1/1000)*(up_Irr!K6)),IF(AND(up_Irr!K6=".",up_Irr!AI6=".",up_Irr!BG6="."),up_dir!AK6*1000)))))))),".")</f>
        <v>6.5773651144152131E-4</v>
      </c>
      <c r="BK6" s="48">
        <f>IFERROR(IF(AND(up_Irr!L6&lt;&gt;".",up_Irr!AJ6&lt;&gt;".",up_Irr!BH6&lt;&gt;"."),up_dir!AL6/((1/1000)*(up_Irr!L6+up_Irr!AJ6+up_Irr!BH6)),IF(AND(up_Irr!L6&lt;&gt;".",up_Irr!AJ6&lt;&gt;".",up_Irr!BH6="."),up_dir!AL6/((1/1000)*(up_Irr!L6+up_Irr!AJ6)),IF(AND(up_Irr!L6&lt;&gt;".",up_Irr!AJ6=".",up_Irr!BH6&lt;&gt;"."),up_dir!AL6/((1/1000)*(up_Irr!L6+up_Irr!BH6)),IF(AND(up_Irr!L6=".",up_Irr!AJ6&lt;&gt;".",up_Irr!BH6&lt;&gt;"."),up_dir!AL6/((1/1000)*(up_Irr!AJ6+up_Irr!BH6)),IF(AND(up_Irr!L6=".",up_Irr!AJ6=".",up_Irr!BH6&lt;&gt;"."),up_dir!AL6/((1/1000)*(up_Irr!BH6)),IF(AND(up_Irr!L6=".",up_Irr!AJ6&lt;&gt;".",up_Irr!BH6="."),up_dir!AL6/((1/1000)*(up_Irr!AJ6)),IF(AND(up_Irr!L6&lt;&gt;".",up_Irr!AJ6=".",up_Irr!BH6="."),up_dir!AL6/((1/1000)*(up_Irr!L6)),IF(AND(up_Irr!L6=".",up_Irr!AJ6=".",up_Irr!BH6="."),up_dir!AL6*1000)))))))),".")</f>
        <v>6.5773651144152131E-4</v>
      </c>
      <c r="BL6" s="48">
        <f>IFERROR(IF(AND(up_Irr!M6&lt;&gt;".",up_Irr!AK6&lt;&gt;".",up_Irr!BI6&lt;&gt;"."),up_dir!AM6/((1/1000)*(up_Irr!M6+up_Irr!AK6+up_Irr!BI6)),IF(AND(up_Irr!M6&lt;&gt;".",up_Irr!AK6&lt;&gt;".",up_Irr!BI6="."),up_dir!AM6/((1/1000)*(up_Irr!M6+up_Irr!AK6)),IF(AND(up_Irr!M6&lt;&gt;".",up_Irr!AK6=".",up_Irr!BI6&lt;&gt;"."),up_dir!AM6/((1/1000)*(up_Irr!M6+up_Irr!BI6)),IF(AND(up_Irr!M6=".",up_Irr!AK6&lt;&gt;".",up_Irr!BI6&lt;&gt;"."),up_dir!AM6/((1/1000)*(up_Irr!AK6+up_Irr!BI6)),IF(AND(up_Irr!M6=".",up_Irr!AK6=".",up_Irr!BI6&lt;&gt;"."),up_dir!AM6/((1/1000)*(up_Irr!BI6)),IF(AND(up_Irr!M6=".",up_Irr!AK6&lt;&gt;".",up_Irr!BI6="."),up_dir!AM6/((1/1000)*(up_Irr!AK6)),IF(AND(up_Irr!M6&lt;&gt;".",up_Irr!AK6=".",up_Irr!BI6="."),up_dir!AM6/((1/1000)*(up_Irr!M6)),IF(AND(up_Irr!M6=".",up_Irr!AK6=".",up_Irr!BI6="."),up_dir!AM6*1000)))))))),".")</f>
        <v>6.5773651144152131E-4</v>
      </c>
      <c r="BM6" s="48">
        <f>IFERROR(IF(AND(up_Irr!N6&lt;&gt;".",up_Irr!AL6&lt;&gt;".",up_Irr!BJ6&lt;&gt;"."),up_dir!AN6/((1/1000)*(up_Irr!N6+up_Irr!AL6+up_Irr!BJ6)),IF(AND(up_Irr!N6&lt;&gt;".",up_Irr!AL6&lt;&gt;".",up_Irr!BJ6="."),up_dir!AN6/((1/1000)*(up_Irr!N6+up_Irr!AL6)),IF(AND(up_Irr!N6&lt;&gt;".",up_Irr!AL6=".",up_Irr!BJ6&lt;&gt;"."),up_dir!AN6/((1/1000)*(up_Irr!N6+up_Irr!BJ6)),IF(AND(up_Irr!N6=".",up_Irr!AL6&lt;&gt;".",up_Irr!BJ6&lt;&gt;"."),up_dir!AN6/((1/1000)*(up_Irr!AL6+up_Irr!BJ6)),IF(AND(up_Irr!N6=".",up_Irr!AL6=".",up_Irr!BJ6&lt;&gt;"."),up_dir!AN6/((1/1000)*(up_Irr!BJ6)),IF(AND(up_Irr!N6=".",up_Irr!AL6&lt;&gt;".",up_Irr!BJ6="."),up_dir!AN6/((1/1000)*(up_Irr!AL6)),IF(AND(up_Irr!N6&lt;&gt;".",up_Irr!AL6=".",up_Irr!BJ6="."),up_dir!AN6/((1/1000)*(up_Irr!N6)),IF(AND(up_Irr!N6=".",up_Irr!AL6=".",up_Irr!BJ6="."),up_dir!AN6*1000)))))))),".")</f>
        <v>6.5773651144152131E-4</v>
      </c>
      <c r="BN6" s="48">
        <f>IFERROR(IF(AND(up_Irr!O6&lt;&gt;".",up_Irr!AM6&lt;&gt;".",up_Irr!BK6&lt;&gt;"."),up_dir!AO6/((1/1000)*(up_Irr!O6+up_Irr!AM6+up_Irr!BK6)),IF(AND(up_Irr!O6&lt;&gt;".",up_Irr!AM6&lt;&gt;".",up_Irr!BK6="."),up_dir!AO6/((1/1000)*(up_Irr!O6+up_Irr!AM6)),IF(AND(up_Irr!O6&lt;&gt;".",up_Irr!AM6=".",up_Irr!BK6&lt;&gt;"."),up_dir!AO6/((1/1000)*(up_Irr!O6+up_Irr!BK6)),IF(AND(up_Irr!O6=".",up_Irr!AM6&lt;&gt;".",up_Irr!BK6&lt;&gt;"."),up_dir!AO6/((1/1000)*(up_Irr!AM6+up_Irr!BK6)),IF(AND(up_Irr!O6=".",up_Irr!AM6=".",up_Irr!BK6&lt;&gt;"."),up_dir!AO6/((1/1000)*(up_Irr!BK6)),IF(AND(up_Irr!O6=".",up_Irr!AM6&lt;&gt;".",up_Irr!BK6="."),up_dir!AO6/((1/1000)*(up_Irr!AM6)),IF(AND(up_Irr!O6&lt;&gt;".",up_Irr!AM6=".",up_Irr!BK6="."),up_dir!AO6/((1/1000)*(up_Irr!O6)),IF(AND(up_Irr!O6=".",up_Irr!AM6=".",up_Irr!BK6="."),up_dir!AO6*1000)))))))),".")</f>
        <v>6.5773651144152131E-4</v>
      </c>
      <c r="BO6" s="48">
        <f>IFERROR(IF(AND(up_Irr!P6&lt;&gt;".",up_Irr!AN6&lt;&gt;".",up_Irr!BL6&lt;&gt;"."),up_dir!AP6/((1/1000)*(up_Irr!P6+up_Irr!AN6+up_Irr!BL6)),IF(AND(up_Irr!P6&lt;&gt;".",up_Irr!AN6&lt;&gt;".",up_Irr!BL6="."),up_dir!AP6/((1/1000)*(up_Irr!P6+up_Irr!AN6)),IF(AND(up_Irr!P6&lt;&gt;".",up_Irr!AN6=".",up_Irr!BL6&lt;&gt;"."),up_dir!AP6/((1/1000)*(up_Irr!P6+up_Irr!BL6)),IF(AND(up_Irr!P6=".",up_Irr!AN6&lt;&gt;".",up_Irr!BL6&lt;&gt;"."),up_dir!AP6/((1/1000)*(up_Irr!AN6+up_Irr!BL6)),IF(AND(up_Irr!P6=".",up_Irr!AN6=".",up_Irr!BL6&lt;&gt;"."),up_dir!AP6/((1/1000)*(up_Irr!BL6)),IF(AND(up_Irr!P6=".",up_Irr!AN6&lt;&gt;".",up_Irr!BL6="."),up_dir!AP6/((1/1000)*(up_Irr!AN6)),IF(AND(up_Irr!P6&lt;&gt;".",up_Irr!AN6=".",up_Irr!BL6="."),up_dir!AP6/((1/1000)*(up_Irr!P6)),IF(AND(up_Irr!P6=".",up_Irr!AN6=".",up_Irr!BL6="."),up_dir!AP6*1000)))))))),".")</f>
        <v>6.5773651144152131E-4</v>
      </c>
      <c r="BP6" s="48">
        <f>IFERROR(IF(AND(up_Irr!Q6&lt;&gt;".",up_Irr!AO6&lt;&gt;".",up_Irr!BM6&lt;&gt;"."),up_dir!AQ6/((1/1000)*(up_Irr!Q6+up_Irr!AO6+up_Irr!BM6)),IF(AND(up_Irr!Q6&lt;&gt;".",up_Irr!AO6&lt;&gt;".",up_Irr!BM6="."),up_dir!AQ6/((1/1000)*(up_Irr!Q6+up_Irr!AO6)),IF(AND(up_Irr!Q6&lt;&gt;".",up_Irr!AO6=".",up_Irr!BM6&lt;&gt;"."),up_dir!AQ6/((1/1000)*(up_Irr!Q6+up_Irr!BM6)),IF(AND(up_Irr!Q6=".",up_Irr!AO6&lt;&gt;".",up_Irr!BM6&lt;&gt;"."),up_dir!AQ6/((1/1000)*(up_Irr!AO6+up_Irr!BM6)),IF(AND(up_Irr!Q6=".",up_Irr!AO6=".",up_Irr!BM6&lt;&gt;"."),up_dir!AQ6/((1/1000)*(up_Irr!BM6)),IF(AND(up_Irr!Q6=".",up_Irr!AO6&lt;&gt;".",up_Irr!BM6="."),up_dir!AQ6/((1/1000)*(up_Irr!AO6)),IF(AND(up_Irr!Q6&lt;&gt;".",up_Irr!AO6=".",up_Irr!BM6="."),up_dir!AQ6/((1/1000)*(up_Irr!Q6)),IF(AND(up_Irr!Q6=".",up_Irr!AO6=".",up_Irr!BM6="."),up_dir!AQ6*1000)))))))),".")</f>
        <v>6.5773651144152131E-4</v>
      </c>
      <c r="BQ6" s="48">
        <f>IFERROR(IF(AND(up_Irr!R6&lt;&gt;".",up_Irr!AP6&lt;&gt;".",up_Irr!BN6&lt;&gt;"."),up_dir!AR6/((1/1000)*(up_Irr!R6+up_Irr!AP6+up_Irr!BN6)),IF(AND(up_Irr!R6&lt;&gt;".",up_Irr!AP6&lt;&gt;".",up_Irr!BN6="."),up_dir!AR6/((1/1000)*(up_Irr!R6+up_Irr!AP6)),IF(AND(up_Irr!R6&lt;&gt;".",up_Irr!AP6=".",up_Irr!BN6&lt;&gt;"."),up_dir!AR6/((1/1000)*(up_Irr!R6+up_Irr!BN6)),IF(AND(up_Irr!R6=".",up_Irr!AP6&lt;&gt;".",up_Irr!BN6&lt;&gt;"."),up_dir!AR6/((1/1000)*(up_Irr!AP6+up_Irr!BN6)),IF(AND(up_Irr!R6=".",up_Irr!AP6=".",up_Irr!BN6&lt;&gt;"."),up_dir!AR6/((1/1000)*(up_Irr!BN6)),IF(AND(up_Irr!R6=".",up_Irr!AP6&lt;&gt;".",up_Irr!BN6="."),up_dir!AR6/((1/1000)*(up_Irr!AP6)),IF(AND(up_Irr!R6&lt;&gt;".",up_Irr!AP6=".",up_Irr!BN6="."),up_dir!AR6/((1/1000)*(up_Irr!R6)),IF(AND(up_Irr!R6=".",up_Irr!AP6=".",up_Irr!BN6="."),up_dir!AR6*1000)))))))),".")</f>
        <v>6.5773651144152131E-4</v>
      </c>
      <c r="BR6" s="48">
        <f>IFERROR(IF(AND(up_Irr!S6&lt;&gt;".",up_Irr!AQ6&lt;&gt;".",up_Irr!BO6&lt;&gt;"."),up_dir!AS6/((1/1000)*(up_Irr!S6+up_Irr!AQ6+up_Irr!BO6)),IF(AND(up_Irr!S6&lt;&gt;".",up_Irr!AQ6&lt;&gt;".",up_Irr!BO6="."),up_dir!AS6/((1/1000)*(up_Irr!S6+up_Irr!AQ6)),IF(AND(up_Irr!S6&lt;&gt;".",up_Irr!AQ6=".",up_Irr!BO6&lt;&gt;"."),up_dir!AS6/((1/1000)*(up_Irr!S6+up_Irr!BO6)),IF(AND(up_Irr!S6=".",up_Irr!AQ6&lt;&gt;".",up_Irr!BO6&lt;&gt;"."),up_dir!AS6/((1/1000)*(up_Irr!AQ6+up_Irr!BO6)),IF(AND(up_Irr!S6=".",up_Irr!AQ6=".",up_Irr!BO6&lt;&gt;"."),up_dir!AS6/((1/1000)*(up_Irr!BO6)),IF(AND(up_Irr!S6=".",up_Irr!AQ6&lt;&gt;".",up_Irr!BO6="."),up_dir!AS6/((1/1000)*(up_Irr!AQ6)),IF(AND(up_Irr!S6&lt;&gt;".",up_Irr!AQ6=".",up_Irr!BO6="."),up_dir!AS6/((1/1000)*(up_Irr!S6)),IF(AND(up_Irr!S6=".",up_Irr!AQ6=".",up_Irr!BO6="."),up_dir!AS6*1000)))))))),".")</f>
        <v>6.5773651144152131E-4</v>
      </c>
      <c r="BS6" s="48">
        <f>IFERROR(IF(AND(up_Irr!T6&lt;&gt;".",up_Irr!AR6&lt;&gt;".",up_Irr!BP6&lt;&gt;"."),up_dir!AT6/((1/1000)*(up_Irr!T6+up_Irr!AR6+up_Irr!BP6)),IF(AND(up_Irr!T6&lt;&gt;".",up_Irr!AR6&lt;&gt;".",up_Irr!BP6="."),up_dir!AT6/((1/1000)*(up_Irr!T6+up_Irr!AR6)),IF(AND(up_Irr!T6&lt;&gt;".",up_Irr!AR6=".",up_Irr!BP6&lt;&gt;"."),up_dir!AT6/((1/1000)*(up_Irr!T6+up_Irr!BP6)),IF(AND(up_Irr!T6=".",up_Irr!AR6&lt;&gt;".",up_Irr!BP6&lt;&gt;"."),up_dir!AT6/((1/1000)*(up_Irr!AR6+up_Irr!BP6)),IF(AND(up_Irr!T6=".",up_Irr!AR6=".",up_Irr!BP6&lt;&gt;"."),up_dir!AT6/((1/1000)*(up_Irr!BP6)),IF(AND(up_Irr!T6=".",up_Irr!AR6&lt;&gt;".",up_Irr!BP6="."),up_dir!AT6/((1/1000)*(up_Irr!AR6)),IF(AND(up_Irr!T6&lt;&gt;".",up_Irr!AR6=".",up_Irr!BP6="."),up_dir!AT6/((1/1000)*(up_Irr!T6)),IF(AND(up_Irr!T6=".",up_Irr!AR6=".",up_Irr!BP6="."),up_dir!AT6*1000)))))))),".")</f>
        <v>6.5773651144152131E-4</v>
      </c>
      <c r="BT6" s="48">
        <f>IFERROR(IF(AND(up_Irr!U6&lt;&gt;".",up_Irr!AS6&lt;&gt;".",up_Irr!BQ6&lt;&gt;"."),up_dir!AU6/((1/1000)*(up_Irr!U6+up_Irr!AS6+up_Irr!BQ6)),IF(AND(up_Irr!U6&lt;&gt;".",up_Irr!AS6&lt;&gt;".",up_Irr!BQ6="."),up_dir!AU6/((1/1000)*(up_Irr!U6+up_Irr!AS6)),IF(AND(up_Irr!U6&lt;&gt;".",up_Irr!AS6=".",up_Irr!BQ6&lt;&gt;"."),up_dir!AU6/((1/1000)*(up_Irr!U6+up_Irr!BQ6)),IF(AND(up_Irr!U6=".",up_Irr!AS6&lt;&gt;".",up_Irr!BQ6&lt;&gt;"."),up_dir!AU6/((1/1000)*(up_Irr!AS6+up_Irr!BQ6)),IF(AND(up_Irr!U6=".",up_Irr!AS6=".",up_Irr!BQ6&lt;&gt;"."),up_dir!AU6/((1/1000)*(up_Irr!BQ6)),IF(AND(up_Irr!U6=".",up_Irr!AS6&lt;&gt;".",up_Irr!BQ6="."),up_dir!AU6/((1/1000)*(up_Irr!AS6)),IF(AND(up_Irr!U6&lt;&gt;".",up_Irr!AS6=".",up_Irr!BQ6="."),up_dir!AU6/((1/1000)*(up_Irr!U6)),IF(AND(up_Irr!U6=".",up_Irr!AS6=".",up_Irr!BQ6="."),up_dir!AU6*1000)))))))),".")</f>
        <v>6.5773651144152131E-4</v>
      </c>
      <c r="BU6" s="48">
        <f>IFERROR(IF(AND(up_Irr!V6&lt;&gt;".",up_Irr!AT6&lt;&gt;".",up_Irr!BR6&lt;&gt;"."),up_dir!AV6/((1/1000)*(up_Irr!V6+up_Irr!AT6+up_Irr!BR6)),IF(AND(up_Irr!V6&lt;&gt;".",up_Irr!AT6&lt;&gt;".",up_Irr!BR6="."),up_dir!AV6/((1/1000)*(up_Irr!V6+up_Irr!AT6)),IF(AND(up_Irr!V6&lt;&gt;".",up_Irr!AT6=".",up_Irr!BR6&lt;&gt;"."),up_dir!AV6/((1/1000)*(up_Irr!V6+up_Irr!BR6)),IF(AND(up_Irr!V6=".",up_Irr!AT6&lt;&gt;".",up_Irr!BR6&lt;&gt;"."),up_dir!AV6/((1/1000)*(up_Irr!AT6+up_Irr!BR6)),IF(AND(up_Irr!V6=".",up_Irr!AT6=".",up_Irr!BR6&lt;&gt;"."),up_dir!AV6/((1/1000)*(up_Irr!BR6)),IF(AND(up_Irr!V6=".",up_Irr!AT6&lt;&gt;".",up_Irr!BR6="."),up_dir!AV6/((1/1000)*(up_Irr!AT6)),IF(AND(up_Irr!V6&lt;&gt;".",up_Irr!AT6=".",up_Irr!BR6="."),up_dir!AV6/((1/1000)*(up_Irr!V6)),IF(AND(up_Irr!V6=".",up_Irr!AT6=".",up_Irr!BR6="."),up_dir!AV6*1000)))))))),".")</f>
        <v>6.5773651144152131E-4</v>
      </c>
      <c r="BV6" s="48">
        <f>IFERROR(IF(AND(up_Irr!W6&lt;&gt;".",up_Irr!AU6&lt;&gt;".",up_Irr!BS6&lt;&gt;"."),up_dir!AW6/((1/1000)*(up_Irr!W6+up_Irr!AU6+up_Irr!BS6)),IF(AND(up_Irr!W6&lt;&gt;".",up_Irr!AU6&lt;&gt;".",up_Irr!BS6="."),up_dir!AW6/((1/1000)*(up_Irr!W6+up_Irr!AU6)),IF(AND(up_Irr!W6&lt;&gt;".",up_Irr!AU6=".",up_Irr!BS6&lt;&gt;"."),up_dir!AW6/((1/1000)*(up_Irr!W6+up_Irr!BS6)),IF(AND(up_Irr!W6=".",up_Irr!AU6&lt;&gt;".",up_Irr!BS6&lt;&gt;"."),up_dir!AW6/((1/1000)*(up_Irr!AU6+up_Irr!BS6)),IF(AND(up_Irr!W6=".",up_Irr!AU6=".",up_Irr!BS6&lt;&gt;"."),up_dir!AW6/((1/1000)*(up_Irr!BS6)),IF(AND(up_Irr!W6=".",up_Irr!AU6&lt;&gt;".",up_Irr!BS6="."),up_dir!AW6/((1/1000)*(up_Irr!AU6)),IF(AND(up_Irr!W6&lt;&gt;".",up_Irr!AU6=".",up_Irr!BS6="."),up_dir!AW6/((1/1000)*(up_Irr!W6)),IF(AND(up_Irr!W6=".",up_Irr!AU6=".",up_Irr!BS6="."),up_dir!AW6*1000)))))))),".")</f>
        <v>6.5773651144152131E-4</v>
      </c>
      <c r="BW6" s="48">
        <f>IFERROR(IF(AND(up_Irr!X6&lt;&gt;".",up_Irr!AV6&lt;&gt;".",up_Irr!BT6&lt;&gt;"."),up_dir!AX6/((1/1000)*(up_Irr!X6+up_Irr!AV6+up_Irr!BT6)),IF(AND(up_Irr!X6&lt;&gt;".",up_Irr!AV6&lt;&gt;".",up_Irr!BT6="."),up_dir!AX6/((1/1000)*(up_Irr!X6+up_Irr!AV6)),IF(AND(up_Irr!X6&lt;&gt;".",up_Irr!AV6=".",up_Irr!BT6&lt;&gt;"."),up_dir!AX6/((1/1000)*(up_Irr!X6+up_Irr!BT6)),IF(AND(up_Irr!X6=".",up_Irr!AV6&lt;&gt;".",up_Irr!BT6&lt;&gt;"."),up_dir!AX6/((1/1000)*(up_Irr!AV6+up_Irr!BT6)),IF(AND(up_Irr!X6=".",up_Irr!AV6=".",up_Irr!BT6&lt;&gt;"."),up_dir!AX6/((1/1000)*(up_Irr!BT6)),IF(AND(up_Irr!X6=".",up_Irr!AV6&lt;&gt;".",up_Irr!BT6="."),up_dir!AX6/((1/1000)*(up_Irr!AV6)),IF(AND(up_Irr!X6&lt;&gt;".",up_Irr!AV6=".",up_Irr!BT6="."),up_dir!AX6/((1/1000)*(up_Irr!X6)),IF(AND(up_Irr!X6=".",up_Irr!AV6=".",up_Irr!BT6="."),up_dir!AX6*1000)))))))),".")</f>
        <v>6.5773651144152131E-4</v>
      </c>
      <c r="BX6" s="48">
        <f>IFERROR(IF(AND(up_Irr!Y6&lt;&gt;".",up_Irr!AW6&lt;&gt;".",up_Irr!BU6&lt;&gt;"."),up_dir!AY6/((1/1000)*(up_Irr!Y6+up_Irr!AW6+up_Irr!BU6)),IF(AND(up_Irr!Y6&lt;&gt;".",up_Irr!AW6&lt;&gt;".",up_Irr!BU6="."),up_dir!AY6/((1/1000)*(up_Irr!Y6+up_Irr!AW6)),IF(AND(up_Irr!Y6&lt;&gt;".",up_Irr!AW6=".",up_Irr!BU6&lt;&gt;"."),up_dir!AY6/((1/1000)*(up_Irr!Y6+up_Irr!BU6)),IF(AND(up_Irr!Y6=".",up_Irr!AW6&lt;&gt;".",up_Irr!BU6&lt;&gt;"."),up_dir!AY6/((1/1000)*(up_Irr!AW6+up_Irr!BU6)),IF(AND(up_Irr!Y6=".",up_Irr!AW6=".",up_Irr!BU6&lt;&gt;"."),up_dir!AY6/((1/1000)*(up_Irr!BU6)),IF(AND(up_Irr!Y6=".",up_Irr!AW6&lt;&gt;".",up_Irr!BU6="."),up_dir!AY6/((1/1000)*(up_Irr!AW6)),IF(AND(up_Irr!Y6&lt;&gt;".",up_Irr!AW6=".",up_Irr!BU6="."),up_dir!AY6/((1/1000)*(up_Irr!Y6)),IF(AND(up_Irr!Y6=".",up_Irr!AW6=".",up_Irr!BU6="."),up_dir!AY6*1000)))))))),".")</f>
        <v>6.5773651144152131E-4</v>
      </c>
      <c r="BY6" s="48">
        <f>IFERROR(IF(AND(up_Irr!Z6&lt;&gt;".",up_Irr!AX6&lt;&gt;".",up_Irr!BV6&lt;&gt;"."),up_dir!AZ6/((1/1000)*(up_Irr!Z6+up_Irr!AX6+up_Irr!BV6)),IF(AND(up_Irr!Z6&lt;&gt;".",up_Irr!AX6&lt;&gt;".",up_Irr!BV6="."),up_dir!AZ6/((1/1000)*(up_Irr!Z6+up_Irr!AX6)),IF(AND(up_Irr!Z6&lt;&gt;".",up_Irr!AX6=".",up_Irr!BV6&lt;&gt;"."),up_dir!AZ6/((1/1000)*(up_Irr!Z6+up_Irr!BV6)),IF(AND(up_Irr!Z6=".",up_Irr!AX6&lt;&gt;".",up_Irr!BV6&lt;&gt;"."),up_dir!AZ6/((1/1000)*(up_Irr!AX6+up_Irr!BV6)),IF(AND(up_Irr!Z6=".",up_Irr!AX6=".",up_Irr!BV6&lt;&gt;"."),up_dir!AZ6/((1/1000)*(up_Irr!BV6)),IF(AND(up_Irr!Z6=".",up_Irr!AX6&lt;&gt;".",up_Irr!BV6="."),up_dir!AZ6/((1/1000)*(up_Irr!AX6)),IF(AND(up_Irr!Z6&lt;&gt;".",up_Irr!AX6=".",up_Irr!BV6="."),up_dir!AZ6/((1/1000)*(up_Irr!Z6)),IF(AND(up_Irr!Z6=".",up_Irr!AX6=".",up_Irr!BV6="."),up_dir!AZ6*1000)))))))),".")</f>
        <v>6.5773651144152131E-4</v>
      </c>
      <c r="BZ6" s="62">
        <f t="shared" si="3"/>
        <v>22805.4847785862</v>
      </c>
      <c r="CA6" s="62">
        <f>IFERROR(s_C*s_IFAP_far_adj*s_CF_apple*(1/1000)*(up_Irr!C6+up_Irr!AA6+up_Irr!AY6),".")</f>
        <v>7601.8282595287337</v>
      </c>
      <c r="CB6" s="62">
        <f>IFERROR(s_C*s_IFAS_far_adj*s_CF_asparagus*(1/1000)*(up_Irr!D6+up_Irr!AB6+up_Irr!AZ6),".")</f>
        <v>7601.8282595287337</v>
      </c>
      <c r="CC6" s="62">
        <f>IFERROR(s_C*s_IFBT_far_adj*s_CF_beet*(1/1000)*(up_Irr!E6+up_Irr!AC6+up_Irr!BA6),".")</f>
        <v>7601.8282595287337</v>
      </c>
      <c r="CD6" s="62">
        <f>IFERROR(s_C*s_IFBE_far_adj*s_CF_berries*(1/1000)*(up_Irr!F6+up_Irr!AD6+up_Irr!BB6),".")</f>
        <v>7601.8282595287337</v>
      </c>
      <c r="CE6" s="62">
        <f>IFERROR(s_C*s_IFBR_far_adj*s_CF_broccoli*(1/1000)*(up_Irr!G6+up_Irr!AE6+up_Irr!BC6),".")</f>
        <v>7601.8282595287337</v>
      </c>
      <c r="CF6" s="62">
        <f>IFERROR(s_C*s_IFCB_far_adj*s_CF_cabbage*(1/1000)*(up_Irr!H6+up_Irr!AF6+up_Irr!BD6),".")</f>
        <v>7601.8282595287337</v>
      </c>
      <c r="CG6" s="62">
        <f>IFERROR(s_C*s_IFCR_far_adj*s_CF_carrot*(1/1000)*(up_Irr!I6+up_Irr!AG6+up_Irr!BE6),".")</f>
        <v>7601.8282595287337</v>
      </c>
      <c r="CH6" s="62">
        <f>IFERROR(s_C*s_IFCI_far_adj*s_CF_citrus*(1/1000)*(up_Irr!J6+up_Irr!AH6+up_Irr!BF6),".")</f>
        <v>7601.8282595287337</v>
      </c>
      <c r="CI6" s="62">
        <f>IFERROR(s_C*s_IFCO_far_adj*s_CF_corn*(1/1000)*(up_Irr!K6+up_Irr!AI6+up_Irr!BG6),".")</f>
        <v>7601.8282595287337</v>
      </c>
      <c r="CJ6" s="62">
        <f>IFERROR(s_C*s_IFCU_far_adj*s_CF_cucumber*(1/1000)*(up_Irr!L6+up_Irr!AJ6+up_Irr!BH6),".")</f>
        <v>7601.8282595287337</v>
      </c>
      <c r="CK6" s="62">
        <f>IFERROR(s_C*s_IFLE_far_adj*s_CF_lettuce*(1/1000)*(up_Irr!M6+up_Irr!AK6+up_Irr!BI6),".")</f>
        <v>7601.8282595287337</v>
      </c>
      <c r="CL6" s="62">
        <f>IFERROR(s_C*s_IFLI_far_adj*s_CF_lima_bean*(1/1000)*(up_Irr!N6+up_Irr!AL6+up_Irr!BJ6),".")</f>
        <v>7601.8282595287337</v>
      </c>
      <c r="CM6" s="62">
        <f>IFERROR(s_C*s_IFOK_far_adj*s_CF_okra*(1/1000)*(up_Irr!O6+up_Irr!AM6+up_Irr!BK6),".")</f>
        <v>7601.8282595287337</v>
      </c>
      <c r="CN6" s="62">
        <f>IFERROR(s_C*s_IFON_far_adj*s_CF_onion*(1/1000)*(up_Irr!P6+up_Irr!AN6+up_Irr!BL6),".")</f>
        <v>7601.8282595287337</v>
      </c>
      <c r="CO6" s="62">
        <f>IFERROR(s_C*s_IFPC_far_adj*s_CF_peach*(1/1000)*(up_Irr!Q6+up_Irr!AO6+up_Irr!BM6),".")</f>
        <v>7601.8282595287337</v>
      </c>
      <c r="CP6" s="62">
        <f>IFERROR(s_C*s_IFPR_far_adj*s_CF_pear*(1/1000)*(up_Irr!R6+up_Irr!AP6+up_Irr!BN6),".")</f>
        <v>7601.8282595287337</v>
      </c>
      <c r="CQ6" s="62">
        <f>IFERROR(s_C*s_IFPE_far_adj*s_CF_peas*(1/1000)*(up_Irr!S6+up_Irr!AQ6+up_Irr!BO6),".")</f>
        <v>7601.8282595287337</v>
      </c>
      <c r="CR6" s="62">
        <f>IFERROR(s_C*s_IFPT_far_adj*s_CF_potato*(1/1000)*(up_Irr!T6+up_Irr!AR6+up_Irr!BP6),".")</f>
        <v>7601.8282595287337</v>
      </c>
      <c r="CS6" s="62">
        <f>IFERROR(s_C*s_IFPU_far_adj*s_CF_pumpkin*(1/1000)*(up_Irr!U6+up_Irr!AS6+up_Irr!BQ6),".")</f>
        <v>7601.8282595287337</v>
      </c>
      <c r="CT6" s="62">
        <f>IFERROR(s_C*s_IFSN_far_adj*s_CF_snap_bean*(1/1000)*(up_Irr!V6+up_Irr!AT6+up_Irr!BR6),".")</f>
        <v>7601.8282595287337</v>
      </c>
      <c r="CU6" s="62">
        <f>IFERROR(s_C*s_IFST_far_adj*s_CF_strawberry*(1/1000)*(up_Irr!W6+up_Irr!AU6+up_Irr!BS6),".")</f>
        <v>7601.8282595287337</v>
      </c>
      <c r="CV6" s="62">
        <f>IFERROR(s_C*s_IFTO_far_adj*s_CF_tomato*(1/1000)*(up_Irr!X6+up_Irr!AV6+up_Irr!BT6),".")</f>
        <v>7601.8282595287337</v>
      </c>
      <c r="CW6" s="62">
        <f>IFERROR(s_C*s_IFRI_far_adj*s_CF_rice*(1/1000)*(up_Irr!Y6+up_Irr!AW6+up_Irr!BU6),".")</f>
        <v>7601.8282595287337</v>
      </c>
      <c r="CX6" s="62">
        <f>IFERROR(s_C*s_IFCG_far_adj*s_CF_cereal*(1/1000)*(up_Irr!Z6+up_Irr!AX6+up_Irr!BV6),".")</f>
        <v>7601.8282595287337</v>
      </c>
    </row>
    <row r="7" spans="1:102" ht="15" customHeight="1" x14ac:dyDescent="0.25">
      <c r="A7" s="61" t="s">
        <v>5</v>
      </c>
      <c r="B7" s="49" t="s">
        <v>1059</v>
      </c>
      <c r="C7" s="48">
        <f t="shared" si="0"/>
        <v>2.1924550381384044E-4</v>
      </c>
      <c r="D7" s="48">
        <f>IFERROR(IF(AND(up_Irr!C7&lt;&gt;".",up_Irr!AA7&lt;&gt;".",up_Irr!AY7&lt;&gt;"."),up_dir!D7/((1/1000)*(up_Irr!C7+up_Irr!AA7+up_Irr!AY7)),IF(AND(up_Irr!C7&lt;&gt;".",up_Irr!AA7&lt;&gt;".",up_Irr!AY7="."),up_dir!D7/((1/1000)*(up_Irr!C7+up_Irr!AA7)),IF(AND(up_Irr!C7&lt;&gt;".",up_Irr!AA7=".",up_Irr!AY7&lt;&gt;"."),up_dir!D7/((1/1000)*(up_Irr!C7+up_Irr!AY7)),IF(AND(up_Irr!C7=".",up_Irr!AA7&lt;&gt;".",up_Irr!AY7&lt;&gt;"."),up_dir!D7/((1/1000)*(up_Irr!AA7+up_Irr!AY7)),IF(AND(up_Irr!C7=".",up_Irr!AA7=".",up_Irr!AY7&lt;&gt;"."),up_dir!D7/((1/1000)*(up_Irr!AY7)),IF(AND(up_Irr!C7=".",up_Irr!AA7&lt;&gt;".",up_Irr!AY7="."),up_dir!D7/((1/1000)*(up_Irr!AA7)),IF(AND(up_Irr!C7&lt;&gt;".",up_Irr!AA7=".",up_Irr!AY7="."),up_dir!D7/((1/1000)*(up_Irr!C7)),IF(AND(up_Irr!C7=".",up_Irr!AA7=".",up_Irr!AY7="."),up_dir!D7*1000)))))))),".")</f>
        <v>6.5773651144152131E-4</v>
      </c>
      <c r="E7" s="48">
        <f>IFERROR(IF(AND(up_Irr!D7&lt;&gt;".",up_Irr!AB7&lt;&gt;".",up_Irr!AZ7&lt;&gt;"."),up_dir!E7/((1/1000)*(up_Irr!D7+up_Irr!AB7+up_Irr!AZ7)),IF(AND(up_Irr!D7&lt;&gt;".",up_Irr!AB7&lt;&gt;".",up_Irr!AZ7="."),up_dir!E7/((1/1000)*(up_Irr!D7+up_Irr!AB7)),IF(AND(up_Irr!D7&lt;&gt;".",up_Irr!AB7=".",up_Irr!AZ7&lt;&gt;"."),up_dir!E7/((1/1000)*(up_Irr!D7+up_Irr!AZ7)),IF(AND(up_Irr!D7=".",up_Irr!AB7&lt;&gt;".",up_Irr!AZ7&lt;&gt;"."),up_dir!E7/((1/1000)*(up_Irr!AB7+up_Irr!AZ7)),IF(AND(up_Irr!D7=".",up_Irr!AB7=".",up_Irr!AZ7&lt;&gt;"."),up_dir!E7/((1/1000)*(up_Irr!AZ7)),IF(AND(up_Irr!D7=".",up_Irr!AB7&lt;&gt;".",up_Irr!AZ7="."),up_dir!E7/((1/1000)*(up_Irr!AB7)),IF(AND(up_Irr!D7&lt;&gt;".",up_Irr!AB7=".",up_Irr!AZ7="."),up_dir!E7/((1/1000)*(up_Irr!D7)),IF(AND(up_Irr!D7=".",up_Irr!AB7=".",up_Irr!AZ7="."),up_dir!E7*1000)))))))),".")</f>
        <v>6.5773651144152131E-4</v>
      </c>
      <c r="F7" s="48">
        <f>IFERROR(IF(AND(up_Irr!E7&lt;&gt;".",up_Irr!AC7&lt;&gt;".",up_Irr!BA7&lt;&gt;"."),up_dir!F7/((1/1000)*(up_Irr!E7+up_Irr!AC7+up_Irr!BA7)),IF(AND(up_Irr!E7&lt;&gt;".",up_Irr!AC7&lt;&gt;".",up_Irr!BA7="."),up_dir!F7/((1/1000)*(up_Irr!E7+up_Irr!AC7)),IF(AND(up_Irr!E7&lt;&gt;".",up_Irr!AC7=".",up_Irr!BA7&lt;&gt;"."),up_dir!F7/((1/1000)*(up_Irr!E7+up_Irr!BA7)),IF(AND(up_Irr!E7=".",up_Irr!AC7&lt;&gt;".",up_Irr!BA7&lt;&gt;"."),up_dir!F7/((1/1000)*(up_Irr!AC7+up_Irr!BA7)),IF(AND(up_Irr!E7=".",up_Irr!AC7=".",up_Irr!BA7&lt;&gt;"."),up_dir!F7/((1/1000)*(up_Irr!BA7)),IF(AND(up_Irr!E7=".",up_Irr!AC7&lt;&gt;".",up_Irr!BA7="."),up_dir!F7/((1/1000)*(up_Irr!AC7)),IF(AND(up_Irr!E7&lt;&gt;".",up_Irr!AC7=".",up_Irr!BA7="."),up_dir!F7/((1/1000)*(up_Irr!E7)),IF(AND(up_Irr!E7=".",up_Irr!AC7=".",up_Irr!BA7="."),up_dir!F7*1000)))))))),".")</f>
        <v>6.5773651144152131E-4</v>
      </c>
      <c r="G7" s="48">
        <f>IFERROR(IF(AND(up_Irr!F7&lt;&gt;".",up_Irr!AD7&lt;&gt;".",up_Irr!BB7&lt;&gt;"."),up_dir!G7/((1/1000)*(up_Irr!F7+up_Irr!AD7+up_Irr!BB7)),IF(AND(up_Irr!F7&lt;&gt;".",up_Irr!AD7&lt;&gt;".",up_Irr!BB7="."),up_dir!G7/((1/1000)*(up_Irr!F7+up_Irr!AD7)),IF(AND(up_Irr!F7&lt;&gt;".",up_Irr!AD7=".",up_Irr!BB7&lt;&gt;"."),up_dir!G7/((1/1000)*(up_Irr!F7+up_Irr!BB7)),IF(AND(up_Irr!F7=".",up_Irr!AD7&lt;&gt;".",up_Irr!BB7&lt;&gt;"."),up_dir!G7/((1/1000)*(up_Irr!AD7+up_Irr!BB7)),IF(AND(up_Irr!F7=".",up_Irr!AD7=".",up_Irr!BB7&lt;&gt;"."),up_dir!G7/((1/1000)*(up_Irr!BB7)),IF(AND(up_Irr!F7=".",up_Irr!AD7&lt;&gt;".",up_Irr!BB7="."),up_dir!G7/((1/1000)*(up_Irr!AD7)),IF(AND(up_Irr!F7&lt;&gt;".",up_Irr!AD7=".",up_Irr!BB7="."),up_dir!G7/((1/1000)*(up_Irr!F7)),IF(AND(up_Irr!F7=".",up_Irr!AD7=".",up_Irr!BB7="."),up_dir!G7*1000)))))))),".")</f>
        <v>6.5773651144152131E-4</v>
      </c>
      <c r="H7" s="48">
        <f>IFERROR(IF(AND(up_Irr!G7&lt;&gt;".",up_Irr!AE7&lt;&gt;".",up_Irr!BC7&lt;&gt;"."),up_dir!H7/((1/1000)*(up_Irr!G7+up_Irr!AE7+up_Irr!BC7)),IF(AND(up_Irr!G7&lt;&gt;".",up_Irr!AE7&lt;&gt;".",up_Irr!BC7="."),up_dir!H7/((1/1000)*(up_Irr!G7+up_Irr!AE7)),IF(AND(up_Irr!G7&lt;&gt;".",up_Irr!AE7=".",up_Irr!BC7&lt;&gt;"."),up_dir!H7/((1/1000)*(up_Irr!G7+up_Irr!BC7)),IF(AND(up_Irr!G7=".",up_Irr!AE7&lt;&gt;".",up_Irr!BC7&lt;&gt;"."),up_dir!H7/((1/1000)*(up_Irr!AE7+up_Irr!BC7)),IF(AND(up_Irr!G7=".",up_Irr!AE7=".",up_Irr!BC7&lt;&gt;"."),up_dir!H7/((1/1000)*(up_Irr!BC7)),IF(AND(up_Irr!G7=".",up_Irr!AE7&lt;&gt;".",up_Irr!BC7="."),up_dir!H7/((1/1000)*(up_Irr!AE7)),IF(AND(up_Irr!G7&lt;&gt;".",up_Irr!AE7=".",up_Irr!BC7="."),up_dir!H7/((1/1000)*(up_Irr!G7)),IF(AND(up_Irr!G7=".",up_Irr!AE7=".",up_Irr!BC7="."),up_dir!H7*1000)))))))),".")</f>
        <v>6.5773651144152131E-4</v>
      </c>
      <c r="I7" s="48">
        <f>IFERROR(IF(AND(up_Irr!H7&lt;&gt;".",up_Irr!AF7&lt;&gt;".",up_Irr!BD7&lt;&gt;"."),up_dir!I7/((1/1000)*(up_Irr!H7+up_Irr!AF7+up_Irr!BD7)),IF(AND(up_Irr!H7&lt;&gt;".",up_Irr!AF7&lt;&gt;".",up_Irr!BD7="."),up_dir!I7/((1/1000)*(up_Irr!H7+up_Irr!AF7)),IF(AND(up_Irr!H7&lt;&gt;".",up_Irr!AF7=".",up_Irr!BD7&lt;&gt;"."),up_dir!I7/((1/1000)*(up_Irr!H7+up_Irr!BD7)),IF(AND(up_Irr!H7=".",up_Irr!AF7&lt;&gt;".",up_Irr!BD7&lt;&gt;"."),up_dir!I7/((1/1000)*(up_Irr!AF7+up_Irr!BD7)),IF(AND(up_Irr!H7=".",up_Irr!AF7=".",up_Irr!BD7&lt;&gt;"."),up_dir!I7/((1/1000)*(up_Irr!BD7)),IF(AND(up_Irr!H7=".",up_Irr!AF7&lt;&gt;".",up_Irr!BD7="."),up_dir!I7/((1/1000)*(up_Irr!AF7)),IF(AND(up_Irr!H7&lt;&gt;".",up_Irr!AF7=".",up_Irr!BD7="."),up_dir!I7/((1/1000)*(up_Irr!H7)),IF(AND(up_Irr!H7=".",up_Irr!AF7=".",up_Irr!BD7="."),up_dir!I7*1000)))))))),".")</f>
        <v>6.5773651144152131E-4</v>
      </c>
      <c r="J7" s="48">
        <f>IFERROR(IF(AND(up_Irr!I7&lt;&gt;".",up_Irr!AG7&lt;&gt;".",up_Irr!BE7&lt;&gt;"."),up_dir!J7/((1/1000)*(up_Irr!I7+up_Irr!AG7+up_Irr!BE7)),IF(AND(up_Irr!I7&lt;&gt;".",up_Irr!AG7&lt;&gt;".",up_Irr!BE7="."),up_dir!J7/((1/1000)*(up_Irr!I7+up_Irr!AG7)),IF(AND(up_Irr!I7&lt;&gt;".",up_Irr!AG7=".",up_Irr!BE7&lt;&gt;"."),up_dir!J7/((1/1000)*(up_Irr!I7+up_Irr!BE7)),IF(AND(up_Irr!I7=".",up_Irr!AG7&lt;&gt;".",up_Irr!BE7&lt;&gt;"."),up_dir!J7/((1/1000)*(up_Irr!AG7+up_Irr!BE7)),IF(AND(up_Irr!I7=".",up_Irr!AG7=".",up_Irr!BE7&lt;&gt;"."),up_dir!J7/((1/1000)*(up_Irr!BE7)),IF(AND(up_Irr!I7=".",up_Irr!AG7&lt;&gt;".",up_Irr!BE7="."),up_dir!J7/((1/1000)*(up_Irr!AG7)),IF(AND(up_Irr!I7&lt;&gt;".",up_Irr!AG7=".",up_Irr!BE7="."),up_dir!J7/((1/1000)*(up_Irr!I7)),IF(AND(up_Irr!I7=".",up_Irr!AG7=".",up_Irr!BE7="."),up_dir!J7*1000)))))))),".")</f>
        <v>6.5773651144152131E-4</v>
      </c>
      <c r="K7" s="48">
        <f>IFERROR(IF(AND(up_Irr!J7&lt;&gt;".",up_Irr!AH7&lt;&gt;".",up_Irr!BF7&lt;&gt;"."),up_dir!K7/((1/1000)*(up_Irr!J7+up_Irr!AH7+up_Irr!BF7)),IF(AND(up_Irr!J7&lt;&gt;".",up_Irr!AH7&lt;&gt;".",up_Irr!BF7="."),up_dir!K7/((1/1000)*(up_Irr!J7+up_Irr!AH7)),IF(AND(up_Irr!J7&lt;&gt;".",up_Irr!AH7=".",up_Irr!BF7&lt;&gt;"."),up_dir!K7/((1/1000)*(up_Irr!J7+up_Irr!BF7)),IF(AND(up_Irr!J7=".",up_Irr!AH7&lt;&gt;".",up_Irr!BF7&lt;&gt;"."),up_dir!K7/((1/1000)*(up_Irr!AH7+up_Irr!BF7)),IF(AND(up_Irr!J7=".",up_Irr!AH7=".",up_Irr!BF7&lt;&gt;"."),up_dir!K7/((1/1000)*(up_Irr!BF7)),IF(AND(up_Irr!J7=".",up_Irr!AH7&lt;&gt;".",up_Irr!BF7="."),up_dir!K7/((1/1000)*(up_Irr!AH7)),IF(AND(up_Irr!J7&lt;&gt;".",up_Irr!AH7=".",up_Irr!BF7="."),up_dir!K7/((1/1000)*(up_Irr!J7)),IF(AND(up_Irr!J7=".",up_Irr!AH7=".",up_Irr!BF7="."),up_dir!K7*1000)))))))),".")</f>
        <v>6.5773651144152131E-4</v>
      </c>
      <c r="L7" s="48">
        <f>IFERROR(IF(AND(up_Irr!K7&lt;&gt;".",up_Irr!AI7&lt;&gt;".",up_Irr!BG7&lt;&gt;"."),up_dir!L7/((1/1000)*(up_Irr!K7+up_Irr!AI7+up_Irr!BG7)),IF(AND(up_Irr!K7&lt;&gt;".",up_Irr!AI7&lt;&gt;".",up_Irr!BG7="."),up_dir!L7/((1/1000)*(up_Irr!K7+up_Irr!AI7)),IF(AND(up_Irr!K7&lt;&gt;".",up_Irr!AI7=".",up_Irr!BG7&lt;&gt;"."),up_dir!L7/((1/1000)*(up_Irr!K7+up_Irr!BG7)),IF(AND(up_Irr!K7=".",up_Irr!AI7&lt;&gt;".",up_Irr!BG7&lt;&gt;"."),up_dir!L7/((1/1000)*(up_Irr!AI7+up_Irr!BG7)),IF(AND(up_Irr!K7=".",up_Irr!AI7=".",up_Irr!BG7&lt;&gt;"."),up_dir!L7/((1/1000)*(up_Irr!BG7)),IF(AND(up_Irr!K7=".",up_Irr!AI7&lt;&gt;".",up_Irr!BG7="."),up_dir!L7/((1/1000)*(up_Irr!AI7)),IF(AND(up_Irr!K7&lt;&gt;".",up_Irr!AI7=".",up_Irr!BG7="."),up_dir!L7/((1/1000)*(up_Irr!K7)),IF(AND(up_Irr!K7=".",up_Irr!AI7=".",up_Irr!BG7="."),up_dir!L7*1000)))))))),".")</f>
        <v>6.5773651144152131E-4</v>
      </c>
      <c r="M7" s="48">
        <f>IFERROR(IF(AND(up_Irr!L7&lt;&gt;".",up_Irr!AJ7&lt;&gt;".",up_Irr!BH7&lt;&gt;"."),up_dir!M7/((1/1000)*(up_Irr!L7+up_Irr!AJ7+up_Irr!BH7)),IF(AND(up_Irr!L7&lt;&gt;".",up_Irr!AJ7&lt;&gt;".",up_Irr!BH7="."),up_dir!M7/((1/1000)*(up_Irr!L7+up_Irr!AJ7)),IF(AND(up_Irr!L7&lt;&gt;".",up_Irr!AJ7=".",up_Irr!BH7&lt;&gt;"."),up_dir!M7/((1/1000)*(up_Irr!L7+up_Irr!BH7)),IF(AND(up_Irr!L7=".",up_Irr!AJ7&lt;&gt;".",up_Irr!BH7&lt;&gt;"."),up_dir!M7/((1/1000)*(up_Irr!AJ7+up_Irr!BH7)),IF(AND(up_Irr!L7=".",up_Irr!AJ7=".",up_Irr!BH7&lt;&gt;"."),up_dir!M7/((1/1000)*(up_Irr!BH7)),IF(AND(up_Irr!L7=".",up_Irr!AJ7&lt;&gt;".",up_Irr!BH7="."),up_dir!M7/((1/1000)*(up_Irr!AJ7)),IF(AND(up_Irr!L7&lt;&gt;".",up_Irr!AJ7=".",up_Irr!BH7="."),up_dir!M7/((1/1000)*(up_Irr!L7)),IF(AND(up_Irr!L7=".",up_Irr!AJ7=".",up_Irr!BH7="."),up_dir!M7*1000)))))))),".")</f>
        <v>6.5773651144152131E-4</v>
      </c>
      <c r="N7" s="48">
        <f>IFERROR(IF(AND(up_Irr!M7&lt;&gt;".",up_Irr!AK7&lt;&gt;".",up_Irr!BI7&lt;&gt;"."),up_dir!N7/((1/1000)*(up_Irr!M7+up_Irr!AK7+up_Irr!BI7)),IF(AND(up_Irr!M7&lt;&gt;".",up_Irr!AK7&lt;&gt;".",up_Irr!BI7="."),up_dir!N7/((1/1000)*(up_Irr!M7+up_Irr!AK7)),IF(AND(up_Irr!M7&lt;&gt;".",up_Irr!AK7=".",up_Irr!BI7&lt;&gt;"."),up_dir!N7/((1/1000)*(up_Irr!M7+up_Irr!BI7)),IF(AND(up_Irr!M7=".",up_Irr!AK7&lt;&gt;".",up_Irr!BI7&lt;&gt;"."),up_dir!N7/((1/1000)*(up_Irr!AK7+up_Irr!BI7)),IF(AND(up_Irr!M7=".",up_Irr!AK7=".",up_Irr!BI7&lt;&gt;"."),up_dir!N7/((1/1000)*(up_Irr!BI7)),IF(AND(up_Irr!M7=".",up_Irr!AK7&lt;&gt;".",up_Irr!BI7="."),up_dir!N7/((1/1000)*(up_Irr!AK7)),IF(AND(up_Irr!M7&lt;&gt;".",up_Irr!AK7=".",up_Irr!BI7="."),up_dir!N7/((1/1000)*(up_Irr!M7)),IF(AND(up_Irr!M7=".",up_Irr!AK7=".",up_Irr!BI7="."),up_dir!N7*1000)))))))),".")</f>
        <v>6.5773651144152131E-4</v>
      </c>
      <c r="O7" s="48">
        <f>IFERROR(IF(AND(up_Irr!N7&lt;&gt;".",up_Irr!AL7&lt;&gt;".",up_Irr!BJ7&lt;&gt;"."),up_dir!O7/((1/1000)*(up_Irr!N7+up_Irr!AL7+up_Irr!BJ7)),IF(AND(up_Irr!N7&lt;&gt;".",up_Irr!AL7&lt;&gt;".",up_Irr!BJ7="."),up_dir!O7/((1/1000)*(up_Irr!N7+up_Irr!AL7)),IF(AND(up_Irr!N7&lt;&gt;".",up_Irr!AL7=".",up_Irr!BJ7&lt;&gt;"."),up_dir!O7/((1/1000)*(up_Irr!N7+up_Irr!BJ7)),IF(AND(up_Irr!N7=".",up_Irr!AL7&lt;&gt;".",up_Irr!BJ7&lt;&gt;"."),up_dir!O7/((1/1000)*(up_Irr!AL7+up_Irr!BJ7)),IF(AND(up_Irr!N7=".",up_Irr!AL7=".",up_Irr!BJ7&lt;&gt;"."),up_dir!O7/((1/1000)*(up_Irr!BJ7)),IF(AND(up_Irr!N7=".",up_Irr!AL7&lt;&gt;".",up_Irr!BJ7="."),up_dir!O7/((1/1000)*(up_Irr!AL7)),IF(AND(up_Irr!N7&lt;&gt;".",up_Irr!AL7=".",up_Irr!BJ7="."),up_dir!O7/((1/1000)*(up_Irr!N7)),IF(AND(up_Irr!N7=".",up_Irr!AL7=".",up_Irr!BJ7="."),up_dir!O7*1000)))))))),".")</f>
        <v>6.5773651144152131E-4</v>
      </c>
      <c r="P7" s="48">
        <f>IFERROR(IF(AND(up_Irr!O7&lt;&gt;".",up_Irr!AM7&lt;&gt;".",up_Irr!BK7&lt;&gt;"."),up_dir!P7/((1/1000)*(up_Irr!O7+up_Irr!AM7+up_Irr!BK7)),IF(AND(up_Irr!O7&lt;&gt;".",up_Irr!AM7&lt;&gt;".",up_Irr!BK7="."),up_dir!P7/((1/1000)*(up_Irr!O7+up_Irr!AM7)),IF(AND(up_Irr!O7&lt;&gt;".",up_Irr!AM7=".",up_Irr!BK7&lt;&gt;"."),up_dir!P7/((1/1000)*(up_Irr!O7+up_Irr!BK7)),IF(AND(up_Irr!O7=".",up_Irr!AM7&lt;&gt;".",up_Irr!BK7&lt;&gt;"."),up_dir!P7/((1/1000)*(up_Irr!AM7+up_Irr!BK7)),IF(AND(up_Irr!O7=".",up_Irr!AM7=".",up_Irr!BK7&lt;&gt;"."),up_dir!P7/((1/1000)*(up_Irr!BK7)),IF(AND(up_Irr!O7=".",up_Irr!AM7&lt;&gt;".",up_Irr!BK7="."),up_dir!P7/((1/1000)*(up_Irr!AM7)),IF(AND(up_Irr!O7&lt;&gt;".",up_Irr!AM7=".",up_Irr!BK7="."),up_dir!P7/((1/1000)*(up_Irr!O7)),IF(AND(up_Irr!O7=".",up_Irr!AM7=".",up_Irr!BK7="."),up_dir!P7*1000)))))))),".")</f>
        <v>6.5773651144152131E-4</v>
      </c>
      <c r="Q7" s="48">
        <f>IFERROR(IF(AND(up_Irr!P7&lt;&gt;".",up_Irr!AN7&lt;&gt;".",up_Irr!BL7&lt;&gt;"."),up_dir!Q7/((1/1000)*(up_Irr!P7+up_Irr!AN7+up_Irr!BL7)),IF(AND(up_Irr!P7&lt;&gt;".",up_Irr!AN7&lt;&gt;".",up_Irr!BL7="."),up_dir!Q7/((1/1000)*(up_Irr!P7+up_Irr!AN7)),IF(AND(up_Irr!P7&lt;&gt;".",up_Irr!AN7=".",up_Irr!BL7&lt;&gt;"."),up_dir!Q7/((1/1000)*(up_Irr!P7+up_Irr!BL7)),IF(AND(up_Irr!P7=".",up_Irr!AN7&lt;&gt;".",up_Irr!BL7&lt;&gt;"."),up_dir!Q7/((1/1000)*(up_Irr!AN7+up_Irr!BL7)),IF(AND(up_Irr!P7=".",up_Irr!AN7=".",up_Irr!BL7&lt;&gt;"."),up_dir!Q7/((1/1000)*(up_Irr!BL7)),IF(AND(up_Irr!P7=".",up_Irr!AN7&lt;&gt;".",up_Irr!BL7="."),up_dir!Q7/((1/1000)*(up_Irr!AN7)),IF(AND(up_Irr!P7&lt;&gt;".",up_Irr!AN7=".",up_Irr!BL7="."),up_dir!Q7/((1/1000)*(up_Irr!P7)),IF(AND(up_Irr!P7=".",up_Irr!AN7=".",up_Irr!BL7="."),up_dir!Q7*1000)))))))),".")</f>
        <v>6.5773651144152131E-4</v>
      </c>
      <c r="R7" s="48">
        <f>IFERROR(IF(AND(up_Irr!Q7&lt;&gt;".",up_Irr!AO7&lt;&gt;".",up_Irr!BM7&lt;&gt;"."),up_dir!R7/((1/1000)*(up_Irr!Q7+up_Irr!AO7+up_Irr!BM7)),IF(AND(up_Irr!Q7&lt;&gt;".",up_Irr!AO7&lt;&gt;".",up_Irr!BM7="."),up_dir!R7/((1/1000)*(up_Irr!Q7+up_Irr!AO7)),IF(AND(up_Irr!Q7&lt;&gt;".",up_Irr!AO7=".",up_Irr!BM7&lt;&gt;"."),up_dir!R7/((1/1000)*(up_Irr!Q7+up_Irr!BM7)),IF(AND(up_Irr!Q7=".",up_Irr!AO7&lt;&gt;".",up_Irr!BM7&lt;&gt;"."),up_dir!R7/((1/1000)*(up_Irr!AO7+up_Irr!BM7)),IF(AND(up_Irr!Q7=".",up_Irr!AO7=".",up_Irr!BM7&lt;&gt;"."),up_dir!R7/((1/1000)*(up_Irr!BM7)),IF(AND(up_Irr!Q7=".",up_Irr!AO7&lt;&gt;".",up_Irr!BM7="."),up_dir!R7/((1/1000)*(up_Irr!AO7)),IF(AND(up_Irr!Q7&lt;&gt;".",up_Irr!AO7=".",up_Irr!BM7="."),up_dir!R7/((1/1000)*(up_Irr!Q7)),IF(AND(up_Irr!Q7=".",up_Irr!AO7=".",up_Irr!BM7="."),up_dir!R7*1000)))))))),".")</f>
        <v>6.5773651144152131E-4</v>
      </c>
      <c r="S7" s="48">
        <f>IFERROR(IF(AND(up_Irr!R7&lt;&gt;".",up_Irr!AP7&lt;&gt;".",up_Irr!BN7&lt;&gt;"."),up_dir!S7/((1/1000)*(up_Irr!R7+up_Irr!AP7+up_Irr!BN7)),IF(AND(up_Irr!R7&lt;&gt;".",up_Irr!AP7&lt;&gt;".",up_Irr!BN7="."),up_dir!S7/((1/1000)*(up_Irr!R7+up_Irr!AP7)),IF(AND(up_Irr!R7&lt;&gt;".",up_Irr!AP7=".",up_Irr!BN7&lt;&gt;"."),up_dir!S7/((1/1000)*(up_Irr!R7+up_Irr!BN7)),IF(AND(up_Irr!R7=".",up_Irr!AP7&lt;&gt;".",up_Irr!BN7&lt;&gt;"."),up_dir!S7/((1/1000)*(up_Irr!AP7+up_Irr!BN7)),IF(AND(up_Irr!R7=".",up_Irr!AP7=".",up_Irr!BN7&lt;&gt;"."),up_dir!S7/((1/1000)*(up_Irr!BN7)),IF(AND(up_Irr!R7=".",up_Irr!AP7&lt;&gt;".",up_Irr!BN7="."),up_dir!S7/((1/1000)*(up_Irr!AP7)),IF(AND(up_Irr!R7&lt;&gt;".",up_Irr!AP7=".",up_Irr!BN7="."),up_dir!S7/((1/1000)*(up_Irr!R7)),IF(AND(up_Irr!R7=".",up_Irr!AP7=".",up_Irr!BN7="."),up_dir!S7*1000)))))))),".")</f>
        <v>6.5773651144152131E-4</v>
      </c>
      <c r="T7" s="48">
        <f>IFERROR(IF(AND(up_Irr!S7&lt;&gt;".",up_Irr!AQ7&lt;&gt;".",up_Irr!BO7&lt;&gt;"."),up_dir!T7/((1/1000)*(up_Irr!S7+up_Irr!AQ7+up_Irr!BO7)),IF(AND(up_Irr!S7&lt;&gt;".",up_Irr!AQ7&lt;&gt;".",up_Irr!BO7="."),up_dir!T7/((1/1000)*(up_Irr!S7+up_Irr!AQ7)),IF(AND(up_Irr!S7&lt;&gt;".",up_Irr!AQ7=".",up_Irr!BO7&lt;&gt;"."),up_dir!T7/((1/1000)*(up_Irr!S7+up_Irr!BO7)),IF(AND(up_Irr!S7=".",up_Irr!AQ7&lt;&gt;".",up_Irr!BO7&lt;&gt;"."),up_dir!T7/((1/1000)*(up_Irr!AQ7+up_Irr!BO7)),IF(AND(up_Irr!S7=".",up_Irr!AQ7=".",up_Irr!BO7&lt;&gt;"."),up_dir!T7/((1/1000)*(up_Irr!BO7)),IF(AND(up_Irr!S7=".",up_Irr!AQ7&lt;&gt;".",up_Irr!BO7="."),up_dir!T7/((1/1000)*(up_Irr!AQ7)),IF(AND(up_Irr!S7&lt;&gt;".",up_Irr!AQ7=".",up_Irr!BO7="."),up_dir!T7/((1/1000)*(up_Irr!S7)),IF(AND(up_Irr!S7=".",up_Irr!AQ7=".",up_Irr!BO7="."),up_dir!T7*1000)))))))),".")</f>
        <v>6.5773651144152131E-4</v>
      </c>
      <c r="U7" s="48">
        <f>IFERROR(IF(AND(up_Irr!T7&lt;&gt;".",up_Irr!AR7&lt;&gt;".",up_Irr!BP7&lt;&gt;"."),up_dir!U7/((1/1000)*(up_Irr!T7+up_Irr!AR7+up_Irr!BP7)),IF(AND(up_Irr!T7&lt;&gt;".",up_Irr!AR7&lt;&gt;".",up_Irr!BP7="."),up_dir!U7/((1/1000)*(up_Irr!T7+up_Irr!AR7)),IF(AND(up_Irr!T7&lt;&gt;".",up_Irr!AR7=".",up_Irr!BP7&lt;&gt;"."),up_dir!U7/((1/1000)*(up_Irr!T7+up_Irr!BP7)),IF(AND(up_Irr!T7=".",up_Irr!AR7&lt;&gt;".",up_Irr!BP7&lt;&gt;"."),up_dir!U7/((1/1000)*(up_Irr!AR7+up_Irr!BP7)),IF(AND(up_Irr!T7=".",up_Irr!AR7=".",up_Irr!BP7&lt;&gt;"."),up_dir!U7/((1/1000)*(up_Irr!BP7)),IF(AND(up_Irr!T7=".",up_Irr!AR7&lt;&gt;".",up_Irr!BP7="."),up_dir!U7/((1/1000)*(up_Irr!AR7)),IF(AND(up_Irr!T7&lt;&gt;".",up_Irr!AR7=".",up_Irr!BP7="."),up_dir!U7/((1/1000)*(up_Irr!T7)),IF(AND(up_Irr!T7=".",up_Irr!AR7=".",up_Irr!BP7="."),up_dir!U7*1000)))))))),".")</f>
        <v>6.5773651144152131E-4</v>
      </c>
      <c r="V7" s="48">
        <f>IFERROR(IF(AND(up_Irr!U7&lt;&gt;".",up_Irr!AS7&lt;&gt;".",up_Irr!BQ7&lt;&gt;"."),up_dir!V7/((1/1000)*(up_Irr!U7+up_Irr!AS7+up_Irr!BQ7)),IF(AND(up_Irr!U7&lt;&gt;".",up_Irr!AS7&lt;&gt;".",up_Irr!BQ7="."),up_dir!V7/((1/1000)*(up_Irr!U7+up_Irr!AS7)),IF(AND(up_Irr!U7&lt;&gt;".",up_Irr!AS7=".",up_Irr!BQ7&lt;&gt;"."),up_dir!V7/((1/1000)*(up_Irr!U7+up_Irr!BQ7)),IF(AND(up_Irr!U7=".",up_Irr!AS7&lt;&gt;".",up_Irr!BQ7&lt;&gt;"."),up_dir!V7/((1/1000)*(up_Irr!AS7+up_Irr!BQ7)),IF(AND(up_Irr!U7=".",up_Irr!AS7=".",up_Irr!BQ7&lt;&gt;"."),up_dir!V7/((1/1000)*(up_Irr!BQ7)),IF(AND(up_Irr!U7=".",up_Irr!AS7&lt;&gt;".",up_Irr!BQ7="."),up_dir!V7/((1/1000)*(up_Irr!AS7)),IF(AND(up_Irr!U7&lt;&gt;".",up_Irr!AS7=".",up_Irr!BQ7="."),up_dir!V7/((1/1000)*(up_Irr!U7)),IF(AND(up_Irr!U7=".",up_Irr!AS7=".",up_Irr!BQ7="."),up_dir!V7*1000)))))))),".")</f>
        <v>6.5773651144152131E-4</v>
      </c>
      <c r="W7" s="48">
        <f>IFERROR(IF(AND(up_Irr!V7&lt;&gt;".",up_Irr!AT7&lt;&gt;".",up_Irr!BR7&lt;&gt;"."),up_dir!W7/((1/1000)*(up_Irr!V7+up_Irr!AT7+up_Irr!BR7)),IF(AND(up_Irr!V7&lt;&gt;".",up_Irr!AT7&lt;&gt;".",up_Irr!BR7="."),up_dir!W7/((1/1000)*(up_Irr!V7+up_Irr!AT7)),IF(AND(up_Irr!V7&lt;&gt;".",up_Irr!AT7=".",up_Irr!BR7&lt;&gt;"."),up_dir!W7/((1/1000)*(up_Irr!V7+up_Irr!BR7)),IF(AND(up_Irr!V7=".",up_Irr!AT7&lt;&gt;".",up_Irr!BR7&lt;&gt;"."),up_dir!W7/((1/1000)*(up_Irr!AT7+up_Irr!BR7)),IF(AND(up_Irr!V7=".",up_Irr!AT7=".",up_Irr!BR7&lt;&gt;"."),up_dir!W7/((1/1000)*(up_Irr!BR7)),IF(AND(up_Irr!V7=".",up_Irr!AT7&lt;&gt;".",up_Irr!BR7="."),up_dir!W7/((1/1000)*(up_Irr!AT7)),IF(AND(up_Irr!V7&lt;&gt;".",up_Irr!AT7=".",up_Irr!BR7="."),up_dir!W7/((1/1000)*(up_Irr!V7)),IF(AND(up_Irr!V7=".",up_Irr!AT7=".",up_Irr!BR7="."),up_dir!W7*1000)))))))),".")</f>
        <v>6.5773651144152131E-4</v>
      </c>
      <c r="X7" s="48">
        <f>IFERROR(IF(AND(up_Irr!W7&lt;&gt;".",up_Irr!AU7&lt;&gt;".",up_Irr!BS7&lt;&gt;"."),up_dir!X7/((1/1000)*(up_Irr!W7+up_Irr!AU7+up_Irr!BS7)),IF(AND(up_Irr!W7&lt;&gt;".",up_Irr!AU7&lt;&gt;".",up_Irr!BS7="."),up_dir!X7/((1/1000)*(up_Irr!W7+up_Irr!AU7)),IF(AND(up_Irr!W7&lt;&gt;".",up_Irr!AU7=".",up_Irr!BS7&lt;&gt;"."),up_dir!X7/((1/1000)*(up_Irr!W7+up_Irr!BS7)),IF(AND(up_Irr!W7=".",up_Irr!AU7&lt;&gt;".",up_Irr!BS7&lt;&gt;"."),up_dir!X7/((1/1000)*(up_Irr!AU7+up_Irr!BS7)),IF(AND(up_Irr!W7=".",up_Irr!AU7=".",up_Irr!BS7&lt;&gt;"."),up_dir!X7/((1/1000)*(up_Irr!BS7)),IF(AND(up_Irr!W7=".",up_Irr!AU7&lt;&gt;".",up_Irr!BS7="."),up_dir!X7/((1/1000)*(up_Irr!AU7)),IF(AND(up_Irr!W7&lt;&gt;".",up_Irr!AU7=".",up_Irr!BS7="."),up_dir!X7/((1/1000)*(up_Irr!W7)),IF(AND(up_Irr!W7=".",up_Irr!AU7=".",up_Irr!BS7="."),up_dir!X7*1000)))))))),".")</f>
        <v>6.5773651144152131E-4</v>
      </c>
      <c r="Y7" s="48">
        <f>IFERROR(IF(AND(up_Irr!X7&lt;&gt;".",up_Irr!AV7&lt;&gt;".",up_Irr!BT7&lt;&gt;"."),up_dir!Y7/((1/1000)*(up_Irr!X7+up_Irr!AV7+up_Irr!BT7)),IF(AND(up_Irr!X7&lt;&gt;".",up_Irr!AV7&lt;&gt;".",up_Irr!BT7="."),up_dir!Y7/((1/1000)*(up_Irr!X7+up_Irr!AV7)),IF(AND(up_Irr!X7&lt;&gt;".",up_Irr!AV7=".",up_Irr!BT7&lt;&gt;"."),up_dir!Y7/((1/1000)*(up_Irr!X7+up_Irr!BT7)),IF(AND(up_Irr!X7=".",up_Irr!AV7&lt;&gt;".",up_Irr!BT7&lt;&gt;"."),up_dir!Y7/((1/1000)*(up_Irr!AV7+up_Irr!BT7)),IF(AND(up_Irr!X7=".",up_Irr!AV7=".",up_Irr!BT7&lt;&gt;"."),up_dir!Y7/((1/1000)*(up_Irr!BT7)),IF(AND(up_Irr!X7=".",up_Irr!AV7&lt;&gt;".",up_Irr!BT7="."),up_dir!Y7/((1/1000)*(up_Irr!AV7)),IF(AND(up_Irr!X7&lt;&gt;".",up_Irr!AV7=".",up_Irr!BT7="."),up_dir!Y7/((1/1000)*(up_Irr!X7)),IF(AND(up_Irr!X7=".",up_Irr!AV7=".",up_Irr!BT7="."),up_dir!Y7*1000)))))))),".")</f>
        <v>6.5773651144152131E-4</v>
      </c>
      <c r="Z7" s="48">
        <f>IFERROR(IF(AND(up_Irr!Y7&lt;&gt;".",up_Irr!AW7&lt;&gt;".",up_Irr!BU7&lt;&gt;"."),up_dir!Z7/((1/1000)*(up_Irr!Y7+up_Irr!AW7+up_Irr!BU7)),IF(AND(up_Irr!Y7&lt;&gt;".",up_Irr!AW7&lt;&gt;".",up_Irr!BU7="."),up_dir!Z7/((1/1000)*(up_Irr!Y7+up_Irr!AW7)),IF(AND(up_Irr!Y7&lt;&gt;".",up_Irr!AW7=".",up_Irr!BU7&lt;&gt;"."),up_dir!Z7/((1/1000)*(up_Irr!Y7+up_Irr!BU7)),IF(AND(up_Irr!Y7=".",up_Irr!AW7&lt;&gt;".",up_Irr!BU7&lt;&gt;"."),up_dir!Z7/((1/1000)*(up_Irr!AW7+up_Irr!BU7)),IF(AND(up_Irr!Y7=".",up_Irr!AW7=".",up_Irr!BU7&lt;&gt;"."),up_dir!Z7/((1/1000)*(up_Irr!BU7)),IF(AND(up_Irr!Y7=".",up_Irr!AW7&lt;&gt;".",up_Irr!BU7="."),up_dir!Z7/((1/1000)*(up_Irr!AW7)),IF(AND(up_Irr!Y7&lt;&gt;".",up_Irr!AW7=".",up_Irr!BU7="."),up_dir!Z7/((1/1000)*(up_Irr!Y7)),IF(AND(up_Irr!Y7=".",up_Irr!AW7=".",up_Irr!BU7="."),up_dir!Z7*1000)))))))),".")</f>
        <v>6.5773651144152131E-4</v>
      </c>
      <c r="AA7" s="48">
        <f>IFERROR(IF(AND(up_Irr!Z7&lt;&gt;".",up_Irr!AX7&lt;&gt;".",up_Irr!BV7&lt;&gt;"."),up_dir!AA7/((1/1000)*(up_Irr!Z7+up_Irr!AX7+up_Irr!BV7)),IF(AND(up_Irr!Z7&lt;&gt;".",up_Irr!AX7&lt;&gt;".",up_Irr!BV7="."),up_dir!AA7/((1/1000)*(up_Irr!Z7+up_Irr!AX7)),IF(AND(up_Irr!Z7&lt;&gt;".",up_Irr!AX7=".",up_Irr!BV7&lt;&gt;"."),up_dir!AA7/((1/1000)*(up_Irr!Z7+up_Irr!BV7)),IF(AND(up_Irr!Z7=".",up_Irr!AX7&lt;&gt;".",up_Irr!BV7&lt;&gt;"."),up_dir!AA7/((1/1000)*(up_Irr!AX7+up_Irr!BV7)),IF(AND(up_Irr!Z7=".",up_Irr!AX7=".",up_Irr!BV7&lt;&gt;"."),up_dir!AA7/((1/1000)*(up_Irr!BV7)),IF(AND(up_Irr!Z7=".",up_Irr!AX7&lt;&gt;".",up_Irr!BV7="."),up_dir!AA7/((1/1000)*(up_Irr!AX7)),IF(AND(up_Irr!Z7&lt;&gt;".",up_Irr!AX7=".",up_Irr!BV7="."),up_dir!AA7/((1/1000)*(up_Irr!Z7)),IF(AND(up_Irr!Z7=".",up_Irr!AX7=".",up_Irr!BV7="."),up_dir!AA7*1000)))))))),".")</f>
        <v>6.5773651144152131E-4</v>
      </c>
      <c r="AB7" s="62">
        <f t="shared" si="1"/>
        <v>22805.4847785862</v>
      </c>
      <c r="AC7" s="62">
        <f>IFERROR(s_C*s_IFAP_res_adj*s_CF_apple*0.001*(up_Irr!C7+up_Irr!AA7+up_Irr!AY7),".")</f>
        <v>7601.8282595287337</v>
      </c>
      <c r="AD7" s="62">
        <f>IFERROR(s_C*s_IFAS_res_adj*s_CF_asparagus*0.001*(up_Irr!D7+up_Irr!AB7+up_Irr!AZ7),".")</f>
        <v>7601.8282595287337</v>
      </c>
      <c r="AE7" s="62">
        <f>IFERROR(s_C*s_IFBT_res_adj*s_CF_beet*0.001*(up_Irr!E7+up_Irr!AC7+up_Irr!BA7),".")</f>
        <v>7601.8282595287337</v>
      </c>
      <c r="AF7" s="62">
        <f>IFERROR(s_C*s_IFBE_res_adj*s_CF_berries*0.001*(up_Irr!F7+up_Irr!AD7+up_Irr!BB7),".")</f>
        <v>7601.8282595287337</v>
      </c>
      <c r="AG7" s="62">
        <f>IFERROR(s_C*s_IFBR_res_adj*s_CF_broccoli*0.001*(up_Irr!G7+up_Irr!AE7+up_Irr!BC7),".")</f>
        <v>7601.8282595287337</v>
      </c>
      <c r="AH7" s="62">
        <f>IFERROR(s_C*s_IFCB_res_adj*s_CF_cabbage*0.001*(up_Irr!H7+up_Irr!AF7+up_Irr!BD7),".")</f>
        <v>7601.8282595287337</v>
      </c>
      <c r="AI7" s="62">
        <f>IFERROR(s_C*s_IFCR_res_adj*s_CF_carrot*0.001*(up_Irr!I7+up_Irr!AG7+up_Irr!BE7),".")</f>
        <v>7601.8282595287337</v>
      </c>
      <c r="AJ7" s="62">
        <f>IFERROR(s_C*s_IFCI_res_adj*s_CF_citrus*0.001*(up_Irr!J7+up_Irr!AH7+up_Irr!BF7),".")</f>
        <v>7601.8282595287337</v>
      </c>
      <c r="AK7" s="62">
        <f>IFERROR(s_C*s_IFCO_res_adj*s_CF_corn*0.001*(up_Irr!K7+up_Irr!AI7+up_Irr!BG7),".")</f>
        <v>7601.8282595287337</v>
      </c>
      <c r="AL7" s="62">
        <f>IFERROR(s_C*s_IFCU_res_adj*s_CF_cucumber*0.001*(up_Irr!L7+up_Irr!AJ7+up_Irr!BH7),".")</f>
        <v>7601.8282595287337</v>
      </c>
      <c r="AM7" s="62">
        <f>IFERROR(s_C*s_IFLE_res_adj*s_CF_lettuce*0.001*(up_Irr!M7+up_Irr!AK7+up_Irr!BI7),".")</f>
        <v>7601.8282595287337</v>
      </c>
      <c r="AN7" s="62">
        <f>IFERROR(s_C*s_IFLI_res_adj*s_CF_lima_bean*0.001*(up_Irr!N7+up_Irr!AL7+up_Irr!BJ7),".")</f>
        <v>7601.8282595287337</v>
      </c>
      <c r="AO7" s="62">
        <f>IFERROR(s_C*s_IFOK_res_adj*s_CF_okra*0.001*(up_Irr!O7+up_Irr!AM7+up_Irr!BK7),".")</f>
        <v>7601.8282595287337</v>
      </c>
      <c r="AP7" s="62">
        <f>IFERROR(s_C*s_IFON_res_adj*s_CF_onion*0.001*(up_Irr!P7+up_Irr!AN7+up_Irr!BL7),".")</f>
        <v>7601.8282595287337</v>
      </c>
      <c r="AQ7" s="62">
        <f>IFERROR(s_C*s_IFPC_res_adj*s_CF_peach*0.001*(up_Irr!Q7+up_Irr!AO7+up_Irr!BM7),".")</f>
        <v>7601.8282595287337</v>
      </c>
      <c r="AR7" s="62">
        <f>IFERROR(s_C*s_IFPR_res_adj*s_CF_pear*0.001*(up_Irr!R7+up_Irr!AP7+up_Irr!BN7),".")</f>
        <v>7601.8282595287337</v>
      </c>
      <c r="AS7" s="62">
        <f>IFERROR(s_C*s_IFPE_res_adj*s_CF_peas*0.001*(up_Irr!S7+up_Irr!AQ7+up_Irr!BO7),".")</f>
        <v>7601.8282595287337</v>
      </c>
      <c r="AT7" s="62">
        <f>IFERROR(s_C*s_IFPT_res_adj*s_CF_potato*0.001*(up_Irr!T7+up_Irr!AR7+up_Irr!BP7),".")</f>
        <v>7601.8282595287337</v>
      </c>
      <c r="AU7" s="62">
        <f>IFERROR(s_C*s_IFPU_res_adj*s_CF_pumpkin*0.001*(up_Irr!U7+up_Irr!AS7+up_Irr!BQ7),".")</f>
        <v>7601.8282595287337</v>
      </c>
      <c r="AV7" s="62">
        <f>IFERROR(s_C*s_IFSN_res_adj*s_CF_snap_bean*0.001*(up_Irr!V7+up_Irr!AT7+up_Irr!BR7),".")</f>
        <v>7601.8282595287337</v>
      </c>
      <c r="AW7" s="62">
        <f>IFERROR(s_C*s_IFST_res_adj*s_CF_strawberry*0.001*(up_Irr!W7+up_Irr!AU7+up_Irr!BS7),".")</f>
        <v>7601.8282595287337</v>
      </c>
      <c r="AX7" s="62">
        <f>IFERROR(s_C*s_IFTO_res_adj*s_CF_tomato*0.001*(up_Irr!X7+up_Irr!AV7+up_Irr!BT7),".")</f>
        <v>7601.8282595287337</v>
      </c>
      <c r="AY7" s="62">
        <f>IFERROR(s_C*s_IFRI_res_adj*s_CF_rice*0.001*(up_Irr!Y7+up_Irr!AW7+up_Irr!BU7),".")</f>
        <v>7601.8282595287337</v>
      </c>
      <c r="AZ7" s="62">
        <f>IFERROR(s_C*s_IFCG_res_adj*s_CF_cereal*0.001*(up_Irr!Z7+up_Irr!AX7+up_Irr!BV7),".")</f>
        <v>7601.8282595287337</v>
      </c>
      <c r="BA7" s="48">
        <f t="shared" si="2"/>
        <v>2.1924550381384044E-4</v>
      </c>
      <c r="BB7" s="48">
        <f>IFERROR(IF(AND(up_Irr!C7&lt;&gt;".",up_Irr!AA7&lt;&gt;".",up_Irr!AY7&lt;&gt;"."),up_dir!AC7/((1/1000)*(up_Irr!C7+up_Irr!AA7+up_Irr!AY7)),IF(AND(up_Irr!C7&lt;&gt;".",up_Irr!AA7&lt;&gt;".",up_Irr!AY7="."),up_dir!AC7/((1/1000)*(up_Irr!C7+up_Irr!AA7)),IF(AND(up_Irr!C7&lt;&gt;".",up_Irr!AA7=".",up_Irr!AY7&lt;&gt;"."),up_dir!AC7/((1/1000)*(up_Irr!C7+up_Irr!AY7)),IF(AND(up_Irr!C7=".",up_Irr!AA7&lt;&gt;".",up_Irr!AY7&lt;&gt;"."),up_dir!AC7/((1/1000)*(up_Irr!AA7+up_Irr!AY7)),IF(AND(up_Irr!C7=".",up_Irr!AA7=".",up_Irr!AY7&lt;&gt;"."),up_dir!AC7/((1/1000)*(up_Irr!AY7)),IF(AND(up_Irr!C7=".",up_Irr!AA7&lt;&gt;".",up_Irr!AY7="."),up_dir!AC7/((1/1000)*(up_Irr!AA7)),IF(AND(up_Irr!C7&lt;&gt;".",up_Irr!AA7=".",up_Irr!AY7="."),up_dir!AC7/((1/1000)*(up_Irr!C7)),IF(AND(up_Irr!C7=".",up_Irr!AA7=".",up_Irr!AY7="."),up_dir!AC7*1000)))))))),".")</f>
        <v>6.5773651144152131E-4</v>
      </c>
      <c r="BC7" s="48">
        <f>IFERROR(IF(AND(up_Irr!D7&lt;&gt;".",up_Irr!AB7&lt;&gt;".",up_Irr!AZ7&lt;&gt;"."),up_dir!AD7/((1/1000)*(up_Irr!D7+up_Irr!AB7+up_Irr!AZ7)),IF(AND(up_Irr!D7&lt;&gt;".",up_Irr!AB7&lt;&gt;".",up_Irr!AZ7="."),up_dir!AD7/((1/1000)*(up_Irr!D7+up_Irr!AB7)),IF(AND(up_Irr!D7&lt;&gt;".",up_Irr!AB7=".",up_Irr!AZ7&lt;&gt;"."),up_dir!AD7/((1/1000)*(up_Irr!D7+up_Irr!AZ7)),IF(AND(up_Irr!D7=".",up_Irr!AB7&lt;&gt;".",up_Irr!AZ7&lt;&gt;"."),up_dir!AD7/((1/1000)*(up_Irr!AB7+up_Irr!AZ7)),IF(AND(up_Irr!D7=".",up_Irr!AB7=".",up_Irr!AZ7&lt;&gt;"."),up_dir!AD7/((1/1000)*(up_Irr!AZ7)),IF(AND(up_Irr!D7=".",up_Irr!AB7&lt;&gt;".",up_Irr!AZ7="."),up_dir!AD7/((1/1000)*(up_Irr!AB7)),IF(AND(up_Irr!D7&lt;&gt;".",up_Irr!AB7=".",up_Irr!AZ7="."),up_dir!AD7/((1/1000)*(up_Irr!D7)),IF(AND(up_Irr!D7=".",up_Irr!AB7=".",up_Irr!AZ7="."),up_dir!AD7*1000)))))))),".")</f>
        <v>6.5773651144152131E-4</v>
      </c>
      <c r="BD7" s="48">
        <f>IFERROR(IF(AND(up_Irr!E7&lt;&gt;".",up_Irr!AC7&lt;&gt;".",up_Irr!BA7&lt;&gt;"."),up_dir!AE7/((1/1000)*(up_Irr!E7+up_Irr!AC7+up_Irr!BA7)),IF(AND(up_Irr!E7&lt;&gt;".",up_Irr!AC7&lt;&gt;".",up_Irr!BA7="."),up_dir!AE7/((1/1000)*(up_Irr!E7+up_Irr!AC7)),IF(AND(up_Irr!E7&lt;&gt;".",up_Irr!AC7=".",up_Irr!BA7&lt;&gt;"."),up_dir!AE7/((1/1000)*(up_Irr!E7+up_Irr!BA7)),IF(AND(up_Irr!E7=".",up_Irr!AC7&lt;&gt;".",up_Irr!BA7&lt;&gt;"."),up_dir!AE7/((1/1000)*(up_Irr!AC7+up_Irr!BA7)),IF(AND(up_Irr!E7=".",up_Irr!AC7=".",up_Irr!BA7&lt;&gt;"."),up_dir!AE7/((1/1000)*(up_Irr!BA7)),IF(AND(up_Irr!E7=".",up_Irr!AC7&lt;&gt;".",up_Irr!BA7="."),up_dir!AE7/((1/1000)*(up_Irr!AC7)),IF(AND(up_Irr!E7&lt;&gt;".",up_Irr!AC7=".",up_Irr!BA7="."),up_dir!AE7/((1/1000)*(up_Irr!E7)),IF(AND(up_Irr!E7=".",up_Irr!AC7=".",up_Irr!BA7="."),up_dir!AE7*1000)))))))),".")</f>
        <v>6.5773651144152131E-4</v>
      </c>
      <c r="BE7" s="48">
        <f>IFERROR(IF(AND(up_Irr!F7&lt;&gt;".",up_Irr!AD7&lt;&gt;".",up_Irr!BB7&lt;&gt;"."),up_dir!AF7/((1/1000)*(up_Irr!F7+up_Irr!AD7+up_Irr!BB7)),IF(AND(up_Irr!F7&lt;&gt;".",up_Irr!AD7&lt;&gt;".",up_Irr!BB7="."),up_dir!AF7/((1/1000)*(up_Irr!F7+up_Irr!AD7)),IF(AND(up_Irr!F7&lt;&gt;".",up_Irr!AD7=".",up_Irr!BB7&lt;&gt;"."),up_dir!AF7/((1/1000)*(up_Irr!F7+up_Irr!BB7)),IF(AND(up_Irr!F7=".",up_Irr!AD7&lt;&gt;".",up_Irr!BB7&lt;&gt;"."),up_dir!AF7/((1/1000)*(up_Irr!AD7+up_Irr!BB7)),IF(AND(up_Irr!F7=".",up_Irr!AD7=".",up_Irr!BB7&lt;&gt;"."),up_dir!AF7/((1/1000)*(up_Irr!BB7)),IF(AND(up_Irr!F7=".",up_Irr!AD7&lt;&gt;".",up_Irr!BB7="."),up_dir!AF7/((1/1000)*(up_Irr!AD7)),IF(AND(up_Irr!F7&lt;&gt;".",up_Irr!AD7=".",up_Irr!BB7="."),up_dir!AF7/((1/1000)*(up_Irr!F7)),IF(AND(up_Irr!F7=".",up_Irr!AD7=".",up_Irr!BB7="."),up_dir!AF7*1000)))))))),".")</f>
        <v>6.5773651144152131E-4</v>
      </c>
      <c r="BF7" s="48">
        <f>IFERROR(IF(AND(up_Irr!G7&lt;&gt;".",up_Irr!AE7&lt;&gt;".",up_Irr!BC7&lt;&gt;"."),up_dir!AG7/((1/1000)*(up_Irr!G7+up_Irr!AE7+up_Irr!BC7)),IF(AND(up_Irr!G7&lt;&gt;".",up_Irr!AE7&lt;&gt;".",up_Irr!BC7="."),up_dir!AG7/((1/1000)*(up_Irr!G7+up_Irr!AE7)),IF(AND(up_Irr!G7&lt;&gt;".",up_Irr!AE7=".",up_Irr!BC7&lt;&gt;"."),up_dir!AG7/((1/1000)*(up_Irr!G7+up_Irr!BC7)),IF(AND(up_Irr!G7=".",up_Irr!AE7&lt;&gt;".",up_Irr!BC7&lt;&gt;"."),up_dir!AG7/((1/1000)*(up_Irr!AE7+up_Irr!BC7)),IF(AND(up_Irr!G7=".",up_Irr!AE7=".",up_Irr!BC7&lt;&gt;"."),up_dir!AG7/((1/1000)*(up_Irr!BC7)),IF(AND(up_Irr!G7=".",up_Irr!AE7&lt;&gt;".",up_Irr!BC7="."),up_dir!AG7/((1/1000)*(up_Irr!AE7)),IF(AND(up_Irr!G7&lt;&gt;".",up_Irr!AE7=".",up_Irr!BC7="."),up_dir!AG7/((1/1000)*(up_Irr!G7)),IF(AND(up_Irr!G7=".",up_Irr!AE7=".",up_Irr!BC7="."),up_dir!AG7*1000)))))))),".")</f>
        <v>6.5773651144152131E-4</v>
      </c>
      <c r="BG7" s="48">
        <f>IFERROR(IF(AND(up_Irr!H7&lt;&gt;".",up_Irr!AF7&lt;&gt;".",up_Irr!BD7&lt;&gt;"."),up_dir!AH7/((1/1000)*(up_Irr!H7+up_Irr!AF7+up_Irr!BD7)),IF(AND(up_Irr!H7&lt;&gt;".",up_Irr!AF7&lt;&gt;".",up_Irr!BD7="."),up_dir!AH7/((1/1000)*(up_Irr!H7+up_Irr!AF7)),IF(AND(up_Irr!H7&lt;&gt;".",up_Irr!AF7=".",up_Irr!BD7&lt;&gt;"."),up_dir!AH7/((1/1000)*(up_Irr!H7+up_Irr!BD7)),IF(AND(up_Irr!H7=".",up_Irr!AF7&lt;&gt;".",up_Irr!BD7&lt;&gt;"."),up_dir!AH7/((1/1000)*(up_Irr!AF7+up_Irr!BD7)),IF(AND(up_Irr!H7=".",up_Irr!AF7=".",up_Irr!BD7&lt;&gt;"."),up_dir!AH7/((1/1000)*(up_Irr!BD7)),IF(AND(up_Irr!H7=".",up_Irr!AF7&lt;&gt;".",up_Irr!BD7="."),up_dir!AH7/((1/1000)*(up_Irr!AF7)),IF(AND(up_Irr!H7&lt;&gt;".",up_Irr!AF7=".",up_Irr!BD7="."),up_dir!AH7/((1/1000)*(up_Irr!H7)),IF(AND(up_Irr!H7=".",up_Irr!AF7=".",up_Irr!BD7="."),up_dir!AH7*1000)))))))),".")</f>
        <v>6.5773651144152131E-4</v>
      </c>
      <c r="BH7" s="48">
        <f>IFERROR(IF(AND(up_Irr!I7&lt;&gt;".",up_Irr!AG7&lt;&gt;".",up_Irr!BE7&lt;&gt;"."),up_dir!AI7/((1/1000)*(up_Irr!I7+up_Irr!AG7+up_Irr!BE7)),IF(AND(up_Irr!I7&lt;&gt;".",up_Irr!AG7&lt;&gt;".",up_Irr!BE7="."),up_dir!AI7/((1/1000)*(up_Irr!I7+up_Irr!AG7)),IF(AND(up_Irr!I7&lt;&gt;".",up_Irr!AG7=".",up_Irr!BE7&lt;&gt;"."),up_dir!AI7/((1/1000)*(up_Irr!I7+up_Irr!BE7)),IF(AND(up_Irr!I7=".",up_Irr!AG7&lt;&gt;".",up_Irr!BE7&lt;&gt;"."),up_dir!AI7/((1/1000)*(up_Irr!AG7+up_Irr!BE7)),IF(AND(up_Irr!I7=".",up_Irr!AG7=".",up_Irr!BE7&lt;&gt;"."),up_dir!AI7/((1/1000)*(up_Irr!BE7)),IF(AND(up_Irr!I7=".",up_Irr!AG7&lt;&gt;".",up_Irr!BE7="."),up_dir!AI7/((1/1000)*(up_Irr!AG7)),IF(AND(up_Irr!I7&lt;&gt;".",up_Irr!AG7=".",up_Irr!BE7="."),up_dir!AI7/((1/1000)*(up_Irr!I7)),IF(AND(up_Irr!I7=".",up_Irr!AG7=".",up_Irr!BE7="."),up_dir!AI7*1000)))))))),".")</f>
        <v>6.5773651144152131E-4</v>
      </c>
      <c r="BI7" s="48">
        <f>IFERROR(IF(AND(up_Irr!J7&lt;&gt;".",up_Irr!AH7&lt;&gt;".",up_Irr!BF7&lt;&gt;"."),up_dir!AJ7/((1/1000)*(up_Irr!J7+up_Irr!AH7+up_Irr!BF7)),IF(AND(up_Irr!J7&lt;&gt;".",up_Irr!AH7&lt;&gt;".",up_Irr!BF7="."),up_dir!AJ7/((1/1000)*(up_Irr!J7+up_Irr!AH7)),IF(AND(up_Irr!J7&lt;&gt;".",up_Irr!AH7=".",up_Irr!BF7&lt;&gt;"."),up_dir!AJ7/((1/1000)*(up_Irr!J7+up_Irr!BF7)),IF(AND(up_Irr!J7=".",up_Irr!AH7&lt;&gt;".",up_Irr!BF7&lt;&gt;"."),up_dir!AJ7/((1/1000)*(up_Irr!AH7+up_Irr!BF7)),IF(AND(up_Irr!J7=".",up_Irr!AH7=".",up_Irr!BF7&lt;&gt;"."),up_dir!AJ7/((1/1000)*(up_Irr!BF7)),IF(AND(up_Irr!J7=".",up_Irr!AH7&lt;&gt;".",up_Irr!BF7="."),up_dir!AJ7/((1/1000)*(up_Irr!AH7)),IF(AND(up_Irr!J7&lt;&gt;".",up_Irr!AH7=".",up_Irr!BF7="."),up_dir!AJ7/((1/1000)*(up_Irr!J7)),IF(AND(up_Irr!J7=".",up_Irr!AH7=".",up_Irr!BF7="."),up_dir!AJ7*1000)))))))),".")</f>
        <v>6.5773651144152131E-4</v>
      </c>
      <c r="BJ7" s="48">
        <f>IFERROR(IF(AND(up_Irr!K7&lt;&gt;".",up_Irr!AI7&lt;&gt;".",up_Irr!BG7&lt;&gt;"."),up_dir!AK7/((1/1000)*(up_Irr!K7+up_Irr!AI7+up_Irr!BG7)),IF(AND(up_Irr!K7&lt;&gt;".",up_Irr!AI7&lt;&gt;".",up_Irr!BG7="."),up_dir!AK7/((1/1000)*(up_Irr!K7+up_Irr!AI7)),IF(AND(up_Irr!K7&lt;&gt;".",up_Irr!AI7=".",up_Irr!BG7&lt;&gt;"."),up_dir!AK7/((1/1000)*(up_Irr!K7+up_Irr!BG7)),IF(AND(up_Irr!K7=".",up_Irr!AI7&lt;&gt;".",up_Irr!BG7&lt;&gt;"."),up_dir!AK7/((1/1000)*(up_Irr!AI7+up_Irr!BG7)),IF(AND(up_Irr!K7=".",up_Irr!AI7=".",up_Irr!BG7&lt;&gt;"."),up_dir!AK7/((1/1000)*(up_Irr!BG7)),IF(AND(up_Irr!K7=".",up_Irr!AI7&lt;&gt;".",up_Irr!BG7="."),up_dir!AK7/((1/1000)*(up_Irr!AI7)),IF(AND(up_Irr!K7&lt;&gt;".",up_Irr!AI7=".",up_Irr!BG7="."),up_dir!AK7/((1/1000)*(up_Irr!K7)),IF(AND(up_Irr!K7=".",up_Irr!AI7=".",up_Irr!BG7="."),up_dir!AK7*1000)))))))),".")</f>
        <v>6.5773651144152131E-4</v>
      </c>
      <c r="BK7" s="48">
        <f>IFERROR(IF(AND(up_Irr!L7&lt;&gt;".",up_Irr!AJ7&lt;&gt;".",up_Irr!BH7&lt;&gt;"."),up_dir!AL7/((1/1000)*(up_Irr!L7+up_Irr!AJ7+up_Irr!BH7)),IF(AND(up_Irr!L7&lt;&gt;".",up_Irr!AJ7&lt;&gt;".",up_Irr!BH7="."),up_dir!AL7/((1/1000)*(up_Irr!L7+up_Irr!AJ7)),IF(AND(up_Irr!L7&lt;&gt;".",up_Irr!AJ7=".",up_Irr!BH7&lt;&gt;"."),up_dir!AL7/((1/1000)*(up_Irr!L7+up_Irr!BH7)),IF(AND(up_Irr!L7=".",up_Irr!AJ7&lt;&gt;".",up_Irr!BH7&lt;&gt;"."),up_dir!AL7/((1/1000)*(up_Irr!AJ7+up_Irr!BH7)),IF(AND(up_Irr!L7=".",up_Irr!AJ7=".",up_Irr!BH7&lt;&gt;"."),up_dir!AL7/((1/1000)*(up_Irr!BH7)),IF(AND(up_Irr!L7=".",up_Irr!AJ7&lt;&gt;".",up_Irr!BH7="."),up_dir!AL7/((1/1000)*(up_Irr!AJ7)),IF(AND(up_Irr!L7&lt;&gt;".",up_Irr!AJ7=".",up_Irr!BH7="."),up_dir!AL7/((1/1000)*(up_Irr!L7)),IF(AND(up_Irr!L7=".",up_Irr!AJ7=".",up_Irr!BH7="."),up_dir!AL7*1000)))))))),".")</f>
        <v>6.5773651144152131E-4</v>
      </c>
      <c r="BL7" s="48">
        <f>IFERROR(IF(AND(up_Irr!M7&lt;&gt;".",up_Irr!AK7&lt;&gt;".",up_Irr!BI7&lt;&gt;"."),up_dir!AM7/((1/1000)*(up_Irr!M7+up_Irr!AK7+up_Irr!BI7)),IF(AND(up_Irr!M7&lt;&gt;".",up_Irr!AK7&lt;&gt;".",up_Irr!BI7="."),up_dir!AM7/((1/1000)*(up_Irr!M7+up_Irr!AK7)),IF(AND(up_Irr!M7&lt;&gt;".",up_Irr!AK7=".",up_Irr!BI7&lt;&gt;"."),up_dir!AM7/((1/1000)*(up_Irr!M7+up_Irr!BI7)),IF(AND(up_Irr!M7=".",up_Irr!AK7&lt;&gt;".",up_Irr!BI7&lt;&gt;"."),up_dir!AM7/((1/1000)*(up_Irr!AK7+up_Irr!BI7)),IF(AND(up_Irr!M7=".",up_Irr!AK7=".",up_Irr!BI7&lt;&gt;"."),up_dir!AM7/((1/1000)*(up_Irr!BI7)),IF(AND(up_Irr!M7=".",up_Irr!AK7&lt;&gt;".",up_Irr!BI7="."),up_dir!AM7/((1/1000)*(up_Irr!AK7)),IF(AND(up_Irr!M7&lt;&gt;".",up_Irr!AK7=".",up_Irr!BI7="."),up_dir!AM7/((1/1000)*(up_Irr!M7)),IF(AND(up_Irr!M7=".",up_Irr!AK7=".",up_Irr!BI7="."),up_dir!AM7*1000)))))))),".")</f>
        <v>6.5773651144152131E-4</v>
      </c>
      <c r="BM7" s="48">
        <f>IFERROR(IF(AND(up_Irr!N7&lt;&gt;".",up_Irr!AL7&lt;&gt;".",up_Irr!BJ7&lt;&gt;"."),up_dir!AN7/((1/1000)*(up_Irr!N7+up_Irr!AL7+up_Irr!BJ7)),IF(AND(up_Irr!N7&lt;&gt;".",up_Irr!AL7&lt;&gt;".",up_Irr!BJ7="."),up_dir!AN7/((1/1000)*(up_Irr!N7+up_Irr!AL7)),IF(AND(up_Irr!N7&lt;&gt;".",up_Irr!AL7=".",up_Irr!BJ7&lt;&gt;"."),up_dir!AN7/((1/1000)*(up_Irr!N7+up_Irr!BJ7)),IF(AND(up_Irr!N7=".",up_Irr!AL7&lt;&gt;".",up_Irr!BJ7&lt;&gt;"."),up_dir!AN7/((1/1000)*(up_Irr!AL7+up_Irr!BJ7)),IF(AND(up_Irr!N7=".",up_Irr!AL7=".",up_Irr!BJ7&lt;&gt;"."),up_dir!AN7/((1/1000)*(up_Irr!BJ7)),IF(AND(up_Irr!N7=".",up_Irr!AL7&lt;&gt;".",up_Irr!BJ7="."),up_dir!AN7/((1/1000)*(up_Irr!AL7)),IF(AND(up_Irr!N7&lt;&gt;".",up_Irr!AL7=".",up_Irr!BJ7="."),up_dir!AN7/((1/1000)*(up_Irr!N7)),IF(AND(up_Irr!N7=".",up_Irr!AL7=".",up_Irr!BJ7="."),up_dir!AN7*1000)))))))),".")</f>
        <v>6.5773651144152131E-4</v>
      </c>
      <c r="BN7" s="48">
        <f>IFERROR(IF(AND(up_Irr!O7&lt;&gt;".",up_Irr!AM7&lt;&gt;".",up_Irr!BK7&lt;&gt;"."),up_dir!AO7/((1/1000)*(up_Irr!O7+up_Irr!AM7+up_Irr!BK7)),IF(AND(up_Irr!O7&lt;&gt;".",up_Irr!AM7&lt;&gt;".",up_Irr!BK7="."),up_dir!AO7/((1/1000)*(up_Irr!O7+up_Irr!AM7)),IF(AND(up_Irr!O7&lt;&gt;".",up_Irr!AM7=".",up_Irr!BK7&lt;&gt;"."),up_dir!AO7/((1/1000)*(up_Irr!O7+up_Irr!BK7)),IF(AND(up_Irr!O7=".",up_Irr!AM7&lt;&gt;".",up_Irr!BK7&lt;&gt;"."),up_dir!AO7/((1/1000)*(up_Irr!AM7+up_Irr!BK7)),IF(AND(up_Irr!O7=".",up_Irr!AM7=".",up_Irr!BK7&lt;&gt;"."),up_dir!AO7/((1/1000)*(up_Irr!BK7)),IF(AND(up_Irr!O7=".",up_Irr!AM7&lt;&gt;".",up_Irr!BK7="."),up_dir!AO7/((1/1000)*(up_Irr!AM7)),IF(AND(up_Irr!O7&lt;&gt;".",up_Irr!AM7=".",up_Irr!BK7="."),up_dir!AO7/((1/1000)*(up_Irr!O7)),IF(AND(up_Irr!O7=".",up_Irr!AM7=".",up_Irr!BK7="."),up_dir!AO7*1000)))))))),".")</f>
        <v>6.5773651144152131E-4</v>
      </c>
      <c r="BO7" s="48">
        <f>IFERROR(IF(AND(up_Irr!P7&lt;&gt;".",up_Irr!AN7&lt;&gt;".",up_Irr!BL7&lt;&gt;"."),up_dir!AP7/((1/1000)*(up_Irr!P7+up_Irr!AN7+up_Irr!BL7)),IF(AND(up_Irr!P7&lt;&gt;".",up_Irr!AN7&lt;&gt;".",up_Irr!BL7="."),up_dir!AP7/((1/1000)*(up_Irr!P7+up_Irr!AN7)),IF(AND(up_Irr!P7&lt;&gt;".",up_Irr!AN7=".",up_Irr!BL7&lt;&gt;"."),up_dir!AP7/((1/1000)*(up_Irr!P7+up_Irr!BL7)),IF(AND(up_Irr!P7=".",up_Irr!AN7&lt;&gt;".",up_Irr!BL7&lt;&gt;"."),up_dir!AP7/((1/1000)*(up_Irr!AN7+up_Irr!BL7)),IF(AND(up_Irr!P7=".",up_Irr!AN7=".",up_Irr!BL7&lt;&gt;"."),up_dir!AP7/((1/1000)*(up_Irr!BL7)),IF(AND(up_Irr!P7=".",up_Irr!AN7&lt;&gt;".",up_Irr!BL7="."),up_dir!AP7/((1/1000)*(up_Irr!AN7)),IF(AND(up_Irr!P7&lt;&gt;".",up_Irr!AN7=".",up_Irr!BL7="."),up_dir!AP7/((1/1000)*(up_Irr!P7)),IF(AND(up_Irr!P7=".",up_Irr!AN7=".",up_Irr!BL7="."),up_dir!AP7*1000)))))))),".")</f>
        <v>6.5773651144152131E-4</v>
      </c>
      <c r="BP7" s="48">
        <f>IFERROR(IF(AND(up_Irr!Q7&lt;&gt;".",up_Irr!AO7&lt;&gt;".",up_Irr!BM7&lt;&gt;"."),up_dir!AQ7/((1/1000)*(up_Irr!Q7+up_Irr!AO7+up_Irr!BM7)),IF(AND(up_Irr!Q7&lt;&gt;".",up_Irr!AO7&lt;&gt;".",up_Irr!BM7="."),up_dir!AQ7/((1/1000)*(up_Irr!Q7+up_Irr!AO7)),IF(AND(up_Irr!Q7&lt;&gt;".",up_Irr!AO7=".",up_Irr!BM7&lt;&gt;"."),up_dir!AQ7/((1/1000)*(up_Irr!Q7+up_Irr!BM7)),IF(AND(up_Irr!Q7=".",up_Irr!AO7&lt;&gt;".",up_Irr!BM7&lt;&gt;"."),up_dir!AQ7/((1/1000)*(up_Irr!AO7+up_Irr!BM7)),IF(AND(up_Irr!Q7=".",up_Irr!AO7=".",up_Irr!BM7&lt;&gt;"."),up_dir!AQ7/((1/1000)*(up_Irr!BM7)),IF(AND(up_Irr!Q7=".",up_Irr!AO7&lt;&gt;".",up_Irr!BM7="."),up_dir!AQ7/((1/1000)*(up_Irr!AO7)),IF(AND(up_Irr!Q7&lt;&gt;".",up_Irr!AO7=".",up_Irr!BM7="."),up_dir!AQ7/((1/1000)*(up_Irr!Q7)),IF(AND(up_Irr!Q7=".",up_Irr!AO7=".",up_Irr!BM7="."),up_dir!AQ7*1000)))))))),".")</f>
        <v>6.5773651144152131E-4</v>
      </c>
      <c r="BQ7" s="48">
        <f>IFERROR(IF(AND(up_Irr!R7&lt;&gt;".",up_Irr!AP7&lt;&gt;".",up_Irr!BN7&lt;&gt;"."),up_dir!AR7/((1/1000)*(up_Irr!R7+up_Irr!AP7+up_Irr!BN7)),IF(AND(up_Irr!R7&lt;&gt;".",up_Irr!AP7&lt;&gt;".",up_Irr!BN7="."),up_dir!AR7/((1/1000)*(up_Irr!R7+up_Irr!AP7)),IF(AND(up_Irr!R7&lt;&gt;".",up_Irr!AP7=".",up_Irr!BN7&lt;&gt;"."),up_dir!AR7/((1/1000)*(up_Irr!R7+up_Irr!BN7)),IF(AND(up_Irr!R7=".",up_Irr!AP7&lt;&gt;".",up_Irr!BN7&lt;&gt;"."),up_dir!AR7/((1/1000)*(up_Irr!AP7+up_Irr!BN7)),IF(AND(up_Irr!R7=".",up_Irr!AP7=".",up_Irr!BN7&lt;&gt;"."),up_dir!AR7/((1/1000)*(up_Irr!BN7)),IF(AND(up_Irr!R7=".",up_Irr!AP7&lt;&gt;".",up_Irr!BN7="."),up_dir!AR7/((1/1000)*(up_Irr!AP7)),IF(AND(up_Irr!R7&lt;&gt;".",up_Irr!AP7=".",up_Irr!BN7="."),up_dir!AR7/((1/1000)*(up_Irr!R7)),IF(AND(up_Irr!R7=".",up_Irr!AP7=".",up_Irr!BN7="."),up_dir!AR7*1000)))))))),".")</f>
        <v>6.5773651144152131E-4</v>
      </c>
      <c r="BR7" s="48">
        <f>IFERROR(IF(AND(up_Irr!S7&lt;&gt;".",up_Irr!AQ7&lt;&gt;".",up_Irr!BO7&lt;&gt;"."),up_dir!AS7/((1/1000)*(up_Irr!S7+up_Irr!AQ7+up_Irr!BO7)),IF(AND(up_Irr!S7&lt;&gt;".",up_Irr!AQ7&lt;&gt;".",up_Irr!BO7="."),up_dir!AS7/((1/1000)*(up_Irr!S7+up_Irr!AQ7)),IF(AND(up_Irr!S7&lt;&gt;".",up_Irr!AQ7=".",up_Irr!BO7&lt;&gt;"."),up_dir!AS7/((1/1000)*(up_Irr!S7+up_Irr!BO7)),IF(AND(up_Irr!S7=".",up_Irr!AQ7&lt;&gt;".",up_Irr!BO7&lt;&gt;"."),up_dir!AS7/((1/1000)*(up_Irr!AQ7+up_Irr!BO7)),IF(AND(up_Irr!S7=".",up_Irr!AQ7=".",up_Irr!BO7&lt;&gt;"."),up_dir!AS7/((1/1000)*(up_Irr!BO7)),IF(AND(up_Irr!S7=".",up_Irr!AQ7&lt;&gt;".",up_Irr!BO7="."),up_dir!AS7/((1/1000)*(up_Irr!AQ7)),IF(AND(up_Irr!S7&lt;&gt;".",up_Irr!AQ7=".",up_Irr!BO7="."),up_dir!AS7/((1/1000)*(up_Irr!S7)),IF(AND(up_Irr!S7=".",up_Irr!AQ7=".",up_Irr!BO7="."),up_dir!AS7*1000)))))))),".")</f>
        <v>6.5773651144152131E-4</v>
      </c>
      <c r="BS7" s="48">
        <f>IFERROR(IF(AND(up_Irr!T7&lt;&gt;".",up_Irr!AR7&lt;&gt;".",up_Irr!BP7&lt;&gt;"."),up_dir!AT7/((1/1000)*(up_Irr!T7+up_Irr!AR7+up_Irr!BP7)),IF(AND(up_Irr!T7&lt;&gt;".",up_Irr!AR7&lt;&gt;".",up_Irr!BP7="."),up_dir!AT7/((1/1000)*(up_Irr!T7+up_Irr!AR7)),IF(AND(up_Irr!T7&lt;&gt;".",up_Irr!AR7=".",up_Irr!BP7&lt;&gt;"."),up_dir!AT7/((1/1000)*(up_Irr!T7+up_Irr!BP7)),IF(AND(up_Irr!T7=".",up_Irr!AR7&lt;&gt;".",up_Irr!BP7&lt;&gt;"."),up_dir!AT7/((1/1000)*(up_Irr!AR7+up_Irr!BP7)),IF(AND(up_Irr!T7=".",up_Irr!AR7=".",up_Irr!BP7&lt;&gt;"."),up_dir!AT7/((1/1000)*(up_Irr!BP7)),IF(AND(up_Irr!T7=".",up_Irr!AR7&lt;&gt;".",up_Irr!BP7="."),up_dir!AT7/((1/1000)*(up_Irr!AR7)),IF(AND(up_Irr!T7&lt;&gt;".",up_Irr!AR7=".",up_Irr!BP7="."),up_dir!AT7/((1/1000)*(up_Irr!T7)),IF(AND(up_Irr!T7=".",up_Irr!AR7=".",up_Irr!BP7="."),up_dir!AT7*1000)))))))),".")</f>
        <v>6.5773651144152131E-4</v>
      </c>
      <c r="BT7" s="48">
        <f>IFERROR(IF(AND(up_Irr!U7&lt;&gt;".",up_Irr!AS7&lt;&gt;".",up_Irr!BQ7&lt;&gt;"."),up_dir!AU7/((1/1000)*(up_Irr!U7+up_Irr!AS7+up_Irr!BQ7)),IF(AND(up_Irr!U7&lt;&gt;".",up_Irr!AS7&lt;&gt;".",up_Irr!BQ7="."),up_dir!AU7/((1/1000)*(up_Irr!U7+up_Irr!AS7)),IF(AND(up_Irr!U7&lt;&gt;".",up_Irr!AS7=".",up_Irr!BQ7&lt;&gt;"."),up_dir!AU7/((1/1000)*(up_Irr!U7+up_Irr!BQ7)),IF(AND(up_Irr!U7=".",up_Irr!AS7&lt;&gt;".",up_Irr!BQ7&lt;&gt;"."),up_dir!AU7/((1/1000)*(up_Irr!AS7+up_Irr!BQ7)),IF(AND(up_Irr!U7=".",up_Irr!AS7=".",up_Irr!BQ7&lt;&gt;"."),up_dir!AU7/((1/1000)*(up_Irr!BQ7)),IF(AND(up_Irr!U7=".",up_Irr!AS7&lt;&gt;".",up_Irr!BQ7="."),up_dir!AU7/((1/1000)*(up_Irr!AS7)),IF(AND(up_Irr!U7&lt;&gt;".",up_Irr!AS7=".",up_Irr!BQ7="."),up_dir!AU7/((1/1000)*(up_Irr!U7)),IF(AND(up_Irr!U7=".",up_Irr!AS7=".",up_Irr!BQ7="."),up_dir!AU7*1000)))))))),".")</f>
        <v>6.5773651144152131E-4</v>
      </c>
      <c r="BU7" s="48">
        <f>IFERROR(IF(AND(up_Irr!V7&lt;&gt;".",up_Irr!AT7&lt;&gt;".",up_Irr!BR7&lt;&gt;"."),up_dir!AV7/((1/1000)*(up_Irr!V7+up_Irr!AT7+up_Irr!BR7)),IF(AND(up_Irr!V7&lt;&gt;".",up_Irr!AT7&lt;&gt;".",up_Irr!BR7="."),up_dir!AV7/((1/1000)*(up_Irr!V7+up_Irr!AT7)),IF(AND(up_Irr!V7&lt;&gt;".",up_Irr!AT7=".",up_Irr!BR7&lt;&gt;"."),up_dir!AV7/((1/1000)*(up_Irr!V7+up_Irr!BR7)),IF(AND(up_Irr!V7=".",up_Irr!AT7&lt;&gt;".",up_Irr!BR7&lt;&gt;"."),up_dir!AV7/((1/1000)*(up_Irr!AT7+up_Irr!BR7)),IF(AND(up_Irr!V7=".",up_Irr!AT7=".",up_Irr!BR7&lt;&gt;"."),up_dir!AV7/((1/1000)*(up_Irr!BR7)),IF(AND(up_Irr!V7=".",up_Irr!AT7&lt;&gt;".",up_Irr!BR7="."),up_dir!AV7/((1/1000)*(up_Irr!AT7)),IF(AND(up_Irr!V7&lt;&gt;".",up_Irr!AT7=".",up_Irr!BR7="."),up_dir!AV7/((1/1000)*(up_Irr!V7)),IF(AND(up_Irr!V7=".",up_Irr!AT7=".",up_Irr!BR7="."),up_dir!AV7*1000)))))))),".")</f>
        <v>6.5773651144152131E-4</v>
      </c>
      <c r="BV7" s="48">
        <f>IFERROR(IF(AND(up_Irr!W7&lt;&gt;".",up_Irr!AU7&lt;&gt;".",up_Irr!BS7&lt;&gt;"."),up_dir!AW7/((1/1000)*(up_Irr!W7+up_Irr!AU7+up_Irr!BS7)),IF(AND(up_Irr!W7&lt;&gt;".",up_Irr!AU7&lt;&gt;".",up_Irr!BS7="."),up_dir!AW7/((1/1000)*(up_Irr!W7+up_Irr!AU7)),IF(AND(up_Irr!W7&lt;&gt;".",up_Irr!AU7=".",up_Irr!BS7&lt;&gt;"."),up_dir!AW7/((1/1000)*(up_Irr!W7+up_Irr!BS7)),IF(AND(up_Irr!W7=".",up_Irr!AU7&lt;&gt;".",up_Irr!BS7&lt;&gt;"."),up_dir!AW7/((1/1000)*(up_Irr!AU7+up_Irr!BS7)),IF(AND(up_Irr!W7=".",up_Irr!AU7=".",up_Irr!BS7&lt;&gt;"."),up_dir!AW7/((1/1000)*(up_Irr!BS7)),IF(AND(up_Irr!W7=".",up_Irr!AU7&lt;&gt;".",up_Irr!BS7="."),up_dir!AW7/((1/1000)*(up_Irr!AU7)),IF(AND(up_Irr!W7&lt;&gt;".",up_Irr!AU7=".",up_Irr!BS7="."),up_dir!AW7/((1/1000)*(up_Irr!W7)),IF(AND(up_Irr!W7=".",up_Irr!AU7=".",up_Irr!BS7="."),up_dir!AW7*1000)))))))),".")</f>
        <v>6.5773651144152131E-4</v>
      </c>
      <c r="BW7" s="48">
        <f>IFERROR(IF(AND(up_Irr!X7&lt;&gt;".",up_Irr!AV7&lt;&gt;".",up_Irr!BT7&lt;&gt;"."),up_dir!AX7/((1/1000)*(up_Irr!X7+up_Irr!AV7+up_Irr!BT7)),IF(AND(up_Irr!X7&lt;&gt;".",up_Irr!AV7&lt;&gt;".",up_Irr!BT7="."),up_dir!AX7/((1/1000)*(up_Irr!X7+up_Irr!AV7)),IF(AND(up_Irr!X7&lt;&gt;".",up_Irr!AV7=".",up_Irr!BT7&lt;&gt;"."),up_dir!AX7/((1/1000)*(up_Irr!X7+up_Irr!BT7)),IF(AND(up_Irr!X7=".",up_Irr!AV7&lt;&gt;".",up_Irr!BT7&lt;&gt;"."),up_dir!AX7/((1/1000)*(up_Irr!AV7+up_Irr!BT7)),IF(AND(up_Irr!X7=".",up_Irr!AV7=".",up_Irr!BT7&lt;&gt;"."),up_dir!AX7/((1/1000)*(up_Irr!BT7)),IF(AND(up_Irr!X7=".",up_Irr!AV7&lt;&gt;".",up_Irr!BT7="."),up_dir!AX7/((1/1000)*(up_Irr!AV7)),IF(AND(up_Irr!X7&lt;&gt;".",up_Irr!AV7=".",up_Irr!BT7="."),up_dir!AX7/((1/1000)*(up_Irr!X7)),IF(AND(up_Irr!X7=".",up_Irr!AV7=".",up_Irr!BT7="."),up_dir!AX7*1000)))))))),".")</f>
        <v>6.5773651144152131E-4</v>
      </c>
      <c r="BX7" s="48">
        <f>IFERROR(IF(AND(up_Irr!Y7&lt;&gt;".",up_Irr!AW7&lt;&gt;".",up_Irr!BU7&lt;&gt;"."),up_dir!AY7/((1/1000)*(up_Irr!Y7+up_Irr!AW7+up_Irr!BU7)),IF(AND(up_Irr!Y7&lt;&gt;".",up_Irr!AW7&lt;&gt;".",up_Irr!BU7="."),up_dir!AY7/((1/1000)*(up_Irr!Y7+up_Irr!AW7)),IF(AND(up_Irr!Y7&lt;&gt;".",up_Irr!AW7=".",up_Irr!BU7&lt;&gt;"."),up_dir!AY7/((1/1000)*(up_Irr!Y7+up_Irr!BU7)),IF(AND(up_Irr!Y7=".",up_Irr!AW7&lt;&gt;".",up_Irr!BU7&lt;&gt;"."),up_dir!AY7/((1/1000)*(up_Irr!AW7+up_Irr!BU7)),IF(AND(up_Irr!Y7=".",up_Irr!AW7=".",up_Irr!BU7&lt;&gt;"."),up_dir!AY7/((1/1000)*(up_Irr!BU7)),IF(AND(up_Irr!Y7=".",up_Irr!AW7&lt;&gt;".",up_Irr!BU7="."),up_dir!AY7/((1/1000)*(up_Irr!AW7)),IF(AND(up_Irr!Y7&lt;&gt;".",up_Irr!AW7=".",up_Irr!BU7="."),up_dir!AY7/((1/1000)*(up_Irr!Y7)),IF(AND(up_Irr!Y7=".",up_Irr!AW7=".",up_Irr!BU7="."),up_dir!AY7*1000)))))))),".")</f>
        <v>6.5773651144152131E-4</v>
      </c>
      <c r="BY7" s="48">
        <f>IFERROR(IF(AND(up_Irr!Z7&lt;&gt;".",up_Irr!AX7&lt;&gt;".",up_Irr!BV7&lt;&gt;"."),up_dir!AZ7/((1/1000)*(up_Irr!Z7+up_Irr!AX7+up_Irr!BV7)),IF(AND(up_Irr!Z7&lt;&gt;".",up_Irr!AX7&lt;&gt;".",up_Irr!BV7="."),up_dir!AZ7/((1/1000)*(up_Irr!Z7+up_Irr!AX7)),IF(AND(up_Irr!Z7&lt;&gt;".",up_Irr!AX7=".",up_Irr!BV7&lt;&gt;"."),up_dir!AZ7/((1/1000)*(up_Irr!Z7+up_Irr!BV7)),IF(AND(up_Irr!Z7=".",up_Irr!AX7&lt;&gt;".",up_Irr!BV7&lt;&gt;"."),up_dir!AZ7/((1/1000)*(up_Irr!AX7+up_Irr!BV7)),IF(AND(up_Irr!Z7=".",up_Irr!AX7=".",up_Irr!BV7&lt;&gt;"."),up_dir!AZ7/((1/1000)*(up_Irr!BV7)),IF(AND(up_Irr!Z7=".",up_Irr!AX7&lt;&gt;".",up_Irr!BV7="."),up_dir!AZ7/((1/1000)*(up_Irr!AX7)),IF(AND(up_Irr!Z7&lt;&gt;".",up_Irr!AX7=".",up_Irr!BV7="."),up_dir!AZ7/((1/1000)*(up_Irr!Z7)),IF(AND(up_Irr!Z7=".",up_Irr!AX7=".",up_Irr!BV7="."),up_dir!AZ7*1000)))))))),".")</f>
        <v>6.5773651144152131E-4</v>
      </c>
      <c r="BZ7" s="62">
        <f t="shared" si="3"/>
        <v>22805.4847785862</v>
      </c>
      <c r="CA7" s="62">
        <f>IFERROR(s_C*s_IFAP_far_adj*s_CF_apple*(1/1000)*(up_Irr!C7+up_Irr!AA7+up_Irr!AY7),".")</f>
        <v>7601.8282595287337</v>
      </c>
      <c r="CB7" s="62">
        <f>IFERROR(s_C*s_IFAS_far_adj*s_CF_asparagus*(1/1000)*(up_Irr!D7+up_Irr!AB7+up_Irr!AZ7),".")</f>
        <v>7601.8282595287337</v>
      </c>
      <c r="CC7" s="62">
        <f>IFERROR(s_C*s_IFBT_far_adj*s_CF_beet*(1/1000)*(up_Irr!E7+up_Irr!AC7+up_Irr!BA7),".")</f>
        <v>7601.8282595287337</v>
      </c>
      <c r="CD7" s="62">
        <f>IFERROR(s_C*s_IFBE_far_adj*s_CF_berries*(1/1000)*(up_Irr!F7+up_Irr!AD7+up_Irr!BB7),".")</f>
        <v>7601.8282595287337</v>
      </c>
      <c r="CE7" s="62">
        <f>IFERROR(s_C*s_IFBR_far_adj*s_CF_broccoli*(1/1000)*(up_Irr!G7+up_Irr!AE7+up_Irr!BC7),".")</f>
        <v>7601.8282595287337</v>
      </c>
      <c r="CF7" s="62">
        <f>IFERROR(s_C*s_IFCB_far_adj*s_CF_cabbage*(1/1000)*(up_Irr!H7+up_Irr!AF7+up_Irr!BD7),".")</f>
        <v>7601.8282595287337</v>
      </c>
      <c r="CG7" s="62">
        <f>IFERROR(s_C*s_IFCR_far_adj*s_CF_carrot*(1/1000)*(up_Irr!I7+up_Irr!AG7+up_Irr!BE7),".")</f>
        <v>7601.8282595287337</v>
      </c>
      <c r="CH7" s="62">
        <f>IFERROR(s_C*s_IFCI_far_adj*s_CF_citrus*(1/1000)*(up_Irr!J7+up_Irr!AH7+up_Irr!BF7),".")</f>
        <v>7601.8282595287337</v>
      </c>
      <c r="CI7" s="62">
        <f>IFERROR(s_C*s_IFCO_far_adj*s_CF_corn*(1/1000)*(up_Irr!K7+up_Irr!AI7+up_Irr!BG7),".")</f>
        <v>7601.8282595287337</v>
      </c>
      <c r="CJ7" s="62">
        <f>IFERROR(s_C*s_IFCU_far_adj*s_CF_cucumber*(1/1000)*(up_Irr!L7+up_Irr!AJ7+up_Irr!BH7),".")</f>
        <v>7601.8282595287337</v>
      </c>
      <c r="CK7" s="62">
        <f>IFERROR(s_C*s_IFLE_far_adj*s_CF_lettuce*(1/1000)*(up_Irr!M7+up_Irr!AK7+up_Irr!BI7),".")</f>
        <v>7601.8282595287337</v>
      </c>
      <c r="CL7" s="62">
        <f>IFERROR(s_C*s_IFLI_far_adj*s_CF_lima_bean*(1/1000)*(up_Irr!N7+up_Irr!AL7+up_Irr!BJ7),".")</f>
        <v>7601.8282595287337</v>
      </c>
      <c r="CM7" s="62">
        <f>IFERROR(s_C*s_IFOK_far_adj*s_CF_okra*(1/1000)*(up_Irr!O7+up_Irr!AM7+up_Irr!BK7),".")</f>
        <v>7601.8282595287337</v>
      </c>
      <c r="CN7" s="62">
        <f>IFERROR(s_C*s_IFON_far_adj*s_CF_onion*(1/1000)*(up_Irr!P7+up_Irr!AN7+up_Irr!BL7),".")</f>
        <v>7601.8282595287337</v>
      </c>
      <c r="CO7" s="62">
        <f>IFERROR(s_C*s_IFPC_far_adj*s_CF_peach*(1/1000)*(up_Irr!Q7+up_Irr!AO7+up_Irr!BM7),".")</f>
        <v>7601.8282595287337</v>
      </c>
      <c r="CP7" s="62">
        <f>IFERROR(s_C*s_IFPR_far_adj*s_CF_pear*(1/1000)*(up_Irr!R7+up_Irr!AP7+up_Irr!BN7),".")</f>
        <v>7601.8282595287337</v>
      </c>
      <c r="CQ7" s="62">
        <f>IFERROR(s_C*s_IFPE_far_adj*s_CF_peas*(1/1000)*(up_Irr!S7+up_Irr!AQ7+up_Irr!BO7),".")</f>
        <v>7601.8282595287337</v>
      </c>
      <c r="CR7" s="62">
        <f>IFERROR(s_C*s_IFPT_far_adj*s_CF_potato*(1/1000)*(up_Irr!T7+up_Irr!AR7+up_Irr!BP7),".")</f>
        <v>7601.8282595287337</v>
      </c>
      <c r="CS7" s="62">
        <f>IFERROR(s_C*s_IFPU_far_adj*s_CF_pumpkin*(1/1000)*(up_Irr!U7+up_Irr!AS7+up_Irr!BQ7),".")</f>
        <v>7601.8282595287337</v>
      </c>
      <c r="CT7" s="62">
        <f>IFERROR(s_C*s_IFSN_far_adj*s_CF_snap_bean*(1/1000)*(up_Irr!V7+up_Irr!AT7+up_Irr!BR7),".")</f>
        <v>7601.8282595287337</v>
      </c>
      <c r="CU7" s="62">
        <f>IFERROR(s_C*s_IFST_far_adj*s_CF_strawberry*(1/1000)*(up_Irr!W7+up_Irr!AU7+up_Irr!BS7),".")</f>
        <v>7601.8282595287337</v>
      </c>
      <c r="CV7" s="62">
        <f>IFERROR(s_C*s_IFTO_far_adj*s_CF_tomato*(1/1000)*(up_Irr!X7+up_Irr!AV7+up_Irr!BT7),".")</f>
        <v>7601.8282595287337</v>
      </c>
      <c r="CW7" s="62">
        <f>IFERROR(s_C*s_IFRI_far_adj*s_CF_rice*(1/1000)*(up_Irr!Y7+up_Irr!AW7+up_Irr!BU7),".")</f>
        <v>7601.8282595287337</v>
      </c>
      <c r="CX7" s="62">
        <f>IFERROR(s_C*s_IFCG_far_adj*s_CF_cereal*(1/1000)*(up_Irr!Z7+up_Irr!AX7+up_Irr!BV7),".")</f>
        <v>7601.8282595287337</v>
      </c>
    </row>
    <row r="8" spans="1:102" ht="15" customHeight="1" x14ac:dyDescent="0.25">
      <c r="A8" s="61" t="s">
        <v>6</v>
      </c>
      <c r="B8" s="49" t="s">
        <v>1059</v>
      </c>
      <c r="C8" s="48">
        <f t="shared" si="0"/>
        <v>2.1924550381384044E-4</v>
      </c>
      <c r="D8" s="48">
        <f>IFERROR(IF(AND(up_Irr!C8&lt;&gt;".",up_Irr!AA8&lt;&gt;".",up_Irr!AY8&lt;&gt;"."),up_dir!D8/((1/1000)*(up_Irr!C8+up_Irr!AA8+up_Irr!AY8)),IF(AND(up_Irr!C8&lt;&gt;".",up_Irr!AA8&lt;&gt;".",up_Irr!AY8="."),up_dir!D8/((1/1000)*(up_Irr!C8+up_Irr!AA8)),IF(AND(up_Irr!C8&lt;&gt;".",up_Irr!AA8=".",up_Irr!AY8&lt;&gt;"."),up_dir!D8/((1/1000)*(up_Irr!C8+up_Irr!AY8)),IF(AND(up_Irr!C8=".",up_Irr!AA8&lt;&gt;".",up_Irr!AY8&lt;&gt;"."),up_dir!D8/((1/1000)*(up_Irr!AA8+up_Irr!AY8)),IF(AND(up_Irr!C8=".",up_Irr!AA8=".",up_Irr!AY8&lt;&gt;"."),up_dir!D8/((1/1000)*(up_Irr!AY8)),IF(AND(up_Irr!C8=".",up_Irr!AA8&lt;&gt;".",up_Irr!AY8="."),up_dir!D8/((1/1000)*(up_Irr!AA8)),IF(AND(up_Irr!C8&lt;&gt;".",up_Irr!AA8=".",up_Irr!AY8="."),up_dir!D8/((1/1000)*(up_Irr!C8)),IF(AND(up_Irr!C8=".",up_Irr!AA8=".",up_Irr!AY8="."),up_dir!D8*1000)))))))),".")</f>
        <v>6.5773651144152131E-4</v>
      </c>
      <c r="E8" s="48">
        <f>IFERROR(IF(AND(up_Irr!D8&lt;&gt;".",up_Irr!AB8&lt;&gt;".",up_Irr!AZ8&lt;&gt;"."),up_dir!E8/((1/1000)*(up_Irr!D8+up_Irr!AB8+up_Irr!AZ8)),IF(AND(up_Irr!D8&lt;&gt;".",up_Irr!AB8&lt;&gt;".",up_Irr!AZ8="."),up_dir!E8/((1/1000)*(up_Irr!D8+up_Irr!AB8)),IF(AND(up_Irr!D8&lt;&gt;".",up_Irr!AB8=".",up_Irr!AZ8&lt;&gt;"."),up_dir!E8/((1/1000)*(up_Irr!D8+up_Irr!AZ8)),IF(AND(up_Irr!D8=".",up_Irr!AB8&lt;&gt;".",up_Irr!AZ8&lt;&gt;"."),up_dir!E8/((1/1000)*(up_Irr!AB8+up_Irr!AZ8)),IF(AND(up_Irr!D8=".",up_Irr!AB8=".",up_Irr!AZ8&lt;&gt;"."),up_dir!E8/((1/1000)*(up_Irr!AZ8)),IF(AND(up_Irr!D8=".",up_Irr!AB8&lt;&gt;".",up_Irr!AZ8="."),up_dir!E8/((1/1000)*(up_Irr!AB8)),IF(AND(up_Irr!D8&lt;&gt;".",up_Irr!AB8=".",up_Irr!AZ8="."),up_dir!E8/((1/1000)*(up_Irr!D8)),IF(AND(up_Irr!D8=".",up_Irr!AB8=".",up_Irr!AZ8="."),up_dir!E8*1000)))))))),".")</f>
        <v>6.5773651144152131E-4</v>
      </c>
      <c r="F8" s="48">
        <f>IFERROR(IF(AND(up_Irr!E8&lt;&gt;".",up_Irr!AC8&lt;&gt;".",up_Irr!BA8&lt;&gt;"."),up_dir!F8/((1/1000)*(up_Irr!E8+up_Irr!AC8+up_Irr!BA8)),IF(AND(up_Irr!E8&lt;&gt;".",up_Irr!AC8&lt;&gt;".",up_Irr!BA8="."),up_dir!F8/((1/1000)*(up_Irr!E8+up_Irr!AC8)),IF(AND(up_Irr!E8&lt;&gt;".",up_Irr!AC8=".",up_Irr!BA8&lt;&gt;"."),up_dir!F8/((1/1000)*(up_Irr!E8+up_Irr!BA8)),IF(AND(up_Irr!E8=".",up_Irr!AC8&lt;&gt;".",up_Irr!BA8&lt;&gt;"."),up_dir!F8/((1/1000)*(up_Irr!AC8+up_Irr!BA8)),IF(AND(up_Irr!E8=".",up_Irr!AC8=".",up_Irr!BA8&lt;&gt;"."),up_dir!F8/((1/1000)*(up_Irr!BA8)),IF(AND(up_Irr!E8=".",up_Irr!AC8&lt;&gt;".",up_Irr!BA8="."),up_dir!F8/((1/1000)*(up_Irr!AC8)),IF(AND(up_Irr!E8&lt;&gt;".",up_Irr!AC8=".",up_Irr!BA8="."),up_dir!F8/((1/1000)*(up_Irr!E8)),IF(AND(up_Irr!E8=".",up_Irr!AC8=".",up_Irr!BA8="."),up_dir!F8*1000)))))))),".")</f>
        <v>6.5773651144152131E-4</v>
      </c>
      <c r="G8" s="48">
        <f>IFERROR(IF(AND(up_Irr!F8&lt;&gt;".",up_Irr!AD8&lt;&gt;".",up_Irr!BB8&lt;&gt;"."),up_dir!G8/((1/1000)*(up_Irr!F8+up_Irr!AD8+up_Irr!BB8)),IF(AND(up_Irr!F8&lt;&gt;".",up_Irr!AD8&lt;&gt;".",up_Irr!BB8="."),up_dir!G8/((1/1000)*(up_Irr!F8+up_Irr!AD8)),IF(AND(up_Irr!F8&lt;&gt;".",up_Irr!AD8=".",up_Irr!BB8&lt;&gt;"."),up_dir!G8/((1/1000)*(up_Irr!F8+up_Irr!BB8)),IF(AND(up_Irr!F8=".",up_Irr!AD8&lt;&gt;".",up_Irr!BB8&lt;&gt;"."),up_dir!G8/((1/1000)*(up_Irr!AD8+up_Irr!BB8)),IF(AND(up_Irr!F8=".",up_Irr!AD8=".",up_Irr!BB8&lt;&gt;"."),up_dir!G8/((1/1000)*(up_Irr!BB8)),IF(AND(up_Irr!F8=".",up_Irr!AD8&lt;&gt;".",up_Irr!BB8="."),up_dir!G8/((1/1000)*(up_Irr!AD8)),IF(AND(up_Irr!F8&lt;&gt;".",up_Irr!AD8=".",up_Irr!BB8="."),up_dir!G8/((1/1000)*(up_Irr!F8)),IF(AND(up_Irr!F8=".",up_Irr!AD8=".",up_Irr!BB8="."),up_dir!G8*1000)))))))),".")</f>
        <v>6.5773651144152131E-4</v>
      </c>
      <c r="H8" s="48">
        <f>IFERROR(IF(AND(up_Irr!G8&lt;&gt;".",up_Irr!AE8&lt;&gt;".",up_Irr!BC8&lt;&gt;"."),up_dir!H8/((1/1000)*(up_Irr!G8+up_Irr!AE8+up_Irr!BC8)),IF(AND(up_Irr!G8&lt;&gt;".",up_Irr!AE8&lt;&gt;".",up_Irr!BC8="."),up_dir!H8/((1/1000)*(up_Irr!G8+up_Irr!AE8)),IF(AND(up_Irr!G8&lt;&gt;".",up_Irr!AE8=".",up_Irr!BC8&lt;&gt;"."),up_dir!H8/((1/1000)*(up_Irr!G8+up_Irr!BC8)),IF(AND(up_Irr!G8=".",up_Irr!AE8&lt;&gt;".",up_Irr!BC8&lt;&gt;"."),up_dir!H8/((1/1000)*(up_Irr!AE8+up_Irr!BC8)),IF(AND(up_Irr!G8=".",up_Irr!AE8=".",up_Irr!BC8&lt;&gt;"."),up_dir!H8/((1/1000)*(up_Irr!BC8)),IF(AND(up_Irr!G8=".",up_Irr!AE8&lt;&gt;".",up_Irr!BC8="."),up_dir!H8/((1/1000)*(up_Irr!AE8)),IF(AND(up_Irr!G8&lt;&gt;".",up_Irr!AE8=".",up_Irr!BC8="."),up_dir!H8/((1/1000)*(up_Irr!G8)),IF(AND(up_Irr!G8=".",up_Irr!AE8=".",up_Irr!BC8="."),up_dir!H8*1000)))))))),".")</f>
        <v>6.5773651144152131E-4</v>
      </c>
      <c r="I8" s="48">
        <f>IFERROR(IF(AND(up_Irr!H8&lt;&gt;".",up_Irr!AF8&lt;&gt;".",up_Irr!BD8&lt;&gt;"."),up_dir!I8/((1/1000)*(up_Irr!H8+up_Irr!AF8+up_Irr!BD8)),IF(AND(up_Irr!H8&lt;&gt;".",up_Irr!AF8&lt;&gt;".",up_Irr!BD8="."),up_dir!I8/((1/1000)*(up_Irr!H8+up_Irr!AF8)),IF(AND(up_Irr!H8&lt;&gt;".",up_Irr!AF8=".",up_Irr!BD8&lt;&gt;"."),up_dir!I8/((1/1000)*(up_Irr!H8+up_Irr!BD8)),IF(AND(up_Irr!H8=".",up_Irr!AF8&lt;&gt;".",up_Irr!BD8&lt;&gt;"."),up_dir!I8/((1/1000)*(up_Irr!AF8+up_Irr!BD8)),IF(AND(up_Irr!H8=".",up_Irr!AF8=".",up_Irr!BD8&lt;&gt;"."),up_dir!I8/((1/1000)*(up_Irr!BD8)),IF(AND(up_Irr!H8=".",up_Irr!AF8&lt;&gt;".",up_Irr!BD8="."),up_dir!I8/((1/1000)*(up_Irr!AF8)),IF(AND(up_Irr!H8&lt;&gt;".",up_Irr!AF8=".",up_Irr!BD8="."),up_dir!I8/((1/1000)*(up_Irr!H8)),IF(AND(up_Irr!H8=".",up_Irr!AF8=".",up_Irr!BD8="."),up_dir!I8*1000)))))))),".")</f>
        <v>6.5773651144152131E-4</v>
      </c>
      <c r="J8" s="48">
        <f>IFERROR(IF(AND(up_Irr!I8&lt;&gt;".",up_Irr!AG8&lt;&gt;".",up_Irr!BE8&lt;&gt;"."),up_dir!J8/((1/1000)*(up_Irr!I8+up_Irr!AG8+up_Irr!BE8)),IF(AND(up_Irr!I8&lt;&gt;".",up_Irr!AG8&lt;&gt;".",up_Irr!BE8="."),up_dir!J8/((1/1000)*(up_Irr!I8+up_Irr!AG8)),IF(AND(up_Irr!I8&lt;&gt;".",up_Irr!AG8=".",up_Irr!BE8&lt;&gt;"."),up_dir!J8/((1/1000)*(up_Irr!I8+up_Irr!BE8)),IF(AND(up_Irr!I8=".",up_Irr!AG8&lt;&gt;".",up_Irr!BE8&lt;&gt;"."),up_dir!J8/((1/1000)*(up_Irr!AG8+up_Irr!BE8)),IF(AND(up_Irr!I8=".",up_Irr!AG8=".",up_Irr!BE8&lt;&gt;"."),up_dir!J8/((1/1000)*(up_Irr!BE8)),IF(AND(up_Irr!I8=".",up_Irr!AG8&lt;&gt;".",up_Irr!BE8="."),up_dir!J8/((1/1000)*(up_Irr!AG8)),IF(AND(up_Irr!I8&lt;&gt;".",up_Irr!AG8=".",up_Irr!BE8="."),up_dir!J8/((1/1000)*(up_Irr!I8)),IF(AND(up_Irr!I8=".",up_Irr!AG8=".",up_Irr!BE8="."),up_dir!J8*1000)))))))),".")</f>
        <v>6.5773651144152131E-4</v>
      </c>
      <c r="K8" s="48">
        <f>IFERROR(IF(AND(up_Irr!J8&lt;&gt;".",up_Irr!AH8&lt;&gt;".",up_Irr!BF8&lt;&gt;"."),up_dir!K8/((1/1000)*(up_Irr!J8+up_Irr!AH8+up_Irr!BF8)),IF(AND(up_Irr!J8&lt;&gt;".",up_Irr!AH8&lt;&gt;".",up_Irr!BF8="."),up_dir!K8/((1/1000)*(up_Irr!J8+up_Irr!AH8)),IF(AND(up_Irr!J8&lt;&gt;".",up_Irr!AH8=".",up_Irr!BF8&lt;&gt;"."),up_dir!K8/((1/1000)*(up_Irr!J8+up_Irr!BF8)),IF(AND(up_Irr!J8=".",up_Irr!AH8&lt;&gt;".",up_Irr!BF8&lt;&gt;"."),up_dir!K8/((1/1000)*(up_Irr!AH8+up_Irr!BF8)),IF(AND(up_Irr!J8=".",up_Irr!AH8=".",up_Irr!BF8&lt;&gt;"."),up_dir!K8/((1/1000)*(up_Irr!BF8)),IF(AND(up_Irr!J8=".",up_Irr!AH8&lt;&gt;".",up_Irr!BF8="."),up_dir!K8/((1/1000)*(up_Irr!AH8)),IF(AND(up_Irr!J8&lt;&gt;".",up_Irr!AH8=".",up_Irr!BF8="."),up_dir!K8/((1/1000)*(up_Irr!J8)),IF(AND(up_Irr!J8=".",up_Irr!AH8=".",up_Irr!BF8="."),up_dir!K8*1000)))))))),".")</f>
        <v>6.5773651144152131E-4</v>
      </c>
      <c r="L8" s="48">
        <f>IFERROR(IF(AND(up_Irr!K8&lt;&gt;".",up_Irr!AI8&lt;&gt;".",up_Irr!BG8&lt;&gt;"."),up_dir!L8/((1/1000)*(up_Irr!K8+up_Irr!AI8+up_Irr!BG8)),IF(AND(up_Irr!K8&lt;&gt;".",up_Irr!AI8&lt;&gt;".",up_Irr!BG8="."),up_dir!L8/((1/1000)*(up_Irr!K8+up_Irr!AI8)),IF(AND(up_Irr!K8&lt;&gt;".",up_Irr!AI8=".",up_Irr!BG8&lt;&gt;"."),up_dir!L8/((1/1000)*(up_Irr!K8+up_Irr!BG8)),IF(AND(up_Irr!K8=".",up_Irr!AI8&lt;&gt;".",up_Irr!BG8&lt;&gt;"."),up_dir!L8/((1/1000)*(up_Irr!AI8+up_Irr!BG8)),IF(AND(up_Irr!K8=".",up_Irr!AI8=".",up_Irr!BG8&lt;&gt;"."),up_dir!L8/((1/1000)*(up_Irr!BG8)),IF(AND(up_Irr!K8=".",up_Irr!AI8&lt;&gt;".",up_Irr!BG8="."),up_dir!L8/((1/1000)*(up_Irr!AI8)),IF(AND(up_Irr!K8&lt;&gt;".",up_Irr!AI8=".",up_Irr!BG8="."),up_dir!L8/((1/1000)*(up_Irr!K8)),IF(AND(up_Irr!K8=".",up_Irr!AI8=".",up_Irr!BG8="."),up_dir!L8*1000)))))))),".")</f>
        <v>6.5773651144152131E-4</v>
      </c>
      <c r="M8" s="48">
        <f>IFERROR(IF(AND(up_Irr!L8&lt;&gt;".",up_Irr!AJ8&lt;&gt;".",up_Irr!BH8&lt;&gt;"."),up_dir!M8/((1/1000)*(up_Irr!L8+up_Irr!AJ8+up_Irr!BH8)),IF(AND(up_Irr!L8&lt;&gt;".",up_Irr!AJ8&lt;&gt;".",up_Irr!BH8="."),up_dir!M8/((1/1000)*(up_Irr!L8+up_Irr!AJ8)),IF(AND(up_Irr!L8&lt;&gt;".",up_Irr!AJ8=".",up_Irr!BH8&lt;&gt;"."),up_dir!M8/((1/1000)*(up_Irr!L8+up_Irr!BH8)),IF(AND(up_Irr!L8=".",up_Irr!AJ8&lt;&gt;".",up_Irr!BH8&lt;&gt;"."),up_dir!M8/((1/1000)*(up_Irr!AJ8+up_Irr!BH8)),IF(AND(up_Irr!L8=".",up_Irr!AJ8=".",up_Irr!BH8&lt;&gt;"."),up_dir!M8/((1/1000)*(up_Irr!BH8)),IF(AND(up_Irr!L8=".",up_Irr!AJ8&lt;&gt;".",up_Irr!BH8="."),up_dir!M8/((1/1000)*(up_Irr!AJ8)),IF(AND(up_Irr!L8&lt;&gt;".",up_Irr!AJ8=".",up_Irr!BH8="."),up_dir!M8/((1/1000)*(up_Irr!L8)),IF(AND(up_Irr!L8=".",up_Irr!AJ8=".",up_Irr!BH8="."),up_dir!M8*1000)))))))),".")</f>
        <v>6.5773651144152131E-4</v>
      </c>
      <c r="N8" s="48">
        <f>IFERROR(IF(AND(up_Irr!M8&lt;&gt;".",up_Irr!AK8&lt;&gt;".",up_Irr!BI8&lt;&gt;"."),up_dir!N8/((1/1000)*(up_Irr!M8+up_Irr!AK8+up_Irr!BI8)),IF(AND(up_Irr!M8&lt;&gt;".",up_Irr!AK8&lt;&gt;".",up_Irr!BI8="."),up_dir!N8/((1/1000)*(up_Irr!M8+up_Irr!AK8)),IF(AND(up_Irr!M8&lt;&gt;".",up_Irr!AK8=".",up_Irr!BI8&lt;&gt;"."),up_dir!N8/((1/1000)*(up_Irr!M8+up_Irr!BI8)),IF(AND(up_Irr!M8=".",up_Irr!AK8&lt;&gt;".",up_Irr!BI8&lt;&gt;"."),up_dir!N8/((1/1000)*(up_Irr!AK8+up_Irr!BI8)),IF(AND(up_Irr!M8=".",up_Irr!AK8=".",up_Irr!BI8&lt;&gt;"."),up_dir!N8/((1/1000)*(up_Irr!BI8)),IF(AND(up_Irr!M8=".",up_Irr!AK8&lt;&gt;".",up_Irr!BI8="."),up_dir!N8/((1/1000)*(up_Irr!AK8)),IF(AND(up_Irr!M8&lt;&gt;".",up_Irr!AK8=".",up_Irr!BI8="."),up_dir!N8/((1/1000)*(up_Irr!M8)),IF(AND(up_Irr!M8=".",up_Irr!AK8=".",up_Irr!BI8="."),up_dir!N8*1000)))))))),".")</f>
        <v>6.5773651144152131E-4</v>
      </c>
      <c r="O8" s="48">
        <f>IFERROR(IF(AND(up_Irr!N8&lt;&gt;".",up_Irr!AL8&lt;&gt;".",up_Irr!BJ8&lt;&gt;"."),up_dir!O8/((1/1000)*(up_Irr!N8+up_Irr!AL8+up_Irr!BJ8)),IF(AND(up_Irr!N8&lt;&gt;".",up_Irr!AL8&lt;&gt;".",up_Irr!BJ8="."),up_dir!O8/((1/1000)*(up_Irr!N8+up_Irr!AL8)),IF(AND(up_Irr!N8&lt;&gt;".",up_Irr!AL8=".",up_Irr!BJ8&lt;&gt;"."),up_dir!O8/((1/1000)*(up_Irr!N8+up_Irr!BJ8)),IF(AND(up_Irr!N8=".",up_Irr!AL8&lt;&gt;".",up_Irr!BJ8&lt;&gt;"."),up_dir!O8/((1/1000)*(up_Irr!AL8+up_Irr!BJ8)),IF(AND(up_Irr!N8=".",up_Irr!AL8=".",up_Irr!BJ8&lt;&gt;"."),up_dir!O8/((1/1000)*(up_Irr!BJ8)),IF(AND(up_Irr!N8=".",up_Irr!AL8&lt;&gt;".",up_Irr!BJ8="."),up_dir!O8/((1/1000)*(up_Irr!AL8)),IF(AND(up_Irr!N8&lt;&gt;".",up_Irr!AL8=".",up_Irr!BJ8="."),up_dir!O8/((1/1000)*(up_Irr!N8)),IF(AND(up_Irr!N8=".",up_Irr!AL8=".",up_Irr!BJ8="."),up_dir!O8*1000)))))))),".")</f>
        <v>6.5773651144152131E-4</v>
      </c>
      <c r="P8" s="48">
        <f>IFERROR(IF(AND(up_Irr!O8&lt;&gt;".",up_Irr!AM8&lt;&gt;".",up_Irr!BK8&lt;&gt;"."),up_dir!P8/((1/1000)*(up_Irr!O8+up_Irr!AM8+up_Irr!BK8)),IF(AND(up_Irr!O8&lt;&gt;".",up_Irr!AM8&lt;&gt;".",up_Irr!BK8="."),up_dir!P8/((1/1000)*(up_Irr!O8+up_Irr!AM8)),IF(AND(up_Irr!O8&lt;&gt;".",up_Irr!AM8=".",up_Irr!BK8&lt;&gt;"."),up_dir!P8/((1/1000)*(up_Irr!O8+up_Irr!BK8)),IF(AND(up_Irr!O8=".",up_Irr!AM8&lt;&gt;".",up_Irr!BK8&lt;&gt;"."),up_dir!P8/((1/1000)*(up_Irr!AM8+up_Irr!BK8)),IF(AND(up_Irr!O8=".",up_Irr!AM8=".",up_Irr!BK8&lt;&gt;"."),up_dir!P8/((1/1000)*(up_Irr!BK8)),IF(AND(up_Irr!O8=".",up_Irr!AM8&lt;&gt;".",up_Irr!BK8="."),up_dir!P8/((1/1000)*(up_Irr!AM8)),IF(AND(up_Irr!O8&lt;&gt;".",up_Irr!AM8=".",up_Irr!BK8="."),up_dir!P8/((1/1000)*(up_Irr!O8)),IF(AND(up_Irr!O8=".",up_Irr!AM8=".",up_Irr!BK8="."),up_dir!P8*1000)))))))),".")</f>
        <v>6.5773651144152131E-4</v>
      </c>
      <c r="Q8" s="48">
        <f>IFERROR(IF(AND(up_Irr!P8&lt;&gt;".",up_Irr!AN8&lt;&gt;".",up_Irr!BL8&lt;&gt;"."),up_dir!Q8/((1/1000)*(up_Irr!P8+up_Irr!AN8+up_Irr!BL8)),IF(AND(up_Irr!P8&lt;&gt;".",up_Irr!AN8&lt;&gt;".",up_Irr!BL8="."),up_dir!Q8/((1/1000)*(up_Irr!P8+up_Irr!AN8)),IF(AND(up_Irr!P8&lt;&gt;".",up_Irr!AN8=".",up_Irr!BL8&lt;&gt;"."),up_dir!Q8/((1/1000)*(up_Irr!P8+up_Irr!BL8)),IF(AND(up_Irr!P8=".",up_Irr!AN8&lt;&gt;".",up_Irr!BL8&lt;&gt;"."),up_dir!Q8/((1/1000)*(up_Irr!AN8+up_Irr!BL8)),IF(AND(up_Irr!P8=".",up_Irr!AN8=".",up_Irr!BL8&lt;&gt;"."),up_dir!Q8/((1/1000)*(up_Irr!BL8)),IF(AND(up_Irr!P8=".",up_Irr!AN8&lt;&gt;".",up_Irr!BL8="."),up_dir!Q8/((1/1000)*(up_Irr!AN8)),IF(AND(up_Irr!P8&lt;&gt;".",up_Irr!AN8=".",up_Irr!BL8="."),up_dir!Q8/((1/1000)*(up_Irr!P8)),IF(AND(up_Irr!P8=".",up_Irr!AN8=".",up_Irr!BL8="."),up_dir!Q8*1000)))))))),".")</f>
        <v>6.5773651144152131E-4</v>
      </c>
      <c r="R8" s="48">
        <f>IFERROR(IF(AND(up_Irr!Q8&lt;&gt;".",up_Irr!AO8&lt;&gt;".",up_Irr!BM8&lt;&gt;"."),up_dir!R8/((1/1000)*(up_Irr!Q8+up_Irr!AO8+up_Irr!BM8)),IF(AND(up_Irr!Q8&lt;&gt;".",up_Irr!AO8&lt;&gt;".",up_Irr!BM8="."),up_dir!R8/((1/1000)*(up_Irr!Q8+up_Irr!AO8)),IF(AND(up_Irr!Q8&lt;&gt;".",up_Irr!AO8=".",up_Irr!BM8&lt;&gt;"."),up_dir!R8/((1/1000)*(up_Irr!Q8+up_Irr!BM8)),IF(AND(up_Irr!Q8=".",up_Irr!AO8&lt;&gt;".",up_Irr!BM8&lt;&gt;"."),up_dir!R8/((1/1000)*(up_Irr!AO8+up_Irr!BM8)),IF(AND(up_Irr!Q8=".",up_Irr!AO8=".",up_Irr!BM8&lt;&gt;"."),up_dir!R8/((1/1000)*(up_Irr!BM8)),IF(AND(up_Irr!Q8=".",up_Irr!AO8&lt;&gt;".",up_Irr!BM8="."),up_dir!R8/((1/1000)*(up_Irr!AO8)),IF(AND(up_Irr!Q8&lt;&gt;".",up_Irr!AO8=".",up_Irr!BM8="."),up_dir!R8/((1/1000)*(up_Irr!Q8)),IF(AND(up_Irr!Q8=".",up_Irr!AO8=".",up_Irr!BM8="."),up_dir!R8*1000)))))))),".")</f>
        <v>6.5773651144152131E-4</v>
      </c>
      <c r="S8" s="48">
        <f>IFERROR(IF(AND(up_Irr!R8&lt;&gt;".",up_Irr!AP8&lt;&gt;".",up_Irr!BN8&lt;&gt;"."),up_dir!S8/((1/1000)*(up_Irr!R8+up_Irr!AP8+up_Irr!BN8)),IF(AND(up_Irr!R8&lt;&gt;".",up_Irr!AP8&lt;&gt;".",up_Irr!BN8="."),up_dir!S8/((1/1000)*(up_Irr!R8+up_Irr!AP8)),IF(AND(up_Irr!R8&lt;&gt;".",up_Irr!AP8=".",up_Irr!BN8&lt;&gt;"."),up_dir!S8/((1/1000)*(up_Irr!R8+up_Irr!BN8)),IF(AND(up_Irr!R8=".",up_Irr!AP8&lt;&gt;".",up_Irr!BN8&lt;&gt;"."),up_dir!S8/((1/1000)*(up_Irr!AP8+up_Irr!BN8)),IF(AND(up_Irr!R8=".",up_Irr!AP8=".",up_Irr!BN8&lt;&gt;"."),up_dir!S8/((1/1000)*(up_Irr!BN8)),IF(AND(up_Irr!R8=".",up_Irr!AP8&lt;&gt;".",up_Irr!BN8="."),up_dir!S8/((1/1000)*(up_Irr!AP8)),IF(AND(up_Irr!R8&lt;&gt;".",up_Irr!AP8=".",up_Irr!BN8="."),up_dir!S8/((1/1000)*(up_Irr!R8)),IF(AND(up_Irr!R8=".",up_Irr!AP8=".",up_Irr!BN8="."),up_dir!S8*1000)))))))),".")</f>
        <v>6.5773651144152131E-4</v>
      </c>
      <c r="T8" s="48">
        <f>IFERROR(IF(AND(up_Irr!S8&lt;&gt;".",up_Irr!AQ8&lt;&gt;".",up_Irr!BO8&lt;&gt;"."),up_dir!T8/((1/1000)*(up_Irr!S8+up_Irr!AQ8+up_Irr!BO8)),IF(AND(up_Irr!S8&lt;&gt;".",up_Irr!AQ8&lt;&gt;".",up_Irr!BO8="."),up_dir!T8/((1/1000)*(up_Irr!S8+up_Irr!AQ8)),IF(AND(up_Irr!S8&lt;&gt;".",up_Irr!AQ8=".",up_Irr!BO8&lt;&gt;"."),up_dir!T8/((1/1000)*(up_Irr!S8+up_Irr!BO8)),IF(AND(up_Irr!S8=".",up_Irr!AQ8&lt;&gt;".",up_Irr!BO8&lt;&gt;"."),up_dir!T8/((1/1000)*(up_Irr!AQ8+up_Irr!BO8)),IF(AND(up_Irr!S8=".",up_Irr!AQ8=".",up_Irr!BO8&lt;&gt;"."),up_dir!T8/((1/1000)*(up_Irr!BO8)),IF(AND(up_Irr!S8=".",up_Irr!AQ8&lt;&gt;".",up_Irr!BO8="."),up_dir!T8/((1/1000)*(up_Irr!AQ8)),IF(AND(up_Irr!S8&lt;&gt;".",up_Irr!AQ8=".",up_Irr!BO8="."),up_dir!T8/((1/1000)*(up_Irr!S8)),IF(AND(up_Irr!S8=".",up_Irr!AQ8=".",up_Irr!BO8="."),up_dir!T8*1000)))))))),".")</f>
        <v>6.5773651144152131E-4</v>
      </c>
      <c r="U8" s="48">
        <f>IFERROR(IF(AND(up_Irr!T8&lt;&gt;".",up_Irr!AR8&lt;&gt;".",up_Irr!BP8&lt;&gt;"."),up_dir!U8/((1/1000)*(up_Irr!T8+up_Irr!AR8+up_Irr!BP8)),IF(AND(up_Irr!T8&lt;&gt;".",up_Irr!AR8&lt;&gt;".",up_Irr!BP8="."),up_dir!U8/((1/1000)*(up_Irr!T8+up_Irr!AR8)),IF(AND(up_Irr!T8&lt;&gt;".",up_Irr!AR8=".",up_Irr!BP8&lt;&gt;"."),up_dir!U8/((1/1000)*(up_Irr!T8+up_Irr!BP8)),IF(AND(up_Irr!T8=".",up_Irr!AR8&lt;&gt;".",up_Irr!BP8&lt;&gt;"."),up_dir!U8/((1/1000)*(up_Irr!AR8+up_Irr!BP8)),IF(AND(up_Irr!T8=".",up_Irr!AR8=".",up_Irr!BP8&lt;&gt;"."),up_dir!U8/((1/1000)*(up_Irr!BP8)),IF(AND(up_Irr!T8=".",up_Irr!AR8&lt;&gt;".",up_Irr!BP8="."),up_dir!U8/((1/1000)*(up_Irr!AR8)),IF(AND(up_Irr!T8&lt;&gt;".",up_Irr!AR8=".",up_Irr!BP8="."),up_dir!U8/((1/1000)*(up_Irr!T8)),IF(AND(up_Irr!T8=".",up_Irr!AR8=".",up_Irr!BP8="."),up_dir!U8*1000)))))))),".")</f>
        <v>6.5773651144152131E-4</v>
      </c>
      <c r="V8" s="48">
        <f>IFERROR(IF(AND(up_Irr!U8&lt;&gt;".",up_Irr!AS8&lt;&gt;".",up_Irr!BQ8&lt;&gt;"."),up_dir!V8/((1/1000)*(up_Irr!U8+up_Irr!AS8+up_Irr!BQ8)),IF(AND(up_Irr!U8&lt;&gt;".",up_Irr!AS8&lt;&gt;".",up_Irr!BQ8="."),up_dir!V8/((1/1000)*(up_Irr!U8+up_Irr!AS8)),IF(AND(up_Irr!U8&lt;&gt;".",up_Irr!AS8=".",up_Irr!BQ8&lt;&gt;"."),up_dir!V8/((1/1000)*(up_Irr!U8+up_Irr!BQ8)),IF(AND(up_Irr!U8=".",up_Irr!AS8&lt;&gt;".",up_Irr!BQ8&lt;&gt;"."),up_dir!V8/((1/1000)*(up_Irr!AS8+up_Irr!BQ8)),IF(AND(up_Irr!U8=".",up_Irr!AS8=".",up_Irr!BQ8&lt;&gt;"."),up_dir!V8/((1/1000)*(up_Irr!BQ8)),IF(AND(up_Irr!U8=".",up_Irr!AS8&lt;&gt;".",up_Irr!BQ8="."),up_dir!V8/((1/1000)*(up_Irr!AS8)),IF(AND(up_Irr!U8&lt;&gt;".",up_Irr!AS8=".",up_Irr!BQ8="."),up_dir!V8/((1/1000)*(up_Irr!U8)),IF(AND(up_Irr!U8=".",up_Irr!AS8=".",up_Irr!BQ8="."),up_dir!V8*1000)))))))),".")</f>
        <v>6.5773651144152131E-4</v>
      </c>
      <c r="W8" s="48">
        <f>IFERROR(IF(AND(up_Irr!V8&lt;&gt;".",up_Irr!AT8&lt;&gt;".",up_Irr!BR8&lt;&gt;"."),up_dir!W8/((1/1000)*(up_Irr!V8+up_Irr!AT8+up_Irr!BR8)),IF(AND(up_Irr!V8&lt;&gt;".",up_Irr!AT8&lt;&gt;".",up_Irr!BR8="."),up_dir!W8/((1/1000)*(up_Irr!V8+up_Irr!AT8)),IF(AND(up_Irr!V8&lt;&gt;".",up_Irr!AT8=".",up_Irr!BR8&lt;&gt;"."),up_dir!W8/((1/1000)*(up_Irr!V8+up_Irr!BR8)),IF(AND(up_Irr!V8=".",up_Irr!AT8&lt;&gt;".",up_Irr!BR8&lt;&gt;"."),up_dir!W8/((1/1000)*(up_Irr!AT8+up_Irr!BR8)),IF(AND(up_Irr!V8=".",up_Irr!AT8=".",up_Irr!BR8&lt;&gt;"."),up_dir!W8/((1/1000)*(up_Irr!BR8)),IF(AND(up_Irr!V8=".",up_Irr!AT8&lt;&gt;".",up_Irr!BR8="."),up_dir!W8/((1/1000)*(up_Irr!AT8)),IF(AND(up_Irr!V8&lt;&gt;".",up_Irr!AT8=".",up_Irr!BR8="."),up_dir!W8/((1/1000)*(up_Irr!V8)),IF(AND(up_Irr!V8=".",up_Irr!AT8=".",up_Irr!BR8="."),up_dir!W8*1000)))))))),".")</f>
        <v>6.5773651144152131E-4</v>
      </c>
      <c r="X8" s="48">
        <f>IFERROR(IF(AND(up_Irr!W8&lt;&gt;".",up_Irr!AU8&lt;&gt;".",up_Irr!BS8&lt;&gt;"."),up_dir!X8/((1/1000)*(up_Irr!W8+up_Irr!AU8+up_Irr!BS8)),IF(AND(up_Irr!W8&lt;&gt;".",up_Irr!AU8&lt;&gt;".",up_Irr!BS8="."),up_dir!X8/((1/1000)*(up_Irr!W8+up_Irr!AU8)),IF(AND(up_Irr!W8&lt;&gt;".",up_Irr!AU8=".",up_Irr!BS8&lt;&gt;"."),up_dir!X8/((1/1000)*(up_Irr!W8+up_Irr!BS8)),IF(AND(up_Irr!W8=".",up_Irr!AU8&lt;&gt;".",up_Irr!BS8&lt;&gt;"."),up_dir!X8/((1/1000)*(up_Irr!AU8+up_Irr!BS8)),IF(AND(up_Irr!W8=".",up_Irr!AU8=".",up_Irr!BS8&lt;&gt;"."),up_dir!X8/((1/1000)*(up_Irr!BS8)),IF(AND(up_Irr!W8=".",up_Irr!AU8&lt;&gt;".",up_Irr!BS8="."),up_dir!X8/((1/1000)*(up_Irr!AU8)),IF(AND(up_Irr!W8&lt;&gt;".",up_Irr!AU8=".",up_Irr!BS8="."),up_dir!X8/((1/1000)*(up_Irr!W8)),IF(AND(up_Irr!W8=".",up_Irr!AU8=".",up_Irr!BS8="."),up_dir!X8*1000)))))))),".")</f>
        <v>6.5773651144152131E-4</v>
      </c>
      <c r="Y8" s="48">
        <f>IFERROR(IF(AND(up_Irr!X8&lt;&gt;".",up_Irr!AV8&lt;&gt;".",up_Irr!BT8&lt;&gt;"."),up_dir!Y8/((1/1000)*(up_Irr!X8+up_Irr!AV8+up_Irr!BT8)),IF(AND(up_Irr!X8&lt;&gt;".",up_Irr!AV8&lt;&gt;".",up_Irr!BT8="."),up_dir!Y8/((1/1000)*(up_Irr!X8+up_Irr!AV8)),IF(AND(up_Irr!X8&lt;&gt;".",up_Irr!AV8=".",up_Irr!BT8&lt;&gt;"."),up_dir!Y8/((1/1000)*(up_Irr!X8+up_Irr!BT8)),IF(AND(up_Irr!X8=".",up_Irr!AV8&lt;&gt;".",up_Irr!BT8&lt;&gt;"."),up_dir!Y8/((1/1000)*(up_Irr!AV8+up_Irr!BT8)),IF(AND(up_Irr!X8=".",up_Irr!AV8=".",up_Irr!BT8&lt;&gt;"."),up_dir!Y8/((1/1000)*(up_Irr!BT8)),IF(AND(up_Irr!X8=".",up_Irr!AV8&lt;&gt;".",up_Irr!BT8="."),up_dir!Y8/((1/1000)*(up_Irr!AV8)),IF(AND(up_Irr!X8&lt;&gt;".",up_Irr!AV8=".",up_Irr!BT8="."),up_dir!Y8/((1/1000)*(up_Irr!X8)),IF(AND(up_Irr!X8=".",up_Irr!AV8=".",up_Irr!BT8="."),up_dir!Y8*1000)))))))),".")</f>
        <v>6.5773651144152131E-4</v>
      </c>
      <c r="Z8" s="48">
        <f>IFERROR(IF(AND(up_Irr!Y8&lt;&gt;".",up_Irr!AW8&lt;&gt;".",up_Irr!BU8&lt;&gt;"."),up_dir!Z8/((1/1000)*(up_Irr!Y8+up_Irr!AW8+up_Irr!BU8)),IF(AND(up_Irr!Y8&lt;&gt;".",up_Irr!AW8&lt;&gt;".",up_Irr!BU8="."),up_dir!Z8/((1/1000)*(up_Irr!Y8+up_Irr!AW8)),IF(AND(up_Irr!Y8&lt;&gt;".",up_Irr!AW8=".",up_Irr!BU8&lt;&gt;"."),up_dir!Z8/((1/1000)*(up_Irr!Y8+up_Irr!BU8)),IF(AND(up_Irr!Y8=".",up_Irr!AW8&lt;&gt;".",up_Irr!BU8&lt;&gt;"."),up_dir!Z8/((1/1000)*(up_Irr!AW8+up_Irr!BU8)),IF(AND(up_Irr!Y8=".",up_Irr!AW8=".",up_Irr!BU8&lt;&gt;"."),up_dir!Z8/((1/1000)*(up_Irr!BU8)),IF(AND(up_Irr!Y8=".",up_Irr!AW8&lt;&gt;".",up_Irr!BU8="."),up_dir!Z8/((1/1000)*(up_Irr!AW8)),IF(AND(up_Irr!Y8&lt;&gt;".",up_Irr!AW8=".",up_Irr!BU8="."),up_dir!Z8/((1/1000)*(up_Irr!Y8)),IF(AND(up_Irr!Y8=".",up_Irr!AW8=".",up_Irr!BU8="."),up_dir!Z8*1000)))))))),".")</f>
        <v>6.5773651144152131E-4</v>
      </c>
      <c r="AA8" s="48">
        <f>IFERROR(IF(AND(up_Irr!Z8&lt;&gt;".",up_Irr!AX8&lt;&gt;".",up_Irr!BV8&lt;&gt;"."),up_dir!AA8/((1/1000)*(up_Irr!Z8+up_Irr!AX8+up_Irr!BV8)),IF(AND(up_Irr!Z8&lt;&gt;".",up_Irr!AX8&lt;&gt;".",up_Irr!BV8="."),up_dir!AA8/((1/1000)*(up_Irr!Z8+up_Irr!AX8)),IF(AND(up_Irr!Z8&lt;&gt;".",up_Irr!AX8=".",up_Irr!BV8&lt;&gt;"."),up_dir!AA8/((1/1000)*(up_Irr!Z8+up_Irr!BV8)),IF(AND(up_Irr!Z8=".",up_Irr!AX8&lt;&gt;".",up_Irr!BV8&lt;&gt;"."),up_dir!AA8/((1/1000)*(up_Irr!AX8+up_Irr!BV8)),IF(AND(up_Irr!Z8=".",up_Irr!AX8=".",up_Irr!BV8&lt;&gt;"."),up_dir!AA8/((1/1000)*(up_Irr!BV8)),IF(AND(up_Irr!Z8=".",up_Irr!AX8&lt;&gt;".",up_Irr!BV8="."),up_dir!AA8/((1/1000)*(up_Irr!AX8)),IF(AND(up_Irr!Z8&lt;&gt;".",up_Irr!AX8=".",up_Irr!BV8="."),up_dir!AA8/((1/1000)*(up_Irr!Z8)),IF(AND(up_Irr!Z8=".",up_Irr!AX8=".",up_Irr!BV8="."),up_dir!AA8*1000)))))))),".")</f>
        <v>6.5773651144152131E-4</v>
      </c>
      <c r="AB8" s="62">
        <f t="shared" si="1"/>
        <v>22805.4847785862</v>
      </c>
      <c r="AC8" s="62">
        <f>IFERROR(s_C*s_IFAP_res_adj*s_CF_apple*0.001*(up_Irr!C8+up_Irr!AA8+up_Irr!AY8),".")</f>
        <v>7601.8282595287337</v>
      </c>
      <c r="AD8" s="62">
        <f>IFERROR(s_C*s_IFAS_res_adj*s_CF_asparagus*0.001*(up_Irr!D8+up_Irr!AB8+up_Irr!AZ8),".")</f>
        <v>7601.8282595287337</v>
      </c>
      <c r="AE8" s="62">
        <f>IFERROR(s_C*s_IFBT_res_adj*s_CF_beet*0.001*(up_Irr!E8+up_Irr!AC8+up_Irr!BA8),".")</f>
        <v>7601.8282595287337</v>
      </c>
      <c r="AF8" s="62">
        <f>IFERROR(s_C*s_IFBE_res_adj*s_CF_berries*0.001*(up_Irr!F8+up_Irr!AD8+up_Irr!BB8),".")</f>
        <v>7601.8282595287337</v>
      </c>
      <c r="AG8" s="62">
        <f>IFERROR(s_C*s_IFBR_res_adj*s_CF_broccoli*0.001*(up_Irr!G8+up_Irr!AE8+up_Irr!BC8),".")</f>
        <v>7601.8282595287337</v>
      </c>
      <c r="AH8" s="62">
        <f>IFERROR(s_C*s_IFCB_res_adj*s_CF_cabbage*0.001*(up_Irr!H8+up_Irr!AF8+up_Irr!BD8),".")</f>
        <v>7601.8282595287337</v>
      </c>
      <c r="AI8" s="62">
        <f>IFERROR(s_C*s_IFCR_res_adj*s_CF_carrot*0.001*(up_Irr!I8+up_Irr!AG8+up_Irr!BE8),".")</f>
        <v>7601.8282595287337</v>
      </c>
      <c r="AJ8" s="62">
        <f>IFERROR(s_C*s_IFCI_res_adj*s_CF_citrus*0.001*(up_Irr!J8+up_Irr!AH8+up_Irr!BF8),".")</f>
        <v>7601.8282595287337</v>
      </c>
      <c r="AK8" s="62">
        <f>IFERROR(s_C*s_IFCO_res_adj*s_CF_corn*0.001*(up_Irr!K8+up_Irr!AI8+up_Irr!BG8),".")</f>
        <v>7601.8282595287337</v>
      </c>
      <c r="AL8" s="62">
        <f>IFERROR(s_C*s_IFCU_res_adj*s_CF_cucumber*0.001*(up_Irr!L8+up_Irr!AJ8+up_Irr!BH8),".")</f>
        <v>7601.8282595287337</v>
      </c>
      <c r="AM8" s="62">
        <f>IFERROR(s_C*s_IFLE_res_adj*s_CF_lettuce*0.001*(up_Irr!M8+up_Irr!AK8+up_Irr!BI8),".")</f>
        <v>7601.8282595287337</v>
      </c>
      <c r="AN8" s="62">
        <f>IFERROR(s_C*s_IFLI_res_adj*s_CF_lima_bean*0.001*(up_Irr!N8+up_Irr!AL8+up_Irr!BJ8),".")</f>
        <v>7601.8282595287337</v>
      </c>
      <c r="AO8" s="62">
        <f>IFERROR(s_C*s_IFOK_res_adj*s_CF_okra*0.001*(up_Irr!O8+up_Irr!AM8+up_Irr!BK8),".")</f>
        <v>7601.8282595287337</v>
      </c>
      <c r="AP8" s="62">
        <f>IFERROR(s_C*s_IFON_res_adj*s_CF_onion*0.001*(up_Irr!P8+up_Irr!AN8+up_Irr!BL8),".")</f>
        <v>7601.8282595287337</v>
      </c>
      <c r="AQ8" s="62">
        <f>IFERROR(s_C*s_IFPC_res_adj*s_CF_peach*0.001*(up_Irr!Q8+up_Irr!AO8+up_Irr!BM8),".")</f>
        <v>7601.8282595287337</v>
      </c>
      <c r="AR8" s="62">
        <f>IFERROR(s_C*s_IFPR_res_adj*s_CF_pear*0.001*(up_Irr!R8+up_Irr!AP8+up_Irr!BN8),".")</f>
        <v>7601.8282595287337</v>
      </c>
      <c r="AS8" s="62">
        <f>IFERROR(s_C*s_IFPE_res_adj*s_CF_peas*0.001*(up_Irr!S8+up_Irr!AQ8+up_Irr!BO8),".")</f>
        <v>7601.8282595287337</v>
      </c>
      <c r="AT8" s="62">
        <f>IFERROR(s_C*s_IFPT_res_adj*s_CF_potato*0.001*(up_Irr!T8+up_Irr!AR8+up_Irr!BP8),".")</f>
        <v>7601.8282595287337</v>
      </c>
      <c r="AU8" s="62">
        <f>IFERROR(s_C*s_IFPU_res_adj*s_CF_pumpkin*0.001*(up_Irr!U8+up_Irr!AS8+up_Irr!BQ8),".")</f>
        <v>7601.8282595287337</v>
      </c>
      <c r="AV8" s="62">
        <f>IFERROR(s_C*s_IFSN_res_adj*s_CF_snap_bean*0.001*(up_Irr!V8+up_Irr!AT8+up_Irr!BR8),".")</f>
        <v>7601.8282595287337</v>
      </c>
      <c r="AW8" s="62">
        <f>IFERROR(s_C*s_IFST_res_adj*s_CF_strawberry*0.001*(up_Irr!W8+up_Irr!AU8+up_Irr!BS8),".")</f>
        <v>7601.8282595287337</v>
      </c>
      <c r="AX8" s="62">
        <f>IFERROR(s_C*s_IFTO_res_adj*s_CF_tomato*0.001*(up_Irr!X8+up_Irr!AV8+up_Irr!BT8),".")</f>
        <v>7601.8282595287337</v>
      </c>
      <c r="AY8" s="62">
        <f>IFERROR(s_C*s_IFRI_res_adj*s_CF_rice*0.001*(up_Irr!Y8+up_Irr!AW8+up_Irr!BU8),".")</f>
        <v>7601.8282595287337</v>
      </c>
      <c r="AZ8" s="62">
        <f>IFERROR(s_C*s_IFCG_res_adj*s_CF_cereal*0.001*(up_Irr!Z8+up_Irr!AX8+up_Irr!BV8),".")</f>
        <v>7601.8282595287337</v>
      </c>
      <c r="BA8" s="48">
        <f t="shared" si="2"/>
        <v>2.1924550381384044E-4</v>
      </c>
      <c r="BB8" s="48">
        <f>IFERROR(IF(AND(up_Irr!C8&lt;&gt;".",up_Irr!AA8&lt;&gt;".",up_Irr!AY8&lt;&gt;"."),up_dir!AC8/((1/1000)*(up_Irr!C8+up_Irr!AA8+up_Irr!AY8)),IF(AND(up_Irr!C8&lt;&gt;".",up_Irr!AA8&lt;&gt;".",up_Irr!AY8="."),up_dir!AC8/((1/1000)*(up_Irr!C8+up_Irr!AA8)),IF(AND(up_Irr!C8&lt;&gt;".",up_Irr!AA8=".",up_Irr!AY8&lt;&gt;"."),up_dir!AC8/((1/1000)*(up_Irr!C8+up_Irr!AY8)),IF(AND(up_Irr!C8=".",up_Irr!AA8&lt;&gt;".",up_Irr!AY8&lt;&gt;"."),up_dir!AC8/((1/1000)*(up_Irr!AA8+up_Irr!AY8)),IF(AND(up_Irr!C8=".",up_Irr!AA8=".",up_Irr!AY8&lt;&gt;"."),up_dir!AC8/((1/1000)*(up_Irr!AY8)),IF(AND(up_Irr!C8=".",up_Irr!AA8&lt;&gt;".",up_Irr!AY8="."),up_dir!AC8/((1/1000)*(up_Irr!AA8)),IF(AND(up_Irr!C8&lt;&gt;".",up_Irr!AA8=".",up_Irr!AY8="."),up_dir!AC8/((1/1000)*(up_Irr!C8)),IF(AND(up_Irr!C8=".",up_Irr!AA8=".",up_Irr!AY8="."),up_dir!AC8*1000)))))))),".")</f>
        <v>6.5773651144152131E-4</v>
      </c>
      <c r="BC8" s="48">
        <f>IFERROR(IF(AND(up_Irr!D8&lt;&gt;".",up_Irr!AB8&lt;&gt;".",up_Irr!AZ8&lt;&gt;"."),up_dir!AD8/((1/1000)*(up_Irr!D8+up_Irr!AB8+up_Irr!AZ8)),IF(AND(up_Irr!D8&lt;&gt;".",up_Irr!AB8&lt;&gt;".",up_Irr!AZ8="."),up_dir!AD8/((1/1000)*(up_Irr!D8+up_Irr!AB8)),IF(AND(up_Irr!D8&lt;&gt;".",up_Irr!AB8=".",up_Irr!AZ8&lt;&gt;"."),up_dir!AD8/((1/1000)*(up_Irr!D8+up_Irr!AZ8)),IF(AND(up_Irr!D8=".",up_Irr!AB8&lt;&gt;".",up_Irr!AZ8&lt;&gt;"."),up_dir!AD8/((1/1000)*(up_Irr!AB8+up_Irr!AZ8)),IF(AND(up_Irr!D8=".",up_Irr!AB8=".",up_Irr!AZ8&lt;&gt;"."),up_dir!AD8/((1/1000)*(up_Irr!AZ8)),IF(AND(up_Irr!D8=".",up_Irr!AB8&lt;&gt;".",up_Irr!AZ8="."),up_dir!AD8/((1/1000)*(up_Irr!AB8)),IF(AND(up_Irr!D8&lt;&gt;".",up_Irr!AB8=".",up_Irr!AZ8="."),up_dir!AD8/((1/1000)*(up_Irr!D8)),IF(AND(up_Irr!D8=".",up_Irr!AB8=".",up_Irr!AZ8="."),up_dir!AD8*1000)))))))),".")</f>
        <v>6.5773651144152131E-4</v>
      </c>
      <c r="BD8" s="48">
        <f>IFERROR(IF(AND(up_Irr!E8&lt;&gt;".",up_Irr!AC8&lt;&gt;".",up_Irr!BA8&lt;&gt;"."),up_dir!AE8/((1/1000)*(up_Irr!E8+up_Irr!AC8+up_Irr!BA8)),IF(AND(up_Irr!E8&lt;&gt;".",up_Irr!AC8&lt;&gt;".",up_Irr!BA8="."),up_dir!AE8/((1/1000)*(up_Irr!E8+up_Irr!AC8)),IF(AND(up_Irr!E8&lt;&gt;".",up_Irr!AC8=".",up_Irr!BA8&lt;&gt;"."),up_dir!AE8/((1/1000)*(up_Irr!E8+up_Irr!BA8)),IF(AND(up_Irr!E8=".",up_Irr!AC8&lt;&gt;".",up_Irr!BA8&lt;&gt;"."),up_dir!AE8/((1/1000)*(up_Irr!AC8+up_Irr!BA8)),IF(AND(up_Irr!E8=".",up_Irr!AC8=".",up_Irr!BA8&lt;&gt;"."),up_dir!AE8/((1/1000)*(up_Irr!BA8)),IF(AND(up_Irr!E8=".",up_Irr!AC8&lt;&gt;".",up_Irr!BA8="."),up_dir!AE8/((1/1000)*(up_Irr!AC8)),IF(AND(up_Irr!E8&lt;&gt;".",up_Irr!AC8=".",up_Irr!BA8="."),up_dir!AE8/((1/1000)*(up_Irr!E8)),IF(AND(up_Irr!E8=".",up_Irr!AC8=".",up_Irr!BA8="."),up_dir!AE8*1000)))))))),".")</f>
        <v>6.5773651144152131E-4</v>
      </c>
      <c r="BE8" s="48">
        <f>IFERROR(IF(AND(up_Irr!F8&lt;&gt;".",up_Irr!AD8&lt;&gt;".",up_Irr!BB8&lt;&gt;"."),up_dir!AF8/((1/1000)*(up_Irr!F8+up_Irr!AD8+up_Irr!BB8)),IF(AND(up_Irr!F8&lt;&gt;".",up_Irr!AD8&lt;&gt;".",up_Irr!BB8="."),up_dir!AF8/((1/1000)*(up_Irr!F8+up_Irr!AD8)),IF(AND(up_Irr!F8&lt;&gt;".",up_Irr!AD8=".",up_Irr!BB8&lt;&gt;"."),up_dir!AF8/((1/1000)*(up_Irr!F8+up_Irr!BB8)),IF(AND(up_Irr!F8=".",up_Irr!AD8&lt;&gt;".",up_Irr!BB8&lt;&gt;"."),up_dir!AF8/((1/1000)*(up_Irr!AD8+up_Irr!BB8)),IF(AND(up_Irr!F8=".",up_Irr!AD8=".",up_Irr!BB8&lt;&gt;"."),up_dir!AF8/((1/1000)*(up_Irr!BB8)),IF(AND(up_Irr!F8=".",up_Irr!AD8&lt;&gt;".",up_Irr!BB8="."),up_dir!AF8/((1/1000)*(up_Irr!AD8)),IF(AND(up_Irr!F8&lt;&gt;".",up_Irr!AD8=".",up_Irr!BB8="."),up_dir!AF8/((1/1000)*(up_Irr!F8)),IF(AND(up_Irr!F8=".",up_Irr!AD8=".",up_Irr!BB8="."),up_dir!AF8*1000)))))))),".")</f>
        <v>6.5773651144152131E-4</v>
      </c>
      <c r="BF8" s="48">
        <f>IFERROR(IF(AND(up_Irr!G8&lt;&gt;".",up_Irr!AE8&lt;&gt;".",up_Irr!BC8&lt;&gt;"."),up_dir!AG8/((1/1000)*(up_Irr!G8+up_Irr!AE8+up_Irr!BC8)),IF(AND(up_Irr!G8&lt;&gt;".",up_Irr!AE8&lt;&gt;".",up_Irr!BC8="."),up_dir!AG8/((1/1000)*(up_Irr!G8+up_Irr!AE8)),IF(AND(up_Irr!G8&lt;&gt;".",up_Irr!AE8=".",up_Irr!BC8&lt;&gt;"."),up_dir!AG8/((1/1000)*(up_Irr!G8+up_Irr!BC8)),IF(AND(up_Irr!G8=".",up_Irr!AE8&lt;&gt;".",up_Irr!BC8&lt;&gt;"."),up_dir!AG8/((1/1000)*(up_Irr!AE8+up_Irr!BC8)),IF(AND(up_Irr!G8=".",up_Irr!AE8=".",up_Irr!BC8&lt;&gt;"."),up_dir!AG8/((1/1000)*(up_Irr!BC8)),IF(AND(up_Irr!G8=".",up_Irr!AE8&lt;&gt;".",up_Irr!BC8="."),up_dir!AG8/((1/1000)*(up_Irr!AE8)),IF(AND(up_Irr!G8&lt;&gt;".",up_Irr!AE8=".",up_Irr!BC8="."),up_dir!AG8/((1/1000)*(up_Irr!G8)),IF(AND(up_Irr!G8=".",up_Irr!AE8=".",up_Irr!BC8="."),up_dir!AG8*1000)))))))),".")</f>
        <v>6.5773651144152131E-4</v>
      </c>
      <c r="BG8" s="48">
        <f>IFERROR(IF(AND(up_Irr!H8&lt;&gt;".",up_Irr!AF8&lt;&gt;".",up_Irr!BD8&lt;&gt;"."),up_dir!AH8/((1/1000)*(up_Irr!H8+up_Irr!AF8+up_Irr!BD8)),IF(AND(up_Irr!H8&lt;&gt;".",up_Irr!AF8&lt;&gt;".",up_Irr!BD8="."),up_dir!AH8/((1/1000)*(up_Irr!H8+up_Irr!AF8)),IF(AND(up_Irr!H8&lt;&gt;".",up_Irr!AF8=".",up_Irr!BD8&lt;&gt;"."),up_dir!AH8/((1/1000)*(up_Irr!H8+up_Irr!BD8)),IF(AND(up_Irr!H8=".",up_Irr!AF8&lt;&gt;".",up_Irr!BD8&lt;&gt;"."),up_dir!AH8/((1/1000)*(up_Irr!AF8+up_Irr!BD8)),IF(AND(up_Irr!H8=".",up_Irr!AF8=".",up_Irr!BD8&lt;&gt;"."),up_dir!AH8/((1/1000)*(up_Irr!BD8)),IF(AND(up_Irr!H8=".",up_Irr!AF8&lt;&gt;".",up_Irr!BD8="."),up_dir!AH8/((1/1000)*(up_Irr!AF8)),IF(AND(up_Irr!H8&lt;&gt;".",up_Irr!AF8=".",up_Irr!BD8="."),up_dir!AH8/((1/1000)*(up_Irr!H8)),IF(AND(up_Irr!H8=".",up_Irr!AF8=".",up_Irr!BD8="."),up_dir!AH8*1000)))))))),".")</f>
        <v>6.5773651144152131E-4</v>
      </c>
      <c r="BH8" s="48">
        <f>IFERROR(IF(AND(up_Irr!I8&lt;&gt;".",up_Irr!AG8&lt;&gt;".",up_Irr!BE8&lt;&gt;"."),up_dir!AI8/((1/1000)*(up_Irr!I8+up_Irr!AG8+up_Irr!BE8)),IF(AND(up_Irr!I8&lt;&gt;".",up_Irr!AG8&lt;&gt;".",up_Irr!BE8="."),up_dir!AI8/((1/1000)*(up_Irr!I8+up_Irr!AG8)),IF(AND(up_Irr!I8&lt;&gt;".",up_Irr!AG8=".",up_Irr!BE8&lt;&gt;"."),up_dir!AI8/((1/1000)*(up_Irr!I8+up_Irr!BE8)),IF(AND(up_Irr!I8=".",up_Irr!AG8&lt;&gt;".",up_Irr!BE8&lt;&gt;"."),up_dir!AI8/((1/1000)*(up_Irr!AG8+up_Irr!BE8)),IF(AND(up_Irr!I8=".",up_Irr!AG8=".",up_Irr!BE8&lt;&gt;"."),up_dir!AI8/((1/1000)*(up_Irr!BE8)),IF(AND(up_Irr!I8=".",up_Irr!AG8&lt;&gt;".",up_Irr!BE8="."),up_dir!AI8/((1/1000)*(up_Irr!AG8)),IF(AND(up_Irr!I8&lt;&gt;".",up_Irr!AG8=".",up_Irr!BE8="."),up_dir!AI8/((1/1000)*(up_Irr!I8)),IF(AND(up_Irr!I8=".",up_Irr!AG8=".",up_Irr!BE8="."),up_dir!AI8*1000)))))))),".")</f>
        <v>6.5773651144152131E-4</v>
      </c>
      <c r="BI8" s="48">
        <f>IFERROR(IF(AND(up_Irr!J8&lt;&gt;".",up_Irr!AH8&lt;&gt;".",up_Irr!BF8&lt;&gt;"."),up_dir!AJ8/((1/1000)*(up_Irr!J8+up_Irr!AH8+up_Irr!BF8)),IF(AND(up_Irr!J8&lt;&gt;".",up_Irr!AH8&lt;&gt;".",up_Irr!BF8="."),up_dir!AJ8/((1/1000)*(up_Irr!J8+up_Irr!AH8)),IF(AND(up_Irr!J8&lt;&gt;".",up_Irr!AH8=".",up_Irr!BF8&lt;&gt;"."),up_dir!AJ8/((1/1000)*(up_Irr!J8+up_Irr!BF8)),IF(AND(up_Irr!J8=".",up_Irr!AH8&lt;&gt;".",up_Irr!BF8&lt;&gt;"."),up_dir!AJ8/((1/1000)*(up_Irr!AH8+up_Irr!BF8)),IF(AND(up_Irr!J8=".",up_Irr!AH8=".",up_Irr!BF8&lt;&gt;"."),up_dir!AJ8/((1/1000)*(up_Irr!BF8)),IF(AND(up_Irr!J8=".",up_Irr!AH8&lt;&gt;".",up_Irr!BF8="."),up_dir!AJ8/((1/1000)*(up_Irr!AH8)),IF(AND(up_Irr!J8&lt;&gt;".",up_Irr!AH8=".",up_Irr!BF8="."),up_dir!AJ8/((1/1000)*(up_Irr!J8)),IF(AND(up_Irr!J8=".",up_Irr!AH8=".",up_Irr!BF8="."),up_dir!AJ8*1000)))))))),".")</f>
        <v>6.5773651144152131E-4</v>
      </c>
      <c r="BJ8" s="48">
        <f>IFERROR(IF(AND(up_Irr!K8&lt;&gt;".",up_Irr!AI8&lt;&gt;".",up_Irr!BG8&lt;&gt;"."),up_dir!AK8/((1/1000)*(up_Irr!K8+up_Irr!AI8+up_Irr!BG8)),IF(AND(up_Irr!K8&lt;&gt;".",up_Irr!AI8&lt;&gt;".",up_Irr!BG8="."),up_dir!AK8/((1/1000)*(up_Irr!K8+up_Irr!AI8)),IF(AND(up_Irr!K8&lt;&gt;".",up_Irr!AI8=".",up_Irr!BG8&lt;&gt;"."),up_dir!AK8/((1/1000)*(up_Irr!K8+up_Irr!BG8)),IF(AND(up_Irr!K8=".",up_Irr!AI8&lt;&gt;".",up_Irr!BG8&lt;&gt;"."),up_dir!AK8/((1/1000)*(up_Irr!AI8+up_Irr!BG8)),IF(AND(up_Irr!K8=".",up_Irr!AI8=".",up_Irr!BG8&lt;&gt;"."),up_dir!AK8/((1/1000)*(up_Irr!BG8)),IF(AND(up_Irr!K8=".",up_Irr!AI8&lt;&gt;".",up_Irr!BG8="."),up_dir!AK8/((1/1000)*(up_Irr!AI8)),IF(AND(up_Irr!K8&lt;&gt;".",up_Irr!AI8=".",up_Irr!BG8="."),up_dir!AK8/((1/1000)*(up_Irr!K8)),IF(AND(up_Irr!K8=".",up_Irr!AI8=".",up_Irr!BG8="."),up_dir!AK8*1000)))))))),".")</f>
        <v>6.5773651144152131E-4</v>
      </c>
      <c r="BK8" s="48">
        <f>IFERROR(IF(AND(up_Irr!L8&lt;&gt;".",up_Irr!AJ8&lt;&gt;".",up_Irr!BH8&lt;&gt;"."),up_dir!AL8/((1/1000)*(up_Irr!L8+up_Irr!AJ8+up_Irr!BH8)),IF(AND(up_Irr!L8&lt;&gt;".",up_Irr!AJ8&lt;&gt;".",up_Irr!BH8="."),up_dir!AL8/((1/1000)*(up_Irr!L8+up_Irr!AJ8)),IF(AND(up_Irr!L8&lt;&gt;".",up_Irr!AJ8=".",up_Irr!BH8&lt;&gt;"."),up_dir!AL8/((1/1000)*(up_Irr!L8+up_Irr!BH8)),IF(AND(up_Irr!L8=".",up_Irr!AJ8&lt;&gt;".",up_Irr!BH8&lt;&gt;"."),up_dir!AL8/((1/1000)*(up_Irr!AJ8+up_Irr!BH8)),IF(AND(up_Irr!L8=".",up_Irr!AJ8=".",up_Irr!BH8&lt;&gt;"."),up_dir!AL8/((1/1000)*(up_Irr!BH8)),IF(AND(up_Irr!L8=".",up_Irr!AJ8&lt;&gt;".",up_Irr!BH8="."),up_dir!AL8/((1/1000)*(up_Irr!AJ8)),IF(AND(up_Irr!L8&lt;&gt;".",up_Irr!AJ8=".",up_Irr!BH8="."),up_dir!AL8/((1/1000)*(up_Irr!L8)),IF(AND(up_Irr!L8=".",up_Irr!AJ8=".",up_Irr!BH8="."),up_dir!AL8*1000)))))))),".")</f>
        <v>6.5773651144152131E-4</v>
      </c>
      <c r="BL8" s="48">
        <f>IFERROR(IF(AND(up_Irr!M8&lt;&gt;".",up_Irr!AK8&lt;&gt;".",up_Irr!BI8&lt;&gt;"."),up_dir!AM8/((1/1000)*(up_Irr!M8+up_Irr!AK8+up_Irr!BI8)),IF(AND(up_Irr!M8&lt;&gt;".",up_Irr!AK8&lt;&gt;".",up_Irr!BI8="."),up_dir!AM8/((1/1000)*(up_Irr!M8+up_Irr!AK8)),IF(AND(up_Irr!M8&lt;&gt;".",up_Irr!AK8=".",up_Irr!BI8&lt;&gt;"."),up_dir!AM8/((1/1000)*(up_Irr!M8+up_Irr!BI8)),IF(AND(up_Irr!M8=".",up_Irr!AK8&lt;&gt;".",up_Irr!BI8&lt;&gt;"."),up_dir!AM8/((1/1000)*(up_Irr!AK8+up_Irr!BI8)),IF(AND(up_Irr!M8=".",up_Irr!AK8=".",up_Irr!BI8&lt;&gt;"."),up_dir!AM8/((1/1000)*(up_Irr!BI8)),IF(AND(up_Irr!M8=".",up_Irr!AK8&lt;&gt;".",up_Irr!BI8="."),up_dir!AM8/((1/1000)*(up_Irr!AK8)),IF(AND(up_Irr!M8&lt;&gt;".",up_Irr!AK8=".",up_Irr!BI8="."),up_dir!AM8/((1/1000)*(up_Irr!M8)),IF(AND(up_Irr!M8=".",up_Irr!AK8=".",up_Irr!BI8="."),up_dir!AM8*1000)))))))),".")</f>
        <v>6.5773651144152131E-4</v>
      </c>
      <c r="BM8" s="48">
        <f>IFERROR(IF(AND(up_Irr!N8&lt;&gt;".",up_Irr!AL8&lt;&gt;".",up_Irr!BJ8&lt;&gt;"."),up_dir!AN8/((1/1000)*(up_Irr!N8+up_Irr!AL8+up_Irr!BJ8)),IF(AND(up_Irr!N8&lt;&gt;".",up_Irr!AL8&lt;&gt;".",up_Irr!BJ8="."),up_dir!AN8/((1/1000)*(up_Irr!N8+up_Irr!AL8)),IF(AND(up_Irr!N8&lt;&gt;".",up_Irr!AL8=".",up_Irr!BJ8&lt;&gt;"."),up_dir!AN8/((1/1000)*(up_Irr!N8+up_Irr!BJ8)),IF(AND(up_Irr!N8=".",up_Irr!AL8&lt;&gt;".",up_Irr!BJ8&lt;&gt;"."),up_dir!AN8/((1/1000)*(up_Irr!AL8+up_Irr!BJ8)),IF(AND(up_Irr!N8=".",up_Irr!AL8=".",up_Irr!BJ8&lt;&gt;"."),up_dir!AN8/((1/1000)*(up_Irr!BJ8)),IF(AND(up_Irr!N8=".",up_Irr!AL8&lt;&gt;".",up_Irr!BJ8="."),up_dir!AN8/((1/1000)*(up_Irr!AL8)),IF(AND(up_Irr!N8&lt;&gt;".",up_Irr!AL8=".",up_Irr!BJ8="."),up_dir!AN8/((1/1000)*(up_Irr!N8)),IF(AND(up_Irr!N8=".",up_Irr!AL8=".",up_Irr!BJ8="."),up_dir!AN8*1000)))))))),".")</f>
        <v>6.5773651144152131E-4</v>
      </c>
      <c r="BN8" s="48">
        <f>IFERROR(IF(AND(up_Irr!O8&lt;&gt;".",up_Irr!AM8&lt;&gt;".",up_Irr!BK8&lt;&gt;"."),up_dir!AO8/((1/1000)*(up_Irr!O8+up_Irr!AM8+up_Irr!BK8)),IF(AND(up_Irr!O8&lt;&gt;".",up_Irr!AM8&lt;&gt;".",up_Irr!BK8="."),up_dir!AO8/((1/1000)*(up_Irr!O8+up_Irr!AM8)),IF(AND(up_Irr!O8&lt;&gt;".",up_Irr!AM8=".",up_Irr!BK8&lt;&gt;"."),up_dir!AO8/((1/1000)*(up_Irr!O8+up_Irr!BK8)),IF(AND(up_Irr!O8=".",up_Irr!AM8&lt;&gt;".",up_Irr!BK8&lt;&gt;"."),up_dir!AO8/((1/1000)*(up_Irr!AM8+up_Irr!BK8)),IF(AND(up_Irr!O8=".",up_Irr!AM8=".",up_Irr!BK8&lt;&gt;"."),up_dir!AO8/((1/1000)*(up_Irr!BK8)),IF(AND(up_Irr!O8=".",up_Irr!AM8&lt;&gt;".",up_Irr!BK8="."),up_dir!AO8/((1/1000)*(up_Irr!AM8)),IF(AND(up_Irr!O8&lt;&gt;".",up_Irr!AM8=".",up_Irr!BK8="."),up_dir!AO8/((1/1000)*(up_Irr!O8)),IF(AND(up_Irr!O8=".",up_Irr!AM8=".",up_Irr!BK8="."),up_dir!AO8*1000)))))))),".")</f>
        <v>6.5773651144152131E-4</v>
      </c>
      <c r="BO8" s="48">
        <f>IFERROR(IF(AND(up_Irr!P8&lt;&gt;".",up_Irr!AN8&lt;&gt;".",up_Irr!BL8&lt;&gt;"."),up_dir!AP8/((1/1000)*(up_Irr!P8+up_Irr!AN8+up_Irr!BL8)),IF(AND(up_Irr!P8&lt;&gt;".",up_Irr!AN8&lt;&gt;".",up_Irr!BL8="."),up_dir!AP8/((1/1000)*(up_Irr!P8+up_Irr!AN8)),IF(AND(up_Irr!P8&lt;&gt;".",up_Irr!AN8=".",up_Irr!BL8&lt;&gt;"."),up_dir!AP8/((1/1000)*(up_Irr!P8+up_Irr!BL8)),IF(AND(up_Irr!P8=".",up_Irr!AN8&lt;&gt;".",up_Irr!BL8&lt;&gt;"."),up_dir!AP8/((1/1000)*(up_Irr!AN8+up_Irr!BL8)),IF(AND(up_Irr!P8=".",up_Irr!AN8=".",up_Irr!BL8&lt;&gt;"."),up_dir!AP8/((1/1000)*(up_Irr!BL8)),IF(AND(up_Irr!P8=".",up_Irr!AN8&lt;&gt;".",up_Irr!BL8="."),up_dir!AP8/((1/1000)*(up_Irr!AN8)),IF(AND(up_Irr!P8&lt;&gt;".",up_Irr!AN8=".",up_Irr!BL8="."),up_dir!AP8/((1/1000)*(up_Irr!P8)),IF(AND(up_Irr!P8=".",up_Irr!AN8=".",up_Irr!BL8="."),up_dir!AP8*1000)))))))),".")</f>
        <v>6.5773651144152131E-4</v>
      </c>
      <c r="BP8" s="48">
        <f>IFERROR(IF(AND(up_Irr!Q8&lt;&gt;".",up_Irr!AO8&lt;&gt;".",up_Irr!BM8&lt;&gt;"."),up_dir!AQ8/((1/1000)*(up_Irr!Q8+up_Irr!AO8+up_Irr!BM8)),IF(AND(up_Irr!Q8&lt;&gt;".",up_Irr!AO8&lt;&gt;".",up_Irr!BM8="."),up_dir!AQ8/((1/1000)*(up_Irr!Q8+up_Irr!AO8)),IF(AND(up_Irr!Q8&lt;&gt;".",up_Irr!AO8=".",up_Irr!BM8&lt;&gt;"."),up_dir!AQ8/((1/1000)*(up_Irr!Q8+up_Irr!BM8)),IF(AND(up_Irr!Q8=".",up_Irr!AO8&lt;&gt;".",up_Irr!BM8&lt;&gt;"."),up_dir!AQ8/((1/1000)*(up_Irr!AO8+up_Irr!BM8)),IF(AND(up_Irr!Q8=".",up_Irr!AO8=".",up_Irr!BM8&lt;&gt;"."),up_dir!AQ8/((1/1000)*(up_Irr!BM8)),IF(AND(up_Irr!Q8=".",up_Irr!AO8&lt;&gt;".",up_Irr!BM8="."),up_dir!AQ8/((1/1000)*(up_Irr!AO8)),IF(AND(up_Irr!Q8&lt;&gt;".",up_Irr!AO8=".",up_Irr!BM8="."),up_dir!AQ8/((1/1000)*(up_Irr!Q8)),IF(AND(up_Irr!Q8=".",up_Irr!AO8=".",up_Irr!BM8="."),up_dir!AQ8*1000)))))))),".")</f>
        <v>6.5773651144152131E-4</v>
      </c>
      <c r="BQ8" s="48">
        <f>IFERROR(IF(AND(up_Irr!R8&lt;&gt;".",up_Irr!AP8&lt;&gt;".",up_Irr!BN8&lt;&gt;"."),up_dir!AR8/((1/1000)*(up_Irr!R8+up_Irr!AP8+up_Irr!BN8)),IF(AND(up_Irr!R8&lt;&gt;".",up_Irr!AP8&lt;&gt;".",up_Irr!BN8="."),up_dir!AR8/((1/1000)*(up_Irr!R8+up_Irr!AP8)),IF(AND(up_Irr!R8&lt;&gt;".",up_Irr!AP8=".",up_Irr!BN8&lt;&gt;"."),up_dir!AR8/((1/1000)*(up_Irr!R8+up_Irr!BN8)),IF(AND(up_Irr!R8=".",up_Irr!AP8&lt;&gt;".",up_Irr!BN8&lt;&gt;"."),up_dir!AR8/((1/1000)*(up_Irr!AP8+up_Irr!BN8)),IF(AND(up_Irr!R8=".",up_Irr!AP8=".",up_Irr!BN8&lt;&gt;"."),up_dir!AR8/((1/1000)*(up_Irr!BN8)),IF(AND(up_Irr!R8=".",up_Irr!AP8&lt;&gt;".",up_Irr!BN8="."),up_dir!AR8/((1/1000)*(up_Irr!AP8)),IF(AND(up_Irr!R8&lt;&gt;".",up_Irr!AP8=".",up_Irr!BN8="."),up_dir!AR8/((1/1000)*(up_Irr!R8)),IF(AND(up_Irr!R8=".",up_Irr!AP8=".",up_Irr!BN8="."),up_dir!AR8*1000)))))))),".")</f>
        <v>6.5773651144152131E-4</v>
      </c>
      <c r="BR8" s="48">
        <f>IFERROR(IF(AND(up_Irr!S8&lt;&gt;".",up_Irr!AQ8&lt;&gt;".",up_Irr!BO8&lt;&gt;"."),up_dir!AS8/((1/1000)*(up_Irr!S8+up_Irr!AQ8+up_Irr!BO8)),IF(AND(up_Irr!S8&lt;&gt;".",up_Irr!AQ8&lt;&gt;".",up_Irr!BO8="."),up_dir!AS8/((1/1000)*(up_Irr!S8+up_Irr!AQ8)),IF(AND(up_Irr!S8&lt;&gt;".",up_Irr!AQ8=".",up_Irr!BO8&lt;&gt;"."),up_dir!AS8/((1/1000)*(up_Irr!S8+up_Irr!BO8)),IF(AND(up_Irr!S8=".",up_Irr!AQ8&lt;&gt;".",up_Irr!BO8&lt;&gt;"."),up_dir!AS8/((1/1000)*(up_Irr!AQ8+up_Irr!BO8)),IF(AND(up_Irr!S8=".",up_Irr!AQ8=".",up_Irr!BO8&lt;&gt;"."),up_dir!AS8/((1/1000)*(up_Irr!BO8)),IF(AND(up_Irr!S8=".",up_Irr!AQ8&lt;&gt;".",up_Irr!BO8="."),up_dir!AS8/((1/1000)*(up_Irr!AQ8)),IF(AND(up_Irr!S8&lt;&gt;".",up_Irr!AQ8=".",up_Irr!BO8="."),up_dir!AS8/((1/1000)*(up_Irr!S8)),IF(AND(up_Irr!S8=".",up_Irr!AQ8=".",up_Irr!BO8="."),up_dir!AS8*1000)))))))),".")</f>
        <v>6.5773651144152131E-4</v>
      </c>
      <c r="BS8" s="48">
        <f>IFERROR(IF(AND(up_Irr!T8&lt;&gt;".",up_Irr!AR8&lt;&gt;".",up_Irr!BP8&lt;&gt;"."),up_dir!AT8/((1/1000)*(up_Irr!T8+up_Irr!AR8+up_Irr!BP8)),IF(AND(up_Irr!T8&lt;&gt;".",up_Irr!AR8&lt;&gt;".",up_Irr!BP8="."),up_dir!AT8/((1/1000)*(up_Irr!T8+up_Irr!AR8)),IF(AND(up_Irr!T8&lt;&gt;".",up_Irr!AR8=".",up_Irr!BP8&lt;&gt;"."),up_dir!AT8/((1/1000)*(up_Irr!T8+up_Irr!BP8)),IF(AND(up_Irr!T8=".",up_Irr!AR8&lt;&gt;".",up_Irr!BP8&lt;&gt;"."),up_dir!AT8/((1/1000)*(up_Irr!AR8+up_Irr!BP8)),IF(AND(up_Irr!T8=".",up_Irr!AR8=".",up_Irr!BP8&lt;&gt;"."),up_dir!AT8/((1/1000)*(up_Irr!BP8)),IF(AND(up_Irr!T8=".",up_Irr!AR8&lt;&gt;".",up_Irr!BP8="."),up_dir!AT8/((1/1000)*(up_Irr!AR8)),IF(AND(up_Irr!T8&lt;&gt;".",up_Irr!AR8=".",up_Irr!BP8="."),up_dir!AT8/((1/1000)*(up_Irr!T8)),IF(AND(up_Irr!T8=".",up_Irr!AR8=".",up_Irr!BP8="."),up_dir!AT8*1000)))))))),".")</f>
        <v>6.5773651144152131E-4</v>
      </c>
      <c r="BT8" s="48">
        <f>IFERROR(IF(AND(up_Irr!U8&lt;&gt;".",up_Irr!AS8&lt;&gt;".",up_Irr!BQ8&lt;&gt;"."),up_dir!AU8/((1/1000)*(up_Irr!U8+up_Irr!AS8+up_Irr!BQ8)),IF(AND(up_Irr!U8&lt;&gt;".",up_Irr!AS8&lt;&gt;".",up_Irr!BQ8="."),up_dir!AU8/((1/1000)*(up_Irr!U8+up_Irr!AS8)),IF(AND(up_Irr!U8&lt;&gt;".",up_Irr!AS8=".",up_Irr!BQ8&lt;&gt;"."),up_dir!AU8/((1/1000)*(up_Irr!U8+up_Irr!BQ8)),IF(AND(up_Irr!U8=".",up_Irr!AS8&lt;&gt;".",up_Irr!BQ8&lt;&gt;"."),up_dir!AU8/((1/1000)*(up_Irr!AS8+up_Irr!BQ8)),IF(AND(up_Irr!U8=".",up_Irr!AS8=".",up_Irr!BQ8&lt;&gt;"."),up_dir!AU8/((1/1000)*(up_Irr!BQ8)),IF(AND(up_Irr!U8=".",up_Irr!AS8&lt;&gt;".",up_Irr!BQ8="."),up_dir!AU8/((1/1000)*(up_Irr!AS8)),IF(AND(up_Irr!U8&lt;&gt;".",up_Irr!AS8=".",up_Irr!BQ8="."),up_dir!AU8/((1/1000)*(up_Irr!U8)),IF(AND(up_Irr!U8=".",up_Irr!AS8=".",up_Irr!BQ8="."),up_dir!AU8*1000)))))))),".")</f>
        <v>6.5773651144152131E-4</v>
      </c>
      <c r="BU8" s="48">
        <f>IFERROR(IF(AND(up_Irr!V8&lt;&gt;".",up_Irr!AT8&lt;&gt;".",up_Irr!BR8&lt;&gt;"."),up_dir!AV8/((1/1000)*(up_Irr!V8+up_Irr!AT8+up_Irr!BR8)),IF(AND(up_Irr!V8&lt;&gt;".",up_Irr!AT8&lt;&gt;".",up_Irr!BR8="."),up_dir!AV8/((1/1000)*(up_Irr!V8+up_Irr!AT8)),IF(AND(up_Irr!V8&lt;&gt;".",up_Irr!AT8=".",up_Irr!BR8&lt;&gt;"."),up_dir!AV8/((1/1000)*(up_Irr!V8+up_Irr!BR8)),IF(AND(up_Irr!V8=".",up_Irr!AT8&lt;&gt;".",up_Irr!BR8&lt;&gt;"."),up_dir!AV8/((1/1000)*(up_Irr!AT8+up_Irr!BR8)),IF(AND(up_Irr!V8=".",up_Irr!AT8=".",up_Irr!BR8&lt;&gt;"."),up_dir!AV8/((1/1000)*(up_Irr!BR8)),IF(AND(up_Irr!V8=".",up_Irr!AT8&lt;&gt;".",up_Irr!BR8="."),up_dir!AV8/((1/1000)*(up_Irr!AT8)),IF(AND(up_Irr!V8&lt;&gt;".",up_Irr!AT8=".",up_Irr!BR8="."),up_dir!AV8/((1/1000)*(up_Irr!V8)),IF(AND(up_Irr!V8=".",up_Irr!AT8=".",up_Irr!BR8="."),up_dir!AV8*1000)))))))),".")</f>
        <v>6.5773651144152131E-4</v>
      </c>
      <c r="BV8" s="48">
        <f>IFERROR(IF(AND(up_Irr!W8&lt;&gt;".",up_Irr!AU8&lt;&gt;".",up_Irr!BS8&lt;&gt;"."),up_dir!AW8/((1/1000)*(up_Irr!W8+up_Irr!AU8+up_Irr!BS8)),IF(AND(up_Irr!W8&lt;&gt;".",up_Irr!AU8&lt;&gt;".",up_Irr!BS8="."),up_dir!AW8/((1/1000)*(up_Irr!W8+up_Irr!AU8)),IF(AND(up_Irr!W8&lt;&gt;".",up_Irr!AU8=".",up_Irr!BS8&lt;&gt;"."),up_dir!AW8/((1/1000)*(up_Irr!W8+up_Irr!BS8)),IF(AND(up_Irr!W8=".",up_Irr!AU8&lt;&gt;".",up_Irr!BS8&lt;&gt;"."),up_dir!AW8/((1/1000)*(up_Irr!AU8+up_Irr!BS8)),IF(AND(up_Irr!W8=".",up_Irr!AU8=".",up_Irr!BS8&lt;&gt;"."),up_dir!AW8/((1/1000)*(up_Irr!BS8)),IF(AND(up_Irr!W8=".",up_Irr!AU8&lt;&gt;".",up_Irr!BS8="."),up_dir!AW8/((1/1000)*(up_Irr!AU8)),IF(AND(up_Irr!W8&lt;&gt;".",up_Irr!AU8=".",up_Irr!BS8="."),up_dir!AW8/((1/1000)*(up_Irr!W8)),IF(AND(up_Irr!W8=".",up_Irr!AU8=".",up_Irr!BS8="."),up_dir!AW8*1000)))))))),".")</f>
        <v>6.5773651144152131E-4</v>
      </c>
      <c r="BW8" s="48">
        <f>IFERROR(IF(AND(up_Irr!X8&lt;&gt;".",up_Irr!AV8&lt;&gt;".",up_Irr!BT8&lt;&gt;"."),up_dir!AX8/((1/1000)*(up_Irr!X8+up_Irr!AV8+up_Irr!BT8)),IF(AND(up_Irr!X8&lt;&gt;".",up_Irr!AV8&lt;&gt;".",up_Irr!BT8="."),up_dir!AX8/((1/1000)*(up_Irr!X8+up_Irr!AV8)),IF(AND(up_Irr!X8&lt;&gt;".",up_Irr!AV8=".",up_Irr!BT8&lt;&gt;"."),up_dir!AX8/((1/1000)*(up_Irr!X8+up_Irr!BT8)),IF(AND(up_Irr!X8=".",up_Irr!AV8&lt;&gt;".",up_Irr!BT8&lt;&gt;"."),up_dir!AX8/((1/1000)*(up_Irr!AV8+up_Irr!BT8)),IF(AND(up_Irr!X8=".",up_Irr!AV8=".",up_Irr!BT8&lt;&gt;"."),up_dir!AX8/((1/1000)*(up_Irr!BT8)),IF(AND(up_Irr!X8=".",up_Irr!AV8&lt;&gt;".",up_Irr!BT8="."),up_dir!AX8/((1/1000)*(up_Irr!AV8)),IF(AND(up_Irr!X8&lt;&gt;".",up_Irr!AV8=".",up_Irr!BT8="."),up_dir!AX8/((1/1000)*(up_Irr!X8)),IF(AND(up_Irr!X8=".",up_Irr!AV8=".",up_Irr!BT8="."),up_dir!AX8*1000)))))))),".")</f>
        <v>6.5773651144152131E-4</v>
      </c>
      <c r="BX8" s="48">
        <f>IFERROR(IF(AND(up_Irr!Y8&lt;&gt;".",up_Irr!AW8&lt;&gt;".",up_Irr!BU8&lt;&gt;"."),up_dir!AY8/((1/1000)*(up_Irr!Y8+up_Irr!AW8+up_Irr!BU8)),IF(AND(up_Irr!Y8&lt;&gt;".",up_Irr!AW8&lt;&gt;".",up_Irr!BU8="."),up_dir!AY8/((1/1000)*(up_Irr!Y8+up_Irr!AW8)),IF(AND(up_Irr!Y8&lt;&gt;".",up_Irr!AW8=".",up_Irr!BU8&lt;&gt;"."),up_dir!AY8/((1/1000)*(up_Irr!Y8+up_Irr!BU8)),IF(AND(up_Irr!Y8=".",up_Irr!AW8&lt;&gt;".",up_Irr!BU8&lt;&gt;"."),up_dir!AY8/((1/1000)*(up_Irr!AW8+up_Irr!BU8)),IF(AND(up_Irr!Y8=".",up_Irr!AW8=".",up_Irr!BU8&lt;&gt;"."),up_dir!AY8/((1/1000)*(up_Irr!BU8)),IF(AND(up_Irr!Y8=".",up_Irr!AW8&lt;&gt;".",up_Irr!BU8="."),up_dir!AY8/((1/1000)*(up_Irr!AW8)),IF(AND(up_Irr!Y8&lt;&gt;".",up_Irr!AW8=".",up_Irr!BU8="."),up_dir!AY8/((1/1000)*(up_Irr!Y8)),IF(AND(up_Irr!Y8=".",up_Irr!AW8=".",up_Irr!BU8="."),up_dir!AY8*1000)))))))),".")</f>
        <v>6.5773651144152131E-4</v>
      </c>
      <c r="BY8" s="48">
        <f>IFERROR(IF(AND(up_Irr!Z8&lt;&gt;".",up_Irr!AX8&lt;&gt;".",up_Irr!BV8&lt;&gt;"."),up_dir!AZ8/((1/1000)*(up_Irr!Z8+up_Irr!AX8+up_Irr!BV8)),IF(AND(up_Irr!Z8&lt;&gt;".",up_Irr!AX8&lt;&gt;".",up_Irr!BV8="."),up_dir!AZ8/((1/1000)*(up_Irr!Z8+up_Irr!AX8)),IF(AND(up_Irr!Z8&lt;&gt;".",up_Irr!AX8=".",up_Irr!BV8&lt;&gt;"."),up_dir!AZ8/((1/1000)*(up_Irr!Z8+up_Irr!BV8)),IF(AND(up_Irr!Z8=".",up_Irr!AX8&lt;&gt;".",up_Irr!BV8&lt;&gt;"."),up_dir!AZ8/((1/1000)*(up_Irr!AX8+up_Irr!BV8)),IF(AND(up_Irr!Z8=".",up_Irr!AX8=".",up_Irr!BV8&lt;&gt;"."),up_dir!AZ8/((1/1000)*(up_Irr!BV8)),IF(AND(up_Irr!Z8=".",up_Irr!AX8&lt;&gt;".",up_Irr!BV8="."),up_dir!AZ8/((1/1000)*(up_Irr!AX8)),IF(AND(up_Irr!Z8&lt;&gt;".",up_Irr!AX8=".",up_Irr!BV8="."),up_dir!AZ8/((1/1000)*(up_Irr!Z8)),IF(AND(up_Irr!Z8=".",up_Irr!AX8=".",up_Irr!BV8="."),up_dir!AZ8*1000)))))))),".")</f>
        <v>6.5773651144152131E-4</v>
      </c>
      <c r="BZ8" s="62">
        <f t="shared" si="3"/>
        <v>22805.4847785862</v>
      </c>
      <c r="CA8" s="62">
        <f>IFERROR(s_C*s_IFAP_far_adj*s_CF_apple*(1/1000)*(up_Irr!C8+up_Irr!AA8+up_Irr!AY8),".")</f>
        <v>7601.8282595287337</v>
      </c>
      <c r="CB8" s="62">
        <f>IFERROR(s_C*s_IFAS_far_adj*s_CF_asparagus*(1/1000)*(up_Irr!D8+up_Irr!AB8+up_Irr!AZ8),".")</f>
        <v>7601.8282595287337</v>
      </c>
      <c r="CC8" s="62">
        <f>IFERROR(s_C*s_IFBT_far_adj*s_CF_beet*(1/1000)*(up_Irr!E8+up_Irr!AC8+up_Irr!BA8),".")</f>
        <v>7601.8282595287337</v>
      </c>
      <c r="CD8" s="62">
        <f>IFERROR(s_C*s_IFBE_far_adj*s_CF_berries*(1/1000)*(up_Irr!F8+up_Irr!AD8+up_Irr!BB8),".")</f>
        <v>7601.8282595287337</v>
      </c>
      <c r="CE8" s="62">
        <f>IFERROR(s_C*s_IFBR_far_adj*s_CF_broccoli*(1/1000)*(up_Irr!G8+up_Irr!AE8+up_Irr!BC8),".")</f>
        <v>7601.8282595287337</v>
      </c>
      <c r="CF8" s="62">
        <f>IFERROR(s_C*s_IFCB_far_adj*s_CF_cabbage*(1/1000)*(up_Irr!H8+up_Irr!AF8+up_Irr!BD8),".")</f>
        <v>7601.8282595287337</v>
      </c>
      <c r="CG8" s="62">
        <f>IFERROR(s_C*s_IFCR_far_adj*s_CF_carrot*(1/1000)*(up_Irr!I8+up_Irr!AG8+up_Irr!BE8),".")</f>
        <v>7601.8282595287337</v>
      </c>
      <c r="CH8" s="62">
        <f>IFERROR(s_C*s_IFCI_far_adj*s_CF_citrus*(1/1000)*(up_Irr!J8+up_Irr!AH8+up_Irr!BF8),".")</f>
        <v>7601.8282595287337</v>
      </c>
      <c r="CI8" s="62">
        <f>IFERROR(s_C*s_IFCO_far_adj*s_CF_corn*(1/1000)*(up_Irr!K8+up_Irr!AI8+up_Irr!BG8),".")</f>
        <v>7601.8282595287337</v>
      </c>
      <c r="CJ8" s="62">
        <f>IFERROR(s_C*s_IFCU_far_adj*s_CF_cucumber*(1/1000)*(up_Irr!L8+up_Irr!AJ8+up_Irr!BH8),".")</f>
        <v>7601.8282595287337</v>
      </c>
      <c r="CK8" s="62">
        <f>IFERROR(s_C*s_IFLE_far_adj*s_CF_lettuce*(1/1000)*(up_Irr!M8+up_Irr!AK8+up_Irr!BI8),".")</f>
        <v>7601.8282595287337</v>
      </c>
      <c r="CL8" s="62">
        <f>IFERROR(s_C*s_IFLI_far_adj*s_CF_lima_bean*(1/1000)*(up_Irr!N8+up_Irr!AL8+up_Irr!BJ8),".")</f>
        <v>7601.8282595287337</v>
      </c>
      <c r="CM8" s="62">
        <f>IFERROR(s_C*s_IFOK_far_adj*s_CF_okra*(1/1000)*(up_Irr!O8+up_Irr!AM8+up_Irr!BK8),".")</f>
        <v>7601.8282595287337</v>
      </c>
      <c r="CN8" s="62">
        <f>IFERROR(s_C*s_IFON_far_adj*s_CF_onion*(1/1000)*(up_Irr!P8+up_Irr!AN8+up_Irr!BL8),".")</f>
        <v>7601.8282595287337</v>
      </c>
      <c r="CO8" s="62">
        <f>IFERROR(s_C*s_IFPC_far_adj*s_CF_peach*(1/1000)*(up_Irr!Q8+up_Irr!AO8+up_Irr!BM8),".")</f>
        <v>7601.8282595287337</v>
      </c>
      <c r="CP8" s="62">
        <f>IFERROR(s_C*s_IFPR_far_adj*s_CF_pear*(1/1000)*(up_Irr!R8+up_Irr!AP8+up_Irr!BN8),".")</f>
        <v>7601.8282595287337</v>
      </c>
      <c r="CQ8" s="62">
        <f>IFERROR(s_C*s_IFPE_far_adj*s_CF_peas*(1/1000)*(up_Irr!S8+up_Irr!AQ8+up_Irr!BO8),".")</f>
        <v>7601.8282595287337</v>
      </c>
      <c r="CR8" s="62">
        <f>IFERROR(s_C*s_IFPT_far_adj*s_CF_potato*(1/1000)*(up_Irr!T8+up_Irr!AR8+up_Irr!BP8),".")</f>
        <v>7601.8282595287337</v>
      </c>
      <c r="CS8" s="62">
        <f>IFERROR(s_C*s_IFPU_far_adj*s_CF_pumpkin*(1/1000)*(up_Irr!U8+up_Irr!AS8+up_Irr!BQ8),".")</f>
        <v>7601.8282595287337</v>
      </c>
      <c r="CT8" s="62">
        <f>IFERROR(s_C*s_IFSN_far_adj*s_CF_snap_bean*(1/1000)*(up_Irr!V8+up_Irr!AT8+up_Irr!BR8),".")</f>
        <v>7601.8282595287337</v>
      </c>
      <c r="CU8" s="62">
        <f>IFERROR(s_C*s_IFST_far_adj*s_CF_strawberry*(1/1000)*(up_Irr!W8+up_Irr!AU8+up_Irr!BS8),".")</f>
        <v>7601.8282595287337</v>
      </c>
      <c r="CV8" s="62">
        <f>IFERROR(s_C*s_IFTO_far_adj*s_CF_tomato*(1/1000)*(up_Irr!X8+up_Irr!AV8+up_Irr!BT8),".")</f>
        <v>7601.8282595287337</v>
      </c>
      <c r="CW8" s="62">
        <f>IFERROR(s_C*s_IFRI_far_adj*s_CF_rice*(1/1000)*(up_Irr!Y8+up_Irr!AW8+up_Irr!BU8),".")</f>
        <v>7601.8282595287337</v>
      </c>
      <c r="CX8" s="62">
        <f>IFERROR(s_C*s_IFCG_far_adj*s_CF_cereal*(1/1000)*(up_Irr!Z8+up_Irr!AX8+up_Irr!BV8),".")</f>
        <v>7601.8282595287337</v>
      </c>
    </row>
    <row r="9" spans="1:102" ht="15" customHeight="1" x14ac:dyDescent="0.25">
      <c r="A9" s="61" t="s">
        <v>7</v>
      </c>
      <c r="B9" s="49" t="s">
        <v>1059</v>
      </c>
      <c r="C9" s="48">
        <f t="shared" si="0"/>
        <v>2.1924550381384044E-4</v>
      </c>
      <c r="D9" s="48">
        <f>IFERROR(IF(AND(up_Irr!C9&lt;&gt;".",up_Irr!AA9&lt;&gt;".",up_Irr!AY9&lt;&gt;"."),up_dir!D9/((1/1000)*(up_Irr!C9+up_Irr!AA9+up_Irr!AY9)),IF(AND(up_Irr!C9&lt;&gt;".",up_Irr!AA9&lt;&gt;".",up_Irr!AY9="."),up_dir!D9/((1/1000)*(up_Irr!C9+up_Irr!AA9)),IF(AND(up_Irr!C9&lt;&gt;".",up_Irr!AA9=".",up_Irr!AY9&lt;&gt;"."),up_dir!D9/((1/1000)*(up_Irr!C9+up_Irr!AY9)),IF(AND(up_Irr!C9=".",up_Irr!AA9&lt;&gt;".",up_Irr!AY9&lt;&gt;"."),up_dir!D9/((1/1000)*(up_Irr!AA9+up_Irr!AY9)),IF(AND(up_Irr!C9=".",up_Irr!AA9=".",up_Irr!AY9&lt;&gt;"."),up_dir!D9/((1/1000)*(up_Irr!AY9)),IF(AND(up_Irr!C9=".",up_Irr!AA9&lt;&gt;".",up_Irr!AY9="."),up_dir!D9/((1/1000)*(up_Irr!AA9)),IF(AND(up_Irr!C9&lt;&gt;".",up_Irr!AA9=".",up_Irr!AY9="."),up_dir!D9/((1/1000)*(up_Irr!C9)),IF(AND(up_Irr!C9=".",up_Irr!AA9=".",up_Irr!AY9="."),up_dir!D9*1000)))))))),".")</f>
        <v>6.5773651144152131E-4</v>
      </c>
      <c r="E9" s="48">
        <f>IFERROR(IF(AND(up_Irr!D9&lt;&gt;".",up_Irr!AB9&lt;&gt;".",up_Irr!AZ9&lt;&gt;"."),up_dir!E9/((1/1000)*(up_Irr!D9+up_Irr!AB9+up_Irr!AZ9)),IF(AND(up_Irr!D9&lt;&gt;".",up_Irr!AB9&lt;&gt;".",up_Irr!AZ9="."),up_dir!E9/((1/1000)*(up_Irr!D9+up_Irr!AB9)),IF(AND(up_Irr!D9&lt;&gt;".",up_Irr!AB9=".",up_Irr!AZ9&lt;&gt;"."),up_dir!E9/((1/1000)*(up_Irr!D9+up_Irr!AZ9)),IF(AND(up_Irr!D9=".",up_Irr!AB9&lt;&gt;".",up_Irr!AZ9&lt;&gt;"."),up_dir!E9/((1/1000)*(up_Irr!AB9+up_Irr!AZ9)),IF(AND(up_Irr!D9=".",up_Irr!AB9=".",up_Irr!AZ9&lt;&gt;"."),up_dir!E9/((1/1000)*(up_Irr!AZ9)),IF(AND(up_Irr!D9=".",up_Irr!AB9&lt;&gt;".",up_Irr!AZ9="."),up_dir!E9/((1/1000)*(up_Irr!AB9)),IF(AND(up_Irr!D9&lt;&gt;".",up_Irr!AB9=".",up_Irr!AZ9="."),up_dir!E9/((1/1000)*(up_Irr!D9)),IF(AND(up_Irr!D9=".",up_Irr!AB9=".",up_Irr!AZ9="."),up_dir!E9*1000)))))))),".")</f>
        <v>6.5773651144152131E-4</v>
      </c>
      <c r="F9" s="48">
        <f>IFERROR(IF(AND(up_Irr!E9&lt;&gt;".",up_Irr!AC9&lt;&gt;".",up_Irr!BA9&lt;&gt;"."),up_dir!F9/((1/1000)*(up_Irr!E9+up_Irr!AC9+up_Irr!BA9)),IF(AND(up_Irr!E9&lt;&gt;".",up_Irr!AC9&lt;&gt;".",up_Irr!BA9="."),up_dir!F9/((1/1000)*(up_Irr!E9+up_Irr!AC9)),IF(AND(up_Irr!E9&lt;&gt;".",up_Irr!AC9=".",up_Irr!BA9&lt;&gt;"."),up_dir!F9/((1/1000)*(up_Irr!E9+up_Irr!BA9)),IF(AND(up_Irr!E9=".",up_Irr!AC9&lt;&gt;".",up_Irr!BA9&lt;&gt;"."),up_dir!F9/((1/1000)*(up_Irr!AC9+up_Irr!BA9)),IF(AND(up_Irr!E9=".",up_Irr!AC9=".",up_Irr!BA9&lt;&gt;"."),up_dir!F9/((1/1000)*(up_Irr!BA9)),IF(AND(up_Irr!E9=".",up_Irr!AC9&lt;&gt;".",up_Irr!BA9="."),up_dir!F9/((1/1000)*(up_Irr!AC9)),IF(AND(up_Irr!E9&lt;&gt;".",up_Irr!AC9=".",up_Irr!BA9="."),up_dir!F9/((1/1000)*(up_Irr!E9)),IF(AND(up_Irr!E9=".",up_Irr!AC9=".",up_Irr!BA9="."),up_dir!F9*1000)))))))),".")</f>
        <v>6.5773651144152131E-4</v>
      </c>
      <c r="G9" s="48">
        <f>IFERROR(IF(AND(up_Irr!F9&lt;&gt;".",up_Irr!AD9&lt;&gt;".",up_Irr!BB9&lt;&gt;"."),up_dir!G9/((1/1000)*(up_Irr!F9+up_Irr!AD9+up_Irr!BB9)),IF(AND(up_Irr!F9&lt;&gt;".",up_Irr!AD9&lt;&gt;".",up_Irr!BB9="."),up_dir!G9/((1/1000)*(up_Irr!F9+up_Irr!AD9)),IF(AND(up_Irr!F9&lt;&gt;".",up_Irr!AD9=".",up_Irr!BB9&lt;&gt;"."),up_dir!G9/((1/1000)*(up_Irr!F9+up_Irr!BB9)),IF(AND(up_Irr!F9=".",up_Irr!AD9&lt;&gt;".",up_Irr!BB9&lt;&gt;"."),up_dir!G9/((1/1000)*(up_Irr!AD9+up_Irr!BB9)),IF(AND(up_Irr!F9=".",up_Irr!AD9=".",up_Irr!BB9&lt;&gt;"."),up_dir!G9/((1/1000)*(up_Irr!BB9)),IF(AND(up_Irr!F9=".",up_Irr!AD9&lt;&gt;".",up_Irr!BB9="."),up_dir!G9/((1/1000)*(up_Irr!AD9)),IF(AND(up_Irr!F9&lt;&gt;".",up_Irr!AD9=".",up_Irr!BB9="."),up_dir!G9/((1/1000)*(up_Irr!F9)),IF(AND(up_Irr!F9=".",up_Irr!AD9=".",up_Irr!BB9="."),up_dir!G9*1000)))))))),".")</f>
        <v>6.5773651144152131E-4</v>
      </c>
      <c r="H9" s="48">
        <f>IFERROR(IF(AND(up_Irr!G9&lt;&gt;".",up_Irr!AE9&lt;&gt;".",up_Irr!BC9&lt;&gt;"."),up_dir!H9/((1/1000)*(up_Irr!G9+up_Irr!AE9+up_Irr!BC9)),IF(AND(up_Irr!G9&lt;&gt;".",up_Irr!AE9&lt;&gt;".",up_Irr!BC9="."),up_dir!H9/((1/1000)*(up_Irr!G9+up_Irr!AE9)),IF(AND(up_Irr!G9&lt;&gt;".",up_Irr!AE9=".",up_Irr!BC9&lt;&gt;"."),up_dir!H9/((1/1000)*(up_Irr!G9+up_Irr!BC9)),IF(AND(up_Irr!G9=".",up_Irr!AE9&lt;&gt;".",up_Irr!BC9&lt;&gt;"."),up_dir!H9/((1/1000)*(up_Irr!AE9+up_Irr!BC9)),IF(AND(up_Irr!G9=".",up_Irr!AE9=".",up_Irr!BC9&lt;&gt;"."),up_dir!H9/((1/1000)*(up_Irr!BC9)),IF(AND(up_Irr!G9=".",up_Irr!AE9&lt;&gt;".",up_Irr!BC9="."),up_dir!H9/((1/1000)*(up_Irr!AE9)),IF(AND(up_Irr!G9&lt;&gt;".",up_Irr!AE9=".",up_Irr!BC9="."),up_dir!H9/((1/1000)*(up_Irr!G9)),IF(AND(up_Irr!G9=".",up_Irr!AE9=".",up_Irr!BC9="."),up_dir!H9*1000)))))))),".")</f>
        <v>6.5773651144152131E-4</v>
      </c>
      <c r="I9" s="48">
        <f>IFERROR(IF(AND(up_Irr!H9&lt;&gt;".",up_Irr!AF9&lt;&gt;".",up_Irr!BD9&lt;&gt;"."),up_dir!I9/((1/1000)*(up_Irr!H9+up_Irr!AF9+up_Irr!BD9)),IF(AND(up_Irr!H9&lt;&gt;".",up_Irr!AF9&lt;&gt;".",up_Irr!BD9="."),up_dir!I9/((1/1000)*(up_Irr!H9+up_Irr!AF9)),IF(AND(up_Irr!H9&lt;&gt;".",up_Irr!AF9=".",up_Irr!BD9&lt;&gt;"."),up_dir!I9/((1/1000)*(up_Irr!H9+up_Irr!BD9)),IF(AND(up_Irr!H9=".",up_Irr!AF9&lt;&gt;".",up_Irr!BD9&lt;&gt;"."),up_dir!I9/((1/1000)*(up_Irr!AF9+up_Irr!BD9)),IF(AND(up_Irr!H9=".",up_Irr!AF9=".",up_Irr!BD9&lt;&gt;"."),up_dir!I9/((1/1000)*(up_Irr!BD9)),IF(AND(up_Irr!H9=".",up_Irr!AF9&lt;&gt;".",up_Irr!BD9="."),up_dir!I9/((1/1000)*(up_Irr!AF9)),IF(AND(up_Irr!H9&lt;&gt;".",up_Irr!AF9=".",up_Irr!BD9="."),up_dir!I9/((1/1000)*(up_Irr!H9)),IF(AND(up_Irr!H9=".",up_Irr!AF9=".",up_Irr!BD9="."),up_dir!I9*1000)))))))),".")</f>
        <v>6.5773651144152131E-4</v>
      </c>
      <c r="J9" s="48">
        <f>IFERROR(IF(AND(up_Irr!I9&lt;&gt;".",up_Irr!AG9&lt;&gt;".",up_Irr!BE9&lt;&gt;"."),up_dir!J9/((1/1000)*(up_Irr!I9+up_Irr!AG9+up_Irr!BE9)),IF(AND(up_Irr!I9&lt;&gt;".",up_Irr!AG9&lt;&gt;".",up_Irr!BE9="."),up_dir!J9/((1/1000)*(up_Irr!I9+up_Irr!AG9)),IF(AND(up_Irr!I9&lt;&gt;".",up_Irr!AG9=".",up_Irr!BE9&lt;&gt;"."),up_dir!J9/((1/1000)*(up_Irr!I9+up_Irr!BE9)),IF(AND(up_Irr!I9=".",up_Irr!AG9&lt;&gt;".",up_Irr!BE9&lt;&gt;"."),up_dir!J9/((1/1000)*(up_Irr!AG9+up_Irr!BE9)),IF(AND(up_Irr!I9=".",up_Irr!AG9=".",up_Irr!BE9&lt;&gt;"."),up_dir!J9/((1/1000)*(up_Irr!BE9)),IF(AND(up_Irr!I9=".",up_Irr!AG9&lt;&gt;".",up_Irr!BE9="."),up_dir!J9/((1/1000)*(up_Irr!AG9)),IF(AND(up_Irr!I9&lt;&gt;".",up_Irr!AG9=".",up_Irr!BE9="."),up_dir!J9/((1/1000)*(up_Irr!I9)),IF(AND(up_Irr!I9=".",up_Irr!AG9=".",up_Irr!BE9="."),up_dir!J9*1000)))))))),".")</f>
        <v>6.5773651144152131E-4</v>
      </c>
      <c r="K9" s="48">
        <f>IFERROR(IF(AND(up_Irr!J9&lt;&gt;".",up_Irr!AH9&lt;&gt;".",up_Irr!BF9&lt;&gt;"."),up_dir!K9/((1/1000)*(up_Irr!J9+up_Irr!AH9+up_Irr!BF9)),IF(AND(up_Irr!J9&lt;&gt;".",up_Irr!AH9&lt;&gt;".",up_Irr!BF9="."),up_dir!K9/((1/1000)*(up_Irr!J9+up_Irr!AH9)),IF(AND(up_Irr!J9&lt;&gt;".",up_Irr!AH9=".",up_Irr!BF9&lt;&gt;"."),up_dir!K9/((1/1000)*(up_Irr!J9+up_Irr!BF9)),IF(AND(up_Irr!J9=".",up_Irr!AH9&lt;&gt;".",up_Irr!BF9&lt;&gt;"."),up_dir!K9/((1/1000)*(up_Irr!AH9+up_Irr!BF9)),IF(AND(up_Irr!J9=".",up_Irr!AH9=".",up_Irr!BF9&lt;&gt;"."),up_dir!K9/((1/1000)*(up_Irr!BF9)),IF(AND(up_Irr!J9=".",up_Irr!AH9&lt;&gt;".",up_Irr!BF9="."),up_dir!K9/((1/1000)*(up_Irr!AH9)),IF(AND(up_Irr!J9&lt;&gt;".",up_Irr!AH9=".",up_Irr!BF9="."),up_dir!K9/((1/1000)*(up_Irr!J9)),IF(AND(up_Irr!J9=".",up_Irr!AH9=".",up_Irr!BF9="."),up_dir!K9*1000)))))))),".")</f>
        <v>6.5773651144152131E-4</v>
      </c>
      <c r="L9" s="48">
        <f>IFERROR(IF(AND(up_Irr!K9&lt;&gt;".",up_Irr!AI9&lt;&gt;".",up_Irr!BG9&lt;&gt;"."),up_dir!L9/((1/1000)*(up_Irr!K9+up_Irr!AI9+up_Irr!BG9)),IF(AND(up_Irr!K9&lt;&gt;".",up_Irr!AI9&lt;&gt;".",up_Irr!BG9="."),up_dir!L9/((1/1000)*(up_Irr!K9+up_Irr!AI9)),IF(AND(up_Irr!K9&lt;&gt;".",up_Irr!AI9=".",up_Irr!BG9&lt;&gt;"."),up_dir!L9/((1/1000)*(up_Irr!K9+up_Irr!BG9)),IF(AND(up_Irr!K9=".",up_Irr!AI9&lt;&gt;".",up_Irr!BG9&lt;&gt;"."),up_dir!L9/((1/1000)*(up_Irr!AI9+up_Irr!BG9)),IF(AND(up_Irr!K9=".",up_Irr!AI9=".",up_Irr!BG9&lt;&gt;"."),up_dir!L9/((1/1000)*(up_Irr!BG9)),IF(AND(up_Irr!K9=".",up_Irr!AI9&lt;&gt;".",up_Irr!BG9="."),up_dir!L9/((1/1000)*(up_Irr!AI9)),IF(AND(up_Irr!K9&lt;&gt;".",up_Irr!AI9=".",up_Irr!BG9="."),up_dir!L9/((1/1000)*(up_Irr!K9)),IF(AND(up_Irr!K9=".",up_Irr!AI9=".",up_Irr!BG9="."),up_dir!L9*1000)))))))),".")</f>
        <v>6.5773651144152131E-4</v>
      </c>
      <c r="M9" s="48">
        <f>IFERROR(IF(AND(up_Irr!L9&lt;&gt;".",up_Irr!AJ9&lt;&gt;".",up_Irr!BH9&lt;&gt;"."),up_dir!M9/((1/1000)*(up_Irr!L9+up_Irr!AJ9+up_Irr!BH9)),IF(AND(up_Irr!L9&lt;&gt;".",up_Irr!AJ9&lt;&gt;".",up_Irr!BH9="."),up_dir!M9/((1/1000)*(up_Irr!L9+up_Irr!AJ9)),IF(AND(up_Irr!L9&lt;&gt;".",up_Irr!AJ9=".",up_Irr!BH9&lt;&gt;"."),up_dir!M9/((1/1000)*(up_Irr!L9+up_Irr!BH9)),IF(AND(up_Irr!L9=".",up_Irr!AJ9&lt;&gt;".",up_Irr!BH9&lt;&gt;"."),up_dir!M9/((1/1000)*(up_Irr!AJ9+up_Irr!BH9)),IF(AND(up_Irr!L9=".",up_Irr!AJ9=".",up_Irr!BH9&lt;&gt;"."),up_dir!M9/((1/1000)*(up_Irr!BH9)),IF(AND(up_Irr!L9=".",up_Irr!AJ9&lt;&gt;".",up_Irr!BH9="."),up_dir!M9/((1/1000)*(up_Irr!AJ9)),IF(AND(up_Irr!L9&lt;&gt;".",up_Irr!AJ9=".",up_Irr!BH9="."),up_dir!M9/((1/1000)*(up_Irr!L9)),IF(AND(up_Irr!L9=".",up_Irr!AJ9=".",up_Irr!BH9="."),up_dir!M9*1000)))))))),".")</f>
        <v>6.5773651144152131E-4</v>
      </c>
      <c r="N9" s="48">
        <f>IFERROR(IF(AND(up_Irr!M9&lt;&gt;".",up_Irr!AK9&lt;&gt;".",up_Irr!BI9&lt;&gt;"."),up_dir!N9/((1/1000)*(up_Irr!M9+up_Irr!AK9+up_Irr!BI9)),IF(AND(up_Irr!M9&lt;&gt;".",up_Irr!AK9&lt;&gt;".",up_Irr!BI9="."),up_dir!N9/((1/1000)*(up_Irr!M9+up_Irr!AK9)),IF(AND(up_Irr!M9&lt;&gt;".",up_Irr!AK9=".",up_Irr!BI9&lt;&gt;"."),up_dir!N9/((1/1000)*(up_Irr!M9+up_Irr!BI9)),IF(AND(up_Irr!M9=".",up_Irr!AK9&lt;&gt;".",up_Irr!BI9&lt;&gt;"."),up_dir!N9/((1/1000)*(up_Irr!AK9+up_Irr!BI9)),IF(AND(up_Irr!M9=".",up_Irr!AK9=".",up_Irr!BI9&lt;&gt;"."),up_dir!N9/((1/1000)*(up_Irr!BI9)),IF(AND(up_Irr!M9=".",up_Irr!AK9&lt;&gt;".",up_Irr!BI9="."),up_dir!N9/((1/1000)*(up_Irr!AK9)),IF(AND(up_Irr!M9&lt;&gt;".",up_Irr!AK9=".",up_Irr!BI9="."),up_dir!N9/((1/1000)*(up_Irr!M9)),IF(AND(up_Irr!M9=".",up_Irr!AK9=".",up_Irr!BI9="."),up_dir!N9*1000)))))))),".")</f>
        <v>6.5773651144152131E-4</v>
      </c>
      <c r="O9" s="48">
        <f>IFERROR(IF(AND(up_Irr!N9&lt;&gt;".",up_Irr!AL9&lt;&gt;".",up_Irr!BJ9&lt;&gt;"."),up_dir!O9/((1/1000)*(up_Irr!N9+up_Irr!AL9+up_Irr!BJ9)),IF(AND(up_Irr!N9&lt;&gt;".",up_Irr!AL9&lt;&gt;".",up_Irr!BJ9="."),up_dir!O9/((1/1000)*(up_Irr!N9+up_Irr!AL9)),IF(AND(up_Irr!N9&lt;&gt;".",up_Irr!AL9=".",up_Irr!BJ9&lt;&gt;"."),up_dir!O9/((1/1000)*(up_Irr!N9+up_Irr!BJ9)),IF(AND(up_Irr!N9=".",up_Irr!AL9&lt;&gt;".",up_Irr!BJ9&lt;&gt;"."),up_dir!O9/((1/1000)*(up_Irr!AL9+up_Irr!BJ9)),IF(AND(up_Irr!N9=".",up_Irr!AL9=".",up_Irr!BJ9&lt;&gt;"."),up_dir!O9/((1/1000)*(up_Irr!BJ9)),IF(AND(up_Irr!N9=".",up_Irr!AL9&lt;&gt;".",up_Irr!BJ9="."),up_dir!O9/((1/1000)*(up_Irr!AL9)),IF(AND(up_Irr!N9&lt;&gt;".",up_Irr!AL9=".",up_Irr!BJ9="."),up_dir!O9/((1/1000)*(up_Irr!N9)),IF(AND(up_Irr!N9=".",up_Irr!AL9=".",up_Irr!BJ9="."),up_dir!O9*1000)))))))),".")</f>
        <v>6.5773651144152131E-4</v>
      </c>
      <c r="P9" s="48">
        <f>IFERROR(IF(AND(up_Irr!O9&lt;&gt;".",up_Irr!AM9&lt;&gt;".",up_Irr!BK9&lt;&gt;"."),up_dir!P9/((1/1000)*(up_Irr!O9+up_Irr!AM9+up_Irr!BK9)),IF(AND(up_Irr!O9&lt;&gt;".",up_Irr!AM9&lt;&gt;".",up_Irr!BK9="."),up_dir!P9/((1/1000)*(up_Irr!O9+up_Irr!AM9)),IF(AND(up_Irr!O9&lt;&gt;".",up_Irr!AM9=".",up_Irr!BK9&lt;&gt;"."),up_dir!P9/((1/1000)*(up_Irr!O9+up_Irr!BK9)),IF(AND(up_Irr!O9=".",up_Irr!AM9&lt;&gt;".",up_Irr!BK9&lt;&gt;"."),up_dir!P9/((1/1000)*(up_Irr!AM9+up_Irr!BK9)),IF(AND(up_Irr!O9=".",up_Irr!AM9=".",up_Irr!BK9&lt;&gt;"."),up_dir!P9/((1/1000)*(up_Irr!BK9)),IF(AND(up_Irr!O9=".",up_Irr!AM9&lt;&gt;".",up_Irr!BK9="."),up_dir!P9/((1/1000)*(up_Irr!AM9)),IF(AND(up_Irr!O9&lt;&gt;".",up_Irr!AM9=".",up_Irr!BK9="."),up_dir!P9/((1/1000)*(up_Irr!O9)),IF(AND(up_Irr!O9=".",up_Irr!AM9=".",up_Irr!BK9="."),up_dir!P9*1000)))))))),".")</f>
        <v>6.5773651144152131E-4</v>
      </c>
      <c r="Q9" s="48">
        <f>IFERROR(IF(AND(up_Irr!P9&lt;&gt;".",up_Irr!AN9&lt;&gt;".",up_Irr!BL9&lt;&gt;"."),up_dir!Q9/((1/1000)*(up_Irr!P9+up_Irr!AN9+up_Irr!BL9)),IF(AND(up_Irr!P9&lt;&gt;".",up_Irr!AN9&lt;&gt;".",up_Irr!BL9="."),up_dir!Q9/((1/1000)*(up_Irr!P9+up_Irr!AN9)),IF(AND(up_Irr!P9&lt;&gt;".",up_Irr!AN9=".",up_Irr!BL9&lt;&gt;"."),up_dir!Q9/((1/1000)*(up_Irr!P9+up_Irr!BL9)),IF(AND(up_Irr!P9=".",up_Irr!AN9&lt;&gt;".",up_Irr!BL9&lt;&gt;"."),up_dir!Q9/((1/1000)*(up_Irr!AN9+up_Irr!BL9)),IF(AND(up_Irr!P9=".",up_Irr!AN9=".",up_Irr!BL9&lt;&gt;"."),up_dir!Q9/((1/1000)*(up_Irr!BL9)),IF(AND(up_Irr!P9=".",up_Irr!AN9&lt;&gt;".",up_Irr!BL9="."),up_dir!Q9/((1/1000)*(up_Irr!AN9)),IF(AND(up_Irr!P9&lt;&gt;".",up_Irr!AN9=".",up_Irr!BL9="."),up_dir!Q9/((1/1000)*(up_Irr!P9)),IF(AND(up_Irr!P9=".",up_Irr!AN9=".",up_Irr!BL9="."),up_dir!Q9*1000)))))))),".")</f>
        <v>6.5773651144152131E-4</v>
      </c>
      <c r="R9" s="48">
        <f>IFERROR(IF(AND(up_Irr!Q9&lt;&gt;".",up_Irr!AO9&lt;&gt;".",up_Irr!BM9&lt;&gt;"."),up_dir!R9/((1/1000)*(up_Irr!Q9+up_Irr!AO9+up_Irr!BM9)),IF(AND(up_Irr!Q9&lt;&gt;".",up_Irr!AO9&lt;&gt;".",up_Irr!BM9="."),up_dir!R9/((1/1000)*(up_Irr!Q9+up_Irr!AO9)),IF(AND(up_Irr!Q9&lt;&gt;".",up_Irr!AO9=".",up_Irr!BM9&lt;&gt;"."),up_dir!R9/((1/1000)*(up_Irr!Q9+up_Irr!BM9)),IF(AND(up_Irr!Q9=".",up_Irr!AO9&lt;&gt;".",up_Irr!BM9&lt;&gt;"."),up_dir!R9/((1/1000)*(up_Irr!AO9+up_Irr!BM9)),IF(AND(up_Irr!Q9=".",up_Irr!AO9=".",up_Irr!BM9&lt;&gt;"."),up_dir!R9/((1/1000)*(up_Irr!BM9)),IF(AND(up_Irr!Q9=".",up_Irr!AO9&lt;&gt;".",up_Irr!BM9="."),up_dir!R9/((1/1000)*(up_Irr!AO9)),IF(AND(up_Irr!Q9&lt;&gt;".",up_Irr!AO9=".",up_Irr!BM9="."),up_dir!R9/((1/1000)*(up_Irr!Q9)),IF(AND(up_Irr!Q9=".",up_Irr!AO9=".",up_Irr!BM9="."),up_dir!R9*1000)))))))),".")</f>
        <v>6.5773651144152131E-4</v>
      </c>
      <c r="S9" s="48">
        <f>IFERROR(IF(AND(up_Irr!R9&lt;&gt;".",up_Irr!AP9&lt;&gt;".",up_Irr!BN9&lt;&gt;"."),up_dir!S9/((1/1000)*(up_Irr!R9+up_Irr!AP9+up_Irr!BN9)),IF(AND(up_Irr!R9&lt;&gt;".",up_Irr!AP9&lt;&gt;".",up_Irr!BN9="."),up_dir!S9/((1/1000)*(up_Irr!R9+up_Irr!AP9)),IF(AND(up_Irr!R9&lt;&gt;".",up_Irr!AP9=".",up_Irr!BN9&lt;&gt;"."),up_dir!S9/((1/1000)*(up_Irr!R9+up_Irr!BN9)),IF(AND(up_Irr!R9=".",up_Irr!AP9&lt;&gt;".",up_Irr!BN9&lt;&gt;"."),up_dir!S9/((1/1000)*(up_Irr!AP9+up_Irr!BN9)),IF(AND(up_Irr!R9=".",up_Irr!AP9=".",up_Irr!BN9&lt;&gt;"."),up_dir!S9/((1/1000)*(up_Irr!BN9)),IF(AND(up_Irr!R9=".",up_Irr!AP9&lt;&gt;".",up_Irr!BN9="."),up_dir!S9/((1/1000)*(up_Irr!AP9)),IF(AND(up_Irr!R9&lt;&gt;".",up_Irr!AP9=".",up_Irr!BN9="."),up_dir!S9/((1/1000)*(up_Irr!R9)),IF(AND(up_Irr!R9=".",up_Irr!AP9=".",up_Irr!BN9="."),up_dir!S9*1000)))))))),".")</f>
        <v>6.5773651144152131E-4</v>
      </c>
      <c r="T9" s="48">
        <f>IFERROR(IF(AND(up_Irr!S9&lt;&gt;".",up_Irr!AQ9&lt;&gt;".",up_Irr!BO9&lt;&gt;"."),up_dir!T9/((1/1000)*(up_Irr!S9+up_Irr!AQ9+up_Irr!BO9)),IF(AND(up_Irr!S9&lt;&gt;".",up_Irr!AQ9&lt;&gt;".",up_Irr!BO9="."),up_dir!T9/((1/1000)*(up_Irr!S9+up_Irr!AQ9)),IF(AND(up_Irr!S9&lt;&gt;".",up_Irr!AQ9=".",up_Irr!BO9&lt;&gt;"."),up_dir!T9/((1/1000)*(up_Irr!S9+up_Irr!BO9)),IF(AND(up_Irr!S9=".",up_Irr!AQ9&lt;&gt;".",up_Irr!BO9&lt;&gt;"."),up_dir!T9/((1/1000)*(up_Irr!AQ9+up_Irr!BO9)),IF(AND(up_Irr!S9=".",up_Irr!AQ9=".",up_Irr!BO9&lt;&gt;"."),up_dir!T9/((1/1000)*(up_Irr!BO9)),IF(AND(up_Irr!S9=".",up_Irr!AQ9&lt;&gt;".",up_Irr!BO9="."),up_dir!T9/((1/1000)*(up_Irr!AQ9)),IF(AND(up_Irr!S9&lt;&gt;".",up_Irr!AQ9=".",up_Irr!BO9="."),up_dir!T9/((1/1000)*(up_Irr!S9)),IF(AND(up_Irr!S9=".",up_Irr!AQ9=".",up_Irr!BO9="."),up_dir!T9*1000)))))))),".")</f>
        <v>6.5773651144152131E-4</v>
      </c>
      <c r="U9" s="48">
        <f>IFERROR(IF(AND(up_Irr!T9&lt;&gt;".",up_Irr!AR9&lt;&gt;".",up_Irr!BP9&lt;&gt;"."),up_dir!U9/((1/1000)*(up_Irr!T9+up_Irr!AR9+up_Irr!BP9)),IF(AND(up_Irr!T9&lt;&gt;".",up_Irr!AR9&lt;&gt;".",up_Irr!BP9="."),up_dir!U9/((1/1000)*(up_Irr!T9+up_Irr!AR9)),IF(AND(up_Irr!T9&lt;&gt;".",up_Irr!AR9=".",up_Irr!BP9&lt;&gt;"."),up_dir!U9/((1/1000)*(up_Irr!T9+up_Irr!BP9)),IF(AND(up_Irr!T9=".",up_Irr!AR9&lt;&gt;".",up_Irr!BP9&lt;&gt;"."),up_dir!U9/((1/1000)*(up_Irr!AR9+up_Irr!BP9)),IF(AND(up_Irr!T9=".",up_Irr!AR9=".",up_Irr!BP9&lt;&gt;"."),up_dir!U9/((1/1000)*(up_Irr!BP9)),IF(AND(up_Irr!T9=".",up_Irr!AR9&lt;&gt;".",up_Irr!BP9="."),up_dir!U9/((1/1000)*(up_Irr!AR9)),IF(AND(up_Irr!T9&lt;&gt;".",up_Irr!AR9=".",up_Irr!BP9="."),up_dir!U9/((1/1000)*(up_Irr!T9)),IF(AND(up_Irr!T9=".",up_Irr!AR9=".",up_Irr!BP9="."),up_dir!U9*1000)))))))),".")</f>
        <v>6.5773651144152131E-4</v>
      </c>
      <c r="V9" s="48">
        <f>IFERROR(IF(AND(up_Irr!U9&lt;&gt;".",up_Irr!AS9&lt;&gt;".",up_Irr!BQ9&lt;&gt;"."),up_dir!V9/((1/1000)*(up_Irr!U9+up_Irr!AS9+up_Irr!BQ9)),IF(AND(up_Irr!U9&lt;&gt;".",up_Irr!AS9&lt;&gt;".",up_Irr!BQ9="."),up_dir!V9/((1/1000)*(up_Irr!U9+up_Irr!AS9)),IF(AND(up_Irr!U9&lt;&gt;".",up_Irr!AS9=".",up_Irr!BQ9&lt;&gt;"."),up_dir!V9/((1/1000)*(up_Irr!U9+up_Irr!BQ9)),IF(AND(up_Irr!U9=".",up_Irr!AS9&lt;&gt;".",up_Irr!BQ9&lt;&gt;"."),up_dir!V9/((1/1000)*(up_Irr!AS9+up_Irr!BQ9)),IF(AND(up_Irr!U9=".",up_Irr!AS9=".",up_Irr!BQ9&lt;&gt;"."),up_dir!V9/((1/1000)*(up_Irr!BQ9)),IF(AND(up_Irr!U9=".",up_Irr!AS9&lt;&gt;".",up_Irr!BQ9="."),up_dir!V9/((1/1000)*(up_Irr!AS9)),IF(AND(up_Irr!U9&lt;&gt;".",up_Irr!AS9=".",up_Irr!BQ9="."),up_dir!V9/((1/1000)*(up_Irr!U9)),IF(AND(up_Irr!U9=".",up_Irr!AS9=".",up_Irr!BQ9="."),up_dir!V9*1000)))))))),".")</f>
        <v>6.5773651144152131E-4</v>
      </c>
      <c r="W9" s="48">
        <f>IFERROR(IF(AND(up_Irr!V9&lt;&gt;".",up_Irr!AT9&lt;&gt;".",up_Irr!BR9&lt;&gt;"."),up_dir!W9/((1/1000)*(up_Irr!V9+up_Irr!AT9+up_Irr!BR9)),IF(AND(up_Irr!V9&lt;&gt;".",up_Irr!AT9&lt;&gt;".",up_Irr!BR9="."),up_dir!W9/((1/1000)*(up_Irr!V9+up_Irr!AT9)),IF(AND(up_Irr!V9&lt;&gt;".",up_Irr!AT9=".",up_Irr!BR9&lt;&gt;"."),up_dir!W9/((1/1000)*(up_Irr!V9+up_Irr!BR9)),IF(AND(up_Irr!V9=".",up_Irr!AT9&lt;&gt;".",up_Irr!BR9&lt;&gt;"."),up_dir!W9/((1/1000)*(up_Irr!AT9+up_Irr!BR9)),IF(AND(up_Irr!V9=".",up_Irr!AT9=".",up_Irr!BR9&lt;&gt;"."),up_dir!W9/((1/1000)*(up_Irr!BR9)),IF(AND(up_Irr!V9=".",up_Irr!AT9&lt;&gt;".",up_Irr!BR9="."),up_dir!W9/((1/1000)*(up_Irr!AT9)),IF(AND(up_Irr!V9&lt;&gt;".",up_Irr!AT9=".",up_Irr!BR9="."),up_dir!W9/((1/1000)*(up_Irr!V9)),IF(AND(up_Irr!V9=".",up_Irr!AT9=".",up_Irr!BR9="."),up_dir!W9*1000)))))))),".")</f>
        <v>6.5773651144152131E-4</v>
      </c>
      <c r="X9" s="48">
        <f>IFERROR(IF(AND(up_Irr!W9&lt;&gt;".",up_Irr!AU9&lt;&gt;".",up_Irr!BS9&lt;&gt;"."),up_dir!X9/((1/1000)*(up_Irr!W9+up_Irr!AU9+up_Irr!BS9)),IF(AND(up_Irr!W9&lt;&gt;".",up_Irr!AU9&lt;&gt;".",up_Irr!BS9="."),up_dir!X9/((1/1000)*(up_Irr!W9+up_Irr!AU9)),IF(AND(up_Irr!W9&lt;&gt;".",up_Irr!AU9=".",up_Irr!BS9&lt;&gt;"."),up_dir!X9/((1/1000)*(up_Irr!W9+up_Irr!BS9)),IF(AND(up_Irr!W9=".",up_Irr!AU9&lt;&gt;".",up_Irr!BS9&lt;&gt;"."),up_dir!X9/((1/1000)*(up_Irr!AU9+up_Irr!BS9)),IF(AND(up_Irr!W9=".",up_Irr!AU9=".",up_Irr!BS9&lt;&gt;"."),up_dir!X9/((1/1000)*(up_Irr!BS9)),IF(AND(up_Irr!W9=".",up_Irr!AU9&lt;&gt;".",up_Irr!BS9="."),up_dir!X9/((1/1000)*(up_Irr!AU9)),IF(AND(up_Irr!W9&lt;&gt;".",up_Irr!AU9=".",up_Irr!BS9="."),up_dir!X9/((1/1000)*(up_Irr!W9)),IF(AND(up_Irr!W9=".",up_Irr!AU9=".",up_Irr!BS9="."),up_dir!X9*1000)))))))),".")</f>
        <v>6.5773651144152131E-4</v>
      </c>
      <c r="Y9" s="48">
        <f>IFERROR(IF(AND(up_Irr!X9&lt;&gt;".",up_Irr!AV9&lt;&gt;".",up_Irr!BT9&lt;&gt;"."),up_dir!Y9/((1/1000)*(up_Irr!X9+up_Irr!AV9+up_Irr!BT9)),IF(AND(up_Irr!X9&lt;&gt;".",up_Irr!AV9&lt;&gt;".",up_Irr!BT9="."),up_dir!Y9/((1/1000)*(up_Irr!X9+up_Irr!AV9)),IF(AND(up_Irr!X9&lt;&gt;".",up_Irr!AV9=".",up_Irr!BT9&lt;&gt;"."),up_dir!Y9/((1/1000)*(up_Irr!X9+up_Irr!BT9)),IF(AND(up_Irr!X9=".",up_Irr!AV9&lt;&gt;".",up_Irr!BT9&lt;&gt;"."),up_dir!Y9/((1/1000)*(up_Irr!AV9+up_Irr!BT9)),IF(AND(up_Irr!X9=".",up_Irr!AV9=".",up_Irr!BT9&lt;&gt;"."),up_dir!Y9/((1/1000)*(up_Irr!BT9)),IF(AND(up_Irr!X9=".",up_Irr!AV9&lt;&gt;".",up_Irr!BT9="."),up_dir!Y9/((1/1000)*(up_Irr!AV9)),IF(AND(up_Irr!X9&lt;&gt;".",up_Irr!AV9=".",up_Irr!BT9="."),up_dir!Y9/((1/1000)*(up_Irr!X9)),IF(AND(up_Irr!X9=".",up_Irr!AV9=".",up_Irr!BT9="."),up_dir!Y9*1000)))))))),".")</f>
        <v>6.5773651144152131E-4</v>
      </c>
      <c r="Z9" s="48">
        <f>IFERROR(IF(AND(up_Irr!Y9&lt;&gt;".",up_Irr!AW9&lt;&gt;".",up_Irr!BU9&lt;&gt;"."),up_dir!Z9/((1/1000)*(up_Irr!Y9+up_Irr!AW9+up_Irr!BU9)),IF(AND(up_Irr!Y9&lt;&gt;".",up_Irr!AW9&lt;&gt;".",up_Irr!BU9="."),up_dir!Z9/((1/1000)*(up_Irr!Y9+up_Irr!AW9)),IF(AND(up_Irr!Y9&lt;&gt;".",up_Irr!AW9=".",up_Irr!BU9&lt;&gt;"."),up_dir!Z9/((1/1000)*(up_Irr!Y9+up_Irr!BU9)),IF(AND(up_Irr!Y9=".",up_Irr!AW9&lt;&gt;".",up_Irr!BU9&lt;&gt;"."),up_dir!Z9/((1/1000)*(up_Irr!AW9+up_Irr!BU9)),IF(AND(up_Irr!Y9=".",up_Irr!AW9=".",up_Irr!BU9&lt;&gt;"."),up_dir!Z9/((1/1000)*(up_Irr!BU9)),IF(AND(up_Irr!Y9=".",up_Irr!AW9&lt;&gt;".",up_Irr!BU9="."),up_dir!Z9/((1/1000)*(up_Irr!AW9)),IF(AND(up_Irr!Y9&lt;&gt;".",up_Irr!AW9=".",up_Irr!BU9="."),up_dir!Z9/((1/1000)*(up_Irr!Y9)),IF(AND(up_Irr!Y9=".",up_Irr!AW9=".",up_Irr!BU9="."),up_dir!Z9*1000)))))))),".")</f>
        <v>6.5773651144152131E-4</v>
      </c>
      <c r="AA9" s="48">
        <f>IFERROR(IF(AND(up_Irr!Z9&lt;&gt;".",up_Irr!AX9&lt;&gt;".",up_Irr!BV9&lt;&gt;"."),up_dir!AA9/((1/1000)*(up_Irr!Z9+up_Irr!AX9+up_Irr!BV9)),IF(AND(up_Irr!Z9&lt;&gt;".",up_Irr!AX9&lt;&gt;".",up_Irr!BV9="."),up_dir!AA9/((1/1000)*(up_Irr!Z9+up_Irr!AX9)),IF(AND(up_Irr!Z9&lt;&gt;".",up_Irr!AX9=".",up_Irr!BV9&lt;&gt;"."),up_dir!AA9/((1/1000)*(up_Irr!Z9+up_Irr!BV9)),IF(AND(up_Irr!Z9=".",up_Irr!AX9&lt;&gt;".",up_Irr!BV9&lt;&gt;"."),up_dir!AA9/((1/1000)*(up_Irr!AX9+up_Irr!BV9)),IF(AND(up_Irr!Z9=".",up_Irr!AX9=".",up_Irr!BV9&lt;&gt;"."),up_dir!AA9/((1/1000)*(up_Irr!BV9)),IF(AND(up_Irr!Z9=".",up_Irr!AX9&lt;&gt;".",up_Irr!BV9="."),up_dir!AA9/((1/1000)*(up_Irr!AX9)),IF(AND(up_Irr!Z9&lt;&gt;".",up_Irr!AX9=".",up_Irr!BV9="."),up_dir!AA9/((1/1000)*(up_Irr!Z9)),IF(AND(up_Irr!Z9=".",up_Irr!AX9=".",up_Irr!BV9="."),up_dir!AA9*1000)))))))),".")</f>
        <v>6.5773651144152131E-4</v>
      </c>
      <c r="AB9" s="62">
        <f t="shared" si="1"/>
        <v>22805.4847785862</v>
      </c>
      <c r="AC9" s="62">
        <f>IFERROR(s_C*s_IFAP_res_adj*s_CF_apple*0.001*(up_Irr!C9+up_Irr!AA9+up_Irr!AY9),".")</f>
        <v>7601.8282595287337</v>
      </c>
      <c r="AD9" s="62">
        <f>IFERROR(s_C*s_IFAS_res_adj*s_CF_asparagus*0.001*(up_Irr!D9+up_Irr!AB9+up_Irr!AZ9),".")</f>
        <v>7601.8282595287337</v>
      </c>
      <c r="AE9" s="62">
        <f>IFERROR(s_C*s_IFBT_res_adj*s_CF_beet*0.001*(up_Irr!E9+up_Irr!AC9+up_Irr!BA9),".")</f>
        <v>7601.8282595287337</v>
      </c>
      <c r="AF9" s="62">
        <f>IFERROR(s_C*s_IFBE_res_adj*s_CF_berries*0.001*(up_Irr!F9+up_Irr!AD9+up_Irr!BB9),".")</f>
        <v>7601.8282595287337</v>
      </c>
      <c r="AG9" s="62">
        <f>IFERROR(s_C*s_IFBR_res_adj*s_CF_broccoli*0.001*(up_Irr!G9+up_Irr!AE9+up_Irr!BC9),".")</f>
        <v>7601.8282595287337</v>
      </c>
      <c r="AH9" s="62">
        <f>IFERROR(s_C*s_IFCB_res_adj*s_CF_cabbage*0.001*(up_Irr!H9+up_Irr!AF9+up_Irr!BD9),".")</f>
        <v>7601.8282595287337</v>
      </c>
      <c r="AI9" s="62">
        <f>IFERROR(s_C*s_IFCR_res_adj*s_CF_carrot*0.001*(up_Irr!I9+up_Irr!AG9+up_Irr!BE9),".")</f>
        <v>7601.8282595287337</v>
      </c>
      <c r="AJ9" s="62">
        <f>IFERROR(s_C*s_IFCI_res_adj*s_CF_citrus*0.001*(up_Irr!J9+up_Irr!AH9+up_Irr!BF9),".")</f>
        <v>7601.8282595287337</v>
      </c>
      <c r="AK9" s="62">
        <f>IFERROR(s_C*s_IFCO_res_adj*s_CF_corn*0.001*(up_Irr!K9+up_Irr!AI9+up_Irr!BG9),".")</f>
        <v>7601.8282595287337</v>
      </c>
      <c r="AL9" s="62">
        <f>IFERROR(s_C*s_IFCU_res_adj*s_CF_cucumber*0.001*(up_Irr!L9+up_Irr!AJ9+up_Irr!BH9),".")</f>
        <v>7601.8282595287337</v>
      </c>
      <c r="AM9" s="62">
        <f>IFERROR(s_C*s_IFLE_res_adj*s_CF_lettuce*0.001*(up_Irr!M9+up_Irr!AK9+up_Irr!BI9),".")</f>
        <v>7601.8282595287337</v>
      </c>
      <c r="AN9" s="62">
        <f>IFERROR(s_C*s_IFLI_res_adj*s_CF_lima_bean*0.001*(up_Irr!N9+up_Irr!AL9+up_Irr!BJ9),".")</f>
        <v>7601.8282595287337</v>
      </c>
      <c r="AO9" s="62">
        <f>IFERROR(s_C*s_IFOK_res_adj*s_CF_okra*0.001*(up_Irr!O9+up_Irr!AM9+up_Irr!BK9),".")</f>
        <v>7601.8282595287337</v>
      </c>
      <c r="AP9" s="62">
        <f>IFERROR(s_C*s_IFON_res_adj*s_CF_onion*0.001*(up_Irr!P9+up_Irr!AN9+up_Irr!BL9),".")</f>
        <v>7601.8282595287337</v>
      </c>
      <c r="AQ9" s="62">
        <f>IFERROR(s_C*s_IFPC_res_adj*s_CF_peach*0.001*(up_Irr!Q9+up_Irr!AO9+up_Irr!BM9),".")</f>
        <v>7601.8282595287337</v>
      </c>
      <c r="AR9" s="62">
        <f>IFERROR(s_C*s_IFPR_res_adj*s_CF_pear*0.001*(up_Irr!R9+up_Irr!AP9+up_Irr!BN9),".")</f>
        <v>7601.8282595287337</v>
      </c>
      <c r="AS9" s="62">
        <f>IFERROR(s_C*s_IFPE_res_adj*s_CF_peas*0.001*(up_Irr!S9+up_Irr!AQ9+up_Irr!BO9),".")</f>
        <v>7601.8282595287337</v>
      </c>
      <c r="AT9" s="62">
        <f>IFERROR(s_C*s_IFPT_res_adj*s_CF_potato*0.001*(up_Irr!T9+up_Irr!AR9+up_Irr!BP9),".")</f>
        <v>7601.8282595287337</v>
      </c>
      <c r="AU9" s="62">
        <f>IFERROR(s_C*s_IFPU_res_adj*s_CF_pumpkin*0.001*(up_Irr!U9+up_Irr!AS9+up_Irr!BQ9),".")</f>
        <v>7601.8282595287337</v>
      </c>
      <c r="AV9" s="62">
        <f>IFERROR(s_C*s_IFSN_res_adj*s_CF_snap_bean*0.001*(up_Irr!V9+up_Irr!AT9+up_Irr!BR9),".")</f>
        <v>7601.8282595287337</v>
      </c>
      <c r="AW9" s="62">
        <f>IFERROR(s_C*s_IFST_res_adj*s_CF_strawberry*0.001*(up_Irr!W9+up_Irr!AU9+up_Irr!BS9),".")</f>
        <v>7601.8282595287337</v>
      </c>
      <c r="AX9" s="62">
        <f>IFERROR(s_C*s_IFTO_res_adj*s_CF_tomato*0.001*(up_Irr!X9+up_Irr!AV9+up_Irr!BT9),".")</f>
        <v>7601.8282595287337</v>
      </c>
      <c r="AY9" s="62">
        <f>IFERROR(s_C*s_IFRI_res_adj*s_CF_rice*0.001*(up_Irr!Y9+up_Irr!AW9+up_Irr!BU9),".")</f>
        <v>7601.8282595287337</v>
      </c>
      <c r="AZ9" s="62">
        <f>IFERROR(s_C*s_IFCG_res_adj*s_CF_cereal*0.001*(up_Irr!Z9+up_Irr!AX9+up_Irr!BV9),".")</f>
        <v>7601.8282595287337</v>
      </c>
      <c r="BA9" s="48">
        <f t="shared" si="2"/>
        <v>2.1924550381384044E-4</v>
      </c>
      <c r="BB9" s="48">
        <f>IFERROR(IF(AND(up_Irr!C9&lt;&gt;".",up_Irr!AA9&lt;&gt;".",up_Irr!AY9&lt;&gt;"."),up_dir!AC9/((1/1000)*(up_Irr!C9+up_Irr!AA9+up_Irr!AY9)),IF(AND(up_Irr!C9&lt;&gt;".",up_Irr!AA9&lt;&gt;".",up_Irr!AY9="."),up_dir!AC9/((1/1000)*(up_Irr!C9+up_Irr!AA9)),IF(AND(up_Irr!C9&lt;&gt;".",up_Irr!AA9=".",up_Irr!AY9&lt;&gt;"."),up_dir!AC9/((1/1000)*(up_Irr!C9+up_Irr!AY9)),IF(AND(up_Irr!C9=".",up_Irr!AA9&lt;&gt;".",up_Irr!AY9&lt;&gt;"."),up_dir!AC9/((1/1000)*(up_Irr!AA9+up_Irr!AY9)),IF(AND(up_Irr!C9=".",up_Irr!AA9=".",up_Irr!AY9&lt;&gt;"."),up_dir!AC9/((1/1000)*(up_Irr!AY9)),IF(AND(up_Irr!C9=".",up_Irr!AA9&lt;&gt;".",up_Irr!AY9="."),up_dir!AC9/((1/1000)*(up_Irr!AA9)),IF(AND(up_Irr!C9&lt;&gt;".",up_Irr!AA9=".",up_Irr!AY9="."),up_dir!AC9/((1/1000)*(up_Irr!C9)),IF(AND(up_Irr!C9=".",up_Irr!AA9=".",up_Irr!AY9="."),up_dir!AC9*1000)))))))),".")</f>
        <v>6.5773651144152131E-4</v>
      </c>
      <c r="BC9" s="48">
        <f>IFERROR(IF(AND(up_Irr!D9&lt;&gt;".",up_Irr!AB9&lt;&gt;".",up_Irr!AZ9&lt;&gt;"."),up_dir!AD9/((1/1000)*(up_Irr!D9+up_Irr!AB9+up_Irr!AZ9)),IF(AND(up_Irr!D9&lt;&gt;".",up_Irr!AB9&lt;&gt;".",up_Irr!AZ9="."),up_dir!AD9/((1/1000)*(up_Irr!D9+up_Irr!AB9)),IF(AND(up_Irr!D9&lt;&gt;".",up_Irr!AB9=".",up_Irr!AZ9&lt;&gt;"."),up_dir!AD9/((1/1000)*(up_Irr!D9+up_Irr!AZ9)),IF(AND(up_Irr!D9=".",up_Irr!AB9&lt;&gt;".",up_Irr!AZ9&lt;&gt;"."),up_dir!AD9/((1/1000)*(up_Irr!AB9+up_Irr!AZ9)),IF(AND(up_Irr!D9=".",up_Irr!AB9=".",up_Irr!AZ9&lt;&gt;"."),up_dir!AD9/((1/1000)*(up_Irr!AZ9)),IF(AND(up_Irr!D9=".",up_Irr!AB9&lt;&gt;".",up_Irr!AZ9="."),up_dir!AD9/((1/1000)*(up_Irr!AB9)),IF(AND(up_Irr!D9&lt;&gt;".",up_Irr!AB9=".",up_Irr!AZ9="."),up_dir!AD9/((1/1000)*(up_Irr!D9)),IF(AND(up_Irr!D9=".",up_Irr!AB9=".",up_Irr!AZ9="."),up_dir!AD9*1000)))))))),".")</f>
        <v>6.5773651144152131E-4</v>
      </c>
      <c r="BD9" s="48">
        <f>IFERROR(IF(AND(up_Irr!E9&lt;&gt;".",up_Irr!AC9&lt;&gt;".",up_Irr!BA9&lt;&gt;"."),up_dir!AE9/((1/1000)*(up_Irr!E9+up_Irr!AC9+up_Irr!BA9)),IF(AND(up_Irr!E9&lt;&gt;".",up_Irr!AC9&lt;&gt;".",up_Irr!BA9="."),up_dir!AE9/((1/1000)*(up_Irr!E9+up_Irr!AC9)),IF(AND(up_Irr!E9&lt;&gt;".",up_Irr!AC9=".",up_Irr!BA9&lt;&gt;"."),up_dir!AE9/((1/1000)*(up_Irr!E9+up_Irr!BA9)),IF(AND(up_Irr!E9=".",up_Irr!AC9&lt;&gt;".",up_Irr!BA9&lt;&gt;"."),up_dir!AE9/((1/1000)*(up_Irr!AC9+up_Irr!BA9)),IF(AND(up_Irr!E9=".",up_Irr!AC9=".",up_Irr!BA9&lt;&gt;"."),up_dir!AE9/((1/1000)*(up_Irr!BA9)),IF(AND(up_Irr!E9=".",up_Irr!AC9&lt;&gt;".",up_Irr!BA9="."),up_dir!AE9/((1/1000)*(up_Irr!AC9)),IF(AND(up_Irr!E9&lt;&gt;".",up_Irr!AC9=".",up_Irr!BA9="."),up_dir!AE9/((1/1000)*(up_Irr!E9)),IF(AND(up_Irr!E9=".",up_Irr!AC9=".",up_Irr!BA9="."),up_dir!AE9*1000)))))))),".")</f>
        <v>6.5773651144152131E-4</v>
      </c>
      <c r="BE9" s="48">
        <f>IFERROR(IF(AND(up_Irr!F9&lt;&gt;".",up_Irr!AD9&lt;&gt;".",up_Irr!BB9&lt;&gt;"."),up_dir!AF9/((1/1000)*(up_Irr!F9+up_Irr!AD9+up_Irr!BB9)),IF(AND(up_Irr!F9&lt;&gt;".",up_Irr!AD9&lt;&gt;".",up_Irr!BB9="."),up_dir!AF9/((1/1000)*(up_Irr!F9+up_Irr!AD9)),IF(AND(up_Irr!F9&lt;&gt;".",up_Irr!AD9=".",up_Irr!BB9&lt;&gt;"."),up_dir!AF9/((1/1000)*(up_Irr!F9+up_Irr!BB9)),IF(AND(up_Irr!F9=".",up_Irr!AD9&lt;&gt;".",up_Irr!BB9&lt;&gt;"."),up_dir!AF9/((1/1000)*(up_Irr!AD9+up_Irr!BB9)),IF(AND(up_Irr!F9=".",up_Irr!AD9=".",up_Irr!BB9&lt;&gt;"."),up_dir!AF9/((1/1000)*(up_Irr!BB9)),IF(AND(up_Irr!F9=".",up_Irr!AD9&lt;&gt;".",up_Irr!BB9="."),up_dir!AF9/((1/1000)*(up_Irr!AD9)),IF(AND(up_Irr!F9&lt;&gt;".",up_Irr!AD9=".",up_Irr!BB9="."),up_dir!AF9/((1/1000)*(up_Irr!F9)),IF(AND(up_Irr!F9=".",up_Irr!AD9=".",up_Irr!BB9="."),up_dir!AF9*1000)))))))),".")</f>
        <v>6.5773651144152131E-4</v>
      </c>
      <c r="BF9" s="48">
        <f>IFERROR(IF(AND(up_Irr!G9&lt;&gt;".",up_Irr!AE9&lt;&gt;".",up_Irr!BC9&lt;&gt;"."),up_dir!AG9/((1/1000)*(up_Irr!G9+up_Irr!AE9+up_Irr!BC9)),IF(AND(up_Irr!G9&lt;&gt;".",up_Irr!AE9&lt;&gt;".",up_Irr!BC9="."),up_dir!AG9/((1/1000)*(up_Irr!G9+up_Irr!AE9)),IF(AND(up_Irr!G9&lt;&gt;".",up_Irr!AE9=".",up_Irr!BC9&lt;&gt;"."),up_dir!AG9/((1/1000)*(up_Irr!G9+up_Irr!BC9)),IF(AND(up_Irr!G9=".",up_Irr!AE9&lt;&gt;".",up_Irr!BC9&lt;&gt;"."),up_dir!AG9/((1/1000)*(up_Irr!AE9+up_Irr!BC9)),IF(AND(up_Irr!G9=".",up_Irr!AE9=".",up_Irr!BC9&lt;&gt;"."),up_dir!AG9/((1/1000)*(up_Irr!BC9)),IF(AND(up_Irr!G9=".",up_Irr!AE9&lt;&gt;".",up_Irr!BC9="."),up_dir!AG9/((1/1000)*(up_Irr!AE9)),IF(AND(up_Irr!G9&lt;&gt;".",up_Irr!AE9=".",up_Irr!BC9="."),up_dir!AG9/((1/1000)*(up_Irr!G9)),IF(AND(up_Irr!G9=".",up_Irr!AE9=".",up_Irr!BC9="."),up_dir!AG9*1000)))))))),".")</f>
        <v>6.5773651144152131E-4</v>
      </c>
      <c r="BG9" s="48">
        <f>IFERROR(IF(AND(up_Irr!H9&lt;&gt;".",up_Irr!AF9&lt;&gt;".",up_Irr!BD9&lt;&gt;"."),up_dir!AH9/((1/1000)*(up_Irr!H9+up_Irr!AF9+up_Irr!BD9)),IF(AND(up_Irr!H9&lt;&gt;".",up_Irr!AF9&lt;&gt;".",up_Irr!BD9="."),up_dir!AH9/((1/1000)*(up_Irr!H9+up_Irr!AF9)),IF(AND(up_Irr!H9&lt;&gt;".",up_Irr!AF9=".",up_Irr!BD9&lt;&gt;"."),up_dir!AH9/((1/1000)*(up_Irr!H9+up_Irr!BD9)),IF(AND(up_Irr!H9=".",up_Irr!AF9&lt;&gt;".",up_Irr!BD9&lt;&gt;"."),up_dir!AH9/((1/1000)*(up_Irr!AF9+up_Irr!BD9)),IF(AND(up_Irr!H9=".",up_Irr!AF9=".",up_Irr!BD9&lt;&gt;"."),up_dir!AH9/((1/1000)*(up_Irr!BD9)),IF(AND(up_Irr!H9=".",up_Irr!AF9&lt;&gt;".",up_Irr!BD9="."),up_dir!AH9/((1/1000)*(up_Irr!AF9)),IF(AND(up_Irr!H9&lt;&gt;".",up_Irr!AF9=".",up_Irr!BD9="."),up_dir!AH9/((1/1000)*(up_Irr!H9)),IF(AND(up_Irr!H9=".",up_Irr!AF9=".",up_Irr!BD9="."),up_dir!AH9*1000)))))))),".")</f>
        <v>6.5773651144152131E-4</v>
      </c>
      <c r="BH9" s="48">
        <f>IFERROR(IF(AND(up_Irr!I9&lt;&gt;".",up_Irr!AG9&lt;&gt;".",up_Irr!BE9&lt;&gt;"."),up_dir!AI9/((1/1000)*(up_Irr!I9+up_Irr!AG9+up_Irr!BE9)),IF(AND(up_Irr!I9&lt;&gt;".",up_Irr!AG9&lt;&gt;".",up_Irr!BE9="."),up_dir!AI9/((1/1000)*(up_Irr!I9+up_Irr!AG9)),IF(AND(up_Irr!I9&lt;&gt;".",up_Irr!AG9=".",up_Irr!BE9&lt;&gt;"."),up_dir!AI9/((1/1000)*(up_Irr!I9+up_Irr!BE9)),IF(AND(up_Irr!I9=".",up_Irr!AG9&lt;&gt;".",up_Irr!BE9&lt;&gt;"."),up_dir!AI9/((1/1000)*(up_Irr!AG9+up_Irr!BE9)),IF(AND(up_Irr!I9=".",up_Irr!AG9=".",up_Irr!BE9&lt;&gt;"."),up_dir!AI9/((1/1000)*(up_Irr!BE9)),IF(AND(up_Irr!I9=".",up_Irr!AG9&lt;&gt;".",up_Irr!BE9="."),up_dir!AI9/((1/1000)*(up_Irr!AG9)),IF(AND(up_Irr!I9&lt;&gt;".",up_Irr!AG9=".",up_Irr!BE9="."),up_dir!AI9/((1/1000)*(up_Irr!I9)),IF(AND(up_Irr!I9=".",up_Irr!AG9=".",up_Irr!BE9="."),up_dir!AI9*1000)))))))),".")</f>
        <v>6.5773651144152131E-4</v>
      </c>
      <c r="BI9" s="48">
        <f>IFERROR(IF(AND(up_Irr!J9&lt;&gt;".",up_Irr!AH9&lt;&gt;".",up_Irr!BF9&lt;&gt;"."),up_dir!AJ9/((1/1000)*(up_Irr!J9+up_Irr!AH9+up_Irr!BF9)),IF(AND(up_Irr!J9&lt;&gt;".",up_Irr!AH9&lt;&gt;".",up_Irr!BF9="."),up_dir!AJ9/((1/1000)*(up_Irr!J9+up_Irr!AH9)),IF(AND(up_Irr!J9&lt;&gt;".",up_Irr!AH9=".",up_Irr!BF9&lt;&gt;"."),up_dir!AJ9/((1/1000)*(up_Irr!J9+up_Irr!BF9)),IF(AND(up_Irr!J9=".",up_Irr!AH9&lt;&gt;".",up_Irr!BF9&lt;&gt;"."),up_dir!AJ9/((1/1000)*(up_Irr!AH9+up_Irr!BF9)),IF(AND(up_Irr!J9=".",up_Irr!AH9=".",up_Irr!BF9&lt;&gt;"."),up_dir!AJ9/((1/1000)*(up_Irr!BF9)),IF(AND(up_Irr!J9=".",up_Irr!AH9&lt;&gt;".",up_Irr!BF9="."),up_dir!AJ9/((1/1000)*(up_Irr!AH9)),IF(AND(up_Irr!J9&lt;&gt;".",up_Irr!AH9=".",up_Irr!BF9="."),up_dir!AJ9/((1/1000)*(up_Irr!J9)),IF(AND(up_Irr!J9=".",up_Irr!AH9=".",up_Irr!BF9="."),up_dir!AJ9*1000)))))))),".")</f>
        <v>6.5773651144152131E-4</v>
      </c>
      <c r="BJ9" s="48">
        <f>IFERROR(IF(AND(up_Irr!K9&lt;&gt;".",up_Irr!AI9&lt;&gt;".",up_Irr!BG9&lt;&gt;"."),up_dir!AK9/((1/1000)*(up_Irr!K9+up_Irr!AI9+up_Irr!BG9)),IF(AND(up_Irr!K9&lt;&gt;".",up_Irr!AI9&lt;&gt;".",up_Irr!BG9="."),up_dir!AK9/((1/1000)*(up_Irr!K9+up_Irr!AI9)),IF(AND(up_Irr!K9&lt;&gt;".",up_Irr!AI9=".",up_Irr!BG9&lt;&gt;"."),up_dir!AK9/((1/1000)*(up_Irr!K9+up_Irr!BG9)),IF(AND(up_Irr!K9=".",up_Irr!AI9&lt;&gt;".",up_Irr!BG9&lt;&gt;"."),up_dir!AK9/((1/1000)*(up_Irr!AI9+up_Irr!BG9)),IF(AND(up_Irr!K9=".",up_Irr!AI9=".",up_Irr!BG9&lt;&gt;"."),up_dir!AK9/((1/1000)*(up_Irr!BG9)),IF(AND(up_Irr!K9=".",up_Irr!AI9&lt;&gt;".",up_Irr!BG9="."),up_dir!AK9/((1/1000)*(up_Irr!AI9)),IF(AND(up_Irr!K9&lt;&gt;".",up_Irr!AI9=".",up_Irr!BG9="."),up_dir!AK9/((1/1000)*(up_Irr!K9)),IF(AND(up_Irr!K9=".",up_Irr!AI9=".",up_Irr!BG9="."),up_dir!AK9*1000)))))))),".")</f>
        <v>6.5773651144152131E-4</v>
      </c>
      <c r="BK9" s="48">
        <f>IFERROR(IF(AND(up_Irr!L9&lt;&gt;".",up_Irr!AJ9&lt;&gt;".",up_Irr!BH9&lt;&gt;"."),up_dir!AL9/((1/1000)*(up_Irr!L9+up_Irr!AJ9+up_Irr!BH9)),IF(AND(up_Irr!L9&lt;&gt;".",up_Irr!AJ9&lt;&gt;".",up_Irr!BH9="."),up_dir!AL9/((1/1000)*(up_Irr!L9+up_Irr!AJ9)),IF(AND(up_Irr!L9&lt;&gt;".",up_Irr!AJ9=".",up_Irr!BH9&lt;&gt;"."),up_dir!AL9/((1/1000)*(up_Irr!L9+up_Irr!BH9)),IF(AND(up_Irr!L9=".",up_Irr!AJ9&lt;&gt;".",up_Irr!BH9&lt;&gt;"."),up_dir!AL9/((1/1000)*(up_Irr!AJ9+up_Irr!BH9)),IF(AND(up_Irr!L9=".",up_Irr!AJ9=".",up_Irr!BH9&lt;&gt;"."),up_dir!AL9/((1/1000)*(up_Irr!BH9)),IF(AND(up_Irr!L9=".",up_Irr!AJ9&lt;&gt;".",up_Irr!BH9="."),up_dir!AL9/((1/1000)*(up_Irr!AJ9)),IF(AND(up_Irr!L9&lt;&gt;".",up_Irr!AJ9=".",up_Irr!BH9="."),up_dir!AL9/((1/1000)*(up_Irr!L9)),IF(AND(up_Irr!L9=".",up_Irr!AJ9=".",up_Irr!BH9="."),up_dir!AL9*1000)))))))),".")</f>
        <v>6.5773651144152131E-4</v>
      </c>
      <c r="BL9" s="48">
        <f>IFERROR(IF(AND(up_Irr!M9&lt;&gt;".",up_Irr!AK9&lt;&gt;".",up_Irr!BI9&lt;&gt;"."),up_dir!AM9/((1/1000)*(up_Irr!M9+up_Irr!AK9+up_Irr!BI9)),IF(AND(up_Irr!M9&lt;&gt;".",up_Irr!AK9&lt;&gt;".",up_Irr!BI9="."),up_dir!AM9/((1/1000)*(up_Irr!M9+up_Irr!AK9)),IF(AND(up_Irr!M9&lt;&gt;".",up_Irr!AK9=".",up_Irr!BI9&lt;&gt;"."),up_dir!AM9/((1/1000)*(up_Irr!M9+up_Irr!BI9)),IF(AND(up_Irr!M9=".",up_Irr!AK9&lt;&gt;".",up_Irr!BI9&lt;&gt;"."),up_dir!AM9/((1/1000)*(up_Irr!AK9+up_Irr!BI9)),IF(AND(up_Irr!M9=".",up_Irr!AK9=".",up_Irr!BI9&lt;&gt;"."),up_dir!AM9/((1/1000)*(up_Irr!BI9)),IF(AND(up_Irr!M9=".",up_Irr!AK9&lt;&gt;".",up_Irr!BI9="."),up_dir!AM9/((1/1000)*(up_Irr!AK9)),IF(AND(up_Irr!M9&lt;&gt;".",up_Irr!AK9=".",up_Irr!BI9="."),up_dir!AM9/((1/1000)*(up_Irr!M9)),IF(AND(up_Irr!M9=".",up_Irr!AK9=".",up_Irr!BI9="."),up_dir!AM9*1000)))))))),".")</f>
        <v>6.5773651144152131E-4</v>
      </c>
      <c r="BM9" s="48">
        <f>IFERROR(IF(AND(up_Irr!N9&lt;&gt;".",up_Irr!AL9&lt;&gt;".",up_Irr!BJ9&lt;&gt;"."),up_dir!AN9/((1/1000)*(up_Irr!N9+up_Irr!AL9+up_Irr!BJ9)),IF(AND(up_Irr!N9&lt;&gt;".",up_Irr!AL9&lt;&gt;".",up_Irr!BJ9="."),up_dir!AN9/((1/1000)*(up_Irr!N9+up_Irr!AL9)),IF(AND(up_Irr!N9&lt;&gt;".",up_Irr!AL9=".",up_Irr!BJ9&lt;&gt;"."),up_dir!AN9/((1/1000)*(up_Irr!N9+up_Irr!BJ9)),IF(AND(up_Irr!N9=".",up_Irr!AL9&lt;&gt;".",up_Irr!BJ9&lt;&gt;"."),up_dir!AN9/((1/1000)*(up_Irr!AL9+up_Irr!BJ9)),IF(AND(up_Irr!N9=".",up_Irr!AL9=".",up_Irr!BJ9&lt;&gt;"."),up_dir!AN9/((1/1000)*(up_Irr!BJ9)),IF(AND(up_Irr!N9=".",up_Irr!AL9&lt;&gt;".",up_Irr!BJ9="."),up_dir!AN9/((1/1000)*(up_Irr!AL9)),IF(AND(up_Irr!N9&lt;&gt;".",up_Irr!AL9=".",up_Irr!BJ9="."),up_dir!AN9/((1/1000)*(up_Irr!N9)),IF(AND(up_Irr!N9=".",up_Irr!AL9=".",up_Irr!BJ9="."),up_dir!AN9*1000)))))))),".")</f>
        <v>6.5773651144152131E-4</v>
      </c>
      <c r="BN9" s="48">
        <f>IFERROR(IF(AND(up_Irr!O9&lt;&gt;".",up_Irr!AM9&lt;&gt;".",up_Irr!BK9&lt;&gt;"."),up_dir!AO9/((1/1000)*(up_Irr!O9+up_Irr!AM9+up_Irr!BK9)),IF(AND(up_Irr!O9&lt;&gt;".",up_Irr!AM9&lt;&gt;".",up_Irr!BK9="."),up_dir!AO9/((1/1000)*(up_Irr!O9+up_Irr!AM9)),IF(AND(up_Irr!O9&lt;&gt;".",up_Irr!AM9=".",up_Irr!BK9&lt;&gt;"."),up_dir!AO9/((1/1000)*(up_Irr!O9+up_Irr!BK9)),IF(AND(up_Irr!O9=".",up_Irr!AM9&lt;&gt;".",up_Irr!BK9&lt;&gt;"."),up_dir!AO9/((1/1000)*(up_Irr!AM9+up_Irr!BK9)),IF(AND(up_Irr!O9=".",up_Irr!AM9=".",up_Irr!BK9&lt;&gt;"."),up_dir!AO9/((1/1000)*(up_Irr!BK9)),IF(AND(up_Irr!O9=".",up_Irr!AM9&lt;&gt;".",up_Irr!BK9="."),up_dir!AO9/((1/1000)*(up_Irr!AM9)),IF(AND(up_Irr!O9&lt;&gt;".",up_Irr!AM9=".",up_Irr!BK9="."),up_dir!AO9/((1/1000)*(up_Irr!O9)),IF(AND(up_Irr!O9=".",up_Irr!AM9=".",up_Irr!BK9="."),up_dir!AO9*1000)))))))),".")</f>
        <v>6.5773651144152131E-4</v>
      </c>
      <c r="BO9" s="48">
        <f>IFERROR(IF(AND(up_Irr!P9&lt;&gt;".",up_Irr!AN9&lt;&gt;".",up_Irr!BL9&lt;&gt;"."),up_dir!AP9/((1/1000)*(up_Irr!P9+up_Irr!AN9+up_Irr!BL9)),IF(AND(up_Irr!P9&lt;&gt;".",up_Irr!AN9&lt;&gt;".",up_Irr!BL9="."),up_dir!AP9/((1/1000)*(up_Irr!P9+up_Irr!AN9)),IF(AND(up_Irr!P9&lt;&gt;".",up_Irr!AN9=".",up_Irr!BL9&lt;&gt;"."),up_dir!AP9/((1/1000)*(up_Irr!P9+up_Irr!BL9)),IF(AND(up_Irr!P9=".",up_Irr!AN9&lt;&gt;".",up_Irr!BL9&lt;&gt;"."),up_dir!AP9/((1/1000)*(up_Irr!AN9+up_Irr!BL9)),IF(AND(up_Irr!P9=".",up_Irr!AN9=".",up_Irr!BL9&lt;&gt;"."),up_dir!AP9/((1/1000)*(up_Irr!BL9)),IF(AND(up_Irr!P9=".",up_Irr!AN9&lt;&gt;".",up_Irr!BL9="."),up_dir!AP9/((1/1000)*(up_Irr!AN9)),IF(AND(up_Irr!P9&lt;&gt;".",up_Irr!AN9=".",up_Irr!BL9="."),up_dir!AP9/((1/1000)*(up_Irr!P9)),IF(AND(up_Irr!P9=".",up_Irr!AN9=".",up_Irr!BL9="."),up_dir!AP9*1000)))))))),".")</f>
        <v>6.5773651144152131E-4</v>
      </c>
      <c r="BP9" s="48">
        <f>IFERROR(IF(AND(up_Irr!Q9&lt;&gt;".",up_Irr!AO9&lt;&gt;".",up_Irr!BM9&lt;&gt;"."),up_dir!AQ9/((1/1000)*(up_Irr!Q9+up_Irr!AO9+up_Irr!BM9)),IF(AND(up_Irr!Q9&lt;&gt;".",up_Irr!AO9&lt;&gt;".",up_Irr!BM9="."),up_dir!AQ9/((1/1000)*(up_Irr!Q9+up_Irr!AO9)),IF(AND(up_Irr!Q9&lt;&gt;".",up_Irr!AO9=".",up_Irr!BM9&lt;&gt;"."),up_dir!AQ9/((1/1000)*(up_Irr!Q9+up_Irr!BM9)),IF(AND(up_Irr!Q9=".",up_Irr!AO9&lt;&gt;".",up_Irr!BM9&lt;&gt;"."),up_dir!AQ9/((1/1000)*(up_Irr!AO9+up_Irr!BM9)),IF(AND(up_Irr!Q9=".",up_Irr!AO9=".",up_Irr!BM9&lt;&gt;"."),up_dir!AQ9/((1/1000)*(up_Irr!BM9)),IF(AND(up_Irr!Q9=".",up_Irr!AO9&lt;&gt;".",up_Irr!BM9="."),up_dir!AQ9/((1/1000)*(up_Irr!AO9)),IF(AND(up_Irr!Q9&lt;&gt;".",up_Irr!AO9=".",up_Irr!BM9="."),up_dir!AQ9/((1/1000)*(up_Irr!Q9)),IF(AND(up_Irr!Q9=".",up_Irr!AO9=".",up_Irr!BM9="."),up_dir!AQ9*1000)))))))),".")</f>
        <v>6.5773651144152131E-4</v>
      </c>
      <c r="BQ9" s="48">
        <f>IFERROR(IF(AND(up_Irr!R9&lt;&gt;".",up_Irr!AP9&lt;&gt;".",up_Irr!BN9&lt;&gt;"."),up_dir!AR9/((1/1000)*(up_Irr!R9+up_Irr!AP9+up_Irr!BN9)),IF(AND(up_Irr!R9&lt;&gt;".",up_Irr!AP9&lt;&gt;".",up_Irr!BN9="."),up_dir!AR9/((1/1000)*(up_Irr!R9+up_Irr!AP9)),IF(AND(up_Irr!R9&lt;&gt;".",up_Irr!AP9=".",up_Irr!BN9&lt;&gt;"."),up_dir!AR9/((1/1000)*(up_Irr!R9+up_Irr!BN9)),IF(AND(up_Irr!R9=".",up_Irr!AP9&lt;&gt;".",up_Irr!BN9&lt;&gt;"."),up_dir!AR9/((1/1000)*(up_Irr!AP9+up_Irr!BN9)),IF(AND(up_Irr!R9=".",up_Irr!AP9=".",up_Irr!BN9&lt;&gt;"."),up_dir!AR9/((1/1000)*(up_Irr!BN9)),IF(AND(up_Irr!R9=".",up_Irr!AP9&lt;&gt;".",up_Irr!BN9="."),up_dir!AR9/((1/1000)*(up_Irr!AP9)),IF(AND(up_Irr!R9&lt;&gt;".",up_Irr!AP9=".",up_Irr!BN9="."),up_dir!AR9/((1/1000)*(up_Irr!R9)),IF(AND(up_Irr!R9=".",up_Irr!AP9=".",up_Irr!BN9="."),up_dir!AR9*1000)))))))),".")</f>
        <v>6.5773651144152131E-4</v>
      </c>
      <c r="BR9" s="48">
        <f>IFERROR(IF(AND(up_Irr!S9&lt;&gt;".",up_Irr!AQ9&lt;&gt;".",up_Irr!BO9&lt;&gt;"."),up_dir!AS9/((1/1000)*(up_Irr!S9+up_Irr!AQ9+up_Irr!BO9)),IF(AND(up_Irr!S9&lt;&gt;".",up_Irr!AQ9&lt;&gt;".",up_Irr!BO9="."),up_dir!AS9/((1/1000)*(up_Irr!S9+up_Irr!AQ9)),IF(AND(up_Irr!S9&lt;&gt;".",up_Irr!AQ9=".",up_Irr!BO9&lt;&gt;"."),up_dir!AS9/((1/1000)*(up_Irr!S9+up_Irr!BO9)),IF(AND(up_Irr!S9=".",up_Irr!AQ9&lt;&gt;".",up_Irr!BO9&lt;&gt;"."),up_dir!AS9/((1/1000)*(up_Irr!AQ9+up_Irr!BO9)),IF(AND(up_Irr!S9=".",up_Irr!AQ9=".",up_Irr!BO9&lt;&gt;"."),up_dir!AS9/((1/1000)*(up_Irr!BO9)),IF(AND(up_Irr!S9=".",up_Irr!AQ9&lt;&gt;".",up_Irr!BO9="."),up_dir!AS9/((1/1000)*(up_Irr!AQ9)),IF(AND(up_Irr!S9&lt;&gt;".",up_Irr!AQ9=".",up_Irr!BO9="."),up_dir!AS9/((1/1000)*(up_Irr!S9)),IF(AND(up_Irr!S9=".",up_Irr!AQ9=".",up_Irr!BO9="."),up_dir!AS9*1000)))))))),".")</f>
        <v>6.5773651144152131E-4</v>
      </c>
      <c r="BS9" s="48">
        <f>IFERROR(IF(AND(up_Irr!T9&lt;&gt;".",up_Irr!AR9&lt;&gt;".",up_Irr!BP9&lt;&gt;"."),up_dir!AT9/((1/1000)*(up_Irr!T9+up_Irr!AR9+up_Irr!BP9)),IF(AND(up_Irr!T9&lt;&gt;".",up_Irr!AR9&lt;&gt;".",up_Irr!BP9="."),up_dir!AT9/((1/1000)*(up_Irr!T9+up_Irr!AR9)),IF(AND(up_Irr!T9&lt;&gt;".",up_Irr!AR9=".",up_Irr!BP9&lt;&gt;"."),up_dir!AT9/((1/1000)*(up_Irr!T9+up_Irr!BP9)),IF(AND(up_Irr!T9=".",up_Irr!AR9&lt;&gt;".",up_Irr!BP9&lt;&gt;"."),up_dir!AT9/((1/1000)*(up_Irr!AR9+up_Irr!BP9)),IF(AND(up_Irr!T9=".",up_Irr!AR9=".",up_Irr!BP9&lt;&gt;"."),up_dir!AT9/((1/1000)*(up_Irr!BP9)),IF(AND(up_Irr!T9=".",up_Irr!AR9&lt;&gt;".",up_Irr!BP9="."),up_dir!AT9/((1/1000)*(up_Irr!AR9)),IF(AND(up_Irr!T9&lt;&gt;".",up_Irr!AR9=".",up_Irr!BP9="."),up_dir!AT9/((1/1000)*(up_Irr!T9)),IF(AND(up_Irr!T9=".",up_Irr!AR9=".",up_Irr!BP9="."),up_dir!AT9*1000)))))))),".")</f>
        <v>6.5773651144152131E-4</v>
      </c>
      <c r="BT9" s="48">
        <f>IFERROR(IF(AND(up_Irr!U9&lt;&gt;".",up_Irr!AS9&lt;&gt;".",up_Irr!BQ9&lt;&gt;"."),up_dir!AU9/((1/1000)*(up_Irr!U9+up_Irr!AS9+up_Irr!BQ9)),IF(AND(up_Irr!U9&lt;&gt;".",up_Irr!AS9&lt;&gt;".",up_Irr!BQ9="."),up_dir!AU9/((1/1000)*(up_Irr!U9+up_Irr!AS9)),IF(AND(up_Irr!U9&lt;&gt;".",up_Irr!AS9=".",up_Irr!BQ9&lt;&gt;"."),up_dir!AU9/((1/1000)*(up_Irr!U9+up_Irr!BQ9)),IF(AND(up_Irr!U9=".",up_Irr!AS9&lt;&gt;".",up_Irr!BQ9&lt;&gt;"."),up_dir!AU9/((1/1000)*(up_Irr!AS9+up_Irr!BQ9)),IF(AND(up_Irr!U9=".",up_Irr!AS9=".",up_Irr!BQ9&lt;&gt;"."),up_dir!AU9/((1/1000)*(up_Irr!BQ9)),IF(AND(up_Irr!U9=".",up_Irr!AS9&lt;&gt;".",up_Irr!BQ9="."),up_dir!AU9/((1/1000)*(up_Irr!AS9)),IF(AND(up_Irr!U9&lt;&gt;".",up_Irr!AS9=".",up_Irr!BQ9="."),up_dir!AU9/((1/1000)*(up_Irr!U9)),IF(AND(up_Irr!U9=".",up_Irr!AS9=".",up_Irr!BQ9="."),up_dir!AU9*1000)))))))),".")</f>
        <v>6.5773651144152131E-4</v>
      </c>
      <c r="BU9" s="48">
        <f>IFERROR(IF(AND(up_Irr!V9&lt;&gt;".",up_Irr!AT9&lt;&gt;".",up_Irr!BR9&lt;&gt;"."),up_dir!AV9/((1/1000)*(up_Irr!V9+up_Irr!AT9+up_Irr!BR9)),IF(AND(up_Irr!V9&lt;&gt;".",up_Irr!AT9&lt;&gt;".",up_Irr!BR9="."),up_dir!AV9/((1/1000)*(up_Irr!V9+up_Irr!AT9)),IF(AND(up_Irr!V9&lt;&gt;".",up_Irr!AT9=".",up_Irr!BR9&lt;&gt;"."),up_dir!AV9/((1/1000)*(up_Irr!V9+up_Irr!BR9)),IF(AND(up_Irr!V9=".",up_Irr!AT9&lt;&gt;".",up_Irr!BR9&lt;&gt;"."),up_dir!AV9/((1/1000)*(up_Irr!AT9+up_Irr!BR9)),IF(AND(up_Irr!V9=".",up_Irr!AT9=".",up_Irr!BR9&lt;&gt;"."),up_dir!AV9/((1/1000)*(up_Irr!BR9)),IF(AND(up_Irr!V9=".",up_Irr!AT9&lt;&gt;".",up_Irr!BR9="."),up_dir!AV9/((1/1000)*(up_Irr!AT9)),IF(AND(up_Irr!V9&lt;&gt;".",up_Irr!AT9=".",up_Irr!BR9="."),up_dir!AV9/((1/1000)*(up_Irr!V9)),IF(AND(up_Irr!V9=".",up_Irr!AT9=".",up_Irr!BR9="."),up_dir!AV9*1000)))))))),".")</f>
        <v>6.5773651144152131E-4</v>
      </c>
      <c r="BV9" s="48">
        <f>IFERROR(IF(AND(up_Irr!W9&lt;&gt;".",up_Irr!AU9&lt;&gt;".",up_Irr!BS9&lt;&gt;"."),up_dir!AW9/((1/1000)*(up_Irr!W9+up_Irr!AU9+up_Irr!BS9)),IF(AND(up_Irr!W9&lt;&gt;".",up_Irr!AU9&lt;&gt;".",up_Irr!BS9="."),up_dir!AW9/((1/1000)*(up_Irr!W9+up_Irr!AU9)),IF(AND(up_Irr!W9&lt;&gt;".",up_Irr!AU9=".",up_Irr!BS9&lt;&gt;"."),up_dir!AW9/((1/1000)*(up_Irr!W9+up_Irr!BS9)),IF(AND(up_Irr!W9=".",up_Irr!AU9&lt;&gt;".",up_Irr!BS9&lt;&gt;"."),up_dir!AW9/((1/1000)*(up_Irr!AU9+up_Irr!BS9)),IF(AND(up_Irr!W9=".",up_Irr!AU9=".",up_Irr!BS9&lt;&gt;"."),up_dir!AW9/((1/1000)*(up_Irr!BS9)),IF(AND(up_Irr!W9=".",up_Irr!AU9&lt;&gt;".",up_Irr!BS9="."),up_dir!AW9/((1/1000)*(up_Irr!AU9)),IF(AND(up_Irr!W9&lt;&gt;".",up_Irr!AU9=".",up_Irr!BS9="."),up_dir!AW9/((1/1000)*(up_Irr!W9)),IF(AND(up_Irr!W9=".",up_Irr!AU9=".",up_Irr!BS9="."),up_dir!AW9*1000)))))))),".")</f>
        <v>6.5773651144152131E-4</v>
      </c>
      <c r="BW9" s="48">
        <f>IFERROR(IF(AND(up_Irr!X9&lt;&gt;".",up_Irr!AV9&lt;&gt;".",up_Irr!BT9&lt;&gt;"."),up_dir!AX9/((1/1000)*(up_Irr!X9+up_Irr!AV9+up_Irr!BT9)),IF(AND(up_Irr!X9&lt;&gt;".",up_Irr!AV9&lt;&gt;".",up_Irr!BT9="."),up_dir!AX9/((1/1000)*(up_Irr!X9+up_Irr!AV9)),IF(AND(up_Irr!X9&lt;&gt;".",up_Irr!AV9=".",up_Irr!BT9&lt;&gt;"."),up_dir!AX9/((1/1000)*(up_Irr!X9+up_Irr!BT9)),IF(AND(up_Irr!X9=".",up_Irr!AV9&lt;&gt;".",up_Irr!BT9&lt;&gt;"."),up_dir!AX9/((1/1000)*(up_Irr!AV9+up_Irr!BT9)),IF(AND(up_Irr!X9=".",up_Irr!AV9=".",up_Irr!BT9&lt;&gt;"."),up_dir!AX9/((1/1000)*(up_Irr!BT9)),IF(AND(up_Irr!X9=".",up_Irr!AV9&lt;&gt;".",up_Irr!BT9="."),up_dir!AX9/((1/1000)*(up_Irr!AV9)),IF(AND(up_Irr!X9&lt;&gt;".",up_Irr!AV9=".",up_Irr!BT9="."),up_dir!AX9/((1/1000)*(up_Irr!X9)),IF(AND(up_Irr!X9=".",up_Irr!AV9=".",up_Irr!BT9="."),up_dir!AX9*1000)))))))),".")</f>
        <v>6.5773651144152131E-4</v>
      </c>
      <c r="BX9" s="48">
        <f>IFERROR(IF(AND(up_Irr!Y9&lt;&gt;".",up_Irr!AW9&lt;&gt;".",up_Irr!BU9&lt;&gt;"."),up_dir!AY9/((1/1000)*(up_Irr!Y9+up_Irr!AW9+up_Irr!BU9)),IF(AND(up_Irr!Y9&lt;&gt;".",up_Irr!AW9&lt;&gt;".",up_Irr!BU9="."),up_dir!AY9/((1/1000)*(up_Irr!Y9+up_Irr!AW9)),IF(AND(up_Irr!Y9&lt;&gt;".",up_Irr!AW9=".",up_Irr!BU9&lt;&gt;"."),up_dir!AY9/((1/1000)*(up_Irr!Y9+up_Irr!BU9)),IF(AND(up_Irr!Y9=".",up_Irr!AW9&lt;&gt;".",up_Irr!BU9&lt;&gt;"."),up_dir!AY9/((1/1000)*(up_Irr!AW9+up_Irr!BU9)),IF(AND(up_Irr!Y9=".",up_Irr!AW9=".",up_Irr!BU9&lt;&gt;"."),up_dir!AY9/((1/1000)*(up_Irr!BU9)),IF(AND(up_Irr!Y9=".",up_Irr!AW9&lt;&gt;".",up_Irr!BU9="."),up_dir!AY9/((1/1000)*(up_Irr!AW9)),IF(AND(up_Irr!Y9&lt;&gt;".",up_Irr!AW9=".",up_Irr!BU9="."),up_dir!AY9/((1/1000)*(up_Irr!Y9)),IF(AND(up_Irr!Y9=".",up_Irr!AW9=".",up_Irr!BU9="."),up_dir!AY9*1000)))))))),".")</f>
        <v>6.5773651144152131E-4</v>
      </c>
      <c r="BY9" s="48">
        <f>IFERROR(IF(AND(up_Irr!Z9&lt;&gt;".",up_Irr!AX9&lt;&gt;".",up_Irr!BV9&lt;&gt;"."),up_dir!AZ9/((1/1000)*(up_Irr!Z9+up_Irr!AX9+up_Irr!BV9)),IF(AND(up_Irr!Z9&lt;&gt;".",up_Irr!AX9&lt;&gt;".",up_Irr!BV9="."),up_dir!AZ9/((1/1000)*(up_Irr!Z9+up_Irr!AX9)),IF(AND(up_Irr!Z9&lt;&gt;".",up_Irr!AX9=".",up_Irr!BV9&lt;&gt;"."),up_dir!AZ9/((1/1000)*(up_Irr!Z9+up_Irr!BV9)),IF(AND(up_Irr!Z9=".",up_Irr!AX9&lt;&gt;".",up_Irr!BV9&lt;&gt;"."),up_dir!AZ9/((1/1000)*(up_Irr!AX9+up_Irr!BV9)),IF(AND(up_Irr!Z9=".",up_Irr!AX9=".",up_Irr!BV9&lt;&gt;"."),up_dir!AZ9/((1/1000)*(up_Irr!BV9)),IF(AND(up_Irr!Z9=".",up_Irr!AX9&lt;&gt;".",up_Irr!BV9="."),up_dir!AZ9/((1/1000)*(up_Irr!AX9)),IF(AND(up_Irr!Z9&lt;&gt;".",up_Irr!AX9=".",up_Irr!BV9="."),up_dir!AZ9/((1/1000)*(up_Irr!Z9)),IF(AND(up_Irr!Z9=".",up_Irr!AX9=".",up_Irr!BV9="."),up_dir!AZ9*1000)))))))),".")</f>
        <v>6.5773651144152131E-4</v>
      </c>
      <c r="BZ9" s="62">
        <f t="shared" si="3"/>
        <v>22805.4847785862</v>
      </c>
      <c r="CA9" s="62">
        <f>IFERROR(s_C*s_IFAP_far_adj*s_CF_apple*(1/1000)*(up_Irr!C9+up_Irr!AA9+up_Irr!AY9),".")</f>
        <v>7601.8282595287337</v>
      </c>
      <c r="CB9" s="62">
        <f>IFERROR(s_C*s_IFAS_far_adj*s_CF_asparagus*(1/1000)*(up_Irr!D9+up_Irr!AB9+up_Irr!AZ9),".")</f>
        <v>7601.8282595287337</v>
      </c>
      <c r="CC9" s="62">
        <f>IFERROR(s_C*s_IFBT_far_adj*s_CF_beet*(1/1000)*(up_Irr!E9+up_Irr!AC9+up_Irr!BA9),".")</f>
        <v>7601.8282595287337</v>
      </c>
      <c r="CD9" s="62">
        <f>IFERROR(s_C*s_IFBE_far_adj*s_CF_berries*(1/1000)*(up_Irr!F9+up_Irr!AD9+up_Irr!BB9),".")</f>
        <v>7601.8282595287337</v>
      </c>
      <c r="CE9" s="62">
        <f>IFERROR(s_C*s_IFBR_far_adj*s_CF_broccoli*(1/1000)*(up_Irr!G9+up_Irr!AE9+up_Irr!BC9),".")</f>
        <v>7601.8282595287337</v>
      </c>
      <c r="CF9" s="62">
        <f>IFERROR(s_C*s_IFCB_far_adj*s_CF_cabbage*(1/1000)*(up_Irr!H9+up_Irr!AF9+up_Irr!BD9),".")</f>
        <v>7601.8282595287337</v>
      </c>
      <c r="CG9" s="62">
        <f>IFERROR(s_C*s_IFCR_far_adj*s_CF_carrot*(1/1000)*(up_Irr!I9+up_Irr!AG9+up_Irr!BE9),".")</f>
        <v>7601.8282595287337</v>
      </c>
      <c r="CH9" s="62">
        <f>IFERROR(s_C*s_IFCI_far_adj*s_CF_citrus*(1/1000)*(up_Irr!J9+up_Irr!AH9+up_Irr!BF9),".")</f>
        <v>7601.8282595287337</v>
      </c>
      <c r="CI9" s="62">
        <f>IFERROR(s_C*s_IFCO_far_adj*s_CF_corn*(1/1000)*(up_Irr!K9+up_Irr!AI9+up_Irr!BG9),".")</f>
        <v>7601.8282595287337</v>
      </c>
      <c r="CJ9" s="62">
        <f>IFERROR(s_C*s_IFCU_far_adj*s_CF_cucumber*(1/1000)*(up_Irr!L9+up_Irr!AJ9+up_Irr!BH9),".")</f>
        <v>7601.8282595287337</v>
      </c>
      <c r="CK9" s="62">
        <f>IFERROR(s_C*s_IFLE_far_adj*s_CF_lettuce*(1/1000)*(up_Irr!M9+up_Irr!AK9+up_Irr!BI9),".")</f>
        <v>7601.8282595287337</v>
      </c>
      <c r="CL9" s="62">
        <f>IFERROR(s_C*s_IFLI_far_adj*s_CF_lima_bean*(1/1000)*(up_Irr!N9+up_Irr!AL9+up_Irr!BJ9),".")</f>
        <v>7601.8282595287337</v>
      </c>
      <c r="CM9" s="62">
        <f>IFERROR(s_C*s_IFOK_far_adj*s_CF_okra*(1/1000)*(up_Irr!O9+up_Irr!AM9+up_Irr!BK9),".")</f>
        <v>7601.8282595287337</v>
      </c>
      <c r="CN9" s="62">
        <f>IFERROR(s_C*s_IFON_far_adj*s_CF_onion*(1/1000)*(up_Irr!P9+up_Irr!AN9+up_Irr!BL9),".")</f>
        <v>7601.8282595287337</v>
      </c>
      <c r="CO9" s="62">
        <f>IFERROR(s_C*s_IFPC_far_adj*s_CF_peach*(1/1000)*(up_Irr!Q9+up_Irr!AO9+up_Irr!BM9),".")</f>
        <v>7601.8282595287337</v>
      </c>
      <c r="CP9" s="62">
        <f>IFERROR(s_C*s_IFPR_far_adj*s_CF_pear*(1/1000)*(up_Irr!R9+up_Irr!AP9+up_Irr!BN9),".")</f>
        <v>7601.8282595287337</v>
      </c>
      <c r="CQ9" s="62">
        <f>IFERROR(s_C*s_IFPE_far_adj*s_CF_peas*(1/1000)*(up_Irr!S9+up_Irr!AQ9+up_Irr!BO9),".")</f>
        <v>7601.8282595287337</v>
      </c>
      <c r="CR9" s="62">
        <f>IFERROR(s_C*s_IFPT_far_adj*s_CF_potato*(1/1000)*(up_Irr!T9+up_Irr!AR9+up_Irr!BP9),".")</f>
        <v>7601.8282595287337</v>
      </c>
      <c r="CS9" s="62">
        <f>IFERROR(s_C*s_IFPU_far_adj*s_CF_pumpkin*(1/1000)*(up_Irr!U9+up_Irr!AS9+up_Irr!BQ9),".")</f>
        <v>7601.8282595287337</v>
      </c>
      <c r="CT9" s="62">
        <f>IFERROR(s_C*s_IFSN_far_adj*s_CF_snap_bean*(1/1000)*(up_Irr!V9+up_Irr!AT9+up_Irr!BR9),".")</f>
        <v>7601.8282595287337</v>
      </c>
      <c r="CU9" s="62">
        <f>IFERROR(s_C*s_IFST_far_adj*s_CF_strawberry*(1/1000)*(up_Irr!W9+up_Irr!AU9+up_Irr!BS9),".")</f>
        <v>7601.8282595287337</v>
      </c>
      <c r="CV9" s="62">
        <f>IFERROR(s_C*s_IFTO_far_adj*s_CF_tomato*(1/1000)*(up_Irr!X9+up_Irr!AV9+up_Irr!BT9),".")</f>
        <v>7601.8282595287337</v>
      </c>
      <c r="CW9" s="62">
        <f>IFERROR(s_C*s_IFRI_far_adj*s_CF_rice*(1/1000)*(up_Irr!Y9+up_Irr!AW9+up_Irr!BU9),".")</f>
        <v>7601.8282595287337</v>
      </c>
      <c r="CX9" s="62">
        <f>IFERROR(s_C*s_IFCG_far_adj*s_CF_cereal*(1/1000)*(up_Irr!Z9+up_Irr!AX9+up_Irr!BV9),".")</f>
        <v>7601.8282595287337</v>
      </c>
    </row>
    <row r="10" spans="1:102" x14ac:dyDescent="0.25">
      <c r="A10" s="63" t="s">
        <v>8</v>
      </c>
      <c r="B10" s="49" t="s">
        <v>336</v>
      </c>
      <c r="C10" s="48">
        <f t="shared" si="0"/>
        <v>2.1924550381384044E-4</v>
      </c>
      <c r="D10" s="48">
        <f>IFERROR(IF(AND(up_Irr!C10&lt;&gt;".",up_Irr!AA10&lt;&gt;".",up_Irr!AY10&lt;&gt;"."),up_dir!D10/((1/1000)*(up_Irr!C10+up_Irr!AA10+up_Irr!AY10)),IF(AND(up_Irr!C10&lt;&gt;".",up_Irr!AA10&lt;&gt;".",up_Irr!AY10="."),up_dir!D10/((1/1000)*(up_Irr!C10+up_Irr!AA10)),IF(AND(up_Irr!C10&lt;&gt;".",up_Irr!AA10=".",up_Irr!AY10&lt;&gt;"."),up_dir!D10/((1/1000)*(up_Irr!C10+up_Irr!AY10)),IF(AND(up_Irr!C10=".",up_Irr!AA10&lt;&gt;".",up_Irr!AY10&lt;&gt;"."),up_dir!D10/((1/1000)*(up_Irr!AA10+up_Irr!AY10)),IF(AND(up_Irr!C10=".",up_Irr!AA10=".",up_Irr!AY10&lt;&gt;"."),up_dir!D10/((1/1000)*(up_Irr!AY10)),IF(AND(up_Irr!C10=".",up_Irr!AA10&lt;&gt;".",up_Irr!AY10="."),up_dir!D10/((1/1000)*(up_Irr!AA10)),IF(AND(up_Irr!C10&lt;&gt;".",up_Irr!AA10=".",up_Irr!AY10="."),up_dir!D10/((1/1000)*(up_Irr!C10)),IF(AND(up_Irr!C10=".",up_Irr!AA10=".",up_Irr!AY10="."),up_dir!D10*1000)))))))),".")</f>
        <v>6.5773651144152131E-4</v>
      </c>
      <c r="E10" s="48">
        <f>IFERROR(IF(AND(up_Irr!D10&lt;&gt;".",up_Irr!AB10&lt;&gt;".",up_Irr!AZ10&lt;&gt;"."),up_dir!E10/((1/1000)*(up_Irr!D10+up_Irr!AB10+up_Irr!AZ10)),IF(AND(up_Irr!D10&lt;&gt;".",up_Irr!AB10&lt;&gt;".",up_Irr!AZ10="."),up_dir!E10/((1/1000)*(up_Irr!D10+up_Irr!AB10)),IF(AND(up_Irr!D10&lt;&gt;".",up_Irr!AB10=".",up_Irr!AZ10&lt;&gt;"."),up_dir!E10/((1/1000)*(up_Irr!D10+up_Irr!AZ10)),IF(AND(up_Irr!D10=".",up_Irr!AB10&lt;&gt;".",up_Irr!AZ10&lt;&gt;"."),up_dir!E10/((1/1000)*(up_Irr!AB10+up_Irr!AZ10)),IF(AND(up_Irr!D10=".",up_Irr!AB10=".",up_Irr!AZ10&lt;&gt;"."),up_dir!E10/((1/1000)*(up_Irr!AZ10)),IF(AND(up_Irr!D10=".",up_Irr!AB10&lt;&gt;".",up_Irr!AZ10="."),up_dir!E10/((1/1000)*(up_Irr!AB10)),IF(AND(up_Irr!D10&lt;&gt;".",up_Irr!AB10=".",up_Irr!AZ10="."),up_dir!E10/((1/1000)*(up_Irr!D10)),IF(AND(up_Irr!D10=".",up_Irr!AB10=".",up_Irr!AZ10="."),up_dir!E10*1000)))))))),".")</f>
        <v>6.5773651144152131E-4</v>
      </c>
      <c r="F10" s="48">
        <f>IFERROR(IF(AND(up_Irr!E10&lt;&gt;".",up_Irr!AC10&lt;&gt;".",up_Irr!BA10&lt;&gt;"."),up_dir!F10/((1/1000)*(up_Irr!E10+up_Irr!AC10+up_Irr!BA10)),IF(AND(up_Irr!E10&lt;&gt;".",up_Irr!AC10&lt;&gt;".",up_Irr!BA10="."),up_dir!F10/((1/1000)*(up_Irr!E10+up_Irr!AC10)),IF(AND(up_Irr!E10&lt;&gt;".",up_Irr!AC10=".",up_Irr!BA10&lt;&gt;"."),up_dir!F10/((1/1000)*(up_Irr!E10+up_Irr!BA10)),IF(AND(up_Irr!E10=".",up_Irr!AC10&lt;&gt;".",up_Irr!BA10&lt;&gt;"."),up_dir!F10/((1/1000)*(up_Irr!AC10+up_Irr!BA10)),IF(AND(up_Irr!E10=".",up_Irr!AC10=".",up_Irr!BA10&lt;&gt;"."),up_dir!F10/((1/1000)*(up_Irr!BA10)),IF(AND(up_Irr!E10=".",up_Irr!AC10&lt;&gt;".",up_Irr!BA10="."),up_dir!F10/((1/1000)*(up_Irr!AC10)),IF(AND(up_Irr!E10&lt;&gt;".",up_Irr!AC10=".",up_Irr!BA10="."),up_dir!F10/((1/1000)*(up_Irr!E10)),IF(AND(up_Irr!E10=".",up_Irr!AC10=".",up_Irr!BA10="."),up_dir!F10*1000)))))))),".")</f>
        <v>6.5773651144152131E-4</v>
      </c>
      <c r="G10" s="48">
        <f>IFERROR(IF(AND(up_Irr!F10&lt;&gt;".",up_Irr!AD10&lt;&gt;".",up_Irr!BB10&lt;&gt;"."),up_dir!G10/((1/1000)*(up_Irr!F10+up_Irr!AD10+up_Irr!BB10)),IF(AND(up_Irr!F10&lt;&gt;".",up_Irr!AD10&lt;&gt;".",up_Irr!BB10="."),up_dir!G10/((1/1000)*(up_Irr!F10+up_Irr!AD10)),IF(AND(up_Irr!F10&lt;&gt;".",up_Irr!AD10=".",up_Irr!BB10&lt;&gt;"."),up_dir!G10/((1/1000)*(up_Irr!F10+up_Irr!BB10)),IF(AND(up_Irr!F10=".",up_Irr!AD10&lt;&gt;".",up_Irr!BB10&lt;&gt;"."),up_dir!G10/((1/1000)*(up_Irr!AD10+up_Irr!BB10)),IF(AND(up_Irr!F10=".",up_Irr!AD10=".",up_Irr!BB10&lt;&gt;"."),up_dir!G10/((1/1000)*(up_Irr!BB10)),IF(AND(up_Irr!F10=".",up_Irr!AD10&lt;&gt;".",up_Irr!BB10="."),up_dir!G10/((1/1000)*(up_Irr!AD10)),IF(AND(up_Irr!F10&lt;&gt;".",up_Irr!AD10=".",up_Irr!BB10="."),up_dir!G10/((1/1000)*(up_Irr!F10)),IF(AND(up_Irr!F10=".",up_Irr!AD10=".",up_Irr!BB10="."),up_dir!G10*1000)))))))),".")</f>
        <v>6.5773651144152131E-4</v>
      </c>
      <c r="H10" s="48">
        <f>IFERROR(IF(AND(up_Irr!G10&lt;&gt;".",up_Irr!AE10&lt;&gt;".",up_Irr!BC10&lt;&gt;"."),up_dir!H10/((1/1000)*(up_Irr!G10+up_Irr!AE10+up_Irr!BC10)),IF(AND(up_Irr!G10&lt;&gt;".",up_Irr!AE10&lt;&gt;".",up_Irr!BC10="."),up_dir!H10/((1/1000)*(up_Irr!G10+up_Irr!AE10)),IF(AND(up_Irr!G10&lt;&gt;".",up_Irr!AE10=".",up_Irr!BC10&lt;&gt;"."),up_dir!H10/((1/1000)*(up_Irr!G10+up_Irr!BC10)),IF(AND(up_Irr!G10=".",up_Irr!AE10&lt;&gt;".",up_Irr!BC10&lt;&gt;"."),up_dir!H10/((1/1000)*(up_Irr!AE10+up_Irr!BC10)),IF(AND(up_Irr!G10=".",up_Irr!AE10=".",up_Irr!BC10&lt;&gt;"."),up_dir!H10/((1/1000)*(up_Irr!BC10)),IF(AND(up_Irr!G10=".",up_Irr!AE10&lt;&gt;".",up_Irr!BC10="."),up_dir!H10/((1/1000)*(up_Irr!AE10)),IF(AND(up_Irr!G10&lt;&gt;".",up_Irr!AE10=".",up_Irr!BC10="."),up_dir!H10/((1/1000)*(up_Irr!G10)),IF(AND(up_Irr!G10=".",up_Irr!AE10=".",up_Irr!BC10="."),up_dir!H10*1000)))))))),".")</f>
        <v>6.5773651144152131E-4</v>
      </c>
      <c r="I10" s="48">
        <f>IFERROR(IF(AND(up_Irr!H10&lt;&gt;".",up_Irr!AF10&lt;&gt;".",up_Irr!BD10&lt;&gt;"."),up_dir!I10/((1/1000)*(up_Irr!H10+up_Irr!AF10+up_Irr!BD10)),IF(AND(up_Irr!H10&lt;&gt;".",up_Irr!AF10&lt;&gt;".",up_Irr!BD10="."),up_dir!I10/((1/1000)*(up_Irr!H10+up_Irr!AF10)),IF(AND(up_Irr!H10&lt;&gt;".",up_Irr!AF10=".",up_Irr!BD10&lt;&gt;"."),up_dir!I10/((1/1000)*(up_Irr!H10+up_Irr!BD10)),IF(AND(up_Irr!H10=".",up_Irr!AF10&lt;&gt;".",up_Irr!BD10&lt;&gt;"."),up_dir!I10/((1/1000)*(up_Irr!AF10+up_Irr!BD10)),IF(AND(up_Irr!H10=".",up_Irr!AF10=".",up_Irr!BD10&lt;&gt;"."),up_dir!I10/((1/1000)*(up_Irr!BD10)),IF(AND(up_Irr!H10=".",up_Irr!AF10&lt;&gt;".",up_Irr!BD10="."),up_dir!I10/((1/1000)*(up_Irr!AF10)),IF(AND(up_Irr!H10&lt;&gt;".",up_Irr!AF10=".",up_Irr!BD10="."),up_dir!I10/((1/1000)*(up_Irr!H10)),IF(AND(up_Irr!H10=".",up_Irr!AF10=".",up_Irr!BD10="."),up_dir!I10*1000)))))))),".")</f>
        <v>6.5773651144152131E-4</v>
      </c>
      <c r="J10" s="48">
        <f>IFERROR(IF(AND(up_Irr!I10&lt;&gt;".",up_Irr!AG10&lt;&gt;".",up_Irr!BE10&lt;&gt;"."),up_dir!J10/((1/1000)*(up_Irr!I10+up_Irr!AG10+up_Irr!BE10)),IF(AND(up_Irr!I10&lt;&gt;".",up_Irr!AG10&lt;&gt;".",up_Irr!BE10="."),up_dir!J10/((1/1000)*(up_Irr!I10+up_Irr!AG10)),IF(AND(up_Irr!I10&lt;&gt;".",up_Irr!AG10=".",up_Irr!BE10&lt;&gt;"."),up_dir!J10/((1/1000)*(up_Irr!I10+up_Irr!BE10)),IF(AND(up_Irr!I10=".",up_Irr!AG10&lt;&gt;".",up_Irr!BE10&lt;&gt;"."),up_dir!J10/((1/1000)*(up_Irr!AG10+up_Irr!BE10)),IF(AND(up_Irr!I10=".",up_Irr!AG10=".",up_Irr!BE10&lt;&gt;"."),up_dir!J10/((1/1000)*(up_Irr!BE10)),IF(AND(up_Irr!I10=".",up_Irr!AG10&lt;&gt;".",up_Irr!BE10="."),up_dir!J10/((1/1000)*(up_Irr!AG10)),IF(AND(up_Irr!I10&lt;&gt;".",up_Irr!AG10=".",up_Irr!BE10="."),up_dir!J10/((1/1000)*(up_Irr!I10)),IF(AND(up_Irr!I10=".",up_Irr!AG10=".",up_Irr!BE10="."),up_dir!J10*1000)))))))),".")</f>
        <v>6.5773651144152131E-4</v>
      </c>
      <c r="K10" s="48">
        <f>IFERROR(IF(AND(up_Irr!J10&lt;&gt;".",up_Irr!AH10&lt;&gt;".",up_Irr!BF10&lt;&gt;"."),up_dir!K10/((1/1000)*(up_Irr!J10+up_Irr!AH10+up_Irr!BF10)),IF(AND(up_Irr!J10&lt;&gt;".",up_Irr!AH10&lt;&gt;".",up_Irr!BF10="."),up_dir!K10/((1/1000)*(up_Irr!J10+up_Irr!AH10)),IF(AND(up_Irr!J10&lt;&gt;".",up_Irr!AH10=".",up_Irr!BF10&lt;&gt;"."),up_dir!K10/((1/1000)*(up_Irr!J10+up_Irr!BF10)),IF(AND(up_Irr!J10=".",up_Irr!AH10&lt;&gt;".",up_Irr!BF10&lt;&gt;"."),up_dir!K10/((1/1000)*(up_Irr!AH10+up_Irr!BF10)),IF(AND(up_Irr!J10=".",up_Irr!AH10=".",up_Irr!BF10&lt;&gt;"."),up_dir!K10/((1/1000)*(up_Irr!BF10)),IF(AND(up_Irr!J10=".",up_Irr!AH10&lt;&gt;".",up_Irr!BF10="."),up_dir!K10/((1/1000)*(up_Irr!AH10)),IF(AND(up_Irr!J10&lt;&gt;".",up_Irr!AH10=".",up_Irr!BF10="."),up_dir!K10/((1/1000)*(up_Irr!J10)),IF(AND(up_Irr!J10=".",up_Irr!AH10=".",up_Irr!BF10="."),up_dir!K10*1000)))))))),".")</f>
        <v>6.5773651144152131E-4</v>
      </c>
      <c r="L10" s="48">
        <f>IFERROR(IF(AND(up_Irr!K10&lt;&gt;".",up_Irr!AI10&lt;&gt;".",up_Irr!BG10&lt;&gt;"."),up_dir!L10/((1/1000)*(up_Irr!K10+up_Irr!AI10+up_Irr!BG10)),IF(AND(up_Irr!K10&lt;&gt;".",up_Irr!AI10&lt;&gt;".",up_Irr!BG10="."),up_dir!L10/((1/1000)*(up_Irr!K10+up_Irr!AI10)),IF(AND(up_Irr!K10&lt;&gt;".",up_Irr!AI10=".",up_Irr!BG10&lt;&gt;"."),up_dir!L10/((1/1000)*(up_Irr!K10+up_Irr!BG10)),IF(AND(up_Irr!K10=".",up_Irr!AI10&lt;&gt;".",up_Irr!BG10&lt;&gt;"."),up_dir!L10/((1/1000)*(up_Irr!AI10+up_Irr!BG10)),IF(AND(up_Irr!K10=".",up_Irr!AI10=".",up_Irr!BG10&lt;&gt;"."),up_dir!L10/((1/1000)*(up_Irr!BG10)),IF(AND(up_Irr!K10=".",up_Irr!AI10&lt;&gt;".",up_Irr!BG10="."),up_dir!L10/((1/1000)*(up_Irr!AI10)),IF(AND(up_Irr!K10&lt;&gt;".",up_Irr!AI10=".",up_Irr!BG10="."),up_dir!L10/((1/1000)*(up_Irr!K10)),IF(AND(up_Irr!K10=".",up_Irr!AI10=".",up_Irr!BG10="."),up_dir!L10*1000)))))))),".")</f>
        <v>6.5773651144152131E-4</v>
      </c>
      <c r="M10" s="48">
        <f>IFERROR(IF(AND(up_Irr!L10&lt;&gt;".",up_Irr!AJ10&lt;&gt;".",up_Irr!BH10&lt;&gt;"."),up_dir!M10/((1/1000)*(up_Irr!L10+up_Irr!AJ10+up_Irr!BH10)),IF(AND(up_Irr!L10&lt;&gt;".",up_Irr!AJ10&lt;&gt;".",up_Irr!BH10="."),up_dir!M10/((1/1000)*(up_Irr!L10+up_Irr!AJ10)),IF(AND(up_Irr!L10&lt;&gt;".",up_Irr!AJ10=".",up_Irr!BH10&lt;&gt;"."),up_dir!M10/((1/1000)*(up_Irr!L10+up_Irr!BH10)),IF(AND(up_Irr!L10=".",up_Irr!AJ10&lt;&gt;".",up_Irr!BH10&lt;&gt;"."),up_dir!M10/((1/1000)*(up_Irr!AJ10+up_Irr!BH10)),IF(AND(up_Irr!L10=".",up_Irr!AJ10=".",up_Irr!BH10&lt;&gt;"."),up_dir!M10/((1/1000)*(up_Irr!BH10)),IF(AND(up_Irr!L10=".",up_Irr!AJ10&lt;&gt;".",up_Irr!BH10="."),up_dir!M10/((1/1000)*(up_Irr!AJ10)),IF(AND(up_Irr!L10&lt;&gt;".",up_Irr!AJ10=".",up_Irr!BH10="."),up_dir!M10/((1/1000)*(up_Irr!L10)),IF(AND(up_Irr!L10=".",up_Irr!AJ10=".",up_Irr!BH10="."),up_dir!M10*1000)))))))),".")</f>
        <v>6.5773651144152131E-4</v>
      </c>
      <c r="N10" s="48">
        <f>IFERROR(IF(AND(up_Irr!M10&lt;&gt;".",up_Irr!AK10&lt;&gt;".",up_Irr!BI10&lt;&gt;"."),up_dir!N10/((1/1000)*(up_Irr!M10+up_Irr!AK10+up_Irr!BI10)),IF(AND(up_Irr!M10&lt;&gt;".",up_Irr!AK10&lt;&gt;".",up_Irr!BI10="."),up_dir!N10/((1/1000)*(up_Irr!M10+up_Irr!AK10)),IF(AND(up_Irr!M10&lt;&gt;".",up_Irr!AK10=".",up_Irr!BI10&lt;&gt;"."),up_dir!N10/((1/1000)*(up_Irr!M10+up_Irr!BI10)),IF(AND(up_Irr!M10=".",up_Irr!AK10&lt;&gt;".",up_Irr!BI10&lt;&gt;"."),up_dir!N10/((1/1000)*(up_Irr!AK10+up_Irr!BI10)),IF(AND(up_Irr!M10=".",up_Irr!AK10=".",up_Irr!BI10&lt;&gt;"."),up_dir!N10/((1/1000)*(up_Irr!BI10)),IF(AND(up_Irr!M10=".",up_Irr!AK10&lt;&gt;".",up_Irr!BI10="."),up_dir!N10/((1/1000)*(up_Irr!AK10)),IF(AND(up_Irr!M10&lt;&gt;".",up_Irr!AK10=".",up_Irr!BI10="."),up_dir!N10/((1/1000)*(up_Irr!M10)),IF(AND(up_Irr!M10=".",up_Irr!AK10=".",up_Irr!BI10="."),up_dir!N10*1000)))))))),".")</f>
        <v>6.5773651144152131E-4</v>
      </c>
      <c r="O10" s="48">
        <f>IFERROR(IF(AND(up_Irr!N10&lt;&gt;".",up_Irr!AL10&lt;&gt;".",up_Irr!BJ10&lt;&gt;"."),up_dir!O10/((1/1000)*(up_Irr!N10+up_Irr!AL10+up_Irr!BJ10)),IF(AND(up_Irr!N10&lt;&gt;".",up_Irr!AL10&lt;&gt;".",up_Irr!BJ10="."),up_dir!O10/((1/1000)*(up_Irr!N10+up_Irr!AL10)),IF(AND(up_Irr!N10&lt;&gt;".",up_Irr!AL10=".",up_Irr!BJ10&lt;&gt;"."),up_dir!O10/((1/1000)*(up_Irr!N10+up_Irr!BJ10)),IF(AND(up_Irr!N10=".",up_Irr!AL10&lt;&gt;".",up_Irr!BJ10&lt;&gt;"."),up_dir!O10/((1/1000)*(up_Irr!AL10+up_Irr!BJ10)),IF(AND(up_Irr!N10=".",up_Irr!AL10=".",up_Irr!BJ10&lt;&gt;"."),up_dir!O10/((1/1000)*(up_Irr!BJ10)),IF(AND(up_Irr!N10=".",up_Irr!AL10&lt;&gt;".",up_Irr!BJ10="."),up_dir!O10/((1/1000)*(up_Irr!AL10)),IF(AND(up_Irr!N10&lt;&gt;".",up_Irr!AL10=".",up_Irr!BJ10="."),up_dir!O10/((1/1000)*(up_Irr!N10)),IF(AND(up_Irr!N10=".",up_Irr!AL10=".",up_Irr!BJ10="."),up_dir!O10*1000)))))))),".")</f>
        <v>6.5773651144152131E-4</v>
      </c>
      <c r="P10" s="48">
        <f>IFERROR(IF(AND(up_Irr!O10&lt;&gt;".",up_Irr!AM10&lt;&gt;".",up_Irr!BK10&lt;&gt;"."),up_dir!P10/((1/1000)*(up_Irr!O10+up_Irr!AM10+up_Irr!BK10)),IF(AND(up_Irr!O10&lt;&gt;".",up_Irr!AM10&lt;&gt;".",up_Irr!BK10="."),up_dir!P10/((1/1000)*(up_Irr!O10+up_Irr!AM10)),IF(AND(up_Irr!O10&lt;&gt;".",up_Irr!AM10=".",up_Irr!BK10&lt;&gt;"."),up_dir!P10/((1/1000)*(up_Irr!O10+up_Irr!BK10)),IF(AND(up_Irr!O10=".",up_Irr!AM10&lt;&gt;".",up_Irr!BK10&lt;&gt;"."),up_dir!P10/((1/1000)*(up_Irr!AM10+up_Irr!BK10)),IF(AND(up_Irr!O10=".",up_Irr!AM10=".",up_Irr!BK10&lt;&gt;"."),up_dir!P10/((1/1000)*(up_Irr!BK10)),IF(AND(up_Irr!O10=".",up_Irr!AM10&lt;&gt;".",up_Irr!BK10="."),up_dir!P10/((1/1000)*(up_Irr!AM10)),IF(AND(up_Irr!O10&lt;&gt;".",up_Irr!AM10=".",up_Irr!BK10="."),up_dir!P10/((1/1000)*(up_Irr!O10)),IF(AND(up_Irr!O10=".",up_Irr!AM10=".",up_Irr!BK10="."),up_dir!P10*1000)))))))),".")</f>
        <v>6.5773651144152131E-4</v>
      </c>
      <c r="Q10" s="48">
        <f>IFERROR(IF(AND(up_Irr!P10&lt;&gt;".",up_Irr!AN10&lt;&gt;".",up_Irr!BL10&lt;&gt;"."),up_dir!Q10/((1/1000)*(up_Irr!P10+up_Irr!AN10+up_Irr!BL10)),IF(AND(up_Irr!P10&lt;&gt;".",up_Irr!AN10&lt;&gt;".",up_Irr!BL10="."),up_dir!Q10/((1/1000)*(up_Irr!P10+up_Irr!AN10)),IF(AND(up_Irr!P10&lt;&gt;".",up_Irr!AN10=".",up_Irr!BL10&lt;&gt;"."),up_dir!Q10/((1/1000)*(up_Irr!P10+up_Irr!BL10)),IF(AND(up_Irr!P10=".",up_Irr!AN10&lt;&gt;".",up_Irr!BL10&lt;&gt;"."),up_dir!Q10/((1/1000)*(up_Irr!AN10+up_Irr!BL10)),IF(AND(up_Irr!P10=".",up_Irr!AN10=".",up_Irr!BL10&lt;&gt;"."),up_dir!Q10/((1/1000)*(up_Irr!BL10)),IF(AND(up_Irr!P10=".",up_Irr!AN10&lt;&gt;".",up_Irr!BL10="."),up_dir!Q10/((1/1000)*(up_Irr!AN10)),IF(AND(up_Irr!P10&lt;&gt;".",up_Irr!AN10=".",up_Irr!BL10="."),up_dir!Q10/((1/1000)*(up_Irr!P10)),IF(AND(up_Irr!P10=".",up_Irr!AN10=".",up_Irr!BL10="."),up_dir!Q10*1000)))))))),".")</f>
        <v>6.5773651144152131E-4</v>
      </c>
      <c r="R10" s="48">
        <f>IFERROR(IF(AND(up_Irr!Q10&lt;&gt;".",up_Irr!AO10&lt;&gt;".",up_Irr!BM10&lt;&gt;"."),up_dir!R10/((1/1000)*(up_Irr!Q10+up_Irr!AO10+up_Irr!BM10)),IF(AND(up_Irr!Q10&lt;&gt;".",up_Irr!AO10&lt;&gt;".",up_Irr!BM10="."),up_dir!R10/((1/1000)*(up_Irr!Q10+up_Irr!AO10)),IF(AND(up_Irr!Q10&lt;&gt;".",up_Irr!AO10=".",up_Irr!BM10&lt;&gt;"."),up_dir!R10/((1/1000)*(up_Irr!Q10+up_Irr!BM10)),IF(AND(up_Irr!Q10=".",up_Irr!AO10&lt;&gt;".",up_Irr!BM10&lt;&gt;"."),up_dir!R10/((1/1000)*(up_Irr!AO10+up_Irr!BM10)),IF(AND(up_Irr!Q10=".",up_Irr!AO10=".",up_Irr!BM10&lt;&gt;"."),up_dir!R10/((1/1000)*(up_Irr!BM10)),IF(AND(up_Irr!Q10=".",up_Irr!AO10&lt;&gt;".",up_Irr!BM10="."),up_dir!R10/((1/1000)*(up_Irr!AO10)),IF(AND(up_Irr!Q10&lt;&gt;".",up_Irr!AO10=".",up_Irr!BM10="."),up_dir!R10/((1/1000)*(up_Irr!Q10)),IF(AND(up_Irr!Q10=".",up_Irr!AO10=".",up_Irr!BM10="."),up_dir!R10*1000)))))))),".")</f>
        <v>6.5773651144152131E-4</v>
      </c>
      <c r="S10" s="48">
        <f>IFERROR(IF(AND(up_Irr!R10&lt;&gt;".",up_Irr!AP10&lt;&gt;".",up_Irr!BN10&lt;&gt;"."),up_dir!S10/((1/1000)*(up_Irr!R10+up_Irr!AP10+up_Irr!BN10)),IF(AND(up_Irr!R10&lt;&gt;".",up_Irr!AP10&lt;&gt;".",up_Irr!BN10="."),up_dir!S10/((1/1000)*(up_Irr!R10+up_Irr!AP10)),IF(AND(up_Irr!R10&lt;&gt;".",up_Irr!AP10=".",up_Irr!BN10&lt;&gt;"."),up_dir!S10/((1/1000)*(up_Irr!R10+up_Irr!BN10)),IF(AND(up_Irr!R10=".",up_Irr!AP10&lt;&gt;".",up_Irr!BN10&lt;&gt;"."),up_dir!S10/((1/1000)*(up_Irr!AP10+up_Irr!BN10)),IF(AND(up_Irr!R10=".",up_Irr!AP10=".",up_Irr!BN10&lt;&gt;"."),up_dir!S10/((1/1000)*(up_Irr!BN10)),IF(AND(up_Irr!R10=".",up_Irr!AP10&lt;&gt;".",up_Irr!BN10="."),up_dir!S10/((1/1000)*(up_Irr!AP10)),IF(AND(up_Irr!R10&lt;&gt;".",up_Irr!AP10=".",up_Irr!BN10="."),up_dir!S10/((1/1000)*(up_Irr!R10)),IF(AND(up_Irr!R10=".",up_Irr!AP10=".",up_Irr!BN10="."),up_dir!S10*1000)))))))),".")</f>
        <v>6.5773651144152131E-4</v>
      </c>
      <c r="T10" s="48">
        <f>IFERROR(IF(AND(up_Irr!S10&lt;&gt;".",up_Irr!AQ10&lt;&gt;".",up_Irr!BO10&lt;&gt;"."),up_dir!T10/((1/1000)*(up_Irr!S10+up_Irr!AQ10+up_Irr!BO10)),IF(AND(up_Irr!S10&lt;&gt;".",up_Irr!AQ10&lt;&gt;".",up_Irr!BO10="."),up_dir!T10/((1/1000)*(up_Irr!S10+up_Irr!AQ10)),IF(AND(up_Irr!S10&lt;&gt;".",up_Irr!AQ10=".",up_Irr!BO10&lt;&gt;"."),up_dir!T10/((1/1000)*(up_Irr!S10+up_Irr!BO10)),IF(AND(up_Irr!S10=".",up_Irr!AQ10&lt;&gt;".",up_Irr!BO10&lt;&gt;"."),up_dir!T10/((1/1000)*(up_Irr!AQ10+up_Irr!BO10)),IF(AND(up_Irr!S10=".",up_Irr!AQ10=".",up_Irr!BO10&lt;&gt;"."),up_dir!T10/((1/1000)*(up_Irr!BO10)),IF(AND(up_Irr!S10=".",up_Irr!AQ10&lt;&gt;".",up_Irr!BO10="."),up_dir!T10/((1/1000)*(up_Irr!AQ10)),IF(AND(up_Irr!S10&lt;&gt;".",up_Irr!AQ10=".",up_Irr!BO10="."),up_dir!T10/((1/1000)*(up_Irr!S10)),IF(AND(up_Irr!S10=".",up_Irr!AQ10=".",up_Irr!BO10="."),up_dir!T10*1000)))))))),".")</f>
        <v>6.5773651144152131E-4</v>
      </c>
      <c r="U10" s="48">
        <f>IFERROR(IF(AND(up_Irr!T10&lt;&gt;".",up_Irr!AR10&lt;&gt;".",up_Irr!BP10&lt;&gt;"."),up_dir!U10/((1/1000)*(up_Irr!T10+up_Irr!AR10+up_Irr!BP10)),IF(AND(up_Irr!T10&lt;&gt;".",up_Irr!AR10&lt;&gt;".",up_Irr!BP10="."),up_dir!U10/((1/1000)*(up_Irr!T10+up_Irr!AR10)),IF(AND(up_Irr!T10&lt;&gt;".",up_Irr!AR10=".",up_Irr!BP10&lt;&gt;"."),up_dir!U10/((1/1000)*(up_Irr!T10+up_Irr!BP10)),IF(AND(up_Irr!T10=".",up_Irr!AR10&lt;&gt;".",up_Irr!BP10&lt;&gt;"."),up_dir!U10/((1/1000)*(up_Irr!AR10+up_Irr!BP10)),IF(AND(up_Irr!T10=".",up_Irr!AR10=".",up_Irr!BP10&lt;&gt;"."),up_dir!U10/((1/1000)*(up_Irr!BP10)),IF(AND(up_Irr!T10=".",up_Irr!AR10&lt;&gt;".",up_Irr!BP10="."),up_dir!U10/((1/1000)*(up_Irr!AR10)),IF(AND(up_Irr!T10&lt;&gt;".",up_Irr!AR10=".",up_Irr!BP10="."),up_dir!U10/((1/1000)*(up_Irr!T10)),IF(AND(up_Irr!T10=".",up_Irr!AR10=".",up_Irr!BP10="."),up_dir!U10*1000)))))))),".")</f>
        <v>6.5773651144152131E-4</v>
      </c>
      <c r="V10" s="48">
        <f>IFERROR(IF(AND(up_Irr!U10&lt;&gt;".",up_Irr!AS10&lt;&gt;".",up_Irr!BQ10&lt;&gt;"."),up_dir!V10/((1/1000)*(up_Irr!U10+up_Irr!AS10+up_Irr!BQ10)),IF(AND(up_Irr!U10&lt;&gt;".",up_Irr!AS10&lt;&gt;".",up_Irr!BQ10="."),up_dir!V10/((1/1000)*(up_Irr!U10+up_Irr!AS10)),IF(AND(up_Irr!U10&lt;&gt;".",up_Irr!AS10=".",up_Irr!BQ10&lt;&gt;"."),up_dir!V10/((1/1000)*(up_Irr!U10+up_Irr!BQ10)),IF(AND(up_Irr!U10=".",up_Irr!AS10&lt;&gt;".",up_Irr!BQ10&lt;&gt;"."),up_dir!V10/((1/1000)*(up_Irr!AS10+up_Irr!BQ10)),IF(AND(up_Irr!U10=".",up_Irr!AS10=".",up_Irr!BQ10&lt;&gt;"."),up_dir!V10/((1/1000)*(up_Irr!BQ10)),IF(AND(up_Irr!U10=".",up_Irr!AS10&lt;&gt;".",up_Irr!BQ10="."),up_dir!V10/((1/1000)*(up_Irr!AS10)),IF(AND(up_Irr!U10&lt;&gt;".",up_Irr!AS10=".",up_Irr!BQ10="."),up_dir!V10/((1/1000)*(up_Irr!U10)),IF(AND(up_Irr!U10=".",up_Irr!AS10=".",up_Irr!BQ10="."),up_dir!V10*1000)))))))),".")</f>
        <v>6.5773651144152131E-4</v>
      </c>
      <c r="W10" s="48">
        <f>IFERROR(IF(AND(up_Irr!V10&lt;&gt;".",up_Irr!AT10&lt;&gt;".",up_Irr!BR10&lt;&gt;"."),up_dir!W10/((1/1000)*(up_Irr!V10+up_Irr!AT10+up_Irr!BR10)),IF(AND(up_Irr!V10&lt;&gt;".",up_Irr!AT10&lt;&gt;".",up_Irr!BR10="."),up_dir!W10/((1/1000)*(up_Irr!V10+up_Irr!AT10)),IF(AND(up_Irr!V10&lt;&gt;".",up_Irr!AT10=".",up_Irr!BR10&lt;&gt;"."),up_dir!W10/((1/1000)*(up_Irr!V10+up_Irr!BR10)),IF(AND(up_Irr!V10=".",up_Irr!AT10&lt;&gt;".",up_Irr!BR10&lt;&gt;"."),up_dir!W10/((1/1000)*(up_Irr!AT10+up_Irr!BR10)),IF(AND(up_Irr!V10=".",up_Irr!AT10=".",up_Irr!BR10&lt;&gt;"."),up_dir!W10/((1/1000)*(up_Irr!BR10)),IF(AND(up_Irr!V10=".",up_Irr!AT10&lt;&gt;".",up_Irr!BR10="."),up_dir!W10/((1/1000)*(up_Irr!AT10)),IF(AND(up_Irr!V10&lt;&gt;".",up_Irr!AT10=".",up_Irr!BR10="."),up_dir!W10/((1/1000)*(up_Irr!V10)),IF(AND(up_Irr!V10=".",up_Irr!AT10=".",up_Irr!BR10="."),up_dir!W10*1000)))))))),".")</f>
        <v>6.5773651144152131E-4</v>
      </c>
      <c r="X10" s="48">
        <f>IFERROR(IF(AND(up_Irr!W10&lt;&gt;".",up_Irr!AU10&lt;&gt;".",up_Irr!BS10&lt;&gt;"."),up_dir!X10/((1/1000)*(up_Irr!W10+up_Irr!AU10+up_Irr!BS10)),IF(AND(up_Irr!W10&lt;&gt;".",up_Irr!AU10&lt;&gt;".",up_Irr!BS10="."),up_dir!X10/((1/1000)*(up_Irr!W10+up_Irr!AU10)),IF(AND(up_Irr!W10&lt;&gt;".",up_Irr!AU10=".",up_Irr!BS10&lt;&gt;"."),up_dir!X10/((1/1000)*(up_Irr!W10+up_Irr!BS10)),IF(AND(up_Irr!W10=".",up_Irr!AU10&lt;&gt;".",up_Irr!BS10&lt;&gt;"."),up_dir!X10/((1/1000)*(up_Irr!AU10+up_Irr!BS10)),IF(AND(up_Irr!W10=".",up_Irr!AU10=".",up_Irr!BS10&lt;&gt;"."),up_dir!X10/((1/1000)*(up_Irr!BS10)),IF(AND(up_Irr!W10=".",up_Irr!AU10&lt;&gt;".",up_Irr!BS10="."),up_dir!X10/((1/1000)*(up_Irr!AU10)),IF(AND(up_Irr!W10&lt;&gt;".",up_Irr!AU10=".",up_Irr!BS10="."),up_dir!X10/((1/1000)*(up_Irr!W10)),IF(AND(up_Irr!W10=".",up_Irr!AU10=".",up_Irr!BS10="."),up_dir!X10*1000)))))))),".")</f>
        <v>6.5773651144152131E-4</v>
      </c>
      <c r="Y10" s="48">
        <f>IFERROR(IF(AND(up_Irr!X10&lt;&gt;".",up_Irr!AV10&lt;&gt;".",up_Irr!BT10&lt;&gt;"."),up_dir!Y10/((1/1000)*(up_Irr!X10+up_Irr!AV10+up_Irr!BT10)),IF(AND(up_Irr!X10&lt;&gt;".",up_Irr!AV10&lt;&gt;".",up_Irr!BT10="."),up_dir!Y10/((1/1000)*(up_Irr!X10+up_Irr!AV10)),IF(AND(up_Irr!X10&lt;&gt;".",up_Irr!AV10=".",up_Irr!BT10&lt;&gt;"."),up_dir!Y10/((1/1000)*(up_Irr!X10+up_Irr!BT10)),IF(AND(up_Irr!X10=".",up_Irr!AV10&lt;&gt;".",up_Irr!BT10&lt;&gt;"."),up_dir!Y10/((1/1000)*(up_Irr!AV10+up_Irr!BT10)),IF(AND(up_Irr!X10=".",up_Irr!AV10=".",up_Irr!BT10&lt;&gt;"."),up_dir!Y10/((1/1000)*(up_Irr!BT10)),IF(AND(up_Irr!X10=".",up_Irr!AV10&lt;&gt;".",up_Irr!BT10="."),up_dir!Y10/((1/1000)*(up_Irr!AV10)),IF(AND(up_Irr!X10&lt;&gt;".",up_Irr!AV10=".",up_Irr!BT10="."),up_dir!Y10/((1/1000)*(up_Irr!X10)),IF(AND(up_Irr!X10=".",up_Irr!AV10=".",up_Irr!BT10="."),up_dir!Y10*1000)))))))),".")</f>
        <v>6.5773651144152131E-4</v>
      </c>
      <c r="Z10" s="48">
        <f>IFERROR(IF(AND(up_Irr!Y10&lt;&gt;".",up_Irr!AW10&lt;&gt;".",up_Irr!BU10&lt;&gt;"."),up_dir!Z10/((1/1000)*(up_Irr!Y10+up_Irr!AW10+up_Irr!BU10)),IF(AND(up_Irr!Y10&lt;&gt;".",up_Irr!AW10&lt;&gt;".",up_Irr!BU10="."),up_dir!Z10/((1/1000)*(up_Irr!Y10+up_Irr!AW10)),IF(AND(up_Irr!Y10&lt;&gt;".",up_Irr!AW10=".",up_Irr!BU10&lt;&gt;"."),up_dir!Z10/((1/1000)*(up_Irr!Y10+up_Irr!BU10)),IF(AND(up_Irr!Y10=".",up_Irr!AW10&lt;&gt;".",up_Irr!BU10&lt;&gt;"."),up_dir!Z10/((1/1000)*(up_Irr!AW10+up_Irr!BU10)),IF(AND(up_Irr!Y10=".",up_Irr!AW10=".",up_Irr!BU10&lt;&gt;"."),up_dir!Z10/((1/1000)*(up_Irr!BU10)),IF(AND(up_Irr!Y10=".",up_Irr!AW10&lt;&gt;".",up_Irr!BU10="."),up_dir!Z10/((1/1000)*(up_Irr!AW10)),IF(AND(up_Irr!Y10&lt;&gt;".",up_Irr!AW10=".",up_Irr!BU10="."),up_dir!Z10/((1/1000)*(up_Irr!Y10)),IF(AND(up_Irr!Y10=".",up_Irr!AW10=".",up_Irr!BU10="."),up_dir!Z10*1000)))))))),".")</f>
        <v>6.5773651144152131E-4</v>
      </c>
      <c r="AA10" s="48">
        <f>IFERROR(IF(AND(up_Irr!Z10&lt;&gt;".",up_Irr!AX10&lt;&gt;".",up_Irr!BV10&lt;&gt;"."),up_dir!AA10/((1/1000)*(up_Irr!Z10+up_Irr!AX10+up_Irr!BV10)),IF(AND(up_Irr!Z10&lt;&gt;".",up_Irr!AX10&lt;&gt;".",up_Irr!BV10="."),up_dir!AA10/((1/1000)*(up_Irr!Z10+up_Irr!AX10)),IF(AND(up_Irr!Z10&lt;&gt;".",up_Irr!AX10=".",up_Irr!BV10&lt;&gt;"."),up_dir!AA10/((1/1000)*(up_Irr!Z10+up_Irr!BV10)),IF(AND(up_Irr!Z10=".",up_Irr!AX10&lt;&gt;".",up_Irr!BV10&lt;&gt;"."),up_dir!AA10/((1/1000)*(up_Irr!AX10+up_Irr!BV10)),IF(AND(up_Irr!Z10=".",up_Irr!AX10=".",up_Irr!BV10&lt;&gt;"."),up_dir!AA10/((1/1000)*(up_Irr!BV10)),IF(AND(up_Irr!Z10=".",up_Irr!AX10&lt;&gt;".",up_Irr!BV10="."),up_dir!AA10/((1/1000)*(up_Irr!AX10)),IF(AND(up_Irr!Z10&lt;&gt;".",up_Irr!AX10=".",up_Irr!BV10="."),up_dir!AA10/((1/1000)*(up_Irr!Z10)),IF(AND(up_Irr!Z10=".",up_Irr!AX10=".",up_Irr!BV10="."),up_dir!AA10*1000)))))))),".")</f>
        <v>6.5773651144152131E-4</v>
      </c>
      <c r="AB10" s="62">
        <f t="shared" si="1"/>
        <v>22805.4847785862</v>
      </c>
      <c r="AC10" s="62">
        <f>IFERROR(s_C*s_IFAP_res_adj*s_CF_apple*0.001*(up_Irr!C10+up_Irr!AA10+up_Irr!AY10),".")</f>
        <v>7601.8282595287337</v>
      </c>
      <c r="AD10" s="62">
        <f>IFERROR(s_C*s_IFAS_res_adj*s_CF_asparagus*0.001*(up_Irr!D10+up_Irr!AB10+up_Irr!AZ10),".")</f>
        <v>7601.8282595287337</v>
      </c>
      <c r="AE10" s="62">
        <f>IFERROR(s_C*s_IFBT_res_adj*s_CF_beet*0.001*(up_Irr!E10+up_Irr!AC10+up_Irr!BA10),".")</f>
        <v>7601.8282595287337</v>
      </c>
      <c r="AF10" s="62">
        <f>IFERROR(s_C*s_IFBE_res_adj*s_CF_berries*0.001*(up_Irr!F10+up_Irr!AD10+up_Irr!BB10),".")</f>
        <v>7601.8282595287337</v>
      </c>
      <c r="AG10" s="62">
        <f>IFERROR(s_C*s_IFBR_res_adj*s_CF_broccoli*0.001*(up_Irr!G10+up_Irr!AE10+up_Irr!BC10),".")</f>
        <v>7601.8282595287337</v>
      </c>
      <c r="AH10" s="62">
        <f>IFERROR(s_C*s_IFCB_res_adj*s_CF_cabbage*0.001*(up_Irr!H10+up_Irr!AF10+up_Irr!BD10),".")</f>
        <v>7601.8282595287337</v>
      </c>
      <c r="AI10" s="62">
        <f>IFERROR(s_C*s_IFCR_res_adj*s_CF_carrot*0.001*(up_Irr!I10+up_Irr!AG10+up_Irr!BE10),".")</f>
        <v>7601.8282595287337</v>
      </c>
      <c r="AJ10" s="62">
        <f>IFERROR(s_C*s_IFCI_res_adj*s_CF_citrus*0.001*(up_Irr!J10+up_Irr!AH10+up_Irr!BF10),".")</f>
        <v>7601.8282595287337</v>
      </c>
      <c r="AK10" s="62">
        <f>IFERROR(s_C*s_IFCO_res_adj*s_CF_corn*0.001*(up_Irr!K10+up_Irr!AI10+up_Irr!BG10),".")</f>
        <v>7601.8282595287337</v>
      </c>
      <c r="AL10" s="62">
        <f>IFERROR(s_C*s_IFCU_res_adj*s_CF_cucumber*0.001*(up_Irr!L10+up_Irr!AJ10+up_Irr!BH10),".")</f>
        <v>7601.8282595287337</v>
      </c>
      <c r="AM10" s="62">
        <f>IFERROR(s_C*s_IFLE_res_adj*s_CF_lettuce*0.001*(up_Irr!M10+up_Irr!AK10+up_Irr!BI10),".")</f>
        <v>7601.8282595287337</v>
      </c>
      <c r="AN10" s="62">
        <f>IFERROR(s_C*s_IFLI_res_adj*s_CF_lima_bean*0.001*(up_Irr!N10+up_Irr!AL10+up_Irr!BJ10),".")</f>
        <v>7601.8282595287337</v>
      </c>
      <c r="AO10" s="62">
        <f>IFERROR(s_C*s_IFOK_res_adj*s_CF_okra*0.001*(up_Irr!O10+up_Irr!AM10+up_Irr!BK10),".")</f>
        <v>7601.8282595287337</v>
      </c>
      <c r="AP10" s="62">
        <f>IFERROR(s_C*s_IFON_res_adj*s_CF_onion*0.001*(up_Irr!P10+up_Irr!AN10+up_Irr!BL10),".")</f>
        <v>7601.8282595287337</v>
      </c>
      <c r="AQ10" s="62">
        <f>IFERROR(s_C*s_IFPC_res_adj*s_CF_peach*0.001*(up_Irr!Q10+up_Irr!AO10+up_Irr!BM10),".")</f>
        <v>7601.8282595287337</v>
      </c>
      <c r="AR10" s="62">
        <f>IFERROR(s_C*s_IFPR_res_adj*s_CF_pear*0.001*(up_Irr!R10+up_Irr!AP10+up_Irr!BN10),".")</f>
        <v>7601.8282595287337</v>
      </c>
      <c r="AS10" s="62">
        <f>IFERROR(s_C*s_IFPE_res_adj*s_CF_peas*0.001*(up_Irr!S10+up_Irr!AQ10+up_Irr!BO10),".")</f>
        <v>7601.8282595287337</v>
      </c>
      <c r="AT10" s="62">
        <f>IFERROR(s_C*s_IFPT_res_adj*s_CF_potato*0.001*(up_Irr!T10+up_Irr!AR10+up_Irr!BP10),".")</f>
        <v>7601.8282595287337</v>
      </c>
      <c r="AU10" s="62">
        <f>IFERROR(s_C*s_IFPU_res_adj*s_CF_pumpkin*0.001*(up_Irr!U10+up_Irr!AS10+up_Irr!BQ10),".")</f>
        <v>7601.8282595287337</v>
      </c>
      <c r="AV10" s="62">
        <f>IFERROR(s_C*s_IFSN_res_adj*s_CF_snap_bean*0.001*(up_Irr!V10+up_Irr!AT10+up_Irr!BR10),".")</f>
        <v>7601.8282595287337</v>
      </c>
      <c r="AW10" s="62">
        <f>IFERROR(s_C*s_IFST_res_adj*s_CF_strawberry*0.001*(up_Irr!W10+up_Irr!AU10+up_Irr!BS10),".")</f>
        <v>7601.8282595287337</v>
      </c>
      <c r="AX10" s="62">
        <f>IFERROR(s_C*s_IFTO_res_adj*s_CF_tomato*0.001*(up_Irr!X10+up_Irr!AV10+up_Irr!BT10),".")</f>
        <v>7601.8282595287337</v>
      </c>
      <c r="AY10" s="62">
        <f>IFERROR(s_C*s_IFRI_res_adj*s_CF_rice*0.001*(up_Irr!Y10+up_Irr!AW10+up_Irr!BU10),".")</f>
        <v>7601.8282595287337</v>
      </c>
      <c r="AZ10" s="62">
        <f>IFERROR(s_C*s_IFCG_res_adj*s_CF_cereal*0.001*(up_Irr!Z10+up_Irr!AX10+up_Irr!BV10),".")</f>
        <v>7601.8282595287337</v>
      </c>
      <c r="BA10" s="48">
        <f t="shared" si="2"/>
        <v>2.1924550381384044E-4</v>
      </c>
      <c r="BB10" s="48">
        <f>IFERROR(IF(AND(up_Irr!C10&lt;&gt;".",up_Irr!AA10&lt;&gt;".",up_Irr!AY10&lt;&gt;"."),up_dir!AC10/((1/1000)*(up_Irr!C10+up_Irr!AA10+up_Irr!AY10)),IF(AND(up_Irr!C10&lt;&gt;".",up_Irr!AA10&lt;&gt;".",up_Irr!AY10="."),up_dir!AC10/((1/1000)*(up_Irr!C10+up_Irr!AA10)),IF(AND(up_Irr!C10&lt;&gt;".",up_Irr!AA10=".",up_Irr!AY10&lt;&gt;"."),up_dir!AC10/((1/1000)*(up_Irr!C10+up_Irr!AY10)),IF(AND(up_Irr!C10=".",up_Irr!AA10&lt;&gt;".",up_Irr!AY10&lt;&gt;"."),up_dir!AC10/((1/1000)*(up_Irr!AA10+up_Irr!AY10)),IF(AND(up_Irr!C10=".",up_Irr!AA10=".",up_Irr!AY10&lt;&gt;"."),up_dir!AC10/((1/1000)*(up_Irr!AY10)),IF(AND(up_Irr!C10=".",up_Irr!AA10&lt;&gt;".",up_Irr!AY10="."),up_dir!AC10/((1/1000)*(up_Irr!AA10)),IF(AND(up_Irr!C10&lt;&gt;".",up_Irr!AA10=".",up_Irr!AY10="."),up_dir!AC10/((1/1000)*(up_Irr!C10)),IF(AND(up_Irr!C10=".",up_Irr!AA10=".",up_Irr!AY10="."),up_dir!AC10*1000)))))))),".")</f>
        <v>6.5773651144152131E-4</v>
      </c>
      <c r="BC10" s="48">
        <f>IFERROR(IF(AND(up_Irr!D10&lt;&gt;".",up_Irr!AB10&lt;&gt;".",up_Irr!AZ10&lt;&gt;"."),up_dir!AD10/((1/1000)*(up_Irr!D10+up_Irr!AB10+up_Irr!AZ10)),IF(AND(up_Irr!D10&lt;&gt;".",up_Irr!AB10&lt;&gt;".",up_Irr!AZ10="."),up_dir!AD10/((1/1000)*(up_Irr!D10+up_Irr!AB10)),IF(AND(up_Irr!D10&lt;&gt;".",up_Irr!AB10=".",up_Irr!AZ10&lt;&gt;"."),up_dir!AD10/((1/1000)*(up_Irr!D10+up_Irr!AZ10)),IF(AND(up_Irr!D10=".",up_Irr!AB10&lt;&gt;".",up_Irr!AZ10&lt;&gt;"."),up_dir!AD10/((1/1000)*(up_Irr!AB10+up_Irr!AZ10)),IF(AND(up_Irr!D10=".",up_Irr!AB10=".",up_Irr!AZ10&lt;&gt;"."),up_dir!AD10/((1/1000)*(up_Irr!AZ10)),IF(AND(up_Irr!D10=".",up_Irr!AB10&lt;&gt;".",up_Irr!AZ10="."),up_dir!AD10/((1/1000)*(up_Irr!AB10)),IF(AND(up_Irr!D10&lt;&gt;".",up_Irr!AB10=".",up_Irr!AZ10="."),up_dir!AD10/((1/1000)*(up_Irr!D10)),IF(AND(up_Irr!D10=".",up_Irr!AB10=".",up_Irr!AZ10="."),up_dir!AD10*1000)))))))),".")</f>
        <v>6.5773651144152131E-4</v>
      </c>
      <c r="BD10" s="48">
        <f>IFERROR(IF(AND(up_Irr!E10&lt;&gt;".",up_Irr!AC10&lt;&gt;".",up_Irr!BA10&lt;&gt;"."),up_dir!AE10/((1/1000)*(up_Irr!E10+up_Irr!AC10+up_Irr!BA10)),IF(AND(up_Irr!E10&lt;&gt;".",up_Irr!AC10&lt;&gt;".",up_Irr!BA10="."),up_dir!AE10/((1/1000)*(up_Irr!E10+up_Irr!AC10)),IF(AND(up_Irr!E10&lt;&gt;".",up_Irr!AC10=".",up_Irr!BA10&lt;&gt;"."),up_dir!AE10/((1/1000)*(up_Irr!E10+up_Irr!BA10)),IF(AND(up_Irr!E10=".",up_Irr!AC10&lt;&gt;".",up_Irr!BA10&lt;&gt;"."),up_dir!AE10/((1/1000)*(up_Irr!AC10+up_Irr!BA10)),IF(AND(up_Irr!E10=".",up_Irr!AC10=".",up_Irr!BA10&lt;&gt;"."),up_dir!AE10/((1/1000)*(up_Irr!BA10)),IF(AND(up_Irr!E10=".",up_Irr!AC10&lt;&gt;".",up_Irr!BA10="."),up_dir!AE10/((1/1000)*(up_Irr!AC10)),IF(AND(up_Irr!E10&lt;&gt;".",up_Irr!AC10=".",up_Irr!BA10="."),up_dir!AE10/((1/1000)*(up_Irr!E10)),IF(AND(up_Irr!E10=".",up_Irr!AC10=".",up_Irr!BA10="."),up_dir!AE10*1000)))))))),".")</f>
        <v>6.5773651144152131E-4</v>
      </c>
      <c r="BE10" s="48">
        <f>IFERROR(IF(AND(up_Irr!F10&lt;&gt;".",up_Irr!AD10&lt;&gt;".",up_Irr!BB10&lt;&gt;"."),up_dir!AF10/((1/1000)*(up_Irr!F10+up_Irr!AD10+up_Irr!BB10)),IF(AND(up_Irr!F10&lt;&gt;".",up_Irr!AD10&lt;&gt;".",up_Irr!BB10="."),up_dir!AF10/((1/1000)*(up_Irr!F10+up_Irr!AD10)),IF(AND(up_Irr!F10&lt;&gt;".",up_Irr!AD10=".",up_Irr!BB10&lt;&gt;"."),up_dir!AF10/((1/1000)*(up_Irr!F10+up_Irr!BB10)),IF(AND(up_Irr!F10=".",up_Irr!AD10&lt;&gt;".",up_Irr!BB10&lt;&gt;"."),up_dir!AF10/((1/1000)*(up_Irr!AD10+up_Irr!BB10)),IF(AND(up_Irr!F10=".",up_Irr!AD10=".",up_Irr!BB10&lt;&gt;"."),up_dir!AF10/((1/1000)*(up_Irr!BB10)),IF(AND(up_Irr!F10=".",up_Irr!AD10&lt;&gt;".",up_Irr!BB10="."),up_dir!AF10/((1/1000)*(up_Irr!AD10)),IF(AND(up_Irr!F10&lt;&gt;".",up_Irr!AD10=".",up_Irr!BB10="."),up_dir!AF10/((1/1000)*(up_Irr!F10)),IF(AND(up_Irr!F10=".",up_Irr!AD10=".",up_Irr!BB10="."),up_dir!AF10*1000)))))))),".")</f>
        <v>6.5773651144152131E-4</v>
      </c>
      <c r="BF10" s="48">
        <f>IFERROR(IF(AND(up_Irr!G10&lt;&gt;".",up_Irr!AE10&lt;&gt;".",up_Irr!BC10&lt;&gt;"."),up_dir!AG10/((1/1000)*(up_Irr!G10+up_Irr!AE10+up_Irr!BC10)),IF(AND(up_Irr!G10&lt;&gt;".",up_Irr!AE10&lt;&gt;".",up_Irr!BC10="."),up_dir!AG10/((1/1000)*(up_Irr!G10+up_Irr!AE10)),IF(AND(up_Irr!G10&lt;&gt;".",up_Irr!AE10=".",up_Irr!BC10&lt;&gt;"."),up_dir!AG10/((1/1000)*(up_Irr!G10+up_Irr!BC10)),IF(AND(up_Irr!G10=".",up_Irr!AE10&lt;&gt;".",up_Irr!BC10&lt;&gt;"."),up_dir!AG10/((1/1000)*(up_Irr!AE10+up_Irr!BC10)),IF(AND(up_Irr!G10=".",up_Irr!AE10=".",up_Irr!BC10&lt;&gt;"."),up_dir!AG10/((1/1000)*(up_Irr!BC10)),IF(AND(up_Irr!G10=".",up_Irr!AE10&lt;&gt;".",up_Irr!BC10="."),up_dir!AG10/((1/1000)*(up_Irr!AE10)),IF(AND(up_Irr!G10&lt;&gt;".",up_Irr!AE10=".",up_Irr!BC10="."),up_dir!AG10/((1/1000)*(up_Irr!G10)),IF(AND(up_Irr!G10=".",up_Irr!AE10=".",up_Irr!BC10="."),up_dir!AG10*1000)))))))),".")</f>
        <v>6.5773651144152131E-4</v>
      </c>
      <c r="BG10" s="48">
        <f>IFERROR(IF(AND(up_Irr!H10&lt;&gt;".",up_Irr!AF10&lt;&gt;".",up_Irr!BD10&lt;&gt;"."),up_dir!AH10/((1/1000)*(up_Irr!H10+up_Irr!AF10+up_Irr!BD10)),IF(AND(up_Irr!H10&lt;&gt;".",up_Irr!AF10&lt;&gt;".",up_Irr!BD10="."),up_dir!AH10/((1/1000)*(up_Irr!H10+up_Irr!AF10)),IF(AND(up_Irr!H10&lt;&gt;".",up_Irr!AF10=".",up_Irr!BD10&lt;&gt;"."),up_dir!AH10/((1/1000)*(up_Irr!H10+up_Irr!BD10)),IF(AND(up_Irr!H10=".",up_Irr!AF10&lt;&gt;".",up_Irr!BD10&lt;&gt;"."),up_dir!AH10/((1/1000)*(up_Irr!AF10+up_Irr!BD10)),IF(AND(up_Irr!H10=".",up_Irr!AF10=".",up_Irr!BD10&lt;&gt;"."),up_dir!AH10/((1/1000)*(up_Irr!BD10)),IF(AND(up_Irr!H10=".",up_Irr!AF10&lt;&gt;".",up_Irr!BD10="."),up_dir!AH10/((1/1000)*(up_Irr!AF10)),IF(AND(up_Irr!H10&lt;&gt;".",up_Irr!AF10=".",up_Irr!BD10="."),up_dir!AH10/((1/1000)*(up_Irr!H10)),IF(AND(up_Irr!H10=".",up_Irr!AF10=".",up_Irr!BD10="."),up_dir!AH10*1000)))))))),".")</f>
        <v>6.5773651144152131E-4</v>
      </c>
      <c r="BH10" s="48">
        <f>IFERROR(IF(AND(up_Irr!I10&lt;&gt;".",up_Irr!AG10&lt;&gt;".",up_Irr!BE10&lt;&gt;"."),up_dir!AI10/((1/1000)*(up_Irr!I10+up_Irr!AG10+up_Irr!BE10)),IF(AND(up_Irr!I10&lt;&gt;".",up_Irr!AG10&lt;&gt;".",up_Irr!BE10="."),up_dir!AI10/((1/1000)*(up_Irr!I10+up_Irr!AG10)),IF(AND(up_Irr!I10&lt;&gt;".",up_Irr!AG10=".",up_Irr!BE10&lt;&gt;"."),up_dir!AI10/((1/1000)*(up_Irr!I10+up_Irr!BE10)),IF(AND(up_Irr!I10=".",up_Irr!AG10&lt;&gt;".",up_Irr!BE10&lt;&gt;"."),up_dir!AI10/((1/1000)*(up_Irr!AG10+up_Irr!BE10)),IF(AND(up_Irr!I10=".",up_Irr!AG10=".",up_Irr!BE10&lt;&gt;"."),up_dir!AI10/((1/1000)*(up_Irr!BE10)),IF(AND(up_Irr!I10=".",up_Irr!AG10&lt;&gt;".",up_Irr!BE10="."),up_dir!AI10/((1/1000)*(up_Irr!AG10)),IF(AND(up_Irr!I10&lt;&gt;".",up_Irr!AG10=".",up_Irr!BE10="."),up_dir!AI10/((1/1000)*(up_Irr!I10)),IF(AND(up_Irr!I10=".",up_Irr!AG10=".",up_Irr!BE10="."),up_dir!AI10*1000)))))))),".")</f>
        <v>6.5773651144152131E-4</v>
      </c>
      <c r="BI10" s="48">
        <f>IFERROR(IF(AND(up_Irr!J10&lt;&gt;".",up_Irr!AH10&lt;&gt;".",up_Irr!BF10&lt;&gt;"."),up_dir!AJ10/((1/1000)*(up_Irr!J10+up_Irr!AH10+up_Irr!BF10)),IF(AND(up_Irr!J10&lt;&gt;".",up_Irr!AH10&lt;&gt;".",up_Irr!BF10="."),up_dir!AJ10/((1/1000)*(up_Irr!J10+up_Irr!AH10)),IF(AND(up_Irr!J10&lt;&gt;".",up_Irr!AH10=".",up_Irr!BF10&lt;&gt;"."),up_dir!AJ10/((1/1000)*(up_Irr!J10+up_Irr!BF10)),IF(AND(up_Irr!J10=".",up_Irr!AH10&lt;&gt;".",up_Irr!BF10&lt;&gt;"."),up_dir!AJ10/((1/1000)*(up_Irr!AH10+up_Irr!BF10)),IF(AND(up_Irr!J10=".",up_Irr!AH10=".",up_Irr!BF10&lt;&gt;"."),up_dir!AJ10/((1/1000)*(up_Irr!BF10)),IF(AND(up_Irr!J10=".",up_Irr!AH10&lt;&gt;".",up_Irr!BF10="."),up_dir!AJ10/((1/1000)*(up_Irr!AH10)),IF(AND(up_Irr!J10&lt;&gt;".",up_Irr!AH10=".",up_Irr!BF10="."),up_dir!AJ10/((1/1000)*(up_Irr!J10)),IF(AND(up_Irr!J10=".",up_Irr!AH10=".",up_Irr!BF10="."),up_dir!AJ10*1000)))))))),".")</f>
        <v>6.5773651144152131E-4</v>
      </c>
      <c r="BJ10" s="48">
        <f>IFERROR(IF(AND(up_Irr!K10&lt;&gt;".",up_Irr!AI10&lt;&gt;".",up_Irr!BG10&lt;&gt;"."),up_dir!AK10/((1/1000)*(up_Irr!K10+up_Irr!AI10+up_Irr!BG10)),IF(AND(up_Irr!K10&lt;&gt;".",up_Irr!AI10&lt;&gt;".",up_Irr!BG10="."),up_dir!AK10/((1/1000)*(up_Irr!K10+up_Irr!AI10)),IF(AND(up_Irr!K10&lt;&gt;".",up_Irr!AI10=".",up_Irr!BG10&lt;&gt;"."),up_dir!AK10/((1/1000)*(up_Irr!K10+up_Irr!BG10)),IF(AND(up_Irr!K10=".",up_Irr!AI10&lt;&gt;".",up_Irr!BG10&lt;&gt;"."),up_dir!AK10/((1/1000)*(up_Irr!AI10+up_Irr!BG10)),IF(AND(up_Irr!K10=".",up_Irr!AI10=".",up_Irr!BG10&lt;&gt;"."),up_dir!AK10/((1/1000)*(up_Irr!BG10)),IF(AND(up_Irr!K10=".",up_Irr!AI10&lt;&gt;".",up_Irr!BG10="."),up_dir!AK10/((1/1000)*(up_Irr!AI10)),IF(AND(up_Irr!K10&lt;&gt;".",up_Irr!AI10=".",up_Irr!BG10="."),up_dir!AK10/((1/1000)*(up_Irr!K10)),IF(AND(up_Irr!K10=".",up_Irr!AI10=".",up_Irr!BG10="."),up_dir!AK10*1000)))))))),".")</f>
        <v>6.5773651144152131E-4</v>
      </c>
      <c r="BK10" s="48">
        <f>IFERROR(IF(AND(up_Irr!L10&lt;&gt;".",up_Irr!AJ10&lt;&gt;".",up_Irr!BH10&lt;&gt;"."),up_dir!AL10/((1/1000)*(up_Irr!L10+up_Irr!AJ10+up_Irr!BH10)),IF(AND(up_Irr!L10&lt;&gt;".",up_Irr!AJ10&lt;&gt;".",up_Irr!BH10="."),up_dir!AL10/((1/1000)*(up_Irr!L10+up_Irr!AJ10)),IF(AND(up_Irr!L10&lt;&gt;".",up_Irr!AJ10=".",up_Irr!BH10&lt;&gt;"."),up_dir!AL10/((1/1000)*(up_Irr!L10+up_Irr!BH10)),IF(AND(up_Irr!L10=".",up_Irr!AJ10&lt;&gt;".",up_Irr!BH10&lt;&gt;"."),up_dir!AL10/((1/1000)*(up_Irr!AJ10+up_Irr!BH10)),IF(AND(up_Irr!L10=".",up_Irr!AJ10=".",up_Irr!BH10&lt;&gt;"."),up_dir!AL10/((1/1000)*(up_Irr!BH10)),IF(AND(up_Irr!L10=".",up_Irr!AJ10&lt;&gt;".",up_Irr!BH10="."),up_dir!AL10/((1/1000)*(up_Irr!AJ10)),IF(AND(up_Irr!L10&lt;&gt;".",up_Irr!AJ10=".",up_Irr!BH10="."),up_dir!AL10/((1/1000)*(up_Irr!L10)),IF(AND(up_Irr!L10=".",up_Irr!AJ10=".",up_Irr!BH10="."),up_dir!AL10*1000)))))))),".")</f>
        <v>6.5773651144152131E-4</v>
      </c>
      <c r="BL10" s="48">
        <f>IFERROR(IF(AND(up_Irr!M10&lt;&gt;".",up_Irr!AK10&lt;&gt;".",up_Irr!BI10&lt;&gt;"."),up_dir!AM10/((1/1000)*(up_Irr!M10+up_Irr!AK10+up_Irr!BI10)),IF(AND(up_Irr!M10&lt;&gt;".",up_Irr!AK10&lt;&gt;".",up_Irr!BI10="."),up_dir!AM10/((1/1000)*(up_Irr!M10+up_Irr!AK10)),IF(AND(up_Irr!M10&lt;&gt;".",up_Irr!AK10=".",up_Irr!BI10&lt;&gt;"."),up_dir!AM10/((1/1000)*(up_Irr!M10+up_Irr!BI10)),IF(AND(up_Irr!M10=".",up_Irr!AK10&lt;&gt;".",up_Irr!BI10&lt;&gt;"."),up_dir!AM10/((1/1000)*(up_Irr!AK10+up_Irr!BI10)),IF(AND(up_Irr!M10=".",up_Irr!AK10=".",up_Irr!BI10&lt;&gt;"."),up_dir!AM10/((1/1000)*(up_Irr!BI10)),IF(AND(up_Irr!M10=".",up_Irr!AK10&lt;&gt;".",up_Irr!BI10="."),up_dir!AM10/((1/1000)*(up_Irr!AK10)),IF(AND(up_Irr!M10&lt;&gt;".",up_Irr!AK10=".",up_Irr!BI10="."),up_dir!AM10/((1/1000)*(up_Irr!M10)),IF(AND(up_Irr!M10=".",up_Irr!AK10=".",up_Irr!BI10="."),up_dir!AM10*1000)))))))),".")</f>
        <v>6.5773651144152131E-4</v>
      </c>
      <c r="BM10" s="48">
        <f>IFERROR(IF(AND(up_Irr!N10&lt;&gt;".",up_Irr!AL10&lt;&gt;".",up_Irr!BJ10&lt;&gt;"."),up_dir!AN10/((1/1000)*(up_Irr!N10+up_Irr!AL10+up_Irr!BJ10)),IF(AND(up_Irr!N10&lt;&gt;".",up_Irr!AL10&lt;&gt;".",up_Irr!BJ10="."),up_dir!AN10/((1/1000)*(up_Irr!N10+up_Irr!AL10)),IF(AND(up_Irr!N10&lt;&gt;".",up_Irr!AL10=".",up_Irr!BJ10&lt;&gt;"."),up_dir!AN10/((1/1000)*(up_Irr!N10+up_Irr!BJ10)),IF(AND(up_Irr!N10=".",up_Irr!AL10&lt;&gt;".",up_Irr!BJ10&lt;&gt;"."),up_dir!AN10/((1/1000)*(up_Irr!AL10+up_Irr!BJ10)),IF(AND(up_Irr!N10=".",up_Irr!AL10=".",up_Irr!BJ10&lt;&gt;"."),up_dir!AN10/((1/1000)*(up_Irr!BJ10)),IF(AND(up_Irr!N10=".",up_Irr!AL10&lt;&gt;".",up_Irr!BJ10="."),up_dir!AN10/((1/1000)*(up_Irr!AL10)),IF(AND(up_Irr!N10&lt;&gt;".",up_Irr!AL10=".",up_Irr!BJ10="."),up_dir!AN10/((1/1000)*(up_Irr!N10)),IF(AND(up_Irr!N10=".",up_Irr!AL10=".",up_Irr!BJ10="."),up_dir!AN10*1000)))))))),".")</f>
        <v>6.5773651144152131E-4</v>
      </c>
      <c r="BN10" s="48">
        <f>IFERROR(IF(AND(up_Irr!O10&lt;&gt;".",up_Irr!AM10&lt;&gt;".",up_Irr!BK10&lt;&gt;"."),up_dir!AO10/((1/1000)*(up_Irr!O10+up_Irr!AM10+up_Irr!BK10)),IF(AND(up_Irr!O10&lt;&gt;".",up_Irr!AM10&lt;&gt;".",up_Irr!BK10="."),up_dir!AO10/((1/1000)*(up_Irr!O10+up_Irr!AM10)),IF(AND(up_Irr!O10&lt;&gt;".",up_Irr!AM10=".",up_Irr!BK10&lt;&gt;"."),up_dir!AO10/((1/1000)*(up_Irr!O10+up_Irr!BK10)),IF(AND(up_Irr!O10=".",up_Irr!AM10&lt;&gt;".",up_Irr!BK10&lt;&gt;"."),up_dir!AO10/((1/1000)*(up_Irr!AM10+up_Irr!BK10)),IF(AND(up_Irr!O10=".",up_Irr!AM10=".",up_Irr!BK10&lt;&gt;"."),up_dir!AO10/((1/1000)*(up_Irr!BK10)),IF(AND(up_Irr!O10=".",up_Irr!AM10&lt;&gt;".",up_Irr!BK10="."),up_dir!AO10/((1/1000)*(up_Irr!AM10)),IF(AND(up_Irr!O10&lt;&gt;".",up_Irr!AM10=".",up_Irr!BK10="."),up_dir!AO10/((1/1000)*(up_Irr!O10)),IF(AND(up_Irr!O10=".",up_Irr!AM10=".",up_Irr!BK10="."),up_dir!AO10*1000)))))))),".")</f>
        <v>6.5773651144152131E-4</v>
      </c>
      <c r="BO10" s="48">
        <f>IFERROR(IF(AND(up_Irr!P10&lt;&gt;".",up_Irr!AN10&lt;&gt;".",up_Irr!BL10&lt;&gt;"."),up_dir!AP10/((1/1000)*(up_Irr!P10+up_Irr!AN10+up_Irr!BL10)),IF(AND(up_Irr!P10&lt;&gt;".",up_Irr!AN10&lt;&gt;".",up_Irr!BL10="."),up_dir!AP10/((1/1000)*(up_Irr!P10+up_Irr!AN10)),IF(AND(up_Irr!P10&lt;&gt;".",up_Irr!AN10=".",up_Irr!BL10&lt;&gt;"."),up_dir!AP10/((1/1000)*(up_Irr!P10+up_Irr!BL10)),IF(AND(up_Irr!P10=".",up_Irr!AN10&lt;&gt;".",up_Irr!BL10&lt;&gt;"."),up_dir!AP10/((1/1000)*(up_Irr!AN10+up_Irr!BL10)),IF(AND(up_Irr!P10=".",up_Irr!AN10=".",up_Irr!BL10&lt;&gt;"."),up_dir!AP10/((1/1000)*(up_Irr!BL10)),IF(AND(up_Irr!P10=".",up_Irr!AN10&lt;&gt;".",up_Irr!BL10="."),up_dir!AP10/((1/1000)*(up_Irr!AN10)),IF(AND(up_Irr!P10&lt;&gt;".",up_Irr!AN10=".",up_Irr!BL10="."),up_dir!AP10/((1/1000)*(up_Irr!P10)),IF(AND(up_Irr!P10=".",up_Irr!AN10=".",up_Irr!BL10="."),up_dir!AP10*1000)))))))),".")</f>
        <v>6.5773651144152131E-4</v>
      </c>
      <c r="BP10" s="48">
        <f>IFERROR(IF(AND(up_Irr!Q10&lt;&gt;".",up_Irr!AO10&lt;&gt;".",up_Irr!BM10&lt;&gt;"."),up_dir!AQ10/((1/1000)*(up_Irr!Q10+up_Irr!AO10+up_Irr!BM10)),IF(AND(up_Irr!Q10&lt;&gt;".",up_Irr!AO10&lt;&gt;".",up_Irr!BM10="."),up_dir!AQ10/((1/1000)*(up_Irr!Q10+up_Irr!AO10)),IF(AND(up_Irr!Q10&lt;&gt;".",up_Irr!AO10=".",up_Irr!BM10&lt;&gt;"."),up_dir!AQ10/((1/1000)*(up_Irr!Q10+up_Irr!BM10)),IF(AND(up_Irr!Q10=".",up_Irr!AO10&lt;&gt;".",up_Irr!BM10&lt;&gt;"."),up_dir!AQ10/((1/1000)*(up_Irr!AO10+up_Irr!BM10)),IF(AND(up_Irr!Q10=".",up_Irr!AO10=".",up_Irr!BM10&lt;&gt;"."),up_dir!AQ10/((1/1000)*(up_Irr!BM10)),IF(AND(up_Irr!Q10=".",up_Irr!AO10&lt;&gt;".",up_Irr!BM10="."),up_dir!AQ10/((1/1000)*(up_Irr!AO10)),IF(AND(up_Irr!Q10&lt;&gt;".",up_Irr!AO10=".",up_Irr!BM10="."),up_dir!AQ10/((1/1000)*(up_Irr!Q10)),IF(AND(up_Irr!Q10=".",up_Irr!AO10=".",up_Irr!BM10="."),up_dir!AQ10*1000)))))))),".")</f>
        <v>6.5773651144152131E-4</v>
      </c>
      <c r="BQ10" s="48">
        <f>IFERROR(IF(AND(up_Irr!R10&lt;&gt;".",up_Irr!AP10&lt;&gt;".",up_Irr!BN10&lt;&gt;"."),up_dir!AR10/((1/1000)*(up_Irr!R10+up_Irr!AP10+up_Irr!BN10)),IF(AND(up_Irr!R10&lt;&gt;".",up_Irr!AP10&lt;&gt;".",up_Irr!BN10="."),up_dir!AR10/((1/1000)*(up_Irr!R10+up_Irr!AP10)),IF(AND(up_Irr!R10&lt;&gt;".",up_Irr!AP10=".",up_Irr!BN10&lt;&gt;"."),up_dir!AR10/((1/1000)*(up_Irr!R10+up_Irr!BN10)),IF(AND(up_Irr!R10=".",up_Irr!AP10&lt;&gt;".",up_Irr!BN10&lt;&gt;"."),up_dir!AR10/((1/1000)*(up_Irr!AP10+up_Irr!BN10)),IF(AND(up_Irr!R10=".",up_Irr!AP10=".",up_Irr!BN10&lt;&gt;"."),up_dir!AR10/((1/1000)*(up_Irr!BN10)),IF(AND(up_Irr!R10=".",up_Irr!AP10&lt;&gt;".",up_Irr!BN10="."),up_dir!AR10/((1/1000)*(up_Irr!AP10)),IF(AND(up_Irr!R10&lt;&gt;".",up_Irr!AP10=".",up_Irr!BN10="."),up_dir!AR10/((1/1000)*(up_Irr!R10)),IF(AND(up_Irr!R10=".",up_Irr!AP10=".",up_Irr!BN10="."),up_dir!AR10*1000)))))))),".")</f>
        <v>6.5773651144152131E-4</v>
      </c>
      <c r="BR10" s="48">
        <f>IFERROR(IF(AND(up_Irr!S10&lt;&gt;".",up_Irr!AQ10&lt;&gt;".",up_Irr!BO10&lt;&gt;"."),up_dir!AS10/((1/1000)*(up_Irr!S10+up_Irr!AQ10+up_Irr!BO10)),IF(AND(up_Irr!S10&lt;&gt;".",up_Irr!AQ10&lt;&gt;".",up_Irr!BO10="."),up_dir!AS10/((1/1000)*(up_Irr!S10+up_Irr!AQ10)),IF(AND(up_Irr!S10&lt;&gt;".",up_Irr!AQ10=".",up_Irr!BO10&lt;&gt;"."),up_dir!AS10/((1/1000)*(up_Irr!S10+up_Irr!BO10)),IF(AND(up_Irr!S10=".",up_Irr!AQ10&lt;&gt;".",up_Irr!BO10&lt;&gt;"."),up_dir!AS10/((1/1000)*(up_Irr!AQ10+up_Irr!BO10)),IF(AND(up_Irr!S10=".",up_Irr!AQ10=".",up_Irr!BO10&lt;&gt;"."),up_dir!AS10/((1/1000)*(up_Irr!BO10)),IF(AND(up_Irr!S10=".",up_Irr!AQ10&lt;&gt;".",up_Irr!BO10="."),up_dir!AS10/((1/1000)*(up_Irr!AQ10)),IF(AND(up_Irr!S10&lt;&gt;".",up_Irr!AQ10=".",up_Irr!BO10="."),up_dir!AS10/((1/1000)*(up_Irr!S10)),IF(AND(up_Irr!S10=".",up_Irr!AQ10=".",up_Irr!BO10="."),up_dir!AS10*1000)))))))),".")</f>
        <v>6.5773651144152131E-4</v>
      </c>
      <c r="BS10" s="48">
        <f>IFERROR(IF(AND(up_Irr!T10&lt;&gt;".",up_Irr!AR10&lt;&gt;".",up_Irr!BP10&lt;&gt;"."),up_dir!AT10/((1/1000)*(up_Irr!T10+up_Irr!AR10+up_Irr!BP10)),IF(AND(up_Irr!T10&lt;&gt;".",up_Irr!AR10&lt;&gt;".",up_Irr!BP10="."),up_dir!AT10/((1/1000)*(up_Irr!T10+up_Irr!AR10)),IF(AND(up_Irr!T10&lt;&gt;".",up_Irr!AR10=".",up_Irr!BP10&lt;&gt;"."),up_dir!AT10/((1/1000)*(up_Irr!T10+up_Irr!BP10)),IF(AND(up_Irr!T10=".",up_Irr!AR10&lt;&gt;".",up_Irr!BP10&lt;&gt;"."),up_dir!AT10/((1/1000)*(up_Irr!AR10+up_Irr!BP10)),IF(AND(up_Irr!T10=".",up_Irr!AR10=".",up_Irr!BP10&lt;&gt;"."),up_dir!AT10/((1/1000)*(up_Irr!BP10)),IF(AND(up_Irr!T10=".",up_Irr!AR10&lt;&gt;".",up_Irr!BP10="."),up_dir!AT10/((1/1000)*(up_Irr!AR10)),IF(AND(up_Irr!T10&lt;&gt;".",up_Irr!AR10=".",up_Irr!BP10="."),up_dir!AT10/((1/1000)*(up_Irr!T10)),IF(AND(up_Irr!T10=".",up_Irr!AR10=".",up_Irr!BP10="."),up_dir!AT10*1000)))))))),".")</f>
        <v>6.5773651144152131E-4</v>
      </c>
      <c r="BT10" s="48">
        <f>IFERROR(IF(AND(up_Irr!U10&lt;&gt;".",up_Irr!AS10&lt;&gt;".",up_Irr!BQ10&lt;&gt;"."),up_dir!AU10/((1/1000)*(up_Irr!U10+up_Irr!AS10+up_Irr!BQ10)),IF(AND(up_Irr!U10&lt;&gt;".",up_Irr!AS10&lt;&gt;".",up_Irr!BQ10="."),up_dir!AU10/((1/1000)*(up_Irr!U10+up_Irr!AS10)),IF(AND(up_Irr!U10&lt;&gt;".",up_Irr!AS10=".",up_Irr!BQ10&lt;&gt;"."),up_dir!AU10/((1/1000)*(up_Irr!U10+up_Irr!BQ10)),IF(AND(up_Irr!U10=".",up_Irr!AS10&lt;&gt;".",up_Irr!BQ10&lt;&gt;"."),up_dir!AU10/((1/1000)*(up_Irr!AS10+up_Irr!BQ10)),IF(AND(up_Irr!U10=".",up_Irr!AS10=".",up_Irr!BQ10&lt;&gt;"."),up_dir!AU10/((1/1000)*(up_Irr!BQ10)),IF(AND(up_Irr!U10=".",up_Irr!AS10&lt;&gt;".",up_Irr!BQ10="."),up_dir!AU10/((1/1000)*(up_Irr!AS10)),IF(AND(up_Irr!U10&lt;&gt;".",up_Irr!AS10=".",up_Irr!BQ10="."),up_dir!AU10/((1/1000)*(up_Irr!U10)),IF(AND(up_Irr!U10=".",up_Irr!AS10=".",up_Irr!BQ10="."),up_dir!AU10*1000)))))))),".")</f>
        <v>6.5773651144152131E-4</v>
      </c>
      <c r="BU10" s="48">
        <f>IFERROR(IF(AND(up_Irr!V10&lt;&gt;".",up_Irr!AT10&lt;&gt;".",up_Irr!BR10&lt;&gt;"."),up_dir!AV10/((1/1000)*(up_Irr!V10+up_Irr!AT10+up_Irr!BR10)),IF(AND(up_Irr!V10&lt;&gt;".",up_Irr!AT10&lt;&gt;".",up_Irr!BR10="."),up_dir!AV10/((1/1000)*(up_Irr!V10+up_Irr!AT10)),IF(AND(up_Irr!V10&lt;&gt;".",up_Irr!AT10=".",up_Irr!BR10&lt;&gt;"."),up_dir!AV10/((1/1000)*(up_Irr!V10+up_Irr!BR10)),IF(AND(up_Irr!V10=".",up_Irr!AT10&lt;&gt;".",up_Irr!BR10&lt;&gt;"."),up_dir!AV10/((1/1000)*(up_Irr!AT10+up_Irr!BR10)),IF(AND(up_Irr!V10=".",up_Irr!AT10=".",up_Irr!BR10&lt;&gt;"."),up_dir!AV10/((1/1000)*(up_Irr!BR10)),IF(AND(up_Irr!V10=".",up_Irr!AT10&lt;&gt;".",up_Irr!BR10="."),up_dir!AV10/((1/1000)*(up_Irr!AT10)),IF(AND(up_Irr!V10&lt;&gt;".",up_Irr!AT10=".",up_Irr!BR10="."),up_dir!AV10/((1/1000)*(up_Irr!V10)),IF(AND(up_Irr!V10=".",up_Irr!AT10=".",up_Irr!BR10="."),up_dir!AV10*1000)))))))),".")</f>
        <v>6.5773651144152131E-4</v>
      </c>
      <c r="BV10" s="48">
        <f>IFERROR(IF(AND(up_Irr!W10&lt;&gt;".",up_Irr!AU10&lt;&gt;".",up_Irr!BS10&lt;&gt;"."),up_dir!AW10/((1/1000)*(up_Irr!W10+up_Irr!AU10+up_Irr!BS10)),IF(AND(up_Irr!W10&lt;&gt;".",up_Irr!AU10&lt;&gt;".",up_Irr!BS10="."),up_dir!AW10/((1/1000)*(up_Irr!W10+up_Irr!AU10)),IF(AND(up_Irr!W10&lt;&gt;".",up_Irr!AU10=".",up_Irr!BS10&lt;&gt;"."),up_dir!AW10/((1/1000)*(up_Irr!W10+up_Irr!BS10)),IF(AND(up_Irr!W10=".",up_Irr!AU10&lt;&gt;".",up_Irr!BS10&lt;&gt;"."),up_dir!AW10/((1/1000)*(up_Irr!AU10+up_Irr!BS10)),IF(AND(up_Irr!W10=".",up_Irr!AU10=".",up_Irr!BS10&lt;&gt;"."),up_dir!AW10/((1/1000)*(up_Irr!BS10)),IF(AND(up_Irr!W10=".",up_Irr!AU10&lt;&gt;".",up_Irr!BS10="."),up_dir!AW10/((1/1000)*(up_Irr!AU10)),IF(AND(up_Irr!W10&lt;&gt;".",up_Irr!AU10=".",up_Irr!BS10="."),up_dir!AW10/((1/1000)*(up_Irr!W10)),IF(AND(up_Irr!W10=".",up_Irr!AU10=".",up_Irr!BS10="."),up_dir!AW10*1000)))))))),".")</f>
        <v>6.5773651144152131E-4</v>
      </c>
      <c r="BW10" s="48">
        <f>IFERROR(IF(AND(up_Irr!X10&lt;&gt;".",up_Irr!AV10&lt;&gt;".",up_Irr!BT10&lt;&gt;"."),up_dir!AX10/((1/1000)*(up_Irr!X10+up_Irr!AV10+up_Irr!BT10)),IF(AND(up_Irr!X10&lt;&gt;".",up_Irr!AV10&lt;&gt;".",up_Irr!BT10="."),up_dir!AX10/((1/1000)*(up_Irr!X10+up_Irr!AV10)),IF(AND(up_Irr!X10&lt;&gt;".",up_Irr!AV10=".",up_Irr!BT10&lt;&gt;"."),up_dir!AX10/((1/1000)*(up_Irr!X10+up_Irr!BT10)),IF(AND(up_Irr!X10=".",up_Irr!AV10&lt;&gt;".",up_Irr!BT10&lt;&gt;"."),up_dir!AX10/((1/1000)*(up_Irr!AV10+up_Irr!BT10)),IF(AND(up_Irr!X10=".",up_Irr!AV10=".",up_Irr!BT10&lt;&gt;"."),up_dir!AX10/((1/1000)*(up_Irr!BT10)),IF(AND(up_Irr!X10=".",up_Irr!AV10&lt;&gt;".",up_Irr!BT10="."),up_dir!AX10/((1/1000)*(up_Irr!AV10)),IF(AND(up_Irr!X10&lt;&gt;".",up_Irr!AV10=".",up_Irr!BT10="."),up_dir!AX10/((1/1000)*(up_Irr!X10)),IF(AND(up_Irr!X10=".",up_Irr!AV10=".",up_Irr!BT10="."),up_dir!AX10*1000)))))))),".")</f>
        <v>6.5773651144152131E-4</v>
      </c>
      <c r="BX10" s="48">
        <f>IFERROR(IF(AND(up_Irr!Y10&lt;&gt;".",up_Irr!AW10&lt;&gt;".",up_Irr!BU10&lt;&gt;"."),up_dir!AY10/((1/1000)*(up_Irr!Y10+up_Irr!AW10+up_Irr!BU10)),IF(AND(up_Irr!Y10&lt;&gt;".",up_Irr!AW10&lt;&gt;".",up_Irr!BU10="."),up_dir!AY10/((1/1000)*(up_Irr!Y10+up_Irr!AW10)),IF(AND(up_Irr!Y10&lt;&gt;".",up_Irr!AW10=".",up_Irr!BU10&lt;&gt;"."),up_dir!AY10/((1/1000)*(up_Irr!Y10+up_Irr!BU10)),IF(AND(up_Irr!Y10=".",up_Irr!AW10&lt;&gt;".",up_Irr!BU10&lt;&gt;"."),up_dir!AY10/((1/1000)*(up_Irr!AW10+up_Irr!BU10)),IF(AND(up_Irr!Y10=".",up_Irr!AW10=".",up_Irr!BU10&lt;&gt;"."),up_dir!AY10/((1/1000)*(up_Irr!BU10)),IF(AND(up_Irr!Y10=".",up_Irr!AW10&lt;&gt;".",up_Irr!BU10="."),up_dir!AY10/((1/1000)*(up_Irr!AW10)),IF(AND(up_Irr!Y10&lt;&gt;".",up_Irr!AW10=".",up_Irr!BU10="."),up_dir!AY10/((1/1000)*(up_Irr!Y10)),IF(AND(up_Irr!Y10=".",up_Irr!AW10=".",up_Irr!BU10="."),up_dir!AY10*1000)))))))),".")</f>
        <v>6.5773651144152131E-4</v>
      </c>
      <c r="BY10" s="48">
        <f>IFERROR(IF(AND(up_Irr!Z10&lt;&gt;".",up_Irr!AX10&lt;&gt;".",up_Irr!BV10&lt;&gt;"."),up_dir!AZ10/((1/1000)*(up_Irr!Z10+up_Irr!AX10+up_Irr!BV10)),IF(AND(up_Irr!Z10&lt;&gt;".",up_Irr!AX10&lt;&gt;".",up_Irr!BV10="."),up_dir!AZ10/((1/1000)*(up_Irr!Z10+up_Irr!AX10)),IF(AND(up_Irr!Z10&lt;&gt;".",up_Irr!AX10=".",up_Irr!BV10&lt;&gt;"."),up_dir!AZ10/((1/1000)*(up_Irr!Z10+up_Irr!BV10)),IF(AND(up_Irr!Z10=".",up_Irr!AX10&lt;&gt;".",up_Irr!BV10&lt;&gt;"."),up_dir!AZ10/((1/1000)*(up_Irr!AX10+up_Irr!BV10)),IF(AND(up_Irr!Z10=".",up_Irr!AX10=".",up_Irr!BV10&lt;&gt;"."),up_dir!AZ10/((1/1000)*(up_Irr!BV10)),IF(AND(up_Irr!Z10=".",up_Irr!AX10&lt;&gt;".",up_Irr!BV10="."),up_dir!AZ10/((1/1000)*(up_Irr!AX10)),IF(AND(up_Irr!Z10&lt;&gt;".",up_Irr!AX10=".",up_Irr!BV10="."),up_dir!AZ10/((1/1000)*(up_Irr!Z10)),IF(AND(up_Irr!Z10=".",up_Irr!AX10=".",up_Irr!BV10="."),up_dir!AZ10*1000)))))))),".")</f>
        <v>6.5773651144152131E-4</v>
      </c>
      <c r="BZ10" s="62">
        <f t="shared" si="3"/>
        <v>22805.4847785862</v>
      </c>
      <c r="CA10" s="62">
        <f>IFERROR(s_C*s_IFAP_far_adj*s_CF_apple*(1/1000)*(up_Irr!C10+up_Irr!AA10+up_Irr!AY10),".")</f>
        <v>7601.8282595287337</v>
      </c>
      <c r="CB10" s="62">
        <f>IFERROR(s_C*s_IFAS_far_adj*s_CF_asparagus*(1/1000)*(up_Irr!D10+up_Irr!AB10+up_Irr!AZ10),".")</f>
        <v>7601.8282595287337</v>
      </c>
      <c r="CC10" s="62">
        <f>IFERROR(s_C*s_IFBT_far_adj*s_CF_beet*(1/1000)*(up_Irr!E10+up_Irr!AC10+up_Irr!BA10),".")</f>
        <v>7601.8282595287337</v>
      </c>
      <c r="CD10" s="62">
        <f>IFERROR(s_C*s_IFBE_far_adj*s_CF_berries*(1/1000)*(up_Irr!F10+up_Irr!AD10+up_Irr!BB10),".")</f>
        <v>7601.8282595287337</v>
      </c>
      <c r="CE10" s="62">
        <f>IFERROR(s_C*s_IFBR_far_adj*s_CF_broccoli*(1/1000)*(up_Irr!G10+up_Irr!AE10+up_Irr!BC10),".")</f>
        <v>7601.8282595287337</v>
      </c>
      <c r="CF10" s="62">
        <f>IFERROR(s_C*s_IFCB_far_adj*s_CF_cabbage*(1/1000)*(up_Irr!H10+up_Irr!AF10+up_Irr!BD10),".")</f>
        <v>7601.8282595287337</v>
      </c>
      <c r="CG10" s="62">
        <f>IFERROR(s_C*s_IFCR_far_adj*s_CF_carrot*(1/1000)*(up_Irr!I10+up_Irr!AG10+up_Irr!BE10),".")</f>
        <v>7601.8282595287337</v>
      </c>
      <c r="CH10" s="62">
        <f>IFERROR(s_C*s_IFCI_far_adj*s_CF_citrus*(1/1000)*(up_Irr!J10+up_Irr!AH10+up_Irr!BF10),".")</f>
        <v>7601.8282595287337</v>
      </c>
      <c r="CI10" s="62">
        <f>IFERROR(s_C*s_IFCO_far_adj*s_CF_corn*(1/1000)*(up_Irr!K10+up_Irr!AI10+up_Irr!BG10),".")</f>
        <v>7601.8282595287337</v>
      </c>
      <c r="CJ10" s="62">
        <f>IFERROR(s_C*s_IFCU_far_adj*s_CF_cucumber*(1/1000)*(up_Irr!L10+up_Irr!AJ10+up_Irr!BH10),".")</f>
        <v>7601.8282595287337</v>
      </c>
      <c r="CK10" s="62">
        <f>IFERROR(s_C*s_IFLE_far_adj*s_CF_lettuce*(1/1000)*(up_Irr!M10+up_Irr!AK10+up_Irr!BI10),".")</f>
        <v>7601.8282595287337</v>
      </c>
      <c r="CL10" s="62">
        <f>IFERROR(s_C*s_IFLI_far_adj*s_CF_lima_bean*(1/1000)*(up_Irr!N10+up_Irr!AL10+up_Irr!BJ10),".")</f>
        <v>7601.8282595287337</v>
      </c>
      <c r="CM10" s="62">
        <f>IFERROR(s_C*s_IFOK_far_adj*s_CF_okra*(1/1000)*(up_Irr!O10+up_Irr!AM10+up_Irr!BK10),".")</f>
        <v>7601.8282595287337</v>
      </c>
      <c r="CN10" s="62">
        <f>IFERROR(s_C*s_IFON_far_adj*s_CF_onion*(1/1000)*(up_Irr!P10+up_Irr!AN10+up_Irr!BL10),".")</f>
        <v>7601.8282595287337</v>
      </c>
      <c r="CO10" s="62">
        <f>IFERROR(s_C*s_IFPC_far_adj*s_CF_peach*(1/1000)*(up_Irr!Q10+up_Irr!AO10+up_Irr!BM10),".")</f>
        <v>7601.8282595287337</v>
      </c>
      <c r="CP10" s="62">
        <f>IFERROR(s_C*s_IFPR_far_adj*s_CF_pear*(1/1000)*(up_Irr!R10+up_Irr!AP10+up_Irr!BN10),".")</f>
        <v>7601.8282595287337</v>
      </c>
      <c r="CQ10" s="62">
        <f>IFERROR(s_C*s_IFPE_far_adj*s_CF_peas*(1/1000)*(up_Irr!S10+up_Irr!AQ10+up_Irr!BO10),".")</f>
        <v>7601.8282595287337</v>
      </c>
      <c r="CR10" s="62">
        <f>IFERROR(s_C*s_IFPT_far_adj*s_CF_potato*(1/1000)*(up_Irr!T10+up_Irr!AR10+up_Irr!BP10),".")</f>
        <v>7601.8282595287337</v>
      </c>
      <c r="CS10" s="62">
        <f>IFERROR(s_C*s_IFPU_far_adj*s_CF_pumpkin*(1/1000)*(up_Irr!U10+up_Irr!AS10+up_Irr!BQ10),".")</f>
        <v>7601.8282595287337</v>
      </c>
      <c r="CT10" s="62">
        <f>IFERROR(s_C*s_IFSN_far_adj*s_CF_snap_bean*(1/1000)*(up_Irr!V10+up_Irr!AT10+up_Irr!BR10),".")</f>
        <v>7601.8282595287337</v>
      </c>
      <c r="CU10" s="62">
        <f>IFERROR(s_C*s_IFST_far_adj*s_CF_strawberry*(1/1000)*(up_Irr!W10+up_Irr!AU10+up_Irr!BS10),".")</f>
        <v>7601.8282595287337</v>
      </c>
      <c r="CV10" s="62">
        <f>IFERROR(s_C*s_IFTO_far_adj*s_CF_tomato*(1/1000)*(up_Irr!X10+up_Irr!AV10+up_Irr!BT10),".")</f>
        <v>7601.8282595287337</v>
      </c>
      <c r="CW10" s="62">
        <f>IFERROR(s_C*s_IFRI_far_adj*s_CF_rice*(1/1000)*(up_Irr!Y10+up_Irr!AW10+up_Irr!BU10),".")</f>
        <v>7601.8282595287337</v>
      </c>
      <c r="CX10" s="62">
        <f>IFERROR(s_C*s_IFCG_far_adj*s_CF_cereal*(1/1000)*(up_Irr!Z10+up_Irr!AX10+up_Irr!BV10),".")</f>
        <v>7601.8282595287337</v>
      </c>
    </row>
    <row r="11" spans="1:102" ht="15" customHeight="1" x14ac:dyDescent="0.25">
      <c r="A11" s="61" t="s">
        <v>9</v>
      </c>
      <c r="B11" s="49" t="s">
        <v>1059</v>
      </c>
      <c r="C11" s="48">
        <f t="shared" si="0"/>
        <v>2.1924550381384044E-4</v>
      </c>
      <c r="D11" s="48">
        <f>IFERROR(IF(AND(up_Irr!C11&lt;&gt;".",up_Irr!AA11&lt;&gt;".",up_Irr!AY11&lt;&gt;"."),up_dir!D11/((1/1000)*(up_Irr!C11+up_Irr!AA11+up_Irr!AY11)),IF(AND(up_Irr!C11&lt;&gt;".",up_Irr!AA11&lt;&gt;".",up_Irr!AY11="."),up_dir!D11/((1/1000)*(up_Irr!C11+up_Irr!AA11)),IF(AND(up_Irr!C11&lt;&gt;".",up_Irr!AA11=".",up_Irr!AY11&lt;&gt;"."),up_dir!D11/((1/1000)*(up_Irr!C11+up_Irr!AY11)),IF(AND(up_Irr!C11=".",up_Irr!AA11&lt;&gt;".",up_Irr!AY11&lt;&gt;"."),up_dir!D11/((1/1000)*(up_Irr!AA11+up_Irr!AY11)),IF(AND(up_Irr!C11=".",up_Irr!AA11=".",up_Irr!AY11&lt;&gt;"."),up_dir!D11/((1/1000)*(up_Irr!AY11)),IF(AND(up_Irr!C11=".",up_Irr!AA11&lt;&gt;".",up_Irr!AY11="."),up_dir!D11/((1/1000)*(up_Irr!AA11)),IF(AND(up_Irr!C11&lt;&gt;".",up_Irr!AA11=".",up_Irr!AY11="."),up_dir!D11/((1/1000)*(up_Irr!C11)),IF(AND(up_Irr!C11=".",up_Irr!AA11=".",up_Irr!AY11="."),up_dir!D11*1000)))))))),".")</f>
        <v>6.5773651144152131E-4</v>
      </c>
      <c r="E11" s="48">
        <f>IFERROR(IF(AND(up_Irr!D11&lt;&gt;".",up_Irr!AB11&lt;&gt;".",up_Irr!AZ11&lt;&gt;"."),up_dir!E11/((1/1000)*(up_Irr!D11+up_Irr!AB11+up_Irr!AZ11)),IF(AND(up_Irr!D11&lt;&gt;".",up_Irr!AB11&lt;&gt;".",up_Irr!AZ11="."),up_dir!E11/((1/1000)*(up_Irr!D11+up_Irr!AB11)),IF(AND(up_Irr!D11&lt;&gt;".",up_Irr!AB11=".",up_Irr!AZ11&lt;&gt;"."),up_dir!E11/((1/1000)*(up_Irr!D11+up_Irr!AZ11)),IF(AND(up_Irr!D11=".",up_Irr!AB11&lt;&gt;".",up_Irr!AZ11&lt;&gt;"."),up_dir!E11/((1/1000)*(up_Irr!AB11+up_Irr!AZ11)),IF(AND(up_Irr!D11=".",up_Irr!AB11=".",up_Irr!AZ11&lt;&gt;"."),up_dir!E11/((1/1000)*(up_Irr!AZ11)),IF(AND(up_Irr!D11=".",up_Irr!AB11&lt;&gt;".",up_Irr!AZ11="."),up_dir!E11/((1/1000)*(up_Irr!AB11)),IF(AND(up_Irr!D11&lt;&gt;".",up_Irr!AB11=".",up_Irr!AZ11="."),up_dir!E11/((1/1000)*(up_Irr!D11)),IF(AND(up_Irr!D11=".",up_Irr!AB11=".",up_Irr!AZ11="."),up_dir!E11*1000)))))))),".")</f>
        <v>6.5773651144152131E-4</v>
      </c>
      <c r="F11" s="48">
        <f>IFERROR(IF(AND(up_Irr!E11&lt;&gt;".",up_Irr!AC11&lt;&gt;".",up_Irr!BA11&lt;&gt;"."),up_dir!F11/((1/1000)*(up_Irr!E11+up_Irr!AC11+up_Irr!BA11)),IF(AND(up_Irr!E11&lt;&gt;".",up_Irr!AC11&lt;&gt;".",up_Irr!BA11="."),up_dir!F11/((1/1000)*(up_Irr!E11+up_Irr!AC11)),IF(AND(up_Irr!E11&lt;&gt;".",up_Irr!AC11=".",up_Irr!BA11&lt;&gt;"."),up_dir!F11/((1/1000)*(up_Irr!E11+up_Irr!BA11)),IF(AND(up_Irr!E11=".",up_Irr!AC11&lt;&gt;".",up_Irr!BA11&lt;&gt;"."),up_dir!F11/((1/1000)*(up_Irr!AC11+up_Irr!BA11)),IF(AND(up_Irr!E11=".",up_Irr!AC11=".",up_Irr!BA11&lt;&gt;"."),up_dir!F11/((1/1000)*(up_Irr!BA11)),IF(AND(up_Irr!E11=".",up_Irr!AC11&lt;&gt;".",up_Irr!BA11="."),up_dir!F11/((1/1000)*(up_Irr!AC11)),IF(AND(up_Irr!E11&lt;&gt;".",up_Irr!AC11=".",up_Irr!BA11="."),up_dir!F11/((1/1000)*(up_Irr!E11)),IF(AND(up_Irr!E11=".",up_Irr!AC11=".",up_Irr!BA11="."),up_dir!F11*1000)))))))),".")</f>
        <v>6.5773651144152131E-4</v>
      </c>
      <c r="G11" s="48">
        <f>IFERROR(IF(AND(up_Irr!F11&lt;&gt;".",up_Irr!AD11&lt;&gt;".",up_Irr!BB11&lt;&gt;"."),up_dir!G11/((1/1000)*(up_Irr!F11+up_Irr!AD11+up_Irr!BB11)),IF(AND(up_Irr!F11&lt;&gt;".",up_Irr!AD11&lt;&gt;".",up_Irr!BB11="."),up_dir!G11/((1/1000)*(up_Irr!F11+up_Irr!AD11)),IF(AND(up_Irr!F11&lt;&gt;".",up_Irr!AD11=".",up_Irr!BB11&lt;&gt;"."),up_dir!G11/((1/1000)*(up_Irr!F11+up_Irr!BB11)),IF(AND(up_Irr!F11=".",up_Irr!AD11&lt;&gt;".",up_Irr!BB11&lt;&gt;"."),up_dir!G11/((1/1000)*(up_Irr!AD11+up_Irr!BB11)),IF(AND(up_Irr!F11=".",up_Irr!AD11=".",up_Irr!BB11&lt;&gt;"."),up_dir!G11/((1/1000)*(up_Irr!BB11)),IF(AND(up_Irr!F11=".",up_Irr!AD11&lt;&gt;".",up_Irr!BB11="."),up_dir!G11/((1/1000)*(up_Irr!AD11)),IF(AND(up_Irr!F11&lt;&gt;".",up_Irr!AD11=".",up_Irr!BB11="."),up_dir!G11/((1/1000)*(up_Irr!F11)),IF(AND(up_Irr!F11=".",up_Irr!AD11=".",up_Irr!BB11="."),up_dir!G11*1000)))))))),".")</f>
        <v>6.5773651144152131E-4</v>
      </c>
      <c r="H11" s="48">
        <f>IFERROR(IF(AND(up_Irr!G11&lt;&gt;".",up_Irr!AE11&lt;&gt;".",up_Irr!BC11&lt;&gt;"."),up_dir!H11/((1/1000)*(up_Irr!G11+up_Irr!AE11+up_Irr!BC11)),IF(AND(up_Irr!G11&lt;&gt;".",up_Irr!AE11&lt;&gt;".",up_Irr!BC11="."),up_dir!H11/((1/1000)*(up_Irr!G11+up_Irr!AE11)),IF(AND(up_Irr!G11&lt;&gt;".",up_Irr!AE11=".",up_Irr!BC11&lt;&gt;"."),up_dir!H11/((1/1000)*(up_Irr!G11+up_Irr!BC11)),IF(AND(up_Irr!G11=".",up_Irr!AE11&lt;&gt;".",up_Irr!BC11&lt;&gt;"."),up_dir!H11/((1/1000)*(up_Irr!AE11+up_Irr!BC11)),IF(AND(up_Irr!G11=".",up_Irr!AE11=".",up_Irr!BC11&lt;&gt;"."),up_dir!H11/((1/1000)*(up_Irr!BC11)),IF(AND(up_Irr!G11=".",up_Irr!AE11&lt;&gt;".",up_Irr!BC11="."),up_dir!H11/((1/1000)*(up_Irr!AE11)),IF(AND(up_Irr!G11&lt;&gt;".",up_Irr!AE11=".",up_Irr!BC11="."),up_dir!H11/((1/1000)*(up_Irr!G11)),IF(AND(up_Irr!G11=".",up_Irr!AE11=".",up_Irr!BC11="."),up_dir!H11*1000)))))))),".")</f>
        <v>6.5773651144152131E-4</v>
      </c>
      <c r="I11" s="48">
        <f>IFERROR(IF(AND(up_Irr!H11&lt;&gt;".",up_Irr!AF11&lt;&gt;".",up_Irr!BD11&lt;&gt;"."),up_dir!I11/((1/1000)*(up_Irr!H11+up_Irr!AF11+up_Irr!BD11)),IF(AND(up_Irr!H11&lt;&gt;".",up_Irr!AF11&lt;&gt;".",up_Irr!BD11="."),up_dir!I11/((1/1000)*(up_Irr!H11+up_Irr!AF11)),IF(AND(up_Irr!H11&lt;&gt;".",up_Irr!AF11=".",up_Irr!BD11&lt;&gt;"."),up_dir!I11/((1/1000)*(up_Irr!H11+up_Irr!BD11)),IF(AND(up_Irr!H11=".",up_Irr!AF11&lt;&gt;".",up_Irr!BD11&lt;&gt;"."),up_dir!I11/((1/1000)*(up_Irr!AF11+up_Irr!BD11)),IF(AND(up_Irr!H11=".",up_Irr!AF11=".",up_Irr!BD11&lt;&gt;"."),up_dir!I11/((1/1000)*(up_Irr!BD11)),IF(AND(up_Irr!H11=".",up_Irr!AF11&lt;&gt;".",up_Irr!BD11="."),up_dir!I11/((1/1000)*(up_Irr!AF11)),IF(AND(up_Irr!H11&lt;&gt;".",up_Irr!AF11=".",up_Irr!BD11="."),up_dir!I11/((1/1000)*(up_Irr!H11)),IF(AND(up_Irr!H11=".",up_Irr!AF11=".",up_Irr!BD11="."),up_dir!I11*1000)))))))),".")</f>
        <v>6.5773651144152131E-4</v>
      </c>
      <c r="J11" s="48">
        <f>IFERROR(IF(AND(up_Irr!I11&lt;&gt;".",up_Irr!AG11&lt;&gt;".",up_Irr!BE11&lt;&gt;"."),up_dir!J11/((1/1000)*(up_Irr!I11+up_Irr!AG11+up_Irr!BE11)),IF(AND(up_Irr!I11&lt;&gt;".",up_Irr!AG11&lt;&gt;".",up_Irr!BE11="."),up_dir!J11/((1/1000)*(up_Irr!I11+up_Irr!AG11)),IF(AND(up_Irr!I11&lt;&gt;".",up_Irr!AG11=".",up_Irr!BE11&lt;&gt;"."),up_dir!J11/((1/1000)*(up_Irr!I11+up_Irr!BE11)),IF(AND(up_Irr!I11=".",up_Irr!AG11&lt;&gt;".",up_Irr!BE11&lt;&gt;"."),up_dir!J11/((1/1000)*(up_Irr!AG11+up_Irr!BE11)),IF(AND(up_Irr!I11=".",up_Irr!AG11=".",up_Irr!BE11&lt;&gt;"."),up_dir!J11/((1/1000)*(up_Irr!BE11)),IF(AND(up_Irr!I11=".",up_Irr!AG11&lt;&gt;".",up_Irr!BE11="."),up_dir!J11/((1/1000)*(up_Irr!AG11)),IF(AND(up_Irr!I11&lt;&gt;".",up_Irr!AG11=".",up_Irr!BE11="."),up_dir!J11/((1/1000)*(up_Irr!I11)),IF(AND(up_Irr!I11=".",up_Irr!AG11=".",up_Irr!BE11="."),up_dir!J11*1000)))))))),".")</f>
        <v>6.5773651144152131E-4</v>
      </c>
      <c r="K11" s="48">
        <f>IFERROR(IF(AND(up_Irr!J11&lt;&gt;".",up_Irr!AH11&lt;&gt;".",up_Irr!BF11&lt;&gt;"."),up_dir!K11/((1/1000)*(up_Irr!J11+up_Irr!AH11+up_Irr!BF11)),IF(AND(up_Irr!J11&lt;&gt;".",up_Irr!AH11&lt;&gt;".",up_Irr!BF11="."),up_dir!K11/((1/1000)*(up_Irr!J11+up_Irr!AH11)),IF(AND(up_Irr!J11&lt;&gt;".",up_Irr!AH11=".",up_Irr!BF11&lt;&gt;"."),up_dir!K11/((1/1000)*(up_Irr!J11+up_Irr!BF11)),IF(AND(up_Irr!J11=".",up_Irr!AH11&lt;&gt;".",up_Irr!BF11&lt;&gt;"."),up_dir!K11/((1/1000)*(up_Irr!AH11+up_Irr!BF11)),IF(AND(up_Irr!J11=".",up_Irr!AH11=".",up_Irr!BF11&lt;&gt;"."),up_dir!K11/((1/1000)*(up_Irr!BF11)),IF(AND(up_Irr!J11=".",up_Irr!AH11&lt;&gt;".",up_Irr!BF11="."),up_dir!K11/((1/1000)*(up_Irr!AH11)),IF(AND(up_Irr!J11&lt;&gt;".",up_Irr!AH11=".",up_Irr!BF11="."),up_dir!K11/((1/1000)*(up_Irr!J11)),IF(AND(up_Irr!J11=".",up_Irr!AH11=".",up_Irr!BF11="."),up_dir!K11*1000)))))))),".")</f>
        <v>6.5773651144152131E-4</v>
      </c>
      <c r="L11" s="48">
        <f>IFERROR(IF(AND(up_Irr!K11&lt;&gt;".",up_Irr!AI11&lt;&gt;".",up_Irr!BG11&lt;&gt;"."),up_dir!L11/((1/1000)*(up_Irr!K11+up_Irr!AI11+up_Irr!BG11)),IF(AND(up_Irr!K11&lt;&gt;".",up_Irr!AI11&lt;&gt;".",up_Irr!BG11="."),up_dir!L11/((1/1000)*(up_Irr!K11+up_Irr!AI11)),IF(AND(up_Irr!K11&lt;&gt;".",up_Irr!AI11=".",up_Irr!BG11&lt;&gt;"."),up_dir!L11/((1/1000)*(up_Irr!K11+up_Irr!BG11)),IF(AND(up_Irr!K11=".",up_Irr!AI11&lt;&gt;".",up_Irr!BG11&lt;&gt;"."),up_dir!L11/((1/1000)*(up_Irr!AI11+up_Irr!BG11)),IF(AND(up_Irr!K11=".",up_Irr!AI11=".",up_Irr!BG11&lt;&gt;"."),up_dir!L11/((1/1000)*(up_Irr!BG11)),IF(AND(up_Irr!K11=".",up_Irr!AI11&lt;&gt;".",up_Irr!BG11="."),up_dir!L11/((1/1000)*(up_Irr!AI11)),IF(AND(up_Irr!K11&lt;&gt;".",up_Irr!AI11=".",up_Irr!BG11="."),up_dir!L11/((1/1000)*(up_Irr!K11)),IF(AND(up_Irr!K11=".",up_Irr!AI11=".",up_Irr!BG11="."),up_dir!L11*1000)))))))),".")</f>
        <v>6.5773651144152131E-4</v>
      </c>
      <c r="M11" s="48">
        <f>IFERROR(IF(AND(up_Irr!L11&lt;&gt;".",up_Irr!AJ11&lt;&gt;".",up_Irr!BH11&lt;&gt;"."),up_dir!M11/((1/1000)*(up_Irr!L11+up_Irr!AJ11+up_Irr!BH11)),IF(AND(up_Irr!L11&lt;&gt;".",up_Irr!AJ11&lt;&gt;".",up_Irr!BH11="."),up_dir!M11/((1/1000)*(up_Irr!L11+up_Irr!AJ11)),IF(AND(up_Irr!L11&lt;&gt;".",up_Irr!AJ11=".",up_Irr!BH11&lt;&gt;"."),up_dir!M11/((1/1000)*(up_Irr!L11+up_Irr!BH11)),IF(AND(up_Irr!L11=".",up_Irr!AJ11&lt;&gt;".",up_Irr!BH11&lt;&gt;"."),up_dir!M11/((1/1000)*(up_Irr!AJ11+up_Irr!BH11)),IF(AND(up_Irr!L11=".",up_Irr!AJ11=".",up_Irr!BH11&lt;&gt;"."),up_dir!M11/((1/1000)*(up_Irr!BH11)),IF(AND(up_Irr!L11=".",up_Irr!AJ11&lt;&gt;".",up_Irr!BH11="."),up_dir!M11/((1/1000)*(up_Irr!AJ11)),IF(AND(up_Irr!L11&lt;&gt;".",up_Irr!AJ11=".",up_Irr!BH11="."),up_dir!M11/((1/1000)*(up_Irr!L11)),IF(AND(up_Irr!L11=".",up_Irr!AJ11=".",up_Irr!BH11="."),up_dir!M11*1000)))))))),".")</f>
        <v>6.5773651144152131E-4</v>
      </c>
      <c r="N11" s="48">
        <f>IFERROR(IF(AND(up_Irr!M11&lt;&gt;".",up_Irr!AK11&lt;&gt;".",up_Irr!BI11&lt;&gt;"."),up_dir!N11/((1/1000)*(up_Irr!M11+up_Irr!AK11+up_Irr!BI11)),IF(AND(up_Irr!M11&lt;&gt;".",up_Irr!AK11&lt;&gt;".",up_Irr!BI11="."),up_dir!N11/((1/1000)*(up_Irr!M11+up_Irr!AK11)),IF(AND(up_Irr!M11&lt;&gt;".",up_Irr!AK11=".",up_Irr!BI11&lt;&gt;"."),up_dir!N11/((1/1000)*(up_Irr!M11+up_Irr!BI11)),IF(AND(up_Irr!M11=".",up_Irr!AK11&lt;&gt;".",up_Irr!BI11&lt;&gt;"."),up_dir!N11/((1/1000)*(up_Irr!AK11+up_Irr!BI11)),IF(AND(up_Irr!M11=".",up_Irr!AK11=".",up_Irr!BI11&lt;&gt;"."),up_dir!N11/((1/1000)*(up_Irr!BI11)),IF(AND(up_Irr!M11=".",up_Irr!AK11&lt;&gt;".",up_Irr!BI11="."),up_dir!N11/((1/1000)*(up_Irr!AK11)),IF(AND(up_Irr!M11&lt;&gt;".",up_Irr!AK11=".",up_Irr!BI11="."),up_dir!N11/((1/1000)*(up_Irr!M11)),IF(AND(up_Irr!M11=".",up_Irr!AK11=".",up_Irr!BI11="."),up_dir!N11*1000)))))))),".")</f>
        <v>6.5773651144152131E-4</v>
      </c>
      <c r="O11" s="48">
        <f>IFERROR(IF(AND(up_Irr!N11&lt;&gt;".",up_Irr!AL11&lt;&gt;".",up_Irr!BJ11&lt;&gt;"."),up_dir!O11/((1/1000)*(up_Irr!N11+up_Irr!AL11+up_Irr!BJ11)),IF(AND(up_Irr!N11&lt;&gt;".",up_Irr!AL11&lt;&gt;".",up_Irr!BJ11="."),up_dir!O11/((1/1000)*(up_Irr!N11+up_Irr!AL11)),IF(AND(up_Irr!N11&lt;&gt;".",up_Irr!AL11=".",up_Irr!BJ11&lt;&gt;"."),up_dir!O11/((1/1000)*(up_Irr!N11+up_Irr!BJ11)),IF(AND(up_Irr!N11=".",up_Irr!AL11&lt;&gt;".",up_Irr!BJ11&lt;&gt;"."),up_dir!O11/((1/1000)*(up_Irr!AL11+up_Irr!BJ11)),IF(AND(up_Irr!N11=".",up_Irr!AL11=".",up_Irr!BJ11&lt;&gt;"."),up_dir!O11/((1/1000)*(up_Irr!BJ11)),IF(AND(up_Irr!N11=".",up_Irr!AL11&lt;&gt;".",up_Irr!BJ11="."),up_dir!O11/((1/1000)*(up_Irr!AL11)),IF(AND(up_Irr!N11&lt;&gt;".",up_Irr!AL11=".",up_Irr!BJ11="."),up_dir!O11/((1/1000)*(up_Irr!N11)),IF(AND(up_Irr!N11=".",up_Irr!AL11=".",up_Irr!BJ11="."),up_dir!O11*1000)))))))),".")</f>
        <v>6.5773651144152131E-4</v>
      </c>
      <c r="P11" s="48">
        <f>IFERROR(IF(AND(up_Irr!O11&lt;&gt;".",up_Irr!AM11&lt;&gt;".",up_Irr!BK11&lt;&gt;"."),up_dir!P11/((1/1000)*(up_Irr!O11+up_Irr!AM11+up_Irr!BK11)),IF(AND(up_Irr!O11&lt;&gt;".",up_Irr!AM11&lt;&gt;".",up_Irr!BK11="."),up_dir!P11/((1/1000)*(up_Irr!O11+up_Irr!AM11)),IF(AND(up_Irr!O11&lt;&gt;".",up_Irr!AM11=".",up_Irr!BK11&lt;&gt;"."),up_dir!P11/((1/1000)*(up_Irr!O11+up_Irr!BK11)),IF(AND(up_Irr!O11=".",up_Irr!AM11&lt;&gt;".",up_Irr!BK11&lt;&gt;"."),up_dir!P11/((1/1000)*(up_Irr!AM11+up_Irr!BK11)),IF(AND(up_Irr!O11=".",up_Irr!AM11=".",up_Irr!BK11&lt;&gt;"."),up_dir!P11/((1/1000)*(up_Irr!BK11)),IF(AND(up_Irr!O11=".",up_Irr!AM11&lt;&gt;".",up_Irr!BK11="."),up_dir!P11/((1/1000)*(up_Irr!AM11)),IF(AND(up_Irr!O11&lt;&gt;".",up_Irr!AM11=".",up_Irr!BK11="."),up_dir!P11/((1/1000)*(up_Irr!O11)),IF(AND(up_Irr!O11=".",up_Irr!AM11=".",up_Irr!BK11="."),up_dir!P11*1000)))))))),".")</f>
        <v>6.5773651144152131E-4</v>
      </c>
      <c r="Q11" s="48">
        <f>IFERROR(IF(AND(up_Irr!P11&lt;&gt;".",up_Irr!AN11&lt;&gt;".",up_Irr!BL11&lt;&gt;"."),up_dir!Q11/((1/1000)*(up_Irr!P11+up_Irr!AN11+up_Irr!BL11)),IF(AND(up_Irr!P11&lt;&gt;".",up_Irr!AN11&lt;&gt;".",up_Irr!BL11="."),up_dir!Q11/((1/1000)*(up_Irr!P11+up_Irr!AN11)),IF(AND(up_Irr!P11&lt;&gt;".",up_Irr!AN11=".",up_Irr!BL11&lt;&gt;"."),up_dir!Q11/((1/1000)*(up_Irr!P11+up_Irr!BL11)),IF(AND(up_Irr!P11=".",up_Irr!AN11&lt;&gt;".",up_Irr!BL11&lt;&gt;"."),up_dir!Q11/((1/1000)*(up_Irr!AN11+up_Irr!BL11)),IF(AND(up_Irr!P11=".",up_Irr!AN11=".",up_Irr!BL11&lt;&gt;"."),up_dir!Q11/((1/1000)*(up_Irr!BL11)),IF(AND(up_Irr!P11=".",up_Irr!AN11&lt;&gt;".",up_Irr!BL11="."),up_dir!Q11/((1/1000)*(up_Irr!AN11)),IF(AND(up_Irr!P11&lt;&gt;".",up_Irr!AN11=".",up_Irr!BL11="."),up_dir!Q11/((1/1000)*(up_Irr!P11)),IF(AND(up_Irr!P11=".",up_Irr!AN11=".",up_Irr!BL11="."),up_dir!Q11*1000)))))))),".")</f>
        <v>6.5773651144152131E-4</v>
      </c>
      <c r="R11" s="48">
        <f>IFERROR(IF(AND(up_Irr!Q11&lt;&gt;".",up_Irr!AO11&lt;&gt;".",up_Irr!BM11&lt;&gt;"."),up_dir!R11/((1/1000)*(up_Irr!Q11+up_Irr!AO11+up_Irr!BM11)),IF(AND(up_Irr!Q11&lt;&gt;".",up_Irr!AO11&lt;&gt;".",up_Irr!BM11="."),up_dir!R11/((1/1000)*(up_Irr!Q11+up_Irr!AO11)),IF(AND(up_Irr!Q11&lt;&gt;".",up_Irr!AO11=".",up_Irr!BM11&lt;&gt;"."),up_dir!R11/((1/1000)*(up_Irr!Q11+up_Irr!BM11)),IF(AND(up_Irr!Q11=".",up_Irr!AO11&lt;&gt;".",up_Irr!BM11&lt;&gt;"."),up_dir!R11/((1/1000)*(up_Irr!AO11+up_Irr!BM11)),IF(AND(up_Irr!Q11=".",up_Irr!AO11=".",up_Irr!BM11&lt;&gt;"."),up_dir!R11/((1/1000)*(up_Irr!BM11)),IF(AND(up_Irr!Q11=".",up_Irr!AO11&lt;&gt;".",up_Irr!BM11="."),up_dir!R11/((1/1000)*(up_Irr!AO11)),IF(AND(up_Irr!Q11&lt;&gt;".",up_Irr!AO11=".",up_Irr!BM11="."),up_dir!R11/((1/1000)*(up_Irr!Q11)),IF(AND(up_Irr!Q11=".",up_Irr!AO11=".",up_Irr!BM11="."),up_dir!R11*1000)))))))),".")</f>
        <v>6.5773651144152131E-4</v>
      </c>
      <c r="S11" s="48">
        <f>IFERROR(IF(AND(up_Irr!R11&lt;&gt;".",up_Irr!AP11&lt;&gt;".",up_Irr!BN11&lt;&gt;"."),up_dir!S11/((1/1000)*(up_Irr!R11+up_Irr!AP11+up_Irr!BN11)),IF(AND(up_Irr!R11&lt;&gt;".",up_Irr!AP11&lt;&gt;".",up_Irr!BN11="."),up_dir!S11/((1/1000)*(up_Irr!R11+up_Irr!AP11)),IF(AND(up_Irr!R11&lt;&gt;".",up_Irr!AP11=".",up_Irr!BN11&lt;&gt;"."),up_dir!S11/((1/1000)*(up_Irr!R11+up_Irr!BN11)),IF(AND(up_Irr!R11=".",up_Irr!AP11&lt;&gt;".",up_Irr!BN11&lt;&gt;"."),up_dir!S11/((1/1000)*(up_Irr!AP11+up_Irr!BN11)),IF(AND(up_Irr!R11=".",up_Irr!AP11=".",up_Irr!BN11&lt;&gt;"."),up_dir!S11/((1/1000)*(up_Irr!BN11)),IF(AND(up_Irr!R11=".",up_Irr!AP11&lt;&gt;".",up_Irr!BN11="."),up_dir!S11/((1/1000)*(up_Irr!AP11)),IF(AND(up_Irr!R11&lt;&gt;".",up_Irr!AP11=".",up_Irr!BN11="."),up_dir!S11/((1/1000)*(up_Irr!R11)),IF(AND(up_Irr!R11=".",up_Irr!AP11=".",up_Irr!BN11="."),up_dir!S11*1000)))))))),".")</f>
        <v>6.5773651144152131E-4</v>
      </c>
      <c r="T11" s="48">
        <f>IFERROR(IF(AND(up_Irr!S11&lt;&gt;".",up_Irr!AQ11&lt;&gt;".",up_Irr!BO11&lt;&gt;"."),up_dir!T11/((1/1000)*(up_Irr!S11+up_Irr!AQ11+up_Irr!BO11)),IF(AND(up_Irr!S11&lt;&gt;".",up_Irr!AQ11&lt;&gt;".",up_Irr!BO11="."),up_dir!T11/((1/1000)*(up_Irr!S11+up_Irr!AQ11)),IF(AND(up_Irr!S11&lt;&gt;".",up_Irr!AQ11=".",up_Irr!BO11&lt;&gt;"."),up_dir!T11/((1/1000)*(up_Irr!S11+up_Irr!BO11)),IF(AND(up_Irr!S11=".",up_Irr!AQ11&lt;&gt;".",up_Irr!BO11&lt;&gt;"."),up_dir!T11/((1/1000)*(up_Irr!AQ11+up_Irr!BO11)),IF(AND(up_Irr!S11=".",up_Irr!AQ11=".",up_Irr!BO11&lt;&gt;"."),up_dir!T11/((1/1000)*(up_Irr!BO11)),IF(AND(up_Irr!S11=".",up_Irr!AQ11&lt;&gt;".",up_Irr!BO11="."),up_dir!T11/((1/1000)*(up_Irr!AQ11)),IF(AND(up_Irr!S11&lt;&gt;".",up_Irr!AQ11=".",up_Irr!BO11="."),up_dir!T11/((1/1000)*(up_Irr!S11)),IF(AND(up_Irr!S11=".",up_Irr!AQ11=".",up_Irr!BO11="."),up_dir!T11*1000)))))))),".")</f>
        <v>6.5773651144152131E-4</v>
      </c>
      <c r="U11" s="48">
        <f>IFERROR(IF(AND(up_Irr!T11&lt;&gt;".",up_Irr!AR11&lt;&gt;".",up_Irr!BP11&lt;&gt;"."),up_dir!U11/((1/1000)*(up_Irr!T11+up_Irr!AR11+up_Irr!BP11)),IF(AND(up_Irr!T11&lt;&gt;".",up_Irr!AR11&lt;&gt;".",up_Irr!BP11="."),up_dir!U11/((1/1000)*(up_Irr!T11+up_Irr!AR11)),IF(AND(up_Irr!T11&lt;&gt;".",up_Irr!AR11=".",up_Irr!BP11&lt;&gt;"."),up_dir!U11/((1/1000)*(up_Irr!T11+up_Irr!BP11)),IF(AND(up_Irr!T11=".",up_Irr!AR11&lt;&gt;".",up_Irr!BP11&lt;&gt;"."),up_dir!U11/((1/1000)*(up_Irr!AR11+up_Irr!BP11)),IF(AND(up_Irr!T11=".",up_Irr!AR11=".",up_Irr!BP11&lt;&gt;"."),up_dir!U11/((1/1000)*(up_Irr!BP11)),IF(AND(up_Irr!T11=".",up_Irr!AR11&lt;&gt;".",up_Irr!BP11="."),up_dir!U11/((1/1000)*(up_Irr!AR11)),IF(AND(up_Irr!T11&lt;&gt;".",up_Irr!AR11=".",up_Irr!BP11="."),up_dir!U11/((1/1000)*(up_Irr!T11)),IF(AND(up_Irr!T11=".",up_Irr!AR11=".",up_Irr!BP11="."),up_dir!U11*1000)))))))),".")</f>
        <v>6.5773651144152131E-4</v>
      </c>
      <c r="V11" s="48">
        <f>IFERROR(IF(AND(up_Irr!U11&lt;&gt;".",up_Irr!AS11&lt;&gt;".",up_Irr!BQ11&lt;&gt;"."),up_dir!V11/((1/1000)*(up_Irr!U11+up_Irr!AS11+up_Irr!BQ11)),IF(AND(up_Irr!U11&lt;&gt;".",up_Irr!AS11&lt;&gt;".",up_Irr!BQ11="."),up_dir!V11/((1/1000)*(up_Irr!U11+up_Irr!AS11)),IF(AND(up_Irr!U11&lt;&gt;".",up_Irr!AS11=".",up_Irr!BQ11&lt;&gt;"."),up_dir!V11/((1/1000)*(up_Irr!U11+up_Irr!BQ11)),IF(AND(up_Irr!U11=".",up_Irr!AS11&lt;&gt;".",up_Irr!BQ11&lt;&gt;"."),up_dir!V11/((1/1000)*(up_Irr!AS11+up_Irr!BQ11)),IF(AND(up_Irr!U11=".",up_Irr!AS11=".",up_Irr!BQ11&lt;&gt;"."),up_dir!V11/((1/1000)*(up_Irr!BQ11)),IF(AND(up_Irr!U11=".",up_Irr!AS11&lt;&gt;".",up_Irr!BQ11="."),up_dir!V11/((1/1000)*(up_Irr!AS11)),IF(AND(up_Irr!U11&lt;&gt;".",up_Irr!AS11=".",up_Irr!BQ11="."),up_dir!V11/((1/1000)*(up_Irr!U11)),IF(AND(up_Irr!U11=".",up_Irr!AS11=".",up_Irr!BQ11="."),up_dir!V11*1000)))))))),".")</f>
        <v>6.5773651144152131E-4</v>
      </c>
      <c r="W11" s="48">
        <f>IFERROR(IF(AND(up_Irr!V11&lt;&gt;".",up_Irr!AT11&lt;&gt;".",up_Irr!BR11&lt;&gt;"."),up_dir!W11/((1/1000)*(up_Irr!V11+up_Irr!AT11+up_Irr!BR11)),IF(AND(up_Irr!V11&lt;&gt;".",up_Irr!AT11&lt;&gt;".",up_Irr!BR11="."),up_dir!W11/((1/1000)*(up_Irr!V11+up_Irr!AT11)),IF(AND(up_Irr!V11&lt;&gt;".",up_Irr!AT11=".",up_Irr!BR11&lt;&gt;"."),up_dir!W11/((1/1000)*(up_Irr!V11+up_Irr!BR11)),IF(AND(up_Irr!V11=".",up_Irr!AT11&lt;&gt;".",up_Irr!BR11&lt;&gt;"."),up_dir!W11/((1/1000)*(up_Irr!AT11+up_Irr!BR11)),IF(AND(up_Irr!V11=".",up_Irr!AT11=".",up_Irr!BR11&lt;&gt;"."),up_dir!W11/((1/1000)*(up_Irr!BR11)),IF(AND(up_Irr!V11=".",up_Irr!AT11&lt;&gt;".",up_Irr!BR11="."),up_dir!W11/((1/1000)*(up_Irr!AT11)),IF(AND(up_Irr!V11&lt;&gt;".",up_Irr!AT11=".",up_Irr!BR11="."),up_dir!W11/((1/1000)*(up_Irr!V11)),IF(AND(up_Irr!V11=".",up_Irr!AT11=".",up_Irr!BR11="."),up_dir!W11*1000)))))))),".")</f>
        <v>6.5773651144152131E-4</v>
      </c>
      <c r="X11" s="48">
        <f>IFERROR(IF(AND(up_Irr!W11&lt;&gt;".",up_Irr!AU11&lt;&gt;".",up_Irr!BS11&lt;&gt;"."),up_dir!X11/((1/1000)*(up_Irr!W11+up_Irr!AU11+up_Irr!BS11)),IF(AND(up_Irr!W11&lt;&gt;".",up_Irr!AU11&lt;&gt;".",up_Irr!BS11="."),up_dir!X11/((1/1000)*(up_Irr!W11+up_Irr!AU11)),IF(AND(up_Irr!W11&lt;&gt;".",up_Irr!AU11=".",up_Irr!BS11&lt;&gt;"."),up_dir!X11/((1/1000)*(up_Irr!W11+up_Irr!BS11)),IF(AND(up_Irr!W11=".",up_Irr!AU11&lt;&gt;".",up_Irr!BS11&lt;&gt;"."),up_dir!X11/((1/1000)*(up_Irr!AU11+up_Irr!BS11)),IF(AND(up_Irr!W11=".",up_Irr!AU11=".",up_Irr!BS11&lt;&gt;"."),up_dir!X11/((1/1000)*(up_Irr!BS11)),IF(AND(up_Irr!W11=".",up_Irr!AU11&lt;&gt;".",up_Irr!BS11="."),up_dir!X11/((1/1000)*(up_Irr!AU11)),IF(AND(up_Irr!W11&lt;&gt;".",up_Irr!AU11=".",up_Irr!BS11="."),up_dir!X11/((1/1000)*(up_Irr!W11)),IF(AND(up_Irr!W11=".",up_Irr!AU11=".",up_Irr!BS11="."),up_dir!X11*1000)))))))),".")</f>
        <v>6.5773651144152131E-4</v>
      </c>
      <c r="Y11" s="48">
        <f>IFERROR(IF(AND(up_Irr!X11&lt;&gt;".",up_Irr!AV11&lt;&gt;".",up_Irr!BT11&lt;&gt;"."),up_dir!Y11/((1/1000)*(up_Irr!X11+up_Irr!AV11+up_Irr!BT11)),IF(AND(up_Irr!X11&lt;&gt;".",up_Irr!AV11&lt;&gt;".",up_Irr!BT11="."),up_dir!Y11/((1/1000)*(up_Irr!X11+up_Irr!AV11)),IF(AND(up_Irr!X11&lt;&gt;".",up_Irr!AV11=".",up_Irr!BT11&lt;&gt;"."),up_dir!Y11/((1/1000)*(up_Irr!X11+up_Irr!BT11)),IF(AND(up_Irr!X11=".",up_Irr!AV11&lt;&gt;".",up_Irr!BT11&lt;&gt;"."),up_dir!Y11/((1/1000)*(up_Irr!AV11+up_Irr!BT11)),IF(AND(up_Irr!X11=".",up_Irr!AV11=".",up_Irr!BT11&lt;&gt;"."),up_dir!Y11/((1/1000)*(up_Irr!BT11)),IF(AND(up_Irr!X11=".",up_Irr!AV11&lt;&gt;".",up_Irr!BT11="."),up_dir!Y11/((1/1000)*(up_Irr!AV11)),IF(AND(up_Irr!X11&lt;&gt;".",up_Irr!AV11=".",up_Irr!BT11="."),up_dir!Y11/((1/1000)*(up_Irr!X11)),IF(AND(up_Irr!X11=".",up_Irr!AV11=".",up_Irr!BT11="."),up_dir!Y11*1000)))))))),".")</f>
        <v>6.5773651144152131E-4</v>
      </c>
      <c r="Z11" s="48">
        <f>IFERROR(IF(AND(up_Irr!Y11&lt;&gt;".",up_Irr!AW11&lt;&gt;".",up_Irr!BU11&lt;&gt;"."),up_dir!Z11/((1/1000)*(up_Irr!Y11+up_Irr!AW11+up_Irr!BU11)),IF(AND(up_Irr!Y11&lt;&gt;".",up_Irr!AW11&lt;&gt;".",up_Irr!BU11="."),up_dir!Z11/((1/1000)*(up_Irr!Y11+up_Irr!AW11)),IF(AND(up_Irr!Y11&lt;&gt;".",up_Irr!AW11=".",up_Irr!BU11&lt;&gt;"."),up_dir!Z11/((1/1000)*(up_Irr!Y11+up_Irr!BU11)),IF(AND(up_Irr!Y11=".",up_Irr!AW11&lt;&gt;".",up_Irr!BU11&lt;&gt;"."),up_dir!Z11/((1/1000)*(up_Irr!AW11+up_Irr!BU11)),IF(AND(up_Irr!Y11=".",up_Irr!AW11=".",up_Irr!BU11&lt;&gt;"."),up_dir!Z11/((1/1000)*(up_Irr!BU11)),IF(AND(up_Irr!Y11=".",up_Irr!AW11&lt;&gt;".",up_Irr!BU11="."),up_dir!Z11/((1/1000)*(up_Irr!AW11)),IF(AND(up_Irr!Y11&lt;&gt;".",up_Irr!AW11=".",up_Irr!BU11="."),up_dir!Z11/((1/1000)*(up_Irr!Y11)),IF(AND(up_Irr!Y11=".",up_Irr!AW11=".",up_Irr!BU11="."),up_dir!Z11*1000)))))))),".")</f>
        <v>6.5773651144152131E-4</v>
      </c>
      <c r="AA11" s="48">
        <f>IFERROR(IF(AND(up_Irr!Z11&lt;&gt;".",up_Irr!AX11&lt;&gt;".",up_Irr!BV11&lt;&gt;"."),up_dir!AA11/((1/1000)*(up_Irr!Z11+up_Irr!AX11+up_Irr!BV11)),IF(AND(up_Irr!Z11&lt;&gt;".",up_Irr!AX11&lt;&gt;".",up_Irr!BV11="."),up_dir!AA11/((1/1000)*(up_Irr!Z11+up_Irr!AX11)),IF(AND(up_Irr!Z11&lt;&gt;".",up_Irr!AX11=".",up_Irr!BV11&lt;&gt;"."),up_dir!AA11/((1/1000)*(up_Irr!Z11+up_Irr!BV11)),IF(AND(up_Irr!Z11=".",up_Irr!AX11&lt;&gt;".",up_Irr!BV11&lt;&gt;"."),up_dir!AA11/((1/1000)*(up_Irr!AX11+up_Irr!BV11)),IF(AND(up_Irr!Z11=".",up_Irr!AX11=".",up_Irr!BV11&lt;&gt;"."),up_dir!AA11/((1/1000)*(up_Irr!BV11)),IF(AND(up_Irr!Z11=".",up_Irr!AX11&lt;&gt;".",up_Irr!BV11="."),up_dir!AA11/((1/1000)*(up_Irr!AX11)),IF(AND(up_Irr!Z11&lt;&gt;".",up_Irr!AX11=".",up_Irr!BV11="."),up_dir!AA11/((1/1000)*(up_Irr!Z11)),IF(AND(up_Irr!Z11=".",up_Irr!AX11=".",up_Irr!BV11="."),up_dir!AA11*1000)))))))),".")</f>
        <v>6.5773651144152131E-4</v>
      </c>
      <c r="AB11" s="62">
        <f t="shared" si="1"/>
        <v>22805.4847785862</v>
      </c>
      <c r="AC11" s="62">
        <f>IFERROR(s_C*s_IFAP_res_adj*s_CF_apple*0.001*(up_Irr!C11+up_Irr!AA11+up_Irr!AY11),".")</f>
        <v>7601.8282595287337</v>
      </c>
      <c r="AD11" s="62">
        <f>IFERROR(s_C*s_IFAS_res_adj*s_CF_asparagus*0.001*(up_Irr!D11+up_Irr!AB11+up_Irr!AZ11),".")</f>
        <v>7601.8282595287337</v>
      </c>
      <c r="AE11" s="62">
        <f>IFERROR(s_C*s_IFBT_res_adj*s_CF_beet*0.001*(up_Irr!E11+up_Irr!AC11+up_Irr!BA11),".")</f>
        <v>7601.8282595287337</v>
      </c>
      <c r="AF11" s="62">
        <f>IFERROR(s_C*s_IFBE_res_adj*s_CF_berries*0.001*(up_Irr!F11+up_Irr!AD11+up_Irr!BB11),".")</f>
        <v>7601.8282595287337</v>
      </c>
      <c r="AG11" s="62">
        <f>IFERROR(s_C*s_IFBR_res_adj*s_CF_broccoli*0.001*(up_Irr!G11+up_Irr!AE11+up_Irr!BC11),".")</f>
        <v>7601.8282595287337</v>
      </c>
      <c r="AH11" s="62">
        <f>IFERROR(s_C*s_IFCB_res_adj*s_CF_cabbage*0.001*(up_Irr!H11+up_Irr!AF11+up_Irr!BD11),".")</f>
        <v>7601.8282595287337</v>
      </c>
      <c r="AI11" s="62">
        <f>IFERROR(s_C*s_IFCR_res_adj*s_CF_carrot*0.001*(up_Irr!I11+up_Irr!AG11+up_Irr!BE11),".")</f>
        <v>7601.8282595287337</v>
      </c>
      <c r="AJ11" s="62">
        <f>IFERROR(s_C*s_IFCI_res_adj*s_CF_citrus*0.001*(up_Irr!J11+up_Irr!AH11+up_Irr!BF11),".")</f>
        <v>7601.8282595287337</v>
      </c>
      <c r="AK11" s="62">
        <f>IFERROR(s_C*s_IFCO_res_adj*s_CF_corn*0.001*(up_Irr!K11+up_Irr!AI11+up_Irr!BG11),".")</f>
        <v>7601.8282595287337</v>
      </c>
      <c r="AL11" s="62">
        <f>IFERROR(s_C*s_IFCU_res_adj*s_CF_cucumber*0.001*(up_Irr!L11+up_Irr!AJ11+up_Irr!BH11),".")</f>
        <v>7601.8282595287337</v>
      </c>
      <c r="AM11" s="62">
        <f>IFERROR(s_C*s_IFLE_res_adj*s_CF_lettuce*0.001*(up_Irr!M11+up_Irr!AK11+up_Irr!BI11),".")</f>
        <v>7601.8282595287337</v>
      </c>
      <c r="AN11" s="62">
        <f>IFERROR(s_C*s_IFLI_res_adj*s_CF_lima_bean*0.001*(up_Irr!N11+up_Irr!AL11+up_Irr!BJ11),".")</f>
        <v>7601.8282595287337</v>
      </c>
      <c r="AO11" s="62">
        <f>IFERROR(s_C*s_IFOK_res_adj*s_CF_okra*0.001*(up_Irr!O11+up_Irr!AM11+up_Irr!BK11),".")</f>
        <v>7601.8282595287337</v>
      </c>
      <c r="AP11" s="62">
        <f>IFERROR(s_C*s_IFON_res_adj*s_CF_onion*0.001*(up_Irr!P11+up_Irr!AN11+up_Irr!BL11),".")</f>
        <v>7601.8282595287337</v>
      </c>
      <c r="AQ11" s="62">
        <f>IFERROR(s_C*s_IFPC_res_adj*s_CF_peach*0.001*(up_Irr!Q11+up_Irr!AO11+up_Irr!BM11),".")</f>
        <v>7601.8282595287337</v>
      </c>
      <c r="AR11" s="62">
        <f>IFERROR(s_C*s_IFPR_res_adj*s_CF_pear*0.001*(up_Irr!R11+up_Irr!AP11+up_Irr!BN11),".")</f>
        <v>7601.8282595287337</v>
      </c>
      <c r="AS11" s="62">
        <f>IFERROR(s_C*s_IFPE_res_adj*s_CF_peas*0.001*(up_Irr!S11+up_Irr!AQ11+up_Irr!BO11),".")</f>
        <v>7601.8282595287337</v>
      </c>
      <c r="AT11" s="62">
        <f>IFERROR(s_C*s_IFPT_res_adj*s_CF_potato*0.001*(up_Irr!T11+up_Irr!AR11+up_Irr!BP11),".")</f>
        <v>7601.8282595287337</v>
      </c>
      <c r="AU11" s="62">
        <f>IFERROR(s_C*s_IFPU_res_adj*s_CF_pumpkin*0.001*(up_Irr!U11+up_Irr!AS11+up_Irr!BQ11),".")</f>
        <v>7601.8282595287337</v>
      </c>
      <c r="AV11" s="62">
        <f>IFERROR(s_C*s_IFSN_res_adj*s_CF_snap_bean*0.001*(up_Irr!V11+up_Irr!AT11+up_Irr!BR11),".")</f>
        <v>7601.8282595287337</v>
      </c>
      <c r="AW11" s="62">
        <f>IFERROR(s_C*s_IFST_res_adj*s_CF_strawberry*0.001*(up_Irr!W11+up_Irr!AU11+up_Irr!BS11),".")</f>
        <v>7601.8282595287337</v>
      </c>
      <c r="AX11" s="62">
        <f>IFERROR(s_C*s_IFTO_res_adj*s_CF_tomato*0.001*(up_Irr!X11+up_Irr!AV11+up_Irr!BT11),".")</f>
        <v>7601.8282595287337</v>
      </c>
      <c r="AY11" s="62">
        <f>IFERROR(s_C*s_IFRI_res_adj*s_CF_rice*0.001*(up_Irr!Y11+up_Irr!AW11+up_Irr!BU11),".")</f>
        <v>7601.8282595287337</v>
      </c>
      <c r="AZ11" s="62">
        <f>IFERROR(s_C*s_IFCG_res_adj*s_CF_cereal*0.001*(up_Irr!Z11+up_Irr!AX11+up_Irr!BV11),".")</f>
        <v>7601.8282595287337</v>
      </c>
      <c r="BA11" s="48">
        <f t="shared" si="2"/>
        <v>2.1924550381384044E-4</v>
      </c>
      <c r="BB11" s="48">
        <f>IFERROR(IF(AND(up_Irr!C11&lt;&gt;".",up_Irr!AA11&lt;&gt;".",up_Irr!AY11&lt;&gt;"."),up_dir!AC11/((1/1000)*(up_Irr!C11+up_Irr!AA11+up_Irr!AY11)),IF(AND(up_Irr!C11&lt;&gt;".",up_Irr!AA11&lt;&gt;".",up_Irr!AY11="."),up_dir!AC11/((1/1000)*(up_Irr!C11+up_Irr!AA11)),IF(AND(up_Irr!C11&lt;&gt;".",up_Irr!AA11=".",up_Irr!AY11&lt;&gt;"."),up_dir!AC11/((1/1000)*(up_Irr!C11+up_Irr!AY11)),IF(AND(up_Irr!C11=".",up_Irr!AA11&lt;&gt;".",up_Irr!AY11&lt;&gt;"."),up_dir!AC11/((1/1000)*(up_Irr!AA11+up_Irr!AY11)),IF(AND(up_Irr!C11=".",up_Irr!AA11=".",up_Irr!AY11&lt;&gt;"."),up_dir!AC11/((1/1000)*(up_Irr!AY11)),IF(AND(up_Irr!C11=".",up_Irr!AA11&lt;&gt;".",up_Irr!AY11="."),up_dir!AC11/((1/1000)*(up_Irr!AA11)),IF(AND(up_Irr!C11&lt;&gt;".",up_Irr!AA11=".",up_Irr!AY11="."),up_dir!AC11/((1/1000)*(up_Irr!C11)),IF(AND(up_Irr!C11=".",up_Irr!AA11=".",up_Irr!AY11="."),up_dir!AC11*1000)))))))),".")</f>
        <v>6.5773651144152131E-4</v>
      </c>
      <c r="BC11" s="48">
        <f>IFERROR(IF(AND(up_Irr!D11&lt;&gt;".",up_Irr!AB11&lt;&gt;".",up_Irr!AZ11&lt;&gt;"."),up_dir!AD11/((1/1000)*(up_Irr!D11+up_Irr!AB11+up_Irr!AZ11)),IF(AND(up_Irr!D11&lt;&gt;".",up_Irr!AB11&lt;&gt;".",up_Irr!AZ11="."),up_dir!AD11/((1/1000)*(up_Irr!D11+up_Irr!AB11)),IF(AND(up_Irr!D11&lt;&gt;".",up_Irr!AB11=".",up_Irr!AZ11&lt;&gt;"."),up_dir!AD11/((1/1000)*(up_Irr!D11+up_Irr!AZ11)),IF(AND(up_Irr!D11=".",up_Irr!AB11&lt;&gt;".",up_Irr!AZ11&lt;&gt;"."),up_dir!AD11/((1/1000)*(up_Irr!AB11+up_Irr!AZ11)),IF(AND(up_Irr!D11=".",up_Irr!AB11=".",up_Irr!AZ11&lt;&gt;"."),up_dir!AD11/((1/1000)*(up_Irr!AZ11)),IF(AND(up_Irr!D11=".",up_Irr!AB11&lt;&gt;".",up_Irr!AZ11="."),up_dir!AD11/((1/1000)*(up_Irr!AB11)),IF(AND(up_Irr!D11&lt;&gt;".",up_Irr!AB11=".",up_Irr!AZ11="."),up_dir!AD11/((1/1000)*(up_Irr!D11)),IF(AND(up_Irr!D11=".",up_Irr!AB11=".",up_Irr!AZ11="."),up_dir!AD11*1000)))))))),".")</f>
        <v>6.5773651144152131E-4</v>
      </c>
      <c r="BD11" s="48">
        <f>IFERROR(IF(AND(up_Irr!E11&lt;&gt;".",up_Irr!AC11&lt;&gt;".",up_Irr!BA11&lt;&gt;"."),up_dir!AE11/((1/1000)*(up_Irr!E11+up_Irr!AC11+up_Irr!BA11)),IF(AND(up_Irr!E11&lt;&gt;".",up_Irr!AC11&lt;&gt;".",up_Irr!BA11="."),up_dir!AE11/((1/1000)*(up_Irr!E11+up_Irr!AC11)),IF(AND(up_Irr!E11&lt;&gt;".",up_Irr!AC11=".",up_Irr!BA11&lt;&gt;"."),up_dir!AE11/((1/1000)*(up_Irr!E11+up_Irr!BA11)),IF(AND(up_Irr!E11=".",up_Irr!AC11&lt;&gt;".",up_Irr!BA11&lt;&gt;"."),up_dir!AE11/((1/1000)*(up_Irr!AC11+up_Irr!BA11)),IF(AND(up_Irr!E11=".",up_Irr!AC11=".",up_Irr!BA11&lt;&gt;"."),up_dir!AE11/((1/1000)*(up_Irr!BA11)),IF(AND(up_Irr!E11=".",up_Irr!AC11&lt;&gt;".",up_Irr!BA11="."),up_dir!AE11/((1/1000)*(up_Irr!AC11)),IF(AND(up_Irr!E11&lt;&gt;".",up_Irr!AC11=".",up_Irr!BA11="."),up_dir!AE11/((1/1000)*(up_Irr!E11)),IF(AND(up_Irr!E11=".",up_Irr!AC11=".",up_Irr!BA11="."),up_dir!AE11*1000)))))))),".")</f>
        <v>6.5773651144152131E-4</v>
      </c>
      <c r="BE11" s="48">
        <f>IFERROR(IF(AND(up_Irr!F11&lt;&gt;".",up_Irr!AD11&lt;&gt;".",up_Irr!BB11&lt;&gt;"."),up_dir!AF11/((1/1000)*(up_Irr!F11+up_Irr!AD11+up_Irr!BB11)),IF(AND(up_Irr!F11&lt;&gt;".",up_Irr!AD11&lt;&gt;".",up_Irr!BB11="."),up_dir!AF11/((1/1000)*(up_Irr!F11+up_Irr!AD11)),IF(AND(up_Irr!F11&lt;&gt;".",up_Irr!AD11=".",up_Irr!BB11&lt;&gt;"."),up_dir!AF11/((1/1000)*(up_Irr!F11+up_Irr!BB11)),IF(AND(up_Irr!F11=".",up_Irr!AD11&lt;&gt;".",up_Irr!BB11&lt;&gt;"."),up_dir!AF11/((1/1000)*(up_Irr!AD11+up_Irr!BB11)),IF(AND(up_Irr!F11=".",up_Irr!AD11=".",up_Irr!BB11&lt;&gt;"."),up_dir!AF11/((1/1000)*(up_Irr!BB11)),IF(AND(up_Irr!F11=".",up_Irr!AD11&lt;&gt;".",up_Irr!BB11="."),up_dir!AF11/((1/1000)*(up_Irr!AD11)),IF(AND(up_Irr!F11&lt;&gt;".",up_Irr!AD11=".",up_Irr!BB11="."),up_dir!AF11/((1/1000)*(up_Irr!F11)),IF(AND(up_Irr!F11=".",up_Irr!AD11=".",up_Irr!BB11="."),up_dir!AF11*1000)))))))),".")</f>
        <v>6.5773651144152131E-4</v>
      </c>
      <c r="BF11" s="48">
        <f>IFERROR(IF(AND(up_Irr!G11&lt;&gt;".",up_Irr!AE11&lt;&gt;".",up_Irr!BC11&lt;&gt;"."),up_dir!AG11/((1/1000)*(up_Irr!G11+up_Irr!AE11+up_Irr!BC11)),IF(AND(up_Irr!G11&lt;&gt;".",up_Irr!AE11&lt;&gt;".",up_Irr!BC11="."),up_dir!AG11/((1/1000)*(up_Irr!G11+up_Irr!AE11)),IF(AND(up_Irr!G11&lt;&gt;".",up_Irr!AE11=".",up_Irr!BC11&lt;&gt;"."),up_dir!AG11/((1/1000)*(up_Irr!G11+up_Irr!BC11)),IF(AND(up_Irr!G11=".",up_Irr!AE11&lt;&gt;".",up_Irr!BC11&lt;&gt;"."),up_dir!AG11/((1/1000)*(up_Irr!AE11+up_Irr!BC11)),IF(AND(up_Irr!G11=".",up_Irr!AE11=".",up_Irr!BC11&lt;&gt;"."),up_dir!AG11/((1/1000)*(up_Irr!BC11)),IF(AND(up_Irr!G11=".",up_Irr!AE11&lt;&gt;".",up_Irr!BC11="."),up_dir!AG11/((1/1000)*(up_Irr!AE11)),IF(AND(up_Irr!G11&lt;&gt;".",up_Irr!AE11=".",up_Irr!BC11="."),up_dir!AG11/((1/1000)*(up_Irr!G11)),IF(AND(up_Irr!G11=".",up_Irr!AE11=".",up_Irr!BC11="."),up_dir!AG11*1000)))))))),".")</f>
        <v>6.5773651144152131E-4</v>
      </c>
      <c r="BG11" s="48">
        <f>IFERROR(IF(AND(up_Irr!H11&lt;&gt;".",up_Irr!AF11&lt;&gt;".",up_Irr!BD11&lt;&gt;"."),up_dir!AH11/((1/1000)*(up_Irr!H11+up_Irr!AF11+up_Irr!BD11)),IF(AND(up_Irr!H11&lt;&gt;".",up_Irr!AF11&lt;&gt;".",up_Irr!BD11="."),up_dir!AH11/((1/1000)*(up_Irr!H11+up_Irr!AF11)),IF(AND(up_Irr!H11&lt;&gt;".",up_Irr!AF11=".",up_Irr!BD11&lt;&gt;"."),up_dir!AH11/((1/1000)*(up_Irr!H11+up_Irr!BD11)),IF(AND(up_Irr!H11=".",up_Irr!AF11&lt;&gt;".",up_Irr!BD11&lt;&gt;"."),up_dir!AH11/((1/1000)*(up_Irr!AF11+up_Irr!BD11)),IF(AND(up_Irr!H11=".",up_Irr!AF11=".",up_Irr!BD11&lt;&gt;"."),up_dir!AH11/((1/1000)*(up_Irr!BD11)),IF(AND(up_Irr!H11=".",up_Irr!AF11&lt;&gt;".",up_Irr!BD11="."),up_dir!AH11/((1/1000)*(up_Irr!AF11)),IF(AND(up_Irr!H11&lt;&gt;".",up_Irr!AF11=".",up_Irr!BD11="."),up_dir!AH11/((1/1000)*(up_Irr!H11)),IF(AND(up_Irr!H11=".",up_Irr!AF11=".",up_Irr!BD11="."),up_dir!AH11*1000)))))))),".")</f>
        <v>6.5773651144152131E-4</v>
      </c>
      <c r="BH11" s="48">
        <f>IFERROR(IF(AND(up_Irr!I11&lt;&gt;".",up_Irr!AG11&lt;&gt;".",up_Irr!BE11&lt;&gt;"."),up_dir!AI11/((1/1000)*(up_Irr!I11+up_Irr!AG11+up_Irr!BE11)),IF(AND(up_Irr!I11&lt;&gt;".",up_Irr!AG11&lt;&gt;".",up_Irr!BE11="."),up_dir!AI11/((1/1000)*(up_Irr!I11+up_Irr!AG11)),IF(AND(up_Irr!I11&lt;&gt;".",up_Irr!AG11=".",up_Irr!BE11&lt;&gt;"."),up_dir!AI11/((1/1000)*(up_Irr!I11+up_Irr!BE11)),IF(AND(up_Irr!I11=".",up_Irr!AG11&lt;&gt;".",up_Irr!BE11&lt;&gt;"."),up_dir!AI11/((1/1000)*(up_Irr!AG11+up_Irr!BE11)),IF(AND(up_Irr!I11=".",up_Irr!AG11=".",up_Irr!BE11&lt;&gt;"."),up_dir!AI11/((1/1000)*(up_Irr!BE11)),IF(AND(up_Irr!I11=".",up_Irr!AG11&lt;&gt;".",up_Irr!BE11="."),up_dir!AI11/((1/1000)*(up_Irr!AG11)),IF(AND(up_Irr!I11&lt;&gt;".",up_Irr!AG11=".",up_Irr!BE11="."),up_dir!AI11/((1/1000)*(up_Irr!I11)),IF(AND(up_Irr!I11=".",up_Irr!AG11=".",up_Irr!BE11="."),up_dir!AI11*1000)))))))),".")</f>
        <v>6.5773651144152131E-4</v>
      </c>
      <c r="BI11" s="48">
        <f>IFERROR(IF(AND(up_Irr!J11&lt;&gt;".",up_Irr!AH11&lt;&gt;".",up_Irr!BF11&lt;&gt;"."),up_dir!AJ11/((1/1000)*(up_Irr!J11+up_Irr!AH11+up_Irr!BF11)),IF(AND(up_Irr!J11&lt;&gt;".",up_Irr!AH11&lt;&gt;".",up_Irr!BF11="."),up_dir!AJ11/((1/1000)*(up_Irr!J11+up_Irr!AH11)),IF(AND(up_Irr!J11&lt;&gt;".",up_Irr!AH11=".",up_Irr!BF11&lt;&gt;"."),up_dir!AJ11/((1/1000)*(up_Irr!J11+up_Irr!BF11)),IF(AND(up_Irr!J11=".",up_Irr!AH11&lt;&gt;".",up_Irr!BF11&lt;&gt;"."),up_dir!AJ11/((1/1000)*(up_Irr!AH11+up_Irr!BF11)),IF(AND(up_Irr!J11=".",up_Irr!AH11=".",up_Irr!BF11&lt;&gt;"."),up_dir!AJ11/((1/1000)*(up_Irr!BF11)),IF(AND(up_Irr!J11=".",up_Irr!AH11&lt;&gt;".",up_Irr!BF11="."),up_dir!AJ11/((1/1000)*(up_Irr!AH11)),IF(AND(up_Irr!J11&lt;&gt;".",up_Irr!AH11=".",up_Irr!BF11="."),up_dir!AJ11/((1/1000)*(up_Irr!J11)),IF(AND(up_Irr!J11=".",up_Irr!AH11=".",up_Irr!BF11="."),up_dir!AJ11*1000)))))))),".")</f>
        <v>6.5773651144152131E-4</v>
      </c>
      <c r="BJ11" s="48">
        <f>IFERROR(IF(AND(up_Irr!K11&lt;&gt;".",up_Irr!AI11&lt;&gt;".",up_Irr!BG11&lt;&gt;"."),up_dir!AK11/((1/1000)*(up_Irr!K11+up_Irr!AI11+up_Irr!BG11)),IF(AND(up_Irr!K11&lt;&gt;".",up_Irr!AI11&lt;&gt;".",up_Irr!BG11="."),up_dir!AK11/((1/1000)*(up_Irr!K11+up_Irr!AI11)),IF(AND(up_Irr!K11&lt;&gt;".",up_Irr!AI11=".",up_Irr!BG11&lt;&gt;"."),up_dir!AK11/((1/1000)*(up_Irr!K11+up_Irr!BG11)),IF(AND(up_Irr!K11=".",up_Irr!AI11&lt;&gt;".",up_Irr!BG11&lt;&gt;"."),up_dir!AK11/((1/1000)*(up_Irr!AI11+up_Irr!BG11)),IF(AND(up_Irr!K11=".",up_Irr!AI11=".",up_Irr!BG11&lt;&gt;"."),up_dir!AK11/((1/1000)*(up_Irr!BG11)),IF(AND(up_Irr!K11=".",up_Irr!AI11&lt;&gt;".",up_Irr!BG11="."),up_dir!AK11/((1/1000)*(up_Irr!AI11)),IF(AND(up_Irr!K11&lt;&gt;".",up_Irr!AI11=".",up_Irr!BG11="."),up_dir!AK11/((1/1000)*(up_Irr!K11)),IF(AND(up_Irr!K11=".",up_Irr!AI11=".",up_Irr!BG11="."),up_dir!AK11*1000)))))))),".")</f>
        <v>6.5773651144152131E-4</v>
      </c>
      <c r="BK11" s="48">
        <f>IFERROR(IF(AND(up_Irr!L11&lt;&gt;".",up_Irr!AJ11&lt;&gt;".",up_Irr!BH11&lt;&gt;"."),up_dir!AL11/((1/1000)*(up_Irr!L11+up_Irr!AJ11+up_Irr!BH11)),IF(AND(up_Irr!L11&lt;&gt;".",up_Irr!AJ11&lt;&gt;".",up_Irr!BH11="."),up_dir!AL11/((1/1000)*(up_Irr!L11+up_Irr!AJ11)),IF(AND(up_Irr!L11&lt;&gt;".",up_Irr!AJ11=".",up_Irr!BH11&lt;&gt;"."),up_dir!AL11/((1/1000)*(up_Irr!L11+up_Irr!BH11)),IF(AND(up_Irr!L11=".",up_Irr!AJ11&lt;&gt;".",up_Irr!BH11&lt;&gt;"."),up_dir!AL11/((1/1000)*(up_Irr!AJ11+up_Irr!BH11)),IF(AND(up_Irr!L11=".",up_Irr!AJ11=".",up_Irr!BH11&lt;&gt;"."),up_dir!AL11/((1/1000)*(up_Irr!BH11)),IF(AND(up_Irr!L11=".",up_Irr!AJ11&lt;&gt;".",up_Irr!BH11="."),up_dir!AL11/((1/1000)*(up_Irr!AJ11)),IF(AND(up_Irr!L11&lt;&gt;".",up_Irr!AJ11=".",up_Irr!BH11="."),up_dir!AL11/((1/1000)*(up_Irr!L11)),IF(AND(up_Irr!L11=".",up_Irr!AJ11=".",up_Irr!BH11="."),up_dir!AL11*1000)))))))),".")</f>
        <v>6.5773651144152131E-4</v>
      </c>
      <c r="BL11" s="48">
        <f>IFERROR(IF(AND(up_Irr!M11&lt;&gt;".",up_Irr!AK11&lt;&gt;".",up_Irr!BI11&lt;&gt;"."),up_dir!AM11/((1/1000)*(up_Irr!M11+up_Irr!AK11+up_Irr!BI11)),IF(AND(up_Irr!M11&lt;&gt;".",up_Irr!AK11&lt;&gt;".",up_Irr!BI11="."),up_dir!AM11/((1/1000)*(up_Irr!M11+up_Irr!AK11)),IF(AND(up_Irr!M11&lt;&gt;".",up_Irr!AK11=".",up_Irr!BI11&lt;&gt;"."),up_dir!AM11/((1/1000)*(up_Irr!M11+up_Irr!BI11)),IF(AND(up_Irr!M11=".",up_Irr!AK11&lt;&gt;".",up_Irr!BI11&lt;&gt;"."),up_dir!AM11/((1/1000)*(up_Irr!AK11+up_Irr!BI11)),IF(AND(up_Irr!M11=".",up_Irr!AK11=".",up_Irr!BI11&lt;&gt;"."),up_dir!AM11/((1/1000)*(up_Irr!BI11)),IF(AND(up_Irr!M11=".",up_Irr!AK11&lt;&gt;".",up_Irr!BI11="."),up_dir!AM11/((1/1000)*(up_Irr!AK11)),IF(AND(up_Irr!M11&lt;&gt;".",up_Irr!AK11=".",up_Irr!BI11="."),up_dir!AM11/((1/1000)*(up_Irr!M11)),IF(AND(up_Irr!M11=".",up_Irr!AK11=".",up_Irr!BI11="."),up_dir!AM11*1000)))))))),".")</f>
        <v>6.5773651144152131E-4</v>
      </c>
      <c r="BM11" s="48">
        <f>IFERROR(IF(AND(up_Irr!N11&lt;&gt;".",up_Irr!AL11&lt;&gt;".",up_Irr!BJ11&lt;&gt;"."),up_dir!AN11/((1/1000)*(up_Irr!N11+up_Irr!AL11+up_Irr!BJ11)),IF(AND(up_Irr!N11&lt;&gt;".",up_Irr!AL11&lt;&gt;".",up_Irr!BJ11="."),up_dir!AN11/((1/1000)*(up_Irr!N11+up_Irr!AL11)),IF(AND(up_Irr!N11&lt;&gt;".",up_Irr!AL11=".",up_Irr!BJ11&lt;&gt;"."),up_dir!AN11/((1/1000)*(up_Irr!N11+up_Irr!BJ11)),IF(AND(up_Irr!N11=".",up_Irr!AL11&lt;&gt;".",up_Irr!BJ11&lt;&gt;"."),up_dir!AN11/((1/1000)*(up_Irr!AL11+up_Irr!BJ11)),IF(AND(up_Irr!N11=".",up_Irr!AL11=".",up_Irr!BJ11&lt;&gt;"."),up_dir!AN11/((1/1000)*(up_Irr!BJ11)),IF(AND(up_Irr!N11=".",up_Irr!AL11&lt;&gt;".",up_Irr!BJ11="."),up_dir!AN11/((1/1000)*(up_Irr!AL11)),IF(AND(up_Irr!N11&lt;&gt;".",up_Irr!AL11=".",up_Irr!BJ11="."),up_dir!AN11/((1/1000)*(up_Irr!N11)),IF(AND(up_Irr!N11=".",up_Irr!AL11=".",up_Irr!BJ11="."),up_dir!AN11*1000)))))))),".")</f>
        <v>6.5773651144152131E-4</v>
      </c>
      <c r="BN11" s="48">
        <f>IFERROR(IF(AND(up_Irr!O11&lt;&gt;".",up_Irr!AM11&lt;&gt;".",up_Irr!BK11&lt;&gt;"."),up_dir!AO11/((1/1000)*(up_Irr!O11+up_Irr!AM11+up_Irr!BK11)),IF(AND(up_Irr!O11&lt;&gt;".",up_Irr!AM11&lt;&gt;".",up_Irr!BK11="."),up_dir!AO11/((1/1000)*(up_Irr!O11+up_Irr!AM11)),IF(AND(up_Irr!O11&lt;&gt;".",up_Irr!AM11=".",up_Irr!BK11&lt;&gt;"."),up_dir!AO11/((1/1000)*(up_Irr!O11+up_Irr!BK11)),IF(AND(up_Irr!O11=".",up_Irr!AM11&lt;&gt;".",up_Irr!BK11&lt;&gt;"."),up_dir!AO11/((1/1000)*(up_Irr!AM11+up_Irr!BK11)),IF(AND(up_Irr!O11=".",up_Irr!AM11=".",up_Irr!BK11&lt;&gt;"."),up_dir!AO11/((1/1000)*(up_Irr!BK11)),IF(AND(up_Irr!O11=".",up_Irr!AM11&lt;&gt;".",up_Irr!BK11="."),up_dir!AO11/((1/1000)*(up_Irr!AM11)),IF(AND(up_Irr!O11&lt;&gt;".",up_Irr!AM11=".",up_Irr!BK11="."),up_dir!AO11/((1/1000)*(up_Irr!O11)),IF(AND(up_Irr!O11=".",up_Irr!AM11=".",up_Irr!BK11="."),up_dir!AO11*1000)))))))),".")</f>
        <v>6.5773651144152131E-4</v>
      </c>
      <c r="BO11" s="48">
        <f>IFERROR(IF(AND(up_Irr!P11&lt;&gt;".",up_Irr!AN11&lt;&gt;".",up_Irr!BL11&lt;&gt;"."),up_dir!AP11/((1/1000)*(up_Irr!P11+up_Irr!AN11+up_Irr!BL11)),IF(AND(up_Irr!P11&lt;&gt;".",up_Irr!AN11&lt;&gt;".",up_Irr!BL11="."),up_dir!AP11/((1/1000)*(up_Irr!P11+up_Irr!AN11)),IF(AND(up_Irr!P11&lt;&gt;".",up_Irr!AN11=".",up_Irr!BL11&lt;&gt;"."),up_dir!AP11/((1/1000)*(up_Irr!P11+up_Irr!BL11)),IF(AND(up_Irr!P11=".",up_Irr!AN11&lt;&gt;".",up_Irr!BL11&lt;&gt;"."),up_dir!AP11/((1/1000)*(up_Irr!AN11+up_Irr!BL11)),IF(AND(up_Irr!P11=".",up_Irr!AN11=".",up_Irr!BL11&lt;&gt;"."),up_dir!AP11/((1/1000)*(up_Irr!BL11)),IF(AND(up_Irr!P11=".",up_Irr!AN11&lt;&gt;".",up_Irr!BL11="."),up_dir!AP11/((1/1000)*(up_Irr!AN11)),IF(AND(up_Irr!P11&lt;&gt;".",up_Irr!AN11=".",up_Irr!BL11="."),up_dir!AP11/((1/1000)*(up_Irr!P11)),IF(AND(up_Irr!P11=".",up_Irr!AN11=".",up_Irr!BL11="."),up_dir!AP11*1000)))))))),".")</f>
        <v>6.5773651144152131E-4</v>
      </c>
      <c r="BP11" s="48">
        <f>IFERROR(IF(AND(up_Irr!Q11&lt;&gt;".",up_Irr!AO11&lt;&gt;".",up_Irr!BM11&lt;&gt;"."),up_dir!AQ11/((1/1000)*(up_Irr!Q11+up_Irr!AO11+up_Irr!BM11)),IF(AND(up_Irr!Q11&lt;&gt;".",up_Irr!AO11&lt;&gt;".",up_Irr!BM11="."),up_dir!AQ11/((1/1000)*(up_Irr!Q11+up_Irr!AO11)),IF(AND(up_Irr!Q11&lt;&gt;".",up_Irr!AO11=".",up_Irr!BM11&lt;&gt;"."),up_dir!AQ11/((1/1000)*(up_Irr!Q11+up_Irr!BM11)),IF(AND(up_Irr!Q11=".",up_Irr!AO11&lt;&gt;".",up_Irr!BM11&lt;&gt;"."),up_dir!AQ11/((1/1000)*(up_Irr!AO11+up_Irr!BM11)),IF(AND(up_Irr!Q11=".",up_Irr!AO11=".",up_Irr!BM11&lt;&gt;"."),up_dir!AQ11/((1/1000)*(up_Irr!BM11)),IF(AND(up_Irr!Q11=".",up_Irr!AO11&lt;&gt;".",up_Irr!BM11="."),up_dir!AQ11/((1/1000)*(up_Irr!AO11)),IF(AND(up_Irr!Q11&lt;&gt;".",up_Irr!AO11=".",up_Irr!BM11="."),up_dir!AQ11/((1/1000)*(up_Irr!Q11)),IF(AND(up_Irr!Q11=".",up_Irr!AO11=".",up_Irr!BM11="."),up_dir!AQ11*1000)))))))),".")</f>
        <v>6.5773651144152131E-4</v>
      </c>
      <c r="BQ11" s="48">
        <f>IFERROR(IF(AND(up_Irr!R11&lt;&gt;".",up_Irr!AP11&lt;&gt;".",up_Irr!BN11&lt;&gt;"."),up_dir!AR11/((1/1000)*(up_Irr!R11+up_Irr!AP11+up_Irr!BN11)),IF(AND(up_Irr!R11&lt;&gt;".",up_Irr!AP11&lt;&gt;".",up_Irr!BN11="."),up_dir!AR11/((1/1000)*(up_Irr!R11+up_Irr!AP11)),IF(AND(up_Irr!R11&lt;&gt;".",up_Irr!AP11=".",up_Irr!BN11&lt;&gt;"."),up_dir!AR11/((1/1000)*(up_Irr!R11+up_Irr!BN11)),IF(AND(up_Irr!R11=".",up_Irr!AP11&lt;&gt;".",up_Irr!BN11&lt;&gt;"."),up_dir!AR11/((1/1000)*(up_Irr!AP11+up_Irr!BN11)),IF(AND(up_Irr!R11=".",up_Irr!AP11=".",up_Irr!BN11&lt;&gt;"."),up_dir!AR11/((1/1000)*(up_Irr!BN11)),IF(AND(up_Irr!R11=".",up_Irr!AP11&lt;&gt;".",up_Irr!BN11="."),up_dir!AR11/((1/1000)*(up_Irr!AP11)),IF(AND(up_Irr!R11&lt;&gt;".",up_Irr!AP11=".",up_Irr!BN11="."),up_dir!AR11/((1/1000)*(up_Irr!R11)),IF(AND(up_Irr!R11=".",up_Irr!AP11=".",up_Irr!BN11="."),up_dir!AR11*1000)))))))),".")</f>
        <v>6.5773651144152131E-4</v>
      </c>
      <c r="BR11" s="48">
        <f>IFERROR(IF(AND(up_Irr!S11&lt;&gt;".",up_Irr!AQ11&lt;&gt;".",up_Irr!BO11&lt;&gt;"."),up_dir!AS11/((1/1000)*(up_Irr!S11+up_Irr!AQ11+up_Irr!BO11)),IF(AND(up_Irr!S11&lt;&gt;".",up_Irr!AQ11&lt;&gt;".",up_Irr!BO11="."),up_dir!AS11/((1/1000)*(up_Irr!S11+up_Irr!AQ11)),IF(AND(up_Irr!S11&lt;&gt;".",up_Irr!AQ11=".",up_Irr!BO11&lt;&gt;"."),up_dir!AS11/((1/1000)*(up_Irr!S11+up_Irr!BO11)),IF(AND(up_Irr!S11=".",up_Irr!AQ11&lt;&gt;".",up_Irr!BO11&lt;&gt;"."),up_dir!AS11/((1/1000)*(up_Irr!AQ11+up_Irr!BO11)),IF(AND(up_Irr!S11=".",up_Irr!AQ11=".",up_Irr!BO11&lt;&gt;"."),up_dir!AS11/((1/1000)*(up_Irr!BO11)),IF(AND(up_Irr!S11=".",up_Irr!AQ11&lt;&gt;".",up_Irr!BO11="."),up_dir!AS11/((1/1000)*(up_Irr!AQ11)),IF(AND(up_Irr!S11&lt;&gt;".",up_Irr!AQ11=".",up_Irr!BO11="."),up_dir!AS11/((1/1000)*(up_Irr!S11)),IF(AND(up_Irr!S11=".",up_Irr!AQ11=".",up_Irr!BO11="."),up_dir!AS11*1000)))))))),".")</f>
        <v>6.5773651144152131E-4</v>
      </c>
      <c r="BS11" s="48">
        <f>IFERROR(IF(AND(up_Irr!T11&lt;&gt;".",up_Irr!AR11&lt;&gt;".",up_Irr!BP11&lt;&gt;"."),up_dir!AT11/((1/1000)*(up_Irr!T11+up_Irr!AR11+up_Irr!BP11)),IF(AND(up_Irr!T11&lt;&gt;".",up_Irr!AR11&lt;&gt;".",up_Irr!BP11="."),up_dir!AT11/((1/1000)*(up_Irr!T11+up_Irr!AR11)),IF(AND(up_Irr!T11&lt;&gt;".",up_Irr!AR11=".",up_Irr!BP11&lt;&gt;"."),up_dir!AT11/((1/1000)*(up_Irr!T11+up_Irr!BP11)),IF(AND(up_Irr!T11=".",up_Irr!AR11&lt;&gt;".",up_Irr!BP11&lt;&gt;"."),up_dir!AT11/((1/1000)*(up_Irr!AR11+up_Irr!BP11)),IF(AND(up_Irr!T11=".",up_Irr!AR11=".",up_Irr!BP11&lt;&gt;"."),up_dir!AT11/((1/1000)*(up_Irr!BP11)),IF(AND(up_Irr!T11=".",up_Irr!AR11&lt;&gt;".",up_Irr!BP11="."),up_dir!AT11/((1/1000)*(up_Irr!AR11)),IF(AND(up_Irr!T11&lt;&gt;".",up_Irr!AR11=".",up_Irr!BP11="."),up_dir!AT11/((1/1000)*(up_Irr!T11)),IF(AND(up_Irr!T11=".",up_Irr!AR11=".",up_Irr!BP11="."),up_dir!AT11*1000)))))))),".")</f>
        <v>6.5773651144152131E-4</v>
      </c>
      <c r="BT11" s="48">
        <f>IFERROR(IF(AND(up_Irr!U11&lt;&gt;".",up_Irr!AS11&lt;&gt;".",up_Irr!BQ11&lt;&gt;"."),up_dir!AU11/((1/1000)*(up_Irr!U11+up_Irr!AS11+up_Irr!BQ11)),IF(AND(up_Irr!U11&lt;&gt;".",up_Irr!AS11&lt;&gt;".",up_Irr!BQ11="."),up_dir!AU11/((1/1000)*(up_Irr!U11+up_Irr!AS11)),IF(AND(up_Irr!U11&lt;&gt;".",up_Irr!AS11=".",up_Irr!BQ11&lt;&gt;"."),up_dir!AU11/((1/1000)*(up_Irr!U11+up_Irr!BQ11)),IF(AND(up_Irr!U11=".",up_Irr!AS11&lt;&gt;".",up_Irr!BQ11&lt;&gt;"."),up_dir!AU11/((1/1000)*(up_Irr!AS11+up_Irr!BQ11)),IF(AND(up_Irr!U11=".",up_Irr!AS11=".",up_Irr!BQ11&lt;&gt;"."),up_dir!AU11/((1/1000)*(up_Irr!BQ11)),IF(AND(up_Irr!U11=".",up_Irr!AS11&lt;&gt;".",up_Irr!BQ11="."),up_dir!AU11/((1/1000)*(up_Irr!AS11)),IF(AND(up_Irr!U11&lt;&gt;".",up_Irr!AS11=".",up_Irr!BQ11="."),up_dir!AU11/((1/1000)*(up_Irr!U11)),IF(AND(up_Irr!U11=".",up_Irr!AS11=".",up_Irr!BQ11="."),up_dir!AU11*1000)))))))),".")</f>
        <v>6.5773651144152131E-4</v>
      </c>
      <c r="BU11" s="48">
        <f>IFERROR(IF(AND(up_Irr!V11&lt;&gt;".",up_Irr!AT11&lt;&gt;".",up_Irr!BR11&lt;&gt;"."),up_dir!AV11/((1/1000)*(up_Irr!V11+up_Irr!AT11+up_Irr!BR11)),IF(AND(up_Irr!V11&lt;&gt;".",up_Irr!AT11&lt;&gt;".",up_Irr!BR11="."),up_dir!AV11/((1/1000)*(up_Irr!V11+up_Irr!AT11)),IF(AND(up_Irr!V11&lt;&gt;".",up_Irr!AT11=".",up_Irr!BR11&lt;&gt;"."),up_dir!AV11/((1/1000)*(up_Irr!V11+up_Irr!BR11)),IF(AND(up_Irr!V11=".",up_Irr!AT11&lt;&gt;".",up_Irr!BR11&lt;&gt;"."),up_dir!AV11/((1/1000)*(up_Irr!AT11+up_Irr!BR11)),IF(AND(up_Irr!V11=".",up_Irr!AT11=".",up_Irr!BR11&lt;&gt;"."),up_dir!AV11/((1/1000)*(up_Irr!BR11)),IF(AND(up_Irr!V11=".",up_Irr!AT11&lt;&gt;".",up_Irr!BR11="."),up_dir!AV11/((1/1000)*(up_Irr!AT11)),IF(AND(up_Irr!V11&lt;&gt;".",up_Irr!AT11=".",up_Irr!BR11="."),up_dir!AV11/((1/1000)*(up_Irr!V11)),IF(AND(up_Irr!V11=".",up_Irr!AT11=".",up_Irr!BR11="."),up_dir!AV11*1000)))))))),".")</f>
        <v>6.5773651144152131E-4</v>
      </c>
      <c r="BV11" s="48">
        <f>IFERROR(IF(AND(up_Irr!W11&lt;&gt;".",up_Irr!AU11&lt;&gt;".",up_Irr!BS11&lt;&gt;"."),up_dir!AW11/((1/1000)*(up_Irr!W11+up_Irr!AU11+up_Irr!BS11)),IF(AND(up_Irr!W11&lt;&gt;".",up_Irr!AU11&lt;&gt;".",up_Irr!BS11="."),up_dir!AW11/((1/1000)*(up_Irr!W11+up_Irr!AU11)),IF(AND(up_Irr!W11&lt;&gt;".",up_Irr!AU11=".",up_Irr!BS11&lt;&gt;"."),up_dir!AW11/((1/1000)*(up_Irr!W11+up_Irr!BS11)),IF(AND(up_Irr!W11=".",up_Irr!AU11&lt;&gt;".",up_Irr!BS11&lt;&gt;"."),up_dir!AW11/((1/1000)*(up_Irr!AU11+up_Irr!BS11)),IF(AND(up_Irr!W11=".",up_Irr!AU11=".",up_Irr!BS11&lt;&gt;"."),up_dir!AW11/((1/1000)*(up_Irr!BS11)),IF(AND(up_Irr!W11=".",up_Irr!AU11&lt;&gt;".",up_Irr!BS11="."),up_dir!AW11/((1/1000)*(up_Irr!AU11)),IF(AND(up_Irr!W11&lt;&gt;".",up_Irr!AU11=".",up_Irr!BS11="."),up_dir!AW11/((1/1000)*(up_Irr!W11)),IF(AND(up_Irr!W11=".",up_Irr!AU11=".",up_Irr!BS11="."),up_dir!AW11*1000)))))))),".")</f>
        <v>6.5773651144152131E-4</v>
      </c>
      <c r="BW11" s="48">
        <f>IFERROR(IF(AND(up_Irr!X11&lt;&gt;".",up_Irr!AV11&lt;&gt;".",up_Irr!BT11&lt;&gt;"."),up_dir!AX11/((1/1000)*(up_Irr!X11+up_Irr!AV11+up_Irr!BT11)),IF(AND(up_Irr!X11&lt;&gt;".",up_Irr!AV11&lt;&gt;".",up_Irr!BT11="."),up_dir!AX11/((1/1000)*(up_Irr!X11+up_Irr!AV11)),IF(AND(up_Irr!X11&lt;&gt;".",up_Irr!AV11=".",up_Irr!BT11&lt;&gt;"."),up_dir!AX11/((1/1000)*(up_Irr!X11+up_Irr!BT11)),IF(AND(up_Irr!X11=".",up_Irr!AV11&lt;&gt;".",up_Irr!BT11&lt;&gt;"."),up_dir!AX11/((1/1000)*(up_Irr!AV11+up_Irr!BT11)),IF(AND(up_Irr!X11=".",up_Irr!AV11=".",up_Irr!BT11&lt;&gt;"."),up_dir!AX11/((1/1000)*(up_Irr!BT11)),IF(AND(up_Irr!X11=".",up_Irr!AV11&lt;&gt;".",up_Irr!BT11="."),up_dir!AX11/((1/1000)*(up_Irr!AV11)),IF(AND(up_Irr!X11&lt;&gt;".",up_Irr!AV11=".",up_Irr!BT11="."),up_dir!AX11/((1/1000)*(up_Irr!X11)),IF(AND(up_Irr!X11=".",up_Irr!AV11=".",up_Irr!BT11="."),up_dir!AX11*1000)))))))),".")</f>
        <v>6.5773651144152131E-4</v>
      </c>
      <c r="BX11" s="48">
        <f>IFERROR(IF(AND(up_Irr!Y11&lt;&gt;".",up_Irr!AW11&lt;&gt;".",up_Irr!BU11&lt;&gt;"."),up_dir!AY11/((1/1000)*(up_Irr!Y11+up_Irr!AW11+up_Irr!BU11)),IF(AND(up_Irr!Y11&lt;&gt;".",up_Irr!AW11&lt;&gt;".",up_Irr!BU11="."),up_dir!AY11/((1/1000)*(up_Irr!Y11+up_Irr!AW11)),IF(AND(up_Irr!Y11&lt;&gt;".",up_Irr!AW11=".",up_Irr!BU11&lt;&gt;"."),up_dir!AY11/((1/1000)*(up_Irr!Y11+up_Irr!BU11)),IF(AND(up_Irr!Y11=".",up_Irr!AW11&lt;&gt;".",up_Irr!BU11&lt;&gt;"."),up_dir!AY11/((1/1000)*(up_Irr!AW11+up_Irr!BU11)),IF(AND(up_Irr!Y11=".",up_Irr!AW11=".",up_Irr!BU11&lt;&gt;"."),up_dir!AY11/((1/1000)*(up_Irr!BU11)),IF(AND(up_Irr!Y11=".",up_Irr!AW11&lt;&gt;".",up_Irr!BU11="."),up_dir!AY11/((1/1000)*(up_Irr!AW11)),IF(AND(up_Irr!Y11&lt;&gt;".",up_Irr!AW11=".",up_Irr!BU11="."),up_dir!AY11/((1/1000)*(up_Irr!Y11)),IF(AND(up_Irr!Y11=".",up_Irr!AW11=".",up_Irr!BU11="."),up_dir!AY11*1000)))))))),".")</f>
        <v>6.5773651144152131E-4</v>
      </c>
      <c r="BY11" s="48">
        <f>IFERROR(IF(AND(up_Irr!Z11&lt;&gt;".",up_Irr!AX11&lt;&gt;".",up_Irr!BV11&lt;&gt;"."),up_dir!AZ11/((1/1000)*(up_Irr!Z11+up_Irr!AX11+up_Irr!BV11)),IF(AND(up_Irr!Z11&lt;&gt;".",up_Irr!AX11&lt;&gt;".",up_Irr!BV11="."),up_dir!AZ11/((1/1000)*(up_Irr!Z11+up_Irr!AX11)),IF(AND(up_Irr!Z11&lt;&gt;".",up_Irr!AX11=".",up_Irr!BV11&lt;&gt;"."),up_dir!AZ11/((1/1000)*(up_Irr!Z11+up_Irr!BV11)),IF(AND(up_Irr!Z11=".",up_Irr!AX11&lt;&gt;".",up_Irr!BV11&lt;&gt;"."),up_dir!AZ11/((1/1000)*(up_Irr!AX11+up_Irr!BV11)),IF(AND(up_Irr!Z11=".",up_Irr!AX11=".",up_Irr!BV11&lt;&gt;"."),up_dir!AZ11/((1/1000)*(up_Irr!BV11)),IF(AND(up_Irr!Z11=".",up_Irr!AX11&lt;&gt;".",up_Irr!BV11="."),up_dir!AZ11/((1/1000)*(up_Irr!AX11)),IF(AND(up_Irr!Z11&lt;&gt;".",up_Irr!AX11=".",up_Irr!BV11="."),up_dir!AZ11/((1/1000)*(up_Irr!Z11)),IF(AND(up_Irr!Z11=".",up_Irr!AX11=".",up_Irr!BV11="."),up_dir!AZ11*1000)))))))),".")</f>
        <v>6.5773651144152131E-4</v>
      </c>
      <c r="BZ11" s="62">
        <f t="shared" si="3"/>
        <v>22805.4847785862</v>
      </c>
      <c r="CA11" s="62">
        <f>IFERROR(s_C*s_IFAP_far_adj*s_CF_apple*(1/1000)*(up_Irr!C11+up_Irr!AA11+up_Irr!AY11),".")</f>
        <v>7601.8282595287337</v>
      </c>
      <c r="CB11" s="62">
        <f>IFERROR(s_C*s_IFAS_far_adj*s_CF_asparagus*(1/1000)*(up_Irr!D11+up_Irr!AB11+up_Irr!AZ11),".")</f>
        <v>7601.8282595287337</v>
      </c>
      <c r="CC11" s="62">
        <f>IFERROR(s_C*s_IFBT_far_adj*s_CF_beet*(1/1000)*(up_Irr!E11+up_Irr!AC11+up_Irr!BA11),".")</f>
        <v>7601.8282595287337</v>
      </c>
      <c r="CD11" s="62">
        <f>IFERROR(s_C*s_IFBE_far_adj*s_CF_berries*(1/1000)*(up_Irr!F11+up_Irr!AD11+up_Irr!BB11),".")</f>
        <v>7601.8282595287337</v>
      </c>
      <c r="CE11" s="62">
        <f>IFERROR(s_C*s_IFBR_far_adj*s_CF_broccoli*(1/1000)*(up_Irr!G11+up_Irr!AE11+up_Irr!BC11),".")</f>
        <v>7601.8282595287337</v>
      </c>
      <c r="CF11" s="62">
        <f>IFERROR(s_C*s_IFCB_far_adj*s_CF_cabbage*(1/1000)*(up_Irr!H11+up_Irr!AF11+up_Irr!BD11),".")</f>
        <v>7601.8282595287337</v>
      </c>
      <c r="CG11" s="62">
        <f>IFERROR(s_C*s_IFCR_far_adj*s_CF_carrot*(1/1000)*(up_Irr!I11+up_Irr!AG11+up_Irr!BE11),".")</f>
        <v>7601.8282595287337</v>
      </c>
      <c r="CH11" s="62">
        <f>IFERROR(s_C*s_IFCI_far_adj*s_CF_citrus*(1/1000)*(up_Irr!J11+up_Irr!AH11+up_Irr!BF11),".")</f>
        <v>7601.8282595287337</v>
      </c>
      <c r="CI11" s="62">
        <f>IFERROR(s_C*s_IFCO_far_adj*s_CF_corn*(1/1000)*(up_Irr!K11+up_Irr!AI11+up_Irr!BG11),".")</f>
        <v>7601.8282595287337</v>
      </c>
      <c r="CJ11" s="62">
        <f>IFERROR(s_C*s_IFCU_far_adj*s_CF_cucumber*(1/1000)*(up_Irr!L11+up_Irr!AJ11+up_Irr!BH11),".")</f>
        <v>7601.8282595287337</v>
      </c>
      <c r="CK11" s="62">
        <f>IFERROR(s_C*s_IFLE_far_adj*s_CF_lettuce*(1/1000)*(up_Irr!M11+up_Irr!AK11+up_Irr!BI11),".")</f>
        <v>7601.8282595287337</v>
      </c>
      <c r="CL11" s="62">
        <f>IFERROR(s_C*s_IFLI_far_adj*s_CF_lima_bean*(1/1000)*(up_Irr!N11+up_Irr!AL11+up_Irr!BJ11),".")</f>
        <v>7601.8282595287337</v>
      </c>
      <c r="CM11" s="62">
        <f>IFERROR(s_C*s_IFOK_far_adj*s_CF_okra*(1/1000)*(up_Irr!O11+up_Irr!AM11+up_Irr!BK11),".")</f>
        <v>7601.8282595287337</v>
      </c>
      <c r="CN11" s="62">
        <f>IFERROR(s_C*s_IFON_far_adj*s_CF_onion*(1/1000)*(up_Irr!P11+up_Irr!AN11+up_Irr!BL11),".")</f>
        <v>7601.8282595287337</v>
      </c>
      <c r="CO11" s="62">
        <f>IFERROR(s_C*s_IFPC_far_adj*s_CF_peach*(1/1000)*(up_Irr!Q11+up_Irr!AO11+up_Irr!BM11),".")</f>
        <v>7601.8282595287337</v>
      </c>
      <c r="CP11" s="62">
        <f>IFERROR(s_C*s_IFPR_far_adj*s_CF_pear*(1/1000)*(up_Irr!R11+up_Irr!AP11+up_Irr!BN11),".")</f>
        <v>7601.8282595287337</v>
      </c>
      <c r="CQ11" s="62">
        <f>IFERROR(s_C*s_IFPE_far_adj*s_CF_peas*(1/1000)*(up_Irr!S11+up_Irr!AQ11+up_Irr!BO11),".")</f>
        <v>7601.8282595287337</v>
      </c>
      <c r="CR11" s="62">
        <f>IFERROR(s_C*s_IFPT_far_adj*s_CF_potato*(1/1000)*(up_Irr!T11+up_Irr!AR11+up_Irr!BP11),".")</f>
        <v>7601.8282595287337</v>
      </c>
      <c r="CS11" s="62">
        <f>IFERROR(s_C*s_IFPU_far_adj*s_CF_pumpkin*(1/1000)*(up_Irr!U11+up_Irr!AS11+up_Irr!BQ11),".")</f>
        <v>7601.8282595287337</v>
      </c>
      <c r="CT11" s="62">
        <f>IFERROR(s_C*s_IFSN_far_adj*s_CF_snap_bean*(1/1000)*(up_Irr!V11+up_Irr!AT11+up_Irr!BR11),".")</f>
        <v>7601.8282595287337</v>
      </c>
      <c r="CU11" s="62">
        <f>IFERROR(s_C*s_IFST_far_adj*s_CF_strawberry*(1/1000)*(up_Irr!W11+up_Irr!AU11+up_Irr!BS11),".")</f>
        <v>7601.8282595287337</v>
      </c>
      <c r="CV11" s="62">
        <f>IFERROR(s_C*s_IFTO_far_adj*s_CF_tomato*(1/1000)*(up_Irr!X11+up_Irr!AV11+up_Irr!BT11),".")</f>
        <v>7601.8282595287337</v>
      </c>
      <c r="CW11" s="62">
        <f>IFERROR(s_C*s_IFRI_far_adj*s_CF_rice*(1/1000)*(up_Irr!Y11+up_Irr!AW11+up_Irr!BU11),".")</f>
        <v>7601.8282595287337</v>
      </c>
      <c r="CX11" s="62">
        <f>IFERROR(s_C*s_IFCG_far_adj*s_CF_cereal*(1/1000)*(up_Irr!Z11+up_Irr!AX11+up_Irr!BV11),".")</f>
        <v>7601.8282595287337</v>
      </c>
    </row>
    <row r="12" spans="1:102" ht="15" customHeight="1" x14ac:dyDescent="0.25">
      <c r="A12" s="61" t="s">
        <v>10</v>
      </c>
      <c r="B12" s="49" t="s">
        <v>1059</v>
      </c>
      <c r="C12" s="48">
        <f t="shared" si="0"/>
        <v>2.1924550381384044E-4</v>
      </c>
      <c r="D12" s="48">
        <f>IFERROR(IF(AND(up_Irr!C12&lt;&gt;".",up_Irr!AA12&lt;&gt;".",up_Irr!AY12&lt;&gt;"."),up_dir!D12/((1/1000)*(up_Irr!C12+up_Irr!AA12+up_Irr!AY12)),IF(AND(up_Irr!C12&lt;&gt;".",up_Irr!AA12&lt;&gt;".",up_Irr!AY12="."),up_dir!D12/((1/1000)*(up_Irr!C12+up_Irr!AA12)),IF(AND(up_Irr!C12&lt;&gt;".",up_Irr!AA12=".",up_Irr!AY12&lt;&gt;"."),up_dir!D12/((1/1000)*(up_Irr!C12+up_Irr!AY12)),IF(AND(up_Irr!C12=".",up_Irr!AA12&lt;&gt;".",up_Irr!AY12&lt;&gt;"."),up_dir!D12/((1/1000)*(up_Irr!AA12+up_Irr!AY12)),IF(AND(up_Irr!C12=".",up_Irr!AA12=".",up_Irr!AY12&lt;&gt;"."),up_dir!D12/((1/1000)*(up_Irr!AY12)),IF(AND(up_Irr!C12=".",up_Irr!AA12&lt;&gt;".",up_Irr!AY12="."),up_dir!D12/((1/1000)*(up_Irr!AA12)),IF(AND(up_Irr!C12&lt;&gt;".",up_Irr!AA12=".",up_Irr!AY12="."),up_dir!D12/((1/1000)*(up_Irr!C12)),IF(AND(up_Irr!C12=".",up_Irr!AA12=".",up_Irr!AY12="."),up_dir!D12*1000)))))))),".")</f>
        <v>6.5773651144152131E-4</v>
      </c>
      <c r="E12" s="48">
        <f>IFERROR(IF(AND(up_Irr!D12&lt;&gt;".",up_Irr!AB12&lt;&gt;".",up_Irr!AZ12&lt;&gt;"."),up_dir!E12/((1/1000)*(up_Irr!D12+up_Irr!AB12+up_Irr!AZ12)),IF(AND(up_Irr!D12&lt;&gt;".",up_Irr!AB12&lt;&gt;".",up_Irr!AZ12="."),up_dir!E12/((1/1000)*(up_Irr!D12+up_Irr!AB12)),IF(AND(up_Irr!D12&lt;&gt;".",up_Irr!AB12=".",up_Irr!AZ12&lt;&gt;"."),up_dir!E12/((1/1000)*(up_Irr!D12+up_Irr!AZ12)),IF(AND(up_Irr!D12=".",up_Irr!AB12&lt;&gt;".",up_Irr!AZ12&lt;&gt;"."),up_dir!E12/((1/1000)*(up_Irr!AB12+up_Irr!AZ12)),IF(AND(up_Irr!D12=".",up_Irr!AB12=".",up_Irr!AZ12&lt;&gt;"."),up_dir!E12/((1/1000)*(up_Irr!AZ12)),IF(AND(up_Irr!D12=".",up_Irr!AB12&lt;&gt;".",up_Irr!AZ12="."),up_dir!E12/((1/1000)*(up_Irr!AB12)),IF(AND(up_Irr!D12&lt;&gt;".",up_Irr!AB12=".",up_Irr!AZ12="."),up_dir!E12/((1/1000)*(up_Irr!D12)),IF(AND(up_Irr!D12=".",up_Irr!AB12=".",up_Irr!AZ12="."),up_dir!E12*1000)))))))),".")</f>
        <v>6.5773651144152131E-4</v>
      </c>
      <c r="F12" s="48">
        <f>IFERROR(IF(AND(up_Irr!E12&lt;&gt;".",up_Irr!AC12&lt;&gt;".",up_Irr!BA12&lt;&gt;"."),up_dir!F12/((1/1000)*(up_Irr!E12+up_Irr!AC12+up_Irr!BA12)),IF(AND(up_Irr!E12&lt;&gt;".",up_Irr!AC12&lt;&gt;".",up_Irr!BA12="."),up_dir!F12/((1/1000)*(up_Irr!E12+up_Irr!AC12)),IF(AND(up_Irr!E12&lt;&gt;".",up_Irr!AC12=".",up_Irr!BA12&lt;&gt;"."),up_dir!F12/((1/1000)*(up_Irr!E12+up_Irr!BA12)),IF(AND(up_Irr!E12=".",up_Irr!AC12&lt;&gt;".",up_Irr!BA12&lt;&gt;"."),up_dir!F12/((1/1000)*(up_Irr!AC12+up_Irr!BA12)),IF(AND(up_Irr!E12=".",up_Irr!AC12=".",up_Irr!BA12&lt;&gt;"."),up_dir!F12/((1/1000)*(up_Irr!BA12)),IF(AND(up_Irr!E12=".",up_Irr!AC12&lt;&gt;".",up_Irr!BA12="."),up_dir!F12/((1/1000)*(up_Irr!AC12)),IF(AND(up_Irr!E12&lt;&gt;".",up_Irr!AC12=".",up_Irr!BA12="."),up_dir!F12/((1/1000)*(up_Irr!E12)),IF(AND(up_Irr!E12=".",up_Irr!AC12=".",up_Irr!BA12="."),up_dir!F12*1000)))))))),".")</f>
        <v>6.5773651144152131E-4</v>
      </c>
      <c r="G12" s="48">
        <f>IFERROR(IF(AND(up_Irr!F12&lt;&gt;".",up_Irr!AD12&lt;&gt;".",up_Irr!BB12&lt;&gt;"."),up_dir!G12/((1/1000)*(up_Irr!F12+up_Irr!AD12+up_Irr!BB12)),IF(AND(up_Irr!F12&lt;&gt;".",up_Irr!AD12&lt;&gt;".",up_Irr!BB12="."),up_dir!G12/((1/1000)*(up_Irr!F12+up_Irr!AD12)),IF(AND(up_Irr!F12&lt;&gt;".",up_Irr!AD12=".",up_Irr!BB12&lt;&gt;"."),up_dir!G12/((1/1000)*(up_Irr!F12+up_Irr!BB12)),IF(AND(up_Irr!F12=".",up_Irr!AD12&lt;&gt;".",up_Irr!BB12&lt;&gt;"."),up_dir!G12/((1/1000)*(up_Irr!AD12+up_Irr!BB12)),IF(AND(up_Irr!F12=".",up_Irr!AD12=".",up_Irr!BB12&lt;&gt;"."),up_dir!G12/((1/1000)*(up_Irr!BB12)),IF(AND(up_Irr!F12=".",up_Irr!AD12&lt;&gt;".",up_Irr!BB12="."),up_dir!G12/((1/1000)*(up_Irr!AD12)),IF(AND(up_Irr!F12&lt;&gt;".",up_Irr!AD12=".",up_Irr!BB12="."),up_dir!G12/((1/1000)*(up_Irr!F12)),IF(AND(up_Irr!F12=".",up_Irr!AD12=".",up_Irr!BB12="."),up_dir!G12*1000)))))))),".")</f>
        <v>6.5773651144152131E-4</v>
      </c>
      <c r="H12" s="48">
        <f>IFERROR(IF(AND(up_Irr!G12&lt;&gt;".",up_Irr!AE12&lt;&gt;".",up_Irr!BC12&lt;&gt;"."),up_dir!H12/((1/1000)*(up_Irr!G12+up_Irr!AE12+up_Irr!BC12)),IF(AND(up_Irr!G12&lt;&gt;".",up_Irr!AE12&lt;&gt;".",up_Irr!BC12="."),up_dir!H12/((1/1000)*(up_Irr!G12+up_Irr!AE12)),IF(AND(up_Irr!G12&lt;&gt;".",up_Irr!AE12=".",up_Irr!BC12&lt;&gt;"."),up_dir!H12/((1/1000)*(up_Irr!G12+up_Irr!BC12)),IF(AND(up_Irr!G12=".",up_Irr!AE12&lt;&gt;".",up_Irr!BC12&lt;&gt;"."),up_dir!H12/((1/1000)*(up_Irr!AE12+up_Irr!BC12)),IF(AND(up_Irr!G12=".",up_Irr!AE12=".",up_Irr!BC12&lt;&gt;"."),up_dir!H12/((1/1000)*(up_Irr!BC12)),IF(AND(up_Irr!G12=".",up_Irr!AE12&lt;&gt;".",up_Irr!BC12="."),up_dir!H12/((1/1000)*(up_Irr!AE12)),IF(AND(up_Irr!G12&lt;&gt;".",up_Irr!AE12=".",up_Irr!BC12="."),up_dir!H12/((1/1000)*(up_Irr!G12)),IF(AND(up_Irr!G12=".",up_Irr!AE12=".",up_Irr!BC12="."),up_dir!H12*1000)))))))),".")</f>
        <v>6.5773651144152131E-4</v>
      </c>
      <c r="I12" s="48">
        <f>IFERROR(IF(AND(up_Irr!H12&lt;&gt;".",up_Irr!AF12&lt;&gt;".",up_Irr!BD12&lt;&gt;"."),up_dir!I12/((1/1000)*(up_Irr!H12+up_Irr!AF12+up_Irr!BD12)),IF(AND(up_Irr!H12&lt;&gt;".",up_Irr!AF12&lt;&gt;".",up_Irr!BD12="."),up_dir!I12/((1/1000)*(up_Irr!H12+up_Irr!AF12)),IF(AND(up_Irr!H12&lt;&gt;".",up_Irr!AF12=".",up_Irr!BD12&lt;&gt;"."),up_dir!I12/((1/1000)*(up_Irr!H12+up_Irr!BD12)),IF(AND(up_Irr!H12=".",up_Irr!AF12&lt;&gt;".",up_Irr!BD12&lt;&gt;"."),up_dir!I12/((1/1000)*(up_Irr!AF12+up_Irr!BD12)),IF(AND(up_Irr!H12=".",up_Irr!AF12=".",up_Irr!BD12&lt;&gt;"."),up_dir!I12/((1/1000)*(up_Irr!BD12)),IF(AND(up_Irr!H12=".",up_Irr!AF12&lt;&gt;".",up_Irr!BD12="."),up_dir!I12/((1/1000)*(up_Irr!AF12)),IF(AND(up_Irr!H12&lt;&gt;".",up_Irr!AF12=".",up_Irr!BD12="."),up_dir!I12/((1/1000)*(up_Irr!H12)),IF(AND(up_Irr!H12=".",up_Irr!AF12=".",up_Irr!BD12="."),up_dir!I12*1000)))))))),".")</f>
        <v>6.5773651144152131E-4</v>
      </c>
      <c r="J12" s="48">
        <f>IFERROR(IF(AND(up_Irr!I12&lt;&gt;".",up_Irr!AG12&lt;&gt;".",up_Irr!BE12&lt;&gt;"."),up_dir!J12/((1/1000)*(up_Irr!I12+up_Irr!AG12+up_Irr!BE12)),IF(AND(up_Irr!I12&lt;&gt;".",up_Irr!AG12&lt;&gt;".",up_Irr!BE12="."),up_dir!J12/((1/1000)*(up_Irr!I12+up_Irr!AG12)),IF(AND(up_Irr!I12&lt;&gt;".",up_Irr!AG12=".",up_Irr!BE12&lt;&gt;"."),up_dir!J12/((1/1000)*(up_Irr!I12+up_Irr!BE12)),IF(AND(up_Irr!I12=".",up_Irr!AG12&lt;&gt;".",up_Irr!BE12&lt;&gt;"."),up_dir!J12/((1/1000)*(up_Irr!AG12+up_Irr!BE12)),IF(AND(up_Irr!I12=".",up_Irr!AG12=".",up_Irr!BE12&lt;&gt;"."),up_dir!J12/((1/1000)*(up_Irr!BE12)),IF(AND(up_Irr!I12=".",up_Irr!AG12&lt;&gt;".",up_Irr!BE12="."),up_dir!J12/((1/1000)*(up_Irr!AG12)),IF(AND(up_Irr!I12&lt;&gt;".",up_Irr!AG12=".",up_Irr!BE12="."),up_dir!J12/((1/1000)*(up_Irr!I12)),IF(AND(up_Irr!I12=".",up_Irr!AG12=".",up_Irr!BE12="."),up_dir!J12*1000)))))))),".")</f>
        <v>6.5773651144152131E-4</v>
      </c>
      <c r="K12" s="48">
        <f>IFERROR(IF(AND(up_Irr!J12&lt;&gt;".",up_Irr!AH12&lt;&gt;".",up_Irr!BF12&lt;&gt;"."),up_dir!K12/((1/1000)*(up_Irr!J12+up_Irr!AH12+up_Irr!BF12)),IF(AND(up_Irr!J12&lt;&gt;".",up_Irr!AH12&lt;&gt;".",up_Irr!BF12="."),up_dir!K12/((1/1000)*(up_Irr!J12+up_Irr!AH12)),IF(AND(up_Irr!J12&lt;&gt;".",up_Irr!AH12=".",up_Irr!BF12&lt;&gt;"."),up_dir!K12/((1/1000)*(up_Irr!J12+up_Irr!BF12)),IF(AND(up_Irr!J12=".",up_Irr!AH12&lt;&gt;".",up_Irr!BF12&lt;&gt;"."),up_dir!K12/((1/1000)*(up_Irr!AH12+up_Irr!BF12)),IF(AND(up_Irr!J12=".",up_Irr!AH12=".",up_Irr!BF12&lt;&gt;"."),up_dir!K12/((1/1000)*(up_Irr!BF12)),IF(AND(up_Irr!J12=".",up_Irr!AH12&lt;&gt;".",up_Irr!BF12="."),up_dir!K12/((1/1000)*(up_Irr!AH12)),IF(AND(up_Irr!J12&lt;&gt;".",up_Irr!AH12=".",up_Irr!BF12="."),up_dir!K12/((1/1000)*(up_Irr!J12)),IF(AND(up_Irr!J12=".",up_Irr!AH12=".",up_Irr!BF12="."),up_dir!K12*1000)))))))),".")</f>
        <v>6.5773651144152131E-4</v>
      </c>
      <c r="L12" s="48">
        <f>IFERROR(IF(AND(up_Irr!K12&lt;&gt;".",up_Irr!AI12&lt;&gt;".",up_Irr!BG12&lt;&gt;"."),up_dir!L12/((1/1000)*(up_Irr!K12+up_Irr!AI12+up_Irr!BG12)),IF(AND(up_Irr!K12&lt;&gt;".",up_Irr!AI12&lt;&gt;".",up_Irr!BG12="."),up_dir!L12/((1/1000)*(up_Irr!K12+up_Irr!AI12)),IF(AND(up_Irr!K12&lt;&gt;".",up_Irr!AI12=".",up_Irr!BG12&lt;&gt;"."),up_dir!L12/((1/1000)*(up_Irr!K12+up_Irr!BG12)),IF(AND(up_Irr!K12=".",up_Irr!AI12&lt;&gt;".",up_Irr!BG12&lt;&gt;"."),up_dir!L12/((1/1000)*(up_Irr!AI12+up_Irr!BG12)),IF(AND(up_Irr!K12=".",up_Irr!AI12=".",up_Irr!BG12&lt;&gt;"."),up_dir!L12/((1/1000)*(up_Irr!BG12)),IF(AND(up_Irr!K12=".",up_Irr!AI12&lt;&gt;".",up_Irr!BG12="."),up_dir!L12/((1/1000)*(up_Irr!AI12)),IF(AND(up_Irr!K12&lt;&gt;".",up_Irr!AI12=".",up_Irr!BG12="."),up_dir!L12/((1/1000)*(up_Irr!K12)),IF(AND(up_Irr!K12=".",up_Irr!AI12=".",up_Irr!BG12="."),up_dir!L12*1000)))))))),".")</f>
        <v>6.5773651144152131E-4</v>
      </c>
      <c r="M12" s="48">
        <f>IFERROR(IF(AND(up_Irr!L12&lt;&gt;".",up_Irr!AJ12&lt;&gt;".",up_Irr!BH12&lt;&gt;"."),up_dir!M12/((1/1000)*(up_Irr!L12+up_Irr!AJ12+up_Irr!BH12)),IF(AND(up_Irr!L12&lt;&gt;".",up_Irr!AJ12&lt;&gt;".",up_Irr!BH12="."),up_dir!M12/((1/1000)*(up_Irr!L12+up_Irr!AJ12)),IF(AND(up_Irr!L12&lt;&gt;".",up_Irr!AJ12=".",up_Irr!BH12&lt;&gt;"."),up_dir!M12/((1/1000)*(up_Irr!L12+up_Irr!BH12)),IF(AND(up_Irr!L12=".",up_Irr!AJ12&lt;&gt;".",up_Irr!BH12&lt;&gt;"."),up_dir!M12/((1/1000)*(up_Irr!AJ12+up_Irr!BH12)),IF(AND(up_Irr!L12=".",up_Irr!AJ12=".",up_Irr!BH12&lt;&gt;"."),up_dir!M12/((1/1000)*(up_Irr!BH12)),IF(AND(up_Irr!L12=".",up_Irr!AJ12&lt;&gt;".",up_Irr!BH12="."),up_dir!M12/((1/1000)*(up_Irr!AJ12)),IF(AND(up_Irr!L12&lt;&gt;".",up_Irr!AJ12=".",up_Irr!BH12="."),up_dir!M12/((1/1000)*(up_Irr!L12)),IF(AND(up_Irr!L12=".",up_Irr!AJ12=".",up_Irr!BH12="."),up_dir!M12*1000)))))))),".")</f>
        <v>6.5773651144152131E-4</v>
      </c>
      <c r="N12" s="48">
        <f>IFERROR(IF(AND(up_Irr!M12&lt;&gt;".",up_Irr!AK12&lt;&gt;".",up_Irr!BI12&lt;&gt;"."),up_dir!N12/((1/1000)*(up_Irr!M12+up_Irr!AK12+up_Irr!BI12)),IF(AND(up_Irr!M12&lt;&gt;".",up_Irr!AK12&lt;&gt;".",up_Irr!BI12="."),up_dir!N12/((1/1000)*(up_Irr!M12+up_Irr!AK12)),IF(AND(up_Irr!M12&lt;&gt;".",up_Irr!AK12=".",up_Irr!BI12&lt;&gt;"."),up_dir!N12/((1/1000)*(up_Irr!M12+up_Irr!BI12)),IF(AND(up_Irr!M12=".",up_Irr!AK12&lt;&gt;".",up_Irr!BI12&lt;&gt;"."),up_dir!N12/((1/1000)*(up_Irr!AK12+up_Irr!BI12)),IF(AND(up_Irr!M12=".",up_Irr!AK12=".",up_Irr!BI12&lt;&gt;"."),up_dir!N12/((1/1000)*(up_Irr!BI12)),IF(AND(up_Irr!M12=".",up_Irr!AK12&lt;&gt;".",up_Irr!BI12="."),up_dir!N12/((1/1000)*(up_Irr!AK12)),IF(AND(up_Irr!M12&lt;&gt;".",up_Irr!AK12=".",up_Irr!BI12="."),up_dir!N12/((1/1000)*(up_Irr!M12)),IF(AND(up_Irr!M12=".",up_Irr!AK12=".",up_Irr!BI12="."),up_dir!N12*1000)))))))),".")</f>
        <v>6.5773651144152131E-4</v>
      </c>
      <c r="O12" s="48">
        <f>IFERROR(IF(AND(up_Irr!N12&lt;&gt;".",up_Irr!AL12&lt;&gt;".",up_Irr!BJ12&lt;&gt;"."),up_dir!O12/((1/1000)*(up_Irr!N12+up_Irr!AL12+up_Irr!BJ12)),IF(AND(up_Irr!N12&lt;&gt;".",up_Irr!AL12&lt;&gt;".",up_Irr!BJ12="."),up_dir!O12/((1/1000)*(up_Irr!N12+up_Irr!AL12)),IF(AND(up_Irr!N12&lt;&gt;".",up_Irr!AL12=".",up_Irr!BJ12&lt;&gt;"."),up_dir!O12/((1/1000)*(up_Irr!N12+up_Irr!BJ12)),IF(AND(up_Irr!N12=".",up_Irr!AL12&lt;&gt;".",up_Irr!BJ12&lt;&gt;"."),up_dir!O12/((1/1000)*(up_Irr!AL12+up_Irr!BJ12)),IF(AND(up_Irr!N12=".",up_Irr!AL12=".",up_Irr!BJ12&lt;&gt;"."),up_dir!O12/((1/1000)*(up_Irr!BJ12)),IF(AND(up_Irr!N12=".",up_Irr!AL12&lt;&gt;".",up_Irr!BJ12="."),up_dir!O12/((1/1000)*(up_Irr!AL12)),IF(AND(up_Irr!N12&lt;&gt;".",up_Irr!AL12=".",up_Irr!BJ12="."),up_dir!O12/((1/1000)*(up_Irr!N12)),IF(AND(up_Irr!N12=".",up_Irr!AL12=".",up_Irr!BJ12="."),up_dir!O12*1000)))))))),".")</f>
        <v>6.5773651144152131E-4</v>
      </c>
      <c r="P12" s="48">
        <f>IFERROR(IF(AND(up_Irr!O12&lt;&gt;".",up_Irr!AM12&lt;&gt;".",up_Irr!BK12&lt;&gt;"."),up_dir!P12/((1/1000)*(up_Irr!O12+up_Irr!AM12+up_Irr!BK12)),IF(AND(up_Irr!O12&lt;&gt;".",up_Irr!AM12&lt;&gt;".",up_Irr!BK12="."),up_dir!P12/((1/1000)*(up_Irr!O12+up_Irr!AM12)),IF(AND(up_Irr!O12&lt;&gt;".",up_Irr!AM12=".",up_Irr!BK12&lt;&gt;"."),up_dir!P12/((1/1000)*(up_Irr!O12+up_Irr!BK12)),IF(AND(up_Irr!O12=".",up_Irr!AM12&lt;&gt;".",up_Irr!BK12&lt;&gt;"."),up_dir!P12/((1/1000)*(up_Irr!AM12+up_Irr!BK12)),IF(AND(up_Irr!O12=".",up_Irr!AM12=".",up_Irr!BK12&lt;&gt;"."),up_dir!P12/((1/1000)*(up_Irr!BK12)),IF(AND(up_Irr!O12=".",up_Irr!AM12&lt;&gt;".",up_Irr!BK12="."),up_dir!P12/((1/1000)*(up_Irr!AM12)),IF(AND(up_Irr!O12&lt;&gt;".",up_Irr!AM12=".",up_Irr!BK12="."),up_dir!P12/((1/1000)*(up_Irr!O12)),IF(AND(up_Irr!O12=".",up_Irr!AM12=".",up_Irr!BK12="."),up_dir!P12*1000)))))))),".")</f>
        <v>6.5773651144152131E-4</v>
      </c>
      <c r="Q12" s="48">
        <f>IFERROR(IF(AND(up_Irr!P12&lt;&gt;".",up_Irr!AN12&lt;&gt;".",up_Irr!BL12&lt;&gt;"."),up_dir!Q12/((1/1000)*(up_Irr!P12+up_Irr!AN12+up_Irr!BL12)),IF(AND(up_Irr!P12&lt;&gt;".",up_Irr!AN12&lt;&gt;".",up_Irr!BL12="."),up_dir!Q12/((1/1000)*(up_Irr!P12+up_Irr!AN12)),IF(AND(up_Irr!P12&lt;&gt;".",up_Irr!AN12=".",up_Irr!BL12&lt;&gt;"."),up_dir!Q12/((1/1000)*(up_Irr!P12+up_Irr!BL12)),IF(AND(up_Irr!P12=".",up_Irr!AN12&lt;&gt;".",up_Irr!BL12&lt;&gt;"."),up_dir!Q12/((1/1000)*(up_Irr!AN12+up_Irr!BL12)),IF(AND(up_Irr!P12=".",up_Irr!AN12=".",up_Irr!BL12&lt;&gt;"."),up_dir!Q12/((1/1000)*(up_Irr!BL12)),IF(AND(up_Irr!P12=".",up_Irr!AN12&lt;&gt;".",up_Irr!BL12="."),up_dir!Q12/((1/1000)*(up_Irr!AN12)),IF(AND(up_Irr!P12&lt;&gt;".",up_Irr!AN12=".",up_Irr!BL12="."),up_dir!Q12/((1/1000)*(up_Irr!P12)),IF(AND(up_Irr!P12=".",up_Irr!AN12=".",up_Irr!BL12="."),up_dir!Q12*1000)))))))),".")</f>
        <v>6.5773651144152131E-4</v>
      </c>
      <c r="R12" s="48">
        <f>IFERROR(IF(AND(up_Irr!Q12&lt;&gt;".",up_Irr!AO12&lt;&gt;".",up_Irr!BM12&lt;&gt;"."),up_dir!R12/((1/1000)*(up_Irr!Q12+up_Irr!AO12+up_Irr!BM12)),IF(AND(up_Irr!Q12&lt;&gt;".",up_Irr!AO12&lt;&gt;".",up_Irr!BM12="."),up_dir!R12/((1/1000)*(up_Irr!Q12+up_Irr!AO12)),IF(AND(up_Irr!Q12&lt;&gt;".",up_Irr!AO12=".",up_Irr!BM12&lt;&gt;"."),up_dir!R12/((1/1000)*(up_Irr!Q12+up_Irr!BM12)),IF(AND(up_Irr!Q12=".",up_Irr!AO12&lt;&gt;".",up_Irr!BM12&lt;&gt;"."),up_dir!R12/((1/1000)*(up_Irr!AO12+up_Irr!BM12)),IF(AND(up_Irr!Q12=".",up_Irr!AO12=".",up_Irr!BM12&lt;&gt;"."),up_dir!R12/((1/1000)*(up_Irr!BM12)),IF(AND(up_Irr!Q12=".",up_Irr!AO12&lt;&gt;".",up_Irr!BM12="."),up_dir!R12/((1/1000)*(up_Irr!AO12)),IF(AND(up_Irr!Q12&lt;&gt;".",up_Irr!AO12=".",up_Irr!BM12="."),up_dir!R12/((1/1000)*(up_Irr!Q12)),IF(AND(up_Irr!Q12=".",up_Irr!AO12=".",up_Irr!BM12="."),up_dir!R12*1000)))))))),".")</f>
        <v>6.5773651144152131E-4</v>
      </c>
      <c r="S12" s="48">
        <f>IFERROR(IF(AND(up_Irr!R12&lt;&gt;".",up_Irr!AP12&lt;&gt;".",up_Irr!BN12&lt;&gt;"."),up_dir!S12/((1/1000)*(up_Irr!R12+up_Irr!AP12+up_Irr!BN12)),IF(AND(up_Irr!R12&lt;&gt;".",up_Irr!AP12&lt;&gt;".",up_Irr!BN12="."),up_dir!S12/((1/1000)*(up_Irr!R12+up_Irr!AP12)),IF(AND(up_Irr!R12&lt;&gt;".",up_Irr!AP12=".",up_Irr!BN12&lt;&gt;"."),up_dir!S12/((1/1000)*(up_Irr!R12+up_Irr!BN12)),IF(AND(up_Irr!R12=".",up_Irr!AP12&lt;&gt;".",up_Irr!BN12&lt;&gt;"."),up_dir!S12/((1/1000)*(up_Irr!AP12+up_Irr!BN12)),IF(AND(up_Irr!R12=".",up_Irr!AP12=".",up_Irr!BN12&lt;&gt;"."),up_dir!S12/((1/1000)*(up_Irr!BN12)),IF(AND(up_Irr!R12=".",up_Irr!AP12&lt;&gt;".",up_Irr!BN12="."),up_dir!S12/((1/1000)*(up_Irr!AP12)),IF(AND(up_Irr!R12&lt;&gt;".",up_Irr!AP12=".",up_Irr!BN12="."),up_dir!S12/((1/1000)*(up_Irr!R12)),IF(AND(up_Irr!R12=".",up_Irr!AP12=".",up_Irr!BN12="."),up_dir!S12*1000)))))))),".")</f>
        <v>6.5773651144152131E-4</v>
      </c>
      <c r="T12" s="48">
        <f>IFERROR(IF(AND(up_Irr!S12&lt;&gt;".",up_Irr!AQ12&lt;&gt;".",up_Irr!BO12&lt;&gt;"."),up_dir!T12/((1/1000)*(up_Irr!S12+up_Irr!AQ12+up_Irr!BO12)),IF(AND(up_Irr!S12&lt;&gt;".",up_Irr!AQ12&lt;&gt;".",up_Irr!BO12="."),up_dir!T12/((1/1000)*(up_Irr!S12+up_Irr!AQ12)),IF(AND(up_Irr!S12&lt;&gt;".",up_Irr!AQ12=".",up_Irr!BO12&lt;&gt;"."),up_dir!T12/((1/1000)*(up_Irr!S12+up_Irr!BO12)),IF(AND(up_Irr!S12=".",up_Irr!AQ12&lt;&gt;".",up_Irr!BO12&lt;&gt;"."),up_dir!T12/((1/1000)*(up_Irr!AQ12+up_Irr!BO12)),IF(AND(up_Irr!S12=".",up_Irr!AQ12=".",up_Irr!BO12&lt;&gt;"."),up_dir!T12/((1/1000)*(up_Irr!BO12)),IF(AND(up_Irr!S12=".",up_Irr!AQ12&lt;&gt;".",up_Irr!BO12="."),up_dir!T12/((1/1000)*(up_Irr!AQ12)),IF(AND(up_Irr!S12&lt;&gt;".",up_Irr!AQ12=".",up_Irr!BO12="."),up_dir!T12/((1/1000)*(up_Irr!S12)),IF(AND(up_Irr!S12=".",up_Irr!AQ12=".",up_Irr!BO12="."),up_dir!T12*1000)))))))),".")</f>
        <v>6.5773651144152131E-4</v>
      </c>
      <c r="U12" s="48">
        <f>IFERROR(IF(AND(up_Irr!T12&lt;&gt;".",up_Irr!AR12&lt;&gt;".",up_Irr!BP12&lt;&gt;"."),up_dir!U12/((1/1000)*(up_Irr!T12+up_Irr!AR12+up_Irr!BP12)),IF(AND(up_Irr!T12&lt;&gt;".",up_Irr!AR12&lt;&gt;".",up_Irr!BP12="."),up_dir!U12/((1/1000)*(up_Irr!T12+up_Irr!AR12)),IF(AND(up_Irr!T12&lt;&gt;".",up_Irr!AR12=".",up_Irr!BP12&lt;&gt;"."),up_dir!U12/((1/1000)*(up_Irr!T12+up_Irr!BP12)),IF(AND(up_Irr!T12=".",up_Irr!AR12&lt;&gt;".",up_Irr!BP12&lt;&gt;"."),up_dir!U12/((1/1000)*(up_Irr!AR12+up_Irr!BP12)),IF(AND(up_Irr!T12=".",up_Irr!AR12=".",up_Irr!BP12&lt;&gt;"."),up_dir!U12/((1/1000)*(up_Irr!BP12)),IF(AND(up_Irr!T12=".",up_Irr!AR12&lt;&gt;".",up_Irr!BP12="."),up_dir!U12/((1/1000)*(up_Irr!AR12)),IF(AND(up_Irr!T12&lt;&gt;".",up_Irr!AR12=".",up_Irr!BP12="."),up_dir!U12/((1/1000)*(up_Irr!T12)),IF(AND(up_Irr!T12=".",up_Irr!AR12=".",up_Irr!BP12="."),up_dir!U12*1000)))))))),".")</f>
        <v>6.5773651144152131E-4</v>
      </c>
      <c r="V12" s="48">
        <f>IFERROR(IF(AND(up_Irr!U12&lt;&gt;".",up_Irr!AS12&lt;&gt;".",up_Irr!BQ12&lt;&gt;"."),up_dir!V12/((1/1000)*(up_Irr!U12+up_Irr!AS12+up_Irr!BQ12)),IF(AND(up_Irr!U12&lt;&gt;".",up_Irr!AS12&lt;&gt;".",up_Irr!BQ12="."),up_dir!V12/((1/1000)*(up_Irr!U12+up_Irr!AS12)),IF(AND(up_Irr!U12&lt;&gt;".",up_Irr!AS12=".",up_Irr!BQ12&lt;&gt;"."),up_dir!V12/((1/1000)*(up_Irr!U12+up_Irr!BQ12)),IF(AND(up_Irr!U12=".",up_Irr!AS12&lt;&gt;".",up_Irr!BQ12&lt;&gt;"."),up_dir!V12/((1/1000)*(up_Irr!AS12+up_Irr!BQ12)),IF(AND(up_Irr!U12=".",up_Irr!AS12=".",up_Irr!BQ12&lt;&gt;"."),up_dir!V12/((1/1000)*(up_Irr!BQ12)),IF(AND(up_Irr!U12=".",up_Irr!AS12&lt;&gt;".",up_Irr!BQ12="."),up_dir!V12/((1/1000)*(up_Irr!AS12)),IF(AND(up_Irr!U12&lt;&gt;".",up_Irr!AS12=".",up_Irr!BQ12="."),up_dir!V12/((1/1000)*(up_Irr!U12)),IF(AND(up_Irr!U12=".",up_Irr!AS12=".",up_Irr!BQ12="."),up_dir!V12*1000)))))))),".")</f>
        <v>6.5773651144152131E-4</v>
      </c>
      <c r="W12" s="48">
        <f>IFERROR(IF(AND(up_Irr!V12&lt;&gt;".",up_Irr!AT12&lt;&gt;".",up_Irr!BR12&lt;&gt;"."),up_dir!W12/((1/1000)*(up_Irr!V12+up_Irr!AT12+up_Irr!BR12)),IF(AND(up_Irr!V12&lt;&gt;".",up_Irr!AT12&lt;&gt;".",up_Irr!BR12="."),up_dir!W12/((1/1000)*(up_Irr!V12+up_Irr!AT12)),IF(AND(up_Irr!V12&lt;&gt;".",up_Irr!AT12=".",up_Irr!BR12&lt;&gt;"."),up_dir!W12/((1/1000)*(up_Irr!V12+up_Irr!BR12)),IF(AND(up_Irr!V12=".",up_Irr!AT12&lt;&gt;".",up_Irr!BR12&lt;&gt;"."),up_dir!W12/((1/1000)*(up_Irr!AT12+up_Irr!BR12)),IF(AND(up_Irr!V12=".",up_Irr!AT12=".",up_Irr!BR12&lt;&gt;"."),up_dir!W12/((1/1000)*(up_Irr!BR12)),IF(AND(up_Irr!V12=".",up_Irr!AT12&lt;&gt;".",up_Irr!BR12="."),up_dir!W12/((1/1000)*(up_Irr!AT12)),IF(AND(up_Irr!V12&lt;&gt;".",up_Irr!AT12=".",up_Irr!BR12="."),up_dir!W12/((1/1000)*(up_Irr!V12)),IF(AND(up_Irr!V12=".",up_Irr!AT12=".",up_Irr!BR12="."),up_dir!W12*1000)))))))),".")</f>
        <v>6.5773651144152131E-4</v>
      </c>
      <c r="X12" s="48">
        <f>IFERROR(IF(AND(up_Irr!W12&lt;&gt;".",up_Irr!AU12&lt;&gt;".",up_Irr!BS12&lt;&gt;"."),up_dir!X12/((1/1000)*(up_Irr!W12+up_Irr!AU12+up_Irr!BS12)),IF(AND(up_Irr!W12&lt;&gt;".",up_Irr!AU12&lt;&gt;".",up_Irr!BS12="."),up_dir!X12/((1/1000)*(up_Irr!W12+up_Irr!AU12)),IF(AND(up_Irr!W12&lt;&gt;".",up_Irr!AU12=".",up_Irr!BS12&lt;&gt;"."),up_dir!X12/((1/1000)*(up_Irr!W12+up_Irr!BS12)),IF(AND(up_Irr!W12=".",up_Irr!AU12&lt;&gt;".",up_Irr!BS12&lt;&gt;"."),up_dir!X12/((1/1000)*(up_Irr!AU12+up_Irr!BS12)),IF(AND(up_Irr!W12=".",up_Irr!AU12=".",up_Irr!BS12&lt;&gt;"."),up_dir!X12/((1/1000)*(up_Irr!BS12)),IF(AND(up_Irr!W12=".",up_Irr!AU12&lt;&gt;".",up_Irr!BS12="."),up_dir!X12/((1/1000)*(up_Irr!AU12)),IF(AND(up_Irr!W12&lt;&gt;".",up_Irr!AU12=".",up_Irr!BS12="."),up_dir!X12/((1/1000)*(up_Irr!W12)),IF(AND(up_Irr!W12=".",up_Irr!AU12=".",up_Irr!BS12="."),up_dir!X12*1000)))))))),".")</f>
        <v>6.5773651144152131E-4</v>
      </c>
      <c r="Y12" s="48">
        <f>IFERROR(IF(AND(up_Irr!X12&lt;&gt;".",up_Irr!AV12&lt;&gt;".",up_Irr!BT12&lt;&gt;"."),up_dir!Y12/((1/1000)*(up_Irr!X12+up_Irr!AV12+up_Irr!BT12)),IF(AND(up_Irr!X12&lt;&gt;".",up_Irr!AV12&lt;&gt;".",up_Irr!BT12="."),up_dir!Y12/((1/1000)*(up_Irr!X12+up_Irr!AV12)),IF(AND(up_Irr!X12&lt;&gt;".",up_Irr!AV12=".",up_Irr!BT12&lt;&gt;"."),up_dir!Y12/((1/1000)*(up_Irr!X12+up_Irr!BT12)),IF(AND(up_Irr!X12=".",up_Irr!AV12&lt;&gt;".",up_Irr!BT12&lt;&gt;"."),up_dir!Y12/((1/1000)*(up_Irr!AV12+up_Irr!BT12)),IF(AND(up_Irr!X12=".",up_Irr!AV12=".",up_Irr!BT12&lt;&gt;"."),up_dir!Y12/((1/1000)*(up_Irr!BT12)),IF(AND(up_Irr!X12=".",up_Irr!AV12&lt;&gt;".",up_Irr!BT12="."),up_dir!Y12/((1/1000)*(up_Irr!AV12)),IF(AND(up_Irr!X12&lt;&gt;".",up_Irr!AV12=".",up_Irr!BT12="."),up_dir!Y12/((1/1000)*(up_Irr!X12)),IF(AND(up_Irr!X12=".",up_Irr!AV12=".",up_Irr!BT12="."),up_dir!Y12*1000)))))))),".")</f>
        <v>6.5773651144152131E-4</v>
      </c>
      <c r="Z12" s="48">
        <f>IFERROR(IF(AND(up_Irr!Y12&lt;&gt;".",up_Irr!AW12&lt;&gt;".",up_Irr!BU12&lt;&gt;"."),up_dir!Z12/((1/1000)*(up_Irr!Y12+up_Irr!AW12+up_Irr!BU12)),IF(AND(up_Irr!Y12&lt;&gt;".",up_Irr!AW12&lt;&gt;".",up_Irr!BU12="."),up_dir!Z12/((1/1000)*(up_Irr!Y12+up_Irr!AW12)),IF(AND(up_Irr!Y12&lt;&gt;".",up_Irr!AW12=".",up_Irr!BU12&lt;&gt;"."),up_dir!Z12/((1/1000)*(up_Irr!Y12+up_Irr!BU12)),IF(AND(up_Irr!Y12=".",up_Irr!AW12&lt;&gt;".",up_Irr!BU12&lt;&gt;"."),up_dir!Z12/((1/1000)*(up_Irr!AW12+up_Irr!BU12)),IF(AND(up_Irr!Y12=".",up_Irr!AW12=".",up_Irr!BU12&lt;&gt;"."),up_dir!Z12/((1/1000)*(up_Irr!BU12)),IF(AND(up_Irr!Y12=".",up_Irr!AW12&lt;&gt;".",up_Irr!BU12="."),up_dir!Z12/((1/1000)*(up_Irr!AW12)),IF(AND(up_Irr!Y12&lt;&gt;".",up_Irr!AW12=".",up_Irr!BU12="."),up_dir!Z12/((1/1000)*(up_Irr!Y12)),IF(AND(up_Irr!Y12=".",up_Irr!AW12=".",up_Irr!BU12="."),up_dir!Z12*1000)))))))),".")</f>
        <v>6.5773651144152131E-4</v>
      </c>
      <c r="AA12" s="48">
        <f>IFERROR(IF(AND(up_Irr!Z12&lt;&gt;".",up_Irr!AX12&lt;&gt;".",up_Irr!BV12&lt;&gt;"."),up_dir!AA12/((1/1000)*(up_Irr!Z12+up_Irr!AX12+up_Irr!BV12)),IF(AND(up_Irr!Z12&lt;&gt;".",up_Irr!AX12&lt;&gt;".",up_Irr!BV12="."),up_dir!AA12/((1/1000)*(up_Irr!Z12+up_Irr!AX12)),IF(AND(up_Irr!Z12&lt;&gt;".",up_Irr!AX12=".",up_Irr!BV12&lt;&gt;"."),up_dir!AA12/((1/1000)*(up_Irr!Z12+up_Irr!BV12)),IF(AND(up_Irr!Z12=".",up_Irr!AX12&lt;&gt;".",up_Irr!BV12&lt;&gt;"."),up_dir!AA12/((1/1000)*(up_Irr!AX12+up_Irr!BV12)),IF(AND(up_Irr!Z12=".",up_Irr!AX12=".",up_Irr!BV12&lt;&gt;"."),up_dir!AA12/((1/1000)*(up_Irr!BV12)),IF(AND(up_Irr!Z12=".",up_Irr!AX12&lt;&gt;".",up_Irr!BV12="."),up_dir!AA12/((1/1000)*(up_Irr!AX12)),IF(AND(up_Irr!Z12&lt;&gt;".",up_Irr!AX12=".",up_Irr!BV12="."),up_dir!AA12/((1/1000)*(up_Irr!Z12)),IF(AND(up_Irr!Z12=".",up_Irr!AX12=".",up_Irr!BV12="."),up_dir!AA12*1000)))))))),".")</f>
        <v>6.5773651144152131E-4</v>
      </c>
      <c r="AB12" s="62">
        <f t="shared" si="1"/>
        <v>22805.4847785862</v>
      </c>
      <c r="AC12" s="62">
        <f>IFERROR(s_C*s_IFAP_res_adj*s_CF_apple*0.001*(up_Irr!C12+up_Irr!AA12+up_Irr!AY12),".")</f>
        <v>7601.8282595287337</v>
      </c>
      <c r="AD12" s="62">
        <f>IFERROR(s_C*s_IFAS_res_adj*s_CF_asparagus*0.001*(up_Irr!D12+up_Irr!AB12+up_Irr!AZ12),".")</f>
        <v>7601.8282595287337</v>
      </c>
      <c r="AE12" s="62">
        <f>IFERROR(s_C*s_IFBT_res_adj*s_CF_beet*0.001*(up_Irr!E12+up_Irr!AC12+up_Irr!BA12),".")</f>
        <v>7601.8282595287337</v>
      </c>
      <c r="AF12" s="62">
        <f>IFERROR(s_C*s_IFBE_res_adj*s_CF_berries*0.001*(up_Irr!F12+up_Irr!AD12+up_Irr!BB12),".")</f>
        <v>7601.8282595287337</v>
      </c>
      <c r="AG12" s="62">
        <f>IFERROR(s_C*s_IFBR_res_adj*s_CF_broccoli*0.001*(up_Irr!G12+up_Irr!AE12+up_Irr!BC12),".")</f>
        <v>7601.8282595287337</v>
      </c>
      <c r="AH12" s="62">
        <f>IFERROR(s_C*s_IFCB_res_adj*s_CF_cabbage*0.001*(up_Irr!H12+up_Irr!AF12+up_Irr!BD12),".")</f>
        <v>7601.8282595287337</v>
      </c>
      <c r="AI12" s="62">
        <f>IFERROR(s_C*s_IFCR_res_adj*s_CF_carrot*0.001*(up_Irr!I12+up_Irr!AG12+up_Irr!BE12),".")</f>
        <v>7601.8282595287337</v>
      </c>
      <c r="AJ12" s="62">
        <f>IFERROR(s_C*s_IFCI_res_adj*s_CF_citrus*0.001*(up_Irr!J12+up_Irr!AH12+up_Irr!BF12),".")</f>
        <v>7601.8282595287337</v>
      </c>
      <c r="AK12" s="62">
        <f>IFERROR(s_C*s_IFCO_res_adj*s_CF_corn*0.001*(up_Irr!K12+up_Irr!AI12+up_Irr!BG12),".")</f>
        <v>7601.8282595287337</v>
      </c>
      <c r="AL12" s="62">
        <f>IFERROR(s_C*s_IFCU_res_adj*s_CF_cucumber*0.001*(up_Irr!L12+up_Irr!AJ12+up_Irr!BH12),".")</f>
        <v>7601.8282595287337</v>
      </c>
      <c r="AM12" s="62">
        <f>IFERROR(s_C*s_IFLE_res_adj*s_CF_lettuce*0.001*(up_Irr!M12+up_Irr!AK12+up_Irr!BI12),".")</f>
        <v>7601.8282595287337</v>
      </c>
      <c r="AN12" s="62">
        <f>IFERROR(s_C*s_IFLI_res_adj*s_CF_lima_bean*0.001*(up_Irr!N12+up_Irr!AL12+up_Irr!BJ12),".")</f>
        <v>7601.8282595287337</v>
      </c>
      <c r="AO12" s="62">
        <f>IFERROR(s_C*s_IFOK_res_adj*s_CF_okra*0.001*(up_Irr!O12+up_Irr!AM12+up_Irr!BK12),".")</f>
        <v>7601.8282595287337</v>
      </c>
      <c r="AP12" s="62">
        <f>IFERROR(s_C*s_IFON_res_adj*s_CF_onion*0.001*(up_Irr!P12+up_Irr!AN12+up_Irr!BL12),".")</f>
        <v>7601.8282595287337</v>
      </c>
      <c r="AQ12" s="62">
        <f>IFERROR(s_C*s_IFPC_res_adj*s_CF_peach*0.001*(up_Irr!Q12+up_Irr!AO12+up_Irr!BM12),".")</f>
        <v>7601.8282595287337</v>
      </c>
      <c r="AR12" s="62">
        <f>IFERROR(s_C*s_IFPR_res_adj*s_CF_pear*0.001*(up_Irr!R12+up_Irr!AP12+up_Irr!BN12),".")</f>
        <v>7601.8282595287337</v>
      </c>
      <c r="AS12" s="62">
        <f>IFERROR(s_C*s_IFPE_res_adj*s_CF_peas*0.001*(up_Irr!S12+up_Irr!AQ12+up_Irr!BO12),".")</f>
        <v>7601.8282595287337</v>
      </c>
      <c r="AT12" s="62">
        <f>IFERROR(s_C*s_IFPT_res_adj*s_CF_potato*0.001*(up_Irr!T12+up_Irr!AR12+up_Irr!BP12),".")</f>
        <v>7601.8282595287337</v>
      </c>
      <c r="AU12" s="62">
        <f>IFERROR(s_C*s_IFPU_res_adj*s_CF_pumpkin*0.001*(up_Irr!U12+up_Irr!AS12+up_Irr!BQ12),".")</f>
        <v>7601.8282595287337</v>
      </c>
      <c r="AV12" s="62">
        <f>IFERROR(s_C*s_IFSN_res_adj*s_CF_snap_bean*0.001*(up_Irr!V12+up_Irr!AT12+up_Irr!BR12),".")</f>
        <v>7601.8282595287337</v>
      </c>
      <c r="AW12" s="62">
        <f>IFERROR(s_C*s_IFST_res_adj*s_CF_strawberry*0.001*(up_Irr!W12+up_Irr!AU12+up_Irr!BS12),".")</f>
        <v>7601.8282595287337</v>
      </c>
      <c r="AX12" s="62">
        <f>IFERROR(s_C*s_IFTO_res_adj*s_CF_tomato*0.001*(up_Irr!X12+up_Irr!AV12+up_Irr!BT12),".")</f>
        <v>7601.8282595287337</v>
      </c>
      <c r="AY12" s="62">
        <f>IFERROR(s_C*s_IFRI_res_adj*s_CF_rice*0.001*(up_Irr!Y12+up_Irr!AW12+up_Irr!BU12),".")</f>
        <v>7601.8282595287337</v>
      </c>
      <c r="AZ12" s="62">
        <f>IFERROR(s_C*s_IFCG_res_adj*s_CF_cereal*0.001*(up_Irr!Z12+up_Irr!AX12+up_Irr!BV12),".")</f>
        <v>7601.8282595287337</v>
      </c>
      <c r="BA12" s="48">
        <f t="shared" si="2"/>
        <v>2.1924550381384044E-4</v>
      </c>
      <c r="BB12" s="48">
        <f>IFERROR(IF(AND(up_Irr!C12&lt;&gt;".",up_Irr!AA12&lt;&gt;".",up_Irr!AY12&lt;&gt;"."),up_dir!AC12/((1/1000)*(up_Irr!C12+up_Irr!AA12+up_Irr!AY12)),IF(AND(up_Irr!C12&lt;&gt;".",up_Irr!AA12&lt;&gt;".",up_Irr!AY12="."),up_dir!AC12/((1/1000)*(up_Irr!C12+up_Irr!AA12)),IF(AND(up_Irr!C12&lt;&gt;".",up_Irr!AA12=".",up_Irr!AY12&lt;&gt;"."),up_dir!AC12/((1/1000)*(up_Irr!C12+up_Irr!AY12)),IF(AND(up_Irr!C12=".",up_Irr!AA12&lt;&gt;".",up_Irr!AY12&lt;&gt;"."),up_dir!AC12/((1/1000)*(up_Irr!AA12+up_Irr!AY12)),IF(AND(up_Irr!C12=".",up_Irr!AA12=".",up_Irr!AY12&lt;&gt;"."),up_dir!AC12/((1/1000)*(up_Irr!AY12)),IF(AND(up_Irr!C12=".",up_Irr!AA12&lt;&gt;".",up_Irr!AY12="."),up_dir!AC12/((1/1000)*(up_Irr!AA12)),IF(AND(up_Irr!C12&lt;&gt;".",up_Irr!AA12=".",up_Irr!AY12="."),up_dir!AC12/((1/1000)*(up_Irr!C12)),IF(AND(up_Irr!C12=".",up_Irr!AA12=".",up_Irr!AY12="."),up_dir!AC12*1000)))))))),".")</f>
        <v>6.5773651144152131E-4</v>
      </c>
      <c r="BC12" s="48">
        <f>IFERROR(IF(AND(up_Irr!D12&lt;&gt;".",up_Irr!AB12&lt;&gt;".",up_Irr!AZ12&lt;&gt;"."),up_dir!AD12/((1/1000)*(up_Irr!D12+up_Irr!AB12+up_Irr!AZ12)),IF(AND(up_Irr!D12&lt;&gt;".",up_Irr!AB12&lt;&gt;".",up_Irr!AZ12="."),up_dir!AD12/((1/1000)*(up_Irr!D12+up_Irr!AB12)),IF(AND(up_Irr!D12&lt;&gt;".",up_Irr!AB12=".",up_Irr!AZ12&lt;&gt;"."),up_dir!AD12/((1/1000)*(up_Irr!D12+up_Irr!AZ12)),IF(AND(up_Irr!D12=".",up_Irr!AB12&lt;&gt;".",up_Irr!AZ12&lt;&gt;"."),up_dir!AD12/((1/1000)*(up_Irr!AB12+up_Irr!AZ12)),IF(AND(up_Irr!D12=".",up_Irr!AB12=".",up_Irr!AZ12&lt;&gt;"."),up_dir!AD12/((1/1000)*(up_Irr!AZ12)),IF(AND(up_Irr!D12=".",up_Irr!AB12&lt;&gt;".",up_Irr!AZ12="."),up_dir!AD12/((1/1000)*(up_Irr!AB12)),IF(AND(up_Irr!D12&lt;&gt;".",up_Irr!AB12=".",up_Irr!AZ12="."),up_dir!AD12/((1/1000)*(up_Irr!D12)),IF(AND(up_Irr!D12=".",up_Irr!AB12=".",up_Irr!AZ12="."),up_dir!AD12*1000)))))))),".")</f>
        <v>6.5773651144152131E-4</v>
      </c>
      <c r="BD12" s="48">
        <f>IFERROR(IF(AND(up_Irr!E12&lt;&gt;".",up_Irr!AC12&lt;&gt;".",up_Irr!BA12&lt;&gt;"."),up_dir!AE12/((1/1000)*(up_Irr!E12+up_Irr!AC12+up_Irr!BA12)),IF(AND(up_Irr!E12&lt;&gt;".",up_Irr!AC12&lt;&gt;".",up_Irr!BA12="."),up_dir!AE12/((1/1000)*(up_Irr!E12+up_Irr!AC12)),IF(AND(up_Irr!E12&lt;&gt;".",up_Irr!AC12=".",up_Irr!BA12&lt;&gt;"."),up_dir!AE12/((1/1000)*(up_Irr!E12+up_Irr!BA12)),IF(AND(up_Irr!E12=".",up_Irr!AC12&lt;&gt;".",up_Irr!BA12&lt;&gt;"."),up_dir!AE12/((1/1000)*(up_Irr!AC12+up_Irr!BA12)),IF(AND(up_Irr!E12=".",up_Irr!AC12=".",up_Irr!BA12&lt;&gt;"."),up_dir!AE12/((1/1000)*(up_Irr!BA12)),IF(AND(up_Irr!E12=".",up_Irr!AC12&lt;&gt;".",up_Irr!BA12="."),up_dir!AE12/((1/1000)*(up_Irr!AC12)),IF(AND(up_Irr!E12&lt;&gt;".",up_Irr!AC12=".",up_Irr!BA12="."),up_dir!AE12/((1/1000)*(up_Irr!E12)),IF(AND(up_Irr!E12=".",up_Irr!AC12=".",up_Irr!BA12="."),up_dir!AE12*1000)))))))),".")</f>
        <v>6.5773651144152131E-4</v>
      </c>
      <c r="BE12" s="48">
        <f>IFERROR(IF(AND(up_Irr!F12&lt;&gt;".",up_Irr!AD12&lt;&gt;".",up_Irr!BB12&lt;&gt;"."),up_dir!AF12/((1/1000)*(up_Irr!F12+up_Irr!AD12+up_Irr!BB12)),IF(AND(up_Irr!F12&lt;&gt;".",up_Irr!AD12&lt;&gt;".",up_Irr!BB12="."),up_dir!AF12/((1/1000)*(up_Irr!F12+up_Irr!AD12)),IF(AND(up_Irr!F12&lt;&gt;".",up_Irr!AD12=".",up_Irr!BB12&lt;&gt;"."),up_dir!AF12/((1/1000)*(up_Irr!F12+up_Irr!BB12)),IF(AND(up_Irr!F12=".",up_Irr!AD12&lt;&gt;".",up_Irr!BB12&lt;&gt;"."),up_dir!AF12/((1/1000)*(up_Irr!AD12+up_Irr!BB12)),IF(AND(up_Irr!F12=".",up_Irr!AD12=".",up_Irr!BB12&lt;&gt;"."),up_dir!AF12/((1/1000)*(up_Irr!BB12)),IF(AND(up_Irr!F12=".",up_Irr!AD12&lt;&gt;".",up_Irr!BB12="."),up_dir!AF12/((1/1000)*(up_Irr!AD12)),IF(AND(up_Irr!F12&lt;&gt;".",up_Irr!AD12=".",up_Irr!BB12="."),up_dir!AF12/((1/1000)*(up_Irr!F12)),IF(AND(up_Irr!F12=".",up_Irr!AD12=".",up_Irr!BB12="."),up_dir!AF12*1000)))))))),".")</f>
        <v>6.5773651144152131E-4</v>
      </c>
      <c r="BF12" s="48">
        <f>IFERROR(IF(AND(up_Irr!G12&lt;&gt;".",up_Irr!AE12&lt;&gt;".",up_Irr!BC12&lt;&gt;"."),up_dir!AG12/((1/1000)*(up_Irr!G12+up_Irr!AE12+up_Irr!BC12)),IF(AND(up_Irr!G12&lt;&gt;".",up_Irr!AE12&lt;&gt;".",up_Irr!BC12="."),up_dir!AG12/((1/1000)*(up_Irr!G12+up_Irr!AE12)),IF(AND(up_Irr!G12&lt;&gt;".",up_Irr!AE12=".",up_Irr!BC12&lt;&gt;"."),up_dir!AG12/((1/1000)*(up_Irr!G12+up_Irr!BC12)),IF(AND(up_Irr!G12=".",up_Irr!AE12&lt;&gt;".",up_Irr!BC12&lt;&gt;"."),up_dir!AG12/((1/1000)*(up_Irr!AE12+up_Irr!BC12)),IF(AND(up_Irr!G12=".",up_Irr!AE12=".",up_Irr!BC12&lt;&gt;"."),up_dir!AG12/((1/1000)*(up_Irr!BC12)),IF(AND(up_Irr!G12=".",up_Irr!AE12&lt;&gt;".",up_Irr!BC12="."),up_dir!AG12/((1/1000)*(up_Irr!AE12)),IF(AND(up_Irr!G12&lt;&gt;".",up_Irr!AE12=".",up_Irr!BC12="."),up_dir!AG12/((1/1000)*(up_Irr!G12)),IF(AND(up_Irr!G12=".",up_Irr!AE12=".",up_Irr!BC12="."),up_dir!AG12*1000)))))))),".")</f>
        <v>6.5773651144152131E-4</v>
      </c>
      <c r="BG12" s="48">
        <f>IFERROR(IF(AND(up_Irr!H12&lt;&gt;".",up_Irr!AF12&lt;&gt;".",up_Irr!BD12&lt;&gt;"."),up_dir!AH12/((1/1000)*(up_Irr!H12+up_Irr!AF12+up_Irr!BD12)),IF(AND(up_Irr!H12&lt;&gt;".",up_Irr!AF12&lt;&gt;".",up_Irr!BD12="."),up_dir!AH12/((1/1000)*(up_Irr!H12+up_Irr!AF12)),IF(AND(up_Irr!H12&lt;&gt;".",up_Irr!AF12=".",up_Irr!BD12&lt;&gt;"."),up_dir!AH12/((1/1000)*(up_Irr!H12+up_Irr!BD12)),IF(AND(up_Irr!H12=".",up_Irr!AF12&lt;&gt;".",up_Irr!BD12&lt;&gt;"."),up_dir!AH12/((1/1000)*(up_Irr!AF12+up_Irr!BD12)),IF(AND(up_Irr!H12=".",up_Irr!AF12=".",up_Irr!BD12&lt;&gt;"."),up_dir!AH12/((1/1000)*(up_Irr!BD12)),IF(AND(up_Irr!H12=".",up_Irr!AF12&lt;&gt;".",up_Irr!BD12="."),up_dir!AH12/((1/1000)*(up_Irr!AF12)),IF(AND(up_Irr!H12&lt;&gt;".",up_Irr!AF12=".",up_Irr!BD12="."),up_dir!AH12/((1/1000)*(up_Irr!H12)),IF(AND(up_Irr!H12=".",up_Irr!AF12=".",up_Irr!BD12="."),up_dir!AH12*1000)))))))),".")</f>
        <v>6.5773651144152131E-4</v>
      </c>
      <c r="BH12" s="48">
        <f>IFERROR(IF(AND(up_Irr!I12&lt;&gt;".",up_Irr!AG12&lt;&gt;".",up_Irr!BE12&lt;&gt;"."),up_dir!AI12/((1/1000)*(up_Irr!I12+up_Irr!AG12+up_Irr!BE12)),IF(AND(up_Irr!I12&lt;&gt;".",up_Irr!AG12&lt;&gt;".",up_Irr!BE12="."),up_dir!AI12/((1/1000)*(up_Irr!I12+up_Irr!AG12)),IF(AND(up_Irr!I12&lt;&gt;".",up_Irr!AG12=".",up_Irr!BE12&lt;&gt;"."),up_dir!AI12/((1/1000)*(up_Irr!I12+up_Irr!BE12)),IF(AND(up_Irr!I12=".",up_Irr!AG12&lt;&gt;".",up_Irr!BE12&lt;&gt;"."),up_dir!AI12/((1/1000)*(up_Irr!AG12+up_Irr!BE12)),IF(AND(up_Irr!I12=".",up_Irr!AG12=".",up_Irr!BE12&lt;&gt;"."),up_dir!AI12/((1/1000)*(up_Irr!BE12)),IF(AND(up_Irr!I12=".",up_Irr!AG12&lt;&gt;".",up_Irr!BE12="."),up_dir!AI12/((1/1000)*(up_Irr!AG12)),IF(AND(up_Irr!I12&lt;&gt;".",up_Irr!AG12=".",up_Irr!BE12="."),up_dir!AI12/((1/1000)*(up_Irr!I12)),IF(AND(up_Irr!I12=".",up_Irr!AG12=".",up_Irr!BE12="."),up_dir!AI12*1000)))))))),".")</f>
        <v>6.5773651144152131E-4</v>
      </c>
      <c r="BI12" s="48">
        <f>IFERROR(IF(AND(up_Irr!J12&lt;&gt;".",up_Irr!AH12&lt;&gt;".",up_Irr!BF12&lt;&gt;"."),up_dir!AJ12/((1/1000)*(up_Irr!J12+up_Irr!AH12+up_Irr!BF12)),IF(AND(up_Irr!J12&lt;&gt;".",up_Irr!AH12&lt;&gt;".",up_Irr!BF12="."),up_dir!AJ12/((1/1000)*(up_Irr!J12+up_Irr!AH12)),IF(AND(up_Irr!J12&lt;&gt;".",up_Irr!AH12=".",up_Irr!BF12&lt;&gt;"."),up_dir!AJ12/((1/1000)*(up_Irr!J12+up_Irr!BF12)),IF(AND(up_Irr!J12=".",up_Irr!AH12&lt;&gt;".",up_Irr!BF12&lt;&gt;"."),up_dir!AJ12/((1/1000)*(up_Irr!AH12+up_Irr!BF12)),IF(AND(up_Irr!J12=".",up_Irr!AH12=".",up_Irr!BF12&lt;&gt;"."),up_dir!AJ12/((1/1000)*(up_Irr!BF12)),IF(AND(up_Irr!J12=".",up_Irr!AH12&lt;&gt;".",up_Irr!BF12="."),up_dir!AJ12/((1/1000)*(up_Irr!AH12)),IF(AND(up_Irr!J12&lt;&gt;".",up_Irr!AH12=".",up_Irr!BF12="."),up_dir!AJ12/((1/1000)*(up_Irr!J12)),IF(AND(up_Irr!J12=".",up_Irr!AH12=".",up_Irr!BF12="."),up_dir!AJ12*1000)))))))),".")</f>
        <v>6.5773651144152131E-4</v>
      </c>
      <c r="BJ12" s="48">
        <f>IFERROR(IF(AND(up_Irr!K12&lt;&gt;".",up_Irr!AI12&lt;&gt;".",up_Irr!BG12&lt;&gt;"."),up_dir!AK12/((1/1000)*(up_Irr!K12+up_Irr!AI12+up_Irr!BG12)),IF(AND(up_Irr!K12&lt;&gt;".",up_Irr!AI12&lt;&gt;".",up_Irr!BG12="."),up_dir!AK12/((1/1000)*(up_Irr!K12+up_Irr!AI12)),IF(AND(up_Irr!K12&lt;&gt;".",up_Irr!AI12=".",up_Irr!BG12&lt;&gt;"."),up_dir!AK12/((1/1000)*(up_Irr!K12+up_Irr!BG12)),IF(AND(up_Irr!K12=".",up_Irr!AI12&lt;&gt;".",up_Irr!BG12&lt;&gt;"."),up_dir!AK12/((1/1000)*(up_Irr!AI12+up_Irr!BG12)),IF(AND(up_Irr!K12=".",up_Irr!AI12=".",up_Irr!BG12&lt;&gt;"."),up_dir!AK12/((1/1000)*(up_Irr!BG12)),IF(AND(up_Irr!K12=".",up_Irr!AI12&lt;&gt;".",up_Irr!BG12="."),up_dir!AK12/((1/1000)*(up_Irr!AI12)),IF(AND(up_Irr!K12&lt;&gt;".",up_Irr!AI12=".",up_Irr!BG12="."),up_dir!AK12/((1/1000)*(up_Irr!K12)),IF(AND(up_Irr!K12=".",up_Irr!AI12=".",up_Irr!BG12="."),up_dir!AK12*1000)))))))),".")</f>
        <v>6.5773651144152131E-4</v>
      </c>
      <c r="BK12" s="48">
        <f>IFERROR(IF(AND(up_Irr!L12&lt;&gt;".",up_Irr!AJ12&lt;&gt;".",up_Irr!BH12&lt;&gt;"."),up_dir!AL12/((1/1000)*(up_Irr!L12+up_Irr!AJ12+up_Irr!BH12)),IF(AND(up_Irr!L12&lt;&gt;".",up_Irr!AJ12&lt;&gt;".",up_Irr!BH12="."),up_dir!AL12/((1/1000)*(up_Irr!L12+up_Irr!AJ12)),IF(AND(up_Irr!L12&lt;&gt;".",up_Irr!AJ12=".",up_Irr!BH12&lt;&gt;"."),up_dir!AL12/((1/1000)*(up_Irr!L12+up_Irr!BH12)),IF(AND(up_Irr!L12=".",up_Irr!AJ12&lt;&gt;".",up_Irr!BH12&lt;&gt;"."),up_dir!AL12/((1/1000)*(up_Irr!AJ12+up_Irr!BH12)),IF(AND(up_Irr!L12=".",up_Irr!AJ12=".",up_Irr!BH12&lt;&gt;"."),up_dir!AL12/((1/1000)*(up_Irr!BH12)),IF(AND(up_Irr!L12=".",up_Irr!AJ12&lt;&gt;".",up_Irr!BH12="."),up_dir!AL12/((1/1000)*(up_Irr!AJ12)),IF(AND(up_Irr!L12&lt;&gt;".",up_Irr!AJ12=".",up_Irr!BH12="."),up_dir!AL12/((1/1000)*(up_Irr!L12)),IF(AND(up_Irr!L12=".",up_Irr!AJ12=".",up_Irr!BH12="."),up_dir!AL12*1000)))))))),".")</f>
        <v>6.5773651144152131E-4</v>
      </c>
      <c r="BL12" s="48">
        <f>IFERROR(IF(AND(up_Irr!M12&lt;&gt;".",up_Irr!AK12&lt;&gt;".",up_Irr!BI12&lt;&gt;"."),up_dir!AM12/((1/1000)*(up_Irr!M12+up_Irr!AK12+up_Irr!BI12)),IF(AND(up_Irr!M12&lt;&gt;".",up_Irr!AK12&lt;&gt;".",up_Irr!BI12="."),up_dir!AM12/((1/1000)*(up_Irr!M12+up_Irr!AK12)),IF(AND(up_Irr!M12&lt;&gt;".",up_Irr!AK12=".",up_Irr!BI12&lt;&gt;"."),up_dir!AM12/((1/1000)*(up_Irr!M12+up_Irr!BI12)),IF(AND(up_Irr!M12=".",up_Irr!AK12&lt;&gt;".",up_Irr!BI12&lt;&gt;"."),up_dir!AM12/((1/1000)*(up_Irr!AK12+up_Irr!BI12)),IF(AND(up_Irr!M12=".",up_Irr!AK12=".",up_Irr!BI12&lt;&gt;"."),up_dir!AM12/((1/1000)*(up_Irr!BI12)),IF(AND(up_Irr!M12=".",up_Irr!AK12&lt;&gt;".",up_Irr!BI12="."),up_dir!AM12/((1/1000)*(up_Irr!AK12)),IF(AND(up_Irr!M12&lt;&gt;".",up_Irr!AK12=".",up_Irr!BI12="."),up_dir!AM12/((1/1000)*(up_Irr!M12)),IF(AND(up_Irr!M12=".",up_Irr!AK12=".",up_Irr!BI12="."),up_dir!AM12*1000)))))))),".")</f>
        <v>6.5773651144152131E-4</v>
      </c>
      <c r="BM12" s="48">
        <f>IFERROR(IF(AND(up_Irr!N12&lt;&gt;".",up_Irr!AL12&lt;&gt;".",up_Irr!BJ12&lt;&gt;"."),up_dir!AN12/((1/1000)*(up_Irr!N12+up_Irr!AL12+up_Irr!BJ12)),IF(AND(up_Irr!N12&lt;&gt;".",up_Irr!AL12&lt;&gt;".",up_Irr!BJ12="."),up_dir!AN12/((1/1000)*(up_Irr!N12+up_Irr!AL12)),IF(AND(up_Irr!N12&lt;&gt;".",up_Irr!AL12=".",up_Irr!BJ12&lt;&gt;"."),up_dir!AN12/((1/1000)*(up_Irr!N12+up_Irr!BJ12)),IF(AND(up_Irr!N12=".",up_Irr!AL12&lt;&gt;".",up_Irr!BJ12&lt;&gt;"."),up_dir!AN12/((1/1000)*(up_Irr!AL12+up_Irr!BJ12)),IF(AND(up_Irr!N12=".",up_Irr!AL12=".",up_Irr!BJ12&lt;&gt;"."),up_dir!AN12/((1/1000)*(up_Irr!BJ12)),IF(AND(up_Irr!N12=".",up_Irr!AL12&lt;&gt;".",up_Irr!BJ12="."),up_dir!AN12/((1/1000)*(up_Irr!AL12)),IF(AND(up_Irr!N12&lt;&gt;".",up_Irr!AL12=".",up_Irr!BJ12="."),up_dir!AN12/((1/1000)*(up_Irr!N12)),IF(AND(up_Irr!N12=".",up_Irr!AL12=".",up_Irr!BJ12="."),up_dir!AN12*1000)))))))),".")</f>
        <v>6.5773651144152131E-4</v>
      </c>
      <c r="BN12" s="48">
        <f>IFERROR(IF(AND(up_Irr!O12&lt;&gt;".",up_Irr!AM12&lt;&gt;".",up_Irr!BK12&lt;&gt;"."),up_dir!AO12/((1/1000)*(up_Irr!O12+up_Irr!AM12+up_Irr!BK12)),IF(AND(up_Irr!O12&lt;&gt;".",up_Irr!AM12&lt;&gt;".",up_Irr!BK12="."),up_dir!AO12/((1/1000)*(up_Irr!O12+up_Irr!AM12)),IF(AND(up_Irr!O12&lt;&gt;".",up_Irr!AM12=".",up_Irr!BK12&lt;&gt;"."),up_dir!AO12/((1/1000)*(up_Irr!O12+up_Irr!BK12)),IF(AND(up_Irr!O12=".",up_Irr!AM12&lt;&gt;".",up_Irr!BK12&lt;&gt;"."),up_dir!AO12/((1/1000)*(up_Irr!AM12+up_Irr!BK12)),IF(AND(up_Irr!O12=".",up_Irr!AM12=".",up_Irr!BK12&lt;&gt;"."),up_dir!AO12/((1/1000)*(up_Irr!BK12)),IF(AND(up_Irr!O12=".",up_Irr!AM12&lt;&gt;".",up_Irr!BK12="."),up_dir!AO12/((1/1000)*(up_Irr!AM12)),IF(AND(up_Irr!O12&lt;&gt;".",up_Irr!AM12=".",up_Irr!BK12="."),up_dir!AO12/((1/1000)*(up_Irr!O12)),IF(AND(up_Irr!O12=".",up_Irr!AM12=".",up_Irr!BK12="."),up_dir!AO12*1000)))))))),".")</f>
        <v>6.5773651144152131E-4</v>
      </c>
      <c r="BO12" s="48">
        <f>IFERROR(IF(AND(up_Irr!P12&lt;&gt;".",up_Irr!AN12&lt;&gt;".",up_Irr!BL12&lt;&gt;"."),up_dir!AP12/((1/1000)*(up_Irr!P12+up_Irr!AN12+up_Irr!BL12)),IF(AND(up_Irr!P12&lt;&gt;".",up_Irr!AN12&lt;&gt;".",up_Irr!BL12="."),up_dir!AP12/((1/1000)*(up_Irr!P12+up_Irr!AN12)),IF(AND(up_Irr!P12&lt;&gt;".",up_Irr!AN12=".",up_Irr!BL12&lt;&gt;"."),up_dir!AP12/((1/1000)*(up_Irr!P12+up_Irr!BL12)),IF(AND(up_Irr!P12=".",up_Irr!AN12&lt;&gt;".",up_Irr!BL12&lt;&gt;"."),up_dir!AP12/((1/1000)*(up_Irr!AN12+up_Irr!BL12)),IF(AND(up_Irr!P12=".",up_Irr!AN12=".",up_Irr!BL12&lt;&gt;"."),up_dir!AP12/((1/1000)*(up_Irr!BL12)),IF(AND(up_Irr!P12=".",up_Irr!AN12&lt;&gt;".",up_Irr!BL12="."),up_dir!AP12/((1/1000)*(up_Irr!AN12)),IF(AND(up_Irr!P12&lt;&gt;".",up_Irr!AN12=".",up_Irr!BL12="."),up_dir!AP12/((1/1000)*(up_Irr!P12)),IF(AND(up_Irr!P12=".",up_Irr!AN12=".",up_Irr!BL12="."),up_dir!AP12*1000)))))))),".")</f>
        <v>6.5773651144152131E-4</v>
      </c>
      <c r="BP12" s="48">
        <f>IFERROR(IF(AND(up_Irr!Q12&lt;&gt;".",up_Irr!AO12&lt;&gt;".",up_Irr!BM12&lt;&gt;"."),up_dir!AQ12/((1/1000)*(up_Irr!Q12+up_Irr!AO12+up_Irr!BM12)),IF(AND(up_Irr!Q12&lt;&gt;".",up_Irr!AO12&lt;&gt;".",up_Irr!BM12="."),up_dir!AQ12/((1/1000)*(up_Irr!Q12+up_Irr!AO12)),IF(AND(up_Irr!Q12&lt;&gt;".",up_Irr!AO12=".",up_Irr!BM12&lt;&gt;"."),up_dir!AQ12/((1/1000)*(up_Irr!Q12+up_Irr!BM12)),IF(AND(up_Irr!Q12=".",up_Irr!AO12&lt;&gt;".",up_Irr!BM12&lt;&gt;"."),up_dir!AQ12/((1/1000)*(up_Irr!AO12+up_Irr!BM12)),IF(AND(up_Irr!Q12=".",up_Irr!AO12=".",up_Irr!BM12&lt;&gt;"."),up_dir!AQ12/((1/1000)*(up_Irr!BM12)),IF(AND(up_Irr!Q12=".",up_Irr!AO12&lt;&gt;".",up_Irr!BM12="."),up_dir!AQ12/((1/1000)*(up_Irr!AO12)),IF(AND(up_Irr!Q12&lt;&gt;".",up_Irr!AO12=".",up_Irr!BM12="."),up_dir!AQ12/((1/1000)*(up_Irr!Q12)),IF(AND(up_Irr!Q12=".",up_Irr!AO12=".",up_Irr!BM12="."),up_dir!AQ12*1000)))))))),".")</f>
        <v>6.5773651144152131E-4</v>
      </c>
      <c r="BQ12" s="48">
        <f>IFERROR(IF(AND(up_Irr!R12&lt;&gt;".",up_Irr!AP12&lt;&gt;".",up_Irr!BN12&lt;&gt;"."),up_dir!AR12/((1/1000)*(up_Irr!R12+up_Irr!AP12+up_Irr!BN12)),IF(AND(up_Irr!R12&lt;&gt;".",up_Irr!AP12&lt;&gt;".",up_Irr!BN12="."),up_dir!AR12/((1/1000)*(up_Irr!R12+up_Irr!AP12)),IF(AND(up_Irr!R12&lt;&gt;".",up_Irr!AP12=".",up_Irr!BN12&lt;&gt;"."),up_dir!AR12/((1/1000)*(up_Irr!R12+up_Irr!BN12)),IF(AND(up_Irr!R12=".",up_Irr!AP12&lt;&gt;".",up_Irr!BN12&lt;&gt;"."),up_dir!AR12/((1/1000)*(up_Irr!AP12+up_Irr!BN12)),IF(AND(up_Irr!R12=".",up_Irr!AP12=".",up_Irr!BN12&lt;&gt;"."),up_dir!AR12/((1/1000)*(up_Irr!BN12)),IF(AND(up_Irr!R12=".",up_Irr!AP12&lt;&gt;".",up_Irr!BN12="."),up_dir!AR12/((1/1000)*(up_Irr!AP12)),IF(AND(up_Irr!R12&lt;&gt;".",up_Irr!AP12=".",up_Irr!BN12="."),up_dir!AR12/((1/1000)*(up_Irr!R12)),IF(AND(up_Irr!R12=".",up_Irr!AP12=".",up_Irr!BN12="."),up_dir!AR12*1000)))))))),".")</f>
        <v>6.5773651144152131E-4</v>
      </c>
      <c r="BR12" s="48">
        <f>IFERROR(IF(AND(up_Irr!S12&lt;&gt;".",up_Irr!AQ12&lt;&gt;".",up_Irr!BO12&lt;&gt;"."),up_dir!AS12/((1/1000)*(up_Irr!S12+up_Irr!AQ12+up_Irr!BO12)),IF(AND(up_Irr!S12&lt;&gt;".",up_Irr!AQ12&lt;&gt;".",up_Irr!BO12="."),up_dir!AS12/((1/1000)*(up_Irr!S12+up_Irr!AQ12)),IF(AND(up_Irr!S12&lt;&gt;".",up_Irr!AQ12=".",up_Irr!BO12&lt;&gt;"."),up_dir!AS12/((1/1000)*(up_Irr!S12+up_Irr!BO12)),IF(AND(up_Irr!S12=".",up_Irr!AQ12&lt;&gt;".",up_Irr!BO12&lt;&gt;"."),up_dir!AS12/((1/1000)*(up_Irr!AQ12+up_Irr!BO12)),IF(AND(up_Irr!S12=".",up_Irr!AQ12=".",up_Irr!BO12&lt;&gt;"."),up_dir!AS12/((1/1000)*(up_Irr!BO12)),IF(AND(up_Irr!S12=".",up_Irr!AQ12&lt;&gt;".",up_Irr!BO12="."),up_dir!AS12/((1/1000)*(up_Irr!AQ12)),IF(AND(up_Irr!S12&lt;&gt;".",up_Irr!AQ12=".",up_Irr!BO12="."),up_dir!AS12/((1/1000)*(up_Irr!S12)),IF(AND(up_Irr!S12=".",up_Irr!AQ12=".",up_Irr!BO12="."),up_dir!AS12*1000)))))))),".")</f>
        <v>6.5773651144152131E-4</v>
      </c>
      <c r="BS12" s="48">
        <f>IFERROR(IF(AND(up_Irr!T12&lt;&gt;".",up_Irr!AR12&lt;&gt;".",up_Irr!BP12&lt;&gt;"."),up_dir!AT12/((1/1000)*(up_Irr!T12+up_Irr!AR12+up_Irr!BP12)),IF(AND(up_Irr!T12&lt;&gt;".",up_Irr!AR12&lt;&gt;".",up_Irr!BP12="."),up_dir!AT12/((1/1000)*(up_Irr!T12+up_Irr!AR12)),IF(AND(up_Irr!T12&lt;&gt;".",up_Irr!AR12=".",up_Irr!BP12&lt;&gt;"."),up_dir!AT12/((1/1000)*(up_Irr!T12+up_Irr!BP12)),IF(AND(up_Irr!T12=".",up_Irr!AR12&lt;&gt;".",up_Irr!BP12&lt;&gt;"."),up_dir!AT12/((1/1000)*(up_Irr!AR12+up_Irr!BP12)),IF(AND(up_Irr!T12=".",up_Irr!AR12=".",up_Irr!BP12&lt;&gt;"."),up_dir!AT12/((1/1000)*(up_Irr!BP12)),IF(AND(up_Irr!T12=".",up_Irr!AR12&lt;&gt;".",up_Irr!BP12="."),up_dir!AT12/((1/1000)*(up_Irr!AR12)),IF(AND(up_Irr!T12&lt;&gt;".",up_Irr!AR12=".",up_Irr!BP12="."),up_dir!AT12/((1/1000)*(up_Irr!T12)),IF(AND(up_Irr!T12=".",up_Irr!AR12=".",up_Irr!BP12="."),up_dir!AT12*1000)))))))),".")</f>
        <v>6.5773651144152131E-4</v>
      </c>
      <c r="BT12" s="48">
        <f>IFERROR(IF(AND(up_Irr!U12&lt;&gt;".",up_Irr!AS12&lt;&gt;".",up_Irr!BQ12&lt;&gt;"."),up_dir!AU12/((1/1000)*(up_Irr!U12+up_Irr!AS12+up_Irr!BQ12)),IF(AND(up_Irr!U12&lt;&gt;".",up_Irr!AS12&lt;&gt;".",up_Irr!BQ12="."),up_dir!AU12/((1/1000)*(up_Irr!U12+up_Irr!AS12)),IF(AND(up_Irr!U12&lt;&gt;".",up_Irr!AS12=".",up_Irr!BQ12&lt;&gt;"."),up_dir!AU12/((1/1000)*(up_Irr!U12+up_Irr!BQ12)),IF(AND(up_Irr!U12=".",up_Irr!AS12&lt;&gt;".",up_Irr!BQ12&lt;&gt;"."),up_dir!AU12/((1/1000)*(up_Irr!AS12+up_Irr!BQ12)),IF(AND(up_Irr!U12=".",up_Irr!AS12=".",up_Irr!BQ12&lt;&gt;"."),up_dir!AU12/((1/1000)*(up_Irr!BQ12)),IF(AND(up_Irr!U12=".",up_Irr!AS12&lt;&gt;".",up_Irr!BQ12="."),up_dir!AU12/((1/1000)*(up_Irr!AS12)),IF(AND(up_Irr!U12&lt;&gt;".",up_Irr!AS12=".",up_Irr!BQ12="."),up_dir!AU12/((1/1000)*(up_Irr!U12)),IF(AND(up_Irr!U12=".",up_Irr!AS12=".",up_Irr!BQ12="."),up_dir!AU12*1000)))))))),".")</f>
        <v>6.5773651144152131E-4</v>
      </c>
      <c r="BU12" s="48">
        <f>IFERROR(IF(AND(up_Irr!V12&lt;&gt;".",up_Irr!AT12&lt;&gt;".",up_Irr!BR12&lt;&gt;"."),up_dir!AV12/((1/1000)*(up_Irr!V12+up_Irr!AT12+up_Irr!BR12)),IF(AND(up_Irr!V12&lt;&gt;".",up_Irr!AT12&lt;&gt;".",up_Irr!BR12="."),up_dir!AV12/((1/1000)*(up_Irr!V12+up_Irr!AT12)),IF(AND(up_Irr!V12&lt;&gt;".",up_Irr!AT12=".",up_Irr!BR12&lt;&gt;"."),up_dir!AV12/((1/1000)*(up_Irr!V12+up_Irr!BR12)),IF(AND(up_Irr!V12=".",up_Irr!AT12&lt;&gt;".",up_Irr!BR12&lt;&gt;"."),up_dir!AV12/((1/1000)*(up_Irr!AT12+up_Irr!BR12)),IF(AND(up_Irr!V12=".",up_Irr!AT12=".",up_Irr!BR12&lt;&gt;"."),up_dir!AV12/((1/1000)*(up_Irr!BR12)),IF(AND(up_Irr!V12=".",up_Irr!AT12&lt;&gt;".",up_Irr!BR12="."),up_dir!AV12/((1/1000)*(up_Irr!AT12)),IF(AND(up_Irr!V12&lt;&gt;".",up_Irr!AT12=".",up_Irr!BR12="."),up_dir!AV12/((1/1000)*(up_Irr!V12)),IF(AND(up_Irr!V12=".",up_Irr!AT12=".",up_Irr!BR12="."),up_dir!AV12*1000)))))))),".")</f>
        <v>6.5773651144152131E-4</v>
      </c>
      <c r="BV12" s="48">
        <f>IFERROR(IF(AND(up_Irr!W12&lt;&gt;".",up_Irr!AU12&lt;&gt;".",up_Irr!BS12&lt;&gt;"."),up_dir!AW12/((1/1000)*(up_Irr!W12+up_Irr!AU12+up_Irr!BS12)),IF(AND(up_Irr!W12&lt;&gt;".",up_Irr!AU12&lt;&gt;".",up_Irr!BS12="."),up_dir!AW12/((1/1000)*(up_Irr!W12+up_Irr!AU12)),IF(AND(up_Irr!W12&lt;&gt;".",up_Irr!AU12=".",up_Irr!BS12&lt;&gt;"."),up_dir!AW12/((1/1000)*(up_Irr!W12+up_Irr!BS12)),IF(AND(up_Irr!W12=".",up_Irr!AU12&lt;&gt;".",up_Irr!BS12&lt;&gt;"."),up_dir!AW12/((1/1000)*(up_Irr!AU12+up_Irr!BS12)),IF(AND(up_Irr!W12=".",up_Irr!AU12=".",up_Irr!BS12&lt;&gt;"."),up_dir!AW12/((1/1000)*(up_Irr!BS12)),IF(AND(up_Irr!W12=".",up_Irr!AU12&lt;&gt;".",up_Irr!BS12="."),up_dir!AW12/((1/1000)*(up_Irr!AU12)),IF(AND(up_Irr!W12&lt;&gt;".",up_Irr!AU12=".",up_Irr!BS12="."),up_dir!AW12/((1/1000)*(up_Irr!W12)),IF(AND(up_Irr!W12=".",up_Irr!AU12=".",up_Irr!BS12="."),up_dir!AW12*1000)))))))),".")</f>
        <v>6.5773651144152131E-4</v>
      </c>
      <c r="BW12" s="48">
        <f>IFERROR(IF(AND(up_Irr!X12&lt;&gt;".",up_Irr!AV12&lt;&gt;".",up_Irr!BT12&lt;&gt;"."),up_dir!AX12/((1/1000)*(up_Irr!X12+up_Irr!AV12+up_Irr!BT12)),IF(AND(up_Irr!X12&lt;&gt;".",up_Irr!AV12&lt;&gt;".",up_Irr!BT12="."),up_dir!AX12/((1/1000)*(up_Irr!X12+up_Irr!AV12)),IF(AND(up_Irr!X12&lt;&gt;".",up_Irr!AV12=".",up_Irr!BT12&lt;&gt;"."),up_dir!AX12/((1/1000)*(up_Irr!X12+up_Irr!BT12)),IF(AND(up_Irr!X12=".",up_Irr!AV12&lt;&gt;".",up_Irr!BT12&lt;&gt;"."),up_dir!AX12/((1/1000)*(up_Irr!AV12+up_Irr!BT12)),IF(AND(up_Irr!X12=".",up_Irr!AV12=".",up_Irr!BT12&lt;&gt;"."),up_dir!AX12/((1/1000)*(up_Irr!BT12)),IF(AND(up_Irr!X12=".",up_Irr!AV12&lt;&gt;".",up_Irr!BT12="."),up_dir!AX12/((1/1000)*(up_Irr!AV12)),IF(AND(up_Irr!X12&lt;&gt;".",up_Irr!AV12=".",up_Irr!BT12="."),up_dir!AX12/((1/1000)*(up_Irr!X12)),IF(AND(up_Irr!X12=".",up_Irr!AV12=".",up_Irr!BT12="."),up_dir!AX12*1000)))))))),".")</f>
        <v>6.5773651144152131E-4</v>
      </c>
      <c r="BX12" s="48">
        <f>IFERROR(IF(AND(up_Irr!Y12&lt;&gt;".",up_Irr!AW12&lt;&gt;".",up_Irr!BU12&lt;&gt;"."),up_dir!AY12/((1/1000)*(up_Irr!Y12+up_Irr!AW12+up_Irr!BU12)),IF(AND(up_Irr!Y12&lt;&gt;".",up_Irr!AW12&lt;&gt;".",up_Irr!BU12="."),up_dir!AY12/((1/1000)*(up_Irr!Y12+up_Irr!AW12)),IF(AND(up_Irr!Y12&lt;&gt;".",up_Irr!AW12=".",up_Irr!BU12&lt;&gt;"."),up_dir!AY12/((1/1000)*(up_Irr!Y12+up_Irr!BU12)),IF(AND(up_Irr!Y12=".",up_Irr!AW12&lt;&gt;".",up_Irr!BU12&lt;&gt;"."),up_dir!AY12/((1/1000)*(up_Irr!AW12+up_Irr!BU12)),IF(AND(up_Irr!Y12=".",up_Irr!AW12=".",up_Irr!BU12&lt;&gt;"."),up_dir!AY12/((1/1000)*(up_Irr!BU12)),IF(AND(up_Irr!Y12=".",up_Irr!AW12&lt;&gt;".",up_Irr!BU12="."),up_dir!AY12/((1/1000)*(up_Irr!AW12)),IF(AND(up_Irr!Y12&lt;&gt;".",up_Irr!AW12=".",up_Irr!BU12="."),up_dir!AY12/((1/1000)*(up_Irr!Y12)),IF(AND(up_Irr!Y12=".",up_Irr!AW12=".",up_Irr!BU12="."),up_dir!AY12*1000)))))))),".")</f>
        <v>6.5773651144152131E-4</v>
      </c>
      <c r="BY12" s="48">
        <f>IFERROR(IF(AND(up_Irr!Z12&lt;&gt;".",up_Irr!AX12&lt;&gt;".",up_Irr!BV12&lt;&gt;"."),up_dir!AZ12/((1/1000)*(up_Irr!Z12+up_Irr!AX12+up_Irr!BV12)),IF(AND(up_Irr!Z12&lt;&gt;".",up_Irr!AX12&lt;&gt;".",up_Irr!BV12="."),up_dir!AZ12/((1/1000)*(up_Irr!Z12+up_Irr!AX12)),IF(AND(up_Irr!Z12&lt;&gt;".",up_Irr!AX12=".",up_Irr!BV12&lt;&gt;"."),up_dir!AZ12/((1/1000)*(up_Irr!Z12+up_Irr!BV12)),IF(AND(up_Irr!Z12=".",up_Irr!AX12&lt;&gt;".",up_Irr!BV12&lt;&gt;"."),up_dir!AZ12/((1/1000)*(up_Irr!AX12+up_Irr!BV12)),IF(AND(up_Irr!Z12=".",up_Irr!AX12=".",up_Irr!BV12&lt;&gt;"."),up_dir!AZ12/((1/1000)*(up_Irr!BV12)),IF(AND(up_Irr!Z12=".",up_Irr!AX12&lt;&gt;".",up_Irr!BV12="."),up_dir!AZ12/((1/1000)*(up_Irr!AX12)),IF(AND(up_Irr!Z12&lt;&gt;".",up_Irr!AX12=".",up_Irr!BV12="."),up_dir!AZ12/((1/1000)*(up_Irr!Z12)),IF(AND(up_Irr!Z12=".",up_Irr!AX12=".",up_Irr!BV12="."),up_dir!AZ12*1000)))))))),".")</f>
        <v>6.5773651144152131E-4</v>
      </c>
      <c r="BZ12" s="62">
        <f t="shared" si="3"/>
        <v>22805.4847785862</v>
      </c>
      <c r="CA12" s="62">
        <f>IFERROR(s_C*s_IFAP_far_adj*s_CF_apple*(1/1000)*(up_Irr!C12+up_Irr!AA12+up_Irr!AY12),".")</f>
        <v>7601.8282595287337</v>
      </c>
      <c r="CB12" s="62">
        <f>IFERROR(s_C*s_IFAS_far_adj*s_CF_asparagus*(1/1000)*(up_Irr!D12+up_Irr!AB12+up_Irr!AZ12),".")</f>
        <v>7601.8282595287337</v>
      </c>
      <c r="CC12" s="62">
        <f>IFERROR(s_C*s_IFBT_far_adj*s_CF_beet*(1/1000)*(up_Irr!E12+up_Irr!AC12+up_Irr!BA12),".")</f>
        <v>7601.8282595287337</v>
      </c>
      <c r="CD12" s="62">
        <f>IFERROR(s_C*s_IFBE_far_adj*s_CF_berries*(1/1000)*(up_Irr!F12+up_Irr!AD12+up_Irr!BB12),".")</f>
        <v>7601.8282595287337</v>
      </c>
      <c r="CE12" s="62">
        <f>IFERROR(s_C*s_IFBR_far_adj*s_CF_broccoli*(1/1000)*(up_Irr!G12+up_Irr!AE12+up_Irr!BC12),".")</f>
        <v>7601.8282595287337</v>
      </c>
      <c r="CF12" s="62">
        <f>IFERROR(s_C*s_IFCB_far_adj*s_CF_cabbage*(1/1000)*(up_Irr!H12+up_Irr!AF12+up_Irr!BD12),".")</f>
        <v>7601.8282595287337</v>
      </c>
      <c r="CG12" s="62">
        <f>IFERROR(s_C*s_IFCR_far_adj*s_CF_carrot*(1/1000)*(up_Irr!I12+up_Irr!AG12+up_Irr!BE12),".")</f>
        <v>7601.8282595287337</v>
      </c>
      <c r="CH12" s="62">
        <f>IFERROR(s_C*s_IFCI_far_adj*s_CF_citrus*(1/1000)*(up_Irr!J12+up_Irr!AH12+up_Irr!BF12),".")</f>
        <v>7601.8282595287337</v>
      </c>
      <c r="CI12" s="62">
        <f>IFERROR(s_C*s_IFCO_far_adj*s_CF_corn*(1/1000)*(up_Irr!K12+up_Irr!AI12+up_Irr!BG12),".")</f>
        <v>7601.8282595287337</v>
      </c>
      <c r="CJ12" s="62">
        <f>IFERROR(s_C*s_IFCU_far_adj*s_CF_cucumber*(1/1000)*(up_Irr!L12+up_Irr!AJ12+up_Irr!BH12),".")</f>
        <v>7601.8282595287337</v>
      </c>
      <c r="CK12" s="62">
        <f>IFERROR(s_C*s_IFLE_far_adj*s_CF_lettuce*(1/1000)*(up_Irr!M12+up_Irr!AK12+up_Irr!BI12),".")</f>
        <v>7601.8282595287337</v>
      </c>
      <c r="CL12" s="62">
        <f>IFERROR(s_C*s_IFLI_far_adj*s_CF_lima_bean*(1/1000)*(up_Irr!N12+up_Irr!AL12+up_Irr!BJ12),".")</f>
        <v>7601.8282595287337</v>
      </c>
      <c r="CM12" s="62">
        <f>IFERROR(s_C*s_IFOK_far_adj*s_CF_okra*(1/1000)*(up_Irr!O12+up_Irr!AM12+up_Irr!BK12),".")</f>
        <v>7601.8282595287337</v>
      </c>
      <c r="CN12" s="62">
        <f>IFERROR(s_C*s_IFON_far_adj*s_CF_onion*(1/1000)*(up_Irr!P12+up_Irr!AN12+up_Irr!BL12),".")</f>
        <v>7601.8282595287337</v>
      </c>
      <c r="CO12" s="62">
        <f>IFERROR(s_C*s_IFPC_far_adj*s_CF_peach*(1/1000)*(up_Irr!Q12+up_Irr!AO12+up_Irr!BM12),".")</f>
        <v>7601.8282595287337</v>
      </c>
      <c r="CP12" s="62">
        <f>IFERROR(s_C*s_IFPR_far_adj*s_CF_pear*(1/1000)*(up_Irr!R12+up_Irr!AP12+up_Irr!BN12),".")</f>
        <v>7601.8282595287337</v>
      </c>
      <c r="CQ12" s="62">
        <f>IFERROR(s_C*s_IFPE_far_adj*s_CF_peas*(1/1000)*(up_Irr!S12+up_Irr!AQ12+up_Irr!BO12),".")</f>
        <v>7601.8282595287337</v>
      </c>
      <c r="CR12" s="62">
        <f>IFERROR(s_C*s_IFPT_far_adj*s_CF_potato*(1/1000)*(up_Irr!T12+up_Irr!AR12+up_Irr!BP12),".")</f>
        <v>7601.8282595287337</v>
      </c>
      <c r="CS12" s="62">
        <f>IFERROR(s_C*s_IFPU_far_adj*s_CF_pumpkin*(1/1000)*(up_Irr!U12+up_Irr!AS12+up_Irr!BQ12),".")</f>
        <v>7601.8282595287337</v>
      </c>
      <c r="CT12" s="62">
        <f>IFERROR(s_C*s_IFSN_far_adj*s_CF_snap_bean*(1/1000)*(up_Irr!V12+up_Irr!AT12+up_Irr!BR12),".")</f>
        <v>7601.8282595287337</v>
      </c>
      <c r="CU12" s="62">
        <f>IFERROR(s_C*s_IFST_far_adj*s_CF_strawberry*(1/1000)*(up_Irr!W12+up_Irr!AU12+up_Irr!BS12),".")</f>
        <v>7601.8282595287337</v>
      </c>
      <c r="CV12" s="62">
        <f>IFERROR(s_C*s_IFTO_far_adj*s_CF_tomato*(1/1000)*(up_Irr!X12+up_Irr!AV12+up_Irr!BT12),".")</f>
        <v>7601.8282595287337</v>
      </c>
      <c r="CW12" s="62">
        <f>IFERROR(s_C*s_IFRI_far_adj*s_CF_rice*(1/1000)*(up_Irr!Y12+up_Irr!AW12+up_Irr!BU12),".")</f>
        <v>7601.8282595287337</v>
      </c>
      <c r="CX12" s="62">
        <f>IFERROR(s_C*s_IFCG_far_adj*s_CF_cereal*(1/1000)*(up_Irr!Z12+up_Irr!AX12+up_Irr!BV12),".")</f>
        <v>7601.8282595287337</v>
      </c>
    </row>
    <row r="13" spans="1:102" ht="15" customHeight="1" x14ac:dyDescent="0.25">
      <c r="A13" s="61" t="s">
        <v>11</v>
      </c>
      <c r="B13" s="49" t="s">
        <v>1059</v>
      </c>
      <c r="C13" s="48">
        <f t="shared" si="0"/>
        <v>2.1924550381384044E-4</v>
      </c>
      <c r="D13" s="48">
        <f>IFERROR(IF(AND(up_Irr!C13&lt;&gt;".",up_Irr!AA13&lt;&gt;".",up_Irr!AY13&lt;&gt;"."),up_dir!D13/((1/1000)*(up_Irr!C13+up_Irr!AA13+up_Irr!AY13)),IF(AND(up_Irr!C13&lt;&gt;".",up_Irr!AA13&lt;&gt;".",up_Irr!AY13="."),up_dir!D13/((1/1000)*(up_Irr!C13+up_Irr!AA13)),IF(AND(up_Irr!C13&lt;&gt;".",up_Irr!AA13=".",up_Irr!AY13&lt;&gt;"."),up_dir!D13/((1/1000)*(up_Irr!C13+up_Irr!AY13)),IF(AND(up_Irr!C13=".",up_Irr!AA13&lt;&gt;".",up_Irr!AY13&lt;&gt;"."),up_dir!D13/((1/1000)*(up_Irr!AA13+up_Irr!AY13)),IF(AND(up_Irr!C13=".",up_Irr!AA13=".",up_Irr!AY13&lt;&gt;"."),up_dir!D13/((1/1000)*(up_Irr!AY13)),IF(AND(up_Irr!C13=".",up_Irr!AA13&lt;&gt;".",up_Irr!AY13="."),up_dir!D13/((1/1000)*(up_Irr!AA13)),IF(AND(up_Irr!C13&lt;&gt;".",up_Irr!AA13=".",up_Irr!AY13="."),up_dir!D13/((1/1000)*(up_Irr!C13)),IF(AND(up_Irr!C13=".",up_Irr!AA13=".",up_Irr!AY13="."),up_dir!D13*1000)))))))),".")</f>
        <v>6.5773651144152131E-4</v>
      </c>
      <c r="E13" s="48">
        <f>IFERROR(IF(AND(up_Irr!D13&lt;&gt;".",up_Irr!AB13&lt;&gt;".",up_Irr!AZ13&lt;&gt;"."),up_dir!E13/((1/1000)*(up_Irr!D13+up_Irr!AB13+up_Irr!AZ13)),IF(AND(up_Irr!D13&lt;&gt;".",up_Irr!AB13&lt;&gt;".",up_Irr!AZ13="."),up_dir!E13/((1/1000)*(up_Irr!D13+up_Irr!AB13)),IF(AND(up_Irr!D13&lt;&gt;".",up_Irr!AB13=".",up_Irr!AZ13&lt;&gt;"."),up_dir!E13/((1/1000)*(up_Irr!D13+up_Irr!AZ13)),IF(AND(up_Irr!D13=".",up_Irr!AB13&lt;&gt;".",up_Irr!AZ13&lt;&gt;"."),up_dir!E13/((1/1000)*(up_Irr!AB13+up_Irr!AZ13)),IF(AND(up_Irr!D13=".",up_Irr!AB13=".",up_Irr!AZ13&lt;&gt;"."),up_dir!E13/((1/1000)*(up_Irr!AZ13)),IF(AND(up_Irr!D13=".",up_Irr!AB13&lt;&gt;".",up_Irr!AZ13="."),up_dir!E13/((1/1000)*(up_Irr!AB13)),IF(AND(up_Irr!D13&lt;&gt;".",up_Irr!AB13=".",up_Irr!AZ13="."),up_dir!E13/((1/1000)*(up_Irr!D13)),IF(AND(up_Irr!D13=".",up_Irr!AB13=".",up_Irr!AZ13="."),up_dir!E13*1000)))))))),".")</f>
        <v>6.5773651144152131E-4</v>
      </c>
      <c r="F13" s="48">
        <f>IFERROR(IF(AND(up_Irr!E13&lt;&gt;".",up_Irr!AC13&lt;&gt;".",up_Irr!BA13&lt;&gt;"."),up_dir!F13/((1/1000)*(up_Irr!E13+up_Irr!AC13+up_Irr!BA13)),IF(AND(up_Irr!E13&lt;&gt;".",up_Irr!AC13&lt;&gt;".",up_Irr!BA13="."),up_dir!F13/((1/1000)*(up_Irr!E13+up_Irr!AC13)),IF(AND(up_Irr!E13&lt;&gt;".",up_Irr!AC13=".",up_Irr!BA13&lt;&gt;"."),up_dir!F13/((1/1000)*(up_Irr!E13+up_Irr!BA13)),IF(AND(up_Irr!E13=".",up_Irr!AC13&lt;&gt;".",up_Irr!BA13&lt;&gt;"."),up_dir!F13/((1/1000)*(up_Irr!AC13+up_Irr!BA13)),IF(AND(up_Irr!E13=".",up_Irr!AC13=".",up_Irr!BA13&lt;&gt;"."),up_dir!F13/((1/1000)*(up_Irr!BA13)),IF(AND(up_Irr!E13=".",up_Irr!AC13&lt;&gt;".",up_Irr!BA13="."),up_dir!F13/((1/1000)*(up_Irr!AC13)),IF(AND(up_Irr!E13&lt;&gt;".",up_Irr!AC13=".",up_Irr!BA13="."),up_dir!F13/((1/1000)*(up_Irr!E13)),IF(AND(up_Irr!E13=".",up_Irr!AC13=".",up_Irr!BA13="."),up_dir!F13*1000)))))))),".")</f>
        <v>6.5773651144152131E-4</v>
      </c>
      <c r="G13" s="48">
        <f>IFERROR(IF(AND(up_Irr!F13&lt;&gt;".",up_Irr!AD13&lt;&gt;".",up_Irr!BB13&lt;&gt;"."),up_dir!G13/((1/1000)*(up_Irr!F13+up_Irr!AD13+up_Irr!BB13)),IF(AND(up_Irr!F13&lt;&gt;".",up_Irr!AD13&lt;&gt;".",up_Irr!BB13="."),up_dir!G13/((1/1000)*(up_Irr!F13+up_Irr!AD13)),IF(AND(up_Irr!F13&lt;&gt;".",up_Irr!AD13=".",up_Irr!BB13&lt;&gt;"."),up_dir!G13/((1/1000)*(up_Irr!F13+up_Irr!BB13)),IF(AND(up_Irr!F13=".",up_Irr!AD13&lt;&gt;".",up_Irr!BB13&lt;&gt;"."),up_dir!G13/((1/1000)*(up_Irr!AD13+up_Irr!BB13)),IF(AND(up_Irr!F13=".",up_Irr!AD13=".",up_Irr!BB13&lt;&gt;"."),up_dir!G13/((1/1000)*(up_Irr!BB13)),IF(AND(up_Irr!F13=".",up_Irr!AD13&lt;&gt;".",up_Irr!BB13="."),up_dir!G13/((1/1000)*(up_Irr!AD13)),IF(AND(up_Irr!F13&lt;&gt;".",up_Irr!AD13=".",up_Irr!BB13="."),up_dir!G13/((1/1000)*(up_Irr!F13)),IF(AND(up_Irr!F13=".",up_Irr!AD13=".",up_Irr!BB13="."),up_dir!G13*1000)))))))),".")</f>
        <v>6.5773651144152131E-4</v>
      </c>
      <c r="H13" s="48">
        <f>IFERROR(IF(AND(up_Irr!G13&lt;&gt;".",up_Irr!AE13&lt;&gt;".",up_Irr!BC13&lt;&gt;"."),up_dir!H13/((1/1000)*(up_Irr!G13+up_Irr!AE13+up_Irr!BC13)),IF(AND(up_Irr!G13&lt;&gt;".",up_Irr!AE13&lt;&gt;".",up_Irr!BC13="."),up_dir!H13/((1/1000)*(up_Irr!G13+up_Irr!AE13)),IF(AND(up_Irr!G13&lt;&gt;".",up_Irr!AE13=".",up_Irr!BC13&lt;&gt;"."),up_dir!H13/((1/1000)*(up_Irr!G13+up_Irr!BC13)),IF(AND(up_Irr!G13=".",up_Irr!AE13&lt;&gt;".",up_Irr!BC13&lt;&gt;"."),up_dir!H13/((1/1000)*(up_Irr!AE13+up_Irr!BC13)),IF(AND(up_Irr!G13=".",up_Irr!AE13=".",up_Irr!BC13&lt;&gt;"."),up_dir!H13/((1/1000)*(up_Irr!BC13)),IF(AND(up_Irr!G13=".",up_Irr!AE13&lt;&gt;".",up_Irr!BC13="."),up_dir!H13/((1/1000)*(up_Irr!AE13)),IF(AND(up_Irr!G13&lt;&gt;".",up_Irr!AE13=".",up_Irr!BC13="."),up_dir!H13/((1/1000)*(up_Irr!G13)),IF(AND(up_Irr!G13=".",up_Irr!AE13=".",up_Irr!BC13="."),up_dir!H13*1000)))))))),".")</f>
        <v>6.5773651144152131E-4</v>
      </c>
      <c r="I13" s="48">
        <f>IFERROR(IF(AND(up_Irr!H13&lt;&gt;".",up_Irr!AF13&lt;&gt;".",up_Irr!BD13&lt;&gt;"."),up_dir!I13/((1/1000)*(up_Irr!H13+up_Irr!AF13+up_Irr!BD13)),IF(AND(up_Irr!H13&lt;&gt;".",up_Irr!AF13&lt;&gt;".",up_Irr!BD13="."),up_dir!I13/((1/1000)*(up_Irr!H13+up_Irr!AF13)),IF(AND(up_Irr!H13&lt;&gt;".",up_Irr!AF13=".",up_Irr!BD13&lt;&gt;"."),up_dir!I13/((1/1000)*(up_Irr!H13+up_Irr!BD13)),IF(AND(up_Irr!H13=".",up_Irr!AF13&lt;&gt;".",up_Irr!BD13&lt;&gt;"."),up_dir!I13/((1/1000)*(up_Irr!AF13+up_Irr!BD13)),IF(AND(up_Irr!H13=".",up_Irr!AF13=".",up_Irr!BD13&lt;&gt;"."),up_dir!I13/((1/1000)*(up_Irr!BD13)),IF(AND(up_Irr!H13=".",up_Irr!AF13&lt;&gt;".",up_Irr!BD13="."),up_dir!I13/((1/1000)*(up_Irr!AF13)),IF(AND(up_Irr!H13&lt;&gt;".",up_Irr!AF13=".",up_Irr!BD13="."),up_dir!I13/((1/1000)*(up_Irr!H13)),IF(AND(up_Irr!H13=".",up_Irr!AF13=".",up_Irr!BD13="."),up_dir!I13*1000)))))))),".")</f>
        <v>6.5773651144152131E-4</v>
      </c>
      <c r="J13" s="48">
        <f>IFERROR(IF(AND(up_Irr!I13&lt;&gt;".",up_Irr!AG13&lt;&gt;".",up_Irr!BE13&lt;&gt;"."),up_dir!J13/((1/1000)*(up_Irr!I13+up_Irr!AG13+up_Irr!BE13)),IF(AND(up_Irr!I13&lt;&gt;".",up_Irr!AG13&lt;&gt;".",up_Irr!BE13="."),up_dir!J13/((1/1000)*(up_Irr!I13+up_Irr!AG13)),IF(AND(up_Irr!I13&lt;&gt;".",up_Irr!AG13=".",up_Irr!BE13&lt;&gt;"."),up_dir!J13/((1/1000)*(up_Irr!I13+up_Irr!BE13)),IF(AND(up_Irr!I13=".",up_Irr!AG13&lt;&gt;".",up_Irr!BE13&lt;&gt;"."),up_dir!J13/((1/1000)*(up_Irr!AG13+up_Irr!BE13)),IF(AND(up_Irr!I13=".",up_Irr!AG13=".",up_Irr!BE13&lt;&gt;"."),up_dir!J13/((1/1000)*(up_Irr!BE13)),IF(AND(up_Irr!I13=".",up_Irr!AG13&lt;&gt;".",up_Irr!BE13="."),up_dir!J13/((1/1000)*(up_Irr!AG13)),IF(AND(up_Irr!I13&lt;&gt;".",up_Irr!AG13=".",up_Irr!BE13="."),up_dir!J13/((1/1000)*(up_Irr!I13)),IF(AND(up_Irr!I13=".",up_Irr!AG13=".",up_Irr!BE13="."),up_dir!J13*1000)))))))),".")</f>
        <v>6.5773651144152131E-4</v>
      </c>
      <c r="K13" s="48">
        <f>IFERROR(IF(AND(up_Irr!J13&lt;&gt;".",up_Irr!AH13&lt;&gt;".",up_Irr!BF13&lt;&gt;"."),up_dir!K13/((1/1000)*(up_Irr!J13+up_Irr!AH13+up_Irr!BF13)),IF(AND(up_Irr!J13&lt;&gt;".",up_Irr!AH13&lt;&gt;".",up_Irr!BF13="."),up_dir!K13/((1/1000)*(up_Irr!J13+up_Irr!AH13)),IF(AND(up_Irr!J13&lt;&gt;".",up_Irr!AH13=".",up_Irr!BF13&lt;&gt;"."),up_dir!K13/((1/1000)*(up_Irr!J13+up_Irr!BF13)),IF(AND(up_Irr!J13=".",up_Irr!AH13&lt;&gt;".",up_Irr!BF13&lt;&gt;"."),up_dir!K13/((1/1000)*(up_Irr!AH13+up_Irr!BF13)),IF(AND(up_Irr!J13=".",up_Irr!AH13=".",up_Irr!BF13&lt;&gt;"."),up_dir!K13/((1/1000)*(up_Irr!BF13)),IF(AND(up_Irr!J13=".",up_Irr!AH13&lt;&gt;".",up_Irr!BF13="."),up_dir!K13/((1/1000)*(up_Irr!AH13)),IF(AND(up_Irr!J13&lt;&gt;".",up_Irr!AH13=".",up_Irr!BF13="."),up_dir!K13/((1/1000)*(up_Irr!J13)),IF(AND(up_Irr!J13=".",up_Irr!AH13=".",up_Irr!BF13="."),up_dir!K13*1000)))))))),".")</f>
        <v>6.5773651144152131E-4</v>
      </c>
      <c r="L13" s="48">
        <f>IFERROR(IF(AND(up_Irr!K13&lt;&gt;".",up_Irr!AI13&lt;&gt;".",up_Irr!BG13&lt;&gt;"."),up_dir!L13/((1/1000)*(up_Irr!K13+up_Irr!AI13+up_Irr!BG13)),IF(AND(up_Irr!K13&lt;&gt;".",up_Irr!AI13&lt;&gt;".",up_Irr!BG13="."),up_dir!L13/((1/1000)*(up_Irr!K13+up_Irr!AI13)),IF(AND(up_Irr!K13&lt;&gt;".",up_Irr!AI13=".",up_Irr!BG13&lt;&gt;"."),up_dir!L13/((1/1000)*(up_Irr!K13+up_Irr!BG13)),IF(AND(up_Irr!K13=".",up_Irr!AI13&lt;&gt;".",up_Irr!BG13&lt;&gt;"."),up_dir!L13/((1/1000)*(up_Irr!AI13+up_Irr!BG13)),IF(AND(up_Irr!K13=".",up_Irr!AI13=".",up_Irr!BG13&lt;&gt;"."),up_dir!L13/((1/1000)*(up_Irr!BG13)),IF(AND(up_Irr!K13=".",up_Irr!AI13&lt;&gt;".",up_Irr!BG13="."),up_dir!L13/((1/1000)*(up_Irr!AI13)),IF(AND(up_Irr!K13&lt;&gt;".",up_Irr!AI13=".",up_Irr!BG13="."),up_dir!L13/((1/1000)*(up_Irr!K13)),IF(AND(up_Irr!K13=".",up_Irr!AI13=".",up_Irr!BG13="."),up_dir!L13*1000)))))))),".")</f>
        <v>6.5773651144152131E-4</v>
      </c>
      <c r="M13" s="48">
        <f>IFERROR(IF(AND(up_Irr!L13&lt;&gt;".",up_Irr!AJ13&lt;&gt;".",up_Irr!BH13&lt;&gt;"."),up_dir!M13/((1/1000)*(up_Irr!L13+up_Irr!AJ13+up_Irr!BH13)),IF(AND(up_Irr!L13&lt;&gt;".",up_Irr!AJ13&lt;&gt;".",up_Irr!BH13="."),up_dir!M13/((1/1000)*(up_Irr!L13+up_Irr!AJ13)),IF(AND(up_Irr!L13&lt;&gt;".",up_Irr!AJ13=".",up_Irr!BH13&lt;&gt;"."),up_dir!M13/((1/1000)*(up_Irr!L13+up_Irr!BH13)),IF(AND(up_Irr!L13=".",up_Irr!AJ13&lt;&gt;".",up_Irr!BH13&lt;&gt;"."),up_dir!M13/((1/1000)*(up_Irr!AJ13+up_Irr!BH13)),IF(AND(up_Irr!L13=".",up_Irr!AJ13=".",up_Irr!BH13&lt;&gt;"."),up_dir!M13/((1/1000)*(up_Irr!BH13)),IF(AND(up_Irr!L13=".",up_Irr!AJ13&lt;&gt;".",up_Irr!BH13="."),up_dir!M13/((1/1000)*(up_Irr!AJ13)),IF(AND(up_Irr!L13&lt;&gt;".",up_Irr!AJ13=".",up_Irr!BH13="."),up_dir!M13/((1/1000)*(up_Irr!L13)),IF(AND(up_Irr!L13=".",up_Irr!AJ13=".",up_Irr!BH13="."),up_dir!M13*1000)))))))),".")</f>
        <v>6.5773651144152131E-4</v>
      </c>
      <c r="N13" s="48">
        <f>IFERROR(IF(AND(up_Irr!M13&lt;&gt;".",up_Irr!AK13&lt;&gt;".",up_Irr!BI13&lt;&gt;"."),up_dir!N13/((1/1000)*(up_Irr!M13+up_Irr!AK13+up_Irr!BI13)),IF(AND(up_Irr!M13&lt;&gt;".",up_Irr!AK13&lt;&gt;".",up_Irr!BI13="."),up_dir!N13/((1/1000)*(up_Irr!M13+up_Irr!AK13)),IF(AND(up_Irr!M13&lt;&gt;".",up_Irr!AK13=".",up_Irr!BI13&lt;&gt;"."),up_dir!N13/((1/1000)*(up_Irr!M13+up_Irr!BI13)),IF(AND(up_Irr!M13=".",up_Irr!AK13&lt;&gt;".",up_Irr!BI13&lt;&gt;"."),up_dir!N13/((1/1000)*(up_Irr!AK13+up_Irr!BI13)),IF(AND(up_Irr!M13=".",up_Irr!AK13=".",up_Irr!BI13&lt;&gt;"."),up_dir!N13/((1/1000)*(up_Irr!BI13)),IF(AND(up_Irr!M13=".",up_Irr!AK13&lt;&gt;".",up_Irr!BI13="."),up_dir!N13/((1/1000)*(up_Irr!AK13)),IF(AND(up_Irr!M13&lt;&gt;".",up_Irr!AK13=".",up_Irr!BI13="."),up_dir!N13/((1/1000)*(up_Irr!M13)),IF(AND(up_Irr!M13=".",up_Irr!AK13=".",up_Irr!BI13="."),up_dir!N13*1000)))))))),".")</f>
        <v>6.5773651144152131E-4</v>
      </c>
      <c r="O13" s="48">
        <f>IFERROR(IF(AND(up_Irr!N13&lt;&gt;".",up_Irr!AL13&lt;&gt;".",up_Irr!BJ13&lt;&gt;"."),up_dir!O13/((1/1000)*(up_Irr!N13+up_Irr!AL13+up_Irr!BJ13)),IF(AND(up_Irr!N13&lt;&gt;".",up_Irr!AL13&lt;&gt;".",up_Irr!BJ13="."),up_dir!O13/((1/1000)*(up_Irr!N13+up_Irr!AL13)),IF(AND(up_Irr!N13&lt;&gt;".",up_Irr!AL13=".",up_Irr!BJ13&lt;&gt;"."),up_dir!O13/((1/1000)*(up_Irr!N13+up_Irr!BJ13)),IF(AND(up_Irr!N13=".",up_Irr!AL13&lt;&gt;".",up_Irr!BJ13&lt;&gt;"."),up_dir!O13/((1/1000)*(up_Irr!AL13+up_Irr!BJ13)),IF(AND(up_Irr!N13=".",up_Irr!AL13=".",up_Irr!BJ13&lt;&gt;"."),up_dir!O13/((1/1000)*(up_Irr!BJ13)),IF(AND(up_Irr!N13=".",up_Irr!AL13&lt;&gt;".",up_Irr!BJ13="."),up_dir!O13/((1/1000)*(up_Irr!AL13)),IF(AND(up_Irr!N13&lt;&gt;".",up_Irr!AL13=".",up_Irr!BJ13="."),up_dir!O13/((1/1000)*(up_Irr!N13)),IF(AND(up_Irr!N13=".",up_Irr!AL13=".",up_Irr!BJ13="."),up_dir!O13*1000)))))))),".")</f>
        <v>6.5773651144152131E-4</v>
      </c>
      <c r="P13" s="48">
        <f>IFERROR(IF(AND(up_Irr!O13&lt;&gt;".",up_Irr!AM13&lt;&gt;".",up_Irr!BK13&lt;&gt;"."),up_dir!P13/((1/1000)*(up_Irr!O13+up_Irr!AM13+up_Irr!BK13)),IF(AND(up_Irr!O13&lt;&gt;".",up_Irr!AM13&lt;&gt;".",up_Irr!BK13="."),up_dir!P13/((1/1000)*(up_Irr!O13+up_Irr!AM13)),IF(AND(up_Irr!O13&lt;&gt;".",up_Irr!AM13=".",up_Irr!BK13&lt;&gt;"."),up_dir!P13/((1/1000)*(up_Irr!O13+up_Irr!BK13)),IF(AND(up_Irr!O13=".",up_Irr!AM13&lt;&gt;".",up_Irr!BK13&lt;&gt;"."),up_dir!P13/((1/1000)*(up_Irr!AM13+up_Irr!BK13)),IF(AND(up_Irr!O13=".",up_Irr!AM13=".",up_Irr!BK13&lt;&gt;"."),up_dir!P13/((1/1000)*(up_Irr!BK13)),IF(AND(up_Irr!O13=".",up_Irr!AM13&lt;&gt;".",up_Irr!BK13="."),up_dir!P13/((1/1000)*(up_Irr!AM13)),IF(AND(up_Irr!O13&lt;&gt;".",up_Irr!AM13=".",up_Irr!BK13="."),up_dir!P13/((1/1000)*(up_Irr!O13)),IF(AND(up_Irr!O13=".",up_Irr!AM13=".",up_Irr!BK13="."),up_dir!P13*1000)))))))),".")</f>
        <v>6.5773651144152131E-4</v>
      </c>
      <c r="Q13" s="48">
        <f>IFERROR(IF(AND(up_Irr!P13&lt;&gt;".",up_Irr!AN13&lt;&gt;".",up_Irr!BL13&lt;&gt;"."),up_dir!Q13/((1/1000)*(up_Irr!P13+up_Irr!AN13+up_Irr!BL13)),IF(AND(up_Irr!P13&lt;&gt;".",up_Irr!AN13&lt;&gt;".",up_Irr!BL13="."),up_dir!Q13/((1/1000)*(up_Irr!P13+up_Irr!AN13)),IF(AND(up_Irr!P13&lt;&gt;".",up_Irr!AN13=".",up_Irr!BL13&lt;&gt;"."),up_dir!Q13/((1/1000)*(up_Irr!P13+up_Irr!BL13)),IF(AND(up_Irr!P13=".",up_Irr!AN13&lt;&gt;".",up_Irr!BL13&lt;&gt;"."),up_dir!Q13/((1/1000)*(up_Irr!AN13+up_Irr!BL13)),IF(AND(up_Irr!P13=".",up_Irr!AN13=".",up_Irr!BL13&lt;&gt;"."),up_dir!Q13/((1/1000)*(up_Irr!BL13)),IF(AND(up_Irr!P13=".",up_Irr!AN13&lt;&gt;".",up_Irr!BL13="."),up_dir!Q13/((1/1000)*(up_Irr!AN13)),IF(AND(up_Irr!P13&lt;&gt;".",up_Irr!AN13=".",up_Irr!BL13="."),up_dir!Q13/((1/1000)*(up_Irr!P13)),IF(AND(up_Irr!P13=".",up_Irr!AN13=".",up_Irr!BL13="."),up_dir!Q13*1000)))))))),".")</f>
        <v>6.5773651144152131E-4</v>
      </c>
      <c r="R13" s="48">
        <f>IFERROR(IF(AND(up_Irr!Q13&lt;&gt;".",up_Irr!AO13&lt;&gt;".",up_Irr!BM13&lt;&gt;"."),up_dir!R13/((1/1000)*(up_Irr!Q13+up_Irr!AO13+up_Irr!BM13)),IF(AND(up_Irr!Q13&lt;&gt;".",up_Irr!AO13&lt;&gt;".",up_Irr!BM13="."),up_dir!R13/((1/1000)*(up_Irr!Q13+up_Irr!AO13)),IF(AND(up_Irr!Q13&lt;&gt;".",up_Irr!AO13=".",up_Irr!BM13&lt;&gt;"."),up_dir!R13/((1/1000)*(up_Irr!Q13+up_Irr!BM13)),IF(AND(up_Irr!Q13=".",up_Irr!AO13&lt;&gt;".",up_Irr!BM13&lt;&gt;"."),up_dir!R13/((1/1000)*(up_Irr!AO13+up_Irr!BM13)),IF(AND(up_Irr!Q13=".",up_Irr!AO13=".",up_Irr!BM13&lt;&gt;"."),up_dir!R13/((1/1000)*(up_Irr!BM13)),IF(AND(up_Irr!Q13=".",up_Irr!AO13&lt;&gt;".",up_Irr!BM13="."),up_dir!R13/((1/1000)*(up_Irr!AO13)),IF(AND(up_Irr!Q13&lt;&gt;".",up_Irr!AO13=".",up_Irr!BM13="."),up_dir!R13/((1/1000)*(up_Irr!Q13)),IF(AND(up_Irr!Q13=".",up_Irr!AO13=".",up_Irr!BM13="."),up_dir!R13*1000)))))))),".")</f>
        <v>6.5773651144152131E-4</v>
      </c>
      <c r="S13" s="48">
        <f>IFERROR(IF(AND(up_Irr!R13&lt;&gt;".",up_Irr!AP13&lt;&gt;".",up_Irr!BN13&lt;&gt;"."),up_dir!S13/((1/1000)*(up_Irr!R13+up_Irr!AP13+up_Irr!BN13)),IF(AND(up_Irr!R13&lt;&gt;".",up_Irr!AP13&lt;&gt;".",up_Irr!BN13="."),up_dir!S13/((1/1000)*(up_Irr!R13+up_Irr!AP13)),IF(AND(up_Irr!R13&lt;&gt;".",up_Irr!AP13=".",up_Irr!BN13&lt;&gt;"."),up_dir!S13/((1/1000)*(up_Irr!R13+up_Irr!BN13)),IF(AND(up_Irr!R13=".",up_Irr!AP13&lt;&gt;".",up_Irr!BN13&lt;&gt;"."),up_dir!S13/((1/1000)*(up_Irr!AP13+up_Irr!BN13)),IF(AND(up_Irr!R13=".",up_Irr!AP13=".",up_Irr!BN13&lt;&gt;"."),up_dir!S13/((1/1000)*(up_Irr!BN13)),IF(AND(up_Irr!R13=".",up_Irr!AP13&lt;&gt;".",up_Irr!BN13="."),up_dir!S13/((1/1000)*(up_Irr!AP13)),IF(AND(up_Irr!R13&lt;&gt;".",up_Irr!AP13=".",up_Irr!BN13="."),up_dir!S13/((1/1000)*(up_Irr!R13)),IF(AND(up_Irr!R13=".",up_Irr!AP13=".",up_Irr!BN13="."),up_dir!S13*1000)))))))),".")</f>
        <v>6.5773651144152131E-4</v>
      </c>
      <c r="T13" s="48">
        <f>IFERROR(IF(AND(up_Irr!S13&lt;&gt;".",up_Irr!AQ13&lt;&gt;".",up_Irr!BO13&lt;&gt;"."),up_dir!T13/((1/1000)*(up_Irr!S13+up_Irr!AQ13+up_Irr!BO13)),IF(AND(up_Irr!S13&lt;&gt;".",up_Irr!AQ13&lt;&gt;".",up_Irr!BO13="."),up_dir!T13/((1/1000)*(up_Irr!S13+up_Irr!AQ13)),IF(AND(up_Irr!S13&lt;&gt;".",up_Irr!AQ13=".",up_Irr!BO13&lt;&gt;"."),up_dir!T13/((1/1000)*(up_Irr!S13+up_Irr!BO13)),IF(AND(up_Irr!S13=".",up_Irr!AQ13&lt;&gt;".",up_Irr!BO13&lt;&gt;"."),up_dir!T13/((1/1000)*(up_Irr!AQ13+up_Irr!BO13)),IF(AND(up_Irr!S13=".",up_Irr!AQ13=".",up_Irr!BO13&lt;&gt;"."),up_dir!T13/((1/1000)*(up_Irr!BO13)),IF(AND(up_Irr!S13=".",up_Irr!AQ13&lt;&gt;".",up_Irr!BO13="."),up_dir!T13/((1/1000)*(up_Irr!AQ13)),IF(AND(up_Irr!S13&lt;&gt;".",up_Irr!AQ13=".",up_Irr!BO13="."),up_dir!T13/((1/1000)*(up_Irr!S13)),IF(AND(up_Irr!S13=".",up_Irr!AQ13=".",up_Irr!BO13="."),up_dir!T13*1000)))))))),".")</f>
        <v>6.5773651144152131E-4</v>
      </c>
      <c r="U13" s="48">
        <f>IFERROR(IF(AND(up_Irr!T13&lt;&gt;".",up_Irr!AR13&lt;&gt;".",up_Irr!BP13&lt;&gt;"."),up_dir!U13/((1/1000)*(up_Irr!T13+up_Irr!AR13+up_Irr!BP13)),IF(AND(up_Irr!T13&lt;&gt;".",up_Irr!AR13&lt;&gt;".",up_Irr!BP13="."),up_dir!U13/((1/1000)*(up_Irr!T13+up_Irr!AR13)),IF(AND(up_Irr!T13&lt;&gt;".",up_Irr!AR13=".",up_Irr!BP13&lt;&gt;"."),up_dir!U13/((1/1000)*(up_Irr!T13+up_Irr!BP13)),IF(AND(up_Irr!T13=".",up_Irr!AR13&lt;&gt;".",up_Irr!BP13&lt;&gt;"."),up_dir!U13/((1/1000)*(up_Irr!AR13+up_Irr!BP13)),IF(AND(up_Irr!T13=".",up_Irr!AR13=".",up_Irr!BP13&lt;&gt;"."),up_dir!U13/((1/1000)*(up_Irr!BP13)),IF(AND(up_Irr!T13=".",up_Irr!AR13&lt;&gt;".",up_Irr!BP13="."),up_dir!U13/((1/1000)*(up_Irr!AR13)),IF(AND(up_Irr!T13&lt;&gt;".",up_Irr!AR13=".",up_Irr!BP13="."),up_dir!U13/((1/1000)*(up_Irr!T13)),IF(AND(up_Irr!T13=".",up_Irr!AR13=".",up_Irr!BP13="."),up_dir!U13*1000)))))))),".")</f>
        <v>6.5773651144152131E-4</v>
      </c>
      <c r="V13" s="48">
        <f>IFERROR(IF(AND(up_Irr!U13&lt;&gt;".",up_Irr!AS13&lt;&gt;".",up_Irr!BQ13&lt;&gt;"."),up_dir!V13/((1/1000)*(up_Irr!U13+up_Irr!AS13+up_Irr!BQ13)),IF(AND(up_Irr!U13&lt;&gt;".",up_Irr!AS13&lt;&gt;".",up_Irr!BQ13="."),up_dir!V13/((1/1000)*(up_Irr!U13+up_Irr!AS13)),IF(AND(up_Irr!U13&lt;&gt;".",up_Irr!AS13=".",up_Irr!BQ13&lt;&gt;"."),up_dir!V13/((1/1000)*(up_Irr!U13+up_Irr!BQ13)),IF(AND(up_Irr!U13=".",up_Irr!AS13&lt;&gt;".",up_Irr!BQ13&lt;&gt;"."),up_dir!V13/((1/1000)*(up_Irr!AS13+up_Irr!BQ13)),IF(AND(up_Irr!U13=".",up_Irr!AS13=".",up_Irr!BQ13&lt;&gt;"."),up_dir!V13/((1/1000)*(up_Irr!BQ13)),IF(AND(up_Irr!U13=".",up_Irr!AS13&lt;&gt;".",up_Irr!BQ13="."),up_dir!V13/((1/1000)*(up_Irr!AS13)),IF(AND(up_Irr!U13&lt;&gt;".",up_Irr!AS13=".",up_Irr!BQ13="."),up_dir!V13/((1/1000)*(up_Irr!U13)),IF(AND(up_Irr!U13=".",up_Irr!AS13=".",up_Irr!BQ13="."),up_dir!V13*1000)))))))),".")</f>
        <v>6.5773651144152131E-4</v>
      </c>
      <c r="W13" s="48">
        <f>IFERROR(IF(AND(up_Irr!V13&lt;&gt;".",up_Irr!AT13&lt;&gt;".",up_Irr!BR13&lt;&gt;"."),up_dir!W13/((1/1000)*(up_Irr!V13+up_Irr!AT13+up_Irr!BR13)),IF(AND(up_Irr!V13&lt;&gt;".",up_Irr!AT13&lt;&gt;".",up_Irr!BR13="."),up_dir!W13/((1/1000)*(up_Irr!V13+up_Irr!AT13)),IF(AND(up_Irr!V13&lt;&gt;".",up_Irr!AT13=".",up_Irr!BR13&lt;&gt;"."),up_dir!W13/((1/1000)*(up_Irr!V13+up_Irr!BR13)),IF(AND(up_Irr!V13=".",up_Irr!AT13&lt;&gt;".",up_Irr!BR13&lt;&gt;"."),up_dir!W13/((1/1000)*(up_Irr!AT13+up_Irr!BR13)),IF(AND(up_Irr!V13=".",up_Irr!AT13=".",up_Irr!BR13&lt;&gt;"."),up_dir!W13/((1/1000)*(up_Irr!BR13)),IF(AND(up_Irr!V13=".",up_Irr!AT13&lt;&gt;".",up_Irr!BR13="."),up_dir!W13/((1/1000)*(up_Irr!AT13)),IF(AND(up_Irr!V13&lt;&gt;".",up_Irr!AT13=".",up_Irr!BR13="."),up_dir!W13/((1/1000)*(up_Irr!V13)),IF(AND(up_Irr!V13=".",up_Irr!AT13=".",up_Irr!BR13="."),up_dir!W13*1000)))))))),".")</f>
        <v>6.5773651144152131E-4</v>
      </c>
      <c r="X13" s="48">
        <f>IFERROR(IF(AND(up_Irr!W13&lt;&gt;".",up_Irr!AU13&lt;&gt;".",up_Irr!BS13&lt;&gt;"."),up_dir!X13/((1/1000)*(up_Irr!W13+up_Irr!AU13+up_Irr!BS13)),IF(AND(up_Irr!W13&lt;&gt;".",up_Irr!AU13&lt;&gt;".",up_Irr!BS13="."),up_dir!X13/((1/1000)*(up_Irr!W13+up_Irr!AU13)),IF(AND(up_Irr!W13&lt;&gt;".",up_Irr!AU13=".",up_Irr!BS13&lt;&gt;"."),up_dir!X13/((1/1000)*(up_Irr!W13+up_Irr!BS13)),IF(AND(up_Irr!W13=".",up_Irr!AU13&lt;&gt;".",up_Irr!BS13&lt;&gt;"."),up_dir!X13/((1/1000)*(up_Irr!AU13+up_Irr!BS13)),IF(AND(up_Irr!W13=".",up_Irr!AU13=".",up_Irr!BS13&lt;&gt;"."),up_dir!X13/((1/1000)*(up_Irr!BS13)),IF(AND(up_Irr!W13=".",up_Irr!AU13&lt;&gt;".",up_Irr!BS13="."),up_dir!X13/((1/1000)*(up_Irr!AU13)),IF(AND(up_Irr!W13&lt;&gt;".",up_Irr!AU13=".",up_Irr!BS13="."),up_dir!X13/((1/1000)*(up_Irr!W13)),IF(AND(up_Irr!W13=".",up_Irr!AU13=".",up_Irr!BS13="."),up_dir!X13*1000)))))))),".")</f>
        <v>6.5773651144152131E-4</v>
      </c>
      <c r="Y13" s="48">
        <f>IFERROR(IF(AND(up_Irr!X13&lt;&gt;".",up_Irr!AV13&lt;&gt;".",up_Irr!BT13&lt;&gt;"."),up_dir!Y13/((1/1000)*(up_Irr!X13+up_Irr!AV13+up_Irr!BT13)),IF(AND(up_Irr!X13&lt;&gt;".",up_Irr!AV13&lt;&gt;".",up_Irr!BT13="."),up_dir!Y13/((1/1000)*(up_Irr!X13+up_Irr!AV13)),IF(AND(up_Irr!X13&lt;&gt;".",up_Irr!AV13=".",up_Irr!BT13&lt;&gt;"."),up_dir!Y13/((1/1000)*(up_Irr!X13+up_Irr!BT13)),IF(AND(up_Irr!X13=".",up_Irr!AV13&lt;&gt;".",up_Irr!BT13&lt;&gt;"."),up_dir!Y13/((1/1000)*(up_Irr!AV13+up_Irr!BT13)),IF(AND(up_Irr!X13=".",up_Irr!AV13=".",up_Irr!BT13&lt;&gt;"."),up_dir!Y13/((1/1000)*(up_Irr!BT13)),IF(AND(up_Irr!X13=".",up_Irr!AV13&lt;&gt;".",up_Irr!BT13="."),up_dir!Y13/((1/1000)*(up_Irr!AV13)),IF(AND(up_Irr!X13&lt;&gt;".",up_Irr!AV13=".",up_Irr!BT13="."),up_dir!Y13/((1/1000)*(up_Irr!X13)),IF(AND(up_Irr!X13=".",up_Irr!AV13=".",up_Irr!BT13="."),up_dir!Y13*1000)))))))),".")</f>
        <v>6.5773651144152131E-4</v>
      </c>
      <c r="Z13" s="48">
        <f>IFERROR(IF(AND(up_Irr!Y13&lt;&gt;".",up_Irr!AW13&lt;&gt;".",up_Irr!BU13&lt;&gt;"."),up_dir!Z13/((1/1000)*(up_Irr!Y13+up_Irr!AW13+up_Irr!BU13)),IF(AND(up_Irr!Y13&lt;&gt;".",up_Irr!AW13&lt;&gt;".",up_Irr!BU13="."),up_dir!Z13/((1/1000)*(up_Irr!Y13+up_Irr!AW13)),IF(AND(up_Irr!Y13&lt;&gt;".",up_Irr!AW13=".",up_Irr!BU13&lt;&gt;"."),up_dir!Z13/((1/1000)*(up_Irr!Y13+up_Irr!BU13)),IF(AND(up_Irr!Y13=".",up_Irr!AW13&lt;&gt;".",up_Irr!BU13&lt;&gt;"."),up_dir!Z13/((1/1000)*(up_Irr!AW13+up_Irr!BU13)),IF(AND(up_Irr!Y13=".",up_Irr!AW13=".",up_Irr!BU13&lt;&gt;"."),up_dir!Z13/((1/1000)*(up_Irr!BU13)),IF(AND(up_Irr!Y13=".",up_Irr!AW13&lt;&gt;".",up_Irr!BU13="."),up_dir!Z13/((1/1000)*(up_Irr!AW13)),IF(AND(up_Irr!Y13&lt;&gt;".",up_Irr!AW13=".",up_Irr!BU13="."),up_dir!Z13/((1/1000)*(up_Irr!Y13)),IF(AND(up_Irr!Y13=".",up_Irr!AW13=".",up_Irr!BU13="."),up_dir!Z13*1000)))))))),".")</f>
        <v>6.5773651144152131E-4</v>
      </c>
      <c r="AA13" s="48">
        <f>IFERROR(IF(AND(up_Irr!Z13&lt;&gt;".",up_Irr!AX13&lt;&gt;".",up_Irr!BV13&lt;&gt;"."),up_dir!AA13/((1/1000)*(up_Irr!Z13+up_Irr!AX13+up_Irr!BV13)),IF(AND(up_Irr!Z13&lt;&gt;".",up_Irr!AX13&lt;&gt;".",up_Irr!BV13="."),up_dir!AA13/((1/1000)*(up_Irr!Z13+up_Irr!AX13)),IF(AND(up_Irr!Z13&lt;&gt;".",up_Irr!AX13=".",up_Irr!BV13&lt;&gt;"."),up_dir!AA13/((1/1000)*(up_Irr!Z13+up_Irr!BV13)),IF(AND(up_Irr!Z13=".",up_Irr!AX13&lt;&gt;".",up_Irr!BV13&lt;&gt;"."),up_dir!AA13/((1/1000)*(up_Irr!AX13+up_Irr!BV13)),IF(AND(up_Irr!Z13=".",up_Irr!AX13=".",up_Irr!BV13&lt;&gt;"."),up_dir!AA13/((1/1000)*(up_Irr!BV13)),IF(AND(up_Irr!Z13=".",up_Irr!AX13&lt;&gt;".",up_Irr!BV13="."),up_dir!AA13/((1/1000)*(up_Irr!AX13)),IF(AND(up_Irr!Z13&lt;&gt;".",up_Irr!AX13=".",up_Irr!BV13="."),up_dir!AA13/((1/1000)*(up_Irr!Z13)),IF(AND(up_Irr!Z13=".",up_Irr!AX13=".",up_Irr!BV13="."),up_dir!AA13*1000)))))))),".")</f>
        <v>6.5773651144152131E-4</v>
      </c>
      <c r="AB13" s="62">
        <f t="shared" si="1"/>
        <v>22805.4847785862</v>
      </c>
      <c r="AC13" s="62">
        <f>IFERROR(s_C*s_IFAP_res_adj*s_CF_apple*0.001*(up_Irr!C13+up_Irr!AA13+up_Irr!AY13),".")</f>
        <v>7601.8282595287337</v>
      </c>
      <c r="AD13" s="62">
        <f>IFERROR(s_C*s_IFAS_res_adj*s_CF_asparagus*0.001*(up_Irr!D13+up_Irr!AB13+up_Irr!AZ13),".")</f>
        <v>7601.8282595287337</v>
      </c>
      <c r="AE13" s="62">
        <f>IFERROR(s_C*s_IFBT_res_adj*s_CF_beet*0.001*(up_Irr!E13+up_Irr!AC13+up_Irr!BA13),".")</f>
        <v>7601.8282595287337</v>
      </c>
      <c r="AF13" s="62">
        <f>IFERROR(s_C*s_IFBE_res_adj*s_CF_berries*0.001*(up_Irr!F13+up_Irr!AD13+up_Irr!BB13),".")</f>
        <v>7601.8282595287337</v>
      </c>
      <c r="AG13" s="62">
        <f>IFERROR(s_C*s_IFBR_res_adj*s_CF_broccoli*0.001*(up_Irr!G13+up_Irr!AE13+up_Irr!BC13),".")</f>
        <v>7601.8282595287337</v>
      </c>
      <c r="AH13" s="62">
        <f>IFERROR(s_C*s_IFCB_res_adj*s_CF_cabbage*0.001*(up_Irr!H13+up_Irr!AF13+up_Irr!BD13),".")</f>
        <v>7601.8282595287337</v>
      </c>
      <c r="AI13" s="62">
        <f>IFERROR(s_C*s_IFCR_res_adj*s_CF_carrot*0.001*(up_Irr!I13+up_Irr!AG13+up_Irr!BE13),".")</f>
        <v>7601.8282595287337</v>
      </c>
      <c r="AJ13" s="62">
        <f>IFERROR(s_C*s_IFCI_res_adj*s_CF_citrus*0.001*(up_Irr!J13+up_Irr!AH13+up_Irr!BF13),".")</f>
        <v>7601.8282595287337</v>
      </c>
      <c r="AK13" s="62">
        <f>IFERROR(s_C*s_IFCO_res_adj*s_CF_corn*0.001*(up_Irr!K13+up_Irr!AI13+up_Irr!BG13),".")</f>
        <v>7601.8282595287337</v>
      </c>
      <c r="AL13" s="62">
        <f>IFERROR(s_C*s_IFCU_res_adj*s_CF_cucumber*0.001*(up_Irr!L13+up_Irr!AJ13+up_Irr!BH13),".")</f>
        <v>7601.8282595287337</v>
      </c>
      <c r="AM13" s="62">
        <f>IFERROR(s_C*s_IFLE_res_adj*s_CF_lettuce*0.001*(up_Irr!M13+up_Irr!AK13+up_Irr!BI13),".")</f>
        <v>7601.8282595287337</v>
      </c>
      <c r="AN13" s="62">
        <f>IFERROR(s_C*s_IFLI_res_adj*s_CF_lima_bean*0.001*(up_Irr!N13+up_Irr!AL13+up_Irr!BJ13),".")</f>
        <v>7601.8282595287337</v>
      </c>
      <c r="AO13" s="62">
        <f>IFERROR(s_C*s_IFOK_res_adj*s_CF_okra*0.001*(up_Irr!O13+up_Irr!AM13+up_Irr!BK13),".")</f>
        <v>7601.8282595287337</v>
      </c>
      <c r="AP13" s="62">
        <f>IFERROR(s_C*s_IFON_res_adj*s_CF_onion*0.001*(up_Irr!P13+up_Irr!AN13+up_Irr!BL13),".")</f>
        <v>7601.8282595287337</v>
      </c>
      <c r="AQ13" s="62">
        <f>IFERROR(s_C*s_IFPC_res_adj*s_CF_peach*0.001*(up_Irr!Q13+up_Irr!AO13+up_Irr!BM13),".")</f>
        <v>7601.8282595287337</v>
      </c>
      <c r="AR13" s="62">
        <f>IFERROR(s_C*s_IFPR_res_adj*s_CF_pear*0.001*(up_Irr!R13+up_Irr!AP13+up_Irr!BN13),".")</f>
        <v>7601.8282595287337</v>
      </c>
      <c r="AS13" s="62">
        <f>IFERROR(s_C*s_IFPE_res_adj*s_CF_peas*0.001*(up_Irr!S13+up_Irr!AQ13+up_Irr!BO13),".")</f>
        <v>7601.8282595287337</v>
      </c>
      <c r="AT13" s="62">
        <f>IFERROR(s_C*s_IFPT_res_adj*s_CF_potato*0.001*(up_Irr!T13+up_Irr!AR13+up_Irr!BP13),".")</f>
        <v>7601.8282595287337</v>
      </c>
      <c r="AU13" s="62">
        <f>IFERROR(s_C*s_IFPU_res_adj*s_CF_pumpkin*0.001*(up_Irr!U13+up_Irr!AS13+up_Irr!BQ13),".")</f>
        <v>7601.8282595287337</v>
      </c>
      <c r="AV13" s="62">
        <f>IFERROR(s_C*s_IFSN_res_adj*s_CF_snap_bean*0.001*(up_Irr!V13+up_Irr!AT13+up_Irr!BR13),".")</f>
        <v>7601.8282595287337</v>
      </c>
      <c r="AW13" s="62">
        <f>IFERROR(s_C*s_IFST_res_adj*s_CF_strawberry*0.001*(up_Irr!W13+up_Irr!AU13+up_Irr!BS13),".")</f>
        <v>7601.8282595287337</v>
      </c>
      <c r="AX13" s="62">
        <f>IFERROR(s_C*s_IFTO_res_adj*s_CF_tomato*0.001*(up_Irr!X13+up_Irr!AV13+up_Irr!BT13),".")</f>
        <v>7601.8282595287337</v>
      </c>
      <c r="AY13" s="62">
        <f>IFERROR(s_C*s_IFRI_res_adj*s_CF_rice*0.001*(up_Irr!Y13+up_Irr!AW13+up_Irr!BU13),".")</f>
        <v>7601.8282595287337</v>
      </c>
      <c r="AZ13" s="62">
        <f>IFERROR(s_C*s_IFCG_res_adj*s_CF_cereal*0.001*(up_Irr!Z13+up_Irr!AX13+up_Irr!BV13),".")</f>
        <v>7601.8282595287337</v>
      </c>
      <c r="BA13" s="48">
        <f t="shared" si="2"/>
        <v>2.1924550381384044E-4</v>
      </c>
      <c r="BB13" s="48">
        <f>IFERROR(IF(AND(up_Irr!C13&lt;&gt;".",up_Irr!AA13&lt;&gt;".",up_Irr!AY13&lt;&gt;"."),up_dir!AC13/((1/1000)*(up_Irr!C13+up_Irr!AA13+up_Irr!AY13)),IF(AND(up_Irr!C13&lt;&gt;".",up_Irr!AA13&lt;&gt;".",up_Irr!AY13="."),up_dir!AC13/((1/1000)*(up_Irr!C13+up_Irr!AA13)),IF(AND(up_Irr!C13&lt;&gt;".",up_Irr!AA13=".",up_Irr!AY13&lt;&gt;"."),up_dir!AC13/((1/1000)*(up_Irr!C13+up_Irr!AY13)),IF(AND(up_Irr!C13=".",up_Irr!AA13&lt;&gt;".",up_Irr!AY13&lt;&gt;"."),up_dir!AC13/((1/1000)*(up_Irr!AA13+up_Irr!AY13)),IF(AND(up_Irr!C13=".",up_Irr!AA13=".",up_Irr!AY13&lt;&gt;"."),up_dir!AC13/((1/1000)*(up_Irr!AY13)),IF(AND(up_Irr!C13=".",up_Irr!AA13&lt;&gt;".",up_Irr!AY13="."),up_dir!AC13/((1/1000)*(up_Irr!AA13)),IF(AND(up_Irr!C13&lt;&gt;".",up_Irr!AA13=".",up_Irr!AY13="."),up_dir!AC13/((1/1000)*(up_Irr!C13)),IF(AND(up_Irr!C13=".",up_Irr!AA13=".",up_Irr!AY13="."),up_dir!AC13*1000)))))))),".")</f>
        <v>6.5773651144152131E-4</v>
      </c>
      <c r="BC13" s="48">
        <f>IFERROR(IF(AND(up_Irr!D13&lt;&gt;".",up_Irr!AB13&lt;&gt;".",up_Irr!AZ13&lt;&gt;"."),up_dir!AD13/((1/1000)*(up_Irr!D13+up_Irr!AB13+up_Irr!AZ13)),IF(AND(up_Irr!D13&lt;&gt;".",up_Irr!AB13&lt;&gt;".",up_Irr!AZ13="."),up_dir!AD13/((1/1000)*(up_Irr!D13+up_Irr!AB13)),IF(AND(up_Irr!D13&lt;&gt;".",up_Irr!AB13=".",up_Irr!AZ13&lt;&gt;"."),up_dir!AD13/((1/1000)*(up_Irr!D13+up_Irr!AZ13)),IF(AND(up_Irr!D13=".",up_Irr!AB13&lt;&gt;".",up_Irr!AZ13&lt;&gt;"."),up_dir!AD13/((1/1000)*(up_Irr!AB13+up_Irr!AZ13)),IF(AND(up_Irr!D13=".",up_Irr!AB13=".",up_Irr!AZ13&lt;&gt;"."),up_dir!AD13/((1/1000)*(up_Irr!AZ13)),IF(AND(up_Irr!D13=".",up_Irr!AB13&lt;&gt;".",up_Irr!AZ13="."),up_dir!AD13/((1/1000)*(up_Irr!AB13)),IF(AND(up_Irr!D13&lt;&gt;".",up_Irr!AB13=".",up_Irr!AZ13="."),up_dir!AD13/((1/1000)*(up_Irr!D13)),IF(AND(up_Irr!D13=".",up_Irr!AB13=".",up_Irr!AZ13="."),up_dir!AD13*1000)))))))),".")</f>
        <v>6.5773651144152131E-4</v>
      </c>
      <c r="BD13" s="48">
        <f>IFERROR(IF(AND(up_Irr!E13&lt;&gt;".",up_Irr!AC13&lt;&gt;".",up_Irr!BA13&lt;&gt;"."),up_dir!AE13/((1/1000)*(up_Irr!E13+up_Irr!AC13+up_Irr!BA13)),IF(AND(up_Irr!E13&lt;&gt;".",up_Irr!AC13&lt;&gt;".",up_Irr!BA13="."),up_dir!AE13/((1/1000)*(up_Irr!E13+up_Irr!AC13)),IF(AND(up_Irr!E13&lt;&gt;".",up_Irr!AC13=".",up_Irr!BA13&lt;&gt;"."),up_dir!AE13/((1/1000)*(up_Irr!E13+up_Irr!BA13)),IF(AND(up_Irr!E13=".",up_Irr!AC13&lt;&gt;".",up_Irr!BA13&lt;&gt;"."),up_dir!AE13/((1/1000)*(up_Irr!AC13+up_Irr!BA13)),IF(AND(up_Irr!E13=".",up_Irr!AC13=".",up_Irr!BA13&lt;&gt;"."),up_dir!AE13/((1/1000)*(up_Irr!BA13)),IF(AND(up_Irr!E13=".",up_Irr!AC13&lt;&gt;".",up_Irr!BA13="."),up_dir!AE13/((1/1000)*(up_Irr!AC13)),IF(AND(up_Irr!E13&lt;&gt;".",up_Irr!AC13=".",up_Irr!BA13="."),up_dir!AE13/((1/1000)*(up_Irr!E13)),IF(AND(up_Irr!E13=".",up_Irr!AC13=".",up_Irr!BA13="."),up_dir!AE13*1000)))))))),".")</f>
        <v>6.5773651144152131E-4</v>
      </c>
      <c r="BE13" s="48">
        <f>IFERROR(IF(AND(up_Irr!F13&lt;&gt;".",up_Irr!AD13&lt;&gt;".",up_Irr!BB13&lt;&gt;"."),up_dir!AF13/((1/1000)*(up_Irr!F13+up_Irr!AD13+up_Irr!BB13)),IF(AND(up_Irr!F13&lt;&gt;".",up_Irr!AD13&lt;&gt;".",up_Irr!BB13="."),up_dir!AF13/((1/1000)*(up_Irr!F13+up_Irr!AD13)),IF(AND(up_Irr!F13&lt;&gt;".",up_Irr!AD13=".",up_Irr!BB13&lt;&gt;"."),up_dir!AF13/((1/1000)*(up_Irr!F13+up_Irr!BB13)),IF(AND(up_Irr!F13=".",up_Irr!AD13&lt;&gt;".",up_Irr!BB13&lt;&gt;"."),up_dir!AF13/((1/1000)*(up_Irr!AD13+up_Irr!BB13)),IF(AND(up_Irr!F13=".",up_Irr!AD13=".",up_Irr!BB13&lt;&gt;"."),up_dir!AF13/((1/1000)*(up_Irr!BB13)),IF(AND(up_Irr!F13=".",up_Irr!AD13&lt;&gt;".",up_Irr!BB13="."),up_dir!AF13/((1/1000)*(up_Irr!AD13)),IF(AND(up_Irr!F13&lt;&gt;".",up_Irr!AD13=".",up_Irr!BB13="."),up_dir!AF13/((1/1000)*(up_Irr!F13)),IF(AND(up_Irr!F13=".",up_Irr!AD13=".",up_Irr!BB13="."),up_dir!AF13*1000)))))))),".")</f>
        <v>6.5773651144152131E-4</v>
      </c>
      <c r="BF13" s="48">
        <f>IFERROR(IF(AND(up_Irr!G13&lt;&gt;".",up_Irr!AE13&lt;&gt;".",up_Irr!BC13&lt;&gt;"."),up_dir!AG13/((1/1000)*(up_Irr!G13+up_Irr!AE13+up_Irr!BC13)),IF(AND(up_Irr!G13&lt;&gt;".",up_Irr!AE13&lt;&gt;".",up_Irr!BC13="."),up_dir!AG13/((1/1000)*(up_Irr!G13+up_Irr!AE13)),IF(AND(up_Irr!G13&lt;&gt;".",up_Irr!AE13=".",up_Irr!BC13&lt;&gt;"."),up_dir!AG13/((1/1000)*(up_Irr!G13+up_Irr!BC13)),IF(AND(up_Irr!G13=".",up_Irr!AE13&lt;&gt;".",up_Irr!BC13&lt;&gt;"."),up_dir!AG13/((1/1000)*(up_Irr!AE13+up_Irr!BC13)),IF(AND(up_Irr!G13=".",up_Irr!AE13=".",up_Irr!BC13&lt;&gt;"."),up_dir!AG13/((1/1000)*(up_Irr!BC13)),IF(AND(up_Irr!G13=".",up_Irr!AE13&lt;&gt;".",up_Irr!BC13="."),up_dir!AG13/((1/1000)*(up_Irr!AE13)),IF(AND(up_Irr!G13&lt;&gt;".",up_Irr!AE13=".",up_Irr!BC13="."),up_dir!AG13/((1/1000)*(up_Irr!G13)),IF(AND(up_Irr!G13=".",up_Irr!AE13=".",up_Irr!BC13="."),up_dir!AG13*1000)))))))),".")</f>
        <v>6.5773651144152131E-4</v>
      </c>
      <c r="BG13" s="48">
        <f>IFERROR(IF(AND(up_Irr!H13&lt;&gt;".",up_Irr!AF13&lt;&gt;".",up_Irr!BD13&lt;&gt;"."),up_dir!AH13/((1/1000)*(up_Irr!H13+up_Irr!AF13+up_Irr!BD13)),IF(AND(up_Irr!H13&lt;&gt;".",up_Irr!AF13&lt;&gt;".",up_Irr!BD13="."),up_dir!AH13/((1/1000)*(up_Irr!H13+up_Irr!AF13)),IF(AND(up_Irr!H13&lt;&gt;".",up_Irr!AF13=".",up_Irr!BD13&lt;&gt;"."),up_dir!AH13/((1/1000)*(up_Irr!H13+up_Irr!BD13)),IF(AND(up_Irr!H13=".",up_Irr!AF13&lt;&gt;".",up_Irr!BD13&lt;&gt;"."),up_dir!AH13/((1/1000)*(up_Irr!AF13+up_Irr!BD13)),IF(AND(up_Irr!H13=".",up_Irr!AF13=".",up_Irr!BD13&lt;&gt;"."),up_dir!AH13/((1/1000)*(up_Irr!BD13)),IF(AND(up_Irr!H13=".",up_Irr!AF13&lt;&gt;".",up_Irr!BD13="."),up_dir!AH13/((1/1000)*(up_Irr!AF13)),IF(AND(up_Irr!H13&lt;&gt;".",up_Irr!AF13=".",up_Irr!BD13="."),up_dir!AH13/((1/1000)*(up_Irr!H13)),IF(AND(up_Irr!H13=".",up_Irr!AF13=".",up_Irr!BD13="."),up_dir!AH13*1000)))))))),".")</f>
        <v>6.5773651144152131E-4</v>
      </c>
      <c r="BH13" s="48">
        <f>IFERROR(IF(AND(up_Irr!I13&lt;&gt;".",up_Irr!AG13&lt;&gt;".",up_Irr!BE13&lt;&gt;"."),up_dir!AI13/((1/1000)*(up_Irr!I13+up_Irr!AG13+up_Irr!BE13)),IF(AND(up_Irr!I13&lt;&gt;".",up_Irr!AG13&lt;&gt;".",up_Irr!BE13="."),up_dir!AI13/((1/1000)*(up_Irr!I13+up_Irr!AG13)),IF(AND(up_Irr!I13&lt;&gt;".",up_Irr!AG13=".",up_Irr!BE13&lt;&gt;"."),up_dir!AI13/((1/1000)*(up_Irr!I13+up_Irr!BE13)),IF(AND(up_Irr!I13=".",up_Irr!AG13&lt;&gt;".",up_Irr!BE13&lt;&gt;"."),up_dir!AI13/((1/1000)*(up_Irr!AG13+up_Irr!BE13)),IF(AND(up_Irr!I13=".",up_Irr!AG13=".",up_Irr!BE13&lt;&gt;"."),up_dir!AI13/((1/1000)*(up_Irr!BE13)),IF(AND(up_Irr!I13=".",up_Irr!AG13&lt;&gt;".",up_Irr!BE13="."),up_dir!AI13/((1/1000)*(up_Irr!AG13)),IF(AND(up_Irr!I13&lt;&gt;".",up_Irr!AG13=".",up_Irr!BE13="."),up_dir!AI13/((1/1000)*(up_Irr!I13)),IF(AND(up_Irr!I13=".",up_Irr!AG13=".",up_Irr!BE13="."),up_dir!AI13*1000)))))))),".")</f>
        <v>6.5773651144152131E-4</v>
      </c>
      <c r="BI13" s="48">
        <f>IFERROR(IF(AND(up_Irr!J13&lt;&gt;".",up_Irr!AH13&lt;&gt;".",up_Irr!BF13&lt;&gt;"."),up_dir!AJ13/((1/1000)*(up_Irr!J13+up_Irr!AH13+up_Irr!BF13)),IF(AND(up_Irr!J13&lt;&gt;".",up_Irr!AH13&lt;&gt;".",up_Irr!BF13="."),up_dir!AJ13/((1/1000)*(up_Irr!J13+up_Irr!AH13)),IF(AND(up_Irr!J13&lt;&gt;".",up_Irr!AH13=".",up_Irr!BF13&lt;&gt;"."),up_dir!AJ13/((1/1000)*(up_Irr!J13+up_Irr!BF13)),IF(AND(up_Irr!J13=".",up_Irr!AH13&lt;&gt;".",up_Irr!BF13&lt;&gt;"."),up_dir!AJ13/((1/1000)*(up_Irr!AH13+up_Irr!BF13)),IF(AND(up_Irr!J13=".",up_Irr!AH13=".",up_Irr!BF13&lt;&gt;"."),up_dir!AJ13/((1/1000)*(up_Irr!BF13)),IF(AND(up_Irr!J13=".",up_Irr!AH13&lt;&gt;".",up_Irr!BF13="."),up_dir!AJ13/((1/1000)*(up_Irr!AH13)),IF(AND(up_Irr!J13&lt;&gt;".",up_Irr!AH13=".",up_Irr!BF13="."),up_dir!AJ13/((1/1000)*(up_Irr!J13)),IF(AND(up_Irr!J13=".",up_Irr!AH13=".",up_Irr!BF13="."),up_dir!AJ13*1000)))))))),".")</f>
        <v>6.5773651144152131E-4</v>
      </c>
      <c r="BJ13" s="48">
        <f>IFERROR(IF(AND(up_Irr!K13&lt;&gt;".",up_Irr!AI13&lt;&gt;".",up_Irr!BG13&lt;&gt;"."),up_dir!AK13/((1/1000)*(up_Irr!K13+up_Irr!AI13+up_Irr!BG13)),IF(AND(up_Irr!K13&lt;&gt;".",up_Irr!AI13&lt;&gt;".",up_Irr!BG13="."),up_dir!AK13/((1/1000)*(up_Irr!K13+up_Irr!AI13)),IF(AND(up_Irr!K13&lt;&gt;".",up_Irr!AI13=".",up_Irr!BG13&lt;&gt;"."),up_dir!AK13/((1/1000)*(up_Irr!K13+up_Irr!BG13)),IF(AND(up_Irr!K13=".",up_Irr!AI13&lt;&gt;".",up_Irr!BG13&lt;&gt;"."),up_dir!AK13/((1/1000)*(up_Irr!AI13+up_Irr!BG13)),IF(AND(up_Irr!K13=".",up_Irr!AI13=".",up_Irr!BG13&lt;&gt;"."),up_dir!AK13/((1/1000)*(up_Irr!BG13)),IF(AND(up_Irr!K13=".",up_Irr!AI13&lt;&gt;".",up_Irr!BG13="."),up_dir!AK13/((1/1000)*(up_Irr!AI13)),IF(AND(up_Irr!K13&lt;&gt;".",up_Irr!AI13=".",up_Irr!BG13="."),up_dir!AK13/((1/1000)*(up_Irr!K13)),IF(AND(up_Irr!K13=".",up_Irr!AI13=".",up_Irr!BG13="."),up_dir!AK13*1000)))))))),".")</f>
        <v>6.5773651144152131E-4</v>
      </c>
      <c r="BK13" s="48">
        <f>IFERROR(IF(AND(up_Irr!L13&lt;&gt;".",up_Irr!AJ13&lt;&gt;".",up_Irr!BH13&lt;&gt;"."),up_dir!AL13/((1/1000)*(up_Irr!L13+up_Irr!AJ13+up_Irr!BH13)),IF(AND(up_Irr!L13&lt;&gt;".",up_Irr!AJ13&lt;&gt;".",up_Irr!BH13="."),up_dir!AL13/((1/1000)*(up_Irr!L13+up_Irr!AJ13)),IF(AND(up_Irr!L13&lt;&gt;".",up_Irr!AJ13=".",up_Irr!BH13&lt;&gt;"."),up_dir!AL13/((1/1000)*(up_Irr!L13+up_Irr!BH13)),IF(AND(up_Irr!L13=".",up_Irr!AJ13&lt;&gt;".",up_Irr!BH13&lt;&gt;"."),up_dir!AL13/((1/1000)*(up_Irr!AJ13+up_Irr!BH13)),IF(AND(up_Irr!L13=".",up_Irr!AJ13=".",up_Irr!BH13&lt;&gt;"."),up_dir!AL13/((1/1000)*(up_Irr!BH13)),IF(AND(up_Irr!L13=".",up_Irr!AJ13&lt;&gt;".",up_Irr!BH13="."),up_dir!AL13/((1/1000)*(up_Irr!AJ13)),IF(AND(up_Irr!L13&lt;&gt;".",up_Irr!AJ13=".",up_Irr!BH13="."),up_dir!AL13/((1/1000)*(up_Irr!L13)),IF(AND(up_Irr!L13=".",up_Irr!AJ13=".",up_Irr!BH13="."),up_dir!AL13*1000)))))))),".")</f>
        <v>6.5773651144152131E-4</v>
      </c>
      <c r="BL13" s="48">
        <f>IFERROR(IF(AND(up_Irr!M13&lt;&gt;".",up_Irr!AK13&lt;&gt;".",up_Irr!BI13&lt;&gt;"."),up_dir!AM13/((1/1000)*(up_Irr!M13+up_Irr!AK13+up_Irr!BI13)),IF(AND(up_Irr!M13&lt;&gt;".",up_Irr!AK13&lt;&gt;".",up_Irr!BI13="."),up_dir!AM13/((1/1000)*(up_Irr!M13+up_Irr!AK13)),IF(AND(up_Irr!M13&lt;&gt;".",up_Irr!AK13=".",up_Irr!BI13&lt;&gt;"."),up_dir!AM13/((1/1000)*(up_Irr!M13+up_Irr!BI13)),IF(AND(up_Irr!M13=".",up_Irr!AK13&lt;&gt;".",up_Irr!BI13&lt;&gt;"."),up_dir!AM13/((1/1000)*(up_Irr!AK13+up_Irr!BI13)),IF(AND(up_Irr!M13=".",up_Irr!AK13=".",up_Irr!BI13&lt;&gt;"."),up_dir!AM13/((1/1000)*(up_Irr!BI13)),IF(AND(up_Irr!M13=".",up_Irr!AK13&lt;&gt;".",up_Irr!BI13="."),up_dir!AM13/((1/1000)*(up_Irr!AK13)),IF(AND(up_Irr!M13&lt;&gt;".",up_Irr!AK13=".",up_Irr!BI13="."),up_dir!AM13/((1/1000)*(up_Irr!M13)),IF(AND(up_Irr!M13=".",up_Irr!AK13=".",up_Irr!BI13="."),up_dir!AM13*1000)))))))),".")</f>
        <v>6.5773651144152131E-4</v>
      </c>
      <c r="BM13" s="48">
        <f>IFERROR(IF(AND(up_Irr!N13&lt;&gt;".",up_Irr!AL13&lt;&gt;".",up_Irr!BJ13&lt;&gt;"."),up_dir!AN13/((1/1000)*(up_Irr!N13+up_Irr!AL13+up_Irr!BJ13)),IF(AND(up_Irr!N13&lt;&gt;".",up_Irr!AL13&lt;&gt;".",up_Irr!BJ13="."),up_dir!AN13/((1/1000)*(up_Irr!N13+up_Irr!AL13)),IF(AND(up_Irr!N13&lt;&gt;".",up_Irr!AL13=".",up_Irr!BJ13&lt;&gt;"."),up_dir!AN13/((1/1000)*(up_Irr!N13+up_Irr!BJ13)),IF(AND(up_Irr!N13=".",up_Irr!AL13&lt;&gt;".",up_Irr!BJ13&lt;&gt;"."),up_dir!AN13/((1/1000)*(up_Irr!AL13+up_Irr!BJ13)),IF(AND(up_Irr!N13=".",up_Irr!AL13=".",up_Irr!BJ13&lt;&gt;"."),up_dir!AN13/((1/1000)*(up_Irr!BJ13)),IF(AND(up_Irr!N13=".",up_Irr!AL13&lt;&gt;".",up_Irr!BJ13="."),up_dir!AN13/((1/1000)*(up_Irr!AL13)),IF(AND(up_Irr!N13&lt;&gt;".",up_Irr!AL13=".",up_Irr!BJ13="."),up_dir!AN13/((1/1000)*(up_Irr!N13)),IF(AND(up_Irr!N13=".",up_Irr!AL13=".",up_Irr!BJ13="."),up_dir!AN13*1000)))))))),".")</f>
        <v>6.5773651144152131E-4</v>
      </c>
      <c r="BN13" s="48">
        <f>IFERROR(IF(AND(up_Irr!O13&lt;&gt;".",up_Irr!AM13&lt;&gt;".",up_Irr!BK13&lt;&gt;"."),up_dir!AO13/((1/1000)*(up_Irr!O13+up_Irr!AM13+up_Irr!BK13)),IF(AND(up_Irr!O13&lt;&gt;".",up_Irr!AM13&lt;&gt;".",up_Irr!BK13="."),up_dir!AO13/((1/1000)*(up_Irr!O13+up_Irr!AM13)),IF(AND(up_Irr!O13&lt;&gt;".",up_Irr!AM13=".",up_Irr!BK13&lt;&gt;"."),up_dir!AO13/((1/1000)*(up_Irr!O13+up_Irr!BK13)),IF(AND(up_Irr!O13=".",up_Irr!AM13&lt;&gt;".",up_Irr!BK13&lt;&gt;"."),up_dir!AO13/((1/1000)*(up_Irr!AM13+up_Irr!BK13)),IF(AND(up_Irr!O13=".",up_Irr!AM13=".",up_Irr!BK13&lt;&gt;"."),up_dir!AO13/((1/1000)*(up_Irr!BK13)),IF(AND(up_Irr!O13=".",up_Irr!AM13&lt;&gt;".",up_Irr!BK13="."),up_dir!AO13/((1/1000)*(up_Irr!AM13)),IF(AND(up_Irr!O13&lt;&gt;".",up_Irr!AM13=".",up_Irr!BK13="."),up_dir!AO13/((1/1000)*(up_Irr!O13)),IF(AND(up_Irr!O13=".",up_Irr!AM13=".",up_Irr!BK13="."),up_dir!AO13*1000)))))))),".")</f>
        <v>6.5773651144152131E-4</v>
      </c>
      <c r="BO13" s="48">
        <f>IFERROR(IF(AND(up_Irr!P13&lt;&gt;".",up_Irr!AN13&lt;&gt;".",up_Irr!BL13&lt;&gt;"."),up_dir!AP13/((1/1000)*(up_Irr!P13+up_Irr!AN13+up_Irr!BL13)),IF(AND(up_Irr!P13&lt;&gt;".",up_Irr!AN13&lt;&gt;".",up_Irr!BL13="."),up_dir!AP13/((1/1000)*(up_Irr!P13+up_Irr!AN13)),IF(AND(up_Irr!P13&lt;&gt;".",up_Irr!AN13=".",up_Irr!BL13&lt;&gt;"."),up_dir!AP13/((1/1000)*(up_Irr!P13+up_Irr!BL13)),IF(AND(up_Irr!P13=".",up_Irr!AN13&lt;&gt;".",up_Irr!BL13&lt;&gt;"."),up_dir!AP13/((1/1000)*(up_Irr!AN13+up_Irr!BL13)),IF(AND(up_Irr!P13=".",up_Irr!AN13=".",up_Irr!BL13&lt;&gt;"."),up_dir!AP13/((1/1000)*(up_Irr!BL13)),IF(AND(up_Irr!P13=".",up_Irr!AN13&lt;&gt;".",up_Irr!BL13="."),up_dir!AP13/((1/1000)*(up_Irr!AN13)),IF(AND(up_Irr!P13&lt;&gt;".",up_Irr!AN13=".",up_Irr!BL13="."),up_dir!AP13/((1/1000)*(up_Irr!P13)),IF(AND(up_Irr!P13=".",up_Irr!AN13=".",up_Irr!BL13="."),up_dir!AP13*1000)))))))),".")</f>
        <v>6.5773651144152131E-4</v>
      </c>
      <c r="BP13" s="48">
        <f>IFERROR(IF(AND(up_Irr!Q13&lt;&gt;".",up_Irr!AO13&lt;&gt;".",up_Irr!BM13&lt;&gt;"."),up_dir!AQ13/((1/1000)*(up_Irr!Q13+up_Irr!AO13+up_Irr!BM13)),IF(AND(up_Irr!Q13&lt;&gt;".",up_Irr!AO13&lt;&gt;".",up_Irr!BM13="."),up_dir!AQ13/((1/1000)*(up_Irr!Q13+up_Irr!AO13)),IF(AND(up_Irr!Q13&lt;&gt;".",up_Irr!AO13=".",up_Irr!BM13&lt;&gt;"."),up_dir!AQ13/((1/1000)*(up_Irr!Q13+up_Irr!BM13)),IF(AND(up_Irr!Q13=".",up_Irr!AO13&lt;&gt;".",up_Irr!BM13&lt;&gt;"."),up_dir!AQ13/((1/1000)*(up_Irr!AO13+up_Irr!BM13)),IF(AND(up_Irr!Q13=".",up_Irr!AO13=".",up_Irr!BM13&lt;&gt;"."),up_dir!AQ13/((1/1000)*(up_Irr!BM13)),IF(AND(up_Irr!Q13=".",up_Irr!AO13&lt;&gt;".",up_Irr!BM13="."),up_dir!AQ13/((1/1000)*(up_Irr!AO13)),IF(AND(up_Irr!Q13&lt;&gt;".",up_Irr!AO13=".",up_Irr!BM13="."),up_dir!AQ13/((1/1000)*(up_Irr!Q13)),IF(AND(up_Irr!Q13=".",up_Irr!AO13=".",up_Irr!BM13="."),up_dir!AQ13*1000)))))))),".")</f>
        <v>6.5773651144152131E-4</v>
      </c>
      <c r="BQ13" s="48">
        <f>IFERROR(IF(AND(up_Irr!R13&lt;&gt;".",up_Irr!AP13&lt;&gt;".",up_Irr!BN13&lt;&gt;"."),up_dir!AR13/((1/1000)*(up_Irr!R13+up_Irr!AP13+up_Irr!BN13)),IF(AND(up_Irr!R13&lt;&gt;".",up_Irr!AP13&lt;&gt;".",up_Irr!BN13="."),up_dir!AR13/((1/1000)*(up_Irr!R13+up_Irr!AP13)),IF(AND(up_Irr!R13&lt;&gt;".",up_Irr!AP13=".",up_Irr!BN13&lt;&gt;"."),up_dir!AR13/((1/1000)*(up_Irr!R13+up_Irr!BN13)),IF(AND(up_Irr!R13=".",up_Irr!AP13&lt;&gt;".",up_Irr!BN13&lt;&gt;"."),up_dir!AR13/((1/1000)*(up_Irr!AP13+up_Irr!BN13)),IF(AND(up_Irr!R13=".",up_Irr!AP13=".",up_Irr!BN13&lt;&gt;"."),up_dir!AR13/((1/1000)*(up_Irr!BN13)),IF(AND(up_Irr!R13=".",up_Irr!AP13&lt;&gt;".",up_Irr!BN13="."),up_dir!AR13/((1/1000)*(up_Irr!AP13)),IF(AND(up_Irr!R13&lt;&gt;".",up_Irr!AP13=".",up_Irr!BN13="."),up_dir!AR13/((1/1000)*(up_Irr!R13)),IF(AND(up_Irr!R13=".",up_Irr!AP13=".",up_Irr!BN13="."),up_dir!AR13*1000)))))))),".")</f>
        <v>6.5773651144152131E-4</v>
      </c>
      <c r="BR13" s="48">
        <f>IFERROR(IF(AND(up_Irr!S13&lt;&gt;".",up_Irr!AQ13&lt;&gt;".",up_Irr!BO13&lt;&gt;"."),up_dir!AS13/((1/1000)*(up_Irr!S13+up_Irr!AQ13+up_Irr!BO13)),IF(AND(up_Irr!S13&lt;&gt;".",up_Irr!AQ13&lt;&gt;".",up_Irr!BO13="."),up_dir!AS13/((1/1000)*(up_Irr!S13+up_Irr!AQ13)),IF(AND(up_Irr!S13&lt;&gt;".",up_Irr!AQ13=".",up_Irr!BO13&lt;&gt;"."),up_dir!AS13/((1/1000)*(up_Irr!S13+up_Irr!BO13)),IF(AND(up_Irr!S13=".",up_Irr!AQ13&lt;&gt;".",up_Irr!BO13&lt;&gt;"."),up_dir!AS13/((1/1000)*(up_Irr!AQ13+up_Irr!BO13)),IF(AND(up_Irr!S13=".",up_Irr!AQ13=".",up_Irr!BO13&lt;&gt;"."),up_dir!AS13/((1/1000)*(up_Irr!BO13)),IF(AND(up_Irr!S13=".",up_Irr!AQ13&lt;&gt;".",up_Irr!BO13="."),up_dir!AS13/((1/1000)*(up_Irr!AQ13)),IF(AND(up_Irr!S13&lt;&gt;".",up_Irr!AQ13=".",up_Irr!BO13="."),up_dir!AS13/((1/1000)*(up_Irr!S13)),IF(AND(up_Irr!S13=".",up_Irr!AQ13=".",up_Irr!BO13="."),up_dir!AS13*1000)))))))),".")</f>
        <v>6.5773651144152131E-4</v>
      </c>
      <c r="BS13" s="48">
        <f>IFERROR(IF(AND(up_Irr!T13&lt;&gt;".",up_Irr!AR13&lt;&gt;".",up_Irr!BP13&lt;&gt;"."),up_dir!AT13/((1/1000)*(up_Irr!T13+up_Irr!AR13+up_Irr!BP13)),IF(AND(up_Irr!T13&lt;&gt;".",up_Irr!AR13&lt;&gt;".",up_Irr!BP13="."),up_dir!AT13/((1/1000)*(up_Irr!T13+up_Irr!AR13)),IF(AND(up_Irr!T13&lt;&gt;".",up_Irr!AR13=".",up_Irr!BP13&lt;&gt;"."),up_dir!AT13/((1/1000)*(up_Irr!T13+up_Irr!BP13)),IF(AND(up_Irr!T13=".",up_Irr!AR13&lt;&gt;".",up_Irr!BP13&lt;&gt;"."),up_dir!AT13/((1/1000)*(up_Irr!AR13+up_Irr!BP13)),IF(AND(up_Irr!T13=".",up_Irr!AR13=".",up_Irr!BP13&lt;&gt;"."),up_dir!AT13/((1/1000)*(up_Irr!BP13)),IF(AND(up_Irr!T13=".",up_Irr!AR13&lt;&gt;".",up_Irr!BP13="."),up_dir!AT13/((1/1000)*(up_Irr!AR13)),IF(AND(up_Irr!T13&lt;&gt;".",up_Irr!AR13=".",up_Irr!BP13="."),up_dir!AT13/((1/1000)*(up_Irr!T13)),IF(AND(up_Irr!T13=".",up_Irr!AR13=".",up_Irr!BP13="."),up_dir!AT13*1000)))))))),".")</f>
        <v>6.5773651144152131E-4</v>
      </c>
      <c r="BT13" s="48">
        <f>IFERROR(IF(AND(up_Irr!U13&lt;&gt;".",up_Irr!AS13&lt;&gt;".",up_Irr!BQ13&lt;&gt;"."),up_dir!AU13/((1/1000)*(up_Irr!U13+up_Irr!AS13+up_Irr!BQ13)),IF(AND(up_Irr!U13&lt;&gt;".",up_Irr!AS13&lt;&gt;".",up_Irr!BQ13="."),up_dir!AU13/((1/1000)*(up_Irr!U13+up_Irr!AS13)),IF(AND(up_Irr!U13&lt;&gt;".",up_Irr!AS13=".",up_Irr!BQ13&lt;&gt;"."),up_dir!AU13/((1/1000)*(up_Irr!U13+up_Irr!BQ13)),IF(AND(up_Irr!U13=".",up_Irr!AS13&lt;&gt;".",up_Irr!BQ13&lt;&gt;"."),up_dir!AU13/((1/1000)*(up_Irr!AS13+up_Irr!BQ13)),IF(AND(up_Irr!U13=".",up_Irr!AS13=".",up_Irr!BQ13&lt;&gt;"."),up_dir!AU13/((1/1000)*(up_Irr!BQ13)),IF(AND(up_Irr!U13=".",up_Irr!AS13&lt;&gt;".",up_Irr!BQ13="."),up_dir!AU13/((1/1000)*(up_Irr!AS13)),IF(AND(up_Irr!U13&lt;&gt;".",up_Irr!AS13=".",up_Irr!BQ13="."),up_dir!AU13/((1/1000)*(up_Irr!U13)),IF(AND(up_Irr!U13=".",up_Irr!AS13=".",up_Irr!BQ13="."),up_dir!AU13*1000)))))))),".")</f>
        <v>6.5773651144152131E-4</v>
      </c>
      <c r="BU13" s="48">
        <f>IFERROR(IF(AND(up_Irr!V13&lt;&gt;".",up_Irr!AT13&lt;&gt;".",up_Irr!BR13&lt;&gt;"."),up_dir!AV13/((1/1000)*(up_Irr!V13+up_Irr!AT13+up_Irr!BR13)),IF(AND(up_Irr!V13&lt;&gt;".",up_Irr!AT13&lt;&gt;".",up_Irr!BR13="."),up_dir!AV13/((1/1000)*(up_Irr!V13+up_Irr!AT13)),IF(AND(up_Irr!V13&lt;&gt;".",up_Irr!AT13=".",up_Irr!BR13&lt;&gt;"."),up_dir!AV13/((1/1000)*(up_Irr!V13+up_Irr!BR13)),IF(AND(up_Irr!V13=".",up_Irr!AT13&lt;&gt;".",up_Irr!BR13&lt;&gt;"."),up_dir!AV13/((1/1000)*(up_Irr!AT13+up_Irr!BR13)),IF(AND(up_Irr!V13=".",up_Irr!AT13=".",up_Irr!BR13&lt;&gt;"."),up_dir!AV13/((1/1000)*(up_Irr!BR13)),IF(AND(up_Irr!V13=".",up_Irr!AT13&lt;&gt;".",up_Irr!BR13="."),up_dir!AV13/((1/1000)*(up_Irr!AT13)),IF(AND(up_Irr!V13&lt;&gt;".",up_Irr!AT13=".",up_Irr!BR13="."),up_dir!AV13/((1/1000)*(up_Irr!V13)),IF(AND(up_Irr!V13=".",up_Irr!AT13=".",up_Irr!BR13="."),up_dir!AV13*1000)))))))),".")</f>
        <v>6.5773651144152131E-4</v>
      </c>
      <c r="BV13" s="48">
        <f>IFERROR(IF(AND(up_Irr!W13&lt;&gt;".",up_Irr!AU13&lt;&gt;".",up_Irr!BS13&lt;&gt;"."),up_dir!AW13/((1/1000)*(up_Irr!W13+up_Irr!AU13+up_Irr!BS13)),IF(AND(up_Irr!W13&lt;&gt;".",up_Irr!AU13&lt;&gt;".",up_Irr!BS13="."),up_dir!AW13/((1/1000)*(up_Irr!W13+up_Irr!AU13)),IF(AND(up_Irr!W13&lt;&gt;".",up_Irr!AU13=".",up_Irr!BS13&lt;&gt;"."),up_dir!AW13/((1/1000)*(up_Irr!W13+up_Irr!BS13)),IF(AND(up_Irr!W13=".",up_Irr!AU13&lt;&gt;".",up_Irr!BS13&lt;&gt;"."),up_dir!AW13/((1/1000)*(up_Irr!AU13+up_Irr!BS13)),IF(AND(up_Irr!W13=".",up_Irr!AU13=".",up_Irr!BS13&lt;&gt;"."),up_dir!AW13/((1/1000)*(up_Irr!BS13)),IF(AND(up_Irr!W13=".",up_Irr!AU13&lt;&gt;".",up_Irr!BS13="."),up_dir!AW13/((1/1000)*(up_Irr!AU13)),IF(AND(up_Irr!W13&lt;&gt;".",up_Irr!AU13=".",up_Irr!BS13="."),up_dir!AW13/((1/1000)*(up_Irr!W13)),IF(AND(up_Irr!W13=".",up_Irr!AU13=".",up_Irr!BS13="."),up_dir!AW13*1000)))))))),".")</f>
        <v>6.5773651144152131E-4</v>
      </c>
      <c r="BW13" s="48">
        <f>IFERROR(IF(AND(up_Irr!X13&lt;&gt;".",up_Irr!AV13&lt;&gt;".",up_Irr!BT13&lt;&gt;"."),up_dir!AX13/((1/1000)*(up_Irr!X13+up_Irr!AV13+up_Irr!BT13)),IF(AND(up_Irr!X13&lt;&gt;".",up_Irr!AV13&lt;&gt;".",up_Irr!BT13="."),up_dir!AX13/((1/1000)*(up_Irr!X13+up_Irr!AV13)),IF(AND(up_Irr!X13&lt;&gt;".",up_Irr!AV13=".",up_Irr!BT13&lt;&gt;"."),up_dir!AX13/((1/1000)*(up_Irr!X13+up_Irr!BT13)),IF(AND(up_Irr!X13=".",up_Irr!AV13&lt;&gt;".",up_Irr!BT13&lt;&gt;"."),up_dir!AX13/((1/1000)*(up_Irr!AV13+up_Irr!BT13)),IF(AND(up_Irr!X13=".",up_Irr!AV13=".",up_Irr!BT13&lt;&gt;"."),up_dir!AX13/((1/1000)*(up_Irr!BT13)),IF(AND(up_Irr!X13=".",up_Irr!AV13&lt;&gt;".",up_Irr!BT13="."),up_dir!AX13/((1/1000)*(up_Irr!AV13)),IF(AND(up_Irr!X13&lt;&gt;".",up_Irr!AV13=".",up_Irr!BT13="."),up_dir!AX13/((1/1000)*(up_Irr!X13)),IF(AND(up_Irr!X13=".",up_Irr!AV13=".",up_Irr!BT13="."),up_dir!AX13*1000)))))))),".")</f>
        <v>6.5773651144152131E-4</v>
      </c>
      <c r="BX13" s="48">
        <f>IFERROR(IF(AND(up_Irr!Y13&lt;&gt;".",up_Irr!AW13&lt;&gt;".",up_Irr!BU13&lt;&gt;"."),up_dir!AY13/((1/1000)*(up_Irr!Y13+up_Irr!AW13+up_Irr!BU13)),IF(AND(up_Irr!Y13&lt;&gt;".",up_Irr!AW13&lt;&gt;".",up_Irr!BU13="."),up_dir!AY13/((1/1000)*(up_Irr!Y13+up_Irr!AW13)),IF(AND(up_Irr!Y13&lt;&gt;".",up_Irr!AW13=".",up_Irr!BU13&lt;&gt;"."),up_dir!AY13/((1/1000)*(up_Irr!Y13+up_Irr!BU13)),IF(AND(up_Irr!Y13=".",up_Irr!AW13&lt;&gt;".",up_Irr!BU13&lt;&gt;"."),up_dir!AY13/((1/1000)*(up_Irr!AW13+up_Irr!BU13)),IF(AND(up_Irr!Y13=".",up_Irr!AW13=".",up_Irr!BU13&lt;&gt;"."),up_dir!AY13/((1/1000)*(up_Irr!BU13)),IF(AND(up_Irr!Y13=".",up_Irr!AW13&lt;&gt;".",up_Irr!BU13="."),up_dir!AY13/((1/1000)*(up_Irr!AW13)),IF(AND(up_Irr!Y13&lt;&gt;".",up_Irr!AW13=".",up_Irr!BU13="."),up_dir!AY13/((1/1000)*(up_Irr!Y13)),IF(AND(up_Irr!Y13=".",up_Irr!AW13=".",up_Irr!BU13="."),up_dir!AY13*1000)))))))),".")</f>
        <v>6.5773651144152131E-4</v>
      </c>
      <c r="BY13" s="48">
        <f>IFERROR(IF(AND(up_Irr!Z13&lt;&gt;".",up_Irr!AX13&lt;&gt;".",up_Irr!BV13&lt;&gt;"."),up_dir!AZ13/((1/1000)*(up_Irr!Z13+up_Irr!AX13+up_Irr!BV13)),IF(AND(up_Irr!Z13&lt;&gt;".",up_Irr!AX13&lt;&gt;".",up_Irr!BV13="."),up_dir!AZ13/((1/1000)*(up_Irr!Z13+up_Irr!AX13)),IF(AND(up_Irr!Z13&lt;&gt;".",up_Irr!AX13=".",up_Irr!BV13&lt;&gt;"."),up_dir!AZ13/((1/1000)*(up_Irr!Z13+up_Irr!BV13)),IF(AND(up_Irr!Z13=".",up_Irr!AX13&lt;&gt;".",up_Irr!BV13&lt;&gt;"."),up_dir!AZ13/((1/1000)*(up_Irr!AX13+up_Irr!BV13)),IF(AND(up_Irr!Z13=".",up_Irr!AX13=".",up_Irr!BV13&lt;&gt;"."),up_dir!AZ13/((1/1000)*(up_Irr!BV13)),IF(AND(up_Irr!Z13=".",up_Irr!AX13&lt;&gt;".",up_Irr!BV13="."),up_dir!AZ13/((1/1000)*(up_Irr!AX13)),IF(AND(up_Irr!Z13&lt;&gt;".",up_Irr!AX13=".",up_Irr!BV13="."),up_dir!AZ13/((1/1000)*(up_Irr!Z13)),IF(AND(up_Irr!Z13=".",up_Irr!AX13=".",up_Irr!BV13="."),up_dir!AZ13*1000)))))))),".")</f>
        <v>6.5773651144152131E-4</v>
      </c>
      <c r="BZ13" s="62">
        <f t="shared" si="3"/>
        <v>22805.4847785862</v>
      </c>
      <c r="CA13" s="62">
        <f>IFERROR(s_C*s_IFAP_far_adj*s_CF_apple*(1/1000)*(up_Irr!C13+up_Irr!AA13+up_Irr!AY13),".")</f>
        <v>7601.8282595287337</v>
      </c>
      <c r="CB13" s="62">
        <f>IFERROR(s_C*s_IFAS_far_adj*s_CF_asparagus*(1/1000)*(up_Irr!D13+up_Irr!AB13+up_Irr!AZ13),".")</f>
        <v>7601.8282595287337</v>
      </c>
      <c r="CC13" s="62">
        <f>IFERROR(s_C*s_IFBT_far_adj*s_CF_beet*(1/1000)*(up_Irr!E13+up_Irr!AC13+up_Irr!BA13),".")</f>
        <v>7601.8282595287337</v>
      </c>
      <c r="CD13" s="62">
        <f>IFERROR(s_C*s_IFBE_far_adj*s_CF_berries*(1/1000)*(up_Irr!F13+up_Irr!AD13+up_Irr!BB13),".")</f>
        <v>7601.8282595287337</v>
      </c>
      <c r="CE13" s="62">
        <f>IFERROR(s_C*s_IFBR_far_adj*s_CF_broccoli*(1/1000)*(up_Irr!G13+up_Irr!AE13+up_Irr!BC13),".")</f>
        <v>7601.8282595287337</v>
      </c>
      <c r="CF13" s="62">
        <f>IFERROR(s_C*s_IFCB_far_adj*s_CF_cabbage*(1/1000)*(up_Irr!H13+up_Irr!AF13+up_Irr!BD13),".")</f>
        <v>7601.8282595287337</v>
      </c>
      <c r="CG13" s="62">
        <f>IFERROR(s_C*s_IFCR_far_adj*s_CF_carrot*(1/1000)*(up_Irr!I13+up_Irr!AG13+up_Irr!BE13),".")</f>
        <v>7601.8282595287337</v>
      </c>
      <c r="CH13" s="62">
        <f>IFERROR(s_C*s_IFCI_far_adj*s_CF_citrus*(1/1000)*(up_Irr!J13+up_Irr!AH13+up_Irr!BF13),".")</f>
        <v>7601.8282595287337</v>
      </c>
      <c r="CI13" s="62">
        <f>IFERROR(s_C*s_IFCO_far_adj*s_CF_corn*(1/1000)*(up_Irr!K13+up_Irr!AI13+up_Irr!BG13),".")</f>
        <v>7601.8282595287337</v>
      </c>
      <c r="CJ13" s="62">
        <f>IFERROR(s_C*s_IFCU_far_adj*s_CF_cucumber*(1/1000)*(up_Irr!L13+up_Irr!AJ13+up_Irr!BH13),".")</f>
        <v>7601.8282595287337</v>
      </c>
      <c r="CK13" s="62">
        <f>IFERROR(s_C*s_IFLE_far_adj*s_CF_lettuce*(1/1000)*(up_Irr!M13+up_Irr!AK13+up_Irr!BI13),".")</f>
        <v>7601.8282595287337</v>
      </c>
      <c r="CL13" s="62">
        <f>IFERROR(s_C*s_IFLI_far_adj*s_CF_lima_bean*(1/1000)*(up_Irr!N13+up_Irr!AL13+up_Irr!BJ13),".")</f>
        <v>7601.8282595287337</v>
      </c>
      <c r="CM13" s="62">
        <f>IFERROR(s_C*s_IFOK_far_adj*s_CF_okra*(1/1000)*(up_Irr!O13+up_Irr!AM13+up_Irr!BK13),".")</f>
        <v>7601.8282595287337</v>
      </c>
      <c r="CN13" s="62">
        <f>IFERROR(s_C*s_IFON_far_adj*s_CF_onion*(1/1000)*(up_Irr!P13+up_Irr!AN13+up_Irr!BL13),".")</f>
        <v>7601.8282595287337</v>
      </c>
      <c r="CO13" s="62">
        <f>IFERROR(s_C*s_IFPC_far_adj*s_CF_peach*(1/1000)*(up_Irr!Q13+up_Irr!AO13+up_Irr!BM13),".")</f>
        <v>7601.8282595287337</v>
      </c>
      <c r="CP13" s="62">
        <f>IFERROR(s_C*s_IFPR_far_adj*s_CF_pear*(1/1000)*(up_Irr!R13+up_Irr!AP13+up_Irr!BN13),".")</f>
        <v>7601.8282595287337</v>
      </c>
      <c r="CQ13" s="62">
        <f>IFERROR(s_C*s_IFPE_far_adj*s_CF_peas*(1/1000)*(up_Irr!S13+up_Irr!AQ13+up_Irr!BO13),".")</f>
        <v>7601.8282595287337</v>
      </c>
      <c r="CR13" s="62">
        <f>IFERROR(s_C*s_IFPT_far_adj*s_CF_potato*(1/1000)*(up_Irr!T13+up_Irr!AR13+up_Irr!BP13),".")</f>
        <v>7601.8282595287337</v>
      </c>
      <c r="CS13" s="62">
        <f>IFERROR(s_C*s_IFPU_far_adj*s_CF_pumpkin*(1/1000)*(up_Irr!U13+up_Irr!AS13+up_Irr!BQ13),".")</f>
        <v>7601.8282595287337</v>
      </c>
      <c r="CT13" s="62">
        <f>IFERROR(s_C*s_IFSN_far_adj*s_CF_snap_bean*(1/1000)*(up_Irr!V13+up_Irr!AT13+up_Irr!BR13),".")</f>
        <v>7601.8282595287337</v>
      </c>
      <c r="CU13" s="62">
        <f>IFERROR(s_C*s_IFST_far_adj*s_CF_strawberry*(1/1000)*(up_Irr!W13+up_Irr!AU13+up_Irr!BS13),".")</f>
        <v>7601.8282595287337</v>
      </c>
      <c r="CV13" s="62">
        <f>IFERROR(s_C*s_IFTO_far_adj*s_CF_tomato*(1/1000)*(up_Irr!X13+up_Irr!AV13+up_Irr!BT13),".")</f>
        <v>7601.8282595287337</v>
      </c>
      <c r="CW13" s="62">
        <f>IFERROR(s_C*s_IFRI_far_adj*s_CF_rice*(1/1000)*(up_Irr!Y13+up_Irr!AW13+up_Irr!BU13),".")</f>
        <v>7601.8282595287337</v>
      </c>
      <c r="CX13" s="62">
        <f>IFERROR(s_C*s_IFCG_far_adj*s_CF_cereal*(1/1000)*(up_Irr!Z13+up_Irr!AX13+up_Irr!BV13),".")</f>
        <v>7601.8282595287337</v>
      </c>
    </row>
    <row r="14" spans="1:102" ht="15" customHeight="1" x14ac:dyDescent="0.25">
      <c r="A14" s="61" t="s">
        <v>12</v>
      </c>
      <c r="B14" s="49" t="s">
        <v>1059</v>
      </c>
      <c r="C14" s="48">
        <f t="shared" si="0"/>
        <v>2.1924550381384044E-4</v>
      </c>
      <c r="D14" s="48">
        <f>IFERROR(IF(AND(up_Irr!C14&lt;&gt;".",up_Irr!AA14&lt;&gt;".",up_Irr!AY14&lt;&gt;"."),up_dir!D14/((1/1000)*(up_Irr!C14+up_Irr!AA14+up_Irr!AY14)),IF(AND(up_Irr!C14&lt;&gt;".",up_Irr!AA14&lt;&gt;".",up_Irr!AY14="."),up_dir!D14/((1/1000)*(up_Irr!C14+up_Irr!AA14)),IF(AND(up_Irr!C14&lt;&gt;".",up_Irr!AA14=".",up_Irr!AY14&lt;&gt;"."),up_dir!D14/((1/1000)*(up_Irr!C14+up_Irr!AY14)),IF(AND(up_Irr!C14=".",up_Irr!AA14&lt;&gt;".",up_Irr!AY14&lt;&gt;"."),up_dir!D14/((1/1000)*(up_Irr!AA14+up_Irr!AY14)),IF(AND(up_Irr!C14=".",up_Irr!AA14=".",up_Irr!AY14&lt;&gt;"."),up_dir!D14/((1/1000)*(up_Irr!AY14)),IF(AND(up_Irr!C14=".",up_Irr!AA14&lt;&gt;".",up_Irr!AY14="."),up_dir!D14/((1/1000)*(up_Irr!AA14)),IF(AND(up_Irr!C14&lt;&gt;".",up_Irr!AA14=".",up_Irr!AY14="."),up_dir!D14/((1/1000)*(up_Irr!C14)),IF(AND(up_Irr!C14=".",up_Irr!AA14=".",up_Irr!AY14="."),up_dir!D14*1000)))))))),".")</f>
        <v>6.5773651144152131E-4</v>
      </c>
      <c r="E14" s="48">
        <f>IFERROR(IF(AND(up_Irr!D14&lt;&gt;".",up_Irr!AB14&lt;&gt;".",up_Irr!AZ14&lt;&gt;"."),up_dir!E14/((1/1000)*(up_Irr!D14+up_Irr!AB14+up_Irr!AZ14)),IF(AND(up_Irr!D14&lt;&gt;".",up_Irr!AB14&lt;&gt;".",up_Irr!AZ14="."),up_dir!E14/((1/1000)*(up_Irr!D14+up_Irr!AB14)),IF(AND(up_Irr!D14&lt;&gt;".",up_Irr!AB14=".",up_Irr!AZ14&lt;&gt;"."),up_dir!E14/((1/1000)*(up_Irr!D14+up_Irr!AZ14)),IF(AND(up_Irr!D14=".",up_Irr!AB14&lt;&gt;".",up_Irr!AZ14&lt;&gt;"."),up_dir!E14/((1/1000)*(up_Irr!AB14+up_Irr!AZ14)),IF(AND(up_Irr!D14=".",up_Irr!AB14=".",up_Irr!AZ14&lt;&gt;"."),up_dir!E14/((1/1000)*(up_Irr!AZ14)),IF(AND(up_Irr!D14=".",up_Irr!AB14&lt;&gt;".",up_Irr!AZ14="."),up_dir!E14/((1/1000)*(up_Irr!AB14)),IF(AND(up_Irr!D14&lt;&gt;".",up_Irr!AB14=".",up_Irr!AZ14="."),up_dir!E14/((1/1000)*(up_Irr!D14)),IF(AND(up_Irr!D14=".",up_Irr!AB14=".",up_Irr!AZ14="."),up_dir!E14*1000)))))))),".")</f>
        <v>6.5773651144152131E-4</v>
      </c>
      <c r="F14" s="48">
        <f>IFERROR(IF(AND(up_Irr!E14&lt;&gt;".",up_Irr!AC14&lt;&gt;".",up_Irr!BA14&lt;&gt;"."),up_dir!F14/((1/1000)*(up_Irr!E14+up_Irr!AC14+up_Irr!BA14)),IF(AND(up_Irr!E14&lt;&gt;".",up_Irr!AC14&lt;&gt;".",up_Irr!BA14="."),up_dir!F14/((1/1000)*(up_Irr!E14+up_Irr!AC14)),IF(AND(up_Irr!E14&lt;&gt;".",up_Irr!AC14=".",up_Irr!BA14&lt;&gt;"."),up_dir!F14/((1/1000)*(up_Irr!E14+up_Irr!BA14)),IF(AND(up_Irr!E14=".",up_Irr!AC14&lt;&gt;".",up_Irr!BA14&lt;&gt;"."),up_dir!F14/((1/1000)*(up_Irr!AC14+up_Irr!BA14)),IF(AND(up_Irr!E14=".",up_Irr!AC14=".",up_Irr!BA14&lt;&gt;"."),up_dir!F14/((1/1000)*(up_Irr!BA14)),IF(AND(up_Irr!E14=".",up_Irr!AC14&lt;&gt;".",up_Irr!BA14="."),up_dir!F14/((1/1000)*(up_Irr!AC14)),IF(AND(up_Irr!E14&lt;&gt;".",up_Irr!AC14=".",up_Irr!BA14="."),up_dir!F14/((1/1000)*(up_Irr!E14)),IF(AND(up_Irr!E14=".",up_Irr!AC14=".",up_Irr!BA14="."),up_dir!F14*1000)))))))),".")</f>
        <v>6.5773651144152131E-4</v>
      </c>
      <c r="G14" s="48">
        <f>IFERROR(IF(AND(up_Irr!F14&lt;&gt;".",up_Irr!AD14&lt;&gt;".",up_Irr!BB14&lt;&gt;"."),up_dir!G14/((1/1000)*(up_Irr!F14+up_Irr!AD14+up_Irr!BB14)),IF(AND(up_Irr!F14&lt;&gt;".",up_Irr!AD14&lt;&gt;".",up_Irr!BB14="."),up_dir!G14/((1/1000)*(up_Irr!F14+up_Irr!AD14)),IF(AND(up_Irr!F14&lt;&gt;".",up_Irr!AD14=".",up_Irr!BB14&lt;&gt;"."),up_dir!G14/((1/1000)*(up_Irr!F14+up_Irr!BB14)),IF(AND(up_Irr!F14=".",up_Irr!AD14&lt;&gt;".",up_Irr!BB14&lt;&gt;"."),up_dir!G14/((1/1000)*(up_Irr!AD14+up_Irr!BB14)),IF(AND(up_Irr!F14=".",up_Irr!AD14=".",up_Irr!BB14&lt;&gt;"."),up_dir!G14/((1/1000)*(up_Irr!BB14)),IF(AND(up_Irr!F14=".",up_Irr!AD14&lt;&gt;".",up_Irr!BB14="."),up_dir!G14/((1/1000)*(up_Irr!AD14)),IF(AND(up_Irr!F14&lt;&gt;".",up_Irr!AD14=".",up_Irr!BB14="."),up_dir!G14/((1/1000)*(up_Irr!F14)),IF(AND(up_Irr!F14=".",up_Irr!AD14=".",up_Irr!BB14="."),up_dir!G14*1000)))))))),".")</f>
        <v>6.5773651144152131E-4</v>
      </c>
      <c r="H14" s="48">
        <f>IFERROR(IF(AND(up_Irr!G14&lt;&gt;".",up_Irr!AE14&lt;&gt;".",up_Irr!BC14&lt;&gt;"."),up_dir!H14/((1/1000)*(up_Irr!G14+up_Irr!AE14+up_Irr!BC14)),IF(AND(up_Irr!G14&lt;&gt;".",up_Irr!AE14&lt;&gt;".",up_Irr!BC14="."),up_dir!H14/((1/1000)*(up_Irr!G14+up_Irr!AE14)),IF(AND(up_Irr!G14&lt;&gt;".",up_Irr!AE14=".",up_Irr!BC14&lt;&gt;"."),up_dir!H14/((1/1000)*(up_Irr!G14+up_Irr!BC14)),IF(AND(up_Irr!G14=".",up_Irr!AE14&lt;&gt;".",up_Irr!BC14&lt;&gt;"."),up_dir!H14/((1/1000)*(up_Irr!AE14+up_Irr!BC14)),IF(AND(up_Irr!G14=".",up_Irr!AE14=".",up_Irr!BC14&lt;&gt;"."),up_dir!H14/((1/1000)*(up_Irr!BC14)),IF(AND(up_Irr!G14=".",up_Irr!AE14&lt;&gt;".",up_Irr!BC14="."),up_dir!H14/((1/1000)*(up_Irr!AE14)),IF(AND(up_Irr!G14&lt;&gt;".",up_Irr!AE14=".",up_Irr!BC14="."),up_dir!H14/((1/1000)*(up_Irr!G14)),IF(AND(up_Irr!G14=".",up_Irr!AE14=".",up_Irr!BC14="."),up_dir!H14*1000)))))))),".")</f>
        <v>6.5773651144152131E-4</v>
      </c>
      <c r="I14" s="48">
        <f>IFERROR(IF(AND(up_Irr!H14&lt;&gt;".",up_Irr!AF14&lt;&gt;".",up_Irr!BD14&lt;&gt;"."),up_dir!I14/((1/1000)*(up_Irr!H14+up_Irr!AF14+up_Irr!BD14)),IF(AND(up_Irr!H14&lt;&gt;".",up_Irr!AF14&lt;&gt;".",up_Irr!BD14="."),up_dir!I14/((1/1000)*(up_Irr!H14+up_Irr!AF14)),IF(AND(up_Irr!H14&lt;&gt;".",up_Irr!AF14=".",up_Irr!BD14&lt;&gt;"."),up_dir!I14/((1/1000)*(up_Irr!H14+up_Irr!BD14)),IF(AND(up_Irr!H14=".",up_Irr!AF14&lt;&gt;".",up_Irr!BD14&lt;&gt;"."),up_dir!I14/((1/1000)*(up_Irr!AF14+up_Irr!BD14)),IF(AND(up_Irr!H14=".",up_Irr!AF14=".",up_Irr!BD14&lt;&gt;"."),up_dir!I14/((1/1000)*(up_Irr!BD14)),IF(AND(up_Irr!H14=".",up_Irr!AF14&lt;&gt;".",up_Irr!BD14="."),up_dir!I14/((1/1000)*(up_Irr!AF14)),IF(AND(up_Irr!H14&lt;&gt;".",up_Irr!AF14=".",up_Irr!BD14="."),up_dir!I14/((1/1000)*(up_Irr!H14)),IF(AND(up_Irr!H14=".",up_Irr!AF14=".",up_Irr!BD14="."),up_dir!I14*1000)))))))),".")</f>
        <v>6.5773651144152131E-4</v>
      </c>
      <c r="J14" s="48">
        <f>IFERROR(IF(AND(up_Irr!I14&lt;&gt;".",up_Irr!AG14&lt;&gt;".",up_Irr!BE14&lt;&gt;"."),up_dir!J14/((1/1000)*(up_Irr!I14+up_Irr!AG14+up_Irr!BE14)),IF(AND(up_Irr!I14&lt;&gt;".",up_Irr!AG14&lt;&gt;".",up_Irr!BE14="."),up_dir!J14/((1/1000)*(up_Irr!I14+up_Irr!AG14)),IF(AND(up_Irr!I14&lt;&gt;".",up_Irr!AG14=".",up_Irr!BE14&lt;&gt;"."),up_dir!J14/((1/1000)*(up_Irr!I14+up_Irr!BE14)),IF(AND(up_Irr!I14=".",up_Irr!AG14&lt;&gt;".",up_Irr!BE14&lt;&gt;"."),up_dir!J14/((1/1000)*(up_Irr!AG14+up_Irr!BE14)),IF(AND(up_Irr!I14=".",up_Irr!AG14=".",up_Irr!BE14&lt;&gt;"."),up_dir!J14/((1/1000)*(up_Irr!BE14)),IF(AND(up_Irr!I14=".",up_Irr!AG14&lt;&gt;".",up_Irr!BE14="."),up_dir!J14/((1/1000)*(up_Irr!AG14)),IF(AND(up_Irr!I14&lt;&gt;".",up_Irr!AG14=".",up_Irr!BE14="."),up_dir!J14/((1/1000)*(up_Irr!I14)),IF(AND(up_Irr!I14=".",up_Irr!AG14=".",up_Irr!BE14="."),up_dir!J14*1000)))))))),".")</f>
        <v>6.5773651144152131E-4</v>
      </c>
      <c r="K14" s="48">
        <f>IFERROR(IF(AND(up_Irr!J14&lt;&gt;".",up_Irr!AH14&lt;&gt;".",up_Irr!BF14&lt;&gt;"."),up_dir!K14/((1/1000)*(up_Irr!J14+up_Irr!AH14+up_Irr!BF14)),IF(AND(up_Irr!J14&lt;&gt;".",up_Irr!AH14&lt;&gt;".",up_Irr!BF14="."),up_dir!K14/((1/1000)*(up_Irr!J14+up_Irr!AH14)),IF(AND(up_Irr!J14&lt;&gt;".",up_Irr!AH14=".",up_Irr!BF14&lt;&gt;"."),up_dir!K14/((1/1000)*(up_Irr!J14+up_Irr!BF14)),IF(AND(up_Irr!J14=".",up_Irr!AH14&lt;&gt;".",up_Irr!BF14&lt;&gt;"."),up_dir!K14/((1/1000)*(up_Irr!AH14+up_Irr!BF14)),IF(AND(up_Irr!J14=".",up_Irr!AH14=".",up_Irr!BF14&lt;&gt;"."),up_dir!K14/((1/1000)*(up_Irr!BF14)),IF(AND(up_Irr!J14=".",up_Irr!AH14&lt;&gt;".",up_Irr!BF14="."),up_dir!K14/((1/1000)*(up_Irr!AH14)),IF(AND(up_Irr!J14&lt;&gt;".",up_Irr!AH14=".",up_Irr!BF14="."),up_dir!K14/((1/1000)*(up_Irr!J14)),IF(AND(up_Irr!J14=".",up_Irr!AH14=".",up_Irr!BF14="."),up_dir!K14*1000)))))))),".")</f>
        <v>6.5773651144152131E-4</v>
      </c>
      <c r="L14" s="48">
        <f>IFERROR(IF(AND(up_Irr!K14&lt;&gt;".",up_Irr!AI14&lt;&gt;".",up_Irr!BG14&lt;&gt;"."),up_dir!L14/((1/1000)*(up_Irr!K14+up_Irr!AI14+up_Irr!BG14)),IF(AND(up_Irr!K14&lt;&gt;".",up_Irr!AI14&lt;&gt;".",up_Irr!BG14="."),up_dir!L14/((1/1000)*(up_Irr!K14+up_Irr!AI14)),IF(AND(up_Irr!K14&lt;&gt;".",up_Irr!AI14=".",up_Irr!BG14&lt;&gt;"."),up_dir!L14/((1/1000)*(up_Irr!K14+up_Irr!BG14)),IF(AND(up_Irr!K14=".",up_Irr!AI14&lt;&gt;".",up_Irr!BG14&lt;&gt;"."),up_dir!L14/((1/1000)*(up_Irr!AI14+up_Irr!BG14)),IF(AND(up_Irr!K14=".",up_Irr!AI14=".",up_Irr!BG14&lt;&gt;"."),up_dir!L14/((1/1000)*(up_Irr!BG14)),IF(AND(up_Irr!K14=".",up_Irr!AI14&lt;&gt;".",up_Irr!BG14="."),up_dir!L14/((1/1000)*(up_Irr!AI14)),IF(AND(up_Irr!K14&lt;&gt;".",up_Irr!AI14=".",up_Irr!BG14="."),up_dir!L14/((1/1000)*(up_Irr!K14)),IF(AND(up_Irr!K14=".",up_Irr!AI14=".",up_Irr!BG14="."),up_dir!L14*1000)))))))),".")</f>
        <v>6.5773651144152131E-4</v>
      </c>
      <c r="M14" s="48">
        <f>IFERROR(IF(AND(up_Irr!L14&lt;&gt;".",up_Irr!AJ14&lt;&gt;".",up_Irr!BH14&lt;&gt;"."),up_dir!M14/((1/1000)*(up_Irr!L14+up_Irr!AJ14+up_Irr!BH14)),IF(AND(up_Irr!L14&lt;&gt;".",up_Irr!AJ14&lt;&gt;".",up_Irr!BH14="."),up_dir!M14/((1/1000)*(up_Irr!L14+up_Irr!AJ14)),IF(AND(up_Irr!L14&lt;&gt;".",up_Irr!AJ14=".",up_Irr!BH14&lt;&gt;"."),up_dir!M14/((1/1000)*(up_Irr!L14+up_Irr!BH14)),IF(AND(up_Irr!L14=".",up_Irr!AJ14&lt;&gt;".",up_Irr!BH14&lt;&gt;"."),up_dir!M14/((1/1000)*(up_Irr!AJ14+up_Irr!BH14)),IF(AND(up_Irr!L14=".",up_Irr!AJ14=".",up_Irr!BH14&lt;&gt;"."),up_dir!M14/((1/1000)*(up_Irr!BH14)),IF(AND(up_Irr!L14=".",up_Irr!AJ14&lt;&gt;".",up_Irr!BH14="."),up_dir!M14/((1/1000)*(up_Irr!AJ14)),IF(AND(up_Irr!L14&lt;&gt;".",up_Irr!AJ14=".",up_Irr!BH14="."),up_dir!M14/((1/1000)*(up_Irr!L14)),IF(AND(up_Irr!L14=".",up_Irr!AJ14=".",up_Irr!BH14="."),up_dir!M14*1000)))))))),".")</f>
        <v>6.5773651144152131E-4</v>
      </c>
      <c r="N14" s="48">
        <f>IFERROR(IF(AND(up_Irr!M14&lt;&gt;".",up_Irr!AK14&lt;&gt;".",up_Irr!BI14&lt;&gt;"."),up_dir!N14/((1/1000)*(up_Irr!M14+up_Irr!AK14+up_Irr!BI14)),IF(AND(up_Irr!M14&lt;&gt;".",up_Irr!AK14&lt;&gt;".",up_Irr!BI14="."),up_dir!N14/((1/1000)*(up_Irr!M14+up_Irr!AK14)),IF(AND(up_Irr!M14&lt;&gt;".",up_Irr!AK14=".",up_Irr!BI14&lt;&gt;"."),up_dir!N14/((1/1000)*(up_Irr!M14+up_Irr!BI14)),IF(AND(up_Irr!M14=".",up_Irr!AK14&lt;&gt;".",up_Irr!BI14&lt;&gt;"."),up_dir!N14/((1/1000)*(up_Irr!AK14+up_Irr!BI14)),IF(AND(up_Irr!M14=".",up_Irr!AK14=".",up_Irr!BI14&lt;&gt;"."),up_dir!N14/((1/1000)*(up_Irr!BI14)),IF(AND(up_Irr!M14=".",up_Irr!AK14&lt;&gt;".",up_Irr!BI14="."),up_dir!N14/((1/1000)*(up_Irr!AK14)),IF(AND(up_Irr!M14&lt;&gt;".",up_Irr!AK14=".",up_Irr!BI14="."),up_dir!N14/((1/1000)*(up_Irr!M14)),IF(AND(up_Irr!M14=".",up_Irr!AK14=".",up_Irr!BI14="."),up_dir!N14*1000)))))))),".")</f>
        <v>6.5773651144152131E-4</v>
      </c>
      <c r="O14" s="48">
        <f>IFERROR(IF(AND(up_Irr!N14&lt;&gt;".",up_Irr!AL14&lt;&gt;".",up_Irr!BJ14&lt;&gt;"."),up_dir!O14/((1/1000)*(up_Irr!N14+up_Irr!AL14+up_Irr!BJ14)),IF(AND(up_Irr!N14&lt;&gt;".",up_Irr!AL14&lt;&gt;".",up_Irr!BJ14="."),up_dir!O14/((1/1000)*(up_Irr!N14+up_Irr!AL14)),IF(AND(up_Irr!N14&lt;&gt;".",up_Irr!AL14=".",up_Irr!BJ14&lt;&gt;"."),up_dir!O14/((1/1000)*(up_Irr!N14+up_Irr!BJ14)),IF(AND(up_Irr!N14=".",up_Irr!AL14&lt;&gt;".",up_Irr!BJ14&lt;&gt;"."),up_dir!O14/((1/1000)*(up_Irr!AL14+up_Irr!BJ14)),IF(AND(up_Irr!N14=".",up_Irr!AL14=".",up_Irr!BJ14&lt;&gt;"."),up_dir!O14/((1/1000)*(up_Irr!BJ14)),IF(AND(up_Irr!N14=".",up_Irr!AL14&lt;&gt;".",up_Irr!BJ14="."),up_dir!O14/((1/1000)*(up_Irr!AL14)),IF(AND(up_Irr!N14&lt;&gt;".",up_Irr!AL14=".",up_Irr!BJ14="."),up_dir!O14/((1/1000)*(up_Irr!N14)),IF(AND(up_Irr!N14=".",up_Irr!AL14=".",up_Irr!BJ14="."),up_dir!O14*1000)))))))),".")</f>
        <v>6.5773651144152131E-4</v>
      </c>
      <c r="P14" s="48">
        <f>IFERROR(IF(AND(up_Irr!O14&lt;&gt;".",up_Irr!AM14&lt;&gt;".",up_Irr!BK14&lt;&gt;"."),up_dir!P14/((1/1000)*(up_Irr!O14+up_Irr!AM14+up_Irr!BK14)),IF(AND(up_Irr!O14&lt;&gt;".",up_Irr!AM14&lt;&gt;".",up_Irr!BK14="."),up_dir!P14/((1/1000)*(up_Irr!O14+up_Irr!AM14)),IF(AND(up_Irr!O14&lt;&gt;".",up_Irr!AM14=".",up_Irr!BK14&lt;&gt;"."),up_dir!P14/((1/1000)*(up_Irr!O14+up_Irr!BK14)),IF(AND(up_Irr!O14=".",up_Irr!AM14&lt;&gt;".",up_Irr!BK14&lt;&gt;"."),up_dir!P14/((1/1000)*(up_Irr!AM14+up_Irr!BK14)),IF(AND(up_Irr!O14=".",up_Irr!AM14=".",up_Irr!BK14&lt;&gt;"."),up_dir!P14/((1/1000)*(up_Irr!BK14)),IF(AND(up_Irr!O14=".",up_Irr!AM14&lt;&gt;".",up_Irr!BK14="."),up_dir!P14/((1/1000)*(up_Irr!AM14)),IF(AND(up_Irr!O14&lt;&gt;".",up_Irr!AM14=".",up_Irr!BK14="."),up_dir!P14/((1/1000)*(up_Irr!O14)),IF(AND(up_Irr!O14=".",up_Irr!AM14=".",up_Irr!BK14="."),up_dir!P14*1000)))))))),".")</f>
        <v>6.5773651144152131E-4</v>
      </c>
      <c r="Q14" s="48">
        <f>IFERROR(IF(AND(up_Irr!P14&lt;&gt;".",up_Irr!AN14&lt;&gt;".",up_Irr!BL14&lt;&gt;"."),up_dir!Q14/((1/1000)*(up_Irr!P14+up_Irr!AN14+up_Irr!BL14)),IF(AND(up_Irr!P14&lt;&gt;".",up_Irr!AN14&lt;&gt;".",up_Irr!BL14="."),up_dir!Q14/((1/1000)*(up_Irr!P14+up_Irr!AN14)),IF(AND(up_Irr!P14&lt;&gt;".",up_Irr!AN14=".",up_Irr!BL14&lt;&gt;"."),up_dir!Q14/((1/1000)*(up_Irr!P14+up_Irr!BL14)),IF(AND(up_Irr!P14=".",up_Irr!AN14&lt;&gt;".",up_Irr!BL14&lt;&gt;"."),up_dir!Q14/((1/1000)*(up_Irr!AN14+up_Irr!BL14)),IF(AND(up_Irr!P14=".",up_Irr!AN14=".",up_Irr!BL14&lt;&gt;"."),up_dir!Q14/((1/1000)*(up_Irr!BL14)),IF(AND(up_Irr!P14=".",up_Irr!AN14&lt;&gt;".",up_Irr!BL14="."),up_dir!Q14/((1/1000)*(up_Irr!AN14)),IF(AND(up_Irr!P14&lt;&gt;".",up_Irr!AN14=".",up_Irr!BL14="."),up_dir!Q14/((1/1000)*(up_Irr!P14)),IF(AND(up_Irr!P14=".",up_Irr!AN14=".",up_Irr!BL14="."),up_dir!Q14*1000)))))))),".")</f>
        <v>6.5773651144152131E-4</v>
      </c>
      <c r="R14" s="48">
        <f>IFERROR(IF(AND(up_Irr!Q14&lt;&gt;".",up_Irr!AO14&lt;&gt;".",up_Irr!BM14&lt;&gt;"."),up_dir!R14/((1/1000)*(up_Irr!Q14+up_Irr!AO14+up_Irr!BM14)),IF(AND(up_Irr!Q14&lt;&gt;".",up_Irr!AO14&lt;&gt;".",up_Irr!BM14="."),up_dir!R14/((1/1000)*(up_Irr!Q14+up_Irr!AO14)),IF(AND(up_Irr!Q14&lt;&gt;".",up_Irr!AO14=".",up_Irr!BM14&lt;&gt;"."),up_dir!R14/((1/1000)*(up_Irr!Q14+up_Irr!BM14)),IF(AND(up_Irr!Q14=".",up_Irr!AO14&lt;&gt;".",up_Irr!BM14&lt;&gt;"."),up_dir!R14/((1/1000)*(up_Irr!AO14+up_Irr!BM14)),IF(AND(up_Irr!Q14=".",up_Irr!AO14=".",up_Irr!BM14&lt;&gt;"."),up_dir!R14/((1/1000)*(up_Irr!BM14)),IF(AND(up_Irr!Q14=".",up_Irr!AO14&lt;&gt;".",up_Irr!BM14="."),up_dir!R14/((1/1000)*(up_Irr!AO14)),IF(AND(up_Irr!Q14&lt;&gt;".",up_Irr!AO14=".",up_Irr!BM14="."),up_dir!R14/((1/1000)*(up_Irr!Q14)),IF(AND(up_Irr!Q14=".",up_Irr!AO14=".",up_Irr!BM14="."),up_dir!R14*1000)))))))),".")</f>
        <v>6.5773651144152131E-4</v>
      </c>
      <c r="S14" s="48">
        <f>IFERROR(IF(AND(up_Irr!R14&lt;&gt;".",up_Irr!AP14&lt;&gt;".",up_Irr!BN14&lt;&gt;"."),up_dir!S14/((1/1000)*(up_Irr!R14+up_Irr!AP14+up_Irr!BN14)),IF(AND(up_Irr!R14&lt;&gt;".",up_Irr!AP14&lt;&gt;".",up_Irr!BN14="."),up_dir!S14/((1/1000)*(up_Irr!R14+up_Irr!AP14)),IF(AND(up_Irr!R14&lt;&gt;".",up_Irr!AP14=".",up_Irr!BN14&lt;&gt;"."),up_dir!S14/((1/1000)*(up_Irr!R14+up_Irr!BN14)),IF(AND(up_Irr!R14=".",up_Irr!AP14&lt;&gt;".",up_Irr!BN14&lt;&gt;"."),up_dir!S14/((1/1000)*(up_Irr!AP14+up_Irr!BN14)),IF(AND(up_Irr!R14=".",up_Irr!AP14=".",up_Irr!BN14&lt;&gt;"."),up_dir!S14/((1/1000)*(up_Irr!BN14)),IF(AND(up_Irr!R14=".",up_Irr!AP14&lt;&gt;".",up_Irr!BN14="."),up_dir!S14/((1/1000)*(up_Irr!AP14)),IF(AND(up_Irr!R14&lt;&gt;".",up_Irr!AP14=".",up_Irr!BN14="."),up_dir!S14/((1/1000)*(up_Irr!R14)),IF(AND(up_Irr!R14=".",up_Irr!AP14=".",up_Irr!BN14="."),up_dir!S14*1000)))))))),".")</f>
        <v>6.5773651144152131E-4</v>
      </c>
      <c r="T14" s="48">
        <f>IFERROR(IF(AND(up_Irr!S14&lt;&gt;".",up_Irr!AQ14&lt;&gt;".",up_Irr!BO14&lt;&gt;"."),up_dir!T14/((1/1000)*(up_Irr!S14+up_Irr!AQ14+up_Irr!BO14)),IF(AND(up_Irr!S14&lt;&gt;".",up_Irr!AQ14&lt;&gt;".",up_Irr!BO14="."),up_dir!T14/((1/1000)*(up_Irr!S14+up_Irr!AQ14)),IF(AND(up_Irr!S14&lt;&gt;".",up_Irr!AQ14=".",up_Irr!BO14&lt;&gt;"."),up_dir!T14/((1/1000)*(up_Irr!S14+up_Irr!BO14)),IF(AND(up_Irr!S14=".",up_Irr!AQ14&lt;&gt;".",up_Irr!BO14&lt;&gt;"."),up_dir!T14/((1/1000)*(up_Irr!AQ14+up_Irr!BO14)),IF(AND(up_Irr!S14=".",up_Irr!AQ14=".",up_Irr!BO14&lt;&gt;"."),up_dir!T14/((1/1000)*(up_Irr!BO14)),IF(AND(up_Irr!S14=".",up_Irr!AQ14&lt;&gt;".",up_Irr!BO14="."),up_dir!T14/((1/1000)*(up_Irr!AQ14)),IF(AND(up_Irr!S14&lt;&gt;".",up_Irr!AQ14=".",up_Irr!BO14="."),up_dir!T14/((1/1000)*(up_Irr!S14)),IF(AND(up_Irr!S14=".",up_Irr!AQ14=".",up_Irr!BO14="."),up_dir!T14*1000)))))))),".")</f>
        <v>6.5773651144152131E-4</v>
      </c>
      <c r="U14" s="48">
        <f>IFERROR(IF(AND(up_Irr!T14&lt;&gt;".",up_Irr!AR14&lt;&gt;".",up_Irr!BP14&lt;&gt;"."),up_dir!U14/((1/1000)*(up_Irr!T14+up_Irr!AR14+up_Irr!BP14)),IF(AND(up_Irr!T14&lt;&gt;".",up_Irr!AR14&lt;&gt;".",up_Irr!BP14="."),up_dir!U14/((1/1000)*(up_Irr!T14+up_Irr!AR14)),IF(AND(up_Irr!T14&lt;&gt;".",up_Irr!AR14=".",up_Irr!BP14&lt;&gt;"."),up_dir!U14/((1/1000)*(up_Irr!T14+up_Irr!BP14)),IF(AND(up_Irr!T14=".",up_Irr!AR14&lt;&gt;".",up_Irr!BP14&lt;&gt;"."),up_dir!U14/((1/1000)*(up_Irr!AR14+up_Irr!BP14)),IF(AND(up_Irr!T14=".",up_Irr!AR14=".",up_Irr!BP14&lt;&gt;"."),up_dir!U14/((1/1000)*(up_Irr!BP14)),IF(AND(up_Irr!T14=".",up_Irr!AR14&lt;&gt;".",up_Irr!BP14="."),up_dir!U14/((1/1000)*(up_Irr!AR14)),IF(AND(up_Irr!T14&lt;&gt;".",up_Irr!AR14=".",up_Irr!BP14="."),up_dir!U14/((1/1000)*(up_Irr!T14)),IF(AND(up_Irr!T14=".",up_Irr!AR14=".",up_Irr!BP14="."),up_dir!U14*1000)))))))),".")</f>
        <v>6.5773651144152131E-4</v>
      </c>
      <c r="V14" s="48">
        <f>IFERROR(IF(AND(up_Irr!U14&lt;&gt;".",up_Irr!AS14&lt;&gt;".",up_Irr!BQ14&lt;&gt;"."),up_dir!V14/((1/1000)*(up_Irr!U14+up_Irr!AS14+up_Irr!BQ14)),IF(AND(up_Irr!U14&lt;&gt;".",up_Irr!AS14&lt;&gt;".",up_Irr!BQ14="."),up_dir!V14/((1/1000)*(up_Irr!U14+up_Irr!AS14)),IF(AND(up_Irr!U14&lt;&gt;".",up_Irr!AS14=".",up_Irr!BQ14&lt;&gt;"."),up_dir!V14/((1/1000)*(up_Irr!U14+up_Irr!BQ14)),IF(AND(up_Irr!U14=".",up_Irr!AS14&lt;&gt;".",up_Irr!BQ14&lt;&gt;"."),up_dir!V14/((1/1000)*(up_Irr!AS14+up_Irr!BQ14)),IF(AND(up_Irr!U14=".",up_Irr!AS14=".",up_Irr!BQ14&lt;&gt;"."),up_dir!V14/((1/1000)*(up_Irr!BQ14)),IF(AND(up_Irr!U14=".",up_Irr!AS14&lt;&gt;".",up_Irr!BQ14="."),up_dir!V14/((1/1000)*(up_Irr!AS14)),IF(AND(up_Irr!U14&lt;&gt;".",up_Irr!AS14=".",up_Irr!BQ14="."),up_dir!V14/((1/1000)*(up_Irr!U14)),IF(AND(up_Irr!U14=".",up_Irr!AS14=".",up_Irr!BQ14="."),up_dir!V14*1000)))))))),".")</f>
        <v>6.5773651144152131E-4</v>
      </c>
      <c r="W14" s="48">
        <f>IFERROR(IF(AND(up_Irr!V14&lt;&gt;".",up_Irr!AT14&lt;&gt;".",up_Irr!BR14&lt;&gt;"."),up_dir!W14/((1/1000)*(up_Irr!V14+up_Irr!AT14+up_Irr!BR14)),IF(AND(up_Irr!V14&lt;&gt;".",up_Irr!AT14&lt;&gt;".",up_Irr!BR14="."),up_dir!W14/((1/1000)*(up_Irr!V14+up_Irr!AT14)),IF(AND(up_Irr!V14&lt;&gt;".",up_Irr!AT14=".",up_Irr!BR14&lt;&gt;"."),up_dir!W14/((1/1000)*(up_Irr!V14+up_Irr!BR14)),IF(AND(up_Irr!V14=".",up_Irr!AT14&lt;&gt;".",up_Irr!BR14&lt;&gt;"."),up_dir!W14/((1/1000)*(up_Irr!AT14+up_Irr!BR14)),IF(AND(up_Irr!V14=".",up_Irr!AT14=".",up_Irr!BR14&lt;&gt;"."),up_dir!W14/((1/1000)*(up_Irr!BR14)),IF(AND(up_Irr!V14=".",up_Irr!AT14&lt;&gt;".",up_Irr!BR14="."),up_dir!W14/((1/1000)*(up_Irr!AT14)),IF(AND(up_Irr!V14&lt;&gt;".",up_Irr!AT14=".",up_Irr!BR14="."),up_dir!W14/((1/1000)*(up_Irr!V14)),IF(AND(up_Irr!V14=".",up_Irr!AT14=".",up_Irr!BR14="."),up_dir!W14*1000)))))))),".")</f>
        <v>6.5773651144152131E-4</v>
      </c>
      <c r="X14" s="48">
        <f>IFERROR(IF(AND(up_Irr!W14&lt;&gt;".",up_Irr!AU14&lt;&gt;".",up_Irr!BS14&lt;&gt;"."),up_dir!X14/((1/1000)*(up_Irr!W14+up_Irr!AU14+up_Irr!BS14)),IF(AND(up_Irr!W14&lt;&gt;".",up_Irr!AU14&lt;&gt;".",up_Irr!BS14="."),up_dir!X14/((1/1000)*(up_Irr!W14+up_Irr!AU14)),IF(AND(up_Irr!W14&lt;&gt;".",up_Irr!AU14=".",up_Irr!BS14&lt;&gt;"."),up_dir!X14/((1/1000)*(up_Irr!W14+up_Irr!BS14)),IF(AND(up_Irr!W14=".",up_Irr!AU14&lt;&gt;".",up_Irr!BS14&lt;&gt;"."),up_dir!X14/((1/1000)*(up_Irr!AU14+up_Irr!BS14)),IF(AND(up_Irr!W14=".",up_Irr!AU14=".",up_Irr!BS14&lt;&gt;"."),up_dir!X14/((1/1000)*(up_Irr!BS14)),IF(AND(up_Irr!W14=".",up_Irr!AU14&lt;&gt;".",up_Irr!BS14="."),up_dir!X14/((1/1000)*(up_Irr!AU14)),IF(AND(up_Irr!W14&lt;&gt;".",up_Irr!AU14=".",up_Irr!BS14="."),up_dir!X14/((1/1000)*(up_Irr!W14)),IF(AND(up_Irr!W14=".",up_Irr!AU14=".",up_Irr!BS14="."),up_dir!X14*1000)))))))),".")</f>
        <v>6.5773651144152131E-4</v>
      </c>
      <c r="Y14" s="48">
        <f>IFERROR(IF(AND(up_Irr!X14&lt;&gt;".",up_Irr!AV14&lt;&gt;".",up_Irr!BT14&lt;&gt;"."),up_dir!Y14/((1/1000)*(up_Irr!X14+up_Irr!AV14+up_Irr!BT14)),IF(AND(up_Irr!X14&lt;&gt;".",up_Irr!AV14&lt;&gt;".",up_Irr!BT14="."),up_dir!Y14/((1/1000)*(up_Irr!X14+up_Irr!AV14)),IF(AND(up_Irr!X14&lt;&gt;".",up_Irr!AV14=".",up_Irr!BT14&lt;&gt;"."),up_dir!Y14/((1/1000)*(up_Irr!X14+up_Irr!BT14)),IF(AND(up_Irr!X14=".",up_Irr!AV14&lt;&gt;".",up_Irr!BT14&lt;&gt;"."),up_dir!Y14/((1/1000)*(up_Irr!AV14+up_Irr!BT14)),IF(AND(up_Irr!X14=".",up_Irr!AV14=".",up_Irr!BT14&lt;&gt;"."),up_dir!Y14/((1/1000)*(up_Irr!BT14)),IF(AND(up_Irr!X14=".",up_Irr!AV14&lt;&gt;".",up_Irr!BT14="."),up_dir!Y14/((1/1000)*(up_Irr!AV14)),IF(AND(up_Irr!X14&lt;&gt;".",up_Irr!AV14=".",up_Irr!BT14="."),up_dir!Y14/((1/1000)*(up_Irr!X14)),IF(AND(up_Irr!X14=".",up_Irr!AV14=".",up_Irr!BT14="."),up_dir!Y14*1000)))))))),".")</f>
        <v>6.5773651144152131E-4</v>
      </c>
      <c r="Z14" s="48">
        <f>IFERROR(IF(AND(up_Irr!Y14&lt;&gt;".",up_Irr!AW14&lt;&gt;".",up_Irr!BU14&lt;&gt;"."),up_dir!Z14/((1/1000)*(up_Irr!Y14+up_Irr!AW14+up_Irr!BU14)),IF(AND(up_Irr!Y14&lt;&gt;".",up_Irr!AW14&lt;&gt;".",up_Irr!BU14="."),up_dir!Z14/((1/1000)*(up_Irr!Y14+up_Irr!AW14)),IF(AND(up_Irr!Y14&lt;&gt;".",up_Irr!AW14=".",up_Irr!BU14&lt;&gt;"."),up_dir!Z14/((1/1000)*(up_Irr!Y14+up_Irr!BU14)),IF(AND(up_Irr!Y14=".",up_Irr!AW14&lt;&gt;".",up_Irr!BU14&lt;&gt;"."),up_dir!Z14/((1/1000)*(up_Irr!AW14+up_Irr!BU14)),IF(AND(up_Irr!Y14=".",up_Irr!AW14=".",up_Irr!BU14&lt;&gt;"."),up_dir!Z14/((1/1000)*(up_Irr!BU14)),IF(AND(up_Irr!Y14=".",up_Irr!AW14&lt;&gt;".",up_Irr!BU14="."),up_dir!Z14/((1/1000)*(up_Irr!AW14)),IF(AND(up_Irr!Y14&lt;&gt;".",up_Irr!AW14=".",up_Irr!BU14="."),up_dir!Z14/((1/1000)*(up_Irr!Y14)),IF(AND(up_Irr!Y14=".",up_Irr!AW14=".",up_Irr!BU14="."),up_dir!Z14*1000)))))))),".")</f>
        <v>6.5773651144152131E-4</v>
      </c>
      <c r="AA14" s="48">
        <f>IFERROR(IF(AND(up_Irr!Z14&lt;&gt;".",up_Irr!AX14&lt;&gt;".",up_Irr!BV14&lt;&gt;"."),up_dir!AA14/((1/1000)*(up_Irr!Z14+up_Irr!AX14+up_Irr!BV14)),IF(AND(up_Irr!Z14&lt;&gt;".",up_Irr!AX14&lt;&gt;".",up_Irr!BV14="."),up_dir!AA14/((1/1000)*(up_Irr!Z14+up_Irr!AX14)),IF(AND(up_Irr!Z14&lt;&gt;".",up_Irr!AX14=".",up_Irr!BV14&lt;&gt;"."),up_dir!AA14/((1/1000)*(up_Irr!Z14+up_Irr!BV14)),IF(AND(up_Irr!Z14=".",up_Irr!AX14&lt;&gt;".",up_Irr!BV14&lt;&gt;"."),up_dir!AA14/((1/1000)*(up_Irr!AX14+up_Irr!BV14)),IF(AND(up_Irr!Z14=".",up_Irr!AX14=".",up_Irr!BV14&lt;&gt;"."),up_dir!AA14/((1/1000)*(up_Irr!BV14)),IF(AND(up_Irr!Z14=".",up_Irr!AX14&lt;&gt;".",up_Irr!BV14="."),up_dir!AA14/((1/1000)*(up_Irr!AX14)),IF(AND(up_Irr!Z14&lt;&gt;".",up_Irr!AX14=".",up_Irr!BV14="."),up_dir!AA14/((1/1000)*(up_Irr!Z14)),IF(AND(up_Irr!Z14=".",up_Irr!AX14=".",up_Irr!BV14="."),up_dir!AA14*1000)))))))),".")</f>
        <v>6.5773651144152131E-4</v>
      </c>
      <c r="AB14" s="62">
        <f t="shared" si="1"/>
        <v>22805.4847785862</v>
      </c>
      <c r="AC14" s="62">
        <f>IFERROR(s_C*s_IFAP_res_adj*s_CF_apple*0.001*(up_Irr!C14+up_Irr!AA14+up_Irr!AY14),".")</f>
        <v>7601.8282595287337</v>
      </c>
      <c r="AD14" s="62">
        <f>IFERROR(s_C*s_IFAS_res_adj*s_CF_asparagus*0.001*(up_Irr!D14+up_Irr!AB14+up_Irr!AZ14),".")</f>
        <v>7601.8282595287337</v>
      </c>
      <c r="AE14" s="62">
        <f>IFERROR(s_C*s_IFBT_res_adj*s_CF_beet*0.001*(up_Irr!E14+up_Irr!AC14+up_Irr!BA14),".")</f>
        <v>7601.8282595287337</v>
      </c>
      <c r="AF14" s="62">
        <f>IFERROR(s_C*s_IFBE_res_adj*s_CF_berries*0.001*(up_Irr!F14+up_Irr!AD14+up_Irr!BB14),".")</f>
        <v>7601.8282595287337</v>
      </c>
      <c r="AG14" s="62">
        <f>IFERROR(s_C*s_IFBR_res_adj*s_CF_broccoli*0.001*(up_Irr!G14+up_Irr!AE14+up_Irr!BC14),".")</f>
        <v>7601.8282595287337</v>
      </c>
      <c r="AH14" s="62">
        <f>IFERROR(s_C*s_IFCB_res_adj*s_CF_cabbage*0.001*(up_Irr!H14+up_Irr!AF14+up_Irr!BD14),".")</f>
        <v>7601.8282595287337</v>
      </c>
      <c r="AI14" s="62">
        <f>IFERROR(s_C*s_IFCR_res_adj*s_CF_carrot*0.001*(up_Irr!I14+up_Irr!AG14+up_Irr!BE14),".")</f>
        <v>7601.8282595287337</v>
      </c>
      <c r="AJ14" s="62">
        <f>IFERROR(s_C*s_IFCI_res_adj*s_CF_citrus*0.001*(up_Irr!J14+up_Irr!AH14+up_Irr!BF14),".")</f>
        <v>7601.8282595287337</v>
      </c>
      <c r="AK14" s="62">
        <f>IFERROR(s_C*s_IFCO_res_adj*s_CF_corn*0.001*(up_Irr!K14+up_Irr!AI14+up_Irr!BG14),".")</f>
        <v>7601.8282595287337</v>
      </c>
      <c r="AL14" s="62">
        <f>IFERROR(s_C*s_IFCU_res_adj*s_CF_cucumber*0.001*(up_Irr!L14+up_Irr!AJ14+up_Irr!BH14),".")</f>
        <v>7601.8282595287337</v>
      </c>
      <c r="AM14" s="62">
        <f>IFERROR(s_C*s_IFLE_res_adj*s_CF_lettuce*0.001*(up_Irr!M14+up_Irr!AK14+up_Irr!BI14),".")</f>
        <v>7601.8282595287337</v>
      </c>
      <c r="AN14" s="62">
        <f>IFERROR(s_C*s_IFLI_res_adj*s_CF_lima_bean*0.001*(up_Irr!N14+up_Irr!AL14+up_Irr!BJ14),".")</f>
        <v>7601.8282595287337</v>
      </c>
      <c r="AO14" s="62">
        <f>IFERROR(s_C*s_IFOK_res_adj*s_CF_okra*0.001*(up_Irr!O14+up_Irr!AM14+up_Irr!BK14),".")</f>
        <v>7601.8282595287337</v>
      </c>
      <c r="AP14" s="62">
        <f>IFERROR(s_C*s_IFON_res_adj*s_CF_onion*0.001*(up_Irr!P14+up_Irr!AN14+up_Irr!BL14),".")</f>
        <v>7601.8282595287337</v>
      </c>
      <c r="AQ14" s="62">
        <f>IFERROR(s_C*s_IFPC_res_adj*s_CF_peach*0.001*(up_Irr!Q14+up_Irr!AO14+up_Irr!BM14),".")</f>
        <v>7601.8282595287337</v>
      </c>
      <c r="AR14" s="62">
        <f>IFERROR(s_C*s_IFPR_res_adj*s_CF_pear*0.001*(up_Irr!R14+up_Irr!AP14+up_Irr!BN14),".")</f>
        <v>7601.8282595287337</v>
      </c>
      <c r="AS14" s="62">
        <f>IFERROR(s_C*s_IFPE_res_adj*s_CF_peas*0.001*(up_Irr!S14+up_Irr!AQ14+up_Irr!BO14),".")</f>
        <v>7601.8282595287337</v>
      </c>
      <c r="AT14" s="62">
        <f>IFERROR(s_C*s_IFPT_res_adj*s_CF_potato*0.001*(up_Irr!T14+up_Irr!AR14+up_Irr!BP14),".")</f>
        <v>7601.8282595287337</v>
      </c>
      <c r="AU14" s="62">
        <f>IFERROR(s_C*s_IFPU_res_adj*s_CF_pumpkin*0.001*(up_Irr!U14+up_Irr!AS14+up_Irr!BQ14),".")</f>
        <v>7601.8282595287337</v>
      </c>
      <c r="AV14" s="62">
        <f>IFERROR(s_C*s_IFSN_res_adj*s_CF_snap_bean*0.001*(up_Irr!V14+up_Irr!AT14+up_Irr!BR14),".")</f>
        <v>7601.8282595287337</v>
      </c>
      <c r="AW14" s="62">
        <f>IFERROR(s_C*s_IFST_res_adj*s_CF_strawberry*0.001*(up_Irr!W14+up_Irr!AU14+up_Irr!BS14),".")</f>
        <v>7601.8282595287337</v>
      </c>
      <c r="AX14" s="62">
        <f>IFERROR(s_C*s_IFTO_res_adj*s_CF_tomato*0.001*(up_Irr!X14+up_Irr!AV14+up_Irr!BT14),".")</f>
        <v>7601.8282595287337</v>
      </c>
      <c r="AY14" s="62">
        <f>IFERROR(s_C*s_IFRI_res_adj*s_CF_rice*0.001*(up_Irr!Y14+up_Irr!AW14+up_Irr!BU14),".")</f>
        <v>7601.8282595287337</v>
      </c>
      <c r="AZ14" s="62">
        <f>IFERROR(s_C*s_IFCG_res_adj*s_CF_cereal*0.001*(up_Irr!Z14+up_Irr!AX14+up_Irr!BV14),".")</f>
        <v>7601.8282595287337</v>
      </c>
      <c r="BA14" s="48">
        <f t="shared" si="2"/>
        <v>2.1924550381384044E-4</v>
      </c>
      <c r="BB14" s="48">
        <f>IFERROR(IF(AND(up_Irr!C14&lt;&gt;".",up_Irr!AA14&lt;&gt;".",up_Irr!AY14&lt;&gt;"."),up_dir!AC14/((1/1000)*(up_Irr!C14+up_Irr!AA14+up_Irr!AY14)),IF(AND(up_Irr!C14&lt;&gt;".",up_Irr!AA14&lt;&gt;".",up_Irr!AY14="."),up_dir!AC14/((1/1000)*(up_Irr!C14+up_Irr!AA14)),IF(AND(up_Irr!C14&lt;&gt;".",up_Irr!AA14=".",up_Irr!AY14&lt;&gt;"."),up_dir!AC14/((1/1000)*(up_Irr!C14+up_Irr!AY14)),IF(AND(up_Irr!C14=".",up_Irr!AA14&lt;&gt;".",up_Irr!AY14&lt;&gt;"."),up_dir!AC14/((1/1000)*(up_Irr!AA14+up_Irr!AY14)),IF(AND(up_Irr!C14=".",up_Irr!AA14=".",up_Irr!AY14&lt;&gt;"."),up_dir!AC14/((1/1000)*(up_Irr!AY14)),IF(AND(up_Irr!C14=".",up_Irr!AA14&lt;&gt;".",up_Irr!AY14="."),up_dir!AC14/((1/1000)*(up_Irr!AA14)),IF(AND(up_Irr!C14&lt;&gt;".",up_Irr!AA14=".",up_Irr!AY14="."),up_dir!AC14/((1/1000)*(up_Irr!C14)),IF(AND(up_Irr!C14=".",up_Irr!AA14=".",up_Irr!AY14="."),up_dir!AC14*1000)))))))),".")</f>
        <v>6.5773651144152131E-4</v>
      </c>
      <c r="BC14" s="48">
        <f>IFERROR(IF(AND(up_Irr!D14&lt;&gt;".",up_Irr!AB14&lt;&gt;".",up_Irr!AZ14&lt;&gt;"."),up_dir!AD14/((1/1000)*(up_Irr!D14+up_Irr!AB14+up_Irr!AZ14)),IF(AND(up_Irr!D14&lt;&gt;".",up_Irr!AB14&lt;&gt;".",up_Irr!AZ14="."),up_dir!AD14/((1/1000)*(up_Irr!D14+up_Irr!AB14)),IF(AND(up_Irr!D14&lt;&gt;".",up_Irr!AB14=".",up_Irr!AZ14&lt;&gt;"."),up_dir!AD14/((1/1000)*(up_Irr!D14+up_Irr!AZ14)),IF(AND(up_Irr!D14=".",up_Irr!AB14&lt;&gt;".",up_Irr!AZ14&lt;&gt;"."),up_dir!AD14/((1/1000)*(up_Irr!AB14+up_Irr!AZ14)),IF(AND(up_Irr!D14=".",up_Irr!AB14=".",up_Irr!AZ14&lt;&gt;"."),up_dir!AD14/((1/1000)*(up_Irr!AZ14)),IF(AND(up_Irr!D14=".",up_Irr!AB14&lt;&gt;".",up_Irr!AZ14="."),up_dir!AD14/((1/1000)*(up_Irr!AB14)),IF(AND(up_Irr!D14&lt;&gt;".",up_Irr!AB14=".",up_Irr!AZ14="."),up_dir!AD14/((1/1000)*(up_Irr!D14)),IF(AND(up_Irr!D14=".",up_Irr!AB14=".",up_Irr!AZ14="."),up_dir!AD14*1000)))))))),".")</f>
        <v>6.5773651144152131E-4</v>
      </c>
      <c r="BD14" s="48">
        <f>IFERROR(IF(AND(up_Irr!E14&lt;&gt;".",up_Irr!AC14&lt;&gt;".",up_Irr!BA14&lt;&gt;"."),up_dir!AE14/((1/1000)*(up_Irr!E14+up_Irr!AC14+up_Irr!BA14)),IF(AND(up_Irr!E14&lt;&gt;".",up_Irr!AC14&lt;&gt;".",up_Irr!BA14="."),up_dir!AE14/((1/1000)*(up_Irr!E14+up_Irr!AC14)),IF(AND(up_Irr!E14&lt;&gt;".",up_Irr!AC14=".",up_Irr!BA14&lt;&gt;"."),up_dir!AE14/((1/1000)*(up_Irr!E14+up_Irr!BA14)),IF(AND(up_Irr!E14=".",up_Irr!AC14&lt;&gt;".",up_Irr!BA14&lt;&gt;"."),up_dir!AE14/((1/1000)*(up_Irr!AC14+up_Irr!BA14)),IF(AND(up_Irr!E14=".",up_Irr!AC14=".",up_Irr!BA14&lt;&gt;"."),up_dir!AE14/((1/1000)*(up_Irr!BA14)),IF(AND(up_Irr!E14=".",up_Irr!AC14&lt;&gt;".",up_Irr!BA14="."),up_dir!AE14/((1/1000)*(up_Irr!AC14)),IF(AND(up_Irr!E14&lt;&gt;".",up_Irr!AC14=".",up_Irr!BA14="."),up_dir!AE14/((1/1000)*(up_Irr!E14)),IF(AND(up_Irr!E14=".",up_Irr!AC14=".",up_Irr!BA14="."),up_dir!AE14*1000)))))))),".")</f>
        <v>6.5773651144152131E-4</v>
      </c>
      <c r="BE14" s="48">
        <f>IFERROR(IF(AND(up_Irr!F14&lt;&gt;".",up_Irr!AD14&lt;&gt;".",up_Irr!BB14&lt;&gt;"."),up_dir!AF14/((1/1000)*(up_Irr!F14+up_Irr!AD14+up_Irr!BB14)),IF(AND(up_Irr!F14&lt;&gt;".",up_Irr!AD14&lt;&gt;".",up_Irr!BB14="."),up_dir!AF14/((1/1000)*(up_Irr!F14+up_Irr!AD14)),IF(AND(up_Irr!F14&lt;&gt;".",up_Irr!AD14=".",up_Irr!BB14&lt;&gt;"."),up_dir!AF14/((1/1000)*(up_Irr!F14+up_Irr!BB14)),IF(AND(up_Irr!F14=".",up_Irr!AD14&lt;&gt;".",up_Irr!BB14&lt;&gt;"."),up_dir!AF14/((1/1000)*(up_Irr!AD14+up_Irr!BB14)),IF(AND(up_Irr!F14=".",up_Irr!AD14=".",up_Irr!BB14&lt;&gt;"."),up_dir!AF14/((1/1000)*(up_Irr!BB14)),IF(AND(up_Irr!F14=".",up_Irr!AD14&lt;&gt;".",up_Irr!BB14="."),up_dir!AF14/((1/1000)*(up_Irr!AD14)),IF(AND(up_Irr!F14&lt;&gt;".",up_Irr!AD14=".",up_Irr!BB14="."),up_dir!AF14/((1/1000)*(up_Irr!F14)),IF(AND(up_Irr!F14=".",up_Irr!AD14=".",up_Irr!BB14="."),up_dir!AF14*1000)))))))),".")</f>
        <v>6.5773651144152131E-4</v>
      </c>
      <c r="BF14" s="48">
        <f>IFERROR(IF(AND(up_Irr!G14&lt;&gt;".",up_Irr!AE14&lt;&gt;".",up_Irr!BC14&lt;&gt;"."),up_dir!AG14/((1/1000)*(up_Irr!G14+up_Irr!AE14+up_Irr!BC14)),IF(AND(up_Irr!G14&lt;&gt;".",up_Irr!AE14&lt;&gt;".",up_Irr!BC14="."),up_dir!AG14/((1/1000)*(up_Irr!G14+up_Irr!AE14)),IF(AND(up_Irr!G14&lt;&gt;".",up_Irr!AE14=".",up_Irr!BC14&lt;&gt;"."),up_dir!AG14/((1/1000)*(up_Irr!G14+up_Irr!BC14)),IF(AND(up_Irr!G14=".",up_Irr!AE14&lt;&gt;".",up_Irr!BC14&lt;&gt;"."),up_dir!AG14/((1/1000)*(up_Irr!AE14+up_Irr!BC14)),IF(AND(up_Irr!G14=".",up_Irr!AE14=".",up_Irr!BC14&lt;&gt;"."),up_dir!AG14/((1/1000)*(up_Irr!BC14)),IF(AND(up_Irr!G14=".",up_Irr!AE14&lt;&gt;".",up_Irr!BC14="."),up_dir!AG14/((1/1000)*(up_Irr!AE14)),IF(AND(up_Irr!G14&lt;&gt;".",up_Irr!AE14=".",up_Irr!BC14="."),up_dir!AG14/((1/1000)*(up_Irr!G14)),IF(AND(up_Irr!G14=".",up_Irr!AE14=".",up_Irr!BC14="."),up_dir!AG14*1000)))))))),".")</f>
        <v>6.5773651144152131E-4</v>
      </c>
      <c r="BG14" s="48">
        <f>IFERROR(IF(AND(up_Irr!H14&lt;&gt;".",up_Irr!AF14&lt;&gt;".",up_Irr!BD14&lt;&gt;"."),up_dir!AH14/((1/1000)*(up_Irr!H14+up_Irr!AF14+up_Irr!BD14)),IF(AND(up_Irr!H14&lt;&gt;".",up_Irr!AF14&lt;&gt;".",up_Irr!BD14="."),up_dir!AH14/((1/1000)*(up_Irr!H14+up_Irr!AF14)),IF(AND(up_Irr!H14&lt;&gt;".",up_Irr!AF14=".",up_Irr!BD14&lt;&gt;"."),up_dir!AH14/((1/1000)*(up_Irr!H14+up_Irr!BD14)),IF(AND(up_Irr!H14=".",up_Irr!AF14&lt;&gt;".",up_Irr!BD14&lt;&gt;"."),up_dir!AH14/((1/1000)*(up_Irr!AF14+up_Irr!BD14)),IF(AND(up_Irr!H14=".",up_Irr!AF14=".",up_Irr!BD14&lt;&gt;"."),up_dir!AH14/((1/1000)*(up_Irr!BD14)),IF(AND(up_Irr!H14=".",up_Irr!AF14&lt;&gt;".",up_Irr!BD14="."),up_dir!AH14/((1/1000)*(up_Irr!AF14)),IF(AND(up_Irr!H14&lt;&gt;".",up_Irr!AF14=".",up_Irr!BD14="."),up_dir!AH14/((1/1000)*(up_Irr!H14)),IF(AND(up_Irr!H14=".",up_Irr!AF14=".",up_Irr!BD14="."),up_dir!AH14*1000)))))))),".")</f>
        <v>6.5773651144152131E-4</v>
      </c>
      <c r="BH14" s="48">
        <f>IFERROR(IF(AND(up_Irr!I14&lt;&gt;".",up_Irr!AG14&lt;&gt;".",up_Irr!BE14&lt;&gt;"."),up_dir!AI14/((1/1000)*(up_Irr!I14+up_Irr!AG14+up_Irr!BE14)),IF(AND(up_Irr!I14&lt;&gt;".",up_Irr!AG14&lt;&gt;".",up_Irr!BE14="."),up_dir!AI14/((1/1000)*(up_Irr!I14+up_Irr!AG14)),IF(AND(up_Irr!I14&lt;&gt;".",up_Irr!AG14=".",up_Irr!BE14&lt;&gt;"."),up_dir!AI14/((1/1000)*(up_Irr!I14+up_Irr!BE14)),IF(AND(up_Irr!I14=".",up_Irr!AG14&lt;&gt;".",up_Irr!BE14&lt;&gt;"."),up_dir!AI14/((1/1000)*(up_Irr!AG14+up_Irr!BE14)),IF(AND(up_Irr!I14=".",up_Irr!AG14=".",up_Irr!BE14&lt;&gt;"."),up_dir!AI14/((1/1000)*(up_Irr!BE14)),IF(AND(up_Irr!I14=".",up_Irr!AG14&lt;&gt;".",up_Irr!BE14="."),up_dir!AI14/((1/1000)*(up_Irr!AG14)),IF(AND(up_Irr!I14&lt;&gt;".",up_Irr!AG14=".",up_Irr!BE14="."),up_dir!AI14/((1/1000)*(up_Irr!I14)),IF(AND(up_Irr!I14=".",up_Irr!AG14=".",up_Irr!BE14="."),up_dir!AI14*1000)))))))),".")</f>
        <v>6.5773651144152131E-4</v>
      </c>
      <c r="BI14" s="48">
        <f>IFERROR(IF(AND(up_Irr!J14&lt;&gt;".",up_Irr!AH14&lt;&gt;".",up_Irr!BF14&lt;&gt;"."),up_dir!AJ14/((1/1000)*(up_Irr!J14+up_Irr!AH14+up_Irr!BF14)),IF(AND(up_Irr!J14&lt;&gt;".",up_Irr!AH14&lt;&gt;".",up_Irr!BF14="."),up_dir!AJ14/((1/1000)*(up_Irr!J14+up_Irr!AH14)),IF(AND(up_Irr!J14&lt;&gt;".",up_Irr!AH14=".",up_Irr!BF14&lt;&gt;"."),up_dir!AJ14/((1/1000)*(up_Irr!J14+up_Irr!BF14)),IF(AND(up_Irr!J14=".",up_Irr!AH14&lt;&gt;".",up_Irr!BF14&lt;&gt;"."),up_dir!AJ14/((1/1000)*(up_Irr!AH14+up_Irr!BF14)),IF(AND(up_Irr!J14=".",up_Irr!AH14=".",up_Irr!BF14&lt;&gt;"."),up_dir!AJ14/((1/1000)*(up_Irr!BF14)),IF(AND(up_Irr!J14=".",up_Irr!AH14&lt;&gt;".",up_Irr!BF14="."),up_dir!AJ14/((1/1000)*(up_Irr!AH14)),IF(AND(up_Irr!J14&lt;&gt;".",up_Irr!AH14=".",up_Irr!BF14="."),up_dir!AJ14/((1/1000)*(up_Irr!J14)),IF(AND(up_Irr!J14=".",up_Irr!AH14=".",up_Irr!BF14="."),up_dir!AJ14*1000)))))))),".")</f>
        <v>6.5773651144152131E-4</v>
      </c>
      <c r="BJ14" s="48">
        <f>IFERROR(IF(AND(up_Irr!K14&lt;&gt;".",up_Irr!AI14&lt;&gt;".",up_Irr!BG14&lt;&gt;"."),up_dir!AK14/((1/1000)*(up_Irr!K14+up_Irr!AI14+up_Irr!BG14)),IF(AND(up_Irr!K14&lt;&gt;".",up_Irr!AI14&lt;&gt;".",up_Irr!BG14="."),up_dir!AK14/((1/1000)*(up_Irr!K14+up_Irr!AI14)),IF(AND(up_Irr!K14&lt;&gt;".",up_Irr!AI14=".",up_Irr!BG14&lt;&gt;"."),up_dir!AK14/((1/1000)*(up_Irr!K14+up_Irr!BG14)),IF(AND(up_Irr!K14=".",up_Irr!AI14&lt;&gt;".",up_Irr!BG14&lt;&gt;"."),up_dir!AK14/((1/1000)*(up_Irr!AI14+up_Irr!BG14)),IF(AND(up_Irr!K14=".",up_Irr!AI14=".",up_Irr!BG14&lt;&gt;"."),up_dir!AK14/((1/1000)*(up_Irr!BG14)),IF(AND(up_Irr!K14=".",up_Irr!AI14&lt;&gt;".",up_Irr!BG14="."),up_dir!AK14/((1/1000)*(up_Irr!AI14)),IF(AND(up_Irr!K14&lt;&gt;".",up_Irr!AI14=".",up_Irr!BG14="."),up_dir!AK14/((1/1000)*(up_Irr!K14)),IF(AND(up_Irr!K14=".",up_Irr!AI14=".",up_Irr!BG14="."),up_dir!AK14*1000)))))))),".")</f>
        <v>6.5773651144152131E-4</v>
      </c>
      <c r="BK14" s="48">
        <f>IFERROR(IF(AND(up_Irr!L14&lt;&gt;".",up_Irr!AJ14&lt;&gt;".",up_Irr!BH14&lt;&gt;"."),up_dir!AL14/((1/1000)*(up_Irr!L14+up_Irr!AJ14+up_Irr!BH14)),IF(AND(up_Irr!L14&lt;&gt;".",up_Irr!AJ14&lt;&gt;".",up_Irr!BH14="."),up_dir!AL14/((1/1000)*(up_Irr!L14+up_Irr!AJ14)),IF(AND(up_Irr!L14&lt;&gt;".",up_Irr!AJ14=".",up_Irr!BH14&lt;&gt;"."),up_dir!AL14/((1/1000)*(up_Irr!L14+up_Irr!BH14)),IF(AND(up_Irr!L14=".",up_Irr!AJ14&lt;&gt;".",up_Irr!BH14&lt;&gt;"."),up_dir!AL14/((1/1000)*(up_Irr!AJ14+up_Irr!BH14)),IF(AND(up_Irr!L14=".",up_Irr!AJ14=".",up_Irr!BH14&lt;&gt;"."),up_dir!AL14/((1/1000)*(up_Irr!BH14)),IF(AND(up_Irr!L14=".",up_Irr!AJ14&lt;&gt;".",up_Irr!BH14="."),up_dir!AL14/((1/1000)*(up_Irr!AJ14)),IF(AND(up_Irr!L14&lt;&gt;".",up_Irr!AJ14=".",up_Irr!BH14="."),up_dir!AL14/((1/1000)*(up_Irr!L14)),IF(AND(up_Irr!L14=".",up_Irr!AJ14=".",up_Irr!BH14="."),up_dir!AL14*1000)))))))),".")</f>
        <v>6.5773651144152131E-4</v>
      </c>
      <c r="BL14" s="48">
        <f>IFERROR(IF(AND(up_Irr!M14&lt;&gt;".",up_Irr!AK14&lt;&gt;".",up_Irr!BI14&lt;&gt;"."),up_dir!AM14/((1/1000)*(up_Irr!M14+up_Irr!AK14+up_Irr!BI14)),IF(AND(up_Irr!M14&lt;&gt;".",up_Irr!AK14&lt;&gt;".",up_Irr!BI14="."),up_dir!AM14/((1/1000)*(up_Irr!M14+up_Irr!AK14)),IF(AND(up_Irr!M14&lt;&gt;".",up_Irr!AK14=".",up_Irr!BI14&lt;&gt;"."),up_dir!AM14/((1/1000)*(up_Irr!M14+up_Irr!BI14)),IF(AND(up_Irr!M14=".",up_Irr!AK14&lt;&gt;".",up_Irr!BI14&lt;&gt;"."),up_dir!AM14/((1/1000)*(up_Irr!AK14+up_Irr!BI14)),IF(AND(up_Irr!M14=".",up_Irr!AK14=".",up_Irr!BI14&lt;&gt;"."),up_dir!AM14/((1/1000)*(up_Irr!BI14)),IF(AND(up_Irr!M14=".",up_Irr!AK14&lt;&gt;".",up_Irr!BI14="."),up_dir!AM14/((1/1000)*(up_Irr!AK14)),IF(AND(up_Irr!M14&lt;&gt;".",up_Irr!AK14=".",up_Irr!BI14="."),up_dir!AM14/((1/1000)*(up_Irr!M14)),IF(AND(up_Irr!M14=".",up_Irr!AK14=".",up_Irr!BI14="."),up_dir!AM14*1000)))))))),".")</f>
        <v>6.5773651144152131E-4</v>
      </c>
      <c r="BM14" s="48">
        <f>IFERROR(IF(AND(up_Irr!N14&lt;&gt;".",up_Irr!AL14&lt;&gt;".",up_Irr!BJ14&lt;&gt;"."),up_dir!AN14/((1/1000)*(up_Irr!N14+up_Irr!AL14+up_Irr!BJ14)),IF(AND(up_Irr!N14&lt;&gt;".",up_Irr!AL14&lt;&gt;".",up_Irr!BJ14="."),up_dir!AN14/((1/1000)*(up_Irr!N14+up_Irr!AL14)),IF(AND(up_Irr!N14&lt;&gt;".",up_Irr!AL14=".",up_Irr!BJ14&lt;&gt;"."),up_dir!AN14/((1/1000)*(up_Irr!N14+up_Irr!BJ14)),IF(AND(up_Irr!N14=".",up_Irr!AL14&lt;&gt;".",up_Irr!BJ14&lt;&gt;"."),up_dir!AN14/((1/1000)*(up_Irr!AL14+up_Irr!BJ14)),IF(AND(up_Irr!N14=".",up_Irr!AL14=".",up_Irr!BJ14&lt;&gt;"."),up_dir!AN14/((1/1000)*(up_Irr!BJ14)),IF(AND(up_Irr!N14=".",up_Irr!AL14&lt;&gt;".",up_Irr!BJ14="."),up_dir!AN14/((1/1000)*(up_Irr!AL14)),IF(AND(up_Irr!N14&lt;&gt;".",up_Irr!AL14=".",up_Irr!BJ14="."),up_dir!AN14/((1/1000)*(up_Irr!N14)),IF(AND(up_Irr!N14=".",up_Irr!AL14=".",up_Irr!BJ14="."),up_dir!AN14*1000)))))))),".")</f>
        <v>6.5773651144152131E-4</v>
      </c>
      <c r="BN14" s="48">
        <f>IFERROR(IF(AND(up_Irr!O14&lt;&gt;".",up_Irr!AM14&lt;&gt;".",up_Irr!BK14&lt;&gt;"."),up_dir!AO14/((1/1000)*(up_Irr!O14+up_Irr!AM14+up_Irr!BK14)),IF(AND(up_Irr!O14&lt;&gt;".",up_Irr!AM14&lt;&gt;".",up_Irr!BK14="."),up_dir!AO14/((1/1000)*(up_Irr!O14+up_Irr!AM14)),IF(AND(up_Irr!O14&lt;&gt;".",up_Irr!AM14=".",up_Irr!BK14&lt;&gt;"."),up_dir!AO14/((1/1000)*(up_Irr!O14+up_Irr!BK14)),IF(AND(up_Irr!O14=".",up_Irr!AM14&lt;&gt;".",up_Irr!BK14&lt;&gt;"."),up_dir!AO14/((1/1000)*(up_Irr!AM14+up_Irr!BK14)),IF(AND(up_Irr!O14=".",up_Irr!AM14=".",up_Irr!BK14&lt;&gt;"."),up_dir!AO14/((1/1000)*(up_Irr!BK14)),IF(AND(up_Irr!O14=".",up_Irr!AM14&lt;&gt;".",up_Irr!BK14="."),up_dir!AO14/((1/1000)*(up_Irr!AM14)),IF(AND(up_Irr!O14&lt;&gt;".",up_Irr!AM14=".",up_Irr!BK14="."),up_dir!AO14/((1/1000)*(up_Irr!O14)),IF(AND(up_Irr!O14=".",up_Irr!AM14=".",up_Irr!BK14="."),up_dir!AO14*1000)))))))),".")</f>
        <v>6.5773651144152131E-4</v>
      </c>
      <c r="BO14" s="48">
        <f>IFERROR(IF(AND(up_Irr!P14&lt;&gt;".",up_Irr!AN14&lt;&gt;".",up_Irr!BL14&lt;&gt;"."),up_dir!AP14/((1/1000)*(up_Irr!P14+up_Irr!AN14+up_Irr!BL14)),IF(AND(up_Irr!P14&lt;&gt;".",up_Irr!AN14&lt;&gt;".",up_Irr!BL14="."),up_dir!AP14/((1/1000)*(up_Irr!P14+up_Irr!AN14)),IF(AND(up_Irr!P14&lt;&gt;".",up_Irr!AN14=".",up_Irr!BL14&lt;&gt;"."),up_dir!AP14/((1/1000)*(up_Irr!P14+up_Irr!BL14)),IF(AND(up_Irr!P14=".",up_Irr!AN14&lt;&gt;".",up_Irr!BL14&lt;&gt;"."),up_dir!AP14/((1/1000)*(up_Irr!AN14+up_Irr!BL14)),IF(AND(up_Irr!P14=".",up_Irr!AN14=".",up_Irr!BL14&lt;&gt;"."),up_dir!AP14/((1/1000)*(up_Irr!BL14)),IF(AND(up_Irr!P14=".",up_Irr!AN14&lt;&gt;".",up_Irr!BL14="."),up_dir!AP14/((1/1000)*(up_Irr!AN14)),IF(AND(up_Irr!P14&lt;&gt;".",up_Irr!AN14=".",up_Irr!BL14="."),up_dir!AP14/((1/1000)*(up_Irr!P14)),IF(AND(up_Irr!P14=".",up_Irr!AN14=".",up_Irr!BL14="."),up_dir!AP14*1000)))))))),".")</f>
        <v>6.5773651144152131E-4</v>
      </c>
      <c r="BP14" s="48">
        <f>IFERROR(IF(AND(up_Irr!Q14&lt;&gt;".",up_Irr!AO14&lt;&gt;".",up_Irr!BM14&lt;&gt;"."),up_dir!AQ14/((1/1000)*(up_Irr!Q14+up_Irr!AO14+up_Irr!BM14)),IF(AND(up_Irr!Q14&lt;&gt;".",up_Irr!AO14&lt;&gt;".",up_Irr!BM14="."),up_dir!AQ14/((1/1000)*(up_Irr!Q14+up_Irr!AO14)),IF(AND(up_Irr!Q14&lt;&gt;".",up_Irr!AO14=".",up_Irr!BM14&lt;&gt;"."),up_dir!AQ14/((1/1000)*(up_Irr!Q14+up_Irr!BM14)),IF(AND(up_Irr!Q14=".",up_Irr!AO14&lt;&gt;".",up_Irr!BM14&lt;&gt;"."),up_dir!AQ14/((1/1000)*(up_Irr!AO14+up_Irr!BM14)),IF(AND(up_Irr!Q14=".",up_Irr!AO14=".",up_Irr!BM14&lt;&gt;"."),up_dir!AQ14/((1/1000)*(up_Irr!BM14)),IF(AND(up_Irr!Q14=".",up_Irr!AO14&lt;&gt;".",up_Irr!BM14="."),up_dir!AQ14/((1/1000)*(up_Irr!AO14)),IF(AND(up_Irr!Q14&lt;&gt;".",up_Irr!AO14=".",up_Irr!BM14="."),up_dir!AQ14/((1/1000)*(up_Irr!Q14)),IF(AND(up_Irr!Q14=".",up_Irr!AO14=".",up_Irr!BM14="."),up_dir!AQ14*1000)))))))),".")</f>
        <v>6.5773651144152131E-4</v>
      </c>
      <c r="BQ14" s="48">
        <f>IFERROR(IF(AND(up_Irr!R14&lt;&gt;".",up_Irr!AP14&lt;&gt;".",up_Irr!BN14&lt;&gt;"."),up_dir!AR14/((1/1000)*(up_Irr!R14+up_Irr!AP14+up_Irr!BN14)),IF(AND(up_Irr!R14&lt;&gt;".",up_Irr!AP14&lt;&gt;".",up_Irr!BN14="."),up_dir!AR14/((1/1000)*(up_Irr!R14+up_Irr!AP14)),IF(AND(up_Irr!R14&lt;&gt;".",up_Irr!AP14=".",up_Irr!BN14&lt;&gt;"."),up_dir!AR14/((1/1000)*(up_Irr!R14+up_Irr!BN14)),IF(AND(up_Irr!R14=".",up_Irr!AP14&lt;&gt;".",up_Irr!BN14&lt;&gt;"."),up_dir!AR14/((1/1000)*(up_Irr!AP14+up_Irr!BN14)),IF(AND(up_Irr!R14=".",up_Irr!AP14=".",up_Irr!BN14&lt;&gt;"."),up_dir!AR14/((1/1000)*(up_Irr!BN14)),IF(AND(up_Irr!R14=".",up_Irr!AP14&lt;&gt;".",up_Irr!BN14="."),up_dir!AR14/((1/1000)*(up_Irr!AP14)),IF(AND(up_Irr!R14&lt;&gt;".",up_Irr!AP14=".",up_Irr!BN14="."),up_dir!AR14/((1/1000)*(up_Irr!R14)),IF(AND(up_Irr!R14=".",up_Irr!AP14=".",up_Irr!BN14="."),up_dir!AR14*1000)))))))),".")</f>
        <v>6.5773651144152131E-4</v>
      </c>
      <c r="BR14" s="48">
        <f>IFERROR(IF(AND(up_Irr!S14&lt;&gt;".",up_Irr!AQ14&lt;&gt;".",up_Irr!BO14&lt;&gt;"."),up_dir!AS14/((1/1000)*(up_Irr!S14+up_Irr!AQ14+up_Irr!BO14)),IF(AND(up_Irr!S14&lt;&gt;".",up_Irr!AQ14&lt;&gt;".",up_Irr!BO14="."),up_dir!AS14/((1/1000)*(up_Irr!S14+up_Irr!AQ14)),IF(AND(up_Irr!S14&lt;&gt;".",up_Irr!AQ14=".",up_Irr!BO14&lt;&gt;"."),up_dir!AS14/((1/1000)*(up_Irr!S14+up_Irr!BO14)),IF(AND(up_Irr!S14=".",up_Irr!AQ14&lt;&gt;".",up_Irr!BO14&lt;&gt;"."),up_dir!AS14/((1/1000)*(up_Irr!AQ14+up_Irr!BO14)),IF(AND(up_Irr!S14=".",up_Irr!AQ14=".",up_Irr!BO14&lt;&gt;"."),up_dir!AS14/((1/1000)*(up_Irr!BO14)),IF(AND(up_Irr!S14=".",up_Irr!AQ14&lt;&gt;".",up_Irr!BO14="."),up_dir!AS14/((1/1000)*(up_Irr!AQ14)),IF(AND(up_Irr!S14&lt;&gt;".",up_Irr!AQ14=".",up_Irr!BO14="."),up_dir!AS14/((1/1000)*(up_Irr!S14)),IF(AND(up_Irr!S14=".",up_Irr!AQ14=".",up_Irr!BO14="."),up_dir!AS14*1000)))))))),".")</f>
        <v>6.5773651144152131E-4</v>
      </c>
      <c r="BS14" s="48">
        <f>IFERROR(IF(AND(up_Irr!T14&lt;&gt;".",up_Irr!AR14&lt;&gt;".",up_Irr!BP14&lt;&gt;"."),up_dir!AT14/((1/1000)*(up_Irr!T14+up_Irr!AR14+up_Irr!BP14)),IF(AND(up_Irr!T14&lt;&gt;".",up_Irr!AR14&lt;&gt;".",up_Irr!BP14="."),up_dir!AT14/((1/1000)*(up_Irr!T14+up_Irr!AR14)),IF(AND(up_Irr!T14&lt;&gt;".",up_Irr!AR14=".",up_Irr!BP14&lt;&gt;"."),up_dir!AT14/((1/1000)*(up_Irr!T14+up_Irr!BP14)),IF(AND(up_Irr!T14=".",up_Irr!AR14&lt;&gt;".",up_Irr!BP14&lt;&gt;"."),up_dir!AT14/((1/1000)*(up_Irr!AR14+up_Irr!BP14)),IF(AND(up_Irr!T14=".",up_Irr!AR14=".",up_Irr!BP14&lt;&gt;"."),up_dir!AT14/((1/1000)*(up_Irr!BP14)),IF(AND(up_Irr!T14=".",up_Irr!AR14&lt;&gt;".",up_Irr!BP14="."),up_dir!AT14/((1/1000)*(up_Irr!AR14)),IF(AND(up_Irr!T14&lt;&gt;".",up_Irr!AR14=".",up_Irr!BP14="."),up_dir!AT14/((1/1000)*(up_Irr!T14)),IF(AND(up_Irr!T14=".",up_Irr!AR14=".",up_Irr!BP14="."),up_dir!AT14*1000)))))))),".")</f>
        <v>6.5773651144152131E-4</v>
      </c>
      <c r="BT14" s="48">
        <f>IFERROR(IF(AND(up_Irr!U14&lt;&gt;".",up_Irr!AS14&lt;&gt;".",up_Irr!BQ14&lt;&gt;"."),up_dir!AU14/((1/1000)*(up_Irr!U14+up_Irr!AS14+up_Irr!BQ14)),IF(AND(up_Irr!U14&lt;&gt;".",up_Irr!AS14&lt;&gt;".",up_Irr!BQ14="."),up_dir!AU14/((1/1000)*(up_Irr!U14+up_Irr!AS14)),IF(AND(up_Irr!U14&lt;&gt;".",up_Irr!AS14=".",up_Irr!BQ14&lt;&gt;"."),up_dir!AU14/((1/1000)*(up_Irr!U14+up_Irr!BQ14)),IF(AND(up_Irr!U14=".",up_Irr!AS14&lt;&gt;".",up_Irr!BQ14&lt;&gt;"."),up_dir!AU14/((1/1000)*(up_Irr!AS14+up_Irr!BQ14)),IF(AND(up_Irr!U14=".",up_Irr!AS14=".",up_Irr!BQ14&lt;&gt;"."),up_dir!AU14/((1/1000)*(up_Irr!BQ14)),IF(AND(up_Irr!U14=".",up_Irr!AS14&lt;&gt;".",up_Irr!BQ14="."),up_dir!AU14/((1/1000)*(up_Irr!AS14)),IF(AND(up_Irr!U14&lt;&gt;".",up_Irr!AS14=".",up_Irr!BQ14="."),up_dir!AU14/((1/1000)*(up_Irr!U14)),IF(AND(up_Irr!U14=".",up_Irr!AS14=".",up_Irr!BQ14="."),up_dir!AU14*1000)))))))),".")</f>
        <v>6.5773651144152131E-4</v>
      </c>
      <c r="BU14" s="48">
        <f>IFERROR(IF(AND(up_Irr!V14&lt;&gt;".",up_Irr!AT14&lt;&gt;".",up_Irr!BR14&lt;&gt;"."),up_dir!AV14/((1/1000)*(up_Irr!V14+up_Irr!AT14+up_Irr!BR14)),IF(AND(up_Irr!V14&lt;&gt;".",up_Irr!AT14&lt;&gt;".",up_Irr!BR14="."),up_dir!AV14/((1/1000)*(up_Irr!V14+up_Irr!AT14)),IF(AND(up_Irr!V14&lt;&gt;".",up_Irr!AT14=".",up_Irr!BR14&lt;&gt;"."),up_dir!AV14/((1/1000)*(up_Irr!V14+up_Irr!BR14)),IF(AND(up_Irr!V14=".",up_Irr!AT14&lt;&gt;".",up_Irr!BR14&lt;&gt;"."),up_dir!AV14/((1/1000)*(up_Irr!AT14+up_Irr!BR14)),IF(AND(up_Irr!V14=".",up_Irr!AT14=".",up_Irr!BR14&lt;&gt;"."),up_dir!AV14/((1/1000)*(up_Irr!BR14)),IF(AND(up_Irr!V14=".",up_Irr!AT14&lt;&gt;".",up_Irr!BR14="."),up_dir!AV14/((1/1000)*(up_Irr!AT14)),IF(AND(up_Irr!V14&lt;&gt;".",up_Irr!AT14=".",up_Irr!BR14="."),up_dir!AV14/((1/1000)*(up_Irr!V14)),IF(AND(up_Irr!V14=".",up_Irr!AT14=".",up_Irr!BR14="."),up_dir!AV14*1000)))))))),".")</f>
        <v>6.5773651144152131E-4</v>
      </c>
      <c r="BV14" s="48">
        <f>IFERROR(IF(AND(up_Irr!W14&lt;&gt;".",up_Irr!AU14&lt;&gt;".",up_Irr!BS14&lt;&gt;"."),up_dir!AW14/((1/1000)*(up_Irr!W14+up_Irr!AU14+up_Irr!BS14)),IF(AND(up_Irr!W14&lt;&gt;".",up_Irr!AU14&lt;&gt;".",up_Irr!BS14="."),up_dir!AW14/((1/1000)*(up_Irr!W14+up_Irr!AU14)),IF(AND(up_Irr!W14&lt;&gt;".",up_Irr!AU14=".",up_Irr!BS14&lt;&gt;"."),up_dir!AW14/((1/1000)*(up_Irr!W14+up_Irr!BS14)),IF(AND(up_Irr!W14=".",up_Irr!AU14&lt;&gt;".",up_Irr!BS14&lt;&gt;"."),up_dir!AW14/((1/1000)*(up_Irr!AU14+up_Irr!BS14)),IF(AND(up_Irr!W14=".",up_Irr!AU14=".",up_Irr!BS14&lt;&gt;"."),up_dir!AW14/((1/1000)*(up_Irr!BS14)),IF(AND(up_Irr!W14=".",up_Irr!AU14&lt;&gt;".",up_Irr!BS14="."),up_dir!AW14/((1/1000)*(up_Irr!AU14)),IF(AND(up_Irr!W14&lt;&gt;".",up_Irr!AU14=".",up_Irr!BS14="."),up_dir!AW14/((1/1000)*(up_Irr!W14)),IF(AND(up_Irr!W14=".",up_Irr!AU14=".",up_Irr!BS14="."),up_dir!AW14*1000)))))))),".")</f>
        <v>6.5773651144152131E-4</v>
      </c>
      <c r="BW14" s="48">
        <f>IFERROR(IF(AND(up_Irr!X14&lt;&gt;".",up_Irr!AV14&lt;&gt;".",up_Irr!BT14&lt;&gt;"."),up_dir!AX14/((1/1000)*(up_Irr!X14+up_Irr!AV14+up_Irr!BT14)),IF(AND(up_Irr!X14&lt;&gt;".",up_Irr!AV14&lt;&gt;".",up_Irr!BT14="."),up_dir!AX14/((1/1000)*(up_Irr!X14+up_Irr!AV14)),IF(AND(up_Irr!X14&lt;&gt;".",up_Irr!AV14=".",up_Irr!BT14&lt;&gt;"."),up_dir!AX14/((1/1000)*(up_Irr!X14+up_Irr!BT14)),IF(AND(up_Irr!X14=".",up_Irr!AV14&lt;&gt;".",up_Irr!BT14&lt;&gt;"."),up_dir!AX14/((1/1000)*(up_Irr!AV14+up_Irr!BT14)),IF(AND(up_Irr!X14=".",up_Irr!AV14=".",up_Irr!BT14&lt;&gt;"."),up_dir!AX14/((1/1000)*(up_Irr!BT14)),IF(AND(up_Irr!X14=".",up_Irr!AV14&lt;&gt;".",up_Irr!BT14="."),up_dir!AX14/((1/1000)*(up_Irr!AV14)),IF(AND(up_Irr!X14&lt;&gt;".",up_Irr!AV14=".",up_Irr!BT14="."),up_dir!AX14/((1/1000)*(up_Irr!X14)),IF(AND(up_Irr!X14=".",up_Irr!AV14=".",up_Irr!BT14="."),up_dir!AX14*1000)))))))),".")</f>
        <v>6.5773651144152131E-4</v>
      </c>
      <c r="BX14" s="48">
        <f>IFERROR(IF(AND(up_Irr!Y14&lt;&gt;".",up_Irr!AW14&lt;&gt;".",up_Irr!BU14&lt;&gt;"."),up_dir!AY14/((1/1000)*(up_Irr!Y14+up_Irr!AW14+up_Irr!BU14)),IF(AND(up_Irr!Y14&lt;&gt;".",up_Irr!AW14&lt;&gt;".",up_Irr!BU14="."),up_dir!AY14/((1/1000)*(up_Irr!Y14+up_Irr!AW14)),IF(AND(up_Irr!Y14&lt;&gt;".",up_Irr!AW14=".",up_Irr!BU14&lt;&gt;"."),up_dir!AY14/((1/1000)*(up_Irr!Y14+up_Irr!BU14)),IF(AND(up_Irr!Y14=".",up_Irr!AW14&lt;&gt;".",up_Irr!BU14&lt;&gt;"."),up_dir!AY14/((1/1000)*(up_Irr!AW14+up_Irr!BU14)),IF(AND(up_Irr!Y14=".",up_Irr!AW14=".",up_Irr!BU14&lt;&gt;"."),up_dir!AY14/((1/1000)*(up_Irr!BU14)),IF(AND(up_Irr!Y14=".",up_Irr!AW14&lt;&gt;".",up_Irr!BU14="."),up_dir!AY14/((1/1000)*(up_Irr!AW14)),IF(AND(up_Irr!Y14&lt;&gt;".",up_Irr!AW14=".",up_Irr!BU14="."),up_dir!AY14/((1/1000)*(up_Irr!Y14)),IF(AND(up_Irr!Y14=".",up_Irr!AW14=".",up_Irr!BU14="."),up_dir!AY14*1000)))))))),".")</f>
        <v>6.5773651144152131E-4</v>
      </c>
      <c r="BY14" s="48">
        <f>IFERROR(IF(AND(up_Irr!Z14&lt;&gt;".",up_Irr!AX14&lt;&gt;".",up_Irr!BV14&lt;&gt;"."),up_dir!AZ14/((1/1000)*(up_Irr!Z14+up_Irr!AX14+up_Irr!BV14)),IF(AND(up_Irr!Z14&lt;&gt;".",up_Irr!AX14&lt;&gt;".",up_Irr!BV14="."),up_dir!AZ14/((1/1000)*(up_Irr!Z14+up_Irr!AX14)),IF(AND(up_Irr!Z14&lt;&gt;".",up_Irr!AX14=".",up_Irr!BV14&lt;&gt;"."),up_dir!AZ14/((1/1000)*(up_Irr!Z14+up_Irr!BV14)),IF(AND(up_Irr!Z14=".",up_Irr!AX14&lt;&gt;".",up_Irr!BV14&lt;&gt;"."),up_dir!AZ14/((1/1000)*(up_Irr!AX14+up_Irr!BV14)),IF(AND(up_Irr!Z14=".",up_Irr!AX14=".",up_Irr!BV14&lt;&gt;"."),up_dir!AZ14/((1/1000)*(up_Irr!BV14)),IF(AND(up_Irr!Z14=".",up_Irr!AX14&lt;&gt;".",up_Irr!BV14="."),up_dir!AZ14/((1/1000)*(up_Irr!AX14)),IF(AND(up_Irr!Z14&lt;&gt;".",up_Irr!AX14=".",up_Irr!BV14="."),up_dir!AZ14/((1/1000)*(up_Irr!Z14)),IF(AND(up_Irr!Z14=".",up_Irr!AX14=".",up_Irr!BV14="."),up_dir!AZ14*1000)))))))),".")</f>
        <v>6.5773651144152131E-4</v>
      </c>
      <c r="BZ14" s="62">
        <f t="shared" si="3"/>
        <v>22805.4847785862</v>
      </c>
      <c r="CA14" s="62">
        <f>IFERROR(s_C*s_IFAP_far_adj*s_CF_apple*(1/1000)*(up_Irr!C14+up_Irr!AA14+up_Irr!AY14),".")</f>
        <v>7601.8282595287337</v>
      </c>
      <c r="CB14" s="62">
        <f>IFERROR(s_C*s_IFAS_far_adj*s_CF_asparagus*(1/1000)*(up_Irr!D14+up_Irr!AB14+up_Irr!AZ14),".")</f>
        <v>7601.8282595287337</v>
      </c>
      <c r="CC14" s="62">
        <f>IFERROR(s_C*s_IFBT_far_adj*s_CF_beet*(1/1000)*(up_Irr!E14+up_Irr!AC14+up_Irr!BA14),".")</f>
        <v>7601.8282595287337</v>
      </c>
      <c r="CD14" s="62">
        <f>IFERROR(s_C*s_IFBE_far_adj*s_CF_berries*(1/1000)*(up_Irr!F14+up_Irr!AD14+up_Irr!BB14),".")</f>
        <v>7601.8282595287337</v>
      </c>
      <c r="CE14" s="62">
        <f>IFERROR(s_C*s_IFBR_far_adj*s_CF_broccoli*(1/1000)*(up_Irr!G14+up_Irr!AE14+up_Irr!BC14),".")</f>
        <v>7601.8282595287337</v>
      </c>
      <c r="CF14" s="62">
        <f>IFERROR(s_C*s_IFCB_far_adj*s_CF_cabbage*(1/1000)*(up_Irr!H14+up_Irr!AF14+up_Irr!BD14),".")</f>
        <v>7601.8282595287337</v>
      </c>
      <c r="CG14" s="62">
        <f>IFERROR(s_C*s_IFCR_far_adj*s_CF_carrot*(1/1000)*(up_Irr!I14+up_Irr!AG14+up_Irr!BE14),".")</f>
        <v>7601.8282595287337</v>
      </c>
      <c r="CH14" s="62">
        <f>IFERROR(s_C*s_IFCI_far_adj*s_CF_citrus*(1/1000)*(up_Irr!J14+up_Irr!AH14+up_Irr!BF14),".")</f>
        <v>7601.8282595287337</v>
      </c>
      <c r="CI14" s="62">
        <f>IFERROR(s_C*s_IFCO_far_adj*s_CF_corn*(1/1000)*(up_Irr!K14+up_Irr!AI14+up_Irr!BG14),".")</f>
        <v>7601.8282595287337</v>
      </c>
      <c r="CJ14" s="62">
        <f>IFERROR(s_C*s_IFCU_far_adj*s_CF_cucumber*(1/1000)*(up_Irr!L14+up_Irr!AJ14+up_Irr!BH14),".")</f>
        <v>7601.8282595287337</v>
      </c>
      <c r="CK14" s="62">
        <f>IFERROR(s_C*s_IFLE_far_adj*s_CF_lettuce*(1/1000)*(up_Irr!M14+up_Irr!AK14+up_Irr!BI14),".")</f>
        <v>7601.8282595287337</v>
      </c>
      <c r="CL14" s="62">
        <f>IFERROR(s_C*s_IFLI_far_adj*s_CF_lima_bean*(1/1000)*(up_Irr!N14+up_Irr!AL14+up_Irr!BJ14),".")</f>
        <v>7601.8282595287337</v>
      </c>
      <c r="CM14" s="62">
        <f>IFERROR(s_C*s_IFOK_far_adj*s_CF_okra*(1/1000)*(up_Irr!O14+up_Irr!AM14+up_Irr!BK14),".")</f>
        <v>7601.8282595287337</v>
      </c>
      <c r="CN14" s="62">
        <f>IFERROR(s_C*s_IFON_far_adj*s_CF_onion*(1/1000)*(up_Irr!P14+up_Irr!AN14+up_Irr!BL14),".")</f>
        <v>7601.8282595287337</v>
      </c>
      <c r="CO14" s="62">
        <f>IFERROR(s_C*s_IFPC_far_adj*s_CF_peach*(1/1000)*(up_Irr!Q14+up_Irr!AO14+up_Irr!BM14),".")</f>
        <v>7601.8282595287337</v>
      </c>
      <c r="CP14" s="62">
        <f>IFERROR(s_C*s_IFPR_far_adj*s_CF_pear*(1/1000)*(up_Irr!R14+up_Irr!AP14+up_Irr!BN14),".")</f>
        <v>7601.8282595287337</v>
      </c>
      <c r="CQ14" s="62">
        <f>IFERROR(s_C*s_IFPE_far_adj*s_CF_peas*(1/1000)*(up_Irr!S14+up_Irr!AQ14+up_Irr!BO14),".")</f>
        <v>7601.8282595287337</v>
      </c>
      <c r="CR14" s="62">
        <f>IFERROR(s_C*s_IFPT_far_adj*s_CF_potato*(1/1000)*(up_Irr!T14+up_Irr!AR14+up_Irr!BP14),".")</f>
        <v>7601.8282595287337</v>
      </c>
      <c r="CS14" s="62">
        <f>IFERROR(s_C*s_IFPU_far_adj*s_CF_pumpkin*(1/1000)*(up_Irr!U14+up_Irr!AS14+up_Irr!BQ14),".")</f>
        <v>7601.8282595287337</v>
      </c>
      <c r="CT14" s="62">
        <f>IFERROR(s_C*s_IFSN_far_adj*s_CF_snap_bean*(1/1000)*(up_Irr!V14+up_Irr!AT14+up_Irr!BR14),".")</f>
        <v>7601.8282595287337</v>
      </c>
      <c r="CU14" s="62">
        <f>IFERROR(s_C*s_IFST_far_adj*s_CF_strawberry*(1/1000)*(up_Irr!W14+up_Irr!AU14+up_Irr!BS14),".")</f>
        <v>7601.8282595287337</v>
      </c>
      <c r="CV14" s="62">
        <f>IFERROR(s_C*s_IFTO_far_adj*s_CF_tomato*(1/1000)*(up_Irr!X14+up_Irr!AV14+up_Irr!BT14),".")</f>
        <v>7601.8282595287337</v>
      </c>
      <c r="CW14" s="62">
        <f>IFERROR(s_C*s_IFRI_far_adj*s_CF_rice*(1/1000)*(up_Irr!Y14+up_Irr!AW14+up_Irr!BU14),".")</f>
        <v>7601.8282595287337</v>
      </c>
      <c r="CX14" s="62">
        <f>IFERROR(s_C*s_IFCG_far_adj*s_CF_cereal*(1/1000)*(up_Irr!Z14+up_Irr!AX14+up_Irr!BV14),".")</f>
        <v>7601.8282595287337</v>
      </c>
    </row>
    <row r="15" spans="1:102" ht="15" customHeight="1" x14ac:dyDescent="0.25">
      <c r="A15" s="61" t="s">
        <v>13</v>
      </c>
      <c r="B15" s="49" t="s">
        <v>1059</v>
      </c>
      <c r="C15" s="48">
        <f t="shared" si="0"/>
        <v>2.1924550381384044E-4</v>
      </c>
      <c r="D15" s="48">
        <f>IFERROR(IF(AND(up_Irr!C15&lt;&gt;".",up_Irr!AA15&lt;&gt;".",up_Irr!AY15&lt;&gt;"."),up_dir!D15/((1/1000)*(up_Irr!C15+up_Irr!AA15+up_Irr!AY15)),IF(AND(up_Irr!C15&lt;&gt;".",up_Irr!AA15&lt;&gt;".",up_Irr!AY15="."),up_dir!D15/((1/1000)*(up_Irr!C15+up_Irr!AA15)),IF(AND(up_Irr!C15&lt;&gt;".",up_Irr!AA15=".",up_Irr!AY15&lt;&gt;"."),up_dir!D15/((1/1000)*(up_Irr!C15+up_Irr!AY15)),IF(AND(up_Irr!C15=".",up_Irr!AA15&lt;&gt;".",up_Irr!AY15&lt;&gt;"."),up_dir!D15/((1/1000)*(up_Irr!AA15+up_Irr!AY15)),IF(AND(up_Irr!C15=".",up_Irr!AA15=".",up_Irr!AY15&lt;&gt;"."),up_dir!D15/((1/1000)*(up_Irr!AY15)),IF(AND(up_Irr!C15=".",up_Irr!AA15&lt;&gt;".",up_Irr!AY15="."),up_dir!D15/((1/1000)*(up_Irr!AA15)),IF(AND(up_Irr!C15&lt;&gt;".",up_Irr!AA15=".",up_Irr!AY15="."),up_dir!D15/((1/1000)*(up_Irr!C15)),IF(AND(up_Irr!C15=".",up_Irr!AA15=".",up_Irr!AY15="."),up_dir!D15*1000)))))))),".")</f>
        <v>6.5773651144152131E-4</v>
      </c>
      <c r="E15" s="48">
        <f>IFERROR(IF(AND(up_Irr!D15&lt;&gt;".",up_Irr!AB15&lt;&gt;".",up_Irr!AZ15&lt;&gt;"."),up_dir!E15/((1/1000)*(up_Irr!D15+up_Irr!AB15+up_Irr!AZ15)),IF(AND(up_Irr!D15&lt;&gt;".",up_Irr!AB15&lt;&gt;".",up_Irr!AZ15="."),up_dir!E15/((1/1000)*(up_Irr!D15+up_Irr!AB15)),IF(AND(up_Irr!D15&lt;&gt;".",up_Irr!AB15=".",up_Irr!AZ15&lt;&gt;"."),up_dir!E15/((1/1000)*(up_Irr!D15+up_Irr!AZ15)),IF(AND(up_Irr!D15=".",up_Irr!AB15&lt;&gt;".",up_Irr!AZ15&lt;&gt;"."),up_dir!E15/((1/1000)*(up_Irr!AB15+up_Irr!AZ15)),IF(AND(up_Irr!D15=".",up_Irr!AB15=".",up_Irr!AZ15&lt;&gt;"."),up_dir!E15/((1/1000)*(up_Irr!AZ15)),IF(AND(up_Irr!D15=".",up_Irr!AB15&lt;&gt;".",up_Irr!AZ15="."),up_dir!E15/((1/1000)*(up_Irr!AB15)),IF(AND(up_Irr!D15&lt;&gt;".",up_Irr!AB15=".",up_Irr!AZ15="."),up_dir!E15/((1/1000)*(up_Irr!D15)),IF(AND(up_Irr!D15=".",up_Irr!AB15=".",up_Irr!AZ15="."),up_dir!E15*1000)))))))),".")</f>
        <v>6.5773651144152131E-4</v>
      </c>
      <c r="F15" s="48">
        <f>IFERROR(IF(AND(up_Irr!E15&lt;&gt;".",up_Irr!AC15&lt;&gt;".",up_Irr!BA15&lt;&gt;"."),up_dir!F15/((1/1000)*(up_Irr!E15+up_Irr!AC15+up_Irr!BA15)),IF(AND(up_Irr!E15&lt;&gt;".",up_Irr!AC15&lt;&gt;".",up_Irr!BA15="."),up_dir!F15/((1/1000)*(up_Irr!E15+up_Irr!AC15)),IF(AND(up_Irr!E15&lt;&gt;".",up_Irr!AC15=".",up_Irr!BA15&lt;&gt;"."),up_dir!F15/((1/1000)*(up_Irr!E15+up_Irr!BA15)),IF(AND(up_Irr!E15=".",up_Irr!AC15&lt;&gt;".",up_Irr!BA15&lt;&gt;"."),up_dir!F15/((1/1000)*(up_Irr!AC15+up_Irr!BA15)),IF(AND(up_Irr!E15=".",up_Irr!AC15=".",up_Irr!BA15&lt;&gt;"."),up_dir!F15/((1/1000)*(up_Irr!BA15)),IF(AND(up_Irr!E15=".",up_Irr!AC15&lt;&gt;".",up_Irr!BA15="."),up_dir!F15/((1/1000)*(up_Irr!AC15)),IF(AND(up_Irr!E15&lt;&gt;".",up_Irr!AC15=".",up_Irr!BA15="."),up_dir!F15/((1/1000)*(up_Irr!E15)),IF(AND(up_Irr!E15=".",up_Irr!AC15=".",up_Irr!BA15="."),up_dir!F15*1000)))))))),".")</f>
        <v>6.5773651144152131E-4</v>
      </c>
      <c r="G15" s="48">
        <f>IFERROR(IF(AND(up_Irr!F15&lt;&gt;".",up_Irr!AD15&lt;&gt;".",up_Irr!BB15&lt;&gt;"."),up_dir!G15/((1/1000)*(up_Irr!F15+up_Irr!AD15+up_Irr!BB15)),IF(AND(up_Irr!F15&lt;&gt;".",up_Irr!AD15&lt;&gt;".",up_Irr!BB15="."),up_dir!G15/((1/1000)*(up_Irr!F15+up_Irr!AD15)),IF(AND(up_Irr!F15&lt;&gt;".",up_Irr!AD15=".",up_Irr!BB15&lt;&gt;"."),up_dir!G15/((1/1000)*(up_Irr!F15+up_Irr!BB15)),IF(AND(up_Irr!F15=".",up_Irr!AD15&lt;&gt;".",up_Irr!BB15&lt;&gt;"."),up_dir!G15/((1/1000)*(up_Irr!AD15+up_Irr!BB15)),IF(AND(up_Irr!F15=".",up_Irr!AD15=".",up_Irr!BB15&lt;&gt;"."),up_dir!G15/((1/1000)*(up_Irr!BB15)),IF(AND(up_Irr!F15=".",up_Irr!AD15&lt;&gt;".",up_Irr!BB15="."),up_dir!G15/((1/1000)*(up_Irr!AD15)),IF(AND(up_Irr!F15&lt;&gt;".",up_Irr!AD15=".",up_Irr!BB15="."),up_dir!G15/((1/1000)*(up_Irr!F15)),IF(AND(up_Irr!F15=".",up_Irr!AD15=".",up_Irr!BB15="."),up_dir!G15*1000)))))))),".")</f>
        <v>6.5773651144152131E-4</v>
      </c>
      <c r="H15" s="48">
        <f>IFERROR(IF(AND(up_Irr!G15&lt;&gt;".",up_Irr!AE15&lt;&gt;".",up_Irr!BC15&lt;&gt;"."),up_dir!H15/((1/1000)*(up_Irr!G15+up_Irr!AE15+up_Irr!BC15)),IF(AND(up_Irr!G15&lt;&gt;".",up_Irr!AE15&lt;&gt;".",up_Irr!BC15="."),up_dir!H15/((1/1000)*(up_Irr!G15+up_Irr!AE15)),IF(AND(up_Irr!G15&lt;&gt;".",up_Irr!AE15=".",up_Irr!BC15&lt;&gt;"."),up_dir!H15/((1/1000)*(up_Irr!G15+up_Irr!BC15)),IF(AND(up_Irr!G15=".",up_Irr!AE15&lt;&gt;".",up_Irr!BC15&lt;&gt;"."),up_dir!H15/((1/1000)*(up_Irr!AE15+up_Irr!BC15)),IF(AND(up_Irr!G15=".",up_Irr!AE15=".",up_Irr!BC15&lt;&gt;"."),up_dir!H15/((1/1000)*(up_Irr!BC15)),IF(AND(up_Irr!G15=".",up_Irr!AE15&lt;&gt;".",up_Irr!BC15="."),up_dir!H15/((1/1000)*(up_Irr!AE15)),IF(AND(up_Irr!G15&lt;&gt;".",up_Irr!AE15=".",up_Irr!BC15="."),up_dir!H15/((1/1000)*(up_Irr!G15)),IF(AND(up_Irr!G15=".",up_Irr!AE15=".",up_Irr!BC15="."),up_dir!H15*1000)))))))),".")</f>
        <v>6.5773651144152131E-4</v>
      </c>
      <c r="I15" s="48">
        <f>IFERROR(IF(AND(up_Irr!H15&lt;&gt;".",up_Irr!AF15&lt;&gt;".",up_Irr!BD15&lt;&gt;"."),up_dir!I15/((1/1000)*(up_Irr!H15+up_Irr!AF15+up_Irr!BD15)),IF(AND(up_Irr!H15&lt;&gt;".",up_Irr!AF15&lt;&gt;".",up_Irr!BD15="."),up_dir!I15/((1/1000)*(up_Irr!H15+up_Irr!AF15)),IF(AND(up_Irr!H15&lt;&gt;".",up_Irr!AF15=".",up_Irr!BD15&lt;&gt;"."),up_dir!I15/((1/1000)*(up_Irr!H15+up_Irr!BD15)),IF(AND(up_Irr!H15=".",up_Irr!AF15&lt;&gt;".",up_Irr!BD15&lt;&gt;"."),up_dir!I15/((1/1000)*(up_Irr!AF15+up_Irr!BD15)),IF(AND(up_Irr!H15=".",up_Irr!AF15=".",up_Irr!BD15&lt;&gt;"."),up_dir!I15/((1/1000)*(up_Irr!BD15)),IF(AND(up_Irr!H15=".",up_Irr!AF15&lt;&gt;".",up_Irr!BD15="."),up_dir!I15/((1/1000)*(up_Irr!AF15)),IF(AND(up_Irr!H15&lt;&gt;".",up_Irr!AF15=".",up_Irr!BD15="."),up_dir!I15/((1/1000)*(up_Irr!H15)),IF(AND(up_Irr!H15=".",up_Irr!AF15=".",up_Irr!BD15="."),up_dir!I15*1000)))))))),".")</f>
        <v>6.5773651144152131E-4</v>
      </c>
      <c r="J15" s="48">
        <f>IFERROR(IF(AND(up_Irr!I15&lt;&gt;".",up_Irr!AG15&lt;&gt;".",up_Irr!BE15&lt;&gt;"."),up_dir!J15/((1/1000)*(up_Irr!I15+up_Irr!AG15+up_Irr!BE15)),IF(AND(up_Irr!I15&lt;&gt;".",up_Irr!AG15&lt;&gt;".",up_Irr!BE15="."),up_dir!J15/((1/1000)*(up_Irr!I15+up_Irr!AG15)),IF(AND(up_Irr!I15&lt;&gt;".",up_Irr!AG15=".",up_Irr!BE15&lt;&gt;"."),up_dir!J15/((1/1000)*(up_Irr!I15+up_Irr!BE15)),IF(AND(up_Irr!I15=".",up_Irr!AG15&lt;&gt;".",up_Irr!BE15&lt;&gt;"."),up_dir!J15/((1/1000)*(up_Irr!AG15+up_Irr!BE15)),IF(AND(up_Irr!I15=".",up_Irr!AG15=".",up_Irr!BE15&lt;&gt;"."),up_dir!J15/((1/1000)*(up_Irr!BE15)),IF(AND(up_Irr!I15=".",up_Irr!AG15&lt;&gt;".",up_Irr!BE15="."),up_dir!J15/((1/1000)*(up_Irr!AG15)),IF(AND(up_Irr!I15&lt;&gt;".",up_Irr!AG15=".",up_Irr!BE15="."),up_dir!J15/((1/1000)*(up_Irr!I15)),IF(AND(up_Irr!I15=".",up_Irr!AG15=".",up_Irr!BE15="."),up_dir!J15*1000)))))))),".")</f>
        <v>6.5773651144152131E-4</v>
      </c>
      <c r="K15" s="48">
        <f>IFERROR(IF(AND(up_Irr!J15&lt;&gt;".",up_Irr!AH15&lt;&gt;".",up_Irr!BF15&lt;&gt;"."),up_dir!K15/((1/1000)*(up_Irr!J15+up_Irr!AH15+up_Irr!BF15)),IF(AND(up_Irr!J15&lt;&gt;".",up_Irr!AH15&lt;&gt;".",up_Irr!BF15="."),up_dir!K15/((1/1000)*(up_Irr!J15+up_Irr!AH15)),IF(AND(up_Irr!J15&lt;&gt;".",up_Irr!AH15=".",up_Irr!BF15&lt;&gt;"."),up_dir!K15/((1/1000)*(up_Irr!J15+up_Irr!BF15)),IF(AND(up_Irr!J15=".",up_Irr!AH15&lt;&gt;".",up_Irr!BF15&lt;&gt;"."),up_dir!K15/((1/1000)*(up_Irr!AH15+up_Irr!BF15)),IF(AND(up_Irr!J15=".",up_Irr!AH15=".",up_Irr!BF15&lt;&gt;"."),up_dir!K15/((1/1000)*(up_Irr!BF15)),IF(AND(up_Irr!J15=".",up_Irr!AH15&lt;&gt;".",up_Irr!BF15="."),up_dir!K15/((1/1000)*(up_Irr!AH15)),IF(AND(up_Irr!J15&lt;&gt;".",up_Irr!AH15=".",up_Irr!BF15="."),up_dir!K15/((1/1000)*(up_Irr!J15)),IF(AND(up_Irr!J15=".",up_Irr!AH15=".",up_Irr!BF15="."),up_dir!K15*1000)))))))),".")</f>
        <v>6.5773651144152131E-4</v>
      </c>
      <c r="L15" s="48">
        <f>IFERROR(IF(AND(up_Irr!K15&lt;&gt;".",up_Irr!AI15&lt;&gt;".",up_Irr!BG15&lt;&gt;"."),up_dir!L15/((1/1000)*(up_Irr!K15+up_Irr!AI15+up_Irr!BG15)),IF(AND(up_Irr!K15&lt;&gt;".",up_Irr!AI15&lt;&gt;".",up_Irr!BG15="."),up_dir!L15/((1/1000)*(up_Irr!K15+up_Irr!AI15)),IF(AND(up_Irr!K15&lt;&gt;".",up_Irr!AI15=".",up_Irr!BG15&lt;&gt;"."),up_dir!L15/((1/1000)*(up_Irr!K15+up_Irr!BG15)),IF(AND(up_Irr!K15=".",up_Irr!AI15&lt;&gt;".",up_Irr!BG15&lt;&gt;"."),up_dir!L15/((1/1000)*(up_Irr!AI15+up_Irr!BG15)),IF(AND(up_Irr!K15=".",up_Irr!AI15=".",up_Irr!BG15&lt;&gt;"."),up_dir!L15/((1/1000)*(up_Irr!BG15)),IF(AND(up_Irr!K15=".",up_Irr!AI15&lt;&gt;".",up_Irr!BG15="."),up_dir!L15/((1/1000)*(up_Irr!AI15)),IF(AND(up_Irr!K15&lt;&gt;".",up_Irr!AI15=".",up_Irr!BG15="."),up_dir!L15/((1/1000)*(up_Irr!K15)),IF(AND(up_Irr!K15=".",up_Irr!AI15=".",up_Irr!BG15="."),up_dir!L15*1000)))))))),".")</f>
        <v>6.5773651144152131E-4</v>
      </c>
      <c r="M15" s="48">
        <f>IFERROR(IF(AND(up_Irr!L15&lt;&gt;".",up_Irr!AJ15&lt;&gt;".",up_Irr!BH15&lt;&gt;"."),up_dir!M15/((1/1000)*(up_Irr!L15+up_Irr!AJ15+up_Irr!BH15)),IF(AND(up_Irr!L15&lt;&gt;".",up_Irr!AJ15&lt;&gt;".",up_Irr!BH15="."),up_dir!M15/((1/1000)*(up_Irr!L15+up_Irr!AJ15)),IF(AND(up_Irr!L15&lt;&gt;".",up_Irr!AJ15=".",up_Irr!BH15&lt;&gt;"."),up_dir!M15/((1/1000)*(up_Irr!L15+up_Irr!BH15)),IF(AND(up_Irr!L15=".",up_Irr!AJ15&lt;&gt;".",up_Irr!BH15&lt;&gt;"."),up_dir!M15/((1/1000)*(up_Irr!AJ15+up_Irr!BH15)),IF(AND(up_Irr!L15=".",up_Irr!AJ15=".",up_Irr!BH15&lt;&gt;"."),up_dir!M15/((1/1000)*(up_Irr!BH15)),IF(AND(up_Irr!L15=".",up_Irr!AJ15&lt;&gt;".",up_Irr!BH15="."),up_dir!M15/((1/1000)*(up_Irr!AJ15)),IF(AND(up_Irr!L15&lt;&gt;".",up_Irr!AJ15=".",up_Irr!BH15="."),up_dir!M15/((1/1000)*(up_Irr!L15)),IF(AND(up_Irr!L15=".",up_Irr!AJ15=".",up_Irr!BH15="."),up_dir!M15*1000)))))))),".")</f>
        <v>6.5773651144152131E-4</v>
      </c>
      <c r="N15" s="48">
        <f>IFERROR(IF(AND(up_Irr!M15&lt;&gt;".",up_Irr!AK15&lt;&gt;".",up_Irr!BI15&lt;&gt;"."),up_dir!N15/((1/1000)*(up_Irr!M15+up_Irr!AK15+up_Irr!BI15)),IF(AND(up_Irr!M15&lt;&gt;".",up_Irr!AK15&lt;&gt;".",up_Irr!BI15="."),up_dir!N15/((1/1000)*(up_Irr!M15+up_Irr!AK15)),IF(AND(up_Irr!M15&lt;&gt;".",up_Irr!AK15=".",up_Irr!BI15&lt;&gt;"."),up_dir!N15/((1/1000)*(up_Irr!M15+up_Irr!BI15)),IF(AND(up_Irr!M15=".",up_Irr!AK15&lt;&gt;".",up_Irr!BI15&lt;&gt;"."),up_dir!N15/((1/1000)*(up_Irr!AK15+up_Irr!BI15)),IF(AND(up_Irr!M15=".",up_Irr!AK15=".",up_Irr!BI15&lt;&gt;"."),up_dir!N15/((1/1000)*(up_Irr!BI15)),IF(AND(up_Irr!M15=".",up_Irr!AK15&lt;&gt;".",up_Irr!BI15="."),up_dir!N15/((1/1000)*(up_Irr!AK15)),IF(AND(up_Irr!M15&lt;&gt;".",up_Irr!AK15=".",up_Irr!BI15="."),up_dir!N15/((1/1000)*(up_Irr!M15)),IF(AND(up_Irr!M15=".",up_Irr!AK15=".",up_Irr!BI15="."),up_dir!N15*1000)))))))),".")</f>
        <v>6.5773651144152131E-4</v>
      </c>
      <c r="O15" s="48">
        <f>IFERROR(IF(AND(up_Irr!N15&lt;&gt;".",up_Irr!AL15&lt;&gt;".",up_Irr!BJ15&lt;&gt;"."),up_dir!O15/((1/1000)*(up_Irr!N15+up_Irr!AL15+up_Irr!BJ15)),IF(AND(up_Irr!N15&lt;&gt;".",up_Irr!AL15&lt;&gt;".",up_Irr!BJ15="."),up_dir!O15/((1/1000)*(up_Irr!N15+up_Irr!AL15)),IF(AND(up_Irr!N15&lt;&gt;".",up_Irr!AL15=".",up_Irr!BJ15&lt;&gt;"."),up_dir!O15/((1/1000)*(up_Irr!N15+up_Irr!BJ15)),IF(AND(up_Irr!N15=".",up_Irr!AL15&lt;&gt;".",up_Irr!BJ15&lt;&gt;"."),up_dir!O15/((1/1000)*(up_Irr!AL15+up_Irr!BJ15)),IF(AND(up_Irr!N15=".",up_Irr!AL15=".",up_Irr!BJ15&lt;&gt;"."),up_dir!O15/((1/1000)*(up_Irr!BJ15)),IF(AND(up_Irr!N15=".",up_Irr!AL15&lt;&gt;".",up_Irr!BJ15="."),up_dir!O15/((1/1000)*(up_Irr!AL15)),IF(AND(up_Irr!N15&lt;&gt;".",up_Irr!AL15=".",up_Irr!BJ15="."),up_dir!O15/((1/1000)*(up_Irr!N15)),IF(AND(up_Irr!N15=".",up_Irr!AL15=".",up_Irr!BJ15="."),up_dir!O15*1000)))))))),".")</f>
        <v>6.5773651144152131E-4</v>
      </c>
      <c r="P15" s="48">
        <f>IFERROR(IF(AND(up_Irr!O15&lt;&gt;".",up_Irr!AM15&lt;&gt;".",up_Irr!BK15&lt;&gt;"."),up_dir!P15/((1/1000)*(up_Irr!O15+up_Irr!AM15+up_Irr!BK15)),IF(AND(up_Irr!O15&lt;&gt;".",up_Irr!AM15&lt;&gt;".",up_Irr!BK15="."),up_dir!P15/((1/1000)*(up_Irr!O15+up_Irr!AM15)),IF(AND(up_Irr!O15&lt;&gt;".",up_Irr!AM15=".",up_Irr!BK15&lt;&gt;"."),up_dir!P15/((1/1000)*(up_Irr!O15+up_Irr!BK15)),IF(AND(up_Irr!O15=".",up_Irr!AM15&lt;&gt;".",up_Irr!BK15&lt;&gt;"."),up_dir!P15/((1/1000)*(up_Irr!AM15+up_Irr!BK15)),IF(AND(up_Irr!O15=".",up_Irr!AM15=".",up_Irr!BK15&lt;&gt;"."),up_dir!P15/((1/1000)*(up_Irr!BK15)),IF(AND(up_Irr!O15=".",up_Irr!AM15&lt;&gt;".",up_Irr!BK15="."),up_dir!P15/((1/1000)*(up_Irr!AM15)),IF(AND(up_Irr!O15&lt;&gt;".",up_Irr!AM15=".",up_Irr!BK15="."),up_dir!P15/((1/1000)*(up_Irr!O15)),IF(AND(up_Irr!O15=".",up_Irr!AM15=".",up_Irr!BK15="."),up_dir!P15*1000)))))))),".")</f>
        <v>6.5773651144152131E-4</v>
      </c>
      <c r="Q15" s="48">
        <f>IFERROR(IF(AND(up_Irr!P15&lt;&gt;".",up_Irr!AN15&lt;&gt;".",up_Irr!BL15&lt;&gt;"."),up_dir!Q15/((1/1000)*(up_Irr!P15+up_Irr!AN15+up_Irr!BL15)),IF(AND(up_Irr!P15&lt;&gt;".",up_Irr!AN15&lt;&gt;".",up_Irr!BL15="."),up_dir!Q15/((1/1000)*(up_Irr!P15+up_Irr!AN15)),IF(AND(up_Irr!P15&lt;&gt;".",up_Irr!AN15=".",up_Irr!BL15&lt;&gt;"."),up_dir!Q15/((1/1000)*(up_Irr!P15+up_Irr!BL15)),IF(AND(up_Irr!P15=".",up_Irr!AN15&lt;&gt;".",up_Irr!BL15&lt;&gt;"."),up_dir!Q15/((1/1000)*(up_Irr!AN15+up_Irr!BL15)),IF(AND(up_Irr!P15=".",up_Irr!AN15=".",up_Irr!BL15&lt;&gt;"."),up_dir!Q15/((1/1000)*(up_Irr!BL15)),IF(AND(up_Irr!P15=".",up_Irr!AN15&lt;&gt;".",up_Irr!BL15="."),up_dir!Q15/((1/1000)*(up_Irr!AN15)),IF(AND(up_Irr!P15&lt;&gt;".",up_Irr!AN15=".",up_Irr!BL15="."),up_dir!Q15/((1/1000)*(up_Irr!P15)),IF(AND(up_Irr!P15=".",up_Irr!AN15=".",up_Irr!BL15="."),up_dir!Q15*1000)))))))),".")</f>
        <v>6.5773651144152131E-4</v>
      </c>
      <c r="R15" s="48">
        <f>IFERROR(IF(AND(up_Irr!Q15&lt;&gt;".",up_Irr!AO15&lt;&gt;".",up_Irr!BM15&lt;&gt;"."),up_dir!R15/((1/1000)*(up_Irr!Q15+up_Irr!AO15+up_Irr!BM15)),IF(AND(up_Irr!Q15&lt;&gt;".",up_Irr!AO15&lt;&gt;".",up_Irr!BM15="."),up_dir!R15/((1/1000)*(up_Irr!Q15+up_Irr!AO15)),IF(AND(up_Irr!Q15&lt;&gt;".",up_Irr!AO15=".",up_Irr!BM15&lt;&gt;"."),up_dir!R15/((1/1000)*(up_Irr!Q15+up_Irr!BM15)),IF(AND(up_Irr!Q15=".",up_Irr!AO15&lt;&gt;".",up_Irr!BM15&lt;&gt;"."),up_dir!R15/((1/1000)*(up_Irr!AO15+up_Irr!BM15)),IF(AND(up_Irr!Q15=".",up_Irr!AO15=".",up_Irr!BM15&lt;&gt;"."),up_dir!R15/((1/1000)*(up_Irr!BM15)),IF(AND(up_Irr!Q15=".",up_Irr!AO15&lt;&gt;".",up_Irr!BM15="."),up_dir!R15/((1/1000)*(up_Irr!AO15)),IF(AND(up_Irr!Q15&lt;&gt;".",up_Irr!AO15=".",up_Irr!BM15="."),up_dir!R15/((1/1000)*(up_Irr!Q15)),IF(AND(up_Irr!Q15=".",up_Irr!AO15=".",up_Irr!BM15="."),up_dir!R15*1000)))))))),".")</f>
        <v>6.5773651144152131E-4</v>
      </c>
      <c r="S15" s="48">
        <f>IFERROR(IF(AND(up_Irr!R15&lt;&gt;".",up_Irr!AP15&lt;&gt;".",up_Irr!BN15&lt;&gt;"."),up_dir!S15/((1/1000)*(up_Irr!R15+up_Irr!AP15+up_Irr!BN15)),IF(AND(up_Irr!R15&lt;&gt;".",up_Irr!AP15&lt;&gt;".",up_Irr!BN15="."),up_dir!S15/((1/1000)*(up_Irr!R15+up_Irr!AP15)),IF(AND(up_Irr!R15&lt;&gt;".",up_Irr!AP15=".",up_Irr!BN15&lt;&gt;"."),up_dir!S15/((1/1000)*(up_Irr!R15+up_Irr!BN15)),IF(AND(up_Irr!R15=".",up_Irr!AP15&lt;&gt;".",up_Irr!BN15&lt;&gt;"."),up_dir!S15/((1/1000)*(up_Irr!AP15+up_Irr!BN15)),IF(AND(up_Irr!R15=".",up_Irr!AP15=".",up_Irr!BN15&lt;&gt;"."),up_dir!S15/((1/1000)*(up_Irr!BN15)),IF(AND(up_Irr!R15=".",up_Irr!AP15&lt;&gt;".",up_Irr!BN15="."),up_dir!S15/((1/1000)*(up_Irr!AP15)),IF(AND(up_Irr!R15&lt;&gt;".",up_Irr!AP15=".",up_Irr!BN15="."),up_dir!S15/((1/1000)*(up_Irr!R15)),IF(AND(up_Irr!R15=".",up_Irr!AP15=".",up_Irr!BN15="."),up_dir!S15*1000)))))))),".")</f>
        <v>6.5773651144152131E-4</v>
      </c>
      <c r="T15" s="48">
        <f>IFERROR(IF(AND(up_Irr!S15&lt;&gt;".",up_Irr!AQ15&lt;&gt;".",up_Irr!BO15&lt;&gt;"."),up_dir!T15/((1/1000)*(up_Irr!S15+up_Irr!AQ15+up_Irr!BO15)),IF(AND(up_Irr!S15&lt;&gt;".",up_Irr!AQ15&lt;&gt;".",up_Irr!BO15="."),up_dir!T15/((1/1000)*(up_Irr!S15+up_Irr!AQ15)),IF(AND(up_Irr!S15&lt;&gt;".",up_Irr!AQ15=".",up_Irr!BO15&lt;&gt;"."),up_dir!T15/((1/1000)*(up_Irr!S15+up_Irr!BO15)),IF(AND(up_Irr!S15=".",up_Irr!AQ15&lt;&gt;".",up_Irr!BO15&lt;&gt;"."),up_dir!T15/((1/1000)*(up_Irr!AQ15+up_Irr!BO15)),IF(AND(up_Irr!S15=".",up_Irr!AQ15=".",up_Irr!BO15&lt;&gt;"."),up_dir!T15/((1/1000)*(up_Irr!BO15)),IF(AND(up_Irr!S15=".",up_Irr!AQ15&lt;&gt;".",up_Irr!BO15="."),up_dir!T15/((1/1000)*(up_Irr!AQ15)),IF(AND(up_Irr!S15&lt;&gt;".",up_Irr!AQ15=".",up_Irr!BO15="."),up_dir!T15/((1/1000)*(up_Irr!S15)),IF(AND(up_Irr!S15=".",up_Irr!AQ15=".",up_Irr!BO15="."),up_dir!T15*1000)))))))),".")</f>
        <v>6.5773651144152131E-4</v>
      </c>
      <c r="U15" s="48">
        <f>IFERROR(IF(AND(up_Irr!T15&lt;&gt;".",up_Irr!AR15&lt;&gt;".",up_Irr!BP15&lt;&gt;"."),up_dir!U15/((1/1000)*(up_Irr!T15+up_Irr!AR15+up_Irr!BP15)),IF(AND(up_Irr!T15&lt;&gt;".",up_Irr!AR15&lt;&gt;".",up_Irr!BP15="."),up_dir!U15/((1/1000)*(up_Irr!T15+up_Irr!AR15)),IF(AND(up_Irr!T15&lt;&gt;".",up_Irr!AR15=".",up_Irr!BP15&lt;&gt;"."),up_dir!U15/((1/1000)*(up_Irr!T15+up_Irr!BP15)),IF(AND(up_Irr!T15=".",up_Irr!AR15&lt;&gt;".",up_Irr!BP15&lt;&gt;"."),up_dir!U15/((1/1000)*(up_Irr!AR15+up_Irr!BP15)),IF(AND(up_Irr!T15=".",up_Irr!AR15=".",up_Irr!BP15&lt;&gt;"."),up_dir!U15/((1/1000)*(up_Irr!BP15)),IF(AND(up_Irr!T15=".",up_Irr!AR15&lt;&gt;".",up_Irr!BP15="."),up_dir!U15/((1/1000)*(up_Irr!AR15)),IF(AND(up_Irr!T15&lt;&gt;".",up_Irr!AR15=".",up_Irr!BP15="."),up_dir!U15/((1/1000)*(up_Irr!T15)),IF(AND(up_Irr!T15=".",up_Irr!AR15=".",up_Irr!BP15="."),up_dir!U15*1000)))))))),".")</f>
        <v>6.5773651144152131E-4</v>
      </c>
      <c r="V15" s="48">
        <f>IFERROR(IF(AND(up_Irr!U15&lt;&gt;".",up_Irr!AS15&lt;&gt;".",up_Irr!BQ15&lt;&gt;"."),up_dir!V15/((1/1000)*(up_Irr!U15+up_Irr!AS15+up_Irr!BQ15)),IF(AND(up_Irr!U15&lt;&gt;".",up_Irr!AS15&lt;&gt;".",up_Irr!BQ15="."),up_dir!V15/((1/1000)*(up_Irr!U15+up_Irr!AS15)),IF(AND(up_Irr!U15&lt;&gt;".",up_Irr!AS15=".",up_Irr!BQ15&lt;&gt;"."),up_dir!V15/((1/1000)*(up_Irr!U15+up_Irr!BQ15)),IF(AND(up_Irr!U15=".",up_Irr!AS15&lt;&gt;".",up_Irr!BQ15&lt;&gt;"."),up_dir!V15/((1/1000)*(up_Irr!AS15+up_Irr!BQ15)),IF(AND(up_Irr!U15=".",up_Irr!AS15=".",up_Irr!BQ15&lt;&gt;"."),up_dir!V15/((1/1000)*(up_Irr!BQ15)),IF(AND(up_Irr!U15=".",up_Irr!AS15&lt;&gt;".",up_Irr!BQ15="."),up_dir!V15/((1/1000)*(up_Irr!AS15)),IF(AND(up_Irr!U15&lt;&gt;".",up_Irr!AS15=".",up_Irr!BQ15="."),up_dir!V15/((1/1000)*(up_Irr!U15)),IF(AND(up_Irr!U15=".",up_Irr!AS15=".",up_Irr!BQ15="."),up_dir!V15*1000)))))))),".")</f>
        <v>6.5773651144152131E-4</v>
      </c>
      <c r="W15" s="48">
        <f>IFERROR(IF(AND(up_Irr!V15&lt;&gt;".",up_Irr!AT15&lt;&gt;".",up_Irr!BR15&lt;&gt;"."),up_dir!W15/((1/1000)*(up_Irr!V15+up_Irr!AT15+up_Irr!BR15)),IF(AND(up_Irr!V15&lt;&gt;".",up_Irr!AT15&lt;&gt;".",up_Irr!BR15="."),up_dir!W15/((1/1000)*(up_Irr!V15+up_Irr!AT15)),IF(AND(up_Irr!V15&lt;&gt;".",up_Irr!AT15=".",up_Irr!BR15&lt;&gt;"."),up_dir!W15/((1/1000)*(up_Irr!V15+up_Irr!BR15)),IF(AND(up_Irr!V15=".",up_Irr!AT15&lt;&gt;".",up_Irr!BR15&lt;&gt;"."),up_dir!W15/((1/1000)*(up_Irr!AT15+up_Irr!BR15)),IF(AND(up_Irr!V15=".",up_Irr!AT15=".",up_Irr!BR15&lt;&gt;"."),up_dir!W15/((1/1000)*(up_Irr!BR15)),IF(AND(up_Irr!V15=".",up_Irr!AT15&lt;&gt;".",up_Irr!BR15="."),up_dir!W15/((1/1000)*(up_Irr!AT15)),IF(AND(up_Irr!V15&lt;&gt;".",up_Irr!AT15=".",up_Irr!BR15="."),up_dir!W15/((1/1000)*(up_Irr!V15)),IF(AND(up_Irr!V15=".",up_Irr!AT15=".",up_Irr!BR15="."),up_dir!W15*1000)))))))),".")</f>
        <v>6.5773651144152131E-4</v>
      </c>
      <c r="X15" s="48">
        <f>IFERROR(IF(AND(up_Irr!W15&lt;&gt;".",up_Irr!AU15&lt;&gt;".",up_Irr!BS15&lt;&gt;"."),up_dir!X15/((1/1000)*(up_Irr!W15+up_Irr!AU15+up_Irr!BS15)),IF(AND(up_Irr!W15&lt;&gt;".",up_Irr!AU15&lt;&gt;".",up_Irr!BS15="."),up_dir!X15/((1/1000)*(up_Irr!W15+up_Irr!AU15)),IF(AND(up_Irr!W15&lt;&gt;".",up_Irr!AU15=".",up_Irr!BS15&lt;&gt;"."),up_dir!X15/((1/1000)*(up_Irr!W15+up_Irr!BS15)),IF(AND(up_Irr!W15=".",up_Irr!AU15&lt;&gt;".",up_Irr!BS15&lt;&gt;"."),up_dir!X15/((1/1000)*(up_Irr!AU15+up_Irr!BS15)),IF(AND(up_Irr!W15=".",up_Irr!AU15=".",up_Irr!BS15&lt;&gt;"."),up_dir!X15/((1/1000)*(up_Irr!BS15)),IF(AND(up_Irr!W15=".",up_Irr!AU15&lt;&gt;".",up_Irr!BS15="."),up_dir!X15/((1/1000)*(up_Irr!AU15)),IF(AND(up_Irr!W15&lt;&gt;".",up_Irr!AU15=".",up_Irr!BS15="."),up_dir!X15/((1/1000)*(up_Irr!W15)),IF(AND(up_Irr!W15=".",up_Irr!AU15=".",up_Irr!BS15="."),up_dir!X15*1000)))))))),".")</f>
        <v>6.5773651144152131E-4</v>
      </c>
      <c r="Y15" s="48">
        <f>IFERROR(IF(AND(up_Irr!X15&lt;&gt;".",up_Irr!AV15&lt;&gt;".",up_Irr!BT15&lt;&gt;"."),up_dir!Y15/((1/1000)*(up_Irr!X15+up_Irr!AV15+up_Irr!BT15)),IF(AND(up_Irr!X15&lt;&gt;".",up_Irr!AV15&lt;&gt;".",up_Irr!BT15="."),up_dir!Y15/((1/1000)*(up_Irr!X15+up_Irr!AV15)),IF(AND(up_Irr!X15&lt;&gt;".",up_Irr!AV15=".",up_Irr!BT15&lt;&gt;"."),up_dir!Y15/((1/1000)*(up_Irr!X15+up_Irr!BT15)),IF(AND(up_Irr!X15=".",up_Irr!AV15&lt;&gt;".",up_Irr!BT15&lt;&gt;"."),up_dir!Y15/((1/1000)*(up_Irr!AV15+up_Irr!BT15)),IF(AND(up_Irr!X15=".",up_Irr!AV15=".",up_Irr!BT15&lt;&gt;"."),up_dir!Y15/((1/1000)*(up_Irr!BT15)),IF(AND(up_Irr!X15=".",up_Irr!AV15&lt;&gt;".",up_Irr!BT15="."),up_dir!Y15/((1/1000)*(up_Irr!AV15)),IF(AND(up_Irr!X15&lt;&gt;".",up_Irr!AV15=".",up_Irr!BT15="."),up_dir!Y15/((1/1000)*(up_Irr!X15)),IF(AND(up_Irr!X15=".",up_Irr!AV15=".",up_Irr!BT15="."),up_dir!Y15*1000)))))))),".")</f>
        <v>6.5773651144152131E-4</v>
      </c>
      <c r="Z15" s="48">
        <f>IFERROR(IF(AND(up_Irr!Y15&lt;&gt;".",up_Irr!AW15&lt;&gt;".",up_Irr!BU15&lt;&gt;"."),up_dir!Z15/((1/1000)*(up_Irr!Y15+up_Irr!AW15+up_Irr!BU15)),IF(AND(up_Irr!Y15&lt;&gt;".",up_Irr!AW15&lt;&gt;".",up_Irr!BU15="."),up_dir!Z15/((1/1000)*(up_Irr!Y15+up_Irr!AW15)),IF(AND(up_Irr!Y15&lt;&gt;".",up_Irr!AW15=".",up_Irr!BU15&lt;&gt;"."),up_dir!Z15/((1/1000)*(up_Irr!Y15+up_Irr!BU15)),IF(AND(up_Irr!Y15=".",up_Irr!AW15&lt;&gt;".",up_Irr!BU15&lt;&gt;"."),up_dir!Z15/((1/1000)*(up_Irr!AW15+up_Irr!BU15)),IF(AND(up_Irr!Y15=".",up_Irr!AW15=".",up_Irr!BU15&lt;&gt;"."),up_dir!Z15/((1/1000)*(up_Irr!BU15)),IF(AND(up_Irr!Y15=".",up_Irr!AW15&lt;&gt;".",up_Irr!BU15="."),up_dir!Z15/((1/1000)*(up_Irr!AW15)),IF(AND(up_Irr!Y15&lt;&gt;".",up_Irr!AW15=".",up_Irr!BU15="."),up_dir!Z15/((1/1000)*(up_Irr!Y15)),IF(AND(up_Irr!Y15=".",up_Irr!AW15=".",up_Irr!BU15="."),up_dir!Z15*1000)))))))),".")</f>
        <v>6.5773651144152131E-4</v>
      </c>
      <c r="AA15" s="48">
        <f>IFERROR(IF(AND(up_Irr!Z15&lt;&gt;".",up_Irr!AX15&lt;&gt;".",up_Irr!BV15&lt;&gt;"."),up_dir!AA15/((1/1000)*(up_Irr!Z15+up_Irr!AX15+up_Irr!BV15)),IF(AND(up_Irr!Z15&lt;&gt;".",up_Irr!AX15&lt;&gt;".",up_Irr!BV15="."),up_dir!AA15/((1/1000)*(up_Irr!Z15+up_Irr!AX15)),IF(AND(up_Irr!Z15&lt;&gt;".",up_Irr!AX15=".",up_Irr!BV15&lt;&gt;"."),up_dir!AA15/((1/1000)*(up_Irr!Z15+up_Irr!BV15)),IF(AND(up_Irr!Z15=".",up_Irr!AX15&lt;&gt;".",up_Irr!BV15&lt;&gt;"."),up_dir!AA15/((1/1000)*(up_Irr!AX15+up_Irr!BV15)),IF(AND(up_Irr!Z15=".",up_Irr!AX15=".",up_Irr!BV15&lt;&gt;"."),up_dir!AA15/((1/1000)*(up_Irr!BV15)),IF(AND(up_Irr!Z15=".",up_Irr!AX15&lt;&gt;".",up_Irr!BV15="."),up_dir!AA15/((1/1000)*(up_Irr!AX15)),IF(AND(up_Irr!Z15&lt;&gt;".",up_Irr!AX15=".",up_Irr!BV15="."),up_dir!AA15/((1/1000)*(up_Irr!Z15)),IF(AND(up_Irr!Z15=".",up_Irr!AX15=".",up_Irr!BV15="."),up_dir!AA15*1000)))))))),".")</f>
        <v>6.5773651144152131E-4</v>
      </c>
      <c r="AB15" s="62">
        <f t="shared" si="1"/>
        <v>22805.4847785862</v>
      </c>
      <c r="AC15" s="62">
        <f>IFERROR(s_C*s_IFAP_res_adj*s_CF_apple*0.001*(up_Irr!C15+up_Irr!AA15+up_Irr!AY15),".")</f>
        <v>7601.8282595287337</v>
      </c>
      <c r="AD15" s="62">
        <f>IFERROR(s_C*s_IFAS_res_adj*s_CF_asparagus*0.001*(up_Irr!D15+up_Irr!AB15+up_Irr!AZ15),".")</f>
        <v>7601.8282595287337</v>
      </c>
      <c r="AE15" s="62">
        <f>IFERROR(s_C*s_IFBT_res_adj*s_CF_beet*0.001*(up_Irr!E15+up_Irr!AC15+up_Irr!BA15),".")</f>
        <v>7601.8282595287337</v>
      </c>
      <c r="AF15" s="62">
        <f>IFERROR(s_C*s_IFBE_res_adj*s_CF_berries*0.001*(up_Irr!F15+up_Irr!AD15+up_Irr!BB15),".")</f>
        <v>7601.8282595287337</v>
      </c>
      <c r="AG15" s="62">
        <f>IFERROR(s_C*s_IFBR_res_adj*s_CF_broccoli*0.001*(up_Irr!G15+up_Irr!AE15+up_Irr!BC15),".")</f>
        <v>7601.8282595287337</v>
      </c>
      <c r="AH15" s="62">
        <f>IFERROR(s_C*s_IFCB_res_adj*s_CF_cabbage*0.001*(up_Irr!H15+up_Irr!AF15+up_Irr!BD15),".")</f>
        <v>7601.8282595287337</v>
      </c>
      <c r="AI15" s="62">
        <f>IFERROR(s_C*s_IFCR_res_adj*s_CF_carrot*0.001*(up_Irr!I15+up_Irr!AG15+up_Irr!BE15),".")</f>
        <v>7601.8282595287337</v>
      </c>
      <c r="AJ15" s="62">
        <f>IFERROR(s_C*s_IFCI_res_adj*s_CF_citrus*0.001*(up_Irr!J15+up_Irr!AH15+up_Irr!BF15),".")</f>
        <v>7601.8282595287337</v>
      </c>
      <c r="AK15" s="62">
        <f>IFERROR(s_C*s_IFCO_res_adj*s_CF_corn*0.001*(up_Irr!K15+up_Irr!AI15+up_Irr!BG15),".")</f>
        <v>7601.8282595287337</v>
      </c>
      <c r="AL15" s="62">
        <f>IFERROR(s_C*s_IFCU_res_adj*s_CF_cucumber*0.001*(up_Irr!L15+up_Irr!AJ15+up_Irr!BH15),".")</f>
        <v>7601.8282595287337</v>
      </c>
      <c r="AM15" s="62">
        <f>IFERROR(s_C*s_IFLE_res_adj*s_CF_lettuce*0.001*(up_Irr!M15+up_Irr!AK15+up_Irr!BI15),".")</f>
        <v>7601.8282595287337</v>
      </c>
      <c r="AN15" s="62">
        <f>IFERROR(s_C*s_IFLI_res_adj*s_CF_lima_bean*0.001*(up_Irr!N15+up_Irr!AL15+up_Irr!BJ15),".")</f>
        <v>7601.8282595287337</v>
      </c>
      <c r="AO15" s="62">
        <f>IFERROR(s_C*s_IFOK_res_adj*s_CF_okra*0.001*(up_Irr!O15+up_Irr!AM15+up_Irr!BK15),".")</f>
        <v>7601.8282595287337</v>
      </c>
      <c r="AP15" s="62">
        <f>IFERROR(s_C*s_IFON_res_adj*s_CF_onion*0.001*(up_Irr!P15+up_Irr!AN15+up_Irr!BL15),".")</f>
        <v>7601.8282595287337</v>
      </c>
      <c r="AQ15" s="62">
        <f>IFERROR(s_C*s_IFPC_res_adj*s_CF_peach*0.001*(up_Irr!Q15+up_Irr!AO15+up_Irr!BM15),".")</f>
        <v>7601.8282595287337</v>
      </c>
      <c r="AR15" s="62">
        <f>IFERROR(s_C*s_IFPR_res_adj*s_CF_pear*0.001*(up_Irr!R15+up_Irr!AP15+up_Irr!BN15),".")</f>
        <v>7601.8282595287337</v>
      </c>
      <c r="AS15" s="62">
        <f>IFERROR(s_C*s_IFPE_res_adj*s_CF_peas*0.001*(up_Irr!S15+up_Irr!AQ15+up_Irr!BO15),".")</f>
        <v>7601.8282595287337</v>
      </c>
      <c r="AT15" s="62">
        <f>IFERROR(s_C*s_IFPT_res_adj*s_CF_potato*0.001*(up_Irr!T15+up_Irr!AR15+up_Irr!BP15),".")</f>
        <v>7601.8282595287337</v>
      </c>
      <c r="AU15" s="62">
        <f>IFERROR(s_C*s_IFPU_res_adj*s_CF_pumpkin*0.001*(up_Irr!U15+up_Irr!AS15+up_Irr!BQ15),".")</f>
        <v>7601.8282595287337</v>
      </c>
      <c r="AV15" s="62">
        <f>IFERROR(s_C*s_IFSN_res_adj*s_CF_snap_bean*0.001*(up_Irr!V15+up_Irr!AT15+up_Irr!BR15),".")</f>
        <v>7601.8282595287337</v>
      </c>
      <c r="AW15" s="62">
        <f>IFERROR(s_C*s_IFST_res_adj*s_CF_strawberry*0.001*(up_Irr!W15+up_Irr!AU15+up_Irr!BS15),".")</f>
        <v>7601.8282595287337</v>
      </c>
      <c r="AX15" s="62">
        <f>IFERROR(s_C*s_IFTO_res_adj*s_CF_tomato*0.001*(up_Irr!X15+up_Irr!AV15+up_Irr!BT15),".")</f>
        <v>7601.8282595287337</v>
      </c>
      <c r="AY15" s="62">
        <f>IFERROR(s_C*s_IFRI_res_adj*s_CF_rice*0.001*(up_Irr!Y15+up_Irr!AW15+up_Irr!BU15),".")</f>
        <v>7601.8282595287337</v>
      </c>
      <c r="AZ15" s="62">
        <f>IFERROR(s_C*s_IFCG_res_adj*s_CF_cereal*0.001*(up_Irr!Z15+up_Irr!AX15+up_Irr!BV15),".")</f>
        <v>7601.8282595287337</v>
      </c>
      <c r="BA15" s="48">
        <f t="shared" si="2"/>
        <v>2.1924550381384044E-4</v>
      </c>
      <c r="BB15" s="48">
        <f>IFERROR(IF(AND(up_Irr!C15&lt;&gt;".",up_Irr!AA15&lt;&gt;".",up_Irr!AY15&lt;&gt;"."),up_dir!AC15/((1/1000)*(up_Irr!C15+up_Irr!AA15+up_Irr!AY15)),IF(AND(up_Irr!C15&lt;&gt;".",up_Irr!AA15&lt;&gt;".",up_Irr!AY15="."),up_dir!AC15/((1/1000)*(up_Irr!C15+up_Irr!AA15)),IF(AND(up_Irr!C15&lt;&gt;".",up_Irr!AA15=".",up_Irr!AY15&lt;&gt;"."),up_dir!AC15/((1/1000)*(up_Irr!C15+up_Irr!AY15)),IF(AND(up_Irr!C15=".",up_Irr!AA15&lt;&gt;".",up_Irr!AY15&lt;&gt;"."),up_dir!AC15/((1/1000)*(up_Irr!AA15+up_Irr!AY15)),IF(AND(up_Irr!C15=".",up_Irr!AA15=".",up_Irr!AY15&lt;&gt;"."),up_dir!AC15/((1/1000)*(up_Irr!AY15)),IF(AND(up_Irr!C15=".",up_Irr!AA15&lt;&gt;".",up_Irr!AY15="."),up_dir!AC15/((1/1000)*(up_Irr!AA15)),IF(AND(up_Irr!C15&lt;&gt;".",up_Irr!AA15=".",up_Irr!AY15="."),up_dir!AC15/((1/1000)*(up_Irr!C15)),IF(AND(up_Irr!C15=".",up_Irr!AA15=".",up_Irr!AY15="."),up_dir!AC15*1000)))))))),".")</f>
        <v>6.5773651144152131E-4</v>
      </c>
      <c r="BC15" s="48">
        <f>IFERROR(IF(AND(up_Irr!D15&lt;&gt;".",up_Irr!AB15&lt;&gt;".",up_Irr!AZ15&lt;&gt;"."),up_dir!AD15/((1/1000)*(up_Irr!D15+up_Irr!AB15+up_Irr!AZ15)),IF(AND(up_Irr!D15&lt;&gt;".",up_Irr!AB15&lt;&gt;".",up_Irr!AZ15="."),up_dir!AD15/((1/1000)*(up_Irr!D15+up_Irr!AB15)),IF(AND(up_Irr!D15&lt;&gt;".",up_Irr!AB15=".",up_Irr!AZ15&lt;&gt;"."),up_dir!AD15/((1/1000)*(up_Irr!D15+up_Irr!AZ15)),IF(AND(up_Irr!D15=".",up_Irr!AB15&lt;&gt;".",up_Irr!AZ15&lt;&gt;"."),up_dir!AD15/((1/1000)*(up_Irr!AB15+up_Irr!AZ15)),IF(AND(up_Irr!D15=".",up_Irr!AB15=".",up_Irr!AZ15&lt;&gt;"."),up_dir!AD15/((1/1000)*(up_Irr!AZ15)),IF(AND(up_Irr!D15=".",up_Irr!AB15&lt;&gt;".",up_Irr!AZ15="."),up_dir!AD15/((1/1000)*(up_Irr!AB15)),IF(AND(up_Irr!D15&lt;&gt;".",up_Irr!AB15=".",up_Irr!AZ15="."),up_dir!AD15/((1/1000)*(up_Irr!D15)),IF(AND(up_Irr!D15=".",up_Irr!AB15=".",up_Irr!AZ15="."),up_dir!AD15*1000)))))))),".")</f>
        <v>6.5773651144152131E-4</v>
      </c>
      <c r="BD15" s="48">
        <f>IFERROR(IF(AND(up_Irr!E15&lt;&gt;".",up_Irr!AC15&lt;&gt;".",up_Irr!BA15&lt;&gt;"."),up_dir!AE15/((1/1000)*(up_Irr!E15+up_Irr!AC15+up_Irr!BA15)),IF(AND(up_Irr!E15&lt;&gt;".",up_Irr!AC15&lt;&gt;".",up_Irr!BA15="."),up_dir!AE15/((1/1000)*(up_Irr!E15+up_Irr!AC15)),IF(AND(up_Irr!E15&lt;&gt;".",up_Irr!AC15=".",up_Irr!BA15&lt;&gt;"."),up_dir!AE15/((1/1000)*(up_Irr!E15+up_Irr!BA15)),IF(AND(up_Irr!E15=".",up_Irr!AC15&lt;&gt;".",up_Irr!BA15&lt;&gt;"."),up_dir!AE15/((1/1000)*(up_Irr!AC15+up_Irr!BA15)),IF(AND(up_Irr!E15=".",up_Irr!AC15=".",up_Irr!BA15&lt;&gt;"."),up_dir!AE15/((1/1000)*(up_Irr!BA15)),IF(AND(up_Irr!E15=".",up_Irr!AC15&lt;&gt;".",up_Irr!BA15="."),up_dir!AE15/((1/1000)*(up_Irr!AC15)),IF(AND(up_Irr!E15&lt;&gt;".",up_Irr!AC15=".",up_Irr!BA15="."),up_dir!AE15/((1/1000)*(up_Irr!E15)),IF(AND(up_Irr!E15=".",up_Irr!AC15=".",up_Irr!BA15="."),up_dir!AE15*1000)))))))),".")</f>
        <v>6.5773651144152131E-4</v>
      </c>
      <c r="BE15" s="48">
        <f>IFERROR(IF(AND(up_Irr!F15&lt;&gt;".",up_Irr!AD15&lt;&gt;".",up_Irr!BB15&lt;&gt;"."),up_dir!AF15/((1/1000)*(up_Irr!F15+up_Irr!AD15+up_Irr!BB15)),IF(AND(up_Irr!F15&lt;&gt;".",up_Irr!AD15&lt;&gt;".",up_Irr!BB15="."),up_dir!AF15/((1/1000)*(up_Irr!F15+up_Irr!AD15)),IF(AND(up_Irr!F15&lt;&gt;".",up_Irr!AD15=".",up_Irr!BB15&lt;&gt;"."),up_dir!AF15/((1/1000)*(up_Irr!F15+up_Irr!BB15)),IF(AND(up_Irr!F15=".",up_Irr!AD15&lt;&gt;".",up_Irr!BB15&lt;&gt;"."),up_dir!AF15/((1/1000)*(up_Irr!AD15+up_Irr!BB15)),IF(AND(up_Irr!F15=".",up_Irr!AD15=".",up_Irr!BB15&lt;&gt;"."),up_dir!AF15/((1/1000)*(up_Irr!BB15)),IF(AND(up_Irr!F15=".",up_Irr!AD15&lt;&gt;".",up_Irr!BB15="."),up_dir!AF15/((1/1000)*(up_Irr!AD15)),IF(AND(up_Irr!F15&lt;&gt;".",up_Irr!AD15=".",up_Irr!BB15="."),up_dir!AF15/((1/1000)*(up_Irr!F15)),IF(AND(up_Irr!F15=".",up_Irr!AD15=".",up_Irr!BB15="."),up_dir!AF15*1000)))))))),".")</f>
        <v>6.5773651144152131E-4</v>
      </c>
      <c r="BF15" s="48">
        <f>IFERROR(IF(AND(up_Irr!G15&lt;&gt;".",up_Irr!AE15&lt;&gt;".",up_Irr!BC15&lt;&gt;"."),up_dir!AG15/((1/1000)*(up_Irr!G15+up_Irr!AE15+up_Irr!BC15)),IF(AND(up_Irr!G15&lt;&gt;".",up_Irr!AE15&lt;&gt;".",up_Irr!BC15="."),up_dir!AG15/((1/1000)*(up_Irr!G15+up_Irr!AE15)),IF(AND(up_Irr!G15&lt;&gt;".",up_Irr!AE15=".",up_Irr!BC15&lt;&gt;"."),up_dir!AG15/((1/1000)*(up_Irr!G15+up_Irr!BC15)),IF(AND(up_Irr!G15=".",up_Irr!AE15&lt;&gt;".",up_Irr!BC15&lt;&gt;"."),up_dir!AG15/((1/1000)*(up_Irr!AE15+up_Irr!BC15)),IF(AND(up_Irr!G15=".",up_Irr!AE15=".",up_Irr!BC15&lt;&gt;"."),up_dir!AG15/((1/1000)*(up_Irr!BC15)),IF(AND(up_Irr!G15=".",up_Irr!AE15&lt;&gt;".",up_Irr!BC15="."),up_dir!AG15/((1/1000)*(up_Irr!AE15)),IF(AND(up_Irr!G15&lt;&gt;".",up_Irr!AE15=".",up_Irr!BC15="."),up_dir!AG15/((1/1000)*(up_Irr!G15)),IF(AND(up_Irr!G15=".",up_Irr!AE15=".",up_Irr!BC15="."),up_dir!AG15*1000)))))))),".")</f>
        <v>6.5773651144152131E-4</v>
      </c>
      <c r="BG15" s="48">
        <f>IFERROR(IF(AND(up_Irr!H15&lt;&gt;".",up_Irr!AF15&lt;&gt;".",up_Irr!BD15&lt;&gt;"."),up_dir!AH15/((1/1000)*(up_Irr!H15+up_Irr!AF15+up_Irr!BD15)),IF(AND(up_Irr!H15&lt;&gt;".",up_Irr!AF15&lt;&gt;".",up_Irr!BD15="."),up_dir!AH15/((1/1000)*(up_Irr!H15+up_Irr!AF15)),IF(AND(up_Irr!H15&lt;&gt;".",up_Irr!AF15=".",up_Irr!BD15&lt;&gt;"."),up_dir!AH15/((1/1000)*(up_Irr!H15+up_Irr!BD15)),IF(AND(up_Irr!H15=".",up_Irr!AF15&lt;&gt;".",up_Irr!BD15&lt;&gt;"."),up_dir!AH15/((1/1000)*(up_Irr!AF15+up_Irr!BD15)),IF(AND(up_Irr!H15=".",up_Irr!AF15=".",up_Irr!BD15&lt;&gt;"."),up_dir!AH15/((1/1000)*(up_Irr!BD15)),IF(AND(up_Irr!H15=".",up_Irr!AF15&lt;&gt;".",up_Irr!BD15="."),up_dir!AH15/((1/1000)*(up_Irr!AF15)),IF(AND(up_Irr!H15&lt;&gt;".",up_Irr!AF15=".",up_Irr!BD15="."),up_dir!AH15/((1/1000)*(up_Irr!H15)),IF(AND(up_Irr!H15=".",up_Irr!AF15=".",up_Irr!BD15="."),up_dir!AH15*1000)))))))),".")</f>
        <v>6.5773651144152131E-4</v>
      </c>
      <c r="BH15" s="48">
        <f>IFERROR(IF(AND(up_Irr!I15&lt;&gt;".",up_Irr!AG15&lt;&gt;".",up_Irr!BE15&lt;&gt;"."),up_dir!AI15/((1/1000)*(up_Irr!I15+up_Irr!AG15+up_Irr!BE15)),IF(AND(up_Irr!I15&lt;&gt;".",up_Irr!AG15&lt;&gt;".",up_Irr!BE15="."),up_dir!AI15/((1/1000)*(up_Irr!I15+up_Irr!AG15)),IF(AND(up_Irr!I15&lt;&gt;".",up_Irr!AG15=".",up_Irr!BE15&lt;&gt;"."),up_dir!AI15/((1/1000)*(up_Irr!I15+up_Irr!BE15)),IF(AND(up_Irr!I15=".",up_Irr!AG15&lt;&gt;".",up_Irr!BE15&lt;&gt;"."),up_dir!AI15/((1/1000)*(up_Irr!AG15+up_Irr!BE15)),IF(AND(up_Irr!I15=".",up_Irr!AG15=".",up_Irr!BE15&lt;&gt;"."),up_dir!AI15/((1/1000)*(up_Irr!BE15)),IF(AND(up_Irr!I15=".",up_Irr!AG15&lt;&gt;".",up_Irr!BE15="."),up_dir!AI15/((1/1000)*(up_Irr!AG15)),IF(AND(up_Irr!I15&lt;&gt;".",up_Irr!AG15=".",up_Irr!BE15="."),up_dir!AI15/((1/1000)*(up_Irr!I15)),IF(AND(up_Irr!I15=".",up_Irr!AG15=".",up_Irr!BE15="."),up_dir!AI15*1000)))))))),".")</f>
        <v>6.5773651144152131E-4</v>
      </c>
      <c r="BI15" s="48">
        <f>IFERROR(IF(AND(up_Irr!J15&lt;&gt;".",up_Irr!AH15&lt;&gt;".",up_Irr!BF15&lt;&gt;"."),up_dir!AJ15/((1/1000)*(up_Irr!J15+up_Irr!AH15+up_Irr!BF15)),IF(AND(up_Irr!J15&lt;&gt;".",up_Irr!AH15&lt;&gt;".",up_Irr!BF15="."),up_dir!AJ15/((1/1000)*(up_Irr!J15+up_Irr!AH15)),IF(AND(up_Irr!J15&lt;&gt;".",up_Irr!AH15=".",up_Irr!BF15&lt;&gt;"."),up_dir!AJ15/((1/1000)*(up_Irr!J15+up_Irr!BF15)),IF(AND(up_Irr!J15=".",up_Irr!AH15&lt;&gt;".",up_Irr!BF15&lt;&gt;"."),up_dir!AJ15/((1/1000)*(up_Irr!AH15+up_Irr!BF15)),IF(AND(up_Irr!J15=".",up_Irr!AH15=".",up_Irr!BF15&lt;&gt;"."),up_dir!AJ15/((1/1000)*(up_Irr!BF15)),IF(AND(up_Irr!J15=".",up_Irr!AH15&lt;&gt;".",up_Irr!BF15="."),up_dir!AJ15/((1/1000)*(up_Irr!AH15)),IF(AND(up_Irr!J15&lt;&gt;".",up_Irr!AH15=".",up_Irr!BF15="."),up_dir!AJ15/((1/1000)*(up_Irr!J15)),IF(AND(up_Irr!J15=".",up_Irr!AH15=".",up_Irr!BF15="."),up_dir!AJ15*1000)))))))),".")</f>
        <v>6.5773651144152131E-4</v>
      </c>
      <c r="BJ15" s="48">
        <f>IFERROR(IF(AND(up_Irr!K15&lt;&gt;".",up_Irr!AI15&lt;&gt;".",up_Irr!BG15&lt;&gt;"."),up_dir!AK15/((1/1000)*(up_Irr!K15+up_Irr!AI15+up_Irr!BG15)),IF(AND(up_Irr!K15&lt;&gt;".",up_Irr!AI15&lt;&gt;".",up_Irr!BG15="."),up_dir!AK15/((1/1000)*(up_Irr!K15+up_Irr!AI15)),IF(AND(up_Irr!K15&lt;&gt;".",up_Irr!AI15=".",up_Irr!BG15&lt;&gt;"."),up_dir!AK15/((1/1000)*(up_Irr!K15+up_Irr!BG15)),IF(AND(up_Irr!K15=".",up_Irr!AI15&lt;&gt;".",up_Irr!BG15&lt;&gt;"."),up_dir!AK15/((1/1000)*(up_Irr!AI15+up_Irr!BG15)),IF(AND(up_Irr!K15=".",up_Irr!AI15=".",up_Irr!BG15&lt;&gt;"."),up_dir!AK15/((1/1000)*(up_Irr!BG15)),IF(AND(up_Irr!K15=".",up_Irr!AI15&lt;&gt;".",up_Irr!BG15="."),up_dir!AK15/((1/1000)*(up_Irr!AI15)),IF(AND(up_Irr!K15&lt;&gt;".",up_Irr!AI15=".",up_Irr!BG15="."),up_dir!AK15/((1/1000)*(up_Irr!K15)),IF(AND(up_Irr!K15=".",up_Irr!AI15=".",up_Irr!BG15="."),up_dir!AK15*1000)))))))),".")</f>
        <v>6.5773651144152131E-4</v>
      </c>
      <c r="BK15" s="48">
        <f>IFERROR(IF(AND(up_Irr!L15&lt;&gt;".",up_Irr!AJ15&lt;&gt;".",up_Irr!BH15&lt;&gt;"."),up_dir!AL15/((1/1000)*(up_Irr!L15+up_Irr!AJ15+up_Irr!BH15)),IF(AND(up_Irr!L15&lt;&gt;".",up_Irr!AJ15&lt;&gt;".",up_Irr!BH15="."),up_dir!AL15/((1/1000)*(up_Irr!L15+up_Irr!AJ15)),IF(AND(up_Irr!L15&lt;&gt;".",up_Irr!AJ15=".",up_Irr!BH15&lt;&gt;"."),up_dir!AL15/((1/1000)*(up_Irr!L15+up_Irr!BH15)),IF(AND(up_Irr!L15=".",up_Irr!AJ15&lt;&gt;".",up_Irr!BH15&lt;&gt;"."),up_dir!AL15/((1/1000)*(up_Irr!AJ15+up_Irr!BH15)),IF(AND(up_Irr!L15=".",up_Irr!AJ15=".",up_Irr!BH15&lt;&gt;"."),up_dir!AL15/((1/1000)*(up_Irr!BH15)),IF(AND(up_Irr!L15=".",up_Irr!AJ15&lt;&gt;".",up_Irr!BH15="."),up_dir!AL15/((1/1000)*(up_Irr!AJ15)),IF(AND(up_Irr!L15&lt;&gt;".",up_Irr!AJ15=".",up_Irr!BH15="."),up_dir!AL15/((1/1000)*(up_Irr!L15)),IF(AND(up_Irr!L15=".",up_Irr!AJ15=".",up_Irr!BH15="."),up_dir!AL15*1000)))))))),".")</f>
        <v>6.5773651144152131E-4</v>
      </c>
      <c r="BL15" s="48">
        <f>IFERROR(IF(AND(up_Irr!M15&lt;&gt;".",up_Irr!AK15&lt;&gt;".",up_Irr!BI15&lt;&gt;"."),up_dir!AM15/((1/1000)*(up_Irr!M15+up_Irr!AK15+up_Irr!BI15)),IF(AND(up_Irr!M15&lt;&gt;".",up_Irr!AK15&lt;&gt;".",up_Irr!BI15="."),up_dir!AM15/((1/1000)*(up_Irr!M15+up_Irr!AK15)),IF(AND(up_Irr!M15&lt;&gt;".",up_Irr!AK15=".",up_Irr!BI15&lt;&gt;"."),up_dir!AM15/((1/1000)*(up_Irr!M15+up_Irr!BI15)),IF(AND(up_Irr!M15=".",up_Irr!AK15&lt;&gt;".",up_Irr!BI15&lt;&gt;"."),up_dir!AM15/((1/1000)*(up_Irr!AK15+up_Irr!BI15)),IF(AND(up_Irr!M15=".",up_Irr!AK15=".",up_Irr!BI15&lt;&gt;"."),up_dir!AM15/((1/1000)*(up_Irr!BI15)),IF(AND(up_Irr!M15=".",up_Irr!AK15&lt;&gt;".",up_Irr!BI15="."),up_dir!AM15/((1/1000)*(up_Irr!AK15)),IF(AND(up_Irr!M15&lt;&gt;".",up_Irr!AK15=".",up_Irr!BI15="."),up_dir!AM15/((1/1000)*(up_Irr!M15)),IF(AND(up_Irr!M15=".",up_Irr!AK15=".",up_Irr!BI15="."),up_dir!AM15*1000)))))))),".")</f>
        <v>6.5773651144152131E-4</v>
      </c>
      <c r="BM15" s="48">
        <f>IFERROR(IF(AND(up_Irr!N15&lt;&gt;".",up_Irr!AL15&lt;&gt;".",up_Irr!BJ15&lt;&gt;"."),up_dir!AN15/((1/1000)*(up_Irr!N15+up_Irr!AL15+up_Irr!BJ15)),IF(AND(up_Irr!N15&lt;&gt;".",up_Irr!AL15&lt;&gt;".",up_Irr!BJ15="."),up_dir!AN15/((1/1000)*(up_Irr!N15+up_Irr!AL15)),IF(AND(up_Irr!N15&lt;&gt;".",up_Irr!AL15=".",up_Irr!BJ15&lt;&gt;"."),up_dir!AN15/((1/1000)*(up_Irr!N15+up_Irr!BJ15)),IF(AND(up_Irr!N15=".",up_Irr!AL15&lt;&gt;".",up_Irr!BJ15&lt;&gt;"."),up_dir!AN15/((1/1000)*(up_Irr!AL15+up_Irr!BJ15)),IF(AND(up_Irr!N15=".",up_Irr!AL15=".",up_Irr!BJ15&lt;&gt;"."),up_dir!AN15/((1/1000)*(up_Irr!BJ15)),IF(AND(up_Irr!N15=".",up_Irr!AL15&lt;&gt;".",up_Irr!BJ15="."),up_dir!AN15/((1/1000)*(up_Irr!AL15)),IF(AND(up_Irr!N15&lt;&gt;".",up_Irr!AL15=".",up_Irr!BJ15="."),up_dir!AN15/((1/1000)*(up_Irr!N15)),IF(AND(up_Irr!N15=".",up_Irr!AL15=".",up_Irr!BJ15="."),up_dir!AN15*1000)))))))),".")</f>
        <v>6.5773651144152131E-4</v>
      </c>
      <c r="BN15" s="48">
        <f>IFERROR(IF(AND(up_Irr!O15&lt;&gt;".",up_Irr!AM15&lt;&gt;".",up_Irr!BK15&lt;&gt;"."),up_dir!AO15/((1/1000)*(up_Irr!O15+up_Irr!AM15+up_Irr!BK15)),IF(AND(up_Irr!O15&lt;&gt;".",up_Irr!AM15&lt;&gt;".",up_Irr!BK15="."),up_dir!AO15/((1/1000)*(up_Irr!O15+up_Irr!AM15)),IF(AND(up_Irr!O15&lt;&gt;".",up_Irr!AM15=".",up_Irr!BK15&lt;&gt;"."),up_dir!AO15/((1/1000)*(up_Irr!O15+up_Irr!BK15)),IF(AND(up_Irr!O15=".",up_Irr!AM15&lt;&gt;".",up_Irr!BK15&lt;&gt;"."),up_dir!AO15/((1/1000)*(up_Irr!AM15+up_Irr!BK15)),IF(AND(up_Irr!O15=".",up_Irr!AM15=".",up_Irr!BK15&lt;&gt;"."),up_dir!AO15/((1/1000)*(up_Irr!BK15)),IF(AND(up_Irr!O15=".",up_Irr!AM15&lt;&gt;".",up_Irr!BK15="."),up_dir!AO15/((1/1000)*(up_Irr!AM15)),IF(AND(up_Irr!O15&lt;&gt;".",up_Irr!AM15=".",up_Irr!BK15="."),up_dir!AO15/((1/1000)*(up_Irr!O15)),IF(AND(up_Irr!O15=".",up_Irr!AM15=".",up_Irr!BK15="."),up_dir!AO15*1000)))))))),".")</f>
        <v>6.5773651144152131E-4</v>
      </c>
      <c r="BO15" s="48">
        <f>IFERROR(IF(AND(up_Irr!P15&lt;&gt;".",up_Irr!AN15&lt;&gt;".",up_Irr!BL15&lt;&gt;"."),up_dir!AP15/((1/1000)*(up_Irr!P15+up_Irr!AN15+up_Irr!BL15)),IF(AND(up_Irr!P15&lt;&gt;".",up_Irr!AN15&lt;&gt;".",up_Irr!BL15="."),up_dir!AP15/((1/1000)*(up_Irr!P15+up_Irr!AN15)),IF(AND(up_Irr!P15&lt;&gt;".",up_Irr!AN15=".",up_Irr!BL15&lt;&gt;"."),up_dir!AP15/((1/1000)*(up_Irr!P15+up_Irr!BL15)),IF(AND(up_Irr!P15=".",up_Irr!AN15&lt;&gt;".",up_Irr!BL15&lt;&gt;"."),up_dir!AP15/((1/1000)*(up_Irr!AN15+up_Irr!BL15)),IF(AND(up_Irr!P15=".",up_Irr!AN15=".",up_Irr!BL15&lt;&gt;"."),up_dir!AP15/((1/1000)*(up_Irr!BL15)),IF(AND(up_Irr!P15=".",up_Irr!AN15&lt;&gt;".",up_Irr!BL15="."),up_dir!AP15/((1/1000)*(up_Irr!AN15)),IF(AND(up_Irr!P15&lt;&gt;".",up_Irr!AN15=".",up_Irr!BL15="."),up_dir!AP15/((1/1000)*(up_Irr!P15)),IF(AND(up_Irr!P15=".",up_Irr!AN15=".",up_Irr!BL15="."),up_dir!AP15*1000)))))))),".")</f>
        <v>6.5773651144152131E-4</v>
      </c>
      <c r="BP15" s="48">
        <f>IFERROR(IF(AND(up_Irr!Q15&lt;&gt;".",up_Irr!AO15&lt;&gt;".",up_Irr!BM15&lt;&gt;"."),up_dir!AQ15/((1/1000)*(up_Irr!Q15+up_Irr!AO15+up_Irr!BM15)),IF(AND(up_Irr!Q15&lt;&gt;".",up_Irr!AO15&lt;&gt;".",up_Irr!BM15="."),up_dir!AQ15/((1/1000)*(up_Irr!Q15+up_Irr!AO15)),IF(AND(up_Irr!Q15&lt;&gt;".",up_Irr!AO15=".",up_Irr!BM15&lt;&gt;"."),up_dir!AQ15/((1/1000)*(up_Irr!Q15+up_Irr!BM15)),IF(AND(up_Irr!Q15=".",up_Irr!AO15&lt;&gt;".",up_Irr!BM15&lt;&gt;"."),up_dir!AQ15/((1/1000)*(up_Irr!AO15+up_Irr!BM15)),IF(AND(up_Irr!Q15=".",up_Irr!AO15=".",up_Irr!BM15&lt;&gt;"."),up_dir!AQ15/((1/1000)*(up_Irr!BM15)),IF(AND(up_Irr!Q15=".",up_Irr!AO15&lt;&gt;".",up_Irr!BM15="."),up_dir!AQ15/((1/1000)*(up_Irr!AO15)),IF(AND(up_Irr!Q15&lt;&gt;".",up_Irr!AO15=".",up_Irr!BM15="."),up_dir!AQ15/((1/1000)*(up_Irr!Q15)),IF(AND(up_Irr!Q15=".",up_Irr!AO15=".",up_Irr!BM15="."),up_dir!AQ15*1000)))))))),".")</f>
        <v>6.5773651144152131E-4</v>
      </c>
      <c r="BQ15" s="48">
        <f>IFERROR(IF(AND(up_Irr!R15&lt;&gt;".",up_Irr!AP15&lt;&gt;".",up_Irr!BN15&lt;&gt;"."),up_dir!AR15/((1/1000)*(up_Irr!R15+up_Irr!AP15+up_Irr!BN15)),IF(AND(up_Irr!R15&lt;&gt;".",up_Irr!AP15&lt;&gt;".",up_Irr!BN15="."),up_dir!AR15/((1/1000)*(up_Irr!R15+up_Irr!AP15)),IF(AND(up_Irr!R15&lt;&gt;".",up_Irr!AP15=".",up_Irr!BN15&lt;&gt;"."),up_dir!AR15/((1/1000)*(up_Irr!R15+up_Irr!BN15)),IF(AND(up_Irr!R15=".",up_Irr!AP15&lt;&gt;".",up_Irr!BN15&lt;&gt;"."),up_dir!AR15/((1/1000)*(up_Irr!AP15+up_Irr!BN15)),IF(AND(up_Irr!R15=".",up_Irr!AP15=".",up_Irr!BN15&lt;&gt;"."),up_dir!AR15/((1/1000)*(up_Irr!BN15)),IF(AND(up_Irr!R15=".",up_Irr!AP15&lt;&gt;".",up_Irr!BN15="."),up_dir!AR15/((1/1000)*(up_Irr!AP15)),IF(AND(up_Irr!R15&lt;&gt;".",up_Irr!AP15=".",up_Irr!BN15="."),up_dir!AR15/((1/1000)*(up_Irr!R15)),IF(AND(up_Irr!R15=".",up_Irr!AP15=".",up_Irr!BN15="."),up_dir!AR15*1000)))))))),".")</f>
        <v>6.5773651144152131E-4</v>
      </c>
      <c r="BR15" s="48">
        <f>IFERROR(IF(AND(up_Irr!S15&lt;&gt;".",up_Irr!AQ15&lt;&gt;".",up_Irr!BO15&lt;&gt;"."),up_dir!AS15/((1/1000)*(up_Irr!S15+up_Irr!AQ15+up_Irr!BO15)),IF(AND(up_Irr!S15&lt;&gt;".",up_Irr!AQ15&lt;&gt;".",up_Irr!BO15="."),up_dir!AS15/((1/1000)*(up_Irr!S15+up_Irr!AQ15)),IF(AND(up_Irr!S15&lt;&gt;".",up_Irr!AQ15=".",up_Irr!BO15&lt;&gt;"."),up_dir!AS15/((1/1000)*(up_Irr!S15+up_Irr!BO15)),IF(AND(up_Irr!S15=".",up_Irr!AQ15&lt;&gt;".",up_Irr!BO15&lt;&gt;"."),up_dir!AS15/((1/1000)*(up_Irr!AQ15+up_Irr!BO15)),IF(AND(up_Irr!S15=".",up_Irr!AQ15=".",up_Irr!BO15&lt;&gt;"."),up_dir!AS15/((1/1000)*(up_Irr!BO15)),IF(AND(up_Irr!S15=".",up_Irr!AQ15&lt;&gt;".",up_Irr!BO15="."),up_dir!AS15/((1/1000)*(up_Irr!AQ15)),IF(AND(up_Irr!S15&lt;&gt;".",up_Irr!AQ15=".",up_Irr!BO15="."),up_dir!AS15/((1/1000)*(up_Irr!S15)),IF(AND(up_Irr!S15=".",up_Irr!AQ15=".",up_Irr!BO15="."),up_dir!AS15*1000)))))))),".")</f>
        <v>6.5773651144152131E-4</v>
      </c>
      <c r="BS15" s="48">
        <f>IFERROR(IF(AND(up_Irr!T15&lt;&gt;".",up_Irr!AR15&lt;&gt;".",up_Irr!BP15&lt;&gt;"."),up_dir!AT15/((1/1000)*(up_Irr!T15+up_Irr!AR15+up_Irr!BP15)),IF(AND(up_Irr!T15&lt;&gt;".",up_Irr!AR15&lt;&gt;".",up_Irr!BP15="."),up_dir!AT15/((1/1000)*(up_Irr!T15+up_Irr!AR15)),IF(AND(up_Irr!T15&lt;&gt;".",up_Irr!AR15=".",up_Irr!BP15&lt;&gt;"."),up_dir!AT15/((1/1000)*(up_Irr!T15+up_Irr!BP15)),IF(AND(up_Irr!T15=".",up_Irr!AR15&lt;&gt;".",up_Irr!BP15&lt;&gt;"."),up_dir!AT15/((1/1000)*(up_Irr!AR15+up_Irr!BP15)),IF(AND(up_Irr!T15=".",up_Irr!AR15=".",up_Irr!BP15&lt;&gt;"."),up_dir!AT15/((1/1000)*(up_Irr!BP15)),IF(AND(up_Irr!T15=".",up_Irr!AR15&lt;&gt;".",up_Irr!BP15="."),up_dir!AT15/((1/1000)*(up_Irr!AR15)),IF(AND(up_Irr!T15&lt;&gt;".",up_Irr!AR15=".",up_Irr!BP15="."),up_dir!AT15/((1/1000)*(up_Irr!T15)),IF(AND(up_Irr!T15=".",up_Irr!AR15=".",up_Irr!BP15="."),up_dir!AT15*1000)))))))),".")</f>
        <v>6.5773651144152131E-4</v>
      </c>
      <c r="BT15" s="48">
        <f>IFERROR(IF(AND(up_Irr!U15&lt;&gt;".",up_Irr!AS15&lt;&gt;".",up_Irr!BQ15&lt;&gt;"."),up_dir!AU15/((1/1000)*(up_Irr!U15+up_Irr!AS15+up_Irr!BQ15)),IF(AND(up_Irr!U15&lt;&gt;".",up_Irr!AS15&lt;&gt;".",up_Irr!BQ15="."),up_dir!AU15/((1/1000)*(up_Irr!U15+up_Irr!AS15)),IF(AND(up_Irr!U15&lt;&gt;".",up_Irr!AS15=".",up_Irr!BQ15&lt;&gt;"."),up_dir!AU15/((1/1000)*(up_Irr!U15+up_Irr!BQ15)),IF(AND(up_Irr!U15=".",up_Irr!AS15&lt;&gt;".",up_Irr!BQ15&lt;&gt;"."),up_dir!AU15/((1/1000)*(up_Irr!AS15+up_Irr!BQ15)),IF(AND(up_Irr!U15=".",up_Irr!AS15=".",up_Irr!BQ15&lt;&gt;"."),up_dir!AU15/((1/1000)*(up_Irr!BQ15)),IF(AND(up_Irr!U15=".",up_Irr!AS15&lt;&gt;".",up_Irr!BQ15="."),up_dir!AU15/((1/1000)*(up_Irr!AS15)),IF(AND(up_Irr!U15&lt;&gt;".",up_Irr!AS15=".",up_Irr!BQ15="."),up_dir!AU15/((1/1000)*(up_Irr!U15)),IF(AND(up_Irr!U15=".",up_Irr!AS15=".",up_Irr!BQ15="."),up_dir!AU15*1000)))))))),".")</f>
        <v>6.5773651144152131E-4</v>
      </c>
      <c r="BU15" s="48">
        <f>IFERROR(IF(AND(up_Irr!V15&lt;&gt;".",up_Irr!AT15&lt;&gt;".",up_Irr!BR15&lt;&gt;"."),up_dir!AV15/((1/1000)*(up_Irr!V15+up_Irr!AT15+up_Irr!BR15)),IF(AND(up_Irr!V15&lt;&gt;".",up_Irr!AT15&lt;&gt;".",up_Irr!BR15="."),up_dir!AV15/((1/1000)*(up_Irr!V15+up_Irr!AT15)),IF(AND(up_Irr!V15&lt;&gt;".",up_Irr!AT15=".",up_Irr!BR15&lt;&gt;"."),up_dir!AV15/((1/1000)*(up_Irr!V15+up_Irr!BR15)),IF(AND(up_Irr!V15=".",up_Irr!AT15&lt;&gt;".",up_Irr!BR15&lt;&gt;"."),up_dir!AV15/((1/1000)*(up_Irr!AT15+up_Irr!BR15)),IF(AND(up_Irr!V15=".",up_Irr!AT15=".",up_Irr!BR15&lt;&gt;"."),up_dir!AV15/((1/1000)*(up_Irr!BR15)),IF(AND(up_Irr!V15=".",up_Irr!AT15&lt;&gt;".",up_Irr!BR15="."),up_dir!AV15/((1/1000)*(up_Irr!AT15)),IF(AND(up_Irr!V15&lt;&gt;".",up_Irr!AT15=".",up_Irr!BR15="."),up_dir!AV15/((1/1000)*(up_Irr!V15)),IF(AND(up_Irr!V15=".",up_Irr!AT15=".",up_Irr!BR15="."),up_dir!AV15*1000)))))))),".")</f>
        <v>6.5773651144152131E-4</v>
      </c>
      <c r="BV15" s="48">
        <f>IFERROR(IF(AND(up_Irr!W15&lt;&gt;".",up_Irr!AU15&lt;&gt;".",up_Irr!BS15&lt;&gt;"."),up_dir!AW15/((1/1000)*(up_Irr!W15+up_Irr!AU15+up_Irr!BS15)),IF(AND(up_Irr!W15&lt;&gt;".",up_Irr!AU15&lt;&gt;".",up_Irr!BS15="."),up_dir!AW15/((1/1000)*(up_Irr!W15+up_Irr!AU15)),IF(AND(up_Irr!W15&lt;&gt;".",up_Irr!AU15=".",up_Irr!BS15&lt;&gt;"."),up_dir!AW15/((1/1000)*(up_Irr!W15+up_Irr!BS15)),IF(AND(up_Irr!W15=".",up_Irr!AU15&lt;&gt;".",up_Irr!BS15&lt;&gt;"."),up_dir!AW15/((1/1000)*(up_Irr!AU15+up_Irr!BS15)),IF(AND(up_Irr!W15=".",up_Irr!AU15=".",up_Irr!BS15&lt;&gt;"."),up_dir!AW15/((1/1000)*(up_Irr!BS15)),IF(AND(up_Irr!W15=".",up_Irr!AU15&lt;&gt;".",up_Irr!BS15="."),up_dir!AW15/((1/1000)*(up_Irr!AU15)),IF(AND(up_Irr!W15&lt;&gt;".",up_Irr!AU15=".",up_Irr!BS15="."),up_dir!AW15/((1/1000)*(up_Irr!W15)),IF(AND(up_Irr!W15=".",up_Irr!AU15=".",up_Irr!BS15="."),up_dir!AW15*1000)))))))),".")</f>
        <v>6.5773651144152131E-4</v>
      </c>
      <c r="BW15" s="48">
        <f>IFERROR(IF(AND(up_Irr!X15&lt;&gt;".",up_Irr!AV15&lt;&gt;".",up_Irr!BT15&lt;&gt;"."),up_dir!AX15/((1/1000)*(up_Irr!X15+up_Irr!AV15+up_Irr!BT15)),IF(AND(up_Irr!X15&lt;&gt;".",up_Irr!AV15&lt;&gt;".",up_Irr!BT15="."),up_dir!AX15/((1/1000)*(up_Irr!X15+up_Irr!AV15)),IF(AND(up_Irr!X15&lt;&gt;".",up_Irr!AV15=".",up_Irr!BT15&lt;&gt;"."),up_dir!AX15/((1/1000)*(up_Irr!X15+up_Irr!BT15)),IF(AND(up_Irr!X15=".",up_Irr!AV15&lt;&gt;".",up_Irr!BT15&lt;&gt;"."),up_dir!AX15/((1/1000)*(up_Irr!AV15+up_Irr!BT15)),IF(AND(up_Irr!X15=".",up_Irr!AV15=".",up_Irr!BT15&lt;&gt;"."),up_dir!AX15/((1/1000)*(up_Irr!BT15)),IF(AND(up_Irr!X15=".",up_Irr!AV15&lt;&gt;".",up_Irr!BT15="."),up_dir!AX15/((1/1000)*(up_Irr!AV15)),IF(AND(up_Irr!X15&lt;&gt;".",up_Irr!AV15=".",up_Irr!BT15="."),up_dir!AX15/((1/1000)*(up_Irr!X15)),IF(AND(up_Irr!X15=".",up_Irr!AV15=".",up_Irr!BT15="."),up_dir!AX15*1000)))))))),".")</f>
        <v>6.5773651144152131E-4</v>
      </c>
      <c r="BX15" s="48">
        <f>IFERROR(IF(AND(up_Irr!Y15&lt;&gt;".",up_Irr!AW15&lt;&gt;".",up_Irr!BU15&lt;&gt;"."),up_dir!AY15/((1/1000)*(up_Irr!Y15+up_Irr!AW15+up_Irr!BU15)),IF(AND(up_Irr!Y15&lt;&gt;".",up_Irr!AW15&lt;&gt;".",up_Irr!BU15="."),up_dir!AY15/((1/1000)*(up_Irr!Y15+up_Irr!AW15)),IF(AND(up_Irr!Y15&lt;&gt;".",up_Irr!AW15=".",up_Irr!BU15&lt;&gt;"."),up_dir!AY15/((1/1000)*(up_Irr!Y15+up_Irr!BU15)),IF(AND(up_Irr!Y15=".",up_Irr!AW15&lt;&gt;".",up_Irr!BU15&lt;&gt;"."),up_dir!AY15/((1/1000)*(up_Irr!AW15+up_Irr!BU15)),IF(AND(up_Irr!Y15=".",up_Irr!AW15=".",up_Irr!BU15&lt;&gt;"."),up_dir!AY15/((1/1000)*(up_Irr!BU15)),IF(AND(up_Irr!Y15=".",up_Irr!AW15&lt;&gt;".",up_Irr!BU15="."),up_dir!AY15/((1/1000)*(up_Irr!AW15)),IF(AND(up_Irr!Y15&lt;&gt;".",up_Irr!AW15=".",up_Irr!BU15="."),up_dir!AY15/((1/1000)*(up_Irr!Y15)),IF(AND(up_Irr!Y15=".",up_Irr!AW15=".",up_Irr!BU15="."),up_dir!AY15*1000)))))))),".")</f>
        <v>6.5773651144152131E-4</v>
      </c>
      <c r="BY15" s="48">
        <f>IFERROR(IF(AND(up_Irr!Z15&lt;&gt;".",up_Irr!AX15&lt;&gt;".",up_Irr!BV15&lt;&gt;"."),up_dir!AZ15/((1/1000)*(up_Irr!Z15+up_Irr!AX15+up_Irr!BV15)),IF(AND(up_Irr!Z15&lt;&gt;".",up_Irr!AX15&lt;&gt;".",up_Irr!BV15="."),up_dir!AZ15/((1/1000)*(up_Irr!Z15+up_Irr!AX15)),IF(AND(up_Irr!Z15&lt;&gt;".",up_Irr!AX15=".",up_Irr!BV15&lt;&gt;"."),up_dir!AZ15/((1/1000)*(up_Irr!Z15+up_Irr!BV15)),IF(AND(up_Irr!Z15=".",up_Irr!AX15&lt;&gt;".",up_Irr!BV15&lt;&gt;"."),up_dir!AZ15/((1/1000)*(up_Irr!AX15+up_Irr!BV15)),IF(AND(up_Irr!Z15=".",up_Irr!AX15=".",up_Irr!BV15&lt;&gt;"."),up_dir!AZ15/((1/1000)*(up_Irr!BV15)),IF(AND(up_Irr!Z15=".",up_Irr!AX15&lt;&gt;".",up_Irr!BV15="."),up_dir!AZ15/((1/1000)*(up_Irr!AX15)),IF(AND(up_Irr!Z15&lt;&gt;".",up_Irr!AX15=".",up_Irr!BV15="."),up_dir!AZ15/((1/1000)*(up_Irr!Z15)),IF(AND(up_Irr!Z15=".",up_Irr!AX15=".",up_Irr!BV15="."),up_dir!AZ15*1000)))))))),".")</f>
        <v>6.5773651144152131E-4</v>
      </c>
      <c r="BZ15" s="62">
        <f t="shared" si="3"/>
        <v>22805.4847785862</v>
      </c>
      <c r="CA15" s="62">
        <f>IFERROR(s_C*s_IFAP_far_adj*s_CF_apple*(1/1000)*(up_Irr!C15+up_Irr!AA15+up_Irr!AY15),".")</f>
        <v>7601.8282595287337</v>
      </c>
      <c r="CB15" s="62">
        <f>IFERROR(s_C*s_IFAS_far_adj*s_CF_asparagus*(1/1000)*(up_Irr!D15+up_Irr!AB15+up_Irr!AZ15),".")</f>
        <v>7601.8282595287337</v>
      </c>
      <c r="CC15" s="62">
        <f>IFERROR(s_C*s_IFBT_far_adj*s_CF_beet*(1/1000)*(up_Irr!E15+up_Irr!AC15+up_Irr!BA15),".")</f>
        <v>7601.8282595287337</v>
      </c>
      <c r="CD15" s="62">
        <f>IFERROR(s_C*s_IFBE_far_adj*s_CF_berries*(1/1000)*(up_Irr!F15+up_Irr!AD15+up_Irr!BB15),".")</f>
        <v>7601.8282595287337</v>
      </c>
      <c r="CE15" s="62">
        <f>IFERROR(s_C*s_IFBR_far_adj*s_CF_broccoli*(1/1000)*(up_Irr!G15+up_Irr!AE15+up_Irr!BC15),".")</f>
        <v>7601.8282595287337</v>
      </c>
      <c r="CF15" s="62">
        <f>IFERROR(s_C*s_IFCB_far_adj*s_CF_cabbage*(1/1000)*(up_Irr!H15+up_Irr!AF15+up_Irr!BD15),".")</f>
        <v>7601.8282595287337</v>
      </c>
      <c r="CG15" s="62">
        <f>IFERROR(s_C*s_IFCR_far_adj*s_CF_carrot*(1/1000)*(up_Irr!I15+up_Irr!AG15+up_Irr!BE15),".")</f>
        <v>7601.8282595287337</v>
      </c>
      <c r="CH15" s="62">
        <f>IFERROR(s_C*s_IFCI_far_adj*s_CF_citrus*(1/1000)*(up_Irr!J15+up_Irr!AH15+up_Irr!BF15),".")</f>
        <v>7601.8282595287337</v>
      </c>
      <c r="CI15" s="62">
        <f>IFERROR(s_C*s_IFCO_far_adj*s_CF_corn*(1/1000)*(up_Irr!K15+up_Irr!AI15+up_Irr!BG15),".")</f>
        <v>7601.8282595287337</v>
      </c>
      <c r="CJ15" s="62">
        <f>IFERROR(s_C*s_IFCU_far_adj*s_CF_cucumber*(1/1000)*(up_Irr!L15+up_Irr!AJ15+up_Irr!BH15),".")</f>
        <v>7601.8282595287337</v>
      </c>
      <c r="CK15" s="62">
        <f>IFERROR(s_C*s_IFLE_far_adj*s_CF_lettuce*(1/1000)*(up_Irr!M15+up_Irr!AK15+up_Irr!BI15),".")</f>
        <v>7601.8282595287337</v>
      </c>
      <c r="CL15" s="62">
        <f>IFERROR(s_C*s_IFLI_far_adj*s_CF_lima_bean*(1/1000)*(up_Irr!N15+up_Irr!AL15+up_Irr!BJ15),".")</f>
        <v>7601.8282595287337</v>
      </c>
      <c r="CM15" s="62">
        <f>IFERROR(s_C*s_IFOK_far_adj*s_CF_okra*(1/1000)*(up_Irr!O15+up_Irr!AM15+up_Irr!BK15),".")</f>
        <v>7601.8282595287337</v>
      </c>
      <c r="CN15" s="62">
        <f>IFERROR(s_C*s_IFON_far_adj*s_CF_onion*(1/1000)*(up_Irr!P15+up_Irr!AN15+up_Irr!BL15),".")</f>
        <v>7601.8282595287337</v>
      </c>
      <c r="CO15" s="62">
        <f>IFERROR(s_C*s_IFPC_far_adj*s_CF_peach*(1/1000)*(up_Irr!Q15+up_Irr!AO15+up_Irr!BM15),".")</f>
        <v>7601.8282595287337</v>
      </c>
      <c r="CP15" s="62">
        <f>IFERROR(s_C*s_IFPR_far_adj*s_CF_pear*(1/1000)*(up_Irr!R15+up_Irr!AP15+up_Irr!BN15),".")</f>
        <v>7601.8282595287337</v>
      </c>
      <c r="CQ15" s="62">
        <f>IFERROR(s_C*s_IFPE_far_adj*s_CF_peas*(1/1000)*(up_Irr!S15+up_Irr!AQ15+up_Irr!BO15),".")</f>
        <v>7601.8282595287337</v>
      </c>
      <c r="CR15" s="62">
        <f>IFERROR(s_C*s_IFPT_far_adj*s_CF_potato*(1/1000)*(up_Irr!T15+up_Irr!AR15+up_Irr!BP15),".")</f>
        <v>7601.8282595287337</v>
      </c>
      <c r="CS15" s="62">
        <f>IFERROR(s_C*s_IFPU_far_adj*s_CF_pumpkin*(1/1000)*(up_Irr!U15+up_Irr!AS15+up_Irr!BQ15),".")</f>
        <v>7601.8282595287337</v>
      </c>
      <c r="CT15" s="62">
        <f>IFERROR(s_C*s_IFSN_far_adj*s_CF_snap_bean*(1/1000)*(up_Irr!V15+up_Irr!AT15+up_Irr!BR15),".")</f>
        <v>7601.8282595287337</v>
      </c>
      <c r="CU15" s="62">
        <f>IFERROR(s_C*s_IFST_far_adj*s_CF_strawberry*(1/1000)*(up_Irr!W15+up_Irr!AU15+up_Irr!BS15),".")</f>
        <v>7601.8282595287337</v>
      </c>
      <c r="CV15" s="62">
        <f>IFERROR(s_C*s_IFTO_far_adj*s_CF_tomato*(1/1000)*(up_Irr!X15+up_Irr!AV15+up_Irr!BT15),".")</f>
        <v>7601.8282595287337</v>
      </c>
      <c r="CW15" s="62">
        <f>IFERROR(s_C*s_IFRI_far_adj*s_CF_rice*(1/1000)*(up_Irr!Y15+up_Irr!AW15+up_Irr!BU15),".")</f>
        <v>7601.8282595287337</v>
      </c>
      <c r="CX15" s="62">
        <f>IFERROR(s_C*s_IFCG_far_adj*s_CF_cereal*(1/1000)*(up_Irr!Z15+up_Irr!AX15+up_Irr!BV15),".")</f>
        <v>7601.8282595287337</v>
      </c>
    </row>
    <row r="16" spans="1:102" ht="15" customHeight="1" x14ac:dyDescent="0.25">
      <c r="A16" s="61" t="s">
        <v>14</v>
      </c>
      <c r="B16" s="49" t="s">
        <v>1059</v>
      </c>
      <c r="C16" s="48">
        <f t="shared" si="0"/>
        <v>2.1924550381384044E-4</v>
      </c>
      <c r="D16" s="48">
        <f>IFERROR(IF(AND(up_Irr!C16&lt;&gt;".",up_Irr!AA16&lt;&gt;".",up_Irr!AY16&lt;&gt;"."),up_dir!D16/((1/1000)*(up_Irr!C16+up_Irr!AA16+up_Irr!AY16)),IF(AND(up_Irr!C16&lt;&gt;".",up_Irr!AA16&lt;&gt;".",up_Irr!AY16="."),up_dir!D16/((1/1000)*(up_Irr!C16+up_Irr!AA16)),IF(AND(up_Irr!C16&lt;&gt;".",up_Irr!AA16=".",up_Irr!AY16&lt;&gt;"."),up_dir!D16/((1/1000)*(up_Irr!C16+up_Irr!AY16)),IF(AND(up_Irr!C16=".",up_Irr!AA16&lt;&gt;".",up_Irr!AY16&lt;&gt;"."),up_dir!D16/((1/1000)*(up_Irr!AA16+up_Irr!AY16)),IF(AND(up_Irr!C16=".",up_Irr!AA16=".",up_Irr!AY16&lt;&gt;"."),up_dir!D16/((1/1000)*(up_Irr!AY16)),IF(AND(up_Irr!C16=".",up_Irr!AA16&lt;&gt;".",up_Irr!AY16="."),up_dir!D16/((1/1000)*(up_Irr!AA16)),IF(AND(up_Irr!C16&lt;&gt;".",up_Irr!AA16=".",up_Irr!AY16="."),up_dir!D16/((1/1000)*(up_Irr!C16)),IF(AND(up_Irr!C16=".",up_Irr!AA16=".",up_Irr!AY16="."),up_dir!D16*1000)))))))),".")</f>
        <v>6.5773651144152131E-4</v>
      </c>
      <c r="E16" s="48">
        <f>IFERROR(IF(AND(up_Irr!D16&lt;&gt;".",up_Irr!AB16&lt;&gt;".",up_Irr!AZ16&lt;&gt;"."),up_dir!E16/((1/1000)*(up_Irr!D16+up_Irr!AB16+up_Irr!AZ16)),IF(AND(up_Irr!D16&lt;&gt;".",up_Irr!AB16&lt;&gt;".",up_Irr!AZ16="."),up_dir!E16/((1/1000)*(up_Irr!D16+up_Irr!AB16)),IF(AND(up_Irr!D16&lt;&gt;".",up_Irr!AB16=".",up_Irr!AZ16&lt;&gt;"."),up_dir!E16/((1/1000)*(up_Irr!D16+up_Irr!AZ16)),IF(AND(up_Irr!D16=".",up_Irr!AB16&lt;&gt;".",up_Irr!AZ16&lt;&gt;"."),up_dir!E16/((1/1000)*(up_Irr!AB16+up_Irr!AZ16)),IF(AND(up_Irr!D16=".",up_Irr!AB16=".",up_Irr!AZ16&lt;&gt;"."),up_dir!E16/((1/1000)*(up_Irr!AZ16)),IF(AND(up_Irr!D16=".",up_Irr!AB16&lt;&gt;".",up_Irr!AZ16="."),up_dir!E16/((1/1000)*(up_Irr!AB16)),IF(AND(up_Irr!D16&lt;&gt;".",up_Irr!AB16=".",up_Irr!AZ16="."),up_dir!E16/((1/1000)*(up_Irr!D16)),IF(AND(up_Irr!D16=".",up_Irr!AB16=".",up_Irr!AZ16="."),up_dir!E16*1000)))))))),".")</f>
        <v>6.5773651144152131E-4</v>
      </c>
      <c r="F16" s="48">
        <f>IFERROR(IF(AND(up_Irr!E16&lt;&gt;".",up_Irr!AC16&lt;&gt;".",up_Irr!BA16&lt;&gt;"."),up_dir!F16/((1/1000)*(up_Irr!E16+up_Irr!AC16+up_Irr!BA16)),IF(AND(up_Irr!E16&lt;&gt;".",up_Irr!AC16&lt;&gt;".",up_Irr!BA16="."),up_dir!F16/((1/1000)*(up_Irr!E16+up_Irr!AC16)),IF(AND(up_Irr!E16&lt;&gt;".",up_Irr!AC16=".",up_Irr!BA16&lt;&gt;"."),up_dir!F16/((1/1000)*(up_Irr!E16+up_Irr!BA16)),IF(AND(up_Irr!E16=".",up_Irr!AC16&lt;&gt;".",up_Irr!BA16&lt;&gt;"."),up_dir!F16/((1/1000)*(up_Irr!AC16+up_Irr!BA16)),IF(AND(up_Irr!E16=".",up_Irr!AC16=".",up_Irr!BA16&lt;&gt;"."),up_dir!F16/((1/1000)*(up_Irr!BA16)),IF(AND(up_Irr!E16=".",up_Irr!AC16&lt;&gt;".",up_Irr!BA16="."),up_dir!F16/((1/1000)*(up_Irr!AC16)),IF(AND(up_Irr!E16&lt;&gt;".",up_Irr!AC16=".",up_Irr!BA16="."),up_dir!F16/((1/1000)*(up_Irr!E16)),IF(AND(up_Irr!E16=".",up_Irr!AC16=".",up_Irr!BA16="."),up_dir!F16*1000)))))))),".")</f>
        <v>6.5773651144152131E-4</v>
      </c>
      <c r="G16" s="48">
        <f>IFERROR(IF(AND(up_Irr!F16&lt;&gt;".",up_Irr!AD16&lt;&gt;".",up_Irr!BB16&lt;&gt;"."),up_dir!G16/((1/1000)*(up_Irr!F16+up_Irr!AD16+up_Irr!BB16)),IF(AND(up_Irr!F16&lt;&gt;".",up_Irr!AD16&lt;&gt;".",up_Irr!BB16="."),up_dir!G16/((1/1000)*(up_Irr!F16+up_Irr!AD16)),IF(AND(up_Irr!F16&lt;&gt;".",up_Irr!AD16=".",up_Irr!BB16&lt;&gt;"."),up_dir!G16/((1/1000)*(up_Irr!F16+up_Irr!BB16)),IF(AND(up_Irr!F16=".",up_Irr!AD16&lt;&gt;".",up_Irr!BB16&lt;&gt;"."),up_dir!G16/((1/1000)*(up_Irr!AD16+up_Irr!BB16)),IF(AND(up_Irr!F16=".",up_Irr!AD16=".",up_Irr!BB16&lt;&gt;"."),up_dir!G16/((1/1000)*(up_Irr!BB16)),IF(AND(up_Irr!F16=".",up_Irr!AD16&lt;&gt;".",up_Irr!BB16="."),up_dir!G16/((1/1000)*(up_Irr!AD16)),IF(AND(up_Irr!F16&lt;&gt;".",up_Irr!AD16=".",up_Irr!BB16="."),up_dir!G16/((1/1000)*(up_Irr!F16)),IF(AND(up_Irr!F16=".",up_Irr!AD16=".",up_Irr!BB16="."),up_dir!G16*1000)))))))),".")</f>
        <v>6.5773651144152131E-4</v>
      </c>
      <c r="H16" s="48">
        <f>IFERROR(IF(AND(up_Irr!G16&lt;&gt;".",up_Irr!AE16&lt;&gt;".",up_Irr!BC16&lt;&gt;"."),up_dir!H16/((1/1000)*(up_Irr!G16+up_Irr!AE16+up_Irr!BC16)),IF(AND(up_Irr!G16&lt;&gt;".",up_Irr!AE16&lt;&gt;".",up_Irr!BC16="."),up_dir!H16/((1/1000)*(up_Irr!G16+up_Irr!AE16)),IF(AND(up_Irr!G16&lt;&gt;".",up_Irr!AE16=".",up_Irr!BC16&lt;&gt;"."),up_dir!H16/((1/1000)*(up_Irr!G16+up_Irr!BC16)),IF(AND(up_Irr!G16=".",up_Irr!AE16&lt;&gt;".",up_Irr!BC16&lt;&gt;"."),up_dir!H16/((1/1000)*(up_Irr!AE16+up_Irr!BC16)),IF(AND(up_Irr!G16=".",up_Irr!AE16=".",up_Irr!BC16&lt;&gt;"."),up_dir!H16/((1/1000)*(up_Irr!BC16)),IF(AND(up_Irr!G16=".",up_Irr!AE16&lt;&gt;".",up_Irr!BC16="."),up_dir!H16/((1/1000)*(up_Irr!AE16)),IF(AND(up_Irr!G16&lt;&gt;".",up_Irr!AE16=".",up_Irr!BC16="."),up_dir!H16/((1/1000)*(up_Irr!G16)),IF(AND(up_Irr!G16=".",up_Irr!AE16=".",up_Irr!BC16="."),up_dir!H16*1000)))))))),".")</f>
        <v>6.5773651144152131E-4</v>
      </c>
      <c r="I16" s="48">
        <f>IFERROR(IF(AND(up_Irr!H16&lt;&gt;".",up_Irr!AF16&lt;&gt;".",up_Irr!BD16&lt;&gt;"."),up_dir!I16/((1/1000)*(up_Irr!H16+up_Irr!AF16+up_Irr!BD16)),IF(AND(up_Irr!H16&lt;&gt;".",up_Irr!AF16&lt;&gt;".",up_Irr!BD16="."),up_dir!I16/((1/1000)*(up_Irr!H16+up_Irr!AF16)),IF(AND(up_Irr!H16&lt;&gt;".",up_Irr!AF16=".",up_Irr!BD16&lt;&gt;"."),up_dir!I16/((1/1000)*(up_Irr!H16+up_Irr!BD16)),IF(AND(up_Irr!H16=".",up_Irr!AF16&lt;&gt;".",up_Irr!BD16&lt;&gt;"."),up_dir!I16/((1/1000)*(up_Irr!AF16+up_Irr!BD16)),IF(AND(up_Irr!H16=".",up_Irr!AF16=".",up_Irr!BD16&lt;&gt;"."),up_dir!I16/((1/1000)*(up_Irr!BD16)),IF(AND(up_Irr!H16=".",up_Irr!AF16&lt;&gt;".",up_Irr!BD16="."),up_dir!I16/((1/1000)*(up_Irr!AF16)),IF(AND(up_Irr!H16&lt;&gt;".",up_Irr!AF16=".",up_Irr!BD16="."),up_dir!I16/((1/1000)*(up_Irr!H16)),IF(AND(up_Irr!H16=".",up_Irr!AF16=".",up_Irr!BD16="."),up_dir!I16*1000)))))))),".")</f>
        <v>6.5773651144152131E-4</v>
      </c>
      <c r="J16" s="48">
        <f>IFERROR(IF(AND(up_Irr!I16&lt;&gt;".",up_Irr!AG16&lt;&gt;".",up_Irr!BE16&lt;&gt;"."),up_dir!J16/((1/1000)*(up_Irr!I16+up_Irr!AG16+up_Irr!BE16)),IF(AND(up_Irr!I16&lt;&gt;".",up_Irr!AG16&lt;&gt;".",up_Irr!BE16="."),up_dir!J16/((1/1000)*(up_Irr!I16+up_Irr!AG16)),IF(AND(up_Irr!I16&lt;&gt;".",up_Irr!AG16=".",up_Irr!BE16&lt;&gt;"."),up_dir!J16/((1/1000)*(up_Irr!I16+up_Irr!BE16)),IF(AND(up_Irr!I16=".",up_Irr!AG16&lt;&gt;".",up_Irr!BE16&lt;&gt;"."),up_dir!J16/((1/1000)*(up_Irr!AG16+up_Irr!BE16)),IF(AND(up_Irr!I16=".",up_Irr!AG16=".",up_Irr!BE16&lt;&gt;"."),up_dir!J16/((1/1000)*(up_Irr!BE16)),IF(AND(up_Irr!I16=".",up_Irr!AG16&lt;&gt;".",up_Irr!BE16="."),up_dir!J16/((1/1000)*(up_Irr!AG16)),IF(AND(up_Irr!I16&lt;&gt;".",up_Irr!AG16=".",up_Irr!BE16="."),up_dir!J16/((1/1000)*(up_Irr!I16)),IF(AND(up_Irr!I16=".",up_Irr!AG16=".",up_Irr!BE16="."),up_dir!J16*1000)))))))),".")</f>
        <v>6.5773651144152131E-4</v>
      </c>
      <c r="K16" s="48">
        <f>IFERROR(IF(AND(up_Irr!J16&lt;&gt;".",up_Irr!AH16&lt;&gt;".",up_Irr!BF16&lt;&gt;"."),up_dir!K16/((1/1000)*(up_Irr!J16+up_Irr!AH16+up_Irr!BF16)),IF(AND(up_Irr!J16&lt;&gt;".",up_Irr!AH16&lt;&gt;".",up_Irr!BF16="."),up_dir!K16/((1/1000)*(up_Irr!J16+up_Irr!AH16)),IF(AND(up_Irr!J16&lt;&gt;".",up_Irr!AH16=".",up_Irr!BF16&lt;&gt;"."),up_dir!K16/((1/1000)*(up_Irr!J16+up_Irr!BF16)),IF(AND(up_Irr!J16=".",up_Irr!AH16&lt;&gt;".",up_Irr!BF16&lt;&gt;"."),up_dir!K16/((1/1000)*(up_Irr!AH16+up_Irr!BF16)),IF(AND(up_Irr!J16=".",up_Irr!AH16=".",up_Irr!BF16&lt;&gt;"."),up_dir!K16/((1/1000)*(up_Irr!BF16)),IF(AND(up_Irr!J16=".",up_Irr!AH16&lt;&gt;".",up_Irr!BF16="."),up_dir!K16/((1/1000)*(up_Irr!AH16)),IF(AND(up_Irr!J16&lt;&gt;".",up_Irr!AH16=".",up_Irr!BF16="."),up_dir!K16/((1/1000)*(up_Irr!J16)),IF(AND(up_Irr!J16=".",up_Irr!AH16=".",up_Irr!BF16="."),up_dir!K16*1000)))))))),".")</f>
        <v>6.5773651144152131E-4</v>
      </c>
      <c r="L16" s="48">
        <f>IFERROR(IF(AND(up_Irr!K16&lt;&gt;".",up_Irr!AI16&lt;&gt;".",up_Irr!BG16&lt;&gt;"."),up_dir!L16/((1/1000)*(up_Irr!K16+up_Irr!AI16+up_Irr!BG16)),IF(AND(up_Irr!K16&lt;&gt;".",up_Irr!AI16&lt;&gt;".",up_Irr!BG16="."),up_dir!L16/((1/1000)*(up_Irr!K16+up_Irr!AI16)),IF(AND(up_Irr!K16&lt;&gt;".",up_Irr!AI16=".",up_Irr!BG16&lt;&gt;"."),up_dir!L16/((1/1000)*(up_Irr!K16+up_Irr!BG16)),IF(AND(up_Irr!K16=".",up_Irr!AI16&lt;&gt;".",up_Irr!BG16&lt;&gt;"."),up_dir!L16/((1/1000)*(up_Irr!AI16+up_Irr!BG16)),IF(AND(up_Irr!K16=".",up_Irr!AI16=".",up_Irr!BG16&lt;&gt;"."),up_dir!L16/((1/1000)*(up_Irr!BG16)),IF(AND(up_Irr!K16=".",up_Irr!AI16&lt;&gt;".",up_Irr!BG16="."),up_dir!L16/((1/1000)*(up_Irr!AI16)),IF(AND(up_Irr!K16&lt;&gt;".",up_Irr!AI16=".",up_Irr!BG16="."),up_dir!L16/((1/1000)*(up_Irr!K16)),IF(AND(up_Irr!K16=".",up_Irr!AI16=".",up_Irr!BG16="."),up_dir!L16*1000)))))))),".")</f>
        <v>6.5773651144152131E-4</v>
      </c>
      <c r="M16" s="48">
        <f>IFERROR(IF(AND(up_Irr!L16&lt;&gt;".",up_Irr!AJ16&lt;&gt;".",up_Irr!BH16&lt;&gt;"."),up_dir!M16/((1/1000)*(up_Irr!L16+up_Irr!AJ16+up_Irr!BH16)),IF(AND(up_Irr!L16&lt;&gt;".",up_Irr!AJ16&lt;&gt;".",up_Irr!BH16="."),up_dir!M16/((1/1000)*(up_Irr!L16+up_Irr!AJ16)),IF(AND(up_Irr!L16&lt;&gt;".",up_Irr!AJ16=".",up_Irr!BH16&lt;&gt;"."),up_dir!M16/((1/1000)*(up_Irr!L16+up_Irr!BH16)),IF(AND(up_Irr!L16=".",up_Irr!AJ16&lt;&gt;".",up_Irr!BH16&lt;&gt;"."),up_dir!M16/((1/1000)*(up_Irr!AJ16+up_Irr!BH16)),IF(AND(up_Irr!L16=".",up_Irr!AJ16=".",up_Irr!BH16&lt;&gt;"."),up_dir!M16/((1/1000)*(up_Irr!BH16)),IF(AND(up_Irr!L16=".",up_Irr!AJ16&lt;&gt;".",up_Irr!BH16="."),up_dir!M16/((1/1000)*(up_Irr!AJ16)),IF(AND(up_Irr!L16&lt;&gt;".",up_Irr!AJ16=".",up_Irr!BH16="."),up_dir!M16/((1/1000)*(up_Irr!L16)),IF(AND(up_Irr!L16=".",up_Irr!AJ16=".",up_Irr!BH16="."),up_dir!M16*1000)))))))),".")</f>
        <v>6.5773651144152131E-4</v>
      </c>
      <c r="N16" s="48">
        <f>IFERROR(IF(AND(up_Irr!M16&lt;&gt;".",up_Irr!AK16&lt;&gt;".",up_Irr!BI16&lt;&gt;"."),up_dir!N16/((1/1000)*(up_Irr!M16+up_Irr!AK16+up_Irr!BI16)),IF(AND(up_Irr!M16&lt;&gt;".",up_Irr!AK16&lt;&gt;".",up_Irr!BI16="."),up_dir!N16/((1/1000)*(up_Irr!M16+up_Irr!AK16)),IF(AND(up_Irr!M16&lt;&gt;".",up_Irr!AK16=".",up_Irr!BI16&lt;&gt;"."),up_dir!N16/((1/1000)*(up_Irr!M16+up_Irr!BI16)),IF(AND(up_Irr!M16=".",up_Irr!AK16&lt;&gt;".",up_Irr!BI16&lt;&gt;"."),up_dir!N16/((1/1000)*(up_Irr!AK16+up_Irr!BI16)),IF(AND(up_Irr!M16=".",up_Irr!AK16=".",up_Irr!BI16&lt;&gt;"."),up_dir!N16/((1/1000)*(up_Irr!BI16)),IF(AND(up_Irr!M16=".",up_Irr!AK16&lt;&gt;".",up_Irr!BI16="."),up_dir!N16/((1/1000)*(up_Irr!AK16)),IF(AND(up_Irr!M16&lt;&gt;".",up_Irr!AK16=".",up_Irr!BI16="."),up_dir!N16/((1/1000)*(up_Irr!M16)),IF(AND(up_Irr!M16=".",up_Irr!AK16=".",up_Irr!BI16="."),up_dir!N16*1000)))))))),".")</f>
        <v>6.5773651144152131E-4</v>
      </c>
      <c r="O16" s="48">
        <f>IFERROR(IF(AND(up_Irr!N16&lt;&gt;".",up_Irr!AL16&lt;&gt;".",up_Irr!BJ16&lt;&gt;"."),up_dir!O16/((1/1000)*(up_Irr!N16+up_Irr!AL16+up_Irr!BJ16)),IF(AND(up_Irr!N16&lt;&gt;".",up_Irr!AL16&lt;&gt;".",up_Irr!BJ16="."),up_dir!O16/((1/1000)*(up_Irr!N16+up_Irr!AL16)),IF(AND(up_Irr!N16&lt;&gt;".",up_Irr!AL16=".",up_Irr!BJ16&lt;&gt;"."),up_dir!O16/((1/1000)*(up_Irr!N16+up_Irr!BJ16)),IF(AND(up_Irr!N16=".",up_Irr!AL16&lt;&gt;".",up_Irr!BJ16&lt;&gt;"."),up_dir!O16/((1/1000)*(up_Irr!AL16+up_Irr!BJ16)),IF(AND(up_Irr!N16=".",up_Irr!AL16=".",up_Irr!BJ16&lt;&gt;"."),up_dir!O16/((1/1000)*(up_Irr!BJ16)),IF(AND(up_Irr!N16=".",up_Irr!AL16&lt;&gt;".",up_Irr!BJ16="."),up_dir!O16/((1/1000)*(up_Irr!AL16)),IF(AND(up_Irr!N16&lt;&gt;".",up_Irr!AL16=".",up_Irr!BJ16="."),up_dir!O16/((1/1000)*(up_Irr!N16)),IF(AND(up_Irr!N16=".",up_Irr!AL16=".",up_Irr!BJ16="."),up_dir!O16*1000)))))))),".")</f>
        <v>6.5773651144152131E-4</v>
      </c>
      <c r="P16" s="48">
        <f>IFERROR(IF(AND(up_Irr!O16&lt;&gt;".",up_Irr!AM16&lt;&gt;".",up_Irr!BK16&lt;&gt;"."),up_dir!P16/((1/1000)*(up_Irr!O16+up_Irr!AM16+up_Irr!BK16)),IF(AND(up_Irr!O16&lt;&gt;".",up_Irr!AM16&lt;&gt;".",up_Irr!BK16="."),up_dir!P16/((1/1000)*(up_Irr!O16+up_Irr!AM16)),IF(AND(up_Irr!O16&lt;&gt;".",up_Irr!AM16=".",up_Irr!BK16&lt;&gt;"."),up_dir!P16/((1/1000)*(up_Irr!O16+up_Irr!BK16)),IF(AND(up_Irr!O16=".",up_Irr!AM16&lt;&gt;".",up_Irr!BK16&lt;&gt;"."),up_dir!P16/((1/1000)*(up_Irr!AM16+up_Irr!BK16)),IF(AND(up_Irr!O16=".",up_Irr!AM16=".",up_Irr!BK16&lt;&gt;"."),up_dir!P16/((1/1000)*(up_Irr!BK16)),IF(AND(up_Irr!O16=".",up_Irr!AM16&lt;&gt;".",up_Irr!BK16="."),up_dir!P16/((1/1000)*(up_Irr!AM16)),IF(AND(up_Irr!O16&lt;&gt;".",up_Irr!AM16=".",up_Irr!BK16="."),up_dir!P16/((1/1000)*(up_Irr!O16)),IF(AND(up_Irr!O16=".",up_Irr!AM16=".",up_Irr!BK16="."),up_dir!P16*1000)))))))),".")</f>
        <v>6.5773651144152131E-4</v>
      </c>
      <c r="Q16" s="48">
        <f>IFERROR(IF(AND(up_Irr!P16&lt;&gt;".",up_Irr!AN16&lt;&gt;".",up_Irr!BL16&lt;&gt;"."),up_dir!Q16/((1/1000)*(up_Irr!P16+up_Irr!AN16+up_Irr!BL16)),IF(AND(up_Irr!P16&lt;&gt;".",up_Irr!AN16&lt;&gt;".",up_Irr!BL16="."),up_dir!Q16/((1/1000)*(up_Irr!P16+up_Irr!AN16)),IF(AND(up_Irr!P16&lt;&gt;".",up_Irr!AN16=".",up_Irr!BL16&lt;&gt;"."),up_dir!Q16/((1/1000)*(up_Irr!P16+up_Irr!BL16)),IF(AND(up_Irr!P16=".",up_Irr!AN16&lt;&gt;".",up_Irr!BL16&lt;&gt;"."),up_dir!Q16/((1/1000)*(up_Irr!AN16+up_Irr!BL16)),IF(AND(up_Irr!P16=".",up_Irr!AN16=".",up_Irr!BL16&lt;&gt;"."),up_dir!Q16/((1/1000)*(up_Irr!BL16)),IF(AND(up_Irr!P16=".",up_Irr!AN16&lt;&gt;".",up_Irr!BL16="."),up_dir!Q16/((1/1000)*(up_Irr!AN16)),IF(AND(up_Irr!P16&lt;&gt;".",up_Irr!AN16=".",up_Irr!BL16="."),up_dir!Q16/((1/1000)*(up_Irr!P16)),IF(AND(up_Irr!P16=".",up_Irr!AN16=".",up_Irr!BL16="."),up_dir!Q16*1000)))))))),".")</f>
        <v>6.5773651144152131E-4</v>
      </c>
      <c r="R16" s="48">
        <f>IFERROR(IF(AND(up_Irr!Q16&lt;&gt;".",up_Irr!AO16&lt;&gt;".",up_Irr!BM16&lt;&gt;"."),up_dir!R16/((1/1000)*(up_Irr!Q16+up_Irr!AO16+up_Irr!BM16)),IF(AND(up_Irr!Q16&lt;&gt;".",up_Irr!AO16&lt;&gt;".",up_Irr!BM16="."),up_dir!R16/((1/1000)*(up_Irr!Q16+up_Irr!AO16)),IF(AND(up_Irr!Q16&lt;&gt;".",up_Irr!AO16=".",up_Irr!BM16&lt;&gt;"."),up_dir!R16/((1/1000)*(up_Irr!Q16+up_Irr!BM16)),IF(AND(up_Irr!Q16=".",up_Irr!AO16&lt;&gt;".",up_Irr!BM16&lt;&gt;"."),up_dir!R16/((1/1000)*(up_Irr!AO16+up_Irr!BM16)),IF(AND(up_Irr!Q16=".",up_Irr!AO16=".",up_Irr!BM16&lt;&gt;"."),up_dir!R16/((1/1000)*(up_Irr!BM16)),IF(AND(up_Irr!Q16=".",up_Irr!AO16&lt;&gt;".",up_Irr!BM16="."),up_dir!R16/((1/1000)*(up_Irr!AO16)),IF(AND(up_Irr!Q16&lt;&gt;".",up_Irr!AO16=".",up_Irr!BM16="."),up_dir!R16/((1/1000)*(up_Irr!Q16)),IF(AND(up_Irr!Q16=".",up_Irr!AO16=".",up_Irr!BM16="."),up_dir!R16*1000)))))))),".")</f>
        <v>6.5773651144152131E-4</v>
      </c>
      <c r="S16" s="48">
        <f>IFERROR(IF(AND(up_Irr!R16&lt;&gt;".",up_Irr!AP16&lt;&gt;".",up_Irr!BN16&lt;&gt;"."),up_dir!S16/((1/1000)*(up_Irr!R16+up_Irr!AP16+up_Irr!BN16)),IF(AND(up_Irr!R16&lt;&gt;".",up_Irr!AP16&lt;&gt;".",up_Irr!BN16="."),up_dir!S16/((1/1000)*(up_Irr!R16+up_Irr!AP16)),IF(AND(up_Irr!R16&lt;&gt;".",up_Irr!AP16=".",up_Irr!BN16&lt;&gt;"."),up_dir!S16/((1/1000)*(up_Irr!R16+up_Irr!BN16)),IF(AND(up_Irr!R16=".",up_Irr!AP16&lt;&gt;".",up_Irr!BN16&lt;&gt;"."),up_dir!S16/((1/1000)*(up_Irr!AP16+up_Irr!BN16)),IF(AND(up_Irr!R16=".",up_Irr!AP16=".",up_Irr!BN16&lt;&gt;"."),up_dir!S16/((1/1000)*(up_Irr!BN16)),IF(AND(up_Irr!R16=".",up_Irr!AP16&lt;&gt;".",up_Irr!BN16="."),up_dir!S16/((1/1000)*(up_Irr!AP16)),IF(AND(up_Irr!R16&lt;&gt;".",up_Irr!AP16=".",up_Irr!BN16="."),up_dir!S16/((1/1000)*(up_Irr!R16)),IF(AND(up_Irr!R16=".",up_Irr!AP16=".",up_Irr!BN16="."),up_dir!S16*1000)))))))),".")</f>
        <v>6.5773651144152131E-4</v>
      </c>
      <c r="T16" s="48">
        <f>IFERROR(IF(AND(up_Irr!S16&lt;&gt;".",up_Irr!AQ16&lt;&gt;".",up_Irr!BO16&lt;&gt;"."),up_dir!T16/((1/1000)*(up_Irr!S16+up_Irr!AQ16+up_Irr!BO16)),IF(AND(up_Irr!S16&lt;&gt;".",up_Irr!AQ16&lt;&gt;".",up_Irr!BO16="."),up_dir!T16/((1/1000)*(up_Irr!S16+up_Irr!AQ16)),IF(AND(up_Irr!S16&lt;&gt;".",up_Irr!AQ16=".",up_Irr!BO16&lt;&gt;"."),up_dir!T16/((1/1000)*(up_Irr!S16+up_Irr!BO16)),IF(AND(up_Irr!S16=".",up_Irr!AQ16&lt;&gt;".",up_Irr!BO16&lt;&gt;"."),up_dir!T16/((1/1000)*(up_Irr!AQ16+up_Irr!BO16)),IF(AND(up_Irr!S16=".",up_Irr!AQ16=".",up_Irr!BO16&lt;&gt;"."),up_dir!T16/((1/1000)*(up_Irr!BO16)),IF(AND(up_Irr!S16=".",up_Irr!AQ16&lt;&gt;".",up_Irr!BO16="."),up_dir!T16/((1/1000)*(up_Irr!AQ16)),IF(AND(up_Irr!S16&lt;&gt;".",up_Irr!AQ16=".",up_Irr!BO16="."),up_dir!T16/((1/1000)*(up_Irr!S16)),IF(AND(up_Irr!S16=".",up_Irr!AQ16=".",up_Irr!BO16="."),up_dir!T16*1000)))))))),".")</f>
        <v>6.5773651144152131E-4</v>
      </c>
      <c r="U16" s="48">
        <f>IFERROR(IF(AND(up_Irr!T16&lt;&gt;".",up_Irr!AR16&lt;&gt;".",up_Irr!BP16&lt;&gt;"."),up_dir!U16/((1/1000)*(up_Irr!T16+up_Irr!AR16+up_Irr!BP16)),IF(AND(up_Irr!T16&lt;&gt;".",up_Irr!AR16&lt;&gt;".",up_Irr!BP16="."),up_dir!U16/((1/1000)*(up_Irr!T16+up_Irr!AR16)),IF(AND(up_Irr!T16&lt;&gt;".",up_Irr!AR16=".",up_Irr!BP16&lt;&gt;"."),up_dir!U16/((1/1000)*(up_Irr!T16+up_Irr!BP16)),IF(AND(up_Irr!T16=".",up_Irr!AR16&lt;&gt;".",up_Irr!BP16&lt;&gt;"."),up_dir!U16/((1/1000)*(up_Irr!AR16+up_Irr!BP16)),IF(AND(up_Irr!T16=".",up_Irr!AR16=".",up_Irr!BP16&lt;&gt;"."),up_dir!U16/((1/1000)*(up_Irr!BP16)),IF(AND(up_Irr!T16=".",up_Irr!AR16&lt;&gt;".",up_Irr!BP16="."),up_dir!U16/((1/1000)*(up_Irr!AR16)),IF(AND(up_Irr!T16&lt;&gt;".",up_Irr!AR16=".",up_Irr!BP16="."),up_dir!U16/((1/1000)*(up_Irr!T16)),IF(AND(up_Irr!T16=".",up_Irr!AR16=".",up_Irr!BP16="."),up_dir!U16*1000)))))))),".")</f>
        <v>6.5773651144152131E-4</v>
      </c>
      <c r="V16" s="48">
        <f>IFERROR(IF(AND(up_Irr!U16&lt;&gt;".",up_Irr!AS16&lt;&gt;".",up_Irr!BQ16&lt;&gt;"."),up_dir!V16/((1/1000)*(up_Irr!U16+up_Irr!AS16+up_Irr!BQ16)),IF(AND(up_Irr!U16&lt;&gt;".",up_Irr!AS16&lt;&gt;".",up_Irr!BQ16="."),up_dir!V16/((1/1000)*(up_Irr!U16+up_Irr!AS16)),IF(AND(up_Irr!U16&lt;&gt;".",up_Irr!AS16=".",up_Irr!BQ16&lt;&gt;"."),up_dir!V16/((1/1000)*(up_Irr!U16+up_Irr!BQ16)),IF(AND(up_Irr!U16=".",up_Irr!AS16&lt;&gt;".",up_Irr!BQ16&lt;&gt;"."),up_dir!V16/((1/1000)*(up_Irr!AS16+up_Irr!BQ16)),IF(AND(up_Irr!U16=".",up_Irr!AS16=".",up_Irr!BQ16&lt;&gt;"."),up_dir!V16/((1/1000)*(up_Irr!BQ16)),IF(AND(up_Irr!U16=".",up_Irr!AS16&lt;&gt;".",up_Irr!BQ16="."),up_dir!V16/((1/1000)*(up_Irr!AS16)),IF(AND(up_Irr!U16&lt;&gt;".",up_Irr!AS16=".",up_Irr!BQ16="."),up_dir!V16/((1/1000)*(up_Irr!U16)),IF(AND(up_Irr!U16=".",up_Irr!AS16=".",up_Irr!BQ16="."),up_dir!V16*1000)))))))),".")</f>
        <v>6.5773651144152131E-4</v>
      </c>
      <c r="W16" s="48">
        <f>IFERROR(IF(AND(up_Irr!V16&lt;&gt;".",up_Irr!AT16&lt;&gt;".",up_Irr!BR16&lt;&gt;"."),up_dir!W16/((1/1000)*(up_Irr!V16+up_Irr!AT16+up_Irr!BR16)),IF(AND(up_Irr!V16&lt;&gt;".",up_Irr!AT16&lt;&gt;".",up_Irr!BR16="."),up_dir!W16/((1/1000)*(up_Irr!V16+up_Irr!AT16)),IF(AND(up_Irr!V16&lt;&gt;".",up_Irr!AT16=".",up_Irr!BR16&lt;&gt;"."),up_dir!W16/((1/1000)*(up_Irr!V16+up_Irr!BR16)),IF(AND(up_Irr!V16=".",up_Irr!AT16&lt;&gt;".",up_Irr!BR16&lt;&gt;"."),up_dir!W16/((1/1000)*(up_Irr!AT16+up_Irr!BR16)),IF(AND(up_Irr!V16=".",up_Irr!AT16=".",up_Irr!BR16&lt;&gt;"."),up_dir!W16/((1/1000)*(up_Irr!BR16)),IF(AND(up_Irr!V16=".",up_Irr!AT16&lt;&gt;".",up_Irr!BR16="."),up_dir!W16/((1/1000)*(up_Irr!AT16)),IF(AND(up_Irr!V16&lt;&gt;".",up_Irr!AT16=".",up_Irr!BR16="."),up_dir!W16/((1/1000)*(up_Irr!V16)),IF(AND(up_Irr!V16=".",up_Irr!AT16=".",up_Irr!BR16="."),up_dir!W16*1000)))))))),".")</f>
        <v>6.5773651144152131E-4</v>
      </c>
      <c r="X16" s="48">
        <f>IFERROR(IF(AND(up_Irr!W16&lt;&gt;".",up_Irr!AU16&lt;&gt;".",up_Irr!BS16&lt;&gt;"."),up_dir!X16/((1/1000)*(up_Irr!W16+up_Irr!AU16+up_Irr!BS16)),IF(AND(up_Irr!W16&lt;&gt;".",up_Irr!AU16&lt;&gt;".",up_Irr!BS16="."),up_dir!X16/((1/1000)*(up_Irr!W16+up_Irr!AU16)),IF(AND(up_Irr!W16&lt;&gt;".",up_Irr!AU16=".",up_Irr!BS16&lt;&gt;"."),up_dir!X16/((1/1000)*(up_Irr!W16+up_Irr!BS16)),IF(AND(up_Irr!W16=".",up_Irr!AU16&lt;&gt;".",up_Irr!BS16&lt;&gt;"."),up_dir!X16/((1/1000)*(up_Irr!AU16+up_Irr!BS16)),IF(AND(up_Irr!W16=".",up_Irr!AU16=".",up_Irr!BS16&lt;&gt;"."),up_dir!X16/((1/1000)*(up_Irr!BS16)),IF(AND(up_Irr!W16=".",up_Irr!AU16&lt;&gt;".",up_Irr!BS16="."),up_dir!X16/((1/1000)*(up_Irr!AU16)),IF(AND(up_Irr!W16&lt;&gt;".",up_Irr!AU16=".",up_Irr!BS16="."),up_dir!X16/((1/1000)*(up_Irr!W16)),IF(AND(up_Irr!W16=".",up_Irr!AU16=".",up_Irr!BS16="."),up_dir!X16*1000)))))))),".")</f>
        <v>6.5773651144152131E-4</v>
      </c>
      <c r="Y16" s="48">
        <f>IFERROR(IF(AND(up_Irr!X16&lt;&gt;".",up_Irr!AV16&lt;&gt;".",up_Irr!BT16&lt;&gt;"."),up_dir!Y16/((1/1000)*(up_Irr!X16+up_Irr!AV16+up_Irr!BT16)),IF(AND(up_Irr!X16&lt;&gt;".",up_Irr!AV16&lt;&gt;".",up_Irr!BT16="."),up_dir!Y16/((1/1000)*(up_Irr!X16+up_Irr!AV16)),IF(AND(up_Irr!X16&lt;&gt;".",up_Irr!AV16=".",up_Irr!BT16&lt;&gt;"."),up_dir!Y16/((1/1000)*(up_Irr!X16+up_Irr!BT16)),IF(AND(up_Irr!X16=".",up_Irr!AV16&lt;&gt;".",up_Irr!BT16&lt;&gt;"."),up_dir!Y16/((1/1000)*(up_Irr!AV16+up_Irr!BT16)),IF(AND(up_Irr!X16=".",up_Irr!AV16=".",up_Irr!BT16&lt;&gt;"."),up_dir!Y16/((1/1000)*(up_Irr!BT16)),IF(AND(up_Irr!X16=".",up_Irr!AV16&lt;&gt;".",up_Irr!BT16="."),up_dir!Y16/((1/1000)*(up_Irr!AV16)),IF(AND(up_Irr!X16&lt;&gt;".",up_Irr!AV16=".",up_Irr!BT16="."),up_dir!Y16/((1/1000)*(up_Irr!X16)),IF(AND(up_Irr!X16=".",up_Irr!AV16=".",up_Irr!BT16="."),up_dir!Y16*1000)))))))),".")</f>
        <v>6.5773651144152131E-4</v>
      </c>
      <c r="Z16" s="48">
        <f>IFERROR(IF(AND(up_Irr!Y16&lt;&gt;".",up_Irr!AW16&lt;&gt;".",up_Irr!BU16&lt;&gt;"."),up_dir!Z16/((1/1000)*(up_Irr!Y16+up_Irr!AW16+up_Irr!BU16)),IF(AND(up_Irr!Y16&lt;&gt;".",up_Irr!AW16&lt;&gt;".",up_Irr!BU16="."),up_dir!Z16/((1/1000)*(up_Irr!Y16+up_Irr!AW16)),IF(AND(up_Irr!Y16&lt;&gt;".",up_Irr!AW16=".",up_Irr!BU16&lt;&gt;"."),up_dir!Z16/((1/1000)*(up_Irr!Y16+up_Irr!BU16)),IF(AND(up_Irr!Y16=".",up_Irr!AW16&lt;&gt;".",up_Irr!BU16&lt;&gt;"."),up_dir!Z16/((1/1000)*(up_Irr!AW16+up_Irr!BU16)),IF(AND(up_Irr!Y16=".",up_Irr!AW16=".",up_Irr!BU16&lt;&gt;"."),up_dir!Z16/((1/1000)*(up_Irr!BU16)),IF(AND(up_Irr!Y16=".",up_Irr!AW16&lt;&gt;".",up_Irr!BU16="."),up_dir!Z16/((1/1000)*(up_Irr!AW16)),IF(AND(up_Irr!Y16&lt;&gt;".",up_Irr!AW16=".",up_Irr!BU16="."),up_dir!Z16/((1/1000)*(up_Irr!Y16)),IF(AND(up_Irr!Y16=".",up_Irr!AW16=".",up_Irr!BU16="."),up_dir!Z16*1000)))))))),".")</f>
        <v>6.5773651144152131E-4</v>
      </c>
      <c r="AA16" s="48">
        <f>IFERROR(IF(AND(up_Irr!Z16&lt;&gt;".",up_Irr!AX16&lt;&gt;".",up_Irr!BV16&lt;&gt;"."),up_dir!AA16/((1/1000)*(up_Irr!Z16+up_Irr!AX16+up_Irr!BV16)),IF(AND(up_Irr!Z16&lt;&gt;".",up_Irr!AX16&lt;&gt;".",up_Irr!BV16="."),up_dir!AA16/((1/1000)*(up_Irr!Z16+up_Irr!AX16)),IF(AND(up_Irr!Z16&lt;&gt;".",up_Irr!AX16=".",up_Irr!BV16&lt;&gt;"."),up_dir!AA16/((1/1000)*(up_Irr!Z16+up_Irr!BV16)),IF(AND(up_Irr!Z16=".",up_Irr!AX16&lt;&gt;".",up_Irr!BV16&lt;&gt;"."),up_dir!AA16/((1/1000)*(up_Irr!AX16+up_Irr!BV16)),IF(AND(up_Irr!Z16=".",up_Irr!AX16=".",up_Irr!BV16&lt;&gt;"."),up_dir!AA16/((1/1000)*(up_Irr!BV16)),IF(AND(up_Irr!Z16=".",up_Irr!AX16&lt;&gt;".",up_Irr!BV16="."),up_dir!AA16/((1/1000)*(up_Irr!AX16)),IF(AND(up_Irr!Z16&lt;&gt;".",up_Irr!AX16=".",up_Irr!BV16="."),up_dir!AA16/((1/1000)*(up_Irr!Z16)),IF(AND(up_Irr!Z16=".",up_Irr!AX16=".",up_Irr!BV16="."),up_dir!AA16*1000)))))))),".")</f>
        <v>6.5773651144152131E-4</v>
      </c>
      <c r="AB16" s="62">
        <f t="shared" si="1"/>
        <v>22805.4847785862</v>
      </c>
      <c r="AC16" s="62">
        <f>IFERROR(s_C*s_IFAP_res_adj*s_CF_apple*0.001*(up_Irr!C16+up_Irr!AA16+up_Irr!AY16),".")</f>
        <v>7601.8282595287337</v>
      </c>
      <c r="AD16" s="62">
        <f>IFERROR(s_C*s_IFAS_res_adj*s_CF_asparagus*0.001*(up_Irr!D16+up_Irr!AB16+up_Irr!AZ16),".")</f>
        <v>7601.8282595287337</v>
      </c>
      <c r="AE16" s="62">
        <f>IFERROR(s_C*s_IFBT_res_adj*s_CF_beet*0.001*(up_Irr!E16+up_Irr!AC16+up_Irr!BA16),".")</f>
        <v>7601.8282595287337</v>
      </c>
      <c r="AF16" s="62">
        <f>IFERROR(s_C*s_IFBE_res_adj*s_CF_berries*0.001*(up_Irr!F16+up_Irr!AD16+up_Irr!BB16),".")</f>
        <v>7601.8282595287337</v>
      </c>
      <c r="AG16" s="62">
        <f>IFERROR(s_C*s_IFBR_res_adj*s_CF_broccoli*0.001*(up_Irr!G16+up_Irr!AE16+up_Irr!BC16),".")</f>
        <v>7601.8282595287337</v>
      </c>
      <c r="AH16" s="62">
        <f>IFERROR(s_C*s_IFCB_res_adj*s_CF_cabbage*0.001*(up_Irr!H16+up_Irr!AF16+up_Irr!BD16),".")</f>
        <v>7601.8282595287337</v>
      </c>
      <c r="AI16" s="62">
        <f>IFERROR(s_C*s_IFCR_res_adj*s_CF_carrot*0.001*(up_Irr!I16+up_Irr!AG16+up_Irr!BE16),".")</f>
        <v>7601.8282595287337</v>
      </c>
      <c r="AJ16" s="62">
        <f>IFERROR(s_C*s_IFCI_res_adj*s_CF_citrus*0.001*(up_Irr!J16+up_Irr!AH16+up_Irr!BF16),".")</f>
        <v>7601.8282595287337</v>
      </c>
      <c r="AK16" s="62">
        <f>IFERROR(s_C*s_IFCO_res_adj*s_CF_corn*0.001*(up_Irr!K16+up_Irr!AI16+up_Irr!BG16),".")</f>
        <v>7601.8282595287337</v>
      </c>
      <c r="AL16" s="62">
        <f>IFERROR(s_C*s_IFCU_res_adj*s_CF_cucumber*0.001*(up_Irr!L16+up_Irr!AJ16+up_Irr!BH16),".")</f>
        <v>7601.8282595287337</v>
      </c>
      <c r="AM16" s="62">
        <f>IFERROR(s_C*s_IFLE_res_adj*s_CF_lettuce*0.001*(up_Irr!M16+up_Irr!AK16+up_Irr!BI16),".")</f>
        <v>7601.8282595287337</v>
      </c>
      <c r="AN16" s="62">
        <f>IFERROR(s_C*s_IFLI_res_adj*s_CF_lima_bean*0.001*(up_Irr!N16+up_Irr!AL16+up_Irr!BJ16),".")</f>
        <v>7601.8282595287337</v>
      </c>
      <c r="AO16" s="62">
        <f>IFERROR(s_C*s_IFOK_res_adj*s_CF_okra*0.001*(up_Irr!O16+up_Irr!AM16+up_Irr!BK16),".")</f>
        <v>7601.8282595287337</v>
      </c>
      <c r="AP16" s="62">
        <f>IFERROR(s_C*s_IFON_res_adj*s_CF_onion*0.001*(up_Irr!P16+up_Irr!AN16+up_Irr!BL16),".")</f>
        <v>7601.8282595287337</v>
      </c>
      <c r="AQ16" s="62">
        <f>IFERROR(s_C*s_IFPC_res_adj*s_CF_peach*0.001*(up_Irr!Q16+up_Irr!AO16+up_Irr!BM16),".")</f>
        <v>7601.8282595287337</v>
      </c>
      <c r="AR16" s="62">
        <f>IFERROR(s_C*s_IFPR_res_adj*s_CF_pear*0.001*(up_Irr!R16+up_Irr!AP16+up_Irr!BN16),".")</f>
        <v>7601.8282595287337</v>
      </c>
      <c r="AS16" s="62">
        <f>IFERROR(s_C*s_IFPE_res_adj*s_CF_peas*0.001*(up_Irr!S16+up_Irr!AQ16+up_Irr!BO16),".")</f>
        <v>7601.8282595287337</v>
      </c>
      <c r="AT16" s="62">
        <f>IFERROR(s_C*s_IFPT_res_adj*s_CF_potato*0.001*(up_Irr!T16+up_Irr!AR16+up_Irr!BP16),".")</f>
        <v>7601.8282595287337</v>
      </c>
      <c r="AU16" s="62">
        <f>IFERROR(s_C*s_IFPU_res_adj*s_CF_pumpkin*0.001*(up_Irr!U16+up_Irr!AS16+up_Irr!BQ16),".")</f>
        <v>7601.8282595287337</v>
      </c>
      <c r="AV16" s="62">
        <f>IFERROR(s_C*s_IFSN_res_adj*s_CF_snap_bean*0.001*(up_Irr!V16+up_Irr!AT16+up_Irr!BR16),".")</f>
        <v>7601.8282595287337</v>
      </c>
      <c r="AW16" s="62">
        <f>IFERROR(s_C*s_IFST_res_adj*s_CF_strawberry*0.001*(up_Irr!W16+up_Irr!AU16+up_Irr!BS16),".")</f>
        <v>7601.8282595287337</v>
      </c>
      <c r="AX16" s="62">
        <f>IFERROR(s_C*s_IFTO_res_adj*s_CF_tomato*0.001*(up_Irr!X16+up_Irr!AV16+up_Irr!BT16),".")</f>
        <v>7601.8282595287337</v>
      </c>
      <c r="AY16" s="62">
        <f>IFERROR(s_C*s_IFRI_res_adj*s_CF_rice*0.001*(up_Irr!Y16+up_Irr!AW16+up_Irr!BU16),".")</f>
        <v>7601.8282595287337</v>
      </c>
      <c r="AZ16" s="62">
        <f>IFERROR(s_C*s_IFCG_res_adj*s_CF_cereal*0.001*(up_Irr!Z16+up_Irr!AX16+up_Irr!BV16),".")</f>
        <v>7601.8282595287337</v>
      </c>
      <c r="BA16" s="48">
        <f t="shared" si="2"/>
        <v>2.1924550381384044E-4</v>
      </c>
      <c r="BB16" s="48">
        <f>IFERROR(IF(AND(up_Irr!C16&lt;&gt;".",up_Irr!AA16&lt;&gt;".",up_Irr!AY16&lt;&gt;"."),up_dir!AC16/((1/1000)*(up_Irr!C16+up_Irr!AA16+up_Irr!AY16)),IF(AND(up_Irr!C16&lt;&gt;".",up_Irr!AA16&lt;&gt;".",up_Irr!AY16="."),up_dir!AC16/((1/1000)*(up_Irr!C16+up_Irr!AA16)),IF(AND(up_Irr!C16&lt;&gt;".",up_Irr!AA16=".",up_Irr!AY16&lt;&gt;"."),up_dir!AC16/((1/1000)*(up_Irr!C16+up_Irr!AY16)),IF(AND(up_Irr!C16=".",up_Irr!AA16&lt;&gt;".",up_Irr!AY16&lt;&gt;"."),up_dir!AC16/((1/1000)*(up_Irr!AA16+up_Irr!AY16)),IF(AND(up_Irr!C16=".",up_Irr!AA16=".",up_Irr!AY16&lt;&gt;"."),up_dir!AC16/((1/1000)*(up_Irr!AY16)),IF(AND(up_Irr!C16=".",up_Irr!AA16&lt;&gt;".",up_Irr!AY16="."),up_dir!AC16/((1/1000)*(up_Irr!AA16)),IF(AND(up_Irr!C16&lt;&gt;".",up_Irr!AA16=".",up_Irr!AY16="."),up_dir!AC16/((1/1000)*(up_Irr!C16)),IF(AND(up_Irr!C16=".",up_Irr!AA16=".",up_Irr!AY16="."),up_dir!AC16*1000)))))))),".")</f>
        <v>6.5773651144152131E-4</v>
      </c>
      <c r="BC16" s="48">
        <f>IFERROR(IF(AND(up_Irr!D16&lt;&gt;".",up_Irr!AB16&lt;&gt;".",up_Irr!AZ16&lt;&gt;"."),up_dir!AD16/((1/1000)*(up_Irr!D16+up_Irr!AB16+up_Irr!AZ16)),IF(AND(up_Irr!D16&lt;&gt;".",up_Irr!AB16&lt;&gt;".",up_Irr!AZ16="."),up_dir!AD16/((1/1000)*(up_Irr!D16+up_Irr!AB16)),IF(AND(up_Irr!D16&lt;&gt;".",up_Irr!AB16=".",up_Irr!AZ16&lt;&gt;"."),up_dir!AD16/((1/1000)*(up_Irr!D16+up_Irr!AZ16)),IF(AND(up_Irr!D16=".",up_Irr!AB16&lt;&gt;".",up_Irr!AZ16&lt;&gt;"."),up_dir!AD16/((1/1000)*(up_Irr!AB16+up_Irr!AZ16)),IF(AND(up_Irr!D16=".",up_Irr!AB16=".",up_Irr!AZ16&lt;&gt;"."),up_dir!AD16/((1/1000)*(up_Irr!AZ16)),IF(AND(up_Irr!D16=".",up_Irr!AB16&lt;&gt;".",up_Irr!AZ16="."),up_dir!AD16/((1/1000)*(up_Irr!AB16)),IF(AND(up_Irr!D16&lt;&gt;".",up_Irr!AB16=".",up_Irr!AZ16="."),up_dir!AD16/((1/1000)*(up_Irr!D16)),IF(AND(up_Irr!D16=".",up_Irr!AB16=".",up_Irr!AZ16="."),up_dir!AD16*1000)))))))),".")</f>
        <v>6.5773651144152131E-4</v>
      </c>
      <c r="BD16" s="48">
        <f>IFERROR(IF(AND(up_Irr!E16&lt;&gt;".",up_Irr!AC16&lt;&gt;".",up_Irr!BA16&lt;&gt;"."),up_dir!AE16/((1/1000)*(up_Irr!E16+up_Irr!AC16+up_Irr!BA16)),IF(AND(up_Irr!E16&lt;&gt;".",up_Irr!AC16&lt;&gt;".",up_Irr!BA16="."),up_dir!AE16/((1/1000)*(up_Irr!E16+up_Irr!AC16)),IF(AND(up_Irr!E16&lt;&gt;".",up_Irr!AC16=".",up_Irr!BA16&lt;&gt;"."),up_dir!AE16/((1/1000)*(up_Irr!E16+up_Irr!BA16)),IF(AND(up_Irr!E16=".",up_Irr!AC16&lt;&gt;".",up_Irr!BA16&lt;&gt;"."),up_dir!AE16/((1/1000)*(up_Irr!AC16+up_Irr!BA16)),IF(AND(up_Irr!E16=".",up_Irr!AC16=".",up_Irr!BA16&lt;&gt;"."),up_dir!AE16/((1/1000)*(up_Irr!BA16)),IF(AND(up_Irr!E16=".",up_Irr!AC16&lt;&gt;".",up_Irr!BA16="."),up_dir!AE16/((1/1000)*(up_Irr!AC16)),IF(AND(up_Irr!E16&lt;&gt;".",up_Irr!AC16=".",up_Irr!BA16="."),up_dir!AE16/((1/1000)*(up_Irr!E16)),IF(AND(up_Irr!E16=".",up_Irr!AC16=".",up_Irr!BA16="."),up_dir!AE16*1000)))))))),".")</f>
        <v>6.5773651144152131E-4</v>
      </c>
      <c r="BE16" s="48">
        <f>IFERROR(IF(AND(up_Irr!F16&lt;&gt;".",up_Irr!AD16&lt;&gt;".",up_Irr!BB16&lt;&gt;"."),up_dir!AF16/((1/1000)*(up_Irr!F16+up_Irr!AD16+up_Irr!BB16)),IF(AND(up_Irr!F16&lt;&gt;".",up_Irr!AD16&lt;&gt;".",up_Irr!BB16="."),up_dir!AF16/((1/1000)*(up_Irr!F16+up_Irr!AD16)),IF(AND(up_Irr!F16&lt;&gt;".",up_Irr!AD16=".",up_Irr!BB16&lt;&gt;"."),up_dir!AF16/((1/1000)*(up_Irr!F16+up_Irr!BB16)),IF(AND(up_Irr!F16=".",up_Irr!AD16&lt;&gt;".",up_Irr!BB16&lt;&gt;"."),up_dir!AF16/((1/1000)*(up_Irr!AD16+up_Irr!BB16)),IF(AND(up_Irr!F16=".",up_Irr!AD16=".",up_Irr!BB16&lt;&gt;"."),up_dir!AF16/((1/1000)*(up_Irr!BB16)),IF(AND(up_Irr!F16=".",up_Irr!AD16&lt;&gt;".",up_Irr!BB16="."),up_dir!AF16/((1/1000)*(up_Irr!AD16)),IF(AND(up_Irr!F16&lt;&gt;".",up_Irr!AD16=".",up_Irr!BB16="."),up_dir!AF16/((1/1000)*(up_Irr!F16)),IF(AND(up_Irr!F16=".",up_Irr!AD16=".",up_Irr!BB16="."),up_dir!AF16*1000)))))))),".")</f>
        <v>6.5773651144152131E-4</v>
      </c>
      <c r="BF16" s="48">
        <f>IFERROR(IF(AND(up_Irr!G16&lt;&gt;".",up_Irr!AE16&lt;&gt;".",up_Irr!BC16&lt;&gt;"."),up_dir!AG16/((1/1000)*(up_Irr!G16+up_Irr!AE16+up_Irr!BC16)),IF(AND(up_Irr!G16&lt;&gt;".",up_Irr!AE16&lt;&gt;".",up_Irr!BC16="."),up_dir!AG16/((1/1000)*(up_Irr!G16+up_Irr!AE16)),IF(AND(up_Irr!G16&lt;&gt;".",up_Irr!AE16=".",up_Irr!BC16&lt;&gt;"."),up_dir!AG16/((1/1000)*(up_Irr!G16+up_Irr!BC16)),IF(AND(up_Irr!G16=".",up_Irr!AE16&lt;&gt;".",up_Irr!BC16&lt;&gt;"."),up_dir!AG16/((1/1000)*(up_Irr!AE16+up_Irr!BC16)),IF(AND(up_Irr!G16=".",up_Irr!AE16=".",up_Irr!BC16&lt;&gt;"."),up_dir!AG16/((1/1000)*(up_Irr!BC16)),IF(AND(up_Irr!G16=".",up_Irr!AE16&lt;&gt;".",up_Irr!BC16="."),up_dir!AG16/((1/1000)*(up_Irr!AE16)),IF(AND(up_Irr!G16&lt;&gt;".",up_Irr!AE16=".",up_Irr!BC16="."),up_dir!AG16/((1/1000)*(up_Irr!G16)),IF(AND(up_Irr!G16=".",up_Irr!AE16=".",up_Irr!BC16="."),up_dir!AG16*1000)))))))),".")</f>
        <v>6.5773651144152131E-4</v>
      </c>
      <c r="BG16" s="48">
        <f>IFERROR(IF(AND(up_Irr!H16&lt;&gt;".",up_Irr!AF16&lt;&gt;".",up_Irr!BD16&lt;&gt;"."),up_dir!AH16/((1/1000)*(up_Irr!H16+up_Irr!AF16+up_Irr!BD16)),IF(AND(up_Irr!H16&lt;&gt;".",up_Irr!AF16&lt;&gt;".",up_Irr!BD16="."),up_dir!AH16/((1/1000)*(up_Irr!H16+up_Irr!AF16)),IF(AND(up_Irr!H16&lt;&gt;".",up_Irr!AF16=".",up_Irr!BD16&lt;&gt;"."),up_dir!AH16/((1/1000)*(up_Irr!H16+up_Irr!BD16)),IF(AND(up_Irr!H16=".",up_Irr!AF16&lt;&gt;".",up_Irr!BD16&lt;&gt;"."),up_dir!AH16/((1/1000)*(up_Irr!AF16+up_Irr!BD16)),IF(AND(up_Irr!H16=".",up_Irr!AF16=".",up_Irr!BD16&lt;&gt;"."),up_dir!AH16/((1/1000)*(up_Irr!BD16)),IF(AND(up_Irr!H16=".",up_Irr!AF16&lt;&gt;".",up_Irr!BD16="."),up_dir!AH16/((1/1000)*(up_Irr!AF16)),IF(AND(up_Irr!H16&lt;&gt;".",up_Irr!AF16=".",up_Irr!BD16="."),up_dir!AH16/((1/1000)*(up_Irr!H16)),IF(AND(up_Irr!H16=".",up_Irr!AF16=".",up_Irr!BD16="."),up_dir!AH16*1000)))))))),".")</f>
        <v>6.5773651144152131E-4</v>
      </c>
      <c r="BH16" s="48">
        <f>IFERROR(IF(AND(up_Irr!I16&lt;&gt;".",up_Irr!AG16&lt;&gt;".",up_Irr!BE16&lt;&gt;"."),up_dir!AI16/((1/1000)*(up_Irr!I16+up_Irr!AG16+up_Irr!BE16)),IF(AND(up_Irr!I16&lt;&gt;".",up_Irr!AG16&lt;&gt;".",up_Irr!BE16="."),up_dir!AI16/((1/1000)*(up_Irr!I16+up_Irr!AG16)),IF(AND(up_Irr!I16&lt;&gt;".",up_Irr!AG16=".",up_Irr!BE16&lt;&gt;"."),up_dir!AI16/((1/1000)*(up_Irr!I16+up_Irr!BE16)),IF(AND(up_Irr!I16=".",up_Irr!AG16&lt;&gt;".",up_Irr!BE16&lt;&gt;"."),up_dir!AI16/((1/1000)*(up_Irr!AG16+up_Irr!BE16)),IF(AND(up_Irr!I16=".",up_Irr!AG16=".",up_Irr!BE16&lt;&gt;"."),up_dir!AI16/((1/1000)*(up_Irr!BE16)),IF(AND(up_Irr!I16=".",up_Irr!AG16&lt;&gt;".",up_Irr!BE16="."),up_dir!AI16/((1/1000)*(up_Irr!AG16)),IF(AND(up_Irr!I16&lt;&gt;".",up_Irr!AG16=".",up_Irr!BE16="."),up_dir!AI16/((1/1000)*(up_Irr!I16)),IF(AND(up_Irr!I16=".",up_Irr!AG16=".",up_Irr!BE16="."),up_dir!AI16*1000)))))))),".")</f>
        <v>6.5773651144152131E-4</v>
      </c>
      <c r="BI16" s="48">
        <f>IFERROR(IF(AND(up_Irr!J16&lt;&gt;".",up_Irr!AH16&lt;&gt;".",up_Irr!BF16&lt;&gt;"."),up_dir!AJ16/((1/1000)*(up_Irr!J16+up_Irr!AH16+up_Irr!BF16)),IF(AND(up_Irr!J16&lt;&gt;".",up_Irr!AH16&lt;&gt;".",up_Irr!BF16="."),up_dir!AJ16/((1/1000)*(up_Irr!J16+up_Irr!AH16)),IF(AND(up_Irr!J16&lt;&gt;".",up_Irr!AH16=".",up_Irr!BF16&lt;&gt;"."),up_dir!AJ16/((1/1000)*(up_Irr!J16+up_Irr!BF16)),IF(AND(up_Irr!J16=".",up_Irr!AH16&lt;&gt;".",up_Irr!BF16&lt;&gt;"."),up_dir!AJ16/((1/1000)*(up_Irr!AH16+up_Irr!BF16)),IF(AND(up_Irr!J16=".",up_Irr!AH16=".",up_Irr!BF16&lt;&gt;"."),up_dir!AJ16/((1/1000)*(up_Irr!BF16)),IF(AND(up_Irr!J16=".",up_Irr!AH16&lt;&gt;".",up_Irr!BF16="."),up_dir!AJ16/((1/1000)*(up_Irr!AH16)),IF(AND(up_Irr!J16&lt;&gt;".",up_Irr!AH16=".",up_Irr!BF16="."),up_dir!AJ16/((1/1000)*(up_Irr!J16)),IF(AND(up_Irr!J16=".",up_Irr!AH16=".",up_Irr!BF16="."),up_dir!AJ16*1000)))))))),".")</f>
        <v>6.5773651144152131E-4</v>
      </c>
      <c r="BJ16" s="48">
        <f>IFERROR(IF(AND(up_Irr!K16&lt;&gt;".",up_Irr!AI16&lt;&gt;".",up_Irr!BG16&lt;&gt;"."),up_dir!AK16/((1/1000)*(up_Irr!K16+up_Irr!AI16+up_Irr!BG16)),IF(AND(up_Irr!K16&lt;&gt;".",up_Irr!AI16&lt;&gt;".",up_Irr!BG16="."),up_dir!AK16/((1/1000)*(up_Irr!K16+up_Irr!AI16)),IF(AND(up_Irr!K16&lt;&gt;".",up_Irr!AI16=".",up_Irr!BG16&lt;&gt;"."),up_dir!AK16/((1/1000)*(up_Irr!K16+up_Irr!BG16)),IF(AND(up_Irr!K16=".",up_Irr!AI16&lt;&gt;".",up_Irr!BG16&lt;&gt;"."),up_dir!AK16/((1/1000)*(up_Irr!AI16+up_Irr!BG16)),IF(AND(up_Irr!K16=".",up_Irr!AI16=".",up_Irr!BG16&lt;&gt;"."),up_dir!AK16/((1/1000)*(up_Irr!BG16)),IF(AND(up_Irr!K16=".",up_Irr!AI16&lt;&gt;".",up_Irr!BG16="."),up_dir!AK16/((1/1000)*(up_Irr!AI16)),IF(AND(up_Irr!K16&lt;&gt;".",up_Irr!AI16=".",up_Irr!BG16="."),up_dir!AK16/((1/1000)*(up_Irr!K16)),IF(AND(up_Irr!K16=".",up_Irr!AI16=".",up_Irr!BG16="."),up_dir!AK16*1000)))))))),".")</f>
        <v>6.5773651144152131E-4</v>
      </c>
      <c r="BK16" s="48">
        <f>IFERROR(IF(AND(up_Irr!L16&lt;&gt;".",up_Irr!AJ16&lt;&gt;".",up_Irr!BH16&lt;&gt;"."),up_dir!AL16/((1/1000)*(up_Irr!L16+up_Irr!AJ16+up_Irr!BH16)),IF(AND(up_Irr!L16&lt;&gt;".",up_Irr!AJ16&lt;&gt;".",up_Irr!BH16="."),up_dir!AL16/((1/1000)*(up_Irr!L16+up_Irr!AJ16)),IF(AND(up_Irr!L16&lt;&gt;".",up_Irr!AJ16=".",up_Irr!BH16&lt;&gt;"."),up_dir!AL16/((1/1000)*(up_Irr!L16+up_Irr!BH16)),IF(AND(up_Irr!L16=".",up_Irr!AJ16&lt;&gt;".",up_Irr!BH16&lt;&gt;"."),up_dir!AL16/((1/1000)*(up_Irr!AJ16+up_Irr!BH16)),IF(AND(up_Irr!L16=".",up_Irr!AJ16=".",up_Irr!BH16&lt;&gt;"."),up_dir!AL16/((1/1000)*(up_Irr!BH16)),IF(AND(up_Irr!L16=".",up_Irr!AJ16&lt;&gt;".",up_Irr!BH16="."),up_dir!AL16/((1/1000)*(up_Irr!AJ16)),IF(AND(up_Irr!L16&lt;&gt;".",up_Irr!AJ16=".",up_Irr!BH16="."),up_dir!AL16/((1/1000)*(up_Irr!L16)),IF(AND(up_Irr!L16=".",up_Irr!AJ16=".",up_Irr!BH16="."),up_dir!AL16*1000)))))))),".")</f>
        <v>6.5773651144152131E-4</v>
      </c>
      <c r="BL16" s="48">
        <f>IFERROR(IF(AND(up_Irr!M16&lt;&gt;".",up_Irr!AK16&lt;&gt;".",up_Irr!BI16&lt;&gt;"."),up_dir!AM16/((1/1000)*(up_Irr!M16+up_Irr!AK16+up_Irr!BI16)),IF(AND(up_Irr!M16&lt;&gt;".",up_Irr!AK16&lt;&gt;".",up_Irr!BI16="."),up_dir!AM16/((1/1000)*(up_Irr!M16+up_Irr!AK16)),IF(AND(up_Irr!M16&lt;&gt;".",up_Irr!AK16=".",up_Irr!BI16&lt;&gt;"."),up_dir!AM16/((1/1000)*(up_Irr!M16+up_Irr!BI16)),IF(AND(up_Irr!M16=".",up_Irr!AK16&lt;&gt;".",up_Irr!BI16&lt;&gt;"."),up_dir!AM16/((1/1000)*(up_Irr!AK16+up_Irr!BI16)),IF(AND(up_Irr!M16=".",up_Irr!AK16=".",up_Irr!BI16&lt;&gt;"."),up_dir!AM16/((1/1000)*(up_Irr!BI16)),IF(AND(up_Irr!M16=".",up_Irr!AK16&lt;&gt;".",up_Irr!BI16="."),up_dir!AM16/((1/1000)*(up_Irr!AK16)),IF(AND(up_Irr!M16&lt;&gt;".",up_Irr!AK16=".",up_Irr!BI16="."),up_dir!AM16/((1/1000)*(up_Irr!M16)),IF(AND(up_Irr!M16=".",up_Irr!AK16=".",up_Irr!BI16="."),up_dir!AM16*1000)))))))),".")</f>
        <v>6.5773651144152131E-4</v>
      </c>
      <c r="BM16" s="48">
        <f>IFERROR(IF(AND(up_Irr!N16&lt;&gt;".",up_Irr!AL16&lt;&gt;".",up_Irr!BJ16&lt;&gt;"."),up_dir!AN16/((1/1000)*(up_Irr!N16+up_Irr!AL16+up_Irr!BJ16)),IF(AND(up_Irr!N16&lt;&gt;".",up_Irr!AL16&lt;&gt;".",up_Irr!BJ16="."),up_dir!AN16/((1/1000)*(up_Irr!N16+up_Irr!AL16)),IF(AND(up_Irr!N16&lt;&gt;".",up_Irr!AL16=".",up_Irr!BJ16&lt;&gt;"."),up_dir!AN16/((1/1000)*(up_Irr!N16+up_Irr!BJ16)),IF(AND(up_Irr!N16=".",up_Irr!AL16&lt;&gt;".",up_Irr!BJ16&lt;&gt;"."),up_dir!AN16/((1/1000)*(up_Irr!AL16+up_Irr!BJ16)),IF(AND(up_Irr!N16=".",up_Irr!AL16=".",up_Irr!BJ16&lt;&gt;"."),up_dir!AN16/((1/1000)*(up_Irr!BJ16)),IF(AND(up_Irr!N16=".",up_Irr!AL16&lt;&gt;".",up_Irr!BJ16="."),up_dir!AN16/((1/1000)*(up_Irr!AL16)),IF(AND(up_Irr!N16&lt;&gt;".",up_Irr!AL16=".",up_Irr!BJ16="."),up_dir!AN16/((1/1000)*(up_Irr!N16)),IF(AND(up_Irr!N16=".",up_Irr!AL16=".",up_Irr!BJ16="."),up_dir!AN16*1000)))))))),".")</f>
        <v>6.5773651144152131E-4</v>
      </c>
      <c r="BN16" s="48">
        <f>IFERROR(IF(AND(up_Irr!O16&lt;&gt;".",up_Irr!AM16&lt;&gt;".",up_Irr!BK16&lt;&gt;"."),up_dir!AO16/((1/1000)*(up_Irr!O16+up_Irr!AM16+up_Irr!BK16)),IF(AND(up_Irr!O16&lt;&gt;".",up_Irr!AM16&lt;&gt;".",up_Irr!BK16="."),up_dir!AO16/((1/1000)*(up_Irr!O16+up_Irr!AM16)),IF(AND(up_Irr!O16&lt;&gt;".",up_Irr!AM16=".",up_Irr!BK16&lt;&gt;"."),up_dir!AO16/((1/1000)*(up_Irr!O16+up_Irr!BK16)),IF(AND(up_Irr!O16=".",up_Irr!AM16&lt;&gt;".",up_Irr!BK16&lt;&gt;"."),up_dir!AO16/((1/1000)*(up_Irr!AM16+up_Irr!BK16)),IF(AND(up_Irr!O16=".",up_Irr!AM16=".",up_Irr!BK16&lt;&gt;"."),up_dir!AO16/((1/1000)*(up_Irr!BK16)),IF(AND(up_Irr!O16=".",up_Irr!AM16&lt;&gt;".",up_Irr!BK16="."),up_dir!AO16/((1/1000)*(up_Irr!AM16)),IF(AND(up_Irr!O16&lt;&gt;".",up_Irr!AM16=".",up_Irr!BK16="."),up_dir!AO16/((1/1000)*(up_Irr!O16)),IF(AND(up_Irr!O16=".",up_Irr!AM16=".",up_Irr!BK16="."),up_dir!AO16*1000)))))))),".")</f>
        <v>6.5773651144152131E-4</v>
      </c>
      <c r="BO16" s="48">
        <f>IFERROR(IF(AND(up_Irr!P16&lt;&gt;".",up_Irr!AN16&lt;&gt;".",up_Irr!BL16&lt;&gt;"."),up_dir!AP16/((1/1000)*(up_Irr!P16+up_Irr!AN16+up_Irr!BL16)),IF(AND(up_Irr!P16&lt;&gt;".",up_Irr!AN16&lt;&gt;".",up_Irr!BL16="."),up_dir!AP16/((1/1000)*(up_Irr!P16+up_Irr!AN16)),IF(AND(up_Irr!P16&lt;&gt;".",up_Irr!AN16=".",up_Irr!BL16&lt;&gt;"."),up_dir!AP16/((1/1000)*(up_Irr!P16+up_Irr!BL16)),IF(AND(up_Irr!P16=".",up_Irr!AN16&lt;&gt;".",up_Irr!BL16&lt;&gt;"."),up_dir!AP16/((1/1000)*(up_Irr!AN16+up_Irr!BL16)),IF(AND(up_Irr!P16=".",up_Irr!AN16=".",up_Irr!BL16&lt;&gt;"."),up_dir!AP16/((1/1000)*(up_Irr!BL16)),IF(AND(up_Irr!P16=".",up_Irr!AN16&lt;&gt;".",up_Irr!BL16="."),up_dir!AP16/((1/1000)*(up_Irr!AN16)),IF(AND(up_Irr!P16&lt;&gt;".",up_Irr!AN16=".",up_Irr!BL16="."),up_dir!AP16/((1/1000)*(up_Irr!P16)),IF(AND(up_Irr!P16=".",up_Irr!AN16=".",up_Irr!BL16="."),up_dir!AP16*1000)))))))),".")</f>
        <v>6.5773651144152131E-4</v>
      </c>
      <c r="BP16" s="48">
        <f>IFERROR(IF(AND(up_Irr!Q16&lt;&gt;".",up_Irr!AO16&lt;&gt;".",up_Irr!BM16&lt;&gt;"."),up_dir!AQ16/((1/1000)*(up_Irr!Q16+up_Irr!AO16+up_Irr!BM16)),IF(AND(up_Irr!Q16&lt;&gt;".",up_Irr!AO16&lt;&gt;".",up_Irr!BM16="."),up_dir!AQ16/((1/1000)*(up_Irr!Q16+up_Irr!AO16)),IF(AND(up_Irr!Q16&lt;&gt;".",up_Irr!AO16=".",up_Irr!BM16&lt;&gt;"."),up_dir!AQ16/((1/1000)*(up_Irr!Q16+up_Irr!BM16)),IF(AND(up_Irr!Q16=".",up_Irr!AO16&lt;&gt;".",up_Irr!BM16&lt;&gt;"."),up_dir!AQ16/((1/1000)*(up_Irr!AO16+up_Irr!BM16)),IF(AND(up_Irr!Q16=".",up_Irr!AO16=".",up_Irr!BM16&lt;&gt;"."),up_dir!AQ16/((1/1000)*(up_Irr!BM16)),IF(AND(up_Irr!Q16=".",up_Irr!AO16&lt;&gt;".",up_Irr!BM16="."),up_dir!AQ16/((1/1000)*(up_Irr!AO16)),IF(AND(up_Irr!Q16&lt;&gt;".",up_Irr!AO16=".",up_Irr!BM16="."),up_dir!AQ16/((1/1000)*(up_Irr!Q16)),IF(AND(up_Irr!Q16=".",up_Irr!AO16=".",up_Irr!BM16="."),up_dir!AQ16*1000)))))))),".")</f>
        <v>6.5773651144152131E-4</v>
      </c>
      <c r="BQ16" s="48">
        <f>IFERROR(IF(AND(up_Irr!R16&lt;&gt;".",up_Irr!AP16&lt;&gt;".",up_Irr!BN16&lt;&gt;"."),up_dir!AR16/((1/1000)*(up_Irr!R16+up_Irr!AP16+up_Irr!BN16)),IF(AND(up_Irr!R16&lt;&gt;".",up_Irr!AP16&lt;&gt;".",up_Irr!BN16="."),up_dir!AR16/((1/1000)*(up_Irr!R16+up_Irr!AP16)),IF(AND(up_Irr!R16&lt;&gt;".",up_Irr!AP16=".",up_Irr!BN16&lt;&gt;"."),up_dir!AR16/((1/1000)*(up_Irr!R16+up_Irr!BN16)),IF(AND(up_Irr!R16=".",up_Irr!AP16&lt;&gt;".",up_Irr!BN16&lt;&gt;"."),up_dir!AR16/((1/1000)*(up_Irr!AP16+up_Irr!BN16)),IF(AND(up_Irr!R16=".",up_Irr!AP16=".",up_Irr!BN16&lt;&gt;"."),up_dir!AR16/((1/1000)*(up_Irr!BN16)),IF(AND(up_Irr!R16=".",up_Irr!AP16&lt;&gt;".",up_Irr!BN16="."),up_dir!AR16/((1/1000)*(up_Irr!AP16)),IF(AND(up_Irr!R16&lt;&gt;".",up_Irr!AP16=".",up_Irr!BN16="."),up_dir!AR16/((1/1000)*(up_Irr!R16)),IF(AND(up_Irr!R16=".",up_Irr!AP16=".",up_Irr!BN16="."),up_dir!AR16*1000)))))))),".")</f>
        <v>6.5773651144152131E-4</v>
      </c>
      <c r="BR16" s="48">
        <f>IFERROR(IF(AND(up_Irr!S16&lt;&gt;".",up_Irr!AQ16&lt;&gt;".",up_Irr!BO16&lt;&gt;"."),up_dir!AS16/((1/1000)*(up_Irr!S16+up_Irr!AQ16+up_Irr!BO16)),IF(AND(up_Irr!S16&lt;&gt;".",up_Irr!AQ16&lt;&gt;".",up_Irr!BO16="."),up_dir!AS16/((1/1000)*(up_Irr!S16+up_Irr!AQ16)),IF(AND(up_Irr!S16&lt;&gt;".",up_Irr!AQ16=".",up_Irr!BO16&lt;&gt;"."),up_dir!AS16/((1/1000)*(up_Irr!S16+up_Irr!BO16)),IF(AND(up_Irr!S16=".",up_Irr!AQ16&lt;&gt;".",up_Irr!BO16&lt;&gt;"."),up_dir!AS16/((1/1000)*(up_Irr!AQ16+up_Irr!BO16)),IF(AND(up_Irr!S16=".",up_Irr!AQ16=".",up_Irr!BO16&lt;&gt;"."),up_dir!AS16/((1/1000)*(up_Irr!BO16)),IF(AND(up_Irr!S16=".",up_Irr!AQ16&lt;&gt;".",up_Irr!BO16="."),up_dir!AS16/((1/1000)*(up_Irr!AQ16)),IF(AND(up_Irr!S16&lt;&gt;".",up_Irr!AQ16=".",up_Irr!BO16="."),up_dir!AS16/((1/1000)*(up_Irr!S16)),IF(AND(up_Irr!S16=".",up_Irr!AQ16=".",up_Irr!BO16="."),up_dir!AS16*1000)))))))),".")</f>
        <v>6.5773651144152131E-4</v>
      </c>
      <c r="BS16" s="48">
        <f>IFERROR(IF(AND(up_Irr!T16&lt;&gt;".",up_Irr!AR16&lt;&gt;".",up_Irr!BP16&lt;&gt;"."),up_dir!AT16/((1/1000)*(up_Irr!T16+up_Irr!AR16+up_Irr!BP16)),IF(AND(up_Irr!T16&lt;&gt;".",up_Irr!AR16&lt;&gt;".",up_Irr!BP16="."),up_dir!AT16/((1/1000)*(up_Irr!T16+up_Irr!AR16)),IF(AND(up_Irr!T16&lt;&gt;".",up_Irr!AR16=".",up_Irr!BP16&lt;&gt;"."),up_dir!AT16/((1/1000)*(up_Irr!T16+up_Irr!BP16)),IF(AND(up_Irr!T16=".",up_Irr!AR16&lt;&gt;".",up_Irr!BP16&lt;&gt;"."),up_dir!AT16/((1/1000)*(up_Irr!AR16+up_Irr!BP16)),IF(AND(up_Irr!T16=".",up_Irr!AR16=".",up_Irr!BP16&lt;&gt;"."),up_dir!AT16/((1/1000)*(up_Irr!BP16)),IF(AND(up_Irr!T16=".",up_Irr!AR16&lt;&gt;".",up_Irr!BP16="."),up_dir!AT16/((1/1000)*(up_Irr!AR16)),IF(AND(up_Irr!T16&lt;&gt;".",up_Irr!AR16=".",up_Irr!BP16="."),up_dir!AT16/((1/1000)*(up_Irr!T16)),IF(AND(up_Irr!T16=".",up_Irr!AR16=".",up_Irr!BP16="."),up_dir!AT16*1000)))))))),".")</f>
        <v>6.5773651144152131E-4</v>
      </c>
      <c r="BT16" s="48">
        <f>IFERROR(IF(AND(up_Irr!U16&lt;&gt;".",up_Irr!AS16&lt;&gt;".",up_Irr!BQ16&lt;&gt;"."),up_dir!AU16/((1/1000)*(up_Irr!U16+up_Irr!AS16+up_Irr!BQ16)),IF(AND(up_Irr!U16&lt;&gt;".",up_Irr!AS16&lt;&gt;".",up_Irr!BQ16="."),up_dir!AU16/((1/1000)*(up_Irr!U16+up_Irr!AS16)),IF(AND(up_Irr!U16&lt;&gt;".",up_Irr!AS16=".",up_Irr!BQ16&lt;&gt;"."),up_dir!AU16/((1/1000)*(up_Irr!U16+up_Irr!BQ16)),IF(AND(up_Irr!U16=".",up_Irr!AS16&lt;&gt;".",up_Irr!BQ16&lt;&gt;"."),up_dir!AU16/((1/1000)*(up_Irr!AS16+up_Irr!BQ16)),IF(AND(up_Irr!U16=".",up_Irr!AS16=".",up_Irr!BQ16&lt;&gt;"."),up_dir!AU16/((1/1000)*(up_Irr!BQ16)),IF(AND(up_Irr!U16=".",up_Irr!AS16&lt;&gt;".",up_Irr!BQ16="."),up_dir!AU16/((1/1000)*(up_Irr!AS16)),IF(AND(up_Irr!U16&lt;&gt;".",up_Irr!AS16=".",up_Irr!BQ16="."),up_dir!AU16/((1/1000)*(up_Irr!U16)),IF(AND(up_Irr!U16=".",up_Irr!AS16=".",up_Irr!BQ16="."),up_dir!AU16*1000)))))))),".")</f>
        <v>6.5773651144152131E-4</v>
      </c>
      <c r="BU16" s="48">
        <f>IFERROR(IF(AND(up_Irr!V16&lt;&gt;".",up_Irr!AT16&lt;&gt;".",up_Irr!BR16&lt;&gt;"."),up_dir!AV16/((1/1000)*(up_Irr!V16+up_Irr!AT16+up_Irr!BR16)),IF(AND(up_Irr!V16&lt;&gt;".",up_Irr!AT16&lt;&gt;".",up_Irr!BR16="."),up_dir!AV16/((1/1000)*(up_Irr!V16+up_Irr!AT16)),IF(AND(up_Irr!V16&lt;&gt;".",up_Irr!AT16=".",up_Irr!BR16&lt;&gt;"."),up_dir!AV16/((1/1000)*(up_Irr!V16+up_Irr!BR16)),IF(AND(up_Irr!V16=".",up_Irr!AT16&lt;&gt;".",up_Irr!BR16&lt;&gt;"."),up_dir!AV16/((1/1000)*(up_Irr!AT16+up_Irr!BR16)),IF(AND(up_Irr!V16=".",up_Irr!AT16=".",up_Irr!BR16&lt;&gt;"."),up_dir!AV16/((1/1000)*(up_Irr!BR16)),IF(AND(up_Irr!V16=".",up_Irr!AT16&lt;&gt;".",up_Irr!BR16="."),up_dir!AV16/((1/1000)*(up_Irr!AT16)),IF(AND(up_Irr!V16&lt;&gt;".",up_Irr!AT16=".",up_Irr!BR16="."),up_dir!AV16/((1/1000)*(up_Irr!V16)),IF(AND(up_Irr!V16=".",up_Irr!AT16=".",up_Irr!BR16="."),up_dir!AV16*1000)))))))),".")</f>
        <v>6.5773651144152131E-4</v>
      </c>
      <c r="BV16" s="48">
        <f>IFERROR(IF(AND(up_Irr!W16&lt;&gt;".",up_Irr!AU16&lt;&gt;".",up_Irr!BS16&lt;&gt;"."),up_dir!AW16/((1/1000)*(up_Irr!W16+up_Irr!AU16+up_Irr!BS16)),IF(AND(up_Irr!W16&lt;&gt;".",up_Irr!AU16&lt;&gt;".",up_Irr!BS16="."),up_dir!AW16/((1/1000)*(up_Irr!W16+up_Irr!AU16)),IF(AND(up_Irr!W16&lt;&gt;".",up_Irr!AU16=".",up_Irr!BS16&lt;&gt;"."),up_dir!AW16/((1/1000)*(up_Irr!W16+up_Irr!BS16)),IF(AND(up_Irr!W16=".",up_Irr!AU16&lt;&gt;".",up_Irr!BS16&lt;&gt;"."),up_dir!AW16/((1/1000)*(up_Irr!AU16+up_Irr!BS16)),IF(AND(up_Irr!W16=".",up_Irr!AU16=".",up_Irr!BS16&lt;&gt;"."),up_dir!AW16/((1/1000)*(up_Irr!BS16)),IF(AND(up_Irr!W16=".",up_Irr!AU16&lt;&gt;".",up_Irr!BS16="."),up_dir!AW16/((1/1000)*(up_Irr!AU16)),IF(AND(up_Irr!W16&lt;&gt;".",up_Irr!AU16=".",up_Irr!BS16="."),up_dir!AW16/((1/1000)*(up_Irr!W16)),IF(AND(up_Irr!W16=".",up_Irr!AU16=".",up_Irr!BS16="."),up_dir!AW16*1000)))))))),".")</f>
        <v>6.5773651144152131E-4</v>
      </c>
      <c r="BW16" s="48">
        <f>IFERROR(IF(AND(up_Irr!X16&lt;&gt;".",up_Irr!AV16&lt;&gt;".",up_Irr!BT16&lt;&gt;"."),up_dir!AX16/((1/1000)*(up_Irr!X16+up_Irr!AV16+up_Irr!BT16)),IF(AND(up_Irr!X16&lt;&gt;".",up_Irr!AV16&lt;&gt;".",up_Irr!BT16="."),up_dir!AX16/((1/1000)*(up_Irr!X16+up_Irr!AV16)),IF(AND(up_Irr!X16&lt;&gt;".",up_Irr!AV16=".",up_Irr!BT16&lt;&gt;"."),up_dir!AX16/((1/1000)*(up_Irr!X16+up_Irr!BT16)),IF(AND(up_Irr!X16=".",up_Irr!AV16&lt;&gt;".",up_Irr!BT16&lt;&gt;"."),up_dir!AX16/((1/1000)*(up_Irr!AV16+up_Irr!BT16)),IF(AND(up_Irr!X16=".",up_Irr!AV16=".",up_Irr!BT16&lt;&gt;"."),up_dir!AX16/((1/1000)*(up_Irr!BT16)),IF(AND(up_Irr!X16=".",up_Irr!AV16&lt;&gt;".",up_Irr!BT16="."),up_dir!AX16/((1/1000)*(up_Irr!AV16)),IF(AND(up_Irr!X16&lt;&gt;".",up_Irr!AV16=".",up_Irr!BT16="."),up_dir!AX16/((1/1000)*(up_Irr!X16)),IF(AND(up_Irr!X16=".",up_Irr!AV16=".",up_Irr!BT16="."),up_dir!AX16*1000)))))))),".")</f>
        <v>6.5773651144152131E-4</v>
      </c>
      <c r="BX16" s="48">
        <f>IFERROR(IF(AND(up_Irr!Y16&lt;&gt;".",up_Irr!AW16&lt;&gt;".",up_Irr!BU16&lt;&gt;"."),up_dir!AY16/((1/1000)*(up_Irr!Y16+up_Irr!AW16+up_Irr!BU16)),IF(AND(up_Irr!Y16&lt;&gt;".",up_Irr!AW16&lt;&gt;".",up_Irr!BU16="."),up_dir!AY16/((1/1000)*(up_Irr!Y16+up_Irr!AW16)),IF(AND(up_Irr!Y16&lt;&gt;".",up_Irr!AW16=".",up_Irr!BU16&lt;&gt;"."),up_dir!AY16/((1/1000)*(up_Irr!Y16+up_Irr!BU16)),IF(AND(up_Irr!Y16=".",up_Irr!AW16&lt;&gt;".",up_Irr!BU16&lt;&gt;"."),up_dir!AY16/((1/1000)*(up_Irr!AW16+up_Irr!BU16)),IF(AND(up_Irr!Y16=".",up_Irr!AW16=".",up_Irr!BU16&lt;&gt;"."),up_dir!AY16/((1/1000)*(up_Irr!BU16)),IF(AND(up_Irr!Y16=".",up_Irr!AW16&lt;&gt;".",up_Irr!BU16="."),up_dir!AY16/((1/1000)*(up_Irr!AW16)),IF(AND(up_Irr!Y16&lt;&gt;".",up_Irr!AW16=".",up_Irr!BU16="."),up_dir!AY16/((1/1000)*(up_Irr!Y16)),IF(AND(up_Irr!Y16=".",up_Irr!AW16=".",up_Irr!BU16="."),up_dir!AY16*1000)))))))),".")</f>
        <v>6.5773651144152131E-4</v>
      </c>
      <c r="BY16" s="48">
        <f>IFERROR(IF(AND(up_Irr!Z16&lt;&gt;".",up_Irr!AX16&lt;&gt;".",up_Irr!BV16&lt;&gt;"."),up_dir!AZ16/((1/1000)*(up_Irr!Z16+up_Irr!AX16+up_Irr!BV16)),IF(AND(up_Irr!Z16&lt;&gt;".",up_Irr!AX16&lt;&gt;".",up_Irr!BV16="."),up_dir!AZ16/((1/1000)*(up_Irr!Z16+up_Irr!AX16)),IF(AND(up_Irr!Z16&lt;&gt;".",up_Irr!AX16=".",up_Irr!BV16&lt;&gt;"."),up_dir!AZ16/((1/1000)*(up_Irr!Z16+up_Irr!BV16)),IF(AND(up_Irr!Z16=".",up_Irr!AX16&lt;&gt;".",up_Irr!BV16&lt;&gt;"."),up_dir!AZ16/((1/1000)*(up_Irr!AX16+up_Irr!BV16)),IF(AND(up_Irr!Z16=".",up_Irr!AX16=".",up_Irr!BV16&lt;&gt;"."),up_dir!AZ16/((1/1000)*(up_Irr!BV16)),IF(AND(up_Irr!Z16=".",up_Irr!AX16&lt;&gt;".",up_Irr!BV16="."),up_dir!AZ16/((1/1000)*(up_Irr!AX16)),IF(AND(up_Irr!Z16&lt;&gt;".",up_Irr!AX16=".",up_Irr!BV16="."),up_dir!AZ16/((1/1000)*(up_Irr!Z16)),IF(AND(up_Irr!Z16=".",up_Irr!AX16=".",up_Irr!BV16="."),up_dir!AZ16*1000)))))))),".")</f>
        <v>6.5773651144152131E-4</v>
      </c>
      <c r="BZ16" s="62">
        <f t="shared" si="3"/>
        <v>22805.4847785862</v>
      </c>
      <c r="CA16" s="62">
        <f>IFERROR(s_C*s_IFAP_far_adj*s_CF_apple*(1/1000)*(up_Irr!C16+up_Irr!AA16+up_Irr!AY16),".")</f>
        <v>7601.8282595287337</v>
      </c>
      <c r="CB16" s="62">
        <f>IFERROR(s_C*s_IFAS_far_adj*s_CF_asparagus*(1/1000)*(up_Irr!D16+up_Irr!AB16+up_Irr!AZ16),".")</f>
        <v>7601.8282595287337</v>
      </c>
      <c r="CC16" s="62">
        <f>IFERROR(s_C*s_IFBT_far_adj*s_CF_beet*(1/1000)*(up_Irr!E16+up_Irr!AC16+up_Irr!BA16),".")</f>
        <v>7601.8282595287337</v>
      </c>
      <c r="CD16" s="62">
        <f>IFERROR(s_C*s_IFBE_far_adj*s_CF_berries*(1/1000)*(up_Irr!F16+up_Irr!AD16+up_Irr!BB16),".")</f>
        <v>7601.8282595287337</v>
      </c>
      <c r="CE16" s="62">
        <f>IFERROR(s_C*s_IFBR_far_adj*s_CF_broccoli*(1/1000)*(up_Irr!G16+up_Irr!AE16+up_Irr!BC16),".")</f>
        <v>7601.8282595287337</v>
      </c>
      <c r="CF16" s="62">
        <f>IFERROR(s_C*s_IFCB_far_adj*s_CF_cabbage*(1/1000)*(up_Irr!H16+up_Irr!AF16+up_Irr!BD16),".")</f>
        <v>7601.8282595287337</v>
      </c>
      <c r="CG16" s="62">
        <f>IFERROR(s_C*s_IFCR_far_adj*s_CF_carrot*(1/1000)*(up_Irr!I16+up_Irr!AG16+up_Irr!BE16),".")</f>
        <v>7601.8282595287337</v>
      </c>
      <c r="CH16" s="62">
        <f>IFERROR(s_C*s_IFCI_far_adj*s_CF_citrus*(1/1000)*(up_Irr!J16+up_Irr!AH16+up_Irr!BF16),".")</f>
        <v>7601.8282595287337</v>
      </c>
      <c r="CI16" s="62">
        <f>IFERROR(s_C*s_IFCO_far_adj*s_CF_corn*(1/1000)*(up_Irr!K16+up_Irr!AI16+up_Irr!BG16),".")</f>
        <v>7601.8282595287337</v>
      </c>
      <c r="CJ16" s="62">
        <f>IFERROR(s_C*s_IFCU_far_adj*s_CF_cucumber*(1/1000)*(up_Irr!L16+up_Irr!AJ16+up_Irr!BH16),".")</f>
        <v>7601.8282595287337</v>
      </c>
      <c r="CK16" s="62">
        <f>IFERROR(s_C*s_IFLE_far_adj*s_CF_lettuce*(1/1000)*(up_Irr!M16+up_Irr!AK16+up_Irr!BI16),".")</f>
        <v>7601.8282595287337</v>
      </c>
      <c r="CL16" s="62">
        <f>IFERROR(s_C*s_IFLI_far_adj*s_CF_lima_bean*(1/1000)*(up_Irr!N16+up_Irr!AL16+up_Irr!BJ16),".")</f>
        <v>7601.8282595287337</v>
      </c>
      <c r="CM16" s="62">
        <f>IFERROR(s_C*s_IFOK_far_adj*s_CF_okra*(1/1000)*(up_Irr!O16+up_Irr!AM16+up_Irr!BK16),".")</f>
        <v>7601.8282595287337</v>
      </c>
      <c r="CN16" s="62">
        <f>IFERROR(s_C*s_IFON_far_adj*s_CF_onion*(1/1000)*(up_Irr!P16+up_Irr!AN16+up_Irr!BL16),".")</f>
        <v>7601.8282595287337</v>
      </c>
      <c r="CO16" s="62">
        <f>IFERROR(s_C*s_IFPC_far_adj*s_CF_peach*(1/1000)*(up_Irr!Q16+up_Irr!AO16+up_Irr!BM16),".")</f>
        <v>7601.8282595287337</v>
      </c>
      <c r="CP16" s="62">
        <f>IFERROR(s_C*s_IFPR_far_adj*s_CF_pear*(1/1000)*(up_Irr!R16+up_Irr!AP16+up_Irr!BN16),".")</f>
        <v>7601.8282595287337</v>
      </c>
      <c r="CQ16" s="62">
        <f>IFERROR(s_C*s_IFPE_far_adj*s_CF_peas*(1/1000)*(up_Irr!S16+up_Irr!AQ16+up_Irr!BO16),".")</f>
        <v>7601.8282595287337</v>
      </c>
      <c r="CR16" s="62">
        <f>IFERROR(s_C*s_IFPT_far_adj*s_CF_potato*(1/1000)*(up_Irr!T16+up_Irr!AR16+up_Irr!BP16),".")</f>
        <v>7601.8282595287337</v>
      </c>
      <c r="CS16" s="62">
        <f>IFERROR(s_C*s_IFPU_far_adj*s_CF_pumpkin*(1/1000)*(up_Irr!U16+up_Irr!AS16+up_Irr!BQ16),".")</f>
        <v>7601.8282595287337</v>
      </c>
      <c r="CT16" s="62">
        <f>IFERROR(s_C*s_IFSN_far_adj*s_CF_snap_bean*(1/1000)*(up_Irr!V16+up_Irr!AT16+up_Irr!BR16),".")</f>
        <v>7601.8282595287337</v>
      </c>
      <c r="CU16" s="62">
        <f>IFERROR(s_C*s_IFST_far_adj*s_CF_strawberry*(1/1000)*(up_Irr!W16+up_Irr!AU16+up_Irr!BS16),".")</f>
        <v>7601.8282595287337</v>
      </c>
      <c r="CV16" s="62">
        <f>IFERROR(s_C*s_IFTO_far_adj*s_CF_tomato*(1/1000)*(up_Irr!X16+up_Irr!AV16+up_Irr!BT16),".")</f>
        <v>7601.8282595287337</v>
      </c>
      <c r="CW16" s="62">
        <f>IFERROR(s_C*s_IFRI_far_adj*s_CF_rice*(1/1000)*(up_Irr!Y16+up_Irr!AW16+up_Irr!BU16),".")</f>
        <v>7601.8282595287337</v>
      </c>
      <c r="CX16" s="62">
        <f>IFERROR(s_C*s_IFCG_far_adj*s_CF_cereal*(1/1000)*(up_Irr!Z16+up_Irr!AX16+up_Irr!BV16),".")</f>
        <v>7601.8282595287337</v>
      </c>
    </row>
    <row r="17" spans="1:102" ht="15" customHeight="1" x14ac:dyDescent="0.25">
      <c r="A17" s="61" t="s">
        <v>15</v>
      </c>
      <c r="B17" s="49" t="s">
        <v>1059</v>
      </c>
      <c r="C17" s="48">
        <f t="shared" si="0"/>
        <v>2.1924550381384044E-4</v>
      </c>
      <c r="D17" s="48">
        <f>IFERROR(IF(AND(up_Irr!C17&lt;&gt;".",up_Irr!AA17&lt;&gt;".",up_Irr!AY17&lt;&gt;"."),up_dir!D17/((1/1000)*(up_Irr!C17+up_Irr!AA17+up_Irr!AY17)),IF(AND(up_Irr!C17&lt;&gt;".",up_Irr!AA17&lt;&gt;".",up_Irr!AY17="."),up_dir!D17/((1/1000)*(up_Irr!C17+up_Irr!AA17)),IF(AND(up_Irr!C17&lt;&gt;".",up_Irr!AA17=".",up_Irr!AY17&lt;&gt;"."),up_dir!D17/((1/1000)*(up_Irr!C17+up_Irr!AY17)),IF(AND(up_Irr!C17=".",up_Irr!AA17&lt;&gt;".",up_Irr!AY17&lt;&gt;"."),up_dir!D17/((1/1000)*(up_Irr!AA17+up_Irr!AY17)),IF(AND(up_Irr!C17=".",up_Irr!AA17=".",up_Irr!AY17&lt;&gt;"."),up_dir!D17/((1/1000)*(up_Irr!AY17)),IF(AND(up_Irr!C17=".",up_Irr!AA17&lt;&gt;".",up_Irr!AY17="."),up_dir!D17/((1/1000)*(up_Irr!AA17)),IF(AND(up_Irr!C17&lt;&gt;".",up_Irr!AA17=".",up_Irr!AY17="."),up_dir!D17/((1/1000)*(up_Irr!C17)),IF(AND(up_Irr!C17=".",up_Irr!AA17=".",up_Irr!AY17="."),up_dir!D17*1000)))))))),".")</f>
        <v>6.5773651144152131E-4</v>
      </c>
      <c r="E17" s="48">
        <f>IFERROR(IF(AND(up_Irr!D17&lt;&gt;".",up_Irr!AB17&lt;&gt;".",up_Irr!AZ17&lt;&gt;"."),up_dir!E17/((1/1000)*(up_Irr!D17+up_Irr!AB17+up_Irr!AZ17)),IF(AND(up_Irr!D17&lt;&gt;".",up_Irr!AB17&lt;&gt;".",up_Irr!AZ17="."),up_dir!E17/((1/1000)*(up_Irr!D17+up_Irr!AB17)),IF(AND(up_Irr!D17&lt;&gt;".",up_Irr!AB17=".",up_Irr!AZ17&lt;&gt;"."),up_dir!E17/((1/1000)*(up_Irr!D17+up_Irr!AZ17)),IF(AND(up_Irr!D17=".",up_Irr!AB17&lt;&gt;".",up_Irr!AZ17&lt;&gt;"."),up_dir!E17/((1/1000)*(up_Irr!AB17+up_Irr!AZ17)),IF(AND(up_Irr!D17=".",up_Irr!AB17=".",up_Irr!AZ17&lt;&gt;"."),up_dir!E17/((1/1000)*(up_Irr!AZ17)),IF(AND(up_Irr!D17=".",up_Irr!AB17&lt;&gt;".",up_Irr!AZ17="."),up_dir!E17/((1/1000)*(up_Irr!AB17)),IF(AND(up_Irr!D17&lt;&gt;".",up_Irr!AB17=".",up_Irr!AZ17="."),up_dir!E17/((1/1000)*(up_Irr!D17)),IF(AND(up_Irr!D17=".",up_Irr!AB17=".",up_Irr!AZ17="."),up_dir!E17*1000)))))))),".")</f>
        <v>6.5773651144152131E-4</v>
      </c>
      <c r="F17" s="48">
        <f>IFERROR(IF(AND(up_Irr!E17&lt;&gt;".",up_Irr!AC17&lt;&gt;".",up_Irr!BA17&lt;&gt;"."),up_dir!F17/((1/1000)*(up_Irr!E17+up_Irr!AC17+up_Irr!BA17)),IF(AND(up_Irr!E17&lt;&gt;".",up_Irr!AC17&lt;&gt;".",up_Irr!BA17="."),up_dir!F17/((1/1000)*(up_Irr!E17+up_Irr!AC17)),IF(AND(up_Irr!E17&lt;&gt;".",up_Irr!AC17=".",up_Irr!BA17&lt;&gt;"."),up_dir!F17/((1/1000)*(up_Irr!E17+up_Irr!BA17)),IF(AND(up_Irr!E17=".",up_Irr!AC17&lt;&gt;".",up_Irr!BA17&lt;&gt;"."),up_dir!F17/((1/1000)*(up_Irr!AC17+up_Irr!BA17)),IF(AND(up_Irr!E17=".",up_Irr!AC17=".",up_Irr!BA17&lt;&gt;"."),up_dir!F17/((1/1000)*(up_Irr!BA17)),IF(AND(up_Irr!E17=".",up_Irr!AC17&lt;&gt;".",up_Irr!BA17="."),up_dir!F17/((1/1000)*(up_Irr!AC17)),IF(AND(up_Irr!E17&lt;&gt;".",up_Irr!AC17=".",up_Irr!BA17="."),up_dir!F17/((1/1000)*(up_Irr!E17)),IF(AND(up_Irr!E17=".",up_Irr!AC17=".",up_Irr!BA17="."),up_dir!F17*1000)))))))),".")</f>
        <v>6.5773651144152131E-4</v>
      </c>
      <c r="G17" s="48">
        <f>IFERROR(IF(AND(up_Irr!F17&lt;&gt;".",up_Irr!AD17&lt;&gt;".",up_Irr!BB17&lt;&gt;"."),up_dir!G17/((1/1000)*(up_Irr!F17+up_Irr!AD17+up_Irr!BB17)),IF(AND(up_Irr!F17&lt;&gt;".",up_Irr!AD17&lt;&gt;".",up_Irr!BB17="."),up_dir!G17/((1/1000)*(up_Irr!F17+up_Irr!AD17)),IF(AND(up_Irr!F17&lt;&gt;".",up_Irr!AD17=".",up_Irr!BB17&lt;&gt;"."),up_dir!G17/((1/1000)*(up_Irr!F17+up_Irr!BB17)),IF(AND(up_Irr!F17=".",up_Irr!AD17&lt;&gt;".",up_Irr!BB17&lt;&gt;"."),up_dir!G17/((1/1000)*(up_Irr!AD17+up_Irr!BB17)),IF(AND(up_Irr!F17=".",up_Irr!AD17=".",up_Irr!BB17&lt;&gt;"."),up_dir!G17/((1/1000)*(up_Irr!BB17)),IF(AND(up_Irr!F17=".",up_Irr!AD17&lt;&gt;".",up_Irr!BB17="."),up_dir!G17/((1/1000)*(up_Irr!AD17)),IF(AND(up_Irr!F17&lt;&gt;".",up_Irr!AD17=".",up_Irr!BB17="."),up_dir!G17/((1/1000)*(up_Irr!F17)),IF(AND(up_Irr!F17=".",up_Irr!AD17=".",up_Irr!BB17="."),up_dir!G17*1000)))))))),".")</f>
        <v>6.5773651144152131E-4</v>
      </c>
      <c r="H17" s="48">
        <f>IFERROR(IF(AND(up_Irr!G17&lt;&gt;".",up_Irr!AE17&lt;&gt;".",up_Irr!BC17&lt;&gt;"."),up_dir!H17/((1/1000)*(up_Irr!G17+up_Irr!AE17+up_Irr!BC17)),IF(AND(up_Irr!G17&lt;&gt;".",up_Irr!AE17&lt;&gt;".",up_Irr!BC17="."),up_dir!H17/((1/1000)*(up_Irr!G17+up_Irr!AE17)),IF(AND(up_Irr!G17&lt;&gt;".",up_Irr!AE17=".",up_Irr!BC17&lt;&gt;"."),up_dir!H17/((1/1000)*(up_Irr!G17+up_Irr!BC17)),IF(AND(up_Irr!G17=".",up_Irr!AE17&lt;&gt;".",up_Irr!BC17&lt;&gt;"."),up_dir!H17/((1/1000)*(up_Irr!AE17+up_Irr!BC17)),IF(AND(up_Irr!G17=".",up_Irr!AE17=".",up_Irr!BC17&lt;&gt;"."),up_dir!H17/((1/1000)*(up_Irr!BC17)),IF(AND(up_Irr!G17=".",up_Irr!AE17&lt;&gt;".",up_Irr!BC17="."),up_dir!H17/((1/1000)*(up_Irr!AE17)),IF(AND(up_Irr!G17&lt;&gt;".",up_Irr!AE17=".",up_Irr!BC17="."),up_dir!H17/((1/1000)*(up_Irr!G17)),IF(AND(up_Irr!G17=".",up_Irr!AE17=".",up_Irr!BC17="."),up_dir!H17*1000)))))))),".")</f>
        <v>6.5773651144152131E-4</v>
      </c>
      <c r="I17" s="48">
        <f>IFERROR(IF(AND(up_Irr!H17&lt;&gt;".",up_Irr!AF17&lt;&gt;".",up_Irr!BD17&lt;&gt;"."),up_dir!I17/((1/1000)*(up_Irr!H17+up_Irr!AF17+up_Irr!BD17)),IF(AND(up_Irr!H17&lt;&gt;".",up_Irr!AF17&lt;&gt;".",up_Irr!BD17="."),up_dir!I17/((1/1000)*(up_Irr!H17+up_Irr!AF17)),IF(AND(up_Irr!H17&lt;&gt;".",up_Irr!AF17=".",up_Irr!BD17&lt;&gt;"."),up_dir!I17/((1/1000)*(up_Irr!H17+up_Irr!BD17)),IF(AND(up_Irr!H17=".",up_Irr!AF17&lt;&gt;".",up_Irr!BD17&lt;&gt;"."),up_dir!I17/((1/1000)*(up_Irr!AF17+up_Irr!BD17)),IF(AND(up_Irr!H17=".",up_Irr!AF17=".",up_Irr!BD17&lt;&gt;"."),up_dir!I17/((1/1000)*(up_Irr!BD17)),IF(AND(up_Irr!H17=".",up_Irr!AF17&lt;&gt;".",up_Irr!BD17="."),up_dir!I17/((1/1000)*(up_Irr!AF17)),IF(AND(up_Irr!H17&lt;&gt;".",up_Irr!AF17=".",up_Irr!BD17="."),up_dir!I17/((1/1000)*(up_Irr!H17)),IF(AND(up_Irr!H17=".",up_Irr!AF17=".",up_Irr!BD17="."),up_dir!I17*1000)))))))),".")</f>
        <v>6.5773651144152131E-4</v>
      </c>
      <c r="J17" s="48">
        <f>IFERROR(IF(AND(up_Irr!I17&lt;&gt;".",up_Irr!AG17&lt;&gt;".",up_Irr!BE17&lt;&gt;"."),up_dir!J17/((1/1000)*(up_Irr!I17+up_Irr!AG17+up_Irr!BE17)),IF(AND(up_Irr!I17&lt;&gt;".",up_Irr!AG17&lt;&gt;".",up_Irr!BE17="."),up_dir!J17/((1/1000)*(up_Irr!I17+up_Irr!AG17)),IF(AND(up_Irr!I17&lt;&gt;".",up_Irr!AG17=".",up_Irr!BE17&lt;&gt;"."),up_dir!J17/((1/1000)*(up_Irr!I17+up_Irr!BE17)),IF(AND(up_Irr!I17=".",up_Irr!AG17&lt;&gt;".",up_Irr!BE17&lt;&gt;"."),up_dir!J17/((1/1000)*(up_Irr!AG17+up_Irr!BE17)),IF(AND(up_Irr!I17=".",up_Irr!AG17=".",up_Irr!BE17&lt;&gt;"."),up_dir!J17/((1/1000)*(up_Irr!BE17)),IF(AND(up_Irr!I17=".",up_Irr!AG17&lt;&gt;".",up_Irr!BE17="."),up_dir!J17/((1/1000)*(up_Irr!AG17)),IF(AND(up_Irr!I17&lt;&gt;".",up_Irr!AG17=".",up_Irr!BE17="."),up_dir!J17/((1/1000)*(up_Irr!I17)),IF(AND(up_Irr!I17=".",up_Irr!AG17=".",up_Irr!BE17="."),up_dir!J17*1000)))))))),".")</f>
        <v>6.5773651144152131E-4</v>
      </c>
      <c r="K17" s="48">
        <f>IFERROR(IF(AND(up_Irr!J17&lt;&gt;".",up_Irr!AH17&lt;&gt;".",up_Irr!BF17&lt;&gt;"."),up_dir!K17/((1/1000)*(up_Irr!J17+up_Irr!AH17+up_Irr!BF17)),IF(AND(up_Irr!J17&lt;&gt;".",up_Irr!AH17&lt;&gt;".",up_Irr!BF17="."),up_dir!K17/((1/1000)*(up_Irr!J17+up_Irr!AH17)),IF(AND(up_Irr!J17&lt;&gt;".",up_Irr!AH17=".",up_Irr!BF17&lt;&gt;"."),up_dir!K17/((1/1000)*(up_Irr!J17+up_Irr!BF17)),IF(AND(up_Irr!J17=".",up_Irr!AH17&lt;&gt;".",up_Irr!BF17&lt;&gt;"."),up_dir!K17/((1/1000)*(up_Irr!AH17+up_Irr!BF17)),IF(AND(up_Irr!J17=".",up_Irr!AH17=".",up_Irr!BF17&lt;&gt;"."),up_dir!K17/((1/1000)*(up_Irr!BF17)),IF(AND(up_Irr!J17=".",up_Irr!AH17&lt;&gt;".",up_Irr!BF17="."),up_dir!K17/((1/1000)*(up_Irr!AH17)),IF(AND(up_Irr!J17&lt;&gt;".",up_Irr!AH17=".",up_Irr!BF17="."),up_dir!K17/((1/1000)*(up_Irr!J17)),IF(AND(up_Irr!J17=".",up_Irr!AH17=".",up_Irr!BF17="."),up_dir!K17*1000)))))))),".")</f>
        <v>6.5773651144152131E-4</v>
      </c>
      <c r="L17" s="48">
        <f>IFERROR(IF(AND(up_Irr!K17&lt;&gt;".",up_Irr!AI17&lt;&gt;".",up_Irr!BG17&lt;&gt;"."),up_dir!L17/((1/1000)*(up_Irr!K17+up_Irr!AI17+up_Irr!BG17)),IF(AND(up_Irr!K17&lt;&gt;".",up_Irr!AI17&lt;&gt;".",up_Irr!BG17="."),up_dir!L17/((1/1000)*(up_Irr!K17+up_Irr!AI17)),IF(AND(up_Irr!K17&lt;&gt;".",up_Irr!AI17=".",up_Irr!BG17&lt;&gt;"."),up_dir!L17/((1/1000)*(up_Irr!K17+up_Irr!BG17)),IF(AND(up_Irr!K17=".",up_Irr!AI17&lt;&gt;".",up_Irr!BG17&lt;&gt;"."),up_dir!L17/((1/1000)*(up_Irr!AI17+up_Irr!BG17)),IF(AND(up_Irr!K17=".",up_Irr!AI17=".",up_Irr!BG17&lt;&gt;"."),up_dir!L17/((1/1000)*(up_Irr!BG17)),IF(AND(up_Irr!K17=".",up_Irr!AI17&lt;&gt;".",up_Irr!BG17="."),up_dir!L17/((1/1000)*(up_Irr!AI17)),IF(AND(up_Irr!K17&lt;&gt;".",up_Irr!AI17=".",up_Irr!BG17="."),up_dir!L17/((1/1000)*(up_Irr!K17)),IF(AND(up_Irr!K17=".",up_Irr!AI17=".",up_Irr!BG17="."),up_dir!L17*1000)))))))),".")</f>
        <v>6.5773651144152131E-4</v>
      </c>
      <c r="M17" s="48">
        <f>IFERROR(IF(AND(up_Irr!L17&lt;&gt;".",up_Irr!AJ17&lt;&gt;".",up_Irr!BH17&lt;&gt;"."),up_dir!M17/((1/1000)*(up_Irr!L17+up_Irr!AJ17+up_Irr!BH17)),IF(AND(up_Irr!L17&lt;&gt;".",up_Irr!AJ17&lt;&gt;".",up_Irr!BH17="."),up_dir!M17/((1/1000)*(up_Irr!L17+up_Irr!AJ17)),IF(AND(up_Irr!L17&lt;&gt;".",up_Irr!AJ17=".",up_Irr!BH17&lt;&gt;"."),up_dir!M17/((1/1000)*(up_Irr!L17+up_Irr!BH17)),IF(AND(up_Irr!L17=".",up_Irr!AJ17&lt;&gt;".",up_Irr!BH17&lt;&gt;"."),up_dir!M17/((1/1000)*(up_Irr!AJ17+up_Irr!BH17)),IF(AND(up_Irr!L17=".",up_Irr!AJ17=".",up_Irr!BH17&lt;&gt;"."),up_dir!M17/((1/1000)*(up_Irr!BH17)),IF(AND(up_Irr!L17=".",up_Irr!AJ17&lt;&gt;".",up_Irr!BH17="."),up_dir!M17/((1/1000)*(up_Irr!AJ17)),IF(AND(up_Irr!L17&lt;&gt;".",up_Irr!AJ17=".",up_Irr!BH17="."),up_dir!M17/((1/1000)*(up_Irr!L17)),IF(AND(up_Irr!L17=".",up_Irr!AJ17=".",up_Irr!BH17="."),up_dir!M17*1000)))))))),".")</f>
        <v>6.5773651144152131E-4</v>
      </c>
      <c r="N17" s="48">
        <f>IFERROR(IF(AND(up_Irr!M17&lt;&gt;".",up_Irr!AK17&lt;&gt;".",up_Irr!BI17&lt;&gt;"."),up_dir!N17/((1/1000)*(up_Irr!M17+up_Irr!AK17+up_Irr!BI17)),IF(AND(up_Irr!M17&lt;&gt;".",up_Irr!AK17&lt;&gt;".",up_Irr!BI17="."),up_dir!N17/((1/1000)*(up_Irr!M17+up_Irr!AK17)),IF(AND(up_Irr!M17&lt;&gt;".",up_Irr!AK17=".",up_Irr!BI17&lt;&gt;"."),up_dir!N17/((1/1000)*(up_Irr!M17+up_Irr!BI17)),IF(AND(up_Irr!M17=".",up_Irr!AK17&lt;&gt;".",up_Irr!BI17&lt;&gt;"."),up_dir!N17/((1/1000)*(up_Irr!AK17+up_Irr!BI17)),IF(AND(up_Irr!M17=".",up_Irr!AK17=".",up_Irr!BI17&lt;&gt;"."),up_dir!N17/((1/1000)*(up_Irr!BI17)),IF(AND(up_Irr!M17=".",up_Irr!AK17&lt;&gt;".",up_Irr!BI17="."),up_dir!N17/((1/1000)*(up_Irr!AK17)),IF(AND(up_Irr!M17&lt;&gt;".",up_Irr!AK17=".",up_Irr!BI17="."),up_dir!N17/((1/1000)*(up_Irr!M17)),IF(AND(up_Irr!M17=".",up_Irr!AK17=".",up_Irr!BI17="."),up_dir!N17*1000)))))))),".")</f>
        <v>6.5773651144152131E-4</v>
      </c>
      <c r="O17" s="48">
        <f>IFERROR(IF(AND(up_Irr!N17&lt;&gt;".",up_Irr!AL17&lt;&gt;".",up_Irr!BJ17&lt;&gt;"."),up_dir!O17/((1/1000)*(up_Irr!N17+up_Irr!AL17+up_Irr!BJ17)),IF(AND(up_Irr!N17&lt;&gt;".",up_Irr!AL17&lt;&gt;".",up_Irr!BJ17="."),up_dir!O17/((1/1000)*(up_Irr!N17+up_Irr!AL17)),IF(AND(up_Irr!N17&lt;&gt;".",up_Irr!AL17=".",up_Irr!BJ17&lt;&gt;"."),up_dir!O17/((1/1000)*(up_Irr!N17+up_Irr!BJ17)),IF(AND(up_Irr!N17=".",up_Irr!AL17&lt;&gt;".",up_Irr!BJ17&lt;&gt;"."),up_dir!O17/((1/1000)*(up_Irr!AL17+up_Irr!BJ17)),IF(AND(up_Irr!N17=".",up_Irr!AL17=".",up_Irr!BJ17&lt;&gt;"."),up_dir!O17/((1/1000)*(up_Irr!BJ17)),IF(AND(up_Irr!N17=".",up_Irr!AL17&lt;&gt;".",up_Irr!BJ17="."),up_dir!O17/((1/1000)*(up_Irr!AL17)),IF(AND(up_Irr!N17&lt;&gt;".",up_Irr!AL17=".",up_Irr!BJ17="."),up_dir!O17/((1/1000)*(up_Irr!N17)),IF(AND(up_Irr!N17=".",up_Irr!AL17=".",up_Irr!BJ17="."),up_dir!O17*1000)))))))),".")</f>
        <v>6.5773651144152131E-4</v>
      </c>
      <c r="P17" s="48">
        <f>IFERROR(IF(AND(up_Irr!O17&lt;&gt;".",up_Irr!AM17&lt;&gt;".",up_Irr!BK17&lt;&gt;"."),up_dir!P17/((1/1000)*(up_Irr!O17+up_Irr!AM17+up_Irr!BK17)),IF(AND(up_Irr!O17&lt;&gt;".",up_Irr!AM17&lt;&gt;".",up_Irr!BK17="."),up_dir!P17/((1/1000)*(up_Irr!O17+up_Irr!AM17)),IF(AND(up_Irr!O17&lt;&gt;".",up_Irr!AM17=".",up_Irr!BK17&lt;&gt;"."),up_dir!P17/((1/1000)*(up_Irr!O17+up_Irr!BK17)),IF(AND(up_Irr!O17=".",up_Irr!AM17&lt;&gt;".",up_Irr!BK17&lt;&gt;"."),up_dir!P17/((1/1000)*(up_Irr!AM17+up_Irr!BK17)),IF(AND(up_Irr!O17=".",up_Irr!AM17=".",up_Irr!BK17&lt;&gt;"."),up_dir!P17/((1/1000)*(up_Irr!BK17)),IF(AND(up_Irr!O17=".",up_Irr!AM17&lt;&gt;".",up_Irr!BK17="."),up_dir!P17/((1/1000)*(up_Irr!AM17)),IF(AND(up_Irr!O17&lt;&gt;".",up_Irr!AM17=".",up_Irr!BK17="."),up_dir!P17/((1/1000)*(up_Irr!O17)),IF(AND(up_Irr!O17=".",up_Irr!AM17=".",up_Irr!BK17="."),up_dir!P17*1000)))))))),".")</f>
        <v>6.5773651144152131E-4</v>
      </c>
      <c r="Q17" s="48">
        <f>IFERROR(IF(AND(up_Irr!P17&lt;&gt;".",up_Irr!AN17&lt;&gt;".",up_Irr!BL17&lt;&gt;"."),up_dir!Q17/((1/1000)*(up_Irr!P17+up_Irr!AN17+up_Irr!BL17)),IF(AND(up_Irr!P17&lt;&gt;".",up_Irr!AN17&lt;&gt;".",up_Irr!BL17="."),up_dir!Q17/((1/1000)*(up_Irr!P17+up_Irr!AN17)),IF(AND(up_Irr!P17&lt;&gt;".",up_Irr!AN17=".",up_Irr!BL17&lt;&gt;"."),up_dir!Q17/((1/1000)*(up_Irr!P17+up_Irr!BL17)),IF(AND(up_Irr!P17=".",up_Irr!AN17&lt;&gt;".",up_Irr!BL17&lt;&gt;"."),up_dir!Q17/((1/1000)*(up_Irr!AN17+up_Irr!BL17)),IF(AND(up_Irr!P17=".",up_Irr!AN17=".",up_Irr!BL17&lt;&gt;"."),up_dir!Q17/((1/1000)*(up_Irr!BL17)),IF(AND(up_Irr!P17=".",up_Irr!AN17&lt;&gt;".",up_Irr!BL17="."),up_dir!Q17/((1/1000)*(up_Irr!AN17)),IF(AND(up_Irr!P17&lt;&gt;".",up_Irr!AN17=".",up_Irr!BL17="."),up_dir!Q17/((1/1000)*(up_Irr!P17)),IF(AND(up_Irr!P17=".",up_Irr!AN17=".",up_Irr!BL17="."),up_dir!Q17*1000)))))))),".")</f>
        <v>6.5773651144152131E-4</v>
      </c>
      <c r="R17" s="48">
        <f>IFERROR(IF(AND(up_Irr!Q17&lt;&gt;".",up_Irr!AO17&lt;&gt;".",up_Irr!BM17&lt;&gt;"."),up_dir!R17/((1/1000)*(up_Irr!Q17+up_Irr!AO17+up_Irr!BM17)),IF(AND(up_Irr!Q17&lt;&gt;".",up_Irr!AO17&lt;&gt;".",up_Irr!BM17="."),up_dir!R17/((1/1000)*(up_Irr!Q17+up_Irr!AO17)),IF(AND(up_Irr!Q17&lt;&gt;".",up_Irr!AO17=".",up_Irr!BM17&lt;&gt;"."),up_dir!R17/((1/1000)*(up_Irr!Q17+up_Irr!BM17)),IF(AND(up_Irr!Q17=".",up_Irr!AO17&lt;&gt;".",up_Irr!BM17&lt;&gt;"."),up_dir!R17/((1/1000)*(up_Irr!AO17+up_Irr!BM17)),IF(AND(up_Irr!Q17=".",up_Irr!AO17=".",up_Irr!BM17&lt;&gt;"."),up_dir!R17/((1/1000)*(up_Irr!BM17)),IF(AND(up_Irr!Q17=".",up_Irr!AO17&lt;&gt;".",up_Irr!BM17="."),up_dir!R17/((1/1000)*(up_Irr!AO17)),IF(AND(up_Irr!Q17&lt;&gt;".",up_Irr!AO17=".",up_Irr!BM17="."),up_dir!R17/((1/1000)*(up_Irr!Q17)),IF(AND(up_Irr!Q17=".",up_Irr!AO17=".",up_Irr!BM17="."),up_dir!R17*1000)))))))),".")</f>
        <v>6.5773651144152131E-4</v>
      </c>
      <c r="S17" s="48">
        <f>IFERROR(IF(AND(up_Irr!R17&lt;&gt;".",up_Irr!AP17&lt;&gt;".",up_Irr!BN17&lt;&gt;"."),up_dir!S17/((1/1000)*(up_Irr!R17+up_Irr!AP17+up_Irr!BN17)),IF(AND(up_Irr!R17&lt;&gt;".",up_Irr!AP17&lt;&gt;".",up_Irr!BN17="."),up_dir!S17/((1/1000)*(up_Irr!R17+up_Irr!AP17)),IF(AND(up_Irr!R17&lt;&gt;".",up_Irr!AP17=".",up_Irr!BN17&lt;&gt;"."),up_dir!S17/((1/1000)*(up_Irr!R17+up_Irr!BN17)),IF(AND(up_Irr!R17=".",up_Irr!AP17&lt;&gt;".",up_Irr!BN17&lt;&gt;"."),up_dir!S17/((1/1000)*(up_Irr!AP17+up_Irr!BN17)),IF(AND(up_Irr!R17=".",up_Irr!AP17=".",up_Irr!BN17&lt;&gt;"."),up_dir!S17/((1/1000)*(up_Irr!BN17)),IF(AND(up_Irr!R17=".",up_Irr!AP17&lt;&gt;".",up_Irr!BN17="."),up_dir!S17/((1/1000)*(up_Irr!AP17)),IF(AND(up_Irr!R17&lt;&gt;".",up_Irr!AP17=".",up_Irr!BN17="."),up_dir!S17/((1/1000)*(up_Irr!R17)),IF(AND(up_Irr!R17=".",up_Irr!AP17=".",up_Irr!BN17="."),up_dir!S17*1000)))))))),".")</f>
        <v>6.5773651144152131E-4</v>
      </c>
      <c r="T17" s="48">
        <f>IFERROR(IF(AND(up_Irr!S17&lt;&gt;".",up_Irr!AQ17&lt;&gt;".",up_Irr!BO17&lt;&gt;"."),up_dir!T17/((1/1000)*(up_Irr!S17+up_Irr!AQ17+up_Irr!BO17)),IF(AND(up_Irr!S17&lt;&gt;".",up_Irr!AQ17&lt;&gt;".",up_Irr!BO17="."),up_dir!T17/((1/1000)*(up_Irr!S17+up_Irr!AQ17)),IF(AND(up_Irr!S17&lt;&gt;".",up_Irr!AQ17=".",up_Irr!BO17&lt;&gt;"."),up_dir!T17/((1/1000)*(up_Irr!S17+up_Irr!BO17)),IF(AND(up_Irr!S17=".",up_Irr!AQ17&lt;&gt;".",up_Irr!BO17&lt;&gt;"."),up_dir!T17/((1/1000)*(up_Irr!AQ17+up_Irr!BO17)),IF(AND(up_Irr!S17=".",up_Irr!AQ17=".",up_Irr!BO17&lt;&gt;"."),up_dir!T17/((1/1000)*(up_Irr!BO17)),IF(AND(up_Irr!S17=".",up_Irr!AQ17&lt;&gt;".",up_Irr!BO17="."),up_dir!T17/((1/1000)*(up_Irr!AQ17)),IF(AND(up_Irr!S17&lt;&gt;".",up_Irr!AQ17=".",up_Irr!BO17="."),up_dir!T17/((1/1000)*(up_Irr!S17)),IF(AND(up_Irr!S17=".",up_Irr!AQ17=".",up_Irr!BO17="."),up_dir!T17*1000)))))))),".")</f>
        <v>6.5773651144152131E-4</v>
      </c>
      <c r="U17" s="48">
        <f>IFERROR(IF(AND(up_Irr!T17&lt;&gt;".",up_Irr!AR17&lt;&gt;".",up_Irr!BP17&lt;&gt;"."),up_dir!U17/((1/1000)*(up_Irr!T17+up_Irr!AR17+up_Irr!BP17)),IF(AND(up_Irr!T17&lt;&gt;".",up_Irr!AR17&lt;&gt;".",up_Irr!BP17="."),up_dir!U17/((1/1000)*(up_Irr!T17+up_Irr!AR17)),IF(AND(up_Irr!T17&lt;&gt;".",up_Irr!AR17=".",up_Irr!BP17&lt;&gt;"."),up_dir!U17/((1/1000)*(up_Irr!T17+up_Irr!BP17)),IF(AND(up_Irr!T17=".",up_Irr!AR17&lt;&gt;".",up_Irr!BP17&lt;&gt;"."),up_dir!U17/((1/1000)*(up_Irr!AR17+up_Irr!BP17)),IF(AND(up_Irr!T17=".",up_Irr!AR17=".",up_Irr!BP17&lt;&gt;"."),up_dir!U17/((1/1000)*(up_Irr!BP17)),IF(AND(up_Irr!T17=".",up_Irr!AR17&lt;&gt;".",up_Irr!BP17="."),up_dir!U17/((1/1000)*(up_Irr!AR17)),IF(AND(up_Irr!T17&lt;&gt;".",up_Irr!AR17=".",up_Irr!BP17="."),up_dir!U17/((1/1000)*(up_Irr!T17)),IF(AND(up_Irr!T17=".",up_Irr!AR17=".",up_Irr!BP17="."),up_dir!U17*1000)))))))),".")</f>
        <v>6.5773651144152131E-4</v>
      </c>
      <c r="V17" s="48">
        <f>IFERROR(IF(AND(up_Irr!U17&lt;&gt;".",up_Irr!AS17&lt;&gt;".",up_Irr!BQ17&lt;&gt;"."),up_dir!V17/((1/1000)*(up_Irr!U17+up_Irr!AS17+up_Irr!BQ17)),IF(AND(up_Irr!U17&lt;&gt;".",up_Irr!AS17&lt;&gt;".",up_Irr!BQ17="."),up_dir!V17/((1/1000)*(up_Irr!U17+up_Irr!AS17)),IF(AND(up_Irr!U17&lt;&gt;".",up_Irr!AS17=".",up_Irr!BQ17&lt;&gt;"."),up_dir!V17/((1/1000)*(up_Irr!U17+up_Irr!BQ17)),IF(AND(up_Irr!U17=".",up_Irr!AS17&lt;&gt;".",up_Irr!BQ17&lt;&gt;"."),up_dir!V17/((1/1000)*(up_Irr!AS17+up_Irr!BQ17)),IF(AND(up_Irr!U17=".",up_Irr!AS17=".",up_Irr!BQ17&lt;&gt;"."),up_dir!V17/((1/1000)*(up_Irr!BQ17)),IF(AND(up_Irr!U17=".",up_Irr!AS17&lt;&gt;".",up_Irr!BQ17="."),up_dir!V17/((1/1000)*(up_Irr!AS17)),IF(AND(up_Irr!U17&lt;&gt;".",up_Irr!AS17=".",up_Irr!BQ17="."),up_dir!V17/((1/1000)*(up_Irr!U17)),IF(AND(up_Irr!U17=".",up_Irr!AS17=".",up_Irr!BQ17="."),up_dir!V17*1000)))))))),".")</f>
        <v>6.5773651144152131E-4</v>
      </c>
      <c r="W17" s="48">
        <f>IFERROR(IF(AND(up_Irr!V17&lt;&gt;".",up_Irr!AT17&lt;&gt;".",up_Irr!BR17&lt;&gt;"."),up_dir!W17/((1/1000)*(up_Irr!V17+up_Irr!AT17+up_Irr!BR17)),IF(AND(up_Irr!V17&lt;&gt;".",up_Irr!AT17&lt;&gt;".",up_Irr!BR17="."),up_dir!W17/((1/1000)*(up_Irr!V17+up_Irr!AT17)),IF(AND(up_Irr!V17&lt;&gt;".",up_Irr!AT17=".",up_Irr!BR17&lt;&gt;"."),up_dir!W17/((1/1000)*(up_Irr!V17+up_Irr!BR17)),IF(AND(up_Irr!V17=".",up_Irr!AT17&lt;&gt;".",up_Irr!BR17&lt;&gt;"."),up_dir!W17/((1/1000)*(up_Irr!AT17+up_Irr!BR17)),IF(AND(up_Irr!V17=".",up_Irr!AT17=".",up_Irr!BR17&lt;&gt;"."),up_dir!W17/((1/1000)*(up_Irr!BR17)),IF(AND(up_Irr!V17=".",up_Irr!AT17&lt;&gt;".",up_Irr!BR17="."),up_dir!W17/((1/1000)*(up_Irr!AT17)),IF(AND(up_Irr!V17&lt;&gt;".",up_Irr!AT17=".",up_Irr!BR17="."),up_dir!W17/((1/1000)*(up_Irr!V17)),IF(AND(up_Irr!V17=".",up_Irr!AT17=".",up_Irr!BR17="."),up_dir!W17*1000)))))))),".")</f>
        <v>6.5773651144152131E-4</v>
      </c>
      <c r="X17" s="48">
        <f>IFERROR(IF(AND(up_Irr!W17&lt;&gt;".",up_Irr!AU17&lt;&gt;".",up_Irr!BS17&lt;&gt;"."),up_dir!X17/((1/1000)*(up_Irr!W17+up_Irr!AU17+up_Irr!BS17)),IF(AND(up_Irr!W17&lt;&gt;".",up_Irr!AU17&lt;&gt;".",up_Irr!BS17="."),up_dir!X17/((1/1000)*(up_Irr!W17+up_Irr!AU17)),IF(AND(up_Irr!W17&lt;&gt;".",up_Irr!AU17=".",up_Irr!BS17&lt;&gt;"."),up_dir!X17/((1/1000)*(up_Irr!W17+up_Irr!BS17)),IF(AND(up_Irr!W17=".",up_Irr!AU17&lt;&gt;".",up_Irr!BS17&lt;&gt;"."),up_dir!X17/((1/1000)*(up_Irr!AU17+up_Irr!BS17)),IF(AND(up_Irr!W17=".",up_Irr!AU17=".",up_Irr!BS17&lt;&gt;"."),up_dir!X17/((1/1000)*(up_Irr!BS17)),IF(AND(up_Irr!W17=".",up_Irr!AU17&lt;&gt;".",up_Irr!BS17="."),up_dir!X17/((1/1000)*(up_Irr!AU17)),IF(AND(up_Irr!W17&lt;&gt;".",up_Irr!AU17=".",up_Irr!BS17="."),up_dir!X17/((1/1000)*(up_Irr!W17)),IF(AND(up_Irr!W17=".",up_Irr!AU17=".",up_Irr!BS17="."),up_dir!X17*1000)))))))),".")</f>
        <v>6.5773651144152131E-4</v>
      </c>
      <c r="Y17" s="48">
        <f>IFERROR(IF(AND(up_Irr!X17&lt;&gt;".",up_Irr!AV17&lt;&gt;".",up_Irr!BT17&lt;&gt;"."),up_dir!Y17/((1/1000)*(up_Irr!X17+up_Irr!AV17+up_Irr!BT17)),IF(AND(up_Irr!X17&lt;&gt;".",up_Irr!AV17&lt;&gt;".",up_Irr!BT17="."),up_dir!Y17/((1/1000)*(up_Irr!X17+up_Irr!AV17)),IF(AND(up_Irr!X17&lt;&gt;".",up_Irr!AV17=".",up_Irr!BT17&lt;&gt;"."),up_dir!Y17/((1/1000)*(up_Irr!X17+up_Irr!BT17)),IF(AND(up_Irr!X17=".",up_Irr!AV17&lt;&gt;".",up_Irr!BT17&lt;&gt;"."),up_dir!Y17/((1/1000)*(up_Irr!AV17+up_Irr!BT17)),IF(AND(up_Irr!X17=".",up_Irr!AV17=".",up_Irr!BT17&lt;&gt;"."),up_dir!Y17/((1/1000)*(up_Irr!BT17)),IF(AND(up_Irr!X17=".",up_Irr!AV17&lt;&gt;".",up_Irr!BT17="."),up_dir!Y17/((1/1000)*(up_Irr!AV17)),IF(AND(up_Irr!X17&lt;&gt;".",up_Irr!AV17=".",up_Irr!BT17="."),up_dir!Y17/((1/1000)*(up_Irr!X17)),IF(AND(up_Irr!X17=".",up_Irr!AV17=".",up_Irr!BT17="."),up_dir!Y17*1000)))))))),".")</f>
        <v>6.5773651144152131E-4</v>
      </c>
      <c r="Z17" s="48">
        <f>IFERROR(IF(AND(up_Irr!Y17&lt;&gt;".",up_Irr!AW17&lt;&gt;".",up_Irr!BU17&lt;&gt;"."),up_dir!Z17/((1/1000)*(up_Irr!Y17+up_Irr!AW17+up_Irr!BU17)),IF(AND(up_Irr!Y17&lt;&gt;".",up_Irr!AW17&lt;&gt;".",up_Irr!BU17="."),up_dir!Z17/((1/1000)*(up_Irr!Y17+up_Irr!AW17)),IF(AND(up_Irr!Y17&lt;&gt;".",up_Irr!AW17=".",up_Irr!BU17&lt;&gt;"."),up_dir!Z17/((1/1000)*(up_Irr!Y17+up_Irr!BU17)),IF(AND(up_Irr!Y17=".",up_Irr!AW17&lt;&gt;".",up_Irr!BU17&lt;&gt;"."),up_dir!Z17/((1/1000)*(up_Irr!AW17+up_Irr!BU17)),IF(AND(up_Irr!Y17=".",up_Irr!AW17=".",up_Irr!BU17&lt;&gt;"."),up_dir!Z17/((1/1000)*(up_Irr!BU17)),IF(AND(up_Irr!Y17=".",up_Irr!AW17&lt;&gt;".",up_Irr!BU17="."),up_dir!Z17/((1/1000)*(up_Irr!AW17)),IF(AND(up_Irr!Y17&lt;&gt;".",up_Irr!AW17=".",up_Irr!BU17="."),up_dir!Z17/((1/1000)*(up_Irr!Y17)),IF(AND(up_Irr!Y17=".",up_Irr!AW17=".",up_Irr!BU17="."),up_dir!Z17*1000)))))))),".")</f>
        <v>6.5773651144152131E-4</v>
      </c>
      <c r="AA17" s="48">
        <f>IFERROR(IF(AND(up_Irr!Z17&lt;&gt;".",up_Irr!AX17&lt;&gt;".",up_Irr!BV17&lt;&gt;"."),up_dir!AA17/((1/1000)*(up_Irr!Z17+up_Irr!AX17+up_Irr!BV17)),IF(AND(up_Irr!Z17&lt;&gt;".",up_Irr!AX17&lt;&gt;".",up_Irr!BV17="."),up_dir!AA17/((1/1000)*(up_Irr!Z17+up_Irr!AX17)),IF(AND(up_Irr!Z17&lt;&gt;".",up_Irr!AX17=".",up_Irr!BV17&lt;&gt;"."),up_dir!AA17/((1/1000)*(up_Irr!Z17+up_Irr!BV17)),IF(AND(up_Irr!Z17=".",up_Irr!AX17&lt;&gt;".",up_Irr!BV17&lt;&gt;"."),up_dir!AA17/((1/1000)*(up_Irr!AX17+up_Irr!BV17)),IF(AND(up_Irr!Z17=".",up_Irr!AX17=".",up_Irr!BV17&lt;&gt;"."),up_dir!AA17/((1/1000)*(up_Irr!BV17)),IF(AND(up_Irr!Z17=".",up_Irr!AX17&lt;&gt;".",up_Irr!BV17="."),up_dir!AA17/((1/1000)*(up_Irr!AX17)),IF(AND(up_Irr!Z17&lt;&gt;".",up_Irr!AX17=".",up_Irr!BV17="."),up_dir!AA17/((1/1000)*(up_Irr!Z17)),IF(AND(up_Irr!Z17=".",up_Irr!AX17=".",up_Irr!BV17="."),up_dir!AA17*1000)))))))),".")</f>
        <v>6.5773651144152131E-4</v>
      </c>
      <c r="AB17" s="62">
        <f t="shared" si="1"/>
        <v>22805.4847785862</v>
      </c>
      <c r="AC17" s="62">
        <f>IFERROR(s_C*s_IFAP_res_adj*s_CF_apple*0.001*(up_Irr!C17+up_Irr!AA17+up_Irr!AY17),".")</f>
        <v>7601.8282595287337</v>
      </c>
      <c r="AD17" s="62">
        <f>IFERROR(s_C*s_IFAS_res_adj*s_CF_asparagus*0.001*(up_Irr!D17+up_Irr!AB17+up_Irr!AZ17),".")</f>
        <v>7601.8282595287337</v>
      </c>
      <c r="AE17" s="62">
        <f>IFERROR(s_C*s_IFBT_res_adj*s_CF_beet*0.001*(up_Irr!E17+up_Irr!AC17+up_Irr!BA17),".")</f>
        <v>7601.8282595287337</v>
      </c>
      <c r="AF17" s="62">
        <f>IFERROR(s_C*s_IFBE_res_adj*s_CF_berries*0.001*(up_Irr!F17+up_Irr!AD17+up_Irr!BB17),".")</f>
        <v>7601.8282595287337</v>
      </c>
      <c r="AG17" s="62">
        <f>IFERROR(s_C*s_IFBR_res_adj*s_CF_broccoli*0.001*(up_Irr!G17+up_Irr!AE17+up_Irr!BC17),".")</f>
        <v>7601.8282595287337</v>
      </c>
      <c r="AH17" s="62">
        <f>IFERROR(s_C*s_IFCB_res_adj*s_CF_cabbage*0.001*(up_Irr!H17+up_Irr!AF17+up_Irr!BD17),".")</f>
        <v>7601.8282595287337</v>
      </c>
      <c r="AI17" s="62">
        <f>IFERROR(s_C*s_IFCR_res_adj*s_CF_carrot*0.001*(up_Irr!I17+up_Irr!AG17+up_Irr!BE17),".")</f>
        <v>7601.8282595287337</v>
      </c>
      <c r="AJ17" s="62">
        <f>IFERROR(s_C*s_IFCI_res_adj*s_CF_citrus*0.001*(up_Irr!J17+up_Irr!AH17+up_Irr!BF17),".")</f>
        <v>7601.8282595287337</v>
      </c>
      <c r="AK17" s="62">
        <f>IFERROR(s_C*s_IFCO_res_adj*s_CF_corn*0.001*(up_Irr!K17+up_Irr!AI17+up_Irr!BG17),".")</f>
        <v>7601.8282595287337</v>
      </c>
      <c r="AL17" s="62">
        <f>IFERROR(s_C*s_IFCU_res_adj*s_CF_cucumber*0.001*(up_Irr!L17+up_Irr!AJ17+up_Irr!BH17),".")</f>
        <v>7601.8282595287337</v>
      </c>
      <c r="AM17" s="62">
        <f>IFERROR(s_C*s_IFLE_res_adj*s_CF_lettuce*0.001*(up_Irr!M17+up_Irr!AK17+up_Irr!BI17),".")</f>
        <v>7601.8282595287337</v>
      </c>
      <c r="AN17" s="62">
        <f>IFERROR(s_C*s_IFLI_res_adj*s_CF_lima_bean*0.001*(up_Irr!N17+up_Irr!AL17+up_Irr!BJ17),".")</f>
        <v>7601.8282595287337</v>
      </c>
      <c r="AO17" s="62">
        <f>IFERROR(s_C*s_IFOK_res_adj*s_CF_okra*0.001*(up_Irr!O17+up_Irr!AM17+up_Irr!BK17),".")</f>
        <v>7601.8282595287337</v>
      </c>
      <c r="AP17" s="62">
        <f>IFERROR(s_C*s_IFON_res_adj*s_CF_onion*0.001*(up_Irr!P17+up_Irr!AN17+up_Irr!BL17),".")</f>
        <v>7601.8282595287337</v>
      </c>
      <c r="AQ17" s="62">
        <f>IFERROR(s_C*s_IFPC_res_adj*s_CF_peach*0.001*(up_Irr!Q17+up_Irr!AO17+up_Irr!BM17),".")</f>
        <v>7601.8282595287337</v>
      </c>
      <c r="AR17" s="62">
        <f>IFERROR(s_C*s_IFPR_res_adj*s_CF_pear*0.001*(up_Irr!R17+up_Irr!AP17+up_Irr!BN17),".")</f>
        <v>7601.8282595287337</v>
      </c>
      <c r="AS17" s="62">
        <f>IFERROR(s_C*s_IFPE_res_adj*s_CF_peas*0.001*(up_Irr!S17+up_Irr!AQ17+up_Irr!BO17),".")</f>
        <v>7601.8282595287337</v>
      </c>
      <c r="AT17" s="62">
        <f>IFERROR(s_C*s_IFPT_res_adj*s_CF_potato*0.001*(up_Irr!T17+up_Irr!AR17+up_Irr!BP17),".")</f>
        <v>7601.8282595287337</v>
      </c>
      <c r="AU17" s="62">
        <f>IFERROR(s_C*s_IFPU_res_adj*s_CF_pumpkin*0.001*(up_Irr!U17+up_Irr!AS17+up_Irr!BQ17),".")</f>
        <v>7601.8282595287337</v>
      </c>
      <c r="AV17" s="62">
        <f>IFERROR(s_C*s_IFSN_res_adj*s_CF_snap_bean*0.001*(up_Irr!V17+up_Irr!AT17+up_Irr!BR17),".")</f>
        <v>7601.8282595287337</v>
      </c>
      <c r="AW17" s="62">
        <f>IFERROR(s_C*s_IFST_res_adj*s_CF_strawberry*0.001*(up_Irr!W17+up_Irr!AU17+up_Irr!BS17),".")</f>
        <v>7601.8282595287337</v>
      </c>
      <c r="AX17" s="62">
        <f>IFERROR(s_C*s_IFTO_res_adj*s_CF_tomato*0.001*(up_Irr!X17+up_Irr!AV17+up_Irr!BT17),".")</f>
        <v>7601.8282595287337</v>
      </c>
      <c r="AY17" s="62">
        <f>IFERROR(s_C*s_IFRI_res_adj*s_CF_rice*0.001*(up_Irr!Y17+up_Irr!AW17+up_Irr!BU17),".")</f>
        <v>7601.8282595287337</v>
      </c>
      <c r="AZ17" s="62">
        <f>IFERROR(s_C*s_IFCG_res_adj*s_CF_cereal*0.001*(up_Irr!Z17+up_Irr!AX17+up_Irr!BV17),".")</f>
        <v>7601.8282595287337</v>
      </c>
      <c r="BA17" s="48">
        <f t="shared" si="2"/>
        <v>2.1924550381384044E-4</v>
      </c>
      <c r="BB17" s="48">
        <f>IFERROR(IF(AND(up_Irr!C17&lt;&gt;".",up_Irr!AA17&lt;&gt;".",up_Irr!AY17&lt;&gt;"."),up_dir!AC17/((1/1000)*(up_Irr!C17+up_Irr!AA17+up_Irr!AY17)),IF(AND(up_Irr!C17&lt;&gt;".",up_Irr!AA17&lt;&gt;".",up_Irr!AY17="."),up_dir!AC17/((1/1000)*(up_Irr!C17+up_Irr!AA17)),IF(AND(up_Irr!C17&lt;&gt;".",up_Irr!AA17=".",up_Irr!AY17&lt;&gt;"."),up_dir!AC17/((1/1000)*(up_Irr!C17+up_Irr!AY17)),IF(AND(up_Irr!C17=".",up_Irr!AA17&lt;&gt;".",up_Irr!AY17&lt;&gt;"."),up_dir!AC17/((1/1000)*(up_Irr!AA17+up_Irr!AY17)),IF(AND(up_Irr!C17=".",up_Irr!AA17=".",up_Irr!AY17&lt;&gt;"."),up_dir!AC17/((1/1000)*(up_Irr!AY17)),IF(AND(up_Irr!C17=".",up_Irr!AA17&lt;&gt;".",up_Irr!AY17="."),up_dir!AC17/((1/1000)*(up_Irr!AA17)),IF(AND(up_Irr!C17&lt;&gt;".",up_Irr!AA17=".",up_Irr!AY17="."),up_dir!AC17/((1/1000)*(up_Irr!C17)),IF(AND(up_Irr!C17=".",up_Irr!AA17=".",up_Irr!AY17="."),up_dir!AC17*1000)))))))),".")</f>
        <v>6.5773651144152131E-4</v>
      </c>
      <c r="BC17" s="48">
        <f>IFERROR(IF(AND(up_Irr!D17&lt;&gt;".",up_Irr!AB17&lt;&gt;".",up_Irr!AZ17&lt;&gt;"."),up_dir!AD17/((1/1000)*(up_Irr!D17+up_Irr!AB17+up_Irr!AZ17)),IF(AND(up_Irr!D17&lt;&gt;".",up_Irr!AB17&lt;&gt;".",up_Irr!AZ17="."),up_dir!AD17/((1/1000)*(up_Irr!D17+up_Irr!AB17)),IF(AND(up_Irr!D17&lt;&gt;".",up_Irr!AB17=".",up_Irr!AZ17&lt;&gt;"."),up_dir!AD17/((1/1000)*(up_Irr!D17+up_Irr!AZ17)),IF(AND(up_Irr!D17=".",up_Irr!AB17&lt;&gt;".",up_Irr!AZ17&lt;&gt;"."),up_dir!AD17/((1/1000)*(up_Irr!AB17+up_Irr!AZ17)),IF(AND(up_Irr!D17=".",up_Irr!AB17=".",up_Irr!AZ17&lt;&gt;"."),up_dir!AD17/((1/1000)*(up_Irr!AZ17)),IF(AND(up_Irr!D17=".",up_Irr!AB17&lt;&gt;".",up_Irr!AZ17="."),up_dir!AD17/((1/1000)*(up_Irr!AB17)),IF(AND(up_Irr!D17&lt;&gt;".",up_Irr!AB17=".",up_Irr!AZ17="."),up_dir!AD17/((1/1000)*(up_Irr!D17)),IF(AND(up_Irr!D17=".",up_Irr!AB17=".",up_Irr!AZ17="."),up_dir!AD17*1000)))))))),".")</f>
        <v>6.5773651144152131E-4</v>
      </c>
      <c r="BD17" s="48">
        <f>IFERROR(IF(AND(up_Irr!E17&lt;&gt;".",up_Irr!AC17&lt;&gt;".",up_Irr!BA17&lt;&gt;"."),up_dir!AE17/((1/1000)*(up_Irr!E17+up_Irr!AC17+up_Irr!BA17)),IF(AND(up_Irr!E17&lt;&gt;".",up_Irr!AC17&lt;&gt;".",up_Irr!BA17="."),up_dir!AE17/((1/1000)*(up_Irr!E17+up_Irr!AC17)),IF(AND(up_Irr!E17&lt;&gt;".",up_Irr!AC17=".",up_Irr!BA17&lt;&gt;"."),up_dir!AE17/((1/1000)*(up_Irr!E17+up_Irr!BA17)),IF(AND(up_Irr!E17=".",up_Irr!AC17&lt;&gt;".",up_Irr!BA17&lt;&gt;"."),up_dir!AE17/((1/1000)*(up_Irr!AC17+up_Irr!BA17)),IF(AND(up_Irr!E17=".",up_Irr!AC17=".",up_Irr!BA17&lt;&gt;"."),up_dir!AE17/((1/1000)*(up_Irr!BA17)),IF(AND(up_Irr!E17=".",up_Irr!AC17&lt;&gt;".",up_Irr!BA17="."),up_dir!AE17/((1/1000)*(up_Irr!AC17)),IF(AND(up_Irr!E17&lt;&gt;".",up_Irr!AC17=".",up_Irr!BA17="."),up_dir!AE17/((1/1000)*(up_Irr!E17)),IF(AND(up_Irr!E17=".",up_Irr!AC17=".",up_Irr!BA17="."),up_dir!AE17*1000)))))))),".")</f>
        <v>6.5773651144152131E-4</v>
      </c>
      <c r="BE17" s="48">
        <f>IFERROR(IF(AND(up_Irr!F17&lt;&gt;".",up_Irr!AD17&lt;&gt;".",up_Irr!BB17&lt;&gt;"."),up_dir!AF17/((1/1000)*(up_Irr!F17+up_Irr!AD17+up_Irr!BB17)),IF(AND(up_Irr!F17&lt;&gt;".",up_Irr!AD17&lt;&gt;".",up_Irr!BB17="."),up_dir!AF17/((1/1000)*(up_Irr!F17+up_Irr!AD17)),IF(AND(up_Irr!F17&lt;&gt;".",up_Irr!AD17=".",up_Irr!BB17&lt;&gt;"."),up_dir!AF17/((1/1000)*(up_Irr!F17+up_Irr!BB17)),IF(AND(up_Irr!F17=".",up_Irr!AD17&lt;&gt;".",up_Irr!BB17&lt;&gt;"."),up_dir!AF17/((1/1000)*(up_Irr!AD17+up_Irr!BB17)),IF(AND(up_Irr!F17=".",up_Irr!AD17=".",up_Irr!BB17&lt;&gt;"."),up_dir!AF17/((1/1000)*(up_Irr!BB17)),IF(AND(up_Irr!F17=".",up_Irr!AD17&lt;&gt;".",up_Irr!BB17="."),up_dir!AF17/((1/1000)*(up_Irr!AD17)),IF(AND(up_Irr!F17&lt;&gt;".",up_Irr!AD17=".",up_Irr!BB17="."),up_dir!AF17/((1/1000)*(up_Irr!F17)),IF(AND(up_Irr!F17=".",up_Irr!AD17=".",up_Irr!BB17="."),up_dir!AF17*1000)))))))),".")</f>
        <v>6.5773651144152131E-4</v>
      </c>
      <c r="BF17" s="48">
        <f>IFERROR(IF(AND(up_Irr!G17&lt;&gt;".",up_Irr!AE17&lt;&gt;".",up_Irr!BC17&lt;&gt;"."),up_dir!AG17/((1/1000)*(up_Irr!G17+up_Irr!AE17+up_Irr!BC17)),IF(AND(up_Irr!G17&lt;&gt;".",up_Irr!AE17&lt;&gt;".",up_Irr!BC17="."),up_dir!AG17/((1/1000)*(up_Irr!G17+up_Irr!AE17)),IF(AND(up_Irr!G17&lt;&gt;".",up_Irr!AE17=".",up_Irr!BC17&lt;&gt;"."),up_dir!AG17/((1/1000)*(up_Irr!G17+up_Irr!BC17)),IF(AND(up_Irr!G17=".",up_Irr!AE17&lt;&gt;".",up_Irr!BC17&lt;&gt;"."),up_dir!AG17/((1/1000)*(up_Irr!AE17+up_Irr!BC17)),IF(AND(up_Irr!G17=".",up_Irr!AE17=".",up_Irr!BC17&lt;&gt;"."),up_dir!AG17/((1/1000)*(up_Irr!BC17)),IF(AND(up_Irr!G17=".",up_Irr!AE17&lt;&gt;".",up_Irr!BC17="."),up_dir!AG17/((1/1000)*(up_Irr!AE17)),IF(AND(up_Irr!G17&lt;&gt;".",up_Irr!AE17=".",up_Irr!BC17="."),up_dir!AG17/((1/1000)*(up_Irr!G17)),IF(AND(up_Irr!G17=".",up_Irr!AE17=".",up_Irr!BC17="."),up_dir!AG17*1000)))))))),".")</f>
        <v>6.5773651144152131E-4</v>
      </c>
      <c r="BG17" s="48">
        <f>IFERROR(IF(AND(up_Irr!H17&lt;&gt;".",up_Irr!AF17&lt;&gt;".",up_Irr!BD17&lt;&gt;"."),up_dir!AH17/((1/1000)*(up_Irr!H17+up_Irr!AF17+up_Irr!BD17)),IF(AND(up_Irr!H17&lt;&gt;".",up_Irr!AF17&lt;&gt;".",up_Irr!BD17="."),up_dir!AH17/((1/1000)*(up_Irr!H17+up_Irr!AF17)),IF(AND(up_Irr!H17&lt;&gt;".",up_Irr!AF17=".",up_Irr!BD17&lt;&gt;"."),up_dir!AH17/((1/1000)*(up_Irr!H17+up_Irr!BD17)),IF(AND(up_Irr!H17=".",up_Irr!AF17&lt;&gt;".",up_Irr!BD17&lt;&gt;"."),up_dir!AH17/((1/1000)*(up_Irr!AF17+up_Irr!BD17)),IF(AND(up_Irr!H17=".",up_Irr!AF17=".",up_Irr!BD17&lt;&gt;"."),up_dir!AH17/((1/1000)*(up_Irr!BD17)),IF(AND(up_Irr!H17=".",up_Irr!AF17&lt;&gt;".",up_Irr!BD17="."),up_dir!AH17/((1/1000)*(up_Irr!AF17)),IF(AND(up_Irr!H17&lt;&gt;".",up_Irr!AF17=".",up_Irr!BD17="."),up_dir!AH17/((1/1000)*(up_Irr!H17)),IF(AND(up_Irr!H17=".",up_Irr!AF17=".",up_Irr!BD17="."),up_dir!AH17*1000)))))))),".")</f>
        <v>6.5773651144152131E-4</v>
      </c>
      <c r="BH17" s="48">
        <f>IFERROR(IF(AND(up_Irr!I17&lt;&gt;".",up_Irr!AG17&lt;&gt;".",up_Irr!BE17&lt;&gt;"."),up_dir!AI17/((1/1000)*(up_Irr!I17+up_Irr!AG17+up_Irr!BE17)),IF(AND(up_Irr!I17&lt;&gt;".",up_Irr!AG17&lt;&gt;".",up_Irr!BE17="."),up_dir!AI17/((1/1000)*(up_Irr!I17+up_Irr!AG17)),IF(AND(up_Irr!I17&lt;&gt;".",up_Irr!AG17=".",up_Irr!BE17&lt;&gt;"."),up_dir!AI17/((1/1000)*(up_Irr!I17+up_Irr!BE17)),IF(AND(up_Irr!I17=".",up_Irr!AG17&lt;&gt;".",up_Irr!BE17&lt;&gt;"."),up_dir!AI17/((1/1000)*(up_Irr!AG17+up_Irr!BE17)),IF(AND(up_Irr!I17=".",up_Irr!AG17=".",up_Irr!BE17&lt;&gt;"."),up_dir!AI17/((1/1000)*(up_Irr!BE17)),IF(AND(up_Irr!I17=".",up_Irr!AG17&lt;&gt;".",up_Irr!BE17="."),up_dir!AI17/((1/1000)*(up_Irr!AG17)),IF(AND(up_Irr!I17&lt;&gt;".",up_Irr!AG17=".",up_Irr!BE17="."),up_dir!AI17/((1/1000)*(up_Irr!I17)),IF(AND(up_Irr!I17=".",up_Irr!AG17=".",up_Irr!BE17="."),up_dir!AI17*1000)))))))),".")</f>
        <v>6.5773651144152131E-4</v>
      </c>
      <c r="BI17" s="48">
        <f>IFERROR(IF(AND(up_Irr!J17&lt;&gt;".",up_Irr!AH17&lt;&gt;".",up_Irr!BF17&lt;&gt;"."),up_dir!AJ17/((1/1000)*(up_Irr!J17+up_Irr!AH17+up_Irr!BF17)),IF(AND(up_Irr!J17&lt;&gt;".",up_Irr!AH17&lt;&gt;".",up_Irr!BF17="."),up_dir!AJ17/((1/1000)*(up_Irr!J17+up_Irr!AH17)),IF(AND(up_Irr!J17&lt;&gt;".",up_Irr!AH17=".",up_Irr!BF17&lt;&gt;"."),up_dir!AJ17/((1/1000)*(up_Irr!J17+up_Irr!BF17)),IF(AND(up_Irr!J17=".",up_Irr!AH17&lt;&gt;".",up_Irr!BF17&lt;&gt;"."),up_dir!AJ17/((1/1000)*(up_Irr!AH17+up_Irr!BF17)),IF(AND(up_Irr!J17=".",up_Irr!AH17=".",up_Irr!BF17&lt;&gt;"."),up_dir!AJ17/((1/1000)*(up_Irr!BF17)),IF(AND(up_Irr!J17=".",up_Irr!AH17&lt;&gt;".",up_Irr!BF17="."),up_dir!AJ17/((1/1000)*(up_Irr!AH17)),IF(AND(up_Irr!J17&lt;&gt;".",up_Irr!AH17=".",up_Irr!BF17="."),up_dir!AJ17/((1/1000)*(up_Irr!J17)),IF(AND(up_Irr!J17=".",up_Irr!AH17=".",up_Irr!BF17="."),up_dir!AJ17*1000)))))))),".")</f>
        <v>6.5773651144152131E-4</v>
      </c>
      <c r="BJ17" s="48">
        <f>IFERROR(IF(AND(up_Irr!K17&lt;&gt;".",up_Irr!AI17&lt;&gt;".",up_Irr!BG17&lt;&gt;"."),up_dir!AK17/((1/1000)*(up_Irr!K17+up_Irr!AI17+up_Irr!BG17)),IF(AND(up_Irr!K17&lt;&gt;".",up_Irr!AI17&lt;&gt;".",up_Irr!BG17="."),up_dir!AK17/((1/1000)*(up_Irr!K17+up_Irr!AI17)),IF(AND(up_Irr!K17&lt;&gt;".",up_Irr!AI17=".",up_Irr!BG17&lt;&gt;"."),up_dir!AK17/((1/1000)*(up_Irr!K17+up_Irr!BG17)),IF(AND(up_Irr!K17=".",up_Irr!AI17&lt;&gt;".",up_Irr!BG17&lt;&gt;"."),up_dir!AK17/((1/1000)*(up_Irr!AI17+up_Irr!BG17)),IF(AND(up_Irr!K17=".",up_Irr!AI17=".",up_Irr!BG17&lt;&gt;"."),up_dir!AK17/((1/1000)*(up_Irr!BG17)),IF(AND(up_Irr!K17=".",up_Irr!AI17&lt;&gt;".",up_Irr!BG17="."),up_dir!AK17/((1/1000)*(up_Irr!AI17)),IF(AND(up_Irr!K17&lt;&gt;".",up_Irr!AI17=".",up_Irr!BG17="."),up_dir!AK17/((1/1000)*(up_Irr!K17)),IF(AND(up_Irr!K17=".",up_Irr!AI17=".",up_Irr!BG17="."),up_dir!AK17*1000)))))))),".")</f>
        <v>6.5773651144152131E-4</v>
      </c>
      <c r="BK17" s="48">
        <f>IFERROR(IF(AND(up_Irr!L17&lt;&gt;".",up_Irr!AJ17&lt;&gt;".",up_Irr!BH17&lt;&gt;"."),up_dir!AL17/((1/1000)*(up_Irr!L17+up_Irr!AJ17+up_Irr!BH17)),IF(AND(up_Irr!L17&lt;&gt;".",up_Irr!AJ17&lt;&gt;".",up_Irr!BH17="."),up_dir!AL17/((1/1000)*(up_Irr!L17+up_Irr!AJ17)),IF(AND(up_Irr!L17&lt;&gt;".",up_Irr!AJ17=".",up_Irr!BH17&lt;&gt;"."),up_dir!AL17/((1/1000)*(up_Irr!L17+up_Irr!BH17)),IF(AND(up_Irr!L17=".",up_Irr!AJ17&lt;&gt;".",up_Irr!BH17&lt;&gt;"."),up_dir!AL17/((1/1000)*(up_Irr!AJ17+up_Irr!BH17)),IF(AND(up_Irr!L17=".",up_Irr!AJ17=".",up_Irr!BH17&lt;&gt;"."),up_dir!AL17/((1/1000)*(up_Irr!BH17)),IF(AND(up_Irr!L17=".",up_Irr!AJ17&lt;&gt;".",up_Irr!BH17="."),up_dir!AL17/((1/1000)*(up_Irr!AJ17)),IF(AND(up_Irr!L17&lt;&gt;".",up_Irr!AJ17=".",up_Irr!BH17="."),up_dir!AL17/((1/1000)*(up_Irr!L17)),IF(AND(up_Irr!L17=".",up_Irr!AJ17=".",up_Irr!BH17="."),up_dir!AL17*1000)))))))),".")</f>
        <v>6.5773651144152131E-4</v>
      </c>
      <c r="BL17" s="48">
        <f>IFERROR(IF(AND(up_Irr!M17&lt;&gt;".",up_Irr!AK17&lt;&gt;".",up_Irr!BI17&lt;&gt;"."),up_dir!AM17/((1/1000)*(up_Irr!M17+up_Irr!AK17+up_Irr!BI17)),IF(AND(up_Irr!M17&lt;&gt;".",up_Irr!AK17&lt;&gt;".",up_Irr!BI17="."),up_dir!AM17/((1/1000)*(up_Irr!M17+up_Irr!AK17)),IF(AND(up_Irr!M17&lt;&gt;".",up_Irr!AK17=".",up_Irr!BI17&lt;&gt;"."),up_dir!AM17/((1/1000)*(up_Irr!M17+up_Irr!BI17)),IF(AND(up_Irr!M17=".",up_Irr!AK17&lt;&gt;".",up_Irr!BI17&lt;&gt;"."),up_dir!AM17/((1/1000)*(up_Irr!AK17+up_Irr!BI17)),IF(AND(up_Irr!M17=".",up_Irr!AK17=".",up_Irr!BI17&lt;&gt;"."),up_dir!AM17/((1/1000)*(up_Irr!BI17)),IF(AND(up_Irr!M17=".",up_Irr!AK17&lt;&gt;".",up_Irr!BI17="."),up_dir!AM17/((1/1000)*(up_Irr!AK17)),IF(AND(up_Irr!M17&lt;&gt;".",up_Irr!AK17=".",up_Irr!BI17="."),up_dir!AM17/((1/1000)*(up_Irr!M17)),IF(AND(up_Irr!M17=".",up_Irr!AK17=".",up_Irr!BI17="."),up_dir!AM17*1000)))))))),".")</f>
        <v>6.5773651144152131E-4</v>
      </c>
      <c r="BM17" s="48">
        <f>IFERROR(IF(AND(up_Irr!N17&lt;&gt;".",up_Irr!AL17&lt;&gt;".",up_Irr!BJ17&lt;&gt;"."),up_dir!AN17/((1/1000)*(up_Irr!N17+up_Irr!AL17+up_Irr!BJ17)),IF(AND(up_Irr!N17&lt;&gt;".",up_Irr!AL17&lt;&gt;".",up_Irr!BJ17="."),up_dir!AN17/((1/1000)*(up_Irr!N17+up_Irr!AL17)),IF(AND(up_Irr!N17&lt;&gt;".",up_Irr!AL17=".",up_Irr!BJ17&lt;&gt;"."),up_dir!AN17/((1/1000)*(up_Irr!N17+up_Irr!BJ17)),IF(AND(up_Irr!N17=".",up_Irr!AL17&lt;&gt;".",up_Irr!BJ17&lt;&gt;"."),up_dir!AN17/((1/1000)*(up_Irr!AL17+up_Irr!BJ17)),IF(AND(up_Irr!N17=".",up_Irr!AL17=".",up_Irr!BJ17&lt;&gt;"."),up_dir!AN17/((1/1000)*(up_Irr!BJ17)),IF(AND(up_Irr!N17=".",up_Irr!AL17&lt;&gt;".",up_Irr!BJ17="."),up_dir!AN17/((1/1000)*(up_Irr!AL17)),IF(AND(up_Irr!N17&lt;&gt;".",up_Irr!AL17=".",up_Irr!BJ17="."),up_dir!AN17/((1/1000)*(up_Irr!N17)),IF(AND(up_Irr!N17=".",up_Irr!AL17=".",up_Irr!BJ17="."),up_dir!AN17*1000)))))))),".")</f>
        <v>6.5773651144152131E-4</v>
      </c>
      <c r="BN17" s="48">
        <f>IFERROR(IF(AND(up_Irr!O17&lt;&gt;".",up_Irr!AM17&lt;&gt;".",up_Irr!BK17&lt;&gt;"."),up_dir!AO17/((1/1000)*(up_Irr!O17+up_Irr!AM17+up_Irr!BK17)),IF(AND(up_Irr!O17&lt;&gt;".",up_Irr!AM17&lt;&gt;".",up_Irr!BK17="."),up_dir!AO17/((1/1000)*(up_Irr!O17+up_Irr!AM17)),IF(AND(up_Irr!O17&lt;&gt;".",up_Irr!AM17=".",up_Irr!BK17&lt;&gt;"."),up_dir!AO17/((1/1000)*(up_Irr!O17+up_Irr!BK17)),IF(AND(up_Irr!O17=".",up_Irr!AM17&lt;&gt;".",up_Irr!BK17&lt;&gt;"."),up_dir!AO17/((1/1000)*(up_Irr!AM17+up_Irr!BK17)),IF(AND(up_Irr!O17=".",up_Irr!AM17=".",up_Irr!BK17&lt;&gt;"."),up_dir!AO17/((1/1000)*(up_Irr!BK17)),IF(AND(up_Irr!O17=".",up_Irr!AM17&lt;&gt;".",up_Irr!BK17="."),up_dir!AO17/((1/1000)*(up_Irr!AM17)),IF(AND(up_Irr!O17&lt;&gt;".",up_Irr!AM17=".",up_Irr!BK17="."),up_dir!AO17/((1/1000)*(up_Irr!O17)),IF(AND(up_Irr!O17=".",up_Irr!AM17=".",up_Irr!BK17="."),up_dir!AO17*1000)))))))),".")</f>
        <v>6.5773651144152131E-4</v>
      </c>
      <c r="BO17" s="48">
        <f>IFERROR(IF(AND(up_Irr!P17&lt;&gt;".",up_Irr!AN17&lt;&gt;".",up_Irr!BL17&lt;&gt;"."),up_dir!AP17/((1/1000)*(up_Irr!P17+up_Irr!AN17+up_Irr!BL17)),IF(AND(up_Irr!P17&lt;&gt;".",up_Irr!AN17&lt;&gt;".",up_Irr!BL17="."),up_dir!AP17/((1/1000)*(up_Irr!P17+up_Irr!AN17)),IF(AND(up_Irr!P17&lt;&gt;".",up_Irr!AN17=".",up_Irr!BL17&lt;&gt;"."),up_dir!AP17/((1/1000)*(up_Irr!P17+up_Irr!BL17)),IF(AND(up_Irr!P17=".",up_Irr!AN17&lt;&gt;".",up_Irr!BL17&lt;&gt;"."),up_dir!AP17/((1/1000)*(up_Irr!AN17+up_Irr!BL17)),IF(AND(up_Irr!P17=".",up_Irr!AN17=".",up_Irr!BL17&lt;&gt;"."),up_dir!AP17/((1/1000)*(up_Irr!BL17)),IF(AND(up_Irr!P17=".",up_Irr!AN17&lt;&gt;".",up_Irr!BL17="."),up_dir!AP17/((1/1000)*(up_Irr!AN17)),IF(AND(up_Irr!P17&lt;&gt;".",up_Irr!AN17=".",up_Irr!BL17="."),up_dir!AP17/((1/1000)*(up_Irr!P17)),IF(AND(up_Irr!P17=".",up_Irr!AN17=".",up_Irr!BL17="."),up_dir!AP17*1000)))))))),".")</f>
        <v>6.5773651144152131E-4</v>
      </c>
      <c r="BP17" s="48">
        <f>IFERROR(IF(AND(up_Irr!Q17&lt;&gt;".",up_Irr!AO17&lt;&gt;".",up_Irr!BM17&lt;&gt;"."),up_dir!AQ17/((1/1000)*(up_Irr!Q17+up_Irr!AO17+up_Irr!BM17)),IF(AND(up_Irr!Q17&lt;&gt;".",up_Irr!AO17&lt;&gt;".",up_Irr!BM17="."),up_dir!AQ17/((1/1000)*(up_Irr!Q17+up_Irr!AO17)),IF(AND(up_Irr!Q17&lt;&gt;".",up_Irr!AO17=".",up_Irr!BM17&lt;&gt;"."),up_dir!AQ17/((1/1000)*(up_Irr!Q17+up_Irr!BM17)),IF(AND(up_Irr!Q17=".",up_Irr!AO17&lt;&gt;".",up_Irr!BM17&lt;&gt;"."),up_dir!AQ17/((1/1000)*(up_Irr!AO17+up_Irr!BM17)),IF(AND(up_Irr!Q17=".",up_Irr!AO17=".",up_Irr!BM17&lt;&gt;"."),up_dir!AQ17/((1/1000)*(up_Irr!BM17)),IF(AND(up_Irr!Q17=".",up_Irr!AO17&lt;&gt;".",up_Irr!BM17="."),up_dir!AQ17/((1/1000)*(up_Irr!AO17)),IF(AND(up_Irr!Q17&lt;&gt;".",up_Irr!AO17=".",up_Irr!BM17="."),up_dir!AQ17/((1/1000)*(up_Irr!Q17)),IF(AND(up_Irr!Q17=".",up_Irr!AO17=".",up_Irr!BM17="."),up_dir!AQ17*1000)))))))),".")</f>
        <v>6.5773651144152131E-4</v>
      </c>
      <c r="BQ17" s="48">
        <f>IFERROR(IF(AND(up_Irr!R17&lt;&gt;".",up_Irr!AP17&lt;&gt;".",up_Irr!BN17&lt;&gt;"."),up_dir!AR17/((1/1000)*(up_Irr!R17+up_Irr!AP17+up_Irr!BN17)),IF(AND(up_Irr!R17&lt;&gt;".",up_Irr!AP17&lt;&gt;".",up_Irr!BN17="."),up_dir!AR17/((1/1000)*(up_Irr!R17+up_Irr!AP17)),IF(AND(up_Irr!R17&lt;&gt;".",up_Irr!AP17=".",up_Irr!BN17&lt;&gt;"."),up_dir!AR17/((1/1000)*(up_Irr!R17+up_Irr!BN17)),IF(AND(up_Irr!R17=".",up_Irr!AP17&lt;&gt;".",up_Irr!BN17&lt;&gt;"."),up_dir!AR17/((1/1000)*(up_Irr!AP17+up_Irr!BN17)),IF(AND(up_Irr!R17=".",up_Irr!AP17=".",up_Irr!BN17&lt;&gt;"."),up_dir!AR17/((1/1000)*(up_Irr!BN17)),IF(AND(up_Irr!R17=".",up_Irr!AP17&lt;&gt;".",up_Irr!BN17="."),up_dir!AR17/((1/1000)*(up_Irr!AP17)),IF(AND(up_Irr!R17&lt;&gt;".",up_Irr!AP17=".",up_Irr!BN17="."),up_dir!AR17/((1/1000)*(up_Irr!R17)),IF(AND(up_Irr!R17=".",up_Irr!AP17=".",up_Irr!BN17="."),up_dir!AR17*1000)))))))),".")</f>
        <v>6.5773651144152131E-4</v>
      </c>
      <c r="BR17" s="48">
        <f>IFERROR(IF(AND(up_Irr!S17&lt;&gt;".",up_Irr!AQ17&lt;&gt;".",up_Irr!BO17&lt;&gt;"."),up_dir!AS17/((1/1000)*(up_Irr!S17+up_Irr!AQ17+up_Irr!BO17)),IF(AND(up_Irr!S17&lt;&gt;".",up_Irr!AQ17&lt;&gt;".",up_Irr!BO17="."),up_dir!AS17/((1/1000)*(up_Irr!S17+up_Irr!AQ17)),IF(AND(up_Irr!S17&lt;&gt;".",up_Irr!AQ17=".",up_Irr!BO17&lt;&gt;"."),up_dir!AS17/((1/1000)*(up_Irr!S17+up_Irr!BO17)),IF(AND(up_Irr!S17=".",up_Irr!AQ17&lt;&gt;".",up_Irr!BO17&lt;&gt;"."),up_dir!AS17/((1/1000)*(up_Irr!AQ17+up_Irr!BO17)),IF(AND(up_Irr!S17=".",up_Irr!AQ17=".",up_Irr!BO17&lt;&gt;"."),up_dir!AS17/((1/1000)*(up_Irr!BO17)),IF(AND(up_Irr!S17=".",up_Irr!AQ17&lt;&gt;".",up_Irr!BO17="."),up_dir!AS17/((1/1000)*(up_Irr!AQ17)),IF(AND(up_Irr!S17&lt;&gt;".",up_Irr!AQ17=".",up_Irr!BO17="."),up_dir!AS17/((1/1000)*(up_Irr!S17)),IF(AND(up_Irr!S17=".",up_Irr!AQ17=".",up_Irr!BO17="."),up_dir!AS17*1000)))))))),".")</f>
        <v>6.5773651144152131E-4</v>
      </c>
      <c r="BS17" s="48">
        <f>IFERROR(IF(AND(up_Irr!T17&lt;&gt;".",up_Irr!AR17&lt;&gt;".",up_Irr!BP17&lt;&gt;"."),up_dir!AT17/((1/1000)*(up_Irr!T17+up_Irr!AR17+up_Irr!BP17)),IF(AND(up_Irr!T17&lt;&gt;".",up_Irr!AR17&lt;&gt;".",up_Irr!BP17="."),up_dir!AT17/((1/1000)*(up_Irr!T17+up_Irr!AR17)),IF(AND(up_Irr!T17&lt;&gt;".",up_Irr!AR17=".",up_Irr!BP17&lt;&gt;"."),up_dir!AT17/((1/1000)*(up_Irr!T17+up_Irr!BP17)),IF(AND(up_Irr!T17=".",up_Irr!AR17&lt;&gt;".",up_Irr!BP17&lt;&gt;"."),up_dir!AT17/((1/1000)*(up_Irr!AR17+up_Irr!BP17)),IF(AND(up_Irr!T17=".",up_Irr!AR17=".",up_Irr!BP17&lt;&gt;"."),up_dir!AT17/((1/1000)*(up_Irr!BP17)),IF(AND(up_Irr!T17=".",up_Irr!AR17&lt;&gt;".",up_Irr!BP17="."),up_dir!AT17/((1/1000)*(up_Irr!AR17)),IF(AND(up_Irr!T17&lt;&gt;".",up_Irr!AR17=".",up_Irr!BP17="."),up_dir!AT17/((1/1000)*(up_Irr!T17)),IF(AND(up_Irr!T17=".",up_Irr!AR17=".",up_Irr!BP17="."),up_dir!AT17*1000)))))))),".")</f>
        <v>6.5773651144152131E-4</v>
      </c>
      <c r="BT17" s="48">
        <f>IFERROR(IF(AND(up_Irr!U17&lt;&gt;".",up_Irr!AS17&lt;&gt;".",up_Irr!BQ17&lt;&gt;"."),up_dir!AU17/((1/1000)*(up_Irr!U17+up_Irr!AS17+up_Irr!BQ17)),IF(AND(up_Irr!U17&lt;&gt;".",up_Irr!AS17&lt;&gt;".",up_Irr!BQ17="."),up_dir!AU17/((1/1000)*(up_Irr!U17+up_Irr!AS17)),IF(AND(up_Irr!U17&lt;&gt;".",up_Irr!AS17=".",up_Irr!BQ17&lt;&gt;"."),up_dir!AU17/((1/1000)*(up_Irr!U17+up_Irr!BQ17)),IF(AND(up_Irr!U17=".",up_Irr!AS17&lt;&gt;".",up_Irr!BQ17&lt;&gt;"."),up_dir!AU17/((1/1000)*(up_Irr!AS17+up_Irr!BQ17)),IF(AND(up_Irr!U17=".",up_Irr!AS17=".",up_Irr!BQ17&lt;&gt;"."),up_dir!AU17/((1/1000)*(up_Irr!BQ17)),IF(AND(up_Irr!U17=".",up_Irr!AS17&lt;&gt;".",up_Irr!BQ17="."),up_dir!AU17/((1/1000)*(up_Irr!AS17)),IF(AND(up_Irr!U17&lt;&gt;".",up_Irr!AS17=".",up_Irr!BQ17="."),up_dir!AU17/((1/1000)*(up_Irr!U17)),IF(AND(up_Irr!U17=".",up_Irr!AS17=".",up_Irr!BQ17="."),up_dir!AU17*1000)))))))),".")</f>
        <v>6.5773651144152131E-4</v>
      </c>
      <c r="BU17" s="48">
        <f>IFERROR(IF(AND(up_Irr!V17&lt;&gt;".",up_Irr!AT17&lt;&gt;".",up_Irr!BR17&lt;&gt;"."),up_dir!AV17/((1/1000)*(up_Irr!V17+up_Irr!AT17+up_Irr!BR17)),IF(AND(up_Irr!V17&lt;&gt;".",up_Irr!AT17&lt;&gt;".",up_Irr!BR17="."),up_dir!AV17/((1/1000)*(up_Irr!V17+up_Irr!AT17)),IF(AND(up_Irr!V17&lt;&gt;".",up_Irr!AT17=".",up_Irr!BR17&lt;&gt;"."),up_dir!AV17/((1/1000)*(up_Irr!V17+up_Irr!BR17)),IF(AND(up_Irr!V17=".",up_Irr!AT17&lt;&gt;".",up_Irr!BR17&lt;&gt;"."),up_dir!AV17/((1/1000)*(up_Irr!AT17+up_Irr!BR17)),IF(AND(up_Irr!V17=".",up_Irr!AT17=".",up_Irr!BR17&lt;&gt;"."),up_dir!AV17/((1/1000)*(up_Irr!BR17)),IF(AND(up_Irr!V17=".",up_Irr!AT17&lt;&gt;".",up_Irr!BR17="."),up_dir!AV17/((1/1000)*(up_Irr!AT17)),IF(AND(up_Irr!V17&lt;&gt;".",up_Irr!AT17=".",up_Irr!BR17="."),up_dir!AV17/((1/1000)*(up_Irr!V17)),IF(AND(up_Irr!V17=".",up_Irr!AT17=".",up_Irr!BR17="."),up_dir!AV17*1000)))))))),".")</f>
        <v>6.5773651144152131E-4</v>
      </c>
      <c r="BV17" s="48">
        <f>IFERROR(IF(AND(up_Irr!W17&lt;&gt;".",up_Irr!AU17&lt;&gt;".",up_Irr!BS17&lt;&gt;"."),up_dir!AW17/((1/1000)*(up_Irr!W17+up_Irr!AU17+up_Irr!BS17)),IF(AND(up_Irr!W17&lt;&gt;".",up_Irr!AU17&lt;&gt;".",up_Irr!BS17="."),up_dir!AW17/((1/1000)*(up_Irr!W17+up_Irr!AU17)),IF(AND(up_Irr!W17&lt;&gt;".",up_Irr!AU17=".",up_Irr!BS17&lt;&gt;"."),up_dir!AW17/((1/1000)*(up_Irr!W17+up_Irr!BS17)),IF(AND(up_Irr!W17=".",up_Irr!AU17&lt;&gt;".",up_Irr!BS17&lt;&gt;"."),up_dir!AW17/((1/1000)*(up_Irr!AU17+up_Irr!BS17)),IF(AND(up_Irr!W17=".",up_Irr!AU17=".",up_Irr!BS17&lt;&gt;"."),up_dir!AW17/((1/1000)*(up_Irr!BS17)),IF(AND(up_Irr!W17=".",up_Irr!AU17&lt;&gt;".",up_Irr!BS17="."),up_dir!AW17/((1/1000)*(up_Irr!AU17)),IF(AND(up_Irr!W17&lt;&gt;".",up_Irr!AU17=".",up_Irr!BS17="."),up_dir!AW17/((1/1000)*(up_Irr!W17)),IF(AND(up_Irr!W17=".",up_Irr!AU17=".",up_Irr!BS17="."),up_dir!AW17*1000)))))))),".")</f>
        <v>6.5773651144152131E-4</v>
      </c>
      <c r="BW17" s="48">
        <f>IFERROR(IF(AND(up_Irr!X17&lt;&gt;".",up_Irr!AV17&lt;&gt;".",up_Irr!BT17&lt;&gt;"."),up_dir!AX17/((1/1000)*(up_Irr!X17+up_Irr!AV17+up_Irr!BT17)),IF(AND(up_Irr!X17&lt;&gt;".",up_Irr!AV17&lt;&gt;".",up_Irr!BT17="."),up_dir!AX17/((1/1000)*(up_Irr!X17+up_Irr!AV17)),IF(AND(up_Irr!X17&lt;&gt;".",up_Irr!AV17=".",up_Irr!BT17&lt;&gt;"."),up_dir!AX17/((1/1000)*(up_Irr!X17+up_Irr!BT17)),IF(AND(up_Irr!X17=".",up_Irr!AV17&lt;&gt;".",up_Irr!BT17&lt;&gt;"."),up_dir!AX17/((1/1000)*(up_Irr!AV17+up_Irr!BT17)),IF(AND(up_Irr!X17=".",up_Irr!AV17=".",up_Irr!BT17&lt;&gt;"."),up_dir!AX17/((1/1000)*(up_Irr!BT17)),IF(AND(up_Irr!X17=".",up_Irr!AV17&lt;&gt;".",up_Irr!BT17="."),up_dir!AX17/((1/1000)*(up_Irr!AV17)),IF(AND(up_Irr!X17&lt;&gt;".",up_Irr!AV17=".",up_Irr!BT17="."),up_dir!AX17/((1/1000)*(up_Irr!X17)),IF(AND(up_Irr!X17=".",up_Irr!AV17=".",up_Irr!BT17="."),up_dir!AX17*1000)))))))),".")</f>
        <v>6.5773651144152131E-4</v>
      </c>
      <c r="BX17" s="48">
        <f>IFERROR(IF(AND(up_Irr!Y17&lt;&gt;".",up_Irr!AW17&lt;&gt;".",up_Irr!BU17&lt;&gt;"."),up_dir!AY17/((1/1000)*(up_Irr!Y17+up_Irr!AW17+up_Irr!BU17)),IF(AND(up_Irr!Y17&lt;&gt;".",up_Irr!AW17&lt;&gt;".",up_Irr!BU17="."),up_dir!AY17/((1/1000)*(up_Irr!Y17+up_Irr!AW17)),IF(AND(up_Irr!Y17&lt;&gt;".",up_Irr!AW17=".",up_Irr!BU17&lt;&gt;"."),up_dir!AY17/((1/1000)*(up_Irr!Y17+up_Irr!BU17)),IF(AND(up_Irr!Y17=".",up_Irr!AW17&lt;&gt;".",up_Irr!BU17&lt;&gt;"."),up_dir!AY17/((1/1000)*(up_Irr!AW17+up_Irr!BU17)),IF(AND(up_Irr!Y17=".",up_Irr!AW17=".",up_Irr!BU17&lt;&gt;"."),up_dir!AY17/((1/1000)*(up_Irr!BU17)),IF(AND(up_Irr!Y17=".",up_Irr!AW17&lt;&gt;".",up_Irr!BU17="."),up_dir!AY17/((1/1000)*(up_Irr!AW17)),IF(AND(up_Irr!Y17&lt;&gt;".",up_Irr!AW17=".",up_Irr!BU17="."),up_dir!AY17/((1/1000)*(up_Irr!Y17)),IF(AND(up_Irr!Y17=".",up_Irr!AW17=".",up_Irr!BU17="."),up_dir!AY17*1000)))))))),".")</f>
        <v>6.5773651144152131E-4</v>
      </c>
      <c r="BY17" s="48">
        <f>IFERROR(IF(AND(up_Irr!Z17&lt;&gt;".",up_Irr!AX17&lt;&gt;".",up_Irr!BV17&lt;&gt;"."),up_dir!AZ17/((1/1000)*(up_Irr!Z17+up_Irr!AX17+up_Irr!BV17)),IF(AND(up_Irr!Z17&lt;&gt;".",up_Irr!AX17&lt;&gt;".",up_Irr!BV17="."),up_dir!AZ17/((1/1000)*(up_Irr!Z17+up_Irr!AX17)),IF(AND(up_Irr!Z17&lt;&gt;".",up_Irr!AX17=".",up_Irr!BV17&lt;&gt;"."),up_dir!AZ17/((1/1000)*(up_Irr!Z17+up_Irr!BV17)),IF(AND(up_Irr!Z17=".",up_Irr!AX17&lt;&gt;".",up_Irr!BV17&lt;&gt;"."),up_dir!AZ17/((1/1000)*(up_Irr!AX17+up_Irr!BV17)),IF(AND(up_Irr!Z17=".",up_Irr!AX17=".",up_Irr!BV17&lt;&gt;"."),up_dir!AZ17/((1/1000)*(up_Irr!BV17)),IF(AND(up_Irr!Z17=".",up_Irr!AX17&lt;&gt;".",up_Irr!BV17="."),up_dir!AZ17/((1/1000)*(up_Irr!AX17)),IF(AND(up_Irr!Z17&lt;&gt;".",up_Irr!AX17=".",up_Irr!BV17="."),up_dir!AZ17/((1/1000)*(up_Irr!Z17)),IF(AND(up_Irr!Z17=".",up_Irr!AX17=".",up_Irr!BV17="."),up_dir!AZ17*1000)))))))),".")</f>
        <v>6.5773651144152131E-4</v>
      </c>
      <c r="BZ17" s="62">
        <f t="shared" si="3"/>
        <v>22805.4847785862</v>
      </c>
      <c r="CA17" s="62">
        <f>IFERROR(s_C*s_IFAP_far_adj*s_CF_apple*(1/1000)*(up_Irr!C17+up_Irr!AA17+up_Irr!AY17),".")</f>
        <v>7601.8282595287337</v>
      </c>
      <c r="CB17" s="62">
        <f>IFERROR(s_C*s_IFAS_far_adj*s_CF_asparagus*(1/1000)*(up_Irr!D17+up_Irr!AB17+up_Irr!AZ17),".")</f>
        <v>7601.8282595287337</v>
      </c>
      <c r="CC17" s="62">
        <f>IFERROR(s_C*s_IFBT_far_adj*s_CF_beet*(1/1000)*(up_Irr!E17+up_Irr!AC17+up_Irr!BA17),".")</f>
        <v>7601.8282595287337</v>
      </c>
      <c r="CD17" s="62">
        <f>IFERROR(s_C*s_IFBE_far_adj*s_CF_berries*(1/1000)*(up_Irr!F17+up_Irr!AD17+up_Irr!BB17),".")</f>
        <v>7601.8282595287337</v>
      </c>
      <c r="CE17" s="62">
        <f>IFERROR(s_C*s_IFBR_far_adj*s_CF_broccoli*(1/1000)*(up_Irr!G17+up_Irr!AE17+up_Irr!BC17),".")</f>
        <v>7601.8282595287337</v>
      </c>
      <c r="CF17" s="62">
        <f>IFERROR(s_C*s_IFCB_far_adj*s_CF_cabbage*(1/1000)*(up_Irr!H17+up_Irr!AF17+up_Irr!BD17),".")</f>
        <v>7601.8282595287337</v>
      </c>
      <c r="CG17" s="62">
        <f>IFERROR(s_C*s_IFCR_far_adj*s_CF_carrot*(1/1000)*(up_Irr!I17+up_Irr!AG17+up_Irr!BE17),".")</f>
        <v>7601.8282595287337</v>
      </c>
      <c r="CH17" s="62">
        <f>IFERROR(s_C*s_IFCI_far_adj*s_CF_citrus*(1/1000)*(up_Irr!J17+up_Irr!AH17+up_Irr!BF17),".")</f>
        <v>7601.8282595287337</v>
      </c>
      <c r="CI17" s="62">
        <f>IFERROR(s_C*s_IFCO_far_adj*s_CF_corn*(1/1000)*(up_Irr!K17+up_Irr!AI17+up_Irr!BG17),".")</f>
        <v>7601.8282595287337</v>
      </c>
      <c r="CJ17" s="62">
        <f>IFERROR(s_C*s_IFCU_far_adj*s_CF_cucumber*(1/1000)*(up_Irr!L17+up_Irr!AJ17+up_Irr!BH17),".")</f>
        <v>7601.8282595287337</v>
      </c>
      <c r="CK17" s="62">
        <f>IFERROR(s_C*s_IFLE_far_adj*s_CF_lettuce*(1/1000)*(up_Irr!M17+up_Irr!AK17+up_Irr!BI17),".")</f>
        <v>7601.8282595287337</v>
      </c>
      <c r="CL17" s="62">
        <f>IFERROR(s_C*s_IFLI_far_adj*s_CF_lima_bean*(1/1000)*(up_Irr!N17+up_Irr!AL17+up_Irr!BJ17),".")</f>
        <v>7601.8282595287337</v>
      </c>
      <c r="CM17" s="62">
        <f>IFERROR(s_C*s_IFOK_far_adj*s_CF_okra*(1/1000)*(up_Irr!O17+up_Irr!AM17+up_Irr!BK17),".")</f>
        <v>7601.8282595287337</v>
      </c>
      <c r="CN17" s="62">
        <f>IFERROR(s_C*s_IFON_far_adj*s_CF_onion*(1/1000)*(up_Irr!P17+up_Irr!AN17+up_Irr!BL17),".")</f>
        <v>7601.8282595287337</v>
      </c>
      <c r="CO17" s="62">
        <f>IFERROR(s_C*s_IFPC_far_adj*s_CF_peach*(1/1000)*(up_Irr!Q17+up_Irr!AO17+up_Irr!BM17),".")</f>
        <v>7601.8282595287337</v>
      </c>
      <c r="CP17" s="62">
        <f>IFERROR(s_C*s_IFPR_far_adj*s_CF_pear*(1/1000)*(up_Irr!R17+up_Irr!AP17+up_Irr!BN17),".")</f>
        <v>7601.8282595287337</v>
      </c>
      <c r="CQ17" s="62">
        <f>IFERROR(s_C*s_IFPE_far_adj*s_CF_peas*(1/1000)*(up_Irr!S17+up_Irr!AQ17+up_Irr!BO17),".")</f>
        <v>7601.8282595287337</v>
      </c>
      <c r="CR17" s="62">
        <f>IFERROR(s_C*s_IFPT_far_adj*s_CF_potato*(1/1000)*(up_Irr!T17+up_Irr!AR17+up_Irr!BP17),".")</f>
        <v>7601.8282595287337</v>
      </c>
      <c r="CS17" s="62">
        <f>IFERROR(s_C*s_IFPU_far_adj*s_CF_pumpkin*(1/1000)*(up_Irr!U17+up_Irr!AS17+up_Irr!BQ17),".")</f>
        <v>7601.8282595287337</v>
      </c>
      <c r="CT17" s="62">
        <f>IFERROR(s_C*s_IFSN_far_adj*s_CF_snap_bean*(1/1000)*(up_Irr!V17+up_Irr!AT17+up_Irr!BR17),".")</f>
        <v>7601.8282595287337</v>
      </c>
      <c r="CU17" s="62">
        <f>IFERROR(s_C*s_IFST_far_adj*s_CF_strawberry*(1/1000)*(up_Irr!W17+up_Irr!AU17+up_Irr!BS17),".")</f>
        <v>7601.8282595287337</v>
      </c>
      <c r="CV17" s="62">
        <f>IFERROR(s_C*s_IFTO_far_adj*s_CF_tomato*(1/1000)*(up_Irr!X17+up_Irr!AV17+up_Irr!BT17),".")</f>
        <v>7601.8282595287337</v>
      </c>
      <c r="CW17" s="62">
        <f>IFERROR(s_C*s_IFRI_far_adj*s_CF_rice*(1/1000)*(up_Irr!Y17+up_Irr!AW17+up_Irr!BU17),".")</f>
        <v>7601.8282595287337</v>
      </c>
      <c r="CX17" s="62">
        <f>IFERROR(s_C*s_IFCG_far_adj*s_CF_cereal*(1/1000)*(up_Irr!Z17+up_Irr!AX17+up_Irr!BV17),".")</f>
        <v>7601.8282595287337</v>
      </c>
    </row>
    <row r="18" spans="1:102" ht="15" customHeight="1" x14ac:dyDescent="0.25">
      <c r="A18" s="61" t="s">
        <v>16</v>
      </c>
      <c r="B18" s="49" t="s">
        <v>1059</v>
      </c>
      <c r="C18" s="48">
        <f t="shared" si="0"/>
        <v>2.1924550381384044E-4</v>
      </c>
      <c r="D18" s="48">
        <f>IFERROR(IF(AND(up_Irr!C18&lt;&gt;".",up_Irr!AA18&lt;&gt;".",up_Irr!AY18&lt;&gt;"."),up_dir!D18/((1/1000)*(up_Irr!C18+up_Irr!AA18+up_Irr!AY18)),IF(AND(up_Irr!C18&lt;&gt;".",up_Irr!AA18&lt;&gt;".",up_Irr!AY18="."),up_dir!D18/((1/1000)*(up_Irr!C18+up_Irr!AA18)),IF(AND(up_Irr!C18&lt;&gt;".",up_Irr!AA18=".",up_Irr!AY18&lt;&gt;"."),up_dir!D18/((1/1000)*(up_Irr!C18+up_Irr!AY18)),IF(AND(up_Irr!C18=".",up_Irr!AA18&lt;&gt;".",up_Irr!AY18&lt;&gt;"."),up_dir!D18/((1/1000)*(up_Irr!AA18+up_Irr!AY18)),IF(AND(up_Irr!C18=".",up_Irr!AA18=".",up_Irr!AY18&lt;&gt;"."),up_dir!D18/((1/1000)*(up_Irr!AY18)),IF(AND(up_Irr!C18=".",up_Irr!AA18&lt;&gt;".",up_Irr!AY18="."),up_dir!D18/((1/1000)*(up_Irr!AA18)),IF(AND(up_Irr!C18&lt;&gt;".",up_Irr!AA18=".",up_Irr!AY18="."),up_dir!D18/((1/1000)*(up_Irr!C18)),IF(AND(up_Irr!C18=".",up_Irr!AA18=".",up_Irr!AY18="."),up_dir!D18*1000)))))))),".")</f>
        <v>6.5773651144152131E-4</v>
      </c>
      <c r="E18" s="48">
        <f>IFERROR(IF(AND(up_Irr!D18&lt;&gt;".",up_Irr!AB18&lt;&gt;".",up_Irr!AZ18&lt;&gt;"."),up_dir!E18/((1/1000)*(up_Irr!D18+up_Irr!AB18+up_Irr!AZ18)),IF(AND(up_Irr!D18&lt;&gt;".",up_Irr!AB18&lt;&gt;".",up_Irr!AZ18="."),up_dir!E18/((1/1000)*(up_Irr!D18+up_Irr!AB18)),IF(AND(up_Irr!D18&lt;&gt;".",up_Irr!AB18=".",up_Irr!AZ18&lt;&gt;"."),up_dir!E18/((1/1000)*(up_Irr!D18+up_Irr!AZ18)),IF(AND(up_Irr!D18=".",up_Irr!AB18&lt;&gt;".",up_Irr!AZ18&lt;&gt;"."),up_dir!E18/((1/1000)*(up_Irr!AB18+up_Irr!AZ18)),IF(AND(up_Irr!D18=".",up_Irr!AB18=".",up_Irr!AZ18&lt;&gt;"."),up_dir!E18/((1/1000)*(up_Irr!AZ18)),IF(AND(up_Irr!D18=".",up_Irr!AB18&lt;&gt;".",up_Irr!AZ18="."),up_dir!E18/((1/1000)*(up_Irr!AB18)),IF(AND(up_Irr!D18&lt;&gt;".",up_Irr!AB18=".",up_Irr!AZ18="."),up_dir!E18/((1/1000)*(up_Irr!D18)),IF(AND(up_Irr!D18=".",up_Irr!AB18=".",up_Irr!AZ18="."),up_dir!E18*1000)))))))),".")</f>
        <v>6.5773651144152131E-4</v>
      </c>
      <c r="F18" s="48">
        <f>IFERROR(IF(AND(up_Irr!E18&lt;&gt;".",up_Irr!AC18&lt;&gt;".",up_Irr!BA18&lt;&gt;"."),up_dir!F18/((1/1000)*(up_Irr!E18+up_Irr!AC18+up_Irr!BA18)),IF(AND(up_Irr!E18&lt;&gt;".",up_Irr!AC18&lt;&gt;".",up_Irr!BA18="."),up_dir!F18/((1/1000)*(up_Irr!E18+up_Irr!AC18)),IF(AND(up_Irr!E18&lt;&gt;".",up_Irr!AC18=".",up_Irr!BA18&lt;&gt;"."),up_dir!F18/((1/1000)*(up_Irr!E18+up_Irr!BA18)),IF(AND(up_Irr!E18=".",up_Irr!AC18&lt;&gt;".",up_Irr!BA18&lt;&gt;"."),up_dir!F18/((1/1000)*(up_Irr!AC18+up_Irr!BA18)),IF(AND(up_Irr!E18=".",up_Irr!AC18=".",up_Irr!BA18&lt;&gt;"."),up_dir!F18/((1/1000)*(up_Irr!BA18)),IF(AND(up_Irr!E18=".",up_Irr!AC18&lt;&gt;".",up_Irr!BA18="."),up_dir!F18/((1/1000)*(up_Irr!AC18)),IF(AND(up_Irr!E18&lt;&gt;".",up_Irr!AC18=".",up_Irr!BA18="."),up_dir!F18/((1/1000)*(up_Irr!E18)),IF(AND(up_Irr!E18=".",up_Irr!AC18=".",up_Irr!BA18="."),up_dir!F18*1000)))))))),".")</f>
        <v>6.5773651144152131E-4</v>
      </c>
      <c r="G18" s="48">
        <f>IFERROR(IF(AND(up_Irr!F18&lt;&gt;".",up_Irr!AD18&lt;&gt;".",up_Irr!BB18&lt;&gt;"."),up_dir!G18/((1/1000)*(up_Irr!F18+up_Irr!AD18+up_Irr!BB18)),IF(AND(up_Irr!F18&lt;&gt;".",up_Irr!AD18&lt;&gt;".",up_Irr!BB18="."),up_dir!G18/((1/1000)*(up_Irr!F18+up_Irr!AD18)),IF(AND(up_Irr!F18&lt;&gt;".",up_Irr!AD18=".",up_Irr!BB18&lt;&gt;"."),up_dir!G18/((1/1000)*(up_Irr!F18+up_Irr!BB18)),IF(AND(up_Irr!F18=".",up_Irr!AD18&lt;&gt;".",up_Irr!BB18&lt;&gt;"."),up_dir!G18/((1/1000)*(up_Irr!AD18+up_Irr!BB18)),IF(AND(up_Irr!F18=".",up_Irr!AD18=".",up_Irr!BB18&lt;&gt;"."),up_dir!G18/((1/1000)*(up_Irr!BB18)),IF(AND(up_Irr!F18=".",up_Irr!AD18&lt;&gt;".",up_Irr!BB18="."),up_dir!G18/((1/1000)*(up_Irr!AD18)),IF(AND(up_Irr!F18&lt;&gt;".",up_Irr!AD18=".",up_Irr!BB18="."),up_dir!G18/((1/1000)*(up_Irr!F18)),IF(AND(up_Irr!F18=".",up_Irr!AD18=".",up_Irr!BB18="."),up_dir!G18*1000)))))))),".")</f>
        <v>6.5773651144152131E-4</v>
      </c>
      <c r="H18" s="48">
        <f>IFERROR(IF(AND(up_Irr!G18&lt;&gt;".",up_Irr!AE18&lt;&gt;".",up_Irr!BC18&lt;&gt;"."),up_dir!H18/((1/1000)*(up_Irr!G18+up_Irr!AE18+up_Irr!BC18)),IF(AND(up_Irr!G18&lt;&gt;".",up_Irr!AE18&lt;&gt;".",up_Irr!BC18="."),up_dir!H18/((1/1000)*(up_Irr!G18+up_Irr!AE18)),IF(AND(up_Irr!G18&lt;&gt;".",up_Irr!AE18=".",up_Irr!BC18&lt;&gt;"."),up_dir!H18/((1/1000)*(up_Irr!G18+up_Irr!BC18)),IF(AND(up_Irr!G18=".",up_Irr!AE18&lt;&gt;".",up_Irr!BC18&lt;&gt;"."),up_dir!H18/((1/1000)*(up_Irr!AE18+up_Irr!BC18)),IF(AND(up_Irr!G18=".",up_Irr!AE18=".",up_Irr!BC18&lt;&gt;"."),up_dir!H18/((1/1000)*(up_Irr!BC18)),IF(AND(up_Irr!G18=".",up_Irr!AE18&lt;&gt;".",up_Irr!BC18="."),up_dir!H18/((1/1000)*(up_Irr!AE18)),IF(AND(up_Irr!G18&lt;&gt;".",up_Irr!AE18=".",up_Irr!BC18="."),up_dir!H18/((1/1000)*(up_Irr!G18)),IF(AND(up_Irr!G18=".",up_Irr!AE18=".",up_Irr!BC18="."),up_dir!H18*1000)))))))),".")</f>
        <v>6.5773651144152131E-4</v>
      </c>
      <c r="I18" s="48">
        <f>IFERROR(IF(AND(up_Irr!H18&lt;&gt;".",up_Irr!AF18&lt;&gt;".",up_Irr!BD18&lt;&gt;"."),up_dir!I18/((1/1000)*(up_Irr!H18+up_Irr!AF18+up_Irr!BD18)),IF(AND(up_Irr!H18&lt;&gt;".",up_Irr!AF18&lt;&gt;".",up_Irr!BD18="."),up_dir!I18/((1/1000)*(up_Irr!H18+up_Irr!AF18)),IF(AND(up_Irr!H18&lt;&gt;".",up_Irr!AF18=".",up_Irr!BD18&lt;&gt;"."),up_dir!I18/((1/1000)*(up_Irr!H18+up_Irr!BD18)),IF(AND(up_Irr!H18=".",up_Irr!AF18&lt;&gt;".",up_Irr!BD18&lt;&gt;"."),up_dir!I18/((1/1000)*(up_Irr!AF18+up_Irr!BD18)),IF(AND(up_Irr!H18=".",up_Irr!AF18=".",up_Irr!BD18&lt;&gt;"."),up_dir!I18/((1/1000)*(up_Irr!BD18)),IF(AND(up_Irr!H18=".",up_Irr!AF18&lt;&gt;".",up_Irr!BD18="."),up_dir!I18/((1/1000)*(up_Irr!AF18)),IF(AND(up_Irr!H18&lt;&gt;".",up_Irr!AF18=".",up_Irr!BD18="."),up_dir!I18/((1/1000)*(up_Irr!H18)),IF(AND(up_Irr!H18=".",up_Irr!AF18=".",up_Irr!BD18="."),up_dir!I18*1000)))))))),".")</f>
        <v>6.5773651144152131E-4</v>
      </c>
      <c r="J18" s="48">
        <f>IFERROR(IF(AND(up_Irr!I18&lt;&gt;".",up_Irr!AG18&lt;&gt;".",up_Irr!BE18&lt;&gt;"."),up_dir!J18/((1/1000)*(up_Irr!I18+up_Irr!AG18+up_Irr!BE18)),IF(AND(up_Irr!I18&lt;&gt;".",up_Irr!AG18&lt;&gt;".",up_Irr!BE18="."),up_dir!J18/((1/1000)*(up_Irr!I18+up_Irr!AG18)),IF(AND(up_Irr!I18&lt;&gt;".",up_Irr!AG18=".",up_Irr!BE18&lt;&gt;"."),up_dir!J18/((1/1000)*(up_Irr!I18+up_Irr!BE18)),IF(AND(up_Irr!I18=".",up_Irr!AG18&lt;&gt;".",up_Irr!BE18&lt;&gt;"."),up_dir!J18/((1/1000)*(up_Irr!AG18+up_Irr!BE18)),IF(AND(up_Irr!I18=".",up_Irr!AG18=".",up_Irr!BE18&lt;&gt;"."),up_dir!J18/((1/1000)*(up_Irr!BE18)),IF(AND(up_Irr!I18=".",up_Irr!AG18&lt;&gt;".",up_Irr!BE18="."),up_dir!J18/((1/1000)*(up_Irr!AG18)),IF(AND(up_Irr!I18&lt;&gt;".",up_Irr!AG18=".",up_Irr!BE18="."),up_dir!J18/((1/1000)*(up_Irr!I18)),IF(AND(up_Irr!I18=".",up_Irr!AG18=".",up_Irr!BE18="."),up_dir!J18*1000)))))))),".")</f>
        <v>6.5773651144152131E-4</v>
      </c>
      <c r="K18" s="48">
        <f>IFERROR(IF(AND(up_Irr!J18&lt;&gt;".",up_Irr!AH18&lt;&gt;".",up_Irr!BF18&lt;&gt;"."),up_dir!K18/((1/1000)*(up_Irr!J18+up_Irr!AH18+up_Irr!BF18)),IF(AND(up_Irr!J18&lt;&gt;".",up_Irr!AH18&lt;&gt;".",up_Irr!BF18="."),up_dir!K18/((1/1000)*(up_Irr!J18+up_Irr!AH18)),IF(AND(up_Irr!J18&lt;&gt;".",up_Irr!AH18=".",up_Irr!BF18&lt;&gt;"."),up_dir!K18/((1/1000)*(up_Irr!J18+up_Irr!BF18)),IF(AND(up_Irr!J18=".",up_Irr!AH18&lt;&gt;".",up_Irr!BF18&lt;&gt;"."),up_dir!K18/((1/1000)*(up_Irr!AH18+up_Irr!BF18)),IF(AND(up_Irr!J18=".",up_Irr!AH18=".",up_Irr!BF18&lt;&gt;"."),up_dir!K18/((1/1000)*(up_Irr!BF18)),IF(AND(up_Irr!J18=".",up_Irr!AH18&lt;&gt;".",up_Irr!BF18="."),up_dir!K18/((1/1000)*(up_Irr!AH18)),IF(AND(up_Irr!J18&lt;&gt;".",up_Irr!AH18=".",up_Irr!BF18="."),up_dir!K18/((1/1000)*(up_Irr!J18)),IF(AND(up_Irr!J18=".",up_Irr!AH18=".",up_Irr!BF18="."),up_dir!K18*1000)))))))),".")</f>
        <v>6.5773651144152131E-4</v>
      </c>
      <c r="L18" s="48">
        <f>IFERROR(IF(AND(up_Irr!K18&lt;&gt;".",up_Irr!AI18&lt;&gt;".",up_Irr!BG18&lt;&gt;"."),up_dir!L18/((1/1000)*(up_Irr!K18+up_Irr!AI18+up_Irr!BG18)),IF(AND(up_Irr!K18&lt;&gt;".",up_Irr!AI18&lt;&gt;".",up_Irr!BG18="."),up_dir!L18/((1/1000)*(up_Irr!K18+up_Irr!AI18)),IF(AND(up_Irr!K18&lt;&gt;".",up_Irr!AI18=".",up_Irr!BG18&lt;&gt;"."),up_dir!L18/((1/1000)*(up_Irr!K18+up_Irr!BG18)),IF(AND(up_Irr!K18=".",up_Irr!AI18&lt;&gt;".",up_Irr!BG18&lt;&gt;"."),up_dir!L18/((1/1000)*(up_Irr!AI18+up_Irr!BG18)),IF(AND(up_Irr!K18=".",up_Irr!AI18=".",up_Irr!BG18&lt;&gt;"."),up_dir!L18/((1/1000)*(up_Irr!BG18)),IF(AND(up_Irr!K18=".",up_Irr!AI18&lt;&gt;".",up_Irr!BG18="."),up_dir!L18/((1/1000)*(up_Irr!AI18)),IF(AND(up_Irr!K18&lt;&gt;".",up_Irr!AI18=".",up_Irr!BG18="."),up_dir!L18/((1/1000)*(up_Irr!K18)),IF(AND(up_Irr!K18=".",up_Irr!AI18=".",up_Irr!BG18="."),up_dir!L18*1000)))))))),".")</f>
        <v>6.5773651144152131E-4</v>
      </c>
      <c r="M18" s="48">
        <f>IFERROR(IF(AND(up_Irr!L18&lt;&gt;".",up_Irr!AJ18&lt;&gt;".",up_Irr!BH18&lt;&gt;"."),up_dir!M18/((1/1000)*(up_Irr!L18+up_Irr!AJ18+up_Irr!BH18)),IF(AND(up_Irr!L18&lt;&gt;".",up_Irr!AJ18&lt;&gt;".",up_Irr!BH18="."),up_dir!M18/((1/1000)*(up_Irr!L18+up_Irr!AJ18)),IF(AND(up_Irr!L18&lt;&gt;".",up_Irr!AJ18=".",up_Irr!BH18&lt;&gt;"."),up_dir!M18/((1/1000)*(up_Irr!L18+up_Irr!BH18)),IF(AND(up_Irr!L18=".",up_Irr!AJ18&lt;&gt;".",up_Irr!BH18&lt;&gt;"."),up_dir!M18/((1/1000)*(up_Irr!AJ18+up_Irr!BH18)),IF(AND(up_Irr!L18=".",up_Irr!AJ18=".",up_Irr!BH18&lt;&gt;"."),up_dir!M18/((1/1000)*(up_Irr!BH18)),IF(AND(up_Irr!L18=".",up_Irr!AJ18&lt;&gt;".",up_Irr!BH18="."),up_dir!M18/((1/1000)*(up_Irr!AJ18)),IF(AND(up_Irr!L18&lt;&gt;".",up_Irr!AJ18=".",up_Irr!BH18="."),up_dir!M18/((1/1000)*(up_Irr!L18)),IF(AND(up_Irr!L18=".",up_Irr!AJ18=".",up_Irr!BH18="."),up_dir!M18*1000)))))))),".")</f>
        <v>6.5773651144152131E-4</v>
      </c>
      <c r="N18" s="48">
        <f>IFERROR(IF(AND(up_Irr!M18&lt;&gt;".",up_Irr!AK18&lt;&gt;".",up_Irr!BI18&lt;&gt;"."),up_dir!N18/((1/1000)*(up_Irr!M18+up_Irr!AK18+up_Irr!BI18)),IF(AND(up_Irr!M18&lt;&gt;".",up_Irr!AK18&lt;&gt;".",up_Irr!BI18="."),up_dir!N18/((1/1000)*(up_Irr!M18+up_Irr!AK18)),IF(AND(up_Irr!M18&lt;&gt;".",up_Irr!AK18=".",up_Irr!BI18&lt;&gt;"."),up_dir!N18/((1/1000)*(up_Irr!M18+up_Irr!BI18)),IF(AND(up_Irr!M18=".",up_Irr!AK18&lt;&gt;".",up_Irr!BI18&lt;&gt;"."),up_dir!N18/((1/1000)*(up_Irr!AK18+up_Irr!BI18)),IF(AND(up_Irr!M18=".",up_Irr!AK18=".",up_Irr!BI18&lt;&gt;"."),up_dir!N18/((1/1000)*(up_Irr!BI18)),IF(AND(up_Irr!M18=".",up_Irr!AK18&lt;&gt;".",up_Irr!BI18="."),up_dir!N18/((1/1000)*(up_Irr!AK18)),IF(AND(up_Irr!M18&lt;&gt;".",up_Irr!AK18=".",up_Irr!BI18="."),up_dir!N18/((1/1000)*(up_Irr!M18)),IF(AND(up_Irr!M18=".",up_Irr!AK18=".",up_Irr!BI18="."),up_dir!N18*1000)))))))),".")</f>
        <v>6.5773651144152131E-4</v>
      </c>
      <c r="O18" s="48">
        <f>IFERROR(IF(AND(up_Irr!N18&lt;&gt;".",up_Irr!AL18&lt;&gt;".",up_Irr!BJ18&lt;&gt;"."),up_dir!O18/((1/1000)*(up_Irr!N18+up_Irr!AL18+up_Irr!BJ18)),IF(AND(up_Irr!N18&lt;&gt;".",up_Irr!AL18&lt;&gt;".",up_Irr!BJ18="."),up_dir!O18/((1/1000)*(up_Irr!N18+up_Irr!AL18)),IF(AND(up_Irr!N18&lt;&gt;".",up_Irr!AL18=".",up_Irr!BJ18&lt;&gt;"."),up_dir!O18/((1/1000)*(up_Irr!N18+up_Irr!BJ18)),IF(AND(up_Irr!N18=".",up_Irr!AL18&lt;&gt;".",up_Irr!BJ18&lt;&gt;"."),up_dir!O18/((1/1000)*(up_Irr!AL18+up_Irr!BJ18)),IF(AND(up_Irr!N18=".",up_Irr!AL18=".",up_Irr!BJ18&lt;&gt;"."),up_dir!O18/((1/1000)*(up_Irr!BJ18)),IF(AND(up_Irr!N18=".",up_Irr!AL18&lt;&gt;".",up_Irr!BJ18="."),up_dir!O18/((1/1000)*(up_Irr!AL18)),IF(AND(up_Irr!N18&lt;&gt;".",up_Irr!AL18=".",up_Irr!BJ18="."),up_dir!O18/((1/1000)*(up_Irr!N18)),IF(AND(up_Irr!N18=".",up_Irr!AL18=".",up_Irr!BJ18="."),up_dir!O18*1000)))))))),".")</f>
        <v>6.5773651144152131E-4</v>
      </c>
      <c r="P18" s="48">
        <f>IFERROR(IF(AND(up_Irr!O18&lt;&gt;".",up_Irr!AM18&lt;&gt;".",up_Irr!BK18&lt;&gt;"."),up_dir!P18/((1/1000)*(up_Irr!O18+up_Irr!AM18+up_Irr!BK18)),IF(AND(up_Irr!O18&lt;&gt;".",up_Irr!AM18&lt;&gt;".",up_Irr!BK18="."),up_dir!P18/((1/1000)*(up_Irr!O18+up_Irr!AM18)),IF(AND(up_Irr!O18&lt;&gt;".",up_Irr!AM18=".",up_Irr!BK18&lt;&gt;"."),up_dir!P18/((1/1000)*(up_Irr!O18+up_Irr!BK18)),IF(AND(up_Irr!O18=".",up_Irr!AM18&lt;&gt;".",up_Irr!BK18&lt;&gt;"."),up_dir!P18/((1/1000)*(up_Irr!AM18+up_Irr!BK18)),IF(AND(up_Irr!O18=".",up_Irr!AM18=".",up_Irr!BK18&lt;&gt;"."),up_dir!P18/((1/1000)*(up_Irr!BK18)),IF(AND(up_Irr!O18=".",up_Irr!AM18&lt;&gt;".",up_Irr!BK18="."),up_dir!P18/((1/1000)*(up_Irr!AM18)),IF(AND(up_Irr!O18&lt;&gt;".",up_Irr!AM18=".",up_Irr!BK18="."),up_dir!P18/((1/1000)*(up_Irr!O18)),IF(AND(up_Irr!O18=".",up_Irr!AM18=".",up_Irr!BK18="."),up_dir!P18*1000)))))))),".")</f>
        <v>6.5773651144152131E-4</v>
      </c>
      <c r="Q18" s="48">
        <f>IFERROR(IF(AND(up_Irr!P18&lt;&gt;".",up_Irr!AN18&lt;&gt;".",up_Irr!BL18&lt;&gt;"."),up_dir!Q18/((1/1000)*(up_Irr!P18+up_Irr!AN18+up_Irr!BL18)),IF(AND(up_Irr!P18&lt;&gt;".",up_Irr!AN18&lt;&gt;".",up_Irr!BL18="."),up_dir!Q18/((1/1000)*(up_Irr!P18+up_Irr!AN18)),IF(AND(up_Irr!P18&lt;&gt;".",up_Irr!AN18=".",up_Irr!BL18&lt;&gt;"."),up_dir!Q18/((1/1000)*(up_Irr!P18+up_Irr!BL18)),IF(AND(up_Irr!P18=".",up_Irr!AN18&lt;&gt;".",up_Irr!BL18&lt;&gt;"."),up_dir!Q18/((1/1000)*(up_Irr!AN18+up_Irr!BL18)),IF(AND(up_Irr!P18=".",up_Irr!AN18=".",up_Irr!BL18&lt;&gt;"."),up_dir!Q18/((1/1000)*(up_Irr!BL18)),IF(AND(up_Irr!P18=".",up_Irr!AN18&lt;&gt;".",up_Irr!BL18="."),up_dir!Q18/((1/1000)*(up_Irr!AN18)),IF(AND(up_Irr!P18&lt;&gt;".",up_Irr!AN18=".",up_Irr!BL18="."),up_dir!Q18/((1/1000)*(up_Irr!P18)),IF(AND(up_Irr!P18=".",up_Irr!AN18=".",up_Irr!BL18="."),up_dir!Q18*1000)))))))),".")</f>
        <v>6.5773651144152131E-4</v>
      </c>
      <c r="R18" s="48">
        <f>IFERROR(IF(AND(up_Irr!Q18&lt;&gt;".",up_Irr!AO18&lt;&gt;".",up_Irr!BM18&lt;&gt;"."),up_dir!R18/((1/1000)*(up_Irr!Q18+up_Irr!AO18+up_Irr!BM18)),IF(AND(up_Irr!Q18&lt;&gt;".",up_Irr!AO18&lt;&gt;".",up_Irr!BM18="."),up_dir!R18/((1/1000)*(up_Irr!Q18+up_Irr!AO18)),IF(AND(up_Irr!Q18&lt;&gt;".",up_Irr!AO18=".",up_Irr!BM18&lt;&gt;"."),up_dir!R18/((1/1000)*(up_Irr!Q18+up_Irr!BM18)),IF(AND(up_Irr!Q18=".",up_Irr!AO18&lt;&gt;".",up_Irr!BM18&lt;&gt;"."),up_dir!R18/((1/1000)*(up_Irr!AO18+up_Irr!BM18)),IF(AND(up_Irr!Q18=".",up_Irr!AO18=".",up_Irr!BM18&lt;&gt;"."),up_dir!R18/((1/1000)*(up_Irr!BM18)),IF(AND(up_Irr!Q18=".",up_Irr!AO18&lt;&gt;".",up_Irr!BM18="."),up_dir!R18/((1/1000)*(up_Irr!AO18)),IF(AND(up_Irr!Q18&lt;&gt;".",up_Irr!AO18=".",up_Irr!BM18="."),up_dir!R18/((1/1000)*(up_Irr!Q18)),IF(AND(up_Irr!Q18=".",up_Irr!AO18=".",up_Irr!BM18="."),up_dir!R18*1000)))))))),".")</f>
        <v>6.5773651144152131E-4</v>
      </c>
      <c r="S18" s="48">
        <f>IFERROR(IF(AND(up_Irr!R18&lt;&gt;".",up_Irr!AP18&lt;&gt;".",up_Irr!BN18&lt;&gt;"."),up_dir!S18/((1/1000)*(up_Irr!R18+up_Irr!AP18+up_Irr!BN18)),IF(AND(up_Irr!R18&lt;&gt;".",up_Irr!AP18&lt;&gt;".",up_Irr!BN18="."),up_dir!S18/((1/1000)*(up_Irr!R18+up_Irr!AP18)),IF(AND(up_Irr!R18&lt;&gt;".",up_Irr!AP18=".",up_Irr!BN18&lt;&gt;"."),up_dir!S18/((1/1000)*(up_Irr!R18+up_Irr!BN18)),IF(AND(up_Irr!R18=".",up_Irr!AP18&lt;&gt;".",up_Irr!BN18&lt;&gt;"."),up_dir!S18/((1/1000)*(up_Irr!AP18+up_Irr!BN18)),IF(AND(up_Irr!R18=".",up_Irr!AP18=".",up_Irr!BN18&lt;&gt;"."),up_dir!S18/((1/1000)*(up_Irr!BN18)),IF(AND(up_Irr!R18=".",up_Irr!AP18&lt;&gt;".",up_Irr!BN18="."),up_dir!S18/((1/1000)*(up_Irr!AP18)),IF(AND(up_Irr!R18&lt;&gt;".",up_Irr!AP18=".",up_Irr!BN18="."),up_dir!S18/((1/1000)*(up_Irr!R18)),IF(AND(up_Irr!R18=".",up_Irr!AP18=".",up_Irr!BN18="."),up_dir!S18*1000)))))))),".")</f>
        <v>6.5773651144152131E-4</v>
      </c>
      <c r="T18" s="48">
        <f>IFERROR(IF(AND(up_Irr!S18&lt;&gt;".",up_Irr!AQ18&lt;&gt;".",up_Irr!BO18&lt;&gt;"."),up_dir!T18/((1/1000)*(up_Irr!S18+up_Irr!AQ18+up_Irr!BO18)),IF(AND(up_Irr!S18&lt;&gt;".",up_Irr!AQ18&lt;&gt;".",up_Irr!BO18="."),up_dir!T18/((1/1000)*(up_Irr!S18+up_Irr!AQ18)),IF(AND(up_Irr!S18&lt;&gt;".",up_Irr!AQ18=".",up_Irr!BO18&lt;&gt;"."),up_dir!T18/((1/1000)*(up_Irr!S18+up_Irr!BO18)),IF(AND(up_Irr!S18=".",up_Irr!AQ18&lt;&gt;".",up_Irr!BO18&lt;&gt;"."),up_dir!T18/((1/1000)*(up_Irr!AQ18+up_Irr!BO18)),IF(AND(up_Irr!S18=".",up_Irr!AQ18=".",up_Irr!BO18&lt;&gt;"."),up_dir!T18/((1/1000)*(up_Irr!BO18)),IF(AND(up_Irr!S18=".",up_Irr!AQ18&lt;&gt;".",up_Irr!BO18="."),up_dir!T18/((1/1000)*(up_Irr!AQ18)),IF(AND(up_Irr!S18&lt;&gt;".",up_Irr!AQ18=".",up_Irr!BO18="."),up_dir!T18/((1/1000)*(up_Irr!S18)),IF(AND(up_Irr!S18=".",up_Irr!AQ18=".",up_Irr!BO18="."),up_dir!T18*1000)))))))),".")</f>
        <v>6.5773651144152131E-4</v>
      </c>
      <c r="U18" s="48">
        <f>IFERROR(IF(AND(up_Irr!T18&lt;&gt;".",up_Irr!AR18&lt;&gt;".",up_Irr!BP18&lt;&gt;"."),up_dir!U18/((1/1000)*(up_Irr!T18+up_Irr!AR18+up_Irr!BP18)),IF(AND(up_Irr!T18&lt;&gt;".",up_Irr!AR18&lt;&gt;".",up_Irr!BP18="."),up_dir!U18/((1/1000)*(up_Irr!T18+up_Irr!AR18)),IF(AND(up_Irr!T18&lt;&gt;".",up_Irr!AR18=".",up_Irr!BP18&lt;&gt;"."),up_dir!U18/((1/1000)*(up_Irr!T18+up_Irr!BP18)),IF(AND(up_Irr!T18=".",up_Irr!AR18&lt;&gt;".",up_Irr!BP18&lt;&gt;"."),up_dir!U18/((1/1000)*(up_Irr!AR18+up_Irr!BP18)),IF(AND(up_Irr!T18=".",up_Irr!AR18=".",up_Irr!BP18&lt;&gt;"."),up_dir!U18/((1/1000)*(up_Irr!BP18)),IF(AND(up_Irr!T18=".",up_Irr!AR18&lt;&gt;".",up_Irr!BP18="."),up_dir!U18/((1/1000)*(up_Irr!AR18)),IF(AND(up_Irr!T18&lt;&gt;".",up_Irr!AR18=".",up_Irr!BP18="."),up_dir!U18/((1/1000)*(up_Irr!T18)),IF(AND(up_Irr!T18=".",up_Irr!AR18=".",up_Irr!BP18="."),up_dir!U18*1000)))))))),".")</f>
        <v>6.5773651144152131E-4</v>
      </c>
      <c r="V18" s="48">
        <f>IFERROR(IF(AND(up_Irr!U18&lt;&gt;".",up_Irr!AS18&lt;&gt;".",up_Irr!BQ18&lt;&gt;"."),up_dir!V18/((1/1000)*(up_Irr!U18+up_Irr!AS18+up_Irr!BQ18)),IF(AND(up_Irr!U18&lt;&gt;".",up_Irr!AS18&lt;&gt;".",up_Irr!BQ18="."),up_dir!V18/((1/1000)*(up_Irr!U18+up_Irr!AS18)),IF(AND(up_Irr!U18&lt;&gt;".",up_Irr!AS18=".",up_Irr!BQ18&lt;&gt;"."),up_dir!V18/((1/1000)*(up_Irr!U18+up_Irr!BQ18)),IF(AND(up_Irr!U18=".",up_Irr!AS18&lt;&gt;".",up_Irr!BQ18&lt;&gt;"."),up_dir!V18/((1/1000)*(up_Irr!AS18+up_Irr!BQ18)),IF(AND(up_Irr!U18=".",up_Irr!AS18=".",up_Irr!BQ18&lt;&gt;"."),up_dir!V18/((1/1000)*(up_Irr!BQ18)),IF(AND(up_Irr!U18=".",up_Irr!AS18&lt;&gt;".",up_Irr!BQ18="."),up_dir!V18/((1/1000)*(up_Irr!AS18)),IF(AND(up_Irr!U18&lt;&gt;".",up_Irr!AS18=".",up_Irr!BQ18="."),up_dir!V18/((1/1000)*(up_Irr!U18)),IF(AND(up_Irr!U18=".",up_Irr!AS18=".",up_Irr!BQ18="."),up_dir!V18*1000)))))))),".")</f>
        <v>6.5773651144152131E-4</v>
      </c>
      <c r="W18" s="48">
        <f>IFERROR(IF(AND(up_Irr!V18&lt;&gt;".",up_Irr!AT18&lt;&gt;".",up_Irr!BR18&lt;&gt;"."),up_dir!W18/((1/1000)*(up_Irr!V18+up_Irr!AT18+up_Irr!BR18)),IF(AND(up_Irr!V18&lt;&gt;".",up_Irr!AT18&lt;&gt;".",up_Irr!BR18="."),up_dir!W18/((1/1000)*(up_Irr!V18+up_Irr!AT18)),IF(AND(up_Irr!V18&lt;&gt;".",up_Irr!AT18=".",up_Irr!BR18&lt;&gt;"."),up_dir!W18/((1/1000)*(up_Irr!V18+up_Irr!BR18)),IF(AND(up_Irr!V18=".",up_Irr!AT18&lt;&gt;".",up_Irr!BR18&lt;&gt;"."),up_dir!W18/((1/1000)*(up_Irr!AT18+up_Irr!BR18)),IF(AND(up_Irr!V18=".",up_Irr!AT18=".",up_Irr!BR18&lt;&gt;"."),up_dir!W18/((1/1000)*(up_Irr!BR18)),IF(AND(up_Irr!V18=".",up_Irr!AT18&lt;&gt;".",up_Irr!BR18="."),up_dir!W18/((1/1000)*(up_Irr!AT18)),IF(AND(up_Irr!V18&lt;&gt;".",up_Irr!AT18=".",up_Irr!BR18="."),up_dir!W18/((1/1000)*(up_Irr!V18)),IF(AND(up_Irr!V18=".",up_Irr!AT18=".",up_Irr!BR18="."),up_dir!W18*1000)))))))),".")</f>
        <v>6.5773651144152131E-4</v>
      </c>
      <c r="X18" s="48">
        <f>IFERROR(IF(AND(up_Irr!W18&lt;&gt;".",up_Irr!AU18&lt;&gt;".",up_Irr!BS18&lt;&gt;"."),up_dir!X18/((1/1000)*(up_Irr!W18+up_Irr!AU18+up_Irr!BS18)),IF(AND(up_Irr!W18&lt;&gt;".",up_Irr!AU18&lt;&gt;".",up_Irr!BS18="."),up_dir!X18/((1/1000)*(up_Irr!W18+up_Irr!AU18)),IF(AND(up_Irr!W18&lt;&gt;".",up_Irr!AU18=".",up_Irr!BS18&lt;&gt;"."),up_dir!X18/((1/1000)*(up_Irr!W18+up_Irr!BS18)),IF(AND(up_Irr!W18=".",up_Irr!AU18&lt;&gt;".",up_Irr!BS18&lt;&gt;"."),up_dir!X18/((1/1000)*(up_Irr!AU18+up_Irr!BS18)),IF(AND(up_Irr!W18=".",up_Irr!AU18=".",up_Irr!BS18&lt;&gt;"."),up_dir!X18/((1/1000)*(up_Irr!BS18)),IF(AND(up_Irr!W18=".",up_Irr!AU18&lt;&gt;".",up_Irr!BS18="."),up_dir!X18/((1/1000)*(up_Irr!AU18)),IF(AND(up_Irr!W18&lt;&gt;".",up_Irr!AU18=".",up_Irr!BS18="."),up_dir!X18/((1/1000)*(up_Irr!W18)),IF(AND(up_Irr!W18=".",up_Irr!AU18=".",up_Irr!BS18="."),up_dir!X18*1000)))))))),".")</f>
        <v>6.5773651144152131E-4</v>
      </c>
      <c r="Y18" s="48">
        <f>IFERROR(IF(AND(up_Irr!X18&lt;&gt;".",up_Irr!AV18&lt;&gt;".",up_Irr!BT18&lt;&gt;"."),up_dir!Y18/((1/1000)*(up_Irr!X18+up_Irr!AV18+up_Irr!BT18)),IF(AND(up_Irr!X18&lt;&gt;".",up_Irr!AV18&lt;&gt;".",up_Irr!BT18="."),up_dir!Y18/((1/1000)*(up_Irr!X18+up_Irr!AV18)),IF(AND(up_Irr!X18&lt;&gt;".",up_Irr!AV18=".",up_Irr!BT18&lt;&gt;"."),up_dir!Y18/((1/1000)*(up_Irr!X18+up_Irr!BT18)),IF(AND(up_Irr!X18=".",up_Irr!AV18&lt;&gt;".",up_Irr!BT18&lt;&gt;"."),up_dir!Y18/((1/1000)*(up_Irr!AV18+up_Irr!BT18)),IF(AND(up_Irr!X18=".",up_Irr!AV18=".",up_Irr!BT18&lt;&gt;"."),up_dir!Y18/((1/1000)*(up_Irr!BT18)),IF(AND(up_Irr!X18=".",up_Irr!AV18&lt;&gt;".",up_Irr!BT18="."),up_dir!Y18/((1/1000)*(up_Irr!AV18)),IF(AND(up_Irr!X18&lt;&gt;".",up_Irr!AV18=".",up_Irr!BT18="."),up_dir!Y18/((1/1000)*(up_Irr!X18)),IF(AND(up_Irr!X18=".",up_Irr!AV18=".",up_Irr!BT18="."),up_dir!Y18*1000)))))))),".")</f>
        <v>6.5773651144152131E-4</v>
      </c>
      <c r="Z18" s="48">
        <f>IFERROR(IF(AND(up_Irr!Y18&lt;&gt;".",up_Irr!AW18&lt;&gt;".",up_Irr!BU18&lt;&gt;"."),up_dir!Z18/((1/1000)*(up_Irr!Y18+up_Irr!AW18+up_Irr!BU18)),IF(AND(up_Irr!Y18&lt;&gt;".",up_Irr!AW18&lt;&gt;".",up_Irr!BU18="."),up_dir!Z18/((1/1000)*(up_Irr!Y18+up_Irr!AW18)),IF(AND(up_Irr!Y18&lt;&gt;".",up_Irr!AW18=".",up_Irr!BU18&lt;&gt;"."),up_dir!Z18/((1/1000)*(up_Irr!Y18+up_Irr!BU18)),IF(AND(up_Irr!Y18=".",up_Irr!AW18&lt;&gt;".",up_Irr!BU18&lt;&gt;"."),up_dir!Z18/((1/1000)*(up_Irr!AW18+up_Irr!BU18)),IF(AND(up_Irr!Y18=".",up_Irr!AW18=".",up_Irr!BU18&lt;&gt;"."),up_dir!Z18/((1/1000)*(up_Irr!BU18)),IF(AND(up_Irr!Y18=".",up_Irr!AW18&lt;&gt;".",up_Irr!BU18="."),up_dir!Z18/((1/1000)*(up_Irr!AW18)),IF(AND(up_Irr!Y18&lt;&gt;".",up_Irr!AW18=".",up_Irr!BU18="."),up_dir!Z18/((1/1000)*(up_Irr!Y18)),IF(AND(up_Irr!Y18=".",up_Irr!AW18=".",up_Irr!BU18="."),up_dir!Z18*1000)))))))),".")</f>
        <v>6.5773651144152131E-4</v>
      </c>
      <c r="AA18" s="48">
        <f>IFERROR(IF(AND(up_Irr!Z18&lt;&gt;".",up_Irr!AX18&lt;&gt;".",up_Irr!BV18&lt;&gt;"."),up_dir!AA18/((1/1000)*(up_Irr!Z18+up_Irr!AX18+up_Irr!BV18)),IF(AND(up_Irr!Z18&lt;&gt;".",up_Irr!AX18&lt;&gt;".",up_Irr!BV18="."),up_dir!AA18/((1/1000)*(up_Irr!Z18+up_Irr!AX18)),IF(AND(up_Irr!Z18&lt;&gt;".",up_Irr!AX18=".",up_Irr!BV18&lt;&gt;"."),up_dir!AA18/((1/1000)*(up_Irr!Z18+up_Irr!BV18)),IF(AND(up_Irr!Z18=".",up_Irr!AX18&lt;&gt;".",up_Irr!BV18&lt;&gt;"."),up_dir!AA18/((1/1000)*(up_Irr!AX18+up_Irr!BV18)),IF(AND(up_Irr!Z18=".",up_Irr!AX18=".",up_Irr!BV18&lt;&gt;"."),up_dir!AA18/((1/1000)*(up_Irr!BV18)),IF(AND(up_Irr!Z18=".",up_Irr!AX18&lt;&gt;".",up_Irr!BV18="."),up_dir!AA18/((1/1000)*(up_Irr!AX18)),IF(AND(up_Irr!Z18&lt;&gt;".",up_Irr!AX18=".",up_Irr!BV18="."),up_dir!AA18/((1/1000)*(up_Irr!Z18)),IF(AND(up_Irr!Z18=".",up_Irr!AX18=".",up_Irr!BV18="."),up_dir!AA18*1000)))))))),".")</f>
        <v>6.5773651144152131E-4</v>
      </c>
      <c r="AB18" s="62">
        <f t="shared" si="1"/>
        <v>22805.4847785862</v>
      </c>
      <c r="AC18" s="62">
        <f>IFERROR(s_C*s_IFAP_res_adj*s_CF_apple*0.001*(up_Irr!C18+up_Irr!AA18+up_Irr!AY18),".")</f>
        <v>7601.8282595287337</v>
      </c>
      <c r="AD18" s="62">
        <f>IFERROR(s_C*s_IFAS_res_adj*s_CF_asparagus*0.001*(up_Irr!D18+up_Irr!AB18+up_Irr!AZ18),".")</f>
        <v>7601.8282595287337</v>
      </c>
      <c r="AE18" s="62">
        <f>IFERROR(s_C*s_IFBT_res_adj*s_CF_beet*0.001*(up_Irr!E18+up_Irr!AC18+up_Irr!BA18),".")</f>
        <v>7601.8282595287337</v>
      </c>
      <c r="AF18" s="62">
        <f>IFERROR(s_C*s_IFBE_res_adj*s_CF_berries*0.001*(up_Irr!F18+up_Irr!AD18+up_Irr!BB18),".")</f>
        <v>7601.8282595287337</v>
      </c>
      <c r="AG18" s="62">
        <f>IFERROR(s_C*s_IFBR_res_adj*s_CF_broccoli*0.001*(up_Irr!G18+up_Irr!AE18+up_Irr!BC18),".")</f>
        <v>7601.8282595287337</v>
      </c>
      <c r="AH18" s="62">
        <f>IFERROR(s_C*s_IFCB_res_adj*s_CF_cabbage*0.001*(up_Irr!H18+up_Irr!AF18+up_Irr!BD18),".")</f>
        <v>7601.8282595287337</v>
      </c>
      <c r="AI18" s="62">
        <f>IFERROR(s_C*s_IFCR_res_adj*s_CF_carrot*0.001*(up_Irr!I18+up_Irr!AG18+up_Irr!BE18),".")</f>
        <v>7601.8282595287337</v>
      </c>
      <c r="AJ18" s="62">
        <f>IFERROR(s_C*s_IFCI_res_adj*s_CF_citrus*0.001*(up_Irr!J18+up_Irr!AH18+up_Irr!BF18),".")</f>
        <v>7601.8282595287337</v>
      </c>
      <c r="AK18" s="62">
        <f>IFERROR(s_C*s_IFCO_res_adj*s_CF_corn*0.001*(up_Irr!K18+up_Irr!AI18+up_Irr!BG18),".")</f>
        <v>7601.8282595287337</v>
      </c>
      <c r="AL18" s="62">
        <f>IFERROR(s_C*s_IFCU_res_adj*s_CF_cucumber*0.001*(up_Irr!L18+up_Irr!AJ18+up_Irr!BH18),".")</f>
        <v>7601.8282595287337</v>
      </c>
      <c r="AM18" s="62">
        <f>IFERROR(s_C*s_IFLE_res_adj*s_CF_lettuce*0.001*(up_Irr!M18+up_Irr!AK18+up_Irr!BI18),".")</f>
        <v>7601.8282595287337</v>
      </c>
      <c r="AN18" s="62">
        <f>IFERROR(s_C*s_IFLI_res_adj*s_CF_lima_bean*0.001*(up_Irr!N18+up_Irr!AL18+up_Irr!BJ18),".")</f>
        <v>7601.8282595287337</v>
      </c>
      <c r="AO18" s="62">
        <f>IFERROR(s_C*s_IFOK_res_adj*s_CF_okra*0.001*(up_Irr!O18+up_Irr!AM18+up_Irr!BK18),".")</f>
        <v>7601.8282595287337</v>
      </c>
      <c r="AP18" s="62">
        <f>IFERROR(s_C*s_IFON_res_adj*s_CF_onion*0.001*(up_Irr!P18+up_Irr!AN18+up_Irr!BL18),".")</f>
        <v>7601.8282595287337</v>
      </c>
      <c r="AQ18" s="62">
        <f>IFERROR(s_C*s_IFPC_res_adj*s_CF_peach*0.001*(up_Irr!Q18+up_Irr!AO18+up_Irr!BM18),".")</f>
        <v>7601.8282595287337</v>
      </c>
      <c r="AR18" s="62">
        <f>IFERROR(s_C*s_IFPR_res_adj*s_CF_pear*0.001*(up_Irr!R18+up_Irr!AP18+up_Irr!BN18),".")</f>
        <v>7601.8282595287337</v>
      </c>
      <c r="AS18" s="62">
        <f>IFERROR(s_C*s_IFPE_res_adj*s_CF_peas*0.001*(up_Irr!S18+up_Irr!AQ18+up_Irr!BO18),".")</f>
        <v>7601.8282595287337</v>
      </c>
      <c r="AT18" s="62">
        <f>IFERROR(s_C*s_IFPT_res_adj*s_CF_potato*0.001*(up_Irr!T18+up_Irr!AR18+up_Irr!BP18),".")</f>
        <v>7601.8282595287337</v>
      </c>
      <c r="AU18" s="62">
        <f>IFERROR(s_C*s_IFPU_res_adj*s_CF_pumpkin*0.001*(up_Irr!U18+up_Irr!AS18+up_Irr!BQ18),".")</f>
        <v>7601.8282595287337</v>
      </c>
      <c r="AV18" s="62">
        <f>IFERROR(s_C*s_IFSN_res_adj*s_CF_snap_bean*0.001*(up_Irr!V18+up_Irr!AT18+up_Irr!BR18),".")</f>
        <v>7601.8282595287337</v>
      </c>
      <c r="AW18" s="62">
        <f>IFERROR(s_C*s_IFST_res_adj*s_CF_strawberry*0.001*(up_Irr!W18+up_Irr!AU18+up_Irr!BS18),".")</f>
        <v>7601.8282595287337</v>
      </c>
      <c r="AX18" s="62">
        <f>IFERROR(s_C*s_IFTO_res_adj*s_CF_tomato*0.001*(up_Irr!X18+up_Irr!AV18+up_Irr!BT18),".")</f>
        <v>7601.8282595287337</v>
      </c>
      <c r="AY18" s="62">
        <f>IFERROR(s_C*s_IFRI_res_adj*s_CF_rice*0.001*(up_Irr!Y18+up_Irr!AW18+up_Irr!BU18),".")</f>
        <v>7601.8282595287337</v>
      </c>
      <c r="AZ18" s="62">
        <f>IFERROR(s_C*s_IFCG_res_adj*s_CF_cereal*0.001*(up_Irr!Z18+up_Irr!AX18+up_Irr!BV18),".")</f>
        <v>7601.8282595287337</v>
      </c>
      <c r="BA18" s="48">
        <f t="shared" si="2"/>
        <v>2.1924550381384044E-4</v>
      </c>
      <c r="BB18" s="48">
        <f>IFERROR(IF(AND(up_Irr!C18&lt;&gt;".",up_Irr!AA18&lt;&gt;".",up_Irr!AY18&lt;&gt;"."),up_dir!AC18/((1/1000)*(up_Irr!C18+up_Irr!AA18+up_Irr!AY18)),IF(AND(up_Irr!C18&lt;&gt;".",up_Irr!AA18&lt;&gt;".",up_Irr!AY18="."),up_dir!AC18/((1/1000)*(up_Irr!C18+up_Irr!AA18)),IF(AND(up_Irr!C18&lt;&gt;".",up_Irr!AA18=".",up_Irr!AY18&lt;&gt;"."),up_dir!AC18/((1/1000)*(up_Irr!C18+up_Irr!AY18)),IF(AND(up_Irr!C18=".",up_Irr!AA18&lt;&gt;".",up_Irr!AY18&lt;&gt;"."),up_dir!AC18/((1/1000)*(up_Irr!AA18+up_Irr!AY18)),IF(AND(up_Irr!C18=".",up_Irr!AA18=".",up_Irr!AY18&lt;&gt;"."),up_dir!AC18/((1/1000)*(up_Irr!AY18)),IF(AND(up_Irr!C18=".",up_Irr!AA18&lt;&gt;".",up_Irr!AY18="."),up_dir!AC18/((1/1000)*(up_Irr!AA18)),IF(AND(up_Irr!C18&lt;&gt;".",up_Irr!AA18=".",up_Irr!AY18="."),up_dir!AC18/((1/1000)*(up_Irr!C18)),IF(AND(up_Irr!C18=".",up_Irr!AA18=".",up_Irr!AY18="."),up_dir!AC18*1000)))))))),".")</f>
        <v>6.5773651144152131E-4</v>
      </c>
      <c r="BC18" s="48">
        <f>IFERROR(IF(AND(up_Irr!D18&lt;&gt;".",up_Irr!AB18&lt;&gt;".",up_Irr!AZ18&lt;&gt;"."),up_dir!AD18/((1/1000)*(up_Irr!D18+up_Irr!AB18+up_Irr!AZ18)),IF(AND(up_Irr!D18&lt;&gt;".",up_Irr!AB18&lt;&gt;".",up_Irr!AZ18="."),up_dir!AD18/((1/1000)*(up_Irr!D18+up_Irr!AB18)),IF(AND(up_Irr!D18&lt;&gt;".",up_Irr!AB18=".",up_Irr!AZ18&lt;&gt;"."),up_dir!AD18/((1/1000)*(up_Irr!D18+up_Irr!AZ18)),IF(AND(up_Irr!D18=".",up_Irr!AB18&lt;&gt;".",up_Irr!AZ18&lt;&gt;"."),up_dir!AD18/((1/1000)*(up_Irr!AB18+up_Irr!AZ18)),IF(AND(up_Irr!D18=".",up_Irr!AB18=".",up_Irr!AZ18&lt;&gt;"."),up_dir!AD18/((1/1000)*(up_Irr!AZ18)),IF(AND(up_Irr!D18=".",up_Irr!AB18&lt;&gt;".",up_Irr!AZ18="."),up_dir!AD18/((1/1000)*(up_Irr!AB18)),IF(AND(up_Irr!D18&lt;&gt;".",up_Irr!AB18=".",up_Irr!AZ18="."),up_dir!AD18/((1/1000)*(up_Irr!D18)),IF(AND(up_Irr!D18=".",up_Irr!AB18=".",up_Irr!AZ18="."),up_dir!AD18*1000)))))))),".")</f>
        <v>6.5773651144152131E-4</v>
      </c>
      <c r="BD18" s="48">
        <f>IFERROR(IF(AND(up_Irr!E18&lt;&gt;".",up_Irr!AC18&lt;&gt;".",up_Irr!BA18&lt;&gt;"."),up_dir!AE18/((1/1000)*(up_Irr!E18+up_Irr!AC18+up_Irr!BA18)),IF(AND(up_Irr!E18&lt;&gt;".",up_Irr!AC18&lt;&gt;".",up_Irr!BA18="."),up_dir!AE18/((1/1000)*(up_Irr!E18+up_Irr!AC18)),IF(AND(up_Irr!E18&lt;&gt;".",up_Irr!AC18=".",up_Irr!BA18&lt;&gt;"."),up_dir!AE18/((1/1000)*(up_Irr!E18+up_Irr!BA18)),IF(AND(up_Irr!E18=".",up_Irr!AC18&lt;&gt;".",up_Irr!BA18&lt;&gt;"."),up_dir!AE18/((1/1000)*(up_Irr!AC18+up_Irr!BA18)),IF(AND(up_Irr!E18=".",up_Irr!AC18=".",up_Irr!BA18&lt;&gt;"."),up_dir!AE18/((1/1000)*(up_Irr!BA18)),IF(AND(up_Irr!E18=".",up_Irr!AC18&lt;&gt;".",up_Irr!BA18="."),up_dir!AE18/((1/1000)*(up_Irr!AC18)),IF(AND(up_Irr!E18&lt;&gt;".",up_Irr!AC18=".",up_Irr!BA18="."),up_dir!AE18/((1/1000)*(up_Irr!E18)),IF(AND(up_Irr!E18=".",up_Irr!AC18=".",up_Irr!BA18="."),up_dir!AE18*1000)))))))),".")</f>
        <v>6.5773651144152131E-4</v>
      </c>
      <c r="BE18" s="48">
        <f>IFERROR(IF(AND(up_Irr!F18&lt;&gt;".",up_Irr!AD18&lt;&gt;".",up_Irr!BB18&lt;&gt;"."),up_dir!AF18/((1/1000)*(up_Irr!F18+up_Irr!AD18+up_Irr!BB18)),IF(AND(up_Irr!F18&lt;&gt;".",up_Irr!AD18&lt;&gt;".",up_Irr!BB18="."),up_dir!AF18/((1/1000)*(up_Irr!F18+up_Irr!AD18)),IF(AND(up_Irr!F18&lt;&gt;".",up_Irr!AD18=".",up_Irr!BB18&lt;&gt;"."),up_dir!AF18/((1/1000)*(up_Irr!F18+up_Irr!BB18)),IF(AND(up_Irr!F18=".",up_Irr!AD18&lt;&gt;".",up_Irr!BB18&lt;&gt;"."),up_dir!AF18/((1/1000)*(up_Irr!AD18+up_Irr!BB18)),IF(AND(up_Irr!F18=".",up_Irr!AD18=".",up_Irr!BB18&lt;&gt;"."),up_dir!AF18/((1/1000)*(up_Irr!BB18)),IF(AND(up_Irr!F18=".",up_Irr!AD18&lt;&gt;".",up_Irr!BB18="."),up_dir!AF18/((1/1000)*(up_Irr!AD18)),IF(AND(up_Irr!F18&lt;&gt;".",up_Irr!AD18=".",up_Irr!BB18="."),up_dir!AF18/((1/1000)*(up_Irr!F18)),IF(AND(up_Irr!F18=".",up_Irr!AD18=".",up_Irr!BB18="."),up_dir!AF18*1000)))))))),".")</f>
        <v>6.5773651144152131E-4</v>
      </c>
      <c r="BF18" s="48">
        <f>IFERROR(IF(AND(up_Irr!G18&lt;&gt;".",up_Irr!AE18&lt;&gt;".",up_Irr!BC18&lt;&gt;"."),up_dir!AG18/((1/1000)*(up_Irr!G18+up_Irr!AE18+up_Irr!BC18)),IF(AND(up_Irr!G18&lt;&gt;".",up_Irr!AE18&lt;&gt;".",up_Irr!BC18="."),up_dir!AG18/((1/1000)*(up_Irr!G18+up_Irr!AE18)),IF(AND(up_Irr!G18&lt;&gt;".",up_Irr!AE18=".",up_Irr!BC18&lt;&gt;"."),up_dir!AG18/((1/1000)*(up_Irr!G18+up_Irr!BC18)),IF(AND(up_Irr!G18=".",up_Irr!AE18&lt;&gt;".",up_Irr!BC18&lt;&gt;"."),up_dir!AG18/((1/1000)*(up_Irr!AE18+up_Irr!BC18)),IF(AND(up_Irr!G18=".",up_Irr!AE18=".",up_Irr!BC18&lt;&gt;"."),up_dir!AG18/((1/1000)*(up_Irr!BC18)),IF(AND(up_Irr!G18=".",up_Irr!AE18&lt;&gt;".",up_Irr!BC18="."),up_dir!AG18/((1/1000)*(up_Irr!AE18)),IF(AND(up_Irr!G18&lt;&gt;".",up_Irr!AE18=".",up_Irr!BC18="."),up_dir!AG18/((1/1000)*(up_Irr!G18)),IF(AND(up_Irr!G18=".",up_Irr!AE18=".",up_Irr!BC18="."),up_dir!AG18*1000)))))))),".")</f>
        <v>6.5773651144152131E-4</v>
      </c>
      <c r="BG18" s="48">
        <f>IFERROR(IF(AND(up_Irr!H18&lt;&gt;".",up_Irr!AF18&lt;&gt;".",up_Irr!BD18&lt;&gt;"."),up_dir!AH18/((1/1000)*(up_Irr!H18+up_Irr!AF18+up_Irr!BD18)),IF(AND(up_Irr!H18&lt;&gt;".",up_Irr!AF18&lt;&gt;".",up_Irr!BD18="."),up_dir!AH18/((1/1000)*(up_Irr!H18+up_Irr!AF18)),IF(AND(up_Irr!H18&lt;&gt;".",up_Irr!AF18=".",up_Irr!BD18&lt;&gt;"."),up_dir!AH18/((1/1000)*(up_Irr!H18+up_Irr!BD18)),IF(AND(up_Irr!H18=".",up_Irr!AF18&lt;&gt;".",up_Irr!BD18&lt;&gt;"."),up_dir!AH18/((1/1000)*(up_Irr!AF18+up_Irr!BD18)),IF(AND(up_Irr!H18=".",up_Irr!AF18=".",up_Irr!BD18&lt;&gt;"."),up_dir!AH18/((1/1000)*(up_Irr!BD18)),IF(AND(up_Irr!H18=".",up_Irr!AF18&lt;&gt;".",up_Irr!BD18="."),up_dir!AH18/((1/1000)*(up_Irr!AF18)),IF(AND(up_Irr!H18&lt;&gt;".",up_Irr!AF18=".",up_Irr!BD18="."),up_dir!AH18/((1/1000)*(up_Irr!H18)),IF(AND(up_Irr!H18=".",up_Irr!AF18=".",up_Irr!BD18="."),up_dir!AH18*1000)))))))),".")</f>
        <v>6.5773651144152131E-4</v>
      </c>
      <c r="BH18" s="48">
        <f>IFERROR(IF(AND(up_Irr!I18&lt;&gt;".",up_Irr!AG18&lt;&gt;".",up_Irr!BE18&lt;&gt;"."),up_dir!AI18/((1/1000)*(up_Irr!I18+up_Irr!AG18+up_Irr!BE18)),IF(AND(up_Irr!I18&lt;&gt;".",up_Irr!AG18&lt;&gt;".",up_Irr!BE18="."),up_dir!AI18/((1/1000)*(up_Irr!I18+up_Irr!AG18)),IF(AND(up_Irr!I18&lt;&gt;".",up_Irr!AG18=".",up_Irr!BE18&lt;&gt;"."),up_dir!AI18/((1/1000)*(up_Irr!I18+up_Irr!BE18)),IF(AND(up_Irr!I18=".",up_Irr!AG18&lt;&gt;".",up_Irr!BE18&lt;&gt;"."),up_dir!AI18/((1/1000)*(up_Irr!AG18+up_Irr!BE18)),IF(AND(up_Irr!I18=".",up_Irr!AG18=".",up_Irr!BE18&lt;&gt;"."),up_dir!AI18/((1/1000)*(up_Irr!BE18)),IF(AND(up_Irr!I18=".",up_Irr!AG18&lt;&gt;".",up_Irr!BE18="."),up_dir!AI18/((1/1000)*(up_Irr!AG18)),IF(AND(up_Irr!I18&lt;&gt;".",up_Irr!AG18=".",up_Irr!BE18="."),up_dir!AI18/((1/1000)*(up_Irr!I18)),IF(AND(up_Irr!I18=".",up_Irr!AG18=".",up_Irr!BE18="."),up_dir!AI18*1000)))))))),".")</f>
        <v>6.5773651144152131E-4</v>
      </c>
      <c r="BI18" s="48">
        <f>IFERROR(IF(AND(up_Irr!J18&lt;&gt;".",up_Irr!AH18&lt;&gt;".",up_Irr!BF18&lt;&gt;"."),up_dir!AJ18/((1/1000)*(up_Irr!J18+up_Irr!AH18+up_Irr!BF18)),IF(AND(up_Irr!J18&lt;&gt;".",up_Irr!AH18&lt;&gt;".",up_Irr!BF18="."),up_dir!AJ18/((1/1000)*(up_Irr!J18+up_Irr!AH18)),IF(AND(up_Irr!J18&lt;&gt;".",up_Irr!AH18=".",up_Irr!BF18&lt;&gt;"."),up_dir!AJ18/((1/1000)*(up_Irr!J18+up_Irr!BF18)),IF(AND(up_Irr!J18=".",up_Irr!AH18&lt;&gt;".",up_Irr!BF18&lt;&gt;"."),up_dir!AJ18/((1/1000)*(up_Irr!AH18+up_Irr!BF18)),IF(AND(up_Irr!J18=".",up_Irr!AH18=".",up_Irr!BF18&lt;&gt;"."),up_dir!AJ18/((1/1000)*(up_Irr!BF18)),IF(AND(up_Irr!J18=".",up_Irr!AH18&lt;&gt;".",up_Irr!BF18="."),up_dir!AJ18/((1/1000)*(up_Irr!AH18)),IF(AND(up_Irr!J18&lt;&gt;".",up_Irr!AH18=".",up_Irr!BF18="."),up_dir!AJ18/((1/1000)*(up_Irr!J18)),IF(AND(up_Irr!J18=".",up_Irr!AH18=".",up_Irr!BF18="."),up_dir!AJ18*1000)))))))),".")</f>
        <v>6.5773651144152131E-4</v>
      </c>
      <c r="BJ18" s="48">
        <f>IFERROR(IF(AND(up_Irr!K18&lt;&gt;".",up_Irr!AI18&lt;&gt;".",up_Irr!BG18&lt;&gt;"."),up_dir!AK18/((1/1000)*(up_Irr!K18+up_Irr!AI18+up_Irr!BG18)),IF(AND(up_Irr!K18&lt;&gt;".",up_Irr!AI18&lt;&gt;".",up_Irr!BG18="."),up_dir!AK18/((1/1000)*(up_Irr!K18+up_Irr!AI18)),IF(AND(up_Irr!K18&lt;&gt;".",up_Irr!AI18=".",up_Irr!BG18&lt;&gt;"."),up_dir!AK18/((1/1000)*(up_Irr!K18+up_Irr!BG18)),IF(AND(up_Irr!K18=".",up_Irr!AI18&lt;&gt;".",up_Irr!BG18&lt;&gt;"."),up_dir!AK18/((1/1000)*(up_Irr!AI18+up_Irr!BG18)),IF(AND(up_Irr!K18=".",up_Irr!AI18=".",up_Irr!BG18&lt;&gt;"."),up_dir!AK18/((1/1000)*(up_Irr!BG18)),IF(AND(up_Irr!K18=".",up_Irr!AI18&lt;&gt;".",up_Irr!BG18="."),up_dir!AK18/((1/1000)*(up_Irr!AI18)),IF(AND(up_Irr!K18&lt;&gt;".",up_Irr!AI18=".",up_Irr!BG18="."),up_dir!AK18/((1/1000)*(up_Irr!K18)),IF(AND(up_Irr!K18=".",up_Irr!AI18=".",up_Irr!BG18="."),up_dir!AK18*1000)))))))),".")</f>
        <v>6.5773651144152131E-4</v>
      </c>
      <c r="BK18" s="48">
        <f>IFERROR(IF(AND(up_Irr!L18&lt;&gt;".",up_Irr!AJ18&lt;&gt;".",up_Irr!BH18&lt;&gt;"."),up_dir!AL18/((1/1000)*(up_Irr!L18+up_Irr!AJ18+up_Irr!BH18)),IF(AND(up_Irr!L18&lt;&gt;".",up_Irr!AJ18&lt;&gt;".",up_Irr!BH18="."),up_dir!AL18/((1/1000)*(up_Irr!L18+up_Irr!AJ18)),IF(AND(up_Irr!L18&lt;&gt;".",up_Irr!AJ18=".",up_Irr!BH18&lt;&gt;"."),up_dir!AL18/((1/1000)*(up_Irr!L18+up_Irr!BH18)),IF(AND(up_Irr!L18=".",up_Irr!AJ18&lt;&gt;".",up_Irr!BH18&lt;&gt;"."),up_dir!AL18/((1/1000)*(up_Irr!AJ18+up_Irr!BH18)),IF(AND(up_Irr!L18=".",up_Irr!AJ18=".",up_Irr!BH18&lt;&gt;"."),up_dir!AL18/((1/1000)*(up_Irr!BH18)),IF(AND(up_Irr!L18=".",up_Irr!AJ18&lt;&gt;".",up_Irr!BH18="."),up_dir!AL18/((1/1000)*(up_Irr!AJ18)),IF(AND(up_Irr!L18&lt;&gt;".",up_Irr!AJ18=".",up_Irr!BH18="."),up_dir!AL18/((1/1000)*(up_Irr!L18)),IF(AND(up_Irr!L18=".",up_Irr!AJ18=".",up_Irr!BH18="."),up_dir!AL18*1000)))))))),".")</f>
        <v>6.5773651144152131E-4</v>
      </c>
      <c r="BL18" s="48">
        <f>IFERROR(IF(AND(up_Irr!M18&lt;&gt;".",up_Irr!AK18&lt;&gt;".",up_Irr!BI18&lt;&gt;"."),up_dir!AM18/((1/1000)*(up_Irr!M18+up_Irr!AK18+up_Irr!BI18)),IF(AND(up_Irr!M18&lt;&gt;".",up_Irr!AK18&lt;&gt;".",up_Irr!BI18="."),up_dir!AM18/((1/1000)*(up_Irr!M18+up_Irr!AK18)),IF(AND(up_Irr!M18&lt;&gt;".",up_Irr!AK18=".",up_Irr!BI18&lt;&gt;"."),up_dir!AM18/((1/1000)*(up_Irr!M18+up_Irr!BI18)),IF(AND(up_Irr!M18=".",up_Irr!AK18&lt;&gt;".",up_Irr!BI18&lt;&gt;"."),up_dir!AM18/((1/1000)*(up_Irr!AK18+up_Irr!BI18)),IF(AND(up_Irr!M18=".",up_Irr!AK18=".",up_Irr!BI18&lt;&gt;"."),up_dir!AM18/((1/1000)*(up_Irr!BI18)),IF(AND(up_Irr!M18=".",up_Irr!AK18&lt;&gt;".",up_Irr!BI18="."),up_dir!AM18/((1/1000)*(up_Irr!AK18)),IF(AND(up_Irr!M18&lt;&gt;".",up_Irr!AK18=".",up_Irr!BI18="."),up_dir!AM18/((1/1000)*(up_Irr!M18)),IF(AND(up_Irr!M18=".",up_Irr!AK18=".",up_Irr!BI18="."),up_dir!AM18*1000)))))))),".")</f>
        <v>6.5773651144152131E-4</v>
      </c>
      <c r="BM18" s="48">
        <f>IFERROR(IF(AND(up_Irr!N18&lt;&gt;".",up_Irr!AL18&lt;&gt;".",up_Irr!BJ18&lt;&gt;"."),up_dir!AN18/((1/1000)*(up_Irr!N18+up_Irr!AL18+up_Irr!BJ18)),IF(AND(up_Irr!N18&lt;&gt;".",up_Irr!AL18&lt;&gt;".",up_Irr!BJ18="."),up_dir!AN18/((1/1000)*(up_Irr!N18+up_Irr!AL18)),IF(AND(up_Irr!N18&lt;&gt;".",up_Irr!AL18=".",up_Irr!BJ18&lt;&gt;"."),up_dir!AN18/((1/1000)*(up_Irr!N18+up_Irr!BJ18)),IF(AND(up_Irr!N18=".",up_Irr!AL18&lt;&gt;".",up_Irr!BJ18&lt;&gt;"."),up_dir!AN18/((1/1000)*(up_Irr!AL18+up_Irr!BJ18)),IF(AND(up_Irr!N18=".",up_Irr!AL18=".",up_Irr!BJ18&lt;&gt;"."),up_dir!AN18/((1/1000)*(up_Irr!BJ18)),IF(AND(up_Irr!N18=".",up_Irr!AL18&lt;&gt;".",up_Irr!BJ18="."),up_dir!AN18/((1/1000)*(up_Irr!AL18)),IF(AND(up_Irr!N18&lt;&gt;".",up_Irr!AL18=".",up_Irr!BJ18="."),up_dir!AN18/((1/1000)*(up_Irr!N18)),IF(AND(up_Irr!N18=".",up_Irr!AL18=".",up_Irr!BJ18="."),up_dir!AN18*1000)))))))),".")</f>
        <v>6.5773651144152131E-4</v>
      </c>
      <c r="BN18" s="48">
        <f>IFERROR(IF(AND(up_Irr!O18&lt;&gt;".",up_Irr!AM18&lt;&gt;".",up_Irr!BK18&lt;&gt;"."),up_dir!AO18/((1/1000)*(up_Irr!O18+up_Irr!AM18+up_Irr!BK18)),IF(AND(up_Irr!O18&lt;&gt;".",up_Irr!AM18&lt;&gt;".",up_Irr!BK18="."),up_dir!AO18/((1/1000)*(up_Irr!O18+up_Irr!AM18)),IF(AND(up_Irr!O18&lt;&gt;".",up_Irr!AM18=".",up_Irr!BK18&lt;&gt;"."),up_dir!AO18/((1/1000)*(up_Irr!O18+up_Irr!BK18)),IF(AND(up_Irr!O18=".",up_Irr!AM18&lt;&gt;".",up_Irr!BK18&lt;&gt;"."),up_dir!AO18/((1/1000)*(up_Irr!AM18+up_Irr!BK18)),IF(AND(up_Irr!O18=".",up_Irr!AM18=".",up_Irr!BK18&lt;&gt;"."),up_dir!AO18/((1/1000)*(up_Irr!BK18)),IF(AND(up_Irr!O18=".",up_Irr!AM18&lt;&gt;".",up_Irr!BK18="."),up_dir!AO18/((1/1000)*(up_Irr!AM18)),IF(AND(up_Irr!O18&lt;&gt;".",up_Irr!AM18=".",up_Irr!BK18="."),up_dir!AO18/((1/1000)*(up_Irr!O18)),IF(AND(up_Irr!O18=".",up_Irr!AM18=".",up_Irr!BK18="."),up_dir!AO18*1000)))))))),".")</f>
        <v>6.5773651144152131E-4</v>
      </c>
      <c r="BO18" s="48">
        <f>IFERROR(IF(AND(up_Irr!P18&lt;&gt;".",up_Irr!AN18&lt;&gt;".",up_Irr!BL18&lt;&gt;"."),up_dir!AP18/((1/1000)*(up_Irr!P18+up_Irr!AN18+up_Irr!BL18)),IF(AND(up_Irr!P18&lt;&gt;".",up_Irr!AN18&lt;&gt;".",up_Irr!BL18="."),up_dir!AP18/((1/1000)*(up_Irr!P18+up_Irr!AN18)),IF(AND(up_Irr!P18&lt;&gt;".",up_Irr!AN18=".",up_Irr!BL18&lt;&gt;"."),up_dir!AP18/((1/1000)*(up_Irr!P18+up_Irr!BL18)),IF(AND(up_Irr!P18=".",up_Irr!AN18&lt;&gt;".",up_Irr!BL18&lt;&gt;"."),up_dir!AP18/((1/1000)*(up_Irr!AN18+up_Irr!BL18)),IF(AND(up_Irr!P18=".",up_Irr!AN18=".",up_Irr!BL18&lt;&gt;"."),up_dir!AP18/((1/1000)*(up_Irr!BL18)),IF(AND(up_Irr!P18=".",up_Irr!AN18&lt;&gt;".",up_Irr!BL18="."),up_dir!AP18/((1/1000)*(up_Irr!AN18)),IF(AND(up_Irr!P18&lt;&gt;".",up_Irr!AN18=".",up_Irr!BL18="."),up_dir!AP18/((1/1000)*(up_Irr!P18)),IF(AND(up_Irr!P18=".",up_Irr!AN18=".",up_Irr!BL18="."),up_dir!AP18*1000)))))))),".")</f>
        <v>6.5773651144152131E-4</v>
      </c>
      <c r="BP18" s="48">
        <f>IFERROR(IF(AND(up_Irr!Q18&lt;&gt;".",up_Irr!AO18&lt;&gt;".",up_Irr!BM18&lt;&gt;"."),up_dir!AQ18/((1/1000)*(up_Irr!Q18+up_Irr!AO18+up_Irr!BM18)),IF(AND(up_Irr!Q18&lt;&gt;".",up_Irr!AO18&lt;&gt;".",up_Irr!BM18="."),up_dir!AQ18/((1/1000)*(up_Irr!Q18+up_Irr!AO18)),IF(AND(up_Irr!Q18&lt;&gt;".",up_Irr!AO18=".",up_Irr!BM18&lt;&gt;"."),up_dir!AQ18/((1/1000)*(up_Irr!Q18+up_Irr!BM18)),IF(AND(up_Irr!Q18=".",up_Irr!AO18&lt;&gt;".",up_Irr!BM18&lt;&gt;"."),up_dir!AQ18/((1/1000)*(up_Irr!AO18+up_Irr!BM18)),IF(AND(up_Irr!Q18=".",up_Irr!AO18=".",up_Irr!BM18&lt;&gt;"."),up_dir!AQ18/((1/1000)*(up_Irr!BM18)),IF(AND(up_Irr!Q18=".",up_Irr!AO18&lt;&gt;".",up_Irr!BM18="."),up_dir!AQ18/((1/1000)*(up_Irr!AO18)),IF(AND(up_Irr!Q18&lt;&gt;".",up_Irr!AO18=".",up_Irr!BM18="."),up_dir!AQ18/((1/1000)*(up_Irr!Q18)),IF(AND(up_Irr!Q18=".",up_Irr!AO18=".",up_Irr!BM18="."),up_dir!AQ18*1000)))))))),".")</f>
        <v>6.5773651144152131E-4</v>
      </c>
      <c r="BQ18" s="48">
        <f>IFERROR(IF(AND(up_Irr!R18&lt;&gt;".",up_Irr!AP18&lt;&gt;".",up_Irr!BN18&lt;&gt;"."),up_dir!AR18/((1/1000)*(up_Irr!R18+up_Irr!AP18+up_Irr!BN18)),IF(AND(up_Irr!R18&lt;&gt;".",up_Irr!AP18&lt;&gt;".",up_Irr!BN18="."),up_dir!AR18/((1/1000)*(up_Irr!R18+up_Irr!AP18)),IF(AND(up_Irr!R18&lt;&gt;".",up_Irr!AP18=".",up_Irr!BN18&lt;&gt;"."),up_dir!AR18/((1/1000)*(up_Irr!R18+up_Irr!BN18)),IF(AND(up_Irr!R18=".",up_Irr!AP18&lt;&gt;".",up_Irr!BN18&lt;&gt;"."),up_dir!AR18/((1/1000)*(up_Irr!AP18+up_Irr!BN18)),IF(AND(up_Irr!R18=".",up_Irr!AP18=".",up_Irr!BN18&lt;&gt;"."),up_dir!AR18/((1/1000)*(up_Irr!BN18)),IF(AND(up_Irr!R18=".",up_Irr!AP18&lt;&gt;".",up_Irr!BN18="."),up_dir!AR18/((1/1000)*(up_Irr!AP18)),IF(AND(up_Irr!R18&lt;&gt;".",up_Irr!AP18=".",up_Irr!BN18="."),up_dir!AR18/((1/1000)*(up_Irr!R18)),IF(AND(up_Irr!R18=".",up_Irr!AP18=".",up_Irr!BN18="."),up_dir!AR18*1000)))))))),".")</f>
        <v>6.5773651144152131E-4</v>
      </c>
      <c r="BR18" s="48">
        <f>IFERROR(IF(AND(up_Irr!S18&lt;&gt;".",up_Irr!AQ18&lt;&gt;".",up_Irr!BO18&lt;&gt;"."),up_dir!AS18/((1/1000)*(up_Irr!S18+up_Irr!AQ18+up_Irr!BO18)),IF(AND(up_Irr!S18&lt;&gt;".",up_Irr!AQ18&lt;&gt;".",up_Irr!BO18="."),up_dir!AS18/((1/1000)*(up_Irr!S18+up_Irr!AQ18)),IF(AND(up_Irr!S18&lt;&gt;".",up_Irr!AQ18=".",up_Irr!BO18&lt;&gt;"."),up_dir!AS18/((1/1000)*(up_Irr!S18+up_Irr!BO18)),IF(AND(up_Irr!S18=".",up_Irr!AQ18&lt;&gt;".",up_Irr!BO18&lt;&gt;"."),up_dir!AS18/((1/1000)*(up_Irr!AQ18+up_Irr!BO18)),IF(AND(up_Irr!S18=".",up_Irr!AQ18=".",up_Irr!BO18&lt;&gt;"."),up_dir!AS18/((1/1000)*(up_Irr!BO18)),IF(AND(up_Irr!S18=".",up_Irr!AQ18&lt;&gt;".",up_Irr!BO18="."),up_dir!AS18/((1/1000)*(up_Irr!AQ18)),IF(AND(up_Irr!S18&lt;&gt;".",up_Irr!AQ18=".",up_Irr!BO18="."),up_dir!AS18/((1/1000)*(up_Irr!S18)),IF(AND(up_Irr!S18=".",up_Irr!AQ18=".",up_Irr!BO18="."),up_dir!AS18*1000)))))))),".")</f>
        <v>6.5773651144152131E-4</v>
      </c>
      <c r="BS18" s="48">
        <f>IFERROR(IF(AND(up_Irr!T18&lt;&gt;".",up_Irr!AR18&lt;&gt;".",up_Irr!BP18&lt;&gt;"."),up_dir!AT18/((1/1000)*(up_Irr!T18+up_Irr!AR18+up_Irr!BP18)),IF(AND(up_Irr!T18&lt;&gt;".",up_Irr!AR18&lt;&gt;".",up_Irr!BP18="."),up_dir!AT18/((1/1000)*(up_Irr!T18+up_Irr!AR18)),IF(AND(up_Irr!T18&lt;&gt;".",up_Irr!AR18=".",up_Irr!BP18&lt;&gt;"."),up_dir!AT18/((1/1000)*(up_Irr!T18+up_Irr!BP18)),IF(AND(up_Irr!T18=".",up_Irr!AR18&lt;&gt;".",up_Irr!BP18&lt;&gt;"."),up_dir!AT18/((1/1000)*(up_Irr!AR18+up_Irr!BP18)),IF(AND(up_Irr!T18=".",up_Irr!AR18=".",up_Irr!BP18&lt;&gt;"."),up_dir!AT18/((1/1000)*(up_Irr!BP18)),IF(AND(up_Irr!T18=".",up_Irr!AR18&lt;&gt;".",up_Irr!BP18="."),up_dir!AT18/((1/1000)*(up_Irr!AR18)),IF(AND(up_Irr!T18&lt;&gt;".",up_Irr!AR18=".",up_Irr!BP18="."),up_dir!AT18/((1/1000)*(up_Irr!T18)),IF(AND(up_Irr!T18=".",up_Irr!AR18=".",up_Irr!BP18="."),up_dir!AT18*1000)))))))),".")</f>
        <v>6.5773651144152131E-4</v>
      </c>
      <c r="BT18" s="48">
        <f>IFERROR(IF(AND(up_Irr!U18&lt;&gt;".",up_Irr!AS18&lt;&gt;".",up_Irr!BQ18&lt;&gt;"."),up_dir!AU18/((1/1000)*(up_Irr!U18+up_Irr!AS18+up_Irr!BQ18)),IF(AND(up_Irr!U18&lt;&gt;".",up_Irr!AS18&lt;&gt;".",up_Irr!BQ18="."),up_dir!AU18/((1/1000)*(up_Irr!U18+up_Irr!AS18)),IF(AND(up_Irr!U18&lt;&gt;".",up_Irr!AS18=".",up_Irr!BQ18&lt;&gt;"."),up_dir!AU18/((1/1000)*(up_Irr!U18+up_Irr!BQ18)),IF(AND(up_Irr!U18=".",up_Irr!AS18&lt;&gt;".",up_Irr!BQ18&lt;&gt;"."),up_dir!AU18/((1/1000)*(up_Irr!AS18+up_Irr!BQ18)),IF(AND(up_Irr!U18=".",up_Irr!AS18=".",up_Irr!BQ18&lt;&gt;"."),up_dir!AU18/((1/1000)*(up_Irr!BQ18)),IF(AND(up_Irr!U18=".",up_Irr!AS18&lt;&gt;".",up_Irr!BQ18="."),up_dir!AU18/((1/1000)*(up_Irr!AS18)),IF(AND(up_Irr!U18&lt;&gt;".",up_Irr!AS18=".",up_Irr!BQ18="."),up_dir!AU18/((1/1000)*(up_Irr!U18)),IF(AND(up_Irr!U18=".",up_Irr!AS18=".",up_Irr!BQ18="."),up_dir!AU18*1000)))))))),".")</f>
        <v>6.5773651144152131E-4</v>
      </c>
      <c r="BU18" s="48">
        <f>IFERROR(IF(AND(up_Irr!V18&lt;&gt;".",up_Irr!AT18&lt;&gt;".",up_Irr!BR18&lt;&gt;"."),up_dir!AV18/((1/1000)*(up_Irr!V18+up_Irr!AT18+up_Irr!BR18)),IF(AND(up_Irr!V18&lt;&gt;".",up_Irr!AT18&lt;&gt;".",up_Irr!BR18="."),up_dir!AV18/((1/1000)*(up_Irr!V18+up_Irr!AT18)),IF(AND(up_Irr!V18&lt;&gt;".",up_Irr!AT18=".",up_Irr!BR18&lt;&gt;"."),up_dir!AV18/((1/1000)*(up_Irr!V18+up_Irr!BR18)),IF(AND(up_Irr!V18=".",up_Irr!AT18&lt;&gt;".",up_Irr!BR18&lt;&gt;"."),up_dir!AV18/((1/1000)*(up_Irr!AT18+up_Irr!BR18)),IF(AND(up_Irr!V18=".",up_Irr!AT18=".",up_Irr!BR18&lt;&gt;"."),up_dir!AV18/((1/1000)*(up_Irr!BR18)),IF(AND(up_Irr!V18=".",up_Irr!AT18&lt;&gt;".",up_Irr!BR18="."),up_dir!AV18/((1/1000)*(up_Irr!AT18)),IF(AND(up_Irr!V18&lt;&gt;".",up_Irr!AT18=".",up_Irr!BR18="."),up_dir!AV18/((1/1000)*(up_Irr!V18)),IF(AND(up_Irr!V18=".",up_Irr!AT18=".",up_Irr!BR18="."),up_dir!AV18*1000)))))))),".")</f>
        <v>6.5773651144152131E-4</v>
      </c>
      <c r="BV18" s="48">
        <f>IFERROR(IF(AND(up_Irr!W18&lt;&gt;".",up_Irr!AU18&lt;&gt;".",up_Irr!BS18&lt;&gt;"."),up_dir!AW18/((1/1000)*(up_Irr!W18+up_Irr!AU18+up_Irr!BS18)),IF(AND(up_Irr!W18&lt;&gt;".",up_Irr!AU18&lt;&gt;".",up_Irr!BS18="."),up_dir!AW18/((1/1000)*(up_Irr!W18+up_Irr!AU18)),IF(AND(up_Irr!W18&lt;&gt;".",up_Irr!AU18=".",up_Irr!BS18&lt;&gt;"."),up_dir!AW18/((1/1000)*(up_Irr!W18+up_Irr!BS18)),IF(AND(up_Irr!W18=".",up_Irr!AU18&lt;&gt;".",up_Irr!BS18&lt;&gt;"."),up_dir!AW18/((1/1000)*(up_Irr!AU18+up_Irr!BS18)),IF(AND(up_Irr!W18=".",up_Irr!AU18=".",up_Irr!BS18&lt;&gt;"."),up_dir!AW18/((1/1000)*(up_Irr!BS18)),IF(AND(up_Irr!W18=".",up_Irr!AU18&lt;&gt;".",up_Irr!BS18="."),up_dir!AW18/((1/1000)*(up_Irr!AU18)),IF(AND(up_Irr!W18&lt;&gt;".",up_Irr!AU18=".",up_Irr!BS18="."),up_dir!AW18/((1/1000)*(up_Irr!W18)),IF(AND(up_Irr!W18=".",up_Irr!AU18=".",up_Irr!BS18="."),up_dir!AW18*1000)))))))),".")</f>
        <v>6.5773651144152131E-4</v>
      </c>
      <c r="BW18" s="48">
        <f>IFERROR(IF(AND(up_Irr!X18&lt;&gt;".",up_Irr!AV18&lt;&gt;".",up_Irr!BT18&lt;&gt;"."),up_dir!AX18/((1/1000)*(up_Irr!X18+up_Irr!AV18+up_Irr!BT18)),IF(AND(up_Irr!X18&lt;&gt;".",up_Irr!AV18&lt;&gt;".",up_Irr!BT18="."),up_dir!AX18/((1/1000)*(up_Irr!X18+up_Irr!AV18)),IF(AND(up_Irr!X18&lt;&gt;".",up_Irr!AV18=".",up_Irr!BT18&lt;&gt;"."),up_dir!AX18/((1/1000)*(up_Irr!X18+up_Irr!BT18)),IF(AND(up_Irr!X18=".",up_Irr!AV18&lt;&gt;".",up_Irr!BT18&lt;&gt;"."),up_dir!AX18/((1/1000)*(up_Irr!AV18+up_Irr!BT18)),IF(AND(up_Irr!X18=".",up_Irr!AV18=".",up_Irr!BT18&lt;&gt;"."),up_dir!AX18/((1/1000)*(up_Irr!BT18)),IF(AND(up_Irr!X18=".",up_Irr!AV18&lt;&gt;".",up_Irr!BT18="."),up_dir!AX18/((1/1000)*(up_Irr!AV18)),IF(AND(up_Irr!X18&lt;&gt;".",up_Irr!AV18=".",up_Irr!BT18="."),up_dir!AX18/((1/1000)*(up_Irr!X18)),IF(AND(up_Irr!X18=".",up_Irr!AV18=".",up_Irr!BT18="."),up_dir!AX18*1000)))))))),".")</f>
        <v>6.5773651144152131E-4</v>
      </c>
      <c r="BX18" s="48">
        <f>IFERROR(IF(AND(up_Irr!Y18&lt;&gt;".",up_Irr!AW18&lt;&gt;".",up_Irr!BU18&lt;&gt;"."),up_dir!AY18/((1/1000)*(up_Irr!Y18+up_Irr!AW18+up_Irr!BU18)),IF(AND(up_Irr!Y18&lt;&gt;".",up_Irr!AW18&lt;&gt;".",up_Irr!BU18="."),up_dir!AY18/((1/1000)*(up_Irr!Y18+up_Irr!AW18)),IF(AND(up_Irr!Y18&lt;&gt;".",up_Irr!AW18=".",up_Irr!BU18&lt;&gt;"."),up_dir!AY18/((1/1000)*(up_Irr!Y18+up_Irr!BU18)),IF(AND(up_Irr!Y18=".",up_Irr!AW18&lt;&gt;".",up_Irr!BU18&lt;&gt;"."),up_dir!AY18/((1/1000)*(up_Irr!AW18+up_Irr!BU18)),IF(AND(up_Irr!Y18=".",up_Irr!AW18=".",up_Irr!BU18&lt;&gt;"."),up_dir!AY18/((1/1000)*(up_Irr!BU18)),IF(AND(up_Irr!Y18=".",up_Irr!AW18&lt;&gt;".",up_Irr!BU18="."),up_dir!AY18/((1/1000)*(up_Irr!AW18)),IF(AND(up_Irr!Y18&lt;&gt;".",up_Irr!AW18=".",up_Irr!BU18="."),up_dir!AY18/((1/1000)*(up_Irr!Y18)),IF(AND(up_Irr!Y18=".",up_Irr!AW18=".",up_Irr!BU18="."),up_dir!AY18*1000)))))))),".")</f>
        <v>6.5773651144152131E-4</v>
      </c>
      <c r="BY18" s="48">
        <f>IFERROR(IF(AND(up_Irr!Z18&lt;&gt;".",up_Irr!AX18&lt;&gt;".",up_Irr!BV18&lt;&gt;"."),up_dir!AZ18/((1/1000)*(up_Irr!Z18+up_Irr!AX18+up_Irr!BV18)),IF(AND(up_Irr!Z18&lt;&gt;".",up_Irr!AX18&lt;&gt;".",up_Irr!BV18="."),up_dir!AZ18/((1/1000)*(up_Irr!Z18+up_Irr!AX18)),IF(AND(up_Irr!Z18&lt;&gt;".",up_Irr!AX18=".",up_Irr!BV18&lt;&gt;"."),up_dir!AZ18/((1/1000)*(up_Irr!Z18+up_Irr!BV18)),IF(AND(up_Irr!Z18=".",up_Irr!AX18&lt;&gt;".",up_Irr!BV18&lt;&gt;"."),up_dir!AZ18/((1/1000)*(up_Irr!AX18+up_Irr!BV18)),IF(AND(up_Irr!Z18=".",up_Irr!AX18=".",up_Irr!BV18&lt;&gt;"."),up_dir!AZ18/((1/1000)*(up_Irr!BV18)),IF(AND(up_Irr!Z18=".",up_Irr!AX18&lt;&gt;".",up_Irr!BV18="."),up_dir!AZ18/((1/1000)*(up_Irr!AX18)),IF(AND(up_Irr!Z18&lt;&gt;".",up_Irr!AX18=".",up_Irr!BV18="."),up_dir!AZ18/((1/1000)*(up_Irr!Z18)),IF(AND(up_Irr!Z18=".",up_Irr!AX18=".",up_Irr!BV18="."),up_dir!AZ18*1000)))))))),".")</f>
        <v>6.5773651144152131E-4</v>
      </c>
      <c r="BZ18" s="62">
        <f t="shared" si="3"/>
        <v>22805.4847785862</v>
      </c>
      <c r="CA18" s="62">
        <f>IFERROR(s_C*s_IFAP_far_adj*s_CF_apple*(1/1000)*(up_Irr!C18+up_Irr!AA18+up_Irr!AY18),".")</f>
        <v>7601.8282595287337</v>
      </c>
      <c r="CB18" s="62">
        <f>IFERROR(s_C*s_IFAS_far_adj*s_CF_asparagus*(1/1000)*(up_Irr!D18+up_Irr!AB18+up_Irr!AZ18),".")</f>
        <v>7601.8282595287337</v>
      </c>
      <c r="CC18" s="62">
        <f>IFERROR(s_C*s_IFBT_far_adj*s_CF_beet*(1/1000)*(up_Irr!E18+up_Irr!AC18+up_Irr!BA18),".")</f>
        <v>7601.8282595287337</v>
      </c>
      <c r="CD18" s="62">
        <f>IFERROR(s_C*s_IFBE_far_adj*s_CF_berries*(1/1000)*(up_Irr!F18+up_Irr!AD18+up_Irr!BB18),".")</f>
        <v>7601.8282595287337</v>
      </c>
      <c r="CE18" s="62">
        <f>IFERROR(s_C*s_IFBR_far_adj*s_CF_broccoli*(1/1000)*(up_Irr!G18+up_Irr!AE18+up_Irr!BC18),".")</f>
        <v>7601.8282595287337</v>
      </c>
      <c r="CF18" s="62">
        <f>IFERROR(s_C*s_IFCB_far_adj*s_CF_cabbage*(1/1000)*(up_Irr!H18+up_Irr!AF18+up_Irr!BD18),".")</f>
        <v>7601.8282595287337</v>
      </c>
      <c r="CG18" s="62">
        <f>IFERROR(s_C*s_IFCR_far_adj*s_CF_carrot*(1/1000)*(up_Irr!I18+up_Irr!AG18+up_Irr!BE18),".")</f>
        <v>7601.8282595287337</v>
      </c>
      <c r="CH18" s="62">
        <f>IFERROR(s_C*s_IFCI_far_adj*s_CF_citrus*(1/1000)*(up_Irr!J18+up_Irr!AH18+up_Irr!BF18),".")</f>
        <v>7601.8282595287337</v>
      </c>
      <c r="CI18" s="62">
        <f>IFERROR(s_C*s_IFCO_far_adj*s_CF_corn*(1/1000)*(up_Irr!K18+up_Irr!AI18+up_Irr!BG18),".")</f>
        <v>7601.8282595287337</v>
      </c>
      <c r="CJ18" s="62">
        <f>IFERROR(s_C*s_IFCU_far_adj*s_CF_cucumber*(1/1000)*(up_Irr!L18+up_Irr!AJ18+up_Irr!BH18),".")</f>
        <v>7601.8282595287337</v>
      </c>
      <c r="CK18" s="62">
        <f>IFERROR(s_C*s_IFLE_far_adj*s_CF_lettuce*(1/1000)*(up_Irr!M18+up_Irr!AK18+up_Irr!BI18),".")</f>
        <v>7601.8282595287337</v>
      </c>
      <c r="CL18" s="62">
        <f>IFERROR(s_C*s_IFLI_far_adj*s_CF_lima_bean*(1/1000)*(up_Irr!N18+up_Irr!AL18+up_Irr!BJ18),".")</f>
        <v>7601.8282595287337</v>
      </c>
      <c r="CM18" s="62">
        <f>IFERROR(s_C*s_IFOK_far_adj*s_CF_okra*(1/1000)*(up_Irr!O18+up_Irr!AM18+up_Irr!BK18),".")</f>
        <v>7601.8282595287337</v>
      </c>
      <c r="CN18" s="62">
        <f>IFERROR(s_C*s_IFON_far_adj*s_CF_onion*(1/1000)*(up_Irr!P18+up_Irr!AN18+up_Irr!BL18),".")</f>
        <v>7601.8282595287337</v>
      </c>
      <c r="CO18" s="62">
        <f>IFERROR(s_C*s_IFPC_far_adj*s_CF_peach*(1/1000)*(up_Irr!Q18+up_Irr!AO18+up_Irr!BM18),".")</f>
        <v>7601.8282595287337</v>
      </c>
      <c r="CP18" s="62">
        <f>IFERROR(s_C*s_IFPR_far_adj*s_CF_pear*(1/1000)*(up_Irr!R18+up_Irr!AP18+up_Irr!BN18),".")</f>
        <v>7601.8282595287337</v>
      </c>
      <c r="CQ18" s="62">
        <f>IFERROR(s_C*s_IFPE_far_adj*s_CF_peas*(1/1000)*(up_Irr!S18+up_Irr!AQ18+up_Irr!BO18),".")</f>
        <v>7601.8282595287337</v>
      </c>
      <c r="CR18" s="62">
        <f>IFERROR(s_C*s_IFPT_far_adj*s_CF_potato*(1/1000)*(up_Irr!T18+up_Irr!AR18+up_Irr!BP18),".")</f>
        <v>7601.8282595287337</v>
      </c>
      <c r="CS18" s="62">
        <f>IFERROR(s_C*s_IFPU_far_adj*s_CF_pumpkin*(1/1000)*(up_Irr!U18+up_Irr!AS18+up_Irr!BQ18),".")</f>
        <v>7601.8282595287337</v>
      </c>
      <c r="CT18" s="62">
        <f>IFERROR(s_C*s_IFSN_far_adj*s_CF_snap_bean*(1/1000)*(up_Irr!V18+up_Irr!AT18+up_Irr!BR18),".")</f>
        <v>7601.8282595287337</v>
      </c>
      <c r="CU18" s="62">
        <f>IFERROR(s_C*s_IFST_far_adj*s_CF_strawberry*(1/1000)*(up_Irr!W18+up_Irr!AU18+up_Irr!BS18),".")</f>
        <v>7601.8282595287337</v>
      </c>
      <c r="CV18" s="62">
        <f>IFERROR(s_C*s_IFTO_far_adj*s_CF_tomato*(1/1000)*(up_Irr!X18+up_Irr!AV18+up_Irr!BT18),".")</f>
        <v>7601.8282595287337</v>
      </c>
      <c r="CW18" s="62">
        <f>IFERROR(s_C*s_IFRI_far_adj*s_CF_rice*(1/1000)*(up_Irr!Y18+up_Irr!AW18+up_Irr!BU18),".")</f>
        <v>7601.8282595287337</v>
      </c>
      <c r="CX18" s="62">
        <f>IFERROR(s_C*s_IFCG_far_adj*s_CF_cereal*(1/1000)*(up_Irr!Z18+up_Irr!AX18+up_Irr!BV18),".")</f>
        <v>7601.8282595287337</v>
      </c>
    </row>
    <row r="19" spans="1:102" ht="15" customHeight="1" x14ac:dyDescent="0.25">
      <c r="A19" s="61" t="s">
        <v>17</v>
      </c>
      <c r="B19" s="49" t="s">
        <v>1059</v>
      </c>
      <c r="C19" s="48">
        <f t="shared" si="0"/>
        <v>2.1924550381384044E-4</v>
      </c>
      <c r="D19" s="48">
        <f>IFERROR(IF(AND(up_Irr!C19&lt;&gt;".",up_Irr!AA19&lt;&gt;".",up_Irr!AY19&lt;&gt;"."),up_dir!D19/((1/1000)*(up_Irr!C19+up_Irr!AA19+up_Irr!AY19)),IF(AND(up_Irr!C19&lt;&gt;".",up_Irr!AA19&lt;&gt;".",up_Irr!AY19="."),up_dir!D19/((1/1000)*(up_Irr!C19+up_Irr!AA19)),IF(AND(up_Irr!C19&lt;&gt;".",up_Irr!AA19=".",up_Irr!AY19&lt;&gt;"."),up_dir!D19/((1/1000)*(up_Irr!C19+up_Irr!AY19)),IF(AND(up_Irr!C19=".",up_Irr!AA19&lt;&gt;".",up_Irr!AY19&lt;&gt;"."),up_dir!D19/((1/1000)*(up_Irr!AA19+up_Irr!AY19)),IF(AND(up_Irr!C19=".",up_Irr!AA19=".",up_Irr!AY19&lt;&gt;"."),up_dir!D19/((1/1000)*(up_Irr!AY19)),IF(AND(up_Irr!C19=".",up_Irr!AA19&lt;&gt;".",up_Irr!AY19="."),up_dir!D19/((1/1000)*(up_Irr!AA19)),IF(AND(up_Irr!C19&lt;&gt;".",up_Irr!AA19=".",up_Irr!AY19="."),up_dir!D19/((1/1000)*(up_Irr!C19)),IF(AND(up_Irr!C19=".",up_Irr!AA19=".",up_Irr!AY19="."),up_dir!D19*1000)))))))),".")</f>
        <v>6.5773651144152131E-4</v>
      </c>
      <c r="E19" s="48">
        <f>IFERROR(IF(AND(up_Irr!D19&lt;&gt;".",up_Irr!AB19&lt;&gt;".",up_Irr!AZ19&lt;&gt;"."),up_dir!E19/((1/1000)*(up_Irr!D19+up_Irr!AB19+up_Irr!AZ19)),IF(AND(up_Irr!D19&lt;&gt;".",up_Irr!AB19&lt;&gt;".",up_Irr!AZ19="."),up_dir!E19/((1/1000)*(up_Irr!D19+up_Irr!AB19)),IF(AND(up_Irr!D19&lt;&gt;".",up_Irr!AB19=".",up_Irr!AZ19&lt;&gt;"."),up_dir!E19/((1/1000)*(up_Irr!D19+up_Irr!AZ19)),IF(AND(up_Irr!D19=".",up_Irr!AB19&lt;&gt;".",up_Irr!AZ19&lt;&gt;"."),up_dir!E19/((1/1000)*(up_Irr!AB19+up_Irr!AZ19)),IF(AND(up_Irr!D19=".",up_Irr!AB19=".",up_Irr!AZ19&lt;&gt;"."),up_dir!E19/((1/1000)*(up_Irr!AZ19)),IF(AND(up_Irr!D19=".",up_Irr!AB19&lt;&gt;".",up_Irr!AZ19="."),up_dir!E19/((1/1000)*(up_Irr!AB19)),IF(AND(up_Irr!D19&lt;&gt;".",up_Irr!AB19=".",up_Irr!AZ19="."),up_dir!E19/((1/1000)*(up_Irr!D19)),IF(AND(up_Irr!D19=".",up_Irr!AB19=".",up_Irr!AZ19="."),up_dir!E19*1000)))))))),".")</f>
        <v>6.5773651144152131E-4</v>
      </c>
      <c r="F19" s="48">
        <f>IFERROR(IF(AND(up_Irr!E19&lt;&gt;".",up_Irr!AC19&lt;&gt;".",up_Irr!BA19&lt;&gt;"."),up_dir!F19/((1/1000)*(up_Irr!E19+up_Irr!AC19+up_Irr!BA19)),IF(AND(up_Irr!E19&lt;&gt;".",up_Irr!AC19&lt;&gt;".",up_Irr!BA19="."),up_dir!F19/((1/1000)*(up_Irr!E19+up_Irr!AC19)),IF(AND(up_Irr!E19&lt;&gt;".",up_Irr!AC19=".",up_Irr!BA19&lt;&gt;"."),up_dir!F19/((1/1000)*(up_Irr!E19+up_Irr!BA19)),IF(AND(up_Irr!E19=".",up_Irr!AC19&lt;&gt;".",up_Irr!BA19&lt;&gt;"."),up_dir!F19/((1/1000)*(up_Irr!AC19+up_Irr!BA19)),IF(AND(up_Irr!E19=".",up_Irr!AC19=".",up_Irr!BA19&lt;&gt;"."),up_dir!F19/((1/1000)*(up_Irr!BA19)),IF(AND(up_Irr!E19=".",up_Irr!AC19&lt;&gt;".",up_Irr!BA19="."),up_dir!F19/((1/1000)*(up_Irr!AC19)),IF(AND(up_Irr!E19&lt;&gt;".",up_Irr!AC19=".",up_Irr!BA19="."),up_dir!F19/((1/1000)*(up_Irr!E19)),IF(AND(up_Irr!E19=".",up_Irr!AC19=".",up_Irr!BA19="."),up_dir!F19*1000)))))))),".")</f>
        <v>6.5773651144152131E-4</v>
      </c>
      <c r="G19" s="48">
        <f>IFERROR(IF(AND(up_Irr!F19&lt;&gt;".",up_Irr!AD19&lt;&gt;".",up_Irr!BB19&lt;&gt;"."),up_dir!G19/((1/1000)*(up_Irr!F19+up_Irr!AD19+up_Irr!BB19)),IF(AND(up_Irr!F19&lt;&gt;".",up_Irr!AD19&lt;&gt;".",up_Irr!BB19="."),up_dir!G19/((1/1000)*(up_Irr!F19+up_Irr!AD19)),IF(AND(up_Irr!F19&lt;&gt;".",up_Irr!AD19=".",up_Irr!BB19&lt;&gt;"."),up_dir!G19/((1/1000)*(up_Irr!F19+up_Irr!BB19)),IF(AND(up_Irr!F19=".",up_Irr!AD19&lt;&gt;".",up_Irr!BB19&lt;&gt;"."),up_dir!G19/((1/1000)*(up_Irr!AD19+up_Irr!BB19)),IF(AND(up_Irr!F19=".",up_Irr!AD19=".",up_Irr!BB19&lt;&gt;"."),up_dir!G19/((1/1000)*(up_Irr!BB19)),IF(AND(up_Irr!F19=".",up_Irr!AD19&lt;&gt;".",up_Irr!BB19="."),up_dir!G19/((1/1000)*(up_Irr!AD19)),IF(AND(up_Irr!F19&lt;&gt;".",up_Irr!AD19=".",up_Irr!BB19="."),up_dir!G19/((1/1000)*(up_Irr!F19)),IF(AND(up_Irr!F19=".",up_Irr!AD19=".",up_Irr!BB19="."),up_dir!G19*1000)))))))),".")</f>
        <v>6.5773651144152131E-4</v>
      </c>
      <c r="H19" s="48">
        <f>IFERROR(IF(AND(up_Irr!G19&lt;&gt;".",up_Irr!AE19&lt;&gt;".",up_Irr!BC19&lt;&gt;"."),up_dir!H19/((1/1000)*(up_Irr!G19+up_Irr!AE19+up_Irr!BC19)),IF(AND(up_Irr!G19&lt;&gt;".",up_Irr!AE19&lt;&gt;".",up_Irr!BC19="."),up_dir!H19/((1/1000)*(up_Irr!G19+up_Irr!AE19)),IF(AND(up_Irr!G19&lt;&gt;".",up_Irr!AE19=".",up_Irr!BC19&lt;&gt;"."),up_dir!H19/((1/1000)*(up_Irr!G19+up_Irr!BC19)),IF(AND(up_Irr!G19=".",up_Irr!AE19&lt;&gt;".",up_Irr!BC19&lt;&gt;"."),up_dir!H19/((1/1000)*(up_Irr!AE19+up_Irr!BC19)),IF(AND(up_Irr!G19=".",up_Irr!AE19=".",up_Irr!BC19&lt;&gt;"."),up_dir!H19/((1/1000)*(up_Irr!BC19)),IF(AND(up_Irr!G19=".",up_Irr!AE19&lt;&gt;".",up_Irr!BC19="."),up_dir!H19/((1/1000)*(up_Irr!AE19)),IF(AND(up_Irr!G19&lt;&gt;".",up_Irr!AE19=".",up_Irr!BC19="."),up_dir!H19/((1/1000)*(up_Irr!G19)),IF(AND(up_Irr!G19=".",up_Irr!AE19=".",up_Irr!BC19="."),up_dir!H19*1000)))))))),".")</f>
        <v>6.5773651144152131E-4</v>
      </c>
      <c r="I19" s="48">
        <f>IFERROR(IF(AND(up_Irr!H19&lt;&gt;".",up_Irr!AF19&lt;&gt;".",up_Irr!BD19&lt;&gt;"."),up_dir!I19/((1/1000)*(up_Irr!H19+up_Irr!AF19+up_Irr!BD19)),IF(AND(up_Irr!H19&lt;&gt;".",up_Irr!AF19&lt;&gt;".",up_Irr!BD19="."),up_dir!I19/((1/1000)*(up_Irr!H19+up_Irr!AF19)),IF(AND(up_Irr!H19&lt;&gt;".",up_Irr!AF19=".",up_Irr!BD19&lt;&gt;"."),up_dir!I19/((1/1000)*(up_Irr!H19+up_Irr!BD19)),IF(AND(up_Irr!H19=".",up_Irr!AF19&lt;&gt;".",up_Irr!BD19&lt;&gt;"."),up_dir!I19/((1/1000)*(up_Irr!AF19+up_Irr!BD19)),IF(AND(up_Irr!H19=".",up_Irr!AF19=".",up_Irr!BD19&lt;&gt;"."),up_dir!I19/((1/1000)*(up_Irr!BD19)),IF(AND(up_Irr!H19=".",up_Irr!AF19&lt;&gt;".",up_Irr!BD19="."),up_dir!I19/((1/1000)*(up_Irr!AF19)),IF(AND(up_Irr!H19&lt;&gt;".",up_Irr!AF19=".",up_Irr!BD19="."),up_dir!I19/((1/1000)*(up_Irr!H19)),IF(AND(up_Irr!H19=".",up_Irr!AF19=".",up_Irr!BD19="."),up_dir!I19*1000)))))))),".")</f>
        <v>6.5773651144152131E-4</v>
      </c>
      <c r="J19" s="48">
        <f>IFERROR(IF(AND(up_Irr!I19&lt;&gt;".",up_Irr!AG19&lt;&gt;".",up_Irr!BE19&lt;&gt;"."),up_dir!J19/((1/1000)*(up_Irr!I19+up_Irr!AG19+up_Irr!BE19)),IF(AND(up_Irr!I19&lt;&gt;".",up_Irr!AG19&lt;&gt;".",up_Irr!BE19="."),up_dir!J19/((1/1000)*(up_Irr!I19+up_Irr!AG19)),IF(AND(up_Irr!I19&lt;&gt;".",up_Irr!AG19=".",up_Irr!BE19&lt;&gt;"."),up_dir!J19/((1/1000)*(up_Irr!I19+up_Irr!BE19)),IF(AND(up_Irr!I19=".",up_Irr!AG19&lt;&gt;".",up_Irr!BE19&lt;&gt;"."),up_dir!J19/((1/1000)*(up_Irr!AG19+up_Irr!BE19)),IF(AND(up_Irr!I19=".",up_Irr!AG19=".",up_Irr!BE19&lt;&gt;"."),up_dir!J19/((1/1000)*(up_Irr!BE19)),IF(AND(up_Irr!I19=".",up_Irr!AG19&lt;&gt;".",up_Irr!BE19="."),up_dir!J19/((1/1000)*(up_Irr!AG19)),IF(AND(up_Irr!I19&lt;&gt;".",up_Irr!AG19=".",up_Irr!BE19="."),up_dir!J19/((1/1000)*(up_Irr!I19)),IF(AND(up_Irr!I19=".",up_Irr!AG19=".",up_Irr!BE19="."),up_dir!J19*1000)))))))),".")</f>
        <v>6.5773651144152131E-4</v>
      </c>
      <c r="K19" s="48">
        <f>IFERROR(IF(AND(up_Irr!J19&lt;&gt;".",up_Irr!AH19&lt;&gt;".",up_Irr!BF19&lt;&gt;"."),up_dir!K19/((1/1000)*(up_Irr!J19+up_Irr!AH19+up_Irr!BF19)),IF(AND(up_Irr!J19&lt;&gt;".",up_Irr!AH19&lt;&gt;".",up_Irr!BF19="."),up_dir!K19/((1/1000)*(up_Irr!J19+up_Irr!AH19)),IF(AND(up_Irr!J19&lt;&gt;".",up_Irr!AH19=".",up_Irr!BF19&lt;&gt;"."),up_dir!K19/((1/1000)*(up_Irr!J19+up_Irr!BF19)),IF(AND(up_Irr!J19=".",up_Irr!AH19&lt;&gt;".",up_Irr!BF19&lt;&gt;"."),up_dir!K19/((1/1000)*(up_Irr!AH19+up_Irr!BF19)),IF(AND(up_Irr!J19=".",up_Irr!AH19=".",up_Irr!BF19&lt;&gt;"."),up_dir!K19/((1/1000)*(up_Irr!BF19)),IF(AND(up_Irr!J19=".",up_Irr!AH19&lt;&gt;".",up_Irr!BF19="."),up_dir!K19/((1/1000)*(up_Irr!AH19)),IF(AND(up_Irr!J19&lt;&gt;".",up_Irr!AH19=".",up_Irr!BF19="."),up_dir!K19/((1/1000)*(up_Irr!J19)),IF(AND(up_Irr!J19=".",up_Irr!AH19=".",up_Irr!BF19="."),up_dir!K19*1000)))))))),".")</f>
        <v>6.5773651144152131E-4</v>
      </c>
      <c r="L19" s="48">
        <f>IFERROR(IF(AND(up_Irr!K19&lt;&gt;".",up_Irr!AI19&lt;&gt;".",up_Irr!BG19&lt;&gt;"."),up_dir!L19/((1/1000)*(up_Irr!K19+up_Irr!AI19+up_Irr!BG19)),IF(AND(up_Irr!K19&lt;&gt;".",up_Irr!AI19&lt;&gt;".",up_Irr!BG19="."),up_dir!L19/((1/1000)*(up_Irr!K19+up_Irr!AI19)),IF(AND(up_Irr!K19&lt;&gt;".",up_Irr!AI19=".",up_Irr!BG19&lt;&gt;"."),up_dir!L19/((1/1000)*(up_Irr!K19+up_Irr!BG19)),IF(AND(up_Irr!K19=".",up_Irr!AI19&lt;&gt;".",up_Irr!BG19&lt;&gt;"."),up_dir!L19/((1/1000)*(up_Irr!AI19+up_Irr!BG19)),IF(AND(up_Irr!K19=".",up_Irr!AI19=".",up_Irr!BG19&lt;&gt;"."),up_dir!L19/((1/1000)*(up_Irr!BG19)),IF(AND(up_Irr!K19=".",up_Irr!AI19&lt;&gt;".",up_Irr!BG19="."),up_dir!L19/((1/1000)*(up_Irr!AI19)),IF(AND(up_Irr!K19&lt;&gt;".",up_Irr!AI19=".",up_Irr!BG19="."),up_dir!L19/((1/1000)*(up_Irr!K19)),IF(AND(up_Irr!K19=".",up_Irr!AI19=".",up_Irr!BG19="."),up_dir!L19*1000)))))))),".")</f>
        <v>6.5773651144152131E-4</v>
      </c>
      <c r="M19" s="48">
        <f>IFERROR(IF(AND(up_Irr!L19&lt;&gt;".",up_Irr!AJ19&lt;&gt;".",up_Irr!BH19&lt;&gt;"."),up_dir!M19/((1/1000)*(up_Irr!L19+up_Irr!AJ19+up_Irr!BH19)),IF(AND(up_Irr!L19&lt;&gt;".",up_Irr!AJ19&lt;&gt;".",up_Irr!BH19="."),up_dir!M19/((1/1000)*(up_Irr!L19+up_Irr!AJ19)),IF(AND(up_Irr!L19&lt;&gt;".",up_Irr!AJ19=".",up_Irr!BH19&lt;&gt;"."),up_dir!M19/((1/1000)*(up_Irr!L19+up_Irr!BH19)),IF(AND(up_Irr!L19=".",up_Irr!AJ19&lt;&gt;".",up_Irr!BH19&lt;&gt;"."),up_dir!M19/((1/1000)*(up_Irr!AJ19+up_Irr!BH19)),IF(AND(up_Irr!L19=".",up_Irr!AJ19=".",up_Irr!BH19&lt;&gt;"."),up_dir!M19/((1/1000)*(up_Irr!BH19)),IF(AND(up_Irr!L19=".",up_Irr!AJ19&lt;&gt;".",up_Irr!BH19="."),up_dir!M19/((1/1000)*(up_Irr!AJ19)),IF(AND(up_Irr!L19&lt;&gt;".",up_Irr!AJ19=".",up_Irr!BH19="."),up_dir!M19/((1/1000)*(up_Irr!L19)),IF(AND(up_Irr!L19=".",up_Irr!AJ19=".",up_Irr!BH19="."),up_dir!M19*1000)))))))),".")</f>
        <v>6.5773651144152131E-4</v>
      </c>
      <c r="N19" s="48">
        <f>IFERROR(IF(AND(up_Irr!M19&lt;&gt;".",up_Irr!AK19&lt;&gt;".",up_Irr!BI19&lt;&gt;"."),up_dir!N19/((1/1000)*(up_Irr!M19+up_Irr!AK19+up_Irr!BI19)),IF(AND(up_Irr!M19&lt;&gt;".",up_Irr!AK19&lt;&gt;".",up_Irr!BI19="."),up_dir!N19/((1/1000)*(up_Irr!M19+up_Irr!AK19)),IF(AND(up_Irr!M19&lt;&gt;".",up_Irr!AK19=".",up_Irr!BI19&lt;&gt;"."),up_dir!N19/((1/1000)*(up_Irr!M19+up_Irr!BI19)),IF(AND(up_Irr!M19=".",up_Irr!AK19&lt;&gt;".",up_Irr!BI19&lt;&gt;"."),up_dir!N19/((1/1000)*(up_Irr!AK19+up_Irr!BI19)),IF(AND(up_Irr!M19=".",up_Irr!AK19=".",up_Irr!BI19&lt;&gt;"."),up_dir!N19/((1/1000)*(up_Irr!BI19)),IF(AND(up_Irr!M19=".",up_Irr!AK19&lt;&gt;".",up_Irr!BI19="."),up_dir!N19/((1/1000)*(up_Irr!AK19)),IF(AND(up_Irr!M19&lt;&gt;".",up_Irr!AK19=".",up_Irr!BI19="."),up_dir!N19/((1/1000)*(up_Irr!M19)),IF(AND(up_Irr!M19=".",up_Irr!AK19=".",up_Irr!BI19="."),up_dir!N19*1000)))))))),".")</f>
        <v>6.5773651144152131E-4</v>
      </c>
      <c r="O19" s="48">
        <f>IFERROR(IF(AND(up_Irr!N19&lt;&gt;".",up_Irr!AL19&lt;&gt;".",up_Irr!BJ19&lt;&gt;"."),up_dir!O19/((1/1000)*(up_Irr!N19+up_Irr!AL19+up_Irr!BJ19)),IF(AND(up_Irr!N19&lt;&gt;".",up_Irr!AL19&lt;&gt;".",up_Irr!BJ19="."),up_dir!O19/((1/1000)*(up_Irr!N19+up_Irr!AL19)),IF(AND(up_Irr!N19&lt;&gt;".",up_Irr!AL19=".",up_Irr!BJ19&lt;&gt;"."),up_dir!O19/((1/1000)*(up_Irr!N19+up_Irr!BJ19)),IF(AND(up_Irr!N19=".",up_Irr!AL19&lt;&gt;".",up_Irr!BJ19&lt;&gt;"."),up_dir!O19/((1/1000)*(up_Irr!AL19+up_Irr!BJ19)),IF(AND(up_Irr!N19=".",up_Irr!AL19=".",up_Irr!BJ19&lt;&gt;"."),up_dir!O19/((1/1000)*(up_Irr!BJ19)),IF(AND(up_Irr!N19=".",up_Irr!AL19&lt;&gt;".",up_Irr!BJ19="."),up_dir!O19/((1/1000)*(up_Irr!AL19)),IF(AND(up_Irr!N19&lt;&gt;".",up_Irr!AL19=".",up_Irr!BJ19="."),up_dir!O19/((1/1000)*(up_Irr!N19)),IF(AND(up_Irr!N19=".",up_Irr!AL19=".",up_Irr!BJ19="."),up_dir!O19*1000)))))))),".")</f>
        <v>6.5773651144152131E-4</v>
      </c>
      <c r="P19" s="48">
        <f>IFERROR(IF(AND(up_Irr!O19&lt;&gt;".",up_Irr!AM19&lt;&gt;".",up_Irr!BK19&lt;&gt;"."),up_dir!P19/((1/1000)*(up_Irr!O19+up_Irr!AM19+up_Irr!BK19)),IF(AND(up_Irr!O19&lt;&gt;".",up_Irr!AM19&lt;&gt;".",up_Irr!BK19="."),up_dir!P19/((1/1000)*(up_Irr!O19+up_Irr!AM19)),IF(AND(up_Irr!O19&lt;&gt;".",up_Irr!AM19=".",up_Irr!BK19&lt;&gt;"."),up_dir!P19/((1/1000)*(up_Irr!O19+up_Irr!BK19)),IF(AND(up_Irr!O19=".",up_Irr!AM19&lt;&gt;".",up_Irr!BK19&lt;&gt;"."),up_dir!P19/((1/1000)*(up_Irr!AM19+up_Irr!BK19)),IF(AND(up_Irr!O19=".",up_Irr!AM19=".",up_Irr!BK19&lt;&gt;"."),up_dir!P19/((1/1000)*(up_Irr!BK19)),IF(AND(up_Irr!O19=".",up_Irr!AM19&lt;&gt;".",up_Irr!BK19="."),up_dir!P19/((1/1000)*(up_Irr!AM19)),IF(AND(up_Irr!O19&lt;&gt;".",up_Irr!AM19=".",up_Irr!BK19="."),up_dir!P19/((1/1000)*(up_Irr!O19)),IF(AND(up_Irr!O19=".",up_Irr!AM19=".",up_Irr!BK19="."),up_dir!P19*1000)))))))),".")</f>
        <v>6.5773651144152131E-4</v>
      </c>
      <c r="Q19" s="48">
        <f>IFERROR(IF(AND(up_Irr!P19&lt;&gt;".",up_Irr!AN19&lt;&gt;".",up_Irr!BL19&lt;&gt;"."),up_dir!Q19/((1/1000)*(up_Irr!P19+up_Irr!AN19+up_Irr!BL19)),IF(AND(up_Irr!P19&lt;&gt;".",up_Irr!AN19&lt;&gt;".",up_Irr!BL19="."),up_dir!Q19/((1/1000)*(up_Irr!P19+up_Irr!AN19)),IF(AND(up_Irr!P19&lt;&gt;".",up_Irr!AN19=".",up_Irr!BL19&lt;&gt;"."),up_dir!Q19/((1/1000)*(up_Irr!P19+up_Irr!BL19)),IF(AND(up_Irr!P19=".",up_Irr!AN19&lt;&gt;".",up_Irr!BL19&lt;&gt;"."),up_dir!Q19/((1/1000)*(up_Irr!AN19+up_Irr!BL19)),IF(AND(up_Irr!P19=".",up_Irr!AN19=".",up_Irr!BL19&lt;&gt;"."),up_dir!Q19/((1/1000)*(up_Irr!BL19)),IF(AND(up_Irr!P19=".",up_Irr!AN19&lt;&gt;".",up_Irr!BL19="."),up_dir!Q19/((1/1000)*(up_Irr!AN19)),IF(AND(up_Irr!P19&lt;&gt;".",up_Irr!AN19=".",up_Irr!BL19="."),up_dir!Q19/((1/1000)*(up_Irr!P19)),IF(AND(up_Irr!P19=".",up_Irr!AN19=".",up_Irr!BL19="."),up_dir!Q19*1000)))))))),".")</f>
        <v>6.5773651144152131E-4</v>
      </c>
      <c r="R19" s="48">
        <f>IFERROR(IF(AND(up_Irr!Q19&lt;&gt;".",up_Irr!AO19&lt;&gt;".",up_Irr!BM19&lt;&gt;"."),up_dir!R19/((1/1000)*(up_Irr!Q19+up_Irr!AO19+up_Irr!BM19)),IF(AND(up_Irr!Q19&lt;&gt;".",up_Irr!AO19&lt;&gt;".",up_Irr!BM19="."),up_dir!R19/((1/1000)*(up_Irr!Q19+up_Irr!AO19)),IF(AND(up_Irr!Q19&lt;&gt;".",up_Irr!AO19=".",up_Irr!BM19&lt;&gt;"."),up_dir!R19/((1/1000)*(up_Irr!Q19+up_Irr!BM19)),IF(AND(up_Irr!Q19=".",up_Irr!AO19&lt;&gt;".",up_Irr!BM19&lt;&gt;"."),up_dir!R19/((1/1000)*(up_Irr!AO19+up_Irr!BM19)),IF(AND(up_Irr!Q19=".",up_Irr!AO19=".",up_Irr!BM19&lt;&gt;"."),up_dir!R19/((1/1000)*(up_Irr!BM19)),IF(AND(up_Irr!Q19=".",up_Irr!AO19&lt;&gt;".",up_Irr!BM19="."),up_dir!R19/((1/1000)*(up_Irr!AO19)),IF(AND(up_Irr!Q19&lt;&gt;".",up_Irr!AO19=".",up_Irr!BM19="."),up_dir!R19/((1/1000)*(up_Irr!Q19)),IF(AND(up_Irr!Q19=".",up_Irr!AO19=".",up_Irr!BM19="."),up_dir!R19*1000)))))))),".")</f>
        <v>6.5773651144152131E-4</v>
      </c>
      <c r="S19" s="48">
        <f>IFERROR(IF(AND(up_Irr!R19&lt;&gt;".",up_Irr!AP19&lt;&gt;".",up_Irr!BN19&lt;&gt;"."),up_dir!S19/((1/1000)*(up_Irr!R19+up_Irr!AP19+up_Irr!BN19)),IF(AND(up_Irr!R19&lt;&gt;".",up_Irr!AP19&lt;&gt;".",up_Irr!BN19="."),up_dir!S19/((1/1000)*(up_Irr!R19+up_Irr!AP19)),IF(AND(up_Irr!R19&lt;&gt;".",up_Irr!AP19=".",up_Irr!BN19&lt;&gt;"."),up_dir!S19/((1/1000)*(up_Irr!R19+up_Irr!BN19)),IF(AND(up_Irr!R19=".",up_Irr!AP19&lt;&gt;".",up_Irr!BN19&lt;&gt;"."),up_dir!S19/((1/1000)*(up_Irr!AP19+up_Irr!BN19)),IF(AND(up_Irr!R19=".",up_Irr!AP19=".",up_Irr!BN19&lt;&gt;"."),up_dir!S19/((1/1000)*(up_Irr!BN19)),IF(AND(up_Irr!R19=".",up_Irr!AP19&lt;&gt;".",up_Irr!BN19="."),up_dir!S19/((1/1000)*(up_Irr!AP19)),IF(AND(up_Irr!R19&lt;&gt;".",up_Irr!AP19=".",up_Irr!BN19="."),up_dir!S19/((1/1000)*(up_Irr!R19)),IF(AND(up_Irr!R19=".",up_Irr!AP19=".",up_Irr!BN19="."),up_dir!S19*1000)))))))),".")</f>
        <v>6.5773651144152131E-4</v>
      </c>
      <c r="T19" s="48">
        <f>IFERROR(IF(AND(up_Irr!S19&lt;&gt;".",up_Irr!AQ19&lt;&gt;".",up_Irr!BO19&lt;&gt;"."),up_dir!T19/((1/1000)*(up_Irr!S19+up_Irr!AQ19+up_Irr!BO19)),IF(AND(up_Irr!S19&lt;&gt;".",up_Irr!AQ19&lt;&gt;".",up_Irr!BO19="."),up_dir!T19/((1/1000)*(up_Irr!S19+up_Irr!AQ19)),IF(AND(up_Irr!S19&lt;&gt;".",up_Irr!AQ19=".",up_Irr!BO19&lt;&gt;"."),up_dir!T19/((1/1000)*(up_Irr!S19+up_Irr!BO19)),IF(AND(up_Irr!S19=".",up_Irr!AQ19&lt;&gt;".",up_Irr!BO19&lt;&gt;"."),up_dir!T19/((1/1000)*(up_Irr!AQ19+up_Irr!BO19)),IF(AND(up_Irr!S19=".",up_Irr!AQ19=".",up_Irr!BO19&lt;&gt;"."),up_dir!T19/((1/1000)*(up_Irr!BO19)),IF(AND(up_Irr!S19=".",up_Irr!AQ19&lt;&gt;".",up_Irr!BO19="."),up_dir!T19/((1/1000)*(up_Irr!AQ19)),IF(AND(up_Irr!S19&lt;&gt;".",up_Irr!AQ19=".",up_Irr!BO19="."),up_dir!T19/((1/1000)*(up_Irr!S19)),IF(AND(up_Irr!S19=".",up_Irr!AQ19=".",up_Irr!BO19="."),up_dir!T19*1000)))))))),".")</f>
        <v>6.5773651144152131E-4</v>
      </c>
      <c r="U19" s="48">
        <f>IFERROR(IF(AND(up_Irr!T19&lt;&gt;".",up_Irr!AR19&lt;&gt;".",up_Irr!BP19&lt;&gt;"."),up_dir!U19/((1/1000)*(up_Irr!T19+up_Irr!AR19+up_Irr!BP19)),IF(AND(up_Irr!T19&lt;&gt;".",up_Irr!AR19&lt;&gt;".",up_Irr!BP19="."),up_dir!U19/((1/1000)*(up_Irr!T19+up_Irr!AR19)),IF(AND(up_Irr!T19&lt;&gt;".",up_Irr!AR19=".",up_Irr!BP19&lt;&gt;"."),up_dir!U19/((1/1000)*(up_Irr!T19+up_Irr!BP19)),IF(AND(up_Irr!T19=".",up_Irr!AR19&lt;&gt;".",up_Irr!BP19&lt;&gt;"."),up_dir!U19/((1/1000)*(up_Irr!AR19+up_Irr!BP19)),IF(AND(up_Irr!T19=".",up_Irr!AR19=".",up_Irr!BP19&lt;&gt;"."),up_dir!U19/((1/1000)*(up_Irr!BP19)),IF(AND(up_Irr!T19=".",up_Irr!AR19&lt;&gt;".",up_Irr!BP19="."),up_dir!U19/((1/1000)*(up_Irr!AR19)),IF(AND(up_Irr!T19&lt;&gt;".",up_Irr!AR19=".",up_Irr!BP19="."),up_dir!U19/((1/1000)*(up_Irr!T19)),IF(AND(up_Irr!T19=".",up_Irr!AR19=".",up_Irr!BP19="."),up_dir!U19*1000)))))))),".")</f>
        <v>6.5773651144152131E-4</v>
      </c>
      <c r="V19" s="48">
        <f>IFERROR(IF(AND(up_Irr!U19&lt;&gt;".",up_Irr!AS19&lt;&gt;".",up_Irr!BQ19&lt;&gt;"."),up_dir!V19/((1/1000)*(up_Irr!U19+up_Irr!AS19+up_Irr!BQ19)),IF(AND(up_Irr!U19&lt;&gt;".",up_Irr!AS19&lt;&gt;".",up_Irr!BQ19="."),up_dir!V19/((1/1000)*(up_Irr!U19+up_Irr!AS19)),IF(AND(up_Irr!U19&lt;&gt;".",up_Irr!AS19=".",up_Irr!BQ19&lt;&gt;"."),up_dir!V19/((1/1000)*(up_Irr!U19+up_Irr!BQ19)),IF(AND(up_Irr!U19=".",up_Irr!AS19&lt;&gt;".",up_Irr!BQ19&lt;&gt;"."),up_dir!V19/((1/1000)*(up_Irr!AS19+up_Irr!BQ19)),IF(AND(up_Irr!U19=".",up_Irr!AS19=".",up_Irr!BQ19&lt;&gt;"."),up_dir!V19/((1/1000)*(up_Irr!BQ19)),IF(AND(up_Irr!U19=".",up_Irr!AS19&lt;&gt;".",up_Irr!BQ19="."),up_dir!V19/((1/1000)*(up_Irr!AS19)),IF(AND(up_Irr!U19&lt;&gt;".",up_Irr!AS19=".",up_Irr!BQ19="."),up_dir!V19/((1/1000)*(up_Irr!U19)),IF(AND(up_Irr!U19=".",up_Irr!AS19=".",up_Irr!BQ19="."),up_dir!V19*1000)))))))),".")</f>
        <v>6.5773651144152131E-4</v>
      </c>
      <c r="W19" s="48">
        <f>IFERROR(IF(AND(up_Irr!V19&lt;&gt;".",up_Irr!AT19&lt;&gt;".",up_Irr!BR19&lt;&gt;"."),up_dir!W19/((1/1000)*(up_Irr!V19+up_Irr!AT19+up_Irr!BR19)),IF(AND(up_Irr!V19&lt;&gt;".",up_Irr!AT19&lt;&gt;".",up_Irr!BR19="."),up_dir!W19/((1/1000)*(up_Irr!V19+up_Irr!AT19)),IF(AND(up_Irr!V19&lt;&gt;".",up_Irr!AT19=".",up_Irr!BR19&lt;&gt;"."),up_dir!W19/((1/1000)*(up_Irr!V19+up_Irr!BR19)),IF(AND(up_Irr!V19=".",up_Irr!AT19&lt;&gt;".",up_Irr!BR19&lt;&gt;"."),up_dir!W19/((1/1000)*(up_Irr!AT19+up_Irr!BR19)),IF(AND(up_Irr!V19=".",up_Irr!AT19=".",up_Irr!BR19&lt;&gt;"."),up_dir!W19/((1/1000)*(up_Irr!BR19)),IF(AND(up_Irr!V19=".",up_Irr!AT19&lt;&gt;".",up_Irr!BR19="."),up_dir!W19/((1/1000)*(up_Irr!AT19)),IF(AND(up_Irr!V19&lt;&gt;".",up_Irr!AT19=".",up_Irr!BR19="."),up_dir!W19/((1/1000)*(up_Irr!V19)),IF(AND(up_Irr!V19=".",up_Irr!AT19=".",up_Irr!BR19="."),up_dir!W19*1000)))))))),".")</f>
        <v>6.5773651144152131E-4</v>
      </c>
      <c r="X19" s="48">
        <f>IFERROR(IF(AND(up_Irr!W19&lt;&gt;".",up_Irr!AU19&lt;&gt;".",up_Irr!BS19&lt;&gt;"."),up_dir!X19/((1/1000)*(up_Irr!W19+up_Irr!AU19+up_Irr!BS19)),IF(AND(up_Irr!W19&lt;&gt;".",up_Irr!AU19&lt;&gt;".",up_Irr!BS19="."),up_dir!X19/((1/1000)*(up_Irr!W19+up_Irr!AU19)),IF(AND(up_Irr!W19&lt;&gt;".",up_Irr!AU19=".",up_Irr!BS19&lt;&gt;"."),up_dir!X19/((1/1000)*(up_Irr!W19+up_Irr!BS19)),IF(AND(up_Irr!W19=".",up_Irr!AU19&lt;&gt;".",up_Irr!BS19&lt;&gt;"."),up_dir!X19/((1/1000)*(up_Irr!AU19+up_Irr!BS19)),IF(AND(up_Irr!W19=".",up_Irr!AU19=".",up_Irr!BS19&lt;&gt;"."),up_dir!X19/((1/1000)*(up_Irr!BS19)),IF(AND(up_Irr!W19=".",up_Irr!AU19&lt;&gt;".",up_Irr!BS19="."),up_dir!X19/((1/1000)*(up_Irr!AU19)),IF(AND(up_Irr!W19&lt;&gt;".",up_Irr!AU19=".",up_Irr!BS19="."),up_dir!X19/((1/1000)*(up_Irr!W19)),IF(AND(up_Irr!W19=".",up_Irr!AU19=".",up_Irr!BS19="."),up_dir!X19*1000)))))))),".")</f>
        <v>6.5773651144152131E-4</v>
      </c>
      <c r="Y19" s="48">
        <f>IFERROR(IF(AND(up_Irr!X19&lt;&gt;".",up_Irr!AV19&lt;&gt;".",up_Irr!BT19&lt;&gt;"."),up_dir!Y19/((1/1000)*(up_Irr!X19+up_Irr!AV19+up_Irr!BT19)),IF(AND(up_Irr!X19&lt;&gt;".",up_Irr!AV19&lt;&gt;".",up_Irr!BT19="."),up_dir!Y19/((1/1000)*(up_Irr!X19+up_Irr!AV19)),IF(AND(up_Irr!X19&lt;&gt;".",up_Irr!AV19=".",up_Irr!BT19&lt;&gt;"."),up_dir!Y19/((1/1000)*(up_Irr!X19+up_Irr!BT19)),IF(AND(up_Irr!X19=".",up_Irr!AV19&lt;&gt;".",up_Irr!BT19&lt;&gt;"."),up_dir!Y19/((1/1000)*(up_Irr!AV19+up_Irr!BT19)),IF(AND(up_Irr!X19=".",up_Irr!AV19=".",up_Irr!BT19&lt;&gt;"."),up_dir!Y19/((1/1000)*(up_Irr!BT19)),IF(AND(up_Irr!X19=".",up_Irr!AV19&lt;&gt;".",up_Irr!BT19="."),up_dir!Y19/((1/1000)*(up_Irr!AV19)),IF(AND(up_Irr!X19&lt;&gt;".",up_Irr!AV19=".",up_Irr!BT19="."),up_dir!Y19/((1/1000)*(up_Irr!X19)),IF(AND(up_Irr!X19=".",up_Irr!AV19=".",up_Irr!BT19="."),up_dir!Y19*1000)))))))),".")</f>
        <v>6.5773651144152131E-4</v>
      </c>
      <c r="Z19" s="48">
        <f>IFERROR(IF(AND(up_Irr!Y19&lt;&gt;".",up_Irr!AW19&lt;&gt;".",up_Irr!BU19&lt;&gt;"."),up_dir!Z19/((1/1000)*(up_Irr!Y19+up_Irr!AW19+up_Irr!BU19)),IF(AND(up_Irr!Y19&lt;&gt;".",up_Irr!AW19&lt;&gt;".",up_Irr!BU19="."),up_dir!Z19/((1/1000)*(up_Irr!Y19+up_Irr!AW19)),IF(AND(up_Irr!Y19&lt;&gt;".",up_Irr!AW19=".",up_Irr!BU19&lt;&gt;"."),up_dir!Z19/((1/1000)*(up_Irr!Y19+up_Irr!BU19)),IF(AND(up_Irr!Y19=".",up_Irr!AW19&lt;&gt;".",up_Irr!BU19&lt;&gt;"."),up_dir!Z19/((1/1000)*(up_Irr!AW19+up_Irr!BU19)),IF(AND(up_Irr!Y19=".",up_Irr!AW19=".",up_Irr!BU19&lt;&gt;"."),up_dir!Z19/((1/1000)*(up_Irr!BU19)),IF(AND(up_Irr!Y19=".",up_Irr!AW19&lt;&gt;".",up_Irr!BU19="."),up_dir!Z19/((1/1000)*(up_Irr!AW19)),IF(AND(up_Irr!Y19&lt;&gt;".",up_Irr!AW19=".",up_Irr!BU19="."),up_dir!Z19/((1/1000)*(up_Irr!Y19)),IF(AND(up_Irr!Y19=".",up_Irr!AW19=".",up_Irr!BU19="."),up_dir!Z19*1000)))))))),".")</f>
        <v>6.5773651144152131E-4</v>
      </c>
      <c r="AA19" s="48">
        <f>IFERROR(IF(AND(up_Irr!Z19&lt;&gt;".",up_Irr!AX19&lt;&gt;".",up_Irr!BV19&lt;&gt;"."),up_dir!AA19/((1/1000)*(up_Irr!Z19+up_Irr!AX19+up_Irr!BV19)),IF(AND(up_Irr!Z19&lt;&gt;".",up_Irr!AX19&lt;&gt;".",up_Irr!BV19="."),up_dir!AA19/((1/1000)*(up_Irr!Z19+up_Irr!AX19)),IF(AND(up_Irr!Z19&lt;&gt;".",up_Irr!AX19=".",up_Irr!BV19&lt;&gt;"."),up_dir!AA19/((1/1000)*(up_Irr!Z19+up_Irr!BV19)),IF(AND(up_Irr!Z19=".",up_Irr!AX19&lt;&gt;".",up_Irr!BV19&lt;&gt;"."),up_dir!AA19/((1/1000)*(up_Irr!AX19+up_Irr!BV19)),IF(AND(up_Irr!Z19=".",up_Irr!AX19=".",up_Irr!BV19&lt;&gt;"."),up_dir!AA19/((1/1000)*(up_Irr!BV19)),IF(AND(up_Irr!Z19=".",up_Irr!AX19&lt;&gt;".",up_Irr!BV19="."),up_dir!AA19/((1/1000)*(up_Irr!AX19)),IF(AND(up_Irr!Z19&lt;&gt;".",up_Irr!AX19=".",up_Irr!BV19="."),up_dir!AA19/((1/1000)*(up_Irr!Z19)),IF(AND(up_Irr!Z19=".",up_Irr!AX19=".",up_Irr!BV19="."),up_dir!AA19*1000)))))))),".")</f>
        <v>6.5773651144152131E-4</v>
      </c>
      <c r="AB19" s="62">
        <f t="shared" si="1"/>
        <v>22805.4847785862</v>
      </c>
      <c r="AC19" s="62">
        <f>IFERROR(s_C*s_IFAP_res_adj*s_CF_apple*0.001*(up_Irr!C19+up_Irr!AA19+up_Irr!AY19),".")</f>
        <v>7601.8282595287337</v>
      </c>
      <c r="AD19" s="62">
        <f>IFERROR(s_C*s_IFAS_res_adj*s_CF_asparagus*0.001*(up_Irr!D19+up_Irr!AB19+up_Irr!AZ19),".")</f>
        <v>7601.8282595287337</v>
      </c>
      <c r="AE19" s="62">
        <f>IFERROR(s_C*s_IFBT_res_adj*s_CF_beet*0.001*(up_Irr!E19+up_Irr!AC19+up_Irr!BA19),".")</f>
        <v>7601.8282595287337</v>
      </c>
      <c r="AF19" s="62">
        <f>IFERROR(s_C*s_IFBE_res_adj*s_CF_berries*0.001*(up_Irr!F19+up_Irr!AD19+up_Irr!BB19),".")</f>
        <v>7601.8282595287337</v>
      </c>
      <c r="AG19" s="62">
        <f>IFERROR(s_C*s_IFBR_res_adj*s_CF_broccoli*0.001*(up_Irr!G19+up_Irr!AE19+up_Irr!BC19),".")</f>
        <v>7601.8282595287337</v>
      </c>
      <c r="AH19" s="62">
        <f>IFERROR(s_C*s_IFCB_res_adj*s_CF_cabbage*0.001*(up_Irr!H19+up_Irr!AF19+up_Irr!BD19),".")</f>
        <v>7601.8282595287337</v>
      </c>
      <c r="AI19" s="62">
        <f>IFERROR(s_C*s_IFCR_res_adj*s_CF_carrot*0.001*(up_Irr!I19+up_Irr!AG19+up_Irr!BE19),".")</f>
        <v>7601.8282595287337</v>
      </c>
      <c r="AJ19" s="62">
        <f>IFERROR(s_C*s_IFCI_res_adj*s_CF_citrus*0.001*(up_Irr!J19+up_Irr!AH19+up_Irr!BF19),".")</f>
        <v>7601.8282595287337</v>
      </c>
      <c r="AK19" s="62">
        <f>IFERROR(s_C*s_IFCO_res_adj*s_CF_corn*0.001*(up_Irr!K19+up_Irr!AI19+up_Irr!BG19),".")</f>
        <v>7601.8282595287337</v>
      </c>
      <c r="AL19" s="62">
        <f>IFERROR(s_C*s_IFCU_res_adj*s_CF_cucumber*0.001*(up_Irr!L19+up_Irr!AJ19+up_Irr!BH19),".")</f>
        <v>7601.8282595287337</v>
      </c>
      <c r="AM19" s="62">
        <f>IFERROR(s_C*s_IFLE_res_adj*s_CF_lettuce*0.001*(up_Irr!M19+up_Irr!AK19+up_Irr!BI19),".")</f>
        <v>7601.8282595287337</v>
      </c>
      <c r="AN19" s="62">
        <f>IFERROR(s_C*s_IFLI_res_adj*s_CF_lima_bean*0.001*(up_Irr!N19+up_Irr!AL19+up_Irr!BJ19),".")</f>
        <v>7601.8282595287337</v>
      </c>
      <c r="AO19" s="62">
        <f>IFERROR(s_C*s_IFOK_res_adj*s_CF_okra*0.001*(up_Irr!O19+up_Irr!AM19+up_Irr!BK19),".")</f>
        <v>7601.8282595287337</v>
      </c>
      <c r="AP19" s="62">
        <f>IFERROR(s_C*s_IFON_res_adj*s_CF_onion*0.001*(up_Irr!P19+up_Irr!AN19+up_Irr!BL19),".")</f>
        <v>7601.8282595287337</v>
      </c>
      <c r="AQ19" s="62">
        <f>IFERROR(s_C*s_IFPC_res_adj*s_CF_peach*0.001*(up_Irr!Q19+up_Irr!AO19+up_Irr!BM19),".")</f>
        <v>7601.8282595287337</v>
      </c>
      <c r="AR19" s="62">
        <f>IFERROR(s_C*s_IFPR_res_adj*s_CF_pear*0.001*(up_Irr!R19+up_Irr!AP19+up_Irr!BN19),".")</f>
        <v>7601.8282595287337</v>
      </c>
      <c r="AS19" s="62">
        <f>IFERROR(s_C*s_IFPE_res_adj*s_CF_peas*0.001*(up_Irr!S19+up_Irr!AQ19+up_Irr!BO19),".")</f>
        <v>7601.8282595287337</v>
      </c>
      <c r="AT19" s="62">
        <f>IFERROR(s_C*s_IFPT_res_adj*s_CF_potato*0.001*(up_Irr!T19+up_Irr!AR19+up_Irr!BP19),".")</f>
        <v>7601.8282595287337</v>
      </c>
      <c r="AU19" s="62">
        <f>IFERROR(s_C*s_IFPU_res_adj*s_CF_pumpkin*0.001*(up_Irr!U19+up_Irr!AS19+up_Irr!BQ19),".")</f>
        <v>7601.8282595287337</v>
      </c>
      <c r="AV19" s="62">
        <f>IFERROR(s_C*s_IFSN_res_adj*s_CF_snap_bean*0.001*(up_Irr!V19+up_Irr!AT19+up_Irr!BR19),".")</f>
        <v>7601.8282595287337</v>
      </c>
      <c r="AW19" s="62">
        <f>IFERROR(s_C*s_IFST_res_adj*s_CF_strawberry*0.001*(up_Irr!W19+up_Irr!AU19+up_Irr!BS19),".")</f>
        <v>7601.8282595287337</v>
      </c>
      <c r="AX19" s="62">
        <f>IFERROR(s_C*s_IFTO_res_adj*s_CF_tomato*0.001*(up_Irr!X19+up_Irr!AV19+up_Irr!BT19),".")</f>
        <v>7601.8282595287337</v>
      </c>
      <c r="AY19" s="62">
        <f>IFERROR(s_C*s_IFRI_res_adj*s_CF_rice*0.001*(up_Irr!Y19+up_Irr!AW19+up_Irr!BU19),".")</f>
        <v>7601.8282595287337</v>
      </c>
      <c r="AZ19" s="62">
        <f>IFERROR(s_C*s_IFCG_res_adj*s_CF_cereal*0.001*(up_Irr!Z19+up_Irr!AX19+up_Irr!BV19),".")</f>
        <v>7601.8282595287337</v>
      </c>
      <c r="BA19" s="48">
        <f t="shared" si="2"/>
        <v>2.1924550381384044E-4</v>
      </c>
      <c r="BB19" s="48">
        <f>IFERROR(IF(AND(up_Irr!C19&lt;&gt;".",up_Irr!AA19&lt;&gt;".",up_Irr!AY19&lt;&gt;"."),up_dir!AC19/((1/1000)*(up_Irr!C19+up_Irr!AA19+up_Irr!AY19)),IF(AND(up_Irr!C19&lt;&gt;".",up_Irr!AA19&lt;&gt;".",up_Irr!AY19="."),up_dir!AC19/((1/1000)*(up_Irr!C19+up_Irr!AA19)),IF(AND(up_Irr!C19&lt;&gt;".",up_Irr!AA19=".",up_Irr!AY19&lt;&gt;"."),up_dir!AC19/((1/1000)*(up_Irr!C19+up_Irr!AY19)),IF(AND(up_Irr!C19=".",up_Irr!AA19&lt;&gt;".",up_Irr!AY19&lt;&gt;"."),up_dir!AC19/((1/1000)*(up_Irr!AA19+up_Irr!AY19)),IF(AND(up_Irr!C19=".",up_Irr!AA19=".",up_Irr!AY19&lt;&gt;"."),up_dir!AC19/((1/1000)*(up_Irr!AY19)),IF(AND(up_Irr!C19=".",up_Irr!AA19&lt;&gt;".",up_Irr!AY19="."),up_dir!AC19/((1/1000)*(up_Irr!AA19)),IF(AND(up_Irr!C19&lt;&gt;".",up_Irr!AA19=".",up_Irr!AY19="."),up_dir!AC19/((1/1000)*(up_Irr!C19)),IF(AND(up_Irr!C19=".",up_Irr!AA19=".",up_Irr!AY19="."),up_dir!AC19*1000)))))))),".")</f>
        <v>6.5773651144152131E-4</v>
      </c>
      <c r="BC19" s="48">
        <f>IFERROR(IF(AND(up_Irr!D19&lt;&gt;".",up_Irr!AB19&lt;&gt;".",up_Irr!AZ19&lt;&gt;"."),up_dir!AD19/((1/1000)*(up_Irr!D19+up_Irr!AB19+up_Irr!AZ19)),IF(AND(up_Irr!D19&lt;&gt;".",up_Irr!AB19&lt;&gt;".",up_Irr!AZ19="."),up_dir!AD19/((1/1000)*(up_Irr!D19+up_Irr!AB19)),IF(AND(up_Irr!D19&lt;&gt;".",up_Irr!AB19=".",up_Irr!AZ19&lt;&gt;"."),up_dir!AD19/((1/1000)*(up_Irr!D19+up_Irr!AZ19)),IF(AND(up_Irr!D19=".",up_Irr!AB19&lt;&gt;".",up_Irr!AZ19&lt;&gt;"."),up_dir!AD19/((1/1000)*(up_Irr!AB19+up_Irr!AZ19)),IF(AND(up_Irr!D19=".",up_Irr!AB19=".",up_Irr!AZ19&lt;&gt;"."),up_dir!AD19/((1/1000)*(up_Irr!AZ19)),IF(AND(up_Irr!D19=".",up_Irr!AB19&lt;&gt;".",up_Irr!AZ19="."),up_dir!AD19/((1/1000)*(up_Irr!AB19)),IF(AND(up_Irr!D19&lt;&gt;".",up_Irr!AB19=".",up_Irr!AZ19="."),up_dir!AD19/((1/1000)*(up_Irr!D19)),IF(AND(up_Irr!D19=".",up_Irr!AB19=".",up_Irr!AZ19="."),up_dir!AD19*1000)))))))),".")</f>
        <v>6.5773651144152131E-4</v>
      </c>
      <c r="BD19" s="48">
        <f>IFERROR(IF(AND(up_Irr!E19&lt;&gt;".",up_Irr!AC19&lt;&gt;".",up_Irr!BA19&lt;&gt;"."),up_dir!AE19/((1/1000)*(up_Irr!E19+up_Irr!AC19+up_Irr!BA19)),IF(AND(up_Irr!E19&lt;&gt;".",up_Irr!AC19&lt;&gt;".",up_Irr!BA19="."),up_dir!AE19/((1/1000)*(up_Irr!E19+up_Irr!AC19)),IF(AND(up_Irr!E19&lt;&gt;".",up_Irr!AC19=".",up_Irr!BA19&lt;&gt;"."),up_dir!AE19/((1/1000)*(up_Irr!E19+up_Irr!BA19)),IF(AND(up_Irr!E19=".",up_Irr!AC19&lt;&gt;".",up_Irr!BA19&lt;&gt;"."),up_dir!AE19/((1/1000)*(up_Irr!AC19+up_Irr!BA19)),IF(AND(up_Irr!E19=".",up_Irr!AC19=".",up_Irr!BA19&lt;&gt;"."),up_dir!AE19/((1/1000)*(up_Irr!BA19)),IF(AND(up_Irr!E19=".",up_Irr!AC19&lt;&gt;".",up_Irr!BA19="."),up_dir!AE19/((1/1000)*(up_Irr!AC19)),IF(AND(up_Irr!E19&lt;&gt;".",up_Irr!AC19=".",up_Irr!BA19="."),up_dir!AE19/((1/1000)*(up_Irr!E19)),IF(AND(up_Irr!E19=".",up_Irr!AC19=".",up_Irr!BA19="."),up_dir!AE19*1000)))))))),".")</f>
        <v>6.5773651144152131E-4</v>
      </c>
      <c r="BE19" s="48">
        <f>IFERROR(IF(AND(up_Irr!F19&lt;&gt;".",up_Irr!AD19&lt;&gt;".",up_Irr!BB19&lt;&gt;"."),up_dir!AF19/((1/1000)*(up_Irr!F19+up_Irr!AD19+up_Irr!BB19)),IF(AND(up_Irr!F19&lt;&gt;".",up_Irr!AD19&lt;&gt;".",up_Irr!BB19="."),up_dir!AF19/((1/1000)*(up_Irr!F19+up_Irr!AD19)),IF(AND(up_Irr!F19&lt;&gt;".",up_Irr!AD19=".",up_Irr!BB19&lt;&gt;"."),up_dir!AF19/((1/1000)*(up_Irr!F19+up_Irr!BB19)),IF(AND(up_Irr!F19=".",up_Irr!AD19&lt;&gt;".",up_Irr!BB19&lt;&gt;"."),up_dir!AF19/((1/1000)*(up_Irr!AD19+up_Irr!BB19)),IF(AND(up_Irr!F19=".",up_Irr!AD19=".",up_Irr!BB19&lt;&gt;"."),up_dir!AF19/((1/1000)*(up_Irr!BB19)),IF(AND(up_Irr!F19=".",up_Irr!AD19&lt;&gt;".",up_Irr!BB19="."),up_dir!AF19/((1/1000)*(up_Irr!AD19)),IF(AND(up_Irr!F19&lt;&gt;".",up_Irr!AD19=".",up_Irr!BB19="."),up_dir!AF19/((1/1000)*(up_Irr!F19)),IF(AND(up_Irr!F19=".",up_Irr!AD19=".",up_Irr!BB19="."),up_dir!AF19*1000)))))))),".")</f>
        <v>6.5773651144152131E-4</v>
      </c>
      <c r="BF19" s="48">
        <f>IFERROR(IF(AND(up_Irr!G19&lt;&gt;".",up_Irr!AE19&lt;&gt;".",up_Irr!BC19&lt;&gt;"."),up_dir!AG19/((1/1000)*(up_Irr!G19+up_Irr!AE19+up_Irr!BC19)),IF(AND(up_Irr!G19&lt;&gt;".",up_Irr!AE19&lt;&gt;".",up_Irr!BC19="."),up_dir!AG19/((1/1000)*(up_Irr!G19+up_Irr!AE19)),IF(AND(up_Irr!G19&lt;&gt;".",up_Irr!AE19=".",up_Irr!BC19&lt;&gt;"."),up_dir!AG19/((1/1000)*(up_Irr!G19+up_Irr!BC19)),IF(AND(up_Irr!G19=".",up_Irr!AE19&lt;&gt;".",up_Irr!BC19&lt;&gt;"."),up_dir!AG19/((1/1000)*(up_Irr!AE19+up_Irr!BC19)),IF(AND(up_Irr!G19=".",up_Irr!AE19=".",up_Irr!BC19&lt;&gt;"."),up_dir!AG19/((1/1000)*(up_Irr!BC19)),IF(AND(up_Irr!G19=".",up_Irr!AE19&lt;&gt;".",up_Irr!BC19="."),up_dir!AG19/((1/1000)*(up_Irr!AE19)),IF(AND(up_Irr!G19&lt;&gt;".",up_Irr!AE19=".",up_Irr!BC19="."),up_dir!AG19/((1/1000)*(up_Irr!G19)),IF(AND(up_Irr!G19=".",up_Irr!AE19=".",up_Irr!BC19="."),up_dir!AG19*1000)))))))),".")</f>
        <v>6.5773651144152131E-4</v>
      </c>
      <c r="BG19" s="48">
        <f>IFERROR(IF(AND(up_Irr!H19&lt;&gt;".",up_Irr!AF19&lt;&gt;".",up_Irr!BD19&lt;&gt;"."),up_dir!AH19/((1/1000)*(up_Irr!H19+up_Irr!AF19+up_Irr!BD19)),IF(AND(up_Irr!H19&lt;&gt;".",up_Irr!AF19&lt;&gt;".",up_Irr!BD19="."),up_dir!AH19/((1/1000)*(up_Irr!H19+up_Irr!AF19)),IF(AND(up_Irr!H19&lt;&gt;".",up_Irr!AF19=".",up_Irr!BD19&lt;&gt;"."),up_dir!AH19/((1/1000)*(up_Irr!H19+up_Irr!BD19)),IF(AND(up_Irr!H19=".",up_Irr!AF19&lt;&gt;".",up_Irr!BD19&lt;&gt;"."),up_dir!AH19/((1/1000)*(up_Irr!AF19+up_Irr!BD19)),IF(AND(up_Irr!H19=".",up_Irr!AF19=".",up_Irr!BD19&lt;&gt;"."),up_dir!AH19/((1/1000)*(up_Irr!BD19)),IF(AND(up_Irr!H19=".",up_Irr!AF19&lt;&gt;".",up_Irr!BD19="."),up_dir!AH19/((1/1000)*(up_Irr!AF19)),IF(AND(up_Irr!H19&lt;&gt;".",up_Irr!AF19=".",up_Irr!BD19="."),up_dir!AH19/((1/1000)*(up_Irr!H19)),IF(AND(up_Irr!H19=".",up_Irr!AF19=".",up_Irr!BD19="."),up_dir!AH19*1000)))))))),".")</f>
        <v>6.5773651144152131E-4</v>
      </c>
      <c r="BH19" s="48">
        <f>IFERROR(IF(AND(up_Irr!I19&lt;&gt;".",up_Irr!AG19&lt;&gt;".",up_Irr!BE19&lt;&gt;"."),up_dir!AI19/((1/1000)*(up_Irr!I19+up_Irr!AG19+up_Irr!BE19)),IF(AND(up_Irr!I19&lt;&gt;".",up_Irr!AG19&lt;&gt;".",up_Irr!BE19="."),up_dir!AI19/((1/1000)*(up_Irr!I19+up_Irr!AG19)),IF(AND(up_Irr!I19&lt;&gt;".",up_Irr!AG19=".",up_Irr!BE19&lt;&gt;"."),up_dir!AI19/((1/1000)*(up_Irr!I19+up_Irr!BE19)),IF(AND(up_Irr!I19=".",up_Irr!AG19&lt;&gt;".",up_Irr!BE19&lt;&gt;"."),up_dir!AI19/((1/1000)*(up_Irr!AG19+up_Irr!BE19)),IF(AND(up_Irr!I19=".",up_Irr!AG19=".",up_Irr!BE19&lt;&gt;"."),up_dir!AI19/((1/1000)*(up_Irr!BE19)),IF(AND(up_Irr!I19=".",up_Irr!AG19&lt;&gt;".",up_Irr!BE19="."),up_dir!AI19/((1/1000)*(up_Irr!AG19)),IF(AND(up_Irr!I19&lt;&gt;".",up_Irr!AG19=".",up_Irr!BE19="."),up_dir!AI19/((1/1000)*(up_Irr!I19)),IF(AND(up_Irr!I19=".",up_Irr!AG19=".",up_Irr!BE19="."),up_dir!AI19*1000)))))))),".")</f>
        <v>6.5773651144152131E-4</v>
      </c>
      <c r="BI19" s="48">
        <f>IFERROR(IF(AND(up_Irr!J19&lt;&gt;".",up_Irr!AH19&lt;&gt;".",up_Irr!BF19&lt;&gt;"."),up_dir!AJ19/((1/1000)*(up_Irr!J19+up_Irr!AH19+up_Irr!BF19)),IF(AND(up_Irr!J19&lt;&gt;".",up_Irr!AH19&lt;&gt;".",up_Irr!BF19="."),up_dir!AJ19/((1/1000)*(up_Irr!J19+up_Irr!AH19)),IF(AND(up_Irr!J19&lt;&gt;".",up_Irr!AH19=".",up_Irr!BF19&lt;&gt;"."),up_dir!AJ19/((1/1000)*(up_Irr!J19+up_Irr!BF19)),IF(AND(up_Irr!J19=".",up_Irr!AH19&lt;&gt;".",up_Irr!BF19&lt;&gt;"."),up_dir!AJ19/((1/1000)*(up_Irr!AH19+up_Irr!BF19)),IF(AND(up_Irr!J19=".",up_Irr!AH19=".",up_Irr!BF19&lt;&gt;"."),up_dir!AJ19/((1/1000)*(up_Irr!BF19)),IF(AND(up_Irr!J19=".",up_Irr!AH19&lt;&gt;".",up_Irr!BF19="."),up_dir!AJ19/((1/1000)*(up_Irr!AH19)),IF(AND(up_Irr!J19&lt;&gt;".",up_Irr!AH19=".",up_Irr!BF19="."),up_dir!AJ19/((1/1000)*(up_Irr!J19)),IF(AND(up_Irr!J19=".",up_Irr!AH19=".",up_Irr!BF19="."),up_dir!AJ19*1000)))))))),".")</f>
        <v>6.5773651144152131E-4</v>
      </c>
      <c r="BJ19" s="48">
        <f>IFERROR(IF(AND(up_Irr!K19&lt;&gt;".",up_Irr!AI19&lt;&gt;".",up_Irr!BG19&lt;&gt;"."),up_dir!AK19/((1/1000)*(up_Irr!K19+up_Irr!AI19+up_Irr!BG19)),IF(AND(up_Irr!K19&lt;&gt;".",up_Irr!AI19&lt;&gt;".",up_Irr!BG19="."),up_dir!AK19/((1/1000)*(up_Irr!K19+up_Irr!AI19)),IF(AND(up_Irr!K19&lt;&gt;".",up_Irr!AI19=".",up_Irr!BG19&lt;&gt;"."),up_dir!AK19/((1/1000)*(up_Irr!K19+up_Irr!BG19)),IF(AND(up_Irr!K19=".",up_Irr!AI19&lt;&gt;".",up_Irr!BG19&lt;&gt;"."),up_dir!AK19/((1/1000)*(up_Irr!AI19+up_Irr!BG19)),IF(AND(up_Irr!K19=".",up_Irr!AI19=".",up_Irr!BG19&lt;&gt;"."),up_dir!AK19/((1/1000)*(up_Irr!BG19)),IF(AND(up_Irr!K19=".",up_Irr!AI19&lt;&gt;".",up_Irr!BG19="."),up_dir!AK19/((1/1000)*(up_Irr!AI19)),IF(AND(up_Irr!K19&lt;&gt;".",up_Irr!AI19=".",up_Irr!BG19="."),up_dir!AK19/((1/1000)*(up_Irr!K19)),IF(AND(up_Irr!K19=".",up_Irr!AI19=".",up_Irr!BG19="."),up_dir!AK19*1000)))))))),".")</f>
        <v>6.5773651144152131E-4</v>
      </c>
      <c r="BK19" s="48">
        <f>IFERROR(IF(AND(up_Irr!L19&lt;&gt;".",up_Irr!AJ19&lt;&gt;".",up_Irr!BH19&lt;&gt;"."),up_dir!AL19/((1/1000)*(up_Irr!L19+up_Irr!AJ19+up_Irr!BH19)),IF(AND(up_Irr!L19&lt;&gt;".",up_Irr!AJ19&lt;&gt;".",up_Irr!BH19="."),up_dir!AL19/((1/1000)*(up_Irr!L19+up_Irr!AJ19)),IF(AND(up_Irr!L19&lt;&gt;".",up_Irr!AJ19=".",up_Irr!BH19&lt;&gt;"."),up_dir!AL19/((1/1000)*(up_Irr!L19+up_Irr!BH19)),IF(AND(up_Irr!L19=".",up_Irr!AJ19&lt;&gt;".",up_Irr!BH19&lt;&gt;"."),up_dir!AL19/((1/1000)*(up_Irr!AJ19+up_Irr!BH19)),IF(AND(up_Irr!L19=".",up_Irr!AJ19=".",up_Irr!BH19&lt;&gt;"."),up_dir!AL19/((1/1000)*(up_Irr!BH19)),IF(AND(up_Irr!L19=".",up_Irr!AJ19&lt;&gt;".",up_Irr!BH19="."),up_dir!AL19/((1/1000)*(up_Irr!AJ19)),IF(AND(up_Irr!L19&lt;&gt;".",up_Irr!AJ19=".",up_Irr!BH19="."),up_dir!AL19/((1/1000)*(up_Irr!L19)),IF(AND(up_Irr!L19=".",up_Irr!AJ19=".",up_Irr!BH19="."),up_dir!AL19*1000)))))))),".")</f>
        <v>6.5773651144152131E-4</v>
      </c>
      <c r="BL19" s="48">
        <f>IFERROR(IF(AND(up_Irr!M19&lt;&gt;".",up_Irr!AK19&lt;&gt;".",up_Irr!BI19&lt;&gt;"."),up_dir!AM19/((1/1000)*(up_Irr!M19+up_Irr!AK19+up_Irr!BI19)),IF(AND(up_Irr!M19&lt;&gt;".",up_Irr!AK19&lt;&gt;".",up_Irr!BI19="."),up_dir!AM19/((1/1000)*(up_Irr!M19+up_Irr!AK19)),IF(AND(up_Irr!M19&lt;&gt;".",up_Irr!AK19=".",up_Irr!BI19&lt;&gt;"."),up_dir!AM19/((1/1000)*(up_Irr!M19+up_Irr!BI19)),IF(AND(up_Irr!M19=".",up_Irr!AK19&lt;&gt;".",up_Irr!BI19&lt;&gt;"."),up_dir!AM19/((1/1000)*(up_Irr!AK19+up_Irr!BI19)),IF(AND(up_Irr!M19=".",up_Irr!AK19=".",up_Irr!BI19&lt;&gt;"."),up_dir!AM19/((1/1000)*(up_Irr!BI19)),IF(AND(up_Irr!M19=".",up_Irr!AK19&lt;&gt;".",up_Irr!BI19="."),up_dir!AM19/((1/1000)*(up_Irr!AK19)),IF(AND(up_Irr!M19&lt;&gt;".",up_Irr!AK19=".",up_Irr!BI19="."),up_dir!AM19/((1/1000)*(up_Irr!M19)),IF(AND(up_Irr!M19=".",up_Irr!AK19=".",up_Irr!BI19="."),up_dir!AM19*1000)))))))),".")</f>
        <v>6.5773651144152131E-4</v>
      </c>
      <c r="BM19" s="48">
        <f>IFERROR(IF(AND(up_Irr!N19&lt;&gt;".",up_Irr!AL19&lt;&gt;".",up_Irr!BJ19&lt;&gt;"."),up_dir!AN19/((1/1000)*(up_Irr!N19+up_Irr!AL19+up_Irr!BJ19)),IF(AND(up_Irr!N19&lt;&gt;".",up_Irr!AL19&lt;&gt;".",up_Irr!BJ19="."),up_dir!AN19/((1/1000)*(up_Irr!N19+up_Irr!AL19)),IF(AND(up_Irr!N19&lt;&gt;".",up_Irr!AL19=".",up_Irr!BJ19&lt;&gt;"."),up_dir!AN19/((1/1000)*(up_Irr!N19+up_Irr!BJ19)),IF(AND(up_Irr!N19=".",up_Irr!AL19&lt;&gt;".",up_Irr!BJ19&lt;&gt;"."),up_dir!AN19/((1/1000)*(up_Irr!AL19+up_Irr!BJ19)),IF(AND(up_Irr!N19=".",up_Irr!AL19=".",up_Irr!BJ19&lt;&gt;"."),up_dir!AN19/((1/1000)*(up_Irr!BJ19)),IF(AND(up_Irr!N19=".",up_Irr!AL19&lt;&gt;".",up_Irr!BJ19="."),up_dir!AN19/((1/1000)*(up_Irr!AL19)),IF(AND(up_Irr!N19&lt;&gt;".",up_Irr!AL19=".",up_Irr!BJ19="."),up_dir!AN19/((1/1000)*(up_Irr!N19)),IF(AND(up_Irr!N19=".",up_Irr!AL19=".",up_Irr!BJ19="."),up_dir!AN19*1000)))))))),".")</f>
        <v>6.5773651144152131E-4</v>
      </c>
      <c r="BN19" s="48">
        <f>IFERROR(IF(AND(up_Irr!O19&lt;&gt;".",up_Irr!AM19&lt;&gt;".",up_Irr!BK19&lt;&gt;"."),up_dir!AO19/((1/1000)*(up_Irr!O19+up_Irr!AM19+up_Irr!BK19)),IF(AND(up_Irr!O19&lt;&gt;".",up_Irr!AM19&lt;&gt;".",up_Irr!BK19="."),up_dir!AO19/((1/1000)*(up_Irr!O19+up_Irr!AM19)),IF(AND(up_Irr!O19&lt;&gt;".",up_Irr!AM19=".",up_Irr!BK19&lt;&gt;"."),up_dir!AO19/((1/1000)*(up_Irr!O19+up_Irr!BK19)),IF(AND(up_Irr!O19=".",up_Irr!AM19&lt;&gt;".",up_Irr!BK19&lt;&gt;"."),up_dir!AO19/((1/1000)*(up_Irr!AM19+up_Irr!BK19)),IF(AND(up_Irr!O19=".",up_Irr!AM19=".",up_Irr!BK19&lt;&gt;"."),up_dir!AO19/((1/1000)*(up_Irr!BK19)),IF(AND(up_Irr!O19=".",up_Irr!AM19&lt;&gt;".",up_Irr!BK19="."),up_dir!AO19/((1/1000)*(up_Irr!AM19)),IF(AND(up_Irr!O19&lt;&gt;".",up_Irr!AM19=".",up_Irr!BK19="."),up_dir!AO19/((1/1000)*(up_Irr!O19)),IF(AND(up_Irr!O19=".",up_Irr!AM19=".",up_Irr!BK19="."),up_dir!AO19*1000)))))))),".")</f>
        <v>6.5773651144152131E-4</v>
      </c>
      <c r="BO19" s="48">
        <f>IFERROR(IF(AND(up_Irr!P19&lt;&gt;".",up_Irr!AN19&lt;&gt;".",up_Irr!BL19&lt;&gt;"."),up_dir!AP19/((1/1000)*(up_Irr!P19+up_Irr!AN19+up_Irr!BL19)),IF(AND(up_Irr!P19&lt;&gt;".",up_Irr!AN19&lt;&gt;".",up_Irr!BL19="."),up_dir!AP19/((1/1000)*(up_Irr!P19+up_Irr!AN19)),IF(AND(up_Irr!P19&lt;&gt;".",up_Irr!AN19=".",up_Irr!BL19&lt;&gt;"."),up_dir!AP19/((1/1000)*(up_Irr!P19+up_Irr!BL19)),IF(AND(up_Irr!P19=".",up_Irr!AN19&lt;&gt;".",up_Irr!BL19&lt;&gt;"."),up_dir!AP19/((1/1000)*(up_Irr!AN19+up_Irr!BL19)),IF(AND(up_Irr!P19=".",up_Irr!AN19=".",up_Irr!BL19&lt;&gt;"."),up_dir!AP19/((1/1000)*(up_Irr!BL19)),IF(AND(up_Irr!P19=".",up_Irr!AN19&lt;&gt;".",up_Irr!BL19="."),up_dir!AP19/((1/1000)*(up_Irr!AN19)),IF(AND(up_Irr!P19&lt;&gt;".",up_Irr!AN19=".",up_Irr!BL19="."),up_dir!AP19/((1/1000)*(up_Irr!P19)),IF(AND(up_Irr!P19=".",up_Irr!AN19=".",up_Irr!BL19="."),up_dir!AP19*1000)))))))),".")</f>
        <v>6.5773651144152131E-4</v>
      </c>
      <c r="BP19" s="48">
        <f>IFERROR(IF(AND(up_Irr!Q19&lt;&gt;".",up_Irr!AO19&lt;&gt;".",up_Irr!BM19&lt;&gt;"."),up_dir!AQ19/((1/1000)*(up_Irr!Q19+up_Irr!AO19+up_Irr!BM19)),IF(AND(up_Irr!Q19&lt;&gt;".",up_Irr!AO19&lt;&gt;".",up_Irr!BM19="."),up_dir!AQ19/((1/1000)*(up_Irr!Q19+up_Irr!AO19)),IF(AND(up_Irr!Q19&lt;&gt;".",up_Irr!AO19=".",up_Irr!BM19&lt;&gt;"."),up_dir!AQ19/((1/1000)*(up_Irr!Q19+up_Irr!BM19)),IF(AND(up_Irr!Q19=".",up_Irr!AO19&lt;&gt;".",up_Irr!BM19&lt;&gt;"."),up_dir!AQ19/((1/1000)*(up_Irr!AO19+up_Irr!BM19)),IF(AND(up_Irr!Q19=".",up_Irr!AO19=".",up_Irr!BM19&lt;&gt;"."),up_dir!AQ19/((1/1000)*(up_Irr!BM19)),IF(AND(up_Irr!Q19=".",up_Irr!AO19&lt;&gt;".",up_Irr!BM19="."),up_dir!AQ19/((1/1000)*(up_Irr!AO19)),IF(AND(up_Irr!Q19&lt;&gt;".",up_Irr!AO19=".",up_Irr!BM19="."),up_dir!AQ19/((1/1000)*(up_Irr!Q19)),IF(AND(up_Irr!Q19=".",up_Irr!AO19=".",up_Irr!BM19="."),up_dir!AQ19*1000)))))))),".")</f>
        <v>6.5773651144152131E-4</v>
      </c>
      <c r="BQ19" s="48">
        <f>IFERROR(IF(AND(up_Irr!R19&lt;&gt;".",up_Irr!AP19&lt;&gt;".",up_Irr!BN19&lt;&gt;"."),up_dir!AR19/((1/1000)*(up_Irr!R19+up_Irr!AP19+up_Irr!BN19)),IF(AND(up_Irr!R19&lt;&gt;".",up_Irr!AP19&lt;&gt;".",up_Irr!BN19="."),up_dir!AR19/((1/1000)*(up_Irr!R19+up_Irr!AP19)),IF(AND(up_Irr!R19&lt;&gt;".",up_Irr!AP19=".",up_Irr!BN19&lt;&gt;"."),up_dir!AR19/((1/1000)*(up_Irr!R19+up_Irr!BN19)),IF(AND(up_Irr!R19=".",up_Irr!AP19&lt;&gt;".",up_Irr!BN19&lt;&gt;"."),up_dir!AR19/((1/1000)*(up_Irr!AP19+up_Irr!BN19)),IF(AND(up_Irr!R19=".",up_Irr!AP19=".",up_Irr!BN19&lt;&gt;"."),up_dir!AR19/((1/1000)*(up_Irr!BN19)),IF(AND(up_Irr!R19=".",up_Irr!AP19&lt;&gt;".",up_Irr!BN19="."),up_dir!AR19/((1/1000)*(up_Irr!AP19)),IF(AND(up_Irr!R19&lt;&gt;".",up_Irr!AP19=".",up_Irr!BN19="."),up_dir!AR19/((1/1000)*(up_Irr!R19)),IF(AND(up_Irr!R19=".",up_Irr!AP19=".",up_Irr!BN19="."),up_dir!AR19*1000)))))))),".")</f>
        <v>6.5773651144152131E-4</v>
      </c>
      <c r="BR19" s="48">
        <f>IFERROR(IF(AND(up_Irr!S19&lt;&gt;".",up_Irr!AQ19&lt;&gt;".",up_Irr!BO19&lt;&gt;"."),up_dir!AS19/((1/1000)*(up_Irr!S19+up_Irr!AQ19+up_Irr!BO19)),IF(AND(up_Irr!S19&lt;&gt;".",up_Irr!AQ19&lt;&gt;".",up_Irr!BO19="."),up_dir!AS19/((1/1000)*(up_Irr!S19+up_Irr!AQ19)),IF(AND(up_Irr!S19&lt;&gt;".",up_Irr!AQ19=".",up_Irr!BO19&lt;&gt;"."),up_dir!AS19/((1/1000)*(up_Irr!S19+up_Irr!BO19)),IF(AND(up_Irr!S19=".",up_Irr!AQ19&lt;&gt;".",up_Irr!BO19&lt;&gt;"."),up_dir!AS19/((1/1000)*(up_Irr!AQ19+up_Irr!BO19)),IF(AND(up_Irr!S19=".",up_Irr!AQ19=".",up_Irr!BO19&lt;&gt;"."),up_dir!AS19/((1/1000)*(up_Irr!BO19)),IF(AND(up_Irr!S19=".",up_Irr!AQ19&lt;&gt;".",up_Irr!BO19="."),up_dir!AS19/((1/1000)*(up_Irr!AQ19)),IF(AND(up_Irr!S19&lt;&gt;".",up_Irr!AQ19=".",up_Irr!BO19="."),up_dir!AS19/((1/1000)*(up_Irr!S19)),IF(AND(up_Irr!S19=".",up_Irr!AQ19=".",up_Irr!BO19="."),up_dir!AS19*1000)))))))),".")</f>
        <v>6.5773651144152131E-4</v>
      </c>
      <c r="BS19" s="48">
        <f>IFERROR(IF(AND(up_Irr!T19&lt;&gt;".",up_Irr!AR19&lt;&gt;".",up_Irr!BP19&lt;&gt;"."),up_dir!AT19/((1/1000)*(up_Irr!T19+up_Irr!AR19+up_Irr!BP19)),IF(AND(up_Irr!T19&lt;&gt;".",up_Irr!AR19&lt;&gt;".",up_Irr!BP19="."),up_dir!AT19/((1/1000)*(up_Irr!T19+up_Irr!AR19)),IF(AND(up_Irr!T19&lt;&gt;".",up_Irr!AR19=".",up_Irr!BP19&lt;&gt;"."),up_dir!AT19/((1/1000)*(up_Irr!T19+up_Irr!BP19)),IF(AND(up_Irr!T19=".",up_Irr!AR19&lt;&gt;".",up_Irr!BP19&lt;&gt;"."),up_dir!AT19/((1/1000)*(up_Irr!AR19+up_Irr!BP19)),IF(AND(up_Irr!T19=".",up_Irr!AR19=".",up_Irr!BP19&lt;&gt;"."),up_dir!AT19/((1/1000)*(up_Irr!BP19)),IF(AND(up_Irr!T19=".",up_Irr!AR19&lt;&gt;".",up_Irr!BP19="."),up_dir!AT19/((1/1000)*(up_Irr!AR19)),IF(AND(up_Irr!T19&lt;&gt;".",up_Irr!AR19=".",up_Irr!BP19="."),up_dir!AT19/((1/1000)*(up_Irr!T19)),IF(AND(up_Irr!T19=".",up_Irr!AR19=".",up_Irr!BP19="."),up_dir!AT19*1000)))))))),".")</f>
        <v>6.5773651144152131E-4</v>
      </c>
      <c r="BT19" s="48">
        <f>IFERROR(IF(AND(up_Irr!U19&lt;&gt;".",up_Irr!AS19&lt;&gt;".",up_Irr!BQ19&lt;&gt;"."),up_dir!AU19/((1/1000)*(up_Irr!U19+up_Irr!AS19+up_Irr!BQ19)),IF(AND(up_Irr!U19&lt;&gt;".",up_Irr!AS19&lt;&gt;".",up_Irr!BQ19="."),up_dir!AU19/((1/1000)*(up_Irr!U19+up_Irr!AS19)),IF(AND(up_Irr!U19&lt;&gt;".",up_Irr!AS19=".",up_Irr!BQ19&lt;&gt;"."),up_dir!AU19/((1/1000)*(up_Irr!U19+up_Irr!BQ19)),IF(AND(up_Irr!U19=".",up_Irr!AS19&lt;&gt;".",up_Irr!BQ19&lt;&gt;"."),up_dir!AU19/((1/1000)*(up_Irr!AS19+up_Irr!BQ19)),IF(AND(up_Irr!U19=".",up_Irr!AS19=".",up_Irr!BQ19&lt;&gt;"."),up_dir!AU19/((1/1000)*(up_Irr!BQ19)),IF(AND(up_Irr!U19=".",up_Irr!AS19&lt;&gt;".",up_Irr!BQ19="."),up_dir!AU19/((1/1000)*(up_Irr!AS19)),IF(AND(up_Irr!U19&lt;&gt;".",up_Irr!AS19=".",up_Irr!BQ19="."),up_dir!AU19/((1/1000)*(up_Irr!U19)),IF(AND(up_Irr!U19=".",up_Irr!AS19=".",up_Irr!BQ19="."),up_dir!AU19*1000)))))))),".")</f>
        <v>6.5773651144152131E-4</v>
      </c>
      <c r="BU19" s="48">
        <f>IFERROR(IF(AND(up_Irr!V19&lt;&gt;".",up_Irr!AT19&lt;&gt;".",up_Irr!BR19&lt;&gt;"."),up_dir!AV19/((1/1000)*(up_Irr!V19+up_Irr!AT19+up_Irr!BR19)),IF(AND(up_Irr!V19&lt;&gt;".",up_Irr!AT19&lt;&gt;".",up_Irr!BR19="."),up_dir!AV19/((1/1000)*(up_Irr!V19+up_Irr!AT19)),IF(AND(up_Irr!V19&lt;&gt;".",up_Irr!AT19=".",up_Irr!BR19&lt;&gt;"."),up_dir!AV19/((1/1000)*(up_Irr!V19+up_Irr!BR19)),IF(AND(up_Irr!V19=".",up_Irr!AT19&lt;&gt;".",up_Irr!BR19&lt;&gt;"."),up_dir!AV19/((1/1000)*(up_Irr!AT19+up_Irr!BR19)),IF(AND(up_Irr!V19=".",up_Irr!AT19=".",up_Irr!BR19&lt;&gt;"."),up_dir!AV19/((1/1000)*(up_Irr!BR19)),IF(AND(up_Irr!V19=".",up_Irr!AT19&lt;&gt;".",up_Irr!BR19="."),up_dir!AV19/((1/1000)*(up_Irr!AT19)),IF(AND(up_Irr!V19&lt;&gt;".",up_Irr!AT19=".",up_Irr!BR19="."),up_dir!AV19/((1/1000)*(up_Irr!V19)),IF(AND(up_Irr!V19=".",up_Irr!AT19=".",up_Irr!BR19="."),up_dir!AV19*1000)))))))),".")</f>
        <v>6.5773651144152131E-4</v>
      </c>
      <c r="BV19" s="48">
        <f>IFERROR(IF(AND(up_Irr!W19&lt;&gt;".",up_Irr!AU19&lt;&gt;".",up_Irr!BS19&lt;&gt;"."),up_dir!AW19/((1/1000)*(up_Irr!W19+up_Irr!AU19+up_Irr!BS19)),IF(AND(up_Irr!W19&lt;&gt;".",up_Irr!AU19&lt;&gt;".",up_Irr!BS19="."),up_dir!AW19/((1/1000)*(up_Irr!W19+up_Irr!AU19)),IF(AND(up_Irr!W19&lt;&gt;".",up_Irr!AU19=".",up_Irr!BS19&lt;&gt;"."),up_dir!AW19/((1/1000)*(up_Irr!W19+up_Irr!BS19)),IF(AND(up_Irr!W19=".",up_Irr!AU19&lt;&gt;".",up_Irr!BS19&lt;&gt;"."),up_dir!AW19/((1/1000)*(up_Irr!AU19+up_Irr!BS19)),IF(AND(up_Irr!W19=".",up_Irr!AU19=".",up_Irr!BS19&lt;&gt;"."),up_dir!AW19/((1/1000)*(up_Irr!BS19)),IF(AND(up_Irr!W19=".",up_Irr!AU19&lt;&gt;".",up_Irr!BS19="."),up_dir!AW19/((1/1000)*(up_Irr!AU19)),IF(AND(up_Irr!W19&lt;&gt;".",up_Irr!AU19=".",up_Irr!BS19="."),up_dir!AW19/((1/1000)*(up_Irr!W19)),IF(AND(up_Irr!W19=".",up_Irr!AU19=".",up_Irr!BS19="."),up_dir!AW19*1000)))))))),".")</f>
        <v>6.5773651144152131E-4</v>
      </c>
      <c r="BW19" s="48">
        <f>IFERROR(IF(AND(up_Irr!X19&lt;&gt;".",up_Irr!AV19&lt;&gt;".",up_Irr!BT19&lt;&gt;"."),up_dir!AX19/((1/1000)*(up_Irr!X19+up_Irr!AV19+up_Irr!BT19)),IF(AND(up_Irr!X19&lt;&gt;".",up_Irr!AV19&lt;&gt;".",up_Irr!BT19="."),up_dir!AX19/((1/1000)*(up_Irr!X19+up_Irr!AV19)),IF(AND(up_Irr!X19&lt;&gt;".",up_Irr!AV19=".",up_Irr!BT19&lt;&gt;"."),up_dir!AX19/((1/1000)*(up_Irr!X19+up_Irr!BT19)),IF(AND(up_Irr!X19=".",up_Irr!AV19&lt;&gt;".",up_Irr!BT19&lt;&gt;"."),up_dir!AX19/((1/1000)*(up_Irr!AV19+up_Irr!BT19)),IF(AND(up_Irr!X19=".",up_Irr!AV19=".",up_Irr!BT19&lt;&gt;"."),up_dir!AX19/((1/1000)*(up_Irr!BT19)),IF(AND(up_Irr!X19=".",up_Irr!AV19&lt;&gt;".",up_Irr!BT19="."),up_dir!AX19/((1/1000)*(up_Irr!AV19)),IF(AND(up_Irr!X19&lt;&gt;".",up_Irr!AV19=".",up_Irr!BT19="."),up_dir!AX19/((1/1000)*(up_Irr!X19)),IF(AND(up_Irr!X19=".",up_Irr!AV19=".",up_Irr!BT19="."),up_dir!AX19*1000)))))))),".")</f>
        <v>6.5773651144152131E-4</v>
      </c>
      <c r="BX19" s="48">
        <f>IFERROR(IF(AND(up_Irr!Y19&lt;&gt;".",up_Irr!AW19&lt;&gt;".",up_Irr!BU19&lt;&gt;"."),up_dir!AY19/((1/1000)*(up_Irr!Y19+up_Irr!AW19+up_Irr!BU19)),IF(AND(up_Irr!Y19&lt;&gt;".",up_Irr!AW19&lt;&gt;".",up_Irr!BU19="."),up_dir!AY19/((1/1000)*(up_Irr!Y19+up_Irr!AW19)),IF(AND(up_Irr!Y19&lt;&gt;".",up_Irr!AW19=".",up_Irr!BU19&lt;&gt;"."),up_dir!AY19/((1/1000)*(up_Irr!Y19+up_Irr!BU19)),IF(AND(up_Irr!Y19=".",up_Irr!AW19&lt;&gt;".",up_Irr!BU19&lt;&gt;"."),up_dir!AY19/((1/1000)*(up_Irr!AW19+up_Irr!BU19)),IF(AND(up_Irr!Y19=".",up_Irr!AW19=".",up_Irr!BU19&lt;&gt;"."),up_dir!AY19/((1/1000)*(up_Irr!BU19)),IF(AND(up_Irr!Y19=".",up_Irr!AW19&lt;&gt;".",up_Irr!BU19="."),up_dir!AY19/((1/1000)*(up_Irr!AW19)),IF(AND(up_Irr!Y19&lt;&gt;".",up_Irr!AW19=".",up_Irr!BU19="."),up_dir!AY19/((1/1000)*(up_Irr!Y19)),IF(AND(up_Irr!Y19=".",up_Irr!AW19=".",up_Irr!BU19="."),up_dir!AY19*1000)))))))),".")</f>
        <v>6.5773651144152131E-4</v>
      </c>
      <c r="BY19" s="48">
        <f>IFERROR(IF(AND(up_Irr!Z19&lt;&gt;".",up_Irr!AX19&lt;&gt;".",up_Irr!BV19&lt;&gt;"."),up_dir!AZ19/((1/1000)*(up_Irr!Z19+up_Irr!AX19+up_Irr!BV19)),IF(AND(up_Irr!Z19&lt;&gt;".",up_Irr!AX19&lt;&gt;".",up_Irr!BV19="."),up_dir!AZ19/((1/1000)*(up_Irr!Z19+up_Irr!AX19)),IF(AND(up_Irr!Z19&lt;&gt;".",up_Irr!AX19=".",up_Irr!BV19&lt;&gt;"."),up_dir!AZ19/((1/1000)*(up_Irr!Z19+up_Irr!BV19)),IF(AND(up_Irr!Z19=".",up_Irr!AX19&lt;&gt;".",up_Irr!BV19&lt;&gt;"."),up_dir!AZ19/((1/1000)*(up_Irr!AX19+up_Irr!BV19)),IF(AND(up_Irr!Z19=".",up_Irr!AX19=".",up_Irr!BV19&lt;&gt;"."),up_dir!AZ19/((1/1000)*(up_Irr!BV19)),IF(AND(up_Irr!Z19=".",up_Irr!AX19&lt;&gt;".",up_Irr!BV19="."),up_dir!AZ19/((1/1000)*(up_Irr!AX19)),IF(AND(up_Irr!Z19&lt;&gt;".",up_Irr!AX19=".",up_Irr!BV19="."),up_dir!AZ19/((1/1000)*(up_Irr!Z19)),IF(AND(up_Irr!Z19=".",up_Irr!AX19=".",up_Irr!BV19="."),up_dir!AZ19*1000)))))))),".")</f>
        <v>6.5773651144152131E-4</v>
      </c>
      <c r="BZ19" s="62">
        <f t="shared" si="3"/>
        <v>22805.4847785862</v>
      </c>
      <c r="CA19" s="62">
        <f>IFERROR(s_C*s_IFAP_far_adj*s_CF_apple*(1/1000)*(up_Irr!C19+up_Irr!AA19+up_Irr!AY19),".")</f>
        <v>7601.8282595287337</v>
      </c>
      <c r="CB19" s="62">
        <f>IFERROR(s_C*s_IFAS_far_adj*s_CF_asparagus*(1/1000)*(up_Irr!D19+up_Irr!AB19+up_Irr!AZ19),".")</f>
        <v>7601.8282595287337</v>
      </c>
      <c r="CC19" s="62">
        <f>IFERROR(s_C*s_IFBT_far_adj*s_CF_beet*(1/1000)*(up_Irr!E19+up_Irr!AC19+up_Irr!BA19),".")</f>
        <v>7601.8282595287337</v>
      </c>
      <c r="CD19" s="62">
        <f>IFERROR(s_C*s_IFBE_far_adj*s_CF_berries*(1/1000)*(up_Irr!F19+up_Irr!AD19+up_Irr!BB19),".")</f>
        <v>7601.8282595287337</v>
      </c>
      <c r="CE19" s="62">
        <f>IFERROR(s_C*s_IFBR_far_adj*s_CF_broccoli*(1/1000)*(up_Irr!G19+up_Irr!AE19+up_Irr!BC19),".")</f>
        <v>7601.8282595287337</v>
      </c>
      <c r="CF19" s="62">
        <f>IFERROR(s_C*s_IFCB_far_adj*s_CF_cabbage*(1/1000)*(up_Irr!H19+up_Irr!AF19+up_Irr!BD19),".")</f>
        <v>7601.8282595287337</v>
      </c>
      <c r="CG19" s="62">
        <f>IFERROR(s_C*s_IFCR_far_adj*s_CF_carrot*(1/1000)*(up_Irr!I19+up_Irr!AG19+up_Irr!BE19),".")</f>
        <v>7601.8282595287337</v>
      </c>
      <c r="CH19" s="62">
        <f>IFERROR(s_C*s_IFCI_far_adj*s_CF_citrus*(1/1000)*(up_Irr!J19+up_Irr!AH19+up_Irr!BF19),".")</f>
        <v>7601.8282595287337</v>
      </c>
      <c r="CI19" s="62">
        <f>IFERROR(s_C*s_IFCO_far_adj*s_CF_corn*(1/1000)*(up_Irr!K19+up_Irr!AI19+up_Irr!BG19),".")</f>
        <v>7601.8282595287337</v>
      </c>
      <c r="CJ19" s="62">
        <f>IFERROR(s_C*s_IFCU_far_adj*s_CF_cucumber*(1/1000)*(up_Irr!L19+up_Irr!AJ19+up_Irr!BH19),".")</f>
        <v>7601.8282595287337</v>
      </c>
      <c r="CK19" s="62">
        <f>IFERROR(s_C*s_IFLE_far_adj*s_CF_lettuce*(1/1000)*(up_Irr!M19+up_Irr!AK19+up_Irr!BI19),".")</f>
        <v>7601.8282595287337</v>
      </c>
      <c r="CL19" s="62">
        <f>IFERROR(s_C*s_IFLI_far_adj*s_CF_lima_bean*(1/1000)*(up_Irr!N19+up_Irr!AL19+up_Irr!BJ19),".")</f>
        <v>7601.8282595287337</v>
      </c>
      <c r="CM19" s="62">
        <f>IFERROR(s_C*s_IFOK_far_adj*s_CF_okra*(1/1000)*(up_Irr!O19+up_Irr!AM19+up_Irr!BK19),".")</f>
        <v>7601.8282595287337</v>
      </c>
      <c r="CN19" s="62">
        <f>IFERROR(s_C*s_IFON_far_adj*s_CF_onion*(1/1000)*(up_Irr!P19+up_Irr!AN19+up_Irr!BL19),".")</f>
        <v>7601.8282595287337</v>
      </c>
      <c r="CO19" s="62">
        <f>IFERROR(s_C*s_IFPC_far_adj*s_CF_peach*(1/1000)*(up_Irr!Q19+up_Irr!AO19+up_Irr!BM19),".")</f>
        <v>7601.8282595287337</v>
      </c>
      <c r="CP19" s="62">
        <f>IFERROR(s_C*s_IFPR_far_adj*s_CF_pear*(1/1000)*(up_Irr!R19+up_Irr!AP19+up_Irr!BN19),".")</f>
        <v>7601.8282595287337</v>
      </c>
      <c r="CQ19" s="62">
        <f>IFERROR(s_C*s_IFPE_far_adj*s_CF_peas*(1/1000)*(up_Irr!S19+up_Irr!AQ19+up_Irr!BO19),".")</f>
        <v>7601.8282595287337</v>
      </c>
      <c r="CR19" s="62">
        <f>IFERROR(s_C*s_IFPT_far_adj*s_CF_potato*(1/1000)*(up_Irr!T19+up_Irr!AR19+up_Irr!BP19),".")</f>
        <v>7601.8282595287337</v>
      </c>
      <c r="CS19" s="62">
        <f>IFERROR(s_C*s_IFPU_far_adj*s_CF_pumpkin*(1/1000)*(up_Irr!U19+up_Irr!AS19+up_Irr!BQ19),".")</f>
        <v>7601.8282595287337</v>
      </c>
      <c r="CT19" s="62">
        <f>IFERROR(s_C*s_IFSN_far_adj*s_CF_snap_bean*(1/1000)*(up_Irr!V19+up_Irr!AT19+up_Irr!BR19),".")</f>
        <v>7601.8282595287337</v>
      </c>
      <c r="CU19" s="62">
        <f>IFERROR(s_C*s_IFST_far_adj*s_CF_strawberry*(1/1000)*(up_Irr!W19+up_Irr!AU19+up_Irr!BS19),".")</f>
        <v>7601.8282595287337</v>
      </c>
      <c r="CV19" s="62">
        <f>IFERROR(s_C*s_IFTO_far_adj*s_CF_tomato*(1/1000)*(up_Irr!X19+up_Irr!AV19+up_Irr!BT19),".")</f>
        <v>7601.8282595287337</v>
      </c>
      <c r="CW19" s="62">
        <f>IFERROR(s_C*s_IFRI_far_adj*s_CF_rice*(1/1000)*(up_Irr!Y19+up_Irr!AW19+up_Irr!BU19),".")</f>
        <v>7601.8282595287337</v>
      </c>
      <c r="CX19" s="62">
        <f>IFERROR(s_C*s_IFCG_far_adj*s_CF_cereal*(1/1000)*(up_Irr!Z19+up_Irr!AX19+up_Irr!BV19),".")</f>
        <v>7601.8282595287337</v>
      </c>
    </row>
    <row r="20" spans="1:102" ht="15" customHeight="1" x14ac:dyDescent="0.25">
      <c r="A20" s="61" t="s">
        <v>18</v>
      </c>
      <c r="B20" s="49" t="s">
        <v>1059</v>
      </c>
      <c r="C20" s="48">
        <f t="shared" si="0"/>
        <v>2.1924550381384044E-4</v>
      </c>
      <c r="D20" s="48">
        <f>IFERROR(IF(AND(up_Irr!C20&lt;&gt;".",up_Irr!AA20&lt;&gt;".",up_Irr!AY20&lt;&gt;"."),up_dir!D20/((1/1000)*(up_Irr!C20+up_Irr!AA20+up_Irr!AY20)),IF(AND(up_Irr!C20&lt;&gt;".",up_Irr!AA20&lt;&gt;".",up_Irr!AY20="."),up_dir!D20/((1/1000)*(up_Irr!C20+up_Irr!AA20)),IF(AND(up_Irr!C20&lt;&gt;".",up_Irr!AA20=".",up_Irr!AY20&lt;&gt;"."),up_dir!D20/((1/1000)*(up_Irr!C20+up_Irr!AY20)),IF(AND(up_Irr!C20=".",up_Irr!AA20&lt;&gt;".",up_Irr!AY20&lt;&gt;"."),up_dir!D20/((1/1000)*(up_Irr!AA20+up_Irr!AY20)),IF(AND(up_Irr!C20=".",up_Irr!AA20=".",up_Irr!AY20&lt;&gt;"."),up_dir!D20/((1/1000)*(up_Irr!AY20)),IF(AND(up_Irr!C20=".",up_Irr!AA20&lt;&gt;".",up_Irr!AY20="."),up_dir!D20/((1/1000)*(up_Irr!AA20)),IF(AND(up_Irr!C20&lt;&gt;".",up_Irr!AA20=".",up_Irr!AY20="."),up_dir!D20/((1/1000)*(up_Irr!C20)),IF(AND(up_Irr!C20=".",up_Irr!AA20=".",up_Irr!AY20="."),up_dir!D20*1000)))))))),".")</f>
        <v>6.5773651144152131E-4</v>
      </c>
      <c r="E20" s="48">
        <f>IFERROR(IF(AND(up_Irr!D20&lt;&gt;".",up_Irr!AB20&lt;&gt;".",up_Irr!AZ20&lt;&gt;"."),up_dir!E20/((1/1000)*(up_Irr!D20+up_Irr!AB20+up_Irr!AZ20)),IF(AND(up_Irr!D20&lt;&gt;".",up_Irr!AB20&lt;&gt;".",up_Irr!AZ20="."),up_dir!E20/((1/1000)*(up_Irr!D20+up_Irr!AB20)),IF(AND(up_Irr!D20&lt;&gt;".",up_Irr!AB20=".",up_Irr!AZ20&lt;&gt;"."),up_dir!E20/((1/1000)*(up_Irr!D20+up_Irr!AZ20)),IF(AND(up_Irr!D20=".",up_Irr!AB20&lt;&gt;".",up_Irr!AZ20&lt;&gt;"."),up_dir!E20/((1/1000)*(up_Irr!AB20+up_Irr!AZ20)),IF(AND(up_Irr!D20=".",up_Irr!AB20=".",up_Irr!AZ20&lt;&gt;"."),up_dir!E20/((1/1000)*(up_Irr!AZ20)),IF(AND(up_Irr!D20=".",up_Irr!AB20&lt;&gt;".",up_Irr!AZ20="."),up_dir!E20/((1/1000)*(up_Irr!AB20)),IF(AND(up_Irr!D20&lt;&gt;".",up_Irr!AB20=".",up_Irr!AZ20="."),up_dir!E20/((1/1000)*(up_Irr!D20)),IF(AND(up_Irr!D20=".",up_Irr!AB20=".",up_Irr!AZ20="."),up_dir!E20*1000)))))))),".")</f>
        <v>6.5773651144152131E-4</v>
      </c>
      <c r="F20" s="48">
        <f>IFERROR(IF(AND(up_Irr!E20&lt;&gt;".",up_Irr!AC20&lt;&gt;".",up_Irr!BA20&lt;&gt;"."),up_dir!F20/((1/1000)*(up_Irr!E20+up_Irr!AC20+up_Irr!BA20)),IF(AND(up_Irr!E20&lt;&gt;".",up_Irr!AC20&lt;&gt;".",up_Irr!BA20="."),up_dir!F20/((1/1000)*(up_Irr!E20+up_Irr!AC20)),IF(AND(up_Irr!E20&lt;&gt;".",up_Irr!AC20=".",up_Irr!BA20&lt;&gt;"."),up_dir!F20/((1/1000)*(up_Irr!E20+up_Irr!BA20)),IF(AND(up_Irr!E20=".",up_Irr!AC20&lt;&gt;".",up_Irr!BA20&lt;&gt;"."),up_dir!F20/((1/1000)*(up_Irr!AC20+up_Irr!BA20)),IF(AND(up_Irr!E20=".",up_Irr!AC20=".",up_Irr!BA20&lt;&gt;"."),up_dir!F20/((1/1000)*(up_Irr!BA20)),IF(AND(up_Irr!E20=".",up_Irr!AC20&lt;&gt;".",up_Irr!BA20="."),up_dir!F20/((1/1000)*(up_Irr!AC20)),IF(AND(up_Irr!E20&lt;&gt;".",up_Irr!AC20=".",up_Irr!BA20="."),up_dir!F20/((1/1000)*(up_Irr!E20)),IF(AND(up_Irr!E20=".",up_Irr!AC20=".",up_Irr!BA20="."),up_dir!F20*1000)))))))),".")</f>
        <v>6.5773651144152131E-4</v>
      </c>
      <c r="G20" s="48">
        <f>IFERROR(IF(AND(up_Irr!F20&lt;&gt;".",up_Irr!AD20&lt;&gt;".",up_Irr!BB20&lt;&gt;"."),up_dir!G20/((1/1000)*(up_Irr!F20+up_Irr!AD20+up_Irr!BB20)),IF(AND(up_Irr!F20&lt;&gt;".",up_Irr!AD20&lt;&gt;".",up_Irr!BB20="."),up_dir!G20/((1/1000)*(up_Irr!F20+up_Irr!AD20)),IF(AND(up_Irr!F20&lt;&gt;".",up_Irr!AD20=".",up_Irr!BB20&lt;&gt;"."),up_dir!G20/((1/1000)*(up_Irr!F20+up_Irr!BB20)),IF(AND(up_Irr!F20=".",up_Irr!AD20&lt;&gt;".",up_Irr!BB20&lt;&gt;"."),up_dir!G20/((1/1000)*(up_Irr!AD20+up_Irr!BB20)),IF(AND(up_Irr!F20=".",up_Irr!AD20=".",up_Irr!BB20&lt;&gt;"."),up_dir!G20/((1/1000)*(up_Irr!BB20)),IF(AND(up_Irr!F20=".",up_Irr!AD20&lt;&gt;".",up_Irr!BB20="."),up_dir!G20/((1/1000)*(up_Irr!AD20)),IF(AND(up_Irr!F20&lt;&gt;".",up_Irr!AD20=".",up_Irr!BB20="."),up_dir!G20/((1/1000)*(up_Irr!F20)),IF(AND(up_Irr!F20=".",up_Irr!AD20=".",up_Irr!BB20="."),up_dir!G20*1000)))))))),".")</f>
        <v>6.5773651144152131E-4</v>
      </c>
      <c r="H20" s="48">
        <f>IFERROR(IF(AND(up_Irr!G20&lt;&gt;".",up_Irr!AE20&lt;&gt;".",up_Irr!BC20&lt;&gt;"."),up_dir!H20/((1/1000)*(up_Irr!G20+up_Irr!AE20+up_Irr!BC20)),IF(AND(up_Irr!G20&lt;&gt;".",up_Irr!AE20&lt;&gt;".",up_Irr!BC20="."),up_dir!H20/((1/1000)*(up_Irr!G20+up_Irr!AE20)),IF(AND(up_Irr!G20&lt;&gt;".",up_Irr!AE20=".",up_Irr!BC20&lt;&gt;"."),up_dir!H20/((1/1000)*(up_Irr!G20+up_Irr!BC20)),IF(AND(up_Irr!G20=".",up_Irr!AE20&lt;&gt;".",up_Irr!BC20&lt;&gt;"."),up_dir!H20/((1/1000)*(up_Irr!AE20+up_Irr!BC20)),IF(AND(up_Irr!G20=".",up_Irr!AE20=".",up_Irr!BC20&lt;&gt;"."),up_dir!H20/((1/1000)*(up_Irr!BC20)),IF(AND(up_Irr!G20=".",up_Irr!AE20&lt;&gt;".",up_Irr!BC20="."),up_dir!H20/((1/1000)*(up_Irr!AE20)),IF(AND(up_Irr!G20&lt;&gt;".",up_Irr!AE20=".",up_Irr!BC20="."),up_dir!H20/((1/1000)*(up_Irr!G20)),IF(AND(up_Irr!G20=".",up_Irr!AE20=".",up_Irr!BC20="."),up_dir!H20*1000)))))))),".")</f>
        <v>6.5773651144152131E-4</v>
      </c>
      <c r="I20" s="48">
        <f>IFERROR(IF(AND(up_Irr!H20&lt;&gt;".",up_Irr!AF20&lt;&gt;".",up_Irr!BD20&lt;&gt;"."),up_dir!I20/((1/1000)*(up_Irr!H20+up_Irr!AF20+up_Irr!BD20)),IF(AND(up_Irr!H20&lt;&gt;".",up_Irr!AF20&lt;&gt;".",up_Irr!BD20="."),up_dir!I20/((1/1000)*(up_Irr!H20+up_Irr!AF20)),IF(AND(up_Irr!H20&lt;&gt;".",up_Irr!AF20=".",up_Irr!BD20&lt;&gt;"."),up_dir!I20/((1/1000)*(up_Irr!H20+up_Irr!BD20)),IF(AND(up_Irr!H20=".",up_Irr!AF20&lt;&gt;".",up_Irr!BD20&lt;&gt;"."),up_dir!I20/((1/1000)*(up_Irr!AF20+up_Irr!BD20)),IF(AND(up_Irr!H20=".",up_Irr!AF20=".",up_Irr!BD20&lt;&gt;"."),up_dir!I20/((1/1000)*(up_Irr!BD20)),IF(AND(up_Irr!H20=".",up_Irr!AF20&lt;&gt;".",up_Irr!BD20="."),up_dir!I20/((1/1000)*(up_Irr!AF20)),IF(AND(up_Irr!H20&lt;&gt;".",up_Irr!AF20=".",up_Irr!BD20="."),up_dir!I20/((1/1000)*(up_Irr!H20)),IF(AND(up_Irr!H20=".",up_Irr!AF20=".",up_Irr!BD20="."),up_dir!I20*1000)))))))),".")</f>
        <v>6.5773651144152131E-4</v>
      </c>
      <c r="J20" s="48">
        <f>IFERROR(IF(AND(up_Irr!I20&lt;&gt;".",up_Irr!AG20&lt;&gt;".",up_Irr!BE20&lt;&gt;"."),up_dir!J20/((1/1000)*(up_Irr!I20+up_Irr!AG20+up_Irr!BE20)),IF(AND(up_Irr!I20&lt;&gt;".",up_Irr!AG20&lt;&gt;".",up_Irr!BE20="."),up_dir!J20/((1/1000)*(up_Irr!I20+up_Irr!AG20)),IF(AND(up_Irr!I20&lt;&gt;".",up_Irr!AG20=".",up_Irr!BE20&lt;&gt;"."),up_dir!J20/((1/1000)*(up_Irr!I20+up_Irr!BE20)),IF(AND(up_Irr!I20=".",up_Irr!AG20&lt;&gt;".",up_Irr!BE20&lt;&gt;"."),up_dir!J20/((1/1000)*(up_Irr!AG20+up_Irr!BE20)),IF(AND(up_Irr!I20=".",up_Irr!AG20=".",up_Irr!BE20&lt;&gt;"."),up_dir!J20/((1/1000)*(up_Irr!BE20)),IF(AND(up_Irr!I20=".",up_Irr!AG20&lt;&gt;".",up_Irr!BE20="."),up_dir!J20/((1/1000)*(up_Irr!AG20)),IF(AND(up_Irr!I20&lt;&gt;".",up_Irr!AG20=".",up_Irr!BE20="."),up_dir!J20/((1/1000)*(up_Irr!I20)),IF(AND(up_Irr!I20=".",up_Irr!AG20=".",up_Irr!BE20="."),up_dir!J20*1000)))))))),".")</f>
        <v>6.5773651144152131E-4</v>
      </c>
      <c r="K20" s="48">
        <f>IFERROR(IF(AND(up_Irr!J20&lt;&gt;".",up_Irr!AH20&lt;&gt;".",up_Irr!BF20&lt;&gt;"."),up_dir!K20/((1/1000)*(up_Irr!J20+up_Irr!AH20+up_Irr!BF20)),IF(AND(up_Irr!J20&lt;&gt;".",up_Irr!AH20&lt;&gt;".",up_Irr!BF20="."),up_dir!K20/((1/1000)*(up_Irr!J20+up_Irr!AH20)),IF(AND(up_Irr!J20&lt;&gt;".",up_Irr!AH20=".",up_Irr!BF20&lt;&gt;"."),up_dir!K20/((1/1000)*(up_Irr!J20+up_Irr!BF20)),IF(AND(up_Irr!J20=".",up_Irr!AH20&lt;&gt;".",up_Irr!BF20&lt;&gt;"."),up_dir!K20/((1/1000)*(up_Irr!AH20+up_Irr!BF20)),IF(AND(up_Irr!J20=".",up_Irr!AH20=".",up_Irr!BF20&lt;&gt;"."),up_dir!K20/((1/1000)*(up_Irr!BF20)),IF(AND(up_Irr!J20=".",up_Irr!AH20&lt;&gt;".",up_Irr!BF20="."),up_dir!K20/((1/1000)*(up_Irr!AH20)),IF(AND(up_Irr!J20&lt;&gt;".",up_Irr!AH20=".",up_Irr!BF20="."),up_dir!K20/((1/1000)*(up_Irr!J20)),IF(AND(up_Irr!J20=".",up_Irr!AH20=".",up_Irr!BF20="."),up_dir!K20*1000)))))))),".")</f>
        <v>6.5773651144152131E-4</v>
      </c>
      <c r="L20" s="48">
        <f>IFERROR(IF(AND(up_Irr!K20&lt;&gt;".",up_Irr!AI20&lt;&gt;".",up_Irr!BG20&lt;&gt;"."),up_dir!L20/((1/1000)*(up_Irr!K20+up_Irr!AI20+up_Irr!BG20)),IF(AND(up_Irr!K20&lt;&gt;".",up_Irr!AI20&lt;&gt;".",up_Irr!BG20="."),up_dir!L20/((1/1000)*(up_Irr!K20+up_Irr!AI20)),IF(AND(up_Irr!K20&lt;&gt;".",up_Irr!AI20=".",up_Irr!BG20&lt;&gt;"."),up_dir!L20/((1/1000)*(up_Irr!K20+up_Irr!BG20)),IF(AND(up_Irr!K20=".",up_Irr!AI20&lt;&gt;".",up_Irr!BG20&lt;&gt;"."),up_dir!L20/((1/1000)*(up_Irr!AI20+up_Irr!BG20)),IF(AND(up_Irr!K20=".",up_Irr!AI20=".",up_Irr!BG20&lt;&gt;"."),up_dir!L20/((1/1000)*(up_Irr!BG20)),IF(AND(up_Irr!K20=".",up_Irr!AI20&lt;&gt;".",up_Irr!BG20="."),up_dir!L20/((1/1000)*(up_Irr!AI20)),IF(AND(up_Irr!K20&lt;&gt;".",up_Irr!AI20=".",up_Irr!BG20="."),up_dir!L20/((1/1000)*(up_Irr!K20)),IF(AND(up_Irr!K20=".",up_Irr!AI20=".",up_Irr!BG20="."),up_dir!L20*1000)))))))),".")</f>
        <v>6.5773651144152131E-4</v>
      </c>
      <c r="M20" s="48">
        <f>IFERROR(IF(AND(up_Irr!L20&lt;&gt;".",up_Irr!AJ20&lt;&gt;".",up_Irr!BH20&lt;&gt;"."),up_dir!M20/((1/1000)*(up_Irr!L20+up_Irr!AJ20+up_Irr!BH20)),IF(AND(up_Irr!L20&lt;&gt;".",up_Irr!AJ20&lt;&gt;".",up_Irr!BH20="."),up_dir!M20/((1/1000)*(up_Irr!L20+up_Irr!AJ20)),IF(AND(up_Irr!L20&lt;&gt;".",up_Irr!AJ20=".",up_Irr!BH20&lt;&gt;"."),up_dir!M20/((1/1000)*(up_Irr!L20+up_Irr!BH20)),IF(AND(up_Irr!L20=".",up_Irr!AJ20&lt;&gt;".",up_Irr!BH20&lt;&gt;"."),up_dir!M20/((1/1000)*(up_Irr!AJ20+up_Irr!BH20)),IF(AND(up_Irr!L20=".",up_Irr!AJ20=".",up_Irr!BH20&lt;&gt;"."),up_dir!M20/((1/1000)*(up_Irr!BH20)),IF(AND(up_Irr!L20=".",up_Irr!AJ20&lt;&gt;".",up_Irr!BH20="."),up_dir!M20/((1/1000)*(up_Irr!AJ20)),IF(AND(up_Irr!L20&lt;&gt;".",up_Irr!AJ20=".",up_Irr!BH20="."),up_dir!M20/((1/1000)*(up_Irr!L20)),IF(AND(up_Irr!L20=".",up_Irr!AJ20=".",up_Irr!BH20="."),up_dir!M20*1000)))))))),".")</f>
        <v>6.5773651144152131E-4</v>
      </c>
      <c r="N20" s="48">
        <f>IFERROR(IF(AND(up_Irr!M20&lt;&gt;".",up_Irr!AK20&lt;&gt;".",up_Irr!BI20&lt;&gt;"."),up_dir!N20/((1/1000)*(up_Irr!M20+up_Irr!AK20+up_Irr!BI20)),IF(AND(up_Irr!M20&lt;&gt;".",up_Irr!AK20&lt;&gt;".",up_Irr!BI20="."),up_dir!N20/((1/1000)*(up_Irr!M20+up_Irr!AK20)),IF(AND(up_Irr!M20&lt;&gt;".",up_Irr!AK20=".",up_Irr!BI20&lt;&gt;"."),up_dir!N20/((1/1000)*(up_Irr!M20+up_Irr!BI20)),IF(AND(up_Irr!M20=".",up_Irr!AK20&lt;&gt;".",up_Irr!BI20&lt;&gt;"."),up_dir!N20/((1/1000)*(up_Irr!AK20+up_Irr!BI20)),IF(AND(up_Irr!M20=".",up_Irr!AK20=".",up_Irr!BI20&lt;&gt;"."),up_dir!N20/((1/1000)*(up_Irr!BI20)),IF(AND(up_Irr!M20=".",up_Irr!AK20&lt;&gt;".",up_Irr!BI20="."),up_dir!N20/((1/1000)*(up_Irr!AK20)),IF(AND(up_Irr!M20&lt;&gt;".",up_Irr!AK20=".",up_Irr!BI20="."),up_dir!N20/((1/1000)*(up_Irr!M20)),IF(AND(up_Irr!M20=".",up_Irr!AK20=".",up_Irr!BI20="."),up_dir!N20*1000)))))))),".")</f>
        <v>6.5773651144152131E-4</v>
      </c>
      <c r="O20" s="48">
        <f>IFERROR(IF(AND(up_Irr!N20&lt;&gt;".",up_Irr!AL20&lt;&gt;".",up_Irr!BJ20&lt;&gt;"."),up_dir!O20/((1/1000)*(up_Irr!N20+up_Irr!AL20+up_Irr!BJ20)),IF(AND(up_Irr!N20&lt;&gt;".",up_Irr!AL20&lt;&gt;".",up_Irr!BJ20="."),up_dir!O20/((1/1000)*(up_Irr!N20+up_Irr!AL20)),IF(AND(up_Irr!N20&lt;&gt;".",up_Irr!AL20=".",up_Irr!BJ20&lt;&gt;"."),up_dir!O20/((1/1000)*(up_Irr!N20+up_Irr!BJ20)),IF(AND(up_Irr!N20=".",up_Irr!AL20&lt;&gt;".",up_Irr!BJ20&lt;&gt;"."),up_dir!O20/((1/1000)*(up_Irr!AL20+up_Irr!BJ20)),IF(AND(up_Irr!N20=".",up_Irr!AL20=".",up_Irr!BJ20&lt;&gt;"."),up_dir!O20/((1/1000)*(up_Irr!BJ20)),IF(AND(up_Irr!N20=".",up_Irr!AL20&lt;&gt;".",up_Irr!BJ20="."),up_dir!O20/((1/1000)*(up_Irr!AL20)),IF(AND(up_Irr!N20&lt;&gt;".",up_Irr!AL20=".",up_Irr!BJ20="."),up_dir!O20/((1/1000)*(up_Irr!N20)),IF(AND(up_Irr!N20=".",up_Irr!AL20=".",up_Irr!BJ20="."),up_dir!O20*1000)))))))),".")</f>
        <v>6.5773651144152131E-4</v>
      </c>
      <c r="P20" s="48">
        <f>IFERROR(IF(AND(up_Irr!O20&lt;&gt;".",up_Irr!AM20&lt;&gt;".",up_Irr!BK20&lt;&gt;"."),up_dir!P20/((1/1000)*(up_Irr!O20+up_Irr!AM20+up_Irr!BK20)),IF(AND(up_Irr!O20&lt;&gt;".",up_Irr!AM20&lt;&gt;".",up_Irr!BK20="."),up_dir!P20/((1/1000)*(up_Irr!O20+up_Irr!AM20)),IF(AND(up_Irr!O20&lt;&gt;".",up_Irr!AM20=".",up_Irr!BK20&lt;&gt;"."),up_dir!P20/((1/1000)*(up_Irr!O20+up_Irr!BK20)),IF(AND(up_Irr!O20=".",up_Irr!AM20&lt;&gt;".",up_Irr!BK20&lt;&gt;"."),up_dir!P20/((1/1000)*(up_Irr!AM20+up_Irr!BK20)),IF(AND(up_Irr!O20=".",up_Irr!AM20=".",up_Irr!BK20&lt;&gt;"."),up_dir!P20/((1/1000)*(up_Irr!BK20)),IF(AND(up_Irr!O20=".",up_Irr!AM20&lt;&gt;".",up_Irr!BK20="."),up_dir!P20/((1/1000)*(up_Irr!AM20)),IF(AND(up_Irr!O20&lt;&gt;".",up_Irr!AM20=".",up_Irr!BK20="."),up_dir!P20/((1/1000)*(up_Irr!O20)),IF(AND(up_Irr!O20=".",up_Irr!AM20=".",up_Irr!BK20="."),up_dir!P20*1000)))))))),".")</f>
        <v>6.5773651144152131E-4</v>
      </c>
      <c r="Q20" s="48">
        <f>IFERROR(IF(AND(up_Irr!P20&lt;&gt;".",up_Irr!AN20&lt;&gt;".",up_Irr!BL20&lt;&gt;"."),up_dir!Q20/((1/1000)*(up_Irr!P20+up_Irr!AN20+up_Irr!BL20)),IF(AND(up_Irr!P20&lt;&gt;".",up_Irr!AN20&lt;&gt;".",up_Irr!BL20="."),up_dir!Q20/((1/1000)*(up_Irr!P20+up_Irr!AN20)),IF(AND(up_Irr!P20&lt;&gt;".",up_Irr!AN20=".",up_Irr!BL20&lt;&gt;"."),up_dir!Q20/((1/1000)*(up_Irr!P20+up_Irr!BL20)),IF(AND(up_Irr!P20=".",up_Irr!AN20&lt;&gt;".",up_Irr!BL20&lt;&gt;"."),up_dir!Q20/((1/1000)*(up_Irr!AN20+up_Irr!BL20)),IF(AND(up_Irr!P20=".",up_Irr!AN20=".",up_Irr!BL20&lt;&gt;"."),up_dir!Q20/((1/1000)*(up_Irr!BL20)),IF(AND(up_Irr!P20=".",up_Irr!AN20&lt;&gt;".",up_Irr!BL20="."),up_dir!Q20/((1/1000)*(up_Irr!AN20)),IF(AND(up_Irr!P20&lt;&gt;".",up_Irr!AN20=".",up_Irr!BL20="."),up_dir!Q20/((1/1000)*(up_Irr!P20)),IF(AND(up_Irr!P20=".",up_Irr!AN20=".",up_Irr!BL20="."),up_dir!Q20*1000)))))))),".")</f>
        <v>6.5773651144152131E-4</v>
      </c>
      <c r="R20" s="48">
        <f>IFERROR(IF(AND(up_Irr!Q20&lt;&gt;".",up_Irr!AO20&lt;&gt;".",up_Irr!BM20&lt;&gt;"."),up_dir!R20/((1/1000)*(up_Irr!Q20+up_Irr!AO20+up_Irr!BM20)),IF(AND(up_Irr!Q20&lt;&gt;".",up_Irr!AO20&lt;&gt;".",up_Irr!BM20="."),up_dir!R20/((1/1000)*(up_Irr!Q20+up_Irr!AO20)),IF(AND(up_Irr!Q20&lt;&gt;".",up_Irr!AO20=".",up_Irr!BM20&lt;&gt;"."),up_dir!R20/((1/1000)*(up_Irr!Q20+up_Irr!BM20)),IF(AND(up_Irr!Q20=".",up_Irr!AO20&lt;&gt;".",up_Irr!BM20&lt;&gt;"."),up_dir!R20/((1/1000)*(up_Irr!AO20+up_Irr!BM20)),IF(AND(up_Irr!Q20=".",up_Irr!AO20=".",up_Irr!BM20&lt;&gt;"."),up_dir!R20/((1/1000)*(up_Irr!BM20)),IF(AND(up_Irr!Q20=".",up_Irr!AO20&lt;&gt;".",up_Irr!BM20="."),up_dir!R20/((1/1000)*(up_Irr!AO20)),IF(AND(up_Irr!Q20&lt;&gt;".",up_Irr!AO20=".",up_Irr!BM20="."),up_dir!R20/((1/1000)*(up_Irr!Q20)),IF(AND(up_Irr!Q20=".",up_Irr!AO20=".",up_Irr!BM20="."),up_dir!R20*1000)))))))),".")</f>
        <v>6.5773651144152131E-4</v>
      </c>
      <c r="S20" s="48">
        <f>IFERROR(IF(AND(up_Irr!R20&lt;&gt;".",up_Irr!AP20&lt;&gt;".",up_Irr!BN20&lt;&gt;"."),up_dir!S20/((1/1000)*(up_Irr!R20+up_Irr!AP20+up_Irr!BN20)),IF(AND(up_Irr!R20&lt;&gt;".",up_Irr!AP20&lt;&gt;".",up_Irr!BN20="."),up_dir!S20/((1/1000)*(up_Irr!R20+up_Irr!AP20)),IF(AND(up_Irr!R20&lt;&gt;".",up_Irr!AP20=".",up_Irr!BN20&lt;&gt;"."),up_dir!S20/((1/1000)*(up_Irr!R20+up_Irr!BN20)),IF(AND(up_Irr!R20=".",up_Irr!AP20&lt;&gt;".",up_Irr!BN20&lt;&gt;"."),up_dir!S20/((1/1000)*(up_Irr!AP20+up_Irr!BN20)),IF(AND(up_Irr!R20=".",up_Irr!AP20=".",up_Irr!BN20&lt;&gt;"."),up_dir!S20/((1/1000)*(up_Irr!BN20)),IF(AND(up_Irr!R20=".",up_Irr!AP20&lt;&gt;".",up_Irr!BN20="."),up_dir!S20/((1/1000)*(up_Irr!AP20)),IF(AND(up_Irr!R20&lt;&gt;".",up_Irr!AP20=".",up_Irr!BN20="."),up_dir!S20/((1/1000)*(up_Irr!R20)),IF(AND(up_Irr!R20=".",up_Irr!AP20=".",up_Irr!BN20="."),up_dir!S20*1000)))))))),".")</f>
        <v>6.5773651144152131E-4</v>
      </c>
      <c r="T20" s="48">
        <f>IFERROR(IF(AND(up_Irr!S20&lt;&gt;".",up_Irr!AQ20&lt;&gt;".",up_Irr!BO20&lt;&gt;"."),up_dir!T20/((1/1000)*(up_Irr!S20+up_Irr!AQ20+up_Irr!BO20)),IF(AND(up_Irr!S20&lt;&gt;".",up_Irr!AQ20&lt;&gt;".",up_Irr!BO20="."),up_dir!T20/((1/1000)*(up_Irr!S20+up_Irr!AQ20)),IF(AND(up_Irr!S20&lt;&gt;".",up_Irr!AQ20=".",up_Irr!BO20&lt;&gt;"."),up_dir!T20/((1/1000)*(up_Irr!S20+up_Irr!BO20)),IF(AND(up_Irr!S20=".",up_Irr!AQ20&lt;&gt;".",up_Irr!BO20&lt;&gt;"."),up_dir!T20/((1/1000)*(up_Irr!AQ20+up_Irr!BO20)),IF(AND(up_Irr!S20=".",up_Irr!AQ20=".",up_Irr!BO20&lt;&gt;"."),up_dir!T20/((1/1000)*(up_Irr!BO20)),IF(AND(up_Irr!S20=".",up_Irr!AQ20&lt;&gt;".",up_Irr!BO20="."),up_dir!T20/((1/1000)*(up_Irr!AQ20)),IF(AND(up_Irr!S20&lt;&gt;".",up_Irr!AQ20=".",up_Irr!BO20="."),up_dir!T20/((1/1000)*(up_Irr!S20)),IF(AND(up_Irr!S20=".",up_Irr!AQ20=".",up_Irr!BO20="."),up_dir!T20*1000)))))))),".")</f>
        <v>6.5773651144152131E-4</v>
      </c>
      <c r="U20" s="48">
        <f>IFERROR(IF(AND(up_Irr!T20&lt;&gt;".",up_Irr!AR20&lt;&gt;".",up_Irr!BP20&lt;&gt;"."),up_dir!U20/((1/1000)*(up_Irr!T20+up_Irr!AR20+up_Irr!BP20)),IF(AND(up_Irr!T20&lt;&gt;".",up_Irr!AR20&lt;&gt;".",up_Irr!BP20="."),up_dir!U20/((1/1000)*(up_Irr!T20+up_Irr!AR20)),IF(AND(up_Irr!T20&lt;&gt;".",up_Irr!AR20=".",up_Irr!BP20&lt;&gt;"."),up_dir!U20/((1/1000)*(up_Irr!T20+up_Irr!BP20)),IF(AND(up_Irr!T20=".",up_Irr!AR20&lt;&gt;".",up_Irr!BP20&lt;&gt;"."),up_dir!U20/((1/1000)*(up_Irr!AR20+up_Irr!BP20)),IF(AND(up_Irr!T20=".",up_Irr!AR20=".",up_Irr!BP20&lt;&gt;"."),up_dir!U20/((1/1000)*(up_Irr!BP20)),IF(AND(up_Irr!T20=".",up_Irr!AR20&lt;&gt;".",up_Irr!BP20="."),up_dir!U20/((1/1000)*(up_Irr!AR20)),IF(AND(up_Irr!T20&lt;&gt;".",up_Irr!AR20=".",up_Irr!BP20="."),up_dir!U20/((1/1000)*(up_Irr!T20)),IF(AND(up_Irr!T20=".",up_Irr!AR20=".",up_Irr!BP20="."),up_dir!U20*1000)))))))),".")</f>
        <v>6.5773651144152131E-4</v>
      </c>
      <c r="V20" s="48">
        <f>IFERROR(IF(AND(up_Irr!U20&lt;&gt;".",up_Irr!AS20&lt;&gt;".",up_Irr!BQ20&lt;&gt;"."),up_dir!V20/((1/1000)*(up_Irr!U20+up_Irr!AS20+up_Irr!BQ20)),IF(AND(up_Irr!U20&lt;&gt;".",up_Irr!AS20&lt;&gt;".",up_Irr!BQ20="."),up_dir!V20/((1/1000)*(up_Irr!U20+up_Irr!AS20)),IF(AND(up_Irr!U20&lt;&gt;".",up_Irr!AS20=".",up_Irr!BQ20&lt;&gt;"."),up_dir!V20/((1/1000)*(up_Irr!U20+up_Irr!BQ20)),IF(AND(up_Irr!U20=".",up_Irr!AS20&lt;&gt;".",up_Irr!BQ20&lt;&gt;"."),up_dir!V20/((1/1000)*(up_Irr!AS20+up_Irr!BQ20)),IF(AND(up_Irr!U20=".",up_Irr!AS20=".",up_Irr!BQ20&lt;&gt;"."),up_dir!V20/((1/1000)*(up_Irr!BQ20)),IF(AND(up_Irr!U20=".",up_Irr!AS20&lt;&gt;".",up_Irr!BQ20="."),up_dir!V20/((1/1000)*(up_Irr!AS20)),IF(AND(up_Irr!U20&lt;&gt;".",up_Irr!AS20=".",up_Irr!BQ20="."),up_dir!V20/((1/1000)*(up_Irr!U20)),IF(AND(up_Irr!U20=".",up_Irr!AS20=".",up_Irr!BQ20="."),up_dir!V20*1000)))))))),".")</f>
        <v>6.5773651144152131E-4</v>
      </c>
      <c r="W20" s="48">
        <f>IFERROR(IF(AND(up_Irr!V20&lt;&gt;".",up_Irr!AT20&lt;&gt;".",up_Irr!BR20&lt;&gt;"."),up_dir!W20/((1/1000)*(up_Irr!V20+up_Irr!AT20+up_Irr!BR20)),IF(AND(up_Irr!V20&lt;&gt;".",up_Irr!AT20&lt;&gt;".",up_Irr!BR20="."),up_dir!W20/((1/1000)*(up_Irr!V20+up_Irr!AT20)),IF(AND(up_Irr!V20&lt;&gt;".",up_Irr!AT20=".",up_Irr!BR20&lt;&gt;"."),up_dir!W20/((1/1000)*(up_Irr!V20+up_Irr!BR20)),IF(AND(up_Irr!V20=".",up_Irr!AT20&lt;&gt;".",up_Irr!BR20&lt;&gt;"."),up_dir!W20/((1/1000)*(up_Irr!AT20+up_Irr!BR20)),IF(AND(up_Irr!V20=".",up_Irr!AT20=".",up_Irr!BR20&lt;&gt;"."),up_dir!W20/((1/1000)*(up_Irr!BR20)),IF(AND(up_Irr!V20=".",up_Irr!AT20&lt;&gt;".",up_Irr!BR20="."),up_dir!W20/((1/1000)*(up_Irr!AT20)),IF(AND(up_Irr!V20&lt;&gt;".",up_Irr!AT20=".",up_Irr!BR20="."),up_dir!W20/((1/1000)*(up_Irr!V20)),IF(AND(up_Irr!V20=".",up_Irr!AT20=".",up_Irr!BR20="."),up_dir!W20*1000)))))))),".")</f>
        <v>6.5773651144152131E-4</v>
      </c>
      <c r="X20" s="48">
        <f>IFERROR(IF(AND(up_Irr!W20&lt;&gt;".",up_Irr!AU20&lt;&gt;".",up_Irr!BS20&lt;&gt;"."),up_dir!X20/((1/1000)*(up_Irr!W20+up_Irr!AU20+up_Irr!BS20)),IF(AND(up_Irr!W20&lt;&gt;".",up_Irr!AU20&lt;&gt;".",up_Irr!BS20="."),up_dir!X20/((1/1000)*(up_Irr!W20+up_Irr!AU20)),IF(AND(up_Irr!W20&lt;&gt;".",up_Irr!AU20=".",up_Irr!BS20&lt;&gt;"."),up_dir!X20/((1/1000)*(up_Irr!W20+up_Irr!BS20)),IF(AND(up_Irr!W20=".",up_Irr!AU20&lt;&gt;".",up_Irr!BS20&lt;&gt;"."),up_dir!X20/((1/1000)*(up_Irr!AU20+up_Irr!BS20)),IF(AND(up_Irr!W20=".",up_Irr!AU20=".",up_Irr!BS20&lt;&gt;"."),up_dir!X20/((1/1000)*(up_Irr!BS20)),IF(AND(up_Irr!W20=".",up_Irr!AU20&lt;&gt;".",up_Irr!BS20="."),up_dir!X20/((1/1000)*(up_Irr!AU20)),IF(AND(up_Irr!W20&lt;&gt;".",up_Irr!AU20=".",up_Irr!BS20="."),up_dir!X20/((1/1000)*(up_Irr!W20)),IF(AND(up_Irr!W20=".",up_Irr!AU20=".",up_Irr!BS20="."),up_dir!X20*1000)))))))),".")</f>
        <v>6.5773651144152131E-4</v>
      </c>
      <c r="Y20" s="48">
        <f>IFERROR(IF(AND(up_Irr!X20&lt;&gt;".",up_Irr!AV20&lt;&gt;".",up_Irr!BT20&lt;&gt;"."),up_dir!Y20/((1/1000)*(up_Irr!X20+up_Irr!AV20+up_Irr!BT20)),IF(AND(up_Irr!X20&lt;&gt;".",up_Irr!AV20&lt;&gt;".",up_Irr!BT20="."),up_dir!Y20/((1/1000)*(up_Irr!X20+up_Irr!AV20)),IF(AND(up_Irr!X20&lt;&gt;".",up_Irr!AV20=".",up_Irr!BT20&lt;&gt;"."),up_dir!Y20/((1/1000)*(up_Irr!X20+up_Irr!BT20)),IF(AND(up_Irr!X20=".",up_Irr!AV20&lt;&gt;".",up_Irr!BT20&lt;&gt;"."),up_dir!Y20/((1/1000)*(up_Irr!AV20+up_Irr!BT20)),IF(AND(up_Irr!X20=".",up_Irr!AV20=".",up_Irr!BT20&lt;&gt;"."),up_dir!Y20/((1/1000)*(up_Irr!BT20)),IF(AND(up_Irr!X20=".",up_Irr!AV20&lt;&gt;".",up_Irr!BT20="."),up_dir!Y20/((1/1000)*(up_Irr!AV20)),IF(AND(up_Irr!X20&lt;&gt;".",up_Irr!AV20=".",up_Irr!BT20="."),up_dir!Y20/((1/1000)*(up_Irr!X20)),IF(AND(up_Irr!X20=".",up_Irr!AV20=".",up_Irr!BT20="."),up_dir!Y20*1000)))))))),".")</f>
        <v>6.5773651144152131E-4</v>
      </c>
      <c r="Z20" s="48">
        <f>IFERROR(IF(AND(up_Irr!Y20&lt;&gt;".",up_Irr!AW20&lt;&gt;".",up_Irr!BU20&lt;&gt;"."),up_dir!Z20/((1/1000)*(up_Irr!Y20+up_Irr!AW20+up_Irr!BU20)),IF(AND(up_Irr!Y20&lt;&gt;".",up_Irr!AW20&lt;&gt;".",up_Irr!BU20="."),up_dir!Z20/((1/1000)*(up_Irr!Y20+up_Irr!AW20)),IF(AND(up_Irr!Y20&lt;&gt;".",up_Irr!AW20=".",up_Irr!BU20&lt;&gt;"."),up_dir!Z20/((1/1000)*(up_Irr!Y20+up_Irr!BU20)),IF(AND(up_Irr!Y20=".",up_Irr!AW20&lt;&gt;".",up_Irr!BU20&lt;&gt;"."),up_dir!Z20/((1/1000)*(up_Irr!AW20+up_Irr!BU20)),IF(AND(up_Irr!Y20=".",up_Irr!AW20=".",up_Irr!BU20&lt;&gt;"."),up_dir!Z20/((1/1000)*(up_Irr!BU20)),IF(AND(up_Irr!Y20=".",up_Irr!AW20&lt;&gt;".",up_Irr!BU20="."),up_dir!Z20/((1/1000)*(up_Irr!AW20)),IF(AND(up_Irr!Y20&lt;&gt;".",up_Irr!AW20=".",up_Irr!BU20="."),up_dir!Z20/((1/1000)*(up_Irr!Y20)),IF(AND(up_Irr!Y20=".",up_Irr!AW20=".",up_Irr!BU20="."),up_dir!Z20*1000)))))))),".")</f>
        <v>6.5773651144152131E-4</v>
      </c>
      <c r="AA20" s="48">
        <f>IFERROR(IF(AND(up_Irr!Z20&lt;&gt;".",up_Irr!AX20&lt;&gt;".",up_Irr!BV20&lt;&gt;"."),up_dir!AA20/((1/1000)*(up_Irr!Z20+up_Irr!AX20+up_Irr!BV20)),IF(AND(up_Irr!Z20&lt;&gt;".",up_Irr!AX20&lt;&gt;".",up_Irr!BV20="."),up_dir!AA20/((1/1000)*(up_Irr!Z20+up_Irr!AX20)),IF(AND(up_Irr!Z20&lt;&gt;".",up_Irr!AX20=".",up_Irr!BV20&lt;&gt;"."),up_dir!AA20/((1/1000)*(up_Irr!Z20+up_Irr!BV20)),IF(AND(up_Irr!Z20=".",up_Irr!AX20&lt;&gt;".",up_Irr!BV20&lt;&gt;"."),up_dir!AA20/((1/1000)*(up_Irr!AX20+up_Irr!BV20)),IF(AND(up_Irr!Z20=".",up_Irr!AX20=".",up_Irr!BV20&lt;&gt;"."),up_dir!AA20/((1/1000)*(up_Irr!BV20)),IF(AND(up_Irr!Z20=".",up_Irr!AX20&lt;&gt;".",up_Irr!BV20="."),up_dir!AA20/((1/1000)*(up_Irr!AX20)),IF(AND(up_Irr!Z20&lt;&gt;".",up_Irr!AX20=".",up_Irr!BV20="."),up_dir!AA20/((1/1000)*(up_Irr!Z20)),IF(AND(up_Irr!Z20=".",up_Irr!AX20=".",up_Irr!BV20="."),up_dir!AA20*1000)))))))),".")</f>
        <v>6.5773651144152131E-4</v>
      </c>
      <c r="AB20" s="62">
        <f t="shared" si="1"/>
        <v>22805.4847785862</v>
      </c>
      <c r="AC20" s="62">
        <f>IFERROR(s_C*s_IFAP_res_adj*s_CF_apple*0.001*(up_Irr!C20+up_Irr!AA20+up_Irr!AY20),".")</f>
        <v>7601.8282595287337</v>
      </c>
      <c r="AD20" s="62">
        <f>IFERROR(s_C*s_IFAS_res_adj*s_CF_asparagus*0.001*(up_Irr!D20+up_Irr!AB20+up_Irr!AZ20),".")</f>
        <v>7601.8282595287337</v>
      </c>
      <c r="AE20" s="62">
        <f>IFERROR(s_C*s_IFBT_res_adj*s_CF_beet*0.001*(up_Irr!E20+up_Irr!AC20+up_Irr!BA20),".")</f>
        <v>7601.8282595287337</v>
      </c>
      <c r="AF20" s="62">
        <f>IFERROR(s_C*s_IFBE_res_adj*s_CF_berries*0.001*(up_Irr!F20+up_Irr!AD20+up_Irr!BB20),".")</f>
        <v>7601.8282595287337</v>
      </c>
      <c r="AG20" s="62">
        <f>IFERROR(s_C*s_IFBR_res_adj*s_CF_broccoli*0.001*(up_Irr!G20+up_Irr!AE20+up_Irr!BC20),".")</f>
        <v>7601.8282595287337</v>
      </c>
      <c r="AH20" s="62">
        <f>IFERROR(s_C*s_IFCB_res_adj*s_CF_cabbage*0.001*(up_Irr!H20+up_Irr!AF20+up_Irr!BD20),".")</f>
        <v>7601.8282595287337</v>
      </c>
      <c r="AI20" s="62">
        <f>IFERROR(s_C*s_IFCR_res_adj*s_CF_carrot*0.001*(up_Irr!I20+up_Irr!AG20+up_Irr!BE20),".")</f>
        <v>7601.8282595287337</v>
      </c>
      <c r="AJ20" s="62">
        <f>IFERROR(s_C*s_IFCI_res_adj*s_CF_citrus*0.001*(up_Irr!J20+up_Irr!AH20+up_Irr!BF20),".")</f>
        <v>7601.8282595287337</v>
      </c>
      <c r="AK20" s="62">
        <f>IFERROR(s_C*s_IFCO_res_adj*s_CF_corn*0.001*(up_Irr!K20+up_Irr!AI20+up_Irr!BG20),".")</f>
        <v>7601.8282595287337</v>
      </c>
      <c r="AL20" s="62">
        <f>IFERROR(s_C*s_IFCU_res_adj*s_CF_cucumber*0.001*(up_Irr!L20+up_Irr!AJ20+up_Irr!BH20),".")</f>
        <v>7601.8282595287337</v>
      </c>
      <c r="AM20" s="62">
        <f>IFERROR(s_C*s_IFLE_res_adj*s_CF_lettuce*0.001*(up_Irr!M20+up_Irr!AK20+up_Irr!BI20),".")</f>
        <v>7601.8282595287337</v>
      </c>
      <c r="AN20" s="62">
        <f>IFERROR(s_C*s_IFLI_res_adj*s_CF_lima_bean*0.001*(up_Irr!N20+up_Irr!AL20+up_Irr!BJ20),".")</f>
        <v>7601.8282595287337</v>
      </c>
      <c r="AO20" s="62">
        <f>IFERROR(s_C*s_IFOK_res_adj*s_CF_okra*0.001*(up_Irr!O20+up_Irr!AM20+up_Irr!BK20),".")</f>
        <v>7601.8282595287337</v>
      </c>
      <c r="AP20" s="62">
        <f>IFERROR(s_C*s_IFON_res_adj*s_CF_onion*0.001*(up_Irr!P20+up_Irr!AN20+up_Irr!BL20),".")</f>
        <v>7601.8282595287337</v>
      </c>
      <c r="AQ20" s="62">
        <f>IFERROR(s_C*s_IFPC_res_adj*s_CF_peach*0.001*(up_Irr!Q20+up_Irr!AO20+up_Irr!BM20),".")</f>
        <v>7601.8282595287337</v>
      </c>
      <c r="AR20" s="62">
        <f>IFERROR(s_C*s_IFPR_res_adj*s_CF_pear*0.001*(up_Irr!R20+up_Irr!AP20+up_Irr!BN20),".")</f>
        <v>7601.8282595287337</v>
      </c>
      <c r="AS20" s="62">
        <f>IFERROR(s_C*s_IFPE_res_adj*s_CF_peas*0.001*(up_Irr!S20+up_Irr!AQ20+up_Irr!BO20),".")</f>
        <v>7601.8282595287337</v>
      </c>
      <c r="AT20" s="62">
        <f>IFERROR(s_C*s_IFPT_res_adj*s_CF_potato*0.001*(up_Irr!T20+up_Irr!AR20+up_Irr!BP20),".")</f>
        <v>7601.8282595287337</v>
      </c>
      <c r="AU20" s="62">
        <f>IFERROR(s_C*s_IFPU_res_adj*s_CF_pumpkin*0.001*(up_Irr!U20+up_Irr!AS20+up_Irr!BQ20),".")</f>
        <v>7601.8282595287337</v>
      </c>
      <c r="AV20" s="62">
        <f>IFERROR(s_C*s_IFSN_res_adj*s_CF_snap_bean*0.001*(up_Irr!V20+up_Irr!AT20+up_Irr!BR20),".")</f>
        <v>7601.8282595287337</v>
      </c>
      <c r="AW20" s="62">
        <f>IFERROR(s_C*s_IFST_res_adj*s_CF_strawberry*0.001*(up_Irr!W20+up_Irr!AU20+up_Irr!BS20),".")</f>
        <v>7601.8282595287337</v>
      </c>
      <c r="AX20" s="62">
        <f>IFERROR(s_C*s_IFTO_res_adj*s_CF_tomato*0.001*(up_Irr!X20+up_Irr!AV20+up_Irr!BT20),".")</f>
        <v>7601.8282595287337</v>
      </c>
      <c r="AY20" s="62">
        <f>IFERROR(s_C*s_IFRI_res_adj*s_CF_rice*0.001*(up_Irr!Y20+up_Irr!AW20+up_Irr!BU20),".")</f>
        <v>7601.8282595287337</v>
      </c>
      <c r="AZ20" s="62">
        <f>IFERROR(s_C*s_IFCG_res_adj*s_CF_cereal*0.001*(up_Irr!Z20+up_Irr!AX20+up_Irr!BV20),".")</f>
        <v>7601.8282595287337</v>
      </c>
      <c r="BA20" s="48">
        <f t="shared" si="2"/>
        <v>2.1924550381384044E-4</v>
      </c>
      <c r="BB20" s="48">
        <f>IFERROR(IF(AND(up_Irr!C20&lt;&gt;".",up_Irr!AA20&lt;&gt;".",up_Irr!AY20&lt;&gt;"."),up_dir!AC20/((1/1000)*(up_Irr!C20+up_Irr!AA20+up_Irr!AY20)),IF(AND(up_Irr!C20&lt;&gt;".",up_Irr!AA20&lt;&gt;".",up_Irr!AY20="."),up_dir!AC20/((1/1000)*(up_Irr!C20+up_Irr!AA20)),IF(AND(up_Irr!C20&lt;&gt;".",up_Irr!AA20=".",up_Irr!AY20&lt;&gt;"."),up_dir!AC20/((1/1000)*(up_Irr!C20+up_Irr!AY20)),IF(AND(up_Irr!C20=".",up_Irr!AA20&lt;&gt;".",up_Irr!AY20&lt;&gt;"."),up_dir!AC20/((1/1000)*(up_Irr!AA20+up_Irr!AY20)),IF(AND(up_Irr!C20=".",up_Irr!AA20=".",up_Irr!AY20&lt;&gt;"."),up_dir!AC20/((1/1000)*(up_Irr!AY20)),IF(AND(up_Irr!C20=".",up_Irr!AA20&lt;&gt;".",up_Irr!AY20="."),up_dir!AC20/((1/1000)*(up_Irr!AA20)),IF(AND(up_Irr!C20&lt;&gt;".",up_Irr!AA20=".",up_Irr!AY20="."),up_dir!AC20/((1/1000)*(up_Irr!C20)),IF(AND(up_Irr!C20=".",up_Irr!AA20=".",up_Irr!AY20="."),up_dir!AC20*1000)))))))),".")</f>
        <v>6.5773651144152131E-4</v>
      </c>
      <c r="BC20" s="48">
        <f>IFERROR(IF(AND(up_Irr!D20&lt;&gt;".",up_Irr!AB20&lt;&gt;".",up_Irr!AZ20&lt;&gt;"."),up_dir!AD20/((1/1000)*(up_Irr!D20+up_Irr!AB20+up_Irr!AZ20)),IF(AND(up_Irr!D20&lt;&gt;".",up_Irr!AB20&lt;&gt;".",up_Irr!AZ20="."),up_dir!AD20/((1/1000)*(up_Irr!D20+up_Irr!AB20)),IF(AND(up_Irr!D20&lt;&gt;".",up_Irr!AB20=".",up_Irr!AZ20&lt;&gt;"."),up_dir!AD20/((1/1000)*(up_Irr!D20+up_Irr!AZ20)),IF(AND(up_Irr!D20=".",up_Irr!AB20&lt;&gt;".",up_Irr!AZ20&lt;&gt;"."),up_dir!AD20/((1/1000)*(up_Irr!AB20+up_Irr!AZ20)),IF(AND(up_Irr!D20=".",up_Irr!AB20=".",up_Irr!AZ20&lt;&gt;"."),up_dir!AD20/((1/1000)*(up_Irr!AZ20)),IF(AND(up_Irr!D20=".",up_Irr!AB20&lt;&gt;".",up_Irr!AZ20="."),up_dir!AD20/((1/1000)*(up_Irr!AB20)),IF(AND(up_Irr!D20&lt;&gt;".",up_Irr!AB20=".",up_Irr!AZ20="."),up_dir!AD20/((1/1000)*(up_Irr!D20)),IF(AND(up_Irr!D20=".",up_Irr!AB20=".",up_Irr!AZ20="."),up_dir!AD20*1000)))))))),".")</f>
        <v>6.5773651144152131E-4</v>
      </c>
      <c r="BD20" s="48">
        <f>IFERROR(IF(AND(up_Irr!E20&lt;&gt;".",up_Irr!AC20&lt;&gt;".",up_Irr!BA20&lt;&gt;"."),up_dir!AE20/((1/1000)*(up_Irr!E20+up_Irr!AC20+up_Irr!BA20)),IF(AND(up_Irr!E20&lt;&gt;".",up_Irr!AC20&lt;&gt;".",up_Irr!BA20="."),up_dir!AE20/((1/1000)*(up_Irr!E20+up_Irr!AC20)),IF(AND(up_Irr!E20&lt;&gt;".",up_Irr!AC20=".",up_Irr!BA20&lt;&gt;"."),up_dir!AE20/((1/1000)*(up_Irr!E20+up_Irr!BA20)),IF(AND(up_Irr!E20=".",up_Irr!AC20&lt;&gt;".",up_Irr!BA20&lt;&gt;"."),up_dir!AE20/((1/1000)*(up_Irr!AC20+up_Irr!BA20)),IF(AND(up_Irr!E20=".",up_Irr!AC20=".",up_Irr!BA20&lt;&gt;"."),up_dir!AE20/((1/1000)*(up_Irr!BA20)),IF(AND(up_Irr!E20=".",up_Irr!AC20&lt;&gt;".",up_Irr!BA20="."),up_dir!AE20/((1/1000)*(up_Irr!AC20)),IF(AND(up_Irr!E20&lt;&gt;".",up_Irr!AC20=".",up_Irr!BA20="."),up_dir!AE20/((1/1000)*(up_Irr!E20)),IF(AND(up_Irr!E20=".",up_Irr!AC20=".",up_Irr!BA20="."),up_dir!AE20*1000)))))))),".")</f>
        <v>6.5773651144152131E-4</v>
      </c>
      <c r="BE20" s="48">
        <f>IFERROR(IF(AND(up_Irr!F20&lt;&gt;".",up_Irr!AD20&lt;&gt;".",up_Irr!BB20&lt;&gt;"."),up_dir!AF20/((1/1000)*(up_Irr!F20+up_Irr!AD20+up_Irr!BB20)),IF(AND(up_Irr!F20&lt;&gt;".",up_Irr!AD20&lt;&gt;".",up_Irr!BB20="."),up_dir!AF20/((1/1000)*(up_Irr!F20+up_Irr!AD20)),IF(AND(up_Irr!F20&lt;&gt;".",up_Irr!AD20=".",up_Irr!BB20&lt;&gt;"."),up_dir!AF20/((1/1000)*(up_Irr!F20+up_Irr!BB20)),IF(AND(up_Irr!F20=".",up_Irr!AD20&lt;&gt;".",up_Irr!BB20&lt;&gt;"."),up_dir!AF20/((1/1000)*(up_Irr!AD20+up_Irr!BB20)),IF(AND(up_Irr!F20=".",up_Irr!AD20=".",up_Irr!BB20&lt;&gt;"."),up_dir!AF20/((1/1000)*(up_Irr!BB20)),IF(AND(up_Irr!F20=".",up_Irr!AD20&lt;&gt;".",up_Irr!BB20="."),up_dir!AF20/((1/1000)*(up_Irr!AD20)),IF(AND(up_Irr!F20&lt;&gt;".",up_Irr!AD20=".",up_Irr!BB20="."),up_dir!AF20/((1/1000)*(up_Irr!F20)),IF(AND(up_Irr!F20=".",up_Irr!AD20=".",up_Irr!BB20="."),up_dir!AF20*1000)))))))),".")</f>
        <v>6.5773651144152131E-4</v>
      </c>
      <c r="BF20" s="48">
        <f>IFERROR(IF(AND(up_Irr!G20&lt;&gt;".",up_Irr!AE20&lt;&gt;".",up_Irr!BC20&lt;&gt;"."),up_dir!AG20/((1/1000)*(up_Irr!G20+up_Irr!AE20+up_Irr!BC20)),IF(AND(up_Irr!G20&lt;&gt;".",up_Irr!AE20&lt;&gt;".",up_Irr!BC20="."),up_dir!AG20/((1/1000)*(up_Irr!G20+up_Irr!AE20)),IF(AND(up_Irr!G20&lt;&gt;".",up_Irr!AE20=".",up_Irr!BC20&lt;&gt;"."),up_dir!AG20/((1/1000)*(up_Irr!G20+up_Irr!BC20)),IF(AND(up_Irr!G20=".",up_Irr!AE20&lt;&gt;".",up_Irr!BC20&lt;&gt;"."),up_dir!AG20/((1/1000)*(up_Irr!AE20+up_Irr!BC20)),IF(AND(up_Irr!G20=".",up_Irr!AE20=".",up_Irr!BC20&lt;&gt;"."),up_dir!AG20/((1/1000)*(up_Irr!BC20)),IF(AND(up_Irr!G20=".",up_Irr!AE20&lt;&gt;".",up_Irr!BC20="."),up_dir!AG20/((1/1000)*(up_Irr!AE20)),IF(AND(up_Irr!G20&lt;&gt;".",up_Irr!AE20=".",up_Irr!BC20="."),up_dir!AG20/((1/1000)*(up_Irr!G20)),IF(AND(up_Irr!G20=".",up_Irr!AE20=".",up_Irr!BC20="."),up_dir!AG20*1000)))))))),".")</f>
        <v>6.5773651144152131E-4</v>
      </c>
      <c r="BG20" s="48">
        <f>IFERROR(IF(AND(up_Irr!H20&lt;&gt;".",up_Irr!AF20&lt;&gt;".",up_Irr!BD20&lt;&gt;"."),up_dir!AH20/((1/1000)*(up_Irr!H20+up_Irr!AF20+up_Irr!BD20)),IF(AND(up_Irr!H20&lt;&gt;".",up_Irr!AF20&lt;&gt;".",up_Irr!BD20="."),up_dir!AH20/((1/1000)*(up_Irr!H20+up_Irr!AF20)),IF(AND(up_Irr!H20&lt;&gt;".",up_Irr!AF20=".",up_Irr!BD20&lt;&gt;"."),up_dir!AH20/((1/1000)*(up_Irr!H20+up_Irr!BD20)),IF(AND(up_Irr!H20=".",up_Irr!AF20&lt;&gt;".",up_Irr!BD20&lt;&gt;"."),up_dir!AH20/((1/1000)*(up_Irr!AF20+up_Irr!BD20)),IF(AND(up_Irr!H20=".",up_Irr!AF20=".",up_Irr!BD20&lt;&gt;"."),up_dir!AH20/((1/1000)*(up_Irr!BD20)),IF(AND(up_Irr!H20=".",up_Irr!AF20&lt;&gt;".",up_Irr!BD20="."),up_dir!AH20/((1/1000)*(up_Irr!AF20)),IF(AND(up_Irr!H20&lt;&gt;".",up_Irr!AF20=".",up_Irr!BD20="."),up_dir!AH20/((1/1000)*(up_Irr!H20)),IF(AND(up_Irr!H20=".",up_Irr!AF20=".",up_Irr!BD20="."),up_dir!AH20*1000)))))))),".")</f>
        <v>6.5773651144152131E-4</v>
      </c>
      <c r="BH20" s="48">
        <f>IFERROR(IF(AND(up_Irr!I20&lt;&gt;".",up_Irr!AG20&lt;&gt;".",up_Irr!BE20&lt;&gt;"."),up_dir!AI20/((1/1000)*(up_Irr!I20+up_Irr!AG20+up_Irr!BE20)),IF(AND(up_Irr!I20&lt;&gt;".",up_Irr!AG20&lt;&gt;".",up_Irr!BE20="."),up_dir!AI20/((1/1000)*(up_Irr!I20+up_Irr!AG20)),IF(AND(up_Irr!I20&lt;&gt;".",up_Irr!AG20=".",up_Irr!BE20&lt;&gt;"."),up_dir!AI20/((1/1000)*(up_Irr!I20+up_Irr!BE20)),IF(AND(up_Irr!I20=".",up_Irr!AG20&lt;&gt;".",up_Irr!BE20&lt;&gt;"."),up_dir!AI20/((1/1000)*(up_Irr!AG20+up_Irr!BE20)),IF(AND(up_Irr!I20=".",up_Irr!AG20=".",up_Irr!BE20&lt;&gt;"."),up_dir!AI20/((1/1000)*(up_Irr!BE20)),IF(AND(up_Irr!I20=".",up_Irr!AG20&lt;&gt;".",up_Irr!BE20="."),up_dir!AI20/((1/1000)*(up_Irr!AG20)),IF(AND(up_Irr!I20&lt;&gt;".",up_Irr!AG20=".",up_Irr!BE20="."),up_dir!AI20/((1/1000)*(up_Irr!I20)),IF(AND(up_Irr!I20=".",up_Irr!AG20=".",up_Irr!BE20="."),up_dir!AI20*1000)))))))),".")</f>
        <v>6.5773651144152131E-4</v>
      </c>
      <c r="BI20" s="48">
        <f>IFERROR(IF(AND(up_Irr!J20&lt;&gt;".",up_Irr!AH20&lt;&gt;".",up_Irr!BF20&lt;&gt;"."),up_dir!AJ20/((1/1000)*(up_Irr!J20+up_Irr!AH20+up_Irr!BF20)),IF(AND(up_Irr!J20&lt;&gt;".",up_Irr!AH20&lt;&gt;".",up_Irr!BF20="."),up_dir!AJ20/((1/1000)*(up_Irr!J20+up_Irr!AH20)),IF(AND(up_Irr!J20&lt;&gt;".",up_Irr!AH20=".",up_Irr!BF20&lt;&gt;"."),up_dir!AJ20/((1/1000)*(up_Irr!J20+up_Irr!BF20)),IF(AND(up_Irr!J20=".",up_Irr!AH20&lt;&gt;".",up_Irr!BF20&lt;&gt;"."),up_dir!AJ20/((1/1000)*(up_Irr!AH20+up_Irr!BF20)),IF(AND(up_Irr!J20=".",up_Irr!AH20=".",up_Irr!BF20&lt;&gt;"."),up_dir!AJ20/((1/1000)*(up_Irr!BF20)),IF(AND(up_Irr!J20=".",up_Irr!AH20&lt;&gt;".",up_Irr!BF20="."),up_dir!AJ20/((1/1000)*(up_Irr!AH20)),IF(AND(up_Irr!J20&lt;&gt;".",up_Irr!AH20=".",up_Irr!BF20="."),up_dir!AJ20/((1/1000)*(up_Irr!J20)),IF(AND(up_Irr!J20=".",up_Irr!AH20=".",up_Irr!BF20="."),up_dir!AJ20*1000)))))))),".")</f>
        <v>6.5773651144152131E-4</v>
      </c>
      <c r="BJ20" s="48">
        <f>IFERROR(IF(AND(up_Irr!K20&lt;&gt;".",up_Irr!AI20&lt;&gt;".",up_Irr!BG20&lt;&gt;"."),up_dir!AK20/((1/1000)*(up_Irr!K20+up_Irr!AI20+up_Irr!BG20)),IF(AND(up_Irr!K20&lt;&gt;".",up_Irr!AI20&lt;&gt;".",up_Irr!BG20="."),up_dir!AK20/((1/1000)*(up_Irr!K20+up_Irr!AI20)),IF(AND(up_Irr!K20&lt;&gt;".",up_Irr!AI20=".",up_Irr!BG20&lt;&gt;"."),up_dir!AK20/((1/1000)*(up_Irr!K20+up_Irr!BG20)),IF(AND(up_Irr!K20=".",up_Irr!AI20&lt;&gt;".",up_Irr!BG20&lt;&gt;"."),up_dir!AK20/((1/1000)*(up_Irr!AI20+up_Irr!BG20)),IF(AND(up_Irr!K20=".",up_Irr!AI20=".",up_Irr!BG20&lt;&gt;"."),up_dir!AK20/((1/1000)*(up_Irr!BG20)),IF(AND(up_Irr!K20=".",up_Irr!AI20&lt;&gt;".",up_Irr!BG20="."),up_dir!AK20/((1/1000)*(up_Irr!AI20)),IF(AND(up_Irr!K20&lt;&gt;".",up_Irr!AI20=".",up_Irr!BG20="."),up_dir!AK20/((1/1000)*(up_Irr!K20)),IF(AND(up_Irr!K20=".",up_Irr!AI20=".",up_Irr!BG20="."),up_dir!AK20*1000)))))))),".")</f>
        <v>6.5773651144152131E-4</v>
      </c>
      <c r="BK20" s="48">
        <f>IFERROR(IF(AND(up_Irr!L20&lt;&gt;".",up_Irr!AJ20&lt;&gt;".",up_Irr!BH20&lt;&gt;"."),up_dir!AL20/((1/1000)*(up_Irr!L20+up_Irr!AJ20+up_Irr!BH20)),IF(AND(up_Irr!L20&lt;&gt;".",up_Irr!AJ20&lt;&gt;".",up_Irr!BH20="."),up_dir!AL20/((1/1000)*(up_Irr!L20+up_Irr!AJ20)),IF(AND(up_Irr!L20&lt;&gt;".",up_Irr!AJ20=".",up_Irr!BH20&lt;&gt;"."),up_dir!AL20/((1/1000)*(up_Irr!L20+up_Irr!BH20)),IF(AND(up_Irr!L20=".",up_Irr!AJ20&lt;&gt;".",up_Irr!BH20&lt;&gt;"."),up_dir!AL20/((1/1000)*(up_Irr!AJ20+up_Irr!BH20)),IF(AND(up_Irr!L20=".",up_Irr!AJ20=".",up_Irr!BH20&lt;&gt;"."),up_dir!AL20/((1/1000)*(up_Irr!BH20)),IF(AND(up_Irr!L20=".",up_Irr!AJ20&lt;&gt;".",up_Irr!BH20="."),up_dir!AL20/((1/1000)*(up_Irr!AJ20)),IF(AND(up_Irr!L20&lt;&gt;".",up_Irr!AJ20=".",up_Irr!BH20="."),up_dir!AL20/((1/1000)*(up_Irr!L20)),IF(AND(up_Irr!L20=".",up_Irr!AJ20=".",up_Irr!BH20="."),up_dir!AL20*1000)))))))),".")</f>
        <v>6.5773651144152131E-4</v>
      </c>
      <c r="BL20" s="48">
        <f>IFERROR(IF(AND(up_Irr!M20&lt;&gt;".",up_Irr!AK20&lt;&gt;".",up_Irr!BI20&lt;&gt;"."),up_dir!AM20/((1/1000)*(up_Irr!M20+up_Irr!AK20+up_Irr!BI20)),IF(AND(up_Irr!M20&lt;&gt;".",up_Irr!AK20&lt;&gt;".",up_Irr!BI20="."),up_dir!AM20/((1/1000)*(up_Irr!M20+up_Irr!AK20)),IF(AND(up_Irr!M20&lt;&gt;".",up_Irr!AK20=".",up_Irr!BI20&lt;&gt;"."),up_dir!AM20/((1/1000)*(up_Irr!M20+up_Irr!BI20)),IF(AND(up_Irr!M20=".",up_Irr!AK20&lt;&gt;".",up_Irr!BI20&lt;&gt;"."),up_dir!AM20/((1/1000)*(up_Irr!AK20+up_Irr!BI20)),IF(AND(up_Irr!M20=".",up_Irr!AK20=".",up_Irr!BI20&lt;&gt;"."),up_dir!AM20/((1/1000)*(up_Irr!BI20)),IF(AND(up_Irr!M20=".",up_Irr!AK20&lt;&gt;".",up_Irr!BI20="."),up_dir!AM20/((1/1000)*(up_Irr!AK20)),IF(AND(up_Irr!M20&lt;&gt;".",up_Irr!AK20=".",up_Irr!BI20="."),up_dir!AM20/((1/1000)*(up_Irr!M20)),IF(AND(up_Irr!M20=".",up_Irr!AK20=".",up_Irr!BI20="."),up_dir!AM20*1000)))))))),".")</f>
        <v>6.5773651144152131E-4</v>
      </c>
      <c r="BM20" s="48">
        <f>IFERROR(IF(AND(up_Irr!N20&lt;&gt;".",up_Irr!AL20&lt;&gt;".",up_Irr!BJ20&lt;&gt;"."),up_dir!AN20/((1/1000)*(up_Irr!N20+up_Irr!AL20+up_Irr!BJ20)),IF(AND(up_Irr!N20&lt;&gt;".",up_Irr!AL20&lt;&gt;".",up_Irr!BJ20="."),up_dir!AN20/((1/1000)*(up_Irr!N20+up_Irr!AL20)),IF(AND(up_Irr!N20&lt;&gt;".",up_Irr!AL20=".",up_Irr!BJ20&lt;&gt;"."),up_dir!AN20/((1/1000)*(up_Irr!N20+up_Irr!BJ20)),IF(AND(up_Irr!N20=".",up_Irr!AL20&lt;&gt;".",up_Irr!BJ20&lt;&gt;"."),up_dir!AN20/((1/1000)*(up_Irr!AL20+up_Irr!BJ20)),IF(AND(up_Irr!N20=".",up_Irr!AL20=".",up_Irr!BJ20&lt;&gt;"."),up_dir!AN20/((1/1000)*(up_Irr!BJ20)),IF(AND(up_Irr!N20=".",up_Irr!AL20&lt;&gt;".",up_Irr!BJ20="."),up_dir!AN20/((1/1000)*(up_Irr!AL20)),IF(AND(up_Irr!N20&lt;&gt;".",up_Irr!AL20=".",up_Irr!BJ20="."),up_dir!AN20/((1/1000)*(up_Irr!N20)),IF(AND(up_Irr!N20=".",up_Irr!AL20=".",up_Irr!BJ20="."),up_dir!AN20*1000)))))))),".")</f>
        <v>6.5773651144152131E-4</v>
      </c>
      <c r="BN20" s="48">
        <f>IFERROR(IF(AND(up_Irr!O20&lt;&gt;".",up_Irr!AM20&lt;&gt;".",up_Irr!BK20&lt;&gt;"."),up_dir!AO20/((1/1000)*(up_Irr!O20+up_Irr!AM20+up_Irr!BK20)),IF(AND(up_Irr!O20&lt;&gt;".",up_Irr!AM20&lt;&gt;".",up_Irr!BK20="."),up_dir!AO20/((1/1000)*(up_Irr!O20+up_Irr!AM20)),IF(AND(up_Irr!O20&lt;&gt;".",up_Irr!AM20=".",up_Irr!BK20&lt;&gt;"."),up_dir!AO20/((1/1000)*(up_Irr!O20+up_Irr!BK20)),IF(AND(up_Irr!O20=".",up_Irr!AM20&lt;&gt;".",up_Irr!BK20&lt;&gt;"."),up_dir!AO20/((1/1000)*(up_Irr!AM20+up_Irr!BK20)),IF(AND(up_Irr!O20=".",up_Irr!AM20=".",up_Irr!BK20&lt;&gt;"."),up_dir!AO20/((1/1000)*(up_Irr!BK20)),IF(AND(up_Irr!O20=".",up_Irr!AM20&lt;&gt;".",up_Irr!BK20="."),up_dir!AO20/((1/1000)*(up_Irr!AM20)),IF(AND(up_Irr!O20&lt;&gt;".",up_Irr!AM20=".",up_Irr!BK20="."),up_dir!AO20/((1/1000)*(up_Irr!O20)),IF(AND(up_Irr!O20=".",up_Irr!AM20=".",up_Irr!BK20="."),up_dir!AO20*1000)))))))),".")</f>
        <v>6.5773651144152131E-4</v>
      </c>
      <c r="BO20" s="48">
        <f>IFERROR(IF(AND(up_Irr!P20&lt;&gt;".",up_Irr!AN20&lt;&gt;".",up_Irr!BL20&lt;&gt;"."),up_dir!AP20/((1/1000)*(up_Irr!P20+up_Irr!AN20+up_Irr!BL20)),IF(AND(up_Irr!P20&lt;&gt;".",up_Irr!AN20&lt;&gt;".",up_Irr!BL20="."),up_dir!AP20/((1/1000)*(up_Irr!P20+up_Irr!AN20)),IF(AND(up_Irr!P20&lt;&gt;".",up_Irr!AN20=".",up_Irr!BL20&lt;&gt;"."),up_dir!AP20/((1/1000)*(up_Irr!P20+up_Irr!BL20)),IF(AND(up_Irr!P20=".",up_Irr!AN20&lt;&gt;".",up_Irr!BL20&lt;&gt;"."),up_dir!AP20/((1/1000)*(up_Irr!AN20+up_Irr!BL20)),IF(AND(up_Irr!P20=".",up_Irr!AN20=".",up_Irr!BL20&lt;&gt;"."),up_dir!AP20/((1/1000)*(up_Irr!BL20)),IF(AND(up_Irr!P20=".",up_Irr!AN20&lt;&gt;".",up_Irr!BL20="."),up_dir!AP20/((1/1000)*(up_Irr!AN20)),IF(AND(up_Irr!P20&lt;&gt;".",up_Irr!AN20=".",up_Irr!BL20="."),up_dir!AP20/((1/1000)*(up_Irr!P20)),IF(AND(up_Irr!P20=".",up_Irr!AN20=".",up_Irr!BL20="."),up_dir!AP20*1000)))))))),".")</f>
        <v>6.5773651144152131E-4</v>
      </c>
      <c r="BP20" s="48">
        <f>IFERROR(IF(AND(up_Irr!Q20&lt;&gt;".",up_Irr!AO20&lt;&gt;".",up_Irr!BM20&lt;&gt;"."),up_dir!AQ20/((1/1000)*(up_Irr!Q20+up_Irr!AO20+up_Irr!BM20)),IF(AND(up_Irr!Q20&lt;&gt;".",up_Irr!AO20&lt;&gt;".",up_Irr!BM20="."),up_dir!AQ20/((1/1000)*(up_Irr!Q20+up_Irr!AO20)),IF(AND(up_Irr!Q20&lt;&gt;".",up_Irr!AO20=".",up_Irr!BM20&lt;&gt;"."),up_dir!AQ20/((1/1000)*(up_Irr!Q20+up_Irr!BM20)),IF(AND(up_Irr!Q20=".",up_Irr!AO20&lt;&gt;".",up_Irr!BM20&lt;&gt;"."),up_dir!AQ20/((1/1000)*(up_Irr!AO20+up_Irr!BM20)),IF(AND(up_Irr!Q20=".",up_Irr!AO20=".",up_Irr!BM20&lt;&gt;"."),up_dir!AQ20/((1/1000)*(up_Irr!BM20)),IF(AND(up_Irr!Q20=".",up_Irr!AO20&lt;&gt;".",up_Irr!BM20="."),up_dir!AQ20/((1/1000)*(up_Irr!AO20)),IF(AND(up_Irr!Q20&lt;&gt;".",up_Irr!AO20=".",up_Irr!BM20="."),up_dir!AQ20/((1/1000)*(up_Irr!Q20)),IF(AND(up_Irr!Q20=".",up_Irr!AO20=".",up_Irr!BM20="."),up_dir!AQ20*1000)))))))),".")</f>
        <v>6.5773651144152131E-4</v>
      </c>
      <c r="BQ20" s="48">
        <f>IFERROR(IF(AND(up_Irr!R20&lt;&gt;".",up_Irr!AP20&lt;&gt;".",up_Irr!BN20&lt;&gt;"."),up_dir!AR20/((1/1000)*(up_Irr!R20+up_Irr!AP20+up_Irr!BN20)),IF(AND(up_Irr!R20&lt;&gt;".",up_Irr!AP20&lt;&gt;".",up_Irr!BN20="."),up_dir!AR20/((1/1000)*(up_Irr!R20+up_Irr!AP20)),IF(AND(up_Irr!R20&lt;&gt;".",up_Irr!AP20=".",up_Irr!BN20&lt;&gt;"."),up_dir!AR20/((1/1000)*(up_Irr!R20+up_Irr!BN20)),IF(AND(up_Irr!R20=".",up_Irr!AP20&lt;&gt;".",up_Irr!BN20&lt;&gt;"."),up_dir!AR20/((1/1000)*(up_Irr!AP20+up_Irr!BN20)),IF(AND(up_Irr!R20=".",up_Irr!AP20=".",up_Irr!BN20&lt;&gt;"."),up_dir!AR20/((1/1000)*(up_Irr!BN20)),IF(AND(up_Irr!R20=".",up_Irr!AP20&lt;&gt;".",up_Irr!BN20="."),up_dir!AR20/((1/1000)*(up_Irr!AP20)),IF(AND(up_Irr!R20&lt;&gt;".",up_Irr!AP20=".",up_Irr!BN20="."),up_dir!AR20/((1/1000)*(up_Irr!R20)),IF(AND(up_Irr!R20=".",up_Irr!AP20=".",up_Irr!BN20="."),up_dir!AR20*1000)))))))),".")</f>
        <v>6.5773651144152131E-4</v>
      </c>
      <c r="BR20" s="48">
        <f>IFERROR(IF(AND(up_Irr!S20&lt;&gt;".",up_Irr!AQ20&lt;&gt;".",up_Irr!BO20&lt;&gt;"."),up_dir!AS20/((1/1000)*(up_Irr!S20+up_Irr!AQ20+up_Irr!BO20)),IF(AND(up_Irr!S20&lt;&gt;".",up_Irr!AQ20&lt;&gt;".",up_Irr!BO20="."),up_dir!AS20/((1/1000)*(up_Irr!S20+up_Irr!AQ20)),IF(AND(up_Irr!S20&lt;&gt;".",up_Irr!AQ20=".",up_Irr!BO20&lt;&gt;"."),up_dir!AS20/((1/1000)*(up_Irr!S20+up_Irr!BO20)),IF(AND(up_Irr!S20=".",up_Irr!AQ20&lt;&gt;".",up_Irr!BO20&lt;&gt;"."),up_dir!AS20/((1/1000)*(up_Irr!AQ20+up_Irr!BO20)),IF(AND(up_Irr!S20=".",up_Irr!AQ20=".",up_Irr!BO20&lt;&gt;"."),up_dir!AS20/((1/1000)*(up_Irr!BO20)),IF(AND(up_Irr!S20=".",up_Irr!AQ20&lt;&gt;".",up_Irr!BO20="."),up_dir!AS20/((1/1000)*(up_Irr!AQ20)),IF(AND(up_Irr!S20&lt;&gt;".",up_Irr!AQ20=".",up_Irr!BO20="."),up_dir!AS20/((1/1000)*(up_Irr!S20)),IF(AND(up_Irr!S20=".",up_Irr!AQ20=".",up_Irr!BO20="."),up_dir!AS20*1000)))))))),".")</f>
        <v>6.5773651144152131E-4</v>
      </c>
      <c r="BS20" s="48">
        <f>IFERROR(IF(AND(up_Irr!T20&lt;&gt;".",up_Irr!AR20&lt;&gt;".",up_Irr!BP20&lt;&gt;"."),up_dir!AT20/((1/1000)*(up_Irr!T20+up_Irr!AR20+up_Irr!BP20)),IF(AND(up_Irr!T20&lt;&gt;".",up_Irr!AR20&lt;&gt;".",up_Irr!BP20="."),up_dir!AT20/((1/1000)*(up_Irr!T20+up_Irr!AR20)),IF(AND(up_Irr!T20&lt;&gt;".",up_Irr!AR20=".",up_Irr!BP20&lt;&gt;"."),up_dir!AT20/((1/1000)*(up_Irr!T20+up_Irr!BP20)),IF(AND(up_Irr!T20=".",up_Irr!AR20&lt;&gt;".",up_Irr!BP20&lt;&gt;"."),up_dir!AT20/((1/1000)*(up_Irr!AR20+up_Irr!BP20)),IF(AND(up_Irr!T20=".",up_Irr!AR20=".",up_Irr!BP20&lt;&gt;"."),up_dir!AT20/((1/1000)*(up_Irr!BP20)),IF(AND(up_Irr!T20=".",up_Irr!AR20&lt;&gt;".",up_Irr!BP20="."),up_dir!AT20/((1/1000)*(up_Irr!AR20)),IF(AND(up_Irr!T20&lt;&gt;".",up_Irr!AR20=".",up_Irr!BP20="."),up_dir!AT20/((1/1000)*(up_Irr!T20)),IF(AND(up_Irr!T20=".",up_Irr!AR20=".",up_Irr!BP20="."),up_dir!AT20*1000)))))))),".")</f>
        <v>6.5773651144152131E-4</v>
      </c>
      <c r="BT20" s="48">
        <f>IFERROR(IF(AND(up_Irr!U20&lt;&gt;".",up_Irr!AS20&lt;&gt;".",up_Irr!BQ20&lt;&gt;"."),up_dir!AU20/((1/1000)*(up_Irr!U20+up_Irr!AS20+up_Irr!BQ20)),IF(AND(up_Irr!U20&lt;&gt;".",up_Irr!AS20&lt;&gt;".",up_Irr!BQ20="."),up_dir!AU20/((1/1000)*(up_Irr!U20+up_Irr!AS20)),IF(AND(up_Irr!U20&lt;&gt;".",up_Irr!AS20=".",up_Irr!BQ20&lt;&gt;"."),up_dir!AU20/((1/1000)*(up_Irr!U20+up_Irr!BQ20)),IF(AND(up_Irr!U20=".",up_Irr!AS20&lt;&gt;".",up_Irr!BQ20&lt;&gt;"."),up_dir!AU20/((1/1000)*(up_Irr!AS20+up_Irr!BQ20)),IF(AND(up_Irr!U20=".",up_Irr!AS20=".",up_Irr!BQ20&lt;&gt;"."),up_dir!AU20/((1/1000)*(up_Irr!BQ20)),IF(AND(up_Irr!U20=".",up_Irr!AS20&lt;&gt;".",up_Irr!BQ20="."),up_dir!AU20/((1/1000)*(up_Irr!AS20)),IF(AND(up_Irr!U20&lt;&gt;".",up_Irr!AS20=".",up_Irr!BQ20="."),up_dir!AU20/((1/1000)*(up_Irr!U20)),IF(AND(up_Irr!U20=".",up_Irr!AS20=".",up_Irr!BQ20="."),up_dir!AU20*1000)))))))),".")</f>
        <v>6.5773651144152131E-4</v>
      </c>
      <c r="BU20" s="48">
        <f>IFERROR(IF(AND(up_Irr!V20&lt;&gt;".",up_Irr!AT20&lt;&gt;".",up_Irr!BR20&lt;&gt;"."),up_dir!AV20/((1/1000)*(up_Irr!V20+up_Irr!AT20+up_Irr!BR20)),IF(AND(up_Irr!V20&lt;&gt;".",up_Irr!AT20&lt;&gt;".",up_Irr!BR20="."),up_dir!AV20/((1/1000)*(up_Irr!V20+up_Irr!AT20)),IF(AND(up_Irr!V20&lt;&gt;".",up_Irr!AT20=".",up_Irr!BR20&lt;&gt;"."),up_dir!AV20/((1/1000)*(up_Irr!V20+up_Irr!BR20)),IF(AND(up_Irr!V20=".",up_Irr!AT20&lt;&gt;".",up_Irr!BR20&lt;&gt;"."),up_dir!AV20/((1/1000)*(up_Irr!AT20+up_Irr!BR20)),IF(AND(up_Irr!V20=".",up_Irr!AT20=".",up_Irr!BR20&lt;&gt;"."),up_dir!AV20/((1/1000)*(up_Irr!BR20)),IF(AND(up_Irr!V20=".",up_Irr!AT20&lt;&gt;".",up_Irr!BR20="."),up_dir!AV20/((1/1000)*(up_Irr!AT20)),IF(AND(up_Irr!V20&lt;&gt;".",up_Irr!AT20=".",up_Irr!BR20="."),up_dir!AV20/((1/1000)*(up_Irr!V20)),IF(AND(up_Irr!V20=".",up_Irr!AT20=".",up_Irr!BR20="."),up_dir!AV20*1000)))))))),".")</f>
        <v>6.5773651144152131E-4</v>
      </c>
      <c r="BV20" s="48">
        <f>IFERROR(IF(AND(up_Irr!W20&lt;&gt;".",up_Irr!AU20&lt;&gt;".",up_Irr!BS20&lt;&gt;"."),up_dir!AW20/((1/1000)*(up_Irr!W20+up_Irr!AU20+up_Irr!BS20)),IF(AND(up_Irr!W20&lt;&gt;".",up_Irr!AU20&lt;&gt;".",up_Irr!BS20="."),up_dir!AW20/((1/1000)*(up_Irr!W20+up_Irr!AU20)),IF(AND(up_Irr!W20&lt;&gt;".",up_Irr!AU20=".",up_Irr!BS20&lt;&gt;"."),up_dir!AW20/((1/1000)*(up_Irr!W20+up_Irr!BS20)),IF(AND(up_Irr!W20=".",up_Irr!AU20&lt;&gt;".",up_Irr!BS20&lt;&gt;"."),up_dir!AW20/((1/1000)*(up_Irr!AU20+up_Irr!BS20)),IF(AND(up_Irr!W20=".",up_Irr!AU20=".",up_Irr!BS20&lt;&gt;"."),up_dir!AW20/((1/1000)*(up_Irr!BS20)),IF(AND(up_Irr!W20=".",up_Irr!AU20&lt;&gt;".",up_Irr!BS20="."),up_dir!AW20/((1/1000)*(up_Irr!AU20)),IF(AND(up_Irr!W20&lt;&gt;".",up_Irr!AU20=".",up_Irr!BS20="."),up_dir!AW20/((1/1000)*(up_Irr!W20)),IF(AND(up_Irr!W20=".",up_Irr!AU20=".",up_Irr!BS20="."),up_dir!AW20*1000)))))))),".")</f>
        <v>6.5773651144152131E-4</v>
      </c>
      <c r="BW20" s="48">
        <f>IFERROR(IF(AND(up_Irr!X20&lt;&gt;".",up_Irr!AV20&lt;&gt;".",up_Irr!BT20&lt;&gt;"."),up_dir!AX20/((1/1000)*(up_Irr!X20+up_Irr!AV20+up_Irr!BT20)),IF(AND(up_Irr!X20&lt;&gt;".",up_Irr!AV20&lt;&gt;".",up_Irr!BT20="."),up_dir!AX20/((1/1000)*(up_Irr!X20+up_Irr!AV20)),IF(AND(up_Irr!X20&lt;&gt;".",up_Irr!AV20=".",up_Irr!BT20&lt;&gt;"."),up_dir!AX20/((1/1000)*(up_Irr!X20+up_Irr!BT20)),IF(AND(up_Irr!X20=".",up_Irr!AV20&lt;&gt;".",up_Irr!BT20&lt;&gt;"."),up_dir!AX20/((1/1000)*(up_Irr!AV20+up_Irr!BT20)),IF(AND(up_Irr!X20=".",up_Irr!AV20=".",up_Irr!BT20&lt;&gt;"."),up_dir!AX20/((1/1000)*(up_Irr!BT20)),IF(AND(up_Irr!X20=".",up_Irr!AV20&lt;&gt;".",up_Irr!BT20="."),up_dir!AX20/((1/1000)*(up_Irr!AV20)),IF(AND(up_Irr!X20&lt;&gt;".",up_Irr!AV20=".",up_Irr!BT20="."),up_dir!AX20/((1/1000)*(up_Irr!X20)),IF(AND(up_Irr!X20=".",up_Irr!AV20=".",up_Irr!BT20="."),up_dir!AX20*1000)))))))),".")</f>
        <v>6.5773651144152131E-4</v>
      </c>
      <c r="BX20" s="48">
        <f>IFERROR(IF(AND(up_Irr!Y20&lt;&gt;".",up_Irr!AW20&lt;&gt;".",up_Irr!BU20&lt;&gt;"."),up_dir!AY20/((1/1000)*(up_Irr!Y20+up_Irr!AW20+up_Irr!BU20)),IF(AND(up_Irr!Y20&lt;&gt;".",up_Irr!AW20&lt;&gt;".",up_Irr!BU20="."),up_dir!AY20/((1/1000)*(up_Irr!Y20+up_Irr!AW20)),IF(AND(up_Irr!Y20&lt;&gt;".",up_Irr!AW20=".",up_Irr!BU20&lt;&gt;"."),up_dir!AY20/((1/1000)*(up_Irr!Y20+up_Irr!BU20)),IF(AND(up_Irr!Y20=".",up_Irr!AW20&lt;&gt;".",up_Irr!BU20&lt;&gt;"."),up_dir!AY20/((1/1000)*(up_Irr!AW20+up_Irr!BU20)),IF(AND(up_Irr!Y20=".",up_Irr!AW20=".",up_Irr!BU20&lt;&gt;"."),up_dir!AY20/((1/1000)*(up_Irr!BU20)),IF(AND(up_Irr!Y20=".",up_Irr!AW20&lt;&gt;".",up_Irr!BU20="."),up_dir!AY20/((1/1000)*(up_Irr!AW20)),IF(AND(up_Irr!Y20&lt;&gt;".",up_Irr!AW20=".",up_Irr!BU20="."),up_dir!AY20/((1/1000)*(up_Irr!Y20)),IF(AND(up_Irr!Y20=".",up_Irr!AW20=".",up_Irr!BU20="."),up_dir!AY20*1000)))))))),".")</f>
        <v>6.5773651144152131E-4</v>
      </c>
      <c r="BY20" s="48">
        <f>IFERROR(IF(AND(up_Irr!Z20&lt;&gt;".",up_Irr!AX20&lt;&gt;".",up_Irr!BV20&lt;&gt;"."),up_dir!AZ20/((1/1000)*(up_Irr!Z20+up_Irr!AX20+up_Irr!BV20)),IF(AND(up_Irr!Z20&lt;&gt;".",up_Irr!AX20&lt;&gt;".",up_Irr!BV20="."),up_dir!AZ20/((1/1000)*(up_Irr!Z20+up_Irr!AX20)),IF(AND(up_Irr!Z20&lt;&gt;".",up_Irr!AX20=".",up_Irr!BV20&lt;&gt;"."),up_dir!AZ20/((1/1000)*(up_Irr!Z20+up_Irr!BV20)),IF(AND(up_Irr!Z20=".",up_Irr!AX20&lt;&gt;".",up_Irr!BV20&lt;&gt;"."),up_dir!AZ20/((1/1000)*(up_Irr!AX20+up_Irr!BV20)),IF(AND(up_Irr!Z20=".",up_Irr!AX20=".",up_Irr!BV20&lt;&gt;"."),up_dir!AZ20/((1/1000)*(up_Irr!BV20)),IF(AND(up_Irr!Z20=".",up_Irr!AX20&lt;&gt;".",up_Irr!BV20="."),up_dir!AZ20/((1/1000)*(up_Irr!AX20)),IF(AND(up_Irr!Z20&lt;&gt;".",up_Irr!AX20=".",up_Irr!BV20="."),up_dir!AZ20/((1/1000)*(up_Irr!Z20)),IF(AND(up_Irr!Z20=".",up_Irr!AX20=".",up_Irr!BV20="."),up_dir!AZ20*1000)))))))),".")</f>
        <v>6.5773651144152131E-4</v>
      </c>
      <c r="BZ20" s="62">
        <f t="shared" si="3"/>
        <v>22805.4847785862</v>
      </c>
      <c r="CA20" s="62">
        <f>IFERROR(s_C*s_IFAP_far_adj*s_CF_apple*(1/1000)*(up_Irr!C20+up_Irr!AA20+up_Irr!AY20),".")</f>
        <v>7601.8282595287337</v>
      </c>
      <c r="CB20" s="62">
        <f>IFERROR(s_C*s_IFAS_far_adj*s_CF_asparagus*(1/1000)*(up_Irr!D20+up_Irr!AB20+up_Irr!AZ20),".")</f>
        <v>7601.8282595287337</v>
      </c>
      <c r="CC20" s="62">
        <f>IFERROR(s_C*s_IFBT_far_adj*s_CF_beet*(1/1000)*(up_Irr!E20+up_Irr!AC20+up_Irr!BA20),".")</f>
        <v>7601.8282595287337</v>
      </c>
      <c r="CD20" s="62">
        <f>IFERROR(s_C*s_IFBE_far_adj*s_CF_berries*(1/1000)*(up_Irr!F20+up_Irr!AD20+up_Irr!BB20),".")</f>
        <v>7601.8282595287337</v>
      </c>
      <c r="CE20" s="62">
        <f>IFERROR(s_C*s_IFBR_far_adj*s_CF_broccoli*(1/1000)*(up_Irr!G20+up_Irr!AE20+up_Irr!BC20),".")</f>
        <v>7601.8282595287337</v>
      </c>
      <c r="CF20" s="62">
        <f>IFERROR(s_C*s_IFCB_far_adj*s_CF_cabbage*(1/1000)*(up_Irr!H20+up_Irr!AF20+up_Irr!BD20),".")</f>
        <v>7601.8282595287337</v>
      </c>
      <c r="CG20" s="62">
        <f>IFERROR(s_C*s_IFCR_far_adj*s_CF_carrot*(1/1000)*(up_Irr!I20+up_Irr!AG20+up_Irr!BE20),".")</f>
        <v>7601.8282595287337</v>
      </c>
      <c r="CH20" s="62">
        <f>IFERROR(s_C*s_IFCI_far_adj*s_CF_citrus*(1/1000)*(up_Irr!J20+up_Irr!AH20+up_Irr!BF20),".")</f>
        <v>7601.8282595287337</v>
      </c>
      <c r="CI20" s="62">
        <f>IFERROR(s_C*s_IFCO_far_adj*s_CF_corn*(1/1000)*(up_Irr!K20+up_Irr!AI20+up_Irr!BG20),".")</f>
        <v>7601.8282595287337</v>
      </c>
      <c r="CJ20" s="62">
        <f>IFERROR(s_C*s_IFCU_far_adj*s_CF_cucumber*(1/1000)*(up_Irr!L20+up_Irr!AJ20+up_Irr!BH20),".")</f>
        <v>7601.8282595287337</v>
      </c>
      <c r="CK20" s="62">
        <f>IFERROR(s_C*s_IFLE_far_adj*s_CF_lettuce*(1/1000)*(up_Irr!M20+up_Irr!AK20+up_Irr!BI20),".")</f>
        <v>7601.8282595287337</v>
      </c>
      <c r="CL20" s="62">
        <f>IFERROR(s_C*s_IFLI_far_adj*s_CF_lima_bean*(1/1000)*(up_Irr!N20+up_Irr!AL20+up_Irr!BJ20),".")</f>
        <v>7601.8282595287337</v>
      </c>
      <c r="CM20" s="62">
        <f>IFERROR(s_C*s_IFOK_far_adj*s_CF_okra*(1/1000)*(up_Irr!O20+up_Irr!AM20+up_Irr!BK20),".")</f>
        <v>7601.8282595287337</v>
      </c>
      <c r="CN20" s="62">
        <f>IFERROR(s_C*s_IFON_far_adj*s_CF_onion*(1/1000)*(up_Irr!P20+up_Irr!AN20+up_Irr!BL20),".")</f>
        <v>7601.8282595287337</v>
      </c>
      <c r="CO20" s="62">
        <f>IFERROR(s_C*s_IFPC_far_adj*s_CF_peach*(1/1000)*(up_Irr!Q20+up_Irr!AO20+up_Irr!BM20),".")</f>
        <v>7601.8282595287337</v>
      </c>
      <c r="CP20" s="62">
        <f>IFERROR(s_C*s_IFPR_far_adj*s_CF_pear*(1/1000)*(up_Irr!R20+up_Irr!AP20+up_Irr!BN20),".")</f>
        <v>7601.8282595287337</v>
      </c>
      <c r="CQ20" s="62">
        <f>IFERROR(s_C*s_IFPE_far_adj*s_CF_peas*(1/1000)*(up_Irr!S20+up_Irr!AQ20+up_Irr!BO20),".")</f>
        <v>7601.8282595287337</v>
      </c>
      <c r="CR20" s="62">
        <f>IFERROR(s_C*s_IFPT_far_adj*s_CF_potato*(1/1000)*(up_Irr!T20+up_Irr!AR20+up_Irr!BP20),".")</f>
        <v>7601.8282595287337</v>
      </c>
      <c r="CS20" s="62">
        <f>IFERROR(s_C*s_IFPU_far_adj*s_CF_pumpkin*(1/1000)*(up_Irr!U20+up_Irr!AS20+up_Irr!BQ20),".")</f>
        <v>7601.8282595287337</v>
      </c>
      <c r="CT20" s="62">
        <f>IFERROR(s_C*s_IFSN_far_adj*s_CF_snap_bean*(1/1000)*(up_Irr!V20+up_Irr!AT20+up_Irr!BR20),".")</f>
        <v>7601.8282595287337</v>
      </c>
      <c r="CU20" s="62">
        <f>IFERROR(s_C*s_IFST_far_adj*s_CF_strawberry*(1/1000)*(up_Irr!W20+up_Irr!AU20+up_Irr!BS20),".")</f>
        <v>7601.8282595287337</v>
      </c>
      <c r="CV20" s="62">
        <f>IFERROR(s_C*s_IFTO_far_adj*s_CF_tomato*(1/1000)*(up_Irr!X20+up_Irr!AV20+up_Irr!BT20),".")</f>
        <v>7601.8282595287337</v>
      </c>
      <c r="CW20" s="62">
        <f>IFERROR(s_C*s_IFRI_far_adj*s_CF_rice*(1/1000)*(up_Irr!Y20+up_Irr!AW20+up_Irr!BU20),".")</f>
        <v>7601.8282595287337</v>
      </c>
      <c r="CX20" s="62">
        <f>IFERROR(s_C*s_IFCG_far_adj*s_CF_cereal*(1/1000)*(up_Irr!Z20+up_Irr!AX20+up_Irr!BV20),".")</f>
        <v>7601.8282595287337</v>
      </c>
    </row>
    <row r="21" spans="1:102" ht="15" customHeight="1" x14ac:dyDescent="0.25">
      <c r="A21" s="61" t="s">
        <v>19</v>
      </c>
      <c r="B21" s="49" t="s">
        <v>1059</v>
      </c>
      <c r="C21" s="48">
        <f t="shared" si="0"/>
        <v>2.1924550381384044E-4</v>
      </c>
      <c r="D21" s="48">
        <f>IFERROR(IF(AND(up_Irr!C21&lt;&gt;".",up_Irr!AA21&lt;&gt;".",up_Irr!AY21&lt;&gt;"."),up_dir!D21/((1/1000)*(up_Irr!C21+up_Irr!AA21+up_Irr!AY21)),IF(AND(up_Irr!C21&lt;&gt;".",up_Irr!AA21&lt;&gt;".",up_Irr!AY21="."),up_dir!D21/((1/1000)*(up_Irr!C21+up_Irr!AA21)),IF(AND(up_Irr!C21&lt;&gt;".",up_Irr!AA21=".",up_Irr!AY21&lt;&gt;"."),up_dir!D21/((1/1000)*(up_Irr!C21+up_Irr!AY21)),IF(AND(up_Irr!C21=".",up_Irr!AA21&lt;&gt;".",up_Irr!AY21&lt;&gt;"."),up_dir!D21/((1/1000)*(up_Irr!AA21+up_Irr!AY21)),IF(AND(up_Irr!C21=".",up_Irr!AA21=".",up_Irr!AY21&lt;&gt;"."),up_dir!D21/((1/1000)*(up_Irr!AY21)),IF(AND(up_Irr!C21=".",up_Irr!AA21&lt;&gt;".",up_Irr!AY21="."),up_dir!D21/((1/1000)*(up_Irr!AA21)),IF(AND(up_Irr!C21&lt;&gt;".",up_Irr!AA21=".",up_Irr!AY21="."),up_dir!D21/((1/1000)*(up_Irr!C21)),IF(AND(up_Irr!C21=".",up_Irr!AA21=".",up_Irr!AY21="."),up_dir!D21*1000)))))))),".")</f>
        <v>6.5773651144152131E-4</v>
      </c>
      <c r="E21" s="48">
        <f>IFERROR(IF(AND(up_Irr!D21&lt;&gt;".",up_Irr!AB21&lt;&gt;".",up_Irr!AZ21&lt;&gt;"."),up_dir!E21/((1/1000)*(up_Irr!D21+up_Irr!AB21+up_Irr!AZ21)),IF(AND(up_Irr!D21&lt;&gt;".",up_Irr!AB21&lt;&gt;".",up_Irr!AZ21="."),up_dir!E21/((1/1000)*(up_Irr!D21+up_Irr!AB21)),IF(AND(up_Irr!D21&lt;&gt;".",up_Irr!AB21=".",up_Irr!AZ21&lt;&gt;"."),up_dir!E21/((1/1000)*(up_Irr!D21+up_Irr!AZ21)),IF(AND(up_Irr!D21=".",up_Irr!AB21&lt;&gt;".",up_Irr!AZ21&lt;&gt;"."),up_dir!E21/((1/1000)*(up_Irr!AB21+up_Irr!AZ21)),IF(AND(up_Irr!D21=".",up_Irr!AB21=".",up_Irr!AZ21&lt;&gt;"."),up_dir!E21/((1/1000)*(up_Irr!AZ21)),IF(AND(up_Irr!D21=".",up_Irr!AB21&lt;&gt;".",up_Irr!AZ21="."),up_dir!E21/((1/1000)*(up_Irr!AB21)),IF(AND(up_Irr!D21&lt;&gt;".",up_Irr!AB21=".",up_Irr!AZ21="."),up_dir!E21/((1/1000)*(up_Irr!D21)),IF(AND(up_Irr!D21=".",up_Irr!AB21=".",up_Irr!AZ21="."),up_dir!E21*1000)))))))),".")</f>
        <v>6.5773651144152131E-4</v>
      </c>
      <c r="F21" s="48">
        <f>IFERROR(IF(AND(up_Irr!E21&lt;&gt;".",up_Irr!AC21&lt;&gt;".",up_Irr!BA21&lt;&gt;"."),up_dir!F21/((1/1000)*(up_Irr!E21+up_Irr!AC21+up_Irr!BA21)),IF(AND(up_Irr!E21&lt;&gt;".",up_Irr!AC21&lt;&gt;".",up_Irr!BA21="."),up_dir!F21/((1/1000)*(up_Irr!E21+up_Irr!AC21)),IF(AND(up_Irr!E21&lt;&gt;".",up_Irr!AC21=".",up_Irr!BA21&lt;&gt;"."),up_dir!F21/((1/1000)*(up_Irr!E21+up_Irr!BA21)),IF(AND(up_Irr!E21=".",up_Irr!AC21&lt;&gt;".",up_Irr!BA21&lt;&gt;"."),up_dir!F21/((1/1000)*(up_Irr!AC21+up_Irr!BA21)),IF(AND(up_Irr!E21=".",up_Irr!AC21=".",up_Irr!BA21&lt;&gt;"."),up_dir!F21/((1/1000)*(up_Irr!BA21)),IF(AND(up_Irr!E21=".",up_Irr!AC21&lt;&gt;".",up_Irr!BA21="."),up_dir!F21/((1/1000)*(up_Irr!AC21)),IF(AND(up_Irr!E21&lt;&gt;".",up_Irr!AC21=".",up_Irr!BA21="."),up_dir!F21/((1/1000)*(up_Irr!E21)),IF(AND(up_Irr!E21=".",up_Irr!AC21=".",up_Irr!BA21="."),up_dir!F21*1000)))))))),".")</f>
        <v>6.5773651144152131E-4</v>
      </c>
      <c r="G21" s="48">
        <f>IFERROR(IF(AND(up_Irr!F21&lt;&gt;".",up_Irr!AD21&lt;&gt;".",up_Irr!BB21&lt;&gt;"."),up_dir!G21/((1/1000)*(up_Irr!F21+up_Irr!AD21+up_Irr!BB21)),IF(AND(up_Irr!F21&lt;&gt;".",up_Irr!AD21&lt;&gt;".",up_Irr!BB21="."),up_dir!G21/((1/1000)*(up_Irr!F21+up_Irr!AD21)),IF(AND(up_Irr!F21&lt;&gt;".",up_Irr!AD21=".",up_Irr!BB21&lt;&gt;"."),up_dir!G21/((1/1000)*(up_Irr!F21+up_Irr!BB21)),IF(AND(up_Irr!F21=".",up_Irr!AD21&lt;&gt;".",up_Irr!BB21&lt;&gt;"."),up_dir!G21/((1/1000)*(up_Irr!AD21+up_Irr!BB21)),IF(AND(up_Irr!F21=".",up_Irr!AD21=".",up_Irr!BB21&lt;&gt;"."),up_dir!G21/((1/1000)*(up_Irr!BB21)),IF(AND(up_Irr!F21=".",up_Irr!AD21&lt;&gt;".",up_Irr!BB21="."),up_dir!G21/((1/1000)*(up_Irr!AD21)),IF(AND(up_Irr!F21&lt;&gt;".",up_Irr!AD21=".",up_Irr!BB21="."),up_dir!G21/((1/1000)*(up_Irr!F21)),IF(AND(up_Irr!F21=".",up_Irr!AD21=".",up_Irr!BB21="."),up_dir!G21*1000)))))))),".")</f>
        <v>6.5773651144152131E-4</v>
      </c>
      <c r="H21" s="48">
        <f>IFERROR(IF(AND(up_Irr!G21&lt;&gt;".",up_Irr!AE21&lt;&gt;".",up_Irr!BC21&lt;&gt;"."),up_dir!H21/((1/1000)*(up_Irr!G21+up_Irr!AE21+up_Irr!BC21)),IF(AND(up_Irr!G21&lt;&gt;".",up_Irr!AE21&lt;&gt;".",up_Irr!BC21="."),up_dir!H21/((1/1000)*(up_Irr!G21+up_Irr!AE21)),IF(AND(up_Irr!G21&lt;&gt;".",up_Irr!AE21=".",up_Irr!BC21&lt;&gt;"."),up_dir!H21/((1/1000)*(up_Irr!G21+up_Irr!BC21)),IF(AND(up_Irr!G21=".",up_Irr!AE21&lt;&gt;".",up_Irr!BC21&lt;&gt;"."),up_dir!H21/((1/1000)*(up_Irr!AE21+up_Irr!BC21)),IF(AND(up_Irr!G21=".",up_Irr!AE21=".",up_Irr!BC21&lt;&gt;"."),up_dir!H21/((1/1000)*(up_Irr!BC21)),IF(AND(up_Irr!G21=".",up_Irr!AE21&lt;&gt;".",up_Irr!BC21="."),up_dir!H21/((1/1000)*(up_Irr!AE21)),IF(AND(up_Irr!G21&lt;&gt;".",up_Irr!AE21=".",up_Irr!BC21="."),up_dir!H21/((1/1000)*(up_Irr!G21)),IF(AND(up_Irr!G21=".",up_Irr!AE21=".",up_Irr!BC21="."),up_dir!H21*1000)))))))),".")</f>
        <v>6.5773651144152131E-4</v>
      </c>
      <c r="I21" s="48">
        <f>IFERROR(IF(AND(up_Irr!H21&lt;&gt;".",up_Irr!AF21&lt;&gt;".",up_Irr!BD21&lt;&gt;"."),up_dir!I21/((1/1000)*(up_Irr!H21+up_Irr!AF21+up_Irr!BD21)),IF(AND(up_Irr!H21&lt;&gt;".",up_Irr!AF21&lt;&gt;".",up_Irr!BD21="."),up_dir!I21/((1/1000)*(up_Irr!H21+up_Irr!AF21)),IF(AND(up_Irr!H21&lt;&gt;".",up_Irr!AF21=".",up_Irr!BD21&lt;&gt;"."),up_dir!I21/((1/1000)*(up_Irr!H21+up_Irr!BD21)),IF(AND(up_Irr!H21=".",up_Irr!AF21&lt;&gt;".",up_Irr!BD21&lt;&gt;"."),up_dir!I21/((1/1000)*(up_Irr!AF21+up_Irr!BD21)),IF(AND(up_Irr!H21=".",up_Irr!AF21=".",up_Irr!BD21&lt;&gt;"."),up_dir!I21/((1/1000)*(up_Irr!BD21)),IF(AND(up_Irr!H21=".",up_Irr!AF21&lt;&gt;".",up_Irr!BD21="."),up_dir!I21/((1/1000)*(up_Irr!AF21)),IF(AND(up_Irr!H21&lt;&gt;".",up_Irr!AF21=".",up_Irr!BD21="."),up_dir!I21/((1/1000)*(up_Irr!H21)),IF(AND(up_Irr!H21=".",up_Irr!AF21=".",up_Irr!BD21="."),up_dir!I21*1000)))))))),".")</f>
        <v>6.5773651144152131E-4</v>
      </c>
      <c r="J21" s="48">
        <f>IFERROR(IF(AND(up_Irr!I21&lt;&gt;".",up_Irr!AG21&lt;&gt;".",up_Irr!BE21&lt;&gt;"."),up_dir!J21/((1/1000)*(up_Irr!I21+up_Irr!AG21+up_Irr!BE21)),IF(AND(up_Irr!I21&lt;&gt;".",up_Irr!AG21&lt;&gt;".",up_Irr!BE21="."),up_dir!J21/((1/1000)*(up_Irr!I21+up_Irr!AG21)),IF(AND(up_Irr!I21&lt;&gt;".",up_Irr!AG21=".",up_Irr!BE21&lt;&gt;"."),up_dir!J21/((1/1000)*(up_Irr!I21+up_Irr!BE21)),IF(AND(up_Irr!I21=".",up_Irr!AG21&lt;&gt;".",up_Irr!BE21&lt;&gt;"."),up_dir!J21/((1/1000)*(up_Irr!AG21+up_Irr!BE21)),IF(AND(up_Irr!I21=".",up_Irr!AG21=".",up_Irr!BE21&lt;&gt;"."),up_dir!J21/((1/1000)*(up_Irr!BE21)),IF(AND(up_Irr!I21=".",up_Irr!AG21&lt;&gt;".",up_Irr!BE21="."),up_dir!J21/((1/1000)*(up_Irr!AG21)),IF(AND(up_Irr!I21&lt;&gt;".",up_Irr!AG21=".",up_Irr!BE21="."),up_dir!J21/((1/1000)*(up_Irr!I21)),IF(AND(up_Irr!I21=".",up_Irr!AG21=".",up_Irr!BE21="."),up_dir!J21*1000)))))))),".")</f>
        <v>6.5773651144152131E-4</v>
      </c>
      <c r="K21" s="48">
        <f>IFERROR(IF(AND(up_Irr!J21&lt;&gt;".",up_Irr!AH21&lt;&gt;".",up_Irr!BF21&lt;&gt;"."),up_dir!K21/((1/1000)*(up_Irr!J21+up_Irr!AH21+up_Irr!BF21)),IF(AND(up_Irr!J21&lt;&gt;".",up_Irr!AH21&lt;&gt;".",up_Irr!BF21="."),up_dir!K21/((1/1000)*(up_Irr!J21+up_Irr!AH21)),IF(AND(up_Irr!J21&lt;&gt;".",up_Irr!AH21=".",up_Irr!BF21&lt;&gt;"."),up_dir!K21/((1/1000)*(up_Irr!J21+up_Irr!BF21)),IF(AND(up_Irr!J21=".",up_Irr!AH21&lt;&gt;".",up_Irr!BF21&lt;&gt;"."),up_dir!K21/((1/1000)*(up_Irr!AH21+up_Irr!BF21)),IF(AND(up_Irr!J21=".",up_Irr!AH21=".",up_Irr!BF21&lt;&gt;"."),up_dir!K21/((1/1000)*(up_Irr!BF21)),IF(AND(up_Irr!J21=".",up_Irr!AH21&lt;&gt;".",up_Irr!BF21="."),up_dir!K21/((1/1000)*(up_Irr!AH21)),IF(AND(up_Irr!J21&lt;&gt;".",up_Irr!AH21=".",up_Irr!BF21="."),up_dir!K21/((1/1000)*(up_Irr!J21)),IF(AND(up_Irr!J21=".",up_Irr!AH21=".",up_Irr!BF21="."),up_dir!K21*1000)))))))),".")</f>
        <v>6.5773651144152131E-4</v>
      </c>
      <c r="L21" s="48">
        <f>IFERROR(IF(AND(up_Irr!K21&lt;&gt;".",up_Irr!AI21&lt;&gt;".",up_Irr!BG21&lt;&gt;"."),up_dir!L21/((1/1000)*(up_Irr!K21+up_Irr!AI21+up_Irr!BG21)),IF(AND(up_Irr!K21&lt;&gt;".",up_Irr!AI21&lt;&gt;".",up_Irr!BG21="."),up_dir!L21/((1/1000)*(up_Irr!K21+up_Irr!AI21)),IF(AND(up_Irr!K21&lt;&gt;".",up_Irr!AI21=".",up_Irr!BG21&lt;&gt;"."),up_dir!L21/((1/1000)*(up_Irr!K21+up_Irr!BG21)),IF(AND(up_Irr!K21=".",up_Irr!AI21&lt;&gt;".",up_Irr!BG21&lt;&gt;"."),up_dir!L21/((1/1000)*(up_Irr!AI21+up_Irr!BG21)),IF(AND(up_Irr!K21=".",up_Irr!AI21=".",up_Irr!BG21&lt;&gt;"."),up_dir!L21/((1/1000)*(up_Irr!BG21)),IF(AND(up_Irr!K21=".",up_Irr!AI21&lt;&gt;".",up_Irr!BG21="."),up_dir!L21/((1/1000)*(up_Irr!AI21)),IF(AND(up_Irr!K21&lt;&gt;".",up_Irr!AI21=".",up_Irr!BG21="."),up_dir!L21/((1/1000)*(up_Irr!K21)),IF(AND(up_Irr!K21=".",up_Irr!AI21=".",up_Irr!BG21="."),up_dir!L21*1000)))))))),".")</f>
        <v>6.5773651144152131E-4</v>
      </c>
      <c r="M21" s="48">
        <f>IFERROR(IF(AND(up_Irr!L21&lt;&gt;".",up_Irr!AJ21&lt;&gt;".",up_Irr!BH21&lt;&gt;"."),up_dir!M21/((1/1000)*(up_Irr!L21+up_Irr!AJ21+up_Irr!BH21)),IF(AND(up_Irr!L21&lt;&gt;".",up_Irr!AJ21&lt;&gt;".",up_Irr!BH21="."),up_dir!M21/((1/1000)*(up_Irr!L21+up_Irr!AJ21)),IF(AND(up_Irr!L21&lt;&gt;".",up_Irr!AJ21=".",up_Irr!BH21&lt;&gt;"."),up_dir!M21/((1/1000)*(up_Irr!L21+up_Irr!BH21)),IF(AND(up_Irr!L21=".",up_Irr!AJ21&lt;&gt;".",up_Irr!BH21&lt;&gt;"."),up_dir!M21/((1/1000)*(up_Irr!AJ21+up_Irr!BH21)),IF(AND(up_Irr!L21=".",up_Irr!AJ21=".",up_Irr!BH21&lt;&gt;"."),up_dir!M21/((1/1000)*(up_Irr!BH21)),IF(AND(up_Irr!L21=".",up_Irr!AJ21&lt;&gt;".",up_Irr!BH21="."),up_dir!M21/((1/1000)*(up_Irr!AJ21)),IF(AND(up_Irr!L21&lt;&gt;".",up_Irr!AJ21=".",up_Irr!BH21="."),up_dir!M21/((1/1000)*(up_Irr!L21)),IF(AND(up_Irr!L21=".",up_Irr!AJ21=".",up_Irr!BH21="."),up_dir!M21*1000)))))))),".")</f>
        <v>6.5773651144152131E-4</v>
      </c>
      <c r="N21" s="48">
        <f>IFERROR(IF(AND(up_Irr!M21&lt;&gt;".",up_Irr!AK21&lt;&gt;".",up_Irr!BI21&lt;&gt;"."),up_dir!N21/((1/1000)*(up_Irr!M21+up_Irr!AK21+up_Irr!BI21)),IF(AND(up_Irr!M21&lt;&gt;".",up_Irr!AK21&lt;&gt;".",up_Irr!BI21="."),up_dir!N21/((1/1000)*(up_Irr!M21+up_Irr!AK21)),IF(AND(up_Irr!M21&lt;&gt;".",up_Irr!AK21=".",up_Irr!BI21&lt;&gt;"."),up_dir!N21/((1/1000)*(up_Irr!M21+up_Irr!BI21)),IF(AND(up_Irr!M21=".",up_Irr!AK21&lt;&gt;".",up_Irr!BI21&lt;&gt;"."),up_dir!N21/((1/1000)*(up_Irr!AK21+up_Irr!BI21)),IF(AND(up_Irr!M21=".",up_Irr!AK21=".",up_Irr!BI21&lt;&gt;"."),up_dir!N21/((1/1000)*(up_Irr!BI21)),IF(AND(up_Irr!M21=".",up_Irr!AK21&lt;&gt;".",up_Irr!BI21="."),up_dir!N21/((1/1000)*(up_Irr!AK21)),IF(AND(up_Irr!M21&lt;&gt;".",up_Irr!AK21=".",up_Irr!BI21="."),up_dir!N21/((1/1000)*(up_Irr!M21)),IF(AND(up_Irr!M21=".",up_Irr!AK21=".",up_Irr!BI21="."),up_dir!N21*1000)))))))),".")</f>
        <v>6.5773651144152131E-4</v>
      </c>
      <c r="O21" s="48">
        <f>IFERROR(IF(AND(up_Irr!N21&lt;&gt;".",up_Irr!AL21&lt;&gt;".",up_Irr!BJ21&lt;&gt;"."),up_dir!O21/((1/1000)*(up_Irr!N21+up_Irr!AL21+up_Irr!BJ21)),IF(AND(up_Irr!N21&lt;&gt;".",up_Irr!AL21&lt;&gt;".",up_Irr!BJ21="."),up_dir!O21/((1/1000)*(up_Irr!N21+up_Irr!AL21)),IF(AND(up_Irr!N21&lt;&gt;".",up_Irr!AL21=".",up_Irr!BJ21&lt;&gt;"."),up_dir!O21/((1/1000)*(up_Irr!N21+up_Irr!BJ21)),IF(AND(up_Irr!N21=".",up_Irr!AL21&lt;&gt;".",up_Irr!BJ21&lt;&gt;"."),up_dir!O21/((1/1000)*(up_Irr!AL21+up_Irr!BJ21)),IF(AND(up_Irr!N21=".",up_Irr!AL21=".",up_Irr!BJ21&lt;&gt;"."),up_dir!O21/((1/1000)*(up_Irr!BJ21)),IF(AND(up_Irr!N21=".",up_Irr!AL21&lt;&gt;".",up_Irr!BJ21="."),up_dir!O21/((1/1000)*(up_Irr!AL21)),IF(AND(up_Irr!N21&lt;&gt;".",up_Irr!AL21=".",up_Irr!BJ21="."),up_dir!O21/((1/1000)*(up_Irr!N21)),IF(AND(up_Irr!N21=".",up_Irr!AL21=".",up_Irr!BJ21="."),up_dir!O21*1000)))))))),".")</f>
        <v>6.5773651144152131E-4</v>
      </c>
      <c r="P21" s="48">
        <f>IFERROR(IF(AND(up_Irr!O21&lt;&gt;".",up_Irr!AM21&lt;&gt;".",up_Irr!BK21&lt;&gt;"."),up_dir!P21/((1/1000)*(up_Irr!O21+up_Irr!AM21+up_Irr!BK21)),IF(AND(up_Irr!O21&lt;&gt;".",up_Irr!AM21&lt;&gt;".",up_Irr!BK21="."),up_dir!P21/((1/1000)*(up_Irr!O21+up_Irr!AM21)),IF(AND(up_Irr!O21&lt;&gt;".",up_Irr!AM21=".",up_Irr!BK21&lt;&gt;"."),up_dir!P21/((1/1000)*(up_Irr!O21+up_Irr!BK21)),IF(AND(up_Irr!O21=".",up_Irr!AM21&lt;&gt;".",up_Irr!BK21&lt;&gt;"."),up_dir!P21/((1/1000)*(up_Irr!AM21+up_Irr!BK21)),IF(AND(up_Irr!O21=".",up_Irr!AM21=".",up_Irr!BK21&lt;&gt;"."),up_dir!P21/((1/1000)*(up_Irr!BK21)),IF(AND(up_Irr!O21=".",up_Irr!AM21&lt;&gt;".",up_Irr!BK21="."),up_dir!P21/((1/1000)*(up_Irr!AM21)),IF(AND(up_Irr!O21&lt;&gt;".",up_Irr!AM21=".",up_Irr!BK21="."),up_dir!P21/((1/1000)*(up_Irr!O21)),IF(AND(up_Irr!O21=".",up_Irr!AM21=".",up_Irr!BK21="."),up_dir!P21*1000)))))))),".")</f>
        <v>6.5773651144152131E-4</v>
      </c>
      <c r="Q21" s="48">
        <f>IFERROR(IF(AND(up_Irr!P21&lt;&gt;".",up_Irr!AN21&lt;&gt;".",up_Irr!BL21&lt;&gt;"."),up_dir!Q21/((1/1000)*(up_Irr!P21+up_Irr!AN21+up_Irr!BL21)),IF(AND(up_Irr!P21&lt;&gt;".",up_Irr!AN21&lt;&gt;".",up_Irr!BL21="."),up_dir!Q21/((1/1000)*(up_Irr!P21+up_Irr!AN21)),IF(AND(up_Irr!P21&lt;&gt;".",up_Irr!AN21=".",up_Irr!BL21&lt;&gt;"."),up_dir!Q21/((1/1000)*(up_Irr!P21+up_Irr!BL21)),IF(AND(up_Irr!P21=".",up_Irr!AN21&lt;&gt;".",up_Irr!BL21&lt;&gt;"."),up_dir!Q21/((1/1000)*(up_Irr!AN21+up_Irr!BL21)),IF(AND(up_Irr!P21=".",up_Irr!AN21=".",up_Irr!BL21&lt;&gt;"."),up_dir!Q21/((1/1000)*(up_Irr!BL21)),IF(AND(up_Irr!P21=".",up_Irr!AN21&lt;&gt;".",up_Irr!BL21="."),up_dir!Q21/((1/1000)*(up_Irr!AN21)),IF(AND(up_Irr!P21&lt;&gt;".",up_Irr!AN21=".",up_Irr!BL21="."),up_dir!Q21/((1/1000)*(up_Irr!P21)),IF(AND(up_Irr!P21=".",up_Irr!AN21=".",up_Irr!BL21="."),up_dir!Q21*1000)))))))),".")</f>
        <v>6.5773651144152131E-4</v>
      </c>
      <c r="R21" s="48">
        <f>IFERROR(IF(AND(up_Irr!Q21&lt;&gt;".",up_Irr!AO21&lt;&gt;".",up_Irr!BM21&lt;&gt;"."),up_dir!R21/((1/1000)*(up_Irr!Q21+up_Irr!AO21+up_Irr!BM21)),IF(AND(up_Irr!Q21&lt;&gt;".",up_Irr!AO21&lt;&gt;".",up_Irr!BM21="."),up_dir!R21/((1/1000)*(up_Irr!Q21+up_Irr!AO21)),IF(AND(up_Irr!Q21&lt;&gt;".",up_Irr!AO21=".",up_Irr!BM21&lt;&gt;"."),up_dir!R21/((1/1000)*(up_Irr!Q21+up_Irr!BM21)),IF(AND(up_Irr!Q21=".",up_Irr!AO21&lt;&gt;".",up_Irr!BM21&lt;&gt;"."),up_dir!R21/((1/1000)*(up_Irr!AO21+up_Irr!BM21)),IF(AND(up_Irr!Q21=".",up_Irr!AO21=".",up_Irr!BM21&lt;&gt;"."),up_dir!R21/((1/1000)*(up_Irr!BM21)),IF(AND(up_Irr!Q21=".",up_Irr!AO21&lt;&gt;".",up_Irr!BM21="."),up_dir!R21/((1/1000)*(up_Irr!AO21)),IF(AND(up_Irr!Q21&lt;&gt;".",up_Irr!AO21=".",up_Irr!BM21="."),up_dir!R21/((1/1000)*(up_Irr!Q21)),IF(AND(up_Irr!Q21=".",up_Irr!AO21=".",up_Irr!BM21="."),up_dir!R21*1000)))))))),".")</f>
        <v>6.5773651144152131E-4</v>
      </c>
      <c r="S21" s="48">
        <f>IFERROR(IF(AND(up_Irr!R21&lt;&gt;".",up_Irr!AP21&lt;&gt;".",up_Irr!BN21&lt;&gt;"."),up_dir!S21/((1/1000)*(up_Irr!R21+up_Irr!AP21+up_Irr!BN21)),IF(AND(up_Irr!R21&lt;&gt;".",up_Irr!AP21&lt;&gt;".",up_Irr!BN21="."),up_dir!S21/((1/1000)*(up_Irr!R21+up_Irr!AP21)),IF(AND(up_Irr!R21&lt;&gt;".",up_Irr!AP21=".",up_Irr!BN21&lt;&gt;"."),up_dir!S21/((1/1000)*(up_Irr!R21+up_Irr!BN21)),IF(AND(up_Irr!R21=".",up_Irr!AP21&lt;&gt;".",up_Irr!BN21&lt;&gt;"."),up_dir!S21/((1/1000)*(up_Irr!AP21+up_Irr!BN21)),IF(AND(up_Irr!R21=".",up_Irr!AP21=".",up_Irr!BN21&lt;&gt;"."),up_dir!S21/((1/1000)*(up_Irr!BN21)),IF(AND(up_Irr!R21=".",up_Irr!AP21&lt;&gt;".",up_Irr!BN21="."),up_dir!S21/((1/1000)*(up_Irr!AP21)),IF(AND(up_Irr!R21&lt;&gt;".",up_Irr!AP21=".",up_Irr!BN21="."),up_dir!S21/((1/1000)*(up_Irr!R21)),IF(AND(up_Irr!R21=".",up_Irr!AP21=".",up_Irr!BN21="."),up_dir!S21*1000)))))))),".")</f>
        <v>6.5773651144152131E-4</v>
      </c>
      <c r="T21" s="48">
        <f>IFERROR(IF(AND(up_Irr!S21&lt;&gt;".",up_Irr!AQ21&lt;&gt;".",up_Irr!BO21&lt;&gt;"."),up_dir!T21/((1/1000)*(up_Irr!S21+up_Irr!AQ21+up_Irr!BO21)),IF(AND(up_Irr!S21&lt;&gt;".",up_Irr!AQ21&lt;&gt;".",up_Irr!BO21="."),up_dir!T21/((1/1000)*(up_Irr!S21+up_Irr!AQ21)),IF(AND(up_Irr!S21&lt;&gt;".",up_Irr!AQ21=".",up_Irr!BO21&lt;&gt;"."),up_dir!T21/((1/1000)*(up_Irr!S21+up_Irr!BO21)),IF(AND(up_Irr!S21=".",up_Irr!AQ21&lt;&gt;".",up_Irr!BO21&lt;&gt;"."),up_dir!T21/((1/1000)*(up_Irr!AQ21+up_Irr!BO21)),IF(AND(up_Irr!S21=".",up_Irr!AQ21=".",up_Irr!BO21&lt;&gt;"."),up_dir!T21/((1/1000)*(up_Irr!BO21)),IF(AND(up_Irr!S21=".",up_Irr!AQ21&lt;&gt;".",up_Irr!BO21="."),up_dir!T21/((1/1000)*(up_Irr!AQ21)),IF(AND(up_Irr!S21&lt;&gt;".",up_Irr!AQ21=".",up_Irr!BO21="."),up_dir!T21/((1/1000)*(up_Irr!S21)),IF(AND(up_Irr!S21=".",up_Irr!AQ21=".",up_Irr!BO21="."),up_dir!T21*1000)))))))),".")</f>
        <v>6.5773651144152131E-4</v>
      </c>
      <c r="U21" s="48">
        <f>IFERROR(IF(AND(up_Irr!T21&lt;&gt;".",up_Irr!AR21&lt;&gt;".",up_Irr!BP21&lt;&gt;"."),up_dir!U21/((1/1000)*(up_Irr!T21+up_Irr!AR21+up_Irr!BP21)),IF(AND(up_Irr!T21&lt;&gt;".",up_Irr!AR21&lt;&gt;".",up_Irr!BP21="."),up_dir!U21/((1/1000)*(up_Irr!T21+up_Irr!AR21)),IF(AND(up_Irr!T21&lt;&gt;".",up_Irr!AR21=".",up_Irr!BP21&lt;&gt;"."),up_dir!U21/((1/1000)*(up_Irr!T21+up_Irr!BP21)),IF(AND(up_Irr!T21=".",up_Irr!AR21&lt;&gt;".",up_Irr!BP21&lt;&gt;"."),up_dir!U21/((1/1000)*(up_Irr!AR21+up_Irr!BP21)),IF(AND(up_Irr!T21=".",up_Irr!AR21=".",up_Irr!BP21&lt;&gt;"."),up_dir!U21/((1/1000)*(up_Irr!BP21)),IF(AND(up_Irr!T21=".",up_Irr!AR21&lt;&gt;".",up_Irr!BP21="."),up_dir!U21/((1/1000)*(up_Irr!AR21)),IF(AND(up_Irr!T21&lt;&gt;".",up_Irr!AR21=".",up_Irr!BP21="."),up_dir!U21/((1/1000)*(up_Irr!T21)),IF(AND(up_Irr!T21=".",up_Irr!AR21=".",up_Irr!BP21="."),up_dir!U21*1000)))))))),".")</f>
        <v>6.5773651144152131E-4</v>
      </c>
      <c r="V21" s="48">
        <f>IFERROR(IF(AND(up_Irr!U21&lt;&gt;".",up_Irr!AS21&lt;&gt;".",up_Irr!BQ21&lt;&gt;"."),up_dir!V21/((1/1000)*(up_Irr!U21+up_Irr!AS21+up_Irr!BQ21)),IF(AND(up_Irr!U21&lt;&gt;".",up_Irr!AS21&lt;&gt;".",up_Irr!BQ21="."),up_dir!V21/((1/1000)*(up_Irr!U21+up_Irr!AS21)),IF(AND(up_Irr!U21&lt;&gt;".",up_Irr!AS21=".",up_Irr!BQ21&lt;&gt;"."),up_dir!V21/((1/1000)*(up_Irr!U21+up_Irr!BQ21)),IF(AND(up_Irr!U21=".",up_Irr!AS21&lt;&gt;".",up_Irr!BQ21&lt;&gt;"."),up_dir!V21/((1/1000)*(up_Irr!AS21+up_Irr!BQ21)),IF(AND(up_Irr!U21=".",up_Irr!AS21=".",up_Irr!BQ21&lt;&gt;"."),up_dir!V21/((1/1000)*(up_Irr!BQ21)),IF(AND(up_Irr!U21=".",up_Irr!AS21&lt;&gt;".",up_Irr!BQ21="."),up_dir!V21/((1/1000)*(up_Irr!AS21)),IF(AND(up_Irr!U21&lt;&gt;".",up_Irr!AS21=".",up_Irr!BQ21="."),up_dir!V21/((1/1000)*(up_Irr!U21)),IF(AND(up_Irr!U21=".",up_Irr!AS21=".",up_Irr!BQ21="."),up_dir!V21*1000)))))))),".")</f>
        <v>6.5773651144152131E-4</v>
      </c>
      <c r="W21" s="48">
        <f>IFERROR(IF(AND(up_Irr!V21&lt;&gt;".",up_Irr!AT21&lt;&gt;".",up_Irr!BR21&lt;&gt;"."),up_dir!W21/((1/1000)*(up_Irr!V21+up_Irr!AT21+up_Irr!BR21)),IF(AND(up_Irr!V21&lt;&gt;".",up_Irr!AT21&lt;&gt;".",up_Irr!BR21="."),up_dir!W21/((1/1000)*(up_Irr!V21+up_Irr!AT21)),IF(AND(up_Irr!V21&lt;&gt;".",up_Irr!AT21=".",up_Irr!BR21&lt;&gt;"."),up_dir!W21/((1/1000)*(up_Irr!V21+up_Irr!BR21)),IF(AND(up_Irr!V21=".",up_Irr!AT21&lt;&gt;".",up_Irr!BR21&lt;&gt;"."),up_dir!W21/((1/1000)*(up_Irr!AT21+up_Irr!BR21)),IF(AND(up_Irr!V21=".",up_Irr!AT21=".",up_Irr!BR21&lt;&gt;"."),up_dir!W21/((1/1000)*(up_Irr!BR21)),IF(AND(up_Irr!V21=".",up_Irr!AT21&lt;&gt;".",up_Irr!BR21="."),up_dir!W21/((1/1000)*(up_Irr!AT21)),IF(AND(up_Irr!V21&lt;&gt;".",up_Irr!AT21=".",up_Irr!BR21="."),up_dir!W21/((1/1000)*(up_Irr!V21)),IF(AND(up_Irr!V21=".",up_Irr!AT21=".",up_Irr!BR21="."),up_dir!W21*1000)))))))),".")</f>
        <v>6.5773651144152131E-4</v>
      </c>
      <c r="X21" s="48">
        <f>IFERROR(IF(AND(up_Irr!W21&lt;&gt;".",up_Irr!AU21&lt;&gt;".",up_Irr!BS21&lt;&gt;"."),up_dir!X21/((1/1000)*(up_Irr!W21+up_Irr!AU21+up_Irr!BS21)),IF(AND(up_Irr!W21&lt;&gt;".",up_Irr!AU21&lt;&gt;".",up_Irr!BS21="."),up_dir!X21/((1/1000)*(up_Irr!W21+up_Irr!AU21)),IF(AND(up_Irr!W21&lt;&gt;".",up_Irr!AU21=".",up_Irr!BS21&lt;&gt;"."),up_dir!X21/((1/1000)*(up_Irr!W21+up_Irr!BS21)),IF(AND(up_Irr!W21=".",up_Irr!AU21&lt;&gt;".",up_Irr!BS21&lt;&gt;"."),up_dir!X21/((1/1000)*(up_Irr!AU21+up_Irr!BS21)),IF(AND(up_Irr!W21=".",up_Irr!AU21=".",up_Irr!BS21&lt;&gt;"."),up_dir!X21/((1/1000)*(up_Irr!BS21)),IF(AND(up_Irr!W21=".",up_Irr!AU21&lt;&gt;".",up_Irr!BS21="."),up_dir!X21/((1/1000)*(up_Irr!AU21)),IF(AND(up_Irr!W21&lt;&gt;".",up_Irr!AU21=".",up_Irr!BS21="."),up_dir!X21/((1/1000)*(up_Irr!W21)),IF(AND(up_Irr!W21=".",up_Irr!AU21=".",up_Irr!BS21="."),up_dir!X21*1000)))))))),".")</f>
        <v>6.5773651144152131E-4</v>
      </c>
      <c r="Y21" s="48">
        <f>IFERROR(IF(AND(up_Irr!X21&lt;&gt;".",up_Irr!AV21&lt;&gt;".",up_Irr!BT21&lt;&gt;"."),up_dir!Y21/((1/1000)*(up_Irr!X21+up_Irr!AV21+up_Irr!BT21)),IF(AND(up_Irr!X21&lt;&gt;".",up_Irr!AV21&lt;&gt;".",up_Irr!BT21="."),up_dir!Y21/((1/1000)*(up_Irr!X21+up_Irr!AV21)),IF(AND(up_Irr!X21&lt;&gt;".",up_Irr!AV21=".",up_Irr!BT21&lt;&gt;"."),up_dir!Y21/((1/1000)*(up_Irr!X21+up_Irr!BT21)),IF(AND(up_Irr!X21=".",up_Irr!AV21&lt;&gt;".",up_Irr!BT21&lt;&gt;"."),up_dir!Y21/((1/1000)*(up_Irr!AV21+up_Irr!BT21)),IF(AND(up_Irr!X21=".",up_Irr!AV21=".",up_Irr!BT21&lt;&gt;"."),up_dir!Y21/((1/1000)*(up_Irr!BT21)),IF(AND(up_Irr!X21=".",up_Irr!AV21&lt;&gt;".",up_Irr!BT21="."),up_dir!Y21/((1/1000)*(up_Irr!AV21)),IF(AND(up_Irr!X21&lt;&gt;".",up_Irr!AV21=".",up_Irr!BT21="."),up_dir!Y21/((1/1000)*(up_Irr!X21)),IF(AND(up_Irr!X21=".",up_Irr!AV21=".",up_Irr!BT21="."),up_dir!Y21*1000)))))))),".")</f>
        <v>6.5773651144152131E-4</v>
      </c>
      <c r="Z21" s="48">
        <f>IFERROR(IF(AND(up_Irr!Y21&lt;&gt;".",up_Irr!AW21&lt;&gt;".",up_Irr!BU21&lt;&gt;"."),up_dir!Z21/((1/1000)*(up_Irr!Y21+up_Irr!AW21+up_Irr!BU21)),IF(AND(up_Irr!Y21&lt;&gt;".",up_Irr!AW21&lt;&gt;".",up_Irr!BU21="."),up_dir!Z21/((1/1000)*(up_Irr!Y21+up_Irr!AW21)),IF(AND(up_Irr!Y21&lt;&gt;".",up_Irr!AW21=".",up_Irr!BU21&lt;&gt;"."),up_dir!Z21/((1/1000)*(up_Irr!Y21+up_Irr!BU21)),IF(AND(up_Irr!Y21=".",up_Irr!AW21&lt;&gt;".",up_Irr!BU21&lt;&gt;"."),up_dir!Z21/((1/1000)*(up_Irr!AW21+up_Irr!BU21)),IF(AND(up_Irr!Y21=".",up_Irr!AW21=".",up_Irr!BU21&lt;&gt;"."),up_dir!Z21/((1/1000)*(up_Irr!BU21)),IF(AND(up_Irr!Y21=".",up_Irr!AW21&lt;&gt;".",up_Irr!BU21="."),up_dir!Z21/((1/1000)*(up_Irr!AW21)),IF(AND(up_Irr!Y21&lt;&gt;".",up_Irr!AW21=".",up_Irr!BU21="."),up_dir!Z21/((1/1000)*(up_Irr!Y21)),IF(AND(up_Irr!Y21=".",up_Irr!AW21=".",up_Irr!BU21="."),up_dir!Z21*1000)))))))),".")</f>
        <v>6.5773651144152131E-4</v>
      </c>
      <c r="AA21" s="48">
        <f>IFERROR(IF(AND(up_Irr!Z21&lt;&gt;".",up_Irr!AX21&lt;&gt;".",up_Irr!BV21&lt;&gt;"."),up_dir!AA21/((1/1000)*(up_Irr!Z21+up_Irr!AX21+up_Irr!BV21)),IF(AND(up_Irr!Z21&lt;&gt;".",up_Irr!AX21&lt;&gt;".",up_Irr!BV21="."),up_dir!AA21/((1/1000)*(up_Irr!Z21+up_Irr!AX21)),IF(AND(up_Irr!Z21&lt;&gt;".",up_Irr!AX21=".",up_Irr!BV21&lt;&gt;"."),up_dir!AA21/((1/1000)*(up_Irr!Z21+up_Irr!BV21)),IF(AND(up_Irr!Z21=".",up_Irr!AX21&lt;&gt;".",up_Irr!BV21&lt;&gt;"."),up_dir!AA21/((1/1000)*(up_Irr!AX21+up_Irr!BV21)),IF(AND(up_Irr!Z21=".",up_Irr!AX21=".",up_Irr!BV21&lt;&gt;"."),up_dir!AA21/((1/1000)*(up_Irr!BV21)),IF(AND(up_Irr!Z21=".",up_Irr!AX21&lt;&gt;".",up_Irr!BV21="."),up_dir!AA21/((1/1000)*(up_Irr!AX21)),IF(AND(up_Irr!Z21&lt;&gt;".",up_Irr!AX21=".",up_Irr!BV21="."),up_dir!AA21/((1/1000)*(up_Irr!Z21)),IF(AND(up_Irr!Z21=".",up_Irr!AX21=".",up_Irr!BV21="."),up_dir!AA21*1000)))))))),".")</f>
        <v>6.5773651144152131E-4</v>
      </c>
      <c r="AB21" s="62">
        <f t="shared" si="1"/>
        <v>22805.4847785862</v>
      </c>
      <c r="AC21" s="62">
        <f>IFERROR(s_C*s_IFAP_res_adj*s_CF_apple*0.001*(up_Irr!C21+up_Irr!AA21+up_Irr!AY21),".")</f>
        <v>7601.8282595287337</v>
      </c>
      <c r="AD21" s="62">
        <f>IFERROR(s_C*s_IFAS_res_adj*s_CF_asparagus*0.001*(up_Irr!D21+up_Irr!AB21+up_Irr!AZ21),".")</f>
        <v>7601.8282595287337</v>
      </c>
      <c r="AE21" s="62">
        <f>IFERROR(s_C*s_IFBT_res_adj*s_CF_beet*0.001*(up_Irr!E21+up_Irr!AC21+up_Irr!BA21),".")</f>
        <v>7601.8282595287337</v>
      </c>
      <c r="AF21" s="62">
        <f>IFERROR(s_C*s_IFBE_res_adj*s_CF_berries*0.001*(up_Irr!F21+up_Irr!AD21+up_Irr!BB21),".")</f>
        <v>7601.8282595287337</v>
      </c>
      <c r="AG21" s="62">
        <f>IFERROR(s_C*s_IFBR_res_adj*s_CF_broccoli*0.001*(up_Irr!G21+up_Irr!AE21+up_Irr!BC21),".")</f>
        <v>7601.8282595287337</v>
      </c>
      <c r="AH21" s="62">
        <f>IFERROR(s_C*s_IFCB_res_adj*s_CF_cabbage*0.001*(up_Irr!H21+up_Irr!AF21+up_Irr!BD21),".")</f>
        <v>7601.8282595287337</v>
      </c>
      <c r="AI21" s="62">
        <f>IFERROR(s_C*s_IFCR_res_adj*s_CF_carrot*0.001*(up_Irr!I21+up_Irr!AG21+up_Irr!BE21),".")</f>
        <v>7601.8282595287337</v>
      </c>
      <c r="AJ21" s="62">
        <f>IFERROR(s_C*s_IFCI_res_adj*s_CF_citrus*0.001*(up_Irr!J21+up_Irr!AH21+up_Irr!BF21),".")</f>
        <v>7601.8282595287337</v>
      </c>
      <c r="AK21" s="62">
        <f>IFERROR(s_C*s_IFCO_res_adj*s_CF_corn*0.001*(up_Irr!K21+up_Irr!AI21+up_Irr!BG21),".")</f>
        <v>7601.8282595287337</v>
      </c>
      <c r="AL21" s="62">
        <f>IFERROR(s_C*s_IFCU_res_adj*s_CF_cucumber*0.001*(up_Irr!L21+up_Irr!AJ21+up_Irr!BH21),".")</f>
        <v>7601.8282595287337</v>
      </c>
      <c r="AM21" s="62">
        <f>IFERROR(s_C*s_IFLE_res_adj*s_CF_lettuce*0.001*(up_Irr!M21+up_Irr!AK21+up_Irr!BI21),".")</f>
        <v>7601.8282595287337</v>
      </c>
      <c r="AN21" s="62">
        <f>IFERROR(s_C*s_IFLI_res_adj*s_CF_lima_bean*0.001*(up_Irr!N21+up_Irr!AL21+up_Irr!BJ21),".")</f>
        <v>7601.8282595287337</v>
      </c>
      <c r="AO21" s="62">
        <f>IFERROR(s_C*s_IFOK_res_adj*s_CF_okra*0.001*(up_Irr!O21+up_Irr!AM21+up_Irr!BK21),".")</f>
        <v>7601.8282595287337</v>
      </c>
      <c r="AP21" s="62">
        <f>IFERROR(s_C*s_IFON_res_adj*s_CF_onion*0.001*(up_Irr!P21+up_Irr!AN21+up_Irr!BL21),".")</f>
        <v>7601.8282595287337</v>
      </c>
      <c r="AQ21" s="62">
        <f>IFERROR(s_C*s_IFPC_res_adj*s_CF_peach*0.001*(up_Irr!Q21+up_Irr!AO21+up_Irr!BM21),".")</f>
        <v>7601.8282595287337</v>
      </c>
      <c r="AR21" s="62">
        <f>IFERROR(s_C*s_IFPR_res_adj*s_CF_pear*0.001*(up_Irr!R21+up_Irr!AP21+up_Irr!BN21),".")</f>
        <v>7601.8282595287337</v>
      </c>
      <c r="AS21" s="62">
        <f>IFERROR(s_C*s_IFPE_res_adj*s_CF_peas*0.001*(up_Irr!S21+up_Irr!AQ21+up_Irr!BO21),".")</f>
        <v>7601.8282595287337</v>
      </c>
      <c r="AT21" s="62">
        <f>IFERROR(s_C*s_IFPT_res_adj*s_CF_potato*0.001*(up_Irr!T21+up_Irr!AR21+up_Irr!BP21),".")</f>
        <v>7601.8282595287337</v>
      </c>
      <c r="AU21" s="62">
        <f>IFERROR(s_C*s_IFPU_res_adj*s_CF_pumpkin*0.001*(up_Irr!U21+up_Irr!AS21+up_Irr!BQ21),".")</f>
        <v>7601.8282595287337</v>
      </c>
      <c r="AV21" s="62">
        <f>IFERROR(s_C*s_IFSN_res_adj*s_CF_snap_bean*0.001*(up_Irr!V21+up_Irr!AT21+up_Irr!BR21),".")</f>
        <v>7601.8282595287337</v>
      </c>
      <c r="AW21" s="62">
        <f>IFERROR(s_C*s_IFST_res_adj*s_CF_strawberry*0.001*(up_Irr!W21+up_Irr!AU21+up_Irr!BS21),".")</f>
        <v>7601.8282595287337</v>
      </c>
      <c r="AX21" s="62">
        <f>IFERROR(s_C*s_IFTO_res_adj*s_CF_tomato*0.001*(up_Irr!X21+up_Irr!AV21+up_Irr!BT21),".")</f>
        <v>7601.8282595287337</v>
      </c>
      <c r="AY21" s="62">
        <f>IFERROR(s_C*s_IFRI_res_adj*s_CF_rice*0.001*(up_Irr!Y21+up_Irr!AW21+up_Irr!BU21),".")</f>
        <v>7601.8282595287337</v>
      </c>
      <c r="AZ21" s="62">
        <f>IFERROR(s_C*s_IFCG_res_adj*s_CF_cereal*0.001*(up_Irr!Z21+up_Irr!AX21+up_Irr!BV21),".")</f>
        <v>7601.8282595287337</v>
      </c>
      <c r="BA21" s="48">
        <f t="shared" si="2"/>
        <v>2.1924550381384044E-4</v>
      </c>
      <c r="BB21" s="48">
        <f>IFERROR(IF(AND(up_Irr!C21&lt;&gt;".",up_Irr!AA21&lt;&gt;".",up_Irr!AY21&lt;&gt;"."),up_dir!AC21/((1/1000)*(up_Irr!C21+up_Irr!AA21+up_Irr!AY21)),IF(AND(up_Irr!C21&lt;&gt;".",up_Irr!AA21&lt;&gt;".",up_Irr!AY21="."),up_dir!AC21/((1/1000)*(up_Irr!C21+up_Irr!AA21)),IF(AND(up_Irr!C21&lt;&gt;".",up_Irr!AA21=".",up_Irr!AY21&lt;&gt;"."),up_dir!AC21/((1/1000)*(up_Irr!C21+up_Irr!AY21)),IF(AND(up_Irr!C21=".",up_Irr!AA21&lt;&gt;".",up_Irr!AY21&lt;&gt;"."),up_dir!AC21/((1/1000)*(up_Irr!AA21+up_Irr!AY21)),IF(AND(up_Irr!C21=".",up_Irr!AA21=".",up_Irr!AY21&lt;&gt;"."),up_dir!AC21/((1/1000)*(up_Irr!AY21)),IF(AND(up_Irr!C21=".",up_Irr!AA21&lt;&gt;".",up_Irr!AY21="."),up_dir!AC21/((1/1000)*(up_Irr!AA21)),IF(AND(up_Irr!C21&lt;&gt;".",up_Irr!AA21=".",up_Irr!AY21="."),up_dir!AC21/((1/1000)*(up_Irr!C21)),IF(AND(up_Irr!C21=".",up_Irr!AA21=".",up_Irr!AY21="."),up_dir!AC21*1000)))))))),".")</f>
        <v>6.5773651144152131E-4</v>
      </c>
      <c r="BC21" s="48">
        <f>IFERROR(IF(AND(up_Irr!D21&lt;&gt;".",up_Irr!AB21&lt;&gt;".",up_Irr!AZ21&lt;&gt;"."),up_dir!AD21/((1/1000)*(up_Irr!D21+up_Irr!AB21+up_Irr!AZ21)),IF(AND(up_Irr!D21&lt;&gt;".",up_Irr!AB21&lt;&gt;".",up_Irr!AZ21="."),up_dir!AD21/((1/1000)*(up_Irr!D21+up_Irr!AB21)),IF(AND(up_Irr!D21&lt;&gt;".",up_Irr!AB21=".",up_Irr!AZ21&lt;&gt;"."),up_dir!AD21/((1/1000)*(up_Irr!D21+up_Irr!AZ21)),IF(AND(up_Irr!D21=".",up_Irr!AB21&lt;&gt;".",up_Irr!AZ21&lt;&gt;"."),up_dir!AD21/((1/1000)*(up_Irr!AB21+up_Irr!AZ21)),IF(AND(up_Irr!D21=".",up_Irr!AB21=".",up_Irr!AZ21&lt;&gt;"."),up_dir!AD21/((1/1000)*(up_Irr!AZ21)),IF(AND(up_Irr!D21=".",up_Irr!AB21&lt;&gt;".",up_Irr!AZ21="."),up_dir!AD21/((1/1000)*(up_Irr!AB21)),IF(AND(up_Irr!D21&lt;&gt;".",up_Irr!AB21=".",up_Irr!AZ21="."),up_dir!AD21/((1/1000)*(up_Irr!D21)),IF(AND(up_Irr!D21=".",up_Irr!AB21=".",up_Irr!AZ21="."),up_dir!AD21*1000)))))))),".")</f>
        <v>6.5773651144152131E-4</v>
      </c>
      <c r="BD21" s="48">
        <f>IFERROR(IF(AND(up_Irr!E21&lt;&gt;".",up_Irr!AC21&lt;&gt;".",up_Irr!BA21&lt;&gt;"."),up_dir!AE21/((1/1000)*(up_Irr!E21+up_Irr!AC21+up_Irr!BA21)),IF(AND(up_Irr!E21&lt;&gt;".",up_Irr!AC21&lt;&gt;".",up_Irr!BA21="."),up_dir!AE21/((1/1000)*(up_Irr!E21+up_Irr!AC21)),IF(AND(up_Irr!E21&lt;&gt;".",up_Irr!AC21=".",up_Irr!BA21&lt;&gt;"."),up_dir!AE21/((1/1000)*(up_Irr!E21+up_Irr!BA21)),IF(AND(up_Irr!E21=".",up_Irr!AC21&lt;&gt;".",up_Irr!BA21&lt;&gt;"."),up_dir!AE21/((1/1000)*(up_Irr!AC21+up_Irr!BA21)),IF(AND(up_Irr!E21=".",up_Irr!AC21=".",up_Irr!BA21&lt;&gt;"."),up_dir!AE21/((1/1000)*(up_Irr!BA21)),IF(AND(up_Irr!E21=".",up_Irr!AC21&lt;&gt;".",up_Irr!BA21="."),up_dir!AE21/((1/1000)*(up_Irr!AC21)),IF(AND(up_Irr!E21&lt;&gt;".",up_Irr!AC21=".",up_Irr!BA21="."),up_dir!AE21/((1/1000)*(up_Irr!E21)),IF(AND(up_Irr!E21=".",up_Irr!AC21=".",up_Irr!BA21="."),up_dir!AE21*1000)))))))),".")</f>
        <v>6.5773651144152131E-4</v>
      </c>
      <c r="BE21" s="48">
        <f>IFERROR(IF(AND(up_Irr!F21&lt;&gt;".",up_Irr!AD21&lt;&gt;".",up_Irr!BB21&lt;&gt;"."),up_dir!AF21/((1/1000)*(up_Irr!F21+up_Irr!AD21+up_Irr!BB21)),IF(AND(up_Irr!F21&lt;&gt;".",up_Irr!AD21&lt;&gt;".",up_Irr!BB21="."),up_dir!AF21/((1/1000)*(up_Irr!F21+up_Irr!AD21)),IF(AND(up_Irr!F21&lt;&gt;".",up_Irr!AD21=".",up_Irr!BB21&lt;&gt;"."),up_dir!AF21/((1/1000)*(up_Irr!F21+up_Irr!BB21)),IF(AND(up_Irr!F21=".",up_Irr!AD21&lt;&gt;".",up_Irr!BB21&lt;&gt;"."),up_dir!AF21/((1/1000)*(up_Irr!AD21+up_Irr!BB21)),IF(AND(up_Irr!F21=".",up_Irr!AD21=".",up_Irr!BB21&lt;&gt;"."),up_dir!AF21/((1/1000)*(up_Irr!BB21)),IF(AND(up_Irr!F21=".",up_Irr!AD21&lt;&gt;".",up_Irr!BB21="."),up_dir!AF21/((1/1000)*(up_Irr!AD21)),IF(AND(up_Irr!F21&lt;&gt;".",up_Irr!AD21=".",up_Irr!BB21="."),up_dir!AF21/((1/1000)*(up_Irr!F21)),IF(AND(up_Irr!F21=".",up_Irr!AD21=".",up_Irr!BB21="."),up_dir!AF21*1000)))))))),".")</f>
        <v>6.5773651144152131E-4</v>
      </c>
      <c r="BF21" s="48">
        <f>IFERROR(IF(AND(up_Irr!G21&lt;&gt;".",up_Irr!AE21&lt;&gt;".",up_Irr!BC21&lt;&gt;"."),up_dir!AG21/((1/1000)*(up_Irr!G21+up_Irr!AE21+up_Irr!BC21)),IF(AND(up_Irr!G21&lt;&gt;".",up_Irr!AE21&lt;&gt;".",up_Irr!BC21="."),up_dir!AG21/((1/1000)*(up_Irr!G21+up_Irr!AE21)),IF(AND(up_Irr!G21&lt;&gt;".",up_Irr!AE21=".",up_Irr!BC21&lt;&gt;"."),up_dir!AG21/((1/1000)*(up_Irr!G21+up_Irr!BC21)),IF(AND(up_Irr!G21=".",up_Irr!AE21&lt;&gt;".",up_Irr!BC21&lt;&gt;"."),up_dir!AG21/((1/1000)*(up_Irr!AE21+up_Irr!BC21)),IF(AND(up_Irr!G21=".",up_Irr!AE21=".",up_Irr!BC21&lt;&gt;"."),up_dir!AG21/((1/1000)*(up_Irr!BC21)),IF(AND(up_Irr!G21=".",up_Irr!AE21&lt;&gt;".",up_Irr!BC21="."),up_dir!AG21/((1/1000)*(up_Irr!AE21)),IF(AND(up_Irr!G21&lt;&gt;".",up_Irr!AE21=".",up_Irr!BC21="."),up_dir!AG21/((1/1000)*(up_Irr!G21)),IF(AND(up_Irr!G21=".",up_Irr!AE21=".",up_Irr!BC21="."),up_dir!AG21*1000)))))))),".")</f>
        <v>6.5773651144152131E-4</v>
      </c>
      <c r="BG21" s="48">
        <f>IFERROR(IF(AND(up_Irr!H21&lt;&gt;".",up_Irr!AF21&lt;&gt;".",up_Irr!BD21&lt;&gt;"."),up_dir!AH21/((1/1000)*(up_Irr!H21+up_Irr!AF21+up_Irr!BD21)),IF(AND(up_Irr!H21&lt;&gt;".",up_Irr!AF21&lt;&gt;".",up_Irr!BD21="."),up_dir!AH21/((1/1000)*(up_Irr!H21+up_Irr!AF21)),IF(AND(up_Irr!H21&lt;&gt;".",up_Irr!AF21=".",up_Irr!BD21&lt;&gt;"."),up_dir!AH21/((1/1000)*(up_Irr!H21+up_Irr!BD21)),IF(AND(up_Irr!H21=".",up_Irr!AF21&lt;&gt;".",up_Irr!BD21&lt;&gt;"."),up_dir!AH21/((1/1000)*(up_Irr!AF21+up_Irr!BD21)),IF(AND(up_Irr!H21=".",up_Irr!AF21=".",up_Irr!BD21&lt;&gt;"."),up_dir!AH21/((1/1000)*(up_Irr!BD21)),IF(AND(up_Irr!H21=".",up_Irr!AF21&lt;&gt;".",up_Irr!BD21="."),up_dir!AH21/((1/1000)*(up_Irr!AF21)),IF(AND(up_Irr!H21&lt;&gt;".",up_Irr!AF21=".",up_Irr!BD21="."),up_dir!AH21/((1/1000)*(up_Irr!H21)),IF(AND(up_Irr!H21=".",up_Irr!AF21=".",up_Irr!BD21="."),up_dir!AH21*1000)))))))),".")</f>
        <v>6.5773651144152131E-4</v>
      </c>
      <c r="BH21" s="48">
        <f>IFERROR(IF(AND(up_Irr!I21&lt;&gt;".",up_Irr!AG21&lt;&gt;".",up_Irr!BE21&lt;&gt;"."),up_dir!AI21/((1/1000)*(up_Irr!I21+up_Irr!AG21+up_Irr!BE21)),IF(AND(up_Irr!I21&lt;&gt;".",up_Irr!AG21&lt;&gt;".",up_Irr!BE21="."),up_dir!AI21/((1/1000)*(up_Irr!I21+up_Irr!AG21)),IF(AND(up_Irr!I21&lt;&gt;".",up_Irr!AG21=".",up_Irr!BE21&lt;&gt;"."),up_dir!AI21/((1/1000)*(up_Irr!I21+up_Irr!BE21)),IF(AND(up_Irr!I21=".",up_Irr!AG21&lt;&gt;".",up_Irr!BE21&lt;&gt;"."),up_dir!AI21/((1/1000)*(up_Irr!AG21+up_Irr!BE21)),IF(AND(up_Irr!I21=".",up_Irr!AG21=".",up_Irr!BE21&lt;&gt;"."),up_dir!AI21/((1/1000)*(up_Irr!BE21)),IF(AND(up_Irr!I21=".",up_Irr!AG21&lt;&gt;".",up_Irr!BE21="."),up_dir!AI21/((1/1000)*(up_Irr!AG21)),IF(AND(up_Irr!I21&lt;&gt;".",up_Irr!AG21=".",up_Irr!BE21="."),up_dir!AI21/((1/1000)*(up_Irr!I21)),IF(AND(up_Irr!I21=".",up_Irr!AG21=".",up_Irr!BE21="."),up_dir!AI21*1000)))))))),".")</f>
        <v>6.5773651144152131E-4</v>
      </c>
      <c r="BI21" s="48">
        <f>IFERROR(IF(AND(up_Irr!J21&lt;&gt;".",up_Irr!AH21&lt;&gt;".",up_Irr!BF21&lt;&gt;"."),up_dir!AJ21/((1/1000)*(up_Irr!J21+up_Irr!AH21+up_Irr!BF21)),IF(AND(up_Irr!J21&lt;&gt;".",up_Irr!AH21&lt;&gt;".",up_Irr!BF21="."),up_dir!AJ21/((1/1000)*(up_Irr!J21+up_Irr!AH21)),IF(AND(up_Irr!J21&lt;&gt;".",up_Irr!AH21=".",up_Irr!BF21&lt;&gt;"."),up_dir!AJ21/((1/1000)*(up_Irr!J21+up_Irr!BF21)),IF(AND(up_Irr!J21=".",up_Irr!AH21&lt;&gt;".",up_Irr!BF21&lt;&gt;"."),up_dir!AJ21/((1/1000)*(up_Irr!AH21+up_Irr!BF21)),IF(AND(up_Irr!J21=".",up_Irr!AH21=".",up_Irr!BF21&lt;&gt;"."),up_dir!AJ21/((1/1000)*(up_Irr!BF21)),IF(AND(up_Irr!J21=".",up_Irr!AH21&lt;&gt;".",up_Irr!BF21="."),up_dir!AJ21/((1/1000)*(up_Irr!AH21)),IF(AND(up_Irr!J21&lt;&gt;".",up_Irr!AH21=".",up_Irr!BF21="."),up_dir!AJ21/((1/1000)*(up_Irr!J21)),IF(AND(up_Irr!J21=".",up_Irr!AH21=".",up_Irr!BF21="."),up_dir!AJ21*1000)))))))),".")</f>
        <v>6.5773651144152131E-4</v>
      </c>
      <c r="BJ21" s="48">
        <f>IFERROR(IF(AND(up_Irr!K21&lt;&gt;".",up_Irr!AI21&lt;&gt;".",up_Irr!BG21&lt;&gt;"."),up_dir!AK21/((1/1000)*(up_Irr!K21+up_Irr!AI21+up_Irr!BG21)),IF(AND(up_Irr!K21&lt;&gt;".",up_Irr!AI21&lt;&gt;".",up_Irr!BG21="."),up_dir!AK21/((1/1000)*(up_Irr!K21+up_Irr!AI21)),IF(AND(up_Irr!K21&lt;&gt;".",up_Irr!AI21=".",up_Irr!BG21&lt;&gt;"."),up_dir!AK21/((1/1000)*(up_Irr!K21+up_Irr!BG21)),IF(AND(up_Irr!K21=".",up_Irr!AI21&lt;&gt;".",up_Irr!BG21&lt;&gt;"."),up_dir!AK21/((1/1000)*(up_Irr!AI21+up_Irr!BG21)),IF(AND(up_Irr!K21=".",up_Irr!AI21=".",up_Irr!BG21&lt;&gt;"."),up_dir!AK21/((1/1000)*(up_Irr!BG21)),IF(AND(up_Irr!K21=".",up_Irr!AI21&lt;&gt;".",up_Irr!BG21="."),up_dir!AK21/((1/1000)*(up_Irr!AI21)),IF(AND(up_Irr!K21&lt;&gt;".",up_Irr!AI21=".",up_Irr!BG21="."),up_dir!AK21/((1/1000)*(up_Irr!K21)),IF(AND(up_Irr!K21=".",up_Irr!AI21=".",up_Irr!BG21="."),up_dir!AK21*1000)))))))),".")</f>
        <v>6.5773651144152131E-4</v>
      </c>
      <c r="BK21" s="48">
        <f>IFERROR(IF(AND(up_Irr!L21&lt;&gt;".",up_Irr!AJ21&lt;&gt;".",up_Irr!BH21&lt;&gt;"."),up_dir!AL21/((1/1000)*(up_Irr!L21+up_Irr!AJ21+up_Irr!BH21)),IF(AND(up_Irr!L21&lt;&gt;".",up_Irr!AJ21&lt;&gt;".",up_Irr!BH21="."),up_dir!AL21/((1/1000)*(up_Irr!L21+up_Irr!AJ21)),IF(AND(up_Irr!L21&lt;&gt;".",up_Irr!AJ21=".",up_Irr!BH21&lt;&gt;"."),up_dir!AL21/((1/1000)*(up_Irr!L21+up_Irr!BH21)),IF(AND(up_Irr!L21=".",up_Irr!AJ21&lt;&gt;".",up_Irr!BH21&lt;&gt;"."),up_dir!AL21/((1/1000)*(up_Irr!AJ21+up_Irr!BH21)),IF(AND(up_Irr!L21=".",up_Irr!AJ21=".",up_Irr!BH21&lt;&gt;"."),up_dir!AL21/((1/1000)*(up_Irr!BH21)),IF(AND(up_Irr!L21=".",up_Irr!AJ21&lt;&gt;".",up_Irr!BH21="."),up_dir!AL21/((1/1000)*(up_Irr!AJ21)),IF(AND(up_Irr!L21&lt;&gt;".",up_Irr!AJ21=".",up_Irr!BH21="."),up_dir!AL21/((1/1000)*(up_Irr!L21)),IF(AND(up_Irr!L21=".",up_Irr!AJ21=".",up_Irr!BH21="."),up_dir!AL21*1000)))))))),".")</f>
        <v>6.5773651144152131E-4</v>
      </c>
      <c r="BL21" s="48">
        <f>IFERROR(IF(AND(up_Irr!M21&lt;&gt;".",up_Irr!AK21&lt;&gt;".",up_Irr!BI21&lt;&gt;"."),up_dir!AM21/((1/1000)*(up_Irr!M21+up_Irr!AK21+up_Irr!BI21)),IF(AND(up_Irr!M21&lt;&gt;".",up_Irr!AK21&lt;&gt;".",up_Irr!BI21="."),up_dir!AM21/((1/1000)*(up_Irr!M21+up_Irr!AK21)),IF(AND(up_Irr!M21&lt;&gt;".",up_Irr!AK21=".",up_Irr!BI21&lt;&gt;"."),up_dir!AM21/((1/1000)*(up_Irr!M21+up_Irr!BI21)),IF(AND(up_Irr!M21=".",up_Irr!AK21&lt;&gt;".",up_Irr!BI21&lt;&gt;"."),up_dir!AM21/((1/1000)*(up_Irr!AK21+up_Irr!BI21)),IF(AND(up_Irr!M21=".",up_Irr!AK21=".",up_Irr!BI21&lt;&gt;"."),up_dir!AM21/((1/1000)*(up_Irr!BI21)),IF(AND(up_Irr!M21=".",up_Irr!AK21&lt;&gt;".",up_Irr!BI21="."),up_dir!AM21/((1/1000)*(up_Irr!AK21)),IF(AND(up_Irr!M21&lt;&gt;".",up_Irr!AK21=".",up_Irr!BI21="."),up_dir!AM21/((1/1000)*(up_Irr!M21)),IF(AND(up_Irr!M21=".",up_Irr!AK21=".",up_Irr!BI21="."),up_dir!AM21*1000)))))))),".")</f>
        <v>6.5773651144152131E-4</v>
      </c>
      <c r="BM21" s="48">
        <f>IFERROR(IF(AND(up_Irr!N21&lt;&gt;".",up_Irr!AL21&lt;&gt;".",up_Irr!BJ21&lt;&gt;"."),up_dir!AN21/((1/1000)*(up_Irr!N21+up_Irr!AL21+up_Irr!BJ21)),IF(AND(up_Irr!N21&lt;&gt;".",up_Irr!AL21&lt;&gt;".",up_Irr!BJ21="."),up_dir!AN21/((1/1000)*(up_Irr!N21+up_Irr!AL21)),IF(AND(up_Irr!N21&lt;&gt;".",up_Irr!AL21=".",up_Irr!BJ21&lt;&gt;"."),up_dir!AN21/((1/1000)*(up_Irr!N21+up_Irr!BJ21)),IF(AND(up_Irr!N21=".",up_Irr!AL21&lt;&gt;".",up_Irr!BJ21&lt;&gt;"."),up_dir!AN21/((1/1000)*(up_Irr!AL21+up_Irr!BJ21)),IF(AND(up_Irr!N21=".",up_Irr!AL21=".",up_Irr!BJ21&lt;&gt;"."),up_dir!AN21/((1/1000)*(up_Irr!BJ21)),IF(AND(up_Irr!N21=".",up_Irr!AL21&lt;&gt;".",up_Irr!BJ21="."),up_dir!AN21/((1/1000)*(up_Irr!AL21)),IF(AND(up_Irr!N21&lt;&gt;".",up_Irr!AL21=".",up_Irr!BJ21="."),up_dir!AN21/((1/1000)*(up_Irr!N21)),IF(AND(up_Irr!N21=".",up_Irr!AL21=".",up_Irr!BJ21="."),up_dir!AN21*1000)))))))),".")</f>
        <v>6.5773651144152131E-4</v>
      </c>
      <c r="BN21" s="48">
        <f>IFERROR(IF(AND(up_Irr!O21&lt;&gt;".",up_Irr!AM21&lt;&gt;".",up_Irr!BK21&lt;&gt;"."),up_dir!AO21/((1/1000)*(up_Irr!O21+up_Irr!AM21+up_Irr!BK21)),IF(AND(up_Irr!O21&lt;&gt;".",up_Irr!AM21&lt;&gt;".",up_Irr!BK21="."),up_dir!AO21/((1/1000)*(up_Irr!O21+up_Irr!AM21)),IF(AND(up_Irr!O21&lt;&gt;".",up_Irr!AM21=".",up_Irr!BK21&lt;&gt;"."),up_dir!AO21/((1/1000)*(up_Irr!O21+up_Irr!BK21)),IF(AND(up_Irr!O21=".",up_Irr!AM21&lt;&gt;".",up_Irr!BK21&lt;&gt;"."),up_dir!AO21/((1/1000)*(up_Irr!AM21+up_Irr!BK21)),IF(AND(up_Irr!O21=".",up_Irr!AM21=".",up_Irr!BK21&lt;&gt;"."),up_dir!AO21/((1/1000)*(up_Irr!BK21)),IF(AND(up_Irr!O21=".",up_Irr!AM21&lt;&gt;".",up_Irr!BK21="."),up_dir!AO21/((1/1000)*(up_Irr!AM21)),IF(AND(up_Irr!O21&lt;&gt;".",up_Irr!AM21=".",up_Irr!BK21="."),up_dir!AO21/((1/1000)*(up_Irr!O21)),IF(AND(up_Irr!O21=".",up_Irr!AM21=".",up_Irr!BK21="."),up_dir!AO21*1000)))))))),".")</f>
        <v>6.5773651144152131E-4</v>
      </c>
      <c r="BO21" s="48">
        <f>IFERROR(IF(AND(up_Irr!P21&lt;&gt;".",up_Irr!AN21&lt;&gt;".",up_Irr!BL21&lt;&gt;"."),up_dir!AP21/((1/1000)*(up_Irr!P21+up_Irr!AN21+up_Irr!BL21)),IF(AND(up_Irr!P21&lt;&gt;".",up_Irr!AN21&lt;&gt;".",up_Irr!BL21="."),up_dir!AP21/((1/1000)*(up_Irr!P21+up_Irr!AN21)),IF(AND(up_Irr!P21&lt;&gt;".",up_Irr!AN21=".",up_Irr!BL21&lt;&gt;"."),up_dir!AP21/((1/1000)*(up_Irr!P21+up_Irr!BL21)),IF(AND(up_Irr!P21=".",up_Irr!AN21&lt;&gt;".",up_Irr!BL21&lt;&gt;"."),up_dir!AP21/((1/1000)*(up_Irr!AN21+up_Irr!BL21)),IF(AND(up_Irr!P21=".",up_Irr!AN21=".",up_Irr!BL21&lt;&gt;"."),up_dir!AP21/((1/1000)*(up_Irr!BL21)),IF(AND(up_Irr!P21=".",up_Irr!AN21&lt;&gt;".",up_Irr!BL21="."),up_dir!AP21/((1/1000)*(up_Irr!AN21)),IF(AND(up_Irr!P21&lt;&gt;".",up_Irr!AN21=".",up_Irr!BL21="."),up_dir!AP21/((1/1000)*(up_Irr!P21)),IF(AND(up_Irr!P21=".",up_Irr!AN21=".",up_Irr!BL21="."),up_dir!AP21*1000)))))))),".")</f>
        <v>6.5773651144152131E-4</v>
      </c>
      <c r="BP21" s="48">
        <f>IFERROR(IF(AND(up_Irr!Q21&lt;&gt;".",up_Irr!AO21&lt;&gt;".",up_Irr!BM21&lt;&gt;"."),up_dir!AQ21/((1/1000)*(up_Irr!Q21+up_Irr!AO21+up_Irr!BM21)),IF(AND(up_Irr!Q21&lt;&gt;".",up_Irr!AO21&lt;&gt;".",up_Irr!BM21="."),up_dir!AQ21/((1/1000)*(up_Irr!Q21+up_Irr!AO21)),IF(AND(up_Irr!Q21&lt;&gt;".",up_Irr!AO21=".",up_Irr!BM21&lt;&gt;"."),up_dir!AQ21/((1/1000)*(up_Irr!Q21+up_Irr!BM21)),IF(AND(up_Irr!Q21=".",up_Irr!AO21&lt;&gt;".",up_Irr!BM21&lt;&gt;"."),up_dir!AQ21/((1/1000)*(up_Irr!AO21+up_Irr!BM21)),IF(AND(up_Irr!Q21=".",up_Irr!AO21=".",up_Irr!BM21&lt;&gt;"."),up_dir!AQ21/((1/1000)*(up_Irr!BM21)),IF(AND(up_Irr!Q21=".",up_Irr!AO21&lt;&gt;".",up_Irr!BM21="."),up_dir!AQ21/((1/1000)*(up_Irr!AO21)),IF(AND(up_Irr!Q21&lt;&gt;".",up_Irr!AO21=".",up_Irr!BM21="."),up_dir!AQ21/((1/1000)*(up_Irr!Q21)),IF(AND(up_Irr!Q21=".",up_Irr!AO21=".",up_Irr!BM21="."),up_dir!AQ21*1000)))))))),".")</f>
        <v>6.5773651144152131E-4</v>
      </c>
      <c r="BQ21" s="48">
        <f>IFERROR(IF(AND(up_Irr!R21&lt;&gt;".",up_Irr!AP21&lt;&gt;".",up_Irr!BN21&lt;&gt;"."),up_dir!AR21/((1/1000)*(up_Irr!R21+up_Irr!AP21+up_Irr!BN21)),IF(AND(up_Irr!R21&lt;&gt;".",up_Irr!AP21&lt;&gt;".",up_Irr!BN21="."),up_dir!AR21/((1/1000)*(up_Irr!R21+up_Irr!AP21)),IF(AND(up_Irr!R21&lt;&gt;".",up_Irr!AP21=".",up_Irr!BN21&lt;&gt;"."),up_dir!AR21/((1/1000)*(up_Irr!R21+up_Irr!BN21)),IF(AND(up_Irr!R21=".",up_Irr!AP21&lt;&gt;".",up_Irr!BN21&lt;&gt;"."),up_dir!AR21/((1/1000)*(up_Irr!AP21+up_Irr!BN21)),IF(AND(up_Irr!R21=".",up_Irr!AP21=".",up_Irr!BN21&lt;&gt;"."),up_dir!AR21/((1/1000)*(up_Irr!BN21)),IF(AND(up_Irr!R21=".",up_Irr!AP21&lt;&gt;".",up_Irr!BN21="."),up_dir!AR21/((1/1000)*(up_Irr!AP21)),IF(AND(up_Irr!R21&lt;&gt;".",up_Irr!AP21=".",up_Irr!BN21="."),up_dir!AR21/((1/1000)*(up_Irr!R21)),IF(AND(up_Irr!R21=".",up_Irr!AP21=".",up_Irr!BN21="."),up_dir!AR21*1000)))))))),".")</f>
        <v>6.5773651144152131E-4</v>
      </c>
      <c r="BR21" s="48">
        <f>IFERROR(IF(AND(up_Irr!S21&lt;&gt;".",up_Irr!AQ21&lt;&gt;".",up_Irr!BO21&lt;&gt;"."),up_dir!AS21/((1/1000)*(up_Irr!S21+up_Irr!AQ21+up_Irr!BO21)),IF(AND(up_Irr!S21&lt;&gt;".",up_Irr!AQ21&lt;&gt;".",up_Irr!BO21="."),up_dir!AS21/((1/1000)*(up_Irr!S21+up_Irr!AQ21)),IF(AND(up_Irr!S21&lt;&gt;".",up_Irr!AQ21=".",up_Irr!BO21&lt;&gt;"."),up_dir!AS21/((1/1000)*(up_Irr!S21+up_Irr!BO21)),IF(AND(up_Irr!S21=".",up_Irr!AQ21&lt;&gt;".",up_Irr!BO21&lt;&gt;"."),up_dir!AS21/((1/1000)*(up_Irr!AQ21+up_Irr!BO21)),IF(AND(up_Irr!S21=".",up_Irr!AQ21=".",up_Irr!BO21&lt;&gt;"."),up_dir!AS21/((1/1000)*(up_Irr!BO21)),IF(AND(up_Irr!S21=".",up_Irr!AQ21&lt;&gt;".",up_Irr!BO21="."),up_dir!AS21/((1/1000)*(up_Irr!AQ21)),IF(AND(up_Irr!S21&lt;&gt;".",up_Irr!AQ21=".",up_Irr!BO21="."),up_dir!AS21/((1/1000)*(up_Irr!S21)),IF(AND(up_Irr!S21=".",up_Irr!AQ21=".",up_Irr!BO21="."),up_dir!AS21*1000)))))))),".")</f>
        <v>6.5773651144152131E-4</v>
      </c>
      <c r="BS21" s="48">
        <f>IFERROR(IF(AND(up_Irr!T21&lt;&gt;".",up_Irr!AR21&lt;&gt;".",up_Irr!BP21&lt;&gt;"."),up_dir!AT21/((1/1000)*(up_Irr!T21+up_Irr!AR21+up_Irr!BP21)),IF(AND(up_Irr!T21&lt;&gt;".",up_Irr!AR21&lt;&gt;".",up_Irr!BP21="."),up_dir!AT21/((1/1000)*(up_Irr!T21+up_Irr!AR21)),IF(AND(up_Irr!T21&lt;&gt;".",up_Irr!AR21=".",up_Irr!BP21&lt;&gt;"."),up_dir!AT21/((1/1000)*(up_Irr!T21+up_Irr!BP21)),IF(AND(up_Irr!T21=".",up_Irr!AR21&lt;&gt;".",up_Irr!BP21&lt;&gt;"."),up_dir!AT21/((1/1000)*(up_Irr!AR21+up_Irr!BP21)),IF(AND(up_Irr!T21=".",up_Irr!AR21=".",up_Irr!BP21&lt;&gt;"."),up_dir!AT21/((1/1000)*(up_Irr!BP21)),IF(AND(up_Irr!T21=".",up_Irr!AR21&lt;&gt;".",up_Irr!BP21="."),up_dir!AT21/((1/1000)*(up_Irr!AR21)),IF(AND(up_Irr!T21&lt;&gt;".",up_Irr!AR21=".",up_Irr!BP21="."),up_dir!AT21/((1/1000)*(up_Irr!T21)),IF(AND(up_Irr!T21=".",up_Irr!AR21=".",up_Irr!BP21="."),up_dir!AT21*1000)))))))),".")</f>
        <v>6.5773651144152131E-4</v>
      </c>
      <c r="BT21" s="48">
        <f>IFERROR(IF(AND(up_Irr!U21&lt;&gt;".",up_Irr!AS21&lt;&gt;".",up_Irr!BQ21&lt;&gt;"."),up_dir!AU21/((1/1000)*(up_Irr!U21+up_Irr!AS21+up_Irr!BQ21)),IF(AND(up_Irr!U21&lt;&gt;".",up_Irr!AS21&lt;&gt;".",up_Irr!BQ21="."),up_dir!AU21/((1/1000)*(up_Irr!U21+up_Irr!AS21)),IF(AND(up_Irr!U21&lt;&gt;".",up_Irr!AS21=".",up_Irr!BQ21&lt;&gt;"."),up_dir!AU21/((1/1000)*(up_Irr!U21+up_Irr!BQ21)),IF(AND(up_Irr!U21=".",up_Irr!AS21&lt;&gt;".",up_Irr!BQ21&lt;&gt;"."),up_dir!AU21/((1/1000)*(up_Irr!AS21+up_Irr!BQ21)),IF(AND(up_Irr!U21=".",up_Irr!AS21=".",up_Irr!BQ21&lt;&gt;"."),up_dir!AU21/((1/1000)*(up_Irr!BQ21)),IF(AND(up_Irr!U21=".",up_Irr!AS21&lt;&gt;".",up_Irr!BQ21="."),up_dir!AU21/((1/1000)*(up_Irr!AS21)),IF(AND(up_Irr!U21&lt;&gt;".",up_Irr!AS21=".",up_Irr!BQ21="."),up_dir!AU21/((1/1000)*(up_Irr!U21)),IF(AND(up_Irr!U21=".",up_Irr!AS21=".",up_Irr!BQ21="."),up_dir!AU21*1000)))))))),".")</f>
        <v>6.5773651144152131E-4</v>
      </c>
      <c r="BU21" s="48">
        <f>IFERROR(IF(AND(up_Irr!V21&lt;&gt;".",up_Irr!AT21&lt;&gt;".",up_Irr!BR21&lt;&gt;"."),up_dir!AV21/((1/1000)*(up_Irr!V21+up_Irr!AT21+up_Irr!BR21)),IF(AND(up_Irr!V21&lt;&gt;".",up_Irr!AT21&lt;&gt;".",up_Irr!BR21="."),up_dir!AV21/((1/1000)*(up_Irr!V21+up_Irr!AT21)),IF(AND(up_Irr!V21&lt;&gt;".",up_Irr!AT21=".",up_Irr!BR21&lt;&gt;"."),up_dir!AV21/((1/1000)*(up_Irr!V21+up_Irr!BR21)),IF(AND(up_Irr!V21=".",up_Irr!AT21&lt;&gt;".",up_Irr!BR21&lt;&gt;"."),up_dir!AV21/((1/1000)*(up_Irr!AT21+up_Irr!BR21)),IF(AND(up_Irr!V21=".",up_Irr!AT21=".",up_Irr!BR21&lt;&gt;"."),up_dir!AV21/((1/1000)*(up_Irr!BR21)),IF(AND(up_Irr!V21=".",up_Irr!AT21&lt;&gt;".",up_Irr!BR21="."),up_dir!AV21/((1/1000)*(up_Irr!AT21)),IF(AND(up_Irr!V21&lt;&gt;".",up_Irr!AT21=".",up_Irr!BR21="."),up_dir!AV21/((1/1000)*(up_Irr!V21)),IF(AND(up_Irr!V21=".",up_Irr!AT21=".",up_Irr!BR21="."),up_dir!AV21*1000)))))))),".")</f>
        <v>6.5773651144152131E-4</v>
      </c>
      <c r="BV21" s="48">
        <f>IFERROR(IF(AND(up_Irr!W21&lt;&gt;".",up_Irr!AU21&lt;&gt;".",up_Irr!BS21&lt;&gt;"."),up_dir!AW21/((1/1000)*(up_Irr!W21+up_Irr!AU21+up_Irr!BS21)),IF(AND(up_Irr!W21&lt;&gt;".",up_Irr!AU21&lt;&gt;".",up_Irr!BS21="."),up_dir!AW21/((1/1000)*(up_Irr!W21+up_Irr!AU21)),IF(AND(up_Irr!W21&lt;&gt;".",up_Irr!AU21=".",up_Irr!BS21&lt;&gt;"."),up_dir!AW21/((1/1000)*(up_Irr!W21+up_Irr!BS21)),IF(AND(up_Irr!W21=".",up_Irr!AU21&lt;&gt;".",up_Irr!BS21&lt;&gt;"."),up_dir!AW21/((1/1000)*(up_Irr!AU21+up_Irr!BS21)),IF(AND(up_Irr!W21=".",up_Irr!AU21=".",up_Irr!BS21&lt;&gt;"."),up_dir!AW21/((1/1000)*(up_Irr!BS21)),IF(AND(up_Irr!W21=".",up_Irr!AU21&lt;&gt;".",up_Irr!BS21="."),up_dir!AW21/((1/1000)*(up_Irr!AU21)),IF(AND(up_Irr!W21&lt;&gt;".",up_Irr!AU21=".",up_Irr!BS21="."),up_dir!AW21/((1/1000)*(up_Irr!W21)),IF(AND(up_Irr!W21=".",up_Irr!AU21=".",up_Irr!BS21="."),up_dir!AW21*1000)))))))),".")</f>
        <v>6.5773651144152131E-4</v>
      </c>
      <c r="BW21" s="48">
        <f>IFERROR(IF(AND(up_Irr!X21&lt;&gt;".",up_Irr!AV21&lt;&gt;".",up_Irr!BT21&lt;&gt;"."),up_dir!AX21/((1/1000)*(up_Irr!X21+up_Irr!AV21+up_Irr!BT21)),IF(AND(up_Irr!X21&lt;&gt;".",up_Irr!AV21&lt;&gt;".",up_Irr!BT21="."),up_dir!AX21/((1/1000)*(up_Irr!X21+up_Irr!AV21)),IF(AND(up_Irr!X21&lt;&gt;".",up_Irr!AV21=".",up_Irr!BT21&lt;&gt;"."),up_dir!AX21/((1/1000)*(up_Irr!X21+up_Irr!BT21)),IF(AND(up_Irr!X21=".",up_Irr!AV21&lt;&gt;".",up_Irr!BT21&lt;&gt;"."),up_dir!AX21/((1/1000)*(up_Irr!AV21+up_Irr!BT21)),IF(AND(up_Irr!X21=".",up_Irr!AV21=".",up_Irr!BT21&lt;&gt;"."),up_dir!AX21/((1/1000)*(up_Irr!BT21)),IF(AND(up_Irr!X21=".",up_Irr!AV21&lt;&gt;".",up_Irr!BT21="."),up_dir!AX21/((1/1000)*(up_Irr!AV21)),IF(AND(up_Irr!X21&lt;&gt;".",up_Irr!AV21=".",up_Irr!BT21="."),up_dir!AX21/((1/1000)*(up_Irr!X21)),IF(AND(up_Irr!X21=".",up_Irr!AV21=".",up_Irr!BT21="."),up_dir!AX21*1000)))))))),".")</f>
        <v>6.5773651144152131E-4</v>
      </c>
      <c r="BX21" s="48">
        <f>IFERROR(IF(AND(up_Irr!Y21&lt;&gt;".",up_Irr!AW21&lt;&gt;".",up_Irr!BU21&lt;&gt;"."),up_dir!AY21/((1/1000)*(up_Irr!Y21+up_Irr!AW21+up_Irr!BU21)),IF(AND(up_Irr!Y21&lt;&gt;".",up_Irr!AW21&lt;&gt;".",up_Irr!BU21="."),up_dir!AY21/((1/1000)*(up_Irr!Y21+up_Irr!AW21)),IF(AND(up_Irr!Y21&lt;&gt;".",up_Irr!AW21=".",up_Irr!BU21&lt;&gt;"."),up_dir!AY21/((1/1000)*(up_Irr!Y21+up_Irr!BU21)),IF(AND(up_Irr!Y21=".",up_Irr!AW21&lt;&gt;".",up_Irr!BU21&lt;&gt;"."),up_dir!AY21/((1/1000)*(up_Irr!AW21+up_Irr!BU21)),IF(AND(up_Irr!Y21=".",up_Irr!AW21=".",up_Irr!BU21&lt;&gt;"."),up_dir!AY21/((1/1000)*(up_Irr!BU21)),IF(AND(up_Irr!Y21=".",up_Irr!AW21&lt;&gt;".",up_Irr!BU21="."),up_dir!AY21/((1/1000)*(up_Irr!AW21)),IF(AND(up_Irr!Y21&lt;&gt;".",up_Irr!AW21=".",up_Irr!BU21="."),up_dir!AY21/((1/1000)*(up_Irr!Y21)),IF(AND(up_Irr!Y21=".",up_Irr!AW21=".",up_Irr!BU21="."),up_dir!AY21*1000)))))))),".")</f>
        <v>6.5773651144152131E-4</v>
      </c>
      <c r="BY21" s="48">
        <f>IFERROR(IF(AND(up_Irr!Z21&lt;&gt;".",up_Irr!AX21&lt;&gt;".",up_Irr!BV21&lt;&gt;"."),up_dir!AZ21/((1/1000)*(up_Irr!Z21+up_Irr!AX21+up_Irr!BV21)),IF(AND(up_Irr!Z21&lt;&gt;".",up_Irr!AX21&lt;&gt;".",up_Irr!BV21="."),up_dir!AZ21/((1/1000)*(up_Irr!Z21+up_Irr!AX21)),IF(AND(up_Irr!Z21&lt;&gt;".",up_Irr!AX21=".",up_Irr!BV21&lt;&gt;"."),up_dir!AZ21/((1/1000)*(up_Irr!Z21+up_Irr!BV21)),IF(AND(up_Irr!Z21=".",up_Irr!AX21&lt;&gt;".",up_Irr!BV21&lt;&gt;"."),up_dir!AZ21/((1/1000)*(up_Irr!AX21+up_Irr!BV21)),IF(AND(up_Irr!Z21=".",up_Irr!AX21=".",up_Irr!BV21&lt;&gt;"."),up_dir!AZ21/((1/1000)*(up_Irr!BV21)),IF(AND(up_Irr!Z21=".",up_Irr!AX21&lt;&gt;".",up_Irr!BV21="."),up_dir!AZ21/((1/1000)*(up_Irr!AX21)),IF(AND(up_Irr!Z21&lt;&gt;".",up_Irr!AX21=".",up_Irr!BV21="."),up_dir!AZ21/((1/1000)*(up_Irr!Z21)),IF(AND(up_Irr!Z21=".",up_Irr!AX21=".",up_Irr!BV21="."),up_dir!AZ21*1000)))))))),".")</f>
        <v>6.5773651144152131E-4</v>
      </c>
      <c r="BZ21" s="62">
        <f t="shared" si="3"/>
        <v>22805.4847785862</v>
      </c>
      <c r="CA21" s="62">
        <f>IFERROR(s_C*s_IFAP_far_adj*s_CF_apple*(1/1000)*(up_Irr!C21+up_Irr!AA21+up_Irr!AY21),".")</f>
        <v>7601.8282595287337</v>
      </c>
      <c r="CB21" s="62">
        <f>IFERROR(s_C*s_IFAS_far_adj*s_CF_asparagus*(1/1000)*(up_Irr!D21+up_Irr!AB21+up_Irr!AZ21),".")</f>
        <v>7601.8282595287337</v>
      </c>
      <c r="CC21" s="62">
        <f>IFERROR(s_C*s_IFBT_far_adj*s_CF_beet*(1/1000)*(up_Irr!E21+up_Irr!AC21+up_Irr!BA21),".")</f>
        <v>7601.8282595287337</v>
      </c>
      <c r="CD21" s="62">
        <f>IFERROR(s_C*s_IFBE_far_adj*s_CF_berries*(1/1000)*(up_Irr!F21+up_Irr!AD21+up_Irr!BB21),".")</f>
        <v>7601.8282595287337</v>
      </c>
      <c r="CE21" s="62">
        <f>IFERROR(s_C*s_IFBR_far_adj*s_CF_broccoli*(1/1000)*(up_Irr!G21+up_Irr!AE21+up_Irr!BC21),".")</f>
        <v>7601.8282595287337</v>
      </c>
      <c r="CF21" s="62">
        <f>IFERROR(s_C*s_IFCB_far_adj*s_CF_cabbage*(1/1000)*(up_Irr!H21+up_Irr!AF21+up_Irr!BD21),".")</f>
        <v>7601.8282595287337</v>
      </c>
      <c r="CG21" s="62">
        <f>IFERROR(s_C*s_IFCR_far_adj*s_CF_carrot*(1/1000)*(up_Irr!I21+up_Irr!AG21+up_Irr!BE21),".")</f>
        <v>7601.8282595287337</v>
      </c>
      <c r="CH21" s="62">
        <f>IFERROR(s_C*s_IFCI_far_adj*s_CF_citrus*(1/1000)*(up_Irr!J21+up_Irr!AH21+up_Irr!BF21),".")</f>
        <v>7601.8282595287337</v>
      </c>
      <c r="CI21" s="62">
        <f>IFERROR(s_C*s_IFCO_far_adj*s_CF_corn*(1/1000)*(up_Irr!K21+up_Irr!AI21+up_Irr!BG21),".")</f>
        <v>7601.8282595287337</v>
      </c>
      <c r="CJ21" s="62">
        <f>IFERROR(s_C*s_IFCU_far_adj*s_CF_cucumber*(1/1000)*(up_Irr!L21+up_Irr!AJ21+up_Irr!BH21),".")</f>
        <v>7601.8282595287337</v>
      </c>
      <c r="CK21" s="62">
        <f>IFERROR(s_C*s_IFLE_far_adj*s_CF_lettuce*(1/1000)*(up_Irr!M21+up_Irr!AK21+up_Irr!BI21),".")</f>
        <v>7601.8282595287337</v>
      </c>
      <c r="CL21" s="62">
        <f>IFERROR(s_C*s_IFLI_far_adj*s_CF_lima_bean*(1/1000)*(up_Irr!N21+up_Irr!AL21+up_Irr!BJ21),".")</f>
        <v>7601.8282595287337</v>
      </c>
      <c r="CM21" s="62">
        <f>IFERROR(s_C*s_IFOK_far_adj*s_CF_okra*(1/1000)*(up_Irr!O21+up_Irr!AM21+up_Irr!BK21),".")</f>
        <v>7601.8282595287337</v>
      </c>
      <c r="CN21" s="62">
        <f>IFERROR(s_C*s_IFON_far_adj*s_CF_onion*(1/1000)*(up_Irr!P21+up_Irr!AN21+up_Irr!BL21),".")</f>
        <v>7601.8282595287337</v>
      </c>
      <c r="CO21" s="62">
        <f>IFERROR(s_C*s_IFPC_far_adj*s_CF_peach*(1/1000)*(up_Irr!Q21+up_Irr!AO21+up_Irr!BM21),".")</f>
        <v>7601.8282595287337</v>
      </c>
      <c r="CP21" s="62">
        <f>IFERROR(s_C*s_IFPR_far_adj*s_CF_pear*(1/1000)*(up_Irr!R21+up_Irr!AP21+up_Irr!BN21),".")</f>
        <v>7601.8282595287337</v>
      </c>
      <c r="CQ21" s="62">
        <f>IFERROR(s_C*s_IFPE_far_adj*s_CF_peas*(1/1000)*(up_Irr!S21+up_Irr!AQ21+up_Irr!BO21),".")</f>
        <v>7601.8282595287337</v>
      </c>
      <c r="CR21" s="62">
        <f>IFERROR(s_C*s_IFPT_far_adj*s_CF_potato*(1/1000)*(up_Irr!T21+up_Irr!AR21+up_Irr!BP21),".")</f>
        <v>7601.8282595287337</v>
      </c>
      <c r="CS21" s="62">
        <f>IFERROR(s_C*s_IFPU_far_adj*s_CF_pumpkin*(1/1000)*(up_Irr!U21+up_Irr!AS21+up_Irr!BQ21),".")</f>
        <v>7601.8282595287337</v>
      </c>
      <c r="CT21" s="62">
        <f>IFERROR(s_C*s_IFSN_far_adj*s_CF_snap_bean*(1/1000)*(up_Irr!V21+up_Irr!AT21+up_Irr!BR21),".")</f>
        <v>7601.8282595287337</v>
      </c>
      <c r="CU21" s="62">
        <f>IFERROR(s_C*s_IFST_far_adj*s_CF_strawberry*(1/1000)*(up_Irr!W21+up_Irr!AU21+up_Irr!BS21),".")</f>
        <v>7601.8282595287337</v>
      </c>
      <c r="CV21" s="62">
        <f>IFERROR(s_C*s_IFTO_far_adj*s_CF_tomato*(1/1000)*(up_Irr!X21+up_Irr!AV21+up_Irr!BT21),".")</f>
        <v>7601.8282595287337</v>
      </c>
      <c r="CW21" s="62">
        <f>IFERROR(s_C*s_IFRI_far_adj*s_CF_rice*(1/1000)*(up_Irr!Y21+up_Irr!AW21+up_Irr!BU21),".")</f>
        <v>7601.8282595287337</v>
      </c>
      <c r="CX21" s="62">
        <f>IFERROR(s_C*s_IFCG_far_adj*s_CF_cereal*(1/1000)*(up_Irr!Z21+up_Irr!AX21+up_Irr!BV21),".")</f>
        <v>7601.8282595287337</v>
      </c>
    </row>
    <row r="22" spans="1:102" ht="15" customHeight="1" x14ac:dyDescent="0.25">
      <c r="A22" s="61" t="s">
        <v>20</v>
      </c>
      <c r="B22" s="49" t="s">
        <v>1059</v>
      </c>
      <c r="C22" s="48">
        <f t="shared" si="0"/>
        <v>2.1924550381384044E-4</v>
      </c>
      <c r="D22" s="48">
        <f>IFERROR(IF(AND(up_Irr!C22&lt;&gt;".",up_Irr!AA22&lt;&gt;".",up_Irr!AY22&lt;&gt;"."),up_dir!D22/((1/1000)*(up_Irr!C22+up_Irr!AA22+up_Irr!AY22)),IF(AND(up_Irr!C22&lt;&gt;".",up_Irr!AA22&lt;&gt;".",up_Irr!AY22="."),up_dir!D22/((1/1000)*(up_Irr!C22+up_Irr!AA22)),IF(AND(up_Irr!C22&lt;&gt;".",up_Irr!AA22=".",up_Irr!AY22&lt;&gt;"."),up_dir!D22/((1/1000)*(up_Irr!C22+up_Irr!AY22)),IF(AND(up_Irr!C22=".",up_Irr!AA22&lt;&gt;".",up_Irr!AY22&lt;&gt;"."),up_dir!D22/((1/1000)*(up_Irr!AA22+up_Irr!AY22)),IF(AND(up_Irr!C22=".",up_Irr!AA22=".",up_Irr!AY22&lt;&gt;"."),up_dir!D22/((1/1000)*(up_Irr!AY22)),IF(AND(up_Irr!C22=".",up_Irr!AA22&lt;&gt;".",up_Irr!AY22="."),up_dir!D22/((1/1000)*(up_Irr!AA22)),IF(AND(up_Irr!C22&lt;&gt;".",up_Irr!AA22=".",up_Irr!AY22="."),up_dir!D22/((1/1000)*(up_Irr!C22)),IF(AND(up_Irr!C22=".",up_Irr!AA22=".",up_Irr!AY22="."),up_dir!D22*1000)))))))),".")</f>
        <v>6.5773651144152131E-4</v>
      </c>
      <c r="E22" s="48">
        <f>IFERROR(IF(AND(up_Irr!D22&lt;&gt;".",up_Irr!AB22&lt;&gt;".",up_Irr!AZ22&lt;&gt;"."),up_dir!E22/((1/1000)*(up_Irr!D22+up_Irr!AB22+up_Irr!AZ22)),IF(AND(up_Irr!D22&lt;&gt;".",up_Irr!AB22&lt;&gt;".",up_Irr!AZ22="."),up_dir!E22/((1/1000)*(up_Irr!D22+up_Irr!AB22)),IF(AND(up_Irr!D22&lt;&gt;".",up_Irr!AB22=".",up_Irr!AZ22&lt;&gt;"."),up_dir!E22/((1/1000)*(up_Irr!D22+up_Irr!AZ22)),IF(AND(up_Irr!D22=".",up_Irr!AB22&lt;&gt;".",up_Irr!AZ22&lt;&gt;"."),up_dir!E22/((1/1000)*(up_Irr!AB22+up_Irr!AZ22)),IF(AND(up_Irr!D22=".",up_Irr!AB22=".",up_Irr!AZ22&lt;&gt;"."),up_dir!E22/((1/1000)*(up_Irr!AZ22)),IF(AND(up_Irr!D22=".",up_Irr!AB22&lt;&gt;".",up_Irr!AZ22="."),up_dir!E22/((1/1000)*(up_Irr!AB22)),IF(AND(up_Irr!D22&lt;&gt;".",up_Irr!AB22=".",up_Irr!AZ22="."),up_dir!E22/((1/1000)*(up_Irr!D22)),IF(AND(up_Irr!D22=".",up_Irr!AB22=".",up_Irr!AZ22="."),up_dir!E22*1000)))))))),".")</f>
        <v>6.5773651144152131E-4</v>
      </c>
      <c r="F22" s="48">
        <f>IFERROR(IF(AND(up_Irr!E22&lt;&gt;".",up_Irr!AC22&lt;&gt;".",up_Irr!BA22&lt;&gt;"."),up_dir!F22/((1/1000)*(up_Irr!E22+up_Irr!AC22+up_Irr!BA22)),IF(AND(up_Irr!E22&lt;&gt;".",up_Irr!AC22&lt;&gt;".",up_Irr!BA22="."),up_dir!F22/((1/1000)*(up_Irr!E22+up_Irr!AC22)),IF(AND(up_Irr!E22&lt;&gt;".",up_Irr!AC22=".",up_Irr!BA22&lt;&gt;"."),up_dir!F22/((1/1000)*(up_Irr!E22+up_Irr!BA22)),IF(AND(up_Irr!E22=".",up_Irr!AC22&lt;&gt;".",up_Irr!BA22&lt;&gt;"."),up_dir!F22/((1/1000)*(up_Irr!AC22+up_Irr!BA22)),IF(AND(up_Irr!E22=".",up_Irr!AC22=".",up_Irr!BA22&lt;&gt;"."),up_dir!F22/((1/1000)*(up_Irr!BA22)),IF(AND(up_Irr!E22=".",up_Irr!AC22&lt;&gt;".",up_Irr!BA22="."),up_dir!F22/((1/1000)*(up_Irr!AC22)),IF(AND(up_Irr!E22&lt;&gt;".",up_Irr!AC22=".",up_Irr!BA22="."),up_dir!F22/((1/1000)*(up_Irr!E22)),IF(AND(up_Irr!E22=".",up_Irr!AC22=".",up_Irr!BA22="."),up_dir!F22*1000)))))))),".")</f>
        <v>6.5773651144152131E-4</v>
      </c>
      <c r="G22" s="48">
        <f>IFERROR(IF(AND(up_Irr!F22&lt;&gt;".",up_Irr!AD22&lt;&gt;".",up_Irr!BB22&lt;&gt;"."),up_dir!G22/((1/1000)*(up_Irr!F22+up_Irr!AD22+up_Irr!BB22)),IF(AND(up_Irr!F22&lt;&gt;".",up_Irr!AD22&lt;&gt;".",up_Irr!BB22="."),up_dir!G22/((1/1000)*(up_Irr!F22+up_Irr!AD22)),IF(AND(up_Irr!F22&lt;&gt;".",up_Irr!AD22=".",up_Irr!BB22&lt;&gt;"."),up_dir!G22/((1/1000)*(up_Irr!F22+up_Irr!BB22)),IF(AND(up_Irr!F22=".",up_Irr!AD22&lt;&gt;".",up_Irr!BB22&lt;&gt;"."),up_dir!G22/((1/1000)*(up_Irr!AD22+up_Irr!BB22)),IF(AND(up_Irr!F22=".",up_Irr!AD22=".",up_Irr!BB22&lt;&gt;"."),up_dir!G22/((1/1000)*(up_Irr!BB22)),IF(AND(up_Irr!F22=".",up_Irr!AD22&lt;&gt;".",up_Irr!BB22="."),up_dir!G22/((1/1000)*(up_Irr!AD22)),IF(AND(up_Irr!F22&lt;&gt;".",up_Irr!AD22=".",up_Irr!BB22="."),up_dir!G22/((1/1000)*(up_Irr!F22)),IF(AND(up_Irr!F22=".",up_Irr!AD22=".",up_Irr!BB22="."),up_dir!G22*1000)))))))),".")</f>
        <v>6.5773651144152131E-4</v>
      </c>
      <c r="H22" s="48">
        <f>IFERROR(IF(AND(up_Irr!G22&lt;&gt;".",up_Irr!AE22&lt;&gt;".",up_Irr!BC22&lt;&gt;"."),up_dir!H22/((1/1000)*(up_Irr!G22+up_Irr!AE22+up_Irr!BC22)),IF(AND(up_Irr!G22&lt;&gt;".",up_Irr!AE22&lt;&gt;".",up_Irr!BC22="."),up_dir!H22/((1/1000)*(up_Irr!G22+up_Irr!AE22)),IF(AND(up_Irr!G22&lt;&gt;".",up_Irr!AE22=".",up_Irr!BC22&lt;&gt;"."),up_dir!H22/((1/1000)*(up_Irr!G22+up_Irr!BC22)),IF(AND(up_Irr!G22=".",up_Irr!AE22&lt;&gt;".",up_Irr!BC22&lt;&gt;"."),up_dir!H22/((1/1000)*(up_Irr!AE22+up_Irr!BC22)),IF(AND(up_Irr!G22=".",up_Irr!AE22=".",up_Irr!BC22&lt;&gt;"."),up_dir!H22/((1/1000)*(up_Irr!BC22)),IF(AND(up_Irr!G22=".",up_Irr!AE22&lt;&gt;".",up_Irr!BC22="."),up_dir!H22/((1/1000)*(up_Irr!AE22)),IF(AND(up_Irr!G22&lt;&gt;".",up_Irr!AE22=".",up_Irr!BC22="."),up_dir!H22/((1/1000)*(up_Irr!G22)),IF(AND(up_Irr!G22=".",up_Irr!AE22=".",up_Irr!BC22="."),up_dir!H22*1000)))))))),".")</f>
        <v>6.5773651144152131E-4</v>
      </c>
      <c r="I22" s="48">
        <f>IFERROR(IF(AND(up_Irr!H22&lt;&gt;".",up_Irr!AF22&lt;&gt;".",up_Irr!BD22&lt;&gt;"."),up_dir!I22/((1/1000)*(up_Irr!H22+up_Irr!AF22+up_Irr!BD22)),IF(AND(up_Irr!H22&lt;&gt;".",up_Irr!AF22&lt;&gt;".",up_Irr!BD22="."),up_dir!I22/((1/1000)*(up_Irr!H22+up_Irr!AF22)),IF(AND(up_Irr!H22&lt;&gt;".",up_Irr!AF22=".",up_Irr!BD22&lt;&gt;"."),up_dir!I22/((1/1000)*(up_Irr!H22+up_Irr!BD22)),IF(AND(up_Irr!H22=".",up_Irr!AF22&lt;&gt;".",up_Irr!BD22&lt;&gt;"."),up_dir!I22/((1/1000)*(up_Irr!AF22+up_Irr!BD22)),IF(AND(up_Irr!H22=".",up_Irr!AF22=".",up_Irr!BD22&lt;&gt;"."),up_dir!I22/((1/1000)*(up_Irr!BD22)),IF(AND(up_Irr!H22=".",up_Irr!AF22&lt;&gt;".",up_Irr!BD22="."),up_dir!I22/((1/1000)*(up_Irr!AF22)),IF(AND(up_Irr!H22&lt;&gt;".",up_Irr!AF22=".",up_Irr!BD22="."),up_dir!I22/((1/1000)*(up_Irr!H22)),IF(AND(up_Irr!H22=".",up_Irr!AF22=".",up_Irr!BD22="."),up_dir!I22*1000)))))))),".")</f>
        <v>6.5773651144152131E-4</v>
      </c>
      <c r="J22" s="48">
        <f>IFERROR(IF(AND(up_Irr!I22&lt;&gt;".",up_Irr!AG22&lt;&gt;".",up_Irr!BE22&lt;&gt;"."),up_dir!J22/((1/1000)*(up_Irr!I22+up_Irr!AG22+up_Irr!BE22)),IF(AND(up_Irr!I22&lt;&gt;".",up_Irr!AG22&lt;&gt;".",up_Irr!BE22="."),up_dir!J22/((1/1000)*(up_Irr!I22+up_Irr!AG22)),IF(AND(up_Irr!I22&lt;&gt;".",up_Irr!AG22=".",up_Irr!BE22&lt;&gt;"."),up_dir!J22/((1/1000)*(up_Irr!I22+up_Irr!BE22)),IF(AND(up_Irr!I22=".",up_Irr!AG22&lt;&gt;".",up_Irr!BE22&lt;&gt;"."),up_dir!J22/((1/1000)*(up_Irr!AG22+up_Irr!BE22)),IF(AND(up_Irr!I22=".",up_Irr!AG22=".",up_Irr!BE22&lt;&gt;"."),up_dir!J22/((1/1000)*(up_Irr!BE22)),IF(AND(up_Irr!I22=".",up_Irr!AG22&lt;&gt;".",up_Irr!BE22="."),up_dir!J22/((1/1000)*(up_Irr!AG22)),IF(AND(up_Irr!I22&lt;&gt;".",up_Irr!AG22=".",up_Irr!BE22="."),up_dir!J22/((1/1000)*(up_Irr!I22)),IF(AND(up_Irr!I22=".",up_Irr!AG22=".",up_Irr!BE22="."),up_dir!J22*1000)))))))),".")</f>
        <v>6.5773651144152131E-4</v>
      </c>
      <c r="K22" s="48">
        <f>IFERROR(IF(AND(up_Irr!J22&lt;&gt;".",up_Irr!AH22&lt;&gt;".",up_Irr!BF22&lt;&gt;"."),up_dir!K22/((1/1000)*(up_Irr!J22+up_Irr!AH22+up_Irr!BF22)),IF(AND(up_Irr!J22&lt;&gt;".",up_Irr!AH22&lt;&gt;".",up_Irr!BF22="."),up_dir!K22/((1/1000)*(up_Irr!J22+up_Irr!AH22)),IF(AND(up_Irr!J22&lt;&gt;".",up_Irr!AH22=".",up_Irr!BF22&lt;&gt;"."),up_dir!K22/((1/1000)*(up_Irr!J22+up_Irr!BF22)),IF(AND(up_Irr!J22=".",up_Irr!AH22&lt;&gt;".",up_Irr!BF22&lt;&gt;"."),up_dir!K22/((1/1000)*(up_Irr!AH22+up_Irr!BF22)),IF(AND(up_Irr!J22=".",up_Irr!AH22=".",up_Irr!BF22&lt;&gt;"."),up_dir!K22/((1/1000)*(up_Irr!BF22)),IF(AND(up_Irr!J22=".",up_Irr!AH22&lt;&gt;".",up_Irr!BF22="."),up_dir!K22/((1/1000)*(up_Irr!AH22)),IF(AND(up_Irr!J22&lt;&gt;".",up_Irr!AH22=".",up_Irr!BF22="."),up_dir!K22/((1/1000)*(up_Irr!J22)),IF(AND(up_Irr!J22=".",up_Irr!AH22=".",up_Irr!BF22="."),up_dir!K22*1000)))))))),".")</f>
        <v>6.5773651144152131E-4</v>
      </c>
      <c r="L22" s="48">
        <f>IFERROR(IF(AND(up_Irr!K22&lt;&gt;".",up_Irr!AI22&lt;&gt;".",up_Irr!BG22&lt;&gt;"."),up_dir!L22/((1/1000)*(up_Irr!K22+up_Irr!AI22+up_Irr!BG22)),IF(AND(up_Irr!K22&lt;&gt;".",up_Irr!AI22&lt;&gt;".",up_Irr!BG22="."),up_dir!L22/((1/1000)*(up_Irr!K22+up_Irr!AI22)),IF(AND(up_Irr!K22&lt;&gt;".",up_Irr!AI22=".",up_Irr!BG22&lt;&gt;"."),up_dir!L22/((1/1000)*(up_Irr!K22+up_Irr!BG22)),IF(AND(up_Irr!K22=".",up_Irr!AI22&lt;&gt;".",up_Irr!BG22&lt;&gt;"."),up_dir!L22/((1/1000)*(up_Irr!AI22+up_Irr!BG22)),IF(AND(up_Irr!K22=".",up_Irr!AI22=".",up_Irr!BG22&lt;&gt;"."),up_dir!L22/((1/1000)*(up_Irr!BG22)),IF(AND(up_Irr!K22=".",up_Irr!AI22&lt;&gt;".",up_Irr!BG22="."),up_dir!L22/((1/1000)*(up_Irr!AI22)),IF(AND(up_Irr!K22&lt;&gt;".",up_Irr!AI22=".",up_Irr!BG22="."),up_dir!L22/((1/1000)*(up_Irr!K22)),IF(AND(up_Irr!K22=".",up_Irr!AI22=".",up_Irr!BG22="."),up_dir!L22*1000)))))))),".")</f>
        <v>6.5773651144152131E-4</v>
      </c>
      <c r="M22" s="48">
        <f>IFERROR(IF(AND(up_Irr!L22&lt;&gt;".",up_Irr!AJ22&lt;&gt;".",up_Irr!BH22&lt;&gt;"."),up_dir!M22/((1/1000)*(up_Irr!L22+up_Irr!AJ22+up_Irr!BH22)),IF(AND(up_Irr!L22&lt;&gt;".",up_Irr!AJ22&lt;&gt;".",up_Irr!BH22="."),up_dir!M22/((1/1000)*(up_Irr!L22+up_Irr!AJ22)),IF(AND(up_Irr!L22&lt;&gt;".",up_Irr!AJ22=".",up_Irr!BH22&lt;&gt;"."),up_dir!M22/((1/1000)*(up_Irr!L22+up_Irr!BH22)),IF(AND(up_Irr!L22=".",up_Irr!AJ22&lt;&gt;".",up_Irr!BH22&lt;&gt;"."),up_dir!M22/((1/1000)*(up_Irr!AJ22+up_Irr!BH22)),IF(AND(up_Irr!L22=".",up_Irr!AJ22=".",up_Irr!BH22&lt;&gt;"."),up_dir!M22/((1/1000)*(up_Irr!BH22)),IF(AND(up_Irr!L22=".",up_Irr!AJ22&lt;&gt;".",up_Irr!BH22="."),up_dir!M22/((1/1000)*(up_Irr!AJ22)),IF(AND(up_Irr!L22&lt;&gt;".",up_Irr!AJ22=".",up_Irr!BH22="."),up_dir!M22/((1/1000)*(up_Irr!L22)),IF(AND(up_Irr!L22=".",up_Irr!AJ22=".",up_Irr!BH22="."),up_dir!M22*1000)))))))),".")</f>
        <v>6.5773651144152131E-4</v>
      </c>
      <c r="N22" s="48">
        <f>IFERROR(IF(AND(up_Irr!M22&lt;&gt;".",up_Irr!AK22&lt;&gt;".",up_Irr!BI22&lt;&gt;"."),up_dir!N22/((1/1000)*(up_Irr!M22+up_Irr!AK22+up_Irr!BI22)),IF(AND(up_Irr!M22&lt;&gt;".",up_Irr!AK22&lt;&gt;".",up_Irr!BI22="."),up_dir!N22/((1/1000)*(up_Irr!M22+up_Irr!AK22)),IF(AND(up_Irr!M22&lt;&gt;".",up_Irr!AK22=".",up_Irr!BI22&lt;&gt;"."),up_dir!N22/((1/1000)*(up_Irr!M22+up_Irr!BI22)),IF(AND(up_Irr!M22=".",up_Irr!AK22&lt;&gt;".",up_Irr!BI22&lt;&gt;"."),up_dir!N22/((1/1000)*(up_Irr!AK22+up_Irr!BI22)),IF(AND(up_Irr!M22=".",up_Irr!AK22=".",up_Irr!BI22&lt;&gt;"."),up_dir!N22/((1/1000)*(up_Irr!BI22)),IF(AND(up_Irr!M22=".",up_Irr!AK22&lt;&gt;".",up_Irr!BI22="."),up_dir!N22/((1/1000)*(up_Irr!AK22)),IF(AND(up_Irr!M22&lt;&gt;".",up_Irr!AK22=".",up_Irr!BI22="."),up_dir!N22/((1/1000)*(up_Irr!M22)),IF(AND(up_Irr!M22=".",up_Irr!AK22=".",up_Irr!BI22="."),up_dir!N22*1000)))))))),".")</f>
        <v>6.5773651144152131E-4</v>
      </c>
      <c r="O22" s="48">
        <f>IFERROR(IF(AND(up_Irr!N22&lt;&gt;".",up_Irr!AL22&lt;&gt;".",up_Irr!BJ22&lt;&gt;"."),up_dir!O22/((1/1000)*(up_Irr!N22+up_Irr!AL22+up_Irr!BJ22)),IF(AND(up_Irr!N22&lt;&gt;".",up_Irr!AL22&lt;&gt;".",up_Irr!BJ22="."),up_dir!O22/((1/1000)*(up_Irr!N22+up_Irr!AL22)),IF(AND(up_Irr!N22&lt;&gt;".",up_Irr!AL22=".",up_Irr!BJ22&lt;&gt;"."),up_dir!O22/((1/1000)*(up_Irr!N22+up_Irr!BJ22)),IF(AND(up_Irr!N22=".",up_Irr!AL22&lt;&gt;".",up_Irr!BJ22&lt;&gt;"."),up_dir!O22/((1/1000)*(up_Irr!AL22+up_Irr!BJ22)),IF(AND(up_Irr!N22=".",up_Irr!AL22=".",up_Irr!BJ22&lt;&gt;"."),up_dir!O22/((1/1000)*(up_Irr!BJ22)),IF(AND(up_Irr!N22=".",up_Irr!AL22&lt;&gt;".",up_Irr!BJ22="."),up_dir!O22/((1/1000)*(up_Irr!AL22)),IF(AND(up_Irr!N22&lt;&gt;".",up_Irr!AL22=".",up_Irr!BJ22="."),up_dir!O22/((1/1000)*(up_Irr!N22)),IF(AND(up_Irr!N22=".",up_Irr!AL22=".",up_Irr!BJ22="."),up_dir!O22*1000)))))))),".")</f>
        <v>6.5773651144152131E-4</v>
      </c>
      <c r="P22" s="48">
        <f>IFERROR(IF(AND(up_Irr!O22&lt;&gt;".",up_Irr!AM22&lt;&gt;".",up_Irr!BK22&lt;&gt;"."),up_dir!P22/((1/1000)*(up_Irr!O22+up_Irr!AM22+up_Irr!BK22)),IF(AND(up_Irr!O22&lt;&gt;".",up_Irr!AM22&lt;&gt;".",up_Irr!BK22="."),up_dir!P22/((1/1000)*(up_Irr!O22+up_Irr!AM22)),IF(AND(up_Irr!O22&lt;&gt;".",up_Irr!AM22=".",up_Irr!BK22&lt;&gt;"."),up_dir!P22/((1/1000)*(up_Irr!O22+up_Irr!BK22)),IF(AND(up_Irr!O22=".",up_Irr!AM22&lt;&gt;".",up_Irr!BK22&lt;&gt;"."),up_dir!P22/((1/1000)*(up_Irr!AM22+up_Irr!BK22)),IF(AND(up_Irr!O22=".",up_Irr!AM22=".",up_Irr!BK22&lt;&gt;"."),up_dir!P22/((1/1000)*(up_Irr!BK22)),IF(AND(up_Irr!O22=".",up_Irr!AM22&lt;&gt;".",up_Irr!BK22="."),up_dir!P22/((1/1000)*(up_Irr!AM22)),IF(AND(up_Irr!O22&lt;&gt;".",up_Irr!AM22=".",up_Irr!BK22="."),up_dir!P22/((1/1000)*(up_Irr!O22)),IF(AND(up_Irr!O22=".",up_Irr!AM22=".",up_Irr!BK22="."),up_dir!P22*1000)))))))),".")</f>
        <v>6.5773651144152131E-4</v>
      </c>
      <c r="Q22" s="48">
        <f>IFERROR(IF(AND(up_Irr!P22&lt;&gt;".",up_Irr!AN22&lt;&gt;".",up_Irr!BL22&lt;&gt;"."),up_dir!Q22/((1/1000)*(up_Irr!P22+up_Irr!AN22+up_Irr!BL22)),IF(AND(up_Irr!P22&lt;&gt;".",up_Irr!AN22&lt;&gt;".",up_Irr!BL22="."),up_dir!Q22/((1/1000)*(up_Irr!P22+up_Irr!AN22)),IF(AND(up_Irr!P22&lt;&gt;".",up_Irr!AN22=".",up_Irr!BL22&lt;&gt;"."),up_dir!Q22/((1/1000)*(up_Irr!P22+up_Irr!BL22)),IF(AND(up_Irr!P22=".",up_Irr!AN22&lt;&gt;".",up_Irr!BL22&lt;&gt;"."),up_dir!Q22/((1/1000)*(up_Irr!AN22+up_Irr!BL22)),IF(AND(up_Irr!P22=".",up_Irr!AN22=".",up_Irr!BL22&lt;&gt;"."),up_dir!Q22/((1/1000)*(up_Irr!BL22)),IF(AND(up_Irr!P22=".",up_Irr!AN22&lt;&gt;".",up_Irr!BL22="."),up_dir!Q22/((1/1000)*(up_Irr!AN22)),IF(AND(up_Irr!P22&lt;&gt;".",up_Irr!AN22=".",up_Irr!BL22="."),up_dir!Q22/((1/1000)*(up_Irr!P22)),IF(AND(up_Irr!P22=".",up_Irr!AN22=".",up_Irr!BL22="."),up_dir!Q22*1000)))))))),".")</f>
        <v>6.5773651144152131E-4</v>
      </c>
      <c r="R22" s="48">
        <f>IFERROR(IF(AND(up_Irr!Q22&lt;&gt;".",up_Irr!AO22&lt;&gt;".",up_Irr!BM22&lt;&gt;"."),up_dir!R22/((1/1000)*(up_Irr!Q22+up_Irr!AO22+up_Irr!BM22)),IF(AND(up_Irr!Q22&lt;&gt;".",up_Irr!AO22&lt;&gt;".",up_Irr!BM22="."),up_dir!R22/((1/1000)*(up_Irr!Q22+up_Irr!AO22)),IF(AND(up_Irr!Q22&lt;&gt;".",up_Irr!AO22=".",up_Irr!BM22&lt;&gt;"."),up_dir!R22/((1/1000)*(up_Irr!Q22+up_Irr!BM22)),IF(AND(up_Irr!Q22=".",up_Irr!AO22&lt;&gt;".",up_Irr!BM22&lt;&gt;"."),up_dir!R22/((1/1000)*(up_Irr!AO22+up_Irr!BM22)),IF(AND(up_Irr!Q22=".",up_Irr!AO22=".",up_Irr!BM22&lt;&gt;"."),up_dir!R22/((1/1000)*(up_Irr!BM22)),IF(AND(up_Irr!Q22=".",up_Irr!AO22&lt;&gt;".",up_Irr!BM22="."),up_dir!R22/((1/1000)*(up_Irr!AO22)),IF(AND(up_Irr!Q22&lt;&gt;".",up_Irr!AO22=".",up_Irr!BM22="."),up_dir!R22/((1/1000)*(up_Irr!Q22)),IF(AND(up_Irr!Q22=".",up_Irr!AO22=".",up_Irr!BM22="."),up_dir!R22*1000)))))))),".")</f>
        <v>6.5773651144152131E-4</v>
      </c>
      <c r="S22" s="48">
        <f>IFERROR(IF(AND(up_Irr!R22&lt;&gt;".",up_Irr!AP22&lt;&gt;".",up_Irr!BN22&lt;&gt;"."),up_dir!S22/((1/1000)*(up_Irr!R22+up_Irr!AP22+up_Irr!BN22)),IF(AND(up_Irr!R22&lt;&gt;".",up_Irr!AP22&lt;&gt;".",up_Irr!BN22="."),up_dir!S22/((1/1000)*(up_Irr!R22+up_Irr!AP22)),IF(AND(up_Irr!R22&lt;&gt;".",up_Irr!AP22=".",up_Irr!BN22&lt;&gt;"."),up_dir!S22/((1/1000)*(up_Irr!R22+up_Irr!BN22)),IF(AND(up_Irr!R22=".",up_Irr!AP22&lt;&gt;".",up_Irr!BN22&lt;&gt;"."),up_dir!S22/((1/1000)*(up_Irr!AP22+up_Irr!BN22)),IF(AND(up_Irr!R22=".",up_Irr!AP22=".",up_Irr!BN22&lt;&gt;"."),up_dir!S22/((1/1000)*(up_Irr!BN22)),IF(AND(up_Irr!R22=".",up_Irr!AP22&lt;&gt;".",up_Irr!BN22="."),up_dir!S22/((1/1000)*(up_Irr!AP22)),IF(AND(up_Irr!R22&lt;&gt;".",up_Irr!AP22=".",up_Irr!BN22="."),up_dir!S22/((1/1000)*(up_Irr!R22)),IF(AND(up_Irr!R22=".",up_Irr!AP22=".",up_Irr!BN22="."),up_dir!S22*1000)))))))),".")</f>
        <v>6.5773651144152131E-4</v>
      </c>
      <c r="T22" s="48">
        <f>IFERROR(IF(AND(up_Irr!S22&lt;&gt;".",up_Irr!AQ22&lt;&gt;".",up_Irr!BO22&lt;&gt;"."),up_dir!T22/((1/1000)*(up_Irr!S22+up_Irr!AQ22+up_Irr!BO22)),IF(AND(up_Irr!S22&lt;&gt;".",up_Irr!AQ22&lt;&gt;".",up_Irr!BO22="."),up_dir!T22/((1/1000)*(up_Irr!S22+up_Irr!AQ22)),IF(AND(up_Irr!S22&lt;&gt;".",up_Irr!AQ22=".",up_Irr!BO22&lt;&gt;"."),up_dir!T22/((1/1000)*(up_Irr!S22+up_Irr!BO22)),IF(AND(up_Irr!S22=".",up_Irr!AQ22&lt;&gt;".",up_Irr!BO22&lt;&gt;"."),up_dir!T22/((1/1000)*(up_Irr!AQ22+up_Irr!BO22)),IF(AND(up_Irr!S22=".",up_Irr!AQ22=".",up_Irr!BO22&lt;&gt;"."),up_dir!T22/((1/1000)*(up_Irr!BO22)),IF(AND(up_Irr!S22=".",up_Irr!AQ22&lt;&gt;".",up_Irr!BO22="."),up_dir!T22/((1/1000)*(up_Irr!AQ22)),IF(AND(up_Irr!S22&lt;&gt;".",up_Irr!AQ22=".",up_Irr!BO22="."),up_dir!T22/((1/1000)*(up_Irr!S22)),IF(AND(up_Irr!S22=".",up_Irr!AQ22=".",up_Irr!BO22="."),up_dir!T22*1000)))))))),".")</f>
        <v>6.5773651144152131E-4</v>
      </c>
      <c r="U22" s="48">
        <f>IFERROR(IF(AND(up_Irr!T22&lt;&gt;".",up_Irr!AR22&lt;&gt;".",up_Irr!BP22&lt;&gt;"."),up_dir!U22/((1/1000)*(up_Irr!T22+up_Irr!AR22+up_Irr!BP22)),IF(AND(up_Irr!T22&lt;&gt;".",up_Irr!AR22&lt;&gt;".",up_Irr!BP22="."),up_dir!U22/((1/1000)*(up_Irr!T22+up_Irr!AR22)),IF(AND(up_Irr!T22&lt;&gt;".",up_Irr!AR22=".",up_Irr!BP22&lt;&gt;"."),up_dir!U22/((1/1000)*(up_Irr!T22+up_Irr!BP22)),IF(AND(up_Irr!T22=".",up_Irr!AR22&lt;&gt;".",up_Irr!BP22&lt;&gt;"."),up_dir!U22/((1/1000)*(up_Irr!AR22+up_Irr!BP22)),IF(AND(up_Irr!T22=".",up_Irr!AR22=".",up_Irr!BP22&lt;&gt;"."),up_dir!U22/((1/1000)*(up_Irr!BP22)),IF(AND(up_Irr!T22=".",up_Irr!AR22&lt;&gt;".",up_Irr!BP22="."),up_dir!U22/((1/1000)*(up_Irr!AR22)),IF(AND(up_Irr!T22&lt;&gt;".",up_Irr!AR22=".",up_Irr!BP22="."),up_dir!U22/((1/1000)*(up_Irr!T22)),IF(AND(up_Irr!T22=".",up_Irr!AR22=".",up_Irr!BP22="."),up_dir!U22*1000)))))))),".")</f>
        <v>6.5773651144152131E-4</v>
      </c>
      <c r="V22" s="48">
        <f>IFERROR(IF(AND(up_Irr!U22&lt;&gt;".",up_Irr!AS22&lt;&gt;".",up_Irr!BQ22&lt;&gt;"."),up_dir!V22/((1/1000)*(up_Irr!U22+up_Irr!AS22+up_Irr!BQ22)),IF(AND(up_Irr!U22&lt;&gt;".",up_Irr!AS22&lt;&gt;".",up_Irr!BQ22="."),up_dir!V22/((1/1000)*(up_Irr!U22+up_Irr!AS22)),IF(AND(up_Irr!U22&lt;&gt;".",up_Irr!AS22=".",up_Irr!BQ22&lt;&gt;"."),up_dir!V22/((1/1000)*(up_Irr!U22+up_Irr!BQ22)),IF(AND(up_Irr!U22=".",up_Irr!AS22&lt;&gt;".",up_Irr!BQ22&lt;&gt;"."),up_dir!V22/((1/1000)*(up_Irr!AS22+up_Irr!BQ22)),IF(AND(up_Irr!U22=".",up_Irr!AS22=".",up_Irr!BQ22&lt;&gt;"."),up_dir!V22/((1/1000)*(up_Irr!BQ22)),IF(AND(up_Irr!U22=".",up_Irr!AS22&lt;&gt;".",up_Irr!BQ22="."),up_dir!V22/((1/1000)*(up_Irr!AS22)),IF(AND(up_Irr!U22&lt;&gt;".",up_Irr!AS22=".",up_Irr!BQ22="."),up_dir!V22/((1/1000)*(up_Irr!U22)),IF(AND(up_Irr!U22=".",up_Irr!AS22=".",up_Irr!BQ22="."),up_dir!V22*1000)))))))),".")</f>
        <v>6.5773651144152131E-4</v>
      </c>
      <c r="W22" s="48">
        <f>IFERROR(IF(AND(up_Irr!V22&lt;&gt;".",up_Irr!AT22&lt;&gt;".",up_Irr!BR22&lt;&gt;"."),up_dir!W22/((1/1000)*(up_Irr!V22+up_Irr!AT22+up_Irr!BR22)),IF(AND(up_Irr!V22&lt;&gt;".",up_Irr!AT22&lt;&gt;".",up_Irr!BR22="."),up_dir!W22/((1/1000)*(up_Irr!V22+up_Irr!AT22)),IF(AND(up_Irr!V22&lt;&gt;".",up_Irr!AT22=".",up_Irr!BR22&lt;&gt;"."),up_dir!W22/((1/1000)*(up_Irr!V22+up_Irr!BR22)),IF(AND(up_Irr!V22=".",up_Irr!AT22&lt;&gt;".",up_Irr!BR22&lt;&gt;"."),up_dir!W22/((1/1000)*(up_Irr!AT22+up_Irr!BR22)),IF(AND(up_Irr!V22=".",up_Irr!AT22=".",up_Irr!BR22&lt;&gt;"."),up_dir!W22/((1/1000)*(up_Irr!BR22)),IF(AND(up_Irr!V22=".",up_Irr!AT22&lt;&gt;".",up_Irr!BR22="."),up_dir!W22/((1/1000)*(up_Irr!AT22)),IF(AND(up_Irr!V22&lt;&gt;".",up_Irr!AT22=".",up_Irr!BR22="."),up_dir!W22/((1/1000)*(up_Irr!V22)),IF(AND(up_Irr!V22=".",up_Irr!AT22=".",up_Irr!BR22="."),up_dir!W22*1000)))))))),".")</f>
        <v>6.5773651144152131E-4</v>
      </c>
      <c r="X22" s="48">
        <f>IFERROR(IF(AND(up_Irr!W22&lt;&gt;".",up_Irr!AU22&lt;&gt;".",up_Irr!BS22&lt;&gt;"."),up_dir!X22/((1/1000)*(up_Irr!W22+up_Irr!AU22+up_Irr!BS22)),IF(AND(up_Irr!W22&lt;&gt;".",up_Irr!AU22&lt;&gt;".",up_Irr!BS22="."),up_dir!X22/((1/1000)*(up_Irr!W22+up_Irr!AU22)),IF(AND(up_Irr!W22&lt;&gt;".",up_Irr!AU22=".",up_Irr!BS22&lt;&gt;"."),up_dir!X22/((1/1000)*(up_Irr!W22+up_Irr!BS22)),IF(AND(up_Irr!W22=".",up_Irr!AU22&lt;&gt;".",up_Irr!BS22&lt;&gt;"."),up_dir!X22/((1/1000)*(up_Irr!AU22+up_Irr!BS22)),IF(AND(up_Irr!W22=".",up_Irr!AU22=".",up_Irr!BS22&lt;&gt;"."),up_dir!X22/((1/1000)*(up_Irr!BS22)),IF(AND(up_Irr!W22=".",up_Irr!AU22&lt;&gt;".",up_Irr!BS22="."),up_dir!X22/((1/1000)*(up_Irr!AU22)),IF(AND(up_Irr!W22&lt;&gt;".",up_Irr!AU22=".",up_Irr!BS22="."),up_dir!X22/((1/1000)*(up_Irr!W22)),IF(AND(up_Irr!W22=".",up_Irr!AU22=".",up_Irr!BS22="."),up_dir!X22*1000)))))))),".")</f>
        <v>6.5773651144152131E-4</v>
      </c>
      <c r="Y22" s="48">
        <f>IFERROR(IF(AND(up_Irr!X22&lt;&gt;".",up_Irr!AV22&lt;&gt;".",up_Irr!BT22&lt;&gt;"."),up_dir!Y22/((1/1000)*(up_Irr!X22+up_Irr!AV22+up_Irr!BT22)),IF(AND(up_Irr!X22&lt;&gt;".",up_Irr!AV22&lt;&gt;".",up_Irr!BT22="."),up_dir!Y22/((1/1000)*(up_Irr!X22+up_Irr!AV22)),IF(AND(up_Irr!X22&lt;&gt;".",up_Irr!AV22=".",up_Irr!BT22&lt;&gt;"."),up_dir!Y22/((1/1000)*(up_Irr!X22+up_Irr!BT22)),IF(AND(up_Irr!X22=".",up_Irr!AV22&lt;&gt;".",up_Irr!BT22&lt;&gt;"."),up_dir!Y22/((1/1000)*(up_Irr!AV22+up_Irr!BT22)),IF(AND(up_Irr!X22=".",up_Irr!AV22=".",up_Irr!BT22&lt;&gt;"."),up_dir!Y22/((1/1000)*(up_Irr!BT22)),IF(AND(up_Irr!X22=".",up_Irr!AV22&lt;&gt;".",up_Irr!BT22="."),up_dir!Y22/((1/1000)*(up_Irr!AV22)),IF(AND(up_Irr!X22&lt;&gt;".",up_Irr!AV22=".",up_Irr!BT22="."),up_dir!Y22/((1/1000)*(up_Irr!X22)),IF(AND(up_Irr!X22=".",up_Irr!AV22=".",up_Irr!BT22="."),up_dir!Y22*1000)))))))),".")</f>
        <v>6.5773651144152131E-4</v>
      </c>
      <c r="Z22" s="48">
        <f>IFERROR(IF(AND(up_Irr!Y22&lt;&gt;".",up_Irr!AW22&lt;&gt;".",up_Irr!BU22&lt;&gt;"."),up_dir!Z22/((1/1000)*(up_Irr!Y22+up_Irr!AW22+up_Irr!BU22)),IF(AND(up_Irr!Y22&lt;&gt;".",up_Irr!AW22&lt;&gt;".",up_Irr!BU22="."),up_dir!Z22/((1/1000)*(up_Irr!Y22+up_Irr!AW22)),IF(AND(up_Irr!Y22&lt;&gt;".",up_Irr!AW22=".",up_Irr!BU22&lt;&gt;"."),up_dir!Z22/((1/1000)*(up_Irr!Y22+up_Irr!BU22)),IF(AND(up_Irr!Y22=".",up_Irr!AW22&lt;&gt;".",up_Irr!BU22&lt;&gt;"."),up_dir!Z22/((1/1000)*(up_Irr!AW22+up_Irr!BU22)),IF(AND(up_Irr!Y22=".",up_Irr!AW22=".",up_Irr!BU22&lt;&gt;"."),up_dir!Z22/((1/1000)*(up_Irr!BU22)),IF(AND(up_Irr!Y22=".",up_Irr!AW22&lt;&gt;".",up_Irr!BU22="."),up_dir!Z22/((1/1000)*(up_Irr!AW22)),IF(AND(up_Irr!Y22&lt;&gt;".",up_Irr!AW22=".",up_Irr!BU22="."),up_dir!Z22/((1/1000)*(up_Irr!Y22)),IF(AND(up_Irr!Y22=".",up_Irr!AW22=".",up_Irr!BU22="."),up_dir!Z22*1000)))))))),".")</f>
        <v>6.5773651144152131E-4</v>
      </c>
      <c r="AA22" s="48">
        <f>IFERROR(IF(AND(up_Irr!Z22&lt;&gt;".",up_Irr!AX22&lt;&gt;".",up_Irr!BV22&lt;&gt;"."),up_dir!AA22/((1/1000)*(up_Irr!Z22+up_Irr!AX22+up_Irr!BV22)),IF(AND(up_Irr!Z22&lt;&gt;".",up_Irr!AX22&lt;&gt;".",up_Irr!BV22="."),up_dir!AA22/((1/1000)*(up_Irr!Z22+up_Irr!AX22)),IF(AND(up_Irr!Z22&lt;&gt;".",up_Irr!AX22=".",up_Irr!BV22&lt;&gt;"."),up_dir!AA22/((1/1000)*(up_Irr!Z22+up_Irr!BV22)),IF(AND(up_Irr!Z22=".",up_Irr!AX22&lt;&gt;".",up_Irr!BV22&lt;&gt;"."),up_dir!AA22/((1/1000)*(up_Irr!AX22+up_Irr!BV22)),IF(AND(up_Irr!Z22=".",up_Irr!AX22=".",up_Irr!BV22&lt;&gt;"."),up_dir!AA22/((1/1000)*(up_Irr!BV22)),IF(AND(up_Irr!Z22=".",up_Irr!AX22&lt;&gt;".",up_Irr!BV22="."),up_dir!AA22/((1/1000)*(up_Irr!AX22)),IF(AND(up_Irr!Z22&lt;&gt;".",up_Irr!AX22=".",up_Irr!BV22="."),up_dir!AA22/((1/1000)*(up_Irr!Z22)),IF(AND(up_Irr!Z22=".",up_Irr!AX22=".",up_Irr!BV22="."),up_dir!AA22*1000)))))))),".")</f>
        <v>6.5773651144152131E-4</v>
      </c>
      <c r="AB22" s="62">
        <f t="shared" si="1"/>
        <v>22805.4847785862</v>
      </c>
      <c r="AC22" s="62">
        <f>IFERROR(s_C*s_IFAP_res_adj*s_CF_apple*0.001*(up_Irr!C22+up_Irr!AA22+up_Irr!AY22),".")</f>
        <v>7601.8282595287337</v>
      </c>
      <c r="AD22" s="62">
        <f>IFERROR(s_C*s_IFAS_res_adj*s_CF_asparagus*0.001*(up_Irr!D22+up_Irr!AB22+up_Irr!AZ22),".")</f>
        <v>7601.8282595287337</v>
      </c>
      <c r="AE22" s="62">
        <f>IFERROR(s_C*s_IFBT_res_adj*s_CF_beet*0.001*(up_Irr!E22+up_Irr!AC22+up_Irr!BA22),".")</f>
        <v>7601.8282595287337</v>
      </c>
      <c r="AF22" s="62">
        <f>IFERROR(s_C*s_IFBE_res_adj*s_CF_berries*0.001*(up_Irr!F22+up_Irr!AD22+up_Irr!BB22),".")</f>
        <v>7601.8282595287337</v>
      </c>
      <c r="AG22" s="62">
        <f>IFERROR(s_C*s_IFBR_res_adj*s_CF_broccoli*0.001*(up_Irr!G22+up_Irr!AE22+up_Irr!BC22),".")</f>
        <v>7601.8282595287337</v>
      </c>
      <c r="AH22" s="62">
        <f>IFERROR(s_C*s_IFCB_res_adj*s_CF_cabbage*0.001*(up_Irr!H22+up_Irr!AF22+up_Irr!BD22),".")</f>
        <v>7601.8282595287337</v>
      </c>
      <c r="AI22" s="62">
        <f>IFERROR(s_C*s_IFCR_res_adj*s_CF_carrot*0.001*(up_Irr!I22+up_Irr!AG22+up_Irr!BE22),".")</f>
        <v>7601.8282595287337</v>
      </c>
      <c r="AJ22" s="62">
        <f>IFERROR(s_C*s_IFCI_res_adj*s_CF_citrus*0.001*(up_Irr!J22+up_Irr!AH22+up_Irr!BF22),".")</f>
        <v>7601.8282595287337</v>
      </c>
      <c r="AK22" s="62">
        <f>IFERROR(s_C*s_IFCO_res_adj*s_CF_corn*0.001*(up_Irr!K22+up_Irr!AI22+up_Irr!BG22),".")</f>
        <v>7601.8282595287337</v>
      </c>
      <c r="AL22" s="62">
        <f>IFERROR(s_C*s_IFCU_res_adj*s_CF_cucumber*0.001*(up_Irr!L22+up_Irr!AJ22+up_Irr!BH22),".")</f>
        <v>7601.8282595287337</v>
      </c>
      <c r="AM22" s="62">
        <f>IFERROR(s_C*s_IFLE_res_adj*s_CF_lettuce*0.001*(up_Irr!M22+up_Irr!AK22+up_Irr!BI22),".")</f>
        <v>7601.8282595287337</v>
      </c>
      <c r="AN22" s="62">
        <f>IFERROR(s_C*s_IFLI_res_adj*s_CF_lima_bean*0.001*(up_Irr!N22+up_Irr!AL22+up_Irr!BJ22),".")</f>
        <v>7601.8282595287337</v>
      </c>
      <c r="AO22" s="62">
        <f>IFERROR(s_C*s_IFOK_res_adj*s_CF_okra*0.001*(up_Irr!O22+up_Irr!AM22+up_Irr!BK22),".")</f>
        <v>7601.8282595287337</v>
      </c>
      <c r="AP22" s="62">
        <f>IFERROR(s_C*s_IFON_res_adj*s_CF_onion*0.001*(up_Irr!P22+up_Irr!AN22+up_Irr!BL22),".")</f>
        <v>7601.8282595287337</v>
      </c>
      <c r="AQ22" s="62">
        <f>IFERROR(s_C*s_IFPC_res_adj*s_CF_peach*0.001*(up_Irr!Q22+up_Irr!AO22+up_Irr!BM22),".")</f>
        <v>7601.8282595287337</v>
      </c>
      <c r="AR22" s="62">
        <f>IFERROR(s_C*s_IFPR_res_adj*s_CF_pear*0.001*(up_Irr!R22+up_Irr!AP22+up_Irr!BN22),".")</f>
        <v>7601.8282595287337</v>
      </c>
      <c r="AS22" s="62">
        <f>IFERROR(s_C*s_IFPE_res_adj*s_CF_peas*0.001*(up_Irr!S22+up_Irr!AQ22+up_Irr!BO22),".")</f>
        <v>7601.8282595287337</v>
      </c>
      <c r="AT22" s="62">
        <f>IFERROR(s_C*s_IFPT_res_adj*s_CF_potato*0.001*(up_Irr!T22+up_Irr!AR22+up_Irr!BP22),".")</f>
        <v>7601.8282595287337</v>
      </c>
      <c r="AU22" s="62">
        <f>IFERROR(s_C*s_IFPU_res_adj*s_CF_pumpkin*0.001*(up_Irr!U22+up_Irr!AS22+up_Irr!BQ22),".")</f>
        <v>7601.8282595287337</v>
      </c>
      <c r="AV22" s="62">
        <f>IFERROR(s_C*s_IFSN_res_adj*s_CF_snap_bean*0.001*(up_Irr!V22+up_Irr!AT22+up_Irr!BR22),".")</f>
        <v>7601.8282595287337</v>
      </c>
      <c r="AW22" s="62">
        <f>IFERROR(s_C*s_IFST_res_adj*s_CF_strawberry*0.001*(up_Irr!W22+up_Irr!AU22+up_Irr!BS22),".")</f>
        <v>7601.8282595287337</v>
      </c>
      <c r="AX22" s="62">
        <f>IFERROR(s_C*s_IFTO_res_adj*s_CF_tomato*0.001*(up_Irr!X22+up_Irr!AV22+up_Irr!BT22),".")</f>
        <v>7601.8282595287337</v>
      </c>
      <c r="AY22" s="62">
        <f>IFERROR(s_C*s_IFRI_res_adj*s_CF_rice*0.001*(up_Irr!Y22+up_Irr!AW22+up_Irr!BU22),".")</f>
        <v>7601.8282595287337</v>
      </c>
      <c r="AZ22" s="62">
        <f>IFERROR(s_C*s_IFCG_res_adj*s_CF_cereal*0.001*(up_Irr!Z22+up_Irr!AX22+up_Irr!BV22),".")</f>
        <v>7601.8282595287337</v>
      </c>
      <c r="BA22" s="48">
        <f t="shared" si="2"/>
        <v>2.1924550381384044E-4</v>
      </c>
      <c r="BB22" s="48">
        <f>IFERROR(IF(AND(up_Irr!C22&lt;&gt;".",up_Irr!AA22&lt;&gt;".",up_Irr!AY22&lt;&gt;"."),up_dir!AC22/((1/1000)*(up_Irr!C22+up_Irr!AA22+up_Irr!AY22)),IF(AND(up_Irr!C22&lt;&gt;".",up_Irr!AA22&lt;&gt;".",up_Irr!AY22="."),up_dir!AC22/((1/1000)*(up_Irr!C22+up_Irr!AA22)),IF(AND(up_Irr!C22&lt;&gt;".",up_Irr!AA22=".",up_Irr!AY22&lt;&gt;"."),up_dir!AC22/((1/1000)*(up_Irr!C22+up_Irr!AY22)),IF(AND(up_Irr!C22=".",up_Irr!AA22&lt;&gt;".",up_Irr!AY22&lt;&gt;"."),up_dir!AC22/((1/1000)*(up_Irr!AA22+up_Irr!AY22)),IF(AND(up_Irr!C22=".",up_Irr!AA22=".",up_Irr!AY22&lt;&gt;"."),up_dir!AC22/((1/1000)*(up_Irr!AY22)),IF(AND(up_Irr!C22=".",up_Irr!AA22&lt;&gt;".",up_Irr!AY22="."),up_dir!AC22/((1/1000)*(up_Irr!AA22)),IF(AND(up_Irr!C22&lt;&gt;".",up_Irr!AA22=".",up_Irr!AY22="."),up_dir!AC22/((1/1000)*(up_Irr!C22)),IF(AND(up_Irr!C22=".",up_Irr!AA22=".",up_Irr!AY22="."),up_dir!AC22*1000)))))))),".")</f>
        <v>6.5773651144152131E-4</v>
      </c>
      <c r="BC22" s="48">
        <f>IFERROR(IF(AND(up_Irr!D22&lt;&gt;".",up_Irr!AB22&lt;&gt;".",up_Irr!AZ22&lt;&gt;"."),up_dir!AD22/((1/1000)*(up_Irr!D22+up_Irr!AB22+up_Irr!AZ22)),IF(AND(up_Irr!D22&lt;&gt;".",up_Irr!AB22&lt;&gt;".",up_Irr!AZ22="."),up_dir!AD22/((1/1000)*(up_Irr!D22+up_Irr!AB22)),IF(AND(up_Irr!D22&lt;&gt;".",up_Irr!AB22=".",up_Irr!AZ22&lt;&gt;"."),up_dir!AD22/((1/1000)*(up_Irr!D22+up_Irr!AZ22)),IF(AND(up_Irr!D22=".",up_Irr!AB22&lt;&gt;".",up_Irr!AZ22&lt;&gt;"."),up_dir!AD22/((1/1000)*(up_Irr!AB22+up_Irr!AZ22)),IF(AND(up_Irr!D22=".",up_Irr!AB22=".",up_Irr!AZ22&lt;&gt;"."),up_dir!AD22/((1/1000)*(up_Irr!AZ22)),IF(AND(up_Irr!D22=".",up_Irr!AB22&lt;&gt;".",up_Irr!AZ22="."),up_dir!AD22/((1/1000)*(up_Irr!AB22)),IF(AND(up_Irr!D22&lt;&gt;".",up_Irr!AB22=".",up_Irr!AZ22="."),up_dir!AD22/((1/1000)*(up_Irr!D22)),IF(AND(up_Irr!D22=".",up_Irr!AB22=".",up_Irr!AZ22="."),up_dir!AD22*1000)))))))),".")</f>
        <v>6.5773651144152131E-4</v>
      </c>
      <c r="BD22" s="48">
        <f>IFERROR(IF(AND(up_Irr!E22&lt;&gt;".",up_Irr!AC22&lt;&gt;".",up_Irr!BA22&lt;&gt;"."),up_dir!AE22/((1/1000)*(up_Irr!E22+up_Irr!AC22+up_Irr!BA22)),IF(AND(up_Irr!E22&lt;&gt;".",up_Irr!AC22&lt;&gt;".",up_Irr!BA22="."),up_dir!AE22/((1/1000)*(up_Irr!E22+up_Irr!AC22)),IF(AND(up_Irr!E22&lt;&gt;".",up_Irr!AC22=".",up_Irr!BA22&lt;&gt;"."),up_dir!AE22/((1/1000)*(up_Irr!E22+up_Irr!BA22)),IF(AND(up_Irr!E22=".",up_Irr!AC22&lt;&gt;".",up_Irr!BA22&lt;&gt;"."),up_dir!AE22/((1/1000)*(up_Irr!AC22+up_Irr!BA22)),IF(AND(up_Irr!E22=".",up_Irr!AC22=".",up_Irr!BA22&lt;&gt;"."),up_dir!AE22/((1/1000)*(up_Irr!BA22)),IF(AND(up_Irr!E22=".",up_Irr!AC22&lt;&gt;".",up_Irr!BA22="."),up_dir!AE22/((1/1000)*(up_Irr!AC22)),IF(AND(up_Irr!E22&lt;&gt;".",up_Irr!AC22=".",up_Irr!BA22="."),up_dir!AE22/((1/1000)*(up_Irr!E22)),IF(AND(up_Irr!E22=".",up_Irr!AC22=".",up_Irr!BA22="."),up_dir!AE22*1000)))))))),".")</f>
        <v>6.5773651144152131E-4</v>
      </c>
      <c r="BE22" s="48">
        <f>IFERROR(IF(AND(up_Irr!F22&lt;&gt;".",up_Irr!AD22&lt;&gt;".",up_Irr!BB22&lt;&gt;"."),up_dir!AF22/((1/1000)*(up_Irr!F22+up_Irr!AD22+up_Irr!BB22)),IF(AND(up_Irr!F22&lt;&gt;".",up_Irr!AD22&lt;&gt;".",up_Irr!BB22="."),up_dir!AF22/((1/1000)*(up_Irr!F22+up_Irr!AD22)),IF(AND(up_Irr!F22&lt;&gt;".",up_Irr!AD22=".",up_Irr!BB22&lt;&gt;"."),up_dir!AF22/((1/1000)*(up_Irr!F22+up_Irr!BB22)),IF(AND(up_Irr!F22=".",up_Irr!AD22&lt;&gt;".",up_Irr!BB22&lt;&gt;"."),up_dir!AF22/((1/1000)*(up_Irr!AD22+up_Irr!BB22)),IF(AND(up_Irr!F22=".",up_Irr!AD22=".",up_Irr!BB22&lt;&gt;"."),up_dir!AF22/((1/1000)*(up_Irr!BB22)),IF(AND(up_Irr!F22=".",up_Irr!AD22&lt;&gt;".",up_Irr!BB22="."),up_dir!AF22/((1/1000)*(up_Irr!AD22)),IF(AND(up_Irr!F22&lt;&gt;".",up_Irr!AD22=".",up_Irr!BB22="."),up_dir!AF22/((1/1000)*(up_Irr!F22)),IF(AND(up_Irr!F22=".",up_Irr!AD22=".",up_Irr!BB22="."),up_dir!AF22*1000)))))))),".")</f>
        <v>6.5773651144152131E-4</v>
      </c>
      <c r="BF22" s="48">
        <f>IFERROR(IF(AND(up_Irr!G22&lt;&gt;".",up_Irr!AE22&lt;&gt;".",up_Irr!BC22&lt;&gt;"."),up_dir!AG22/((1/1000)*(up_Irr!G22+up_Irr!AE22+up_Irr!BC22)),IF(AND(up_Irr!G22&lt;&gt;".",up_Irr!AE22&lt;&gt;".",up_Irr!BC22="."),up_dir!AG22/((1/1000)*(up_Irr!G22+up_Irr!AE22)),IF(AND(up_Irr!G22&lt;&gt;".",up_Irr!AE22=".",up_Irr!BC22&lt;&gt;"."),up_dir!AG22/((1/1000)*(up_Irr!G22+up_Irr!BC22)),IF(AND(up_Irr!G22=".",up_Irr!AE22&lt;&gt;".",up_Irr!BC22&lt;&gt;"."),up_dir!AG22/((1/1000)*(up_Irr!AE22+up_Irr!BC22)),IF(AND(up_Irr!G22=".",up_Irr!AE22=".",up_Irr!BC22&lt;&gt;"."),up_dir!AG22/((1/1000)*(up_Irr!BC22)),IF(AND(up_Irr!G22=".",up_Irr!AE22&lt;&gt;".",up_Irr!BC22="."),up_dir!AG22/((1/1000)*(up_Irr!AE22)),IF(AND(up_Irr!G22&lt;&gt;".",up_Irr!AE22=".",up_Irr!BC22="."),up_dir!AG22/((1/1000)*(up_Irr!G22)),IF(AND(up_Irr!G22=".",up_Irr!AE22=".",up_Irr!BC22="."),up_dir!AG22*1000)))))))),".")</f>
        <v>6.5773651144152131E-4</v>
      </c>
      <c r="BG22" s="48">
        <f>IFERROR(IF(AND(up_Irr!H22&lt;&gt;".",up_Irr!AF22&lt;&gt;".",up_Irr!BD22&lt;&gt;"."),up_dir!AH22/((1/1000)*(up_Irr!H22+up_Irr!AF22+up_Irr!BD22)),IF(AND(up_Irr!H22&lt;&gt;".",up_Irr!AF22&lt;&gt;".",up_Irr!BD22="."),up_dir!AH22/((1/1000)*(up_Irr!H22+up_Irr!AF22)),IF(AND(up_Irr!H22&lt;&gt;".",up_Irr!AF22=".",up_Irr!BD22&lt;&gt;"."),up_dir!AH22/((1/1000)*(up_Irr!H22+up_Irr!BD22)),IF(AND(up_Irr!H22=".",up_Irr!AF22&lt;&gt;".",up_Irr!BD22&lt;&gt;"."),up_dir!AH22/((1/1000)*(up_Irr!AF22+up_Irr!BD22)),IF(AND(up_Irr!H22=".",up_Irr!AF22=".",up_Irr!BD22&lt;&gt;"."),up_dir!AH22/((1/1000)*(up_Irr!BD22)),IF(AND(up_Irr!H22=".",up_Irr!AF22&lt;&gt;".",up_Irr!BD22="."),up_dir!AH22/((1/1000)*(up_Irr!AF22)),IF(AND(up_Irr!H22&lt;&gt;".",up_Irr!AF22=".",up_Irr!BD22="."),up_dir!AH22/((1/1000)*(up_Irr!H22)),IF(AND(up_Irr!H22=".",up_Irr!AF22=".",up_Irr!BD22="."),up_dir!AH22*1000)))))))),".")</f>
        <v>6.5773651144152131E-4</v>
      </c>
      <c r="BH22" s="48">
        <f>IFERROR(IF(AND(up_Irr!I22&lt;&gt;".",up_Irr!AG22&lt;&gt;".",up_Irr!BE22&lt;&gt;"."),up_dir!AI22/((1/1000)*(up_Irr!I22+up_Irr!AG22+up_Irr!BE22)),IF(AND(up_Irr!I22&lt;&gt;".",up_Irr!AG22&lt;&gt;".",up_Irr!BE22="."),up_dir!AI22/((1/1000)*(up_Irr!I22+up_Irr!AG22)),IF(AND(up_Irr!I22&lt;&gt;".",up_Irr!AG22=".",up_Irr!BE22&lt;&gt;"."),up_dir!AI22/((1/1000)*(up_Irr!I22+up_Irr!BE22)),IF(AND(up_Irr!I22=".",up_Irr!AG22&lt;&gt;".",up_Irr!BE22&lt;&gt;"."),up_dir!AI22/((1/1000)*(up_Irr!AG22+up_Irr!BE22)),IF(AND(up_Irr!I22=".",up_Irr!AG22=".",up_Irr!BE22&lt;&gt;"."),up_dir!AI22/((1/1000)*(up_Irr!BE22)),IF(AND(up_Irr!I22=".",up_Irr!AG22&lt;&gt;".",up_Irr!BE22="."),up_dir!AI22/((1/1000)*(up_Irr!AG22)),IF(AND(up_Irr!I22&lt;&gt;".",up_Irr!AG22=".",up_Irr!BE22="."),up_dir!AI22/((1/1000)*(up_Irr!I22)),IF(AND(up_Irr!I22=".",up_Irr!AG22=".",up_Irr!BE22="."),up_dir!AI22*1000)))))))),".")</f>
        <v>6.5773651144152131E-4</v>
      </c>
      <c r="BI22" s="48">
        <f>IFERROR(IF(AND(up_Irr!J22&lt;&gt;".",up_Irr!AH22&lt;&gt;".",up_Irr!BF22&lt;&gt;"."),up_dir!AJ22/((1/1000)*(up_Irr!J22+up_Irr!AH22+up_Irr!BF22)),IF(AND(up_Irr!J22&lt;&gt;".",up_Irr!AH22&lt;&gt;".",up_Irr!BF22="."),up_dir!AJ22/((1/1000)*(up_Irr!J22+up_Irr!AH22)),IF(AND(up_Irr!J22&lt;&gt;".",up_Irr!AH22=".",up_Irr!BF22&lt;&gt;"."),up_dir!AJ22/((1/1000)*(up_Irr!J22+up_Irr!BF22)),IF(AND(up_Irr!J22=".",up_Irr!AH22&lt;&gt;".",up_Irr!BF22&lt;&gt;"."),up_dir!AJ22/((1/1000)*(up_Irr!AH22+up_Irr!BF22)),IF(AND(up_Irr!J22=".",up_Irr!AH22=".",up_Irr!BF22&lt;&gt;"."),up_dir!AJ22/((1/1000)*(up_Irr!BF22)),IF(AND(up_Irr!J22=".",up_Irr!AH22&lt;&gt;".",up_Irr!BF22="."),up_dir!AJ22/((1/1000)*(up_Irr!AH22)),IF(AND(up_Irr!J22&lt;&gt;".",up_Irr!AH22=".",up_Irr!BF22="."),up_dir!AJ22/((1/1000)*(up_Irr!J22)),IF(AND(up_Irr!J22=".",up_Irr!AH22=".",up_Irr!BF22="."),up_dir!AJ22*1000)))))))),".")</f>
        <v>6.5773651144152131E-4</v>
      </c>
      <c r="BJ22" s="48">
        <f>IFERROR(IF(AND(up_Irr!K22&lt;&gt;".",up_Irr!AI22&lt;&gt;".",up_Irr!BG22&lt;&gt;"."),up_dir!AK22/((1/1000)*(up_Irr!K22+up_Irr!AI22+up_Irr!BG22)),IF(AND(up_Irr!K22&lt;&gt;".",up_Irr!AI22&lt;&gt;".",up_Irr!BG22="."),up_dir!AK22/((1/1000)*(up_Irr!K22+up_Irr!AI22)),IF(AND(up_Irr!K22&lt;&gt;".",up_Irr!AI22=".",up_Irr!BG22&lt;&gt;"."),up_dir!AK22/((1/1000)*(up_Irr!K22+up_Irr!BG22)),IF(AND(up_Irr!K22=".",up_Irr!AI22&lt;&gt;".",up_Irr!BG22&lt;&gt;"."),up_dir!AK22/((1/1000)*(up_Irr!AI22+up_Irr!BG22)),IF(AND(up_Irr!K22=".",up_Irr!AI22=".",up_Irr!BG22&lt;&gt;"."),up_dir!AK22/((1/1000)*(up_Irr!BG22)),IF(AND(up_Irr!K22=".",up_Irr!AI22&lt;&gt;".",up_Irr!BG22="."),up_dir!AK22/((1/1000)*(up_Irr!AI22)),IF(AND(up_Irr!K22&lt;&gt;".",up_Irr!AI22=".",up_Irr!BG22="."),up_dir!AK22/((1/1000)*(up_Irr!K22)),IF(AND(up_Irr!K22=".",up_Irr!AI22=".",up_Irr!BG22="."),up_dir!AK22*1000)))))))),".")</f>
        <v>6.5773651144152131E-4</v>
      </c>
      <c r="BK22" s="48">
        <f>IFERROR(IF(AND(up_Irr!L22&lt;&gt;".",up_Irr!AJ22&lt;&gt;".",up_Irr!BH22&lt;&gt;"."),up_dir!AL22/((1/1000)*(up_Irr!L22+up_Irr!AJ22+up_Irr!BH22)),IF(AND(up_Irr!L22&lt;&gt;".",up_Irr!AJ22&lt;&gt;".",up_Irr!BH22="."),up_dir!AL22/((1/1000)*(up_Irr!L22+up_Irr!AJ22)),IF(AND(up_Irr!L22&lt;&gt;".",up_Irr!AJ22=".",up_Irr!BH22&lt;&gt;"."),up_dir!AL22/((1/1000)*(up_Irr!L22+up_Irr!BH22)),IF(AND(up_Irr!L22=".",up_Irr!AJ22&lt;&gt;".",up_Irr!BH22&lt;&gt;"."),up_dir!AL22/((1/1000)*(up_Irr!AJ22+up_Irr!BH22)),IF(AND(up_Irr!L22=".",up_Irr!AJ22=".",up_Irr!BH22&lt;&gt;"."),up_dir!AL22/((1/1000)*(up_Irr!BH22)),IF(AND(up_Irr!L22=".",up_Irr!AJ22&lt;&gt;".",up_Irr!BH22="."),up_dir!AL22/((1/1000)*(up_Irr!AJ22)),IF(AND(up_Irr!L22&lt;&gt;".",up_Irr!AJ22=".",up_Irr!BH22="."),up_dir!AL22/((1/1000)*(up_Irr!L22)),IF(AND(up_Irr!L22=".",up_Irr!AJ22=".",up_Irr!BH22="."),up_dir!AL22*1000)))))))),".")</f>
        <v>6.5773651144152131E-4</v>
      </c>
      <c r="BL22" s="48">
        <f>IFERROR(IF(AND(up_Irr!M22&lt;&gt;".",up_Irr!AK22&lt;&gt;".",up_Irr!BI22&lt;&gt;"."),up_dir!AM22/((1/1000)*(up_Irr!M22+up_Irr!AK22+up_Irr!BI22)),IF(AND(up_Irr!M22&lt;&gt;".",up_Irr!AK22&lt;&gt;".",up_Irr!BI22="."),up_dir!AM22/((1/1000)*(up_Irr!M22+up_Irr!AK22)),IF(AND(up_Irr!M22&lt;&gt;".",up_Irr!AK22=".",up_Irr!BI22&lt;&gt;"."),up_dir!AM22/((1/1000)*(up_Irr!M22+up_Irr!BI22)),IF(AND(up_Irr!M22=".",up_Irr!AK22&lt;&gt;".",up_Irr!BI22&lt;&gt;"."),up_dir!AM22/((1/1000)*(up_Irr!AK22+up_Irr!BI22)),IF(AND(up_Irr!M22=".",up_Irr!AK22=".",up_Irr!BI22&lt;&gt;"."),up_dir!AM22/((1/1000)*(up_Irr!BI22)),IF(AND(up_Irr!M22=".",up_Irr!AK22&lt;&gt;".",up_Irr!BI22="."),up_dir!AM22/((1/1000)*(up_Irr!AK22)),IF(AND(up_Irr!M22&lt;&gt;".",up_Irr!AK22=".",up_Irr!BI22="."),up_dir!AM22/((1/1000)*(up_Irr!M22)),IF(AND(up_Irr!M22=".",up_Irr!AK22=".",up_Irr!BI22="."),up_dir!AM22*1000)))))))),".")</f>
        <v>6.5773651144152131E-4</v>
      </c>
      <c r="BM22" s="48">
        <f>IFERROR(IF(AND(up_Irr!N22&lt;&gt;".",up_Irr!AL22&lt;&gt;".",up_Irr!BJ22&lt;&gt;"."),up_dir!AN22/((1/1000)*(up_Irr!N22+up_Irr!AL22+up_Irr!BJ22)),IF(AND(up_Irr!N22&lt;&gt;".",up_Irr!AL22&lt;&gt;".",up_Irr!BJ22="."),up_dir!AN22/((1/1000)*(up_Irr!N22+up_Irr!AL22)),IF(AND(up_Irr!N22&lt;&gt;".",up_Irr!AL22=".",up_Irr!BJ22&lt;&gt;"."),up_dir!AN22/((1/1000)*(up_Irr!N22+up_Irr!BJ22)),IF(AND(up_Irr!N22=".",up_Irr!AL22&lt;&gt;".",up_Irr!BJ22&lt;&gt;"."),up_dir!AN22/((1/1000)*(up_Irr!AL22+up_Irr!BJ22)),IF(AND(up_Irr!N22=".",up_Irr!AL22=".",up_Irr!BJ22&lt;&gt;"."),up_dir!AN22/((1/1000)*(up_Irr!BJ22)),IF(AND(up_Irr!N22=".",up_Irr!AL22&lt;&gt;".",up_Irr!BJ22="."),up_dir!AN22/((1/1000)*(up_Irr!AL22)),IF(AND(up_Irr!N22&lt;&gt;".",up_Irr!AL22=".",up_Irr!BJ22="."),up_dir!AN22/((1/1000)*(up_Irr!N22)),IF(AND(up_Irr!N22=".",up_Irr!AL22=".",up_Irr!BJ22="."),up_dir!AN22*1000)))))))),".")</f>
        <v>6.5773651144152131E-4</v>
      </c>
      <c r="BN22" s="48">
        <f>IFERROR(IF(AND(up_Irr!O22&lt;&gt;".",up_Irr!AM22&lt;&gt;".",up_Irr!BK22&lt;&gt;"."),up_dir!AO22/((1/1000)*(up_Irr!O22+up_Irr!AM22+up_Irr!BK22)),IF(AND(up_Irr!O22&lt;&gt;".",up_Irr!AM22&lt;&gt;".",up_Irr!BK22="."),up_dir!AO22/((1/1000)*(up_Irr!O22+up_Irr!AM22)),IF(AND(up_Irr!O22&lt;&gt;".",up_Irr!AM22=".",up_Irr!BK22&lt;&gt;"."),up_dir!AO22/((1/1000)*(up_Irr!O22+up_Irr!BK22)),IF(AND(up_Irr!O22=".",up_Irr!AM22&lt;&gt;".",up_Irr!BK22&lt;&gt;"."),up_dir!AO22/((1/1000)*(up_Irr!AM22+up_Irr!BK22)),IF(AND(up_Irr!O22=".",up_Irr!AM22=".",up_Irr!BK22&lt;&gt;"."),up_dir!AO22/((1/1000)*(up_Irr!BK22)),IF(AND(up_Irr!O22=".",up_Irr!AM22&lt;&gt;".",up_Irr!BK22="."),up_dir!AO22/((1/1000)*(up_Irr!AM22)),IF(AND(up_Irr!O22&lt;&gt;".",up_Irr!AM22=".",up_Irr!BK22="."),up_dir!AO22/((1/1000)*(up_Irr!O22)),IF(AND(up_Irr!O22=".",up_Irr!AM22=".",up_Irr!BK22="."),up_dir!AO22*1000)))))))),".")</f>
        <v>6.5773651144152131E-4</v>
      </c>
      <c r="BO22" s="48">
        <f>IFERROR(IF(AND(up_Irr!P22&lt;&gt;".",up_Irr!AN22&lt;&gt;".",up_Irr!BL22&lt;&gt;"."),up_dir!AP22/((1/1000)*(up_Irr!P22+up_Irr!AN22+up_Irr!BL22)),IF(AND(up_Irr!P22&lt;&gt;".",up_Irr!AN22&lt;&gt;".",up_Irr!BL22="."),up_dir!AP22/((1/1000)*(up_Irr!P22+up_Irr!AN22)),IF(AND(up_Irr!P22&lt;&gt;".",up_Irr!AN22=".",up_Irr!BL22&lt;&gt;"."),up_dir!AP22/((1/1000)*(up_Irr!P22+up_Irr!BL22)),IF(AND(up_Irr!P22=".",up_Irr!AN22&lt;&gt;".",up_Irr!BL22&lt;&gt;"."),up_dir!AP22/((1/1000)*(up_Irr!AN22+up_Irr!BL22)),IF(AND(up_Irr!P22=".",up_Irr!AN22=".",up_Irr!BL22&lt;&gt;"."),up_dir!AP22/((1/1000)*(up_Irr!BL22)),IF(AND(up_Irr!P22=".",up_Irr!AN22&lt;&gt;".",up_Irr!BL22="."),up_dir!AP22/((1/1000)*(up_Irr!AN22)),IF(AND(up_Irr!P22&lt;&gt;".",up_Irr!AN22=".",up_Irr!BL22="."),up_dir!AP22/((1/1000)*(up_Irr!P22)),IF(AND(up_Irr!P22=".",up_Irr!AN22=".",up_Irr!BL22="."),up_dir!AP22*1000)))))))),".")</f>
        <v>6.5773651144152131E-4</v>
      </c>
      <c r="BP22" s="48">
        <f>IFERROR(IF(AND(up_Irr!Q22&lt;&gt;".",up_Irr!AO22&lt;&gt;".",up_Irr!BM22&lt;&gt;"."),up_dir!AQ22/((1/1000)*(up_Irr!Q22+up_Irr!AO22+up_Irr!BM22)),IF(AND(up_Irr!Q22&lt;&gt;".",up_Irr!AO22&lt;&gt;".",up_Irr!BM22="."),up_dir!AQ22/((1/1000)*(up_Irr!Q22+up_Irr!AO22)),IF(AND(up_Irr!Q22&lt;&gt;".",up_Irr!AO22=".",up_Irr!BM22&lt;&gt;"."),up_dir!AQ22/((1/1000)*(up_Irr!Q22+up_Irr!BM22)),IF(AND(up_Irr!Q22=".",up_Irr!AO22&lt;&gt;".",up_Irr!BM22&lt;&gt;"."),up_dir!AQ22/((1/1000)*(up_Irr!AO22+up_Irr!BM22)),IF(AND(up_Irr!Q22=".",up_Irr!AO22=".",up_Irr!BM22&lt;&gt;"."),up_dir!AQ22/((1/1000)*(up_Irr!BM22)),IF(AND(up_Irr!Q22=".",up_Irr!AO22&lt;&gt;".",up_Irr!BM22="."),up_dir!AQ22/((1/1000)*(up_Irr!AO22)),IF(AND(up_Irr!Q22&lt;&gt;".",up_Irr!AO22=".",up_Irr!BM22="."),up_dir!AQ22/((1/1000)*(up_Irr!Q22)),IF(AND(up_Irr!Q22=".",up_Irr!AO22=".",up_Irr!BM22="."),up_dir!AQ22*1000)))))))),".")</f>
        <v>6.5773651144152131E-4</v>
      </c>
      <c r="BQ22" s="48">
        <f>IFERROR(IF(AND(up_Irr!R22&lt;&gt;".",up_Irr!AP22&lt;&gt;".",up_Irr!BN22&lt;&gt;"."),up_dir!AR22/((1/1000)*(up_Irr!R22+up_Irr!AP22+up_Irr!BN22)),IF(AND(up_Irr!R22&lt;&gt;".",up_Irr!AP22&lt;&gt;".",up_Irr!BN22="."),up_dir!AR22/((1/1000)*(up_Irr!R22+up_Irr!AP22)),IF(AND(up_Irr!R22&lt;&gt;".",up_Irr!AP22=".",up_Irr!BN22&lt;&gt;"."),up_dir!AR22/((1/1000)*(up_Irr!R22+up_Irr!BN22)),IF(AND(up_Irr!R22=".",up_Irr!AP22&lt;&gt;".",up_Irr!BN22&lt;&gt;"."),up_dir!AR22/((1/1000)*(up_Irr!AP22+up_Irr!BN22)),IF(AND(up_Irr!R22=".",up_Irr!AP22=".",up_Irr!BN22&lt;&gt;"."),up_dir!AR22/((1/1000)*(up_Irr!BN22)),IF(AND(up_Irr!R22=".",up_Irr!AP22&lt;&gt;".",up_Irr!BN22="."),up_dir!AR22/((1/1000)*(up_Irr!AP22)),IF(AND(up_Irr!R22&lt;&gt;".",up_Irr!AP22=".",up_Irr!BN22="."),up_dir!AR22/((1/1000)*(up_Irr!R22)),IF(AND(up_Irr!R22=".",up_Irr!AP22=".",up_Irr!BN22="."),up_dir!AR22*1000)))))))),".")</f>
        <v>6.5773651144152131E-4</v>
      </c>
      <c r="BR22" s="48">
        <f>IFERROR(IF(AND(up_Irr!S22&lt;&gt;".",up_Irr!AQ22&lt;&gt;".",up_Irr!BO22&lt;&gt;"."),up_dir!AS22/((1/1000)*(up_Irr!S22+up_Irr!AQ22+up_Irr!BO22)),IF(AND(up_Irr!S22&lt;&gt;".",up_Irr!AQ22&lt;&gt;".",up_Irr!BO22="."),up_dir!AS22/((1/1000)*(up_Irr!S22+up_Irr!AQ22)),IF(AND(up_Irr!S22&lt;&gt;".",up_Irr!AQ22=".",up_Irr!BO22&lt;&gt;"."),up_dir!AS22/((1/1000)*(up_Irr!S22+up_Irr!BO22)),IF(AND(up_Irr!S22=".",up_Irr!AQ22&lt;&gt;".",up_Irr!BO22&lt;&gt;"."),up_dir!AS22/((1/1000)*(up_Irr!AQ22+up_Irr!BO22)),IF(AND(up_Irr!S22=".",up_Irr!AQ22=".",up_Irr!BO22&lt;&gt;"."),up_dir!AS22/((1/1000)*(up_Irr!BO22)),IF(AND(up_Irr!S22=".",up_Irr!AQ22&lt;&gt;".",up_Irr!BO22="."),up_dir!AS22/((1/1000)*(up_Irr!AQ22)),IF(AND(up_Irr!S22&lt;&gt;".",up_Irr!AQ22=".",up_Irr!BO22="."),up_dir!AS22/((1/1000)*(up_Irr!S22)),IF(AND(up_Irr!S22=".",up_Irr!AQ22=".",up_Irr!BO22="."),up_dir!AS22*1000)))))))),".")</f>
        <v>6.5773651144152131E-4</v>
      </c>
      <c r="BS22" s="48">
        <f>IFERROR(IF(AND(up_Irr!T22&lt;&gt;".",up_Irr!AR22&lt;&gt;".",up_Irr!BP22&lt;&gt;"."),up_dir!AT22/((1/1000)*(up_Irr!T22+up_Irr!AR22+up_Irr!BP22)),IF(AND(up_Irr!T22&lt;&gt;".",up_Irr!AR22&lt;&gt;".",up_Irr!BP22="."),up_dir!AT22/((1/1000)*(up_Irr!T22+up_Irr!AR22)),IF(AND(up_Irr!T22&lt;&gt;".",up_Irr!AR22=".",up_Irr!BP22&lt;&gt;"."),up_dir!AT22/((1/1000)*(up_Irr!T22+up_Irr!BP22)),IF(AND(up_Irr!T22=".",up_Irr!AR22&lt;&gt;".",up_Irr!BP22&lt;&gt;"."),up_dir!AT22/((1/1000)*(up_Irr!AR22+up_Irr!BP22)),IF(AND(up_Irr!T22=".",up_Irr!AR22=".",up_Irr!BP22&lt;&gt;"."),up_dir!AT22/((1/1000)*(up_Irr!BP22)),IF(AND(up_Irr!T22=".",up_Irr!AR22&lt;&gt;".",up_Irr!BP22="."),up_dir!AT22/((1/1000)*(up_Irr!AR22)),IF(AND(up_Irr!T22&lt;&gt;".",up_Irr!AR22=".",up_Irr!BP22="."),up_dir!AT22/((1/1000)*(up_Irr!T22)),IF(AND(up_Irr!T22=".",up_Irr!AR22=".",up_Irr!BP22="."),up_dir!AT22*1000)))))))),".")</f>
        <v>6.5773651144152131E-4</v>
      </c>
      <c r="BT22" s="48">
        <f>IFERROR(IF(AND(up_Irr!U22&lt;&gt;".",up_Irr!AS22&lt;&gt;".",up_Irr!BQ22&lt;&gt;"."),up_dir!AU22/((1/1000)*(up_Irr!U22+up_Irr!AS22+up_Irr!BQ22)),IF(AND(up_Irr!U22&lt;&gt;".",up_Irr!AS22&lt;&gt;".",up_Irr!BQ22="."),up_dir!AU22/((1/1000)*(up_Irr!U22+up_Irr!AS22)),IF(AND(up_Irr!U22&lt;&gt;".",up_Irr!AS22=".",up_Irr!BQ22&lt;&gt;"."),up_dir!AU22/((1/1000)*(up_Irr!U22+up_Irr!BQ22)),IF(AND(up_Irr!U22=".",up_Irr!AS22&lt;&gt;".",up_Irr!BQ22&lt;&gt;"."),up_dir!AU22/((1/1000)*(up_Irr!AS22+up_Irr!BQ22)),IF(AND(up_Irr!U22=".",up_Irr!AS22=".",up_Irr!BQ22&lt;&gt;"."),up_dir!AU22/((1/1000)*(up_Irr!BQ22)),IF(AND(up_Irr!U22=".",up_Irr!AS22&lt;&gt;".",up_Irr!BQ22="."),up_dir!AU22/((1/1000)*(up_Irr!AS22)),IF(AND(up_Irr!U22&lt;&gt;".",up_Irr!AS22=".",up_Irr!BQ22="."),up_dir!AU22/((1/1000)*(up_Irr!U22)),IF(AND(up_Irr!U22=".",up_Irr!AS22=".",up_Irr!BQ22="."),up_dir!AU22*1000)))))))),".")</f>
        <v>6.5773651144152131E-4</v>
      </c>
      <c r="BU22" s="48">
        <f>IFERROR(IF(AND(up_Irr!V22&lt;&gt;".",up_Irr!AT22&lt;&gt;".",up_Irr!BR22&lt;&gt;"."),up_dir!AV22/((1/1000)*(up_Irr!V22+up_Irr!AT22+up_Irr!BR22)),IF(AND(up_Irr!V22&lt;&gt;".",up_Irr!AT22&lt;&gt;".",up_Irr!BR22="."),up_dir!AV22/((1/1000)*(up_Irr!V22+up_Irr!AT22)),IF(AND(up_Irr!V22&lt;&gt;".",up_Irr!AT22=".",up_Irr!BR22&lt;&gt;"."),up_dir!AV22/((1/1000)*(up_Irr!V22+up_Irr!BR22)),IF(AND(up_Irr!V22=".",up_Irr!AT22&lt;&gt;".",up_Irr!BR22&lt;&gt;"."),up_dir!AV22/((1/1000)*(up_Irr!AT22+up_Irr!BR22)),IF(AND(up_Irr!V22=".",up_Irr!AT22=".",up_Irr!BR22&lt;&gt;"."),up_dir!AV22/((1/1000)*(up_Irr!BR22)),IF(AND(up_Irr!V22=".",up_Irr!AT22&lt;&gt;".",up_Irr!BR22="."),up_dir!AV22/((1/1000)*(up_Irr!AT22)),IF(AND(up_Irr!V22&lt;&gt;".",up_Irr!AT22=".",up_Irr!BR22="."),up_dir!AV22/((1/1000)*(up_Irr!V22)),IF(AND(up_Irr!V22=".",up_Irr!AT22=".",up_Irr!BR22="."),up_dir!AV22*1000)))))))),".")</f>
        <v>6.5773651144152131E-4</v>
      </c>
      <c r="BV22" s="48">
        <f>IFERROR(IF(AND(up_Irr!W22&lt;&gt;".",up_Irr!AU22&lt;&gt;".",up_Irr!BS22&lt;&gt;"."),up_dir!AW22/((1/1000)*(up_Irr!W22+up_Irr!AU22+up_Irr!BS22)),IF(AND(up_Irr!W22&lt;&gt;".",up_Irr!AU22&lt;&gt;".",up_Irr!BS22="."),up_dir!AW22/((1/1000)*(up_Irr!W22+up_Irr!AU22)),IF(AND(up_Irr!W22&lt;&gt;".",up_Irr!AU22=".",up_Irr!BS22&lt;&gt;"."),up_dir!AW22/((1/1000)*(up_Irr!W22+up_Irr!BS22)),IF(AND(up_Irr!W22=".",up_Irr!AU22&lt;&gt;".",up_Irr!BS22&lt;&gt;"."),up_dir!AW22/((1/1000)*(up_Irr!AU22+up_Irr!BS22)),IF(AND(up_Irr!W22=".",up_Irr!AU22=".",up_Irr!BS22&lt;&gt;"."),up_dir!AW22/((1/1000)*(up_Irr!BS22)),IF(AND(up_Irr!W22=".",up_Irr!AU22&lt;&gt;".",up_Irr!BS22="."),up_dir!AW22/((1/1000)*(up_Irr!AU22)),IF(AND(up_Irr!W22&lt;&gt;".",up_Irr!AU22=".",up_Irr!BS22="."),up_dir!AW22/((1/1000)*(up_Irr!W22)),IF(AND(up_Irr!W22=".",up_Irr!AU22=".",up_Irr!BS22="."),up_dir!AW22*1000)))))))),".")</f>
        <v>6.5773651144152131E-4</v>
      </c>
      <c r="BW22" s="48">
        <f>IFERROR(IF(AND(up_Irr!X22&lt;&gt;".",up_Irr!AV22&lt;&gt;".",up_Irr!BT22&lt;&gt;"."),up_dir!AX22/((1/1000)*(up_Irr!X22+up_Irr!AV22+up_Irr!BT22)),IF(AND(up_Irr!X22&lt;&gt;".",up_Irr!AV22&lt;&gt;".",up_Irr!BT22="."),up_dir!AX22/((1/1000)*(up_Irr!X22+up_Irr!AV22)),IF(AND(up_Irr!X22&lt;&gt;".",up_Irr!AV22=".",up_Irr!BT22&lt;&gt;"."),up_dir!AX22/((1/1000)*(up_Irr!X22+up_Irr!BT22)),IF(AND(up_Irr!X22=".",up_Irr!AV22&lt;&gt;".",up_Irr!BT22&lt;&gt;"."),up_dir!AX22/((1/1000)*(up_Irr!AV22+up_Irr!BT22)),IF(AND(up_Irr!X22=".",up_Irr!AV22=".",up_Irr!BT22&lt;&gt;"."),up_dir!AX22/((1/1000)*(up_Irr!BT22)),IF(AND(up_Irr!X22=".",up_Irr!AV22&lt;&gt;".",up_Irr!BT22="."),up_dir!AX22/((1/1000)*(up_Irr!AV22)),IF(AND(up_Irr!X22&lt;&gt;".",up_Irr!AV22=".",up_Irr!BT22="."),up_dir!AX22/((1/1000)*(up_Irr!X22)),IF(AND(up_Irr!X22=".",up_Irr!AV22=".",up_Irr!BT22="."),up_dir!AX22*1000)))))))),".")</f>
        <v>6.5773651144152131E-4</v>
      </c>
      <c r="BX22" s="48">
        <f>IFERROR(IF(AND(up_Irr!Y22&lt;&gt;".",up_Irr!AW22&lt;&gt;".",up_Irr!BU22&lt;&gt;"."),up_dir!AY22/((1/1000)*(up_Irr!Y22+up_Irr!AW22+up_Irr!BU22)),IF(AND(up_Irr!Y22&lt;&gt;".",up_Irr!AW22&lt;&gt;".",up_Irr!BU22="."),up_dir!AY22/((1/1000)*(up_Irr!Y22+up_Irr!AW22)),IF(AND(up_Irr!Y22&lt;&gt;".",up_Irr!AW22=".",up_Irr!BU22&lt;&gt;"."),up_dir!AY22/((1/1000)*(up_Irr!Y22+up_Irr!BU22)),IF(AND(up_Irr!Y22=".",up_Irr!AW22&lt;&gt;".",up_Irr!BU22&lt;&gt;"."),up_dir!AY22/((1/1000)*(up_Irr!AW22+up_Irr!BU22)),IF(AND(up_Irr!Y22=".",up_Irr!AW22=".",up_Irr!BU22&lt;&gt;"."),up_dir!AY22/((1/1000)*(up_Irr!BU22)),IF(AND(up_Irr!Y22=".",up_Irr!AW22&lt;&gt;".",up_Irr!BU22="."),up_dir!AY22/((1/1000)*(up_Irr!AW22)),IF(AND(up_Irr!Y22&lt;&gt;".",up_Irr!AW22=".",up_Irr!BU22="."),up_dir!AY22/((1/1000)*(up_Irr!Y22)),IF(AND(up_Irr!Y22=".",up_Irr!AW22=".",up_Irr!BU22="."),up_dir!AY22*1000)))))))),".")</f>
        <v>6.5773651144152131E-4</v>
      </c>
      <c r="BY22" s="48">
        <f>IFERROR(IF(AND(up_Irr!Z22&lt;&gt;".",up_Irr!AX22&lt;&gt;".",up_Irr!BV22&lt;&gt;"."),up_dir!AZ22/((1/1000)*(up_Irr!Z22+up_Irr!AX22+up_Irr!BV22)),IF(AND(up_Irr!Z22&lt;&gt;".",up_Irr!AX22&lt;&gt;".",up_Irr!BV22="."),up_dir!AZ22/((1/1000)*(up_Irr!Z22+up_Irr!AX22)),IF(AND(up_Irr!Z22&lt;&gt;".",up_Irr!AX22=".",up_Irr!BV22&lt;&gt;"."),up_dir!AZ22/((1/1000)*(up_Irr!Z22+up_Irr!BV22)),IF(AND(up_Irr!Z22=".",up_Irr!AX22&lt;&gt;".",up_Irr!BV22&lt;&gt;"."),up_dir!AZ22/((1/1000)*(up_Irr!AX22+up_Irr!BV22)),IF(AND(up_Irr!Z22=".",up_Irr!AX22=".",up_Irr!BV22&lt;&gt;"."),up_dir!AZ22/((1/1000)*(up_Irr!BV22)),IF(AND(up_Irr!Z22=".",up_Irr!AX22&lt;&gt;".",up_Irr!BV22="."),up_dir!AZ22/((1/1000)*(up_Irr!AX22)),IF(AND(up_Irr!Z22&lt;&gt;".",up_Irr!AX22=".",up_Irr!BV22="."),up_dir!AZ22/((1/1000)*(up_Irr!Z22)),IF(AND(up_Irr!Z22=".",up_Irr!AX22=".",up_Irr!BV22="."),up_dir!AZ22*1000)))))))),".")</f>
        <v>6.5773651144152131E-4</v>
      </c>
      <c r="BZ22" s="62">
        <f t="shared" si="3"/>
        <v>22805.4847785862</v>
      </c>
      <c r="CA22" s="62">
        <f>IFERROR(s_C*s_IFAP_far_adj*s_CF_apple*(1/1000)*(up_Irr!C22+up_Irr!AA22+up_Irr!AY22),".")</f>
        <v>7601.8282595287337</v>
      </c>
      <c r="CB22" s="62">
        <f>IFERROR(s_C*s_IFAS_far_adj*s_CF_asparagus*(1/1000)*(up_Irr!D22+up_Irr!AB22+up_Irr!AZ22),".")</f>
        <v>7601.8282595287337</v>
      </c>
      <c r="CC22" s="62">
        <f>IFERROR(s_C*s_IFBT_far_adj*s_CF_beet*(1/1000)*(up_Irr!E22+up_Irr!AC22+up_Irr!BA22),".")</f>
        <v>7601.8282595287337</v>
      </c>
      <c r="CD22" s="62">
        <f>IFERROR(s_C*s_IFBE_far_adj*s_CF_berries*(1/1000)*(up_Irr!F22+up_Irr!AD22+up_Irr!BB22),".")</f>
        <v>7601.8282595287337</v>
      </c>
      <c r="CE22" s="62">
        <f>IFERROR(s_C*s_IFBR_far_adj*s_CF_broccoli*(1/1000)*(up_Irr!G22+up_Irr!AE22+up_Irr!BC22),".")</f>
        <v>7601.8282595287337</v>
      </c>
      <c r="CF22" s="62">
        <f>IFERROR(s_C*s_IFCB_far_adj*s_CF_cabbage*(1/1000)*(up_Irr!H22+up_Irr!AF22+up_Irr!BD22),".")</f>
        <v>7601.8282595287337</v>
      </c>
      <c r="CG22" s="62">
        <f>IFERROR(s_C*s_IFCR_far_adj*s_CF_carrot*(1/1000)*(up_Irr!I22+up_Irr!AG22+up_Irr!BE22),".")</f>
        <v>7601.8282595287337</v>
      </c>
      <c r="CH22" s="62">
        <f>IFERROR(s_C*s_IFCI_far_adj*s_CF_citrus*(1/1000)*(up_Irr!J22+up_Irr!AH22+up_Irr!BF22),".")</f>
        <v>7601.8282595287337</v>
      </c>
      <c r="CI22" s="62">
        <f>IFERROR(s_C*s_IFCO_far_adj*s_CF_corn*(1/1000)*(up_Irr!K22+up_Irr!AI22+up_Irr!BG22),".")</f>
        <v>7601.8282595287337</v>
      </c>
      <c r="CJ22" s="62">
        <f>IFERROR(s_C*s_IFCU_far_adj*s_CF_cucumber*(1/1000)*(up_Irr!L22+up_Irr!AJ22+up_Irr!BH22),".")</f>
        <v>7601.8282595287337</v>
      </c>
      <c r="CK22" s="62">
        <f>IFERROR(s_C*s_IFLE_far_adj*s_CF_lettuce*(1/1000)*(up_Irr!M22+up_Irr!AK22+up_Irr!BI22),".")</f>
        <v>7601.8282595287337</v>
      </c>
      <c r="CL22" s="62">
        <f>IFERROR(s_C*s_IFLI_far_adj*s_CF_lima_bean*(1/1000)*(up_Irr!N22+up_Irr!AL22+up_Irr!BJ22),".")</f>
        <v>7601.8282595287337</v>
      </c>
      <c r="CM22" s="62">
        <f>IFERROR(s_C*s_IFOK_far_adj*s_CF_okra*(1/1000)*(up_Irr!O22+up_Irr!AM22+up_Irr!BK22),".")</f>
        <v>7601.8282595287337</v>
      </c>
      <c r="CN22" s="62">
        <f>IFERROR(s_C*s_IFON_far_adj*s_CF_onion*(1/1000)*(up_Irr!P22+up_Irr!AN22+up_Irr!BL22),".")</f>
        <v>7601.8282595287337</v>
      </c>
      <c r="CO22" s="62">
        <f>IFERROR(s_C*s_IFPC_far_adj*s_CF_peach*(1/1000)*(up_Irr!Q22+up_Irr!AO22+up_Irr!BM22),".")</f>
        <v>7601.8282595287337</v>
      </c>
      <c r="CP22" s="62">
        <f>IFERROR(s_C*s_IFPR_far_adj*s_CF_pear*(1/1000)*(up_Irr!R22+up_Irr!AP22+up_Irr!BN22),".")</f>
        <v>7601.8282595287337</v>
      </c>
      <c r="CQ22" s="62">
        <f>IFERROR(s_C*s_IFPE_far_adj*s_CF_peas*(1/1000)*(up_Irr!S22+up_Irr!AQ22+up_Irr!BO22),".")</f>
        <v>7601.8282595287337</v>
      </c>
      <c r="CR22" s="62">
        <f>IFERROR(s_C*s_IFPT_far_adj*s_CF_potato*(1/1000)*(up_Irr!T22+up_Irr!AR22+up_Irr!BP22),".")</f>
        <v>7601.8282595287337</v>
      </c>
      <c r="CS22" s="62">
        <f>IFERROR(s_C*s_IFPU_far_adj*s_CF_pumpkin*(1/1000)*(up_Irr!U22+up_Irr!AS22+up_Irr!BQ22),".")</f>
        <v>7601.8282595287337</v>
      </c>
      <c r="CT22" s="62">
        <f>IFERROR(s_C*s_IFSN_far_adj*s_CF_snap_bean*(1/1000)*(up_Irr!V22+up_Irr!AT22+up_Irr!BR22),".")</f>
        <v>7601.8282595287337</v>
      </c>
      <c r="CU22" s="62">
        <f>IFERROR(s_C*s_IFST_far_adj*s_CF_strawberry*(1/1000)*(up_Irr!W22+up_Irr!AU22+up_Irr!BS22),".")</f>
        <v>7601.8282595287337</v>
      </c>
      <c r="CV22" s="62">
        <f>IFERROR(s_C*s_IFTO_far_adj*s_CF_tomato*(1/1000)*(up_Irr!X22+up_Irr!AV22+up_Irr!BT22),".")</f>
        <v>7601.8282595287337</v>
      </c>
      <c r="CW22" s="62">
        <f>IFERROR(s_C*s_IFRI_far_adj*s_CF_rice*(1/1000)*(up_Irr!Y22+up_Irr!AW22+up_Irr!BU22),".")</f>
        <v>7601.8282595287337</v>
      </c>
      <c r="CX22" s="62">
        <f>IFERROR(s_C*s_IFCG_far_adj*s_CF_cereal*(1/1000)*(up_Irr!Z22+up_Irr!AX22+up_Irr!BV22),".")</f>
        <v>7601.8282595287337</v>
      </c>
    </row>
    <row r="23" spans="1:102" x14ac:dyDescent="0.25">
      <c r="A23" s="63" t="s">
        <v>21</v>
      </c>
      <c r="B23" s="49" t="s">
        <v>336</v>
      </c>
      <c r="C23" s="48">
        <f t="shared" si="0"/>
        <v>2.1924550381384044E-4</v>
      </c>
      <c r="D23" s="48">
        <f>IFERROR(IF(AND(up_Irr!C23&lt;&gt;".",up_Irr!AA23&lt;&gt;".",up_Irr!AY23&lt;&gt;"."),up_dir!D23/((1/1000)*(up_Irr!C23+up_Irr!AA23+up_Irr!AY23)),IF(AND(up_Irr!C23&lt;&gt;".",up_Irr!AA23&lt;&gt;".",up_Irr!AY23="."),up_dir!D23/((1/1000)*(up_Irr!C23+up_Irr!AA23)),IF(AND(up_Irr!C23&lt;&gt;".",up_Irr!AA23=".",up_Irr!AY23&lt;&gt;"."),up_dir!D23/((1/1000)*(up_Irr!C23+up_Irr!AY23)),IF(AND(up_Irr!C23=".",up_Irr!AA23&lt;&gt;".",up_Irr!AY23&lt;&gt;"."),up_dir!D23/((1/1000)*(up_Irr!AA23+up_Irr!AY23)),IF(AND(up_Irr!C23=".",up_Irr!AA23=".",up_Irr!AY23&lt;&gt;"."),up_dir!D23/((1/1000)*(up_Irr!AY23)),IF(AND(up_Irr!C23=".",up_Irr!AA23&lt;&gt;".",up_Irr!AY23="."),up_dir!D23/((1/1000)*(up_Irr!AA23)),IF(AND(up_Irr!C23&lt;&gt;".",up_Irr!AA23=".",up_Irr!AY23="."),up_dir!D23/((1/1000)*(up_Irr!C23)),IF(AND(up_Irr!C23=".",up_Irr!AA23=".",up_Irr!AY23="."),up_dir!D23*1000)))))))),".")</f>
        <v>6.5773651144152131E-4</v>
      </c>
      <c r="E23" s="48">
        <f>IFERROR(IF(AND(up_Irr!D23&lt;&gt;".",up_Irr!AB23&lt;&gt;".",up_Irr!AZ23&lt;&gt;"."),up_dir!E23/((1/1000)*(up_Irr!D23+up_Irr!AB23+up_Irr!AZ23)),IF(AND(up_Irr!D23&lt;&gt;".",up_Irr!AB23&lt;&gt;".",up_Irr!AZ23="."),up_dir!E23/((1/1000)*(up_Irr!D23+up_Irr!AB23)),IF(AND(up_Irr!D23&lt;&gt;".",up_Irr!AB23=".",up_Irr!AZ23&lt;&gt;"."),up_dir!E23/((1/1000)*(up_Irr!D23+up_Irr!AZ23)),IF(AND(up_Irr!D23=".",up_Irr!AB23&lt;&gt;".",up_Irr!AZ23&lt;&gt;"."),up_dir!E23/((1/1000)*(up_Irr!AB23+up_Irr!AZ23)),IF(AND(up_Irr!D23=".",up_Irr!AB23=".",up_Irr!AZ23&lt;&gt;"."),up_dir!E23/((1/1000)*(up_Irr!AZ23)),IF(AND(up_Irr!D23=".",up_Irr!AB23&lt;&gt;".",up_Irr!AZ23="."),up_dir!E23/((1/1000)*(up_Irr!AB23)),IF(AND(up_Irr!D23&lt;&gt;".",up_Irr!AB23=".",up_Irr!AZ23="."),up_dir!E23/((1/1000)*(up_Irr!D23)),IF(AND(up_Irr!D23=".",up_Irr!AB23=".",up_Irr!AZ23="."),up_dir!E23*1000)))))))),".")</f>
        <v>6.5773651144152131E-4</v>
      </c>
      <c r="F23" s="48">
        <f>IFERROR(IF(AND(up_Irr!E23&lt;&gt;".",up_Irr!AC23&lt;&gt;".",up_Irr!BA23&lt;&gt;"."),up_dir!F23/((1/1000)*(up_Irr!E23+up_Irr!AC23+up_Irr!BA23)),IF(AND(up_Irr!E23&lt;&gt;".",up_Irr!AC23&lt;&gt;".",up_Irr!BA23="."),up_dir!F23/((1/1000)*(up_Irr!E23+up_Irr!AC23)),IF(AND(up_Irr!E23&lt;&gt;".",up_Irr!AC23=".",up_Irr!BA23&lt;&gt;"."),up_dir!F23/((1/1000)*(up_Irr!E23+up_Irr!BA23)),IF(AND(up_Irr!E23=".",up_Irr!AC23&lt;&gt;".",up_Irr!BA23&lt;&gt;"."),up_dir!F23/((1/1000)*(up_Irr!AC23+up_Irr!BA23)),IF(AND(up_Irr!E23=".",up_Irr!AC23=".",up_Irr!BA23&lt;&gt;"."),up_dir!F23/((1/1000)*(up_Irr!BA23)),IF(AND(up_Irr!E23=".",up_Irr!AC23&lt;&gt;".",up_Irr!BA23="."),up_dir!F23/((1/1000)*(up_Irr!AC23)),IF(AND(up_Irr!E23&lt;&gt;".",up_Irr!AC23=".",up_Irr!BA23="."),up_dir!F23/((1/1000)*(up_Irr!E23)),IF(AND(up_Irr!E23=".",up_Irr!AC23=".",up_Irr!BA23="."),up_dir!F23*1000)))))))),".")</f>
        <v>6.5773651144152131E-4</v>
      </c>
      <c r="G23" s="48">
        <f>IFERROR(IF(AND(up_Irr!F23&lt;&gt;".",up_Irr!AD23&lt;&gt;".",up_Irr!BB23&lt;&gt;"."),up_dir!G23/((1/1000)*(up_Irr!F23+up_Irr!AD23+up_Irr!BB23)),IF(AND(up_Irr!F23&lt;&gt;".",up_Irr!AD23&lt;&gt;".",up_Irr!BB23="."),up_dir!G23/((1/1000)*(up_Irr!F23+up_Irr!AD23)),IF(AND(up_Irr!F23&lt;&gt;".",up_Irr!AD23=".",up_Irr!BB23&lt;&gt;"."),up_dir!G23/((1/1000)*(up_Irr!F23+up_Irr!BB23)),IF(AND(up_Irr!F23=".",up_Irr!AD23&lt;&gt;".",up_Irr!BB23&lt;&gt;"."),up_dir!G23/((1/1000)*(up_Irr!AD23+up_Irr!BB23)),IF(AND(up_Irr!F23=".",up_Irr!AD23=".",up_Irr!BB23&lt;&gt;"."),up_dir!G23/((1/1000)*(up_Irr!BB23)),IF(AND(up_Irr!F23=".",up_Irr!AD23&lt;&gt;".",up_Irr!BB23="."),up_dir!G23/((1/1000)*(up_Irr!AD23)),IF(AND(up_Irr!F23&lt;&gt;".",up_Irr!AD23=".",up_Irr!BB23="."),up_dir!G23/((1/1000)*(up_Irr!F23)),IF(AND(up_Irr!F23=".",up_Irr!AD23=".",up_Irr!BB23="."),up_dir!G23*1000)))))))),".")</f>
        <v>6.5773651144152131E-4</v>
      </c>
      <c r="H23" s="48">
        <f>IFERROR(IF(AND(up_Irr!G23&lt;&gt;".",up_Irr!AE23&lt;&gt;".",up_Irr!BC23&lt;&gt;"."),up_dir!H23/((1/1000)*(up_Irr!G23+up_Irr!AE23+up_Irr!BC23)),IF(AND(up_Irr!G23&lt;&gt;".",up_Irr!AE23&lt;&gt;".",up_Irr!BC23="."),up_dir!H23/((1/1000)*(up_Irr!G23+up_Irr!AE23)),IF(AND(up_Irr!G23&lt;&gt;".",up_Irr!AE23=".",up_Irr!BC23&lt;&gt;"."),up_dir!H23/((1/1000)*(up_Irr!G23+up_Irr!BC23)),IF(AND(up_Irr!G23=".",up_Irr!AE23&lt;&gt;".",up_Irr!BC23&lt;&gt;"."),up_dir!H23/((1/1000)*(up_Irr!AE23+up_Irr!BC23)),IF(AND(up_Irr!G23=".",up_Irr!AE23=".",up_Irr!BC23&lt;&gt;"."),up_dir!H23/((1/1000)*(up_Irr!BC23)),IF(AND(up_Irr!G23=".",up_Irr!AE23&lt;&gt;".",up_Irr!BC23="."),up_dir!H23/((1/1000)*(up_Irr!AE23)),IF(AND(up_Irr!G23&lt;&gt;".",up_Irr!AE23=".",up_Irr!BC23="."),up_dir!H23/((1/1000)*(up_Irr!G23)),IF(AND(up_Irr!G23=".",up_Irr!AE23=".",up_Irr!BC23="."),up_dir!H23*1000)))))))),".")</f>
        <v>6.5773651144152131E-4</v>
      </c>
      <c r="I23" s="48">
        <f>IFERROR(IF(AND(up_Irr!H23&lt;&gt;".",up_Irr!AF23&lt;&gt;".",up_Irr!BD23&lt;&gt;"."),up_dir!I23/((1/1000)*(up_Irr!H23+up_Irr!AF23+up_Irr!BD23)),IF(AND(up_Irr!H23&lt;&gt;".",up_Irr!AF23&lt;&gt;".",up_Irr!BD23="."),up_dir!I23/((1/1000)*(up_Irr!H23+up_Irr!AF23)),IF(AND(up_Irr!H23&lt;&gt;".",up_Irr!AF23=".",up_Irr!BD23&lt;&gt;"."),up_dir!I23/((1/1000)*(up_Irr!H23+up_Irr!BD23)),IF(AND(up_Irr!H23=".",up_Irr!AF23&lt;&gt;".",up_Irr!BD23&lt;&gt;"."),up_dir!I23/((1/1000)*(up_Irr!AF23+up_Irr!BD23)),IF(AND(up_Irr!H23=".",up_Irr!AF23=".",up_Irr!BD23&lt;&gt;"."),up_dir!I23/((1/1000)*(up_Irr!BD23)),IF(AND(up_Irr!H23=".",up_Irr!AF23&lt;&gt;".",up_Irr!BD23="."),up_dir!I23/((1/1000)*(up_Irr!AF23)),IF(AND(up_Irr!H23&lt;&gt;".",up_Irr!AF23=".",up_Irr!BD23="."),up_dir!I23/((1/1000)*(up_Irr!H23)),IF(AND(up_Irr!H23=".",up_Irr!AF23=".",up_Irr!BD23="."),up_dir!I23*1000)))))))),".")</f>
        <v>6.5773651144152131E-4</v>
      </c>
      <c r="J23" s="48">
        <f>IFERROR(IF(AND(up_Irr!I23&lt;&gt;".",up_Irr!AG23&lt;&gt;".",up_Irr!BE23&lt;&gt;"."),up_dir!J23/((1/1000)*(up_Irr!I23+up_Irr!AG23+up_Irr!BE23)),IF(AND(up_Irr!I23&lt;&gt;".",up_Irr!AG23&lt;&gt;".",up_Irr!BE23="."),up_dir!J23/((1/1000)*(up_Irr!I23+up_Irr!AG23)),IF(AND(up_Irr!I23&lt;&gt;".",up_Irr!AG23=".",up_Irr!BE23&lt;&gt;"."),up_dir!J23/((1/1000)*(up_Irr!I23+up_Irr!BE23)),IF(AND(up_Irr!I23=".",up_Irr!AG23&lt;&gt;".",up_Irr!BE23&lt;&gt;"."),up_dir!J23/((1/1000)*(up_Irr!AG23+up_Irr!BE23)),IF(AND(up_Irr!I23=".",up_Irr!AG23=".",up_Irr!BE23&lt;&gt;"."),up_dir!J23/((1/1000)*(up_Irr!BE23)),IF(AND(up_Irr!I23=".",up_Irr!AG23&lt;&gt;".",up_Irr!BE23="."),up_dir!J23/((1/1000)*(up_Irr!AG23)),IF(AND(up_Irr!I23&lt;&gt;".",up_Irr!AG23=".",up_Irr!BE23="."),up_dir!J23/((1/1000)*(up_Irr!I23)),IF(AND(up_Irr!I23=".",up_Irr!AG23=".",up_Irr!BE23="."),up_dir!J23*1000)))))))),".")</f>
        <v>6.5773651144152131E-4</v>
      </c>
      <c r="K23" s="48">
        <f>IFERROR(IF(AND(up_Irr!J23&lt;&gt;".",up_Irr!AH23&lt;&gt;".",up_Irr!BF23&lt;&gt;"."),up_dir!K23/((1/1000)*(up_Irr!J23+up_Irr!AH23+up_Irr!BF23)),IF(AND(up_Irr!J23&lt;&gt;".",up_Irr!AH23&lt;&gt;".",up_Irr!BF23="."),up_dir!K23/((1/1000)*(up_Irr!J23+up_Irr!AH23)),IF(AND(up_Irr!J23&lt;&gt;".",up_Irr!AH23=".",up_Irr!BF23&lt;&gt;"."),up_dir!K23/((1/1000)*(up_Irr!J23+up_Irr!BF23)),IF(AND(up_Irr!J23=".",up_Irr!AH23&lt;&gt;".",up_Irr!BF23&lt;&gt;"."),up_dir!K23/((1/1000)*(up_Irr!AH23+up_Irr!BF23)),IF(AND(up_Irr!J23=".",up_Irr!AH23=".",up_Irr!BF23&lt;&gt;"."),up_dir!K23/((1/1000)*(up_Irr!BF23)),IF(AND(up_Irr!J23=".",up_Irr!AH23&lt;&gt;".",up_Irr!BF23="."),up_dir!K23/((1/1000)*(up_Irr!AH23)),IF(AND(up_Irr!J23&lt;&gt;".",up_Irr!AH23=".",up_Irr!BF23="."),up_dir!K23/((1/1000)*(up_Irr!J23)),IF(AND(up_Irr!J23=".",up_Irr!AH23=".",up_Irr!BF23="."),up_dir!K23*1000)))))))),".")</f>
        <v>6.5773651144152131E-4</v>
      </c>
      <c r="L23" s="48">
        <f>IFERROR(IF(AND(up_Irr!K23&lt;&gt;".",up_Irr!AI23&lt;&gt;".",up_Irr!BG23&lt;&gt;"."),up_dir!L23/((1/1000)*(up_Irr!K23+up_Irr!AI23+up_Irr!BG23)),IF(AND(up_Irr!K23&lt;&gt;".",up_Irr!AI23&lt;&gt;".",up_Irr!BG23="."),up_dir!L23/((1/1000)*(up_Irr!K23+up_Irr!AI23)),IF(AND(up_Irr!K23&lt;&gt;".",up_Irr!AI23=".",up_Irr!BG23&lt;&gt;"."),up_dir!L23/((1/1000)*(up_Irr!K23+up_Irr!BG23)),IF(AND(up_Irr!K23=".",up_Irr!AI23&lt;&gt;".",up_Irr!BG23&lt;&gt;"."),up_dir!L23/((1/1000)*(up_Irr!AI23+up_Irr!BG23)),IF(AND(up_Irr!K23=".",up_Irr!AI23=".",up_Irr!BG23&lt;&gt;"."),up_dir!L23/((1/1000)*(up_Irr!BG23)),IF(AND(up_Irr!K23=".",up_Irr!AI23&lt;&gt;".",up_Irr!BG23="."),up_dir!L23/((1/1000)*(up_Irr!AI23)),IF(AND(up_Irr!K23&lt;&gt;".",up_Irr!AI23=".",up_Irr!BG23="."),up_dir!L23/((1/1000)*(up_Irr!K23)),IF(AND(up_Irr!K23=".",up_Irr!AI23=".",up_Irr!BG23="."),up_dir!L23*1000)))))))),".")</f>
        <v>6.5773651144152131E-4</v>
      </c>
      <c r="M23" s="48">
        <f>IFERROR(IF(AND(up_Irr!L23&lt;&gt;".",up_Irr!AJ23&lt;&gt;".",up_Irr!BH23&lt;&gt;"."),up_dir!M23/((1/1000)*(up_Irr!L23+up_Irr!AJ23+up_Irr!BH23)),IF(AND(up_Irr!L23&lt;&gt;".",up_Irr!AJ23&lt;&gt;".",up_Irr!BH23="."),up_dir!M23/((1/1000)*(up_Irr!L23+up_Irr!AJ23)),IF(AND(up_Irr!L23&lt;&gt;".",up_Irr!AJ23=".",up_Irr!BH23&lt;&gt;"."),up_dir!M23/((1/1000)*(up_Irr!L23+up_Irr!BH23)),IF(AND(up_Irr!L23=".",up_Irr!AJ23&lt;&gt;".",up_Irr!BH23&lt;&gt;"."),up_dir!M23/((1/1000)*(up_Irr!AJ23+up_Irr!BH23)),IF(AND(up_Irr!L23=".",up_Irr!AJ23=".",up_Irr!BH23&lt;&gt;"."),up_dir!M23/((1/1000)*(up_Irr!BH23)),IF(AND(up_Irr!L23=".",up_Irr!AJ23&lt;&gt;".",up_Irr!BH23="."),up_dir!M23/((1/1000)*(up_Irr!AJ23)),IF(AND(up_Irr!L23&lt;&gt;".",up_Irr!AJ23=".",up_Irr!BH23="."),up_dir!M23/((1/1000)*(up_Irr!L23)),IF(AND(up_Irr!L23=".",up_Irr!AJ23=".",up_Irr!BH23="."),up_dir!M23*1000)))))))),".")</f>
        <v>6.5773651144152131E-4</v>
      </c>
      <c r="N23" s="48">
        <f>IFERROR(IF(AND(up_Irr!M23&lt;&gt;".",up_Irr!AK23&lt;&gt;".",up_Irr!BI23&lt;&gt;"."),up_dir!N23/((1/1000)*(up_Irr!M23+up_Irr!AK23+up_Irr!BI23)),IF(AND(up_Irr!M23&lt;&gt;".",up_Irr!AK23&lt;&gt;".",up_Irr!BI23="."),up_dir!N23/((1/1000)*(up_Irr!M23+up_Irr!AK23)),IF(AND(up_Irr!M23&lt;&gt;".",up_Irr!AK23=".",up_Irr!BI23&lt;&gt;"."),up_dir!N23/((1/1000)*(up_Irr!M23+up_Irr!BI23)),IF(AND(up_Irr!M23=".",up_Irr!AK23&lt;&gt;".",up_Irr!BI23&lt;&gt;"."),up_dir!N23/((1/1000)*(up_Irr!AK23+up_Irr!BI23)),IF(AND(up_Irr!M23=".",up_Irr!AK23=".",up_Irr!BI23&lt;&gt;"."),up_dir!N23/((1/1000)*(up_Irr!BI23)),IF(AND(up_Irr!M23=".",up_Irr!AK23&lt;&gt;".",up_Irr!BI23="."),up_dir!N23/((1/1000)*(up_Irr!AK23)),IF(AND(up_Irr!M23&lt;&gt;".",up_Irr!AK23=".",up_Irr!BI23="."),up_dir!N23/((1/1000)*(up_Irr!M23)),IF(AND(up_Irr!M23=".",up_Irr!AK23=".",up_Irr!BI23="."),up_dir!N23*1000)))))))),".")</f>
        <v>6.5773651144152131E-4</v>
      </c>
      <c r="O23" s="48">
        <f>IFERROR(IF(AND(up_Irr!N23&lt;&gt;".",up_Irr!AL23&lt;&gt;".",up_Irr!BJ23&lt;&gt;"."),up_dir!O23/((1/1000)*(up_Irr!N23+up_Irr!AL23+up_Irr!BJ23)),IF(AND(up_Irr!N23&lt;&gt;".",up_Irr!AL23&lt;&gt;".",up_Irr!BJ23="."),up_dir!O23/((1/1000)*(up_Irr!N23+up_Irr!AL23)),IF(AND(up_Irr!N23&lt;&gt;".",up_Irr!AL23=".",up_Irr!BJ23&lt;&gt;"."),up_dir!O23/((1/1000)*(up_Irr!N23+up_Irr!BJ23)),IF(AND(up_Irr!N23=".",up_Irr!AL23&lt;&gt;".",up_Irr!BJ23&lt;&gt;"."),up_dir!O23/((1/1000)*(up_Irr!AL23+up_Irr!BJ23)),IF(AND(up_Irr!N23=".",up_Irr!AL23=".",up_Irr!BJ23&lt;&gt;"."),up_dir!O23/((1/1000)*(up_Irr!BJ23)),IF(AND(up_Irr!N23=".",up_Irr!AL23&lt;&gt;".",up_Irr!BJ23="."),up_dir!O23/((1/1000)*(up_Irr!AL23)),IF(AND(up_Irr!N23&lt;&gt;".",up_Irr!AL23=".",up_Irr!BJ23="."),up_dir!O23/((1/1000)*(up_Irr!N23)),IF(AND(up_Irr!N23=".",up_Irr!AL23=".",up_Irr!BJ23="."),up_dir!O23*1000)))))))),".")</f>
        <v>6.5773651144152131E-4</v>
      </c>
      <c r="P23" s="48">
        <f>IFERROR(IF(AND(up_Irr!O23&lt;&gt;".",up_Irr!AM23&lt;&gt;".",up_Irr!BK23&lt;&gt;"."),up_dir!P23/((1/1000)*(up_Irr!O23+up_Irr!AM23+up_Irr!BK23)),IF(AND(up_Irr!O23&lt;&gt;".",up_Irr!AM23&lt;&gt;".",up_Irr!BK23="."),up_dir!P23/((1/1000)*(up_Irr!O23+up_Irr!AM23)),IF(AND(up_Irr!O23&lt;&gt;".",up_Irr!AM23=".",up_Irr!BK23&lt;&gt;"."),up_dir!P23/((1/1000)*(up_Irr!O23+up_Irr!BK23)),IF(AND(up_Irr!O23=".",up_Irr!AM23&lt;&gt;".",up_Irr!BK23&lt;&gt;"."),up_dir!P23/((1/1000)*(up_Irr!AM23+up_Irr!BK23)),IF(AND(up_Irr!O23=".",up_Irr!AM23=".",up_Irr!BK23&lt;&gt;"."),up_dir!P23/((1/1000)*(up_Irr!BK23)),IF(AND(up_Irr!O23=".",up_Irr!AM23&lt;&gt;".",up_Irr!BK23="."),up_dir!P23/((1/1000)*(up_Irr!AM23)),IF(AND(up_Irr!O23&lt;&gt;".",up_Irr!AM23=".",up_Irr!BK23="."),up_dir!P23/((1/1000)*(up_Irr!O23)),IF(AND(up_Irr!O23=".",up_Irr!AM23=".",up_Irr!BK23="."),up_dir!P23*1000)))))))),".")</f>
        <v>6.5773651144152131E-4</v>
      </c>
      <c r="Q23" s="48">
        <f>IFERROR(IF(AND(up_Irr!P23&lt;&gt;".",up_Irr!AN23&lt;&gt;".",up_Irr!BL23&lt;&gt;"."),up_dir!Q23/((1/1000)*(up_Irr!P23+up_Irr!AN23+up_Irr!BL23)),IF(AND(up_Irr!P23&lt;&gt;".",up_Irr!AN23&lt;&gt;".",up_Irr!BL23="."),up_dir!Q23/((1/1000)*(up_Irr!P23+up_Irr!AN23)),IF(AND(up_Irr!P23&lt;&gt;".",up_Irr!AN23=".",up_Irr!BL23&lt;&gt;"."),up_dir!Q23/((1/1000)*(up_Irr!P23+up_Irr!BL23)),IF(AND(up_Irr!P23=".",up_Irr!AN23&lt;&gt;".",up_Irr!BL23&lt;&gt;"."),up_dir!Q23/((1/1000)*(up_Irr!AN23+up_Irr!BL23)),IF(AND(up_Irr!P23=".",up_Irr!AN23=".",up_Irr!BL23&lt;&gt;"."),up_dir!Q23/((1/1000)*(up_Irr!BL23)),IF(AND(up_Irr!P23=".",up_Irr!AN23&lt;&gt;".",up_Irr!BL23="."),up_dir!Q23/((1/1000)*(up_Irr!AN23)),IF(AND(up_Irr!P23&lt;&gt;".",up_Irr!AN23=".",up_Irr!BL23="."),up_dir!Q23/((1/1000)*(up_Irr!P23)),IF(AND(up_Irr!P23=".",up_Irr!AN23=".",up_Irr!BL23="."),up_dir!Q23*1000)))))))),".")</f>
        <v>6.5773651144152131E-4</v>
      </c>
      <c r="R23" s="48">
        <f>IFERROR(IF(AND(up_Irr!Q23&lt;&gt;".",up_Irr!AO23&lt;&gt;".",up_Irr!BM23&lt;&gt;"."),up_dir!R23/((1/1000)*(up_Irr!Q23+up_Irr!AO23+up_Irr!BM23)),IF(AND(up_Irr!Q23&lt;&gt;".",up_Irr!AO23&lt;&gt;".",up_Irr!BM23="."),up_dir!R23/((1/1000)*(up_Irr!Q23+up_Irr!AO23)),IF(AND(up_Irr!Q23&lt;&gt;".",up_Irr!AO23=".",up_Irr!BM23&lt;&gt;"."),up_dir!R23/((1/1000)*(up_Irr!Q23+up_Irr!BM23)),IF(AND(up_Irr!Q23=".",up_Irr!AO23&lt;&gt;".",up_Irr!BM23&lt;&gt;"."),up_dir!R23/((1/1000)*(up_Irr!AO23+up_Irr!BM23)),IF(AND(up_Irr!Q23=".",up_Irr!AO23=".",up_Irr!BM23&lt;&gt;"."),up_dir!R23/((1/1000)*(up_Irr!BM23)),IF(AND(up_Irr!Q23=".",up_Irr!AO23&lt;&gt;".",up_Irr!BM23="."),up_dir!R23/((1/1000)*(up_Irr!AO23)),IF(AND(up_Irr!Q23&lt;&gt;".",up_Irr!AO23=".",up_Irr!BM23="."),up_dir!R23/((1/1000)*(up_Irr!Q23)),IF(AND(up_Irr!Q23=".",up_Irr!AO23=".",up_Irr!BM23="."),up_dir!R23*1000)))))))),".")</f>
        <v>6.5773651144152131E-4</v>
      </c>
      <c r="S23" s="48">
        <f>IFERROR(IF(AND(up_Irr!R23&lt;&gt;".",up_Irr!AP23&lt;&gt;".",up_Irr!BN23&lt;&gt;"."),up_dir!S23/((1/1000)*(up_Irr!R23+up_Irr!AP23+up_Irr!BN23)),IF(AND(up_Irr!R23&lt;&gt;".",up_Irr!AP23&lt;&gt;".",up_Irr!BN23="."),up_dir!S23/((1/1000)*(up_Irr!R23+up_Irr!AP23)),IF(AND(up_Irr!R23&lt;&gt;".",up_Irr!AP23=".",up_Irr!BN23&lt;&gt;"."),up_dir!S23/((1/1000)*(up_Irr!R23+up_Irr!BN23)),IF(AND(up_Irr!R23=".",up_Irr!AP23&lt;&gt;".",up_Irr!BN23&lt;&gt;"."),up_dir!S23/((1/1000)*(up_Irr!AP23+up_Irr!BN23)),IF(AND(up_Irr!R23=".",up_Irr!AP23=".",up_Irr!BN23&lt;&gt;"."),up_dir!S23/((1/1000)*(up_Irr!BN23)),IF(AND(up_Irr!R23=".",up_Irr!AP23&lt;&gt;".",up_Irr!BN23="."),up_dir!S23/((1/1000)*(up_Irr!AP23)),IF(AND(up_Irr!R23&lt;&gt;".",up_Irr!AP23=".",up_Irr!BN23="."),up_dir!S23/((1/1000)*(up_Irr!R23)),IF(AND(up_Irr!R23=".",up_Irr!AP23=".",up_Irr!BN23="."),up_dir!S23*1000)))))))),".")</f>
        <v>6.5773651144152131E-4</v>
      </c>
      <c r="T23" s="48">
        <f>IFERROR(IF(AND(up_Irr!S23&lt;&gt;".",up_Irr!AQ23&lt;&gt;".",up_Irr!BO23&lt;&gt;"."),up_dir!T23/((1/1000)*(up_Irr!S23+up_Irr!AQ23+up_Irr!BO23)),IF(AND(up_Irr!S23&lt;&gt;".",up_Irr!AQ23&lt;&gt;".",up_Irr!BO23="."),up_dir!T23/((1/1000)*(up_Irr!S23+up_Irr!AQ23)),IF(AND(up_Irr!S23&lt;&gt;".",up_Irr!AQ23=".",up_Irr!BO23&lt;&gt;"."),up_dir!T23/((1/1000)*(up_Irr!S23+up_Irr!BO23)),IF(AND(up_Irr!S23=".",up_Irr!AQ23&lt;&gt;".",up_Irr!BO23&lt;&gt;"."),up_dir!T23/((1/1000)*(up_Irr!AQ23+up_Irr!BO23)),IF(AND(up_Irr!S23=".",up_Irr!AQ23=".",up_Irr!BO23&lt;&gt;"."),up_dir!T23/((1/1000)*(up_Irr!BO23)),IF(AND(up_Irr!S23=".",up_Irr!AQ23&lt;&gt;".",up_Irr!BO23="."),up_dir!T23/((1/1000)*(up_Irr!AQ23)),IF(AND(up_Irr!S23&lt;&gt;".",up_Irr!AQ23=".",up_Irr!BO23="."),up_dir!T23/((1/1000)*(up_Irr!S23)),IF(AND(up_Irr!S23=".",up_Irr!AQ23=".",up_Irr!BO23="."),up_dir!T23*1000)))))))),".")</f>
        <v>6.5773651144152131E-4</v>
      </c>
      <c r="U23" s="48">
        <f>IFERROR(IF(AND(up_Irr!T23&lt;&gt;".",up_Irr!AR23&lt;&gt;".",up_Irr!BP23&lt;&gt;"."),up_dir!U23/((1/1000)*(up_Irr!T23+up_Irr!AR23+up_Irr!BP23)),IF(AND(up_Irr!T23&lt;&gt;".",up_Irr!AR23&lt;&gt;".",up_Irr!BP23="."),up_dir!U23/((1/1000)*(up_Irr!T23+up_Irr!AR23)),IF(AND(up_Irr!T23&lt;&gt;".",up_Irr!AR23=".",up_Irr!BP23&lt;&gt;"."),up_dir!U23/((1/1000)*(up_Irr!T23+up_Irr!BP23)),IF(AND(up_Irr!T23=".",up_Irr!AR23&lt;&gt;".",up_Irr!BP23&lt;&gt;"."),up_dir!U23/((1/1000)*(up_Irr!AR23+up_Irr!BP23)),IF(AND(up_Irr!T23=".",up_Irr!AR23=".",up_Irr!BP23&lt;&gt;"."),up_dir!U23/((1/1000)*(up_Irr!BP23)),IF(AND(up_Irr!T23=".",up_Irr!AR23&lt;&gt;".",up_Irr!BP23="."),up_dir!U23/((1/1000)*(up_Irr!AR23)),IF(AND(up_Irr!T23&lt;&gt;".",up_Irr!AR23=".",up_Irr!BP23="."),up_dir!U23/((1/1000)*(up_Irr!T23)),IF(AND(up_Irr!T23=".",up_Irr!AR23=".",up_Irr!BP23="."),up_dir!U23*1000)))))))),".")</f>
        <v>6.5773651144152131E-4</v>
      </c>
      <c r="V23" s="48">
        <f>IFERROR(IF(AND(up_Irr!U23&lt;&gt;".",up_Irr!AS23&lt;&gt;".",up_Irr!BQ23&lt;&gt;"."),up_dir!V23/((1/1000)*(up_Irr!U23+up_Irr!AS23+up_Irr!BQ23)),IF(AND(up_Irr!U23&lt;&gt;".",up_Irr!AS23&lt;&gt;".",up_Irr!BQ23="."),up_dir!V23/((1/1000)*(up_Irr!U23+up_Irr!AS23)),IF(AND(up_Irr!U23&lt;&gt;".",up_Irr!AS23=".",up_Irr!BQ23&lt;&gt;"."),up_dir!V23/((1/1000)*(up_Irr!U23+up_Irr!BQ23)),IF(AND(up_Irr!U23=".",up_Irr!AS23&lt;&gt;".",up_Irr!BQ23&lt;&gt;"."),up_dir!V23/((1/1000)*(up_Irr!AS23+up_Irr!BQ23)),IF(AND(up_Irr!U23=".",up_Irr!AS23=".",up_Irr!BQ23&lt;&gt;"."),up_dir!V23/((1/1000)*(up_Irr!BQ23)),IF(AND(up_Irr!U23=".",up_Irr!AS23&lt;&gt;".",up_Irr!BQ23="."),up_dir!V23/((1/1000)*(up_Irr!AS23)),IF(AND(up_Irr!U23&lt;&gt;".",up_Irr!AS23=".",up_Irr!BQ23="."),up_dir!V23/((1/1000)*(up_Irr!U23)),IF(AND(up_Irr!U23=".",up_Irr!AS23=".",up_Irr!BQ23="."),up_dir!V23*1000)))))))),".")</f>
        <v>6.5773651144152131E-4</v>
      </c>
      <c r="W23" s="48">
        <f>IFERROR(IF(AND(up_Irr!V23&lt;&gt;".",up_Irr!AT23&lt;&gt;".",up_Irr!BR23&lt;&gt;"."),up_dir!W23/((1/1000)*(up_Irr!V23+up_Irr!AT23+up_Irr!BR23)),IF(AND(up_Irr!V23&lt;&gt;".",up_Irr!AT23&lt;&gt;".",up_Irr!BR23="."),up_dir!W23/((1/1000)*(up_Irr!V23+up_Irr!AT23)),IF(AND(up_Irr!V23&lt;&gt;".",up_Irr!AT23=".",up_Irr!BR23&lt;&gt;"."),up_dir!W23/((1/1000)*(up_Irr!V23+up_Irr!BR23)),IF(AND(up_Irr!V23=".",up_Irr!AT23&lt;&gt;".",up_Irr!BR23&lt;&gt;"."),up_dir!W23/((1/1000)*(up_Irr!AT23+up_Irr!BR23)),IF(AND(up_Irr!V23=".",up_Irr!AT23=".",up_Irr!BR23&lt;&gt;"."),up_dir!W23/((1/1000)*(up_Irr!BR23)),IF(AND(up_Irr!V23=".",up_Irr!AT23&lt;&gt;".",up_Irr!BR23="."),up_dir!W23/((1/1000)*(up_Irr!AT23)),IF(AND(up_Irr!V23&lt;&gt;".",up_Irr!AT23=".",up_Irr!BR23="."),up_dir!W23/((1/1000)*(up_Irr!V23)),IF(AND(up_Irr!V23=".",up_Irr!AT23=".",up_Irr!BR23="."),up_dir!W23*1000)))))))),".")</f>
        <v>6.5773651144152131E-4</v>
      </c>
      <c r="X23" s="48">
        <f>IFERROR(IF(AND(up_Irr!W23&lt;&gt;".",up_Irr!AU23&lt;&gt;".",up_Irr!BS23&lt;&gt;"."),up_dir!X23/((1/1000)*(up_Irr!W23+up_Irr!AU23+up_Irr!BS23)),IF(AND(up_Irr!W23&lt;&gt;".",up_Irr!AU23&lt;&gt;".",up_Irr!BS23="."),up_dir!X23/((1/1000)*(up_Irr!W23+up_Irr!AU23)),IF(AND(up_Irr!W23&lt;&gt;".",up_Irr!AU23=".",up_Irr!BS23&lt;&gt;"."),up_dir!X23/((1/1000)*(up_Irr!W23+up_Irr!BS23)),IF(AND(up_Irr!W23=".",up_Irr!AU23&lt;&gt;".",up_Irr!BS23&lt;&gt;"."),up_dir!X23/((1/1000)*(up_Irr!AU23+up_Irr!BS23)),IF(AND(up_Irr!W23=".",up_Irr!AU23=".",up_Irr!BS23&lt;&gt;"."),up_dir!X23/((1/1000)*(up_Irr!BS23)),IF(AND(up_Irr!W23=".",up_Irr!AU23&lt;&gt;".",up_Irr!BS23="."),up_dir!X23/((1/1000)*(up_Irr!AU23)),IF(AND(up_Irr!W23&lt;&gt;".",up_Irr!AU23=".",up_Irr!BS23="."),up_dir!X23/((1/1000)*(up_Irr!W23)),IF(AND(up_Irr!W23=".",up_Irr!AU23=".",up_Irr!BS23="."),up_dir!X23*1000)))))))),".")</f>
        <v>6.5773651144152131E-4</v>
      </c>
      <c r="Y23" s="48">
        <f>IFERROR(IF(AND(up_Irr!X23&lt;&gt;".",up_Irr!AV23&lt;&gt;".",up_Irr!BT23&lt;&gt;"."),up_dir!Y23/((1/1000)*(up_Irr!X23+up_Irr!AV23+up_Irr!BT23)),IF(AND(up_Irr!X23&lt;&gt;".",up_Irr!AV23&lt;&gt;".",up_Irr!BT23="."),up_dir!Y23/((1/1000)*(up_Irr!X23+up_Irr!AV23)),IF(AND(up_Irr!X23&lt;&gt;".",up_Irr!AV23=".",up_Irr!BT23&lt;&gt;"."),up_dir!Y23/((1/1000)*(up_Irr!X23+up_Irr!BT23)),IF(AND(up_Irr!X23=".",up_Irr!AV23&lt;&gt;".",up_Irr!BT23&lt;&gt;"."),up_dir!Y23/((1/1000)*(up_Irr!AV23+up_Irr!BT23)),IF(AND(up_Irr!X23=".",up_Irr!AV23=".",up_Irr!BT23&lt;&gt;"."),up_dir!Y23/((1/1000)*(up_Irr!BT23)),IF(AND(up_Irr!X23=".",up_Irr!AV23&lt;&gt;".",up_Irr!BT23="."),up_dir!Y23/((1/1000)*(up_Irr!AV23)),IF(AND(up_Irr!X23&lt;&gt;".",up_Irr!AV23=".",up_Irr!BT23="."),up_dir!Y23/((1/1000)*(up_Irr!X23)),IF(AND(up_Irr!X23=".",up_Irr!AV23=".",up_Irr!BT23="."),up_dir!Y23*1000)))))))),".")</f>
        <v>6.5773651144152131E-4</v>
      </c>
      <c r="Z23" s="48">
        <f>IFERROR(IF(AND(up_Irr!Y23&lt;&gt;".",up_Irr!AW23&lt;&gt;".",up_Irr!BU23&lt;&gt;"."),up_dir!Z23/((1/1000)*(up_Irr!Y23+up_Irr!AW23+up_Irr!BU23)),IF(AND(up_Irr!Y23&lt;&gt;".",up_Irr!AW23&lt;&gt;".",up_Irr!BU23="."),up_dir!Z23/((1/1000)*(up_Irr!Y23+up_Irr!AW23)),IF(AND(up_Irr!Y23&lt;&gt;".",up_Irr!AW23=".",up_Irr!BU23&lt;&gt;"."),up_dir!Z23/((1/1000)*(up_Irr!Y23+up_Irr!BU23)),IF(AND(up_Irr!Y23=".",up_Irr!AW23&lt;&gt;".",up_Irr!BU23&lt;&gt;"."),up_dir!Z23/((1/1000)*(up_Irr!AW23+up_Irr!BU23)),IF(AND(up_Irr!Y23=".",up_Irr!AW23=".",up_Irr!BU23&lt;&gt;"."),up_dir!Z23/((1/1000)*(up_Irr!BU23)),IF(AND(up_Irr!Y23=".",up_Irr!AW23&lt;&gt;".",up_Irr!BU23="."),up_dir!Z23/((1/1000)*(up_Irr!AW23)),IF(AND(up_Irr!Y23&lt;&gt;".",up_Irr!AW23=".",up_Irr!BU23="."),up_dir!Z23/((1/1000)*(up_Irr!Y23)),IF(AND(up_Irr!Y23=".",up_Irr!AW23=".",up_Irr!BU23="."),up_dir!Z23*1000)))))))),".")</f>
        <v>6.5773651144152131E-4</v>
      </c>
      <c r="AA23" s="48">
        <f>IFERROR(IF(AND(up_Irr!Z23&lt;&gt;".",up_Irr!AX23&lt;&gt;".",up_Irr!BV23&lt;&gt;"."),up_dir!AA23/((1/1000)*(up_Irr!Z23+up_Irr!AX23+up_Irr!BV23)),IF(AND(up_Irr!Z23&lt;&gt;".",up_Irr!AX23&lt;&gt;".",up_Irr!BV23="."),up_dir!AA23/((1/1000)*(up_Irr!Z23+up_Irr!AX23)),IF(AND(up_Irr!Z23&lt;&gt;".",up_Irr!AX23=".",up_Irr!BV23&lt;&gt;"."),up_dir!AA23/((1/1000)*(up_Irr!Z23+up_Irr!BV23)),IF(AND(up_Irr!Z23=".",up_Irr!AX23&lt;&gt;".",up_Irr!BV23&lt;&gt;"."),up_dir!AA23/((1/1000)*(up_Irr!AX23+up_Irr!BV23)),IF(AND(up_Irr!Z23=".",up_Irr!AX23=".",up_Irr!BV23&lt;&gt;"."),up_dir!AA23/((1/1000)*(up_Irr!BV23)),IF(AND(up_Irr!Z23=".",up_Irr!AX23&lt;&gt;".",up_Irr!BV23="."),up_dir!AA23/((1/1000)*(up_Irr!AX23)),IF(AND(up_Irr!Z23&lt;&gt;".",up_Irr!AX23=".",up_Irr!BV23="."),up_dir!AA23/((1/1000)*(up_Irr!Z23)),IF(AND(up_Irr!Z23=".",up_Irr!AX23=".",up_Irr!BV23="."),up_dir!AA23*1000)))))))),".")</f>
        <v>6.5773651144152131E-4</v>
      </c>
      <c r="AB23" s="62">
        <f t="shared" si="1"/>
        <v>22805.4847785862</v>
      </c>
      <c r="AC23" s="62">
        <f>IFERROR(s_C*s_IFAP_res_adj*s_CF_apple*0.001*(up_Irr!C23+up_Irr!AA23+up_Irr!AY23),".")</f>
        <v>7601.8282595287337</v>
      </c>
      <c r="AD23" s="62">
        <f>IFERROR(s_C*s_IFAS_res_adj*s_CF_asparagus*0.001*(up_Irr!D23+up_Irr!AB23+up_Irr!AZ23),".")</f>
        <v>7601.8282595287337</v>
      </c>
      <c r="AE23" s="62">
        <f>IFERROR(s_C*s_IFBT_res_adj*s_CF_beet*0.001*(up_Irr!E23+up_Irr!AC23+up_Irr!BA23),".")</f>
        <v>7601.8282595287337</v>
      </c>
      <c r="AF23" s="62">
        <f>IFERROR(s_C*s_IFBE_res_adj*s_CF_berries*0.001*(up_Irr!F23+up_Irr!AD23+up_Irr!BB23),".")</f>
        <v>7601.8282595287337</v>
      </c>
      <c r="AG23" s="62">
        <f>IFERROR(s_C*s_IFBR_res_adj*s_CF_broccoli*0.001*(up_Irr!G23+up_Irr!AE23+up_Irr!BC23),".")</f>
        <v>7601.8282595287337</v>
      </c>
      <c r="AH23" s="62">
        <f>IFERROR(s_C*s_IFCB_res_adj*s_CF_cabbage*0.001*(up_Irr!H23+up_Irr!AF23+up_Irr!BD23),".")</f>
        <v>7601.8282595287337</v>
      </c>
      <c r="AI23" s="62">
        <f>IFERROR(s_C*s_IFCR_res_adj*s_CF_carrot*0.001*(up_Irr!I23+up_Irr!AG23+up_Irr!BE23),".")</f>
        <v>7601.8282595287337</v>
      </c>
      <c r="AJ23" s="62">
        <f>IFERROR(s_C*s_IFCI_res_adj*s_CF_citrus*0.001*(up_Irr!J23+up_Irr!AH23+up_Irr!BF23),".")</f>
        <v>7601.8282595287337</v>
      </c>
      <c r="AK23" s="62">
        <f>IFERROR(s_C*s_IFCO_res_adj*s_CF_corn*0.001*(up_Irr!K23+up_Irr!AI23+up_Irr!BG23),".")</f>
        <v>7601.8282595287337</v>
      </c>
      <c r="AL23" s="62">
        <f>IFERROR(s_C*s_IFCU_res_adj*s_CF_cucumber*0.001*(up_Irr!L23+up_Irr!AJ23+up_Irr!BH23),".")</f>
        <v>7601.8282595287337</v>
      </c>
      <c r="AM23" s="62">
        <f>IFERROR(s_C*s_IFLE_res_adj*s_CF_lettuce*0.001*(up_Irr!M23+up_Irr!AK23+up_Irr!BI23),".")</f>
        <v>7601.8282595287337</v>
      </c>
      <c r="AN23" s="62">
        <f>IFERROR(s_C*s_IFLI_res_adj*s_CF_lima_bean*0.001*(up_Irr!N23+up_Irr!AL23+up_Irr!BJ23),".")</f>
        <v>7601.8282595287337</v>
      </c>
      <c r="AO23" s="62">
        <f>IFERROR(s_C*s_IFOK_res_adj*s_CF_okra*0.001*(up_Irr!O23+up_Irr!AM23+up_Irr!BK23),".")</f>
        <v>7601.8282595287337</v>
      </c>
      <c r="AP23" s="62">
        <f>IFERROR(s_C*s_IFON_res_adj*s_CF_onion*0.001*(up_Irr!P23+up_Irr!AN23+up_Irr!BL23),".")</f>
        <v>7601.8282595287337</v>
      </c>
      <c r="AQ23" s="62">
        <f>IFERROR(s_C*s_IFPC_res_adj*s_CF_peach*0.001*(up_Irr!Q23+up_Irr!AO23+up_Irr!BM23),".")</f>
        <v>7601.8282595287337</v>
      </c>
      <c r="AR23" s="62">
        <f>IFERROR(s_C*s_IFPR_res_adj*s_CF_pear*0.001*(up_Irr!R23+up_Irr!AP23+up_Irr!BN23),".")</f>
        <v>7601.8282595287337</v>
      </c>
      <c r="AS23" s="62">
        <f>IFERROR(s_C*s_IFPE_res_adj*s_CF_peas*0.001*(up_Irr!S23+up_Irr!AQ23+up_Irr!BO23),".")</f>
        <v>7601.8282595287337</v>
      </c>
      <c r="AT23" s="62">
        <f>IFERROR(s_C*s_IFPT_res_adj*s_CF_potato*0.001*(up_Irr!T23+up_Irr!AR23+up_Irr!BP23),".")</f>
        <v>7601.8282595287337</v>
      </c>
      <c r="AU23" s="62">
        <f>IFERROR(s_C*s_IFPU_res_adj*s_CF_pumpkin*0.001*(up_Irr!U23+up_Irr!AS23+up_Irr!BQ23),".")</f>
        <v>7601.8282595287337</v>
      </c>
      <c r="AV23" s="62">
        <f>IFERROR(s_C*s_IFSN_res_adj*s_CF_snap_bean*0.001*(up_Irr!V23+up_Irr!AT23+up_Irr!BR23),".")</f>
        <v>7601.8282595287337</v>
      </c>
      <c r="AW23" s="62">
        <f>IFERROR(s_C*s_IFST_res_adj*s_CF_strawberry*0.001*(up_Irr!W23+up_Irr!AU23+up_Irr!BS23),".")</f>
        <v>7601.8282595287337</v>
      </c>
      <c r="AX23" s="62">
        <f>IFERROR(s_C*s_IFTO_res_adj*s_CF_tomato*0.001*(up_Irr!X23+up_Irr!AV23+up_Irr!BT23),".")</f>
        <v>7601.8282595287337</v>
      </c>
      <c r="AY23" s="62">
        <f>IFERROR(s_C*s_IFRI_res_adj*s_CF_rice*0.001*(up_Irr!Y23+up_Irr!AW23+up_Irr!BU23),".")</f>
        <v>7601.8282595287337</v>
      </c>
      <c r="AZ23" s="62">
        <f>IFERROR(s_C*s_IFCG_res_adj*s_CF_cereal*0.001*(up_Irr!Z23+up_Irr!AX23+up_Irr!BV23),".")</f>
        <v>7601.8282595287337</v>
      </c>
      <c r="BA23" s="48">
        <f t="shared" si="2"/>
        <v>2.1924550381384044E-4</v>
      </c>
      <c r="BB23" s="48">
        <f>IFERROR(IF(AND(up_Irr!C23&lt;&gt;".",up_Irr!AA23&lt;&gt;".",up_Irr!AY23&lt;&gt;"."),up_dir!AC23/((1/1000)*(up_Irr!C23+up_Irr!AA23+up_Irr!AY23)),IF(AND(up_Irr!C23&lt;&gt;".",up_Irr!AA23&lt;&gt;".",up_Irr!AY23="."),up_dir!AC23/((1/1000)*(up_Irr!C23+up_Irr!AA23)),IF(AND(up_Irr!C23&lt;&gt;".",up_Irr!AA23=".",up_Irr!AY23&lt;&gt;"."),up_dir!AC23/((1/1000)*(up_Irr!C23+up_Irr!AY23)),IF(AND(up_Irr!C23=".",up_Irr!AA23&lt;&gt;".",up_Irr!AY23&lt;&gt;"."),up_dir!AC23/((1/1000)*(up_Irr!AA23+up_Irr!AY23)),IF(AND(up_Irr!C23=".",up_Irr!AA23=".",up_Irr!AY23&lt;&gt;"."),up_dir!AC23/((1/1000)*(up_Irr!AY23)),IF(AND(up_Irr!C23=".",up_Irr!AA23&lt;&gt;".",up_Irr!AY23="."),up_dir!AC23/((1/1000)*(up_Irr!AA23)),IF(AND(up_Irr!C23&lt;&gt;".",up_Irr!AA23=".",up_Irr!AY23="."),up_dir!AC23/((1/1000)*(up_Irr!C23)),IF(AND(up_Irr!C23=".",up_Irr!AA23=".",up_Irr!AY23="."),up_dir!AC23*1000)))))))),".")</f>
        <v>6.5773651144152131E-4</v>
      </c>
      <c r="BC23" s="48">
        <f>IFERROR(IF(AND(up_Irr!D23&lt;&gt;".",up_Irr!AB23&lt;&gt;".",up_Irr!AZ23&lt;&gt;"."),up_dir!AD23/((1/1000)*(up_Irr!D23+up_Irr!AB23+up_Irr!AZ23)),IF(AND(up_Irr!D23&lt;&gt;".",up_Irr!AB23&lt;&gt;".",up_Irr!AZ23="."),up_dir!AD23/((1/1000)*(up_Irr!D23+up_Irr!AB23)),IF(AND(up_Irr!D23&lt;&gt;".",up_Irr!AB23=".",up_Irr!AZ23&lt;&gt;"."),up_dir!AD23/((1/1000)*(up_Irr!D23+up_Irr!AZ23)),IF(AND(up_Irr!D23=".",up_Irr!AB23&lt;&gt;".",up_Irr!AZ23&lt;&gt;"."),up_dir!AD23/((1/1000)*(up_Irr!AB23+up_Irr!AZ23)),IF(AND(up_Irr!D23=".",up_Irr!AB23=".",up_Irr!AZ23&lt;&gt;"."),up_dir!AD23/((1/1000)*(up_Irr!AZ23)),IF(AND(up_Irr!D23=".",up_Irr!AB23&lt;&gt;".",up_Irr!AZ23="."),up_dir!AD23/((1/1000)*(up_Irr!AB23)),IF(AND(up_Irr!D23&lt;&gt;".",up_Irr!AB23=".",up_Irr!AZ23="."),up_dir!AD23/((1/1000)*(up_Irr!D23)),IF(AND(up_Irr!D23=".",up_Irr!AB23=".",up_Irr!AZ23="."),up_dir!AD23*1000)))))))),".")</f>
        <v>6.5773651144152131E-4</v>
      </c>
      <c r="BD23" s="48">
        <f>IFERROR(IF(AND(up_Irr!E23&lt;&gt;".",up_Irr!AC23&lt;&gt;".",up_Irr!BA23&lt;&gt;"."),up_dir!AE23/((1/1000)*(up_Irr!E23+up_Irr!AC23+up_Irr!BA23)),IF(AND(up_Irr!E23&lt;&gt;".",up_Irr!AC23&lt;&gt;".",up_Irr!BA23="."),up_dir!AE23/((1/1000)*(up_Irr!E23+up_Irr!AC23)),IF(AND(up_Irr!E23&lt;&gt;".",up_Irr!AC23=".",up_Irr!BA23&lt;&gt;"."),up_dir!AE23/((1/1000)*(up_Irr!E23+up_Irr!BA23)),IF(AND(up_Irr!E23=".",up_Irr!AC23&lt;&gt;".",up_Irr!BA23&lt;&gt;"."),up_dir!AE23/((1/1000)*(up_Irr!AC23+up_Irr!BA23)),IF(AND(up_Irr!E23=".",up_Irr!AC23=".",up_Irr!BA23&lt;&gt;"."),up_dir!AE23/((1/1000)*(up_Irr!BA23)),IF(AND(up_Irr!E23=".",up_Irr!AC23&lt;&gt;".",up_Irr!BA23="."),up_dir!AE23/((1/1000)*(up_Irr!AC23)),IF(AND(up_Irr!E23&lt;&gt;".",up_Irr!AC23=".",up_Irr!BA23="."),up_dir!AE23/((1/1000)*(up_Irr!E23)),IF(AND(up_Irr!E23=".",up_Irr!AC23=".",up_Irr!BA23="."),up_dir!AE23*1000)))))))),".")</f>
        <v>6.5773651144152131E-4</v>
      </c>
      <c r="BE23" s="48">
        <f>IFERROR(IF(AND(up_Irr!F23&lt;&gt;".",up_Irr!AD23&lt;&gt;".",up_Irr!BB23&lt;&gt;"."),up_dir!AF23/((1/1000)*(up_Irr!F23+up_Irr!AD23+up_Irr!BB23)),IF(AND(up_Irr!F23&lt;&gt;".",up_Irr!AD23&lt;&gt;".",up_Irr!BB23="."),up_dir!AF23/((1/1000)*(up_Irr!F23+up_Irr!AD23)),IF(AND(up_Irr!F23&lt;&gt;".",up_Irr!AD23=".",up_Irr!BB23&lt;&gt;"."),up_dir!AF23/((1/1000)*(up_Irr!F23+up_Irr!BB23)),IF(AND(up_Irr!F23=".",up_Irr!AD23&lt;&gt;".",up_Irr!BB23&lt;&gt;"."),up_dir!AF23/((1/1000)*(up_Irr!AD23+up_Irr!BB23)),IF(AND(up_Irr!F23=".",up_Irr!AD23=".",up_Irr!BB23&lt;&gt;"."),up_dir!AF23/((1/1000)*(up_Irr!BB23)),IF(AND(up_Irr!F23=".",up_Irr!AD23&lt;&gt;".",up_Irr!BB23="."),up_dir!AF23/((1/1000)*(up_Irr!AD23)),IF(AND(up_Irr!F23&lt;&gt;".",up_Irr!AD23=".",up_Irr!BB23="."),up_dir!AF23/((1/1000)*(up_Irr!F23)),IF(AND(up_Irr!F23=".",up_Irr!AD23=".",up_Irr!BB23="."),up_dir!AF23*1000)))))))),".")</f>
        <v>6.5773651144152131E-4</v>
      </c>
      <c r="BF23" s="48">
        <f>IFERROR(IF(AND(up_Irr!G23&lt;&gt;".",up_Irr!AE23&lt;&gt;".",up_Irr!BC23&lt;&gt;"."),up_dir!AG23/((1/1000)*(up_Irr!G23+up_Irr!AE23+up_Irr!BC23)),IF(AND(up_Irr!G23&lt;&gt;".",up_Irr!AE23&lt;&gt;".",up_Irr!BC23="."),up_dir!AG23/((1/1000)*(up_Irr!G23+up_Irr!AE23)),IF(AND(up_Irr!G23&lt;&gt;".",up_Irr!AE23=".",up_Irr!BC23&lt;&gt;"."),up_dir!AG23/((1/1000)*(up_Irr!G23+up_Irr!BC23)),IF(AND(up_Irr!G23=".",up_Irr!AE23&lt;&gt;".",up_Irr!BC23&lt;&gt;"."),up_dir!AG23/((1/1000)*(up_Irr!AE23+up_Irr!BC23)),IF(AND(up_Irr!G23=".",up_Irr!AE23=".",up_Irr!BC23&lt;&gt;"."),up_dir!AG23/((1/1000)*(up_Irr!BC23)),IF(AND(up_Irr!G23=".",up_Irr!AE23&lt;&gt;".",up_Irr!BC23="."),up_dir!AG23/((1/1000)*(up_Irr!AE23)),IF(AND(up_Irr!G23&lt;&gt;".",up_Irr!AE23=".",up_Irr!BC23="."),up_dir!AG23/((1/1000)*(up_Irr!G23)),IF(AND(up_Irr!G23=".",up_Irr!AE23=".",up_Irr!BC23="."),up_dir!AG23*1000)))))))),".")</f>
        <v>6.5773651144152131E-4</v>
      </c>
      <c r="BG23" s="48">
        <f>IFERROR(IF(AND(up_Irr!H23&lt;&gt;".",up_Irr!AF23&lt;&gt;".",up_Irr!BD23&lt;&gt;"."),up_dir!AH23/((1/1000)*(up_Irr!H23+up_Irr!AF23+up_Irr!BD23)),IF(AND(up_Irr!H23&lt;&gt;".",up_Irr!AF23&lt;&gt;".",up_Irr!BD23="."),up_dir!AH23/((1/1000)*(up_Irr!H23+up_Irr!AF23)),IF(AND(up_Irr!H23&lt;&gt;".",up_Irr!AF23=".",up_Irr!BD23&lt;&gt;"."),up_dir!AH23/((1/1000)*(up_Irr!H23+up_Irr!BD23)),IF(AND(up_Irr!H23=".",up_Irr!AF23&lt;&gt;".",up_Irr!BD23&lt;&gt;"."),up_dir!AH23/((1/1000)*(up_Irr!AF23+up_Irr!BD23)),IF(AND(up_Irr!H23=".",up_Irr!AF23=".",up_Irr!BD23&lt;&gt;"."),up_dir!AH23/((1/1000)*(up_Irr!BD23)),IF(AND(up_Irr!H23=".",up_Irr!AF23&lt;&gt;".",up_Irr!BD23="."),up_dir!AH23/((1/1000)*(up_Irr!AF23)),IF(AND(up_Irr!H23&lt;&gt;".",up_Irr!AF23=".",up_Irr!BD23="."),up_dir!AH23/((1/1000)*(up_Irr!H23)),IF(AND(up_Irr!H23=".",up_Irr!AF23=".",up_Irr!BD23="."),up_dir!AH23*1000)))))))),".")</f>
        <v>6.5773651144152131E-4</v>
      </c>
      <c r="BH23" s="48">
        <f>IFERROR(IF(AND(up_Irr!I23&lt;&gt;".",up_Irr!AG23&lt;&gt;".",up_Irr!BE23&lt;&gt;"."),up_dir!AI23/((1/1000)*(up_Irr!I23+up_Irr!AG23+up_Irr!BE23)),IF(AND(up_Irr!I23&lt;&gt;".",up_Irr!AG23&lt;&gt;".",up_Irr!BE23="."),up_dir!AI23/((1/1000)*(up_Irr!I23+up_Irr!AG23)),IF(AND(up_Irr!I23&lt;&gt;".",up_Irr!AG23=".",up_Irr!BE23&lt;&gt;"."),up_dir!AI23/((1/1000)*(up_Irr!I23+up_Irr!BE23)),IF(AND(up_Irr!I23=".",up_Irr!AG23&lt;&gt;".",up_Irr!BE23&lt;&gt;"."),up_dir!AI23/((1/1000)*(up_Irr!AG23+up_Irr!BE23)),IF(AND(up_Irr!I23=".",up_Irr!AG23=".",up_Irr!BE23&lt;&gt;"."),up_dir!AI23/((1/1000)*(up_Irr!BE23)),IF(AND(up_Irr!I23=".",up_Irr!AG23&lt;&gt;".",up_Irr!BE23="."),up_dir!AI23/((1/1000)*(up_Irr!AG23)),IF(AND(up_Irr!I23&lt;&gt;".",up_Irr!AG23=".",up_Irr!BE23="."),up_dir!AI23/((1/1000)*(up_Irr!I23)),IF(AND(up_Irr!I23=".",up_Irr!AG23=".",up_Irr!BE23="."),up_dir!AI23*1000)))))))),".")</f>
        <v>6.5773651144152131E-4</v>
      </c>
      <c r="BI23" s="48">
        <f>IFERROR(IF(AND(up_Irr!J23&lt;&gt;".",up_Irr!AH23&lt;&gt;".",up_Irr!BF23&lt;&gt;"."),up_dir!AJ23/((1/1000)*(up_Irr!J23+up_Irr!AH23+up_Irr!BF23)),IF(AND(up_Irr!J23&lt;&gt;".",up_Irr!AH23&lt;&gt;".",up_Irr!BF23="."),up_dir!AJ23/((1/1000)*(up_Irr!J23+up_Irr!AH23)),IF(AND(up_Irr!J23&lt;&gt;".",up_Irr!AH23=".",up_Irr!BF23&lt;&gt;"."),up_dir!AJ23/((1/1000)*(up_Irr!J23+up_Irr!BF23)),IF(AND(up_Irr!J23=".",up_Irr!AH23&lt;&gt;".",up_Irr!BF23&lt;&gt;"."),up_dir!AJ23/((1/1000)*(up_Irr!AH23+up_Irr!BF23)),IF(AND(up_Irr!J23=".",up_Irr!AH23=".",up_Irr!BF23&lt;&gt;"."),up_dir!AJ23/((1/1000)*(up_Irr!BF23)),IF(AND(up_Irr!J23=".",up_Irr!AH23&lt;&gt;".",up_Irr!BF23="."),up_dir!AJ23/((1/1000)*(up_Irr!AH23)),IF(AND(up_Irr!J23&lt;&gt;".",up_Irr!AH23=".",up_Irr!BF23="."),up_dir!AJ23/((1/1000)*(up_Irr!J23)),IF(AND(up_Irr!J23=".",up_Irr!AH23=".",up_Irr!BF23="."),up_dir!AJ23*1000)))))))),".")</f>
        <v>6.5773651144152131E-4</v>
      </c>
      <c r="BJ23" s="48">
        <f>IFERROR(IF(AND(up_Irr!K23&lt;&gt;".",up_Irr!AI23&lt;&gt;".",up_Irr!BG23&lt;&gt;"."),up_dir!AK23/((1/1000)*(up_Irr!K23+up_Irr!AI23+up_Irr!BG23)),IF(AND(up_Irr!K23&lt;&gt;".",up_Irr!AI23&lt;&gt;".",up_Irr!BG23="."),up_dir!AK23/((1/1000)*(up_Irr!K23+up_Irr!AI23)),IF(AND(up_Irr!K23&lt;&gt;".",up_Irr!AI23=".",up_Irr!BG23&lt;&gt;"."),up_dir!AK23/((1/1000)*(up_Irr!K23+up_Irr!BG23)),IF(AND(up_Irr!K23=".",up_Irr!AI23&lt;&gt;".",up_Irr!BG23&lt;&gt;"."),up_dir!AK23/((1/1000)*(up_Irr!AI23+up_Irr!BG23)),IF(AND(up_Irr!K23=".",up_Irr!AI23=".",up_Irr!BG23&lt;&gt;"."),up_dir!AK23/((1/1000)*(up_Irr!BG23)),IF(AND(up_Irr!K23=".",up_Irr!AI23&lt;&gt;".",up_Irr!BG23="."),up_dir!AK23/((1/1000)*(up_Irr!AI23)),IF(AND(up_Irr!K23&lt;&gt;".",up_Irr!AI23=".",up_Irr!BG23="."),up_dir!AK23/((1/1000)*(up_Irr!K23)),IF(AND(up_Irr!K23=".",up_Irr!AI23=".",up_Irr!BG23="."),up_dir!AK23*1000)))))))),".")</f>
        <v>6.5773651144152131E-4</v>
      </c>
      <c r="BK23" s="48">
        <f>IFERROR(IF(AND(up_Irr!L23&lt;&gt;".",up_Irr!AJ23&lt;&gt;".",up_Irr!BH23&lt;&gt;"."),up_dir!AL23/((1/1000)*(up_Irr!L23+up_Irr!AJ23+up_Irr!BH23)),IF(AND(up_Irr!L23&lt;&gt;".",up_Irr!AJ23&lt;&gt;".",up_Irr!BH23="."),up_dir!AL23/((1/1000)*(up_Irr!L23+up_Irr!AJ23)),IF(AND(up_Irr!L23&lt;&gt;".",up_Irr!AJ23=".",up_Irr!BH23&lt;&gt;"."),up_dir!AL23/((1/1000)*(up_Irr!L23+up_Irr!BH23)),IF(AND(up_Irr!L23=".",up_Irr!AJ23&lt;&gt;".",up_Irr!BH23&lt;&gt;"."),up_dir!AL23/((1/1000)*(up_Irr!AJ23+up_Irr!BH23)),IF(AND(up_Irr!L23=".",up_Irr!AJ23=".",up_Irr!BH23&lt;&gt;"."),up_dir!AL23/((1/1000)*(up_Irr!BH23)),IF(AND(up_Irr!L23=".",up_Irr!AJ23&lt;&gt;".",up_Irr!BH23="."),up_dir!AL23/((1/1000)*(up_Irr!AJ23)),IF(AND(up_Irr!L23&lt;&gt;".",up_Irr!AJ23=".",up_Irr!BH23="."),up_dir!AL23/((1/1000)*(up_Irr!L23)),IF(AND(up_Irr!L23=".",up_Irr!AJ23=".",up_Irr!BH23="."),up_dir!AL23*1000)))))))),".")</f>
        <v>6.5773651144152131E-4</v>
      </c>
      <c r="BL23" s="48">
        <f>IFERROR(IF(AND(up_Irr!M23&lt;&gt;".",up_Irr!AK23&lt;&gt;".",up_Irr!BI23&lt;&gt;"."),up_dir!AM23/((1/1000)*(up_Irr!M23+up_Irr!AK23+up_Irr!BI23)),IF(AND(up_Irr!M23&lt;&gt;".",up_Irr!AK23&lt;&gt;".",up_Irr!BI23="."),up_dir!AM23/((1/1000)*(up_Irr!M23+up_Irr!AK23)),IF(AND(up_Irr!M23&lt;&gt;".",up_Irr!AK23=".",up_Irr!BI23&lt;&gt;"."),up_dir!AM23/((1/1000)*(up_Irr!M23+up_Irr!BI23)),IF(AND(up_Irr!M23=".",up_Irr!AK23&lt;&gt;".",up_Irr!BI23&lt;&gt;"."),up_dir!AM23/((1/1000)*(up_Irr!AK23+up_Irr!BI23)),IF(AND(up_Irr!M23=".",up_Irr!AK23=".",up_Irr!BI23&lt;&gt;"."),up_dir!AM23/((1/1000)*(up_Irr!BI23)),IF(AND(up_Irr!M23=".",up_Irr!AK23&lt;&gt;".",up_Irr!BI23="."),up_dir!AM23/((1/1000)*(up_Irr!AK23)),IF(AND(up_Irr!M23&lt;&gt;".",up_Irr!AK23=".",up_Irr!BI23="."),up_dir!AM23/((1/1000)*(up_Irr!M23)),IF(AND(up_Irr!M23=".",up_Irr!AK23=".",up_Irr!BI23="."),up_dir!AM23*1000)))))))),".")</f>
        <v>6.5773651144152131E-4</v>
      </c>
      <c r="BM23" s="48">
        <f>IFERROR(IF(AND(up_Irr!N23&lt;&gt;".",up_Irr!AL23&lt;&gt;".",up_Irr!BJ23&lt;&gt;"."),up_dir!AN23/((1/1000)*(up_Irr!N23+up_Irr!AL23+up_Irr!BJ23)),IF(AND(up_Irr!N23&lt;&gt;".",up_Irr!AL23&lt;&gt;".",up_Irr!BJ23="."),up_dir!AN23/((1/1000)*(up_Irr!N23+up_Irr!AL23)),IF(AND(up_Irr!N23&lt;&gt;".",up_Irr!AL23=".",up_Irr!BJ23&lt;&gt;"."),up_dir!AN23/((1/1000)*(up_Irr!N23+up_Irr!BJ23)),IF(AND(up_Irr!N23=".",up_Irr!AL23&lt;&gt;".",up_Irr!BJ23&lt;&gt;"."),up_dir!AN23/((1/1000)*(up_Irr!AL23+up_Irr!BJ23)),IF(AND(up_Irr!N23=".",up_Irr!AL23=".",up_Irr!BJ23&lt;&gt;"."),up_dir!AN23/((1/1000)*(up_Irr!BJ23)),IF(AND(up_Irr!N23=".",up_Irr!AL23&lt;&gt;".",up_Irr!BJ23="."),up_dir!AN23/((1/1000)*(up_Irr!AL23)),IF(AND(up_Irr!N23&lt;&gt;".",up_Irr!AL23=".",up_Irr!BJ23="."),up_dir!AN23/((1/1000)*(up_Irr!N23)),IF(AND(up_Irr!N23=".",up_Irr!AL23=".",up_Irr!BJ23="."),up_dir!AN23*1000)))))))),".")</f>
        <v>6.5773651144152131E-4</v>
      </c>
      <c r="BN23" s="48">
        <f>IFERROR(IF(AND(up_Irr!O23&lt;&gt;".",up_Irr!AM23&lt;&gt;".",up_Irr!BK23&lt;&gt;"."),up_dir!AO23/((1/1000)*(up_Irr!O23+up_Irr!AM23+up_Irr!BK23)),IF(AND(up_Irr!O23&lt;&gt;".",up_Irr!AM23&lt;&gt;".",up_Irr!BK23="."),up_dir!AO23/((1/1000)*(up_Irr!O23+up_Irr!AM23)),IF(AND(up_Irr!O23&lt;&gt;".",up_Irr!AM23=".",up_Irr!BK23&lt;&gt;"."),up_dir!AO23/((1/1000)*(up_Irr!O23+up_Irr!BK23)),IF(AND(up_Irr!O23=".",up_Irr!AM23&lt;&gt;".",up_Irr!BK23&lt;&gt;"."),up_dir!AO23/((1/1000)*(up_Irr!AM23+up_Irr!BK23)),IF(AND(up_Irr!O23=".",up_Irr!AM23=".",up_Irr!BK23&lt;&gt;"."),up_dir!AO23/((1/1000)*(up_Irr!BK23)),IF(AND(up_Irr!O23=".",up_Irr!AM23&lt;&gt;".",up_Irr!BK23="."),up_dir!AO23/((1/1000)*(up_Irr!AM23)),IF(AND(up_Irr!O23&lt;&gt;".",up_Irr!AM23=".",up_Irr!BK23="."),up_dir!AO23/((1/1000)*(up_Irr!O23)),IF(AND(up_Irr!O23=".",up_Irr!AM23=".",up_Irr!BK23="."),up_dir!AO23*1000)))))))),".")</f>
        <v>6.5773651144152131E-4</v>
      </c>
      <c r="BO23" s="48">
        <f>IFERROR(IF(AND(up_Irr!P23&lt;&gt;".",up_Irr!AN23&lt;&gt;".",up_Irr!BL23&lt;&gt;"."),up_dir!AP23/((1/1000)*(up_Irr!P23+up_Irr!AN23+up_Irr!BL23)),IF(AND(up_Irr!P23&lt;&gt;".",up_Irr!AN23&lt;&gt;".",up_Irr!BL23="."),up_dir!AP23/((1/1000)*(up_Irr!P23+up_Irr!AN23)),IF(AND(up_Irr!P23&lt;&gt;".",up_Irr!AN23=".",up_Irr!BL23&lt;&gt;"."),up_dir!AP23/((1/1000)*(up_Irr!P23+up_Irr!BL23)),IF(AND(up_Irr!P23=".",up_Irr!AN23&lt;&gt;".",up_Irr!BL23&lt;&gt;"."),up_dir!AP23/((1/1000)*(up_Irr!AN23+up_Irr!BL23)),IF(AND(up_Irr!P23=".",up_Irr!AN23=".",up_Irr!BL23&lt;&gt;"."),up_dir!AP23/((1/1000)*(up_Irr!BL23)),IF(AND(up_Irr!P23=".",up_Irr!AN23&lt;&gt;".",up_Irr!BL23="."),up_dir!AP23/((1/1000)*(up_Irr!AN23)),IF(AND(up_Irr!P23&lt;&gt;".",up_Irr!AN23=".",up_Irr!BL23="."),up_dir!AP23/((1/1000)*(up_Irr!P23)),IF(AND(up_Irr!P23=".",up_Irr!AN23=".",up_Irr!BL23="."),up_dir!AP23*1000)))))))),".")</f>
        <v>6.5773651144152131E-4</v>
      </c>
      <c r="BP23" s="48">
        <f>IFERROR(IF(AND(up_Irr!Q23&lt;&gt;".",up_Irr!AO23&lt;&gt;".",up_Irr!BM23&lt;&gt;"."),up_dir!AQ23/((1/1000)*(up_Irr!Q23+up_Irr!AO23+up_Irr!BM23)),IF(AND(up_Irr!Q23&lt;&gt;".",up_Irr!AO23&lt;&gt;".",up_Irr!BM23="."),up_dir!AQ23/((1/1000)*(up_Irr!Q23+up_Irr!AO23)),IF(AND(up_Irr!Q23&lt;&gt;".",up_Irr!AO23=".",up_Irr!BM23&lt;&gt;"."),up_dir!AQ23/((1/1000)*(up_Irr!Q23+up_Irr!BM23)),IF(AND(up_Irr!Q23=".",up_Irr!AO23&lt;&gt;".",up_Irr!BM23&lt;&gt;"."),up_dir!AQ23/((1/1000)*(up_Irr!AO23+up_Irr!BM23)),IF(AND(up_Irr!Q23=".",up_Irr!AO23=".",up_Irr!BM23&lt;&gt;"."),up_dir!AQ23/((1/1000)*(up_Irr!BM23)),IF(AND(up_Irr!Q23=".",up_Irr!AO23&lt;&gt;".",up_Irr!BM23="."),up_dir!AQ23/((1/1000)*(up_Irr!AO23)),IF(AND(up_Irr!Q23&lt;&gt;".",up_Irr!AO23=".",up_Irr!BM23="."),up_dir!AQ23/((1/1000)*(up_Irr!Q23)),IF(AND(up_Irr!Q23=".",up_Irr!AO23=".",up_Irr!BM23="."),up_dir!AQ23*1000)))))))),".")</f>
        <v>6.5773651144152131E-4</v>
      </c>
      <c r="BQ23" s="48">
        <f>IFERROR(IF(AND(up_Irr!R23&lt;&gt;".",up_Irr!AP23&lt;&gt;".",up_Irr!BN23&lt;&gt;"."),up_dir!AR23/((1/1000)*(up_Irr!R23+up_Irr!AP23+up_Irr!BN23)),IF(AND(up_Irr!R23&lt;&gt;".",up_Irr!AP23&lt;&gt;".",up_Irr!BN23="."),up_dir!AR23/((1/1000)*(up_Irr!R23+up_Irr!AP23)),IF(AND(up_Irr!R23&lt;&gt;".",up_Irr!AP23=".",up_Irr!BN23&lt;&gt;"."),up_dir!AR23/((1/1000)*(up_Irr!R23+up_Irr!BN23)),IF(AND(up_Irr!R23=".",up_Irr!AP23&lt;&gt;".",up_Irr!BN23&lt;&gt;"."),up_dir!AR23/((1/1000)*(up_Irr!AP23+up_Irr!BN23)),IF(AND(up_Irr!R23=".",up_Irr!AP23=".",up_Irr!BN23&lt;&gt;"."),up_dir!AR23/((1/1000)*(up_Irr!BN23)),IF(AND(up_Irr!R23=".",up_Irr!AP23&lt;&gt;".",up_Irr!BN23="."),up_dir!AR23/((1/1000)*(up_Irr!AP23)),IF(AND(up_Irr!R23&lt;&gt;".",up_Irr!AP23=".",up_Irr!BN23="."),up_dir!AR23/((1/1000)*(up_Irr!R23)),IF(AND(up_Irr!R23=".",up_Irr!AP23=".",up_Irr!BN23="."),up_dir!AR23*1000)))))))),".")</f>
        <v>6.5773651144152131E-4</v>
      </c>
      <c r="BR23" s="48">
        <f>IFERROR(IF(AND(up_Irr!S23&lt;&gt;".",up_Irr!AQ23&lt;&gt;".",up_Irr!BO23&lt;&gt;"."),up_dir!AS23/((1/1000)*(up_Irr!S23+up_Irr!AQ23+up_Irr!BO23)),IF(AND(up_Irr!S23&lt;&gt;".",up_Irr!AQ23&lt;&gt;".",up_Irr!BO23="."),up_dir!AS23/((1/1000)*(up_Irr!S23+up_Irr!AQ23)),IF(AND(up_Irr!S23&lt;&gt;".",up_Irr!AQ23=".",up_Irr!BO23&lt;&gt;"."),up_dir!AS23/((1/1000)*(up_Irr!S23+up_Irr!BO23)),IF(AND(up_Irr!S23=".",up_Irr!AQ23&lt;&gt;".",up_Irr!BO23&lt;&gt;"."),up_dir!AS23/((1/1000)*(up_Irr!AQ23+up_Irr!BO23)),IF(AND(up_Irr!S23=".",up_Irr!AQ23=".",up_Irr!BO23&lt;&gt;"."),up_dir!AS23/((1/1000)*(up_Irr!BO23)),IF(AND(up_Irr!S23=".",up_Irr!AQ23&lt;&gt;".",up_Irr!BO23="."),up_dir!AS23/((1/1000)*(up_Irr!AQ23)),IF(AND(up_Irr!S23&lt;&gt;".",up_Irr!AQ23=".",up_Irr!BO23="."),up_dir!AS23/((1/1000)*(up_Irr!S23)),IF(AND(up_Irr!S23=".",up_Irr!AQ23=".",up_Irr!BO23="."),up_dir!AS23*1000)))))))),".")</f>
        <v>6.5773651144152131E-4</v>
      </c>
      <c r="BS23" s="48">
        <f>IFERROR(IF(AND(up_Irr!T23&lt;&gt;".",up_Irr!AR23&lt;&gt;".",up_Irr!BP23&lt;&gt;"."),up_dir!AT23/((1/1000)*(up_Irr!T23+up_Irr!AR23+up_Irr!BP23)),IF(AND(up_Irr!T23&lt;&gt;".",up_Irr!AR23&lt;&gt;".",up_Irr!BP23="."),up_dir!AT23/((1/1000)*(up_Irr!T23+up_Irr!AR23)),IF(AND(up_Irr!T23&lt;&gt;".",up_Irr!AR23=".",up_Irr!BP23&lt;&gt;"."),up_dir!AT23/((1/1000)*(up_Irr!T23+up_Irr!BP23)),IF(AND(up_Irr!T23=".",up_Irr!AR23&lt;&gt;".",up_Irr!BP23&lt;&gt;"."),up_dir!AT23/((1/1000)*(up_Irr!AR23+up_Irr!BP23)),IF(AND(up_Irr!T23=".",up_Irr!AR23=".",up_Irr!BP23&lt;&gt;"."),up_dir!AT23/((1/1000)*(up_Irr!BP23)),IF(AND(up_Irr!T23=".",up_Irr!AR23&lt;&gt;".",up_Irr!BP23="."),up_dir!AT23/((1/1000)*(up_Irr!AR23)),IF(AND(up_Irr!T23&lt;&gt;".",up_Irr!AR23=".",up_Irr!BP23="."),up_dir!AT23/((1/1000)*(up_Irr!T23)),IF(AND(up_Irr!T23=".",up_Irr!AR23=".",up_Irr!BP23="."),up_dir!AT23*1000)))))))),".")</f>
        <v>6.5773651144152131E-4</v>
      </c>
      <c r="BT23" s="48">
        <f>IFERROR(IF(AND(up_Irr!U23&lt;&gt;".",up_Irr!AS23&lt;&gt;".",up_Irr!BQ23&lt;&gt;"."),up_dir!AU23/((1/1000)*(up_Irr!U23+up_Irr!AS23+up_Irr!BQ23)),IF(AND(up_Irr!U23&lt;&gt;".",up_Irr!AS23&lt;&gt;".",up_Irr!BQ23="."),up_dir!AU23/((1/1000)*(up_Irr!U23+up_Irr!AS23)),IF(AND(up_Irr!U23&lt;&gt;".",up_Irr!AS23=".",up_Irr!BQ23&lt;&gt;"."),up_dir!AU23/((1/1000)*(up_Irr!U23+up_Irr!BQ23)),IF(AND(up_Irr!U23=".",up_Irr!AS23&lt;&gt;".",up_Irr!BQ23&lt;&gt;"."),up_dir!AU23/((1/1000)*(up_Irr!AS23+up_Irr!BQ23)),IF(AND(up_Irr!U23=".",up_Irr!AS23=".",up_Irr!BQ23&lt;&gt;"."),up_dir!AU23/((1/1000)*(up_Irr!BQ23)),IF(AND(up_Irr!U23=".",up_Irr!AS23&lt;&gt;".",up_Irr!BQ23="."),up_dir!AU23/((1/1000)*(up_Irr!AS23)),IF(AND(up_Irr!U23&lt;&gt;".",up_Irr!AS23=".",up_Irr!BQ23="."),up_dir!AU23/((1/1000)*(up_Irr!U23)),IF(AND(up_Irr!U23=".",up_Irr!AS23=".",up_Irr!BQ23="."),up_dir!AU23*1000)))))))),".")</f>
        <v>6.5773651144152131E-4</v>
      </c>
      <c r="BU23" s="48">
        <f>IFERROR(IF(AND(up_Irr!V23&lt;&gt;".",up_Irr!AT23&lt;&gt;".",up_Irr!BR23&lt;&gt;"."),up_dir!AV23/((1/1000)*(up_Irr!V23+up_Irr!AT23+up_Irr!BR23)),IF(AND(up_Irr!V23&lt;&gt;".",up_Irr!AT23&lt;&gt;".",up_Irr!BR23="."),up_dir!AV23/((1/1000)*(up_Irr!V23+up_Irr!AT23)),IF(AND(up_Irr!V23&lt;&gt;".",up_Irr!AT23=".",up_Irr!BR23&lt;&gt;"."),up_dir!AV23/((1/1000)*(up_Irr!V23+up_Irr!BR23)),IF(AND(up_Irr!V23=".",up_Irr!AT23&lt;&gt;".",up_Irr!BR23&lt;&gt;"."),up_dir!AV23/((1/1000)*(up_Irr!AT23+up_Irr!BR23)),IF(AND(up_Irr!V23=".",up_Irr!AT23=".",up_Irr!BR23&lt;&gt;"."),up_dir!AV23/((1/1000)*(up_Irr!BR23)),IF(AND(up_Irr!V23=".",up_Irr!AT23&lt;&gt;".",up_Irr!BR23="."),up_dir!AV23/((1/1000)*(up_Irr!AT23)),IF(AND(up_Irr!V23&lt;&gt;".",up_Irr!AT23=".",up_Irr!BR23="."),up_dir!AV23/((1/1000)*(up_Irr!V23)),IF(AND(up_Irr!V23=".",up_Irr!AT23=".",up_Irr!BR23="."),up_dir!AV23*1000)))))))),".")</f>
        <v>6.5773651144152131E-4</v>
      </c>
      <c r="BV23" s="48">
        <f>IFERROR(IF(AND(up_Irr!W23&lt;&gt;".",up_Irr!AU23&lt;&gt;".",up_Irr!BS23&lt;&gt;"."),up_dir!AW23/((1/1000)*(up_Irr!W23+up_Irr!AU23+up_Irr!BS23)),IF(AND(up_Irr!W23&lt;&gt;".",up_Irr!AU23&lt;&gt;".",up_Irr!BS23="."),up_dir!AW23/((1/1000)*(up_Irr!W23+up_Irr!AU23)),IF(AND(up_Irr!W23&lt;&gt;".",up_Irr!AU23=".",up_Irr!BS23&lt;&gt;"."),up_dir!AW23/((1/1000)*(up_Irr!W23+up_Irr!BS23)),IF(AND(up_Irr!W23=".",up_Irr!AU23&lt;&gt;".",up_Irr!BS23&lt;&gt;"."),up_dir!AW23/((1/1000)*(up_Irr!AU23+up_Irr!BS23)),IF(AND(up_Irr!W23=".",up_Irr!AU23=".",up_Irr!BS23&lt;&gt;"."),up_dir!AW23/((1/1000)*(up_Irr!BS23)),IF(AND(up_Irr!W23=".",up_Irr!AU23&lt;&gt;".",up_Irr!BS23="."),up_dir!AW23/((1/1000)*(up_Irr!AU23)),IF(AND(up_Irr!W23&lt;&gt;".",up_Irr!AU23=".",up_Irr!BS23="."),up_dir!AW23/((1/1000)*(up_Irr!W23)),IF(AND(up_Irr!W23=".",up_Irr!AU23=".",up_Irr!BS23="."),up_dir!AW23*1000)))))))),".")</f>
        <v>6.5773651144152131E-4</v>
      </c>
      <c r="BW23" s="48">
        <f>IFERROR(IF(AND(up_Irr!X23&lt;&gt;".",up_Irr!AV23&lt;&gt;".",up_Irr!BT23&lt;&gt;"."),up_dir!AX23/((1/1000)*(up_Irr!X23+up_Irr!AV23+up_Irr!BT23)),IF(AND(up_Irr!X23&lt;&gt;".",up_Irr!AV23&lt;&gt;".",up_Irr!BT23="."),up_dir!AX23/((1/1000)*(up_Irr!X23+up_Irr!AV23)),IF(AND(up_Irr!X23&lt;&gt;".",up_Irr!AV23=".",up_Irr!BT23&lt;&gt;"."),up_dir!AX23/((1/1000)*(up_Irr!X23+up_Irr!BT23)),IF(AND(up_Irr!X23=".",up_Irr!AV23&lt;&gt;".",up_Irr!BT23&lt;&gt;"."),up_dir!AX23/((1/1000)*(up_Irr!AV23+up_Irr!BT23)),IF(AND(up_Irr!X23=".",up_Irr!AV23=".",up_Irr!BT23&lt;&gt;"."),up_dir!AX23/((1/1000)*(up_Irr!BT23)),IF(AND(up_Irr!X23=".",up_Irr!AV23&lt;&gt;".",up_Irr!BT23="."),up_dir!AX23/((1/1000)*(up_Irr!AV23)),IF(AND(up_Irr!X23&lt;&gt;".",up_Irr!AV23=".",up_Irr!BT23="."),up_dir!AX23/((1/1000)*(up_Irr!X23)),IF(AND(up_Irr!X23=".",up_Irr!AV23=".",up_Irr!BT23="."),up_dir!AX23*1000)))))))),".")</f>
        <v>6.5773651144152131E-4</v>
      </c>
      <c r="BX23" s="48">
        <f>IFERROR(IF(AND(up_Irr!Y23&lt;&gt;".",up_Irr!AW23&lt;&gt;".",up_Irr!BU23&lt;&gt;"."),up_dir!AY23/((1/1000)*(up_Irr!Y23+up_Irr!AW23+up_Irr!BU23)),IF(AND(up_Irr!Y23&lt;&gt;".",up_Irr!AW23&lt;&gt;".",up_Irr!BU23="."),up_dir!AY23/((1/1000)*(up_Irr!Y23+up_Irr!AW23)),IF(AND(up_Irr!Y23&lt;&gt;".",up_Irr!AW23=".",up_Irr!BU23&lt;&gt;"."),up_dir!AY23/((1/1000)*(up_Irr!Y23+up_Irr!BU23)),IF(AND(up_Irr!Y23=".",up_Irr!AW23&lt;&gt;".",up_Irr!BU23&lt;&gt;"."),up_dir!AY23/((1/1000)*(up_Irr!AW23+up_Irr!BU23)),IF(AND(up_Irr!Y23=".",up_Irr!AW23=".",up_Irr!BU23&lt;&gt;"."),up_dir!AY23/((1/1000)*(up_Irr!BU23)),IF(AND(up_Irr!Y23=".",up_Irr!AW23&lt;&gt;".",up_Irr!BU23="."),up_dir!AY23/((1/1000)*(up_Irr!AW23)),IF(AND(up_Irr!Y23&lt;&gt;".",up_Irr!AW23=".",up_Irr!BU23="."),up_dir!AY23/((1/1000)*(up_Irr!Y23)),IF(AND(up_Irr!Y23=".",up_Irr!AW23=".",up_Irr!BU23="."),up_dir!AY23*1000)))))))),".")</f>
        <v>6.5773651144152131E-4</v>
      </c>
      <c r="BY23" s="48">
        <f>IFERROR(IF(AND(up_Irr!Z23&lt;&gt;".",up_Irr!AX23&lt;&gt;".",up_Irr!BV23&lt;&gt;"."),up_dir!AZ23/((1/1000)*(up_Irr!Z23+up_Irr!AX23+up_Irr!BV23)),IF(AND(up_Irr!Z23&lt;&gt;".",up_Irr!AX23&lt;&gt;".",up_Irr!BV23="."),up_dir!AZ23/((1/1000)*(up_Irr!Z23+up_Irr!AX23)),IF(AND(up_Irr!Z23&lt;&gt;".",up_Irr!AX23=".",up_Irr!BV23&lt;&gt;"."),up_dir!AZ23/((1/1000)*(up_Irr!Z23+up_Irr!BV23)),IF(AND(up_Irr!Z23=".",up_Irr!AX23&lt;&gt;".",up_Irr!BV23&lt;&gt;"."),up_dir!AZ23/((1/1000)*(up_Irr!AX23+up_Irr!BV23)),IF(AND(up_Irr!Z23=".",up_Irr!AX23=".",up_Irr!BV23&lt;&gt;"."),up_dir!AZ23/((1/1000)*(up_Irr!BV23)),IF(AND(up_Irr!Z23=".",up_Irr!AX23&lt;&gt;".",up_Irr!BV23="."),up_dir!AZ23/((1/1000)*(up_Irr!AX23)),IF(AND(up_Irr!Z23&lt;&gt;".",up_Irr!AX23=".",up_Irr!BV23="."),up_dir!AZ23/((1/1000)*(up_Irr!Z23)),IF(AND(up_Irr!Z23=".",up_Irr!AX23=".",up_Irr!BV23="."),up_dir!AZ23*1000)))))))),".")</f>
        <v>6.5773651144152131E-4</v>
      </c>
      <c r="BZ23" s="62">
        <f t="shared" si="3"/>
        <v>22805.4847785862</v>
      </c>
      <c r="CA23" s="62">
        <f>IFERROR(s_C*s_IFAP_far_adj*s_CF_apple*(1/1000)*(up_Irr!C23+up_Irr!AA23+up_Irr!AY23),".")</f>
        <v>7601.8282595287337</v>
      </c>
      <c r="CB23" s="62">
        <f>IFERROR(s_C*s_IFAS_far_adj*s_CF_asparagus*(1/1000)*(up_Irr!D23+up_Irr!AB23+up_Irr!AZ23),".")</f>
        <v>7601.8282595287337</v>
      </c>
      <c r="CC23" s="62">
        <f>IFERROR(s_C*s_IFBT_far_adj*s_CF_beet*(1/1000)*(up_Irr!E23+up_Irr!AC23+up_Irr!BA23),".")</f>
        <v>7601.8282595287337</v>
      </c>
      <c r="CD23" s="62">
        <f>IFERROR(s_C*s_IFBE_far_adj*s_CF_berries*(1/1000)*(up_Irr!F23+up_Irr!AD23+up_Irr!BB23),".")</f>
        <v>7601.8282595287337</v>
      </c>
      <c r="CE23" s="62">
        <f>IFERROR(s_C*s_IFBR_far_adj*s_CF_broccoli*(1/1000)*(up_Irr!G23+up_Irr!AE23+up_Irr!BC23),".")</f>
        <v>7601.8282595287337</v>
      </c>
      <c r="CF23" s="62">
        <f>IFERROR(s_C*s_IFCB_far_adj*s_CF_cabbage*(1/1000)*(up_Irr!H23+up_Irr!AF23+up_Irr!BD23),".")</f>
        <v>7601.8282595287337</v>
      </c>
      <c r="CG23" s="62">
        <f>IFERROR(s_C*s_IFCR_far_adj*s_CF_carrot*(1/1000)*(up_Irr!I23+up_Irr!AG23+up_Irr!BE23),".")</f>
        <v>7601.8282595287337</v>
      </c>
      <c r="CH23" s="62">
        <f>IFERROR(s_C*s_IFCI_far_adj*s_CF_citrus*(1/1000)*(up_Irr!J23+up_Irr!AH23+up_Irr!BF23),".")</f>
        <v>7601.8282595287337</v>
      </c>
      <c r="CI23" s="62">
        <f>IFERROR(s_C*s_IFCO_far_adj*s_CF_corn*(1/1000)*(up_Irr!K23+up_Irr!AI23+up_Irr!BG23),".")</f>
        <v>7601.8282595287337</v>
      </c>
      <c r="CJ23" s="62">
        <f>IFERROR(s_C*s_IFCU_far_adj*s_CF_cucumber*(1/1000)*(up_Irr!L23+up_Irr!AJ23+up_Irr!BH23),".")</f>
        <v>7601.8282595287337</v>
      </c>
      <c r="CK23" s="62">
        <f>IFERROR(s_C*s_IFLE_far_adj*s_CF_lettuce*(1/1000)*(up_Irr!M23+up_Irr!AK23+up_Irr!BI23),".")</f>
        <v>7601.8282595287337</v>
      </c>
      <c r="CL23" s="62">
        <f>IFERROR(s_C*s_IFLI_far_adj*s_CF_lima_bean*(1/1000)*(up_Irr!N23+up_Irr!AL23+up_Irr!BJ23),".")</f>
        <v>7601.8282595287337</v>
      </c>
      <c r="CM23" s="62">
        <f>IFERROR(s_C*s_IFOK_far_adj*s_CF_okra*(1/1000)*(up_Irr!O23+up_Irr!AM23+up_Irr!BK23),".")</f>
        <v>7601.8282595287337</v>
      </c>
      <c r="CN23" s="62">
        <f>IFERROR(s_C*s_IFON_far_adj*s_CF_onion*(1/1000)*(up_Irr!P23+up_Irr!AN23+up_Irr!BL23),".")</f>
        <v>7601.8282595287337</v>
      </c>
      <c r="CO23" s="62">
        <f>IFERROR(s_C*s_IFPC_far_adj*s_CF_peach*(1/1000)*(up_Irr!Q23+up_Irr!AO23+up_Irr!BM23),".")</f>
        <v>7601.8282595287337</v>
      </c>
      <c r="CP23" s="62">
        <f>IFERROR(s_C*s_IFPR_far_adj*s_CF_pear*(1/1000)*(up_Irr!R23+up_Irr!AP23+up_Irr!BN23),".")</f>
        <v>7601.8282595287337</v>
      </c>
      <c r="CQ23" s="62">
        <f>IFERROR(s_C*s_IFPE_far_adj*s_CF_peas*(1/1000)*(up_Irr!S23+up_Irr!AQ23+up_Irr!BO23),".")</f>
        <v>7601.8282595287337</v>
      </c>
      <c r="CR23" s="62">
        <f>IFERROR(s_C*s_IFPT_far_adj*s_CF_potato*(1/1000)*(up_Irr!T23+up_Irr!AR23+up_Irr!BP23),".")</f>
        <v>7601.8282595287337</v>
      </c>
      <c r="CS23" s="62">
        <f>IFERROR(s_C*s_IFPU_far_adj*s_CF_pumpkin*(1/1000)*(up_Irr!U23+up_Irr!AS23+up_Irr!BQ23),".")</f>
        <v>7601.8282595287337</v>
      </c>
      <c r="CT23" s="62">
        <f>IFERROR(s_C*s_IFSN_far_adj*s_CF_snap_bean*(1/1000)*(up_Irr!V23+up_Irr!AT23+up_Irr!BR23),".")</f>
        <v>7601.8282595287337</v>
      </c>
      <c r="CU23" s="62">
        <f>IFERROR(s_C*s_IFST_far_adj*s_CF_strawberry*(1/1000)*(up_Irr!W23+up_Irr!AU23+up_Irr!BS23),".")</f>
        <v>7601.8282595287337</v>
      </c>
      <c r="CV23" s="62">
        <f>IFERROR(s_C*s_IFTO_far_adj*s_CF_tomato*(1/1000)*(up_Irr!X23+up_Irr!AV23+up_Irr!BT23),".")</f>
        <v>7601.8282595287337</v>
      </c>
      <c r="CW23" s="62">
        <f>IFERROR(s_C*s_IFRI_far_adj*s_CF_rice*(1/1000)*(up_Irr!Y23+up_Irr!AW23+up_Irr!BU23),".")</f>
        <v>7601.8282595287337</v>
      </c>
      <c r="CX23" s="62">
        <f>IFERROR(s_C*s_IFCG_far_adj*s_CF_cereal*(1/1000)*(up_Irr!Z23+up_Irr!AX23+up_Irr!BV23),".")</f>
        <v>7601.8282595287337</v>
      </c>
    </row>
    <row r="24" spans="1:102" ht="15" customHeight="1" x14ac:dyDescent="0.25">
      <c r="A24" s="61" t="s">
        <v>22</v>
      </c>
      <c r="B24" s="49" t="s">
        <v>1059</v>
      </c>
      <c r="C24" s="48">
        <f t="shared" si="0"/>
        <v>2.1924550381384044E-4</v>
      </c>
      <c r="D24" s="48">
        <f>IFERROR(IF(AND(up_Irr!C24&lt;&gt;".",up_Irr!AA24&lt;&gt;".",up_Irr!AY24&lt;&gt;"."),up_dir!D24/((1/1000)*(up_Irr!C24+up_Irr!AA24+up_Irr!AY24)),IF(AND(up_Irr!C24&lt;&gt;".",up_Irr!AA24&lt;&gt;".",up_Irr!AY24="."),up_dir!D24/((1/1000)*(up_Irr!C24+up_Irr!AA24)),IF(AND(up_Irr!C24&lt;&gt;".",up_Irr!AA24=".",up_Irr!AY24&lt;&gt;"."),up_dir!D24/((1/1000)*(up_Irr!C24+up_Irr!AY24)),IF(AND(up_Irr!C24=".",up_Irr!AA24&lt;&gt;".",up_Irr!AY24&lt;&gt;"."),up_dir!D24/((1/1000)*(up_Irr!AA24+up_Irr!AY24)),IF(AND(up_Irr!C24=".",up_Irr!AA24=".",up_Irr!AY24&lt;&gt;"."),up_dir!D24/((1/1000)*(up_Irr!AY24)),IF(AND(up_Irr!C24=".",up_Irr!AA24&lt;&gt;".",up_Irr!AY24="."),up_dir!D24/((1/1000)*(up_Irr!AA24)),IF(AND(up_Irr!C24&lt;&gt;".",up_Irr!AA24=".",up_Irr!AY24="."),up_dir!D24/((1/1000)*(up_Irr!C24)),IF(AND(up_Irr!C24=".",up_Irr!AA24=".",up_Irr!AY24="."),up_dir!D24*1000)))))))),".")</f>
        <v>6.5773651144152131E-4</v>
      </c>
      <c r="E24" s="48">
        <f>IFERROR(IF(AND(up_Irr!D24&lt;&gt;".",up_Irr!AB24&lt;&gt;".",up_Irr!AZ24&lt;&gt;"."),up_dir!E24/((1/1000)*(up_Irr!D24+up_Irr!AB24+up_Irr!AZ24)),IF(AND(up_Irr!D24&lt;&gt;".",up_Irr!AB24&lt;&gt;".",up_Irr!AZ24="."),up_dir!E24/((1/1000)*(up_Irr!D24+up_Irr!AB24)),IF(AND(up_Irr!D24&lt;&gt;".",up_Irr!AB24=".",up_Irr!AZ24&lt;&gt;"."),up_dir!E24/((1/1000)*(up_Irr!D24+up_Irr!AZ24)),IF(AND(up_Irr!D24=".",up_Irr!AB24&lt;&gt;".",up_Irr!AZ24&lt;&gt;"."),up_dir!E24/((1/1000)*(up_Irr!AB24+up_Irr!AZ24)),IF(AND(up_Irr!D24=".",up_Irr!AB24=".",up_Irr!AZ24&lt;&gt;"."),up_dir!E24/((1/1000)*(up_Irr!AZ24)),IF(AND(up_Irr!D24=".",up_Irr!AB24&lt;&gt;".",up_Irr!AZ24="."),up_dir!E24/((1/1000)*(up_Irr!AB24)),IF(AND(up_Irr!D24&lt;&gt;".",up_Irr!AB24=".",up_Irr!AZ24="."),up_dir!E24/((1/1000)*(up_Irr!D24)),IF(AND(up_Irr!D24=".",up_Irr!AB24=".",up_Irr!AZ24="."),up_dir!E24*1000)))))))),".")</f>
        <v>6.5773651144152131E-4</v>
      </c>
      <c r="F24" s="48">
        <f>IFERROR(IF(AND(up_Irr!E24&lt;&gt;".",up_Irr!AC24&lt;&gt;".",up_Irr!BA24&lt;&gt;"."),up_dir!F24/((1/1000)*(up_Irr!E24+up_Irr!AC24+up_Irr!BA24)),IF(AND(up_Irr!E24&lt;&gt;".",up_Irr!AC24&lt;&gt;".",up_Irr!BA24="."),up_dir!F24/((1/1000)*(up_Irr!E24+up_Irr!AC24)),IF(AND(up_Irr!E24&lt;&gt;".",up_Irr!AC24=".",up_Irr!BA24&lt;&gt;"."),up_dir!F24/((1/1000)*(up_Irr!E24+up_Irr!BA24)),IF(AND(up_Irr!E24=".",up_Irr!AC24&lt;&gt;".",up_Irr!BA24&lt;&gt;"."),up_dir!F24/((1/1000)*(up_Irr!AC24+up_Irr!BA24)),IF(AND(up_Irr!E24=".",up_Irr!AC24=".",up_Irr!BA24&lt;&gt;"."),up_dir!F24/((1/1000)*(up_Irr!BA24)),IF(AND(up_Irr!E24=".",up_Irr!AC24&lt;&gt;".",up_Irr!BA24="."),up_dir!F24/((1/1000)*(up_Irr!AC24)),IF(AND(up_Irr!E24&lt;&gt;".",up_Irr!AC24=".",up_Irr!BA24="."),up_dir!F24/((1/1000)*(up_Irr!E24)),IF(AND(up_Irr!E24=".",up_Irr!AC24=".",up_Irr!BA24="."),up_dir!F24*1000)))))))),".")</f>
        <v>6.5773651144152131E-4</v>
      </c>
      <c r="G24" s="48">
        <f>IFERROR(IF(AND(up_Irr!F24&lt;&gt;".",up_Irr!AD24&lt;&gt;".",up_Irr!BB24&lt;&gt;"."),up_dir!G24/((1/1000)*(up_Irr!F24+up_Irr!AD24+up_Irr!BB24)),IF(AND(up_Irr!F24&lt;&gt;".",up_Irr!AD24&lt;&gt;".",up_Irr!BB24="."),up_dir!G24/((1/1000)*(up_Irr!F24+up_Irr!AD24)),IF(AND(up_Irr!F24&lt;&gt;".",up_Irr!AD24=".",up_Irr!BB24&lt;&gt;"."),up_dir!G24/((1/1000)*(up_Irr!F24+up_Irr!BB24)),IF(AND(up_Irr!F24=".",up_Irr!AD24&lt;&gt;".",up_Irr!BB24&lt;&gt;"."),up_dir!G24/((1/1000)*(up_Irr!AD24+up_Irr!BB24)),IF(AND(up_Irr!F24=".",up_Irr!AD24=".",up_Irr!BB24&lt;&gt;"."),up_dir!G24/((1/1000)*(up_Irr!BB24)),IF(AND(up_Irr!F24=".",up_Irr!AD24&lt;&gt;".",up_Irr!BB24="."),up_dir!G24/((1/1000)*(up_Irr!AD24)),IF(AND(up_Irr!F24&lt;&gt;".",up_Irr!AD24=".",up_Irr!BB24="."),up_dir!G24/((1/1000)*(up_Irr!F24)),IF(AND(up_Irr!F24=".",up_Irr!AD24=".",up_Irr!BB24="."),up_dir!G24*1000)))))))),".")</f>
        <v>6.5773651144152131E-4</v>
      </c>
      <c r="H24" s="48">
        <f>IFERROR(IF(AND(up_Irr!G24&lt;&gt;".",up_Irr!AE24&lt;&gt;".",up_Irr!BC24&lt;&gt;"."),up_dir!H24/((1/1000)*(up_Irr!G24+up_Irr!AE24+up_Irr!BC24)),IF(AND(up_Irr!G24&lt;&gt;".",up_Irr!AE24&lt;&gt;".",up_Irr!BC24="."),up_dir!H24/((1/1000)*(up_Irr!G24+up_Irr!AE24)),IF(AND(up_Irr!G24&lt;&gt;".",up_Irr!AE24=".",up_Irr!BC24&lt;&gt;"."),up_dir!H24/((1/1000)*(up_Irr!G24+up_Irr!BC24)),IF(AND(up_Irr!G24=".",up_Irr!AE24&lt;&gt;".",up_Irr!BC24&lt;&gt;"."),up_dir!H24/((1/1000)*(up_Irr!AE24+up_Irr!BC24)),IF(AND(up_Irr!G24=".",up_Irr!AE24=".",up_Irr!BC24&lt;&gt;"."),up_dir!H24/((1/1000)*(up_Irr!BC24)),IF(AND(up_Irr!G24=".",up_Irr!AE24&lt;&gt;".",up_Irr!BC24="."),up_dir!H24/((1/1000)*(up_Irr!AE24)),IF(AND(up_Irr!G24&lt;&gt;".",up_Irr!AE24=".",up_Irr!BC24="."),up_dir!H24/((1/1000)*(up_Irr!G24)),IF(AND(up_Irr!G24=".",up_Irr!AE24=".",up_Irr!BC24="."),up_dir!H24*1000)))))))),".")</f>
        <v>6.5773651144152131E-4</v>
      </c>
      <c r="I24" s="48">
        <f>IFERROR(IF(AND(up_Irr!H24&lt;&gt;".",up_Irr!AF24&lt;&gt;".",up_Irr!BD24&lt;&gt;"."),up_dir!I24/((1/1000)*(up_Irr!H24+up_Irr!AF24+up_Irr!BD24)),IF(AND(up_Irr!H24&lt;&gt;".",up_Irr!AF24&lt;&gt;".",up_Irr!BD24="."),up_dir!I24/((1/1000)*(up_Irr!H24+up_Irr!AF24)),IF(AND(up_Irr!H24&lt;&gt;".",up_Irr!AF24=".",up_Irr!BD24&lt;&gt;"."),up_dir!I24/((1/1000)*(up_Irr!H24+up_Irr!BD24)),IF(AND(up_Irr!H24=".",up_Irr!AF24&lt;&gt;".",up_Irr!BD24&lt;&gt;"."),up_dir!I24/((1/1000)*(up_Irr!AF24+up_Irr!BD24)),IF(AND(up_Irr!H24=".",up_Irr!AF24=".",up_Irr!BD24&lt;&gt;"."),up_dir!I24/((1/1000)*(up_Irr!BD24)),IF(AND(up_Irr!H24=".",up_Irr!AF24&lt;&gt;".",up_Irr!BD24="."),up_dir!I24/((1/1000)*(up_Irr!AF24)),IF(AND(up_Irr!H24&lt;&gt;".",up_Irr!AF24=".",up_Irr!BD24="."),up_dir!I24/((1/1000)*(up_Irr!H24)),IF(AND(up_Irr!H24=".",up_Irr!AF24=".",up_Irr!BD24="."),up_dir!I24*1000)))))))),".")</f>
        <v>6.5773651144152131E-4</v>
      </c>
      <c r="J24" s="48">
        <f>IFERROR(IF(AND(up_Irr!I24&lt;&gt;".",up_Irr!AG24&lt;&gt;".",up_Irr!BE24&lt;&gt;"."),up_dir!J24/((1/1000)*(up_Irr!I24+up_Irr!AG24+up_Irr!BE24)),IF(AND(up_Irr!I24&lt;&gt;".",up_Irr!AG24&lt;&gt;".",up_Irr!BE24="."),up_dir!J24/((1/1000)*(up_Irr!I24+up_Irr!AG24)),IF(AND(up_Irr!I24&lt;&gt;".",up_Irr!AG24=".",up_Irr!BE24&lt;&gt;"."),up_dir!J24/((1/1000)*(up_Irr!I24+up_Irr!BE24)),IF(AND(up_Irr!I24=".",up_Irr!AG24&lt;&gt;".",up_Irr!BE24&lt;&gt;"."),up_dir!J24/((1/1000)*(up_Irr!AG24+up_Irr!BE24)),IF(AND(up_Irr!I24=".",up_Irr!AG24=".",up_Irr!BE24&lt;&gt;"."),up_dir!J24/((1/1000)*(up_Irr!BE24)),IF(AND(up_Irr!I24=".",up_Irr!AG24&lt;&gt;".",up_Irr!BE24="."),up_dir!J24/((1/1000)*(up_Irr!AG24)),IF(AND(up_Irr!I24&lt;&gt;".",up_Irr!AG24=".",up_Irr!BE24="."),up_dir!J24/((1/1000)*(up_Irr!I24)),IF(AND(up_Irr!I24=".",up_Irr!AG24=".",up_Irr!BE24="."),up_dir!J24*1000)))))))),".")</f>
        <v>6.5773651144152131E-4</v>
      </c>
      <c r="K24" s="48">
        <f>IFERROR(IF(AND(up_Irr!J24&lt;&gt;".",up_Irr!AH24&lt;&gt;".",up_Irr!BF24&lt;&gt;"."),up_dir!K24/((1/1000)*(up_Irr!J24+up_Irr!AH24+up_Irr!BF24)),IF(AND(up_Irr!J24&lt;&gt;".",up_Irr!AH24&lt;&gt;".",up_Irr!BF24="."),up_dir!K24/((1/1000)*(up_Irr!J24+up_Irr!AH24)),IF(AND(up_Irr!J24&lt;&gt;".",up_Irr!AH24=".",up_Irr!BF24&lt;&gt;"."),up_dir!K24/((1/1000)*(up_Irr!J24+up_Irr!BF24)),IF(AND(up_Irr!J24=".",up_Irr!AH24&lt;&gt;".",up_Irr!BF24&lt;&gt;"."),up_dir!K24/((1/1000)*(up_Irr!AH24+up_Irr!BF24)),IF(AND(up_Irr!J24=".",up_Irr!AH24=".",up_Irr!BF24&lt;&gt;"."),up_dir!K24/((1/1000)*(up_Irr!BF24)),IF(AND(up_Irr!J24=".",up_Irr!AH24&lt;&gt;".",up_Irr!BF24="."),up_dir!K24/((1/1000)*(up_Irr!AH24)),IF(AND(up_Irr!J24&lt;&gt;".",up_Irr!AH24=".",up_Irr!BF24="."),up_dir!K24/((1/1000)*(up_Irr!J24)),IF(AND(up_Irr!J24=".",up_Irr!AH24=".",up_Irr!BF24="."),up_dir!K24*1000)))))))),".")</f>
        <v>6.5773651144152131E-4</v>
      </c>
      <c r="L24" s="48">
        <f>IFERROR(IF(AND(up_Irr!K24&lt;&gt;".",up_Irr!AI24&lt;&gt;".",up_Irr!BG24&lt;&gt;"."),up_dir!L24/((1/1000)*(up_Irr!K24+up_Irr!AI24+up_Irr!BG24)),IF(AND(up_Irr!K24&lt;&gt;".",up_Irr!AI24&lt;&gt;".",up_Irr!BG24="."),up_dir!L24/((1/1000)*(up_Irr!K24+up_Irr!AI24)),IF(AND(up_Irr!K24&lt;&gt;".",up_Irr!AI24=".",up_Irr!BG24&lt;&gt;"."),up_dir!L24/((1/1000)*(up_Irr!K24+up_Irr!BG24)),IF(AND(up_Irr!K24=".",up_Irr!AI24&lt;&gt;".",up_Irr!BG24&lt;&gt;"."),up_dir!L24/((1/1000)*(up_Irr!AI24+up_Irr!BG24)),IF(AND(up_Irr!K24=".",up_Irr!AI24=".",up_Irr!BG24&lt;&gt;"."),up_dir!L24/((1/1000)*(up_Irr!BG24)),IF(AND(up_Irr!K24=".",up_Irr!AI24&lt;&gt;".",up_Irr!BG24="."),up_dir!L24/((1/1000)*(up_Irr!AI24)),IF(AND(up_Irr!K24&lt;&gt;".",up_Irr!AI24=".",up_Irr!BG24="."),up_dir!L24/((1/1000)*(up_Irr!K24)),IF(AND(up_Irr!K24=".",up_Irr!AI24=".",up_Irr!BG24="."),up_dir!L24*1000)))))))),".")</f>
        <v>6.5773651144152131E-4</v>
      </c>
      <c r="M24" s="48">
        <f>IFERROR(IF(AND(up_Irr!L24&lt;&gt;".",up_Irr!AJ24&lt;&gt;".",up_Irr!BH24&lt;&gt;"."),up_dir!M24/((1/1000)*(up_Irr!L24+up_Irr!AJ24+up_Irr!BH24)),IF(AND(up_Irr!L24&lt;&gt;".",up_Irr!AJ24&lt;&gt;".",up_Irr!BH24="."),up_dir!M24/((1/1000)*(up_Irr!L24+up_Irr!AJ24)),IF(AND(up_Irr!L24&lt;&gt;".",up_Irr!AJ24=".",up_Irr!BH24&lt;&gt;"."),up_dir!M24/((1/1000)*(up_Irr!L24+up_Irr!BH24)),IF(AND(up_Irr!L24=".",up_Irr!AJ24&lt;&gt;".",up_Irr!BH24&lt;&gt;"."),up_dir!M24/((1/1000)*(up_Irr!AJ24+up_Irr!BH24)),IF(AND(up_Irr!L24=".",up_Irr!AJ24=".",up_Irr!BH24&lt;&gt;"."),up_dir!M24/((1/1000)*(up_Irr!BH24)),IF(AND(up_Irr!L24=".",up_Irr!AJ24&lt;&gt;".",up_Irr!BH24="."),up_dir!M24/((1/1000)*(up_Irr!AJ24)),IF(AND(up_Irr!L24&lt;&gt;".",up_Irr!AJ24=".",up_Irr!BH24="."),up_dir!M24/((1/1000)*(up_Irr!L24)),IF(AND(up_Irr!L24=".",up_Irr!AJ24=".",up_Irr!BH24="."),up_dir!M24*1000)))))))),".")</f>
        <v>6.5773651144152131E-4</v>
      </c>
      <c r="N24" s="48">
        <f>IFERROR(IF(AND(up_Irr!M24&lt;&gt;".",up_Irr!AK24&lt;&gt;".",up_Irr!BI24&lt;&gt;"."),up_dir!N24/((1/1000)*(up_Irr!M24+up_Irr!AK24+up_Irr!BI24)),IF(AND(up_Irr!M24&lt;&gt;".",up_Irr!AK24&lt;&gt;".",up_Irr!BI24="."),up_dir!N24/((1/1000)*(up_Irr!M24+up_Irr!AK24)),IF(AND(up_Irr!M24&lt;&gt;".",up_Irr!AK24=".",up_Irr!BI24&lt;&gt;"."),up_dir!N24/((1/1000)*(up_Irr!M24+up_Irr!BI24)),IF(AND(up_Irr!M24=".",up_Irr!AK24&lt;&gt;".",up_Irr!BI24&lt;&gt;"."),up_dir!N24/((1/1000)*(up_Irr!AK24+up_Irr!BI24)),IF(AND(up_Irr!M24=".",up_Irr!AK24=".",up_Irr!BI24&lt;&gt;"."),up_dir!N24/((1/1000)*(up_Irr!BI24)),IF(AND(up_Irr!M24=".",up_Irr!AK24&lt;&gt;".",up_Irr!BI24="."),up_dir!N24/((1/1000)*(up_Irr!AK24)),IF(AND(up_Irr!M24&lt;&gt;".",up_Irr!AK24=".",up_Irr!BI24="."),up_dir!N24/((1/1000)*(up_Irr!M24)),IF(AND(up_Irr!M24=".",up_Irr!AK24=".",up_Irr!BI24="."),up_dir!N24*1000)))))))),".")</f>
        <v>6.5773651144152131E-4</v>
      </c>
      <c r="O24" s="48">
        <f>IFERROR(IF(AND(up_Irr!N24&lt;&gt;".",up_Irr!AL24&lt;&gt;".",up_Irr!BJ24&lt;&gt;"."),up_dir!O24/((1/1000)*(up_Irr!N24+up_Irr!AL24+up_Irr!BJ24)),IF(AND(up_Irr!N24&lt;&gt;".",up_Irr!AL24&lt;&gt;".",up_Irr!BJ24="."),up_dir!O24/((1/1000)*(up_Irr!N24+up_Irr!AL24)),IF(AND(up_Irr!N24&lt;&gt;".",up_Irr!AL24=".",up_Irr!BJ24&lt;&gt;"."),up_dir!O24/((1/1000)*(up_Irr!N24+up_Irr!BJ24)),IF(AND(up_Irr!N24=".",up_Irr!AL24&lt;&gt;".",up_Irr!BJ24&lt;&gt;"."),up_dir!O24/((1/1000)*(up_Irr!AL24+up_Irr!BJ24)),IF(AND(up_Irr!N24=".",up_Irr!AL24=".",up_Irr!BJ24&lt;&gt;"."),up_dir!O24/((1/1000)*(up_Irr!BJ24)),IF(AND(up_Irr!N24=".",up_Irr!AL24&lt;&gt;".",up_Irr!BJ24="."),up_dir!O24/((1/1000)*(up_Irr!AL24)),IF(AND(up_Irr!N24&lt;&gt;".",up_Irr!AL24=".",up_Irr!BJ24="."),up_dir!O24/((1/1000)*(up_Irr!N24)),IF(AND(up_Irr!N24=".",up_Irr!AL24=".",up_Irr!BJ24="."),up_dir!O24*1000)))))))),".")</f>
        <v>6.5773651144152131E-4</v>
      </c>
      <c r="P24" s="48">
        <f>IFERROR(IF(AND(up_Irr!O24&lt;&gt;".",up_Irr!AM24&lt;&gt;".",up_Irr!BK24&lt;&gt;"."),up_dir!P24/((1/1000)*(up_Irr!O24+up_Irr!AM24+up_Irr!BK24)),IF(AND(up_Irr!O24&lt;&gt;".",up_Irr!AM24&lt;&gt;".",up_Irr!BK24="."),up_dir!P24/((1/1000)*(up_Irr!O24+up_Irr!AM24)),IF(AND(up_Irr!O24&lt;&gt;".",up_Irr!AM24=".",up_Irr!BK24&lt;&gt;"."),up_dir!P24/((1/1000)*(up_Irr!O24+up_Irr!BK24)),IF(AND(up_Irr!O24=".",up_Irr!AM24&lt;&gt;".",up_Irr!BK24&lt;&gt;"."),up_dir!P24/((1/1000)*(up_Irr!AM24+up_Irr!BK24)),IF(AND(up_Irr!O24=".",up_Irr!AM24=".",up_Irr!BK24&lt;&gt;"."),up_dir!P24/((1/1000)*(up_Irr!BK24)),IF(AND(up_Irr!O24=".",up_Irr!AM24&lt;&gt;".",up_Irr!BK24="."),up_dir!P24/((1/1000)*(up_Irr!AM24)),IF(AND(up_Irr!O24&lt;&gt;".",up_Irr!AM24=".",up_Irr!BK24="."),up_dir!P24/((1/1000)*(up_Irr!O24)),IF(AND(up_Irr!O24=".",up_Irr!AM24=".",up_Irr!BK24="."),up_dir!P24*1000)))))))),".")</f>
        <v>6.5773651144152131E-4</v>
      </c>
      <c r="Q24" s="48">
        <f>IFERROR(IF(AND(up_Irr!P24&lt;&gt;".",up_Irr!AN24&lt;&gt;".",up_Irr!BL24&lt;&gt;"."),up_dir!Q24/((1/1000)*(up_Irr!P24+up_Irr!AN24+up_Irr!BL24)),IF(AND(up_Irr!P24&lt;&gt;".",up_Irr!AN24&lt;&gt;".",up_Irr!BL24="."),up_dir!Q24/((1/1000)*(up_Irr!P24+up_Irr!AN24)),IF(AND(up_Irr!P24&lt;&gt;".",up_Irr!AN24=".",up_Irr!BL24&lt;&gt;"."),up_dir!Q24/((1/1000)*(up_Irr!P24+up_Irr!BL24)),IF(AND(up_Irr!P24=".",up_Irr!AN24&lt;&gt;".",up_Irr!BL24&lt;&gt;"."),up_dir!Q24/((1/1000)*(up_Irr!AN24+up_Irr!BL24)),IF(AND(up_Irr!P24=".",up_Irr!AN24=".",up_Irr!BL24&lt;&gt;"."),up_dir!Q24/((1/1000)*(up_Irr!BL24)),IF(AND(up_Irr!P24=".",up_Irr!AN24&lt;&gt;".",up_Irr!BL24="."),up_dir!Q24/((1/1000)*(up_Irr!AN24)),IF(AND(up_Irr!P24&lt;&gt;".",up_Irr!AN24=".",up_Irr!BL24="."),up_dir!Q24/((1/1000)*(up_Irr!P24)),IF(AND(up_Irr!P24=".",up_Irr!AN24=".",up_Irr!BL24="."),up_dir!Q24*1000)))))))),".")</f>
        <v>6.5773651144152131E-4</v>
      </c>
      <c r="R24" s="48">
        <f>IFERROR(IF(AND(up_Irr!Q24&lt;&gt;".",up_Irr!AO24&lt;&gt;".",up_Irr!BM24&lt;&gt;"."),up_dir!R24/((1/1000)*(up_Irr!Q24+up_Irr!AO24+up_Irr!BM24)),IF(AND(up_Irr!Q24&lt;&gt;".",up_Irr!AO24&lt;&gt;".",up_Irr!BM24="."),up_dir!R24/((1/1000)*(up_Irr!Q24+up_Irr!AO24)),IF(AND(up_Irr!Q24&lt;&gt;".",up_Irr!AO24=".",up_Irr!BM24&lt;&gt;"."),up_dir!R24/((1/1000)*(up_Irr!Q24+up_Irr!BM24)),IF(AND(up_Irr!Q24=".",up_Irr!AO24&lt;&gt;".",up_Irr!BM24&lt;&gt;"."),up_dir!R24/((1/1000)*(up_Irr!AO24+up_Irr!BM24)),IF(AND(up_Irr!Q24=".",up_Irr!AO24=".",up_Irr!BM24&lt;&gt;"."),up_dir!R24/((1/1000)*(up_Irr!BM24)),IF(AND(up_Irr!Q24=".",up_Irr!AO24&lt;&gt;".",up_Irr!BM24="."),up_dir!R24/((1/1000)*(up_Irr!AO24)),IF(AND(up_Irr!Q24&lt;&gt;".",up_Irr!AO24=".",up_Irr!BM24="."),up_dir!R24/((1/1000)*(up_Irr!Q24)),IF(AND(up_Irr!Q24=".",up_Irr!AO24=".",up_Irr!BM24="."),up_dir!R24*1000)))))))),".")</f>
        <v>6.5773651144152131E-4</v>
      </c>
      <c r="S24" s="48">
        <f>IFERROR(IF(AND(up_Irr!R24&lt;&gt;".",up_Irr!AP24&lt;&gt;".",up_Irr!BN24&lt;&gt;"."),up_dir!S24/((1/1000)*(up_Irr!R24+up_Irr!AP24+up_Irr!BN24)),IF(AND(up_Irr!R24&lt;&gt;".",up_Irr!AP24&lt;&gt;".",up_Irr!BN24="."),up_dir!S24/((1/1000)*(up_Irr!R24+up_Irr!AP24)),IF(AND(up_Irr!R24&lt;&gt;".",up_Irr!AP24=".",up_Irr!BN24&lt;&gt;"."),up_dir!S24/((1/1000)*(up_Irr!R24+up_Irr!BN24)),IF(AND(up_Irr!R24=".",up_Irr!AP24&lt;&gt;".",up_Irr!BN24&lt;&gt;"."),up_dir!S24/((1/1000)*(up_Irr!AP24+up_Irr!BN24)),IF(AND(up_Irr!R24=".",up_Irr!AP24=".",up_Irr!BN24&lt;&gt;"."),up_dir!S24/((1/1000)*(up_Irr!BN24)),IF(AND(up_Irr!R24=".",up_Irr!AP24&lt;&gt;".",up_Irr!BN24="."),up_dir!S24/((1/1000)*(up_Irr!AP24)),IF(AND(up_Irr!R24&lt;&gt;".",up_Irr!AP24=".",up_Irr!BN24="."),up_dir!S24/((1/1000)*(up_Irr!R24)),IF(AND(up_Irr!R24=".",up_Irr!AP24=".",up_Irr!BN24="."),up_dir!S24*1000)))))))),".")</f>
        <v>6.5773651144152131E-4</v>
      </c>
      <c r="T24" s="48">
        <f>IFERROR(IF(AND(up_Irr!S24&lt;&gt;".",up_Irr!AQ24&lt;&gt;".",up_Irr!BO24&lt;&gt;"."),up_dir!T24/((1/1000)*(up_Irr!S24+up_Irr!AQ24+up_Irr!BO24)),IF(AND(up_Irr!S24&lt;&gt;".",up_Irr!AQ24&lt;&gt;".",up_Irr!BO24="."),up_dir!T24/((1/1000)*(up_Irr!S24+up_Irr!AQ24)),IF(AND(up_Irr!S24&lt;&gt;".",up_Irr!AQ24=".",up_Irr!BO24&lt;&gt;"."),up_dir!T24/((1/1000)*(up_Irr!S24+up_Irr!BO24)),IF(AND(up_Irr!S24=".",up_Irr!AQ24&lt;&gt;".",up_Irr!BO24&lt;&gt;"."),up_dir!T24/((1/1000)*(up_Irr!AQ24+up_Irr!BO24)),IF(AND(up_Irr!S24=".",up_Irr!AQ24=".",up_Irr!BO24&lt;&gt;"."),up_dir!T24/((1/1000)*(up_Irr!BO24)),IF(AND(up_Irr!S24=".",up_Irr!AQ24&lt;&gt;".",up_Irr!BO24="."),up_dir!T24/((1/1000)*(up_Irr!AQ24)),IF(AND(up_Irr!S24&lt;&gt;".",up_Irr!AQ24=".",up_Irr!BO24="."),up_dir!T24/((1/1000)*(up_Irr!S24)),IF(AND(up_Irr!S24=".",up_Irr!AQ24=".",up_Irr!BO24="."),up_dir!T24*1000)))))))),".")</f>
        <v>6.5773651144152131E-4</v>
      </c>
      <c r="U24" s="48">
        <f>IFERROR(IF(AND(up_Irr!T24&lt;&gt;".",up_Irr!AR24&lt;&gt;".",up_Irr!BP24&lt;&gt;"."),up_dir!U24/((1/1000)*(up_Irr!T24+up_Irr!AR24+up_Irr!BP24)),IF(AND(up_Irr!T24&lt;&gt;".",up_Irr!AR24&lt;&gt;".",up_Irr!BP24="."),up_dir!U24/((1/1000)*(up_Irr!T24+up_Irr!AR24)),IF(AND(up_Irr!T24&lt;&gt;".",up_Irr!AR24=".",up_Irr!BP24&lt;&gt;"."),up_dir!U24/((1/1000)*(up_Irr!T24+up_Irr!BP24)),IF(AND(up_Irr!T24=".",up_Irr!AR24&lt;&gt;".",up_Irr!BP24&lt;&gt;"."),up_dir!U24/((1/1000)*(up_Irr!AR24+up_Irr!BP24)),IF(AND(up_Irr!T24=".",up_Irr!AR24=".",up_Irr!BP24&lt;&gt;"."),up_dir!U24/((1/1000)*(up_Irr!BP24)),IF(AND(up_Irr!T24=".",up_Irr!AR24&lt;&gt;".",up_Irr!BP24="."),up_dir!U24/((1/1000)*(up_Irr!AR24)),IF(AND(up_Irr!T24&lt;&gt;".",up_Irr!AR24=".",up_Irr!BP24="."),up_dir!U24/((1/1000)*(up_Irr!T24)),IF(AND(up_Irr!T24=".",up_Irr!AR24=".",up_Irr!BP24="."),up_dir!U24*1000)))))))),".")</f>
        <v>6.5773651144152131E-4</v>
      </c>
      <c r="V24" s="48">
        <f>IFERROR(IF(AND(up_Irr!U24&lt;&gt;".",up_Irr!AS24&lt;&gt;".",up_Irr!BQ24&lt;&gt;"."),up_dir!V24/((1/1000)*(up_Irr!U24+up_Irr!AS24+up_Irr!BQ24)),IF(AND(up_Irr!U24&lt;&gt;".",up_Irr!AS24&lt;&gt;".",up_Irr!BQ24="."),up_dir!V24/((1/1000)*(up_Irr!U24+up_Irr!AS24)),IF(AND(up_Irr!U24&lt;&gt;".",up_Irr!AS24=".",up_Irr!BQ24&lt;&gt;"."),up_dir!V24/((1/1000)*(up_Irr!U24+up_Irr!BQ24)),IF(AND(up_Irr!U24=".",up_Irr!AS24&lt;&gt;".",up_Irr!BQ24&lt;&gt;"."),up_dir!V24/((1/1000)*(up_Irr!AS24+up_Irr!BQ24)),IF(AND(up_Irr!U24=".",up_Irr!AS24=".",up_Irr!BQ24&lt;&gt;"."),up_dir!V24/((1/1000)*(up_Irr!BQ24)),IF(AND(up_Irr!U24=".",up_Irr!AS24&lt;&gt;".",up_Irr!BQ24="."),up_dir!V24/((1/1000)*(up_Irr!AS24)),IF(AND(up_Irr!U24&lt;&gt;".",up_Irr!AS24=".",up_Irr!BQ24="."),up_dir!V24/((1/1000)*(up_Irr!U24)),IF(AND(up_Irr!U24=".",up_Irr!AS24=".",up_Irr!BQ24="."),up_dir!V24*1000)))))))),".")</f>
        <v>6.5773651144152131E-4</v>
      </c>
      <c r="W24" s="48">
        <f>IFERROR(IF(AND(up_Irr!V24&lt;&gt;".",up_Irr!AT24&lt;&gt;".",up_Irr!BR24&lt;&gt;"."),up_dir!W24/((1/1000)*(up_Irr!V24+up_Irr!AT24+up_Irr!BR24)),IF(AND(up_Irr!V24&lt;&gt;".",up_Irr!AT24&lt;&gt;".",up_Irr!BR24="."),up_dir!W24/((1/1000)*(up_Irr!V24+up_Irr!AT24)),IF(AND(up_Irr!V24&lt;&gt;".",up_Irr!AT24=".",up_Irr!BR24&lt;&gt;"."),up_dir!W24/((1/1000)*(up_Irr!V24+up_Irr!BR24)),IF(AND(up_Irr!V24=".",up_Irr!AT24&lt;&gt;".",up_Irr!BR24&lt;&gt;"."),up_dir!W24/((1/1000)*(up_Irr!AT24+up_Irr!BR24)),IF(AND(up_Irr!V24=".",up_Irr!AT24=".",up_Irr!BR24&lt;&gt;"."),up_dir!W24/((1/1000)*(up_Irr!BR24)),IF(AND(up_Irr!V24=".",up_Irr!AT24&lt;&gt;".",up_Irr!BR24="."),up_dir!W24/((1/1000)*(up_Irr!AT24)),IF(AND(up_Irr!V24&lt;&gt;".",up_Irr!AT24=".",up_Irr!BR24="."),up_dir!W24/((1/1000)*(up_Irr!V24)),IF(AND(up_Irr!V24=".",up_Irr!AT24=".",up_Irr!BR24="."),up_dir!W24*1000)))))))),".")</f>
        <v>6.5773651144152131E-4</v>
      </c>
      <c r="X24" s="48">
        <f>IFERROR(IF(AND(up_Irr!W24&lt;&gt;".",up_Irr!AU24&lt;&gt;".",up_Irr!BS24&lt;&gt;"."),up_dir!X24/((1/1000)*(up_Irr!W24+up_Irr!AU24+up_Irr!BS24)),IF(AND(up_Irr!W24&lt;&gt;".",up_Irr!AU24&lt;&gt;".",up_Irr!BS24="."),up_dir!X24/((1/1000)*(up_Irr!W24+up_Irr!AU24)),IF(AND(up_Irr!W24&lt;&gt;".",up_Irr!AU24=".",up_Irr!BS24&lt;&gt;"."),up_dir!X24/((1/1000)*(up_Irr!W24+up_Irr!BS24)),IF(AND(up_Irr!W24=".",up_Irr!AU24&lt;&gt;".",up_Irr!BS24&lt;&gt;"."),up_dir!X24/((1/1000)*(up_Irr!AU24+up_Irr!BS24)),IF(AND(up_Irr!W24=".",up_Irr!AU24=".",up_Irr!BS24&lt;&gt;"."),up_dir!X24/((1/1000)*(up_Irr!BS24)),IF(AND(up_Irr!W24=".",up_Irr!AU24&lt;&gt;".",up_Irr!BS24="."),up_dir!X24/((1/1000)*(up_Irr!AU24)),IF(AND(up_Irr!W24&lt;&gt;".",up_Irr!AU24=".",up_Irr!BS24="."),up_dir!X24/((1/1000)*(up_Irr!W24)),IF(AND(up_Irr!W24=".",up_Irr!AU24=".",up_Irr!BS24="."),up_dir!X24*1000)))))))),".")</f>
        <v>6.5773651144152131E-4</v>
      </c>
      <c r="Y24" s="48">
        <f>IFERROR(IF(AND(up_Irr!X24&lt;&gt;".",up_Irr!AV24&lt;&gt;".",up_Irr!BT24&lt;&gt;"."),up_dir!Y24/((1/1000)*(up_Irr!X24+up_Irr!AV24+up_Irr!BT24)),IF(AND(up_Irr!X24&lt;&gt;".",up_Irr!AV24&lt;&gt;".",up_Irr!BT24="."),up_dir!Y24/((1/1000)*(up_Irr!X24+up_Irr!AV24)),IF(AND(up_Irr!X24&lt;&gt;".",up_Irr!AV24=".",up_Irr!BT24&lt;&gt;"."),up_dir!Y24/((1/1000)*(up_Irr!X24+up_Irr!BT24)),IF(AND(up_Irr!X24=".",up_Irr!AV24&lt;&gt;".",up_Irr!BT24&lt;&gt;"."),up_dir!Y24/((1/1000)*(up_Irr!AV24+up_Irr!BT24)),IF(AND(up_Irr!X24=".",up_Irr!AV24=".",up_Irr!BT24&lt;&gt;"."),up_dir!Y24/((1/1000)*(up_Irr!BT24)),IF(AND(up_Irr!X24=".",up_Irr!AV24&lt;&gt;".",up_Irr!BT24="."),up_dir!Y24/((1/1000)*(up_Irr!AV24)),IF(AND(up_Irr!X24&lt;&gt;".",up_Irr!AV24=".",up_Irr!BT24="."),up_dir!Y24/((1/1000)*(up_Irr!X24)),IF(AND(up_Irr!X24=".",up_Irr!AV24=".",up_Irr!BT24="."),up_dir!Y24*1000)))))))),".")</f>
        <v>6.5773651144152131E-4</v>
      </c>
      <c r="Z24" s="48">
        <f>IFERROR(IF(AND(up_Irr!Y24&lt;&gt;".",up_Irr!AW24&lt;&gt;".",up_Irr!BU24&lt;&gt;"."),up_dir!Z24/((1/1000)*(up_Irr!Y24+up_Irr!AW24+up_Irr!BU24)),IF(AND(up_Irr!Y24&lt;&gt;".",up_Irr!AW24&lt;&gt;".",up_Irr!BU24="."),up_dir!Z24/((1/1000)*(up_Irr!Y24+up_Irr!AW24)),IF(AND(up_Irr!Y24&lt;&gt;".",up_Irr!AW24=".",up_Irr!BU24&lt;&gt;"."),up_dir!Z24/((1/1000)*(up_Irr!Y24+up_Irr!BU24)),IF(AND(up_Irr!Y24=".",up_Irr!AW24&lt;&gt;".",up_Irr!BU24&lt;&gt;"."),up_dir!Z24/((1/1000)*(up_Irr!AW24+up_Irr!BU24)),IF(AND(up_Irr!Y24=".",up_Irr!AW24=".",up_Irr!BU24&lt;&gt;"."),up_dir!Z24/((1/1000)*(up_Irr!BU24)),IF(AND(up_Irr!Y24=".",up_Irr!AW24&lt;&gt;".",up_Irr!BU24="."),up_dir!Z24/((1/1000)*(up_Irr!AW24)),IF(AND(up_Irr!Y24&lt;&gt;".",up_Irr!AW24=".",up_Irr!BU24="."),up_dir!Z24/((1/1000)*(up_Irr!Y24)),IF(AND(up_Irr!Y24=".",up_Irr!AW24=".",up_Irr!BU24="."),up_dir!Z24*1000)))))))),".")</f>
        <v>6.5773651144152131E-4</v>
      </c>
      <c r="AA24" s="48">
        <f>IFERROR(IF(AND(up_Irr!Z24&lt;&gt;".",up_Irr!AX24&lt;&gt;".",up_Irr!BV24&lt;&gt;"."),up_dir!AA24/((1/1000)*(up_Irr!Z24+up_Irr!AX24+up_Irr!BV24)),IF(AND(up_Irr!Z24&lt;&gt;".",up_Irr!AX24&lt;&gt;".",up_Irr!BV24="."),up_dir!AA24/((1/1000)*(up_Irr!Z24+up_Irr!AX24)),IF(AND(up_Irr!Z24&lt;&gt;".",up_Irr!AX24=".",up_Irr!BV24&lt;&gt;"."),up_dir!AA24/((1/1000)*(up_Irr!Z24+up_Irr!BV24)),IF(AND(up_Irr!Z24=".",up_Irr!AX24&lt;&gt;".",up_Irr!BV24&lt;&gt;"."),up_dir!AA24/((1/1000)*(up_Irr!AX24+up_Irr!BV24)),IF(AND(up_Irr!Z24=".",up_Irr!AX24=".",up_Irr!BV24&lt;&gt;"."),up_dir!AA24/((1/1000)*(up_Irr!BV24)),IF(AND(up_Irr!Z24=".",up_Irr!AX24&lt;&gt;".",up_Irr!BV24="."),up_dir!AA24/((1/1000)*(up_Irr!AX24)),IF(AND(up_Irr!Z24&lt;&gt;".",up_Irr!AX24=".",up_Irr!BV24="."),up_dir!AA24/((1/1000)*(up_Irr!Z24)),IF(AND(up_Irr!Z24=".",up_Irr!AX24=".",up_Irr!BV24="."),up_dir!AA24*1000)))))))),".")</f>
        <v>6.5773651144152131E-4</v>
      </c>
      <c r="AB24" s="62">
        <f t="shared" si="1"/>
        <v>22805.4847785862</v>
      </c>
      <c r="AC24" s="62">
        <f>IFERROR(s_C*s_IFAP_res_adj*s_CF_apple*0.001*(up_Irr!C24+up_Irr!AA24+up_Irr!AY24),".")</f>
        <v>7601.8282595287337</v>
      </c>
      <c r="AD24" s="62">
        <f>IFERROR(s_C*s_IFAS_res_adj*s_CF_asparagus*0.001*(up_Irr!D24+up_Irr!AB24+up_Irr!AZ24),".")</f>
        <v>7601.8282595287337</v>
      </c>
      <c r="AE24" s="62">
        <f>IFERROR(s_C*s_IFBT_res_adj*s_CF_beet*0.001*(up_Irr!E24+up_Irr!AC24+up_Irr!BA24),".")</f>
        <v>7601.8282595287337</v>
      </c>
      <c r="AF24" s="62">
        <f>IFERROR(s_C*s_IFBE_res_adj*s_CF_berries*0.001*(up_Irr!F24+up_Irr!AD24+up_Irr!BB24),".")</f>
        <v>7601.8282595287337</v>
      </c>
      <c r="AG24" s="62">
        <f>IFERROR(s_C*s_IFBR_res_adj*s_CF_broccoli*0.001*(up_Irr!G24+up_Irr!AE24+up_Irr!BC24),".")</f>
        <v>7601.8282595287337</v>
      </c>
      <c r="AH24" s="62">
        <f>IFERROR(s_C*s_IFCB_res_adj*s_CF_cabbage*0.001*(up_Irr!H24+up_Irr!AF24+up_Irr!BD24),".")</f>
        <v>7601.8282595287337</v>
      </c>
      <c r="AI24" s="62">
        <f>IFERROR(s_C*s_IFCR_res_adj*s_CF_carrot*0.001*(up_Irr!I24+up_Irr!AG24+up_Irr!BE24),".")</f>
        <v>7601.8282595287337</v>
      </c>
      <c r="AJ24" s="62">
        <f>IFERROR(s_C*s_IFCI_res_adj*s_CF_citrus*0.001*(up_Irr!J24+up_Irr!AH24+up_Irr!BF24),".")</f>
        <v>7601.8282595287337</v>
      </c>
      <c r="AK24" s="62">
        <f>IFERROR(s_C*s_IFCO_res_adj*s_CF_corn*0.001*(up_Irr!K24+up_Irr!AI24+up_Irr!BG24),".")</f>
        <v>7601.8282595287337</v>
      </c>
      <c r="AL24" s="62">
        <f>IFERROR(s_C*s_IFCU_res_adj*s_CF_cucumber*0.001*(up_Irr!L24+up_Irr!AJ24+up_Irr!BH24),".")</f>
        <v>7601.8282595287337</v>
      </c>
      <c r="AM24" s="62">
        <f>IFERROR(s_C*s_IFLE_res_adj*s_CF_lettuce*0.001*(up_Irr!M24+up_Irr!AK24+up_Irr!BI24),".")</f>
        <v>7601.8282595287337</v>
      </c>
      <c r="AN24" s="62">
        <f>IFERROR(s_C*s_IFLI_res_adj*s_CF_lima_bean*0.001*(up_Irr!N24+up_Irr!AL24+up_Irr!BJ24),".")</f>
        <v>7601.8282595287337</v>
      </c>
      <c r="AO24" s="62">
        <f>IFERROR(s_C*s_IFOK_res_adj*s_CF_okra*0.001*(up_Irr!O24+up_Irr!AM24+up_Irr!BK24),".")</f>
        <v>7601.8282595287337</v>
      </c>
      <c r="AP24" s="62">
        <f>IFERROR(s_C*s_IFON_res_adj*s_CF_onion*0.001*(up_Irr!P24+up_Irr!AN24+up_Irr!BL24),".")</f>
        <v>7601.8282595287337</v>
      </c>
      <c r="AQ24" s="62">
        <f>IFERROR(s_C*s_IFPC_res_adj*s_CF_peach*0.001*(up_Irr!Q24+up_Irr!AO24+up_Irr!BM24),".")</f>
        <v>7601.8282595287337</v>
      </c>
      <c r="AR24" s="62">
        <f>IFERROR(s_C*s_IFPR_res_adj*s_CF_pear*0.001*(up_Irr!R24+up_Irr!AP24+up_Irr!BN24),".")</f>
        <v>7601.8282595287337</v>
      </c>
      <c r="AS24" s="62">
        <f>IFERROR(s_C*s_IFPE_res_adj*s_CF_peas*0.001*(up_Irr!S24+up_Irr!AQ24+up_Irr!BO24),".")</f>
        <v>7601.8282595287337</v>
      </c>
      <c r="AT24" s="62">
        <f>IFERROR(s_C*s_IFPT_res_adj*s_CF_potato*0.001*(up_Irr!T24+up_Irr!AR24+up_Irr!BP24),".")</f>
        <v>7601.8282595287337</v>
      </c>
      <c r="AU24" s="62">
        <f>IFERROR(s_C*s_IFPU_res_adj*s_CF_pumpkin*0.001*(up_Irr!U24+up_Irr!AS24+up_Irr!BQ24),".")</f>
        <v>7601.8282595287337</v>
      </c>
      <c r="AV24" s="62">
        <f>IFERROR(s_C*s_IFSN_res_adj*s_CF_snap_bean*0.001*(up_Irr!V24+up_Irr!AT24+up_Irr!BR24),".")</f>
        <v>7601.8282595287337</v>
      </c>
      <c r="AW24" s="62">
        <f>IFERROR(s_C*s_IFST_res_adj*s_CF_strawberry*0.001*(up_Irr!W24+up_Irr!AU24+up_Irr!BS24),".")</f>
        <v>7601.8282595287337</v>
      </c>
      <c r="AX24" s="62">
        <f>IFERROR(s_C*s_IFTO_res_adj*s_CF_tomato*0.001*(up_Irr!X24+up_Irr!AV24+up_Irr!BT24),".")</f>
        <v>7601.8282595287337</v>
      </c>
      <c r="AY24" s="62">
        <f>IFERROR(s_C*s_IFRI_res_adj*s_CF_rice*0.001*(up_Irr!Y24+up_Irr!AW24+up_Irr!BU24),".")</f>
        <v>7601.8282595287337</v>
      </c>
      <c r="AZ24" s="62">
        <f>IFERROR(s_C*s_IFCG_res_adj*s_CF_cereal*0.001*(up_Irr!Z24+up_Irr!AX24+up_Irr!BV24),".")</f>
        <v>7601.8282595287337</v>
      </c>
      <c r="BA24" s="48">
        <f t="shared" si="2"/>
        <v>2.1924550381384044E-4</v>
      </c>
      <c r="BB24" s="48">
        <f>IFERROR(IF(AND(up_Irr!C24&lt;&gt;".",up_Irr!AA24&lt;&gt;".",up_Irr!AY24&lt;&gt;"."),up_dir!AC24/((1/1000)*(up_Irr!C24+up_Irr!AA24+up_Irr!AY24)),IF(AND(up_Irr!C24&lt;&gt;".",up_Irr!AA24&lt;&gt;".",up_Irr!AY24="."),up_dir!AC24/((1/1000)*(up_Irr!C24+up_Irr!AA24)),IF(AND(up_Irr!C24&lt;&gt;".",up_Irr!AA24=".",up_Irr!AY24&lt;&gt;"."),up_dir!AC24/((1/1000)*(up_Irr!C24+up_Irr!AY24)),IF(AND(up_Irr!C24=".",up_Irr!AA24&lt;&gt;".",up_Irr!AY24&lt;&gt;"."),up_dir!AC24/((1/1000)*(up_Irr!AA24+up_Irr!AY24)),IF(AND(up_Irr!C24=".",up_Irr!AA24=".",up_Irr!AY24&lt;&gt;"."),up_dir!AC24/((1/1000)*(up_Irr!AY24)),IF(AND(up_Irr!C24=".",up_Irr!AA24&lt;&gt;".",up_Irr!AY24="."),up_dir!AC24/((1/1000)*(up_Irr!AA24)),IF(AND(up_Irr!C24&lt;&gt;".",up_Irr!AA24=".",up_Irr!AY24="."),up_dir!AC24/((1/1000)*(up_Irr!C24)),IF(AND(up_Irr!C24=".",up_Irr!AA24=".",up_Irr!AY24="."),up_dir!AC24*1000)))))))),".")</f>
        <v>6.5773651144152131E-4</v>
      </c>
      <c r="BC24" s="48">
        <f>IFERROR(IF(AND(up_Irr!D24&lt;&gt;".",up_Irr!AB24&lt;&gt;".",up_Irr!AZ24&lt;&gt;"."),up_dir!AD24/((1/1000)*(up_Irr!D24+up_Irr!AB24+up_Irr!AZ24)),IF(AND(up_Irr!D24&lt;&gt;".",up_Irr!AB24&lt;&gt;".",up_Irr!AZ24="."),up_dir!AD24/((1/1000)*(up_Irr!D24+up_Irr!AB24)),IF(AND(up_Irr!D24&lt;&gt;".",up_Irr!AB24=".",up_Irr!AZ24&lt;&gt;"."),up_dir!AD24/((1/1000)*(up_Irr!D24+up_Irr!AZ24)),IF(AND(up_Irr!D24=".",up_Irr!AB24&lt;&gt;".",up_Irr!AZ24&lt;&gt;"."),up_dir!AD24/((1/1000)*(up_Irr!AB24+up_Irr!AZ24)),IF(AND(up_Irr!D24=".",up_Irr!AB24=".",up_Irr!AZ24&lt;&gt;"."),up_dir!AD24/((1/1000)*(up_Irr!AZ24)),IF(AND(up_Irr!D24=".",up_Irr!AB24&lt;&gt;".",up_Irr!AZ24="."),up_dir!AD24/((1/1000)*(up_Irr!AB24)),IF(AND(up_Irr!D24&lt;&gt;".",up_Irr!AB24=".",up_Irr!AZ24="."),up_dir!AD24/((1/1000)*(up_Irr!D24)),IF(AND(up_Irr!D24=".",up_Irr!AB24=".",up_Irr!AZ24="."),up_dir!AD24*1000)))))))),".")</f>
        <v>6.5773651144152131E-4</v>
      </c>
      <c r="BD24" s="48">
        <f>IFERROR(IF(AND(up_Irr!E24&lt;&gt;".",up_Irr!AC24&lt;&gt;".",up_Irr!BA24&lt;&gt;"."),up_dir!AE24/((1/1000)*(up_Irr!E24+up_Irr!AC24+up_Irr!BA24)),IF(AND(up_Irr!E24&lt;&gt;".",up_Irr!AC24&lt;&gt;".",up_Irr!BA24="."),up_dir!AE24/((1/1000)*(up_Irr!E24+up_Irr!AC24)),IF(AND(up_Irr!E24&lt;&gt;".",up_Irr!AC24=".",up_Irr!BA24&lt;&gt;"."),up_dir!AE24/((1/1000)*(up_Irr!E24+up_Irr!BA24)),IF(AND(up_Irr!E24=".",up_Irr!AC24&lt;&gt;".",up_Irr!BA24&lt;&gt;"."),up_dir!AE24/((1/1000)*(up_Irr!AC24+up_Irr!BA24)),IF(AND(up_Irr!E24=".",up_Irr!AC24=".",up_Irr!BA24&lt;&gt;"."),up_dir!AE24/((1/1000)*(up_Irr!BA24)),IF(AND(up_Irr!E24=".",up_Irr!AC24&lt;&gt;".",up_Irr!BA24="."),up_dir!AE24/((1/1000)*(up_Irr!AC24)),IF(AND(up_Irr!E24&lt;&gt;".",up_Irr!AC24=".",up_Irr!BA24="."),up_dir!AE24/((1/1000)*(up_Irr!E24)),IF(AND(up_Irr!E24=".",up_Irr!AC24=".",up_Irr!BA24="."),up_dir!AE24*1000)))))))),".")</f>
        <v>6.5773651144152131E-4</v>
      </c>
      <c r="BE24" s="48">
        <f>IFERROR(IF(AND(up_Irr!F24&lt;&gt;".",up_Irr!AD24&lt;&gt;".",up_Irr!BB24&lt;&gt;"."),up_dir!AF24/((1/1000)*(up_Irr!F24+up_Irr!AD24+up_Irr!BB24)),IF(AND(up_Irr!F24&lt;&gt;".",up_Irr!AD24&lt;&gt;".",up_Irr!BB24="."),up_dir!AF24/((1/1000)*(up_Irr!F24+up_Irr!AD24)),IF(AND(up_Irr!F24&lt;&gt;".",up_Irr!AD24=".",up_Irr!BB24&lt;&gt;"."),up_dir!AF24/((1/1000)*(up_Irr!F24+up_Irr!BB24)),IF(AND(up_Irr!F24=".",up_Irr!AD24&lt;&gt;".",up_Irr!BB24&lt;&gt;"."),up_dir!AF24/((1/1000)*(up_Irr!AD24+up_Irr!BB24)),IF(AND(up_Irr!F24=".",up_Irr!AD24=".",up_Irr!BB24&lt;&gt;"."),up_dir!AF24/((1/1000)*(up_Irr!BB24)),IF(AND(up_Irr!F24=".",up_Irr!AD24&lt;&gt;".",up_Irr!BB24="."),up_dir!AF24/((1/1000)*(up_Irr!AD24)),IF(AND(up_Irr!F24&lt;&gt;".",up_Irr!AD24=".",up_Irr!BB24="."),up_dir!AF24/((1/1000)*(up_Irr!F24)),IF(AND(up_Irr!F24=".",up_Irr!AD24=".",up_Irr!BB24="."),up_dir!AF24*1000)))))))),".")</f>
        <v>6.5773651144152131E-4</v>
      </c>
      <c r="BF24" s="48">
        <f>IFERROR(IF(AND(up_Irr!G24&lt;&gt;".",up_Irr!AE24&lt;&gt;".",up_Irr!BC24&lt;&gt;"."),up_dir!AG24/((1/1000)*(up_Irr!G24+up_Irr!AE24+up_Irr!BC24)),IF(AND(up_Irr!G24&lt;&gt;".",up_Irr!AE24&lt;&gt;".",up_Irr!BC24="."),up_dir!AG24/((1/1000)*(up_Irr!G24+up_Irr!AE24)),IF(AND(up_Irr!G24&lt;&gt;".",up_Irr!AE24=".",up_Irr!BC24&lt;&gt;"."),up_dir!AG24/((1/1000)*(up_Irr!G24+up_Irr!BC24)),IF(AND(up_Irr!G24=".",up_Irr!AE24&lt;&gt;".",up_Irr!BC24&lt;&gt;"."),up_dir!AG24/((1/1000)*(up_Irr!AE24+up_Irr!BC24)),IF(AND(up_Irr!G24=".",up_Irr!AE24=".",up_Irr!BC24&lt;&gt;"."),up_dir!AG24/((1/1000)*(up_Irr!BC24)),IF(AND(up_Irr!G24=".",up_Irr!AE24&lt;&gt;".",up_Irr!BC24="."),up_dir!AG24/((1/1000)*(up_Irr!AE24)),IF(AND(up_Irr!G24&lt;&gt;".",up_Irr!AE24=".",up_Irr!BC24="."),up_dir!AG24/((1/1000)*(up_Irr!G24)),IF(AND(up_Irr!G24=".",up_Irr!AE24=".",up_Irr!BC24="."),up_dir!AG24*1000)))))))),".")</f>
        <v>6.5773651144152131E-4</v>
      </c>
      <c r="BG24" s="48">
        <f>IFERROR(IF(AND(up_Irr!H24&lt;&gt;".",up_Irr!AF24&lt;&gt;".",up_Irr!BD24&lt;&gt;"."),up_dir!AH24/((1/1000)*(up_Irr!H24+up_Irr!AF24+up_Irr!BD24)),IF(AND(up_Irr!H24&lt;&gt;".",up_Irr!AF24&lt;&gt;".",up_Irr!BD24="."),up_dir!AH24/((1/1000)*(up_Irr!H24+up_Irr!AF24)),IF(AND(up_Irr!H24&lt;&gt;".",up_Irr!AF24=".",up_Irr!BD24&lt;&gt;"."),up_dir!AH24/((1/1000)*(up_Irr!H24+up_Irr!BD24)),IF(AND(up_Irr!H24=".",up_Irr!AF24&lt;&gt;".",up_Irr!BD24&lt;&gt;"."),up_dir!AH24/((1/1000)*(up_Irr!AF24+up_Irr!BD24)),IF(AND(up_Irr!H24=".",up_Irr!AF24=".",up_Irr!BD24&lt;&gt;"."),up_dir!AH24/((1/1000)*(up_Irr!BD24)),IF(AND(up_Irr!H24=".",up_Irr!AF24&lt;&gt;".",up_Irr!BD24="."),up_dir!AH24/((1/1000)*(up_Irr!AF24)),IF(AND(up_Irr!H24&lt;&gt;".",up_Irr!AF24=".",up_Irr!BD24="."),up_dir!AH24/((1/1000)*(up_Irr!H24)),IF(AND(up_Irr!H24=".",up_Irr!AF24=".",up_Irr!BD24="."),up_dir!AH24*1000)))))))),".")</f>
        <v>6.5773651144152131E-4</v>
      </c>
      <c r="BH24" s="48">
        <f>IFERROR(IF(AND(up_Irr!I24&lt;&gt;".",up_Irr!AG24&lt;&gt;".",up_Irr!BE24&lt;&gt;"."),up_dir!AI24/((1/1000)*(up_Irr!I24+up_Irr!AG24+up_Irr!BE24)),IF(AND(up_Irr!I24&lt;&gt;".",up_Irr!AG24&lt;&gt;".",up_Irr!BE24="."),up_dir!AI24/((1/1000)*(up_Irr!I24+up_Irr!AG24)),IF(AND(up_Irr!I24&lt;&gt;".",up_Irr!AG24=".",up_Irr!BE24&lt;&gt;"."),up_dir!AI24/((1/1000)*(up_Irr!I24+up_Irr!BE24)),IF(AND(up_Irr!I24=".",up_Irr!AG24&lt;&gt;".",up_Irr!BE24&lt;&gt;"."),up_dir!AI24/((1/1000)*(up_Irr!AG24+up_Irr!BE24)),IF(AND(up_Irr!I24=".",up_Irr!AG24=".",up_Irr!BE24&lt;&gt;"."),up_dir!AI24/((1/1000)*(up_Irr!BE24)),IF(AND(up_Irr!I24=".",up_Irr!AG24&lt;&gt;".",up_Irr!BE24="."),up_dir!AI24/((1/1000)*(up_Irr!AG24)),IF(AND(up_Irr!I24&lt;&gt;".",up_Irr!AG24=".",up_Irr!BE24="."),up_dir!AI24/((1/1000)*(up_Irr!I24)),IF(AND(up_Irr!I24=".",up_Irr!AG24=".",up_Irr!BE24="."),up_dir!AI24*1000)))))))),".")</f>
        <v>6.5773651144152131E-4</v>
      </c>
      <c r="BI24" s="48">
        <f>IFERROR(IF(AND(up_Irr!J24&lt;&gt;".",up_Irr!AH24&lt;&gt;".",up_Irr!BF24&lt;&gt;"."),up_dir!AJ24/((1/1000)*(up_Irr!J24+up_Irr!AH24+up_Irr!BF24)),IF(AND(up_Irr!J24&lt;&gt;".",up_Irr!AH24&lt;&gt;".",up_Irr!BF24="."),up_dir!AJ24/((1/1000)*(up_Irr!J24+up_Irr!AH24)),IF(AND(up_Irr!J24&lt;&gt;".",up_Irr!AH24=".",up_Irr!BF24&lt;&gt;"."),up_dir!AJ24/((1/1000)*(up_Irr!J24+up_Irr!BF24)),IF(AND(up_Irr!J24=".",up_Irr!AH24&lt;&gt;".",up_Irr!BF24&lt;&gt;"."),up_dir!AJ24/((1/1000)*(up_Irr!AH24+up_Irr!BF24)),IF(AND(up_Irr!J24=".",up_Irr!AH24=".",up_Irr!BF24&lt;&gt;"."),up_dir!AJ24/((1/1000)*(up_Irr!BF24)),IF(AND(up_Irr!J24=".",up_Irr!AH24&lt;&gt;".",up_Irr!BF24="."),up_dir!AJ24/((1/1000)*(up_Irr!AH24)),IF(AND(up_Irr!J24&lt;&gt;".",up_Irr!AH24=".",up_Irr!BF24="."),up_dir!AJ24/((1/1000)*(up_Irr!J24)),IF(AND(up_Irr!J24=".",up_Irr!AH24=".",up_Irr!BF24="."),up_dir!AJ24*1000)))))))),".")</f>
        <v>6.5773651144152131E-4</v>
      </c>
      <c r="BJ24" s="48">
        <f>IFERROR(IF(AND(up_Irr!K24&lt;&gt;".",up_Irr!AI24&lt;&gt;".",up_Irr!BG24&lt;&gt;"."),up_dir!AK24/((1/1000)*(up_Irr!K24+up_Irr!AI24+up_Irr!BG24)),IF(AND(up_Irr!K24&lt;&gt;".",up_Irr!AI24&lt;&gt;".",up_Irr!BG24="."),up_dir!AK24/((1/1000)*(up_Irr!K24+up_Irr!AI24)),IF(AND(up_Irr!K24&lt;&gt;".",up_Irr!AI24=".",up_Irr!BG24&lt;&gt;"."),up_dir!AK24/((1/1000)*(up_Irr!K24+up_Irr!BG24)),IF(AND(up_Irr!K24=".",up_Irr!AI24&lt;&gt;".",up_Irr!BG24&lt;&gt;"."),up_dir!AK24/((1/1000)*(up_Irr!AI24+up_Irr!BG24)),IF(AND(up_Irr!K24=".",up_Irr!AI24=".",up_Irr!BG24&lt;&gt;"."),up_dir!AK24/((1/1000)*(up_Irr!BG24)),IF(AND(up_Irr!K24=".",up_Irr!AI24&lt;&gt;".",up_Irr!BG24="."),up_dir!AK24/((1/1000)*(up_Irr!AI24)),IF(AND(up_Irr!K24&lt;&gt;".",up_Irr!AI24=".",up_Irr!BG24="."),up_dir!AK24/((1/1000)*(up_Irr!K24)),IF(AND(up_Irr!K24=".",up_Irr!AI24=".",up_Irr!BG24="."),up_dir!AK24*1000)))))))),".")</f>
        <v>6.5773651144152131E-4</v>
      </c>
      <c r="BK24" s="48">
        <f>IFERROR(IF(AND(up_Irr!L24&lt;&gt;".",up_Irr!AJ24&lt;&gt;".",up_Irr!BH24&lt;&gt;"."),up_dir!AL24/((1/1000)*(up_Irr!L24+up_Irr!AJ24+up_Irr!BH24)),IF(AND(up_Irr!L24&lt;&gt;".",up_Irr!AJ24&lt;&gt;".",up_Irr!BH24="."),up_dir!AL24/((1/1000)*(up_Irr!L24+up_Irr!AJ24)),IF(AND(up_Irr!L24&lt;&gt;".",up_Irr!AJ24=".",up_Irr!BH24&lt;&gt;"."),up_dir!AL24/((1/1000)*(up_Irr!L24+up_Irr!BH24)),IF(AND(up_Irr!L24=".",up_Irr!AJ24&lt;&gt;".",up_Irr!BH24&lt;&gt;"."),up_dir!AL24/((1/1000)*(up_Irr!AJ24+up_Irr!BH24)),IF(AND(up_Irr!L24=".",up_Irr!AJ24=".",up_Irr!BH24&lt;&gt;"."),up_dir!AL24/((1/1000)*(up_Irr!BH24)),IF(AND(up_Irr!L24=".",up_Irr!AJ24&lt;&gt;".",up_Irr!BH24="."),up_dir!AL24/((1/1000)*(up_Irr!AJ24)),IF(AND(up_Irr!L24&lt;&gt;".",up_Irr!AJ24=".",up_Irr!BH24="."),up_dir!AL24/((1/1000)*(up_Irr!L24)),IF(AND(up_Irr!L24=".",up_Irr!AJ24=".",up_Irr!BH24="."),up_dir!AL24*1000)))))))),".")</f>
        <v>6.5773651144152131E-4</v>
      </c>
      <c r="BL24" s="48">
        <f>IFERROR(IF(AND(up_Irr!M24&lt;&gt;".",up_Irr!AK24&lt;&gt;".",up_Irr!BI24&lt;&gt;"."),up_dir!AM24/((1/1000)*(up_Irr!M24+up_Irr!AK24+up_Irr!BI24)),IF(AND(up_Irr!M24&lt;&gt;".",up_Irr!AK24&lt;&gt;".",up_Irr!BI24="."),up_dir!AM24/((1/1000)*(up_Irr!M24+up_Irr!AK24)),IF(AND(up_Irr!M24&lt;&gt;".",up_Irr!AK24=".",up_Irr!BI24&lt;&gt;"."),up_dir!AM24/((1/1000)*(up_Irr!M24+up_Irr!BI24)),IF(AND(up_Irr!M24=".",up_Irr!AK24&lt;&gt;".",up_Irr!BI24&lt;&gt;"."),up_dir!AM24/((1/1000)*(up_Irr!AK24+up_Irr!BI24)),IF(AND(up_Irr!M24=".",up_Irr!AK24=".",up_Irr!BI24&lt;&gt;"."),up_dir!AM24/((1/1000)*(up_Irr!BI24)),IF(AND(up_Irr!M24=".",up_Irr!AK24&lt;&gt;".",up_Irr!BI24="."),up_dir!AM24/((1/1000)*(up_Irr!AK24)),IF(AND(up_Irr!M24&lt;&gt;".",up_Irr!AK24=".",up_Irr!BI24="."),up_dir!AM24/((1/1000)*(up_Irr!M24)),IF(AND(up_Irr!M24=".",up_Irr!AK24=".",up_Irr!BI24="."),up_dir!AM24*1000)))))))),".")</f>
        <v>6.5773651144152131E-4</v>
      </c>
      <c r="BM24" s="48">
        <f>IFERROR(IF(AND(up_Irr!N24&lt;&gt;".",up_Irr!AL24&lt;&gt;".",up_Irr!BJ24&lt;&gt;"."),up_dir!AN24/((1/1000)*(up_Irr!N24+up_Irr!AL24+up_Irr!BJ24)),IF(AND(up_Irr!N24&lt;&gt;".",up_Irr!AL24&lt;&gt;".",up_Irr!BJ24="."),up_dir!AN24/((1/1000)*(up_Irr!N24+up_Irr!AL24)),IF(AND(up_Irr!N24&lt;&gt;".",up_Irr!AL24=".",up_Irr!BJ24&lt;&gt;"."),up_dir!AN24/((1/1000)*(up_Irr!N24+up_Irr!BJ24)),IF(AND(up_Irr!N24=".",up_Irr!AL24&lt;&gt;".",up_Irr!BJ24&lt;&gt;"."),up_dir!AN24/((1/1000)*(up_Irr!AL24+up_Irr!BJ24)),IF(AND(up_Irr!N24=".",up_Irr!AL24=".",up_Irr!BJ24&lt;&gt;"."),up_dir!AN24/((1/1000)*(up_Irr!BJ24)),IF(AND(up_Irr!N24=".",up_Irr!AL24&lt;&gt;".",up_Irr!BJ24="."),up_dir!AN24/((1/1000)*(up_Irr!AL24)),IF(AND(up_Irr!N24&lt;&gt;".",up_Irr!AL24=".",up_Irr!BJ24="."),up_dir!AN24/((1/1000)*(up_Irr!N24)),IF(AND(up_Irr!N24=".",up_Irr!AL24=".",up_Irr!BJ24="."),up_dir!AN24*1000)))))))),".")</f>
        <v>6.5773651144152131E-4</v>
      </c>
      <c r="BN24" s="48">
        <f>IFERROR(IF(AND(up_Irr!O24&lt;&gt;".",up_Irr!AM24&lt;&gt;".",up_Irr!BK24&lt;&gt;"."),up_dir!AO24/((1/1000)*(up_Irr!O24+up_Irr!AM24+up_Irr!BK24)),IF(AND(up_Irr!O24&lt;&gt;".",up_Irr!AM24&lt;&gt;".",up_Irr!BK24="."),up_dir!AO24/((1/1000)*(up_Irr!O24+up_Irr!AM24)),IF(AND(up_Irr!O24&lt;&gt;".",up_Irr!AM24=".",up_Irr!BK24&lt;&gt;"."),up_dir!AO24/((1/1000)*(up_Irr!O24+up_Irr!BK24)),IF(AND(up_Irr!O24=".",up_Irr!AM24&lt;&gt;".",up_Irr!BK24&lt;&gt;"."),up_dir!AO24/((1/1000)*(up_Irr!AM24+up_Irr!BK24)),IF(AND(up_Irr!O24=".",up_Irr!AM24=".",up_Irr!BK24&lt;&gt;"."),up_dir!AO24/((1/1000)*(up_Irr!BK24)),IF(AND(up_Irr!O24=".",up_Irr!AM24&lt;&gt;".",up_Irr!BK24="."),up_dir!AO24/((1/1000)*(up_Irr!AM24)),IF(AND(up_Irr!O24&lt;&gt;".",up_Irr!AM24=".",up_Irr!BK24="."),up_dir!AO24/((1/1000)*(up_Irr!O24)),IF(AND(up_Irr!O24=".",up_Irr!AM24=".",up_Irr!BK24="."),up_dir!AO24*1000)))))))),".")</f>
        <v>6.5773651144152131E-4</v>
      </c>
      <c r="BO24" s="48">
        <f>IFERROR(IF(AND(up_Irr!P24&lt;&gt;".",up_Irr!AN24&lt;&gt;".",up_Irr!BL24&lt;&gt;"."),up_dir!AP24/((1/1000)*(up_Irr!P24+up_Irr!AN24+up_Irr!BL24)),IF(AND(up_Irr!P24&lt;&gt;".",up_Irr!AN24&lt;&gt;".",up_Irr!BL24="."),up_dir!AP24/((1/1000)*(up_Irr!P24+up_Irr!AN24)),IF(AND(up_Irr!P24&lt;&gt;".",up_Irr!AN24=".",up_Irr!BL24&lt;&gt;"."),up_dir!AP24/((1/1000)*(up_Irr!P24+up_Irr!BL24)),IF(AND(up_Irr!P24=".",up_Irr!AN24&lt;&gt;".",up_Irr!BL24&lt;&gt;"."),up_dir!AP24/((1/1000)*(up_Irr!AN24+up_Irr!BL24)),IF(AND(up_Irr!P24=".",up_Irr!AN24=".",up_Irr!BL24&lt;&gt;"."),up_dir!AP24/((1/1000)*(up_Irr!BL24)),IF(AND(up_Irr!P24=".",up_Irr!AN24&lt;&gt;".",up_Irr!BL24="."),up_dir!AP24/((1/1000)*(up_Irr!AN24)),IF(AND(up_Irr!P24&lt;&gt;".",up_Irr!AN24=".",up_Irr!BL24="."),up_dir!AP24/((1/1000)*(up_Irr!P24)),IF(AND(up_Irr!P24=".",up_Irr!AN24=".",up_Irr!BL24="."),up_dir!AP24*1000)))))))),".")</f>
        <v>6.5773651144152131E-4</v>
      </c>
      <c r="BP24" s="48">
        <f>IFERROR(IF(AND(up_Irr!Q24&lt;&gt;".",up_Irr!AO24&lt;&gt;".",up_Irr!BM24&lt;&gt;"."),up_dir!AQ24/((1/1000)*(up_Irr!Q24+up_Irr!AO24+up_Irr!BM24)),IF(AND(up_Irr!Q24&lt;&gt;".",up_Irr!AO24&lt;&gt;".",up_Irr!BM24="."),up_dir!AQ24/((1/1000)*(up_Irr!Q24+up_Irr!AO24)),IF(AND(up_Irr!Q24&lt;&gt;".",up_Irr!AO24=".",up_Irr!BM24&lt;&gt;"."),up_dir!AQ24/((1/1000)*(up_Irr!Q24+up_Irr!BM24)),IF(AND(up_Irr!Q24=".",up_Irr!AO24&lt;&gt;".",up_Irr!BM24&lt;&gt;"."),up_dir!AQ24/((1/1000)*(up_Irr!AO24+up_Irr!BM24)),IF(AND(up_Irr!Q24=".",up_Irr!AO24=".",up_Irr!BM24&lt;&gt;"."),up_dir!AQ24/((1/1000)*(up_Irr!BM24)),IF(AND(up_Irr!Q24=".",up_Irr!AO24&lt;&gt;".",up_Irr!BM24="."),up_dir!AQ24/((1/1000)*(up_Irr!AO24)),IF(AND(up_Irr!Q24&lt;&gt;".",up_Irr!AO24=".",up_Irr!BM24="."),up_dir!AQ24/((1/1000)*(up_Irr!Q24)),IF(AND(up_Irr!Q24=".",up_Irr!AO24=".",up_Irr!BM24="."),up_dir!AQ24*1000)))))))),".")</f>
        <v>6.5773651144152131E-4</v>
      </c>
      <c r="BQ24" s="48">
        <f>IFERROR(IF(AND(up_Irr!R24&lt;&gt;".",up_Irr!AP24&lt;&gt;".",up_Irr!BN24&lt;&gt;"."),up_dir!AR24/((1/1000)*(up_Irr!R24+up_Irr!AP24+up_Irr!BN24)),IF(AND(up_Irr!R24&lt;&gt;".",up_Irr!AP24&lt;&gt;".",up_Irr!BN24="."),up_dir!AR24/((1/1000)*(up_Irr!R24+up_Irr!AP24)),IF(AND(up_Irr!R24&lt;&gt;".",up_Irr!AP24=".",up_Irr!BN24&lt;&gt;"."),up_dir!AR24/((1/1000)*(up_Irr!R24+up_Irr!BN24)),IF(AND(up_Irr!R24=".",up_Irr!AP24&lt;&gt;".",up_Irr!BN24&lt;&gt;"."),up_dir!AR24/((1/1000)*(up_Irr!AP24+up_Irr!BN24)),IF(AND(up_Irr!R24=".",up_Irr!AP24=".",up_Irr!BN24&lt;&gt;"."),up_dir!AR24/((1/1000)*(up_Irr!BN24)),IF(AND(up_Irr!R24=".",up_Irr!AP24&lt;&gt;".",up_Irr!BN24="."),up_dir!AR24/((1/1000)*(up_Irr!AP24)),IF(AND(up_Irr!R24&lt;&gt;".",up_Irr!AP24=".",up_Irr!BN24="."),up_dir!AR24/((1/1000)*(up_Irr!R24)),IF(AND(up_Irr!R24=".",up_Irr!AP24=".",up_Irr!BN24="."),up_dir!AR24*1000)))))))),".")</f>
        <v>6.5773651144152131E-4</v>
      </c>
      <c r="BR24" s="48">
        <f>IFERROR(IF(AND(up_Irr!S24&lt;&gt;".",up_Irr!AQ24&lt;&gt;".",up_Irr!BO24&lt;&gt;"."),up_dir!AS24/((1/1000)*(up_Irr!S24+up_Irr!AQ24+up_Irr!BO24)),IF(AND(up_Irr!S24&lt;&gt;".",up_Irr!AQ24&lt;&gt;".",up_Irr!BO24="."),up_dir!AS24/((1/1000)*(up_Irr!S24+up_Irr!AQ24)),IF(AND(up_Irr!S24&lt;&gt;".",up_Irr!AQ24=".",up_Irr!BO24&lt;&gt;"."),up_dir!AS24/((1/1000)*(up_Irr!S24+up_Irr!BO24)),IF(AND(up_Irr!S24=".",up_Irr!AQ24&lt;&gt;".",up_Irr!BO24&lt;&gt;"."),up_dir!AS24/((1/1000)*(up_Irr!AQ24+up_Irr!BO24)),IF(AND(up_Irr!S24=".",up_Irr!AQ24=".",up_Irr!BO24&lt;&gt;"."),up_dir!AS24/((1/1000)*(up_Irr!BO24)),IF(AND(up_Irr!S24=".",up_Irr!AQ24&lt;&gt;".",up_Irr!BO24="."),up_dir!AS24/((1/1000)*(up_Irr!AQ24)),IF(AND(up_Irr!S24&lt;&gt;".",up_Irr!AQ24=".",up_Irr!BO24="."),up_dir!AS24/((1/1000)*(up_Irr!S24)),IF(AND(up_Irr!S24=".",up_Irr!AQ24=".",up_Irr!BO24="."),up_dir!AS24*1000)))))))),".")</f>
        <v>6.5773651144152131E-4</v>
      </c>
      <c r="BS24" s="48">
        <f>IFERROR(IF(AND(up_Irr!T24&lt;&gt;".",up_Irr!AR24&lt;&gt;".",up_Irr!BP24&lt;&gt;"."),up_dir!AT24/((1/1000)*(up_Irr!T24+up_Irr!AR24+up_Irr!BP24)),IF(AND(up_Irr!T24&lt;&gt;".",up_Irr!AR24&lt;&gt;".",up_Irr!BP24="."),up_dir!AT24/((1/1000)*(up_Irr!T24+up_Irr!AR24)),IF(AND(up_Irr!T24&lt;&gt;".",up_Irr!AR24=".",up_Irr!BP24&lt;&gt;"."),up_dir!AT24/((1/1000)*(up_Irr!T24+up_Irr!BP24)),IF(AND(up_Irr!T24=".",up_Irr!AR24&lt;&gt;".",up_Irr!BP24&lt;&gt;"."),up_dir!AT24/((1/1000)*(up_Irr!AR24+up_Irr!BP24)),IF(AND(up_Irr!T24=".",up_Irr!AR24=".",up_Irr!BP24&lt;&gt;"."),up_dir!AT24/((1/1000)*(up_Irr!BP24)),IF(AND(up_Irr!T24=".",up_Irr!AR24&lt;&gt;".",up_Irr!BP24="."),up_dir!AT24/((1/1000)*(up_Irr!AR24)),IF(AND(up_Irr!T24&lt;&gt;".",up_Irr!AR24=".",up_Irr!BP24="."),up_dir!AT24/((1/1000)*(up_Irr!T24)),IF(AND(up_Irr!T24=".",up_Irr!AR24=".",up_Irr!BP24="."),up_dir!AT24*1000)))))))),".")</f>
        <v>6.5773651144152131E-4</v>
      </c>
      <c r="BT24" s="48">
        <f>IFERROR(IF(AND(up_Irr!U24&lt;&gt;".",up_Irr!AS24&lt;&gt;".",up_Irr!BQ24&lt;&gt;"."),up_dir!AU24/((1/1000)*(up_Irr!U24+up_Irr!AS24+up_Irr!BQ24)),IF(AND(up_Irr!U24&lt;&gt;".",up_Irr!AS24&lt;&gt;".",up_Irr!BQ24="."),up_dir!AU24/((1/1000)*(up_Irr!U24+up_Irr!AS24)),IF(AND(up_Irr!U24&lt;&gt;".",up_Irr!AS24=".",up_Irr!BQ24&lt;&gt;"."),up_dir!AU24/((1/1000)*(up_Irr!U24+up_Irr!BQ24)),IF(AND(up_Irr!U24=".",up_Irr!AS24&lt;&gt;".",up_Irr!BQ24&lt;&gt;"."),up_dir!AU24/((1/1000)*(up_Irr!AS24+up_Irr!BQ24)),IF(AND(up_Irr!U24=".",up_Irr!AS24=".",up_Irr!BQ24&lt;&gt;"."),up_dir!AU24/((1/1000)*(up_Irr!BQ24)),IF(AND(up_Irr!U24=".",up_Irr!AS24&lt;&gt;".",up_Irr!BQ24="."),up_dir!AU24/((1/1000)*(up_Irr!AS24)),IF(AND(up_Irr!U24&lt;&gt;".",up_Irr!AS24=".",up_Irr!BQ24="."),up_dir!AU24/((1/1000)*(up_Irr!U24)),IF(AND(up_Irr!U24=".",up_Irr!AS24=".",up_Irr!BQ24="."),up_dir!AU24*1000)))))))),".")</f>
        <v>6.5773651144152131E-4</v>
      </c>
      <c r="BU24" s="48">
        <f>IFERROR(IF(AND(up_Irr!V24&lt;&gt;".",up_Irr!AT24&lt;&gt;".",up_Irr!BR24&lt;&gt;"."),up_dir!AV24/((1/1000)*(up_Irr!V24+up_Irr!AT24+up_Irr!BR24)),IF(AND(up_Irr!V24&lt;&gt;".",up_Irr!AT24&lt;&gt;".",up_Irr!BR24="."),up_dir!AV24/((1/1000)*(up_Irr!V24+up_Irr!AT24)),IF(AND(up_Irr!V24&lt;&gt;".",up_Irr!AT24=".",up_Irr!BR24&lt;&gt;"."),up_dir!AV24/((1/1000)*(up_Irr!V24+up_Irr!BR24)),IF(AND(up_Irr!V24=".",up_Irr!AT24&lt;&gt;".",up_Irr!BR24&lt;&gt;"."),up_dir!AV24/((1/1000)*(up_Irr!AT24+up_Irr!BR24)),IF(AND(up_Irr!V24=".",up_Irr!AT24=".",up_Irr!BR24&lt;&gt;"."),up_dir!AV24/((1/1000)*(up_Irr!BR24)),IF(AND(up_Irr!V24=".",up_Irr!AT24&lt;&gt;".",up_Irr!BR24="."),up_dir!AV24/((1/1000)*(up_Irr!AT24)),IF(AND(up_Irr!V24&lt;&gt;".",up_Irr!AT24=".",up_Irr!BR24="."),up_dir!AV24/((1/1000)*(up_Irr!V24)),IF(AND(up_Irr!V24=".",up_Irr!AT24=".",up_Irr!BR24="."),up_dir!AV24*1000)))))))),".")</f>
        <v>6.5773651144152131E-4</v>
      </c>
      <c r="BV24" s="48">
        <f>IFERROR(IF(AND(up_Irr!W24&lt;&gt;".",up_Irr!AU24&lt;&gt;".",up_Irr!BS24&lt;&gt;"."),up_dir!AW24/((1/1000)*(up_Irr!W24+up_Irr!AU24+up_Irr!BS24)),IF(AND(up_Irr!W24&lt;&gt;".",up_Irr!AU24&lt;&gt;".",up_Irr!BS24="."),up_dir!AW24/((1/1000)*(up_Irr!W24+up_Irr!AU24)),IF(AND(up_Irr!W24&lt;&gt;".",up_Irr!AU24=".",up_Irr!BS24&lt;&gt;"."),up_dir!AW24/((1/1000)*(up_Irr!W24+up_Irr!BS24)),IF(AND(up_Irr!W24=".",up_Irr!AU24&lt;&gt;".",up_Irr!BS24&lt;&gt;"."),up_dir!AW24/((1/1000)*(up_Irr!AU24+up_Irr!BS24)),IF(AND(up_Irr!W24=".",up_Irr!AU24=".",up_Irr!BS24&lt;&gt;"."),up_dir!AW24/((1/1000)*(up_Irr!BS24)),IF(AND(up_Irr!W24=".",up_Irr!AU24&lt;&gt;".",up_Irr!BS24="."),up_dir!AW24/((1/1000)*(up_Irr!AU24)),IF(AND(up_Irr!W24&lt;&gt;".",up_Irr!AU24=".",up_Irr!BS24="."),up_dir!AW24/((1/1000)*(up_Irr!W24)),IF(AND(up_Irr!W24=".",up_Irr!AU24=".",up_Irr!BS24="."),up_dir!AW24*1000)))))))),".")</f>
        <v>6.5773651144152131E-4</v>
      </c>
      <c r="BW24" s="48">
        <f>IFERROR(IF(AND(up_Irr!X24&lt;&gt;".",up_Irr!AV24&lt;&gt;".",up_Irr!BT24&lt;&gt;"."),up_dir!AX24/((1/1000)*(up_Irr!X24+up_Irr!AV24+up_Irr!BT24)),IF(AND(up_Irr!X24&lt;&gt;".",up_Irr!AV24&lt;&gt;".",up_Irr!BT24="."),up_dir!AX24/((1/1000)*(up_Irr!X24+up_Irr!AV24)),IF(AND(up_Irr!X24&lt;&gt;".",up_Irr!AV24=".",up_Irr!BT24&lt;&gt;"."),up_dir!AX24/((1/1000)*(up_Irr!X24+up_Irr!BT24)),IF(AND(up_Irr!X24=".",up_Irr!AV24&lt;&gt;".",up_Irr!BT24&lt;&gt;"."),up_dir!AX24/((1/1000)*(up_Irr!AV24+up_Irr!BT24)),IF(AND(up_Irr!X24=".",up_Irr!AV24=".",up_Irr!BT24&lt;&gt;"."),up_dir!AX24/((1/1000)*(up_Irr!BT24)),IF(AND(up_Irr!X24=".",up_Irr!AV24&lt;&gt;".",up_Irr!BT24="."),up_dir!AX24/((1/1000)*(up_Irr!AV24)),IF(AND(up_Irr!X24&lt;&gt;".",up_Irr!AV24=".",up_Irr!BT24="."),up_dir!AX24/((1/1000)*(up_Irr!X24)),IF(AND(up_Irr!X24=".",up_Irr!AV24=".",up_Irr!BT24="."),up_dir!AX24*1000)))))))),".")</f>
        <v>6.5773651144152131E-4</v>
      </c>
      <c r="BX24" s="48">
        <f>IFERROR(IF(AND(up_Irr!Y24&lt;&gt;".",up_Irr!AW24&lt;&gt;".",up_Irr!BU24&lt;&gt;"."),up_dir!AY24/((1/1000)*(up_Irr!Y24+up_Irr!AW24+up_Irr!BU24)),IF(AND(up_Irr!Y24&lt;&gt;".",up_Irr!AW24&lt;&gt;".",up_Irr!BU24="."),up_dir!AY24/((1/1000)*(up_Irr!Y24+up_Irr!AW24)),IF(AND(up_Irr!Y24&lt;&gt;".",up_Irr!AW24=".",up_Irr!BU24&lt;&gt;"."),up_dir!AY24/((1/1000)*(up_Irr!Y24+up_Irr!BU24)),IF(AND(up_Irr!Y24=".",up_Irr!AW24&lt;&gt;".",up_Irr!BU24&lt;&gt;"."),up_dir!AY24/((1/1000)*(up_Irr!AW24+up_Irr!BU24)),IF(AND(up_Irr!Y24=".",up_Irr!AW24=".",up_Irr!BU24&lt;&gt;"."),up_dir!AY24/((1/1000)*(up_Irr!BU24)),IF(AND(up_Irr!Y24=".",up_Irr!AW24&lt;&gt;".",up_Irr!BU24="."),up_dir!AY24/((1/1000)*(up_Irr!AW24)),IF(AND(up_Irr!Y24&lt;&gt;".",up_Irr!AW24=".",up_Irr!BU24="."),up_dir!AY24/((1/1000)*(up_Irr!Y24)),IF(AND(up_Irr!Y24=".",up_Irr!AW24=".",up_Irr!BU24="."),up_dir!AY24*1000)))))))),".")</f>
        <v>6.5773651144152131E-4</v>
      </c>
      <c r="BY24" s="48">
        <f>IFERROR(IF(AND(up_Irr!Z24&lt;&gt;".",up_Irr!AX24&lt;&gt;".",up_Irr!BV24&lt;&gt;"."),up_dir!AZ24/((1/1000)*(up_Irr!Z24+up_Irr!AX24+up_Irr!BV24)),IF(AND(up_Irr!Z24&lt;&gt;".",up_Irr!AX24&lt;&gt;".",up_Irr!BV24="."),up_dir!AZ24/((1/1000)*(up_Irr!Z24+up_Irr!AX24)),IF(AND(up_Irr!Z24&lt;&gt;".",up_Irr!AX24=".",up_Irr!BV24&lt;&gt;"."),up_dir!AZ24/((1/1000)*(up_Irr!Z24+up_Irr!BV24)),IF(AND(up_Irr!Z24=".",up_Irr!AX24&lt;&gt;".",up_Irr!BV24&lt;&gt;"."),up_dir!AZ24/((1/1000)*(up_Irr!AX24+up_Irr!BV24)),IF(AND(up_Irr!Z24=".",up_Irr!AX24=".",up_Irr!BV24&lt;&gt;"."),up_dir!AZ24/((1/1000)*(up_Irr!BV24)),IF(AND(up_Irr!Z24=".",up_Irr!AX24&lt;&gt;".",up_Irr!BV24="."),up_dir!AZ24/((1/1000)*(up_Irr!AX24)),IF(AND(up_Irr!Z24&lt;&gt;".",up_Irr!AX24=".",up_Irr!BV24="."),up_dir!AZ24/((1/1000)*(up_Irr!Z24)),IF(AND(up_Irr!Z24=".",up_Irr!AX24=".",up_Irr!BV24="."),up_dir!AZ24*1000)))))))),".")</f>
        <v>6.5773651144152131E-4</v>
      </c>
      <c r="BZ24" s="62">
        <f t="shared" si="3"/>
        <v>22805.4847785862</v>
      </c>
      <c r="CA24" s="62">
        <f>IFERROR(s_C*s_IFAP_far_adj*s_CF_apple*(1/1000)*(up_Irr!C24+up_Irr!AA24+up_Irr!AY24),".")</f>
        <v>7601.8282595287337</v>
      </c>
      <c r="CB24" s="62">
        <f>IFERROR(s_C*s_IFAS_far_adj*s_CF_asparagus*(1/1000)*(up_Irr!D24+up_Irr!AB24+up_Irr!AZ24),".")</f>
        <v>7601.8282595287337</v>
      </c>
      <c r="CC24" s="62">
        <f>IFERROR(s_C*s_IFBT_far_adj*s_CF_beet*(1/1000)*(up_Irr!E24+up_Irr!AC24+up_Irr!BA24),".")</f>
        <v>7601.8282595287337</v>
      </c>
      <c r="CD24" s="62">
        <f>IFERROR(s_C*s_IFBE_far_adj*s_CF_berries*(1/1000)*(up_Irr!F24+up_Irr!AD24+up_Irr!BB24),".")</f>
        <v>7601.8282595287337</v>
      </c>
      <c r="CE24" s="62">
        <f>IFERROR(s_C*s_IFBR_far_adj*s_CF_broccoli*(1/1000)*(up_Irr!G24+up_Irr!AE24+up_Irr!BC24),".")</f>
        <v>7601.8282595287337</v>
      </c>
      <c r="CF24" s="62">
        <f>IFERROR(s_C*s_IFCB_far_adj*s_CF_cabbage*(1/1000)*(up_Irr!H24+up_Irr!AF24+up_Irr!BD24),".")</f>
        <v>7601.8282595287337</v>
      </c>
      <c r="CG24" s="62">
        <f>IFERROR(s_C*s_IFCR_far_adj*s_CF_carrot*(1/1000)*(up_Irr!I24+up_Irr!AG24+up_Irr!BE24),".")</f>
        <v>7601.8282595287337</v>
      </c>
      <c r="CH24" s="62">
        <f>IFERROR(s_C*s_IFCI_far_adj*s_CF_citrus*(1/1000)*(up_Irr!J24+up_Irr!AH24+up_Irr!BF24),".")</f>
        <v>7601.8282595287337</v>
      </c>
      <c r="CI24" s="62">
        <f>IFERROR(s_C*s_IFCO_far_adj*s_CF_corn*(1/1000)*(up_Irr!K24+up_Irr!AI24+up_Irr!BG24),".")</f>
        <v>7601.8282595287337</v>
      </c>
      <c r="CJ24" s="62">
        <f>IFERROR(s_C*s_IFCU_far_adj*s_CF_cucumber*(1/1000)*(up_Irr!L24+up_Irr!AJ24+up_Irr!BH24),".")</f>
        <v>7601.8282595287337</v>
      </c>
      <c r="CK24" s="62">
        <f>IFERROR(s_C*s_IFLE_far_adj*s_CF_lettuce*(1/1000)*(up_Irr!M24+up_Irr!AK24+up_Irr!BI24),".")</f>
        <v>7601.8282595287337</v>
      </c>
      <c r="CL24" s="62">
        <f>IFERROR(s_C*s_IFLI_far_adj*s_CF_lima_bean*(1/1000)*(up_Irr!N24+up_Irr!AL24+up_Irr!BJ24),".")</f>
        <v>7601.8282595287337</v>
      </c>
      <c r="CM24" s="62">
        <f>IFERROR(s_C*s_IFOK_far_adj*s_CF_okra*(1/1000)*(up_Irr!O24+up_Irr!AM24+up_Irr!BK24),".")</f>
        <v>7601.8282595287337</v>
      </c>
      <c r="CN24" s="62">
        <f>IFERROR(s_C*s_IFON_far_adj*s_CF_onion*(1/1000)*(up_Irr!P24+up_Irr!AN24+up_Irr!BL24),".")</f>
        <v>7601.8282595287337</v>
      </c>
      <c r="CO24" s="62">
        <f>IFERROR(s_C*s_IFPC_far_adj*s_CF_peach*(1/1000)*(up_Irr!Q24+up_Irr!AO24+up_Irr!BM24),".")</f>
        <v>7601.8282595287337</v>
      </c>
      <c r="CP24" s="62">
        <f>IFERROR(s_C*s_IFPR_far_adj*s_CF_pear*(1/1000)*(up_Irr!R24+up_Irr!AP24+up_Irr!BN24),".")</f>
        <v>7601.8282595287337</v>
      </c>
      <c r="CQ24" s="62">
        <f>IFERROR(s_C*s_IFPE_far_adj*s_CF_peas*(1/1000)*(up_Irr!S24+up_Irr!AQ24+up_Irr!BO24),".")</f>
        <v>7601.8282595287337</v>
      </c>
      <c r="CR24" s="62">
        <f>IFERROR(s_C*s_IFPT_far_adj*s_CF_potato*(1/1000)*(up_Irr!T24+up_Irr!AR24+up_Irr!BP24),".")</f>
        <v>7601.8282595287337</v>
      </c>
      <c r="CS24" s="62">
        <f>IFERROR(s_C*s_IFPU_far_adj*s_CF_pumpkin*(1/1000)*(up_Irr!U24+up_Irr!AS24+up_Irr!BQ24),".")</f>
        <v>7601.8282595287337</v>
      </c>
      <c r="CT24" s="62">
        <f>IFERROR(s_C*s_IFSN_far_adj*s_CF_snap_bean*(1/1000)*(up_Irr!V24+up_Irr!AT24+up_Irr!BR24),".")</f>
        <v>7601.8282595287337</v>
      </c>
      <c r="CU24" s="62">
        <f>IFERROR(s_C*s_IFST_far_adj*s_CF_strawberry*(1/1000)*(up_Irr!W24+up_Irr!AU24+up_Irr!BS24),".")</f>
        <v>7601.8282595287337</v>
      </c>
      <c r="CV24" s="62">
        <f>IFERROR(s_C*s_IFTO_far_adj*s_CF_tomato*(1/1000)*(up_Irr!X24+up_Irr!AV24+up_Irr!BT24),".")</f>
        <v>7601.8282595287337</v>
      </c>
      <c r="CW24" s="62">
        <f>IFERROR(s_C*s_IFRI_far_adj*s_CF_rice*(1/1000)*(up_Irr!Y24+up_Irr!AW24+up_Irr!BU24),".")</f>
        <v>7601.8282595287337</v>
      </c>
      <c r="CX24" s="62">
        <f>IFERROR(s_C*s_IFCG_far_adj*s_CF_cereal*(1/1000)*(up_Irr!Z24+up_Irr!AX24+up_Irr!BV24),".")</f>
        <v>7601.8282595287337</v>
      </c>
    </row>
    <row r="25" spans="1:102" x14ac:dyDescent="0.25">
      <c r="A25" s="63" t="s">
        <v>23</v>
      </c>
      <c r="B25" s="49" t="s">
        <v>336</v>
      </c>
      <c r="C25" s="48">
        <f t="shared" si="0"/>
        <v>2.1924550381384044E-4</v>
      </c>
      <c r="D25" s="48">
        <f>IFERROR(IF(AND(up_Irr!C25&lt;&gt;".",up_Irr!AA25&lt;&gt;".",up_Irr!AY25&lt;&gt;"."),up_dir!D25/((1/1000)*(up_Irr!C25+up_Irr!AA25+up_Irr!AY25)),IF(AND(up_Irr!C25&lt;&gt;".",up_Irr!AA25&lt;&gt;".",up_Irr!AY25="."),up_dir!D25/((1/1000)*(up_Irr!C25+up_Irr!AA25)),IF(AND(up_Irr!C25&lt;&gt;".",up_Irr!AA25=".",up_Irr!AY25&lt;&gt;"."),up_dir!D25/((1/1000)*(up_Irr!C25+up_Irr!AY25)),IF(AND(up_Irr!C25=".",up_Irr!AA25&lt;&gt;".",up_Irr!AY25&lt;&gt;"."),up_dir!D25/((1/1000)*(up_Irr!AA25+up_Irr!AY25)),IF(AND(up_Irr!C25=".",up_Irr!AA25=".",up_Irr!AY25&lt;&gt;"."),up_dir!D25/((1/1000)*(up_Irr!AY25)),IF(AND(up_Irr!C25=".",up_Irr!AA25&lt;&gt;".",up_Irr!AY25="."),up_dir!D25/((1/1000)*(up_Irr!AA25)),IF(AND(up_Irr!C25&lt;&gt;".",up_Irr!AA25=".",up_Irr!AY25="."),up_dir!D25/((1/1000)*(up_Irr!C25)),IF(AND(up_Irr!C25=".",up_Irr!AA25=".",up_Irr!AY25="."),up_dir!D25*1000)))))))),".")</f>
        <v>6.5773651144152131E-4</v>
      </c>
      <c r="E25" s="48">
        <f>IFERROR(IF(AND(up_Irr!D25&lt;&gt;".",up_Irr!AB25&lt;&gt;".",up_Irr!AZ25&lt;&gt;"."),up_dir!E25/((1/1000)*(up_Irr!D25+up_Irr!AB25+up_Irr!AZ25)),IF(AND(up_Irr!D25&lt;&gt;".",up_Irr!AB25&lt;&gt;".",up_Irr!AZ25="."),up_dir!E25/((1/1000)*(up_Irr!D25+up_Irr!AB25)),IF(AND(up_Irr!D25&lt;&gt;".",up_Irr!AB25=".",up_Irr!AZ25&lt;&gt;"."),up_dir!E25/((1/1000)*(up_Irr!D25+up_Irr!AZ25)),IF(AND(up_Irr!D25=".",up_Irr!AB25&lt;&gt;".",up_Irr!AZ25&lt;&gt;"."),up_dir!E25/((1/1000)*(up_Irr!AB25+up_Irr!AZ25)),IF(AND(up_Irr!D25=".",up_Irr!AB25=".",up_Irr!AZ25&lt;&gt;"."),up_dir!E25/((1/1000)*(up_Irr!AZ25)),IF(AND(up_Irr!D25=".",up_Irr!AB25&lt;&gt;".",up_Irr!AZ25="."),up_dir!E25/((1/1000)*(up_Irr!AB25)),IF(AND(up_Irr!D25&lt;&gt;".",up_Irr!AB25=".",up_Irr!AZ25="."),up_dir!E25/((1/1000)*(up_Irr!D25)),IF(AND(up_Irr!D25=".",up_Irr!AB25=".",up_Irr!AZ25="."),up_dir!E25*1000)))))))),".")</f>
        <v>6.5773651144152131E-4</v>
      </c>
      <c r="F25" s="48">
        <f>IFERROR(IF(AND(up_Irr!E25&lt;&gt;".",up_Irr!AC25&lt;&gt;".",up_Irr!BA25&lt;&gt;"."),up_dir!F25/((1/1000)*(up_Irr!E25+up_Irr!AC25+up_Irr!BA25)),IF(AND(up_Irr!E25&lt;&gt;".",up_Irr!AC25&lt;&gt;".",up_Irr!BA25="."),up_dir!F25/((1/1000)*(up_Irr!E25+up_Irr!AC25)),IF(AND(up_Irr!E25&lt;&gt;".",up_Irr!AC25=".",up_Irr!BA25&lt;&gt;"."),up_dir!F25/((1/1000)*(up_Irr!E25+up_Irr!BA25)),IF(AND(up_Irr!E25=".",up_Irr!AC25&lt;&gt;".",up_Irr!BA25&lt;&gt;"."),up_dir!F25/((1/1000)*(up_Irr!AC25+up_Irr!BA25)),IF(AND(up_Irr!E25=".",up_Irr!AC25=".",up_Irr!BA25&lt;&gt;"."),up_dir!F25/((1/1000)*(up_Irr!BA25)),IF(AND(up_Irr!E25=".",up_Irr!AC25&lt;&gt;".",up_Irr!BA25="."),up_dir!F25/((1/1000)*(up_Irr!AC25)),IF(AND(up_Irr!E25&lt;&gt;".",up_Irr!AC25=".",up_Irr!BA25="."),up_dir!F25/((1/1000)*(up_Irr!E25)),IF(AND(up_Irr!E25=".",up_Irr!AC25=".",up_Irr!BA25="."),up_dir!F25*1000)))))))),".")</f>
        <v>6.5773651144152131E-4</v>
      </c>
      <c r="G25" s="48">
        <f>IFERROR(IF(AND(up_Irr!F25&lt;&gt;".",up_Irr!AD25&lt;&gt;".",up_Irr!BB25&lt;&gt;"."),up_dir!G25/((1/1000)*(up_Irr!F25+up_Irr!AD25+up_Irr!BB25)),IF(AND(up_Irr!F25&lt;&gt;".",up_Irr!AD25&lt;&gt;".",up_Irr!BB25="."),up_dir!G25/((1/1000)*(up_Irr!F25+up_Irr!AD25)),IF(AND(up_Irr!F25&lt;&gt;".",up_Irr!AD25=".",up_Irr!BB25&lt;&gt;"."),up_dir!G25/((1/1000)*(up_Irr!F25+up_Irr!BB25)),IF(AND(up_Irr!F25=".",up_Irr!AD25&lt;&gt;".",up_Irr!BB25&lt;&gt;"."),up_dir!G25/((1/1000)*(up_Irr!AD25+up_Irr!BB25)),IF(AND(up_Irr!F25=".",up_Irr!AD25=".",up_Irr!BB25&lt;&gt;"."),up_dir!G25/((1/1000)*(up_Irr!BB25)),IF(AND(up_Irr!F25=".",up_Irr!AD25&lt;&gt;".",up_Irr!BB25="."),up_dir!G25/((1/1000)*(up_Irr!AD25)),IF(AND(up_Irr!F25&lt;&gt;".",up_Irr!AD25=".",up_Irr!BB25="."),up_dir!G25/((1/1000)*(up_Irr!F25)),IF(AND(up_Irr!F25=".",up_Irr!AD25=".",up_Irr!BB25="."),up_dir!G25*1000)))))))),".")</f>
        <v>6.5773651144152131E-4</v>
      </c>
      <c r="H25" s="48">
        <f>IFERROR(IF(AND(up_Irr!G25&lt;&gt;".",up_Irr!AE25&lt;&gt;".",up_Irr!BC25&lt;&gt;"."),up_dir!H25/((1/1000)*(up_Irr!G25+up_Irr!AE25+up_Irr!BC25)),IF(AND(up_Irr!G25&lt;&gt;".",up_Irr!AE25&lt;&gt;".",up_Irr!BC25="."),up_dir!H25/((1/1000)*(up_Irr!G25+up_Irr!AE25)),IF(AND(up_Irr!G25&lt;&gt;".",up_Irr!AE25=".",up_Irr!BC25&lt;&gt;"."),up_dir!H25/((1/1000)*(up_Irr!G25+up_Irr!BC25)),IF(AND(up_Irr!G25=".",up_Irr!AE25&lt;&gt;".",up_Irr!BC25&lt;&gt;"."),up_dir!H25/((1/1000)*(up_Irr!AE25+up_Irr!BC25)),IF(AND(up_Irr!G25=".",up_Irr!AE25=".",up_Irr!BC25&lt;&gt;"."),up_dir!H25/((1/1000)*(up_Irr!BC25)),IF(AND(up_Irr!G25=".",up_Irr!AE25&lt;&gt;".",up_Irr!BC25="."),up_dir!H25/((1/1000)*(up_Irr!AE25)),IF(AND(up_Irr!G25&lt;&gt;".",up_Irr!AE25=".",up_Irr!BC25="."),up_dir!H25/((1/1000)*(up_Irr!G25)),IF(AND(up_Irr!G25=".",up_Irr!AE25=".",up_Irr!BC25="."),up_dir!H25*1000)))))))),".")</f>
        <v>6.5773651144152131E-4</v>
      </c>
      <c r="I25" s="48">
        <f>IFERROR(IF(AND(up_Irr!H25&lt;&gt;".",up_Irr!AF25&lt;&gt;".",up_Irr!BD25&lt;&gt;"."),up_dir!I25/((1/1000)*(up_Irr!H25+up_Irr!AF25+up_Irr!BD25)),IF(AND(up_Irr!H25&lt;&gt;".",up_Irr!AF25&lt;&gt;".",up_Irr!BD25="."),up_dir!I25/((1/1000)*(up_Irr!H25+up_Irr!AF25)),IF(AND(up_Irr!H25&lt;&gt;".",up_Irr!AF25=".",up_Irr!BD25&lt;&gt;"."),up_dir!I25/((1/1000)*(up_Irr!H25+up_Irr!BD25)),IF(AND(up_Irr!H25=".",up_Irr!AF25&lt;&gt;".",up_Irr!BD25&lt;&gt;"."),up_dir!I25/((1/1000)*(up_Irr!AF25+up_Irr!BD25)),IF(AND(up_Irr!H25=".",up_Irr!AF25=".",up_Irr!BD25&lt;&gt;"."),up_dir!I25/((1/1000)*(up_Irr!BD25)),IF(AND(up_Irr!H25=".",up_Irr!AF25&lt;&gt;".",up_Irr!BD25="."),up_dir!I25/((1/1000)*(up_Irr!AF25)),IF(AND(up_Irr!H25&lt;&gt;".",up_Irr!AF25=".",up_Irr!BD25="."),up_dir!I25/((1/1000)*(up_Irr!H25)),IF(AND(up_Irr!H25=".",up_Irr!AF25=".",up_Irr!BD25="."),up_dir!I25*1000)))))))),".")</f>
        <v>6.5773651144152131E-4</v>
      </c>
      <c r="J25" s="48">
        <f>IFERROR(IF(AND(up_Irr!I25&lt;&gt;".",up_Irr!AG25&lt;&gt;".",up_Irr!BE25&lt;&gt;"."),up_dir!J25/((1/1000)*(up_Irr!I25+up_Irr!AG25+up_Irr!BE25)),IF(AND(up_Irr!I25&lt;&gt;".",up_Irr!AG25&lt;&gt;".",up_Irr!BE25="."),up_dir!J25/((1/1000)*(up_Irr!I25+up_Irr!AG25)),IF(AND(up_Irr!I25&lt;&gt;".",up_Irr!AG25=".",up_Irr!BE25&lt;&gt;"."),up_dir!J25/((1/1000)*(up_Irr!I25+up_Irr!BE25)),IF(AND(up_Irr!I25=".",up_Irr!AG25&lt;&gt;".",up_Irr!BE25&lt;&gt;"."),up_dir!J25/((1/1000)*(up_Irr!AG25+up_Irr!BE25)),IF(AND(up_Irr!I25=".",up_Irr!AG25=".",up_Irr!BE25&lt;&gt;"."),up_dir!J25/((1/1000)*(up_Irr!BE25)),IF(AND(up_Irr!I25=".",up_Irr!AG25&lt;&gt;".",up_Irr!BE25="."),up_dir!J25/((1/1000)*(up_Irr!AG25)),IF(AND(up_Irr!I25&lt;&gt;".",up_Irr!AG25=".",up_Irr!BE25="."),up_dir!J25/((1/1000)*(up_Irr!I25)),IF(AND(up_Irr!I25=".",up_Irr!AG25=".",up_Irr!BE25="."),up_dir!J25*1000)))))))),".")</f>
        <v>6.5773651144152131E-4</v>
      </c>
      <c r="K25" s="48">
        <f>IFERROR(IF(AND(up_Irr!J25&lt;&gt;".",up_Irr!AH25&lt;&gt;".",up_Irr!BF25&lt;&gt;"."),up_dir!K25/((1/1000)*(up_Irr!J25+up_Irr!AH25+up_Irr!BF25)),IF(AND(up_Irr!J25&lt;&gt;".",up_Irr!AH25&lt;&gt;".",up_Irr!BF25="."),up_dir!K25/((1/1000)*(up_Irr!J25+up_Irr!AH25)),IF(AND(up_Irr!J25&lt;&gt;".",up_Irr!AH25=".",up_Irr!BF25&lt;&gt;"."),up_dir!K25/((1/1000)*(up_Irr!J25+up_Irr!BF25)),IF(AND(up_Irr!J25=".",up_Irr!AH25&lt;&gt;".",up_Irr!BF25&lt;&gt;"."),up_dir!K25/((1/1000)*(up_Irr!AH25+up_Irr!BF25)),IF(AND(up_Irr!J25=".",up_Irr!AH25=".",up_Irr!BF25&lt;&gt;"."),up_dir!K25/((1/1000)*(up_Irr!BF25)),IF(AND(up_Irr!J25=".",up_Irr!AH25&lt;&gt;".",up_Irr!BF25="."),up_dir!K25/((1/1000)*(up_Irr!AH25)),IF(AND(up_Irr!J25&lt;&gt;".",up_Irr!AH25=".",up_Irr!BF25="."),up_dir!K25/((1/1000)*(up_Irr!J25)),IF(AND(up_Irr!J25=".",up_Irr!AH25=".",up_Irr!BF25="."),up_dir!K25*1000)))))))),".")</f>
        <v>6.5773651144152131E-4</v>
      </c>
      <c r="L25" s="48">
        <f>IFERROR(IF(AND(up_Irr!K25&lt;&gt;".",up_Irr!AI25&lt;&gt;".",up_Irr!BG25&lt;&gt;"."),up_dir!L25/((1/1000)*(up_Irr!K25+up_Irr!AI25+up_Irr!BG25)),IF(AND(up_Irr!K25&lt;&gt;".",up_Irr!AI25&lt;&gt;".",up_Irr!BG25="."),up_dir!L25/((1/1000)*(up_Irr!K25+up_Irr!AI25)),IF(AND(up_Irr!K25&lt;&gt;".",up_Irr!AI25=".",up_Irr!BG25&lt;&gt;"."),up_dir!L25/((1/1000)*(up_Irr!K25+up_Irr!BG25)),IF(AND(up_Irr!K25=".",up_Irr!AI25&lt;&gt;".",up_Irr!BG25&lt;&gt;"."),up_dir!L25/((1/1000)*(up_Irr!AI25+up_Irr!BG25)),IF(AND(up_Irr!K25=".",up_Irr!AI25=".",up_Irr!BG25&lt;&gt;"."),up_dir!L25/((1/1000)*(up_Irr!BG25)),IF(AND(up_Irr!K25=".",up_Irr!AI25&lt;&gt;".",up_Irr!BG25="."),up_dir!L25/((1/1000)*(up_Irr!AI25)),IF(AND(up_Irr!K25&lt;&gt;".",up_Irr!AI25=".",up_Irr!BG25="."),up_dir!L25/((1/1000)*(up_Irr!K25)),IF(AND(up_Irr!K25=".",up_Irr!AI25=".",up_Irr!BG25="."),up_dir!L25*1000)))))))),".")</f>
        <v>6.5773651144152131E-4</v>
      </c>
      <c r="M25" s="48">
        <f>IFERROR(IF(AND(up_Irr!L25&lt;&gt;".",up_Irr!AJ25&lt;&gt;".",up_Irr!BH25&lt;&gt;"."),up_dir!M25/((1/1000)*(up_Irr!L25+up_Irr!AJ25+up_Irr!BH25)),IF(AND(up_Irr!L25&lt;&gt;".",up_Irr!AJ25&lt;&gt;".",up_Irr!BH25="."),up_dir!M25/((1/1000)*(up_Irr!L25+up_Irr!AJ25)),IF(AND(up_Irr!L25&lt;&gt;".",up_Irr!AJ25=".",up_Irr!BH25&lt;&gt;"."),up_dir!M25/((1/1000)*(up_Irr!L25+up_Irr!BH25)),IF(AND(up_Irr!L25=".",up_Irr!AJ25&lt;&gt;".",up_Irr!BH25&lt;&gt;"."),up_dir!M25/((1/1000)*(up_Irr!AJ25+up_Irr!BH25)),IF(AND(up_Irr!L25=".",up_Irr!AJ25=".",up_Irr!BH25&lt;&gt;"."),up_dir!M25/((1/1000)*(up_Irr!BH25)),IF(AND(up_Irr!L25=".",up_Irr!AJ25&lt;&gt;".",up_Irr!BH25="."),up_dir!M25/((1/1000)*(up_Irr!AJ25)),IF(AND(up_Irr!L25&lt;&gt;".",up_Irr!AJ25=".",up_Irr!BH25="."),up_dir!M25/((1/1000)*(up_Irr!L25)),IF(AND(up_Irr!L25=".",up_Irr!AJ25=".",up_Irr!BH25="."),up_dir!M25*1000)))))))),".")</f>
        <v>6.5773651144152131E-4</v>
      </c>
      <c r="N25" s="48">
        <f>IFERROR(IF(AND(up_Irr!M25&lt;&gt;".",up_Irr!AK25&lt;&gt;".",up_Irr!BI25&lt;&gt;"."),up_dir!N25/((1/1000)*(up_Irr!M25+up_Irr!AK25+up_Irr!BI25)),IF(AND(up_Irr!M25&lt;&gt;".",up_Irr!AK25&lt;&gt;".",up_Irr!BI25="."),up_dir!N25/((1/1000)*(up_Irr!M25+up_Irr!AK25)),IF(AND(up_Irr!M25&lt;&gt;".",up_Irr!AK25=".",up_Irr!BI25&lt;&gt;"."),up_dir!N25/((1/1000)*(up_Irr!M25+up_Irr!BI25)),IF(AND(up_Irr!M25=".",up_Irr!AK25&lt;&gt;".",up_Irr!BI25&lt;&gt;"."),up_dir!N25/((1/1000)*(up_Irr!AK25+up_Irr!BI25)),IF(AND(up_Irr!M25=".",up_Irr!AK25=".",up_Irr!BI25&lt;&gt;"."),up_dir!N25/((1/1000)*(up_Irr!BI25)),IF(AND(up_Irr!M25=".",up_Irr!AK25&lt;&gt;".",up_Irr!BI25="."),up_dir!N25/((1/1000)*(up_Irr!AK25)),IF(AND(up_Irr!M25&lt;&gt;".",up_Irr!AK25=".",up_Irr!BI25="."),up_dir!N25/((1/1000)*(up_Irr!M25)),IF(AND(up_Irr!M25=".",up_Irr!AK25=".",up_Irr!BI25="."),up_dir!N25*1000)))))))),".")</f>
        <v>6.5773651144152131E-4</v>
      </c>
      <c r="O25" s="48">
        <f>IFERROR(IF(AND(up_Irr!N25&lt;&gt;".",up_Irr!AL25&lt;&gt;".",up_Irr!BJ25&lt;&gt;"."),up_dir!O25/((1/1000)*(up_Irr!N25+up_Irr!AL25+up_Irr!BJ25)),IF(AND(up_Irr!N25&lt;&gt;".",up_Irr!AL25&lt;&gt;".",up_Irr!BJ25="."),up_dir!O25/((1/1000)*(up_Irr!N25+up_Irr!AL25)),IF(AND(up_Irr!N25&lt;&gt;".",up_Irr!AL25=".",up_Irr!BJ25&lt;&gt;"."),up_dir!O25/((1/1000)*(up_Irr!N25+up_Irr!BJ25)),IF(AND(up_Irr!N25=".",up_Irr!AL25&lt;&gt;".",up_Irr!BJ25&lt;&gt;"."),up_dir!O25/((1/1000)*(up_Irr!AL25+up_Irr!BJ25)),IF(AND(up_Irr!N25=".",up_Irr!AL25=".",up_Irr!BJ25&lt;&gt;"."),up_dir!O25/((1/1000)*(up_Irr!BJ25)),IF(AND(up_Irr!N25=".",up_Irr!AL25&lt;&gt;".",up_Irr!BJ25="."),up_dir!O25/((1/1000)*(up_Irr!AL25)),IF(AND(up_Irr!N25&lt;&gt;".",up_Irr!AL25=".",up_Irr!BJ25="."),up_dir!O25/((1/1000)*(up_Irr!N25)),IF(AND(up_Irr!N25=".",up_Irr!AL25=".",up_Irr!BJ25="."),up_dir!O25*1000)))))))),".")</f>
        <v>6.5773651144152131E-4</v>
      </c>
      <c r="P25" s="48">
        <f>IFERROR(IF(AND(up_Irr!O25&lt;&gt;".",up_Irr!AM25&lt;&gt;".",up_Irr!BK25&lt;&gt;"."),up_dir!P25/((1/1000)*(up_Irr!O25+up_Irr!AM25+up_Irr!BK25)),IF(AND(up_Irr!O25&lt;&gt;".",up_Irr!AM25&lt;&gt;".",up_Irr!BK25="."),up_dir!P25/((1/1000)*(up_Irr!O25+up_Irr!AM25)),IF(AND(up_Irr!O25&lt;&gt;".",up_Irr!AM25=".",up_Irr!BK25&lt;&gt;"."),up_dir!P25/((1/1000)*(up_Irr!O25+up_Irr!BK25)),IF(AND(up_Irr!O25=".",up_Irr!AM25&lt;&gt;".",up_Irr!BK25&lt;&gt;"."),up_dir!P25/((1/1000)*(up_Irr!AM25+up_Irr!BK25)),IF(AND(up_Irr!O25=".",up_Irr!AM25=".",up_Irr!BK25&lt;&gt;"."),up_dir!P25/((1/1000)*(up_Irr!BK25)),IF(AND(up_Irr!O25=".",up_Irr!AM25&lt;&gt;".",up_Irr!BK25="."),up_dir!P25/((1/1000)*(up_Irr!AM25)),IF(AND(up_Irr!O25&lt;&gt;".",up_Irr!AM25=".",up_Irr!BK25="."),up_dir!P25/((1/1000)*(up_Irr!O25)),IF(AND(up_Irr!O25=".",up_Irr!AM25=".",up_Irr!BK25="."),up_dir!P25*1000)))))))),".")</f>
        <v>6.5773651144152131E-4</v>
      </c>
      <c r="Q25" s="48">
        <f>IFERROR(IF(AND(up_Irr!P25&lt;&gt;".",up_Irr!AN25&lt;&gt;".",up_Irr!BL25&lt;&gt;"."),up_dir!Q25/((1/1000)*(up_Irr!P25+up_Irr!AN25+up_Irr!BL25)),IF(AND(up_Irr!P25&lt;&gt;".",up_Irr!AN25&lt;&gt;".",up_Irr!BL25="."),up_dir!Q25/((1/1000)*(up_Irr!P25+up_Irr!AN25)),IF(AND(up_Irr!P25&lt;&gt;".",up_Irr!AN25=".",up_Irr!BL25&lt;&gt;"."),up_dir!Q25/((1/1000)*(up_Irr!P25+up_Irr!BL25)),IF(AND(up_Irr!P25=".",up_Irr!AN25&lt;&gt;".",up_Irr!BL25&lt;&gt;"."),up_dir!Q25/((1/1000)*(up_Irr!AN25+up_Irr!BL25)),IF(AND(up_Irr!P25=".",up_Irr!AN25=".",up_Irr!BL25&lt;&gt;"."),up_dir!Q25/((1/1000)*(up_Irr!BL25)),IF(AND(up_Irr!P25=".",up_Irr!AN25&lt;&gt;".",up_Irr!BL25="."),up_dir!Q25/((1/1000)*(up_Irr!AN25)),IF(AND(up_Irr!P25&lt;&gt;".",up_Irr!AN25=".",up_Irr!BL25="."),up_dir!Q25/((1/1000)*(up_Irr!P25)),IF(AND(up_Irr!P25=".",up_Irr!AN25=".",up_Irr!BL25="."),up_dir!Q25*1000)))))))),".")</f>
        <v>6.5773651144152131E-4</v>
      </c>
      <c r="R25" s="48">
        <f>IFERROR(IF(AND(up_Irr!Q25&lt;&gt;".",up_Irr!AO25&lt;&gt;".",up_Irr!BM25&lt;&gt;"."),up_dir!R25/((1/1000)*(up_Irr!Q25+up_Irr!AO25+up_Irr!BM25)),IF(AND(up_Irr!Q25&lt;&gt;".",up_Irr!AO25&lt;&gt;".",up_Irr!BM25="."),up_dir!R25/((1/1000)*(up_Irr!Q25+up_Irr!AO25)),IF(AND(up_Irr!Q25&lt;&gt;".",up_Irr!AO25=".",up_Irr!BM25&lt;&gt;"."),up_dir!R25/((1/1000)*(up_Irr!Q25+up_Irr!BM25)),IF(AND(up_Irr!Q25=".",up_Irr!AO25&lt;&gt;".",up_Irr!BM25&lt;&gt;"."),up_dir!R25/((1/1000)*(up_Irr!AO25+up_Irr!BM25)),IF(AND(up_Irr!Q25=".",up_Irr!AO25=".",up_Irr!BM25&lt;&gt;"."),up_dir!R25/((1/1000)*(up_Irr!BM25)),IF(AND(up_Irr!Q25=".",up_Irr!AO25&lt;&gt;".",up_Irr!BM25="."),up_dir!R25/((1/1000)*(up_Irr!AO25)),IF(AND(up_Irr!Q25&lt;&gt;".",up_Irr!AO25=".",up_Irr!BM25="."),up_dir!R25/((1/1000)*(up_Irr!Q25)),IF(AND(up_Irr!Q25=".",up_Irr!AO25=".",up_Irr!BM25="."),up_dir!R25*1000)))))))),".")</f>
        <v>6.5773651144152131E-4</v>
      </c>
      <c r="S25" s="48">
        <f>IFERROR(IF(AND(up_Irr!R25&lt;&gt;".",up_Irr!AP25&lt;&gt;".",up_Irr!BN25&lt;&gt;"."),up_dir!S25/((1/1000)*(up_Irr!R25+up_Irr!AP25+up_Irr!BN25)),IF(AND(up_Irr!R25&lt;&gt;".",up_Irr!AP25&lt;&gt;".",up_Irr!BN25="."),up_dir!S25/((1/1000)*(up_Irr!R25+up_Irr!AP25)),IF(AND(up_Irr!R25&lt;&gt;".",up_Irr!AP25=".",up_Irr!BN25&lt;&gt;"."),up_dir!S25/((1/1000)*(up_Irr!R25+up_Irr!BN25)),IF(AND(up_Irr!R25=".",up_Irr!AP25&lt;&gt;".",up_Irr!BN25&lt;&gt;"."),up_dir!S25/((1/1000)*(up_Irr!AP25+up_Irr!BN25)),IF(AND(up_Irr!R25=".",up_Irr!AP25=".",up_Irr!BN25&lt;&gt;"."),up_dir!S25/((1/1000)*(up_Irr!BN25)),IF(AND(up_Irr!R25=".",up_Irr!AP25&lt;&gt;".",up_Irr!BN25="."),up_dir!S25/((1/1000)*(up_Irr!AP25)),IF(AND(up_Irr!R25&lt;&gt;".",up_Irr!AP25=".",up_Irr!BN25="."),up_dir!S25/((1/1000)*(up_Irr!R25)),IF(AND(up_Irr!R25=".",up_Irr!AP25=".",up_Irr!BN25="."),up_dir!S25*1000)))))))),".")</f>
        <v>6.5773651144152131E-4</v>
      </c>
      <c r="T25" s="48">
        <f>IFERROR(IF(AND(up_Irr!S25&lt;&gt;".",up_Irr!AQ25&lt;&gt;".",up_Irr!BO25&lt;&gt;"."),up_dir!T25/((1/1000)*(up_Irr!S25+up_Irr!AQ25+up_Irr!BO25)),IF(AND(up_Irr!S25&lt;&gt;".",up_Irr!AQ25&lt;&gt;".",up_Irr!BO25="."),up_dir!T25/((1/1000)*(up_Irr!S25+up_Irr!AQ25)),IF(AND(up_Irr!S25&lt;&gt;".",up_Irr!AQ25=".",up_Irr!BO25&lt;&gt;"."),up_dir!T25/((1/1000)*(up_Irr!S25+up_Irr!BO25)),IF(AND(up_Irr!S25=".",up_Irr!AQ25&lt;&gt;".",up_Irr!BO25&lt;&gt;"."),up_dir!T25/((1/1000)*(up_Irr!AQ25+up_Irr!BO25)),IF(AND(up_Irr!S25=".",up_Irr!AQ25=".",up_Irr!BO25&lt;&gt;"."),up_dir!T25/((1/1000)*(up_Irr!BO25)),IF(AND(up_Irr!S25=".",up_Irr!AQ25&lt;&gt;".",up_Irr!BO25="."),up_dir!T25/((1/1000)*(up_Irr!AQ25)),IF(AND(up_Irr!S25&lt;&gt;".",up_Irr!AQ25=".",up_Irr!BO25="."),up_dir!T25/((1/1000)*(up_Irr!S25)),IF(AND(up_Irr!S25=".",up_Irr!AQ25=".",up_Irr!BO25="."),up_dir!T25*1000)))))))),".")</f>
        <v>6.5773651144152131E-4</v>
      </c>
      <c r="U25" s="48">
        <f>IFERROR(IF(AND(up_Irr!T25&lt;&gt;".",up_Irr!AR25&lt;&gt;".",up_Irr!BP25&lt;&gt;"."),up_dir!U25/((1/1000)*(up_Irr!T25+up_Irr!AR25+up_Irr!BP25)),IF(AND(up_Irr!T25&lt;&gt;".",up_Irr!AR25&lt;&gt;".",up_Irr!BP25="."),up_dir!U25/((1/1000)*(up_Irr!T25+up_Irr!AR25)),IF(AND(up_Irr!T25&lt;&gt;".",up_Irr!AR25=".",up_Irr!BP25&lt;&gt;"."),up_dir!U25/((1/1000)*(up_Irr!T25+up_Irr!BP25)),IF(AND(up_Irr!T25=".",up_Irr!AR25&lt;&gt;".",up_Irr!BP25&lt;&gt;"."),up_dir!U25/((1/1000)*(up_Irr!AR25+up_Irr!BP25)),IF(AND(up_Irr!T25=".",up_Irr!AR25=".",up_Irr!BP25&lt;&gt;"."),up_dir!U25/((1/1000)*(up_Irr!BP25)),IF(AND(up_Irr!T25=".",up_Irr!AR25&lt;&gt;".",up_Irr!BP25="."),up_dir!U25/((1/1000)*(up_Irr!AR25)),IF(AND(up_Irr!T25&lt;&gt;".",up_Irr!AR25=".",up_Irr!BP25="."),up_dir!U25/((1/1000)*(up_Irr!T25)),IF(AND(up_Irr!T25=".",up_Irr!AR25=".",up_Irr!BP25="."),up_dir!U25*1000)))))))),".")</f>
        <v>6.5773651144152131E-4</v>
      </c>
      <c r="V25" s="48">
        <f>IFERROR(IF(AND(up_Irr!U25&lt;&gt;".",up_Irr!AS25&lt;&gt;".",up_Irr!BQ25&lt;&gt;"."),up_dir!V25/((1/1000)*(up_Irr!U25+up_Irr!AS25+up_Irr!BQ25)),IF(AND(up_Irr!U25&lt;&gt;".",up_Irr!AS25&lt;&gt;".",up_Irr!BQ25="."),up_dir!V25/((1/1000)*(up_Irr!U25+up_Irr!AS25)),IF(AND(up_Irr!U25&lt;&gt;".",up_Irr!AS25=".",up_Irr!BQ25&lt;&gt;"."),up_dir!V25/((1/1000)*(up_Irr!U25+up_Irr!BQ25)),IF(AND(up_Irr!U25=".",up_Irr!AS25&lt;&gt;".",up_Irr!BQ25&lt;&gt;"."),up_dir!V25/((1/1000)*(up_Irr!AS25+up_Irr!BQ25)),IF(AND(up_Irr!U25=".",up_Irr!AS25=".",up_Irr!BQ25&lt;&gt;"."),up_dir!V25/((1/1000)*(up_Irr!BQ25)),IF(AND(up_Irr!U25=".",up_Irr!AS25&lt;&gt;".",up_Irr!BQ25="."),up_dir!V25/((1/1000)*(up_Irr!AS25)),IF(AND(up_Irr!U25&lt;&gt;".",up_Irr!AS25=".",up_Irr!BQ25="."),up_dir!V25/((1/1000)*(up_Irr!U25)),IF(AND(up_Irr!U25=".",up_Irr!AS25=".",up_Irr!BQ25="."),up_dir!V25*1000)))))))),".")</f>
        <v>6.5773651144152131E-4</v>
      </c>
      <c r="W25" s="48">
        <f>IFERROR(IF(AND(up_Irr!V25&lt;&gt;".",up_Irr!AT25&lt;&gt;".",up_Irr!BR25&lt;&gt;"."),up_dir!W25/((1/1000)*(up_Irr!V25+up_Irr!AT25+up_Irr!BR25)),IF(AND(up_Irr!V25&lt;&gt;".",up_Irr!AT25&lt;&gt;".",up_Irr!BR25="."),up_dir!W25/((1/1000)*(up_Irr!V25+up_Irr!AT25)),IF(AND(up_Irr!V25&lt;&gt;".",up_Irr!AT25=".",up_Irr!BR25&lt;&gt;"."),up_dir!W25/((1/1000)*(up_Irr!V25+up_Irr!BR25)),IF(AND(up_Irr!V25=".",up_Irr!AT25&lt;&gt;".",up_Irr!BR25&lt;&gt;"."),up_dir!W25/((1/1000)*(up_Irr!AT25+up_Irr!BR25)),IF(AND(up_Irr!V25=".",up_Irr!AT25=".",up_Irr!BR25&lt;&gt;"."),up_dir!W25/((1/1000)*(up_Irr!BR25)),IF(AND(up_Irr!V25=".",up_Irr!AT25&lt;&gt;".",up_Irr!BR25="."),up_dir!W25/((1/1000)*(up_Irr!AT25)),IF(AND(up_Irr!V25&lt;&gt;".",up_Irr!AT25=".",up_Irr!BR25="."),up_dir!W25/((1/1000)*(up_Irr!V25)),IF(AND(up_Irr!V25=".",up_Irr!AT25=".",up_Irr!BR25="."),up_dir!W25*1000)))))))),".")</f>
        <v>6.5773651144152131E-4</v>
      </c>
      <c r="X25" s="48">
        <f>IFERROR(IF(AND(up_Irr!W25&lt;&gt;".",up_Irr!AU25&lt;&gt;".",up_Irr!BS25&lt;&gt;"."),up_dir!X25/((1/1000)*(up_Irr!W25+up_Irr!AU25+up_Irr!BS25)),IF(AND(up_Irr!W25&lt;&gt;".",up_Irr!AU25&lt;&gt;".",up_Irr!BS25="."),up_dir!X25/((1/1000)*(up_Irr!W25+up_Irr!AU25)),IF(AND(up_Irr!W25&lt;&gt;".",up_Irr!AU25=".",up_Irr!BS25&lt;&gt;"."),up_dir!X25/((1/1000)*(up_Irr!W25+up_Irr!BS25)),IF(AND(up_Irr!W25=".",up_Irr!AU25&lt;&gt;".",up_Irr!BS25&lt;&gt;"."),up_dir!X25/((1/1000)*(up_Irr!AU25+up_Irr!BS25)),IF(AND(up_Irr!W25=".",up_Irr!AU25=".",up_Irr!BS25&lt;&gt;"."),up_dir!X25/((1/1000)*(up_Irr!BS25)),IF(AND(up_Irr!W25=".",up_Irr!AU25&lt;&gt;".",up_Irr!BS25="."),up_dir!X25/((1/1000)*(up_Irr!AU25)),IF(AND(up_Irr!W25&lt;&gt;".",up_Irr!AU25=".",up_Irr!BS25="."),up_dir!X25/((1/1000)*(up_Irr!W25)),IF(AND(up_Irr!W25=".",up_Irr!AU25=".",up_Irr!BS25="."),up_dir!X25*1000)))))))),".")</f>
        <v>6.5773651144152131E-4</v>
      </c>
      <c r="Y25" s="48">
        <f>IFERROR(IF(AND(up_Irr!X25&lt;&gt;".",up_Irr!AV25&lt;&gt;".",up_Irr!BT25&lt;&gt;"."),up_dir!Y25/((1/1000)*(up_Irr!X25+up_Irr!AV25+up_Irr!BT25)),IF(AND(up_Irr!X25&lt;&gt;".",up_Irr!AV25&lt;&gt;".",up_Irr!BT25="."),up_dir!Y25/((1/1000)*(up_Irr!X25+up_Irr!AV25)),IF(AND(up_Irr!X25&lt;&gt;".",up_Irr!AV25=".",up_Irr!BT25&lt;&gt;"."),up_dir!Y25/((1/1000)*(up_Irr!X25+up_Irr!BT25)),IF(AND(up_Irr!X25=".",up_Irr!AV25&lt;&gt;".",up_Irr!BT25&lt;&gt;"."),up_dir!Y25/((1/1000)*(up_Irr!AV25+up_Irr!BT25)),IF(AND(up_Irr!X25=".",up_Irr!AV25=".",up_Irr!BT25&lt;&gt;"."),up_dir!Y25/((1/1000)*(up_Irr!BT25)),IF(AND(up_Irr!X25=".",up_Irr!AV25&lt;&gt;".",up_Irr!BT25="."),up_dir!Y25/((1/1000)*(up_Irr!AV25)),IF(AND(up_Irr!X25&lt;&gt;".",up_Irr!AV25=".",up_Irr!BT25="."),up_dir!Y25/((1/1000)*(up_Irr!X25)),IF(AND(up_Irr!X25=".",up_Irr!AV25=".",up_Irr!BT25="."),up_dir!Y25*1000)))))))),".")</f>
        <v>6.5773651144152131E-4</v>
      </c>
      <c r="Z25" s="48">
        <f>IFERROR(IF(AND(up_Irr!Y25&lt;&gt;".",up_Irr!AW25&lt;&gt;".",up_Irr!BU25&lt;&gt;"."),up_dir!Z25/((1/1000)*(up_Irr!Y25+up_Irr!AW25+up_Irr!BU25)),IF(AND(up_Irr!Y25&lt;&gt;".",up_Irr!AW25&lt;&gt;".",up_Irr!BU25="."),up_dir!Z25/((1/1000)*(up_Irr!Y25+up_Irr!AW25)),IF(AND(up_Irr!Y25&lt;&gt;".",up_Irr!AW25=".",up_Irr!BU25&lt;&gt;"."),up_dir!Z25/((1/1000)*(up_Irr!Y25+up_Irr!BU25)),IF(AND(up_Irr!Y25=".",up_Irr!AW25&lt;&gt;".",up_Irr!BU25&lt;&gt;"."),up_dir!Z25/((1/1000)*(up_Irr!AW25+up_Irr!BU25)),IF(AND(up_Irr!Y25=".",up_Irr!AW25=".",up_Irr!BU25&lt;&gt;"."),up_dir!Z25/((1/1000)*(up_Irr!BU25)),IF(AND(up_Irr!Y25=".",up_Irr!AW25&lt;&gt;".",up_Irr!BU25="."),up_dir!Z25/((1/1000)*(up_Irr!AW25)),IF(AND(up_Irr!Y25&lt;&gt;".",up_Irr!AW25=".",up_Irr!BU25="."),up_dir!Z25/((1/1000)*(up_Irr!Y25)),IF(AND(up_Irr!Y25=".",up_Irr!AW25=".",up_Irr!BU25="."),up_dir!Z25*1000)))))))),".")</f>
        <v>6.5773651144152131E-4</v>
      </c>
      <c r="AA25" s="48">
        <f>IFERROR(IF(AND(up_Irr!Z25&lt;&gt;".",up_Irr!AX25&lt;&gt;".",up_Irr!BV25&lt;&gt;"."),up_dir!AA25/((1/1000)*(up_Irr!Z25+up_Irr!AX25+up_Irr!BV25)),IF(AND(up_Irr!Z25&lt;&gt;".",up_Irr!AX25&lt;&gt;".",up_Irr!BV25="."),up_dir!AA25/((1/1000)*(up_Irr!Z25+up_Irr!AX25)),IF(AND(up_Irr!Z25&lt;&gt;".",up_Irr!AX25=".",up_Irr!BV25&lt;&gt;"."),up_dir!AA25/((1/1000)*(up_Irr!Z25+up_Irr!BV25)),IF(AND(up_Irr!Z25=".",up_Irr!AX25&lt;&gt;".",up_Irr!BV25&lt;&gt;"."),up_dir!AA25/((1/1000)*(up_Irr!AX25+up_Irr!BV25)),IF(AND(up_Irr!Z25=".",up_Irr!AX25=".",up_Irr!BV25&lt;&gt;"."),up_dir!AA25/((1/1000)*(up_Irr!BV25)),IF(AND(up_Irr!Z25=".",up_Irr!AX25&lt;&gt;".",up_Irr!BV25="."),up_dir!AA25/((1/1000)*(up_Irr!AX25)),IF(AND(up_Irr!Z25&lt;&gt;".",up_Irr!AX25=".",up_Irr!BV25="."),up_dir!AA25/((1/1000)*(up_Irr!Z25)),IF(AND(up_Irr!Z25=".",up_Irr!AX25=".",up_Irr!BV25="."),up_dir!AA25*1000)))))))),".")</f>
        <v>6.5773651144152131E-4</v>
      </c>
      <c r="AB25" s="62">
        <f t="shared" si="1"/>
        <v>22805.4847785862</v>
      </c>
      <c r="AC25" s="62">
        <f>IFERROR(s_C*s_IFAP_res_adj*s_CF_apple*0.001*(up_Irr!C25+up_Irr!AA25+up_Irr!AY25),".")</f>
        <v>7601.8282595287337</v>
      </c>
      <c r="AD25" s="62">
        <f>IFERROR(s_C*s_IFAS_res_adj*s_CF_asparagus*0.001*(up_Irr!D25+up_Irr!AB25+up_Irr!AZ25),".")</f>
        <v>7601.8282595287337</v>
      </c>
      <c r="AE25" s="62">
        <f>IFERROR(s_C*s_IFBT_res_adj*s_CF_beet*0.001*(up_Irr!E25+up_Irr!AC25+up_Irr!BA25),".")</f>
        <v>7601.8282595287337</v>
      </c>
      <c r="AF25" s="62">
        <f>IFERROR(s_C*s_IFBE_res_adj*s_CF_berries*0.001*(up_Irr!F25+up_Irr!AD25+up_Irr!BB25),".")</f>
        <v>7601.8282595287337</v>
      </c>
      <c r="AG25" s="62">
        <f>IFERROR(s_C*s_IFBR_res_adj*s_CF_broccoli*0.001*(up_Irr!G25+up_Irr!AE25+up_Irr!BC25),".")</f>
        <v>7601.8282595287337</v>
      </c>
      <c r="AH25" s="62">
        <f>IFERROR(s_C*s_IFCB_res_adj*s_CF_cabbage*0.001*(up_Irr!H25+up_Irr!AF25+up_Irr!BD25),".")</f>
        <v>7601.8282595287337</v>
      </c>
      <c r="AI25" s="62">
        <f>IFERROR(s_C*s_IFCR_res_adj*s_CF_carrot*0.001*(up_Irr!I25+up_Irr!AG25+up_Irr!BE25),".")</f>
        <v>7601.8282595287337</v>
      </c>
      <c r="AJ25" s="62">
        <f>IFERROR(s_C*s_IFCI_res_adj*s_CF_citrus*0.001*(up_Irr!J25+up_Irr!AH25+up_Irr!BF25),".")</f>
        <v>7601.8282595287337</v>
      </c>
      <c r="AK25" s="62">
        <f>IFERROR(s_C*s_IFCO_res_adj*s_CF_corn*0.001*(up_Irr!K25+up_Irr!AI25+up_Irr!BG25),".")</f>
        <v>7601.8282595287337</v>
      </c>
      <c r="AL25" s="62">
        <f>IFERROR(s_C*s_IFCU_res_adj*s_CF_cucumber*0.001*(up_Irr!L25+up_Irr!AJ25+up_Irr!BH25),".")</f>
        <v>7601.8282595287337</v>
      </c>
      <c r="AM25" s="62">
        <f>IFERROR(s_C*s_IFLE_res_adj*s_CF_lettuce*0.001*(up_Irr!M25+up_Irr!AK25+up_Irr!BI25),".")</f>
        <v>7601.8282595287337</v>
      </c>
      <c r="AN25" s="62">
        <f>IFERROR(s_C*s_IFLI_res_adj*s_CF_lima_bean*0.001*(up_Irr!N25+up_Irr!AL25+up_Irr!BJ25),".")</f>
        <v>7601.8282595287337</v>
      </c>
      <c r="AO25" s="62">
        <f>IFERROR(s_C*s_IFOK_res_adj*s_CF_okra*0.001*(up_Irr!O25+up_Irr!AM25+up_Irr!BK25),".")</f>
        <v>7601.8282595287337</v>
      </c>
      <c r="AP25" s="62">
        <f>IFERROR(s_C*s_IFON_res_adj*s_CF_onion*0.001*(up_Irr!P25+up_Irr!AN25+up_Irr!BL25),".")</f>
        <v>7601.8282595287337</v>
      </c>
      <c r="AQ25" s="62">
        <f>IFERROR(s_C*s_IFPC_res_adj*s_CF_peach*0.001*(up_Irr!Q25+up_Irr!AO25+up_Irr!BM25),".")</f>
        <v>7601.8282595287337</v>
      </c>
      <c r="AR25" s="62">
        <f>IFERROR(s_C*s_IFPR_res_adj*s_CF_pear*0.001*(up_Irr!R25+up_Irr!AP25+up_Irr!BN25),".")</f>
        <v>7601.8282595287337</v>
      </c>
      <c r="AS25" s="62">
        <f>IFERROR(s_C*s_IFPE_res_adj*s_CF_peas*0.001*(up_Irr!S25+up_Irr!AQ25+up_Irr!BO25),".")</f>
        <v>7601.8282595287337</v>
      </c>
      <c r="AT25" s="62">
        <f>IFERROR(s_C*s_IFPT_res_adj*s_CF_potato*0.001*(up_Irr!T25+up_Irr!AR25+up_Irr!BP25),".")</f>
        <v>7601.8282595287337</v>
      </c>
      <c r="AU25" s="62">
        <f>IFERROR(s_C*s_IFPU_res_adj*s_CF_pumpkin*0.001*(up_Irr!U25+up_Irr!AS25+up_Irr!BQ25),".")</f>
        <v>7601.8282595287337</v>
      </c>
      <c r="AV25" s="62">
        <f>IFERROR(s_C*s_IFSN_res_adj*s_CF_snap_bean*0.001*(up_Irr!V25+up_Irr!AT25+up_Irr!BR25),".")</f>
        <v>7601.8282595287337</v>
      </c>
      <c r="AW25" s="62">
        <f>IFERROR(s_C*s_IFST_res_adj*s_CF_strawberry*0.001*(up_Irr!W25+up_Irr!AU25+up_Irr!BS25),".")</f>
        <v>7601.8282595287337</v>
      </c>
      <c r="AX25" s="62">
        <f>IFERROR(s_C*s_IFTO_res_adj*s_CF_tomato*0.001*(up_Irr!X25+up_Irr!AV25+up_Irr!BT25),".")</f>
        <v>7601.8282595287337</v>
      </c>
      <c r="AY25" s="62">
        <f>IFERROR(s_C*s_IFRI_res_adj*s_CF_rice*0.001*(up_Irr!Y25+up_Irr!AW25+up_Irr!BU25),".")</f>
        <v>7601.8282595287337</v>
      </c>
      <c r="AZ25" s="62">
        <f>IFERROR(s_C*s_IFCG_res_adj*s_CF_cereal*0.001*(up_Irr!Z25+up_Irr!AX25+up_Irr!BV25),".")</f>
        <v>7601.8282595287337</v>
      </c>
      <c r="BA25" s="48">
        <f t="shared" si="2"/>
        <v>2.1924550381384044E-4</v>
      </c>
      <c r="BB25" s="48">
        <f>IFERROR(IF(AND(up_Irr!C25&lt;&gt;".",up_Irr!AA25&lt;&gt;".",up_Irr!AY25&lt;&gt;"."),up_dir!AC25/((1/1000)*(up_Irr!C25+up_Irr!AA25+up_Irr!AY25)),IF(AND(up_Irr!C25&lt;&gt;".",up_Irr!AA25&lt;&gt;".",up_Irr!AY25="."),up_dir!AC25/((1/1000)*(up_Irr!C25+up_Irr!AA25)),IF(AND(up_Irr!C25&lt;&gt;".",up_Irr!AA25=".",up_Irr!AY25&lt;&gt;"."),up_dir!AC25/((1/1000)*(up_Irr!C25+up_Irr!AY25)),IF(AND(up_Irr!C25=".",up_Irr!AA25&lt;&gt;".",up_Irr!AY25&lt;&gt;"."),up_dir!AC25/((1/1000)*(up_Irr!AA25+up_Irr!AY25)),IF(AND(up_Irr!C25=".",up_Irr!AA25=".",up_Irr!AY25&lt;&gt;"."),up_dir!AC25/((1/1000)*(up_Irr!AY25)),IF(AND(up_Irr!C25=".",up_Irr!AA25&lt;&gt;".",up_Irr!AY25="."),up_dir!AC25/((1/1000)*(up_Irr!AA25)),IF(AND(up_Irr!C25&lt;&gt;".",up_Irr!AA25=".",up_Irr!AY25="."),up_dir!AC25/((1/1000)*(up_Irr!C25)),IF(AND(up_Irr!C25=".",up_Irr!AA25=".",up_Irr!AY25="."),up_dir!AC25*1000)))))))),".")</f>
        <v>6.5773651144152131E-4</v>
      </c>
      <c r="BC25" s="48">
        <f>IFERROR(IF(AND(up_Irr!D25&lt;&gt;".",up_Irr!AB25&lt;&gt;".",up_Irr!AZ25&lt;&gt;"."),up_dir!AD25/((1/1000)*(up_Irr!D25+up_Irr!AB25+up_Irr!AZ25)),IF(AND(up_Irr!D25&lt;&gt;".",up_Irr!AB25&lt;&gt;".",up_Irr!AZ25="."),up_dir!AD25/((1/1000)*(up_Irr!D25+up_Irr!AB25)),IF(AND(up_Irr!D25&lt;&gt;".",up_Irr!AB25=".",up_Irr!AZ25&lt;&gt;"."),up_dir!AD25/((1/1000)*(up_Irr!D25+up_Irr!AZ25)),IF(AND(up_Irr!D25=".",up_Irr!AB25&lt;&gt;".",up_Irr!AZ25&lt;&gt;"."),up_dir!AD25/((1/1000)*(up_Irr!AB25+up_Irr!AZ25)),IF(AND(up_Irr!D25=".",up_Irr!AB25=".",up_Irr!AZ25&lt;&gt;"."),up_dir!AD25/((1/1000)*(up_Irr!AZ25)),IF(AND(up_Irr!D25=".",up_Irr!AB25&lt;&gt;".",up_Irr!AZ25="."),up_dir!AD25/((1/1000)*(up_Irr!AB25)),IF(AND(up_Irr!D25&lt;&gt;".",up_Irr!AB25=".",up_Irr!AZ25="."),up_dir!AD25/((1/1000)*(up_Irr!D25)),IF(AND(up_Irr!D25=".",up_Irr!AB25=".",up_Irr!AZ25="."),up_dir!AD25*1000)))))))),".")</f>
        <v>6.5773651144152131E-4</v>
      </c>
      <c r="BD25" s="48">
        <f>IFERROR(IF(AND(up_Irr!E25&lt;&gt;".",up_Irr!AC25&lt;&gt;".",up_Irr!BA25&lt;&gt;"."),up_dir!AE25/((1/1000)*(up_Irr!E25+up_Irr!AC25+up_Irr!BA25)),IF(AND(up_Irr!E25&lt;&gt;".",up_Irr!AC25&lt;&gt;".",up_Irr!BA25="."),up_dir!AE25/((1/1000)*(up_Irr!E25+up_Irr!AC25)),IF(AND(up_Irr!E25&lt;&gt;".",up_Irr!AC25=".",up_Irr!BA25&lt;&gt;"."),up_dir!AE25/((1/1000)*(up_Irr!E25+up_Irr!BA25)),IF(AND(up_Irr!E25=".",up_Irr!AC25&lt;&gt;".",up_Irr!BA25&lt;&gt;"."),up_dir!AE25/((1/1000)*(up_Irr!AC25+up_Irr!BA25)),IF(AND(up_Irr!E25=".",up_Irr!AC25=".",up_Irr!BA25&lt;&gt;"."),up_dir!AE25/((1/1000)*(up_Irr!BA25)),IF(AND(up_Irr!E25=".",up_Irr!AC25&lt;&gt;".",up_Irr!BA25="."),up_dir!AE25/((1/1000)*(up_Irr!AC25)),IF(AND(up_Irr!E25&lt;&gt;".",up_Irr!AC25=".",up_Irr!BA25="."),up_dir!AE25/((1/1000)*(up_Irr!E25)),IF(AND(up_Irr!E25=".",up_Irr!AC25=".",up_Irr!BA25="."),up_dir!AE25*1000)))))))),".")</f>
        <v>6.5773651144152131E-4</v>
      </c>
      <c r="BE25" s="48">
        <f>IFERROR(IF(AND(up_Irr!F25&lt;&gt;".",up_Irr!AD25&lt;&gt;".",up_Irr!BB25&lt;&gt;"."),up_dir!AF25/((1/1000)*(up_Irr!F25+up_Irr!AD25+up_Irr!BB25)),IF(AND(up_Irr!F25&lt;&gt;".",up_Irr!AD25&lt;&gt;".",up_Irr!BB25="."),up_dir!AF25/((1/1000)*(up_Irr!F25+up_Irr!AD25)),IF(AND(up_Irr!F25&lt;&gt;".",up_Irr!AD25=".",up_Irr!BB25&lt;&gt;"."),up_dir!AF25/((1/1000)*(up_Irr!F25+up_Irr!BB25)),IF(AND(up_Irr!F25=".",up_Irr!AD25&lt;&gt;".",up_Irr!BB25&lt;&gt;"."),up_dir!AF25/((1/1000)*(up_Irr!AD25+up_Irr!BB25)),IF(AND(up_Irr!F25=".",up_Irr!AD25=".",up_Irr!BB25&lt;&gt;"."),up_dir!AF25/((1/1000)*(up_Irr!BB25)),IF(AND(up_Irr!F25=".",up_Irr!AD25&lt;&gt;".",up_Irr!BB25="."),up_dir!AF25/((1/1000)*(up_Irr!AD25)),IF(AND(up_Irr!F25&lt;&gt;".",up_Irr!AD25=".",up_Irr!BB25="."),up_dir!AF25/((1/1000)*(up_Irr!F25)),IF(AND(up_Irr!F25=".",up_Irr!AD25=".",up_Irr!BB25="."),up_dir!AF25*1000)))))))),".")</f>
        <v>6.5773651144152131E-4</v>
      </c>
      <c r="BF25" s="48">
        <f>IFERROR(IF(AND(up_Irr!G25&lt;&gt;".",up_Irr!AE25&lt;&gt;".",up_Irr!BC25&lt;&gt;"."),up_dir!AG25/((1/1000)*(up_Irr!G25+up_Irr!AE25+up_Irr!BC25)),IF(AND(up_Irr!G25&lt;&gt;".",up_Irr!AE25&lt;&gt;".",up_Irr!BC25="."),up_dir!AG25/((1/1000)*(up_Irr!G25+up_Irr!AE25)),IF(AND(up_Irr!G25&lt;&gt;".",up_Irr!AE25=".",up_Irr!BC25&lt;&gt;"."),up_dir!AG25/((1/1000)*(up_Irr!G25+up_Irr!BC25)),IF(AND(up_Irr!G25=".",up_Irr!AE25&lt;&gt;".",up_Irr!BC25&lt;&gt;"."),up_dir!AG25/((1/1000)*(up_Irr!AE25+up_Irr!BC25)),IF(AND(up_Irr!G25=".",up_Irr!AE25=".",up_Irr!BC25&lt;&gt;"."),up_dir!AG25/((1/1000)*(up_Irr!BC25)),IF(AND(up_Irr!G25=".",up_Irr!AE25&lt;&gt;".",up_Irr!BC25="."),up_dir!AG25/((1/1000)*(up_Irr!AE25)),IF(AND(up_Irr!G25&lt;&gt;".",up_Irr!AE25=".",up_Irr!BC25="."),up_dir!AG25/((1/1000)*(up_Irr!G25)),IF(AND(up_Irr!G25=".",up_Irr!AE25=".",up_Irr!BC25="."),up_dir!AG25*1000)))))))),".")</f>
        <v>6.5773651144152131E-4</v>
      </c>
      <c r="BG25" s="48">
        <f>IFERROR(IF(AND(up_Irr!H25&lt;&gt;".",up_Irr!AF25&lt;&gt;".",up_Irr!BD25&lt;&gt;"."),up_dir!AH25/((1/1000)*(up_Irr!H25+up_Irr!AF25+up_Irr!BD25)),IF(AND(up_Irr!H25&lt;&gt;".",up_Irr!AF25&lt;&gt;".",up_Irr!BD25="."),up_dir!AH25/((1/1000)*(up_Irr!H25+up_Irr!AF25)),IF(AND(up_Irr!H25&lt;&gt;".",up_Irr!AF25=".",up_Irr!BD25&lt;&gt;"."),up_dir!AH25/((1/1000)*(up_Irr!H25+up_Irr!BD25)),IF(AND(up_Irr!H25=".",up_Irr!AF25&lt;&gt;".",up_Irr!BD25&lt;&gt;"."),up_dir!AH25/((1/1000)*(up_Irr!AF25+up_Irr!BD25)),IF(AND(up_Irr!H25=".",up_Irr!AF25=".",up_Irr!BD25&lt;&gt;"."),up_dir!AH25/((1/1000)*(up_Irr!BD25)),IF(AND(up_Irr!H25=".",up_Irr!AF25&lt;&gt;".",up_Irr!BD25="."),up_dir!AH25/((1/1000)*(up_Irr!AF25)),IF(AND(up_Irr!H25&lt;&gt;".",up_Irr!AF25=".",up_Irr!BD25="."),up_dir!AH25/((1/1000)*(up_Irr!H25)),IF(AND(up_Irr!H25=".",up_Irr!AF25=".",up_Irr!BD25="."),up_dir!AH25*1000)))))))),".")</f>
        <v>6.5773651144152131E-4</v>
      </c>
      <c r="BH25" s="48">
        <f>IFERROR(IF(AND(up_Irr!I25&lt;&gt;".",up_Irr!AG25&lt;&gt;".",up_Irr!BE25&lt;&gt;"."),up_dir!AI25/((1/1000)*(up_Irr!I25+up_Irr!AG25+up_Irr!BE25)),IF(AND(up_Irr!I25&lt;&gt;".",up_Irr!AG25&lt;&gt;".",up_Irr!BE25="."),up_dir!AI25/((1/1000)*(up_Irr!I25+up_Irr!AG25)),IF(AND(up_Irr!I25&lt;&gt;".",up_Irr!AG25=".",up_Irr!BE25&lt;&gt;"."),up_dir!AI25/((1/1000)*(up_Irr!I25+up_Irr!BE25)),IF(AND(up_Irr!I25=".",up_Irr!AG25&lt;&gt;".",up_Irr!BE25&lt;&gt;"."),up_dir!AI25/((1/1000)*(up_Irr!AG25+up_Irr!BE25)),IF(AND(up_Irr!I25=".",up_Irr!AG25=".",up_Irr!BE25&lt;&gt;"."),up_dir!AI25/((1/1000)*(up_Irr!BE25)),IF(AND(up_Irr!I25=".",up_Irr!AG25&lt;&gt;".",up_Irr!BE25="."),up_dir!AI25/((1/1000)*(up_Irr!AG25)),IF(AND(up_Irr!I25&lt;&gt;".",up_Irr!AG25=".",up_Irr!BE25="."),up_dir!AI25/((1/1000)*(up_Irr!I25)),IF(AND(up_Irr!I25=".",up_Irr!AG25=".",up_Irr!BE25="."),up_dir!AI25*1000)))))))),".")</f>
        <v>6.5773651144152131E-4</v>
      </c>
      <c r="BI25" s="48">
        <f>IFERROR(IF(AND(up_Irr!J25&lt;&gt;".",up_Irr!AH25&lt;&gt;".",up_Irr!BF25&lt;&gt;"."),up_dir!AJ25/((1/1000)*(up_Irr!J25+up_Irr!AH25+up_Irr!BF25)),IF(AND(up_Irr!J25&lt;&gt;".",up_Irr!AH25&lt;&gt;".",up_Irr!BF25="."),up_dir!AJ25/((1/1000)*(up_Irr!J25+up_Irr!AH25)),IF(AND(up_Irr!J25&lt;&gt;".",up_Irr!AH25=".",up_Irr!BF25&lt;&gt;"."),up_dir!AJ25/((1/1000)*(up_Irr!J25+up_Irr!BF25)),IF(AND(up_Irr!J25=".",up_Irr!AH25&lt;&gt;".",up_Irr!BF25&lt;&gt;"."),up_dir!AJ25/((1/1000)*(up_Irr!AH25+up_Irr!BF25)),IF(AND(up_Irr!J25=".",up_Irr!AH25=".",up_Irr!BF25&lt;&gt;"."),up_dir!AJ25/((1/1000)*(up_Irr!BF25)),IF(AND(up_Irr!J25=".",up_Irr!AH25&lt;&gt;".",up_Irr!BF25="."),up_dir!AJ25/((1/1000)*(up_Irr!AH25)),IF(AND(up_Irr!J25&lt;&gt;".",up_Irr!AH25=".",up_Irr!BF25="."),up_dir!AJ25/((1/1000)*(up_Irr!J25)),IF(AND(up_Irr!J25=".",up_Irr!AH25=".",up_Irr!BF25="."),up_dir!AJ25*1000)))))))),".")</f>
        <v>6.5773651144152131E-4</v>
      </c>
      <c r="BJ25" s="48">
        <f>IFERROR(IF(AND(up_Irr!K25&lt;&gt;".",up_Irr!AI25&lt;&gt;".",up_Irr!BG25&lt;&gt;"."),up_dir!AK25/((1/1000)*(up_Irr!K25+up_Irr!AI25+up_Irr!BG25)),IF(AND(up_Irr!K25&lt;&gt;".",up_Irr!AI25&lt;&gt;".",up_Irr!BG25="."),up_dir!AK25/((1/1000)*(up_Irr!K25+up_Irr!AI25)),IF(AND(up_Irr!K25&lt;&gt;".",up_Irr!AI25=".",up_Irr!BG25&lt;&gt;"."),up_dir!AK25/((1/1000)*(up_Irr!K25+up_Irr!BG25)),IF(AND(up_Irr!K25=".",up_Irr!AI25&lt;&gt;".",up_Irr!BG25&lt;&gt;"."),up_dir!AK25/((1/1000)*(up_Irr!AI25+up_Irr!BG25)),IF(AND(up_Irr!K25=".",up_Irr!AI25=".",up_Irr!BG25&lt;&gt;"."),up_dir!AK25/((1/1000)*(up_Irr!BG25)),IF(AND(up_Irr!K25=".",up_Irr!AI25&lt;&gt;".",up_Irr!BG25="."),up_dir!AK25/((1/1000)*(up_Irr!AI25)),IF(AND(up_Irr!K25&lt;&gt;".",up_Irr!AI25=".",up_Irr!BG25="."),up_dir!AK25/((1/1000)*(up_Irr!K25)),IF(AND(up_Irr!K25=".",up_Irr!AI25=".",up_Irr!BG25="."),up_dir!AK25*1000)))))))),".")</f>
        <v>6.5773651144152131E-4</v>
      </c>
      <c r="BK25" s="48">
        <f>IFERROR(IF(AND(up_Irr!L25&lt;&gt;".",up_Irr!AJ25&lt;&gt;".",up_Irr!BH25&lt;&gt;"."),up_dir!AL25/((1/1000)*(up_Irr!L25+up_Irr!AJ25+up_Irr!BH25)),IF(AND(up_Irr!L25&lt;&gt;".",up_Irr!AJ25&lt;&gt;".",up_Irr!BH25="."),up_dir!AL25/((1/1000)*(up_Irr!L25+up_Irr!AJ25)),IF(AND(up_Irr!L25&lt;&gt;".",up_Irr!AJ25=".",up_Irr!BH25&lt;&gt;"."),up_dir!AL25/((1/1000)*(up_Irr!L25+up_Irr!BH25)),IF(AND(up_Irr!L25=".",up_Irr!AJ25&lt;&gt;".",up_Irr!BH25&lt;&gt;"."),up_dir!AL25/((1/1000)*(up_Irr!AJ25+up_Irr!BH25)),IF(AND(up_Irr!L25=".",up_Irr!AJ25=".",up_Irr!BH25&lt;&gt;"."),up_dir!AL25/((1/1000)*(up_Irr!BH25)),IF(AND(up_Irr!L25=".",up_Irr!AJ25&lt;&gt;".",up_Irr!BH25="."),up_dir!AL25/((1/1000)*(up_Irr!AJ25)),IF(AND(up_Irr!L25&lt;&gt;".",up_Irr!AJ25=".",up_Irr!BH25="."),up_dir!AL25/((1/1000)*(up_Irr!L25)),IF(AND(up_Irr!L25=".",up_Irr!AJ25=".",up_Irr!BH25="."),up_dir!AL25*1000)))))))),".")</f>
        <v>6.5773651144152131E-4</v>
      </c>
      <c r="BL25" s="48">
        <f>IFERROR(IF(AND(up_Irr!M25&lt;&gt;".",up_Irr!AK25&lt;&gt;".",up_Irr!BI25&lt;&gt;"."),up_dir!AM25/((1/1000)*(up_Irr!M25+up_Irr!AK25+up_Irr!BI25)),IF(AND(up_Irr!M25&lt;&gt;".",up_Irr!AK25&lt;&gt;".",up_Irr!BI25="."),up_dir!AM25/((1/1000)*(up_Irr!M25+up_Irr!AK25)),IF(AND(up_Irr!M25&lt;&gt;".",up_Irr!AK25=".",up_Irr!BI25&lt;&gt;"."),up_dir!AM25/((1/1000)*(up_Irr!M25+up_Irr!BI25)),IF(AND(up_Irr!M25=".",up_Irr!AK25&lt;&gt;".",up_Irr!BI25&lt;&gt;"."),up_dir!AM25/((1/1000)*(up_Irr!AK25+up_Irr!BI25)),IF(AND(up_Irr!M25=".",up_Irr!AK25=".",up_Irr!BI25&lt;&gt;"."),up_dir!AM25/((1/1000)*(up_Irr!BI25)),IF(AND(up_Irr!M25=".",up_Irr!AK25&lt;&gt;".",up_Irr!BI25="."),up_dir!AM25/((1/1000)*(up_Irr!AK25)),IF(AND(up_Irr!M25&lt;&gt;".",up_Irr!AK25=".",up_Irr!BI25="."),up_dir!AM25/((1/1000)*(up_Irr!M25)),IF(AND(up_Irr!M25=".",up_Irr!AK25=".",up_Irr!BI25="."),up_dir!AM25*1000)))))))),".")</f>
        <v>6.5773651144152131E-4</v>
      </c>
      <c r="BM25" s="48">
        <f>IFERROR(IF(AND(up_Irr!N25&lt;&gt;".",up_Irr!AL25&lt;&gt;".",up_Irr!BJ25&lt;&gt;"."),up_dir!AN25/((1/1000)*(up_Irr!N25+up_Irr!AL25+up_Irr!BJ25)),IF(AND(up_Irr!N25&lt;&gt;".",up_Irr!AL25&lt;&gt;".",up_Irr!BJ25="."),up_dir!AN25/((1/1000)*(up_Irr!N25+up_Irr!AL25)),IF(AND(up_Irr!N25&lt;&gt;".",up_Irr!AL25=".",up_Irr!BJ25&lt;&gt;"."),up_dir!AN25/((1/1000)*(up_Irr!N25+up_Irr!BJ25)),IF(AND(up_Irr!N25=".",up_Irr!AL25&lt;&gt;".",up_Irr!BJ25&lt;&gt;"."),up_dir!AN25/((1/1000)*(up_Irr!AL25+up_Irr!BJ25)),IF(AND(up_Irr!N25=".",up_Irr!AL25=".",up_Irr!BJ25&lt;&gt;"."),up_dir!AN25/((1/1000)*(up_Irr!BJ25)),IF(AND(up_Irr!N25=".",up_Irr!AL25&lt;&gt;".",up_Irr!BJ25="."),up_dir!AN25/((1/1000)*(up_Irr!AL25)),IF(AND(up_Irr!N25&lt;&gt;".",up_Irr!AL25=".",up_Irr!BJ25="."),up_dir!AN25/((1/1000)*(up_Irr!N25)),IF(AND(up_Irr!N25=".",up_Irr!AL25=".",up_Irr!BJ25="."),up_dir!AN25*1000)))))))),".")</f>
        <v>6.5773651144152131E-4</v>
      </c>
      <c r="BN25" s="48">
        <f>IFERROR(IF(AND(up_Irr!O25&lt;&gt;".",up_Irr!AM25&lt;&gt;".",up_Irr!BK25&lt;&gt;"."),up_dir!AO25/((1/1000)*(up_Irr!O25+up_Irr!AM25+up_Irr!BK25)),IF(AND(up_Irr!O25&lt;&gt;".",up_Irr!AM25&lt;&gt;".",up_Irr!BK25="."),up_dir!AO25/((1/1000)*(up_Irr!O25+up_Irr!AM25)),IF(AND(up_Irr!O25&lt;&gt;".",up_Irr!AM25=".",up_Irr!BK25&lt;&gt;"."),up_dir!AO25/((1/1000)*(up_Irr!O25+up_Irr!BK25)),IF(AND(up_Irr!O25=".",up_Irr!AM25&lt;&gt;".",up_Irr!BK25&lt;&gt;"."),up_dir!AO25/((1/1000)*(up_Irr!AM25+up_Irr!BK25)),IF(AND(up_Irr!O25=".",up_Irr!AM25=".",up_Irr!BK25&lt;&gt;"."),up_dir!AO25/((1/1000)*(up_Irr!BK25)),IF(AND(up_Irr!O25=".",up_Irr!AM25&lt;&gt;".",up_Irr!BK25="."),up_dir!AO25/((1/1000)*(up_Irr!AM25)),IF(AND(up_Irr!O25&lt;&gt;".",up_Irr!AM25=".",up_Irr!BK25="."),up_dir!AO25/((1/1000)*(up_Irr!O25)),IF(AND(up_Irr!O25=".",up_Irr!AM25=".",up_Irr!BK25="."),up_dir!AO25*1000)))))))),".")</f>
        <v>6.5773651144152131E-4</v>
      </c>
      <c r="BO25" s="48">
        <f>IFERROR(IF(AND(up_Irr!P25&lt;&gt;".",up_Irr!AN25&lt;&gt;".",up_Irr!BL25&lt;&gt;"."),up_dir!AP25/((1/1000)*(up_Irr!P25+up_Irr!AN25+up_Irr!BL25)),IF(AND(up_Irr!P25&lt;&gt;".",up_Irr!AN25&lt;&gt;".",up_Irr!BL25="."),up_dir!AP25/((1/1000)*(up_Irr!P25+up_Irr!AN25)),IF(AND(up_Irr!P25&lt;&gt;".",up_Irr!AN25=".",up_Irr!BL25&lt;&gt;"."),up_dir!AP25/((1/1000)*(up_Irr!P25+up_Irr!BL25)),IF(AND(up_Irr!P25=".",up_Irr!AN25&lt;&gt;".",up_Irr!BL25&lt;&gt;"."),up_dir!AP25/((1/1000)*(up_Irr!AN25+up_Irr!BL25)),IF(AND(up_Irr!P25=".",up_Irr!AN25=".",up_Irr!BL25&lt;&gt;"."),up_dir!AP25/((1/1000)*(up_Irr!BL25)),IF(AND(up_Irr!P25=".",up_Irr!AN25&lt;&gt;".",up_Irr!BL25="."),up_dir!AP25/((1/1000)*(up_Irr!AN25)),IF(AND(up_Irr!P25&lt;&gt;".",up_Irr!AN25=".",up_Irr!BL25="."),up_dir!AP25/((1/1000)*(up_Irr!P25)),IF(AND(up_Irr!P25=".",up_Irr!AN25=".",up_Irr!BL25="."),up_dir!AP25*1000)))))))),".")</f>
        <v>6.5773651144152131E-4</v>
      </c>
      <c r="BP25" s="48">
        <f>IFERROR(IF(AND(up_Irr!Q25&lt;&gt;".",up_Irr!AO25&lt;&gt;".",up_Irr!BM25&lt;&gt;"."),up_dir!AQ25/((1/1000)*(up_Irr!Q25+up_Irr!AO25+up_Irr!BM25)),IF(AND(up_Irr!Q25&lt;&gt;".",up_Irr!AO25&lt;&gt;".",up_Irr!BM25="."),up_dir!AQ25/((1/1000)*(up_Irr!Q25+up_Irr!AO25)),IF(AND(up_Irr!Q25&lt;&gt;".",up_Irr!AO25=".",up_Irr!BM25&lt;&gt;"."),up_dir!AQ25/((1/1000)*(up_Irr!Q25+up_Irr!BM25)),IF(AND(up_Irr!Q25=".",up_Irr!AO25&lt;&gt;".",up_Irr!BM25&lt;&gt;"."),up_dir!AQ25/((1/1000)*(up_Irr!AO25+up_Irr!BM25)),IF(AND(up_Irr!Q25=".",up_Irr!AO25=".",up_Irr!BM25&lt;&gt;"."),up_dir!AQ25/((1/1000)*(up_Irr!BM25)),IF(AND(up_Irr!Q25=".",up_Irr!AO25&lt;&gt;".",up_Irr!BM25="."),up_dir!AQ25/((1/1000)*(up_Irr!AO25)),IF(AND(up_Irr!Q25&lt;&gt;".",up_Irr!AO25=".",up_Irr!BM25="."),up_dir!AQ25/((1/1000)*(up_Irr!Q25)),IF(AND(up_Irr!Q25=".",up_Irr!AO25=".",up_Irr!BM25="."),up_dir!AQ25*1000)))))))),".")</f>
        <v>6.5773651144152131E-4</v>
      </c>
      <c r="BQ25" s="48">
        <f>IFERROR(IF(AND(up_Irr!R25&lt;&gt;".",up_Irr!AP25&lt;&gt;".",up_Irr!BN25&lt;&gt;"."),up_dir!AR25/((1/1000)*(up_Irr!R25+up_Irr!AP25+up_Irr!BN25)),IF(AND(up_Irr!R25&lt;&gt;".",up_Irr!AP25&lt;&gt;".",up_Irr!BN25="."),up_dir!AR25/((1/1000)*(up_Irr!R25+up_Irr!AP25)),IF(AND(up_Irr!R25&lt;&gt;".",up_Irr!AP25=".",up_Irr!BN25&lt;&gt;"."),up_dir!AR25/((1/1000)*(up_Irr!R25+up_Irr!BN25)),IF(AND(up_Irr!R25=".",up_Irr!AP25&lt;&gt;".",up_Irr!BN25&lt;&gt;"."),up_dir!AR25/((1/1000)*(up_Irr!AP25+up_Irr!BN25)),IF(AND(up_Irr!R25=".",up_Irr!AP25=".",up_Irr!BN25&lt;&gt;"."),up_dir!AR25/((1/1000)*(up_Irr!BN25)),IF(AND(up_Irr!R25=".",up_Irr!AP25&lt;&gt;".",up_Irr!BN25="."),up_dir!AR25/((1/1000)*(up_Irr!AP25)),IF(AND(up_Irr!R25&lt;&gt;".",up_Irr!AP25=".",up_Irr!BN25="."),up_dir!AR25/((1/1000)*(up_Irr!R25)),IF(AND(up_Irr!R25=".",up_Irr!AP25=".",up_Irr!BN25="."),up_dir!AR25*1000)))))))),".")</f>
        <v>6.5773651144152131E-4</v>
      </c>
      <c r="BR25" s="48">
        <f>IFERROR(IF(AND(up_Irr!S25&lt;&gt;".",up_Irr!AQ25&lt;&gt;".",up_Irr!BO25&lt;&gt;"."),up_dir!AS25/((1/1000)*(up_Irr!S25+up_Irr!AQ25+up_Irr!BO25)),IF(AND(up_Irr!S25&lt;&gt;".",up_Irr!AQ25&lt;&gt;".",up_Irr!BO25="."),up_dir!AS25/((1/1000)*(up_Irr!S25+up_Irr!AQ25)),IF(AND(up_Irr!S25&lt;&gt;".",up_Irr!AQ25=".",up_Irr!BO25&lt;&gt;"."),up_dir!AS25/((1/1000)*(up_Irr!S25+up_Irr!BO25)),IF(AND(up_Irr!S25=".",up_Irr!AQ25&lt;&gt;".",up_Irr!BO25&lt;&gt;"."),up_dir!AS25/((1/1000)*(up_Irr!AQ25+up_Irr!BO25)),IF(AND(up_Irr!S25=".",up_Irr!AQ25=".",up_Irr!BO25&lt;&gt;"."),up_dir!AS25/((1/1000)*(up_Irr!BO25)),IF(AND(up_Irr!S25=".",up_Irr!AQ25&lt;&gt;".",up_Irr!BO25="."),up_dir!AS25/((1/1000)*(up_Irr!AQ25)),IF(AND(up_Irr!S25&lt;&gt;".",up_Irr!AQ25=".",up_Irr!BO25="."),up_dir!AS25/((1/1000)*(up_Irr!S25)),IF(AND(up_Irr!S25=".",up_Irr!AQ25=".",up_Irr!BO25="."),up_dir!AS25*1000)))))))),".")</f>
        <v>6.5773651144152131E-4</v>
      </c>
      <c r="BS25" s="48">
        <f>IFERROR(IF(AND(up_Irr!T25&lt;&gt;".",up_Irr!AR25&lt;&gt;".",up_Irr!BP25&lt;&gt;"."),up_dir!AT25/((1/1000)*(up_Irr!T25+up_Irr!AR25+up_Irr!BP25)),IF(AND(up_Irr!T25&lt;&gt;".",up_Irr!AR25&lt;&gt;".",up_Irr!BP25="."),up_dir!AT25/((1/1000)*(up_Irr!T25+up_Irr!AR25)),IF(AND(up_Irr!T25&lt;&gt;".",up_Irr!AR25=".",up_Irr!BP25&lt;&gt;"."),up_dir!AT25/((1/1000)*(up_Irr!T25+up_Irr!BP25)),IF(AND(up_Irr!T25=".",up_Irr!AR25&lt;&gt;".",up_Irr!BP25&lt;&gt;"."),up_dir!AT25/((1/1000)*(up_Irr!AR25+up_Irr!BP25)),IF(AND(up_Irr!T25=".",up_Irr!AR25=".",up_Irr!BP25&lt;&gt;"."),up_dir!AT25/((1/1000)*(up_Irr!BP25)),IF(AND(up_Irr!T25=".",up_Irr!AR25&lt;&gt;".",up_Irr!BP25="."),up_dir!AT25/((1/1000)*(up_Irr!AR25)),IF(AND(up_Irr!T25&lt;&gt;".",up_Irr!AR25=".",up_Irr!BP25="."),up_dir!AT25/((1/1000)*(up_Irr!T25)),IF(AND(up_Irr!T25=".",up_Irr!AR25=".",up_Irr!BP25="."),up_dir!AT25*1000)))))))),".")</f>
        <v>6.5773651144152131E-4</v>
      </c>
      <c r="BT25" s="48">
        <f>IFERROR(IF(AND(up_Irr!U25&lt;&gt;".",up_Irr!AS25&lt;&gt;".",up_Irr!BQ25&lt;&gt;"."),up_dir!AU25/((1/1000)*(up_Irr!U25+up_Irr!AS25+up_Irr!BQ25)),IF(AND(up_Irr!U25&lt;&gt;".",up_Irr!AS25&lt;&gt;".",up_Irr!BQ25="."),up_dir!AU25/((1/1000)*(up_Irr!U25+up_Irr!AS25)),IF(AND(up_Irr!U25&lt;&gt;".",up_Irr!AS25=".",up_Irr!BQ25&lt;&gt;"."),up_dir!AU25/((1/1000)*(up_Irr!U25+up_Irr!BQ25)),IF(AND(up_Irr!U25=".",up_Irr!AS25&lt;&gt;".",up_Irr!BQ25&lt;&gt;"."),up_dir!AU25/((1/1000)*(up_Irr!AS25+up_Irr!BQ25)),IF(AND(up_Irr!U25=".",up_Irr!AS25=".",up_Irr!BQ25&lt;&gt;"."),up_dir!AU25/((1/1000)*(up_Irr!BQ25)),IF(AND(up_Irr!U25=".",up_Irr!AS25&lt;&gt;".",up_Irr!BQ25="."),up_dir!AU25/((1/1000)*(up_Irr!AS25)),IF(AND(up_Irr!U25&lt;&gt;".",up_Irr!AS25=".",up_Irr!BQ25="."),up_dir!AU25/((1/1000)*(up_Irr!U25)),IF(AND(up_Irr!U25=".",up_Irr!AS25=".",up_Irr!BQ25="."),up_dir!AU25*1000)))))))),".")</f>
        <v>6.5773651144152131E-4</v>
      </c>
      <c r="BU25" s="48">
        <f>IFERROR(IF(AND(up_Irr!V25&lt;&gt;".",up_Irr!AT25&lt;&gt;".",up_Irr!BR25&lt;&gt;"."),up_dir!AV25/((1/1000)*(up_Irr!V25+up_Irr!AT25+up_Irr!BR25)),IF(AND(up_Irr!V25&lt;&gt;".",up_Irr!AT25&lt;&gt;".",up_Irr!BR25="."),up_dir!AV25/((1/1000)*(up_Irr!V25+up_Irr!AT25)),IF(AND(up_Irr!V25&lt;&gt;".",up_Irr!AT25=".",up_Irr!BR25&lt;&gt;"."),up_dir!AV25/((1/1000)*(up_Irr!V25+up_Irr!BR25)),IF(AND(up_Irr!V25=".",up_Irr!AT25&lt;&gt;".",up_Irr!BR25&lt;&gt;"."),up_dir!AV25/((1/1000)*(up_Irr!AT25+up_Irr!BR25)),IF(AND(up_Irr!V25=".",up_Irr!AT25=".",up_Irr!BR25&lt;&gt;"."),up_dir!AV25/((1/1000)*(up_Irr!BR25)),IF(AND(up_Irr!V25=".",up_Irr!AT25&lt;&gt;".",up_Irr!BR25="."),up_dir!AV25/((1/1000)*(up_Irr!AT25)),IF(AND(up_Irr!V25&lt;&gt;".",up_Irr!AT25=".",up_Irr!BR25="."),up_dir!AV25/((1/1000)*(up_Irr!V25)),IF(AND(up_Irr!V25=".",up_Irr!AT25=".",up_Irr!BR25="."),up_dir!AV25*1000)))))))),".")</f>
        <v>6.5773651144152131E-4</v>
      </c>
      <c r="BV25" s="48">
        <f>IFERROR(IF(AND(up_Irr!W25&lt;&gt;".",up_Irr!AU25&lt;&gt;".",up_Irr!BS25&lt;&gt;"."),up_dir!AW25/((1/1000)*(up_Irr!W25+up_Irr!AU25+up_Irr!BS25)),IF(AND(up_Irr!W25&lt;&gt;".",up_Irr!AU25&lt;&gt;".",up_Irr!BS25="."),up_dir!AW25/((1/1000)*(up_Irr!W25+up_Irr!AU25)),IF(AND(up_Irr!W25&lt;&gt;".",up_Irr!AU25=".",up_Irr!BS25&lt;&gt;"."),up_dir!AW25/((1/1000)*(up_Irr!W25+up_Irr!BS25)),IF(AND(up_Irr!W25=".",up_Irr!AU25&lt;&gt;".",up_Irr!BS25&lt;&gt;"."),up_dir!AW25/((1/1000)*(up_Irr!AU25+up_Irr!BS25)),IF(AND(up_Irr!W25=".",up_Irr!AU25=".",up_Irr!BS25&lt;&gt;"."),up_dir!AW25/((1/1000)*(up_Irr!BS25)),IF(AND(up_Irr!W25=".",up_Irr!AU25&lt;&gt;".",up_Irr!BS25="."),up_dir!AW25/((1/1000)*(up_Irr!AU25)),IF(AND(up_Irr!W25&lt;&gt;".",up_Irr!AU25=".",up_Irr!BS25="."),up_dir!AW25/((1/1000)*(up_Irr!W25)),IF(AND(up_Irr!W25=".",up_Irr!AU25=".",up_Irr!BS25="."),up_dir!AW25*1000)))))))),".")</f>
        <v>6.5773651144152131E-4</v>
      </c>
      <c r="BW25" s="48">
        <f>IFERROR(IF(AND(up_Irr!X25&lt;&gt;".",up_Irr!AV25&lt;&gt;".",up_Irr!BT25&lt;&gt;"."),up_dir!AX25/((1/1000)*(up_Irr!X25+up_Irr!AV25+up_Irr!BT25)),IF(AND(up_Irr!X25&lt;&gt;".",up_Irr!AV25&lt;&gt;".",up_Irr!BT25="."),up_dir!AX25/((1/1000)*(up_Irr!X25+up_Irr!AV25)),IF(AND(up_Irr!X25&lt;&gt;".",up_Irr!AV25=".",up_Irr!BT25&lt;&gt;"."),up_dir!AX25/((1/1000)*(up_Irr!X25+up_Irr!BT25)),IF(AND(up_Irr!X25=".",up_Irr!AV25&lt;&gt;".",up_Irr!BT25&lt;&gt;"."),up_dir!AX25/((1/1000)*(up_Irr!AV25+up_Irr!BT25)),IF(AND(up_Irr!X25=".",up_Irr!AV25=".",up_Irr!BT25&lt;&gt;"."),up_dir!AX25/((1/1000)*(up_Irr!BT25)),IF(AND(up_Irr!X25=".",up_Irr!AV25&lt;&gt;".",up_Irr!BT25="."),up_dir!AX25/((1/1000)*(up_Irr!AV25)),IF(AND(up_Irr!X25&lt;&gt;".",up_Irr!AV25=".",up_Irr!BT25="."),up_dir!AX25/((1/1000)*(up_Irr!X25)),IF(AND(up_Irr!X25=".",up_Irr!AV25=".",up_Irr!BT25="."),up_dir!AX25*1000)))))))),".")</f>
        <v>6.5773651144152131E-4</v>
      </c>
      <c r="BX25" s="48">
        <f>IFERROR(IF(AND(up_Irr!Y25&lt;&gt;".",up_Irr!AW25&lt;&gt;".",up_Irr!BU25&lt;&gt;"."),up_dir!AY25/((1/1000)*(up_Irr!Y25+up_Irr!AW25+up_Irr!BU25)),IF(AND(up_Irr!Y25&lt;&gt;".",up_Irr!AW25&lt;&gt;".",up_Irr!BU25="."),up_dir!AY25/((1/1000)*(up_Irr!Y25+up_Irr!AW25)),IF(AND(up_Irr!Y25&lt;&gt;".",up_Irr!AW25=".",up_Irr!BU25&lt;&gt;"."),up_dir!AY25/((1/1000)*(up_Irr!Y25+up_Irr!BU25)),IF(AND(up_Irr!Y25=".",up_Irr!AW25&lt;&gt;".",up_Irr!BU25&lt;&gt;"."),up_dir!AY25/((1/1000)*(up_Irr!AW25+up_Irr!BU25)),IF(AND(up_Irr!Y25=".",up_Irr!AW25=".",up_Irr!BU25&lt;&gt;"."),up_dir!AY25/((1/1000)*(up_Irr!BU25)),IF(AND(up_Irr!Y25=".",up_Irr!AW25&lt;&gt;".",up_Irr!BU25="."),up_dir!AY25/((1/1000)*(up_Irr!AW25)),IF(AND(up_Irr!Y25&lt;&gt;".",up_Irr!AW25=".",up_Irr!BU25="."),up_dir!AY25/((1/1000)*(up_Irr!Y25)),IF(AND(up_Irr!Y25=".",up_Irr!AW25=".",up_Irr!BU25="."),up_dir!AY25*1000)))))))),".")</f>
        <v>6.5773651144152131E-4</v>
      </c>
      <c r="BY25" s="48">
        <f>IFERROR(IF(AND(up_Irr!Z25&lt;&gt;".",up_Irr!AX25&lt;&gt;".",up_Irr!BV25&lt;&gt;"."),up_dir!AZ25/((1/1000)*(up_Irr!Z25+up_Irr!AX25+up_Irr!BV25)),IF(AND(up_Irr!Z25&lt;&gt;".",up_Irr!AX25&lt;&gt;".",up_Irr!BV25="."),up_dir!AZ25/((1/1000)*(up_Irr!Z25+up_Irr!AX25)),IF(AND(up_Irr!Z25&lt;&gt;".",up_Irr!AX25=".",up_Irr!BV25&lt;&gt;"."),up_dir!AZ25/((1/1000)*(up_Irr!Z25+up_Irr!BV25)),IF(AND(up_Irr!Z25=".",up_Irr!AX25&lt;&gt;".",up_Irr!BV25&lt;&gt;"."),up_dir!AZ25/((1/1000)*(up_Irr!AX25+up_Irr!BV25)),IF(AND(up_Irr!Z25=".",up_Irr!AX25=".",up_Irr!BV25&lt;&gt;"."),up_dir!AZ25/((1/1000)*(up_Irr!BV25)),IF(AND(up_Irr!Z25=".",up_Irr!AX25&lt;&gt;".",up_Irr!BV25="."),up_dir!AZ25/((1/1000)*(up_Irr!AX25)),IF(AND(up_Irr!Z25&lt;&gt;".",up_Irr!AX25=".",up_Irr!BV25="."),up_dir!AZ25/((1/1000)*(up_Irr!Z25)),IF(AND(up_Irr!Z25=".",up_Irr!AX25=".",up_Irr!BV25="."),up_dir!AZ25*1000)))))))),".")</f>
        <v>6.5773651144152131E-4</v>
      </c>
      <c r="BZ25" s="62">
        <f t="shared" si="3"/>
        <v>22805.4847785862</v>
      </c>
      <c r="CA25" s="62">
        <f>IFERROR(s_C*s_IFAP_far_adj*s_CF_apple*(1/1000)*(up_Irr!C25+up_Irr!AA25+up_Irr!AY25),".")</f>
        <v>7601.8282595287337</v>
      </c>
      <c r="CB25" s="62">
        <f>IFERROR(s_C*s_IFAS_far_adj*s_CF_asparagus*(1/1000)*(up_Irr!D25+up_Irr!AB25+up_Irr!AZ25),".")</f>
        <v>7601.8282595287337</v>
      </c>
      <c r="CC25" s="62">
        <f>IFERROR(s_C*s_IFBT_far_adj*s_CF_beet*(1/1000)*(up_Irr!E25+up_Irr!AC25+up_Irr!BA25),".")</f>
        <v>7601.8282595287337</v>
      </c>
      <c r="CD25" s="62">
        <f>IFERROR(s_C*s_IFBE_far_adj*s_CF_berries*(1/1000)*(up_Irr!F25+up_Irr!AD25+up_Irr!BB25),".")</f>
        <v>7601.8282595287337</v>
      </c>
      <c r="CE25" s="62">
        <f>IFERROR(s_C*s_IFBR_far_adj*s_CF_broccoli*(1/1000)*(up_Irr!G25+up_Irr!AE25+up_Irr!BC25),".")</f>
        <v>7601.8282595287337</v>
      </c>
      <c r="CF25" s="62">
        <f>IFERROR(s_C*s_IFCB_far_adj*s_CF_cabbage*(1/1000)*(up_Irr!H25+up_Irr!AF25+up_Irr!BD25),".")</f>
        <v>7601.8282595287337</v>
      </c>
      <c r="CG25" s="62">
        <f>IFERROR(s_C*s_IFCR_far_adj*s_CF_carrot*(1/1000)*(up_Irr!I25+up_Irr!AG25+up_Irr!BE25),".")</f>
        <v>7601.8282595287337</v>
      </c>
      <c r="CH25" s="62">
        <f>IFERROR(s_C*s_IFCI_far_adj*s_CF_citrus*(1/1000)*(up_Irr!J25+up_Irr!AH25+up_Irr!BF25),".")</f>
        <v>7601.8282595287337</v>
      </c>
      <c r="CI25" s="62">
        <f>IFERROR(s_C*s_IFCO_far_adj*s_CF_corn*(1/1000)*(up_Irr!K25+up_Irr!AI25+up_Irr!BG25),".")</f>
        <v>7601.8282595287337</v>
      </c>
      <c r="CJ25" s="62">
        <f>IFERROR(s_C*s_IFCU_far_adj*s_CF_cucumber*(1/1000)*(up_Irr!L25+up_Irr!AJ25+up_Irr!BH25),".")</f>
        <v>7601.8282595287337</v>
      </c>
      <c r="CK25" s="62">
        <f>IFERROR(s_C*s_IFLE_far_adj*s_CF_lettuce*(1/1000)*(up_Irr!M25+up_Irr!AK25+up_Irr!BI25),".")</f>
        <v>7601.8282595287337</v>
      </c>
      <c r="CL25" s="62">
        <f>IFERROR(s_C*s_IFLI_far_adj*s_CF_lima_bean*(1/1000)*(up_Irr!N25+up_Irr!AL25+up_Irr!BJ25),".")</f>
        <v>7601.8282595287337</v>
      </c>
      <c r="CM25" s="62">
        <f>IFERROR(s_C*s_IFOK_far_adj*s_CF_okra*(1/1000)*(up_Irr!O25+up_Irr!AM25+up_Irr!BK25),".")</f>
        <v>7601.8282595287337</v>
      </c>
      <c r="CN25" s="62">
        <f>IFERROR(s_C*s_IFON_far_adj*s_CF_onion*(1/1000)*(up_Irr!P25+up_Irr!AN25+up_Irr!BL25),".")</f>
        <v>7601.8282595287337</v>
      </c>
      <c r="CO25" s="62">
        <f>IFERROR(s_C*s_IFPC_far_adj*s_CF_peach*(1/1000)*(up_Irr!Q25+up_Irr!AO25+up_Irr!BM25),".")</f>
        <v>7601.8282595287337</v>
      </c>
      <c r="CP25" s="62">
        <f>IFERROR(s_C*s_IFPR_far_adj*s_CF_pear*(1/1000)*(up_Irr!R25+up_Irr!AP25+up_Irr!BN25),".")</f>
        <v>7601.8282595287337</v>
      </c>
      <c r="CQ25" s="62">
        <f>IFERROR(s_C*s_IFPE_far_adj*s_CF_peas*(1/1000)*(up_Irr!S25+up_Irr!AQ25+up_Irr!BO25),".")</f>
        <v>7601.8282595287337</v>
      </c>
      <c r="CR25" s="62">
        <f>IFERROR(s_C*s_IFPT_far_adj*s_CF_potato*(1/1000)*(up_Irr!T25+up_Irr!AR25+up_Irr!BP25),".")</f>
        <v>7601.8282595287337</v>
      </c>
      <c r="CS25" s="62">
        <f>IFERROR(s_C*s_IFPU_far_adj*s_CF_pumpkin*(1/1000)*(up_Irr!U25+up_Irr!AS25+up_Irr!BQ25),".")</f>
        <v>7601.8282595287337</v>
      </c>
      <c r="CT25" s="62">
        <f>IFERROR(s_C*s_IFSN_far_adj*s_CF_snap_bean*(1/1000)*(up_Irr!V25+up_Irr!AT25+up_Irr!BR25),".")</f>
        <v>7601.8282595287337</v>
      </c>
      <c r="CU25" s="62">
        <f>IFERROR(s_C*s_IFST_far_adj*s_CF_strawberry*(1/1000)*(up_Irr!W25+up_Irr!AU25+up_Irr!BS25),".")</f>
        <v>7601.8282595287337</v>
      </c>
      <c r="CV25" s="62">
        <f>IFERROR(s_C*s_IFTO_far_adj*s_CF_tomato*(1/1000)*(up_Irr!X25+up_Irr!AV25+up_Irr!BT25),".")</f>
        <v>7601.8282595287337</v>
      </c>
      <c r="CW25" s="62">
        <f>IFERROR(s_C*s_IFRI_far_adj*s_CF_rice*(1/1000)*(up_Irr!Y25+up_Irr!AW25+up_Irr!BU25),".")</f>
        <v>7601.8282595287337</v>
      </c>
      <c r="CX25" s="62">
        <f>IFERROR(s_C*s_IFCG_far_adj*s_CF_cereal*(1/1000)*(up_Irr!Z25+up_Irr!AX25+up_Irr!BV25),".")</f>
        <v>7601.8282595287337</v>
      </c>
    </row>
    <row r="26" spans="1:102" ht="15" customHeight="1" x14ac:dyDescent="0.25">
      <c r="A26" s="61" t="s">
        <v>24</v>
      </c>
      <c r="B26" s="49" t="s">
        <v>1059</v>
      </c>
      <c r="C26" s="48">
        <f t="shared" si="0"/>
        <v>2.1924550381384044E-4</v>
      </c>
      <c r="D26" s="48">
        <f>IFERROR(IF(AND(up_Irr!C26&lt;&gt;".",up_Irr!AA26&lt;&gt;".",up_Irr!AY26&lt;&gt;"."),up_dir!D26/((1/1000)*(up_Irr!C26+up_Irr!AA26+up_Irr!AY26)),IF(AND(up_Irr!C26&lt;&gt;".",up_Irr!AA26&lt;&gt;".",up_Irr!AY26="."),up_dir!D26/((1/1000)*(up_Irr!C26+up_Irr!AA26)),IF(AND(up_Irr!C26&lt;&gt;".",up_Irr!AA26=".",up_Irr!AY26&lt;&gt;"."),up_dir!D26/((1/1000)*(up_Irr!C26+up_Irr!AY26)),IF(AND(up_Irr!C26=".",up_Irr!AA26&lt;&gt;".",up_Irr!AY26&lt;&gt;"."),up_dir!D26/((1/1000)*(up_Irr!AA26+up_Irr!AY26)),IF(AND(up_Irr!C26=".",up_Irr!AA26=".",up_Irr!AY26&lt;&gt;"."),up_dir!D26/((1/1000)*(up_Irr!AY26)),IF(AND(up_Irr!C26=".",up_Irr!AA26&lt;&gt;".",up_Irr!AY26="."),up_dir!D26/((1/1000)*(up_Irr!AA26)),IF(AND(up_Irr!C26&lt;&gt;".",up_Irr!AA26=".",up_Irr!AY26="."),up_dir!D26/((1/1000)*(up_Irr!C26)),IF(AND(up_Irr!C26=".",up_Irr!AA26=".",up_Irr!AY26="."),up_dir!D26*1000)))))))),".")</f>
        <v>6.5773651144152131E-4</v>
      </c>
      <c r="E26" s="48">
        <f>IFERROR(IF(AND(up_Irr!D26&lt;&gt;".",up_Irr!AB26&lt;&gt;".",up_Irr!AZ26&lt;&gt;"."),up_dir!E26/((1/1000)*(up_Irr!D26+up_Irr!AB26+up_Irr!AZ26)),IF(AND(up_Irr!D26&lt;&gt;".",up_Irr!AB26&lt;&gt;".",up_Irr!AZ26="."),up_dir!E26/((1/1000)*(up_Irr!D26+up_Irr!AB26)),IF(AND(up_Irr!D26&lt;&gt;".",up_Irr!AB26=".",up_Irr!AZ26&lt;&gt;"."),up_dir!E26/((1/1000)*(up_Irr!D26+up_Irr!AZ26)),IF(AND(up_Irr!D26=".",up_Irr!AB26&lt;&gt;".",up_Irr!AZ26&lt;&gt;"."),up_dir!E26/((1/1000)*(up_Irr!AB26+up_Irr!AZ26)),IF(AND(up_Irr!D26=".",up_Irr!AB26=".",up_Irr!AZ26&lt;&gt;"."),up_dir!E26/((1/1000)*(up_Irr!AZ26)),IF(AND(up_Irr!D26=".",up_Irr!AB26&lt;&gt;".",up_Irr!AZ26="."),up_dir!E26/((1/1000)*(up_Irr!AB26)),IF(AND(up_Irr!D26&lt;&gt;".",up_Irr!AB26=".",up_Irr!AZ26="."),up_dir!E26/((1/1000)*(up_Irr!D26)),IF(AND(up_Irr!D26=".",up_Irr!AB26=".",up_Irr!AZ26="."),up_dir!E26*1000)))))))),".")</f>
        <v>6.5773651144152131E-4</v>
      </c>
      <c r="F26" s="48">
        <f>IFERROR(IF(AND(up_Irr!E26&lt;&gt;".",up_Irr!AC26&lt;&gt;".",up_Irr!BA26&lt;&gt;"."),up_dir!F26/((1/1000)*(up_Irr!E26+up_Irr!AC26+up_Irr!BA26)),IF(AND(up_Irr!E26&lt;&gt;".",up_Irr!AC26&lt;&gt;".",up_Irr!BA26="."),up_dir!F26/((1/1000)*(up_Irr!E26+up_Irr!AC26)),IF(AND(up_Irr!E26&lt;&gt;".",up_Irr!AC26=".",up_Irr!BA26&lt;&gt;"."),up_dir!F26/((1/1000)*(up_Irr!E26+up_Irr!BA26)),IF(AND(up_Irr!E26=".",up_Irr!AC26&lt;&gt;".",up_Irr!BA26&lt;&gt;"."),up_dir!F26/((1/1000)*(up_Irr!AC26+up_Irr!BA26)),IF(AND(up_Irr!E26=".",up_Irr!AC26=".",up_Irr!BA26&lt;&gt;"."),up_dir!F26/((1/1000)*(up_Irr!BA26)),IF(AND(up_Irr!E26=".",up_Irr!AC26&lt;&gt;".",up_Irr!BA26="."),up_dir!F26/((1/1000)*(up_Irr!AC26)),IF(AND(up_Irr!E26&lt;&gt;".",up_Irr!AC26=".",up_Irr!BA26="."),up_dir!F26/((1/1000)*(up_Irr!E26)),IF(AND(up_Irr!E26=".",up_Irr!AC26=".",up_Irr!BA26="."),up_dir!F26*1000)))))))),".")</f>
        <v>6.5773651144152131E-4</v>
      </c>
      <c r="G26" s="48">
        <f>IFERROR(IF(AND(up_Irr!F26&lt;&gt;".",up_Irr!AD26&lt;&gt;".",up_Irr!BB26&lt;&gt;"."),up_dir!G26/((1/1000)*(up_Irr!F26+up_Irr!AD26+up_Irr!BB26)),IF(AND(up_Irr!F26&lt;&gt;".",up_Irr!AD26&lt;&gt;".",up_Irr!BB26="."),up_dir!G26/((1/1000)*(up_Irr!F26+up_Irr!AD26)),IF(AND(up_Irr!F26&lt;&gt;".",up_Irr!AD26=".",up_Irr!BB26&lt;&gt;"."),up_dir!G26/((1/1000)*(up_Irr!F26+up_Irr!BB26)),IF(AND(up_Irr!F26=".",up_Irr!AD26&lt;&gt;".",up_Irr!BB26&lt;&gt;"."),up_dir!G26/((1/1000)*(up_Irr!AD26+up_Irr!BB26)),IF(AND(up_Irr!F26=".",up_Irr!AD26=".",up_Irr!BB26&lt;&gt;"."),up_dir!G26/((1/1000)*(up_Irr!BB26)),IF(AND(up_Irr!F26=".",up_Irr!AD26&lt;&gt;".",up_Irr!BB26="."),up_dir!G26/((1/1000)*(up_Irr!AD26)),IF(AND(up_Irr!F26&lt;&gt;".",up_Irr!AD26=".",up_Irr!BB26="."),up_dir!G26/((1/1000)*(up_Irr!F26)),IF(AND(up_Irr!F26=".",up_Irr!AD26=".",up_Irr!BB26="."),up_dir!G26*1000)))))))),".")</f>
        <v>6.5773651144152131E-4</v>
      </c>
      <c r="H26" s="48">
        <f>IFERROR(IF(AND(up_Irr!G26&lt;&gt;".",up_Irr!AE26&lt;&gt;".",up_Irr!BC26&lt;&gt;"."),up_dir!H26/((1/1000)*(up_Irr!G26+up_Irr!AE26+up_Irr!BC26)),IF(AND(up_Irr!G26&lt;&gt;".",up_Irr!AE26&lt;&gt;".",up_Irr!BC26="."),up_dir!H26/((1/1000)*(up_Irr!G26+up_Irr!AE26)),IF(AND(up_Irr!G26&lt;&gt;".",up_Irr!AE26=".",up_Irr!BC26&lt;&gt;"."),up_dir!H26/((1/1000)*(up_Irr!G26+up_Irr!BC26)),IF(AND(up_Irr!G26=".",up_Irr!AE26&lt;&gt;".",up_Irr!BC26&lt;&gt;"."),up_dir!H26/((1/1000)*(up_Irr!AE26+up_Irr!BC26)),IF(AND(up_Irr!G26=".",up_Irr!AE26=".",up_Irr!BC26&lt;&gt;"."),up_dir!H26/((1/1000)*(up_Irr!BC26)),IF(AND(up_Irr!G26=".",up_Irr!AE26&lt;&gt;".",up_Irr!BC26="."),up_dir!H26/((1/1000)*(up_Irr!AE26)),IF(AND(up_Irr!G26&lt;&gt;".",up_Irr!AE26=".",up_Irr!BC26="."),up_dir!H26/((1/1000)*(up_Irr!G26)),IF(AND(up_Irr!G26=".",up_Irr!AE26=".",up_Irr!BC26="."),up_dir!H26*1000)))))))),".")</f>
        <v>6.5773651144152131E-4</v>
      </c>
      <c r="I26" s="48">
        <f>IFERROR(IF(AND(up_Irr!H26&lt;&gt;".",up_Irr!AF26&lt;&gt;".",up_Irr!BD26&lt;&gt;"."),up_dir!I26/((1/1000)*(up_Irr!H26+up_Irr!AF26+up_Irr!BD26)),IF(AND(up_Irr!H26&lt;&gt;".",up_Irr!AF26&lt;&gt;".",up_Irr!BD26="."),up_dir!I26/((1/1000)*(up_Irr!H26+up_Irr!AF26)),IF(AND(up_Irr!H26&lt;&gt;".",up_Irr!AF26=".",up_Irr!BD26&lt;&gt;"."),up_dir!I26/((1/1000)*(up_Irr!H26+up_Irr!BD26)),IF(AND(up_Irr!H26=".",up_Irr!AF26&lt;&gt;".",up_Irr!BD26&lt;&gt;"."),up_dir!I26/((1/1000)*(up_Irr!AF26+up_Irr!BD26)),IF(AND(up_Irr!H26=".",up_Irr!AF26=".",up_Irr!BD26&lt;&gt;"."),up_dir!I26/((1/1000)*(up_Irr!BD26)),IF(AND(up_Irr!H26=".",up_Irr!AF26&lt;&gt;".",up_Irr!BD26="."),up_dir!I26/((1/1000)*(up_Irr!AF26)),IF(AND(up_Irr!H26&lt;&gt;".",up_Irr!AF26=".",up_Irr!BD26="."),up_dir!I26/((1/1000)*(up_Irr!H26)),IF(AND(up_Irr!H26=".",up_Irr!AF26=".",up_Irr!BD26="."),up_dir!I26*1000)))))))),".")</f>
        <v>6.5773651144152131E-4</v>
      </c>
      <c r="J26" s="48">
        <f>IFERROR(IF(AND(up_Irr!I26&lt;&gt;".",up_Irr!AG26&lt;&gt;".",up_Irr!BE26&lt;&gt;"."),up_dir!J26/((1/1000)*(up_Irr!I26+up_Irr!AG26+up_Irr!BE26)),IF(AND(up_Irr!I26&lt;&gt;".",up_Irr!AG26&lt;&gt;".",up_Irr!BE26="."),up_dir!J26/((1/1000)*(up_Irr!I26+up_Irr!AG26)),IF(AND(up_Irr!I26&lt;&gt;".",up_Irr!AG26=".",up_Irr!BE26&lt;&gt;"."),up_dir!J26/((1/1000)*(up_Irr!I26+up_Irr!BE26)),IF(AND(up_Irr!I26=".",up_Irr!AG26&lt;&gt;".",up_Irr!BE26&lt;&gt;"."),up_dir!J26/((1/1000)*(up_Irr!AG26+up_Irr!BE26)),IF(AND(up_Irr!I26=".",up_Irr!AG26=".",up_Irr!BE26&lt;&gt;"."),up_dir!J26/((1/1000)*(up_Irr!BE26)),IF(AND(up_Irr!I26=".",up_Irr!AG26&lt;&gt;".",up_Irr!BE26="."),up_dir!J26/((1/1000)*(up_Irr!AG26)),IF(AND(up_Irr!I26&lt;&gt;".",up_Irr!AG26=".",up_Irr!BE26="."),up_dir!J26/((1/1000)*(up_Irr!I26)),IF(AND(up_Irr!I26=".",up_Irr!AG26=".",up_Irr!BE26="."),up_dir!J26*1000)))))))),".")</f>
        <v>6.5773651144152131E-4</v>
      </c>
      <c r="K26" s="48">
        <f>IFERROR(IF(AND(up_Irr!J26&lt;&gt;".",up_Irr!AH26&lt;&gt;".",up_Irr!BF26&lt;&gt;"."),up_dir!K26/((1/1000)*(up_Irr!J26+up_Irr!AH26+up_Irr!BF26)),IF(AND(up_Irr!J26&lt;&gt;".",up_Irr!AH26&lt;&gt;".",up_Irr!BF26="."),up_dir!K26/((1/1000)*(up_Irr!J26+up_Irr!AH26)),IF(AND(up_Irr!J26&lt;&gt;".",up_Irr!AH26=".",up_Irr!BF26&lt;&gt;"."),up_dir!K26/((1/1000)*(up_Irr!J26+up_Irr!BF26)),IF(AND(up_Irr!J26=".",up_Irr!AH26&lt;&gt;".",up_Irr!BF26&lt;&gt;"."),up_dir!K26/((1/1000)*(up_Irr!AH26+up_Irr!BF26)),IF(AND(up_Irr!J26=".",up_Irr!AH26=".",up_Irr!BF26&lt;&gt;"."),up_dir!K26/((1/1000)*(up_Irr!BF26)),IF(AND(up_Irr!J26=".",up_Irr!AH26&lt;&gt;".",up_Irr!BF26="."),up_dir!K26/((1/1000)*(up_Irr!AH26)),IF(AND(up_Irr!J26&lt;&gt;".",up_Irr!AH26=".",up_Irr!BF26="."),up_dir!K26/((1/1000)*(up_Irr!J26)),IF(AND(up_Irr!J26=".",up_Irr!AH26=".",up_Irr!BF26="."),up_dir!K26*1000)))))))),".")</f>
        <v>6.5773651144152131E-4</v>
      </c>
      <c r="L26" s="48">
        <f>IFERROR(IF(AND(up_Irr!K26&lt;&gt;".",up_Irr!AI26&lt;&gt;".",up_Irr!BG26&lt;&gt;"."),up_dir!L26/((1/1000)*(up_Irr!K26+up_Irr!AI26+up_Irr!BG26)),IF(AND(up_Irr!K26&lt;&gt;".",up_Irr!AI26&lt;&gt;".",up_Irr!BG26="."),up_dir!L26/((1/1000)*(up_Irr!K26+up_Irr!AI26)),IF(AND(up_Irr!K26&lt;&gt;".",up_Irr!AI26=".",up_Irr!BG26&lt;&gt;"."),up_dir!L26/((1/1000)*(up_Irr!K26+up_Irr!BG26)),IF(AND(up_Irr!K26=".",up_Irr!AI26&lt;&gt;".",up_Irr!BG26&lt;&gt;"."),up_dir!L26/((1/1000)*(up_Irr!AI26+up_Irr!BG26)),IF(AND(up_Irr!K26=".",up_Irr!AI26=".",up_Irr!BG26&lt;&gt;"."),up_dir!L26/((1/1000)*(up_Irr!BG26)),IF(AND(up_Irr!K26=".",up_Irr!AI26&lt;&gt;".",up_Irr!BG26="."),up_dir!L26/((1/1000)*(up_Irr!AI26)),IF(AND(up_Irr!K26&lt;&gt;".",up_Irr!AI26=".",up_Irr!BG26="."),up_dir!L26/((1/1000)*(up_Irr!K26)),IF(AND(up_Irr!K26=".",up_Irr!AI26=".",up_Irr!BG26="."),up_dir!L26*1000)))))))),".")</f>
        <v>6.5773651144152131E-4</v>
      </c>
      <c r="M26" s="48">
        <f>IFERROR(IF(AND(up_Irr!L26&lt;&gt;".",up_Irr!AJ26&lt;&gt;".",up_Irr!BH26&lt;&gt;"."),up_dir!M26/((1/1000)*(up_Irr!L26+up_Irr!AJ26+up_Irr!BH26)),IF(AND(up_Irr!L26&lt;&gt;".",up_Irr!AJ26&lt;&gt;".",up_Irr!BH26="."),up_dir!M26/((1/1000)*(up_Irr!L26+up_Irr!AJ26)),IF(AND(up_Irr!L26&lt;&gt;".",up_Irr!AJ26=".",up_Irr!BH26&lt;&gt;"."),up_dir!M26/((1/1000)*(up_Irr!L26+up_Irr!BH26)),IF(AND(up_Irr!L26=".",up_Irr!AJ26&lt;&gt;".",up_Irr!BH26&lt;&gt;"."),up_dir!M26/((1/1000)*(up_Irr!AJ26+up_Irr!BH26)),IF(AND(up_Irr!L26=".",up_Irr!AJ26=".",up_Irr!BH26&lt;&gt;"."),up_dir!M26/((1/1000)*(up_Irr!BH26)),IF(AND(up_Irr!L26=".",up_Irr!AJ26&lt;&gt;".",up_Irr!BH26="."),up_dir!M26/((1/1000)*(up_Irr!AJ26)),IF(AND(up_Irr!L26&lt;&gt;".",up_Irr!AJ26=".",up_Irr!BH26="."),up_dir!M26/((1/1000)*(up_Irr!L26)),IF(AND(up_Irr!L26=".",up_Irr!AJ26=".",up_Irr!BH26="."),up_dir!M26*1000)))))))),".")</f>
        <v>6.5773651144152131E-4</v>
      </c>
      <c r="N26" s="48">
        <f>IFERROR(IF(AND(up_Irr!M26&lt;&gt;".",up_Irr!AK26&lt;&gt;".",up_Irr!BI26&lt;&gt;"."),up_dir!N26/((1/1000)*(up_Irr!M26+up_Irr!AK26+up_Irr!BI26)),IF(AND(up_Irr!M26&lt;&gt;".",up_Irr!AK26&lt;&gt;".",up_Irr!BI26="."),up_dir!N26/((1/1000)*(up_Irr!M26+up_Irr!AK26)),IF(AND(up_Irr!M26&lt;&gt;".",up_Irr!AK26=".",up_Irr!BI26&lt;&gt;"."),up_dir!N26/((1/1000)*(up_Irr!M26+up_Irr!BI26)),IF(AND(up_Irr!M26=".",up_Irr!AK26&lt;&gt;".",up_Irr!BI26&lt;&gt;"."),up_dir!N26/((1/1000)*(up_Irr!AK26+up_Irr!BI26)),IF(AND(up_Irr!M26=".",up_Irr!AK26=".",up_Irr!BI26&lt;&gt;"."),up_dir!N26/((1/1000)*(up_Irr!BI26)),IF(AND(up_Irr!M26=".",up_Irr!AK26&lt;&gt;".",up_Irr!BI26="."),up_dir!N26/((1/1000)*(up_Irr!AK26)),IF(AND(up_Irr!M26&lt;&gt;".",up_Irr!AK26=".",up_Irr!BI26="."),up_dir!N26/((1/1000)*(up_Irr!M26)),IF(AND(up_Irr!M26=".",up_Irr!AK26=".",up_Irr!BI26="."),up_dir!N26*1000)))))))),".")</f>
        <v>6.5773651144152131E-4</v>
      </c>
      <c r="O26" s="48">
        <f>IFERROR(IF(AND(up_Irr!N26&lt;&gt;".",up_Irr!AL26&lt;&gt;".",up_Irr!BJ26&lt;&gt;"."),up_dir!O26/((1/1000)*(up_Irr!N26+up_Irr!AL26+up_Irr!BJ26)),IF(AND(up_Irr!N26&lt;&gt;".",up_Irr!AL26&lt;&gt;".",up_Irr!BJ26="."),up_dir!O26/((1/1000)*(up_Irr!N26+up_Irr!AL26)),IF(AND(up_Irr!N26&lt;&gt;".",up_Irr!AL26=".",up_Irr!BJ26&lt;&gt;"."),up_dir!O26/((1/1000)*(up_Irr!N26+up_Irr!BJ26)),IF(AND(up_Irr!N26=".",up_Irr!AL26&lt;&gt;".",up_Irr!BJ26&lt;&gt;"."),up_dir!O26/((1/1000)*(up_Irr!AL26+up_Irr!BJ26)),IF(AND(up_Irr!N26=".",up_Irr!AL26=".",up_Irr!BJ26&lt;&gt;"."),up_dir!O26/((1/1000)*(up_Irr!BJ26)),IF(AND(up_Irr!N26=".",up_Irr!AL26&lt;&gt;".",up_Irr!BJ26="."),up_dir!O26/((1/1000)*(up_Irr!AL26)),IF(AND(up_Irr!N26&lt;&gt;".",up_Irr!AL26=".",up_Irr!BJ26="."),up_dir!O26/((1/1000)*(up_Irr!N26)),IF(AND(up_Irr!N26=".",up_Irr!AL26=".",up_Irr!BJ26="."),up_dir!O26*1000)))))))),".")</f>
        <v>6.5773651144152131E-4</v>
      </c>
      <c r="P26" s="48">
        <f>IFERROR(IF(AND(up_Irr!O26&lt;&gt;".",up_Irr!AM26&lt;&gt;".",up_Irr!BK26&lt;&gt;"."),up_dir!P26/((1/1000)*(up_Irr!O26+up_Irr!AM26+up_Irr!BK26)),IF(AND(up_Irr!O26&lt;&gt;".",up_Irr!AM26&lt;&gt;".",up_Irr!BK26="."),up_dir!P26/((1/1000)*(up_Irr!O26+up_Irr!AM26)),IF(AND(up_Irr!O26&lt;&gt;".",up_Irr!AM26=".",up_Irr!BK26&lt;&gt;"."),up_dir!P26/((1/1000)*(up_Irr!O26+up_Irr!BK26)),IF(AND(up_Irr!O26=".",up_Irr!AM26&lt;&gt;".",up_Irr!BK26&lt;&gt;"."),up_dir!P26/((1/1000)*(up_Irr!AM26+up_Irr!BK26)),IF(AND(up_Irr!O26=".",up_Irr!AM26=".",up_Irr!BK26&lt;&gt;"."),up_dir!P26/((1/1000)*(up_Irr!BK26)),IF(AND(up_Irr!O26=".",up_Irr!AM26&lt;&gt;".",up_Irr!BK26="."),up_dir!P26/((1/1000)*(up_Irr!AM26)),IF(AND(up_Irr!O26&lt;&gt;".",up_Irr!AM26=".",up_Irr!BK26="."),up_dir!P26/((1/1000)*(up_Irr!O26)),IF(AND(up_Irr!O26=".",up_Irr!AM26=".",up_Irr!BK26="."),up_dir!P26*1000)))))))),".")</f>
        <v>6.5773651144152131E-4</v>
      </c>
      <c r="Q26" s="48">
        <f>IFERROR(IF(AND(up_Irr!P26&lt;&gt;".",up_Irr!AN26&lt;&gt;".",up_Irr!BL26&lt;&gt;"."),up_dir!Q26/((1/1000)*(up_Irr!P26+up_Irr!AN26+up_Irr!BL26)),IF(AND(up_Irr!P26&lt;&gt;".",up_Irr!AN26&lt;&gt;".",up_Irr!BL26="."),up_dir!Q26/((1/1000)*(up_Irr!P26+up_Irr!AN26)),IF(AND(up_Irr!P26&lt;&gt;".",up_Irr!AN26=".",up_Irr!BL26&lt;&gt;"."),up_dir!Q26/((1/1000)*(up_Irr!P26+up_Irr!BL26)),IF(AND(up_Irr!P26=".",up_Irr!AN26&lt;&gt;".",up_Irr!BL26&lt;&gt;"."),up_dir!Q26/((1/1000)*(up_Irr!AN26+up_Irr!BL26)),IF(AND(up_Irr!P26=".",up_Irr!AN26=".",up_Irr!BL26&lt;&gt;"."),up_dir!Q26/((1/1000)*(up_Irr!BL26)),IF(AND(up_Irr!P26=".",up_Irr!AN26&lt;&gt;".",up_Irr!BL26="."),up_dir!Q26/((1/1000)*(up_Irr!AN26)),IF(AND(up_Irr!P26&lt;&gt;".",up_Irr!AN26=".",up_Irr!BL26="."),up_dir!Q26/((1/1000)*(up_Irr!P26)),IF(AND(up_Irr!P26=".",up_Irr!AN26=".",up_Irr!BL26="."),up_dir!Q26*1000)))))))),".")</f>
        <v>6.5773651144152131E-4</v>
      </c>
      <c r="R26" s="48">
        <f>IFERROR(IF(AND(up_Irr!Q26&lt;&gt;".",up_Irr!AO26&lt;&gt;".",up_Irr!BM26&lt;&gt;"."),up_dir!R26/((1/1000)*(up_Irr!Q26+up_Irr!AO26+up_Irr!BM26)),IF(AND(up_Irr!Q26&lt;&gt;".",up_Irr!AO26&lt;&gt;".",up_Irr!BM26="."),up_dir!R26/((1/1000)*(up_Irr!Q26+up_Irr!AO26)),IF(AND(up_Irr!Q26&lt;&gt;".",up_Irr!AO26=".",up_Irr!BM26&lt;&gt;"."),up_dir!R26/((1/1000)*(up_Irr!Q26+up_Irr!BM26)),IF(AND(up_Irr!Q26=".",up_Irr!AO26&lt;&gt;".",up_Irr!BM26&lt;&gt;"."),up_dir!R26/((1/1000)*(up_Irr!AO26+up_Irr!BM26)),IF(AND(up_Irr!Q26=".",up_Irr!AO26=".",up_Irr!BM26&lt;&gt;"."),up_dir!R26/((1/1000)*(up_Irr!BM26)),IF(AND(up_Irr!Q26=".",up_Irr!AO26&lt;&gt;".",up_Irr!BM26="."),up_dir!R26/((1/1000)*(up_Irr!AO26)),IF(AND(up_Irr!Q26&lt;&gt;".",up_Irr!AO26=".",up_Irr!BM26="."),up_dir!R26/((1/1000)*(up_Irr!Q26)),IF(AND(up_Irr!Q26=".",up_Irr!AO26=".",up_Irr!BM26="."),up_dir!R26*1000)))))))),".")</f>
        <v>6.5773651144152131E-4</v>
      </c>
      <c r="S26" s="48">
        <f>IFERROR(IF(AND(up_Irr!R26&lt;&gt;".",up_Irr!AP26&lt;&gt;".",up_Irr!BN26&lt;&gt;"."),up_dir!S26/((1/1000)*(up_Irr!R26+up_Irr!AP26+up_Irr!BN26)),IF(AND(up_Irr!R26&lt;&gt;".",up_Irr!AP26&lt;&gt;".",up_Irr!BN26="."),up_dir!S26/((1/1000)*(up_Irr!R26+up_Irr!AP26)),IF(AND(up_Irr!R26&lt;&gt;".",up_Irr!AP26=".",up_Irr!BN26&lt;&gt;"."),up_dir!S26/((1/1000)*(up_Irr!R26+up_Irr!BN26)),IF(AND(up_Irr!R26=".",up_Irr!AP26&lt;&gt;".",up_Irr!BN26&lt;&gt;"."),up_dir!S26/((1/1000)*(up_Irr!AP26+up_Irr!BN26)),IF(AND(up_Irr!R26=".",up_Irr!AP26=".",up_Irr!BN26&lt;&gt;"."),up_dir!S26/((1/1000)*(up_Irr!BN26)),IF(AND(up_Irr!R26=".",up_Irr!AP26&lt;&gt;".",up_Irr!BN26="."),up_dir!S26/((1/1000)*(up_Irr!AP26)),IF(AND(up_Irr!R26&lt;&gt;".",up_Irr!AP26=".",up_Irr!BN26="."),up_dir!S26/((1/1000)*(up_Irr!R26)),IF(AND(up_Irr!R26=".",up_Irr!AP26=".",up_Irr!BN26="."),up_dir!S26*1000)))))))),".")</f>
        <v>6.5773651144152131E-4</v>
      </c>
      <c r="T26" s="48">
        <f>IFERROR(IF(AND(up_Irr!S26&lt;&gt;".",up_Irr!AQ26&lt;&gt;".",up_Irr!BO26&lt;&gt;"."),up_dir!T26/((1/1000)*(up_Irr!S26+up_Irr!AQ26+up_Irr!BO26)),IF(AND(up_Irr!S26&lt;&gt;".",up_Irr!AQ26&lt;&gt;".",up_Irr!BO26="."),up_dir!T26/((1/1000)*(up_Irr!S26+up_Irr!AQ26)),IF(AND(up_Irr!S26&lt;&gt;".",up_Irr!AQ26=".",up_Irr!BO26&lt;&gt;"."),up_dir!T26/((1/1000)*(up_Irr!S26+up_Irr!BO26)),IF(AND(up_Irr!S26=".",up_Irr!AQ26&lt;&gt;".",up_Irr!BO26&lt;&gt;"."),up_dir!T26/((1/1000)*(up_Irr!AQ26+up_Irr!BO26)),IF(AND(up_Irr!S26=".",up_Irr!AQ26=".",up_Irr!BO26&lt;&gt;"."),up_dir!T26/((1/1000)*(up_Irr!BO26)),IF(AND(up_Irr!S26=".",up_Irr!AQ26&lt;&gt;".",up_Irr!BO26="."),up_dir!T26/((1/1000)*(up_Irr!AQ26)),IF(AND(up_Irr!S26&lt;&gt;".",up_Irr!AQ26=".",up_Irr!BO26="."),up_dir!T26/((1/1000)*(up_Irr!S26)),IF(AND(up_Irr!S26=".",up_Irr!AQ26=".",up_Irr!BO26="."),up_dir!T26*1000)))))))),".")</f>
        <v>6.5773651144152131E-4</v>
      </c>
      <c r="U26" s="48">
        <f>IFERROR(IF(AND(up_Irr!T26&lt;&gt;".",up_Irr!AR26&lt;&gt;".",up_Irr!BP26&lt;&gt;"."),up_dir!U26/((1/1000)*(up_Irr!T26+up_Irr!AR26+up_Irr!BP26)),IF(AND(up_Irr!T26&lt;&gt;".",up_Irr!AR26&lt;&gt;".",up_Irr!BP26="."),up_dir!U26/((1/1000)*(up_Irr!T26+up_Irr!AR26)),IF(AND(up_Irr!T26&lt;&gt;".",up_Irr!AR26=".",up_Irr!BP26&lt;&gt;"."),up_dir!U26/((1/1000)*(up_Irr!T26+up_Irr!BP26)),IF(AND(up_Irr!T26=".",up_Irr!AR26&lt;&gt;".",up_Irr!BP26&lt;&gt;"."),up_dir!U26/((1/1000)*(up_Irr!AR26+up_Irr!BP26)),IF(AND(up_Irr!T26=".",up_Irr!AR26=".",up_Irr!BP26&lt;&gt;"."),up_dir!U26/((1/1000)*(up_Irr!BP26)),IF(AND(up_Irr!T26=".",up_Irr!AR26&lt;&gt;".",up_Irr!BP26="."),up_dir!U26/((1/1000)*(up_Irr!AR26)),IF(AND(up_Irr!T26&lt;&gt;".",up_Irr!AR26=".",up_Irr!BP26="."),up_dir!U26/((1/1000)*(up_Irr!T26)),IF(AND(up_Irr!T26=".",up_Irr!AR26=".",up_Irr!BP26="."),up_dir!U26*1000)))))))),".")</f>
        <v>6.5773651144152131E-4</v>
      </c>
      <c r="V26" s="48">
        <f>IFERROR(IF(AND(up_Irr!U26&lt;&gt;".",up_Irr!AS26&lt;&gt;".",up_Irr!BQ26&lt;&gt;"."),up_dir!V26/((1/1000)*(up_Irr!U26+up_Irr!AS26+up_Irr!BQ26)),IF(AND(up_Irr!U26&lt;&gt;".",up_Irr!AS26&lt;&gt;".",up_Irr!BQ26="."),up_dir!V26/((1/1000)*(up_Irr!U26+up_Irr!AS26)),IF(AND(up_Irr!U26&lt;&gt;".",up_Irr!AS26=".",up_Irr!BQ26&lt;&gt;"."),up_dir!V26/((1/1000)*(up_Irr!U26+up_Irr!BQ26)),IF(AND(up_Irr!U26=".",up_Irr!AS26&lt;&gt;".",up_Irr!BQ26&lt;&gt;"."),up_dir!V26/((1/1000)*(up_Irr!AS26+up_Irr!BQ26)),IF(AND(up_Irr!U26=".",up_Irr!AS26=".",up_Irr!BQ26&lt;&gt;"."),up_dir!V26/((1/1000)*(up_Irr!BQ26)),IF(AND(up_Irr!U26=".",up_Irr!AS26&lt;&gt;".",up_Irr!BQ26="."),up_dir!V26/((1/1000)*(up_Irr!AS26)),IF(AND(up_Irr!U26&lt;&gt;".",up_Irr!AS26=".",up_Irr!BQ26="."),up_dir!V26/((1/1000)*(up_Irr!U26)),IF(AND(up_Irr!U26=".",up_Irr!AS26=".",up_Irr!BQ26="."),up_dir!V26*1000)))))))),".")</f>
        <v>6.5773651144152131E-4</v>
      </c>
      <c r="W26" s="48">
        <f>IFERROR(IF(AND(up_Irr!V26&lt;&gt;".",up_Irr!AT26&lt;&gt;".",up_Irr!BR26&lt;&gt;"."),up_dir!W26/((1/1000)*(up_Irr!V26+up_Irr!AT26+up_Irr!BR26)),IF(AND(up_Irr!V26&lt;&gt;".",up_Irr!AT26&lt;&gt;".",up_Irr!BR26="."),up_dir!W26/((1/1000)*(up_Irr!V26+up_Irr!AT26)),IF(AND(up_Irr!V26&lt;&gt;".",up_Irr!AT26=".",up_Irr!BR26&lt;&gt;"."),up_dir!W26/((1/1000)*(up_Irr!V26+up_Irr!BR26)),IF(AND(up_Irr!V26=".",up_Irr!AT26&lt;&gt;".",up_Irr!BR26&lt;&gt;"."),up_dir!W26/((1/1000)*(up_Irr!AT26+up_Irr!BR26)),IF(AND(up_Irr!V26=".",up_Irr!AT26=".",up_Irr!BR26&lt;&gt;"."),up_dir!W26/((1/1000)*(up_Irr!BR26)),IF(AND(up_Irr!V26=".",up_Irr!AT26&lt;&gt;".",up_Irr!BR26="."),up_dir!W26/((1/1000)*(up_Irr!AT26)),IF(AND(up_Irr!V26&lt;&gt;".",up_Irr!AT26=".",up_Irr!BR26="."),up_dir!W26/((1/1000)*(up_Irr!V26)),IF(AND(up_Irr!V26=".",up_Irr!AT26=".",up_Irr!BR26="."),up_dir!W26*1000)))))))),".")</f>
        <v>6.5773651144152131E-4</v>
      </c>
      <c r="X26" s="48">
        <f>IFERROR(IF(AND(up_Irr!W26&lt;&gt;".",up_Irr!AU26&lt;&gt;".",up_Irr!BS26&lt;&gt;"."),up_dir!X26/((1/1000)*(up_Irr!W26+up_Irr!AU26+up_Irr!BS26)),IF(AND(up_Irr!W26&lt;&gt;".",up_Irr!AU26&lt;&gt;".",up_Irr!BS26="."),up_dir!X26/((1/1000)*(up_Irr!W26+up_Irr!AU26)),IF(AND(up_Irr!W26&lt;&gt;".",up_Irr!AU26=".",up_Irr!BS26&lt;&gt;"."),up_dir!X26/((1/1000)*(up_Irr!W26+up_Irr!BS26)),IF(AND(up_Irr!W26=".",up_Irr!AU26&lt;&gt;".",up_Irr!BS26&lt;&gt;"."),up_dir!X26/((1/1000)*(up_Irr!AU26+up_Irr!BS26)),IF(AND(up_Irr!W26=".",up_Irr!AU26=".",up_Irr!BS26&lt;&gt;"."),up_dir!X26/((1/1000)*(up_Irr!BS26)),IF(AND(up_Irr!W26=".",up_Irr!AU26&lt;&gt;".",up_Irr!BS26="."),up_dir!X26/((1/1000)*(up_Irr!AU26)),IF(AND(up_Irr!W26&lt;&gt;".",up_Irr!AU26=".",up_Irr!BS26="."),up_dir!X26/((1/1000)*(up_Irr!W26)),IF(AND(up_Irr!W26=".",up_Irr!AU26=".",up_Irr!BS26="."),up_dir!X26*1000)))))))),".")</f>
        <v>6.5773651144152131E-4</v>
      </c>
      <c r="Y26" s="48">
        <f>IFERROR(IF(AND(up_Irr!X26&lt;&gt;".",up_Irr!AV26&lt;&gt;".",up_Irr!BT26&lt;&gt;"."),up_dir!Y26/((1/1000)*(up_Irr!X26+up_Irr!AV26+up_Irr!BT26)),IF(AND(up_Irr!X26&lt;&gt;".",up_Irr!AV26&lt;&gt;".",up_Irr!BT26="."),up_dir!Y26/((1/1000)*(up_Irr!X26+up_Irr!AV26)),IF(AND(up_Irr!X26&lt;&gt;".",up_Irr!AV26=".",up_Irr!BT26&lt;&gt;"."),up_dir!Y26/((1/1000)*(up_Irr!X26+up_Irr!BT26)),IF(AND(up_Irr!X26=".",up_Irr!AV26&lt;&gt;".",up_Irr!BT26&lt;&gt;"."),up_dir!Y26/((1/1000)*(up_Irr!AV26+up_Irr!BT26)),IF(AND(up_Irr!X26=".",up_Irr!AV26=".",up_Irr!BT26&lt;&gt;"."),up_dir!Y26/((1/1000)*(up_Irr!BT26)),IF(AND(up_Irr!X26=".",up_Irr!AV26&lt;&gt;".",up_Irr!BT26="."),up_dir!Y26/((1/1000)*(up_Irr!AV26)),IF(AND(up_Irr!X26&lt;&gt;".",up_Irr!AV26=".",up_Irr!BT26="."),up_dir!Y26/((1/1000)*(up_Irr!X26)),IF(AND(up_Irr!X26=".",up_Irr!AV26=".",up_Irr!BT26="."),up_dir!Y26*1000)))))))),".")</f>
        <v>6.5773651144152131E-4</v>
      </c>
      <c r="Z26" s="48">
        <f>IFERROR(IF(AND(up_Irr!Y26&lt;&gt;".",up_Irr!AW26&lt;&gt;".",up_Irr!BU26&lt;&gt;"."),up_dir!Z26/((1/1000)*(up_Irr!Y26+up_Irr!AW26+up_Irr!BU26)),IF(AND(up_Irr!Y26&lt;&gt;".",up_Irr!AW26&lt;&gt;".",up_Irr!BU26="."),up_dir!Z26/((1/1000)*(up_Irr!Y26+up_Irr!AW26)),IF(AND(up_Irr!Y26&lt;&gt;".",up_Irr!AW26=".",up_Irr!BU26&lt;&gt;"."),up_dir!Z26/((1/1000)*(up_Irr!Y26+up_Irr!BU26)),IF(AND(up_Irr!Y26=".",up_Irr!AW26&lt;&gt;".",up_Irr!BU26&lt;&gt;"."),up_dir!Z26/((1/1000)*(up_Irr!AW26+up_Irr!BU26)),IF(AND(up_Irr!Y26=".",up_Irr!AW26=".",up_Irr!BU26&lt;&gt;"."),up_dir!Z26/((1/1000)*(up_Irr!BU26)),IF(AND(up_Irr!Y26=".",up_Irr!AW26&lt;&gt;".",up_Irr!BU26="."),up_dir!Z26/((1/1000)*(up_Irr!AW26)),IF(AND(up_Irr!Y26&lt;&gt;".",up_Irr!AW26=".",up_Irr!BU26="."),up_dir!Z26/((1/1000)*(up_Irr!Y26)),IF(AND(up_Irr!Y26=".",up_Irr!AW26=".",up_Irr!BU26="."),up_dir!Z26*1000)))))))),".")</f>
        <v>6.5773651144152131E-4</v>
      </c>
      <c r="AA26" s="48">
        <f>IFERROR(IF(AND(up_Irr!Z26&lt;&gt;".",up_Irr!AX26&lt;&gt;".",up_Irr!BV26&lt;&gt;"."),up_dir!AA26/((1/1000)*(up_Irr!Z26+up_Irr!AX26+up_Irr!BV26)),IF(AND(up_Irr!Z26&lt;&gt;".",up_Irr!AX26&lt;&gt;".",up_Irr!BV26="."),up_dir!AA26/((1/1000)*(up_Irr!Z26+up_Irr!AX26)),IF(AND(up_Irr!Z26&lt;&gt;".",up_Irr!AX26=".",up_Irr!BV26&lt;&gt;"."),up_dir!AA26/((1/1000)*(up_Irr!Z26+up_Irr!BV26)),IF(AND(up_Irr!Z26=".",up_Irr!AX26&lt;&gt;".",up_Irr!BV26&lt;&gt;"."),up_dir!AA26/((1/1000)*(up_Irr!AX26+up_Irr!BV26)),IF(AND(up_Irr!Z26=".",up_Irr!AX26=".",up_Irr!BV26&lt;&gt;"."),up_dir!AA26/((1/1000)*(up_Irr!BV26)),IF(AND(up_Irr!Z26=".",up_Irr!AX26&lt;&gt;".",up_Irr!BV26="."),up_dir!AA26/((1/1000)*(up_Irr!AX26)),IF(AND(up_Irr!Z26&lt;&gt;".",up_Irr!AX26=".",up_Irr!BV26="."),up_dir!AA26/((1/1000)*(up_Irr!Z26)),IF(AND(up_Irr!Z26=".",up_Irr!AX26=".",up_Irr!BV26="."),up_dir!AA26*1000)))))))),".")</f>
        <v>6.5773651144152131E-4</v>
      </c>
      <c r="AB26" s="62">
        <f t="shared" si="1"/>
        <v>22805.4847785862</v>
      </c>
      <c r="AC26" s="62">
        <f>IFERROR(s_C*s_IFAP_res_adj*s_CF_apple*0.001*(up_Irr!C26+up_Irr!AA26+up_Irr!AY26),".")</f>
        <v>7601.8282595287337</v>
      </c>
      <c r="AD26" s="62">
        <f>IFERROR(s_C*s_IFAS_res_adj*s_CF_asparagus*0.001*(up_Irr!D26+up_Irr!AB26+up_Irr!AZ26),".")</f>
        <v>7601.8282595287337</v>
      </c>
      <c r="AE26" s="62">
        <f>IFERROR(s_C*s_IFBT_res_adj*s_CF_beet*0.001*(up_Irr!E26+up_Irr!AC26+up_Irr!BA26),".")</f>
        <v>7601.8282595287337</v>
      </c>
      <c r="AF26" s="62">
        <f>IFERROR(s_C*s_IFBE_res_adj*s_CF_berries*0.001*(up_Irr!F26+up_Irr!AD26+up_Irr!BB26),".")</f>
        <v>7601.8282595287337</v>
      </c>
      <c r="AG26" s="62">
        <f>IFERROR(s_C*s_IFBR_res_adj*s_CF_broccoli*0.001*(up_Irr!G26+up_Irr!AE26+up_Irr!BC26),".")</f>
        <v>7601.8282595287337</v>
      </c>
      <c r="AH26" s="62">
        <f>IFERROR(s_C*s_IFCB_res_adj*s_CF_cabbage*0.001*(up_Irr!H26+up_Irr!AF26+up_Irr!BD26),".")</f>
        <v>7601.8282595287337</v>
      </c>
      <c r="AI26" s="62">
        <f>IFERROR(s_C*s_IFCR_res_adj*s_CF_carrot*0.001*(up_Irr!I26+up_Irr!AG26+up_Irr!BE26),".")</f>
        <v>7601.8282595287337</v>
      </c>
      <c r="AJ26" s="62">
        <f>IFERROR(s_C*s_IFCI_res_adj*s_CF_citrus*0.001*(up_Irr!J26+up_Irr!AH26+up_Irr!BF26),".")</f>
        <v>7601.8282595287337</v>
      </c>
      <c r="AK26" s="62">
        <f>IFERROR(s_C*s_IFCO_res_adj*s_CF_corn*0.001*(up_Irr!K26+up_Irr!AI26+up_Irr!BG26),".")</f>
        <v>7601.8282595287337</v>
      </c>
      <c r="AL26" s="62">
        <f>IFERROR(s_C*s_IFCU_res_adj*s_CF_cucumber*0.001*(up_Irr!L26+up_Irr!AJ26+up_Irr!BH26),".")</f>
        <v>7601.8282595287337</v>
      </c>
      <c r="AM26" s="62">
        <f>IFERROR(s_C*s_IFLE_res_adj*s_CF_lettuce*0.001*(up_Irr!M26+up_Irr!AK26+up_Irr!BI26),".")</f>
        <v>7601.8282595287337</v>
      </c>
      <c r="AN26" s="62">
        <f>IFERROR(s_C*s_IFLI_res_adj*s_CF_lima_bean*0.001*(up_Irr!N26+up_Irr!AL26+up_Irr!BJ26),".")</f>
        <v>7601.8282595287337</v>
      </c>
      <c r="AO26" s="62">
        <f>IFERROR(s_C*s_IFOK_res_adj*s_CF_okra*0.001*(up_Irr!O26+up_Irr!AM26+up_Irr!BK26),".")</f>
        <v>7601.8282595287337</v>
      </c>
      <c r="AP26" s="62">
        <f>IFERROR(s_C*s_IFON_res_adj*s_CF_onion*0.001*(up_Irr!P26+up_Irr!AN26+up_Irr!BL26),".")</f>
        <v>7601.8282595287337</v>
      </c>
      <c r="AQ26" s="62">
        <f>IFERROR(s_C*s_IFPC_res_adj*s_CF_peach*0.001*(up_Irr!Q26+up_Irr!AO26+up_Irr!BM26),".")</f>
        <v>7601.8282595287337</v>
      </c>
      <c r="AR26" s="62">
        <f>IFERROR(s_C*s_IFPR_res_adj*s_CF_pear*0.001*(up_Irr!R26+up_Irr!AP26+up_Irr!BN26),".")</f>
        <v>7601.8282595287337</v>
      </c>
      <c r="AS26" s="62">
        <f>IFERROR(s_C*s_IFPE_res_adj*s_CF_peas*0.001*(up_Irr!S26+up_Irr!AQ26+up_Irr!BO26),".")</f>
        <v>7601.8282595287337</v>
      </c>
      <c r="AT26" s="62">
        <f>IFERROR(s_C*s_IFPT_res_adj*s_CF_potato*0.001*(up_Irr!T26+up_Irr!AR26+up_Irr!BP26),".")</f>
        <v>7601.8282595287337</v>
      </c>
      <c r="AU26" s="62">
        <f>IFERROR(s_C*s_IFPU_res_adj*s_CF_pumpkin*0.001*(up_Irr!U26+up_Irr!AS26+up_Irr!BQ26),".")</f>
        <v>7601.8282595287337</v>
      </c>
      <c r="AV26" s="62">
        <f>IFERROR(s_C*s_IFSN_res_adj*s_CF_snap_bean*0.001*(up_Irr!V26+up_Irr!AT26+up_Irr!BR26),".")</f>
        <v>7601.8282595287337</v>
      </c>
      <c r="AW26" s="62">
        <f>IFERROR(s_C*s_IFST_res_adj*s_CF_strawberry*0.001*(up_Irr!W26+up_Irr!AU26+up_Irr!BS26),".")</f>
        <v>7601.8282595287337</v>
      </c>
      <c r="AX26" s="62">
        <f>IFERROR(s_C*s_IFTO_res_adj*s_CF_tomato*0.001*(up_Irr!X26+up_Irr!AV26+up_Irr!BT26),".")</f>
        <v>7601.8282595287337</v>
      </c>
      <c r="AY26" s="62">
        <f>IFERROR(s_C*s_IFRI_res_adj*s_CF_rice*0.001*(up_Irr!Y26+up_Irr!AW26+up_Irr!BU26),".")</f>
        <v>7601.8282595287337</v>
      </c>
      <c r="AZ26" s="62">
        <f>IFERROR(s_C*s_IFCG_res_adj*s_CF_cereal*0.001*(up_Irr!Z26+up_Irr!AX26+up_Irr!BV26),".")</f>
        <v>7601.8282595287337</v>
      </c>
      <c r="BA26" s="48">
        <f t="shared" si="2"/>
        <v>2.1924550381384044E-4</v>
      </c>
      <c r="BB26" s="48">
        <f>IFERROR(IF(AND(up_Irr!C26&lt;&gt;".",up_Irr!AA26&lt;&gt;".",up_Irr!AY26&lt;&gt;"."),up_dir!AC26/((1/1000)*(up_Irr!C26+up_Irr!AA26+up_Irr!AY26)),IF(AND(up_Irr!C26&lt;&gt;".",up_Irr!AA26&lt;&gt;".",up_Irr!AY26="."),up_dir!AC26/((1/1000)*(up_Irr!C26+up_Irr!AA26)),IF(AND(up_Irr!C26&lt;&gt;".",up_Irr!AA26=".",up_Irr!AY26&lt;&gt;"."),up_dir!AC26/((1/1000)*(up_Irr!C26+up_Irr!AY26)),IF(AND(up_Irr!C26=".",up_Irr!AA26&lt;&gt;".",up_Irr!AY26&lt;&gt;"."),up_dir!AC26/((1/1000)*(up_Irr!AA26+up_Irr!AY26)),IF(AND(up_Irr!C26=".",up_Irr!AA26=".",up_Irr!AY26&lt;&gt;"."),up_dir!AC26/((1/1000)*(up_Irr!AY26)),IF(AND(up_Irr!C26=".",up_Irr!AA26&lt;&gt;".",up_Irr!AY26="."),up_dir!AC26/((1/1000)*(up_Irr!AA26)),IF(AND(up_Irr!C26&lt;&gt;".",up_Irr!AA26=".",up_Irr!AY26="."),up_dir!AC26/((1/1000)*(up_Irr!C26)),IF(AND(up_Irr!C26=".",up_Irr!AA26=".",up_Irr!AY26="."),up_dir!AC26*1000)))))))),".")</f>
        <v>6.5773651144152131E-4</v>
      </c>
      <c r="BC26" s="48">
        <f>IFERROR(IF(AND(up_Irr!D26&lt;&gt;".",up_Irr!AB26&lt;&gt;".",up_Irr!AZ26&lt;&gt;"."),up_dir!AD26/((1/1000)*(up_Irr!D26+up_Irr!AB26+up_Irr!AZ26)),IF(AND(up_Irr!D26&lt;&gt;".",up_Irr!AB26&lt;&gt;".",up_Irr!AZ26="."),up_dir!AD26/((1/1000)*(up_Irr!D26+up_Irr!AB26)),IF(AND(up_Irr!D26&lt;&gt;".",up_Irr!AB26=".",up_Irr!AZ26&lt;&gt;"."),up_dir!AD26/((1/1000)*(up_Irr!D26+up_Irr!AZ26)),IF(AND(up_Irr!D26=".",up_Irr!AB26&lt;&gt;".",up_Irr!AZ26&lt;&gt;"."),up_dir!AD26/((1/1000)*(up_Irr!AB26+up_Irr!AZ26)),IF(AND(up_Irr!D26=".",up_Irr!AB26=".",up_Irr!AZ26&lt;&gt;"."),up_dir!AD26/((1/1000)*(up_Irr!AZ26)),IF(AND(up_Irr!D26=".",up_Irr!AB26&lt;&gt;".",up_Irr!AZ26="."),up_dir!AD26/((1/1000)*(up_Irr!AB26)),IF(AND(up_Irr!D26&lt;&gt;".",up_Irr!AB26=".",up_Irr!AZ26="."),up_dir!AD26/((1/1000)*(up_Irr!D26)),IF(AND(up_Irr!D26=".",up_Irr!AB26=".",up_Irr!AZ26="."),up_dir!AD26*1000)))))))),".")</f>
        <v>6.5773651144152131E-4</v>
      </c>
      <c r="BD26" s="48">
        <f>IFERROR(IF(AND(up_Irr!E26&lt;&gt;".",up_Irr!AC26&lt;&gt;".",up_Irr!BA26&lt;&gt;"."),up_dir!AE26/((1/1000)*(up_Irr!E26+up_Irr!AC26+up_Irr!BA26)),IF(AND(up_Irr!E26&lt;&gt;".",up_Irr!AC26&lt;&gt;".",up_Irr!BA26="."),up_dir!AE26/((1/1000)*(up_Irr!E26+up_Irr!AC26)),IF(AND(up_Irr!E26&lt;&gt;".",up_Irr!AC26=".",up_Irr!BA26&lt;&gt;"."),up_dir!AE26/((1/1000)*(up_Irr!E26+up_Irr!BA26)),IF(AND(up_Irr!E26=".",up_Irr!AC26&lt;&gt;".",up_Irr!BA26&lt;&gt;"."),up_dir!AE26/((1/1000)*(up_Irr!AC26+up_Irr!BA26)),IF(AND(up_Irr!E26=".",up_Irr!AC26=".",up_Irr!BA26&lt;&gt;"."),up_dir!AE26/((1/1000)*(up_Irr!BA26)),IF(AND(up_Irr!E26=".",up_Irr!AC26&lt;&gt;".",up_Irr!BA26="."),up_dir!AE26/((1/1000)*(up_Irr!AC26)),IF(AND(up_Irr!E26&lt;&gt;".",up_Irr!AC26=".",up_Irr!BA26="."),up_dir!AE26/((1/1000)*(up_Irr!E26)),IF(AND(up_Irr!E26=".",up_Irr!AC26=".",up_Irr!BA26="."),up_dir!AE26*1000)))))))),".")</f>
        <v>6.5773651144152131E-4</v>
      </c>
      <c r="BE26" s="48">
        <f>IFERROR(IF(AND(up_Irr!F26&lt;&gt;".",up_Irr!AD26&lt;&gt;".",up_Irr!BB26&lt;&gt;"."),up_dir!AF26/((1/1000)*(up_Irr!F26+up_Irr!AD26+up_Irr!BB26)),IF(AND(up_Irr!F26&lt;&gt;".",up_Irr!AD26&lt;&gt;".",up_Irr!BB26="."),up_dir!AF26/((1/1000)*(up_Irr!F26+up_Irr!AD26)),IF(AND(up_Irr!F26&lt;&gt;".",up_Irr!AD26=".",up_Irr!BB26&lt;&gt;"."),up_dir!AF26/((1/1000)*(up_Irr!F26+up_Irr!BB26)),IF(AND(up_Irr!F26=".",up_Irr!AD26&lt;&gt;".",up_Irr!BB26&lt;&gt;"."),up_dir!AF26/((1/1000)*(up_Irr!AD26+up_Irr!BB26)),IF(AND(up_Irr!F26=".",up_Irr!AD26=".",up_Irr!BB26&lt;&gt;"."),up_dir!AF26/((1/1000)*(up_Irr!BB26)),IF(AND(up_Irr!F26=".",up_Irr!AD26&lt;&gt;".",up_Irr!BB26="."),up_dir!AF26/((1/1000)*(up_Irr!AD26)),IF(AND(up_Irr!F26&lt;&gt;".",up_Irr!AD26=".",up_Irr!BB26="."),up_dir!AF26/((1/1000)*(up_Irr!F26)),IF(AND(up_Irr!F26=".",up_Irr!AD26=".",up_Irr!BB26="."),up_dir!AF26*1000)))))))),".")</f>
        <v>6.5773651144152131E-4</v>
      </c>
      <c r="BF26" s="48">
        <f>IFERROR(IF(AND(up_Irr!G26&lt;&gt;".",up_Irr!AE26&lt;&gt;".",up_Irr!BC26&lt;&gt;"."),up_dir!AG26/((1/1000)*(up_Irr!G26+up_Irr!AE26+up_Irr!BC26)),IF(AND(up_Irr!G26&lt;&gt;".",up_Irr!AE26&lt;&gt;".",up_Irr!BC26="."),up_dir!AG26/((1/1000)*(up_Irr!G26+up_Irr!AE26)),IF(AND(up_Irr!G26&lt;&gt;".",up_Irr!AE26=".",up_Irr!BC26&lt;&gt;"."),up_dir!AG26/((1/1000)*(up_Irr!G26+up_Irr!BC26)),IF(AND(up_Irr!G26=".",up_Irr!AE26&lt;&gt;".",up_Irr!BC26&lt;&gt;"."),up_dir!AG26/((1/1000)*(up_Irr!AE26+up_Irr!BC26)),IF(AND(up_Irr!G26=".",up_Irr!AE26=".",up_Irr!BC26&lt;&gt;"."),up_dir!AG26/((1/1000)*(up_Irr!BC26)),IF(AND(up_Irr!G26=".",up_Irr!AE26&lt;&gt;".",up_Irr!BC26="."),up_dir!AG26/((1/1000)*(up_Irr!AE26)),IF(AND(up_Irr!G26&lt;&gt;".",up_Irr!AE26=".",up_Irr!BC26="."),up_dir!AG26/((1/1000)*(up_Irr!G26)),IF(AND(up_Irr!G26=".",up_Irr!AE26=".",up_Irr!BC26="."),up_dir!AG26*1000)))))))),".")</f>
        <v>6.5773651144152131E-4</v>
      </c>
      <c r="BG26" s="48">
        <f>IFERROR(IF(AND(up_Irr!H26&lt;&gt;".",up_Irr!AF26&lt;&gt;".",up_Irr!BD26&lt;&gt;"."),up_dir!AH26/((1/1000)*(up_Irr!H26+up_Irr!AF26+up_Irr!BD26)),IF(AND(up_Irr!H26&lt;&gt;".",up_Irr!AF26&lt;&gt;".",up_Irr!BD26="."),up_dir!AH26/((1/1000)*(up_Irr!H26+up_Irr!AF26)),IF(AND(up_Irr!H26&lt;&gt;".",up_Irr!AF26=".",up_Irr!BD26&lt;&gt;"."),up_dir!AH26/((1/1000)*(up_Irr!H26+up_Irr!BD26)),IF(AND(up_Irr!H26=".",up_Irr!AF26&lt;&gt;".",up_Irr!BD26&lt;&gt;"."),up_dir!AH26/((1/1000)*(up_Irr!AF26+up_Irr!BD26)),IF(AND(up_Irr!H26=".",up_Irr!AF26=".",up_Irr!BD26&lt;&gt;"."),up_dir!AH26/((1/1000)*(up_Irr!BD26)),IF(AND(up_Irr!H26=".",up_Irr!AF26&lt;&gt;".",up_Irr!BD26="."),up_dir!AH26/((1/1000)*(up_Irr!AF26)),IF(AND(up_Irr!H26&lt;&gt;".",up_Irr!AF26=".",up_Irr!BD26="."),up_dir!AH26/((1/1000)*(up_Irr!H26)),IF(AND(up_Irr!H26=".",up_Irr!AF26=".",up_Irr!BD26="."),up_dir!AH26*1000)))))))),".")</f>
        <v>6.5773651144152131E-4</v>
      </c>
      <c r="BH26" s="48">
        <f>IFERROR(IF(AND(up_Irr!I26&lt;&gt;".",up_Irr!AG26&lt;&gt;".",up_Irr!BE26&lt;&gt;"."),up_dir!AI26/((1/1000)*(up_Irr!I26+up_Irr!AG26+up_Irr!BE26)),IF(AND(up_Irr!I26&lt;&gt;".",up_Irr!AG26&lt;&gt;".",up_Irr!BE26="."),up_dir!AI26/((1/1000)*(up_Irr!I26+up_Irr!AG26)),IF(AND(up_Irr!I26&lt;&gt;".",up_Irr!AG26=".",up_Irr!BE26&lt;&gt;"."),up_dir!AI26/((1/1000)*(up_Irr!I26+up_Irr!BE26)),IF(AND(up_Irr!I26=".",up_Irr!AG26&lt;&gt;".",up_Irr!BE26&lt;&gt;"."),up_dir!AI26/((1/1000)*(up_Irr!AG26+up_Irr!BE26)),IF(AND(up_Irr!I26=".",up_Irr!AG26=".",up_Irr!BE26&lt;&gt;"."),up_dir!AI26/((1/1000)*(up_Irr!BE26)),IF(AND(up_Irr!I26=".",up_Irr!AG26&lt;&gt;".",up_Irr!BE26="."),up_dir!AI26/((1/1000)*(up_Irr!AG26)),IF(AND(up_Irr!I26&lt;&gt;".",up_Irr!AG26=".",up_Irr!BE26="."),up_dir!AI26/((1/1000)*(up_Irr!I26)),IF(AND(up_Irr!I26=".",up_Irr!AG26=".",up_Irr!BE26="."),up_dir!AI26*1000)))))))),".")</f>
        <v>6.5773651144152131E-4</v>
      </c>
      <c r="BI26" s="48">
        <f>IFERROR(IF(AND(up_Irr!J26&lt;&gt;".",up_Irr!AH26&lt;&gt;".",up_Irr!BF26&lt;&gt;"."),up_dir!AJ26/((1/1000)*(up_Irr!J26+up_Irr!AH26+up_Irr!BF26)),IF(AND(up_Irr!J26&lt;&gt;".",up_Irr!AH26&lt;&gt;".",up_Irr!BF26="."),up_dir!AJ26/((1/1000)*(up_Irr!J26+up_Irr!AH26)),IF(AND(up_Irr!J26&lt;&gt;".",up_Irr!AH26=".",up_Irr!BF26&lt;&gt;"."),up_dir!AJ26/((1/1000)*(up_Irr!J26+up_Irr!BF26)),IF(AND(up_Irr!J26=".",up_Irr!AH26&lt;&gt;".",up_Irr!BF26&lt;&gt;"."),up_dir!AJ26/((1/1000)*(up_Irr!AH26+up_Irr!BF26)),IF(AND(up_Irr!J26=".",up_Irr!AH26=".",up_Irr!BF26&lt;&gt;"."),up_dir!AJ26/((1/1000)*(up_Irr!BF26)),IF(AND(up_Irr!J26=".",up_Irr!AH26&lt;&gt;".",up_Irr!BF26="."),up_dir!AJ26/((1/1000)*(up_Irr!AH26)),IF(AND(up_Irr!J26&lt;&gt;".",up_Irr!AH26=".",up_Irr!BF26="."),up_dir!AJ26/((1/1000)*(up_Irr!J26)),IF(AND(up_Irr!J26=".",up_Irr!AH26=".",up_Irr!BF26="."),up_dir!AJ26*1000)))))))),".")</f>
        <v>6.5773651144152131E-4</v>
      </c>
      <c r="BJ26" s="48">
        <f>IFERROR(IF(AND(up_Irr!K26&lt;&gt;".",up_Irr!AI26&lt;&gt;".",up_Irr!BG26&lt;&gt;"."),up_dir!AK26/((1/1000)*(up_Irr!K26+up_Irr!AI26+up_Irr!BG26)),IF(AND(up_Irr!K26&lt;&gt;".",up_Irr!AI26&lt;&gt;".",up_Irr!BG26="."),up_dir!AK26/((1/1000)*(up_Irr!K26+up_Irr!AI26)),IF(AND(up_Irr!K26&lt;&gt;".",up_Irr!AI26=".",up_Irr!BG26&lt;&gt;"."),up_dir!AK26/((1/1000)*(up_Irr!K26+up_Irr!BG26)),IF(AND(up_Irr!K26=".",up_Irr!AI26&lt;&gt;".",up_Irr!BG26&lt;&gt;"."),up_dir!AK26/((1/1000)*(up_Irr!AI26+up_Irr!BG26)),IF(AND(up_Irr!K26=".",up_Irr!AI26=".",up_Irr!BG26&lt;&gt;"."),up_dir!AK26/((1/1000)*(up_Irr!BG26)),IF(AND(up_Irr!K26=".",up_Irr!AI26&lt;&gt;".",up_Irr!BG26="."),up_dir!AK26/((1/1000)*(up_Irr!AI26)),IF(AND(up_Irr!K26&lt;&gt;".",up_Irr!AI26=".",up_Irr!BG26="."),up_dir!AK26/((1/1000)*(up_Irr!K26)),IF(AND(up_Irr!K26=".",up_Irr!AI26=".",up_Irr!BG26="."),up_dir!AK26*1000)))))))),".")</f>
        <v>6.5773651144152131E-4</v>
      </c>
      <c r="BK26" s="48">
        <f>IFERROR(IF(AND(up_Irr!L26&lt;&gt;".",up_Irr!AJ26&lt;&gt;".",up_Irr!BH26&lt;&gt;"."),up_dir!AL26/((1/1000)*(up_Irr!L26+up_Irr!AJ26+up_Irr!BH26)),IF(AND(up_Irr!L26&lt;&gt;".",up_Irr!AJ26&lt;&gt;".",up_Irr!BH26="."),up_dir!AL26/((1/1000)*(up_Irr!L26+up_Irr!AJ26)),IF(AND(up_Irr!L26&lt;&gt;".",up_Irr!AJ26=".",up_Irr!BH26&lt;&gt;"."),up_dir!AL26/((1/1000)*(up_Irr!L26+up_Irr!BH26)),IF(AND(up_Irr!L26=".",up_Irr!AJ26&lt;&gt;".",up_Irr!BH26&lt;&gt;"."),up_dir!AL26/((1/1000)*(up_Irr!AJ26+up_Irr!BH26)),IF(AND(up_Irr!L26=".",up_Irr!AJ26=".",up_Irr!BH26&lt;&gt;"."),up_dir!AL26/((1/1000)*(up_Irr!BH26)),IF(AND(up_Irr!L26=".",up_Irr!AJ26&lt;&gt;".",up_Irr!BH26="."),up_dir!AL26/((1/1000)*(up_Irr!AJ26)),IF(AND(up_Irr!L26&lt;&gt;".",up_Irr!AJ26=".",up_Irr!BH26="."),up_dir!AL26/((1/1000)*(up_Irr!L26)),IF(AND(up_Irr!L26=".",up_Irr!AJ26=".",up_Irr!BH26="."),up_dir!AL26*1000)))))))),".")</f>
        <v>6.5773651144152131E-4</v>
      </c>
      <c r="BL26" s="48">
        <f>IFERROR(IF(AND(up_Irr!M26&lt;&gt;".",up_Irr!AK26&lt;&gt;".",up_Irr!BI26&lt;&gt;"."),up_dir!AM26/((1/1000)*(up_Irr!M26+up_Irr!AK26+up_Irr!BI26)),IF(AND(up_Irr!M26&lt;&gt;".",up_Irr!AK26&lt;&gt;".",up_Irr!BI26="."),up_dir!AM26/((1/1000)*(up_Irr!M26+up_Irr!AK26)),IF(AND(up_Irr!M26&lt;&gt;".",up_Irr!AK26=".",up_Irr!BI26&lt;&gt;"."),up_dir!AM26/((1/1000)*(up_Irr!M26+up_Irr!BI26)),IF(AND(up_Irr!M26=".",up_Irr!AK26&lt;&gt;".",up_Irr!BI26&lt;&gt;"."),up_dir!AM26/((1/1000)*(up_Irr!AK26+up_Irr!BI26)),IF(AND(up_Irr!M26=".",up_Irr!AK26=".",up_Irr!BI26&lt;&gt;"."),up_dir!AM26/((1/1000)*(up_Irr!BI26)),IF(AND(up_Irr!M26=".",up_Irr!AK26&lt;&gt;".",up_Irr!BI26="."),up_dir!AM26/((1/1000)*(up_Irr!AK26)),IF(AND(up_Irr!M26&lt;&gt;".",up_Irr!AK26=".",up_Irr!BI26="."),up_dir!AM26/((1/1000)*(up_Irr!M26)),IF(AND(up_Irr!M26=".",up_Irr!AK26=".",up_Irr!BI26="."),up_dir!AM26*1000)))))))),".")</f>
        <v>6.5773651144152131E-4</v>
      </c>
      <c r="BM26" s="48">
        <f>IFERROR(IF(AND(up_Irr!N26&lt;&gt;".",up_Irr!AL26&lt;&gt;".",up_Irr!BJ26&lt;&gt;"."),up_dir!AN26/((1/1000)*(up_Irr!N26+up_Irr!AL26+up_Irr!BJ26)),IF(AND(up_Irr!N26&lt;&gt;".",up_Irr!AL26&lt;&gt;".",up_Irr!BJ26="."),up_dir!AN26/((1/1000)*(up_Irr!N26+up_Irr!AL26)),IF(AND(up_Irr!N26&lt;&gt;".",up_Irr!AL26=".",up_Irr!BJ26&lt;&gt;"."),up_dir!AN26/((1/1000)*(up_Irr!N26+up_Irr!BJ26)),IF(AND(up_Irr!N26=".",up_Irr!AL26&lt;&gt;".",up_Irr!BJ26&lt;&gt;"."),up_dir!AN26/((1/1000)*(up_Irr!AL26+up_Irr!BJ26)),IF(AND(up_Irr!N26=".",up_Irr!AL26=".",up_Irr!BJ26&lt;&gt;"."),up_dir!AN26/((1/1000)*(up_Irr!BJ26)),IF(AND(up_Irr!N26=".",up_Irr!AL26&lt;&gt;".",up_Irr!BJ26="."),up_dir!AN26/((1/1000)*(up_Irr!AL26)),IF(AND(up_Irr!N26&lt;&gt;".",up_Irr!AL26=".",up_Irr!BJ26="."),up_dir!AN26/((1/1000)*(up_Irr!N26)),IF(AND(up_Irr!N26=".",up_Irr!AL26=".",up_Irr!BJ26="."),up_dir!AN26*1000)))))))),".")</f>
        <v>6.5773651144152131E-4</v>
      </c>
      <c r="BN26" s="48">
        <f>IFERROR(IF(AND(up_Irr!O26&lt;&gt;".",up_Irr!AM26&lt;&gt;".",up_Irr!BK26&lt;&gt;"."),up_dir!AO26/((1/1000)*(up_Irr!O26+up_Irr!AM26+up_Irr!BK26)),IF(AND(up_Irr!O26&lt;&gt;".",up_Irr!AM26&lt;&gt;".",up_Irr!BK26="."),up_dir!AO26/((1/1000)*(up_Irr!O26+up_Irr!AM26)),IF(AND(up_Irr!O26&lt;&gt;".",up_Irr!AM26=".",up_Irr!BK26&lt;&gt;"."),up_dir!AO26/((1/1000)*(up_Irr!O26+up_Irr!BK26)),IF(AND(up_Irr!O26=".",up_Irr!AM26&lt;&gt;".",up_Irr!BK26&lt;&gt;"."),up_dir!AO26/((1/1000)*(up_Irr!AM26+up_Irr!BK26)),IF(AND(up_Irr!O26=".",up_Irr!AM26=".",up_Irr!BK26&lt;&gt;"."),up_dir!AO26/((1/1000)*(up_Irr!BK26)),IF(AND(up_Irr!O26=".",up_Irr!AM26&lt;&gt;".",up_Irr!BK26="."),up_dir!AO26/((1/1000)*(up_Irr!AM26)),IF(AND(up_Irr!O26&lt;&gt;".",up_Irr!AM26=".",up_Irr!BK26="."),up_dir!AO26/((1/1000)*(up_Irr!O26)),IF(AND(up_Irr!O26=".",up_Irr!AM26=".",up_Irr!BK26="."),up_dir!AO26*1000)))))))),".")</f>
        <v>6.5773651144152131E-4</v>
      </c>
      <c r="BO26" s="48">
        <f>IFERROR(IF(AND(up_Irr!P26&lt;&gt;".",up_Irr!AN26&lt;&gt;".",up_Irr!BL26&lt;&gt;"."),up_dir!AP26/((1/1000)*(up_Irr!P26+up_Irr!AN26+up_Irr!BL26)),IF(AND(up_Irr!P26&lt;&gt;".",up_Irr!AN26&lt;&gt;".",up_Irr!BL26="."),up_dir!AP26/((1/1000)*(up_Irr!P26+up_Irr!AN26)),IF(AND(up_Irr!P26&lt;&gt;".",up_Irr!AN26=".",up_Irr!BL26&lt;&gt;"."),up_dir!AP26/((1/1000)*(up_Irr!P26+up_Irr!BL26)),IF(AND(up_Irr!P26=".",up_Irr!AN26&lt;&gt;".",up_Irr!BL26&lt;&gt;"."),up_dir!AP26/((1/1000)*(up_Irr!AN26+up_Irr!BL26)),IF(AND(up_Irr!P26=".",up_Irr!AN26=".",up_Irr!BL26&lt;&gt;"."),up_dir!AP26/((1/1000)*(up_Irr!BL26)),IF(AND(up_Irr!P26=".",up_Irr!AN26&lt;&gt;".",up_Irr!BL26="."),up_dir!AP26/((1/1000)*(up_Irr!AN26)),IF(AND(up_Irr!P26&lt;&gt;".",up_Irr!AN26=".",up_Irr!BL26="."),up_dir!AP26/((1/1000)*(up_Irr!P26)),IF(AND(up_Irr!P26=".",up_Irr!AN26=".",up_Irr!BL26="."),up_dir!AP26*1000)))))))),".")</f>
        <v>6.5773651144152131E-4</v>
      </c>
      <c r="BP26" s="48">
        <f>IFERROR(IF(AND(up_Irr!Q26&lt;&gt;".",up_Irr!AO26&lt;&gt;".",up_Irr!BM26&lt;&gt;"."),up_dir!AQ26/((1/1000)*(up_Irr!Q26+up_Irr!AO26+up_Irr!BM26)),IF(AND(up_Irr!Q26&lt;&gt;".",up_Irr!AO26&lt;&gt;".",up_Irr!BM26="."),up_dir!AQ26/((1/1000)*(up_Irr!Q26+up_Irr!AO26)),IF(AND(up_Irr!Q26&lt;&gt;".",up_Irr!AO26=".",up_Irr!BM26&lt;&gt;"."),up_dir!AQ26/((1/1000)*(up_Irr!Q26+up_Irr!BM26)),IF(AND(up_Irr!Q26=".",up_Irr!AO26&lt;&gt;".",up_Irr!BM26&lt;&gt;"."),up_dir!AQ26/((1/1000)*(up_Irr!AO26+up_Irr!BM26)),IF(AND(up_Irr!Q26=".",up_Irr!AO26=".",up_Irr!BM26&lt;&gt;"."),up_dir!AQ26/((1/1000)*(up_Irr!BM26)),IF(AND(up_Irr!Q26=".",up_Irr!AO26&lt;&gt;".",up_Irr!BM26="."),up_dir!AQ26/((1/1000)*(up_Irr!AO26)),IF(AND(up_Irr!Q26&lt;&gt;".",up_Irr!AO26=".",up_Irr!BM26="."),up_dir!AQ26/((1/1000)*(up_Irr!Q26)),IF(AND(up_Irr!Q26=".",up_Irr!AO26=".",up_Irr!BM26="."),up_dir!AQ26*1000)))))))),".")</f>
        <v>6.5773651144152131E-4</v>
      </c>
      <c r="BQ26" s="48">
        <f>IFERROR(IF(AND(up_Irr!R26&lt;&gt;".",up_Irr!AP26&lt;&gt;".",up_Irr!BN26&lt;&gt;"."),up_dir!AR26/((1/1000)*(up_Irr!R26+up_Irr!AP26+up_Irr!BN26)),IF(AND(up_Irr!R26&lt;&gt;".",up_Irr!AP26&lt;&gt;".",up_Irr!BN26="."),up_dir!AR26/((1/1000)*(up_Irr!R26+up_Irr!AP26)),IF(AND(up_Irr!R26&lt;&gt;".",up_Irr!AP26=".",up_Irr!BN26&lt;&gt;"."),up_dir!AR26/((1/1000)*(up_Irr!R26+up_Irr!BN26)),IF(AND(up_Irr!R26=".",up_Irr!AP26&lt;&gt;".",up_Irr!BN26&lt;&gt;"."),up_dir!AR26/((1/1000)*(up_Irr!AP26+up_Irr!BN26)),IF(AND(up_Irr!R26=".",up_Irr!AP26=".",up_Irr!BN26&lt;&gt;"."),up_dir!AR26/((1/1000)*(up_Irr!BN26)),IF(AND(up_Irr!R26=".",up_Irr!AP26&lt;&gt;".",up_Irr!BN26="."),up_dir!AR26/((1/1000)*(up_Irr!AP26)),IF(AND(up_Irr!R26&lt;&gt;".",up_Irr!AP26=".",up_Irr!BN26="."),up_dir!AR26/((1/1000)*(up_Irr!R26)),IF(AND(up_Irr!R26=".",up_Irr!AP26=".",up_Irr!BN26="."),up_dir!AR26*1000)))))))),".")</f>
        <v>6.5773651144152131E-4</v>
      </c>
      <c r="BR26" s="48">
        <f>IFERROR(IF(AND(up_Irr!S26&lt;&gt;".",up_Irr!AQ26&lt;&gt;".",up_Irr!BO26&lt;&gt;"."),up_dir!AS26/((1/1000)*(up_Irr!S26+up_Irr!AQ26+up_Irr!BO26)),IF(AND(up_Irr!S26&lt;&gt;".",up_Irr!AQ26&lt;&gt;".",up_Irr!BO26="."),up_dir!AS26/((1/1000)*(up_Irr!S26+up_Irr!AQ26)),IF(AND(up_Irr!S26&lt;&gt;".",up_Irr!AQ26=".",up_Irr!BO26&lt;&gt;"."),up_dir!AS26/((1/1000)*(up_Irr!S26+up_Irr!BO26)),IF(AND(up_Irr!S26=".",up_Irr!AQ26&lt;&gt;".",up_Irr!BO26&lt;&gt;"."),up_dir!AS26/((1/1000)*(up_Irr!AQ26+up_Irr!BO26)),IF(AND(up_Irr!S26=".",up_Irr!AQ26=".",up_Irr!BO26&lt;&gt;"."),up_dir!AS26/((1/1000)*(up_Irr!BO26)),IF(AND(up_Irr!S26=".",up_Irr!AQ26&lt;&gt;".",up_Irr!BO26="."),up_dir!AS26/((1/1000)*(up_Irr!AQ26)),IF(AND(up_Irr!S26&lt;&gt;".",up_Irr!AQ26=".",up_Irr!BO26="."),up_dir!AS26/((1/1000)*(up_Irr!S26)),IF(AND(up_Irr!S26=".",up_Irr!AQ26=".",up_Irr!BO26="."),up_dir!AS26*1000)))))))),".")</f>
        <v>6.5773651144152131E-4</v>
      </c>
      <c r="BS26" s="48">
        <f>IFERROR(IF(AND(up_Irr!T26&lt;&gt;".",up_Irr!AR26&lt;&gt;".",up_Irr!BP26&lt;&gt;"."),up_dir!AT26/((1/1000)*(up_Irr!T26+up_Irr!AR26+up_Irr!BP26)),IF(AND(up_Irr!T26&lt;&gt;".",up_Irr!AR26&lt;&gt;".",up_Irr!BP26="."),up_dir!AT26/((1/1000)*(up_Irr!T26+up_Irr!AR26)),IF(AND(up_Irr!T26&lt;&gt;".",up_Irr!AR26=".",up_Irr!BP26&lt;&gt;"."),up_dir!AT26/((1/1000)*(up_Irr!T26+up_Irr!BP26)),IF(AND(up_Irr!T26=".",up_Irr!AR26&lt;&gt;".",up_Irr!BP26&lt;&gt;"."),up_dir!AT26/((1/1000)*(up_Irr!AR26+up_Irr!BP26)),IF(AND(up_Irr!T26=".",up_Irr!AR26=".",up_Irr!BP26&lt;&gt;"."),up_dir!AT26/((1/1000)*(up_Irr!BP26)),IF(AND(up_Irr!T26=".",up_Irr!AR26&lt;&gt;".",up_Irr!BP26="."),up_dir!AT26/((1/1000)*(up_Irr!AR26)),IF(AND(up_Irr!T26&lt;&gt;".",up_Irr!AR26=".",up_Irr!BP26="."),up_dir!AT26/((1/1000)*(up_Irr!T26)),IF(AND(up_Irr!T26=".",up_Irr!AR26=".",up_Irr!BP26="."),up_dir!AT26*1000)))))))),".")</f>
        <v>6.5773651144152131E-4</v>
      </c>
      <c r="BT26" s="48">
        <f>IFERROR(IF(AND(up_Irr!U26&lt;&gt;".",up_Irr!AS26&lt;&gt;".",up_Irr!BQ26&lt;&gt;"."),up_dir!AU26/((1/1000)*(up_Irr!U26+up_Irr!AS26+up_Irr!BQ26)),IF(AND(up_Irr!U26&lt;&gt;".",up_Irr!AS26&lt;&gt;".",up_Irr!BQ26="."),up_dir!AU26/((1/1000)*(up_Irr!U26+up_Irr!AS26)),IF(AND(up_Irr!U26&lt;&gt;".",up_Irr!AS26=".",up_Irr!BQ26&lt;&gt;"."),up_dir!AU26/((1/1000)*(up_Irr!U26+up_Irr!BQ26)),IF(AND(up_Irr!U26=".",up_Irr!AS26&lt;&gt;".",up_Irr!BQ26&lt;&gt;"."),up_dir!AU26/((1/1000)*(up_Irr!AS26+up_Irr!BQ26)),IF(AND(up_Irr!U26=".",up_Irr!AS26=".",up_Irr!BQ26&lt;&gt;"."),up_dir!AU26/((1/1000)*(up_Irr!BQ26)),IF(AND(up_Irr!U26=".",up_Irr!AS26&lt;&gt;".",up_Irr!BQ26="."),up_dir!AU26/((1/1000)*(up_Irr!AS26)),IF(AND(up_Irr!U26&lt;&gt;".",up_Irr!AS26=".",up_Irr!BQ26="."),up_dir!AU26/((1/1000)*(up_Irr!U26)),IF(AND(up_Irr!U26=".",up_Irr!AS26=".",up_Irr!BQ26="."),up_dir!AU26*1000)))))))),".")</f>
        <v>6.5773651144152131E-4</v>
      </c>
      <c r="BU26" s="48">
        <f>IFERROR(IF(AND(up_Irr!V26&lt;&gt;".",up_Irr!AT26&lt;&gt;".",up_Irr!BR26&lt;&gt;"."),up_dir!AV26/((1/1000)*(up_Irr!V26+up_Irr!AT26+up_Irr!BR26)),IF(AND(up_Irr!V26&lt;&gt;".",up_Irr!AT26&lt;&gt;".",up_Irr!BR26="."),up_dir!AV26/((1/1000)*(up_Irr!V26+up_Irr!AT26)),IF(AND(up_Irr!V26&lt;&gt;".",up_Irr!AT26=".",up_Irr!BR26&lt;&gt;"."),up_dir!AV26/((1/1000)*(up_Irr!V26+up_Irr!BR26)),IF(AND(up_Irr!V26=".",up_Irr!AT26&lt;&gt;".",up_Irr!BR26&lt;&gt;"."),up_dir!AV26/((1/1000)*(up_Irr!AT26+up_Irr!BR26)),IF(AND(up_Irr!V26=".",up_Irr!AT26=".",up_Irr!BR26&lt;&gt;"."),up_dir!AV26/((1/1000)*(up_Irr!BR26)),IF(AND(up_Irr!V26=".",up_Irr!AT26&lt;&gt;".",up_Irr!BR26="."),up_dir!AV26/((1/1000)*(up_Irr!AT26)),IF(AND(up_Irr!V26&lt;&gt;".",up_Irr!AT26=".",up_Irr!BR26="."),up_dir!AV26/((1/1000)*(up_Irr!V26)),IF(AND(up_Irr!V26=".",up_Irr!AT26=".",up_Irr!BR26="."),up_dir!AV26*1000)))))))),".")</f>
        <v>6.5773651144152131E-4</v>
      </c>
      <c r="BV26" s="48">
        <f>IFERROR(IF(AND(up_Irr!W26&lt;&gt;".",up_Irr!AU26&lt;&gt;".",up_Irr!BS26&lt;&gt;"."),up_dir!AW26/((1/1000)*(up_Irr!W26+up_Irr!AU26+up_Irr!BS26)),IF(AND(up_Irr!W26&lt;&gt;".",up_Irr!AU26&lt;&gt;".",up_Irr!BS26="."),up_dir!AW26/((1/1000)*(up_Irr!W26+up_Irr!AU26)),IF(AND(up_Irr!W26&lt;&gt;".",up_Irr!AU26=".",up_Irr!BS26&lt;&gt;"."),up_dir!AW26/((1/1000)*(up_Irr!W26+up_Irr!BS26)),IF(AND(up_Irr!W26=".",up_Irr!AU26&lt;&gt;".",up_Irr!BS26&lt;&gt;"."),up_dir!AW26/((1/1000)*(up_Irr!AU26+up_Irr!BS26)),IF(AND(up_Irr!W26=".",up_Irr!AU26=".",up_Irr!BS26&lt;&gt;"."),up_dir!AW26/((1/1000)*(up_Irr!BS26)),IF(AND(up_Irr!W26=".",up_Irr!AU26&lt;&gt;".",up_Irr!BS26="."),up_dir!AW26/((1/1000)*(up_Irr!AU26)),IF(AND(up_Irr!W26&lt;&gt;".",up_Irr!AU26=".",up_Irr!BS26="."),up_dir!AW26/((1/1000)*(up_Irr!W26)),IF(AND(up_Irr!W26=".",up_Irr!AU26=".",up_Irr!BS26="."),up_dir!AW26*1000)))))))),".")</f>
        <v>6.5773651144152131E-4</v>
      </c>
      <c r="BW26" s="48">
        <f>IFERROR(IF(AND(up_Irr!X26&lt;&gt;".",up_Irr!AV26&lt;&gt;".",up_Irr!BT26&lt;&gt;"."),up_dir!AX26/((1/1000)*(up_Irr!X26+up_Irr!AV26+up_Irr!BT26)),IF(AND(up_Irr!X26&lt;&gt;".",up_Irr!AV26&lt;&gt;".",up_Irr!BT26="."),up_dir!AX26/((1/1000)*(up_Irr!X26+up_Irr!AV26)),IF(AND(up_Irr!X26&lt;&gt;".",up_Irr!AV26=".",up_Irr!BT26&lt;&gt;"."),up_dir!AX26/((1/1000)*(up_Irr!X26+up_Irr!BT26)),IF(AND(up_Irr!X26=".",up_Irr!AV26&lt;&gt;".",up_Irr!BT26&lt;&gt;"."),up_dir!AX26/((1/1000)*(up_Irr!AV26+up_Irr!BT26)),IF(AND(up_Irr!X26=".",up_Irr!AV26=".",up_Irr!BT26&lt;&gt;"."),up_dir!AX26/((1/1000)*(up_Irr!BT26)),IF(AND(up_Irr!X26=".",up_Irr!AV26&lt;&gt;".",up_Irr!BT26="."),up_dir!AX26/((1/1000)*(up_Irr!AV26)),IF(AND(up_Irr!X26&lt;&gt;".",up_Irr!AV26=".",up_Irr!BT26="."),up_dir!AX26/((1/1000)*(up_Irr!X26)),IF(AND(up_Irr!X26=".",up_Irr!AV26=".",up_Irr!BT26="."),up_dir!AX26*1000)))))))),".")</f>
        <v>6.5773651144152131E-4</v>
      </c>
      <c r="BX26" s="48">
        <f>IFERROR(IF(AND(up_Irr!Y26&lt;&gt;".",up_Irr!AW26&lt;&gt;".",up_Irr!BU26&lt;&gt;"."),up_dir!AY26/((1/1000)*(up_Irr!Y26+up_Irr!AW26+up_Irr!BU26)),IF(AND(up_Irr!Y26&lt;&gt;".",up_Irr!AW26&lt;&gt;".",up_Irr!BU26="."),up_dir!AY26/((1/1000)*(up_Irr!Y26+up_Irr!AW26)),IF(AND(up_Irr!Y26&lt;&gt;".",up_Irr!AW26=".",up_Irr!BU26&lt;&gt;"."),up_dir!AY26/((1/1000)*(up_Irr!Y26+up_Irr!BU26)),IF(AND(up_Irr!Y26=".",up_Irr!AW26&lt;&gt;".",up_Irr!BU26&lt;&gt;"."),up_dir!AY26/((1/1000)*(up_Irr!AW26+up_Irr!BU26)),IF(AND(up_Irr!Y26=".",up_Irr!AW26=".",up_Irr!BU26&lt;&gt;"."),up_dir!AY26/((1/1000)*(up_Irr!BU26)),IF(AND(up_Irr!Y26=".",up_Irr!AW26&lt;&gt;".",up_Irr!BU26="."),up_dir!AY26/((1/1000)*(up_Irr!AW26)),IF(AND(up_Irr!Y26&lt;&gt;".",up_Irr!AW26=".",up_Irr!BU26="."),up_dir!AY26/((1/1000)*(up_Irr!Y26)),IF(AND(up_Irr!Y26=".",up_Irr!AW26=".",up_Irr!BU26="."),up_dir!AY26*1000)))))))),".")</f>
        <v>6.5773651144152131E-4</v>
      </c>
      <c r="BY26" s="48">
        <f>IFERROR(IF(AND(up_Irr!Z26&lt;&gt;".",up_Irr!AX26&lt;&gt;".",up_Irr!BV26&lt;&gt;"."),up_dir!AZ26/((1/1000)*(up_Irr!Z26+up_Irr!AX26+up_Irr!BV26)),IF(AND(up_Irr!Z26&lt;&gt;".",up_Irr!AX26&lt;&gt;".",up_Irr!BV26="."),up_dir!AZ26/((1/1000)*(up_Irr!Z26+up_Irr!AX26)),IF(AND(up_Irr!Z26&lt;&gt;".",up_Irr!AX26=".",up_Irr!BV26&lt;&gt;"."),up_dir!AZ26/((1/1000)*(up_Irr!Z26+up_Irr!BV26)),IF(AND(up_Irr!Z26=".",up_Irr!AX26&lt;&gt;".",up_Irr!BV26&lt;&gt;"."),up_dir!AZ26/((1/1000)*(up_Irr!AX26+up_Irr!BV26)),IF(AND(up_Irr!Z26=".",up_Irr!AX26=".",up_Irr!BV26&lt;&gt;"."),up_dir!AZ26/((1/1000)*(up_Irr!BV26)),IF(AND(up_Irr!Z26=".",up_Irr!AX26&lt;&gt;".",up_Irr!BV26="."),up_dir!AZ26/((1/1000)*(up_Irr!AX26)),IF(AND(up_Irr!Z26&lt;&gt;".",up_Irr!AX26=".",up_Irr!BV26="."),up_dir!AZ26/((1/1000)*(up_Irr!Z26)),IF(AND(up_Irr!Z26=".",up_Irr!AX26=".",up_Irr!BV26="."),up_dir!AZ26*1000)))))))),".")</f>
        <v>6.5773651144152131E-4</v>
      </c>
      <c r="BZ26" s="62">
        <f t="shared" si="3"/>
        <v>22805.4847785862</v>
      </c>
      <c r="CA26" s="62">
        <f>IFERROR(s_C*s_IFAP_far_adj*s_CF_apple*(1/1000)*(up_Irr!C26+up_Irr!AA26+up_Irr!AY26),".")</f>
        <v>7601.8282595287337</v>
      </c>
      <c r="CB26" s="62">
        <f>IFERROR(s_C*s_IFAS_far_adj*s_CF_asparagus*(1/1000)*(up_Irr!D26+up_Irr!AB26+up_Irr!AZ26),".")</f>
        <v>7601.8282595287337</v>
      </c>
      <c r="CC26" s="62">
        <f>IFERROR(s_C*s_IFBT_far_adj*s_CF_beet*(1/1000)*(up_Irr!E26+up_Irr!AC26+up_Irr!BA26),".")</f>
        <v>7601.8282595287337</v>
      </c>
      <c r="CD26" s="62">
        <f>IFERROR(s_C*s_IFBE_far_adj*s_CF_berries*(1/1000)*(up_Irr!F26+up_Irr!AD26+up_Irr!BB26),".")</f>
        <v>7601.8282595287337</v>
      </c>
      <c r="CE26" s="62">
        <f>IFERROR(s_C*s_IFBR_far_adj*s_CF_broccoli*(1/1000)*(up_Irr!G26+up_Irr!AE26+up_Irr!BC26),".")</f>
        <v>7601.8282595287337</v>
      </c>
      <c r="CF26" s="62">
        <f>IFERROR(s_C*s_IFCB_far_adj*s_CF_cabbage*(1/1000)*(up_Irr!H26+up_Irr!AF26+up_Irr!BD26),".")</f>
        <v>7601.8282595287337</v>
      </c>
      <c r="CG26" s="62">
        <f>IFERROR(s_C*s_IFCR_far_adj*s_CF_carrot*(1/1000)*(up_Irr!I26+up_Irr!AG26+up_Irr!BE26),".")</f>
        <v>7601.8282595287337</v>
      </c>
      <c r="CH26" s="62">
        <f>IFERROR(s_C*s_IFCI_far_adj*s_CF_citrus*(1/1000)*(up_Irr!J26+up_Irr!AH26+up_Irr!BF26),".")</f>
        <v>7601.8282595287337</v>
      </c>
      <c r="CI26" s="62">
        <f>IFERROR(s_C*s_IFCO_far_adj*s_CF_corn*(1/1000)*(up_Irr!K26+up_Irr!AI26+up_Irr!BG26),".")</f>
        <v>7601.8282595287337</v>
      </c>
      <c r="CJ26" s="62">
        <f>IFERROR(s_C*s_IFCU_far_adj*s_CF_cucumber*(1/1000)*(up_Irr!L26+up_Irr!AJ26+up_Irr!BH26),".")</f>
        <v>7601.8282595287337</v>
      </c>
      <c r="CK26" s="62">
        <f>IFERROR(s_C*s_IFLE_far_adj*s_CF_lettuce*(1/1000)*(up_Irr!M26+up_Irr!AK26+up_Irr!BI26),".")</f>
        <v>7601.8282595287337</v>
      </c>
      <c r="CL26" s="62">
        <f>IFERROR(s_C*s_IFLI_far_adj*s_CF_lima_bean*(1/1000)*(up_Irr!N26+up_Irr!AL26+up_Irr!BJ26),".")</f>
        <v>7601.8282595287337</v>
      </c>
      <c r="CM26" s="62">
        <f>IFERROR(s_C*s_IFOK_far_adj*s_CF_okra*(1/1000)*(up_Irr!O26+up_Irr!AM26+up_Irr!BK26),".")</f>
        <v>7601.8282595287337</v>
      </c>
      <c r="CN26" s="62">
        <f>IFERROR(s_C*s_IFON_far_adj*s_CF_onion*(1/1000)*(up_Irr!P26+up_Irr!AN26+up_Irr!BL26),".")</f>
        <v>7601.8282595287337</v>
      </c>
      <c r="CO26" s="62">
        <f>IFERROR(s_C*s_IFPC_far_adj*s_CF_peach*(1/1000)*(up_Irr!Q26+up_Irr!AO26+up_Irr!BM26),".")</f>
        <v>7601.8282595287337</v>
      </c>
      <c r="CP26" s="62">
        <f>IFERROR(s_C*s_IFPR_far_adj*s_CF_pear*(1/1000)*(up_Irr!R26+up_Irr!AP26+up_Irr!BN26),".")</f>
        <v>7601.8282595287337</v>
      </c>
      <c r="CQ26" s="62">
        <f>IFERROR(s_C*s_IFPE_far_adj*s_CF_peas*(1/1000)*(up_Irr!S26+up_Irr!AQ26+up_Irr!BO26),".")</f>
        <v>7601.8282595287337</v>
      </c>
      <c r="CR26" s="62">
        <f>IFERROR(s_C*s_IFPT_far_adj*s_CF_potato*(1/1000)*(up_Irr!T26+up_Irr!AR26+up_Irr!BP26),".")</f>
        <v>7601.8282595287337</v>
      </c>
      <c r="CS26" s="62">
        <f>IFERROR(s_C*s_IFPU_far_adj*s_CF_pumpkin*(1/1000)*(up_Irr!U26+up_Irr!AS26+up_Irr!BQ26),".")</f>
        <v>7601.8282595287337</v>
      </c>
      <c r="CT26" s="62">
        <f>IFERROR(s_C*s_IFSN_far_adj*s_CF_snap_bean*(1/1000)*(up_Irr!V26+up_Irr!AT26+up_Irr!BR26),".")</f>
        <v>7601.8282595287337</v>
      </c>
      <c r="CU26" s="62">
        <f>IFERROR(s_C*s_IFST_far_adj*s_CF_strawberry*(1/1000)*(up_Irr!W26+up_Irr!AU26+up_Irr!BS26),".")</f>
        <v>7601.8282595287337</v>
      </c>
      <c r="CV26" s="62">
        <f>IFERROR(s_C*s_IFTO_far_adj*s_CF_tomato*(1/1000)*(up_Irr!X26+up_Irr!AV26+up_Irr!BT26),".")</f>
        <v>7601.8282595287337</v>
      </c>
      <c r="CW26" s="62">
        <f>IFERROR(s_C*s_IFRI_far_adj*s_CF_rice*(1/1000)*(up_Irr!Y26+up_Irr!AW26+up_Irr!BU26),".")</f>
        <v>7601.8282595287337</v>
      </c>
      <c r="CX26" s="62">
        <f>IFERROR(s_C*s_IFCG_far_adj*s_CF_cereal*(1/1000)*(up_Irr!Z26+up_Irr!AX26+up_Irr!BV26),".")</f>
        <v>7601.8282595287337</v>
      </c>
    </row>
    <row r="27" spans="1:102" ht="15" customHeight="1" x14ac:dyDescent="0.25">
      <c r="A27" s="61" t="s">
        <v>25</v>
      </c>
      <c r="B27" s="49" t="s">
        <v>1059</v>
      </c>
      <c r="C27" s="48">
        <f t="shared" si="0"/>
        <v>2.1924550381384044E-4</v>
      </c>
      <c r="D27" s="48">
        <f>IFERROR(IF(AND(up_Irr!C27&lt;&gt;".",up_Irr!AA27&lt;&gt;".",up_Irr!AY27&lt;&gt;"."),up_dir!D27/((1/1000)*(up_Irr!C27+up_Irr!AA27+up_Irr!AY27)),IF(AND(up_Irr!C27&lt;&gt;".",up_Irr!AA27&lt;&gt;".",up_Irr!AY27="."),up_dir!D27/((1/1000)*(up_Irr!C27+up_Irr!AA27)),IF(AND(up_Irr!C27&lt;&gt;".",up_Irr!AA27=".",up_Irr!AY27&lt;&gt;"."),up_dir!D27/((1/1000)*(up_Irr!C27+up_Irr!AY27)),IF(AND(up_Irr!C27=".",up_Irr!AA27&lt;&gt;".",up_Irr!AY27&lt;&gt;"."),up_dir!D27/((1/1000)*(up_Irr!AA27+up_Irr!AY27)),IF(AND(up_Irr!C27=".",up_Irr!AA27=".",up_Irr!AY27&lt;&gt;"."),up_dir!D27/((1/1000)*(up_Irr!AY27)),IF(AND(up_Irr!C27=".",up_Irr!AA27&lt;&gt;".",up_Irr!AY27="."),up_dir!D27/((1/1000)*(up_Irr!AA27)),IF(AND(up_Irr!C27&lt;&gt;".",up_Irr!AA27=".",up_Irr!AY27="."),up_dir!D27/((1/1000)*(up_Irr!C27)),IF(AND(up_Irr!C27=".",up_Irr!AA27=".",up_Irr!AY27="."),up_dir!D27*1000)))))))),".")</f>
        <v>6.5773651144152131E-4</v>
      </c>
      <c r="E27" s="48">
        <f>IFERROR(IF(AND(up_Irr!D27&lt;&gt;".",up_Irr!AB27&lt;&gt;".",up_Irr!AZ27&lt;&gt;"."),up_dir!E27/((1/1000)*(up_Irr!D27+up_Irr!AB27+up_Irr!AZ27)),IF(AND(up_Irr!D27&lt;&gt;".",up_Irr!AB27&lt;&gt;".",up_Irr!AZ27="."),up_dir!E27/((1/1000)*(up_Irr!D27+up_Irr!AB27)),IF(AND(up_Irr!D27&lt;&gt;".",up_Irr!AB27=".",up_Irr!AZ27&lt;&gt;"."),up_dir!E27/((1/1000)*(up_Irr!D27+up_Irr!AZ27)),IF(AND(up_Irr!D27=".",up_Irr!AB27&lt;&gt;".",up_Irr!AZ27&lt;&gt;"."),up_dir!E27/((1/1000)*(up_Irr!AB27+up_Irr!AZ27)),IF(AND(up_Irr!D27=".",up_Irr!AB27=".",up_Irr!AZ27&lt;&gt;"."),up_dir!E27/((1/1000)*(up_Irr!AZ27)),IF(AND(up_Irr!D27=".",up_Irr!AB27&lt;&gt;".",up_Irr!AZ27="."),up_dir!E27/((1/1000)*(up_Irr!AB27)),IF(AND(up_Irr!D27&lt;&gt;".",up_Irr!AB27=".",up_Irr!AZ27="."),up_dir!E27/((1/1000)*(up_Irr!D27)),IF(AND(up_Irr!D27=".",up_Irr!AB27=".",up_Irr!AZ27="."),up_dir!E27*1000)))))))),".")</f>
        <v>6.5773651144152131E-4</v>
      </c>
      <c r="F27" s="48">
        <f>IFERROR(IF(AND(up_Irr!E27&lt;&gt;".",up_Irr!AC27&lt;&gt;".",up_Irr!BA27&lt;&gt;"."),up_dir!F27/((1/1000)*(up_Irr!E27+up_Irr!AC27+up_Irr!BA27)),IF(AND(up_Irr!E27&lt;&gt;".",up_Irr!AC27&lt;&gt;".",up_Irr!BA27="."),up_dir!F27/((1/1000)*(up_Irr!E27+up_Irr!AC27)),IF(AND(up_Irr!E27&lt;&gt;".",up_Irr!AC27=".",up_Irr!BA27&lt;&gt;"."),up_dir!F27/((1/1000)*(up_Irr!E27+up_Irr!BA27)),IF(AND(up_Irr!E27=".",up_Irr!AC27&lt;&gt;".",up_Irr!BA27&lt;&gt;"."),up_dir!F27/((1/1000)*(up_Irr!AC27+up_Irr!BA27)),IF(AND(up_Irr!E27=".",up_Irr!AC27=".",up_Irr!BA27&lt;&gt;"."),up_dir!F27/((1/1000)*(up_Irr!BA27)),IF(AND(up_Irr!E27=".",up_Irr!AC27&lt;&gt;".",up_Irr!BA27="."),up_dir!F27/((1/1000)*(up_Irr!AC27)),IF(AND(up_Irr!E27&lt;&gt;".",up_Irr!AC27=".",up_Irr!BA27="."),up_dir!F27/((1/1000)*(up_Irr!E27)),IF(AND(up_Irr!E27=".",up_Irr!AC27=".",up_Irr!BA27="."),up_dir!F27*1000)))))))),".")</f>
        <v>6.5773651144152131E-4</v>
      </c>
      <c r="G27" s="48">
        <f>IFERROR(IF(AND(up_Irr!F27&lt;&gt;".",up_Irr!AD27&lt;&gt;".",up_Irr!BB27&lt;&gt;"."),up_dir!G27/((1/1000)*(up_Irr!F27+up_Irr!AD27+up_Irr!BB27)),IF(AND(up_Irr!F27&lt;&gt;".",up_Irr!AD27&lt;&gt;".",up_Irr!BB27="."),up_dir!G27/((1/1000)*(up_Irr!F27+up_Irr!AD27)),IF(AND(up_Irr!F27&lt;&gt;".",up_Irr!AD27=".",up_Irr!BB27&lt;&gt;"."),up_dir!G27/((1/1000)*(up_Irr!F27+up_Irr!BB27)),IF(AND(up_Irr!F27=".",up_Irr!AD27&lt;&gt;".",up_Irr!BB27&lt;&gt;"."),up_dir!G27/((1/1000)*(up_Irr!AD27+up_Irr!BB27)),IF(AND(up_Irr!F27=".",up_Irr!AD27=".",up_Irr!BB27&lt;&gt;"."),up_dir!G27/((1/1000)*(up_Irr!BB27)),IF(AND(up_Irr!F27=".",up_Irr!AD27&lt;&gt;".",up_Irr!BB27="."),up_dir!G27/((1/1000)*(up_Irr!AD27)),IF(AND(up_Irr!F27&lt;&gt;".",up_Irr!AD27=".",up_Irr!BB27="."),up_dir!G27/((1/1000)*(up_Irr!F27)),IF(AND(up_Irr!F27=".",up_Irr!AD27=".",up_Irr!BB27="."),up_dir!G27*1000)))))))),".")</f>
        <v>6.5773651144152131E-4</v>
      </c>
      <c r="H27" s="48">
        <f>IFERROR(IF(AND(up_Irr!G27&lt;&gt;".",up_Irr!AE27&lt;&gt;".",up_Irr!BC27&lt;&gt;"."),up_dir!H27/((1/1000)*(up_Irr!G27+up_Irr!AE27+up_Irr!BC27)),IF(AND(up_Irr!G27&lt;&gt;".",up_Irr!AE27&lt;&gt;".",up_Irr!BC27="."),up_dir!H27/((1/1000)*(up_Irr!G27+up_Irr!AE27)),IF(AND(up_Irr!G27&lt;&gt;".",up_Irr!AE27=".",up_Irr!BC27&lt;&gt;"."),up_dir!H27/((1/1000)*(up_Irr!G27+up_Irr!BC27)),IF(AND(up_Irr!G27=".",up_Irr!AE27&lt;&gt;".",up_Irr!BC27&lt;&gt;"."),up_dir!H27/((1/1000)*(up_Irr!AE27+up_Irr!BC27)),IF(AND(up_Irr!G27=".",up_Irr!AE27=".",up_Irr!BC27&lt;&gt;"."),up_dir!H27/((1/1000)*(up_Irr!BC27)),IF(AND(up_Irr!G27=".",up_Irr!AE27&lt;&gt;".",up_Irr!BC27="."),up_dir!H27/((1/1000)*(up_Irr!AE27)),IF(AND(up_Irr!G27&lt;&gt;".",up_Irr!AE27=".",up_Irr!BC27="."),up_dir!H27/((1/1000)*(up_Irr!G27)),IF(AND(up_Irr!G27=".",up_Irr!AE27=".",up_Irr!BC27="."),up_dir!H27*1000)))))))),".")</f>
        <v>6.5773651144152131E-4</v>
      </c>
      <c r="I27" s="48">
        <f>IFERROR(IF(AND(up_Irr!H27&lt;&gt;".",up_Irr!AF27&lt;&gt;".",up_Irr!BD27&lt;&gt;"."),up_dir!I27/((1/1000)*(up_Irr!H27+up_Irr!AF27+up_Irr!BD27)),IF(AND(up_Irr!H27&lt;&gt;".",up_Irr!AF27&lt;&gt;".",up_Irr!BD27="."),up_dir!I27/((1/1000)*(up_Irr!H27+up_Irr!AF27)),IF(AND(up_Irr!H27&lt;&gt;".",up_Irr!AF27=".",up_Irr!BD27&lt;&gt;"."),up_dir!I27/((1/1000)*(up_Irr!H27+up_Irr!BD27)),IF(AND(up_Irr!H27=".",up_Irr!AF27&lt;&gt;".",up_Irr!BD27&lt;&gt;"."),up_dir!I27/((1/1000)*(up_Irr!AF27+up_Irr!BD27)),IF(AND(up_Irr!H27=".",up_Irr!AF27=".",up_Irr!BD27&lt;&gt;"."),up_dir!I27/((1/1000)*(up_Irr!BD27)),IF(AND(up_Irr!H27=".",up_Irr!AF27&lt;&gt;".",up_Irr!BD27="."),up_dir!I27/((1/1000)*(up_Irr!AF27)),IF(AND(up_Irr!H27&lt;&gt;".",up_Irr!AF27=".",up_Irr!BD27="."),up_dir!I27/((1/1000)*(up_Irr!H27)),IF(AND(up_Irr!H27=".",up_Irr!AF27=".",up_Irr!BD27="."),up_dir!I27*1000)))))))),".")</f>
        <v>6.5773651144152131E-4</v>
      </c>
      <c r="J27" s="48">
        <f>IFERROR(IF(AND(up_Irr!I27&lt;&gt;".",up_Irr!AG27&lt;&gt;".",up_Irr!BE27&lt;&gt;"."),up_dir!J27/((1/1000)*(up_Irr!I27+up_Irr!AG27+up_Irr!BE27)),IF(AND(up_Irr!I27&lt;&gt;".",up_Irr!AG27&lt;&gt;".",up_Irr!BE27="."),up_dir!J27/((1/1000)*(up_Irr!I27+up_Irr!AG27)),IF(AND(up_Irr!I27&lt;&gt;".",up_Irr!AG27=".",up_Irr!BE27&lt;&gt;"."),up_dir!J27/((1/1000)*(up_Irr!I27+up_Irr!BE27)),IF(AND(up_Irr!I27=".",up_Irr!AG27&lt;&gt;".",up_Irr!BE27&lt;&gt;"."),up_dir!J27/((1/1000)*(up_Irr!AG27+up_Irr!BE27)),IF(AND(up_Irr!I27=".",up_Irr!AG27=".",up_Irr!BE27&lt;&gt;"."),up_dir!J27/((1/1000)*(up_Irr!BE27)),IF(AND(up_Irr!I27=".",up_Irr!AG27&lt;&gt;".",up_Irr!BE27="."),up_dir!J27/((1/1000)*(up_Irr!AG27)),IF(AND(up_Irr!I27&lt;&gt;".",up_Irr!AG27=".",up_Irr!BE27="."),up_dir!J27/((1/1000)*(up_Irr!I27)),IF(AND(up_Irr!I27=".",up_Irr!AG27=".",up_Irr!BE27="."),up_dir!J27*1000)))))))),".")</f>
        <v>6.5773651144152131E-4</v>
      </c>
      <c r="K27" s="48">
        <f>IFERROR(IF(AND(up_Irr!J27&lt;&gt;".",up_Irr!AH27&lt;&gt;".",up_Irr!BF27&lt;&gt;"."),up_dir!K27/((1/1000)*(up_Irr!J27+up_Irr!AH27+up_Irr!BF27)),IF(AND(up_Irr!J27&lt;&gt;".",up_Irr!AH27&lt;&gt;".",up_Irr!BF27="."),up_dir!K27/((1/1000)*(up_Irr!J27+up_Irr!AH27)),IF(AND(up_Irr!J27&lt;&gt;".",up_Irr!AH27=".",up_Irr!BF27&lt;&gt;"."),up_dir!K27/((1/1000)*(up_Irr!J27+up_Irr!BF27)),IF(AND(up_Irr!J27=".",up_Irr!AH27&lt;&gt;".",up_Irr!BF27&lt;&gt;"."),up_dir!K27/((1/1000)*(up_Irr!AH27+up_Irr!BF27)),IF(AND(up_Irr!J27=".",up_Irr!AH27=".",up_Irr!BF27&lt;&gt;"."),up_dir!K27/((1/1000)*(up_Irr!BF27)),IF(AND(up_Irr!J27=".",up_Irr!AH27&lt;&gt;".",up_Irr!BF27="."),up_dir!K27/((1/1000)*(up_Irr!AH27)),IF(AND(up_Irr!J27&lt;&gt;".",up_Irr!AH27=".",up_Irr!BF27="."),up_dir!K27/((1/1000)*(up_Irr!J27)),IF(AND(up_Irr!J27=".",up_Irr!AH27=".",up_Irr!BF27="."),up_dir!K27*1000)))))))),".")</f>
        <v>6.5773651144152131E-4</v>
      </c>
      <c r="L27" s="48">
        <f>IFERROR(IF(AND(up_Irr!K27&lt;&gt;".",up_Irr!AI27&lt;&gt;".",up_Irr!BG27&lt;&gt;"."),up_dir!L27/((1/1000)*(up_Irr!K27+up_Irr!AI27+up_Irr!BG27)),IF(AND(up_Irr!K27&lt;&gt;".",up_Irr!AI27&lt;&gt;".",up_Irr!BG27="."),up_dir!L27/((1/1000)*(up_Irr!K27+up_Irr!AI27)),IF(AND(up_Irr!K27&lt;&gt;".",up_Irr!AI27=".",up_Irr!BG27&lt;&gt;"."),up_dir!L27/((1/1000)*(up_Irr!K27+up_Irr!BG27)),IF(AND(up_Irr!K27=".",up_Irr!AI27&lt;&gt;".",up_Irr!BG27&lt;&gt;"."),up_dir!L27/((1/1000)*(up_Irr!AI27+up_Irr!BG27)),IF(AND(up_Irr!K27=".",up_Irr!AI27=".",up_Irr!BG27&lt;&gt;"."),up_dir!L27/((1/1000)*(up_Irr!BG27)),IF(AND(up_Irr!K27=".",up_Irr!AI27&lt;&gt;".",up_Irr!BG27="."),up_dir!L27/((1/1000)*(up_Irr!AI27)),IF(AND(up_Irr!K27&lt;&gt;".",up_Irr!AI27=".",up_Irr!BG27="."),up_dir!L27/((1/1000)*(up_Irr!K27)),IF(AND(up_Irr!K27=".",up_Irr!AI27=".",up_Irr!BG27="."),up_dir!L27*1000)))))))),".")</f>
        <v>6.5773651144152131E-4</v>
      </c>
      <c r="M27" s="48">
        <f>IFERROR(IF(AND(up_Irr!L27&lt;&gt;".",up_Irr!AJ27&lt;&gt;".",up_Irr!BH27&lt;&gt;"."),up_dir!M27/((1/1000)*(up_Irr!L27+up_Irr!AJ27+up_Irr!BH27)),IF(AND(up_Irr!L27&lt;&gt;".",up_Irr!AJ27&lt;&gt;".",up_Irr!BH27="."),up_dir!M27/((1/1000)*(up_Irr!L27+up_Irr!AJ27)),IF(AND(up_Irr!L27&lt;&gt;".",up_Irr!AJ27=".",up_Irr!BH27&lt;&gt;"."),up_dir!M27/((1/1000)*(up_Irr!L27+up_Irr!BH27)),IF(AND(up_Irr!L27=".",up_Irr!AJ27&lt;&gt;".",up_Irr!BH27&lt;&gt;"."),up_dir!M27/((1/1000)*(up_Irr!AJ27+up_Irr!BH27)),IF(AND(up_Irr!L27=".",up_Irr!AJ27=".",up_Irr!BH27&lt;&gt;"."),up_dir!M27/((1/1000)*(up_Irr!BH27)),IF(AND(up_Irr!L27=".",up_Irr!AJ27&lt;&gt;".",up_Irr!BH27="."),up_dir!M27/((1/1000)*(up_Irr!AJ27)),IF(AND(up_Irr!L27&lt;&gt;".",up_Irr!AJ27=".",up_Irr!BH27="."),up_dir!M27/((1/1000)*(up_Irr!L27)),IF(AND(up_Irr!L27=".",up_Irr!AJ27=".",up_Irr!BH27="."),up_dir!M27*1000)))))))),".")</f>
        <v>6.5773651144152131E-4</v>
      </c>
      <c r="N27" s="48">
        <f>IFERROR(IF(AND(up_Irr!M27&lt;&gt;".",up_Irr!AK27&lt;&gt;".",up_Irr!BI27&lt;&gt;"."),up_dir!N27/((1/1000)*(up_Irr!M27+up_Irr!AK27+up_Irr!BI27)),IF(AND(up_Irr!M27&lt;&gt;".",up_Irr!AK27&lt;&gt;".",up_Irr!BI27="."),up_dir!N27/((1/1000)*(up_Irr!M27+up_Irr!AK27)),IF(AND(up_Irr!M27&lt;&gt;".",up_Irr!AK27=".",up_Irr!BI27&lt;&gt;"."),up_dir!N27/((1/1000)*(up_Irr!M27+up_Irr!BI27)),IF(AND(up_Irr!M27=".",up_Irr!AK27&lt;&gt;".",up_Irr!BI27&lt;&gt;"."),up_dir!N27/((1/1000)*(up_Irr!AK27+up_Irr!BI27)),IF(AND(up_Irr!M27=".",up_Irr!AK27=".",up_Irr!BI27&lt;&gt;"."),up_dir!N27/((1/1000)*(up_Irr!BI27)),IF(AND(up_Irr!M27=".",up_Irr!AK27&lt;&gt;".",up_Irr!BI27="."),up_dir!N27/((1/1000)*(up_Irr!AK27)),IF(AND(up_Irr!M27&lt;&gt;".",up_Irr!AK27=".",up_Irr!BI27="."),up_dir!N27/((1/1000)*(up_Irr!M27)),IF(AND(up_Irr!M27=".",up_Irr!AK27=".",up_Irr!BI27="."),up_dir!N27*1000)))))))),".")</f>
        <v>6.5773651144152131E-4</v>
      </c>
      <c r="O27" s="48">
        <f>IFERROR(IF(AND(up_Irr!N27&lt;&gt;".",up_Irr!AL27&lt;&gt;".",up_Irr!BJ27&lt;&gt;"."),up_dir!O27/((1/1000)*(up_Irr!N27+up_Irr!AL27+up_Irr!BJ27)),IF(AND(up_Irr!N27&lt;&gt;".",up_Irr!AL27&lt;&gt;".",up_Irr!BJ27="."),up_dir!O27/((1/1000)*(up_Irr!N27+up_Irr!AL27)),IF(AND(up_Irr!N27&lt;&gt;".",up_Irr!AL27=".",up_Irr!BJ27&lt;&gt;"."),up_dir!O27/((1/1000)*(up_Irr!N27+up_Irr!BJ27)),IF(AND(up_Irr!N27=".",up_Irr!AL27&lt;&gt;".",up_Irr!BJ27&lt;&gt;"."),up_dir!O27/((1/1000)*(up_Irr!AL27+up_Irr!BJ27)),IF(AND(up_Irr!N27=".",up_Irr!AL27=".",up_Irr!BJ27&lt;&gt;"."),up_dir!O27/((1/1000)*(up_Irr!BJ27)),IF(AND(up_Irr!N27=".",up_Irr!AL27&lt;&gt;".",up_Irr!BJ27="."),up_dir!O27/((1/1000)*(up_Irr!AL27)),IF(AND(up_Irr!N27&lt;&gt;".",up_Irr!AL27=".",up_Irr!BJ27="."),up_dir!O27/((1/1000)*(up_Irr!N27)),IF(AND(up_Irr!N27=".",up_Irr!AL27=".",up_Irr!BJ27="."),up_dir!O27*1000)))))))),".")</f>
        <v>6.5773651144152131E-4</v>
      </c>
      <c r="P27" s="48">
        <f>IFERROR(IF(AND(up_Irr!O27&lt;&gt;".",up_Irr!AM27&lt;&gt;".",up_Irr!BK27&lt;&gt;"."),up_dir!P27/((1/1000)*(up_Irr!O27+up_Irr!AM27+up_Irr!BK27)),IF(AND(up_Irr!O27&lt;&gt;".",up_Irr!AM27&lt;&gt;".",up_Irr!BK27="."),up_dir!P27/((1/1000)*(up_Irr!O27+up_Irr!AM27)),IF(AND(up_Irr!O27&lt;&gt;".",up_Irr!AM27=".",up_Irr!BK27&lt;&gt;"."),up_dir!P27/((1/1000)*(up_Irr!O27+up_Irr!BK27)),IF(AND(up_Irr!O27=".",up_Irr!AM27&lt;&gt;".",up_Irr!BK27&lt;&gt;"."),up_dir!P27/((1/1000)*(up_Irr!AM27+up_Irr!BK27)),IF(AND(up_Irr!O27=".",up_Irr!AM27=".",up_Irr!BK27&lt;&gt;"."),up_dir!P27/((1/1000)*(up_Irr!BK27)),IF(AND(up_Irr!O27=".",up_Irr!AM27&lt;&gt;".",up_Irr!BK27="."),up_dir!P27/((1/1000)*(up_Irr!AM27)),IF(AND(up_Irr!O27&lt;&gt;".",up_Irr!AM27=".",up_Irr!BK27="."),up_dir!P27/((1/1000)*(up_Irr!O27)),IF(AND(up_Irr!O27=".",up_Irr!AM27=".",up_Irr!BK27="."),up_dir!P27*1000)))))))),".")</f>
        <v>6.5773651144152131E-4</v>
      </c>
      <c r="Q27" s="48">
        <f>IFERROR(IF(AND(up_Irr!P27&lt;&gt;".",up_Irr!AN27&lt;&gt;".",up_Irr!BL27&lt;&gt;"."),up_dir!Q27/((1/1000)*(up_Irr!P27+up_Irr!AN27+up_Irr!BL27)),IF(AND(up_Irr!P27&lt;&gt;".",up_Irr!AN27&lt;&gt;".",up_Irr!BL27="."),up_dir!Q27/((1/1000)*(up_Irr!P27+up_Irr!AN27)),IF(AND(up_Irr!P27&lt;&gt;".",up_Irr!AN27=".",up_Irr!BL27&lt;&gt;"."),up_dir!Q27/((1/1000)*(up_Irr!P27+up_Irr!BL27)),IF(AND(up_Irr!P27=".",up_Irr!AN27&lt;&gt;".",up_Irr!BL27&lt;&gt;"."),up_dir!Q27/((1/1000)*(up_Irr!AN27+up_Irr!BL27)),IF(AND(up_Irr!P27=".",up_Irr!AN27=".",up_Irr!BL27&lt;&gt;"."),up_dir!Q27/((1/1000)*(up_Irr!BL27)),IF(AND(up_Irr!P27=".",up_Irr!AN27&lt;&gt;".",up_Irr!BL27="."),up_dir!Q27/((1/1000)*(up_Irr!AN27)),IF(AND(up_Irr!P27&lt;&gt;".",up_Irr!AN27=".",up_Irr!BL27="."),up_dir!Q27/((1/1000)*(up_Irr!P27)),IF(AND(up_Irr!P27=".",up_Irr!AN27=".",up_Irr!BL27="."),up_dir!Q27*1000)))))))),".")</f>
        <v>6.5773651144152131E-4</v>
      </c>
      <c r="R27" s="48">
        <f>IFERROR(IF(AND(up_Irr!Q27&lt;&gt;".",up_Irr!AO27&lt;&gt;".",up_Irr!BM27&lt;&gt;"."),up_dir!R27/((1/1000)*(up_Irr!Q27+up_Irr!AO27+up_Irr!BM27)),IF(AND(up_Irr!Q27&lt;&gt;".",up_Irr!AO27&lt;&gt;".",up_Irr!BM27="."),up_dir!R27/((1/1000)*(up_Irr!Q27+up_Irr!AO27)),IF(AND(up_Irr!Q27&lt;&gt;".",up_Irr!AO27=".",up_Irr!BM27&lt;&gt;"."),up_dir!R27/((1/1000)*(up_Irr!Q27+up_Irr!BM27)),IF(AND(up_Irr!Q27=".",up_Irr!AO27&lt;&gt;".",up_Irr!BM27&lt;&gt;"."),up_dir!R27/((1/1000)*(up_Irr!AO27+up_Irr!BM27)),IF(AND(up_Irr!Q27=".",up_Irr!AO27=".",up_Irr!BM27&lt;&gt;"."),up_dir!R27/((1/1000)*(up_Irr!BM27)),IF(AND(up_Irr!Q27=".",up_Irr!AO27&lt;&gt;".",up_Irr!BM27="."),up_dir!R27/((1/1000)*(up_Irr!AO27)),IF(AND(up_Irr!Q27&lt;&gt;".",up_Irr!AO27=".",up_Irr!BM27="."),up_dir!R27/((1/1000)*(up_Irr!Q27)),IF(AND(up_Irr!Q27=".",up_Irr!AO27=".",up_Irr!BM27="."),up_dir!R27*1000)))))))),".")</f>
        <v>6.5773651144152131E-4</v>
      </c>
      <c r="S27" s="48">
        <f>IFERROR(IF(AND(up_Irr!R27&lt;&gt;".",up_Irr!AP27&lt;&gt;".",up_Irr!BN27&lt;&gt;"."),up_dir!S27/((1/1000)*(up_Irr!R27+up_Irr!AP27+up_Irr!BN27)),IF(AND(up_Irr!R27&lt;&gt;".",up_Irr!AP27&lt;&gt;".",up_Irr!BN27="."),up_dir!S27/((1/1000)*(up_Irr!R27+up_Irr!AP27)),IF(AND(up_Irr!R27&lt;&gt;".",up_Irr!AP27=".",up_Irr!BN27&lt;&gt;"."),up_dir!S27/((1/1000)*(up_Irr!R27+up_Irr!BN27)),IF(AND(up_Irr!R27=".",up_Irr!AP27&lt;&gt;".",up_Irr!BN27&lt;&gt;"."),up_dir!S27/((1/1000)*(up_Irr!AP27+up_Irr!BN27)),IF(AND(up_Irr!R27=".",up_Irr!AP27=".",up_Irr!BN27&lt;&gt;"."),up_dir!S27/((1/1000)*(up_Irr!BN27)),IF(AND(up_Irr!R27=".",up_Irr!AP27&lt;&gt;".",up_Irr!BN27="."),up_dir!S27/((1/1000)*(up_Irr!AP27)),IF(AND(up_Irr!R27&lt;&gt;".",up_Irr!AP27=".",up_Irr!BN27="."),up_dir!S27/((1/1000)*(up_Irr!R27)),IF(AND(up_Irr!R27=".",up_Irr!AP27=".",up_Irr!BN27="."),up_dir!S27*1000)))))))),".")</f>
        <v>6.5773651144152131E-4</v>
      </c>
      <c r="T27" s="48">
        <f>IFERROR(IF(AND(up_Irr!S27&lt;&gt;".",up_Irr!AQ27&lt;&gt;".",up_Irr!BO27&lt;&gt;"."),up_dir!T27/((1/1000)*(up_Irr!S27+up_Irr!AQ27+up_Irr!BO27)),IF(AND(up_Irr!S27&lt;&gt;".",up_Irr!AQ27&lt;&gt;".",up_Irr!BO27="."),up_dir!T27/((1/1000)*(up_Irr!S27+up_Irr!AQ27)),IF(AND(up_Irr!S27&lt;&gt;".",up_Irr!AQ27=".",up_Irr!BO27&lt;&gt;"."),up_dir!T27/((1/1000)*(up_Irr!S27+up_Irr!BO27)),IF(AND(up_Irr!S27=".",up_Irr!AQ27&lt;&gt;".",up_Irr!BO27&lt;&gt;"."),up_dir!T27/((1/1000)*(up_Irr!AQ27+up_Irr!BO27)),IF(AND(up_Irr!S27=".",up_Irr!AQ27=".",up_Irr!BO27&lt;&gt;"."),up_dir!T27/((1/1000)*(up_Irr!BO27)),IF(AND(up_Irr!S27=".",up_Irr!AQ27&lt;&gt;".",up_Irr!BO27="."),up_dir!T27/((1/1000)*(up_Irr!AQ27)),IF(AND(up_Irr!S27&lt;&gt;".",up_Irr!AQ27=".",up_Irr!BO27="."),up_dir!T27/((1/1000)*(up_Irr!S27)),IF(AND(up_Irr!S27=".",up_Irr!AQ27=".",up_Irr!BO27="."),up_dir!T27*1000)))))))),".")</f>
        <v>6.5773651144152131E-4</v>
      </c>
      <c r="U27" s="48">
        <f>IFERROR(IF(AND(up_Irr!T27&lt;&gt;".",up_Irr!AR27&lt;&gt;".",up_Irr!BP27&lt;&gt;"."),up_dir!U27/((1/1000)*(up_Irr!T27+up_Irr!AR27+up_Irr!BP27)),IF(AND(up_Irr!T27&lt;&gt;".",up_Irr!AR27&lt;&gt;".",up_Irr!BP27="."),up_dir!U27/((1/1000)*(up_Irr!T27+up_Irr!AR27)),IF(AND(up_Irr!T27&lt;&gt;".",up_Irr!AR27=".",up_Irr!BP27&lt;&gt;"."),up_dir!U27/((1/1000)*(up_Irr!T27+up_Irr!BP27)),IF(AND(up_Irr!T27=".",up_Irr!AR27&lt;&gt;".",up_Irr!BP27&lt;&gt;"."),up_dir!U27/((1/1000)*(up_Irr!AR27+up_Irr!BP27)),IF(AND(up_Irr!T27=".",up_Irr!AR27=".",up_Irr!BP27&lt;&gt;"."),up_dir!U27/((1/1000)*(up_Irr!BP27)),IF(AND(up_Irr!T27=".",up_Irr!AR27&lt;&gt;".",up_Irr!BP27="."),up_dir!U27/((1/1000)*(up_Irr!AR27)),IF(AND(up_Irr!T27&lt;&gt;".",up_Irr!AR27=".",up_Irr!BP27="."),up_dir!U27/((1/1000)*(up_Irr!T27)),IF(AND(up_Irr!T27=".",up_Irr!AR27=".",up_Irr!BP27="."),up_dir!U27*1000)))))))),".")</f>
        <v>6.5773651144152131E-4</v>
      </c>
      <c r="V27" s="48">
        <f>IFERROR(IF(AND(up_Irr!U27&lt;&gt;".",up_Irr!AS27&lt;&gt;".",up_Irr!BQ27&lt;&gt;"."),up_dir!V27/((1/1000)*(up_Irr!U27+up_Irr!AS27+up_Irr!BQ27)),IF(AND(up_Irr!U27&lt;&gt;".",up_Irr!AS27&lt;&gt;".",up_Irr!BQ27="."),up_dir!V27/((1/1000)*(up_Irr!U27+up_Irr!AS27)),IF(AND(up_Irr!U27&lt;&gt;".",up_Irr!AS27=".",up_Irr!BQ27&lt;&gt;"."),up_dir!V27/((1/1000)*(up_Irr!U27+up_Irr!BQ27)),IF(AND(up_Irr!U27=".",up_Irr!AS27&lt;&gt;".",up_Irr!BQ27&lt;&gt;"."),up_dir!V27/((1/1000)*(up_Irr!AS27+up_Irr!BQ27)),IF(AND(up_Irr!U27=".",up_Irr!AS27=".",up_Irr!BQ27&lt;&gt;"."),up_dir!V27/((1/1000)*(up_Irr!BQ27)),IF(AND(up_Irr!U27=".",up_Irr!AS27&lt;&gt;".",up_Irr!BQ27="."),up_dir!V27/((1/1000)*(up_Irr!AS27)),IF(AND(up_Irr!U27&lt;&gt;".",up_Irr!AS27=".",up_Irr!BQ27="."),up_dir!V27/((1/1000)*(up_Irr!U27)),IF(AND(up_Irr!U27=".",up_Irr!AS27=".",up_Irr!BQ27="."),up_dir!V27*1000)))))))),".")</f>
        <v>6.5773651144152131E-4</v>
      </c>
      <c r="W27" s="48">
        <f>IFERROR(IF(AND(up_Irr!V27&lt;&gt;".",up_Irr!AT27&lt;&gt;".",up_Irr!BR27&lt;&gt;"."),up_dir!W27/((1/1000)*(up_Irr!V27+up_Irr!AT27+up_Irr!BR27)),IF(AND(up_Irr!V27&lt;&gt;".",up_Irr!AT27&lt;&gt;".",up_Irr!BR27="."),up_dir!W27/((1/1000)*(up_Irr!V27+up_Irr!AT27)),IF(AND(up_Irr!V27&lt;&gt;".",up_Irr!AT27=".",up_Irr!BR27&lt;&gt;"."),up_dir!W27/((1/1000)*(up_Irr!V27+up_Irr!BR27)),IF(AND(up_Irr!V27=".",up_Irr!AT27&lt;&gt;".",up_Irr!BR27&lt;&gt;"."),up_dir!W27/((1/1000)*(up_Irr!AT27+up_Irr!BR27)),IF(AND(up_Irr!V27=".",up_Irr!AT27=".",up_Irr!BR27&lt;&gt;"."),up_dir!W27/((1/1000)*(up_Irr!BR27)),IF(AND(up_Irr!V27=".",up_Irr!AT27&lt;&gt;".",up_Irr!BR27="."),up_dir!W27/((1/1000)*(up_Irr!AT27)),IF(AND(up_Irr!V27&lt;&gt;".",up_Irr!AT27=".",up_Irr!BR27="."),up_dir!W27/((1/1000)*(up_Irr!V27)),IF(AND(up_Irr!V27=".",up_Irr!AT27=".",up_Irr!BR27="."),up_dir!W27*1000)))))))),".")</f>
        <v>6.5773651144152131E-4</v>
      </c>
      <c r="X27" s="48">
        <f>IFERROR(IF(AND(up_Irr!W27&lt;&gt;".",up_Irr!AU27&lt;&gt;".",up_Irr!BS27&lt;&gt;"."),up_dir!X27/((1/1000)*(up_Irr!W27+up_Irr!AU27+up_Irr!BS27)),IF(AND(up_Irr!W27&lt;&gt;".",up_Irr!AU27&lt;&gt;".",up_Irr!BS27="."),up_dir!X27/((1/1000)*(up_Irr!W27+up_Irr!AU27)),IF(AND(up_Irr!W27&lt;&gt;".",up_Irr!AU27=".",up_Irr!BS27&lt;&gt;"."),up_dir!X27/((1/1000)*(up_Irr!W27+up_Irr!BS27)),IF(AND(up_Irr!W27=".",up_Irr!AU27&lt;&gt;".",up_Irr!BS27&lt;&gt;"."),up_dir!X27/((1/1000)*(up_Irr!AU27+up_Irr!BS27)),IF(AND(up_Irr!W27=".",up_Irr!AU27=".",up_Irr!BS27&lt;&gt;"."),up_dir!X27/((1/1000)*(up_Irr!BS27)),IF(AND(up_Irr!W27=".",up_Irr!AU27&lt;&gt;".",up_Irr!BS27="."),up_dir!X27/((1/1000)*(up_Irr!AU27)),IF(AND(up_Irr!W27&lt;&gt;".",up_Irr!AU27=".",up_Irr!BS27="."),up_dir!X27/((1/1000)*(up_Irr!W27)),IF(AND(up_Irr!W27=".",up_Irr!AU27=".",up_Irr!BS27="."),up_dir!X27*1000)))))))),".")</f>
        <v>6.5773651144152131E-4</v>
      </c>
      <c r="Y27" s="48">
        <f>IFERROR(IF(AND(up_Irr!X27&lt;&gt;".",up_Irr!AV27&lt;&gt;".",up_Irr!BT27&lt;&gt;"."),up_dir!Y27/((1/1000)*(up_Irr!X27+up_Irr!AV27+up_Irr!BT27)),IF(AND(up_Irr!X27&lt;&gt;".",up_Irr!AV27&lt;&gt;".",up_Irr!BT27="."),up_dir!Y27/((1/1000)*(up_Irr!X27+up_Irr!AV27)),IF(AND(up_Irr!X27&lt;&gt;".",up_Irr!AV27=".",up_Irr!BT27&lt;&gt;"."),up_dir!Y27/((1/1000)*(up_Irr!X27+up_Irr!BT27)),IF(AND(up_Irr!X27=".",up_Irr!AV27&lt;&gt;".",up_Irr!BT27&lt;&gt;"."),up_dir!Y27/((1/1000)*(up_Irr!AV27+up_Irr!BT27)),IF(AND(up_Irr!X27=".",up_Irr!AV27=".",up_Irr!BT27&lt;&gt;"."),up_dir!Y27/((1/1000)*(up_Irr!BT27)),IF(AND(up_Irr!X27=".",up_Irr!AV27&lt;&gt;".",up_Irr!BT27="."),up_dir!Y27/((1/1000)*(up_Irr!AV27)),IF(AND(up_Irr!X27&lt;&gt;".",up_Irr!AV27=".",up_Irr!BT27="."),up_dir!Y27/((1/1000)*(up_Irr!X27)),IF(AND(up_Irr!X27=".",up_Irr!AV27=".",up_Irr!BT27="."),up_dir!Y27*1000)))))))),".")</f>
        <v>6.5773651144152131E-4</v>
      </c>
      <c r="Z27" s="48">
        <f>IFERROR(IF(AND(up_Irr!Y27&lt;&gt;".",up_Irr!AW27&lt;&gt;".",up_Irr!BU27&lt;&gt;"."),up_dir!Z27/((1/1000)*(up_Irr!Y27+up_Irr!AW27+up_Irr!BU27)),IF(AND(up_Irr!Y27&lt;&gt;".",up_Irr!AW27&lt;&gt;".",up_Irr!BU27="."),up_dir!Z27/((1/1000)*(up_Irr!Y27+up_Irr!AW27)),IF(AND(up_Irr!Y27&lt;&gt;".",up_Irr!AW27=".",up_Irr!BU27&lt;&gt;"."),up_dir!Z27/((1/1000)*(up_Irr!Y27+up_Irr!BU27)),IF(AND(up_Irr!Y27=".",up_Irr!AW27&lt;&gt;".",up_Irr!BU27&lt;&gt;"."),up_dir!Z27/((1/1000)*(up_Irr!AW27+up_Irr!BU27)),IF(AND(up_Irr!Y27=".",up_Irr!AW27=".",up_Irr!BU27&lt;&gt;"."),up_dir!Z27/((1/1000)*(up_Irr!BU27)),IF(AND(up_Irr!Y27=".",up_Irr!AW27&lt;&gt;".",up_Irr!BU27="."),up_dir!Z27/((1/1000)*(up_Irr!AW27)),IF(AND(up_Irr!Y27&lt;&gt;".",up_Irr!AW27=".",up_Irr!BU27="."),up_dir!Z27/((1/1000)*(up_Irr!Y27)),IF(AND(up_Irr!Y27=".",up_Irr!AW27=".",up_Irr!BU27="."),up_dir!Z27*1000)))))))),".")</f>
        <v>6.5773651144152131E-4</v>
      </c>
      <c r="AA27" s="48">
        <f>IFERROR(IF(AND(up_Irr!Z27&lt;&gt;".",up_Irr!AX27&lt;&gt;".",up_Irr!BV27&lt;&gt;"."),up_dir!AA27/((1/1000)*(up_Irr!Z27+up_Irr!AX27+up_Irr!BV27)),IF(AND(up_Irr!Z27&lt;&gt;".",up_Irr!AX27&lt;&gt;".",up_Irr!BV27="."),up_dir!AA27/((1/1000)*(up_Irr!Z27+up_Irr!AX27)),IF(AND(up_Irr!Z27&lt;&gt;".",up_Irr!AX27=".",up_Irr!BV27&lt;&gt;"."),up_dir!AA27/((1/1000)*(up_Irr!Z27+up_Irr!BV27)),IF(AND(up_Irr!Z27=".",up_Irr!AX27&lt;&gt;".",up_Irr!BV27&lt;&gt;"."),up_dir!AA27/((1/1000)*(up_Irr!AX27+up_Irr!BV27)),IF(AND(up_Irr!Z27=".",up_Irr!AX27=".",up_Irr!BV27&lt;&gt;"."),up_dir!AA27/((1/1000)*(up_Irr!BV27)),IF(AND(up_Irr!Z27=".",up_Irr!AX27&lt;&gt;".",up_Irr!BV27="."),up_dir!AA27/((1/1000)*(up_Irr!AX27)),IF(AND(up_Irr!Z27&lt;&gt;".",up_Irr!AX27=".",up_Irr!BV27="."),up_dir!AA27/((1/1000)*(up_Irr!Z27)),IF(AND(up_Irr!Z27=".",up_Irr!AX27=".",up_Irr!BV27="."),up_dir!AA27*1000)))))))),".")</f>
        <v>6.5773651144152131E-4</v>
      </c>
      <c r="AB27" s="62">
        <f t="shared" si="1"/>
        <v>22805.4847785862</v>
      </c>
      <c r="AC27" s="62">
        <f>IFERROR(s_C*s_IFAP_res_adj*s_CF_apple*0.001*(up_Irr!C27+up_Irr!AA27+up_Irr!AY27),".")</f>
        <v>7601.8282595287337</v>
      </c>
      <c r="AD27" s="62">
        <f>IFERROR(s_C*s_IFAS_res_adj*s_CF_asparagus*0.001*(up_Irr!D27+up_Irr!AB27+up_Irr!AZ27),".")</f>
        <v>7601.8282595287337</v>
      </c>
      <c r="AE27" s="62">
        <f>IFERROR(s_C*s_IFBT_res_adj*s_CF_beet*0.001*(up_Irr!E27+up_Irr!AC27+up_Irr!BA27),".")</f>
        <v>7601.8282595287337</v>
      </c>
      <c r="AF27" s="62">
        <f>IFERROR(s_C*s_IFBE_res_adj*s_CF_berries*0.001*(up_Irr!F27+up_Irr!AD27+up_Irr!BB27),".")</f>
        <v>7601.8282595287337</v>
      </c>
      <c r="AG27" s="62">
        <f>IFERROR(s_C*s_IFBR_res_adj*s_CF_broccoli*0.001*(up_Irr!G27+up_Irr!AE27+up_Irr!BC27),".")</f>
        <v>7601.8282595287337</v>
      </c>
      <c r="AH27" s="62">
        <f>IFERROR(s_C*s_IFCB_res_adj*s_CF_cabbage*0.001*(up_Irr!H27+up_Irr!AF27+up_Irr!BD27),".")</f>
        <v>7601.8282595287337</v>
      </c>
      <c r="AI27" s="62">
        <f>IFERROR(s_C*s_IFCR_res_adj*s_CF_carrot*0.001*(up_Irr!I27+up_Irr!AG27+up_Irr!BE27),".")</f>
        <v>7601.8282595287337</v>
      </c>
      <c r="AJ27" s="62">
        <f>IFERROR(s_C*s_IFCI_res_adj*s_CF_citrus*0.001*(up_Irr!J27+up_Irr!AH27+up_Irr!BF27),".")</f>
        <v>7601.8282595287337</v>
      </c>
      <c r="AK27" s="62">
        <f>IFERROR(s_C*s_IFCO_res_adj*s_CF_corn*0.001*(up_Irr!K27+up_Irr!AI27+up_Irr!BG27),".")</f>
        <v>7601.8282595287337</v>
      </c>
      <c r="AL27" s="62">
        <f>IFERROR(s_C*s_IFCU_res_adj*s_CF_cucumber*0.001*(up_Irr!L27+up_Irr!AJ27+up_Irr!BH27),".")</f>
        <v>7601.8282595287337</v>
      </c>
      <c r="AM27" s="62">
        <f>IFERROR(s_C*s_IFLE_res_adj*s_CF_lettuce*0.001*(up_Irr!M27+up_Irr!AK27+up_Irr!BI27),".")</f>
        <v>7601.8282595287337</v>
      </c>
      <c r="AN27" s="62">
        <f>IFERROR(s_C*s_IFLI_res_adj*s_CF_lima_bean*0.001*(up_Irr!N27+up_Irr!AL27+up_Irr!BJ27),".")</f>
        <v>7601.8282595287337</v>
      </c>
      <c r="AO27" s="62">
        <f>IFERROR(s_C*s_IFOK_res_adj*s_CF_okra*0.001*(up_Irr!O27+up_Irr!AM27+up_Irr!BK27),".")</f>
        <v>7601.8282595287337</v>
      </c>
      <c r="AP27" s="62">
        <f>IFERROR(s_C*s_IFON_res_adj*s_CF_onion*0.001*(up_Irr!P27+up_Irr!AN27+up_Irr!BL27),".")</f>
        <v>7601.8282595287337</v>
      </c>
      <c r="AQ27" s="62">
        <f>IFERROR(s_C*s_IFPC_res_adj*s_CF_peach*0.001*(up_Irr!Q27+up_Irr!AO27+up_Irr!BM27),".")</f>
        <v>7601.8282595287337</v>
      </c>
      <c r="AR27" s="62">
        <f>IFERROR(s_C*s_IFPR_res_adj*s_CF_pear*0.001*(up_Irr!R27+up_Irr!AP27+up_Irr!BN27),".")</f>
        <v>7601.8282595287337</v>
      </c>
      <c r="AS27" s="62">
        <f>IFERROR(s_C*s_IFPE_res_adj*s_CF_peas*0.001*(up_Irr!S27+up_Irr!AQ27+up_Irr!BO27),".")</f>
        <v>7601.8282595287337</v>
      </c>
      <c r="AT27" s="62">
        <f>IFERROR(s_C*s_IFPT_res_adj*s_CF_potato*0.001*(up_Irr!T27+up_Irr!AR27+up_Irr!BP27),".")</f>
        <v>7601.8282595287337</v>
      </c>
      <c r="AU27" s="62">
        <f>IFERROR(s_C*s_IFPU_res_adj*s_CF_pumpkin*0.001*(up_Irr!U27+up_Irr!AS27+up_Irr!BQ27),".")</f>
        <v>7601.8282595287337</v>
      </c>
      <c r="AV27" s="62">
        <f>IFERROR(s_C*s_IFSN_res_adj*s_CF_snap_bean*0.001*(up_Irr!V27+up_Irr!AT27+up_Irr!BR27),".")</f>
        <v>7601.8282595287337</v>
      </c>
      <c r="AW27" s="62">
        <f>IFERROR(s_C*s_IFST_res_adj*s_CF_strawberry*0.001*(up_Irr!W27+up_Irr!AU27+up_Irr!BS27),".")</f>
        <v>7601.8282595287337</v>
      </c>
      <c r="AX27" s="62">
        <f>IFERROR(s_C*s_IFTO_res_adj*s_CF_tomato*0.001*(up_Irr!X27+up_Irr!AV27+up_Irr!BT27),".")</f>
        <v>7601.8282595287337</v>
      </c>
      <c r="AY27" s="62">
        <f>IFERROR(s_C*s_IFRI_res_adj*s_CF_rice*0.001*(up_Irr!Y27+up_Irr!AW27+up_Irr!BU27),".")</f>
        <v>7601.8282595287337</v>
      </c>
      <c r="AZ27" s="62">
        <f>IFERROR(s_C*s_IFCG_res_adj*s_CF_cereal*0.001*(up_Irr!Z27+up_Irr!AX27+up_Irr!BV27),".")</f>
        <v>7601.8282595287337</v>
      </c>
      <c r="BA27" s="48">
        <f t="shared" si="2"/>
        <v>2.1924550381384044E-4</v>
      </c>
      <c r="BB27" s="48">
        <f>IFERROR(IF(AND(up_Irr!C27&lt;&gt;".",up_Irr!AA27&lt;&gt;".",up_Irr!AY27&lt;&gt;"."),up_dir!AC27/((1/1000)*(up_Irr!C27+up_Irr!AA27+up_Irr!AY27)),IF(AND(up_Irr!C27&lt;&gt;".",up_Irr!AA27&lt;&gt;".",up_Irr!AY27="."),up_dir!AC27/((1/1000)*(up_Irr!C27+up_Irr!AA27)),IF(AND(up_Irr!C27&lt;&gt;".",up_Irr!AA27=".",up_Irr!AY27&lt;&gt;"."),up_dir!AC27/((1/1000)*(up_Irr!C27+up_Irr!AY27)),IF(AND(up_Irr!C27=".",up_Irr!AA27&lt;&gt;".",up_Irr!AY27&lt;&gt;"."),up_dir!AC27/((1/1000)*(up_Irr!AA27+up_Irr!AY27)),IF(AND(up_Irr!C27=".",up_Irr!AA27=".",up_Irr!AY27&lt;&gt;"."),up_dir!AC27/((1/1000)*(up_Irr!AY27)),IF(AND(up_Irr!C27=".",up_Irr!AA27&lt;&gt;".",up_Irr!AY27="."),up_dir!AC27/((1/1000)*(up_Irr!AA27)),IF(AND(up_Irr!C27&lt;&gt;".",up_Irr!AA27=".",up_Irr!AY27="."),up_dir!AC27/((1/1000)*(up_Irr!C27)),IF(AND(up_Irr!C27=".",up_Irr!AA27=".",up_Irr!AY27="."),up_dir!AC27*1000)))))))),".")</f>
        <v>6.5773651144152131E-4</v>
      </c>
      <c r="BC27" s="48">
        <f>IFERROR(IF(AND(up_Irr!D27&lt;&gt;".",up_Irr!AB27&lt;&gt;".",up_Irr!AZ27&lt;&gt;"."),up_dir!AD27/((1/1000)*(up_Irr!D27+up_Irr!AB27+up_Irr!AZ27)),IF(AND(up_Irr!D27&lt;&gt;".",up_Irr!AB27&lt;&gt;".",up_Irr!AZ27="."),up_dir!AD27/((1/1000)*(up_Irr!D27+up_Irr!AB27)),IF(AND(up_Irr!D27&lt;&gt;".",up_Irr!AB27=".",up_Irr!AZ27&lt;&gt;"."),up_dir!AD27/((1/1000)*(up_Irr!D27+up_Irr!AZ27)),IF(AND(up_Irr!D27=".",up_Irr!AB27&lt;&gt;".",up_Irr!AZ27&lt;&gt;"."),up_dir!AD27/((1/1000)*(up_Irr!AB27+up_Irr!AZ27)),IF(AND(up_Irr!D27=".",up_Irr!AB27=".",up_Irr!AZ27&lt;&gt;"."),up_dir!AD27/((1/1000)*(up_Irr!AZ27)),IF(AND(up_Irr!D27=".",up_Irr!AB27&lt;&gt;".",up_Irr!AZ27="."),up_dir!AD27/((1/1000)*(up_Irr!AB27)),IF(AND(up_Irr!D27&lt;&gt;".",up_Irr!AB27=".",up_Irr!AZ27="."),up_dir!AD27/((1/1000)*(up_Irr!D27)),IF(AND(up_Irr!D27=".",up_Irr!AB27=".",up_Irr!AZ27="."),up_dir!AD27*1000)))))))),".")</f>
        <v>6.5773651144152131E-4</v>
      </c>
      <c r="BD27" s="48">
        <f>IFERROR(IF(AND(up_Irr!E27&lt;&gt;".",up_Irr!AC27&lt;&gt;".",up_Irr!BA27&lt;&gt;"."),up_dir!AE27/((1/1000)*(up_Irr!E27+up_Irr!AC27+up_Irr!BA27)),IF(AND(up_Irr!E27&lt;&gt;".",up_Irr!AC27&lt;&gt;".",up_Irr!BA27="."),up_dir!AE27/((1/1000)*(up_Irr!E27+up_Irr!AC27)),IF(AND(up_Irr!E27&lt;&gt;".",up_Irr!AC27=".",up_Irr!BA27&lt;&gt;"."),up_dir!AE27/((1/1000)*(up_Irr!E27+up_Irr!BA27)),IF(AND(up_Irr!E27=".",up_Irr!AC27&lt;&gt;".",up_Irr!BA27&lt;&gt;"."),up_dir!AE27/((1/1000)*(up_Irr!AC27+up_Irr!BA27)),IF(AND(up_Irr!E27=".",up_Irr!AC27=".",up_Irr!BA27&lt;&gt;"."),up_dir!AE27/((1/1000)*(up_Irr!BA27)),IF(AND(up_Irr!E27=".",up_Irr!AC27&lt;&gt;".",up_Irr!BA27="."),up_dir!AE27/((1/1000)*(up_Irr!AC27)),IF(AND(up_Irr!E27&lt;&gt;".",up_Irr!AC27=".",up_Irr!BA27="."),up_dir!AE27/((1/1000)*(up_Irr!E27)),IF(AND(up_Irr!E27=".",up_Irr!AC27=".",up_Irr!BA27="."),up_dir!AE27*1000)))))))),".")</f>
        <v>6.5773651144152131E-4</v>
      </c>
      <c r="BE27" s="48">
        <f>IFERROR(IF(AND(up_Irr!F27&lt;&gt;".",up_Irr!AD27&lt;&gt;".",up_Irr!BB27&lt;&gt;"."),up_dir!AF27/((1/1000)*(up_Irr!F27+up_Irr!AD27+up_Irr!BB27)),IF(AND(up_Irr!F27&lt;&gt;".",up_Irr!AD27&lt;&gt;".",up_Irr!BB27="."),up_dir!AF27/((1/1000)*(up_Irr!F27+up_Irr!AD27)),IF(AND(up_Irr!F27&lt;&gt;".",up_Irr!AD27=".",up_Irr!BB27&lt;&gt;"."),up_dir!AF27/((1/1000)*(up_Irr!F27+up_Irr!BB27)),IF(AND(up_Irr!F27=".",up_Irr!AD27&lt;&gt;".",up_Irr!BB27&lt;&gt;"."),up_dir!AF27/((1/1000)*(up_Irr!AD27+up_Irr!BB27)),IF(AND(up_Irr!F27=".",up_Irr!AD27=".",up_Irr!BB27&lt;&gt;"."),up_dir!AF27/((1/1000)*(up_Irr!BB27)),IF(AND(up_Irr!F27=".",up_Irr!AD27&lt;&gt;".",up_Irr!BB27="."),up_dir!AF27/((1/1000)*(up_Irr!AD27)),IF(AND(up_Irr!F27&lt;&gt;".",up_Irr!AD27=".",up_Irr!BB27="."),up_dir!AF27/((1/1000)*(up_Irr!F27)),IF(AND(up_Irr!F27=".",up_Irr!AD27=".",up_Irr!BB27="."),up_dir!AF27*1000)))))))),".")</f>
        <v>6.5773651144152131E-4</v>
      </c>
      <c r="BF27" s="48">
        <f>IFERROR(IF(AND(up_Irr!G27&lt;&gt;".",up_Irr!AE27&lt;&gt;".",up_Irr!BC27&lt;&gt;"."),up_dir!AG27/((1/1000)*(up_Irr!G27+up_Irr!AE27+up_Irr!BC27)),IF(AND(up_Irr!G27&lt;&gt;".",up_Irr!AE27&lt;&gt;".",up_Irr!BC27="."),up_dir!AG27/((1/1000)*(up_Irr!G27+up_Irr!AE27)),IF(AND(up_Irr!G27&lt;&gt;".",up_Irr!AE27=".",up_Irr!BC27&lt;&gt;"."),up_dir!AG27/((1/1000)*(up_Irr!G27+up_Irr!BC27)),IF(AND(up_Irr!G27=".",up_Irr!AE27&lt;&gt;".",up_Irr!BC27&lt;&gt;"."),up_dir!AG27/((1/1000)*(up_Irr!AE27+up_Irr!BC27)),IF(AND(up_Irr!G27=".",up_Irr!AE27=".",up_Irr!BC27&lt;&gt;"."),up_dir!AG27/((1/1000)*(up_Irr!BC27)),IF(AND(up_Irr!G27=".",up_Irr!AE27&lt;&gt;".",up_Irr!BC27="."),up_dir!AG27/((1/1000)*(up_Irr!AE27)),IF(AND(up_Irr!G27&lt;&gt;".",up_Irr!AE27=".",up_Irr!BC27="."),up_dir!AG27/((1/1000)*(up_Irr!G27)),IF(AND(up_Irr!G27=".",up_Irr!AE27=".",up_Irr!BC27="."),up_dir!AG27*1000)))))))),".")</f>
        <v>6.5773651144152131E-4</v>
      </c>
      <c r="BG27" s="48">
        <f>IFERROR(IF(AND(up_Irr!H27&lt;&gt;".",up_Irr!AF27&lt;&gt;".",up_Irr!BD27&lt;&gt;"."),up_dir!AH27/((1/1000)*(up_Irr!H27+up_Irr!AF27+up_Irr!BD27)),IF(AND(up_Irr!H27&lt;&gt;".",up_Irr!AF27&lt;&gt;".",up_Irr!BD27="."),up_dir!AH27/((1/1000)*(up_Irr!H27+up_Irr!AF27)),IF(AND(up_Irr!H27&lt;&gt;".",up_Irr!AF27=".",up_Irr!BD27&lt;&gt;"."),up_dir!AH27/((1/1000)*(up_Irr!H27+up_Irr!BD27)),IF(AND(up_Irr!H27=".",up_Irr!AF27&lt;&gt;".",up_Irr!BD27&lt;&gt;"."),up_dir!AH27/((1/1000)*(up_Irr!AF27+up_Irr!BD27)),IF(AND(up_Irr!H27=".",up_Irr!AF27=".",up_Irr!BD27&lt;&gt;"."),up_dir!AH27/((1/1000)*(up_Irr!BD27)),IF(AND(up_Irr!H27=".",up_Irr!AF27&lt;&gt;".",up_Irr!BD27="."),up_dir!AH27/((1/1000)*(up_Irr!AF27)),IF(AND(up_Irr!H27&lt;&gt;".",up_Irr!AF27=".",up_Irr!BD27="."),up_dir!AH27/((1/1000)*(up_Irr!H27)),IF(AND(up_Irr!H27=".",up_Irr!AF27=".",up_Irr!BD27="."),up_dir!AH27*1000)))))))),".")</f>
        <v>6.5773651144152131E-4</v>
      </c>
      <c r="BH27" s="48">
        <f>IFERROR(IF(AND(up_Irr!I27&lt;&gt;".",up_Irr!AG27&lt;&gt;".",up_Irr!BE27&lt;&gt;"."),up_dir!AI27/((1/1000)*(up_Irr!I27+up_Irr!AG27+up_Irr!BE27)),IF(AND(up_Irr!I27&lt;&gt;".",up_Irr!AG27&lt;&gt;".",up_Irr!BE27="."),up_dir!AI27/((1/1000)*(up_Irr!I27+up_Irr!AG27)),IF(AND(up_Irr!I27&lt;&gt;".",up_Irr!AG27=".",up_Irr!BE27&lt;&gt;"."),up_dir!AI27/((1/1000)*(up_Irr!I27+up_Irr!BE27)),IF(AND(up_Irr!I27=".",up_Irr!AG27&lt;&gt;".",up_Irr!BE27&lt;&gt;"."),up_dir!AI27/((1/1000)*(up_Irr!AG27+up_Irr!BE27)),IF(AND(up_Irr!I27=".",up_Irr!AG27=".",up_Irr!BE27&lt;&gt;"."),up_dir!AI27/((1/1000)*(up_Irr!BE27)),IF(AND(up_Irr!I27=".",up_Irr!AG27&lt;&gt;".",up_Irr!BE27="."),up_dir!AI27/((1/1000)*(up_Irr!AG27)),IF(AND(up_Irr!I27&lt;&gt;".",up_Irr!AG27=".",up_Irr!BE27="."),up_dir!AI27/((1/1000)*(up_Irr!I27)),IF(AND(up_Irr!I27=".",up_Irr!AG27=".",up_Irr!BE27="."),up_dir!AI27*1000)))))))),".")</f>
        <v>6.5773651144152131E-4</v>
      </c>
      <c r="BI27" s="48">
        <f>IFERROR(IF(AND(up_Irr!J27&lt;&gt;".",up_Irr!AH27&lt;&gt;".",up_Irr!BF27&lt;&gt;"."),up_dir!AJ27/((1/1000)*(up_Irr!J27+up_Irr!AH27+up_Irr!BF27)),IF(AND(up_Irr!J27&lt;&gt;".",up_Irr!AH27&lt;&gt;".",up_Irr!BF27="."),up_dir!AJ27/((1/1000)*(up_Irr!J27+up_Irr!AH27)),IF(AND(up_Irr!J27&lt;&gt;".",up_Irr!AH27=".",up_Irr!BF27&lt;&gt;"."),up_dir!AJ27/((1/1000)*(up_Irr!J27+up_Irr!BF27)),IF(AND(up_Irr!J27=".",up_Irr!AH27&lt;&gt;".",up_Irr!BF27&lt;&gt;"."),up_dir!AJ27/((1/1000)*(up_Irr!AH27+up_Irr!BF27)),IF(AND(up_Irr!J27=".",up_Irr!AH27=".",up_Irr!BF27&lt;&gt;"."),up_dir!AJ27/((1/1000)*(up_Irr!BF27)),IF(AND(up_Irr!J27=".",up_Irr!AH27&lt;&gt;".",up_Irr!BF27="."),up_dir!AJ27/((1/1000)*(up_Irr!AH27)),IF(AND(up_Irr!J27&lt;&gt;".",up_Irr!AH27=".",up_Irr!BF27="."),up_dir!AJ27/((1/1000)*(up_Irr!J27)),IF(AND(up_Irr!J27=".",up_Irr!AH27=".",up_Irr!BF27="."),up_dir!AJ27*1000)))))))),".")</f>
        <v>6.5773651144152131E-4</v>
      </c>
      <c r="BJ27" s="48">
        <f>IFERROR(IF(AND(up_Irr!K27&lt;&gt;".",up_Irr!AI27&lt;&gt;".",up_Irr!BG27&lt;&gt;"."),up_dir!AK27/((1/1000)*(up_Irr!K27+up_Irr!AI27+up_Irr!BG27)),IF(AND(up_Irr!K27&lt;&gt;".",up_Irr!AI27&lt;&gt;".",up_Irr!BG27="."),up_dir!AK27/((1/1000)*(up_Irr!K27+up_Irr!AI27)),IF(AND(up_Irr!K27&lt;&gt;".",up_Irr!AI27=".",up_Irr!BG27&lt;&gt;"."),up_dir!AK27/((1/1000)*(up_Irr!K27+up_Irr!BG27)),IF(AND(up_Irr!K27=".",up_Irr!AI27&lt;&gt;".",up_Irr!BG27&lt;&gt;"."),up_dir!AK27/((1/1000)*(up_Irr!AI27+up_Irr!BG27)),IF(AND(up_Irr!K27=".",up_Irr!AI27=".",up_Irr!BG27&lt;&gt;"."),up_dir!AK27/((1/1000)*(up_Irr!BG27)),IF(AND(up_Irr!K27=".",up_Irr!AI27&lt;&gt;".",up_Irr!BG27="."),up_dir!AK27/((1/1000)*(up_Irr!AI27)),IF(AND(up_Irr!K27&lt;&gt;".",up_Irr!AI27=".",up_Irr!BG27="."),up_dir!AK27/((1/1000)*(up_Irr!K27)),IF(AND(up_Irr!K27=".",up_Irr!AI27=".",up_Irr!BG27="."),up_dir!AK27*1000)))))))),".")</f>
        <v>6.5773651144152131E-4</v>
      </c>
      <c r="BK27" s="48">
        <f>IFERROR(IF(AND(up_Irr!L27&lt;&gt;".",up_Irr!AJ27&lt;&gt;".",up_Irr!BH27&lt;&gt;"."),up_dir!AL27/((1/1000)*(up_Irr!L27+up_Irr!AJ27+up_Irr!BH27)),IF(AND(up_Irr!L27&lt;&gt;".",up_Irr!AJ27&lt;&gt;".",up_Irr!BH27="."),up_dir!AL27/((1/1000)*(up_Irr!L27+up_Irr!AJ27)),IF(AND(up_Irr!L27&lt;&gt;".",up_Irr!AJ27=".",up_Irr!BH27&lt;&gt;"."),up_dir!AL27/((1/1000)*(up_Irr!L27+up_Irr!BH27)),IF(AND(up_Irr!L27=".",up_Irr!AJ27&lt;&gt;".",up_Irr!BH27&lt;&gt;"."),up_dir!AL27/((1/1000)*(up_Irr!AJ27+up_Irr!BH27)),IF(AND(up_Irr!L27=".",up_Irr!AJ27=".",up_Irr!BH27&lt;&gt;"."),up_dir!AL27/((1/1000)*(up_Irr!BH27)),IF(AND(up_Irr!L27=".",up_Irr!AJ27&lt;&gt;".",up_Irr!BH27="."),up_dir!AL27/((1/1000)*(up_Irr!AJ27)),IF(AND(up_Irr!L27&lt;&gt;".",up_Irr!AJ27=".",up_Irr!BH27="."),up_dir!AL27/((1/1000)*(up_Irr!L27)),IF(AND(up_Irr!L27=".",up_Irr!AJ27=".",up_Irr!BH27="."),up_dir!AL27*1000)))))))),".")</f>
        <v>6.5773651144152131E-4</v>
      </c>
      <c r="BL27" s="48">
        <f>IFERROR(IF(AND(up_Irr!M27&lt;&gt;".",up_Irr!AK27&lt;&gt;".",up_Irr!BI27&lt;&gt;"."),up_dir!AM27/((1/1000)*(up_Irr!M27+up_Irr!AK27+up_Irr!BI27)),IF(AND(up_Irr!M27&lt;&gt;".",up_Irr!AK27&lt;&gt;".",up_Irr!BI27="."),up_dir!AM27/((1/1000)*(up_Irr!M27+up_Irr!AK27)),IF(AND(up_Irr!M27&lt;&gt;".",up_Irr!AK27=".",up_Irr!BI27&lt;&gt;"."),up_dir!AM27/((1/1000)*(up_Irr!M27+up_Irr!BI27)),IF(AND(up_Irr!M27=".",up_Irr!AK27&lt;&gt;".",up_Irr!BI27&lt;&gt;"."),up_dir!AM27/((1/1000)*(up_Irr!AK27+up_Irr!BI27)),IF(AND(up_Irr!M27=".",up_Irr!AK27=".",up_Irr!BI27&lt;&gt;"."),up_dir!AM27/((1/1000)*(up_Irr!BI27)),IF(AND(up_Irr!M27=".",up_Irr!AK27&lt;&gt;".",up_Irr!BI27="."),up_dir!AM27/((1/1000)*(up_Irr!AK27)),IF(AND(up_Irr!M27&lt;&gt;".",up_Irr!AK27=".",up_Irr!BI27="."),up_dir!AM27/((1/1000)*(up_Irr!M27)),IF(AND(up_Irr!M27=".",up_Irr!AK27=".",up_Irr!BI27="."),up_dir!AM27*1000)))))))),".")</f>
        <v>6.5773651144152131E-4</v>
      </c>
      <c r="BM27" s="48">
        <f>IFERROR(IF(AND(up_Irr!N27&lt;&gt;".",up_Irr!AL27&lt;&gt;".",up_Irr!BJ27&lt;&gt;"."),up_dir!AN27/((1/1000)*(up_Irr!N27+up_Irr!AL27+up_Irr!BJ27)),IF(AND(up_Irr!N27&lt;&gt;".",up_Irr!AL27&lt;&gt;".",up_Irr!BJ27="."),up_dir!AN27/((1/1000)*(up_Irr!N27+up_Irr!AL27)),IF(AND(up_Irr!N27&lt;&gt;".",up_Irr!AL27=".",up_Irr!BJ27&lt;&gt;"."),up_dir!AN27/((1/1000)*(up_Irr!N27+up_Irr!BJ27)),IF(AND(up_Irr!N27=".",up_Irr!AL27&lt;&gt;".",up_Irr!BJ27&lt;&gt;"."),up_dir!AN27/((1/1000)*(up_Irr!AL27+up_Irr!BJ27)),IF(AND(up_Irr!N27=".",up_Irr!AL27=".",up_Irr!BJ27&lt;&gt;"."),up_dir!AN27/((1/1000)*(up_Irr!BJ27)),IF(AND(up_Irr!N27=".",up_Irr!AL27&lt;&gt;".",up_Irr!BJ27="."),up_dir!AN27/((1/1000)*(up_Irr!AL27)),IF(AND(up_Irr!N27&lt;&gt;".",up_Irr!AL27=".",up_Irr!BJ27="."),up_dir!AN27/((1/1000)*(up_Irr!N27)),IF(AND(up_Irr!N27=".",up_Irr!AL27=".",up_Irr!BJ27="."),up_dir!AN27*1000)))))))),".")</f>
        <v>6.5773651144152131E-4</v>
      </c>
      <c r="BN27" s="48">
        <f>IFERROR(IF(AND(up_Irr!O27&lt;&gt;".",up_Irr!AM27&lt;&gt;".",up_Irr!BK27&lt;&gt;"."),up_dir!AO27/((1/1000)*(up_Irr!O27+up_Irr!AM27+up_Irr!BK27)),IF(AND(up_Irr!O27&lt;&gt;".",up_Irr!AM27&lt;&gt;".",up_Irr!BK27="."),up_dir!AO27/((1/1000)*(up_Irr!O27+up_Irr!AM27)),IF(AND(up_Irr!O27&lt;&gt;".",up_Irr!AM27=".",up_Irr!BK27&lt;&gt;"."),up_dir!AO27/((1/1000)*(up_Irr!O27+up_Irr!BK27)),IF(AND(up_Irr!O27=".",up_Irr!AM27&lt;&gt;".",up_Irr!BK27&lt;&gt;"."),up_dir!AO27/((1/1000)*(up_Irr!AM27+up_Irr!BK27)),IF(AND(up_Irr!O27=".",up_Irr!AM27=".",up_Irr!BK27&lt;&gt;"."),up_dir!AO27/((1/1000)*(up_Irr!BK27)),IF(AND(up_Irr!O27=".",up_Irr!AM27&lt;&gt;".",up_Irr!BK27="."),up_dir!AO27/((1/1000)*(up_Irr!AM27)),IF(AND(up_Irr!O27&lt;&gt;".",up_Irr!AM27=".",up_Irr!BK27="."),up_dir!AO27/((1/1000)*(up_Irr!O27)),IF(AND(up_Irr!O27=".",up_Irr!AM27=".",up_Irr!BK27="."),up_dir!AO27*1000)))))))),".")</f>
        <v>6.5773651144152131E-4</v>
      </c>
      <c r="BO27" s="48">
        <f>IFERROR(IF(AND(up_Irr!P27&lt;&gt;".",up_Irr!AN27&lt;&gt;".",up_Irr!BL27&lt;&gt;"."),up_dir!AP27/((1/1000)*(up_Irr!P27+up_Irr!AN27+up_Irr!BL27)),IF(AND(up_Irr!P27&lt;&gt;".",up_Irr!AN27&lt;&gt;".",up_Irr!BL27="."),up_dir!AP27/((1/1000)*(up_Irr!P27+up_Irr!AN27)),IF(AND(up_Irr!P27&lt;&gt;".",up_Irr!AN27=".",up_Irr!BL27&lt;&gt;"."),up_dir!AP27/((1/1000)*(up_Irr!P27+up_Irr!BL27)),IF(AND(up_Irr!P27=".",up_Irr!AN27&lt;&gt;".",up_Irr!BL27&lt;&gt;"."),up_dir!AP27/((1/1000)*(up_Irr!AN27+up_Irr!BL27)),IF(AND(up_Irr!P27=".",up_Irr!AN27=".",up_Irr!BL27&lt;&gt;"."),up_dir!AP27/((1/1000)*(up_Irr!BL27)),IF(AND(up_Irr!P27=".",up_Irr!AN27&lt;&gt;".",up_Irr!BL27="."),up_dir!AP27/((1/1000)*(up_Irr!AN27)),IF(AND(up_Irr!P27&lt;&gt;".",up_Irr!AN27=".",up_Irr!BL27="."),up_dir!AP27/((1/1000)*(up_Irr!P27)),IF(AND(up_Irr!P27=".",up_Irr!AN27=".",up_Irr!BL27="."),up_dir!AP27*1000)))))))),".")</f>
        <v>6.5773651144152131E-4</v>
      </c>
      <c r="BP27" s="48">
        <f>IFERROR(IF(AND(up_Irr!Q27&lt;&gt;".",up_Irr!AO27&lt;&gt;".",up_Irr!BM27&lt;&gt;"."),up_dir!AQ27/((1/1000)*(up_Irr!Q27+up_Irr!AO27+up_Irr!BM27)),IF(AND(up_Irr!Q27&lt;&gt;".",up_Irr!AO27&lt;&gt;".",up_Irr!BM27="."),up_dir!AQ27/((1/1000)*(up_Irr!Q27+up_Irr!AO27)),IF(AND(up_Irr!Q27&lt;&gt;".",up_Irr!AO27=".",up_Irr!BM27&lt;&gt;"."),up_dir!AQ27/((1/1000)*(up_Irr!Q27+up_Irr!BM27)),IF(AND(up_Irr!Q27=".",up_Irr!AO27&lt;&gt;".",up_Irr!BM27&lt;&gt;"."),up_dir!AQ27/((1/1000)*(up_Irr!AO27+up_Irr!BM27)),IF(AND(up_Irr!Q27=".",up_Irr!AO27=".",up_Irr!BM27&lt;&gt;"."),up_dir!AQ27/((1/1000)*(up_Irr!BM27)),IF(AND(up_Irr!Q27=".",up_Irr!AO27&lt;&gt;".",up_Irr!BM27="."),up_dir!AQ27/((1/1000)*(up_Irr!AO27)),IF(AND(up_Irr!Q27&lt;&gt;".",up_Irr!AO27=".",up_Irr!BM27="."),up_dir!AQ27/((1/1000)*(up_Irr!Q27)),IF(AND(up_Irr!Q27=".",up_Irr!AO27=".",up_Irr!BM27="."),up_dir!AQ27*1000)))))))),".")</f>
        <v>6.5773651144152131E-4</v>
      </c>
      <c r="BQ27" s="48">
        <f>IFERROR(IF(AND(up_Irr!R27&lt;&gt;".",up_Irr!AP27&lt;&gt;".",up_Irr!BN27&lt;&gt;"."),up_dir!AR27/((1/1000)*(up_Irr!R27+up_Irr!AP27+up_Irr!BN27)),IF(AND(up_Irr!R27&lt;&gt;".",up_Irr!AP27&lt;&gt;".",up_Irr!BN27="."),up_dir!AR27/((1/1000)*(up_Irr!R27+up_Irr!AP27)),IF(AND(up_Irr!R27&lt;&gt;".",up_Irr!AP27=".",up_Irr!BN27&lt;&gt;"."),up_dir!AR27/((1/1000)*(up_Irr!R27+up_Irr!BN27)),IF(AND(up_Irr!R27=".",up_Irr!AP27&lt;&gt;".",up_Irr!BN27&lt;&gt;"."),up_dir!AR27/((1/1000)*(up_Irr!AP27+up_Irr!BN27)),IF(AND(up_Irr!R27=".",up_Irr!AP27=".",up_Irr!BN27&lt;&gt;"."),up_dir!AR27/((1/1000)*(up_Irr!BN27)),IF(AND(up_Irr!R27=".",up_Irr!AP27&lt;&gt;".",up_Irr!BN27="."),up_dir!AR27/((1/1000)*(up_Irr!AP27)),IF(AND(up_Irr!R27&lt;&gt;".",up_Irr!AP27=".",up_Irr!BN27="."),up_dir!AR27/((1/1000)*(up_Irr!R27)),IF(AND(up_Irr!R27=".",up_Irr!AP27=".",up_Irr!BN27="."),up_dir!AR27*1000)))))))),".")</f>
        <v>6.5773651144152131E-4</v>
      </c>
      <c r="BR27" s="48">
        <f>IFERROR(IF(AND(up_Irr!S27&lt;&gt;".",up_Irr!AQ27&lt;&gt;".",up_Irr!BO27&lt;&gt;"."),up_dir!AS27/((1/1000)*(up_Irr!S27+up_Irr!AQ27+up_Irr!BO27)),IF(AND(up_Irr!S27&lt;&gt;".",up_Irr!AQ27&lt;&gt;".",up_Irr!BO27="."),up_dir!AS27/((1/1000)*(up_Irr!S27+up_Irr!AQ27)),IF(AND(up_Irr!S27&lt;&gt;".",up_Irr!AQ27=".",up_Irr!BO27&lt;&gt;"."),up_dir!AS27/((1/1000)*(up_Irr!S27+up_Irr!BO27)),IF(AND(up_Irr!S27=".",up_Irr!AQ27&lt;&gt;".",up_Irr!BO27&lt;&gt;"."),up_dir!AS27/((1/1000)*(up_Irr!AQ27+up_Irr!BO27)),IF(AND(up_Irr!S27=".",up_Irr!AQ27=".",up_Irr!BO27&lt;&gt;"."),up_dir!AS27/((1/1000)*(up_Irr!BO27)),IF(AND(up_Irr!S27=".",up_Irr!AQ27&lt;&gt;".",up_Irr!BO27="."),up_dir!AS27/((1/1000)*(up_Irr!AQ27)),IF(AND(up_Irr!S27&lt;&gt;".",up_Irr!AQ27=".",up_Irr!BO27="."),up_dir!AS27/((1/1000)*(up_Irr!S27)),IF(AND(up_Irr!S27=".",up_Irr!AQ27=".",up_Irr!BO27="."),up_dir!AS27*1000)))))))),".")</f>
        <v>6.5773651144152131E-4</v>
      </c>
      <c r="BS27" s="48">
        <f>IFERROR(IF(AND(up_Irr!T27&lt;&gt;".",up_Irr!AR27&lt;&gt;".",up_Irr!BP27&lt;&gt;"."),up_dir!AT27/((1/1000)*(up_Irr!T27+up_Irr!AR27+up_Irr!BP27)),IF(AND(up_Irr!T27&lt;&gt;".",up_Irr!AR27&lt;&gt;".",up_Irr!BP27="."),up_dir!AT27/((1/1000)*(up_Irr!T27+up_Irr!AR27)),IF(AND(up_Irr!T27&lt;&gt;".",up_Irr!AR27=".",up_Irr!BP27&lt;&gt;"."),up_dir!AT27/((1/1000)*(up_Irr!T27+up_Irr!BP27)),IF(AND(up_Irr!T27=".",up_Irr!AR27&lt;&gt;".",up_Irr!BP27&lt;&gt;"."),up_dir!AT27/((1/1000)*(up_Irr!AR27+up_Irr!BP27)),IF(AND(up_Irr!T27=".",up_Irr!AR27=".",up_Irr!BP27&lt;&gt;"."),up_dir!AT27/((1/1000)*(up_Irr!BP27)),IF(AND(up_Irr!T27=".",up_Irr!AR27&lt;&gt;".",up_Irr!BP27="."),up_dir!AT27/((1/1000)*(up_Irr!AR27)),IF(AND(up_Irr!T27&lt;&gt;".",up_Irr!AR27=".",up_Irr!BP27="."),up_dir!AT27/((1/1000)*(up_Irr!T27)),IF(AND(up_Irr!T27=".",up_Irr!AR27=".",up_Irr!BP27="."),up_dir!AT27*1000)))))))),".")</f>
        <v>6.5773651144152131E-4</v>
      </c>
      <c r="BT27" s="48">
        <f>IFERROR(IF(AND(up_Irr!U27&lt;&gt;".",up_Irr!AS27&lt;&gt;".",up_Irr!BQ27&lt;&gt;"."),up_dir!AU27/((1/1000)*(up_Irr!U27+up_Irr!AS27+up_Irr!BQ27)),IF(AND(up_Irr!U27&lt;&gt;".",up_Irr!AS27&lt;&gt;".",up_Irr!BQ27="."),up_dir!AU27/((1/1000)*(up_Irr!U27+up_Irr!AS27)),IF(AND(up_Irr!U27&lt;&gt;".",up_Irr!AS27=".",up_Irr!BQ27&lt;&gt;"."),up_dir!AU27/((1/1000)*(up_Irr!U27+up_Irr!BQ27)),IF(AND(up_Irr!U27=".",up_Irr!AS27&lt;&gt;".",up_Irr!BQ27&lt;&gt;"."),up_dir!AU27/((1/1000)*(up_Irr!AS27+up_Irr!BQ27)),IF(AND(up_Irr!U27=".",up_Irr!AS27=".",up_Irr!BQ27&lt;&gt;"."),up_dir!AU27/((1/1000)*(up_Irr!BQ27)),IF(AND(up_Irr!U27=".",up_Irr!AS27&lt;&gt;".",up_Irr!BQ27="."),up_dir!AU27/((1/1000)*(up_Irr!AS27)),IF(AND(up_Irr!U27&lt;&gt;".",up_Irr!AS27=".",up_Irr!BQ27="."),up_dir!AU27/((1/1000)*(up_Irr!U27)),IF(AND(up_Irr!U27=".",up_Irr!AS27=".",up_Irr!BQ27="."),up_dir!AU27*1000)))))))),".")</f>
        <v>6.5773651144152131E-4</v>
      </c>
      <c r="BU27" s="48">
        <f>IFERROR(IF(AND(up_Irr!V27&lt;&gt;".",up_Irr!AT27&lt;&gt;".",up_Irr!BR27&lt;&gt;"."),up_dir!AV27/((1/1000)*(up_Irr!V27+up_Irr!AT27+up_Irr!BR27)),IF(AND(up_Irr!V27&lt;&gt;".",up_Irr!AT27&lt;&gt;".",up_Irr!BR27="."),up_dir!AV27/((1/1000)*(up_Irr!V27+up_Irr!AT27)),IF(AND(up_Irr!V27&lt;&gt;".",up_Irr!AT27=".",up_Irr!BR27&lt;&gt;"."),up_dir!AV27/((1/1000)*(up_Irr!V27+up_Irr!BR27)),IF(AND(up_Irr!V27=".",up_Irr!AT27&lt;&gt;".",up_Irr!BR27&lt;&gt;"."),up_dir!AV27/((1/1000)*(up_Irr!AT27+up_Irr!BR27)),IF(AND(up_Irr!V27=".",up_Irr!AT27=".",up_Irr!BR27&lt;&gt;"."),up_dir!AV27/((1/1000)*(up_Irr!BR27)),IF(AND(up_Irr!V27=".",up_Irr!AT27&lt;&gt;".",up_Irr!BR27="."),up_dir!AV27/((1/1000)*(up_Irr!AT27)),IF(AND(up_Irr!V27&lt;&gt;".",up_Irr!AT27=".",up_Irr!BR27="."),up_dir!AV27/((1/1000)*(up_Irr!V27)),IF(AND(up_Irr!V27=".",up_Irr!AT27=".",up_Irr!BR27="."),up_dir!AV27*1000)))))))),".")</f>
        <v>6.5773651144152131E-4</v>
      </c>
      <c r="BV27" s="48">
        <f>IFERROR(IF(AND(up_Irr!W27&lt;&gt;".",up_Irr!AU27&lt;&gt;".",up_Irr!BS27&lt;&gt;"."),up_dir!AW27/((1/1000)*(up_Irr!W27+up_Irr!AU27+up_Irr!BS27)),IF(AND(up_Irr!W27&lt;&gt;".",up_Irr!AU27&lt;&gt;".",up_Irr!BS27="."),up_dir!AW27/((1/1000)*(up_Irr!W27+up_Irr!AU27)),IF(AND(up_Irr!W27&lt;&gt;".",up_Irr!AU27=".",up_Irr!BS27&lt;&gt;"."),up_dir!AW27/((1/1000)*(up_Irr!W27+up_Irr!BS27)),IF(AND(up_Irr!W27=".",up_Irr!AU27&lt;&gt;".",up_Irr!BS27&lt;&gt;"."),up_dir!AW27/((1/1000)*(up_Irr!AU27+up_Irr!BS27)),IF(AND(up_Irr!W27=".",up_Irr!AU27=".",up_Irr!BS27&lt;&gt;"."),up_dir!AW27/((1/1000)*(up_Irr!BS27)),IF(AND(up_Irr!W27=".",up_Irr!AU27&lt;&gt;".",up_Irr!BS27="."),up_dir!AW27/((1/1000)*(up_Irr!AU27)),IF(AND(up_Irr!W27&lt;&gt;".",up_Irr!AU27=".",up_Irr!BS27="."),up_dir!AW27/((1/1000)*(up_Irr!W27)),IF(AND(up_Irr!W27=".",up_Irr!AU27=".",up_Irr!BS27="."),up_dir!AW27*1000)))))))),".")</f>
        <v>6.5773651144152131E-4</v>
      </c>
      <c r="BW27" s="48">
        <f>IFERROR(IF(AND(up_Irr!X27&lt;&gt;".",up_Irr!AV27&lt;&gt;".",up_Irr!BT27&lt;&gt;"."),up_dir!AX27/((1/1000)*(up_Irr!X27+up_Irr!AV27+up_Irr!BT27)),IF(AND(up_Irr!X27&lt;&gt;".",up_Irr!AV27&lt;&gt;".",up_Irr!BT27="."),up_dir!AX27/((1/1000)*(up_Irr!X27+up_Irr!AV27)),IF(AND(up_Irr!X27&lt;&gt;".",up_Irr!AV27=".",up_Irr!BT27&lt;&gt;"."),up_dir!AX27/((1/1000)*(up_Irr!X27+up_Irr!BT27)),IF(AND(up_Irr!X27=".",up_Irr!AV27&lt;&gt;".",up_Irr!BT27&lt;&gt;"."),up_dir!AX27/((1/1000)*(up_Irr!AV27+up_Irr!BT27)),IF(AND(up_Irr!X27=".",up_Irr!AV27=".",up_Irr!BT27&lt;&gt;"."),up_dir!AX27/((1/1000)*(up_Irr!BT27)),IF(AND(up_Irr!X27=".",up_Irr!AV27&lt;&gt;".",up_Irr!BT27="."),up_dir!AX27/((1/1000)*(up_Irr!AV27)),IF(AND(up_Irr!X27&lt;&gt;".",up_Irr!AV27=".",up_Irr!BT27="."),up_dir!AX27/((1/1000)*(up_Irr!X27)),IF(AND(up_Irr!X27=".",up_Irr!AV27=".",up_Irr!BT27="."),up_dir!AX27*1000)))))))),".")</f>
        <v>6.5773651144152131E-4</v>
      </c>
      <c r="BX27" s="48">
        <f>IFERROR(IF(AND(up_Irr!Y27&lt;&gt;".",up_Irr!AW27&lt;&gt;".",up_Irr!BU27&lt;&gt;"."),up_dir!AY27/((1/1000)*(up_Irr!Y27+up_Irr!AW27+up_Irr!BU27)),IF(AND(up_Irr!Y27&lt;&gt;".",up_Irr!AW27&lt;&gt;".",up_Irr!BU27="."),up_dir!AY27/((1/1000)*(up_Irr!Y27+up_Irr!AW27)),IF(AND(up_Irr!Y27&lt;&gt;".",up_Irr!AW27=".",up_Irr!BU27&lt;&gt;"."),up_dir!AY27/((1/1000)*(up_Irr!Y27+up_Irr!BU27)),IF(AND(up_Irr!Y27=".",up_Irr!AW27&lt;&gt;".",up_Irr!BU27&lt;&gt;"."),up_dir!AY27/((1/1000)*(up_Irr!AW27+up_Irr!BU27)),IF(AND(up_Irr!Y27=".",up_Irr!AW27=".",up_Irr!BU27&lt;&gt;"."),up_dir!AY27/((1/1000)*(up_Irr!BU27)),IF(AND(up_Irr!Y27=".",up_Irr!AW27&lt;&gt;".",up_Irr!BU27="."),up_dir!AY27/((1/1000)*(up_Irr!AW27)),IF(AND(up_Irr!Y27&lt;&gt;".",up_Irr!AW27=".",up_Irr!BU27="."),up_dir!AY27/((1/1000)*(up_Irr!Y27)),IF(AND(up_Irr!Y27=".",up_Irr!AW27=".",up_Irr!BU27="."),up_dir!AY27*1000)))))))),".")</f>
        <v>6.5773651144152131E-4</v>
      </c>
      <c r="BY27" s="48">
        <f>IFERROR(IF(AND(up_Irr!Z27&lt;&gt;".",up_Irr!AX27&lt;&gt;".",up_Irr!BV27&lt;&gt;"."),up_dir!AZ27/((1/1000)*(up_Irr!Z27+up_Irr!AX27+up_Irr!BV27)),IF(AND(up_Irr!Z27&lt;&gt;".",up_Irr!AX27&lt;&gt;".",up_Irr!BV27="."),up_dir!AZ27/((1/1000)*(up_Irr!Z27+up_Irr!AX27)),IF(AND(up_Irr!Z27&lt;&gt;".",up_Irr!AX27=".",up_Irr!BV27&lt;&gt;"."),up_dir!AZ27/((1/1000)*(up_Irr!Z27+up_Irr!BV27)),IF(AND(up_Irr!Z27=".",up_Irr!AX27&lt;&gt;".",up_Irr!BV27&lt;&gt;"."),up_dir!AZ27/((1/1000)*(up_Irr!AX27+up_Irr!BV27)),IF(AND(up_Irr!Z27=".",up_Irr!AX27=".",up_Irr!BV27&lt;&gt;"."),up_dir!AZ27/((1/1000)*(up_Irr!BV27)),IF(AND(up_Irr!Z27=".",up_Irr!AX27&lt;&gt;".",up_Irr!BV27="."),up_dir!AZ27/((1/1000)*(up_Irr!AX27)),IF(AND(up_Irr!Z27&lt;&gt;".",up_Irr!AX27=".",up_Irr!BV27="."),up_dir!AZ27/((1/1000)*(up_Irr!Z27)),IF(AND(up_Irr!Z27=".",up_Irr!AX27=".",up_Irr!BV27="."),up_dir!AZ27*1000)))))))),".")</f>
        <v>6.5773651144152131E-4</v>
      </c>
      <c r="BZ27" s="62">
        <f t="shared" si="3"/>
        <v>22805.4847785862</v>
      </c>
      <c r="CA27" s="62">
        <f>IFERROR(s_C*s_IFAP_far_adj*s_CF_apple*(1/1000)*(up_Irr!C27+up_Irr!AA27+up_Irr!AY27),".")</f>
        <v>7601.8282595287337</v>
      </c>
      <c r="CB27" s="62">
        <f>IFERROR(s_C*s_IFAS_far_adj*s_CF_asparagus*(1/1000)*(up_Irr!D27+up_Irr!AB27+up_Irr!AZ27),".")</f>
        <v>7601.8282595287337</v>
      </c>
      <c r="CC27" s="62">
        <f>IFERROR(s_C*s_IFBT_far_adj*s_CF_beet*(1/1000)*(up_Irr!E27+up_Irr!AC27+up_Irr!BA27),".")</f>
        <v>7601.8282595287337</v>
      </c>
      <c r="CD27" s="62">
        <f>IFERROR(s_C*s_IFBE_far_adj*s_CF_berries*(1/1000)*(up_Irr!F27+up_Irr!AD27+up_Irr!BB27),".")</f>
        <v>7601.8282595287337</v>
      </c>
      <c r="CE27" s="62">
        <f>IFERROR(s_C*s_IFBR_far_adj*s_CF_broccoli*(1/1000)*(up_Irr!G27+up_Irr!AE27+up_Irr!BC27),".")</f>
        <v>7601.8282595287337</v>
      </c>
      <c r="CF27" s="62">
        <f>IFERROR(s_C*s_IFCB_far_adj*s_CF_cabbage*(1/1000)*(up_Irr!H27+up_Irr!AF27+up_Irr!BD27),".")</f>
        <v>7601.8282595287337</v>
      </c>
      <c r="CG27" s="62">
        <f>IFERROR(s_C*s_IFCR_far_adj*s_CF_carrot*(1/1000)*(up_Irr!I27+up_Irr!AG27+up_Irr!BE27),".")</f>
        <v>7601.8282595287337</v>
      </c>
      <c r="CH27" s="62">
        <f>IFERROR(s_C*s_IFCI_far_adj*s_CF_citrus*(1/1000)*(up_Irr!J27+up_Irr!AH27+up_Irr!BF27),".")</f>
        <v>7601.8282595287337</v>
      </c>
      <c r="CI27" s="62">
        <f>IFERROR(s_C*s_IFCO_far_adj*s_CF_corn*(1/1000)*(up_Irr!K27+up_Irr!AI27+up_Irr!BG27),".")</f>
        <v>7601.8282595287337</v>
      </c>
      <c r="CJ27" s="62">
        <f>IFERROR(s_C*s_IFCU_far_adj*s_CF_cucumber*(1/1000)*(up_Irr!L27+up_Irr!AJ27+up_Irr!BH27),".")</f>
        <v>7601.8282595287337</v>
      </c>
      <c r="CK27" s="62">
        <f>IFERROR(s_C*s_IFLE_far_adj*s_CF_lettuce*(1/1000)*(up_Irr!M27+up_Irr!AK27+up_Irr!BI27),".")</f>
        <v>7601.8282595287337</v>
      </c>
      <c r="CL27" s="62">
        <f>IFERROR(s_C*s_IFLI_far_adj*s_CF_lima_bean*(1/1000)*(up_Irr!N27+up_Irr!AL27+up_Irr!BJ27),".")</f>
        <v>7601.8282595287337</v>
      </c>
      <c r="CM27" s="62">
        <f>IFERROR(s_C*s_IFOK_far_adj*s_CF_okra*(1/1000)*(up_Irr!O27+up_Irr!AM27+up_Irr!BK27),".")</f>
        <v>7601.8282595287337</v>
      </c>
      <c r="CN27" s="62">
        <f>IFERROR(s_C*s_IFON_far_adj*s_CF_onion*(1/1000)*(up_Irr!P27+up_Irr!AN27+up_Irr!BL27),".")</f>
        <v>7601.8282595287337</v>
      </c>
      <c r="CO27" s="62">
        <f>IFERROR(s_C*s_IFPC_far_adj*s_CF_peach*(1/1000)*(up_Irr!Q27+up_Irr!AO27+up_Irr!BM27),".")</f>
        <v>7601.8282595287337</v>
      </c>
      <c r="CP27" s="62">
        <f>IFERROR(s_C*s_IFPR_far_adj*s_CF_pear*(1/1000)*(up_Irr!R27+up_Irr!AP27+up_Irr!BN27),".")</f>
        <v>7601.8282595287337</v>
      </c>
      <c r="CQ27" s="62">
        <f>IFERROR(s_C*s_IFPE_far_adj*s_CF_peas*(1/1000)*(up_Irr!S27+up_Irr!AQ27+up_Irr!BO27),".")</f>
        <v>7601.8282595287337</v>
      </c>
      <c r="CR27" s="62">
        <f>IFERROR(s_C*s_IFPT_far_adj*s_CF_potato*(1/1000)*(up_Irr!T27+up_Irr!AR27+up_Irr!BP27),".")</f>
        <v>7601.8282595287337</v>
      </c>
      <c r="CS27" s="62">
        <f>IFERROR(s_C*s_IFPU_far_adj*s_CF_pumpkin*(1/1000)*(up_Irr!U27+up_Irr!AS27+up_Irr!BQ27),".")</f>
        <v>7601.8282595287337</v>
      </c>
      <c r="CT27" s="62">
        <f>IFERROR(s_C*s_IFSN_far_adj*s_CF_snap_bean*(1/1000)*(up_Irr!V27+up_Irr!AT27+up_Irr!BR27),".")</f>
        <v>7601.8282595287337</v>
      </c>
      <c r="CU27" s="62">
        <f>IFERROR(s_C*s_IFST_far_adj*s_CF_strawberry*(1/1000)*(up_Irr!W27+up_Irr!AU27+up_Irr!BS27),".")</f>
        <v>7601.8282595287337</v>
      </c>
      <c r="CV27" s="62">
        <f>IFERROR(s_C*s_IFTO_far_adj*s_CF_tomato*(1/1000)*(up_Irr!X27+up_Irr!AV27+up_Irr!BT27),".")</f>
        <v>7601.8282595287337</v>
      </c>
      <c r="CW27" s="62">
        <f>IFERROR(s_C*s_IFRI_far_adj*s_CF_rice*(1/1000)*(up_Irr!Y27+up_Irr!AW27+up_Irr!BU27),".")</f>
        <v>7601.8282595287337</v>
      </c>
      <c r="CX27" s="62">
        <f>IFERROR(s_C*s_IFCG_far_adj*s_CF_cereal*(1/1000)*(up_Irr!Z27+up_Irr!AX27+up_Irr!BV27),".")</f>
        <v>7601.8282595287337</v>
      </c>
    </row>
    <row r="28" spans="1:102" ht="15" customHeight="1" x14ac:dyDescent="0.25">
      <c r="A28" s="61" t="s">
        <v>26</v>
      </c>
      <c r="B28" s="49" t="s">
        <v>1059</v>
      </c>
      <c r="C28" s="48">
        <f t="shared" si="0"/>
        <v>2.1924550381384044E-4</v>
      </c>
      <c r="D28" s="48">
        <f>IFERROR(IF(AND(up_Irr!C28&lt;&gt;".",up_Irr!AA28&lt;&gt;".",up_Irr!AY28&lt;&gt;"."),up_dir!D28/((1/1000)*(up_Irr!C28+up_Irr!AA28+up_Irr!AY28)),IF(AND(up_Irr!C28&lt;&gt;".",up_Irr!AA28&lt;&gt;".",up_Irr!AY28="."),up_dir!D28/((1/1000)*(up_Irr!C28+up_Irr!AA28)),IF(AND(up_Irr!C28&lt;&gt;".",up_Irr!AA28=".",up_Irr!AY28&lt;&gt;"."),up_dir!D28/((1/1000)*(up_Irr!C28+up_Irr!AY28)),IF(AND(up_Irr!C28=".",up_Irr!AA28&lt;&gt;".",up_Irr!AY28&lt;&gt;"."),up_dir!D28/((1/1000)*(up_Irr!AA28+up_Irr!AY28)),IF(AND(up_Irr!C28=".",up_Irr!AA28=".",up_Irr!AY28&lt;&gt;"."),up_dir!D28/((1/1000)*(up_Irr!AY28)),IF(AND(up_Irr!C28=".",up_Irr!AA28&lt;&gt;".",up_Irr!AY28="."),up_dir!D28/((1/1000)*(up_Irr!AA28)),IF(AND(up_Irr!C28&lt;&gt;".",up_Irr!AA28=".",up_Irr!AY28="."),up_dir!D28/((1/1000)*(up_Irr!C28)),IF(AND(up_Irr!C28=".",up_Irr!AA28=".",up_Irr!AY28="."),up_dir!D28*1000)))))))),".")</f>
        <v>6.5773651144152131E-4</v>
      </c>
      <c r="E28" s="48">
        <f>IFERROR(IF(AND(up_Irr!D28&lt;&gt;".",up_Irr!AB28&lt;&gt;".",up_Irr!AZ28&lt;&gt;"."),up_dir!E28/((1/1000)*(up_Irr!D28+up_Irr!AB28+up_Irr!AZ28)),IF(AND(up_Irr!D28&lt;&gt;".",up_Irr!AB28&lt;&gt;".",up_Irr!AZ28="."),up_dir!E28/((1/1000)*(up_Irr!D28+up_Irr!AB28)),IF(AND(up_Irr!D28&lt;&gt;".",up_Irr!AB28=".",up_Irr!AZ28&lt;&gt;"."),up_dir!E28/((1/1000)*(up_Irr!D28+up_Irr!AZ28)),IF(AND(up_Irr!D28=".",up_Irr!AB28&lt;&gt;".",up_Irr!AZ28&lt;&gt;"."),up_dir!E28/((1/1000)*(up_Irr!AB28+up_Irr!AZ28)),IF(AND(up_Irr!D28=".",up_Irr!AB28=".",up_Irr!AZ28&lt;&gt;"."),up_dir!E28/((1/1000)*(up_Irr!AZ28)),IF(AND(up_Irr!D28=".",up_Irr!AB28&lt;&gt;".",up_Irr!AZ28="."),up_dir!E28/((1/1000)*(up_Irr!AB28)),IF(AND(up_Irr!D28&lt;&gt;".",up_Irr!AB28=".",up_Irr!AZ28="."),up_dir!E28/((1/1000)*(up_Irr!D28)),IF(AND(up_Irr!D28=".",up_Irr!AB28=".",up_Irr!AZ28="."),up_dir!E28*1000)))))))),".")</f>
        <v>6.5773651144152131E-4</v>
      </c>
      <c r="F28" s="48">
        <f>IFERROR(IF(AND(up_Irr!E28&lt;&gt;".",up_Irr!AC28&lt;&gt;".",up_Irr!BA28&lt;&gt;"."),up_dir!F28/((1/1000)*(up_Irr!E28+up_Irr!AC28+up_Irr!BA28)),IF(AND(up_Irr!E28&lt;&gt;".",up_Irr!AC28&lt;&gt;".",up_Irr!BA28="."),up_dir!F28/((1/1000)*(up_Irr!E28+up_Irr!AC28)),IF(AND(up_Irr!E28&lt;&gt;".",up_Irr!AC28=".",up_Irr!BA28&lt;&gt;"."),up_dir!F28/((1/1000)*(up_Irr!E28+up_Irr!BA28)),IF(AND(up_Irr!E28=".",up_Irr!AC28&lt;&gt;".",up_Irr!BA28&lt;&gt;"."),up_dir!F28/((1/1000)*(up_Irr!AC28+up_Irr!BA28)),IF(AND(up_Irr!E28=".",up_Irr!AC28=".",up_Irr!BA28&lt;&gt;"."),up_dir!F28/((1/1000)*(up_Irr!BA28)),IF(AND(up_Irr!E28=".",up_Irr!AC28&lt;&gt;".",up_Irr!BA28="."),up_dir!F28/((1/1000)*(up_Irr!AC28)),IF(AND(up_Irr!E28&lt;&gt;".",up_Irr!AC28=".",up_Irr!BA28="."),up_dir!F28/((1/1000)*(up_Irr!E28)),IF(AND(up_Irr!E28=".",up_Irr!AC28=".",up_Irr!BA28="."),up_dir!F28*1000)))))))),".")</f>
        <v>6.5773651144152131E-4</v>
      </c>
      <c r="G28" s="48">
        <f>IFERROR(IF(AND(up_Irr!F28&lt;&gt;".",up_Irr!AD28&lt;&gt;".",up_Irr!BB28&lt;&gt;"."),up_dir!G28/((1/1000)*(up_Irr!F28+up_Irr!AD28+up_Irr!BB28)),IF(AND(up_Irr!F28&lt;&gt;".",up_Irr!AD28&lt;&gt;".",up_Irr!BB28="."),up_dir!G28/((1/1000)*(up_Irr!F28+up_Irr!AD28)),IF(AND(up_Irr!F28&lt;&gt;".",up_Irr!AD28=".",up_Irr!BB28&lt;&gt;"."),up_dir!G28/((1/1000)*(up_Irr!F28+up_Irr!BB28)),IF(AND(up_Irr!F28=".",up_Irr!AD28&lt;&gt;".",up_Irr!BB28&lt;&gt;"."),up_dir!G28/((1/1000)*(up_Irr!AD28+up_Irr!BB28)),IF(AND(up_Irr!F28=".",up_Irr!AD28=".",up_Irr!BB28&lt;&gt;"."),up_dir!G28/((1/1000)*(up_Irr!BB28)),IF(AND(up_Irr!F28=".",up_Irr!AD28&lt;&gt;".",up_Irr!BB28="."),up_dir!G28/((1/1000)*(up_Irr!AD28)),IF(AND(up_Irr!F28&lt;&gt;".",up_Irr!AD28=".",up_Irr!BB28="."),up_dir!G28/((1/1000)*(up_Irr!F28)),IF(AND(up_Irr!F28=".",up_Irr!AD28=".",up_Irr!BB28="."),up_dir!G28*1000)))))))),".")</f>
        <v>6.5773651144152131E-4</v>
      </c>
      <c r="H28" s="48">
        <f>IFERROR(IF(AND(up_Irr!G28&lt;&gt;".",up_Irr!AE28&lt;&gt;".",up_Irr!BC28&lt;&gt;"."),up_dir!H28/((1/1000)*(up_Irr!G28+up_Irr!AE28+up_Irr!BC28)),IF(AND(up_Irr!G28&lt;&gt;".",up_Irr!AE28&lt;&gt;".",up_Irr!BC28="."),up_dir!H28/((1/1000)*(up_Irr!G28+up_Irr!AE28)),IF(AND(up_Irr!G28&lt;&gt;".",up_Irr!AE28=".",up_Irr!BC28&lt;&gt;"."),up_dir!H28/((1/1000)*(up_Irr!G28+up_Irr!BC28)),IF(AND(up_Irr!G28=".",up_Irr!AE28&lt;&gt;".",up_Irr!BC28&lt;&gt;"."),up_dir!H28/((1/1000)*(up_Irr!AE28+up_Irr!BC28)),IF(AND(up_Irr!G28=".",up_Irr!AE28=".",up_Irr!BC28&lt;&gt;"."),up_dir!H28/((1/1000)*(up_Irr!BC28)),IF(AND(up_Irr!G28=".",up_Irr!AE28&lt;&gt;".",up_Irr!BC28="."),up_dir!H28/((1/1000)*(up_Irr!AE28)),IF(AND(up_Irr!G28&lt;&gt;".",up_Irr!AE28=".",up_Irr!BC28="."),up_dir!H28/((1/1000)*(up_Irr!G28)),IF(AND(up_Irr!G28=".",up_Irr!AE28=".",up_Irr!BC28="."),up_dir!H28*1000)))))))),".")</f>
        <v>6.5773651144152131E-4</v>
      </c>
      <c r="I28" s="48">
        <f>IFERROR(IF(AND(up_Irr!H28&lt;&gt;".",up_Irr!AF28&lt;&gt;".",up_Irr!BD28&lt;&gt;"."),up_dir!I28/((1/1000)*(up_Irr!H28+up_Irr!AF28+up_Irr!BD28)),IF(AND(up_Irr!H28&lt;&gt;".",up_Irr!AF28&lt;&gt;".",up_Irr!BD28="."),up_dir!I28/((1/1000)*(up_Irr!H28+up_Irr!AF28)),IF(AND(up_Irr!H28&lt;&gt;".",up_Irr!AF28=".",up_Irr!BD28&lt;&gt;"."),up_dir!I28/((1/1000)*(up_Irr!H28+up_Irr!BD28)),IF(AND(up_Irr!H28=".",up_Irr!AF28&lt;&gt;".",up_Irr!BD28&lt;&gt;"."),up_dir!I28/((1/1000)*(up_Irr!AF28+up_Irr!BD28)),IF(AND(up_Irr!H28=".",up_Irr!AF28=".",up_Irr!BD28&lt;&gt;"."),up_dir!I28/((1/1000)*(up_Irr!BD28)),IF(AND(up_Irr!H28=".",up_Irr!AF28&lt;&gt;".",up_Irr!BD28="."),up_dir!I28/((1/1000)*(up_Irr!AF28)),IF(AND(up_Irr!H28&lt;&gt;".",up_Irr!AF28=".",up_Irr!BD28="."),up_dir!I28/((1/1000)*(up_Irr!H28)),IF(AND(up_Irr!H28=".",up_Irr!AF28=".",up_Irr!BD28="."),up_dir!I28*1000)))))))),".")</f>
        <v>6.5773651144152131E-4</v>
      </c>
      <c r="J28" s="48">
        <f>IFERROR(IF(AND(up_Irr!I28&lt;&gt;".",up_Irr!AG28&lt;&gt;".",up_Irr!BE28&lt;&gt;"."),up_dir!J28/((1/1000)*(up_Irr!I28+up_Irr!AG28+up_Irr!BE28)),IF(AND(up_Irr!I28&lt;&gt;".",up_Irr!AG28&lt;&gt;".",up_Irr!BE28="."),up_dir!J28/((1/1000)*(up_Irr!I28+up_Irr!AG28)),IF(AND(up_Irr!I28&lt;&gt;".",up_Irr!AG28=".",up_Irr!BE28&lt;&gt;"."),up_dir!J28/((1/1000)*(up_Irr!I28+up_Irr!BE28)),IF(AND(up_Irr!I28=".",up_Irr!AG28&lt;&gt;".",up_Irr!BE28&lt;&gt;"."),up_dir!J28/((1/1000)*(up_Irr!AG28+up_Irr!BE28)),IF(AND(up_Irr!I28=".",up_Irr!AG28=".",up_Irr!BE28&lt;&gt;"."),up_dir!J28/((1/1000)*(up_Irr!BE28)),IF(AND(up_Irr!I28=".",up_Irr!AG28&lt;&gt;".",up_Irr!BE28="."),up_dir!J28/((1/1000)*(up_Irr!AG28)),IF(AND(up_Irr!I28&lt;&gt;".",up_Irr!AG28=".",up_Irr!BE28="."),up_dir!J28/((1/1000)*(up_Irr!I28)),IF(AND(up_Irr!I28=".",up_Irr!AG28=".",up_Irr!BE28="."),up_dir!J28*1000)))))))),".")</f>
        <v>6.5773651144152131E-4</v>
      </c>
      <c r="K28" s="48">
        <f>IFERROR(IF(AND(up_Irr!J28&lt;&gt;".",up_Irr!AH28&lt;&gt;".",up_Irr!BF28&lt;&gt;"."),up_dir!K28/((1/1000)*(up_Irr!J28+up_Irr!AH28+up_Irr!BF28)),IF(AND(up_Irr!J28&lt;&gt;".",up_Irr!AH28&lt;&gt;".",up_Irr!BF28="."),up_dir!K28/((1/1000)*(up_Irr!J28+up_Irr!AH28)),IF(AND(up_Irr!J28&lt;&gt;".",up_Irr!AH28=".",up_Irr!BF28&lt;&gt;"."),up_dir!K28/((1/1000)*(up_Irr!J28+up_Irr!BF28)),IF(AND(up_Irr!J28=".",up_Irr!AH28&lt;&gt;".",up_Irr!BF28&lt;&gt;"."),up_dir!K28/((1/1000)*(up_Irr!AH28+up_Irr!BF28)),IF(AND(up_Irr!J28=".",up_Irr!AH28=".",up_Irr!BF28&lt;&gt;"."),up_dir!K28/((1/1000)*(up_Irr!BF28)),IF(AND(up_Irr!J28=".",up_Irr!AH28&lt;&gt;".",up_Irr!BF28="."),up_dir!K28/((1/1000)*(up_Irr!AH28)),IF(AND(up_Irr!J28&lt;&gt;".",up_Irr!AH28=".",up_Irr!BF28="."),up_dir!K28/((1/1000)*(up_Irr!J28)),IF(AND(up_Irr!J28=".",up_Irr!AH28=".",up_Irr!BF28="."),up_dir!K28*1000)))))))),".")</f>
        <v>6.5773651144152131E-4</v>
      </c>
      <c r="L28" s="48">
        <f>IFERROR(IF(AND(up_Irr!K28&lt;&gt;".",up_Irr!AI28&lt;&gt;".",up_Irr!BG28&lt;&gt;"."),up_dir!L28/((1/1000)*(up_Irr!K28+up_Irr!AI28+up_Irr!BG28)),IF(AND(up_Irr!K28&lt;&gt;".",up_Irr!AI28&lt;&gt;".",up_Irr!BG28="."),up_dir!L28/((1/1000)*(up_Irr!K28+up_Irr!AI28)),IF(AND(up_Irr!K28&lt;&gt;".",up_Irr!AI28=".",up_Irr!BG28&lt;&gt;"."),up_dir!L28/((1/1000)*(up_Irr!K28+up_Irr!BG28)),IF(AND(up_Irr!K28=".",up_Irr!AI28&lt;&gt;".",up_Irr!BG28&lt;&gt;"."),up_dir!L28/((1/1000)*(up_Irr!AI28+up_Irr!BG28)),IF(AND(up_Irr!K28=".",up_Irr!AI28=".",up_Irr!BG28&lt;&gt;"."),up_dir!L28/((1/1000)*(up_Irr!BG28)),IF(AND(up_Irr!K28=".",up_Irr!AI28&lt;&gt;".",up_Irr!BG28="."),up_dir!L28/((1/1000)*(up_Irr!AI28)),IF(AND(up_Irr!K28&lt;&gt;".",up_Irr!AI28=".",up_Irr!BG28="."),up_dir!L28/((1/1000)*(up_Irr!K28)),IF(AND(up_Irr!K28=".",up_Irr!AI28=".",up_Irr!BG28="."),up_dir!L28*1000)))))))),".")</f>
        <v>6.5773651144152131E-4</v>
      </c>
      <c r="M28" s="48">
        <f>IFERROR(IF(AND(up_Irr!L28&lt;&gt;".",up_Irr!AJ28&lt;&gt;".",up_Irr!BH28&lt;&gt;"."),up_dir!M28/((1/1000)*(up_Irr!L28+up_Irr!AJ28+up_Irr!BH28)),IF(AND(up_Irr!L28&lt;&gt;".",up_Irr!AJ28&lt;&gt;".",up_Irr!BH28="."),up_dir!M28/((1/1000)*(up_Irr!L28+up_Irr!AJ28)),IF(AND(up_Irr!L28&lt;&gt;".",up_Irr!AJ28=".",up_Irr!BH28&lt;&gt;"."),up_dir!M28/((1/1000)*(up_Irr!L28+up_Irr!BH28)),IF(AND(up_Irr!L28=".",up_Irr!AJ28&lt;&gt;".",up_Irr!BH28&lt;&gt;"."),up_dir!M28/((1/1000)*(up_Irr!AJ28+up_Irr!BH28)),IF(AND(up_Irr!L28=".",up_Irr!AJ28=".",up_Irr!BH28&lt;&gt;"."),up_dir!M28/((1/1000)*(up_Irr!BH28)),IF(AND(up_Irr!L28=".",up_Irr!AJ28&lt;&gt;".",up_Irr!BH28="."),up_dir!M28/((1/1000)*(up_Irr!AJ28)),IF(AND(up_Irr!L28&lt;&gt;".",up_Irr!AJ28=".",up_Irr!BH28="."),up_dir!M28/((1/1000)*(up_Irr!L28)),IF(AND(up_Irr!L28=".",up_Irr!AJ28=".",up_Irr!BH28="."),up_dir!M28*1000)))))))),".")</f>
        <v>6.5773651144152131E-4</v>
      </c>
      <c r="N28" s="48">
        <f>IFERROR(IF(AND(up_Irr!M28&lt;&gt;".",up_Irr!AK28&lt;&gt;".",up_Irr!BI28&lt;&gt;"."),up_dir!N28/((1/1000)*(up_Irr!M28+up_Irr!AK28+up_Irr!BI28)),IF(AND(up_Irr!M28&lt;&gt;".",up_Irr!AK28&lt;&gt;".",up_Irr!BI28="."),up_dir!N28/((1/1000)*(up_Irr!M28+up_Irr!AK28)),IF(AND(up_Irr!M28&lt;&gt;".",up_Irr!AK28=".",up_Irr!BI28&lt;&gt;"."),up_dir!N28/((1/1000)*(up_Irr!M28+up_Irr!BI28)),IF(AND(up_Irr!M28=".",up_Irr!AK28&lt;&gt;".",up_Irr!BI28&lt;&gt;"."),up_dir!N28/((1/1000)*(up_Irr!AK28+up_Irr!BI28)),IF(AND(up_Irr!M28=".",up_Irr!AK28=".",up_Irr!BI28&lt;&gt;"."),up_dir!N28/((1/1000)*(up_Irr!BI28)),IF(AND(up_Irr!M28=".",up_Irr!AK28&lt;&gt;".",up_Irr!BI28="."),up_dir!N28/((1/1000)*(up_Irr!AK28)),IF(AND(up_Irr!M28&lt;&gt;".",up_Irr!AK28=".",up_Irr!BI28="."),up_dir!N28/((1/1000)*(up_Irr!M28)),IF(AND(up_Irr!M28=".",up_Irr!AK28=".",up_Irr!BI28="."),up_dir!N28*1000)))))))),".")</f>
        <v>6.5773651144152131E-4</v>
      </c>
      <c r="O28" s="48">
        <f>IFERROR(IF(AND(up_Irr!N28&lt;&gt;".",up_Irr!AL28&lt;&gt;".",up_Irr!BJ28&lt;&gt;"."),up_dir!O28/((1/1000)*(up_Irr!N28+up_Irr!AL28+up_Irr!BJ28)),IF(AND(up_Irr!N28&lt;&gt;".",up_Irr!AL28&lt;&gt;".",up_Irr!BJ28="."),up_dir!O28/((1/1000)*(up_Irr!N28+up_Irr!AL28)),IF(AND(up_Irr!N28&lt;&gt;".",up_Irr!AL28=".",up_Irr!BJ28&lt;&gt;"."),up_dir!O28/((1/1000)*(up_Irr!N28+up_Irr!BJ28)),IF(AND(up_Irr!N28=".",up_Irr!AL28&lt;&gt;".",up_Irr!BJ28&lt;&gt;"."),up_dir!O28/((1/1000)*(up_Irr!AL28+up_Irr!BJ28)),IF(AND(up_Irr!N28=".",up_Irr!AL28=".",up_Irr!BJ28&lt;&gt;"."),up_dir!O28/((1/1000)*(up_Irr!BJ28)),IF(AND(up_Irr!N28=".",up_Irr!AL28&lt;&gt;".",up_Irr!BJ28="."),up_dir!O28/((1/1000)*(up_Irr!AL28)),IF(AND(up_Irr!N28&lt;&gt;".",up_Irr!AL28=".",up_Irr!BJ28="."),up_dir!O28/((1/1000)*(up_Irr!N28)),IF(AND(up_Irr!N28=".",up_Irr!AL28=".",up_Irr!BJ28="."),up_dir!O28*1000)))))))),".")</f>
        <v>6.5773651144152131E-4</v>
      </c>
      <c r="P28" s="48">
        <f>IFERROR(IF(AND(up_Irr!O28&lt;&gt;".",up_Irr!AM28&lt;&gt;".",up_Irr!BK28&lt;&gt;"."),up_dir!P28/((1/1000)*(up_Irr!O28+up_Irr!AM28+up_Irr!BK28)),IF(AND(up_Irr!O28&lt;&gt;".",up_Irr!AM28&lt;&gt;".",up_Irr!BK28="."),up_dir!P28/((1/1000)*(up_Irr!O28+up_Irr!AM28)),IF(AND(up_Irr!O28&lt;&gt;".",up_Irr!AM28=".",up_Irr!BK28&lt;&gt;"."),up_dir!P28/((1/1000)*(up_Irr!O28+up_Irr!BK28)),IF(AND(up_Irr!O28=".",up_Irr!AM28&lt;&gt;".",up_Irr!BK28&lt;&gt;"."),up_dir!P28/((1/1000)*(up_Irr!AM28+up_Irr!BK28)),IF(AND(up_Irr!O28=".",up_Irr!AM28=".",up_Irr!BK28&lt;&gt;"."),up_dir!P28/((1/1000)*(up_Irr!BK28)),IF(AND(up_Irr!O28=".",up_Irr!AM28&lt;&gt;".",up_Irr!BK28="."),up_dir!P28/((1/1000)*(up_Irr!AM28)),IF(AND(up_Irr!O28&lt;&gt;".",up_Irr!AM28=".",up_Irr!BK28="."),up_dir!P28/((1/1000)*(up_Irr!O28)),IF(AND(up_Irr!O28=".",up_Irr!AM28=".",up_Irr!BK28="."),up_dir!P28*1000)))))))),".")</f>
        <v>6.5773651144152131E-4</v>
      </c>
      <c r="Q28" s="48">
        <f>IFERROR(IF(AND(up_Irr!P28&lt;&gt;".",up_Irr!AN28&lt;&gt;".",up_Irr!BL28&lt;&gt;"."),up_dir!Q28/((1/1000)*(up_Irr!P28+up_Irr!AN28+up_Irr!BL28)),IF(AND(up_Irr!P28&lt;&gt;".",up_Irr!AN28&lt;&gt;".",up_Irr!BL28="."),up_dir!Q28/((1/1000)*(up_Irr!P28+up_Irr!AN28)),IF(AND(up_Irr!P28&lt;&gt;".",up_Irr!AN28=".",up_Irr!BL28&lt;&gt;"."),up_dir!Q28/((1/1000)*(up_Irr!P28+up_Irr!BL28)),IF(AND(up_Irr!P28=".",up_Irr!AN28&lt;&gt;".",up_Irr!BL28&lt;&gt;"."),up_dir!Q28/((1/1000)*(up_Irr!AN28+up_Irr!BL28)),IF(AND(up_Irr!P28=".",up_Irr!AN28=".",up_Irr!BL28&lt;&gt;"."),up_dir!Q28/((1/1000)*(up_Irr!BL28)),IF(AND(up_Irr!P28=".",up_Irr!AN28&lt;&gt;".",up_Irr!BL28="."),up_dir!Q28/((1/1000)*(up_Irr!AN28)),IF(AND(up_Irr!P28&lt;&gt;".",up_Irr!AN28=".",up_Irr!BL28="."),up_dir!Q28/((1/1000)*(up_Irr!P28)),IF(AND(up_Irr!P28=".",up_Irr!AN28=".",up_Irr!BL28="."),up_dir!Q28*1000)))))))),".")</f>
        <v>6.5773651144152131E-4</v>
      </c>
      <c r="R28" s="48">
        <f>IFERROR(IF(AND(up_Irr!Q28&lt;&gt;".",up_Irr!AO28&lt;&gt;".",up_Irr!BM28&lt;&gt;"."),up_dir!R28/((1/1000)*(up_Irr!Q28+up_Irr!AO28+up_Irr!BM28)),IF(AND(up_Irr!Q28&lt;&gt;".",up_Irr!AO28&lt;&gt;".",up_Irr!BM28="."),up_dir!R28/((1/1000)*(up_Irr!Q28+up_Irr!AO28)),IF(AND(up_Irr!Q28&lt;&gt;".",up_Irr!AO28=".",up_Irr!BM28&lt;&gt;"."),up_dir!R28/((1/1000)*(up_Irr!Q28+up_Irr!BM28)),IF(AND(up_Irr!Q28=".",up_Irr!AO28&lt;&gt;".",up_Irr!BM28&lt;&gt;"."),up_dir!R28/((1/1000)*(up_Irr!AO28+up_Irr!BM28)),IF(AND(up_Irr!Q28=".",up_Irr!AO28=".",up_Irr!BM28&lt;&gt;"."),up_dir!R28/((1/1000)*(up_Irr!BM28)),IF(AND(up_Irr!Q28=".",up_Irr!AO28&lt;&gt;".",up_Irr!BM28="."),up_dir!R28/((1/1000)*(up_Irr!AO28)),IF(AND(up_Irr!Q28&lt;&gt;".",up_Irr!AO28=".",up_Irr!BM28="."),up_dir!R28/((1/1000)*(up_Irr!Q28)),IF(AND(up_Irr!Q28=".",up_Irr!AO28=".",up_Irr!BM28="."),up_dir!R28*1000)))))))),".")</f>
        <v>6.5773651144152131E-4</v>
      </c>
      <c r="S28" s="48">
        <f>IFERROR(IF(AND(up_Irr!R28&lt;&gt;".",up_Irr!AP28&lt;&gt;".",up_Irr!BN28&lt;&gt;"."),up_dir!S28/((1/1000)*(up_Irr!R28+up_Irr!AP28+up_Irr!BN28)),IF(AND(up_Irr!R28&lt;&gt;".",up_Irr!AP28&lt;&gt;".",up_Irr!BN28="."),up_dir!S28/((1/1000)*(up_Irr!R28+up_Irr!AP28)),IF(AND(up_Irr!R28&lt;&gt;".",up_Irr!AP28=".",up_Irr!BN28&lt;&gt;"."),up_dir!S28/((1/1000)*(up_Irr!R28+up_Irr!BN28)),IF(AND(up_Irr!R28=".",up_Irr!AP28&lt;&gt;".",up_Irr!BN28&lt;&gt;"."),up_dir!S28/((1/1000)*(up_Irr!AP28+up_Irr!BN28)),IF(AND(up_Irr!R28=".",up_Irr!AP28=".",up_Irr!BN28&lt;&gt;"."),up_dir!S28/((1/1000)*(up_Irr!BN28)),IF(AND(up_Irr!R28=".",up_Irr!AP28&lt;&gt;".",up_Irr!BN28="."),up_dir!S28/((1/1000)*(up_Irr!AP28)),IF(AND(up_Irr!R28&lt;&gt;".",up_Irr!AP28=".",up_Irr!BN28="."),up_dir!S28/((1/1000)*(up_Irr!R28)),IF(AND(up_Irr!R28=".",up_Irr!AP28=".",up_Irr!BN28="."),up_dir!S28*1000)))))))),".")</f>
        <v>6.5773651144152131E-4</v>
      </c>
      <c r="T28" s="48">
        <f>IFERROR(IF(AND(up_Irr!S28&lt;&gt;".",up_Irr!AQ28&lt;&gt;".",up_Irr!BO28&lt;&gt;"."),up_dir!T28/((1/1000)*(up_Irr!S28+up_Irr!AQ28+up_Irr!BO28)),IF(AND(up_Irr!S28&lt;&gt;".",up_Irr!AQ28&lt;&gt;".",up_Irr!BO28="."),up_dir!T28/((1/1000)*(up_Irr!S28+up_Irr!AQ28)),IF(AND(up_Irr!S28&lt;&gt;".",up_Irr!AQ28=".",up_Irr!BO28&lt;&gt;"."),up_dir!T28/((1/1000)*(up_Irr!S28+up_Irr!BO28)),IF(AND(up_Irr!S28=".",up_Irr!AQ28&lt;&gt;".",up_Irr!BO28&lt;&gt;"."),up_dir!T28/((1/1000)*(up_Irr!AQ28+up_Irr!BO28)),IF(AND(up_Irr!S28=".",up_Irr!AQ28=".",up_Irr!BO28&lt;&gt;"."),up_dir!T28/((1/1000)*(up_Irr!BO28)),IF(AND(up_Irr!S28=".",up_Irr!AQ28&lt;&gt;".",up_Irr!BO28="."),up_dir!T28/((1/1000)*(up_Irr!AQ28)),IF(AND(up_Irr!S28&lt;&gt;".",up_Irr!AQ28=".",up_Irr!BO28="."),up_dir!T28/((1/1000)*(up_Irr!S28)),IF(AND(up_Irr!S28=".",up_Irr!AQ28=".",up_Irr!BO28="."),up_dir!T28*1000)))))))),".")</f>
        <v>6.5773651144152131E-4</v>
      </c>
      <c r="U28" s="48">
        <f>IFERROR(IF(AND(up_Irr!T28&lt;&gt;".",up_Irr!AR28&lt;&gt;".",up_Irr!BP28&lt;&gt;"."),up_dir!U28/((1/1000)*(up_Irr!T28+up_Irr!AR28+up_Irr!BP28)),IF(AND(up_Irr!T28&lt;&gt;".",up_Irr!AR28&lt;&gt;".",up_Irr!BP28="."),up_dir!U28/((1/1000)*(up_Irr!T28+up_Irr!AR28)),IF(AND(up_Irr!T28&lt;&gt;".",up_Irr!AR28=".",up_Irr!BP28&lt;&gt;"."),up_dir!U28/((1/1000)*(up_Irr!T28+up_Irr!BP28)),IF(AND(up_Irr!T28=".",up_Irr!AR28&lt;&gt;".",up_Irr!BP28&lt;&gt;"."),up_dir!U28/((1/1000)*(up_Irr!AR28+up_Irr!BP28)),IF(AND(up_Irr!T28=".",up_Irr!AR28=".",up_Irr!BP28&lt;&gt;"."),up_dir!U28/((1/1000)*(up_Irr!BP28)),IF(AND(up_Irr!T28=".",up_Irr!AR28&lt;&gt;".",up_Irr!BP28="."),up_dir!U28/((1/1000)*(up_Irr!AR28)),IF(AND(up_Irr!T28&lt;&gt;".",up_Irr!AR28=".",up_Irr!BP28="."),up_dir!U28/((1/1000)*(up_Irr!T28)),IF(AND(up_Irr!T28=".",up_Irr!AR28=".",up_Irr!BP28="."),up_dir!U28*1000)))))))),".")</f>
        <v>6.5773651144152131E-4</v>
      </c>
      <c r="V28" s="48">
        <f>IFERROR(IF(AND(up_Irr!U28&lt;&gt;".",up_Irr!AS28&lt;&gt;".",up_Irr!BQ28&lt;&gt;"."),up_dir!V28/((1/1000)*(up_Irr!U28+up_Irr!AS28+up_Irr!BQ28)),IF(AND(up_Irr!U28&lt;&gt;".",up_Irr!AS28&lt;&gt;".",up_Irr!BQ28="."),up_dir!V28/((1/1000)*(up_Irr!U28+up_Irr!AS28)),IF(AND(up_Irr!U28&lt;&gt;".",up_Irr!AS28=".",up_Irr!BQ28&lt;&gt;"."),up_dir!V28/((1/1000)*(up_Irr!U28+up_Irr!BQ28)),IF(AND(up_Irr!U28=".",up_Irr!AS28&lt;&gt;".",up_Irr!BQ28&lt;&gt;"."),up_dir!V28/((1/1000)*(up_Irr!AS28+up_Irr!BQ28)),IF(AND(up_Irr!U28=".",up_Irr!AS28=".",up_Irr!BQ28&lt;&gt;"."),up_dir!V28/((1/1000)*(up_Irr!BQ28)),IF(AND(up_Irr!U28=".",up_Irr!AS28&lt;&gt;".",up_Irr!BQ28="."),up_dir!V28/((1/1000)*(up_Irr!AS28)),IF(AND(up_Irr!U28&lt;&gt;".",up_Irr!AS28=".",up_Irr!BQ28="."),up_dir!V28/((1/1000)*(up_Irr!U28)),IF(AND(up_Irr!U28=".",up_Irr!AS28=".",up_Irr!BQ28="."),up_dir!V28*1000)))))))),".")</f>
        <v>6.5773651144152131E-4</v>
      </c>
      <c r="W28" s="48">
        <f>IFERROR(IF(AND(up_Irr!V28&lt;&gt;".",up_Irr!AT28&lt;&gt;".",up_Irr!BR28&lt;&gt;"."),up_dir!W28/((1/1000)*(up_Irr!V28+up_Irr!AT28+up_Irr!BR28)),IF(AND(up_Irr!V28&lt;&gt;".",up_Irr!AT28&lt;&gt;".",up_Irr!BR28="."),up_dir!W28/((1/1000)*(up_Irr!V28+up_Irr!AT28)),IF(AND(up_Irr!V28&lt;&gt;".",up_Irr!AT28=".",up_Irr!BR28&lt;&gt;"."),up_dir!W28/((1/1000)*(up_Irr!V28+up_Irr!BR28)),IF(AND(up_Irr!V28=".",up_Irr!AT28&lt;&gt;".",up_Irr!BR28&lt;&gt;"."),up_dir!W28/((1/1000)*(up_Irr!AT28+up_Irr!BR28)),IF(AND(up_Irr!V28=".",up_Irr!AT28=".",up_Irr!BR28&lt;&gt;"."),up_dir!W28/((1/1000)*(up_Irr!BR28)),IF(AND(up_Irr!V28=".",up_Irr!AT28&lt;&gt;".",up_Irr!BR28="."),up_dir!W28/((1/1000)*(up_Irr!AT28)),IF(AND(up_Irr!V28&lt;&gt;".",up_Irr!AT28=".",up_Irr!BR28="."),up_dir!W28/((1/1000)*(up_Irr!V28)),IF(AND(up_Irr!V28=".",up_Irr!AT28=".",up_Irr!BR28="."),up_dir!W28*1000)))))))),".")</f>
        <v>6.5773651144152131E-4</v>
      </c>
      <c r="X28" s="48">
        <f>IFERROR(IF(AND(up_Irr!W28&lt;&gt;".",up_Irr!AU28&lt;&gt;".",up_Irr!BS28&lt;&gt;"."),up_dir!X28/((1/1000)*(up_Irr!W28+up_Irr!AU28+up_Irr!BS28)),IF(AND(up_Irr!W28&lt;&gt;".",up_Irr!AU28&lt;&gt;".",up_Irr!BS28="."),up_dir!X28/((1/1000)*(up_Irr!W28+up_Irr!AU28)),IF(AND(up_Irr!W28&lt;&gt;".",up_Irr!AU28=".",up_Irr!BS28&lt;&gt;"."),up_dir!X28/((1/1000)*(up_Irr!W28+up_Irr!BS28)),IF(AND(up_Irr!W28=".",up_Irr!AU28&lt;&gt;".",up_Irr!BS28&lt;&gt;"."),up_dir!X28/((1/1000)*(up_Irr!AU28+up_Irr!BS28)),IF(AND(up_Irr!W28=".",up_Irr!AU28=".",up_Irr!BS28&lt;&gt;"."),up_dir!X28/((1/1000)*(up_Irr!BS28)),IF(AND(up_Irr!W28=".",up_Irr!AU28&lt;&gt;".",up_Irr!BS28="."),up_dir!X28/((1/1000)*(up_Irr!AU28)),IF(AND(up_Irr!W28&lt;&gt;".",up_Irr!AU28=".",up_Irr!BS28="."),up_dir!X28/((1/1000)*(up_Irr!W28)),IF(AND(up_Irr!W28=".",up_Irr!AU28=".",up_Irr!BS28="."),up_dir!X28*1000)))))))),".")</f>
        <v>6.5773651144152131E-4</v>
      </c>
      <c r="Y28" s="48">
        <f>IFERROR(IF(AND(up_Irr!X28&lt;&gt;".",up_Irr!AV28&lt;&gt;".",up_Irr!BT28&lt;&gt;"."),up_dir!Y28/((1/1000)*(up_Irr!X28+up_Irr!AV28+up_Irr!BT28)),IF(AND(up_Irr!X28&lt;&gt;".",up_Irr!AV28&lt;&gt;".",up_Irr!BT28="."),up_dir!Y28/((1/1000)*(up_Irr!X28+up_Irr!AV28)),IF(AND(up_Irr!X28&lt;&gt;".",up_Irr!AV28=".",up_Irr!BT28&lt;&gt;"."),up_dir!Y28/((1/1000)*(up_Irr!X28+up_Irr!BT28)),IF(AND(up_Irr!X28=".",up_Irr!AV28&lt;&gt;".",up_Irr!BT28&lt;&gt;"."),up_dir!Y28/((1/1000)*(up_Irr!AV28+up_Irr!BT28)),IF(AND(up_Irr!X28=".",up_Irr!AV28=".",up_Irr!BT28&lt;&gt;"."),up_dir!Y28/((1/1000)*(up_Irr!BT28)),IF(AND(up_Irr!X28=".",up_Irr!AV28&lt;&gt;".",up_Irr!BT28="."),up_dir!Y28/((1/1000)*(up_Irr!AV28)),IF(AND(up_Irr!X28&lt;&gt;".",up_Irr!AV28=".",up_Irr!BT28="."),up_dir!Y28/((1/1000)*(up_Irr!X28)),IF(AND(up_Irr!X28=".",up_Irr!AV28=".",up_Irr!BT28="."),up_dir!Y28*1000)))))))),".")</f>
        <v>6.5773651144152131E-4</v>
      </c>
      <c r="Z28" s="48">
        <f>IFERROR(IF(AND(up_Irr!Y28&lt;&gt;".",up_Irr!AW28&lt;&gt;".",up_Irr!BU28&lt;&gt;"."),up_dir!Z28/((1/1000)*(up_Irr!Y28+up_Irr!AW28+up_Irr!BU28)),IF(AND(up_Irr!Y28&lt;&gt;".",up_Irr!AW28&lt;&gt;".",up_Irr!BU28="."),up_dir!Z28/((1/1000)*(up_Irr!Y28+up_Irr!AW28)),IF(AND(up_Irr!Y28&lt;&gt;".",up_Irr!AW28=".",up_Irr!BU28&lt;&gt;"."),up_dir!Z28/((1/1000)*(up_Irr!Y28+up_Irr!BU28)),IF(AND(up_Irr!Y28=".",up_Irr!AW28&lt;&gt;".",up_Irr!BU28&lt;&gt;"."),up_dir!Z28/((1/1000)*(up_Irr!AW28+up_Irr!BU28)),IF(AND(up_Irr!Y28=".",up_Irr!AW28=".",up_Irr!BU28&lt;&gt;"."),up_dir!Z28/((1/1000)*(up_Irr!BU28)),IF(AND(up_Irr!Y28=".",up_Irr!AW28&lt;&gt;".",up_Irr!BU28="."),up_dir!Z28/((1/1000)*(up_Irr!AW28)),IF(AND(up_Irr!Y28&lt;&gt;".",up_Irr!AW28=".",up_Irr!BU28="."),up_dir!Z28/((1/1000)*(up_Irr!Y28)),IF(AND(up_Irr!Y28=".",up_Irr!AW28=".",up_Irr!BU28="."),up_dir!Z28*1000)))))))),".")</f>
        <v>6.5773651144152131E-4</v>
      </c>
      <c r="AA28" s="48">
        <f>IFERROR(IF(AND(up_Irr!Z28&lt;&gt;".",up_Irr!AX28&lt;&gt;".",up_Irr!BV28&lt;&gt;"."),up_dir!AA28/((1/1000)*(up_Irr!Z28+up_Irr!AX28+up_Irr!BV28)),IF(AND(up_Irr!Z28&lt;&gt;".",up_Irr!AX28&lt;&gt;".",up_Irr!BV28="."),up_dir!AA28/((1/1000)*(up_Irr!Z28+up_Irr!AX28)),IF(AND(up_Irr!Z28&lt;&gt;".",up_Irr!AX28=".",up_Irr!BV28&lt;&gt;"."),up_dir!AA28/((1/1000)*(up_Irr!Z28+up_Irr!BV28)),IF(AND(up_Irr!Z28=".",up_Irr!AX28&lt;&gt;".",up_Irr!BV28&lt;&gt;"."),up_dir!AA28/((1/1000)*(up_Irr!AX28+up_Irr!BV28)),IF(AND(up_Irr!Z28=".",up_Irr!AX28=".",up_Irr!BV28&lt;&gt;"."),up_dir!AA28/((1/1000)*(up_Irr!BV28)),IF(AND(up_Irr!Z28=".",up_Irr!AX28&lt;&gt;".",up_Irr!BV28="."),up_dir!AA28/((1/1000)*(up_Irr!AX28)),IF(AND(up_Irr!Z28&lt;&gt;".",up_Irr!AX28=".",up_Irr!BV28="."),up_dir!AA28/((1/1000)*(up_Irr!Z28)),IF(AND(up_Irr!Z28=".",up_Irr!AX28=".",up_Irr!BV28="."),up_dir!AA28*1000)))))))),".")</f>
        <v>6.5773651144152131E-4</v>
      </c>
      <c r="AB28" s="62">
        <f t="shared" si="1"/>
        <v>22805.4847785862</v>
      </c>
      <c r="AC28" s="62">
        <f>IFERROR(s_C*s_IFAP_res_adj*s_CF_apple*0.001*(up_Irr!C28+up_Irr!AA28+up_Irr!AY28),".")</f>
        <v>7601.8282595287337</v>
      </c>
      <c r="AD28" s="62">
        <f>IFERROR(s_C*s_IFAS_res_adj*s_CF_asparagus*0.001*(up_Irr!D28+up_Irr!AB28+up_Irr!AZ28),".")</f>
        <v>7601.8282595287337</v>
      </c>
      <c r="AE28" s="62">
        <f>IFERROR(s_C*s_IFBT_res_adj*s_CF_beet*0.001*(up_Irr!E28+up_Irr!AC28+up_Irr!BA28),".")</f>
        <v>7601.8282595287337</v>
      </c>
      <c r="AF28" s="62">
        <f>IFERROR(s_C*s_IFBE_res_adj*s_CF_berries*0.001*(up_Irr!F28+up_Irr!AD28+up_Irr!BB28),".")</f>
        <v>7601.8282595287337</v>
      </c>
      <c r="AG28" s="62">
        <f>IFERROR(s_C*s_IFBR_res_adj*s_CF_broccoli*0.001*(up_Irr!G28+up_Irr!AE28+up_Irr!BC28),".")</f>
        <v>7601.8282595287337</v>
      </c>
      <c r="AH28" s="62">
        <f>IFERROR(s_C*s_IFCB_res_adj*s_CF_cabbage*0.001*(up_Irr!H28+up_Irr!AF28+up_Irr!BD28),".")</f>
        <v>7601.8282595287337</v>
      </c>
      <c r="AI28" s="62">
        <f>IFERROR(s_C*s_IFCR_res_adj*s_CF_carrot*0.001*(up_Irr!I28+up_Irr!AG28+up_Irr!BE28),".")</f>
        <v>7601.8282595287337</v>
      </c>
      <c r="AJ28" s="62">
        <f>IFERROR(s_C*s_IFCI_res_adj*s_CF_citrus*0.001*(up_Irr!J28+up_Irr!AH28+up_Irr!BF28),".")</f>
        <v>7601.8282595287337</v>
      </c>
      <c r="AK28" s="62">
        <f>IFERROR(s_C*s_IFCO_res_adj*s_CF_corn*0.001*(up_Irr!K28+up_Irr!AI28+up_Irr!BG28),".")</f>
        <v>7601.8282595287337</v>
      </c>
      <c r="AL28" s="62">
        <f>IFERROR(s_C*s_IFCU_res_adj*s_CF_cucumber*0.001*(up_Irr!L28+up_Irr!AJ28+up_Irr!BH28),".")</f>
        <v>7601.8282595287337</v>
      </c>
      <c r="AM28" s="62">
        <f>IFERROR(s_C*s_IFLE_res_adj*s_CF_lettuce*0.001*(up_Irr!M28+up_Irr!AK28+up_Irr!BI28),".")</f>
        <v>7601.8282595287337</v>
      </c>
      <c r="AN28" s="62">
        <f>IFERROR(s_C*s_IFLI_res_adj*s_CF_lima_bean*0.001*(up_Irr!N28+up_Irr!AL28+up_Irr!BJ28),".")</f>
        <v>7601.8282595287337</v>
      </c>
      <c r="AO28" s="62">
        <f>IFERROR(s_C*s_IFOK_res_adj*s_CF_okra*0.001*(up_Irr!O28+up_Irr!AM28+up_Irr!BK28),".")</f>
        <v>7601.8282595287337</v>
      </c>
      <c r="AP28" s="62">
        <f>IFERROR(s_C*s_IFON_res_adj*s_CF_onion*0.001*(up_Irr!P28+up_Irr!AN28+up_Irr!BL28),".")</f>
        <v>7601.8282595287337</v>
      </c>
      <c r="AQ28" s="62">
        <f>IFERROR(s_C*s_IFPC_res_adj*s_CF_peach*0.001*(up_Irr!Q28+up_Irr!AO28+up_Irr!BM28),".")</f>
        <v>7601.8282595287337</v>
      </c>
      <c r="AR28" s="62">
        <f>IFERROR(s_C*s_IFPR_res_adj*s_CF_pear*0.001*(up_Irr!R28+up_Irr!AP28+up_Irr!BN28),".")</f>
        <v>7601.8282595287337</v>
      </c>
      <c r="AS28" s="62">
        <f>IFERROR(s_C*s_IFPE_res_adj*s_CF_peas*0.001*(up_Irr!S28+up_Irr!AQ28+up_Irr!BO28),".")</f>
        <v>7601.8282595287337</v>
      </c>
      <c r="AT28" s="62">
        <f>IFERROR(s_C*s_IFPT_res_adj*s_CF_potato*0.001*(up_Irr!T28+up_Irr!AR28+up_Irr!BP28),".")</f>
        <v>7601.8282595287337</v>
      </c>
      <c r="AU28" s="62">
        <f>IFERROR(s_C*s_IFPU_res_adj*s_CF_pumpkin*0.001*(up_Irr!U28+up_Irr!AS28+up_Irr!BQ28),".")</f>
        <v>7601.8282595287337</v>
      </c>
      <c r="AV28" s="62">
        <f>IFERROR(s_C*s_IFSN_res_adj*s_CF_snap_bean*0.001*(up_Irr!V28+up_Irr!AT28+up_Irr!BR28),".")</f>
        <v>7601.8282595287337</v>
      </c>
      <c r="AW28" s="62">
        <f>IFERROR(s_C*s_IFST_res_adj*s_CF_strawberry*0.001*(up_Irr!W28+up_Irr!AU28+up_Irr!BS28),".")</f>
        <v>7601.8282595287337</v>
      </c>
      <c r="AX28" s="62">
        <f>IFERROR(s_C*s_IFTO_res_adj*s_CF_tomato*0.001*(up_Irr!X28+up_Irr!AV28+up_Irr!BT28),".")</f>
        <v>7601.8282595287337</v>
      </c>
      <c r="AY28" s="62">
        <f>IFERROR(s_C*s_IFRI_res_adj*s_CF_rice*0.001*(up_Irr!Y28+up_Irr!AW28+up_Irr!BU28),".")</f>
        <v>7601.8282595287337</v>
      </c>
      <c r="AZ28" s="62">
        <f>IFERROR(s_C*s_IFCG_res_adj*s_CF_cereal*0.001*(up_Irr!Z28+up_Irr!AX28+up_Irr!BV28),".")</f>
        <v>7601.8282595287337</v>
      </c>
      <c r="BA28" s="48">
        <f t="shared" si="2"/>
        <v>2.1924550381384044E-4</v>
      </c>
      <c r="BB28" s="48">
        <f>IFERROR(IF(AND(up_Irr!C28&lt;&gt;".",up_Irr!AA28&lt;&gt;".",up_Irr!AY28&lt;&gt;"."),up_dir!AC28/((1/1000)*(up_Irr!C28+up_Irr!AA28+up_Irr!AY28)),IF(AND(up_Irr!C28&lt;&gt;".",up_Irr!AA28&lt;&gt;".",up_Irr!AY28="."),up_dir!AC28/((1/1000)*(up_Irr!C28+up_Irr!AA28)),IF(AND(up_Irr!C28&lt;&gt;".",up_Irr!AA28=".",up_Irr!AY28&lt;&gt;"."),up_dir!AC28/((1/1000)*(up_Irr!C28+up_Irr!AY28)),IF(AND(up_Irr!C28=".",up_Irr!AA28&lt;&gt;".",up_Irr!AY28&lt;&gt;"."),up_dir!AC28/((1/1000)*(up_Irr!AA28+up_Irr!AY28)),IF(AND(up_Irr!C28=".",up_Irr!AA28=".",up_Irr!AY28&lt;&gt;"."),up_dir!AC28/((1/1000)*(up_Irr!AY28)),IF(AND(up_Irr!C28=".",up_Irr!AA28&lt;&gt;".",up_Irr!AY28="."),up_dir!AC28/((1/1000)*(up_Irr!AA28)),IF(AND(up_Irr!C28&lt;&gt;".",up_Irr!AA28=".",up_Irr!AY28="."),up_dir!AC28/((1/1000)*(up_Irr!C28)),IF(AND(up_Irr!C28=".",up_Irr!AA28=".",up_Irr!AY28="."),up_dir!AC28*1000)))))))),".")</f>
        <v>6.5773651144152131E-4</v>
      </c>
      <c r="BC28" s="48">
        <f>IFERROR(IF(AND(up_Irr!D28&lt;&gt;".",up_Irr!AB28&lt;&gt;".",up_Irr!AZ28&lt;&gt;"."),up_dir!AD28/((1/1000)*(up_Irr!D28+up_Irr!AB28+up_Irr!AZ28)),IF(AND(up_Irr!D28&lt;&gt;".",up_Irr!AB28&lt;&gt;".",up_Irr!AZ28="."),up_dir!AD28/((1/1000)*(up_Irr!D28+up_Irr!AB28)),IF(AND(up_Irr!D28&lt;&gt;".",up_Irr!AB28=".",up_Irr!AZ28&lt;&gt;"."),up_dir!AD28/((1/1000)*(up_Irr!D28+up_Irr!AZ28)),IF(AND(up_Irr!D28=".",up_Irr!AB28&lt;&gt;".",up_Irr!AZ28&lt;&gt;"."),up_dir!AD28/((1/1000)*(up_Irr!AB28+up_Irr!AZ28)),IF(AND(up_Irr!D28=".",up_Irr!AB28=".",up_Irr!AZ28&lt;&gt;"."),up_dir!AD28/((1/1000)*(up_Irr!AZ28)),IF(AND(up_Irr!D28=".",up_Irr!AB28&lt;&gt;".",up_Irr!AZ28="."),up_dir!AD28/((1/1000)*(up_Irr!AB28)),IF(AND(up_Irr!D28&lt;&gt;".",up_Irr!AB28=".",up_Irr!AZ28="."),up_dir!AD28/((1/1000)*(up_Irr!D28)),IF(AND(up_Irr!D28=".",up_Irr!AB28=".",up_Irr!AZ28="."),up_dir!AD28*1000)))))))),".")</f>
        <v>6.5773651144152131E-4</v>
      </c>
      <c r="BD28" s="48">
        <f>IFERROR(IF(AND(up_Irr!E28&lt;&gt;".",up_Irr!AC28&lt;&gt;".",up_Irr!BA28&lt;&gt;"."),up_dir!AE28/((1/1000)*(up_Irr!E28+up_Irr!AC28+up_Irr!BA28)),IF(AND(up_Irr!E28&lt;&gt;".",up_Irr!AC28&lt;&gt;".",up_Irr!BA28="."),up_dir!AE28/((1/1000)*(up_Irr!E28+up_Irr!AC28)),IF(AND(up_Irr!E28&lt;&gt;".",up_Irr!AC28=".",up_Irr!BA28&lt;&gt;"."),up_dir!AE28/((1/1000)*(up_Irr!E28+up_Irr!BA28)),IF(AND(up_Irr!E28=".",up_Irr!AC28&lt;&gt;".",up_Irr!BA28&lt;&gt;"."),up_dir!AE28/((1/1000)*(up_Irr!AC28+up_Irr!BA28)),IF(AND(up_Irr!E28=".",up_Irr!AC28=".",up_Irr!BA28&lt;&gt;"."),up_dir!AE28/((1/1000)*(up_Irr!BA28)),IF(AND(up_Irr!E28=".",up_Irr!AC28&lt;&gt;".",up_Irr!BA28="."),up_dir!AE28/((1/1000)*(up_Irr!AC28)),IF(AND(up_Irr!E28&lt;&gt;".",up_Irr!AC28=".",up_Irr!BA28="."),up_dir!AE28/((1/1000)*(up_Irr!E28)),IF(AND(up_Irr!E28=".",up_Irr!AC28=".",up_Irr!BA28="."),up_dir!AE28*1000)))))))),".")</f>
        <v>6.5773651144152131E-4</v>
      </c>
      <c r="BE28" s="48">
        <f>IFERROR(IF(AND(up_Irr!F28&lt;&gt;".",up_Irr!AD28&lt;&gt;".",up_Irr!BB28&lt;&gt;"."),up_dir!AF28/((1/1000)*(up_Irr!F28+up_Irr!AD28+up_Irr!BB28)),IF(AND(up_Irr!F28&lt;&gt;".",up_Irr!AD28&lt;&gt;".",up_Irr!BB28="."),up_dir!AF28/((1/1000)*(up_Irr!F28+up_Irr!AD28)),IF(AND(up_Irr!F28&lt;&gt;".",up_Irr!AD28=".",up_Irr!BB28&lt;&gt;"."),up_dir!AF28/((1/1000)*(up_Irr!F28+up_Irr!BB28)),IF(AND(up_Irr!F28=".",up_Irr!AD28&lt;&gt;".",up_Irr!BB28&lt;&gt;"."),up_dir!AF28/((1/1000)*(up_Irr!AD28+up_Irr!BB28)),IF(AND(up_Irr!F28=".",up_Irr!AD28=".",up_Irr!BB28&lt;&gt;"."),up_dir!AF28/((1/1000)*(up_Irr!BB28)),IF(AND(up_Irr!F28=".",up_Irr!AD28&lt;&gt;".",up_Irr!BB28="."),up_dir!AF28/((1/1000)*(up_Irr!AD28)),IF(AND(up_Irr!F28&lt;&gt;".",up_Irr!AD28=".",up_Irr!BB28="."),up_dir!AF28/((1/1000)*(up_Irr!F28)),IF(AND(up_Irr!F28=".",up_Irr!AD28=".",up_Irr!BB28="."),up_dir!AF28*1000)))))))),".")</f>
        <v>6.5773651144152131E-4</v>
      </c>
      <c r="BF28" s="48">
        <f>IFERROR(IF(AND(up_Irr!G28&lt;&gt;".",up_Irr!AE28&lt;&gt;".",up_Irr!BC28&lt;&gt;"."),up_dir!AG28/((1/1000)*(up_Irr!G28+up_Irr!AE28+up_Irr!BC28)),IF(AND(up_Irr!G28&lt;&gt;".",up_Irr!AE28&lt;&gt;".",up_Irr!BC28="."),up_dir!AG28/((1/1000)*(up_Irr!G28+up_Irr!AE28)),IF(AND(up_Irr!G28&lt;&gt;".",up_Irr!AE28=".",up_Irr!BC28&lt;&gt;"."),up_dir!AG28/((1/1000)*(up_Irr!G28+up_Irr!BC28)),IF(AND(up_Irr!G28=".",up_Irr!AE28&lt;&gt;".",up_Irr!BC28&lt;&gt;"."),up_dir!AG28/((1/1000)*(up_Irr!AE28+up_Irr!BC28)),IF(AND(up_Irr!G28=".",up_Irr!AE28=".",up_Irr!BC28&lt;&gt;"."),up_dir!AG28/((1/1000)*(up_Irr!BC28)),IF(AND(up_Irr!G28=".",up_Irr!AE28&lt;&gt;".",up_Irr!BC28="."),up_dir!AG28/((1/1000)*(up_Irr!AE28)),IF(AND(up_Irr!G28&lt;&gt;".",up_Irr!AE28=".",up_Irr!BC28="."),up_dir!AG28/((1/1000)*(up_Irr!G28)),IF(AND(up_Irr!G28=".",up_Irr!AE28=".",up_Irr!BC28="."),up_dir!AG28*1000)))))))),".")</f>
        <v>6.5773651144152131E-4</v>
      </c>
      <c r="BG28" s="48">
        <f>IFERROR(IF(AND(up_Irr!H28&lt;&gt;".",up_Irr!AF28&lt;&gt;".",up_Irr!BD28&lt;&gt;"."),up_dir!AH28/((1/1000)*(up_Irr!H28+up_Irr!AF28+up_Irr!BD28)),IF(AND(up_Irr!H28&lt;&gt;".",up_Irr!AF28&lt;&gt;".",up_Irr!BD28="."),up_dir!AH28/((1/1000)*(up_Irr!H28+up_Irr!AF28)),IF(AND(up_Irr!H28&lt;&gt;".",up_Irr!AF28=".",up_Irr!BD28&lt;&gt;"."),up_dir!AH28/((1/1000)*(up_Irr!H28+up_Irr!BD28)),IF(AND(up_Irr!H28=".",up_Irr!AF28&lt;&gt;".",up_Irr!BD28&lt;&gt;"."),up_dir!AH28/((1/1000)*(up_Irr!AF28+up_Irr!BD28)),IF(AND(up_Irr!H28=".",up_Irr!AF28=".",up_Irr!BD28&lt;&gt;"."),up_dir!AH28/((1/1000)*(up_Irr!BD28)),IF(AND(up_Irr!H28=".",up_Irr!AF28&lt;&gt;".",up_Irr!BD28="."),up_dir!AH28/((1/1000)*(up_Irr!AF28)),IF(AND(up_Irr!H28&lt;&gt;".",up_Irr!AF28=".",up_Irr!BD28="."),up_dir!AH28/((1/1000)*(up_Irr!H28)),IF(AND(up_Irr!H28=".",up_Irr!AF28=".",up_Irr!BD28="."),up_dir!AH28*1000)))))))),".")</f>
        <v>6.5773651144152131E-4</v>
      </c>
      <c r="BH28" s="48">
        <f>IFERROR(IF(AND(up_Irr!I28&lt;&gt;".",up_Irr!AG28&lt;&gt;".",up_Irr!BE28&lt;&gt;"."),up_dir!AI28/((1/1000)*(up_Irr!I28+up_Irr!AG28+up_Irr!BE28)),IF(AND(up_Irr!I28&lt;&gt;".",up_Irr!AG28&lt;&gt;".",up_Irr!BE28="."),up_dir!AI28/((1/1000)*(up_Irr!I28+up_Irr!AG28)),IF(AND(up_Irr!I28&lt;&gt;".",up_Irr!AG28=".",up_Irr!BE28&lt;&gt;"."),up_dir!AI28/((1/1000)*(up_Irr!I28+up_Irr!BE28)),IF(AND(up_Irr!I28=".",up_Irr!AG28&lt;&gt;".",up_Irr!BE28&lt;&gt;"."),up_dir!AI28/((1/1000)*(up_Irr!AG28+up_Irr!BE28)),IF(AND(up_Irr!I28=".",up_Irr!AG28=".",up_Irr!BE28&lt;&gt;"."),up_dir!AI28/((1/1000)*(up_Irr!BE28)),IF(AND(up_Irr!I28=".",up_Irr!AG28&lt;&gt;".",up_Irr!BE28="."),up_dir!AI28/((1/1000)*(up_Irr!AG28)),IF(AND(up_Irr!I28&lt;&gt;".",up_Irr!AG28=".",up_Irr!BE28="."),up_dir!AI28/((1/1000)*(up_Irr!I28)),IF(AND(up_Irr!I28=".",up_Irr!AG28=".",up_Irr!BE28="."),up_dir!AI28*1000)))))))),".")</f>
        <v>6.5773651144152131E-4</v>
      </c>
      <c r="BI28" s="48">
        <f>IFERROR(IF(AND(up_Irr!J28&lt;&gt;".",up_Irr!AH28&lt;&gt;".",up_Irr!BF28&lt;&gt;"."),up_dir!AJ28/((1/1000)*(up_Irr!J28+up_Irr!AH28+up_Irr!BF28)),IF(AND(up_Irr!J28&lt;&gt;".",up_Irr!AH28&lt;&gt;".",up_Irr!BF28="."),up_dir!AJ28/((1/1000)*(up_Irr!J28+up_Irr!AH28)),IF(AND(up_Irr!J28&lt;&gt;".",up_Irr!AH28=".",up_Irr!BF28&lt;&gt;"."),up_dir!AJ28/((1/1000)*(up_Irr!J28+up_Irr!BF28)),IF(AND(up_Irr!J28=".",up_Irr!AH28&lt;&gt;".",up_Irr!BF28&lt;&gt;"."),up_dir!AJ28/((1/1000)*(up_Irr!AH28+up_Irr!BF28)),IF(AND(up_Irr!J28=".",up_Irr!AH28=".",up_Irr!BF28&lt;&gt;"."),up_dir!AJ28/((1/1000)*(up_Irr!BF28)),IF(AND(up_Irr!J28=".",up_Irr!AH28&lt;&gt;".",up_Irr!BF28="."),up_dir!AJ28/((1/1000)*(up_Irr!AH28)),IF(AND(up_Irr!J28&lt;&gt;".",up_Irr!AH28=".",up_Irr!BF28="."),up_dir!AJ28/((1/1000)*(up_Irr!J28)),IF(AND(up_Irr!J28=".",up_Irr!AH28=".",up_Irr!BF28="."),up_dir!AJ28*1000)))))))),".")</f>
        <v>6.5773651144152131E-4</v>
      </c>
      <c r="BJ28" s="48">
        <f>IFERROR(IF(AND(up_Irr!K28&lt;&gt;".",up_Irr!AI28&lt;&gt;".",up_Irr!BG28&lt;&gt;"."),up_dir!AK28/((1/1000)*(up_Irr!K28+up_Irr!AI28+up_Irr!BG28)),IF(AND(up_Irr!K28&lt;&gt;".",up_Irr!AI28&lt;&gt;".",up_Irr!BG28="."),up_dir!AK28/((1/1000)*(up_Irr!K28+up_Irr!AI28)),IF(AND(up_Irr!K28&lt;&gt;".",up_Irr!AI28=".",up_Irr!BG28&lt;&gt;"."),up_dir!AK28/((1/1000)*(up_Irr!K28+up_Irr!BG28)),IF(AND(up_Irr!K28=".",up_Irr!AI28&lt;&gt;".",up_Irr!BG28&lt;&gt;"."),up_dir!AK28/((1/1000)*(up_Irr!AI28+up_Irr!BG28)),IF(AND(up_Irr!K28=".",up_Irr!AI28=".",up_Irr!BG28&lt;&gt;"."),up_dir!AK28/((1/1000)*(up_Irr!BG28)),IF(AND(up_Irr!K28=".",up_Irr!AI28&lt;&gt;".",up_Irr!BG28="."),up_dir!AK28/((1/1000)*(up_Irr!AI28)),IF(AND(up_Irr!K28&lt;&gt;".",up_Irr!AI28=".",up_Irr!BG28="."),up_dir!AK28/((1/1000)*(up_Irr!K28)),IF(AND(up_Irr!K28=".",up_Irr!AI28=".",up_Irr!BG28="."),up_dir!AK28*1000)))))))),".")</f>
        <v>6.5773651144152131E-4</v>
      </c>
      <c r="BK28" s="48">
        <f>IFERROR(IF(AND(up_Irr!L28&lt;&gt;".",up_Irr!AJ28&lt;&gt;".",up_Irr!BH28&lt;&gt;"."),up_dir!AL28/((1/1000)*(up_Irr!L28+up_Irr!AJ28+up_Irr!BH28)),IF(AND(up_Irr!L28&lt;&gt;".",up_Irr!AJ28&lt;&gt;".",up_Irr!BH28="."),up_dir!AL28/((1/1000)*(up_Irr!L28+up_Irr!AJ28)),IF(AND(up_Irr!L28&lt;&gt;".",up_Irr!AJ28=".",up_Irr!BH28&lt;&gt;"."),up_dir!AL28/((1/1000)*(up_Irr!L28+up_Irr!BH28)),IF(AND(up_Irr!L28=".",up_Irr!AJ28&lt;&gt;".",up_Irr!BH28&lt;&gt;"."),up_dir!AL28/((1/1000)*(up_Irr!AJ28+up_Irr!BH28)),IF(AND(up_Irr!L28=".",up_Irr!AJ28=".",up_Irr!BH28&lt;&gt;"."),up_dir!AL28/((1/1000)*(up_Irr!BH28)),IF(AND(up_Irr!L28=".",up_Irr!AJ28&lt;&gt;".",up_Irr!BH28="."),up_dir!AL28/((1/1000)*(up_Irr!AJ28)),IF(AND(up_Irr!L28&lt;&gt;".",up_Irr!AJ28=".",up_Irr!BH28="."),up_dir!AL28/((1/1000)*(up_Irr!L28)),IF(AND(up_Irr!L28=".",up_Irr!AJ28=".",up_Irr!BH28="."),up_dir!AL28*1000)))))))),".")</f>
        <v>6.5773651144152131E-4</v>
      </c>
      <c r="BL28" s="48">
        <f>IFERROR(IF(AND(up_Irr!M28&lt;&gt;".",up_Irr!AK28&lt;&gt;".",up_Irr!BI28&lt;&gt;"."),up_dir!AM28/((1/1000)*(up_Irr!M28+up_Irr!AK28+up_Irr!BI28)),IF(AND(up_Irr!M28&lt;&gt;".",up_Irr!AK28&lt;&gt;".",up_Irr!BI28="."),up_dir!AM28/((1/1000)*(up_Irr!M28+up_Irr!AK28)),IF(AND(up_Irr!M28&lt;&gt;".",up_Irr!AK28=".",up_Irr!BI28&lt;&gt;"."),up_dir!AM28/((1/1000)*(up_Irr!M28+up_Irr!BI28)),IF(AND(up_Irr!M28=".",up_Irr!AK28&lt;&gt;".",up_Irr!BI28&lt;&gt;"."),up_dir!AM28/((1/1000)*(up_Irr!AK28+up_Irr!BI28)),IF(AND(up_Irr!M28=".",up_Irr!AK28=".",up_Irr!BI28&lt;&gt;"."),up_dir!AM28/((1/1000)*(up_Irr!BI28)),IF(AND(up_Irr!M28=".",up_Irr!AK28&lt;&gt;".",up_Irr!BI28="."),up_dir!AM28/((1/1000)*(up_Irr!AK28)),IF(AND(up_Irr!M28&lt;&gt;".",up_Irr!AK28=".",up_Irr!BI28="."),up_dir!AM28/((1/1000)*(up_Irr!M28)),IF(AND(up_Irr!M28=".",up_Irr!AK28=".",up_Irr!BI28="."),up_dir!AM28*1000)))))))),".")</f>
        <v>6.5773651144152131E-4</v>
      </c>
      <c r="BM28" s="48">
        <f>IFERROR(IF(AND(up_Irr!N28&lt;&gt;".",up_Irr!AL28&lt;&gt;".",up_Irr!BJ28&lt;&gt;"."),up_dir!AN28/((1/1000)*(up_Irr!N28+up_Irr!AL28+up_Irr!BJ28)),IF(AND(up_Irr!N28&lt;&gt;".",up_Irr!AL28&lt;&gt;".",up_Irr!BJ28="."),up_dir!AN28/((1/1000)*(up_Irr!N28+up_Irr!AL28)),IF(AND(up_Irr!N28&lt;&gt;".",up_Irr!AL28=".",up_Irr!BJ28&lt;&gt;"."),up_dir!AN28/((1/1000)*(up_Irr!N28+up_Irr!BJ28)),IF(AND(up_Irr!N28=".",up_Irr!AL28&lt;&gt;".",up_Irr!BJ28&lt;&gt;"."),up_dir!AN28/((1/1000)*(up_Irr!AL28+up_Irr!BJ28)),IF(AND(up_Irr!N28=".",up_Irr!AL28=".",up_Irr!BJ28&lt;&gt;"."),up_dir!AN28/((1/1000)*(up_Irr!BJ28)),IF(AND(up_Irr!N28=".",up_Irr!AL28&lt;&gt;".",up_Irr!BJ28="."),up_dir!AN28/((1/1000)*(up_Irr!AL28)),IF(AND(up_Irr!N28&lt;&gt;".",up_Irr!AL28=".",up_Irr!BJ28="."),up_dir!AN28/((1/1000)*(up_Irr!N28)),IF(AND(up_Irr!N28=".",up_Irr!AL28=".",up_Irr!BJ28="."),up_dir!AN28*1000)))))))),".")</f>
        <v>6.5773651144152131E-4</v>
      </c>
      <c r="BN28" s="48">
        <f>IFERROR(IF(AND(up_Irr!O28&lt;&gt;".",up_Irr!AM28&lt;&gt;".",up_Irr!BK28&lt;&gt;"."),up_dir!AO28/((1/1000)*(up_Irr!O28+up_Irr!AM28+up_Irr!BK28)),IF(AND(up_Irr!O28&lt;&gt;".",up_Irr!AM28&lt;&gt;".",up_Irr!BK28="."),up_dir!AO28/((1/1000)*(up_Irr!O28+up_Irr!AM28)),IF(AND(up_Irr!O28&lt;&gt;".",up_Irr!AM28=".",up_Irr!BK28&lt;&gt;"."),up_dir!AO28/((1/1000)*(up_Irr!O28+up_Irr!BK28)),IF(AND(up_Irr!O28=".",up_Irr!AM28&lt;&gt;".",up_Irr!BK28&lt;&gt;"."),up_dir!AO28/((1/1000)*(up_Irr!AM28+up_Irr!BK28)),IF(AND(up_Irr!O28=".",up_Irr!AM28=".",up_Irr!BK28&lt;&gt;"."),up_dir!AO28/((1/1000)*(up_Irr!BK28)),IF(AND(up_Irr!O28=".",up_Irr!AM28&lt;&gt;".",up_Irr!BK28="."),up_dir!AO28/((1/1000)*(up_Irr!AM28)),IF(AND(up_Irr!O28&lt;&gt;".",up_Irr!AM28=".",up_Irr!BK28="."),up_dir!AO28/((1/1000)*(up_Irr!O28)),IF(AND(up_Irr!O28=".",up_Irr!AM28=".",up_Irr!BK28="."),up_dir!AO28*1000)))))))),".")</f>
        <v>6.5773651144152131E-4</v>
      </c>
      <c r="BO28" s="48">
        <f>IFERROR(IF(AND(up_Irr!P28&lt;&gt;".",up_Irr!AN28&lt;&gt;".",up_Irr!BL28&lt;&gt;"."),up_dir!AP28/((1/1000)*(up_Irr!P28+up_Irr!AN28+up_Irr!BL28)),IF(AND(up_Irr!P28&lt;&gt;".",up_Irr!AN28&lt;&gt;".",up_Irr!BL28="."),up_dir!AP28/((1/1000)*(up_Irr!P28+up_Irr!AN28)),IF(AND(up_Irr!P28&lt;&gt;".",up_Irr!AN28=".",up_Irr!BL28&lt;&gt;"."),up_dir!AP28/((1/1000)*(up_Irr!P28+up_Irr!BL28)),IF(AND(up_Irr!P28=".",up_Irr!AN28&lt;&gt;".",up_Irr!BL28&lt;&gt;"."),up_dir!AP28/((1/1000)*(up_Irr!AN28+up_Irr!BL28)),IF(AND(up_Irr!P28=".",up_Irr!AN28=".",up_Irr!BL28&lt;&gt;"."),up_dir!AP28/((1/1000)*(up_Irr!BL28)),IF(AND(up_Irr!P28=".",up_Irr!AN28&lt;&gt;".",up_Irr!BL28="."),up_dir!AP28/((1/1000)*(up_Irr!AN28)),IF(AND(up_Irr!P28&lt;&gt;".",up_Irr!AN28=".",up_Irr!BL28="."),up_dir!AP28/((1/1000)*(up_Irr!P28)),IF(AND(up_Irr!P28=".",up_Irr!AN28=".",up_Irr!BL28="."),up_dir!AP28*1000)))))))),".")</f>
        <v>6.5773651144152131E-4</v>
      </c>
      <c r="BP28" s="48">
        <f>IFERROR(IF(AND(up_Irr!Q28&lt;&gt;".",up_Irr!AO28&lt;&gt;".",up_Irr!BM28&lt;&gt;"."),up_dir!AQ28/((1/1000)*(up_Irr!Q28+up_Irr!AO28+up_Irr!BM28)),IF(AND(up_Irr!Q28&lt;&gt;".",up_Irr!AO28&lt;&gt;".",up_Irr!BM28="."),up_dir!AQ28/((1/1000)*(up_Irr!Q28+up_Irr!AO28)),IF(AND(up_Irr!Q28&lt;&gt;".",up_Irr!AO28=".",up_Irr!BM28&lt;&gt;"."),up_dir!AQ28/((1/1000)*(up_Irr!Q28+up_Irr!BM28)),IF(AND(up_Irr!Q28=".",up_Irr!AO28&lt;&gt;".",up_Irr!BM28&lt;&gt;"."),up_dir!AQ28/((1/1000)*(up_Irr!AO28+up_Irr!BM28)),IF(AND(up_Irr!Q28=".",up_Irr!AO28=".",up_Irr!BM28&lt;&gt;"."),up_dir!AQ28/((1/1000)*(up_Irr!BM28)),IF(AND(up_Irr!Q28=".",up_Irr!AO28&lt;&gt;".",up_Irr!BM28="."),up_dir!AQ28/((1/1000)*(up_Irr!AO28)),IF(AND(up_Irr!Q28&lt;&gt;".",up_Irr!AO28=".",up_Irr!BM28="."),up_dir!AQ28/((1/1000)*(up_Irr!Q28)),IF(AND(up_Irr!Q28=".",up_Irr!AO28=".",up_Irr!BM28="."),up_dir!AQ28*1000)))))))),".")</f>
        <v>6.5773651144152131E-4</v>
      </c>
      <c r="BQ28" s="48">
        <f>IFERROR(IF(AND(up_Irr!R28&lt;&gt;".",up_Irr!AP28&lt;&gt;".",up_Irr!BN28&lt;&gt;"."),up_dir!AR28/((1/1000)*(up_Irr!R28+up_Irr!AP28+up_Irr!BN28)),IF(AND(up_Irr!R28&lt;&gt;".",up_Irr!AP28&lt;&gt;".",up_Irr!BN28="."),up_dir!AR28/((1/1000)*(up_Irr!R28+up_Irr!AP28)),IF(AND(up_Irr!R28&lt;&gt;".",up_Irr!AP28=".",up_Irr!BN28&lt;&gt;"."),up_dir!AR28/((1/1000)*(up_Irr!R28+up_Irr!BN28)),IF(AND(up_Irr!R28=".",up_Irr!AP28&lt;&gt;".",up_Irr!BN28&lt;&gt;"."),up_dir!AR28/((1/1000)*(up_Irr!AP28+up_Irr!BN28)),IF(AND(up_Irr!R28=".",up_Irr!AP28=".",up_Irr!BN28&lt;&gt;"."),up_dir!AR28/((1/1000)*(up_Irr!BN28)),IF(AND(up_Irr!R28=".",up_Irr!AP28&lt;&gt;".",up_Irr!BN28="."),up_dir!AR28/((1/1000)*(up_Irr!AP28)),IF(AND(up_Irr!R28&lt;&gt;".",up_Irr!AP28=".",up_Irr!BN28="."),up_dir!AR28/((1/1000)*(up_Irr!R28)),IF(AND(up_Irr!R28=".",up_Irr!AP28=".",up_Irr!BN28="."),up_dir!AR28*1000)))))))),".")</f>
        <v>6.5773651144152131E-4</v>
      </c>
      <c r="BR28" s="48">
        <f>IFERROR(IF(AND(up_Irr!S28&lt;&gt;".",up_Irr!AQ28&lt;&gt;".",up_Irr!BO28&lt;&gt;"."),up_dir!AS28/((1/1000)*(up_Irr!S28+up_Irr!AQ28+up_Irr!BO28)),IF(AND(up_Irr!S28&lt;&gt;".",up_Irr!AQ28&lt;&gt;".",up_Irr!BO28="."),up_dir!AS28/((1/1000)*(up_Irr!S28+up_Irr!AQ28)),IF(AND(up_Irr!S28&lt;&gt;".",up_Irr!AQ28=".",up_Irr!BO28&lt;&gt;"."),up_dir!AS28/((1/1000)*(up_Irr!S28+up_Irr!BO28)),IF(AND(up_Irr!S28=".",up_Irr!AQ28&lt;&gt;".",up_Irr!BO28&lt;&gt;"."),up_dir!AS28/((1/1000)*(up_Irr!AQ28+up_Irr!BO28)),IF(AND(up_Irr!S28=".",up_Irr!AQ28=".",up_Irr!BO28&lt;&gt;"."),up_dir!AS28/((1/1000)*(up_Irr!BO28)),IF(AND(up_Irr!S28=".",up_Irr!AQ28&lt;&gt;".",up_Irr!BO28="."),up_dir!AS28/((1/1000)*(up_Irr!AQ28)),IF(AND(up_Irr!S28&lt;&gt;".",up_Irr!AQ28=".",up_Irr!BO28="."),up_dir!AS28/((1/1000)*(up_Irr!S28)),IF(AND(up_Irr!S28=".",up_Irr!AQ28=".",up_Irr!BO28="."),up_dir!AS28*1000)))))))),".")</f>
        <v>6.5773651144152131E-4</v>
      </c>
      <c r="BS28" s="48">
        <f>IFERROR(IF(AND(up_Irr!T28&lt;&gt;".",up_Irr!AR28&lt;&gt;".",up_Irr!BP28&lt;&gt;"."),up_dir!AT28/((1/1000)*(up_Irr!T28+up_Irr!AR28+up_Irr!BP28)),IF(AND(up_Irr!T28&lt;&gt;".",up_Irr!AR28&lt;&gt;".",up_Irr!BP28="."),up_dir!AT28/((1/1000)*(up_Irr!T28+up_Irr!AR28)),IF(AND(up_Irr!T28&lt;&gt;".",up_Irr!AR28=".",up_Irr!BP28&lt;&gt;"."),up_dir!AT28/((1/1000)*(up_Irr!T28+up_Irr!BP28)),IF(AND(up_Irr!T28=".",up_Irr!AR28&lt;&gt;".",up_Irr!BP28&lt;&gt;"."),up_dir!AT28/((1/1000)*(up_Irr!AR28+up_Irr!BP28)),IF(AND(up_Irr!T28=".",up_Irr!AR28=".",up_Irr!BP28&lt;&gt;"."),up_dir!AT28/((1/1000)*(up_Irr!BP28)),IF(AND(up_Irr!T28=".",up_Irr!AR28&lt;&gt;".",up_Irr!BP28="."),up_dir!AT28/((1/1000)*(up_Irr!AR28)),IF(AND(up_Irr!T28&lt;&gt;".",up_Irr!AR28=".",up_Irr!BP28="."),up_dir!AT28/((1/1000)*(up_Irr!T28)),IF(AND(up_Irr!T28=".",up_Irr!AR28=".",up_Irr!BP28="."),up_dir!AT28*1000)))))))),".")</f>
        <v>6.5773651144152131E-4</v>
      </c>
      <c r="BT28" s="48">
        <f>IFERROR(IF(AND(up_Irr!U28&lt;&gt;".",up_Irr!AS28&lt;&gt;".",up_Irr!BQ28&lt;&gt;"."),up_dir!AU28/((1/1000)*(up_Irr!U28+up_Irr!AS28+up_Irr!BQ28)),IF(AND(up_Irr!U28&lt;&gt;".",up_Irr!AS28&lt;&gt;".",up_Irr!BQ28="."),up_dir!AU28/((1/1000)*(up_Irr!U28+up_Irr!AS28)),IF(AND(up_Irr!U28&lt;&gt;".",up_Irr!AS28=".",up_Irr!BQ28&lt;&gt;"."),up_dir!AU28/((1/1000)*(up_Irr!U28+up_Irr!BQ28)),IF(AND(up_Irr!U28=".",up_Irr!AS28&lt;&gt;".",up_Irr!BQ28&lt;&gt;"."),up_dir!AU28/((1/1000)*(up_Irr!AS28+up_Irr!BQ28)),IF(AND(up_Irr!U28=".",up_Irr!AS28=".",up_Irr!BQ28&lt;&gt;"."),up_dir!AU28/((1/1000)*(up_Irr!BQ28)),IF(AND(up_Irr!U28=".",up_Irr!AS28&lt;&gt;".",up_Irr!BQ28="."),up_dir!AU28/((1/1000)*(up_Irr!AS28)),IF(AND(up_Irr!U28&lt;&gt;".",up_Irr!AS28=".",up_Irr!BQ28="."),up_dir!AU28/((1/1000)*(up_Irr!U28)),IF(AND(up_Irr!U28=".",up_Irr!AS28=".",up_Irr!BQ28="."),up_dir!AU28*1000)))))))),".")</f>
        <v>6.5773651144152131E-4</v>
      </c>
      <c r="BU28" s="48">
        <f>IFERROR(IF(AND(up_Irr!V28&lt;&gt;".",up_Irr!AT28&lt;&gt;".",up_Irr!BR28&lt;&gt;"."),up_dir!AV28/((1/1000)*(up_Irr!V28+up_Irr!AT28+up_Irr!BR28)),IF(AND(up_Irr!V28&lt;&gt;".",up_Irr!AT28&lt;&gt;".",up_Irr!BR28="."),up_dir!AV28/((1/1000)*(up_Irr!V28+up_Irr!AT28)),IF(AND(up_Irr!V28&lt;&gt;".",up_Irr!AT28=".",up_Irr!BR28&lt;&gt;"."),up_dir!AV28/((1/1000)*(up_Irr!V28+up_Irr!BR28)),IF(AND(up_Irr!V28=".",up_Irr!AT28&lt;&gt;".",up_Irr!BR28&lt;&gt;"."),up_dir!AV28/((1/1000)*(up_Irr!AT28+up_Irr!BR28)),IF(AND(up_Irr!V28=".",up_Irr!AT28=".",up_Irr!BR28&lt;&gt;"."),up_dir!AV28/((1/1000)*(up_Irr!BR28)),IF(AND(up_Irr!V28=".",up_Irr!AT28&lt;&gt;".",up_Irr!BR28="."),up_dir!AV28/((1/1000)*(up_Irr!AT28)),IF(AND(up_Irr!V28&lt;&gt;".",up_Irr!AT28=".",up_Irr!BR28="."),up_dir!AV28/((1/1000)*(up_Irr!V28)),IF(AND(up_Irr!V28=".",up_Irr!AT28=".",up_Irr!BR28="."),up_dir!AV28*1000)))))))),".")</f>
        <v>6.5773651144152131E-4</v>
      </c>
      <c r="BV28" s="48">
        <f>IFERROR(IF(AND(up_Irr!W28&lt;&gt;".",up_Irr!AU28&lt;&gt;".",up_Irr!BS28&lt;&gt;"."),up_dir!AW28/((1/1000)*(up_Irr!W28+up_Irr!AU28+up_Irr!BS28)),IF(AND(up_Irr!W28&lt;&gt;".",up_Irr!AU28&lt;&gt;".",up_Irr!BS28="."),up_dir!AW28/((1/1000)*(up_Irr!W28+up_Irr!AU28)),IF(AND(up_Irr!W28&lt;&gt;".",up_Irr!AU28=".",up_Irr!BS28&lt;&gt;"."),up_dir!AW28/((1/1000)*(up_Irr!W28+up_Irr!BS28)),IF(AND(up_Irr!W28=".",up_Irr!AU28&lt;&gt;".",up_Irr!BS28&lt;&gt;"."),up_dir!AW28/((1/1000)*(up_Irr!AU28+up_Irr!BS28)),IF(AND(up_Irr!W28=".",up_Irr!AU28=".",up_Irr!BS28&lt;&gt;"."),up_dir!AW28/((1/1000)*(up_Irr!BS28)),IF(AND(up_Irr!W28=".",up_Irr!AU28&lt;&gt;".",up_Irr!BS28="."),up_dir!AW28/((1/1000)*(up_Irr!AU28)),IF(AND(up_Irr!W28&lt;&gt;".",up_Irr!AU28=".",up_Irr!BS28="."),up_dir!AW28/((1/1000)*(up_Irr!W28)),IF(AND(up_Irr!W28=".",up_Irr!AU28=".",up_Irr!BS28="."),up_dir!AW28*1000)))))))),".")</f>
        <v>6.5773651144152131E-4</v>
      </c>
      <c r="BW28" s="48">
        <f>IFERROR(IF(AND(up_Irr!X28&lt;&gt;".",up_Irr!AV28&lt;&gt;".",up_Irr!BT28&lt;&gt;"."),up_dir!AX28/((1/1000)*(up_Irr!X28+up_Irr!AV28+up_Irr!BT28)),IF(AND(up_Irr!X28&lt;&gt;".",up_Irr!AV28&lt;&gt;".",up_Irr!BT28="."),up_dir!AX28/((1/1000)*(up_Irr!X28+up_Irr!AV28)),IF(AND(up_Irr!X28&lt;&gt;".",up_Irr!AV28=".",up_Irr!BT28&lt;&gt;"."),up_dir!AX28/((1/1000)*(up_Irr!X28+up_Irr!BT28)),IF(AND(up_Irr!X28=".",up_Irr!AV28&lt;&gt;".",up_Irr!BT28&lt;&gt;"."),up_dir!AX28/((1/1000)*(up_Irr!AV28+up_Irr!BT28)),IF(AND(up_Irr!X28=".",up_Irr!AV28=".",up_Irr!BT28&lt;&gt;"."),up_dir!AX28/((1/1000)*(up_Irr!BT28)),IF(AND(up_Irr!X28=".",up_Irr!AV28&lt;&gt;".",up_Irr!BT28="."),up_dir!AX28/((1/1000)*(up_Irr!AV28)),IF(AND(up_Irr!X28&lt;&gt;".",up_Irr!AV28=".",up_Irr!BT28="."),up_dir!AX28/((1/1000)*(up_Irr!X28)),IF(AND(up_Irr!X28=".",up_Irr!AV28=".",up_Irr!BT28="."),up_dir!AX28*1000)))))))),".")</f>
        <v>6.5773651144152131E-4</v>
      </c>
      <c r="BX28" s="48">
        <f>IFERROR(IF(AND(up_Irr!Y28&lt;&gt;".",up_Irr!AW28&lt;&gt;".",up_Irr!BU28&lt;&gt;"."),up_dir!AY28/((1/1000)*(up_Irr!Y28+up_Irr!AW28+up_Irr!BU28)),IF(AND(up_Irr!Y28&lt;&gt;".",up_Irr!AW28&lt;&gt;".",up_Irr!BU28="."),up_dir!AY28/((1/1000)*(up_Irr!Y28+up_Irr!AW28)),IF(AND(up_Irr!Y28&lt;&gt;".",up_Irr!AW28=".",up_Irr!BU28&lt;&gt;"."),up_dir!AY28/((1/1000)*(up_Irr!Y28+up_Irr!BU28)),IF(AND(up_Irr!Y28=".",up_Irr!AW28&lt;&gt;".",up_Irr!BU28&lt;&gt;"."),up_dir!AY28/((1/1000)*(up_Irr!AW28+up_Irr!BU28)),IF(AND(up_Irr!Y28=".",up_Irr!AW28=".",up_Irr!BU28&lt;&gt;"."),up_dir!AY28/((1/1000)*(up_Irr!BU28)),IF(AND(up_Irr!Y28=".",up_Irr!AW28&lt;&gt;".",up_Irr!BU28="."),up_dir!AY28/((1/1000)*(up_Irr!AW28)),IF(AND(up_Irr!Y28&lt;&gt;".",up_Irr!AW28=".",up_Irr!BU28="."),up_dir!AY28/((1/1000)*(up_Irr!Y28)),IF(AND(up_Irr!Y28=".",up_Irr!AW28=".",up_Irr!BU28="."),up_dir!AY28*1000)))))))),".")</f>
        <v>6.5773651144152131E-4</v>
      </c>
      <c r="BY28" s="48">
        <f>IFERROR(IF(AND(up_Irr!Z28&lt;&gt;".",up_Irr!AX28&lt;&gt;".",up_Irr!BV28&lt;&gt;"."),up_dir!AZ28/((1/1000)*(up_Irr!Z28+up_Irr!AX28+up_Irr!BV28)),IF(AND(up_Irr!Z28&lt;&gt;".",up_Irr!AX28&lt;&gt;".",up_Irr!BV28="."),up_dir!AZ28/((1/1000)*(up_Irr!Z28+up_Irr!AX28)),IF(AND(up_Irr!Z28&lt;&gt;".",up_Irr!AX28=".",up_Irr!BV28&lt;&gt;"."),up_dir!AZ28/((1/1000)*(up_Irr!Z28+up_Irr!BV28)),IF(AND(up_Irr!Z28=".",up_Irr!AX28&lt;&gt;".",up_Irr!BV28&lt;&gt;"."),up_dir!AZ28/((1/1000)*(up_Irr!AX28+up_Irr!BV28)),IF(AND(up_Irr!Z28=".",up_Irr!AX28=".",up_Irr!BV28&lt;&gt;"."),up_dir!AZ28/((1/1000)*(up_Irr!BV28)),IF(AND(up_Irr!Z28=".",up_Irr!AX28&lt;&gt;".",up_Irr!BV28="."),up_dir!AZ28/((1/1000)*(up_Irr!AX28)),IF(AND(up_Irr!Z28&lt;&gt;".",up_Irr!AX28=".",up_Irr!BV28="."),up_dir!AZ28/((1/1000)*(up_Irr!Z28)),IF(AND(up_Irr!Z28=".",up_Irr!AX28=".",up_Irr!BV28="."),up_dir!AZ28*1000)))))))),".")</f>
        <v>6.5773651144152131E-4</v>
      </c>
      <c r="BZ28" s="62">
        <f t="shared" si="3"/>
        <v>22805.4847785862</v>
      </c>
      <c r="CA28" s="62">
        <f>IFERROR(s_C*s_IFAP_far_adj*s_CF_apple*(1/1000)*(up_Irr!C28+up_Irr!AA28+up_Irr!AY28),".")</f>
        <v>7601.8282595287337</v>
      </c>
      <c r="CB28" s="62">
        <f>IFERROR(s_C*s_IFAS_far_adj*s_CF_asparagus*(1/1000)*(up_Irr!D28+up_Irr!AB28+up_Irr!AZ28),".")</f>
        <v>7601.8282595287337</v>
      </c>
      <c r="CC28" s="62">
        <f>IFERROR(s_C*s_IFBT_far_adj*s_CF_beet*(1/1000)*(up_Irr!E28+up_Irr!AC28+up_Irr!BA28),".")</f>
        <v>7601.8282595287337</v>
      </c>
      <c r="CD28" s="62">
        <f>IFERROR(s_C*s_IFBE_far_adj*s_CF_berries*(1/1000)*(up_Irr!F28+up_Irr!AD28+up_Irr!BB28),".")</f>
        <v>7601.8282595287337</v>
      </c>
      <c r="CE28" s="62">
        <f>IFERROR(s_C*s_IFBR_far_adj*s_CF_broccoli*(1/1000)*(up_Irr!G28+up_Irr!AE28+up_Irr!BC28),".")</f>
        <v>7601.8282595287337</v>
      </c>
      <c r="CF28" s="62">
        <f>IFERROR(s_C*s_IFCB_far_adj*s_CF_cabbage*(1/1000)*(up_Irr!H28+up_Irr!AF28+up_Irr!BD28),".")</f>
        <v>7601.8282595287337</v>
      </c>
      <c r="CG28" s="62">
        <f>IFERROR(s_C*s_IFCR_far_adj*s_CF_carrot*(1/1000)*(up_Irr!I28+up_Irr!AG28+up_Irr!BE28),".")</f>
        <v>7601.8282595287337</v>
      </c>
      <c r="CH28" s="62">
        <f>IFERROR(s_C*s_IFCI_far_adj*s_CF_citrus*(1/1000)*(up_Irr!J28+up_Irr!AH28+up_Irr!BF28),".")</f>
        <v>7601.8282595287337</v>
      </c>
      <c r="CI28" s="62">
        <f>IFERROR(s_C*s_IFCO_far_adj*s_CF_corn*(1/1000)*(up_Irr!K28+up_Irr!AI28+up_Irr!BG28),".")</f>
        <v>7601.8282595287337</v>
      </c>
      <c r="CJ28" s="62">
        <f>IFERROR(s_C*s_IFCU_far_adj*s_CF_cucumber*(1/1000)*(up_Irr!L28+up_Irr!AJ28+up_Irr!BH28),".")</f>
        <v>7601.8282595287337</v>
      </c>
      <c r="CK28" s="62">
        <f>IFERROR(s_C*s_IFLE_far_adj*s_CF_lettuce*(1/1000)*(up_Irr!M28+up_Irr!AK28+up_Irr!BI28),".")</f>
        <v>7601.8282595287337</v>
      </c>
      <c r="CL28" s="62">
        <f>IFERROR(s_C*s_IFLI_far_adj*s_CF_lima_bean*(1/1000)*(up_Irr!N28+up_Irr!AL28+up_Irr!BJ28),".")</f>
        <v>7601.8282595287337</v>
      </c>
      <c r="CM28" s="62">
        <f>IFERROR(s_C*s_IFOK_far_adj*s_CF_okra*(1/1000)*(up_Irr!O28+up_Irr!AM28+up_Irr!BK28),".")</f>
        <v>7601.8282595287337</v>
      </c>
      <c r="CN28" s="62">
        <f>IFERROR(s_C*s_IFON_far_adj*s_CF_onion*(1/1000)*(up_Irr!P28+up_Irr!AN28+up_Irr!BL28),".")</f>
        <v>7601.8282595287337</v>
      </c>
      <c r="CO28" s="62">
        <f>IFERROR(s_C*s_IFPC_far_adj*s_CF_peach*(1/1000)*(up_Irr!Q28+up_Irr!AO28+up_Irr!BM28),".")</f>
        <v>7601.8282595287337</v>
      </c>
      <c r="CP28" s="62">
        <f>IFERROR(s_C*s_IFPR_far_adj*s_CF_pear*(1/1000)*(up_Irr!R28+up_Irr!AP28+up_Irr!BN28),".")</f>
        <v>7601.8282595287337</v>
      </c>
      <c r="CQ28" s="62">
        <f>IFERROR(s_C*s_IFPE_far_adj*s_CF_peas*(1/1000)*(up_Irr!S28+up_Irr!AQ28+up_Irr!BO28),".")</f>
        <v>7601.8282595287337</v>
      </c>
      <c r="CR28" s="62">
        <f>IFERROR(s_C*s_IFPT_far_adj*s_CF_potato*(1/1000)*(up_Irr!T28+up_Irr!AR28+up_Irr!BP28),".")</f>
        <v>7601.8282595287337</v>
      </c>
      <c r="CS28" s="62">
        <f>IFERROR(s_C*s_IFPU_far_adj*s_CF_pumpkin*(1/1000)*(up_Irr!U28+up_Irr!AS28+up_Irr!BQ28),".")</f>
        <v>7601.8282595287337</v>
      </c>
      <c r="CT28" s="62">
        <f>IFERROR(s_C*s_IFSN_far_adj*s_CF_snap_bean*(1/1000)*(up_Irr!V28+up_Irr!AT28+up_Irr!BR28),".")</f>
        <v>7601.8282595287337</v>
      </c>
      <c r="CU28" s="62">
        <f>IFERROR(s_C*s_IFST_far_adj*s_CF_strawberry*(1/1000)*(up_Irr!W28+up_Irr!AU28+up_Irr!BS28),".")</f>
        <v>7601.8282595287337</v>
      </c>
      <c r="CV28" s="62">
        <f>IFERROR(s_C*s_IFTO_far_adj*s_CF_tomato*(1/1000)*(up_Irr!X28+up_Irr!AV28+up_Irr!BT28),".")</f>
        <v>7601.8282595287337</v>
      </c>
      <c r="CW28" s="62">
        <f>IFERROR(s_C*s_IFRI_far_adj*s_CF_rice*(1/1000)*(up_Irr!Y28+up_Irr!AW28+up_Irr!BU28),".")</f>
        <v>7601.8282595287337</v>
      </c>
      <c r="CX28" s="62">
        <f>IFERROR(s_C*s_IFCG_far_adj*s_CF_cereal*(1/1000)*(up_Irr!Z28+up_Irr!AX28+up_Irr!BV28),".")</f>
        <v>7601.8282595287337</v>
      </c>
    </row>
    <row r="29" spans="1:102" ht="15" customHeight="1" x14ac:dyDescent="0.25">
      <c r="A29" s="61" t="s">
        <v>27</v>
      </c>
      <c r="B29" s="49" t="s">
        <v>1059</v>
      </c>
      <c r="C29" s="48">
        <f t="shared" si="0"/>
        <v>2.1924550381384044E-4</v>
      </c>
      <c r="D29" s="48">
        <f>IFERROR(IF(AND(up_Irr!C29&lt;&gt;".",up_Irr!AA29&lt;&gt;".",up_Irr!AY29&lt;&gt;"."),up_dir!D29/((1/1000)*(up_Irr!C29+up_Irr!AA29+up_Irr!AY29)),IF(AND(up_Irr!C29&lt;&gt;".",up_Irr!AA29&lt;&gt;".",up_Irr!AY29="."),up_dir!D29/((1/1000)*(up_Irr!C29+up_Irr!AA29)),IF(AND(up_Irr!C29&lt;&gt;".",up_Irr!AA29=".",up_Irr!AY29&lt;&gt;"."),up_dir!D29/((1/1000)*(up_Irr!C29+up_Irr!AY29)),IF(AND(up_Irr!C29=".",up_Irr!AA29&lt;&gt;".",up_Irr!AY29&lt;&gt;"."),up_dir!D29/((1/1000)*(up_Irr!AA29+up_Irr!AY29)),IF(AND(up_Irr!C29=".",up_Irr!AA29=".",up_Irr!AY29&lt;&gt;"."),up_dir!D29/((1/1000)*(up_Irr!AY29)),IF(AND(up_Irr!C29=".",up_Irr!AA29&lt;&gt;".",up_Irr!AY29="."),up_dir!D29/((1/1000)*(up_Irr!AA29)),IF(AND(up_Irr!C29&lt;&gt;".",up_Irr!AA29=".",up_Irr!AY29="."),up_dir!D29/((1/1000)*(up_Irr!C29)),IF(AND(up_Irr!C29=".",up_Irr!AA29=".",up_Irr!AY29="."),up_dir!D29*1000)))))))),".")</f>
        <v>6.5773651144152131E-4</v>
      </c>
      <c r="E29" s="48">
        <f>IFERROR(IF(AND(up_Irr!D29&lt;&gt;".",up_Irr!AB29&lt;&gt;".",up_Irr!AZ29&lt;&gt;"."),up_dir!E29/((1/1000)*(up_Irr!D29+up_Irr!AB29+up_Irr!AZ29)),IF(AND(up_Irr!D29&lt;&gt;".",up_Irr!AB29&lt;&gt;".",up_Irr!AZ29="."),up_dir!E29/((1/1000)*(up_Irr!D29+up_Irr!AB29)),IF(AND(up_Irr!D29&lt;&gt;".",up_Irr!AB29=".",up_Irr!AZ29&lt;&gt;"."),up_dir!E29/((1/1000)*(up_Irr!D29+up_Irr!AZ29)),IF(AND(up_Irr!D29=".",up_Irr!AB29&lt;&gt;".",up_Irr!AZ29&lt;&gt;"."),up_dir!E29/((1/1000)*(up_Irr!AB29+up_Irr!AZ29)),IF(AND(up_Irr!D29=".",up_Irr!AB29=".",up_Irr!AZ29&lt;&gt;"."),up_dir!E29/((1/1000)*(up_Irr!AZ29)),IF(AND(up_Irr!D29=".",up_Irr!AB29&lt;&gt;".",up_Irr!AZ29="."),up_dir!E29/((1/1000)*(up_Irr!AB29)),IF(AND(up_Irr!D29&lt;&gt;".",up_Irr!AB29=".",up_Irr!AZ29="."),up_dir!E29/((1/1000)*(up_Irr!D29)),IF(AND(up_Irr!D29=".",up_Irr!AB29=".",up_Irr!AZ29="."),up_dir!E29*1000)))))))),".")</f>
        <v>6.5773651144152131E-4</v>
      </c>
      <c r="F29" s="48">
        <f>IFERROR(IF(AND(up_Irr!E29&lt;&gt;".",up_Irr!AC29&lt;&gt;".",up_Irr!BA29&lt;&gt;"."),up_dir!F29/((1/1000)*(up_Irr!E29+up_Irr!AC29+up_Irr!BA29)),IF(AND(up_Irr!E29&lt;&gt;".",up_Irr!AC29&lt;&gt;".",up_Irr!BA29="."),up_dir!F29/((1/1000)*(up_Irr!E29+up_Irr!AC29)),IF(AND(up_Irr!E29&lt;&gt;".",up_Irr!AC29=".",up_Irr!BA29&lt;&gt;"."),up_dir!F29/((1/1000)*(up_Irr!E29+up_Irr!BA29)),IF(AND(up_Irr!E29=".",up_Irr!AC29&lt;&gt;".",up_Irr!BA29&lt;&gt;"."),up_dir!F29/((1/1000)*(up_Irr!AC29+up_Irr!BA29)),IF(AND(up_Irr!E29=".",up_Irr!AC29=".",up_Irr!BA29&lt;&gt;"."),up_dir!F29/((1/1000)*(up_Irr!BA29)),IF(AND(up_Irr!E29=".",up_Irr!AC29&lt;&gt;".",up_Irr!BA29="."),up_dir!F29/((1/1000)*(up_Irr!AC29)),IF(AND(up_Irr!E29&lt;&gt;".",up_Irr!AC29=".",up_Irr!BA29="."),up_dir!F29/((1/1000)*(up_Irr!E29)),IF(AND(up_Irr!E29=".",up_Irr!AC29=".",up_Irr!BA29="."),up_dir!F29*1000)))))))),".")</f>
        <v>6.5773651144152131E-4</v>
      </c>
      <c r="G29" s="48">
        <f>IFERROR(IF(AND(up_Irr!F29&lt;&gt;".",up_Irr!AD29&lt;&gt;".",up_Irr!BB29&lt;&gt;"."),up_dir!G29/((1/1000)*(up_Irr!F29+up_Irr!AD29+up_Irr!BB29)),IF(AND(up_Irr!F29&lt;&gt;".",up_Irr!AD29&lt;&gt;".",up_Irr!BB29="."),up_dir!G29/((1/1000)*(up_Irr!F29+up_Irr!AD29)),IF(AND(up_Irr!F29&lt;&gt;".",up_Irr!AD29=".",up_Irr!BB29&lt;&gt;"."),up_dir!G29/((1/1000)*(up_Irr!F29+up_Irr!BB29)),IF(AND(up_Irr!F29=".",up_Irr!AD29&lt;&gt;".",up_Irr!BB29&lt;&gt;"."),up_dir!G29/((1/1000)*(up_Irr!AD29+up_Irr!BB29)),IF(AND(up_Irr!F29=".",up_Irr!AD29=".",up_Irr!BB29&lt;&gt;"."),up_dir!G29/((1/1000)*(up_Irr!BB29)),IF(AND(up_Irr!F29=".",up_Irr!AD29&lt;&gt;".",up_Irr!BB29="."),up_dir!G29/((1/1000)*(up_Irr!AD29)),IF(AND(up_Irr!F29&lt;&gt;".",up_Irr!AD29=".",up_Irr!BB29="."),up_dir!G29/((1/1000)*(up_Irr!F29)),IF(AND(up_Irr!F29=".",up_Irr!AD29=".",up_Irr!BB29="."),up_dir!G29*1000)))))))),".")</f>
        <v>6.5773651144152131E-4</v>
      </c>
      <c r="H29" s="48">
        <f>IFERROR(IF(AND(up_Irr!G29&lt;&gt;".",up_Irr!AE29&lt;&gt;".",up_Irr!BC29&lt;&gt;"."),up_dir!H29/((1/1000)*(up_Irr!G29+up_Irr!AE29+up_Irr!BC29)),IF(AND(up_Irr!G29&lt;&gt;".",up_Irr!AE29&lt;&gt;".",up_Irr!BC29="."),up_dir!H29/((1/1000)*(up_Irr!G29+up_Irr!AE29)),IF(AND(up_Irr!G29&lt;&gt;".",up_Irr!AE29=".",up_Irr!BC29&lt;&gt;"."),up_dir!H29/((1/1000)*(up_Irr!G29+up_Irr!BC29)),IF(AND(up_Irr!G29=".",up_Irr!AE29&lt;&gt;".",up_Irr!BC29&lt;&gt;"."),up_dir!H29/((1/1000)*(up_Irr!AE29+up_Irr!BC29)),IF(AND(up_Irr!G29=".",up_Irr!AE29=".",up_Irr!BC29&lt;&gt;"."),up_dir!H29/((1/1000)*(up_Irr!BC29)),IF(AND(up_Irr!G29=".",up_Irr!AE29&lt;&gt;".",up_Irr!BC29="."),up_dir!H29/((1/1000)*(up_Irr!AE29)),IF(AND(up_Irr!G29&lt;&gt;".",up_Irr!AE29=".",up_Irr!BC29="."),up_dir!H29/((1/1000)*(up_Irr!G29)),IF(AND(up_Irr!G29=".",up_Irr!AE29=".",up_Irr!BC29="."),up_dir!H29*1000)))))))),".")</f>
        <v>6.5773651144152131E-4</v>
      </c>
      <c r="I29" s="48">
        <f>IFERROR(IF(AND(up_Irr!H29&lt;&gt;".",up_Irr!AF29&lt;&gt;".",up_Irr!BD29&lt;&gt;"."),up_dir!I29/((1/1000)*(up_Irr!H29+up_Irr!AF29+up_Irr!BD29)),IF(AND(up_Irr!H29&lt;&gt;".",up_Irr!AF29&lt;&gt;".",up_Irr!BD29="."),up_dir!I29/((1/1000)*(up_Irr!H29+up_Irr!AF29)),IF(AND(up_Irr!H29&lt;&gt;".",up_Irr!AF29=".",up_Irr!BD29&lt;&gt;"."),up_dir!I29/((1/1000)*(up_Irr!H29+up_Irr!BD29)),IF(AND(up_Irr!H29=".",up_Irr!AF29&lt;&gt;".",up_Irr!BD29&lt;&gt;"."),up_dir!I29/((1/1000)*(up_Irr!AF29+up_Irr!BD29)),IF(AND(up_Irr!H29=".",up_Irr!AF29=".",up_Irr!BD29&lt;&gt;"."),up_dir!I29/((1/1000)*(up_Irr!BD29)),IF(AND(up_Irr!H29=".",up_Irr!AF29&lt;&gt;".",up_Irr!BD29="."),up_dir!I29/((1/1000)*(up_Irr!AF29)),IF(AND(up_Irr!H29&lt;&gt;".",up_Irr!AF29=".",up_Irr!BD29="."),up_dir!I29/((1/1000)*(up_Irr!H29)),IF(AND(up_Irr!H29=".",up_Irr!AF29=".",up_Irr!BD29="."),up_dir!I29*1000)))))))),".")</f>
        <v>6.5773651144152131E-4</v>
      </c>
      <c r="J29" s="48">
        <f>IFERROR(IF(AND(up_Irr!I29&lt;&gt;".",up_Irr!AG29&lt;&gt;".",up_Irr!BE29&lt;&gt;"."),up_dir!J29/((1/1000)*(up_Irr!I29+up_Irr!AG29+up_Irr!BE29)),IF(AND(up_Irr!I29&lt;&gt;".",up_Irr!AG29&lt;&gt;".",up_Irr!BE29="."),up_dir!J29/((1/1000)*(up_Irr!I29+up_Irr!AG29)),IF(AND(up_Irr!I29&lt;&gt;".",up_Irr!AG29=".",up_Irr!BE29&lt;&gt;"."),up_dir!J29/((1/1000)*(up_Irr!I29+up_Irr!BE29)),IF(AND(up_Irr!I29=".",up_Irr!AG29&lt;&gt;".",up_Irr!BE29&lt;&gt;"."),up_dir!J29/((1/1000)*(up_Irr!AG29+up_Irr!BE29)),IF(AND(up_Irr!I29=".",up_Irr!AG29=".",up_Irr!BE29&lt;&gt;"."),up_dir!J29/((1/1000)*(up_Irr!BE29)),IF(AND(up_Irr!I29=".",up_Irr!AG29&lt;&gt;".",up_Irr!BE29="."),up_dir!J29/((1/1000)*(up_Irr!AG29)),IF(AND(up_Irr!I29&lt;&gt;".",up_Irr!AG29=".",up_Irr!BE29="."),up_dir!J29/((1/1000)*(up_Irr!I29)),IF(AND(up_Irr!I29=".",up_Irr!AG29=".",up_Irr!BE29="."),up_dir!J29*1000)))))))),".")</f>
        <v>6.5773651144152131E-4</v>
      </c>
      <c r="K29" s="48">
        <f>IFERROR(IF(AND(up_Irr!J29&lt;&gt;".",up_Irr!AH29&lt;&gt;".",up_Irr!BF29&lt;&gt;"."),up_dir!K29/((1/1000)*(up_Irr!J29+up_Irr!AH29+up_Irr!BF29)),IF(AND(up_Irr!J29&lt;&gt;".",up_Irr!AH29&lt;&gt;".",up_Irr!BF29="."),up_dir!K29/((1/1000)*(up_Irr!J29+up_Irr!AH29)),IF(AND(up_Irr!J29&lt;&gt;".",up_Irr!AH29=".",up_Irr!BF29&lt;&gt;"."),up_dir!K29/((1/1000)*(up_Irr!J29+up_Irr!BF29)),IF(AND(up_Irr!J29=".",up_Irr!AH29&lt;&gt;".",up_Irr!BF29&lt;&gt;"."),up_dir!K29/((1/1000)*(up_Irr!AH29+up_Irr!BF29)),IF(AND(up_Irr!J29=".",up_Irr!AH29=".",up_Irr!BF29&lt;&gt;"."),up_dir!K29/((1/1000)*(up_Irr!BF29)),IF(AND(up_Irr!J29=".",up_Irr!AH29&lt;&gt;".",up_Irr!BF29="."),up_dir!K29/((1/1000)*(up_Irr!AH29)),IF(AND(up_Irr!J29&lt;&gt;".",up_Irr!AH29=".",up_Irr!BF29="."),up_dir!K29/((1/1000)*(up_Irr!J29)),IF(AND(up_Irr!J29=".",up_Irr!AH29=".",up_Irr!BF29="."),up_dir!K29*1000)))))))),".")</f>
        <v>6.5773651144152131E-4</v>
      </c>
      <c r="L29" s="48">
        <f>IFERROR(IF(AND(up_Irr!K29&lt;&gt;".",up_Irr!AI29&lt;&gt;".",up_Irr!BG29&lt;&gt;"."),up_dir!L29/((1/1000)*(up_Irr!K29+up_Irr!AI29+up_Irr!BG29)),IF(AND(up_Irr!K29&lt;&gt;".",up_Irr!AI29&lt;&gt;".",up_Irr!BG29="."),up_dir!L29/((1/1000)*(up_Irr!K29+up_Irr!AI29)),IF(AND(up_Irr!K29&lt;&gt;".",up_Irr!AI29=".",up_Irr!BG29&lt;&gt;"."),up_dir!L29/((1/1000)*(up_Irr!K29+up_Irr!BG29)),IF(AND(up_Irr!K29=".",up_Irr!AI29&lt;&gt;".",up_Irr!BG29&lt;&gt;"."),up_dir!L29/((1/1000)*(up_Irr!AI29+up_Irr!BG29)),IF(AND(up_Irr!K29=".",up_Irr!AI29=".",up_Irr!BG29&lt;&gt;"."),up_dir!L29/((1/1000)*(up_Irr!BG29)),IF(AND(up_Irr!K29=".",up_Irr!AI29&lt;&gt;".",up_Irr!BG29="."),up_dir!L29/((1/1000)*(up_Irr!AI29)),IF(AND(up_Irr!K29&lt;&gt;".",up_Irr!AI29=".",up_Irr!BG29="."),up_dir!L29/((1/1000)*(up_Irr!K29)),IF(AND(up_Irr!K29=".",up_Irr!AI29=".",up_Irr!BG29="."),up_dir!L29*1000)))))))),".")</f>
        <v>6.5773651144152131E-4</v>
      </c>
      <c r="M29" s="48">
        <f>IFERROR(IF(AND(up_Irr!L29&lt;&gt;".",up_Irr!AJ29&lt;&gt;".",up_Irr!BH29&lt;&gt;"."),up_dir!M29/((1/1000)*(up_Irr!L29+up_Irr!AJ29+up_Irr!BH29)),IF(AND(up_Irr!L29&lt;&gt;".",up_Irr!AJ29&lt;&gt;".",up_Irr!BH29="."),up_dir!M29/((1/1000)*(up_Irr!L29+up_Irr!AJ29)),IF(AND(up_Irr!L29&lt;&gt;".",up_Irr!AJ29=".",up_Irr!BH29&lt;&gt;"."),up_dir!M29/((1/1000)*(up_Irr!L29+up_Irr!BH29)),IF(AND(up_Irr!L29=".",up_Irr!AJ29&lt;&gt;".",up_Irr!BH29&lt;&gt;"."),up_dir!M29/((1/1000)*(up_Irr!AJ29+up_Irr!BH29)),IF(AND(up_Irr!L29=".",up_Irr!AJ29=".",up_Irr!BH29&lt;&gt;"."),up_dir!M29/((1/1000)*(up_Irr!BH29)),IF(AND(up_Irr!L29=".",up_Irr!AJ29&lt;&gt;".",up_Irr!BH29="."),up_dir!M29/((1/1000)*(up_Irr!AJ29)),IF(AND(up_Irr!L29&lt;&gt;".",up_Irr!AJ29=".",up_Irr!BH29="."),up_dir!M29/((1/1000)*(up_Irr!L29)),IF(AND(up_Irr!L29=".",up_Irr!AJ29=".",up_Irr!BH29="."),up_dir!M29*1000)))))))),".")</f>
        <v>6.5773651144152131E-4</v>
      </c>
      <c r="N29" s="48">
        <f>IFERROR(IF(AND(up_Irr!M29&lt;&gt;".",up_Irr!AK29&lt;&gt;".",up_Irr!BI29&lt;&gt;"."),up_dir!N29/((1/1000)*(up_Irr!M29+up_Irr!AK29+up_Irr!BI29)),IF(AND(up_Irr!M29&lt;&gt;".",up_Irr!AK29&lt;&gt;".",up_Irr!BI29="."),up_dir!N29/((1/1000)*(up_Irr!M29+up_Irr!AK29)),IF(AND(up_Irr!M29&lt;&gt;".",up_Irr!AK29=".",up_Irr!BI29&lt;&gt;"."),up_dir!N29/((1/1000)*(up_Irr!M29+up_Irr!BI29)),IF(AND(up_Irr!M29=".",up_Irr!AK29&lt;&gt;".",up_Irr!BI29&lt;&gt;"."),up_dir!N29/((1/1000)*(up_Irr!AK29+up_Irr!BI29)),IF(AND(up_Irr!M29=".",up_Irr!AK29=".",up_Irr!BI29&lt;&gt;"."),up_dir!N29/((1/1000)*(up_Irr!BI29)),IF(AND(up_Irr!M29=".",up_Irr!AK29&lt;&gt;".",up_Irr!BI29="."),up_dir!N29/((1/1000)*(up_Irr!AK29)),IF(AND(up_Irr!M29&lt;&gt;".",up_Irr!AK29=".",up_Irr!BI29="."),up_dir!N29/((1/1000)*(up_Irr!M29)),IF(AND(up_Irr!M29=".",up_Irr!AK29=".",up_Irr!BI29="."),up_dir!N29*1000)))))))),".")</f>
        <v>6.5773651144152131E-4</v>
      </c>
      <c r="O29" s="48">
        <f>IFERROR(IF(AND(up_Irr!N29&lt;&gt;".",up_Irr!AL29&lt;&gt;".",up_Irr!BJ29&lt;&gt;"."),up_dir!O29/((1/1000)*(up_Irr!N29+up_Irr!AL29+up_Irr!BJ29)),IF(AND(up_Irr!N29&lt;&gt;".",up_Irr!AL29&lt;&gt;".",up_Irr!BJ29="."),up_dir!O29/((1/1000)*(up_Irr!N29+up_Irr!AL29)),IF(AND(up_Irr!N29&lt;&gt;".",up_Irr!AL29=".",up_Irr!BJ29&lt;&gt;"."),up_dir!O29/((1/1000)*(up_Irr!N29+up_Irr!BJ29)),IF(AND(up_Irr!N29=".",up_Irr!AL29&lt;&gt;".",up_Irr!BJ29&lt;&gt;"."),up_dir!O29/((1/1000)*(up_Irr!AL29+up_Irr!BJ29)),IF(AND(up_Irr!N29=".",up_Irr!AL29=".",up_Irr!BJ29&lt;&gt;"."),up_dir!O29/((1/1000)*(up_Irr!BJ29)),IF(AND(up_Irr!N29=".",up_Irr!AL29&lt;&gt;".",up_Irr!BJ29="."),up_dir!O29/((1/1000)*(up_Irr!AL29)),IF(AND(up_Irr!N29&lt;&gt;".",up_Irr!AL29=".",up_Irr!BJ29="."),up_dir!O29/((1/1000)*(up_Irr!N29)),IF(AND(up_Irr!N29=".",up_Irr!AL29=".",up_Irr!BJ29="."),up_dir!O29*1000)))))))),".")</f>
        <v>6.5773651144152131E-4</v>
      </c>
      <c r="P29" s="48">
        <f>IFERROR(IF(AND(up_Irr!O29&lt;&gt;".",up_Irr!AM29&lt;&gt;".",up_Irr!BK29&lt;&gt;"."),up_dir!P29/((1/1000)*(up_Irr!O29+up_Irr!AM29+up_Irr!BK29)),IF(AND(up_Irr!O29&lt;&gt;".",up_Irr!AM29&lt;&gt;".",up_Irr!BK29="."),up_dir!P29/((1/1000)*(up_Irr!O29+up_Irr!AM29)),IF(AND(up_Irr!O29&lt;&gt;".",up_Irr!AM29=".",up_Irr!BK29&lt;&gt;"."),up_dir!P29/((1/1000)*(up_Irr!O29+up_Irr!BK29)),IF(AND(up_Irr!O29=".",up_Irr!AM29&lt;&gt;".",up_Irr!BK29&lt;&gt;"."),up_dir!P29/((1/1000)*(up_Irr!AM29+up_Irr!BK29)),IF(AND(up_Irr!O29=".",up_Irr!AM29=".",up_Irr!BK29&lt;&gt;"."),up_dir!P29/((1/1000)*(up_Irr!BK29)),IF(AND(up_Irr!O29=".",up_Irr!AM29&lt;&gt;".",up_Irr!BK29="."),up_dir!P29/((1/1000)*(up_Irr!AM29)),IF(AND(up_Irr!O29&lt;&gt;".",up_Irr!AM29=".",up_Irr!BK29="."),up_dir!P29/((1/1000)*(up_Irr!O29)),IF(AND(up_Irr!O29=".",up_Irr!AM29=".",up_Irr!BK29="."),up_dir!P29*1000)))))))),".")</f>
        <v>6.5773651144152131E-4</v>
      </c>
      <c r="Q29" s="48">
        <f>IFERROR(IF(AND(up_Irr!P29&lt;&gt;".",up_Irr!AN29&lt;&gt;".",up_Irr!BL29&lt;&gt;"."),up_dir!Q29/((1/1000)*(up_Irr!P29+up_Irr!AN29+up_Irr!BL29)),IF(AND(up_Irr!P29&lt;&gt;".",up_Irr!AN29&lt;&gt;".",up_Irr!BL29="."),up_dir!Q29/((1/1000)*(up_Irr!P29+up_Irr!AN29)),IF(AND(up_Irr!P29&lt;&gt;".",up_Irr!AN29=".",up_Irr!BL29&lt;&gt;"."),up_dir!Q29/((1/1000)*(up_Irr!P29+up_Irr!BL29)),IF(AND(up_Irr!P29=".",up_Irr!AN29&lt;&gt;".",up_Irr!BL29&lt;&gt;"."),up_dir!Q29/((1/1000)*(up_Irr!AN29+up_Irr!BL29)),IF(AND(up_Irr!P29=".",up_Irr!AN29=".",up_Irr!BL29&lt;&gt;"."),up_dir!Q29/((1/1000)*(up_Irr!BL29)),IF(AND(up_Irr!P29=".",up_Irr!AN29&lt;&gt;".",up_Irr!BL29="."),up_dir!Q29/((1/1000)*(up_Irr!AN29)),IF(AND(up_Irr!P29&lt;&gt;".",up_Irr!AN29=".",up_Irr!BL29="."),up_dir!Q29/((1/1000)*(up_Irr!P29)),IF(AND(up_Irr!P29=".",up_Irr!AN29=".",up_Irr!BL29="."),up_dir!Q29*1000)))))))),".")</f>
        <v>6.5773651144152131E-4</v>
      </c>
      <c r="R29" s="48">
        <f>IFERROR(IF(AND(up_Irr!Q29&lt;&gt;".",up_Irr!AO29&lt;&gt;".",up_Irr!BM29&lt;&gt;"."),up_dir!R29/((1/1000)*(up_Irr!Q29+up_Irr!AO29+up_Irr!BM29)),IF(AND(up_Irr!Q29&lt;&gt;".",up_Irr!AO29&lt;&gt;".",up_Irr!BM29="."),up_dir!R29/((1/1000)*(up_Irr!Q29+up_Irr!AO29)),IF(AND(up_Irr!Q29&lt;&gt;".",up_Irr!AO29=".",up_Irr!BM29&lt;&gt;"."),up_dir!R29/((1/1000)*(up_Irr!Q29+up_Irr!BM29)),IF(AND(up_Irr!Q29=".",up_Irr!AO29&lt;&gt;".",up_Irr!BM29&lt;&gt;"."),up_dir!R29/((1/1000)*(up_Irr!AO29+up_Irr!BM29)),IF(AND(up_Irr!Q29=".",up_Irr!AO29=".",up_Irr!BM29&lt;&gt;"."),up_dir!R29/((1/1000)*(up_Irr!BM29)),IF(AND(up_Irr!Q29=".",up_Irr!AO29&lt;&gt;".",up_Irr!BM29="."),up_dir!R29/((1/1000)*(up_Irr!AO29)),IF(AND(up_Irr!Q29&lt;&gt;".",up_Irr!AO29=".",up_Irr!BM29="."),up_dir!R29/((1/1000)*(up_Irr!Q29)),IF(AND(up_Irr!Q29=".",up_Irr!AO29=".",up_Irr!BM29="."),up_dir!R29*1000)))))))),".")</f>
        <v>6.5773651144152131E-4</v>
      </c>
      <c r="S29" s="48">
        <f>IFERROR(IF(AND(up_Irr!R29&lt;&gt;".",up_Irr!AP29&lt;&gt;".",up_Irr!BN29&lt;&gt;"."),up_dir!S29/((1/1000)*(up_Irr!R29+up_Irr!AP29+up_Irr!BN29)),IF(AND(up_Irr!R29&lt;&gt;".",up_Irr!AP29&lt;&gt;".",up_Irr!BN29="."),up_dir!S29/((1/1000)*(up_Irr!R29+up_Irr!AP29)),IF(AND(up_Irr!R29&lt;&gt;".",up_Irr!AP29=".",up_Irr!BN29&lt;&gt;"."),up_dir!S29/((1/1000)*(up_Irr!R29+up_Irr!BN29)),IF(AND(up_Irr!R29=".",up_Irr!AP29&lt;&gt;".",up_Irr!BN29&lt;&gt;"."),up_dir!S29/((1/1000)*(up_Irr!AP29+up_Irr!BN29)),IF(AND(up_Irr!R29=".",up_Irr!AP29=".",up_Irr!BN29&lt;&gt;"."),up_dir!S29/((1/1000)*(up_Irr!BN29)),IF(AND(up_Irr!R29=".",up_Irr!AP29&lt;&gt;".",up_Irr!BN29="."),up_dir!S29/((1/1000)*(up_Irr!AP29)),IF(AND(up_Irr!R29&lt;&gt;".",up_Irr!AP29=".",up_Irr!BN29="."),up_dir!S29/((1/1000)*(up_Irr!R29)),IF(AND(up_Irr!R29=".",up_Irr!AP29=".",up_Irr!BN29="."),up_dir!S29*1000)))))))),".")</f>
        <v>6.5773651144152131E-4</v>
      </c>
      <c r="T29" s="48">
        <f>IFERROR(IF(AND(up_Irr!S29&lt;&gt;".",up_Irr!AQ29&lt;&gt;".",up_Irr!BO29&lt;&gt;"."),up_dir!T29/((1/1000)*(up_Irr!S29+up_Irr!AQ29+up_Irr!BO29)),IF(AND(up_Irr!S29&lt;&gt;".",up_Irr!AQ29&lt;&gt;".",up_Irr!BO29="."),up_dir!T29/((1/1000)*(up_Irr!S29+up_Irr!AQ29)),IF(AND(up_Irr!S29&lt;&gt;".",up_Irr!AQ29=".",up_Irr!BO29&lt;&gt;"."),up_dir!T29/((1/1000)*(up_Irr!S29+up_Irr!BO29)),IF(AND(up_Irr!S29=".",up_Irr!AQ29&lt;&gt;".",up_Irr!BO29&lt;&gt;"."),up_dir!T29/((1/1000)*(up_Irr!AQ29+up_Irr!BO29)),IF(AND(up_Irr!S29=".",up_Irr!AQ29=".",up_Irr!BO29&lt;&gt;"."),up_dir!T29/((1/1000)*(up_Irr!BO29)),IF(AND(up_Irr!S29=".",up_Irr!AQ29&lt;&gt;".",up_Irr!BO29="."),up_dir!T29/((1/1000)*(up_Irr!AQ29)),IF(AND(up_Irr!S29&lt;&gt;".",up_Irr!AQ29=".",up_Irr!BO29="."),up_dir!T29/((1/1000)*(up_Irr!S29)),IF(AND(up_Irr!S29=".",up_Irr!AQ29=".",up_Irr!BO29="."),up_dir!T29*1000)))))))),".")</f>
        <v>6.5773651144152131E-4</v>
      </c>
      <c r="U29" s="48">
        <f>IFERROR(IF(AND(up_Irr!T29&lt;&gt;".",up_Irr!AR29&lt;&gt;".",up_Irr!BP29&lt;&gt;"."),up_dir!U29/((1/1000)*(up_Irr!T29+up_Irr!AR29+up_Irr!BP29)),IF(AND(up_Irr!T29&lt;&gt;".",up_Irr!AR29&lt;&gt;".",up_Irr!BP29="."),up_dir!U29/((1/1000)*(up_Irr!T29+up_Irr!AR29)),IF(AND(up_Irr!T29&lt;&gt;".",up_Irr!AR29=".",up_Irr!BP29&lt;&gt;"."),up_dir!U29/((1/1000)*(up_Irr!T29+up_Irr!BP29)),IF(AND(up_Irr!T29=".",up_Irr!AR29&lt;&gt;".",up_Irr!BP29&lt;&gt;"."),up_dir!U29/((1/1000)*(up_Irr!AR29+up_Irr!BP29)),IF(AND(up_Irr!T29=".",up_Irr!AR29=".",up_Irr!BP29&lt;&gt;"."),up_dir!U29/((1/1000)*(up_Irr!BP29)),IF(AND(up_Irr!T29=".",up_Irr!AR29&lt;&gt;".",up_Irr!BP29="."),up_dir!U29/((1/1000)*(up_Irr!AR29)),IF(AND(up_Irr!T29&lt;&gt;".",up_Irr!AR29=".",up_Irr!BP29="."),up_dir!U29/((1/1000)*(up_Irr!T29)),IF(AND(up_Irr!T29=".",up_Irr!AR29=".",up_Irr!BP29="."),up_dir!U29*1000)))))))),".")</f>
        <v>6.5773651144152131E-4</v>
      </c>
      <c r="V29" s="48">
        <f>IFERROR(IF(AND(up_Irr!U29&lt;&gt;".",up_Irr!AS29&lt;&gt;".",up_Irr!BQ29&lt;&gt;"."),up_dir!V29/((1/1000)*(up_Irr!U29+up_Irr!AS29+up_Irr!BQ29)),IF(AND(up_Irr!U29&lt;&gt;".",up_Irr!AS29&lt;&gt;".",up_Irr!BQ29="."),up_dir!V29/((1/1000)*(up_Irr!U29+up_Irr!AS29)),IF(AND(up_Irr!U29&lt;&gt;".",up_Irr!AS29=".",up_Irr!BQ29&lt;&gt;"."),up_dir!V29/((1/1000)*(up_Irr!U29+up_Irr!BQ29)),IF(AND(up_Irr!U29=".",up_Irr!AS29&lt;&gt;".",up_Irr!BQ29&lt;&gt;"."),up_dir!V29/((1/1000)*(up_Irr!AS29+up_Irr!BQ29)),IF(AND(up_Irr!U29=".",up_Irr!AS29=".",up_Irr!BQ29&lt;&gt;"."),up_dir!V29/((1/1000)*(up_Irr!BQ29)),IF(AND(up_Irr!U29=".",up_Irr!AS29&lt;&gt;".",up_Irr!BQ29="."),up_dir!V29/((1/1000)*(up_Irr!AS29)),IF(AND(up_Irr!U29&lt;&gt;".",up_Irr!AS29=".",up_Irr!BQ29="."),up_dir!V29/((1/1000)*(up_Irr!U29)),IF(AND(up_Irr!U29=".",up_Irr!AS29=".",up_Irr!BQ29="."),up_dir!V29*1000)))))))),".")</f>
        <v>6.5773651144152131E-4</v>
      </c>
      <c r="W29" s="48">
        <f>IFERROR(IF(AND(up_Irr!V29&lt;&gt;".",up_Irr!AT29&lt;&gt;".",up_Irr!BR29&lt;&gt;"."),up_dir!W29/((1/1000)*(up_Irr!V29+up_Irr!AT29+up_Irr!BR29)),IF(AND(up_Irr!V29&lt;&gt;".",up_Irr!AT29&lt;&gt;".",up_Irr!BR29="."),up_dir!W29/((1/1000)*(up_Irr!V29+up_Irr!AT29)),IF(AND(up_Irr!V29&lt;&gt;".",up_Irr!AT29=".",up_Irr!BR29&lt;&gt;"."),up_dir!W29/((1/1000)*(up_Irr!V29+up_Irr!BR29)),IF(AND(up_Irr!V29=".",up_Irr!AT29&lt;&gt;".",up_Irr!BR29&lt;&gt;"."),up_dir!W29/((1/1000)*(up_Irr!AT29+up_Irr!BR29)),IF(AND(up_Irr!V29=".",up_Irr!AT29=".",up_Irr!BR29&lt;&gt;"."),up_dir!W29/((1/1000)*(up_Irr!BR29)),IF(AND(up_Irr!V29=".",up_Irr!AT29&lt;&gt;".",up_Irr!BR29="."),up_dir!W29/((1/1000)*(up_Irr!AT29)),IF(AND(up_Irr!V29&lt;&gt;".",up_Irr!AT29=".",up_Irr!BR29="."),up_dir!W29/((1/1000)*(up_Irr!V29)),IF(AND(up_Irr!V29=".",up_Irr!AT29=".",up_Irr!BR29="."),up_dir!W29*1000)))))))),".")</f>
        <v>6.5773651144152131E-4</v>
      </c>
      <c r="X29" s="48">
        <f>IFERROR(IF(AND(up_Irr!W29&lt;&gt;".",up_Irr!AU29&lt;&gt;".",up_Irr!BS29&lt;&gt;"."),up_dir!X29/((1/1000)*(up_Irr!W29+up_Irr!AU29+up_Irr!BS29)),IF(AND(up_Irr!W29&lt;&gt;".",up_Irr!AU29&lt;&gt;".",up_Irr!BS29="."),up_dir!X29/((1/1000)*(up_Irr!W29+up_Irr!AU29)),IF(AND(up_Irr!W29&lt;&gt;".",up_Irr!AU29=".",up_Irr!BS29&lt;&gt;"."),up_dir!X29/((1/1000)*(up_Irr!W29+up_Irr!BS29)),IF(AND(up_Irr!W29=".",up_Irr!AU29&lt;&gt;".",up_Irr!BS29&lt;&gt;"."),up_dir!X29/((1/1000)*(up_Irr!AU29+up_Irr!BS29)),IF(AND(up_Irr!W29=".",up_Irr!AU29=".",up_Irr!BS29&lt;&gt;"."),up_dir!X29/((1/1000)*(up_Irr!BS29)),IF(AND(up_Irr!W29=".",up_Irr!AU29&lt;&gt;".",up_Irr!BS29="."),up_dir!X29/((1/1000)*(up_Irr!AU29)),IF(AND(up_Irr!W29&lt;&gt;".",up_Irr!AU29=".",up_Irr!BS29="."),up_dir!X29/((1/1000)*(up_Irr!W29)),IF(AND(up_Irr!W29=".",up_Irr!AU29=".",up_Irr!BS29="."),up_dir!X29*1000)))))))),".")</f>
        <v>6.5773651144152131E-4</v>
      </c>
      <c r="Y29" s="48">
        <f>IFERROR(IF(AND(up_Irr!X29&lt;&gt;".",up_Irr!AV29&lt;&gt;".",up_Irr!BT29&lt;&gt;"."),up_dir!Y29/((1/1000)*(up_Irr!X29+up_Irr!AV29+up_Irr!BT29)),IF(AND(up_Irr!X29&lt;&gt;".",up_Irr!AV29&lt;&gt;".",up_Irr!BT29="."),up_dir!Y29/((1/1000)*(up_Irr!X29+up_Irr!AV29)),IF(AND(up_Irr!X29&lt;&gt;".",up_Irr!AV29=".",up_Irr!BT29&lt;&gt;"."),up_dir!Y29/((1/1000)*(up_Irr!X29+up_Irr!BT29)),IF(AND(up_Irr!X29=".",up_Irr!AV29&lt;&gt;".",up_Irr!BT29&lt;&gt;"."),up_dir!Y29/((1/1000)*(up_Irr!AV29+up_Irr!BT29)),IF(AND(up_Irr!X29=".",up_Irr!AV29=".",up_Irr!BT29&lt;&gt;"."),up_dir!Y29/((1/1000)*(up_Irr!BT29)),IF(AND(up_Irr!X29=".",up_Irr!AV29&lt;&gt;".",up_Irr!BT29="."),up_dir!Y29/((1/1000)*(up_Irr!AV29)),IF(AND(up_Irr!X29&lt;&gt;".",up_Irr!AV29=".",up_Irr!BT29="."),up_dir!Y29/((1/1000)*(up_Irr!X29)),IF(AND(up_Irr!X29=".",up_Irr!AV29=".",up_Irr!BT29="."),up_dir!Y29*1000)))))))),".")</f>
        <v>6.5773651144152131E-4</v>
      </c>
      <c r="Z29" s="48">
        <f>IFERROR(IF(AND(up_Irr!Y29&lt;&gt;".",up_Irr!AW29&lt;&gt;".",up_Irr!BU29&lt;&gt;"."),up_dir!Z29/((1/1000)*(up_Irr!Y29+up_Irr!AW29+up_Irr!BU29)),IF(AND(up_Irr!Y29&lt;&gt;".",up_Irr!AW29&lt;&gt;".",up_Irr!BU29="."),up_dir!Z29/((1/1000)*(up_Irr!Y29+up_Irr!AW29)),IF(AND(up_Irr!Y29&lt;&gt;".",up_Irr!AW29=".",up_Irr!BU29&lt;&gt;"."),up_dir!Z29/((1/1000)*(up_Irr!Y29+up_Irr!BU29)),IF(AND(up_Irr!Y29=".",up_Irr!AW29&lt;&gt;".",up_Irr!BU29&lt;&gt;"."),up_dir!Z29/((1/1000)*(up_Irr!AW29+up_Irr!BU29)),IF(AND(up_Irr!Y29=".",up_Irr!AW29=".",up_Irr!BU29&lt;&gt;"."),up_dir!Z29/((1/1000)*(up_Irr!BU29)),IF(AND(up_Irr!Y29=".",up_Irr!AW29&lt;&gt;".",up_Irr!BU29="."),up_dir!Z29/((1/1000)*(up_Irr!AW29)),IF(AND(up_Irr!Y29&lt;&gt;".",up_Irr!AW29=".",up_Irr!BU29="."),up_dir!Z29/((1/1000)*(up_Irr!Y29)),IF(AND(up_Irr!Y29=".",up_Irr!AW29=".",up_Irr!BU29="."),up_dir!Z29*1000)))))))),".")</f>
        <v>6.5773651144152131E-4</v>
      </c>
      <c r="AA29" s="48">
        <f>IFERROR(IF(AND(up_Irr!Z29&lt;&gt;".",up_Irr!AX29&lt;&gt;".",up_Irr!BV29&lt;&gt;"."),up_dir!AA29/((1/1000)*(up_Irr!Z29+up_Irr!AX29+up_Irr!BV29)),IF(AND(up_Irr!Z29&lt;&gt;".",up_Irr!AX29&lt;&gt;".",up_Irr!BV29="."),up_dir!AA29/((1/1000)*(up_Irr!Z29+up_Irr!AX29)),IF(AND(up_Irr!Z29&lt;&gt;".",up_Irr!AX29=".",up_Irr!BV29&lt;&gt;"."),up_dir!AA29/((1/1000)*(up_Irr!Z29+up_Irr!BV29)),IF(AND(up_Irr!Z29=".",up_Irr!AX29&lt;&gt;".",up_Irr!BV29&lt;&gt;"."),up_dir!AA29/((1/1000)*(up_Irr!AX29+up_Irr!BV29)),IF(AND(up_Irr!Z29=".",up_Irr!AX29=".",up_Irr!BV29&lt;&gt;"."),up_dir!AA29/((1/1000)*(up_Irr!BV29)),IF(AND(up_Irr!Z29=".",up_Irr!AX29&lt;&gt;".",up_Irr!BV29="."),up_dir!AA29/((1/1000)*(up_Irr!AX29)),IF(AND(up_Irr!Z29&lt;&gt;".",up_Irr!AX29=".",up_Irr!BV29="."),up_dir!AA29/((1/1000)*(up_Irr!Z29)),IF(AND(up_Irr!Z29=".",up_Irr!AX29=".",up_Irr!BV29="."),up_dir!AA29*1000)))))))),".")</f>
        <v>6.5773651144152131E-4</v>
      </c>
      <c r="AB29" s="62">
        <f t="shared" si="1"/>
        <v>22805.4847785862</v>
      </c>
      <c r="AC29" s="62">
        <f>IFERROR(s_C*s_IFAP_res_adj*s_CF_apple*0.001*(up_Irr!C29+up_Irr!AA29+up_Irr!AY29),".")</f>
        <v>7601.8282595287337</v>
      </c>
      <c r="AD29" s="62">
        <f>IFERROR(s_C*s_IFAS_res_adj*s_CF_asparagus*0.001*(up_Irr!D29+up_Irr!AB29+up_Irr!AZ29),".")</f>
        <v>7601.8282595287337</v>
      </c>
      <c r="AE29" s="62">
        <f>IFERROR(s_C*s_IFBT_res_adj*s_CF_beet*0.001*(up_Irr!E29+up_Irr!AC29+up_Irr!BA29),".")</f>
        <v>7601.8282595287337</v>
      </c>
      <c r="AF29" s="62">
        <f>IFERROR(s_C*s_IFBE_res_adj*s_CF_berries*0.001*(up_Irr!F29+up_Irr!AD29+up_Irr!BB29),".")</f>
        <v>7601.8282595287337</v>
      </c>
      <c r="AG29" s="62">
        <f>IFERROR(s_C*s_IFBR_res_adj*s_CF_broccoli*0.001*(up_Irr!G29+up_Irr!AE29+up_Irr!BC29),".")</f>
        <v>7601.8282595287337</v>
      </c>
      <c r="AH29" s="62">
        <f>IFERROR(s_C*s_IFCB_res_adj*s_CF_cabbage*0.001*(up_Irr!H29+up_Irr!AF29+up_Irr!BD29),".")</f>
        <v>7601.8282595287337</v>
      </c>
      <c r="AI29" s="62">
        <f>IFERROR(s_C*s_IFCR_res_adj*s_CF_carrot*0.001*(up_Irr!I29+up_Irr!AG29+up_Irr!BE29),".")</f>
        <v>7601.8282595287337</v>
      </c>
      <c r="AJ29" s="62">
        <f>IFERROR(s_C*s_IFCI_res_adj*s_CF_citrus*0.001*(up_Irr!J29+up_Irr!AH29+up_Irr!BF29),".")</f>
        <v>7601.8282595287337</v>
      </c>
      <c r="AK29" s="62">
        <f>IFERROR(s_C*s_IFCO_res_adj*s_CF_corn*0.001*(up_Irr!K29+up_Irr!AI29+up_Irr!BG29),".")</f>
        <v>7601.8282595287337</v>
      </c>
      <c r="AL29" s="62">
        <f>IFERROR(s_C*s_IFCU_res_adj*s_CF_cucumber*0.001*(up_Irr!L29+up_Irr!AJ29+up_Irr!BH29),".")</f>
        <v>7601.8282595287337</v>
      </c>
      <c r="AM29" s="62">
        <f>IFERROR(s_C*s_IFLE_res_adj*s_CF_lettuce*0.001*(up_Irr!M29+up_Irr!AK29+up_Irr!BI29),".")</f>
        <v>7601.8282595287337</v>
      </c>
      <c r="AN29" s="62">
        <f>IFERROR(s_C*s_IFLI_res_adj*s_CF_lima_bean*0.001*(up_Irr!N29+up_Irr!AL29+up_Irr!BJ29),".")</f>
        <v>7601.8282595287337</v>
      </c>
      <c r="AO29" s="62">
        <f>IFERROR(s_C*s_IFOK_res_adj*s_CF_okra*0.001*(up_Irr!O29+up_Irr!AM29+up_Irr!BK29),".")</f>
        <v>7601.8282595287337</v>
      </c>
      <c r="AP29" s="62">
        <f>IFERROR(s_C*s_IFON_res_adj*s_CF_onion*0.001*(up_Irr!P29+up_Irr!AN29+up_Irr!BL29),".")</f>
        <v>7601.8282595287337</v>
      </c>
      <c r="AQ29" s="62">
        <f>IFERROR(s_C*s_IFPC_res_adj*s_CF_peach*0.001*(up_Irr!Q29+up_Irr!AO29+up_Irr!BM29),".")</f>
        <v>7601.8282595287337</v>
      </c>
      <c r="AR29" s="62">
        <f>IFERROR(s_C*s_IFPR_res_adj*s_CF_pear*0.001*(up_Irr!R29+up_Irr!AP29+up_Irr!BN29),".")</f>
        <v>7601.8282595287337</v>
      </c>
      <c r="AS29" s="62">
        <f>IFERROR(s_C*s_IFPE_res_adj*s_CF_peas*0.001*(up_Irr!S29+up_Irr!AQ29+up_Irr!BO29),".")</f>
        <v>7601.8282595287337</v>
      </c>
      <c r="AT29" s="62">
        <f>IFERROR(s_C*s_IFPT_res_adj*s_CF_potato*0.001*(up_Irr!T29+up_Irr!AR29+up_Irr!BP29),".")</f>
        <v>7601.8282595287337</v>
      </c>
      <c r="AU29" s="62">
        <f>IFERROR(s_C*s_IFPU_res_adj*s_CF_pumpkin*0.001*(up_Irr!U29+up_Irr!AS29+up_Irr!BQ29),".")</f>
        <v>7601.8282595287337</v>
      </c>
      <c r="AV29" s="62">
        <f>IFERROR(s_C*s_IFSN_res_adj*s_CF_snap_bean*0.001*(up_Irr!V29+up_Irr!AT29+up_Irr!BR29),".")</f>
        <v>7601.8282595287337</v>
      </c>
      <c r="AW29" s="62">
        <f>IFERROR(s_C*s_IFST_res_adj*s_CF_strawberry*0.001*(up_Irr!W29+up_Irr!AU29+up_Irr!BS29),".")</f>
        <v>7601.8282595287337</v>
      </c>
      <c r="AX29" s="62">
        <f>IFERROR(s_C*s_IFTO_res_adj*s_CF_tomato*0.001*(up_Irr!X29+up_Irr!AV29+up_Irr!BT29),".")</f>
        <v>7601.8282595287337</v>
      </c>
      <c r="AY29" s="62">
        <f>IFERROR(s_C*s_IFRI_res_adj*s_CF_rice*0.001*(up_Irr!Y29+up_Irr!AW29+up_Irr!BU29),".")</f>
        <v>7601.8282595287337</v>
      </c>
      <c r="AZ29" s="62">
        <f>IFERROR(s_C*s_IFCG_res_adj*s_CF_cereal*0.001*(up_Irr!Z29+up_Irr!AX29+up_Irr!BV29),".")</f>
        <v>7601.8282595287337</v>
      </c>
      <c r="BA29" s="48">
        <f t="shared" si="2"/>
        <v>2.1924550381384044E-4</v>
      </c>
      <c r="BB29" s="48">
        <f>IFERROR(IF(AND(up_Irr!C29&lt;&gt;".",up_Irr!AA29&lt;&gt;".",up_Irr!AY29&lt;&gt;"."),up_dir!AC29/((1/1000)*(up_Irr!C29+up_Irr!AA29+up_Irr!AY29)),IF(AND(up_Irr!C29&lt;&gt;".",up_Irr!AA29&lt;&gt;".",up_Irr!AY29="."),up_dir!AC29/((1/1000)*(up_Irr!C29+up_Irr!AA29)),IF(AND(up_Irr!C29&lt;&gt;".",up_Irr!AA29=".",up_Irr!AY29&lt;&gt;"."),up_dir!AC29/((1/1000)*(up_Irr!C29+up_Irr!AY29)),IF(AND(up_Irr!C29=".",up_Irr!AA29&lt;&gt;".",up_Irr!AY29&lt;&gt;"."),up_dir!AC29/((1/1000)*(up_Irr!AA29+up_Irr!AY29)),IF(AND(up_Irr!C29=".",up_Irr!AA29=".",up_Irr!AY29&lt;&gt;"."),up_dir!AC29/((1/1000)*(up_Irr!AY29)),IF(AND(up_Irr!C29=".",up_Irr!AA29&lt;&gt;".",up_Irr!AY29="."),up_dir!AC29/((1/1000)*(up_Irr!AA29)),IF(AND(up_Irr!C29&lt;&gt;".",up_Irr!AA29=".",up_Irr!AY29="."),up_dir!AC29/((1/1000)*(up_Irr!C29)),IF(AND(up_Irr!C29=".",up_Irr!AA29=".",up_Irr!AY29="."),up_dir!AC29*1000)))))))),".")</f>
        <v>6.5773651144152131E-4</v>
      </c>
      <c r="BC29" s="48">
        <f>IFERROR(IF(AND(up_Irr!D29&lt;&gt;".",up_Irr!AB29&lt;&gt;".",up_Irr!AZ29&lt;&gt;"."),up_dir!AD29/((1/1000)*(up_Irr!D29+up_Irr!AB29+up_Irr!AZ29)),IF(AND(up_Irr!D29&lt;&gt;".",up_Irr!AB29&lt;&gt;".",up_Irr!AZ29="."),up_dir!AD29/((1/1000)*(up_Irr!D29+up_Irr!AB29)),IF(AND(up_Irr!D29&lt;&gt;".",up_Irr!AB29=".",up_Irr!AZ29&lt;&gt;"."),up_dir!AD29/((1/1000)*(up_Irr!D29+up_Irr!AZ29)),IF(AND(up_Irr!D29=".",up_Irr!AB29&lt;&gt;".",up_Irr!AZ29&lt;&gt;"."),up_dir!AD29/((1/1000)*(up_Irr!AB29+up_Irr!AZ29)),IF(AND(up_Irr!D29=".",up_Irr!AB29=".",up_Irr!AZ29&lt;&gt;"."),up_dir!AD29/((1/1000)*(up_Irr!AZ29)),IF(AND(up_Irr!D29=".",up_Irr!AB29&lt;&gt;".",up_Irr!AZ29="."),up_dir!AD29/((1/1000)*(up_Irr!AB29)),IF(AND(up_Irr!D29&lt;&gt;".",up_Irr!AB29=".",up_Irr!AZ29="."),up_dir!AD29/((1/1000)*(up_Irr!D29)),IF(AND(up_Irr!D29=".",up_Irr!AB29=".",up_Irr!AZ29="."),up_dir!AD29*1000)))))))),".")</f>
        <v>6.5773651144152131E-4</v>
      </c>
      <c r="BD29" s="48">
        <f>IFERROR(IF(AND(up_Irr!E29&lt;&gt;".",up_Irr!AC29&lt;&gt;".",up_Irr!BA29&lt;&gt;"."),up_dir!AE29/((1/1000)*(up_Irr!E29+up_Irr!AC29+up_Irr!BA29)),IF(AND(up_Irr!E29&lt;&gt;".",up_Irr!AC29&lt;&gt;".",up_Irr!BA29="."),up_dir!AE29/((1/1000)*(up_Irr!E29+up_Irr!AC29)),IF(AND(up_Irr!E29&lt;&gt;".",up_Irr!AC29=".",up_Irr!BA29&lt;&gt;"."),up_dir!AE29/((1/1000)*(up_Irr!E29+up_Irr!BA29)),IF(AND(up_Irr!E29=".",up_Irr!AC29&lt;&gt;".",up_Irr!BA29&lt;&gt;"."),up_dir!AE29/((1/1000)*(up_Irr!AC29+up_Irr!BA29)),IF(AND(up_Irr!E29=".",up_Irr!AC29=".",up_Irr!BA29&lt;&gt;"."),up_dir!AE29/((1/1000)*(up_Irr!BA29)),IF(AND(up_Irr!E29=".",up_Irr!AC29&lt;&gt;".",up_Irr!BA29="."),up_dir!AE29/((1/1000)*(up_Irr!AC29)),IF(AND(up_Irr!E29&lt;&gt;".",up_Irr!AC29=".",up_Irr!BA29="."),up_dir!AE29/((1/1000)*(up_Irr!E29)),IF(AND(up_Irr!E29=".",up_Irr!AC29=".",up_Irr!BA29="."),up_dir!AE29*1000)))))))),".")</f>
        <v>6.5773651144152131E-4</v>
      </c>
      <c r="BE29" s="48">
        <f>IFERROR(IF(AND(up_Irr!F29&lt;&gt;".",up_Irr!AD29&lt;&gt;".",up_Irr!BB29&lt;&gt;"."),up_dir!AF29/((1/1000)*(up_Irr!F29+up_Irr!AD29+up_Irr!BB29)),IF(AND(up_Irr!F29&lt;&gt;".",up_Irr!AD29&lt;&gt;".",up_Irr!BB29="."),up_dir!AF29/((1/1000)*(up_Irr!F29+up_Irr!AD29)),IF(AND(up_Irr!F29&lt;&gt;".",up_Irr!AD29=".",up_Irr!BB29&lt;&gt;"."),up_dir!AF29/((1/1000)*(up_Irr!F29+up_Irr!BB29)),IF(AND(up_Irr!F29=".",up_Irr!AD29&lt;&gt;".",up_Irr!BB29&lt;&gt;"."),up_dir!AF29/((1/1000)*(up_Irr!AD29+up_Irr!BB29)),IF(AND(up_Irr!F29=".",up_Irr!AD29=".",up_Irr!BB29&lt;&gt;"."),up_dir!AF29/((1/1000)*(up_Irr!BB29)),IF(AND(up_Irr!F29=".",up_Irr!AD29&lt;&gt;".",up_Irr!BB29="."),up_dir!AF29/((1/1000)*(up_Irr!AD29)),IF(AND(up_Irr!F29&lt;&gt;".",up_Irr!AD29=".",up_Irr!BB29="."),up_dir!AF29/((1/1000)*(up_Irr!F29)),IF(AND(up_Irr!F29=".",up_Irr!AD29=".",up_Irr!BB29="."),up_dir!AF29*1000)))))))),".")</f>
        <v>6.5773651144152131E-4</v>
      </c>
      <c r="BF29" s="48">
        <f>IFERROR(IF(AND(up_Irr!G29&lt;&gt;".",up_Irr!AE29&lt;&gt;".",up_Irr!BC29&lt;&gt;"."),up_dir!AG29/((1/1000)*(up_Irr!G29+up_Irr!AE29+up_Irr!BC29)),IF(AND(up_Irr!G29&lt;&gt;".",up_Irr!AE29&lt;&gt;".",up_Irr!BC29="."),up_dir!AG29/((1/1000)*(up_Irr!G29+up_Irr!AE29)),IF(AND(up_Irr!G29&lt;&gt;".",up_Irr!AE29=".",up_Irr!BC29&lt;&gt;"."),up_dir!AG29/((1/1000)*(up_Irr!G29+up_Irr!BC29)),IF(AND(up_Irr!G29=".",up_Irr!AE29&lt;&gt;".",up_Irr!BC29&lt;&gt;"."),up_dir!AG29/((1/1000)*(up_Irr!AE29+up_Irr!BC29)),IF(AND(up_Irr!G29=".",up_Irr!AE29=".",up_Irr!BC29&lt;&gt;"."),up_dir!AG29/((1/1000)*(up_Irr!BC29)),IF(AND(up_Irr!G29=".",up_Irr!AE29&lt;&gt;".",up_Irr!BC29="."),up_dir!AG29/((1/1000)*(up_Irr!AE29)),IF(AND(up_Irr!G29&lt;&gt;".",up_Irr!AE29=".",up_Irr!BC29="."),up_dir!AG29/((1/1000)*(up_Irr!G29)),IF(AND(up_Irr!G29=".",up_Irr!AE29=".",up_Irr!BC29="."),up_dir!AG29*1000)))))))),".")</f>
        <v>6.5773651144152131E-4</v>
      </c>
      <c r="BG29" s="48">
        <f>IFERROR(IF(AND(up_Irr!H29&lt;&gt;".",up_Irr!AF29&lt;&gt;".",up_Irr!BD29&lt;&gt;"."),up_dir!AH29/((1/1000)*(up_Irr!H29+up_Irr!AF29+up_Irr!BD29)),IF(AND(up_Irr!H29&lt;&gt;".",up_Irr!AF29&lt;&gt;".",up_Irr!BD29="."),up_dir!AH29/((1/1000)*(up_Irr!H29+up_Irr!AF29)),IF(AND(up_Irr!H29&lt;&gt;".",up_Irr!AF29=".",up_Irr!BD29&lt;&gt;"."),up_dir!AH29/((1/1000)*(up_Irr!H29+up_Irr!BD29)),IF(AND(up_Irr!H29=".",up_Irr!AF29&lt;&gt;".",up_Irr!BD29&lt;&gt;"."),up_dir!AH29/((1/1000)*(up_Irr!AF29+up_Irr!BD29)),IF(AND(up_Irr!H29=".",up_Irr!AF29=".",up_Irr!BD29&lt;&gt;"."),up_dir!AH29/((1/1000)*(up_Irr!BD29)),IF(AND(up_Irr!H29=".",up_Irr!AF29&lt;&gt;".",up_Irr!BD29="."),up_dir!AH29/((1/1000)*(up_Irr!AF29)),IF(AND(up_Irr!H29&lt;&gt;".",up_Irr!AF29=".",up_Irr!BD29="."),up_dir!AH29/((1/1000)*(up_Irr!H29)),IF(AND(up_Irr!H29=".",up_Irr!AF29=".",up_Irr!BD29="."),up_dir!AH29*1000)))))))),".")</f>
        <v>6.5773651144152131E-4</v>
      </c>
      <c r="BH29" s="48">
        <f>IFERROR(IF(AND(up_Irr!I29&lt;&gt;".",up_Irr!AG29&lt;&gt;".",up_Irr!BE29&lt;&gt;"."),up_dir!AI29/((1/1000)*(up_Irr!I29+up_Irr!AG29+up_Irr!BE29)),IF(AND(up_Irr!I29&lt;&gt;".",up_Irr!AG29&lt;&gt;".",up_Irr!BE29="."),up_dir!AI29/((1/1000)*(up_Irr!I29+up_Irr!AG29)),IF(AND(up_Irr!I29&lt;&gt;".",up_Irr!AG29=".",up_Irr!BE29&lt;&gt;"."),up_dir!AI29/((1/1000)*(up_Irr!I29+up_Irr!BE29)),IF(AND(up_Irr!I29=".",up_Irr!AG29&lt;&gt;".",up_Irr!BE29&lt;&gt;"."),up_dir!AI29/((1/1000)*(up_Irr!AG29+up_Irr!BE29)),IF(AND(up_Irr!I29=".",up_Irr!AG29=".",up_Irr!BE29&lt;&gt;"."),up_dir!AI29/((1/1000)*(up_Irr!BE29)),IF(AND(up_Irr!I29=".",up_Irr!AG29&lt;&gt;".",up_Irr!BE29="."),up_dir!AI29/((1/1000)*(up_Irr!AG29)),IF(AND(up_Irr!I29&lt;&gt;".",up_Irr!AG29=".",up_Irr!BE29="."),up_dir!AI29/((1/1000)*(up_Irr!I29)),IF(AND(up_Irr!I29=".",up_Irr!AG29=".",up_Irr!BE29="."),up_dir!AI29*1000)))))))),".")</f>
        <v>6.5773651144152131E-4</v>
      </c>
      <c r="BI29" s="48">
        <f>IFERROR(IF(AND(up_Irr!J29&lt;&gt;".",up_Irr!AH29&lt;&gt;".",up_Irr!BF29&lt;&gt;"."),up_dir!AJ29/((1/1000)*(up_Irr!J29+up_Irr!AH29+up_Irr!BF29)),IF(AND(up_Irr!J29&lt;&gt;".",up_Irr!AH29&lt;&gt;".",up_Irr!BF29="."),up_dir!AJ29/((1/1000)*(up_Irr!J29+up_Irr!AH29)),IF(AND(up_Irr!J29&lt;&gt;".",up_Irr!AH29=".",up_Irr!BF29&lt;&gt;"."),up_dir!AJ29/((1/1000)*(up_Irr!J29+up_Irr!BF29)),IF(AND(up_Irr!J29=".",up_Irr!AH29&lt;&gt;".",up_Irr!BF29&lt;&gt;"."),up_dir!AJ29/((1/1000)*(up_Irr!AH29+up_Irr!BF29)),IF(AND(up_Irr!J29=".",up_Irr!AH29=".",up_Irr!BF29&lt;&gt;"."),up_dir!AJ29/((1/1000)*(up_Irr!BF29)),IF(AND(up_Irr!J29=".",up_Irr!AH29&lt;&gt;".",up_Irr!BF29="."),up_dir!AJ29/((1/1000)*(up_Irr!AH29)),IF(AND(up_Irr!J29&lt;&gt;".",up_Irr!AH29=".",up_Irr!BF29="."),up_dir!AJ29/((1/1000)*(up_Irr!J29)),IF(AND(up_Irr!J29=".",up_Irr!AH29=".",up_Irr!BF29="."),up_dir!AJ29*1000)))))))),".")</f>
        <v>6.5773651144152131E-4</v>
      </c>
      <c r="BJ29" s="48">
        <f>IFERROR(IF(AND(up_Irr!K29&lt;&gt;".",up_Irr!AI29&lt;&gt;".",up_Irr!BG29&lt;&gt;"."),up_dir!AK29/((1/1000)*(up_Irr!K29+up_Irr!AI29+up_Irr!BG29)),IF(AND(up_Irr!K29&lt;&gt;".",up_Irr!AI29&lt;&gt;".",up_Irr!BG29="."),up_dir!AK29/((1/1000)*(up_Irr!K29+up_Irr!AI29)),IF(AND(up_Irr!K29&lt;&gt;".",up_Irr!AI29=".",up_Irr!BG29&lt;&gt;"."),up_dir!AK29/((1/1000)*(up_Irr!K29+up_Irr!BG29)),IF(AND(up_Irr!K29=".",up_Irr!AI29&lt;&gt;".",up_Irr!BG29&lt;&gt;"."),up_dir!AK29/((1/1000)*(up_Irr!AI29+up_Irr!BG29)),IF(AND(up_Irr!K29=".",up_Irr!AI29=".",up_Irr!BG29&lt;&gt;"."),up_dir!AK29/((1/1000)*(up_Irr!BG29)),IF(AND(up_Irr!K29=".",up_Irr!AI29&lt;&gt;".",up_Irr!BG29="."),up_dir!AK29/((1/1000)*(up_Irr!AI29)),IF(AND(up_Irr!K29&lt;&gt;".",up_Irr!AI29=".",up_Irr!BG29="."),up_dir!AK29/((1/1000)*(up_Irr!K29)),IF(AND(up_Irr!K29=".",up_Irr!AI29=".",up_Irr!BG29="."),up_dir!AK29*1000)))))))),".")</f>
        <v>6.5773651144152131E-4</v>
      </c>
      <c r="BK29" s="48">
        <f>IFERROR(IF(AND(up_Irr!L29&lt;&gt;".",up_Irr!AJ29&lt;&gt;".",up_Irr!BH29&lt;&gt;"."),up_dir!AL29/((1/1000)*(up_Irr!L29+up_Irr!AJ29+up_Irr!BH29)),IF(AND(up_Irr!L29&lt;&gt;".",up_Irr!AJ29&lt;&gt;".",up_Irr!BH29="."),up_dir!AL29/((1/1000)*(up_Irr!L29+up_Irr!AJ29)),IF(AND(up_Irr!L29&lt;&gt;".",up_Irr!AJ29=".",up_Irr!BH29&lt;&gt;"."),up_dir!AL29/((1/1000)*(up_Irr!L29+up_Irr!BH29)),IF(AND(up_Irr!L29=".",up_Irr!AJ29&lt;&gt;".",up_Irr!BH29&lt;&gt;"."),up_dir!AL29/((1/1000)*(up_Irr!AJ29+up_Irr!BH29)),IF(AND(up_Irr!L29=".",up_Irr!AJ29=".",up_Irr!BH29&lt;&gt;"."),up_dir!AL29/((1/1000)*(up_Irr!BH29)),IF(AND(up_Irr!L29=".",up_Irr!AJ29&lt;&gt;".",up_Irr!BH29="."),up_dir!AL29/((1/1000)*(up_Irr!AJ29)),IF(AND(up_Irr!L29&lt;&gt;".",up_Irr!AJ29=".",up_Irr!BH29="."),up_dir!AL29/((1/1000)*(up_Irr!L29)),IF(AND(up_Irr!L29=".",up_Irr!AJ29=".",up_Irr!BH29="."),up_dir!AL29*1000)))))))),".")</f>
        <v>6.5773651144152131E-4</v>
      </c>
      <c r="BL29" s="48">
        <f>IFERROR(IF(AND(up_Irr!M29&lt;&gt;".",up_Irr!AK29&lt;&gt;".",up_Irr!BI29&lt;&gt;"."),up_dir!AM29/((1/1000)*(up_Irr!M29+up_Irr!AK29+up_Irr!BI29)),IF(AND(up_Irr!M29&lt;&gt;".",up_Irr!AK29&lt;&gt;".",up_Irr!BI29="."),up_dir!AM29/((1/1000)*(up_Irr!M29+up_Irr!AK29)),IF(AND(up_Irr!M29&lt;&gt;".",up_Irr!AK29=".",up_Irr!BI29&lt;&gt;"."),up_dir!AM29/((1/1000)*(up_Irr!M29+up_Irr!BI29)),IF(AND(up_Irr!M29=".",up_Irr!AK29&lt;&gt;".",up_Irr!BI29&lt;&gt;"."),up_dir!AM29/((1/1000)*(up_Irr!AK29+up_Irr!BI29)),IF(AND(up_Irr!M29=".",up_Irr!AK29=".",up_Irr!BI29&lt;&gt;"."),up_dir!AM29/((1/1000)*(up_Irr!BI29)),IF(AND(up_Irr!M29=".",up_Irr!AK29&lt;&gt;".",up_Irr!BI29="."),up_dir!AM29/((1/1000)*(up_Irr!AK29)),IF(AND(up_Irr!M29&lt;&gt;".",up_Irr!AK29=".",up_Irr!BI29="."),up_dir!AM29/((1/1000)*(up_Irr!M29)),IF(AND(up_Irr!M29=".",up_Irr!AK29=".",up_Irr!BI29="."),up_dir!AM29*1000)))))))),".")</f>
        <v>6.5773651144152131E-4</v>
      </c>
      <c r="BM29" s="48">
        <f>IFERROR(IF(AND(up_Irr!N29&lt;&gt;".",up_Irr!AL29&lt;&gt;".",up_Irr!BJ29&lt;&gt;"."),up_dir!AN29/((1/1000)*(up_Irr!N29+up_Irr!AL29+up_Irr!BJ29)),IF(AND(up_Irr!N29&lt;&gt;".",up_Irr!AL29&lt;&gt;".",up_Irr!BJ29="."),up_dir!AN29/((1/1000)*(up_Irr!N29+up_Irr!AL29)),IF(AND(up_Irr!N29&lt;&gt;".",up_Irr!AL29=".",up_Irr!BJ29&lt;&gt;"."),up_dir!AN29/((1/1000)*(up_Irr!N29+up_Irr!BJ29)),IF(AND(up_Irr!N29=".",up_Irr!AL29&lt;&gt;".",up_Irr!BJ29&lt;&gt;"."),up_dir!AN29/((1/1000)*(up_Irr!AL29+up_Irr!BJ29)),IF(AND(up_Irr!N29=".",up_Irr!AL29=".",up_Irr!BJ29&lt;&gt;"."),up_dir!AN29/((1/1000)*(up_Irr!BJ29)),IF(AND(up_Irr!N29=".",up_Irr!AL29&lt;&gt;".",up_Irr!BJ29="."),up_dir!AN29/((1/1000)*(up_Irr!AL29)),IF(AND(up_Irr!N29&lt;&gt;".",up_Irr!AL29=".",up_Irr!BJ29="."),up_dir!AN29/((1/1000)*(up_Irr!N29)),IF(AND(up_Irr!N29=".",up_Irr!AL29=".",up_Irr!BJ29="."),up_dir!AN29*1000)))))))),".")</f>
        <v>6.5773651144152131E-4</v>
      </c>
      <c r="BN29" s="48">
        <f>IFERROR(IF(AND(up_Irr!O29&lt;&gt;".",up_Irr!AM29&lt;&gt;".",up_Irr!BK29&lt;&gt;"."),up_dir!AO29/((1/1000)*(up_Irr!O29+up_Irr!AM29+up_Irr!BK29)),IF(AND(up_Irr!O29&lt;&gt;".",up_Irr!AM29&lt;&gt;".",up_Irr!BK29="."),up_dir!AO29/((1/1000)*(up_Irr!O29+up_Irr!AM29)),IF(AND(up_Irr!O29&lt;&gt;".",up_Irr!AM29=".",up_Irr!BK29&lt;&gt;"."),up_dir!AO29/((1/1000)*(up_Irr!O29+up_Irr!BK29)),IF(AND(up_Irr!O29=".",up_Irr!AM29&lt;&gt;".",up_Irr!BK29&lt;&gt;"."),up_dir!AO29/((1/1000)*(up_Irr!AM29+up_Irr!BK29)),IF(AND(up_Irr!O29=".",up_Irr!AM29=".",up_Irr!BK29&lt;&gt;"."),up_dir!AO29/((1/1000)*(up_Irr!BK29)),IF(AND(up_Irr!O29=".",up_Irr!AM29&lt;&gt;".",up_Irr!BK29="."),up_dir!AO29/((1/1000)*(up_Irr!AM29)),IF(AND(up_Irr!O29&lt;&gt;".",up_Irr!AM29=".",up_Irr!BK29="."),up_dir!AO29/((1/1000)*(up_Irr!O29)),IF(AND(up_Irr!O29=".",up_Irr!AM29=".",up_Irr!BK29="."),up_dir!AO29*1000)))))))),".")</f>
        <v>6.5773651144152131E-4</v>
      </c>
      <c r="BO29" s="48">
        <f>IFERROR(IF(AND(up_Irr!P29&lt;&gt;".",up_Irr!AN29&lt;&gt;".",up_Irr!BL29&lt;&gt;"."),up_dir!AP29/((1/1000)*(up_Irr!P29+up_Irr!AN29+up_Irr!BL29)),IF(AND(up_Irr!P29&lt;&gt;".",up_Irr!AN29&lt;&gt;".",up_Irr!BL29="."),up_dir!AP29/((1/1000)*(up_Irr!P29+up_Irr!AN29)),IF(AND(up_Irr!P29&lt;&gt;".",up_Irr!AN29=".",up_Irr!BL29&lt;&gt;"."),up_dir!AP29/((1/1000)*(up_Irr!P29+up_Irr!BL29)),IF(AND(up_Irr!P29=".",up_Irr!AN29&lt;&gt;".",up_Irr!BL29&lt;&gt;"."),up_dir!AP29/((1/1000)*(up_Irr!AN29+up_Irr!BL29)),IF(AND(up_Irr!P29=".",up_Irr!AN29=".",up_Irr!BL29&lt;&gt;"."),up_dir!AP29/((1/1000)*(up_Irr!BL29)),IF(AND(up_Irr!P29=".",up_Irr!AN29&lt;&gt;".",up_Irr!BL29="."),up_dir!AP29/((1/1000)*(up_Irr!AN29)),IF(AND(up_Irr!P29&lt;&gt;".",up_Irr!AN29=".",up_Irr!BL29="."),up_dir!AP29/((1/1000)*(up_Irr!P29)),IF(AND(up_Irr!P29=".",up_Irr!AN29=".",up_Irr!BL29="."),up_dir!AP29*1000)))))))),".")</f>
        <v>6.5773651144152131E-4</v>
      </c>
      <c r="BP29" s="48">
        <f>IFERROR(IF(AND(up_Irr!Q29&lt;&gt;".",up_Irr!AO29&lt;&gt;".",up_Irr!BM29&lt;&gt;"."),up_dir!AQ29/((1/1000)*(up_Irr!Q29+up_Irr!AO29+up_Irr!BM29)),IF(AND(up_Irr!Q29&lt;&gt;".",up_Irr!AO29&lt;&gt;".",up_Irr!BM29="."),up_dir!AQ29/((1/1000)*(up_Irr!Q29+up_Irr!AO29)),IF(AND(up_Irr!Q29&lt;&gt;".",up_Irr!AO29=".",up_Irr!BM29&lt;&gt;"."),up_dir!AQ29/((1/1000)*(up_Irr!Q29+up_Irr!BM29)),IF(AND(up_Irr!Q29=".",up_Irr!AO29&lt;&gt;".",up_Irr!BM29&lt;&gt;"."),up_dir!AQ29/((1/1000)*(up_Irr!AO29+up_Irr!BM29)),IF(AND(up_Irr!Q29=".",up_Irr!AO29=".",up_Irr!BM29&lt;&gt;"."),up_dir!AQ29/((1/1000)*(up_Irr!BM29)),IF(AND(up_Irr!Q29=".",up_Irr!AO29&lt;&gt;".",up_Irr!BM29="."),up_dir!AQ29/((1/1000)*(up_Irr!AO29)),IF(AND(up_Irr!Q29&lt;&gt;".",up_Irr!AO29=".",up_Irr!BM29="."),up_dir!AQ29/((1/1000)*(up_Irr!Q29)),IF(AND(up_Irr!Q29=".",up_Irr!AO29=".",up_Irr!BM29="."),up_dir!AQ29*1000)))))))),".")</f>
        <v>6.5773651144152131E-4</v>
      </c>
      <c r="BQ29" s="48">
        <f>IFERROR(IF(AND(up_Irr!R29&lt;&gt;".",up_Irr!AP29&lt;&gt;".",up_Irr!BN29&lt;&gt;"."),up_dir!AR29/((1/1000)*(up_Irr!R29+up_Irr!AP29+up_Irr!BN29)),IF(AND(up_Irr!R29&lt;&gt;".",up_Irr!AP29&lt;&gt;".",up_Irr!BN29="."),up_dir!AR29/((1/1000)*(up_Irr!R29+up_Irr!AP29)),IF(AND(up_Irr!R29&lt;&gt;".",up_Irr!AP29=".",up_Irr!BN29&lt;&gt;"."),up_dir!AR29/((1/1000)*(up_Irr!R29+up_Irr!BN29)),IF(AND(up_Irr!R29=".",up_Irr!AP29&lt;&gt;".",up_Irr!BN29&lt;&gt;"."),up_dir!AR29/((1/1000)*(up_Irr!AP29+up_Irr!BN29)),IF(AND(up_Irr!R29=".",up_Irr!AP29=".",up_Irr!BN29&lt;&gt;"."),up_dir!AR29/((1/1000)*(up_Irr!BN29)),IF(AND(up_Irr!R29=".",up_Irr!AP29&lt;&gt;".",up_Irr!BN29="."),up_dir!AR29/((1/1000)*(up_Irr!AP29)),IF(AND(up_Irr!R29&lt;&gt;".",up_Irr!AP29=".",up_Irr!BN29="."),up_dir!AR29/((1/1000)*(up_Irr!R29)),IF(AND(up_Irr!R29=".",up_Irr!AP29=".",up_Irr!BN29="."),up_dir!AR29*1000)))))))),".")</f>
        <v>6.5773651144152131E-4</v>
      </c>
      <c r="BR29" s="48">
        <f>IFERROR(IF(AND(up_Irr!S29&lt;&gt;".",up_Irr!AQ29&lt;&gt;".",up_Irr!BO29&lt;&gt;"."),up_dir!AS29/((1/1000)*(up_Irr!S29+up_Irr!AQ29+up_Irr!BO29)),IF(AND(up_Irr!S29&lt;&gt;".",up_Irr!AQ29&lt;&gt;".",up_Irr!BO29="."),up_dir!AS29/((1/1000)*(up_Irr!S29+up_Irr!AQ29)),IF(AND(up_Irr!S29&lt;&gt;".",up_Irr!AQ29=".",up_Irr!BO29&lt;&gt;"."),up_dir!AS29/((1/1000)*(up_Irr!S29+up_Irr!BO29)),IF(AND(up_Irr!S29=".",up_Irr!AQ29&lt;&gt;".",up_Irr!BO29&lt;&gt;"."),up_dir!AS29/((1/1000)*(up_Irr!AQ29+up_Irr!BO29)),IF(AND(up_Irr!S29=".",up_Irr!AQ29=".",up_Irr!BO29&lt;&gt;"."),up_dir!AS29/((1/1000)*(up_Irr!BO29)),IF(AND(up_Irr!S29=".",up_Irr!AQ29&lt;&gt;".",up_Irr!BO29="."),up_dir!AS29/((1/1000)*(up_Irr!AQ29)),IF(AND(up_Irr!S29&lt;&gt;".",up_Irr!AQ29=".",up_Irr!BO29="."),up_dir!AS29/((1/1000)*(up_Irr!S29)),IF(AND(up_Irr!S29=".",up_Irr!AQ29=".",up_Irr!BO29="."),up_dir!AS29*1000)))))))),".")</f>
        <v>6.5773651144152131E-4</v>
      </c>
      <c r="BS29" s="48">
        <f>IFERROR(IF(AND(up_Irr!T29&lt;&gt;".",up_Irr!AR29&lt;&gt;".",up_Irr!BP29&lt;&gt;"."),up_dir!AT29/((1/1000)*(up_Irr!T29+up_Irr!AR29+up_Irr!BP29)),IF(AND(up_Irr!T29&lt;&gt;".",up_Irr!AR29&lt;&gt;".",up_Irr!BP29="."),up_dir!AT29/((1/1000)*(up_Irr!T29+up_Irr!AR29)),IF(AND(up_Irr!T29&lt;&gt;".",up_Irr!AR29=".",up_Irr!BP29&lt;&gt;"."),up_dir!AT29/((1/1000)*(up_Irr!T29+up_Irr!BP29)),IF(AND(up_Irr!T29=".",up_Irr!AR29&lt;&gt;".",up_Irr!BP29&lt;&gt;"."),up_dir!AT29/((1/1000)*(up_Irr!AR29+up_Irr!BP29)),IF(AND(up_Irr!T29=".",up_Irr!AR29=".",up_Irr!BP29&lt;&gt;"."),up_dir!AT29/((1/1000)*(up_Irr!BP29)),IF(AND(up_Irr!T29=".",up_Irr!AR29&lt;&gt;".",up_Irr!BP29="."),up_dir!AT29/((1/1000)*(up_Irr!AR29)),IF(AND(up_Irr!T29&lt;&gt;".",up_Irr!AR29=".",up_Irr!BP29="."),up_dir!AT29/((1/1000)*(up_Irr!T29)),IF(AND(up_Irr!T29=".",up_Irr!AR29=".",up_Irr!BP29="."),up_dir!AT29*1000)))))))),".")</f>
        <v>6.5773651144152131E-4</v>
      </c>
      <c r="BT29" s="48">
        <f>IFERROR(IF(AND(up_Irr!U29&lt;&gt;".",up_Irr!AS29&lt;&gt;".",up_Irr!BQ29&lt;&gt;"."),up_dir!AU29/((1/1000)*(up_Irr!U29+up_Irr!AS29+up_Irr!BQ29)),IF(AND(up_Irr!U29&lt;&gt;".",up_Irr!AS29&lt;&gt;".",up_Irr!BQ29="."),up_dir!AU29/((1/1000)*(up_Irr!U29+up_Irr!AS29)),IF(AND(up_Irr!U29&lt;&gt;".",up_Irr!AS29=".",up_Irr!BQ29&lt;&gt;"."),up_dir!AU29/((1/1000)*(up_Irr!U29+up_Irr!BQ29)),IF(AND(up_Irr!U29=".",up_Irr!AS29&lt;&gt;".",up_Irr!BQ29&lt;&gt;"."),up_dir!AU29/((1/1000)*(up_Irr!AS29+up_Irr!BQ29)),IF(AND(up_Irr!U29=".",up_Irr!AS29=".",up_Irr!BQ29&lt;&gt;"."),up_dir!AU29/((1/1000)*(up_Irr!BQ29)),IF(AND(up_Irr!U29=".",up_Irr!AS29&lt;&gt;".",up_Irr!BQ29="."),up_dir!AU29/((1/1000)*(up_Irr!AS29)),IF(AND(up_Irr!U29&lt;&gt;".",up_Irr!AS29=".",up_Irr!BQ29="."),up_dir!AU29/((1/1000)*(up_Irr!U29)),IF(AND(up_Irr!U29=".",up_Irr!AS29=".",up_Irr!BQ29="."),up_dir!AU29*1000)))))))),".")</f>
        <v>6.5773651144152131E-4</v>
      </c>
      <c r="BU29" s="48">
        <f>IFERROR(IF(AND(up_Irr!V29&lt;&gt;".",up_Irr!AT29&lt;&gt;".",up_Irr!BR29&lt;&gt;"."),up_dir!AV29/((1/1000)*(up_Irr!V29+up_Irr!AT29+up_Irr!BR29)),IF(AND(up_Irr!V29&lt;&gt;".",up_Irr!AT29&lt;&gt;".",up_Irr!BR29="."),up_dir!AV29/((1/1000)*(up_Irr!V29+up_Irr!AT29)),IF(AND(up_Irr!V29&lt;&gt;".",up_Irr!AT29=".",up_Irr!BR29&lt;&gt;"."),up_dir!AV29/((1/1000)*(up_Irr!V29+up_Irr!BR29)),IF(AND(up_Irr!V29=".",up_Irr!AT29&lt;&gt;".",up_Irr!BR29&lt;&gt;"."),up_dir!AV29/((1/1000)*(up_Irr!AT29+up_Irr!BR29)),IF(AND(up_Irr!V29=".",up_Irr!AT29=".",up_Irr!BR29&lt;&gt;"."),up_dir!AV29/((1/1000)*(up_Irr!BR29)),IF(AND(up_Irr!V29=".",up_Irr!AT29&lt;&gt;".",up_Irr!BR29="."),up_dir!AV29/((1/1000)*(up_Irr!AT29)),IF(AND(up_Irr!V29&lt;&gt;".",up_Irr!AT29=".",up_Irr!BR29="."),up_dir!AV29/((1/1000)*(up_Irr!V29)),IF(AND(up_Irr!V29=".",up_Irr!AT29=".",up_Irr!BR29="."),up_dir!AV29*1000)))))))),".")</f>
        <v>6.5773651144152131E-4</v>
      </c>
      <c r="BV29" s="48">
        <f>IFERROR(IF(AND(up_Irr!W29&lt;&gt;".",up_Irr!AU29&lt;&gt;".",up_Irr!BS29&lt;&gt;"."),up_dir!AW29/((1/1000)*(up_Irr!W29+up_Irr!AU29+up_Irr!BS29)),IF(AND(up_Irr!W29&lt;&gt;".",up_Irr!AU29&lt;&gt;".",up_Irr!BS29="."),up_dir!AW29/((1/1000)*(up_Irr!W29+up_Irr!AU29)),IF(AND(up_Irr!W29&lt;&gt;".",up_Irr!AU29=".",up_Irr!BS29&lt;&gt;"."),up_dir!AW29/((1/1000)*(up_Irr!W29+up_Irr!BS29)),IF(AND(up_Irr!W29=".",up_Irr!AU29&lt;&gt;".",up_Irr!BS29&lt;&gt;"."),up_dir!AW29/((1/1000)*(up_Irr!AU29+up_Irr!BS29)),IF(AND(up_Irr!W29=".",up_Irr!AU29=".",up_Irr!BS29&lt;&gt;"."),up_dir!AW29/((1/1000)*(up_Irr!BS29)),IF(AND(up_Irr!W29=".",up_Irr!AU29&lt;&gt;".",up_Irr!BS29="."),up_dir!AW29/((1/1000)*(up_Irr!AU29)),IF(AND(up_Irr!W29&lt;&gt;".",up_Irr!AU29=".",up_Irr!BS29="."),up_dir!AW29/((1/1000)*(up_Irr!W29)),IF(AND(up_Irr!W29=".",up_Irr!AU29=".",up_Irr!BS29="."),up_dir!AW29*1000)))))))),".")</f>
        <v>6.5773651144152131E-4</v>
      </c>
      <c r="BW29" s="48">
        <f>IFERROR(IF(AND(up_Irr!X29&lt;&gt;".",up_Irr!AV29&lt;&gt;".",up_Irr!BT29&lt;&gt;"."),up_dir!AX29/((1/1000)*(up_Irr!X29+up_Irr!AV29+up_Irr!BT29)),IF(AND(up_Irr!X29&lt;&gt;".",up_Irr!AV29&lt;&gt;".",up_Irr!BT29="."),up_dir!AX29/((1/1000)*(up_Irr!X29+up_Irr!AV29)),IF(AND(up_Irr!X29&lt;&gt;".",up_Irr!AV29=".",up_Irr!BT29&lt;&gt;"."),up_dir!AX29/((1/1000)*(up_Irr!X29+up_Irr!BT29)),IF(AND(up_Irr!X29=".",up_Irr!AV29&lt;&gt;".",up_Irr!BT29&lt;&gt;"."),up_dir!AX29/((1/1000)*(up_Irr!AV29+up_Irr!BT29)),IF(AND(up_Irr!X29=".",up_Irr!AV29=".",up_Irr!BT29&lt;&gt;"."),up_dir!AX29/((1/1000)*(up_Irr!BT29)),IF(AND(up_Irr!X29=".",up_Irr!AV29&lt;&gt;".",up_Irr!BT29="."),up_dir!AX29/((1/1000)*(up_Irr!AV29)),IF(AND(up_Irr!X29&lt;&gt;".",up_Irr!AV29=".",up_Irr!BT29="."),up_dir!AX29/((1/1000)*(up_Irr!X29)),IF(AND(up_Irr!X29=".",up_Irr!AV29=".",up_Irr!BT29="."),up_dir!AX29*1000)))))))),".")</f>
        <v>6.5773651144152131E-4</v>
      </c>
      <c r="BX29" s="48">
        <f>IFERROR(IF(AND(up_Irr!Y29&lt;&gt;".",up_Irr!AW29&lt;&gt;".",up_Irr!BU29&lt;&gt;"."),up_dir!AY29/((1/1000)*(up_Irr!Y29+up_Irr!AW29+up_Irr!BU29)),IF(AND(up_Irr!Y29&lt;&gt;".",up_Irr!AW29&lt;&gt;".",up_Irr!BU29="."),up_dir!AY29/((1/1000)*(up_Irr!Y29+up_Irr!AW29)),IF(AND(up_Irr!Y29&lt;&gt;".",up_Irr!AW29=".",up_Irr!BU29&lt;&gt;"."),up_dir!AY29/((1/1000)*(up_Irr!Y29+up_Irr!BU29)),IF(AND(up_Irr!Y29=".",up_Irr!AW29&lt;&gt;".",up_Irr!BU29&lt;&gt;"."),up_dir!AY29/((1/1000)*(up_Irr!AW29+up_Irr!BU29)),IF(AND(up_Irr!Y29=".",up_Irr!AW29=".",up_Irr!BU29&lt;&gt;"."),up_dir!AY29/((1/1000)*(up_Irr!BU29)),IF(AND(up_Irr!Y29=".",up_Irr!AW29&lt;&gt;".",up_Irr!BU29="."),up_dir!AY29/((1/1000)*(up_Irr!AW29)),IF(AND(up_Irr!Y29&lt;&gt;".",up_Irr!AW29=".",up_Irr!BU29="."),up_dir!AY29/((1/1000)*(up_Irr!Y29)),IF(AND(up_Irr!Y29=".",up_Irr!AW29=".",up_Irr!BU29="."),up_dir!AY29*1000)))))))),".")</f>
        <v>6.5773651144152131E-4</v>
      </c>
      <c r="BY29" s="48">
        <f>IFERROR(IF(AND(up_Irr!Z29&lt;&gt;".",up_Irr!AX29&lt;&gt;".",up_Irr!BV29&lt;&gt;"."),up_dir!AZ29/((1/1000)*(up_Irr!Z29+up_Irr!AX29+up_Irr!BV29)),IF(AND(up_Irr!Z29&lt;&gt;".",up_Irr!AX29&lt;&gt;".",up_Irr!BV29="."),up_dir!AZ29/((1/1000)*(up_Irr!Z29+up_Irr!AX29)),IF(AND(up_Irr!Z29&lt;&gt;".",up_Irr!AX29=".",up_Irr!BV29&lt;&gt;"."),up_dir!AZ29/((1/1000)*(up_Irr!Z29+up_Irr!BV29)),IF(AND(up_Irr!Z29=".",up_Irr!AX29&lt;&gt;".",up_Irr!BV29&lt;&gt;"."),up_dir!AZ29/((1/1000)*(up_Irr!AX29+up_Irr!BV29)),IF(AND(up_Irr!Z29=".",up_Irr!AX29=".",up_Irr!BV29&lt;&gt;"."),up_dir!AZ29/((1/1000)*(up_Irr!BV29)),IF(AND(up_Irr!Z29=".",up_Irr!AX29&lt;&gt;".",up_Irr!BV29="."),up_dir!AZ29/((1/1000)*(up_Irr!AX29)),IF(AND(up_Irr!Z29&lt;&gt;".",up_Irr!AX29=".",up_Irr!BV29="."),up_dir!AZ29/((1/1000)*(up_Irr!Z29)),IF(AND(up_Irr!Z29=".",up_Irr!AX29=".",up_Irr!BV29="."),up_dir!AZ29*1000)))))))),".")</f>
        <v>6.5773651144152131E-4</v>
      </c>
      <c r="BZ29" s="62">
        <f t="shared" si="3"/>
        <v>22805.4847785862</v>
      </c>
      <c r="CA29" s="62">
        <f>IFERROR(s_C*s_IFAP_far_adj*s_CF_apple*(1/1000)*(up_Irr!C29+up_Irr!AA29+up_Irr!AY29),".")</f>
        <v>7601.8282595287337</v>
      </c>
      <c r="CB29" s="62">
        <f>IFERROR(s_C*s_IFAS_far_adj*s_CF_asparagus*(1/1000)*(up_Irr!D29+up_Irr!AB29+up_Irr!AZ29),".")</f>
        <v>7601.8282595287337</v>
      </c>
      <c r="CC29" s="62">
        <f>IFERROR(s_C*s_IFBT_far_adj*s_CF_beet*(1/1000)*(up_Irr!E29+up_Irr!AC29+up_Irr!BA29),".")</f>
        <v>7601.8282595287337</v>
      </c>
      <c r="CD29" s="62">
        <f>IFERROR(s_C*s_IFBE_far_adj*s_CF_berries*(1/1000)*(up_Irr!F29+up_Irr!AD29+up_Irr!BB29),".")</f>
        <v>7601.8282595287337</v>
      </c>
      <c r="CE29" s="62">
        <f>IFERROR(s_C*s_IFBR_far_adj*s_CF_broccoli*(1/1000)*(up_Irr!G29+up_Irr!AE29+up_Irr!BC29),".")</f>
        <v>7601.8282595287337</v>
      </c>
      <c r="CF29" s="62">
        <f>IFERROR(s_C*s_IFCB_far_adj*s_CF_cabbage*(1/1000)*(up_Irr!H29+up_Irr!AF29+up_Irr!BD29),".")</f>
        <v>7601.8282595287337</v>
      </c>
      <c r="CG29" s="62">
        <f>IFERROR(s_C*s_IFCR_far_adj*s_CF_carrot*(1/1000)*(up_Irr!I29+up_Irr!AG29+up_Irr!BE29),".")</f>
        <v>7601.8282595287337</v>
      </c>
      <c r="CH29" s="62">
        <f>IFERROR(s_C*s_IFCI_far_adj*s_CF_citrus*(1/1000)*(up_Irr!J29+up_Irr!AH29+up_Irr!BF29),".")</f>
        <v>7601.8282595287337</v>
      </c>
      <c r="CI29" s="62">
        <f>IFERROR(s_C*s_IFCO_far_adj*s_CF_corn*(1/1000)*(up_Irr!K29+up_Irr!AI29+up_Irr!BG29),".")</f>
        <v>7601.8282595287337</v>
      </c>
      <c r="CJ29" s="62">
        <f>IFERROR(s_C*s_IFCU_far_adj*s_CF_cucumber*(1/1000)*(up_Irr!L29+up_Irr!AJ29+up_Irr!BH29),".")</f>
        <v>7601.8282595287337</v>
      </c>
      <c r="CK29" s="62">
        <f>IFERROR(s_C*s_IFLE_far_adj*s_CF_lettuce*(1/1000)*(up_Irr!M29+up_Irr!AK29+up_Irr!BI29),".")</f>
        <v>7601.8282595287337</v>
      </c>
      <c r="CL29" s="62">
        <f>IFERROR(s_C*s_IFLI_far_adj*s_CF_lima_bean*(1/1000)*(up_Irr!N29+up_Irr!AL29+up_Irr!BJ29),".")</f>
        <v>7601.8282595287337</v>
      </c>
      <c r="CM29" s="62">
        <f>IFERROR(s_C*s_IFOK_far_adj*s_CF_okra*(1/1000)*(up_Irr!O29+up_Irr!AM29+up_Irr!BK29),".")</f>
        <v>7601.8282595287337</v>
      </c>
      <c r="CN29" s="62">
        <f>IFERROR(s_C*s_IFON_far_adj*s_CF_onion*(1/1000)*(up_Irr!P29+up_Irr!AN29+up_Irr!BL29),".")</f>
        <v>7601.8282595287337</v>
      </c>
      <c r="CO29" s="62">
        <f>IFERROR(s_C*s_IFPC_far_adj*s_CF_peach*(1/1000)*(up_Irr!Q29+up_Irr!AO29+up_Irr!BM29),".")</f>
        <v>7601.8282595287337</v>
      </c>
      <c r="CP29" s="62">
        <f>IFERROR(s_C*s_IFPR_far_adj*s_CF_pear*(1/1000)*(up_Irr!R29+up_Irr!AP29+up_Irr!BN29),".")</f>
        <v>7601.8282595287337</v>
      </c>
      <c r="CQ29" s="62">
        <f>IFERROR(s_C*s_IFPE_far_adj*s_CF_peas*(1/1000)*(up_Irr!S29+up_Irr!AQ29+up_Irr!BO29),".")</f>
        <v>7601.8282595287337</v>
      </c>
      <c r="CR29" s="62">
        <f>IFERROR(s_C*s_IFPT_far_adj*s_CF_potato*(1/1000)*(up_Irr!T29+up_Irr!AR29+up_Irr!BP29),".")</f>
        <v>7601.8282595287337</v>
      </c>
      <c r="CS29" s="62">
        <f>IFERROR(s_C*s_IFPU_far_adj*s_CF_pumpkin*(1/1000)*(up_Irr!U29+up_Irr!AS29+up_Irr!BQ29),".")</f>
        <v>7601.8282595287337</v>
      </c>
      <c r="CT29" s="62">
        <f>IFERROR(s_C*s_IFSN_far_adj*s_CF_snap_bean*(1/1000)*(up_Irr!V29+up_Irr!AT29+up_Irr!BR29),".")</f>
        <v>7601.8282595287337</v>
      </c>
      <c r="CU29" s="62">
        <f>IFERROR(s_C*s_IFST_far_adj*s_CF_strawberry*(1/1000)*(up_Irr!W29+up_Irr!AU29+up_Irr!BS29),".")</f>
        <v>7601.8282595287337</v>
      </c>
      <c r="CV29" s="62">
        <f>IFERROR(s_C*s_IFTO_far_adj*s_CF_tomato*(1/1000)*(up_Irr!X29+up_Irr!AV29+up_Irr!BT29),".")</f>
        <v>7601.8282595287337</v>
      </c>
      <c r="CW29" s="62">
        <f>IFERROR(s_C*s_IFRI_far_adj*s_CF_rice*(1/1000)*(up_Irr!Y29+up_Irr!AW29+up_Irr!BU29),".")</f>
        <v>7601.8282595287337</v>
      </c>
      <c r="CX29" s="62">
        <f>IFERROR(s_C*s_IFCG_far_adj*s_CF_cereal*(1/1000)*(up_Irr!Z29+up_Irr!AX29+up_Irr!BV29),".")</f>
        <v>7601.8282595287337</v>
      </c>
    </row>
    <row r="30" spans="1:102" ht="15" customHeight="1" x14ac:dyDescent="0.25">
      <c r="A30" s="61" t="s">
        <v>28</v>
      </c>
      <c r="B30" s="49" t="s">
        <v>1059</v>
      </c>
      <c r="C30" s="48">
        <f t="shared" si="0"/>
        <v>2.1924550381384044E-4</v>
      </c>
      <c r="D30" s="48">
        <f>IFERROR(IF(AND(up_Irr!C30&lt;&gt;".",up_Irr!AA30&lt;&gt;".",up_Irr!AY30&lt;&gt;"."),up_dir!D30/((1/1000)*(up_Irr!C30+up_Irr!AA30+up_Irr!AY30)),IF(AND(up_Irr!C30&lt;&gt;".",up_Irr!AA30&lt;&gt;".",up_Irr!AY30="."),up_dir!D30/((1/1000)*(up_Irr!C30+up_Irr!AA30)),IF(AND(up_Irr!C30&lt;&gt;".",up_Irr!AA30=".",up_Irr!AY30&lt;&gt;"."),up_dir!D30/((1/1000)*(up_Irr!C30+up_Irr!AY30)),IF(AND(up_Irr!C30=".",up_Irr!AA30&lt;&gt;".",up_Irr!AY30&lt;&gt;"."),up_dir!D30/((1/1000)*(up_Irr!AA30+up_Irr!AY30)),IF(AND(up_Irr!C30=".",up_Irr!AA30=".",up_Irr!AY30&lt;&gt;"."),up_dir!D30/((1/1000)*(up_Irr!AY30)),IF(AND(up_Irr!C30=".",up_Irr!AA30&lt;&gt;".",up_Irr!AY30="."),up_dir!D30/((1/1000)*(up_Irr!AA30)),IF(AND(up_Irr!C30&lt;&gt;".",up_Irr!AA30=".",up_Irr!AY30="."),up_dir!D30/((1/1000)*(up_Irr!C30)),IF(AND(up_Irr!C30=".",up_Irr!AA30=".",up_Irr!AY30="."),up_dir!D30*1000)))))))),".")</f>
        <v>6.5773651144152131E-4</v>
      </c>
      <c r="E30" s="48">
        <f>IFERROR(IF(AND(up_Irr!D30&lt;&gt;".",up_Irr!AB30&lt;&gt;".",up_Irr!AZ30&lt;&gt;"."),up_dir!E30/((1/1000)*(up_Irr!D30+up_Irr!AB30+up_Irr!AZ30)),IF(AND(up_Irr!D30&lt;&gt;".",up_Irr!AB30&lt;&gt;".",up_Irr!AZ30="."),up_dir!E30/((1/1000)*(up_Irr!D30+up_Irr!AB30)),IF(AND(up_Irr!D30&lt;&gt;".",up_Irr!AB30=".",up_Irr!AZ30&lt;&gt;"."),up_dir!E30/((1/1000)*(up_Irr!D30+up_Irr!AZ30)),IF(AND(up_Irr!D30=".",up_Irr!AB30&lt;&gt;".",up_Irr!AZ30&lt;&gt;"."),up_dir!E30/((1/1000)*(up_Irr!AB30+up_Irr!AZ30)),IF(AND(up_Irr!D30=".",up_Irr!AB30=".",up_Irr!AZ30&lt;&gt;"."),up_dir!E30/((1/1000)*(up_Irr!AZ30)),IF(AND(up_Irr!D30=".",up_Irr!AB30&lt;&gt;".",up_Irr!AZ30="."),up_dir!E30/((1/1000)*(up_Irr!AB30)),IF(AND(up_Irr!D30&lt;&gt;".",up_Irr!AB30=".",up_Irr!AZ30="."),up_dir!E30/((1/1000)*(up_Irr!D30)),IF(AND(up_Irr!D30=".",up_Irr!AB30=".",up_Irr!AZ30="."),up_dir!E30*1000)))))))),".")</f>
        <v>6.5773651144152131E-4</v>
      </c>
      <c r="F30" s="48">
        <f>IFERROR(IF(AND(up_Irr!E30&lt;&gt;".",up_Irr!AC30&lt;&gt;".",up_Irr!BA30&lt;&gt;"."),up_dir!F30/((1/1000)*(up_Irr!E30+up_Irr!AC30+up_Irr!BA30)),IF(AND(up_Irr!E30&lt;&gt;".",up_Irr!AC30&lt;&gt;".",up_Irr!BA30="."),up_dir!F30/((1/1000)*(up_Irr!E30+up_Irr!AC30)),IF(AND(up_Irr!E30&lt;&gt;".",up_Irr!AC30=".",up_Irr!BA30&lt;&gt;"."),up_dir!F30/((1/1000)*(up_Irr!E30+up_Irr!BA30)),IF(AND(up_Irr!E30=".",up_Irr!AC30&lt;&gt;".",up_Irr!BA30&lt;&gt;"."),up_dir!F30/((1/1000)*(up_Irr!AC30+up_Irr!BA30)),IF(AND(up_Irr!E30=".",up_Irr!AC30=".",up_Irr!BA30&lt;&gt;"."),up_dir!F30/((1/1000)*(up_Irr!BA30)),IF(AND(up_Irr!E30=".",up_Irr!AC30&lt;&gt;".",up_Irr!BA30="."),up_dir!F30/((1/1000)*(up_Irr!AC30)),IF(AND(up_Irr!E30&lt;&gt;".",up_Irr!AC30=".",up_Irr!BA30="."),up_dir!F30/((1/1000)*(up_Irr!E30)),IF(AND(up_Irr!E30=".",up_Irr!AC30=".",up_Irr!BA30="."),up_dir!F30*1000)))))))),".")</f>
        <v>6.5773651144152131E-4</v>
      </c>
      <c r="G30" s="48">
        <f>IFERROR(IF(AND(up_Irr!F30&lt;&gt;".",up_Irr!AD30&lt;&gt;".",up_Irr!BB30&lt;&gt;"."),up_dir!G30/((1/1000)*(up_Irr!F30+up_Irr!AD30+up_Irr!BB30)),IF(AND(up_Irr!F30&lt;&gt;".",up_Irr!AD30&lt;&gt;".",up_Irr!BB30="."),up_dir!G30/((1/1000)*(up_Irr!F30+up_Irr!AD30)),IF(AND(up_Irr!F30&lt;&gt;".",up_Irr!AD30=".",up_Irr!BB30&lt;&gt;"."),up_dir!G30/((1/1000)*(up_Irr!F30+up_Irr!BB30)),IF(AND(up_Irr!F30=".",up_Irr!AD30&lt;&gt;".",up_Irr!BB30&lt;&gt;"."),up_dir!G30/((1/1000)*(up_Irr!AD30+up_Irr!BB30)),IF(AND(up_Irr!F30=".",up_Irr!AD30=".",up_Irr!BB30&lt;&gt;"."),up_dir!G30/((1/1000)*(up_Irr!BB30)),IF(AND(up_Irr!F30=".",up_Irr!AD30&lt;&gt;".",up_Irr!BB30="."),up_dir!G30/((1/1000)*(up_Irr!AD30)),IF(AND(up_Irr!F30&lt;&gt;".",up_Irr!AD30=".",up_Irr!BB30="."),up_dir!G30/((1/1000)*(up_Irr!F30)),IF(AND(up_Irr!F30=".",up_Irr!AD30=".",up_Irr!BB30="."),up_dir!G30*1000)))))))),".")</f>
        <v>6.5773651144152131E-4</v>
      </c>
      <c r="H30" s="48">
        <f>IFERROR(IF(AND(up_Irr!G30&lt;&gt;".",up_Irr!AE30&lt;&gt;".",up_Irr!BC30&lt;&gt;"."),up_dir!H30/((1/1000)*(up_Irr!G30+up_Irr!AE30+up_Irr!BC30)),IF(AND(up_Irr!G30&lt;&gt;".",up_Irr!AE30&lt;&gt;".",up_Irr!BC30="."),up_dir!H30/((1/1000)*(up_Irr!G30+up_Irr!AE30)),IF(AND(up_Irr!G30&lt;&gt;".",up_Irr!AE30=".",up_Irr!BC30&lt;&gt;"."),up_dir!H30/((1/1000)*(up_Irr!G30+up_Irr!BC30)),IF(AND(up_Irr!G30=".",up_Irr!AE30&lt;&gt;".",up_Irr!BC30&lt;&gt;"."),up_dir!H30/((1/1000)*(up_Irr!AE30+up_Irr!BC30)),IF(AND(up_Irr!G30=".",up_Irr!AE30=".",up_Irr!BC30&lt;&gt;"."),up_dir!H30/((1/1000)*(up_Irr!BC30)),IF(AND(up_Irr!G30=".",up_Irr!AE30&lt;&gt;".",up_Irr!BC30="."),up_dir!H30/((1/1000)*(up_Irr!AE30)),IF(AND(up_Irr!G30&lt;&gt;".",up_Irr!AE30=".",up_Irr!BC30="."),up_dir!H30/((1/1000)*(up_Irr!G30)),IF(AND(up_Irr!G30=".",up_Irr!AE30=".",up_Irr!BC30="."),up_dir!H30*1000)))))))),".")</f>
        <v>6.5773651144152131E-4</v>
      </c>
      <c r="I30" s="48">
        <f>IFERROR(IF(AND(up_Irr!H30&lt;&gt;".",up_Irr!AF30&lt;&gt;".",up_Irr!BD30&lt;&gt;"."),up_dir!I30/((1/1000)*(up_Irr!H30+up_Irr!AF30+up_Irr!BD30)),IF(AND(up_Irr!H30&lt;&gt;".",up_Irr!AF30&lt;&gt;".",up_Irr!BD30="."),up_dir!I30/((1/1000)*(up_Irr!H30+up_Irr!AF30)),IF(AND(up_Irr!H30&lt;&gt;".",up_Irr!AF30=".",up_Irr!BD30&lt;&gt;"."),up_dir!I30/((1/1000)*(up_Irr!H30+up_Irr!BD30)),IF(AND(up_Irr!H30=".",up_Irr!AF30&lt;&gt;".",up_Irr!BD30&lt;&gt;"."),up_dir!I30/((1/1000)*(up_Irr!AF30+up_Irr!BD30)),IF(AND(up_Irr!H30=".",up_Irr!AF30=".",up_Irr!BD30&lt;&gt;"."),up_dir!I30/((1/1000)*(up_Irr!BD30)),IF(AND(up_Irr!H30=".",up_Irr!AF30&lt;&gt;".",up_Irr!BD30="."),up_dir!I30/((1/1000)*(up_Irr!AF30)),IF(AND(up_Irr!H30&lt;&gt;".",up_Irr!AF30=".",up_Irr!BD30="."),up_dir!I30/((1/1000)*(up_Irr!H30)),IF(AND(up_Irr!H30=".",up_Irr!AF30=".",up_Irr!BD30="."),up_dir!I30*1000)))))))),".")</f>
        <v>6.5773651144152131E-4</v>
      </c>
      <c r="J30" s="48">
        <f>IFERROR(IF(AND(up_Irr!I30&lt;&gt;".",up_Irr!AG30&lt;&gt;".",up_Irr!BE30&lt;&gt;"."),up_dir!J30/((1/1000)*(up_Irr!I30+up_Irr!AG30+up_Irr!BE30)),IF(AND(up_Irr!I30&lt;&gt;".",up_Irr!AG30&lt;&gt;".",up_Irr!BE30="."),up_dir!J30/((1/1000)*(up_Irr!I30+up_Irr!AG30)),IF(AND(up_Irr!I30&lt;&gt;".",up_Irr!AG30=".",up_Irr!BE30&lt;&gt;"."),up_dir!J30/((1/1000)*(up_Irr!I30+up_Irr!BE30)),IF(AND(up_Irr!I30=".",up_Irr!AG30&lt;&gt;".",up_Irr!BE30&lt;&gt;"."),up_dir!J30/((1/1000)*(up_Irr!AG30+up_Irr!BE30)),IF(AND(up_Irr!I30=".",up_Irr!AG30=".",up_Irr!BE30&lt;&gt;"."),up_dir!J30/((1/1000)*(up_Irr!BE30)),IF(AND(up_Irr!I30=".",up_Irr!AG30&lt;&gt;".",up_Irr!BE30="."),up_dir!J30/((1/1000)*(up_Irr!AG30)),IF(AND(up_Irr!I30&lt;&gt;".",up_Irr!AG30=".",up_Irr!BE30="."),up_dir!J30/((1/1000)*(up_Irr!I30)),IF(AND(up_Irr!I30=".",up_Irr!AG30=".",up_Irr!BE30="."),up_dir!J30*1000)))))))),".")</f>
        <v>6.5773651144152131E-4</v>
      </c>
      <c r="K30" s="48">
        <f>IFERROR(IF(AND(up_Irr!J30&lt;&gt;".",up_Irr!AH30&lt;&gt;".",up_Irr!BF30&lt;&gt;"."),up_dir!K30/((1/1000)*(up_Irr!J30+up_Irr!AH30+up_Irr!BF30)),IF(AND(up_Irr!J30&lt;&gt;".",up_Irr!AH30&lt;&gt;".",up_Irr!BF30="."),up_dir!K30/((1/1000)*(up_Irr!J30+up_Irr!AH30)),IF(AND(up_Irr!J30&lt;&gt;".",up_Irr!AH30=".",up_Irr!BF30&lt;&gt;"."),up_dir!K30/((1/1000)*(up_Irr!J30+up_Irr!BF30)),IF(AND(up_Irr!J30=".",up_Irr!AH30&lt;&gt;".",up_Irr!BF30&lt;&gt;"."),up_dir!K30/((1/1000)*(up_Irr!AH30+up_Irr!BF30)),IF(AND(up_Irr!J30=".",up_Irr!AH30=".",up_Irr!BF30&lt;&gt;"."),up_dir!K30/((1/1000)*(up_Irr!BF30)),IF(AND(up_Irr!J30=".",up_Irr!AH30&lt;&gt;".",up_Irr!BF30="."),up_dir!K30/((1/1000)*(up_Irr!AH30)),IF(AND(up_Irr!J30&lt;&gt;".",up_Irr!AH30=".",up_Irr!BF30="."),up_dir!K30/((1/1000)*(up_Irr!J30)),IF(AND(up_Irr!J30=".",up_Irr!AH30=".",up_Irr!BF30="."),up_dir!K30*1000)))))))),".")</f>
        <v>6.5773651144152131E-4</v>
      </c>
      <c r="L30" s="48">
        <f>IFERROR(IF(AND(up_Irr!K30&lt;&gt;".",up_Irr!AI30&lt;&gt;".",up_Irr!BG30&lt;&gt;"."),up_dir!L30/((1/1000)*(up_Irr!K30+up_Irr!AI30+up_Irr!BG30)),IF(AND(up_Irr!K30&lt;&gt;".",up_Irr!AI30&lt;&gt;".",up_Irr!BG30="."),up_dir!L30/((1/1000)*(up_Irr!K30+up_Irr!AI30)),IF(AND(up_Irr!K30&lt;&gt;".",up_Irr!AI30=".",up_Irr!BG30&lt;&gt;"."),up_dir!L30/((1/1000)*(up_Irr!K30+up_Irr!BG30)),IF(AND(up_Irr!K30=".",up_Irr!AI30&lt;&gt;".",up_Irr!BG30&lt;&gt;"."),up_dir!L30/((1/1000)*(up_Irr!AI30+up_Irr!BG30)),IF(AND(up_Irr!K30=".",up_Irr!AI30=".",up_Irr!BG30&lt;&gt;"."),up_dir!L30/((1/1000)*(up_Irr!BG30)),IF(AND(up_Irr!K30=".",up_Irr!AI30&lt;&gt;".",up_Irr!BG30="."),up_dir!L30/((1/1000)*(up_Irr!AI30)),IF(AND(up_Irr!K30&lt;&gt;".",up_Irr!AI30=".",up_Irr!BG30="."),up_dir!L30/((1/1000)*(up_Irr!K30)),IF(AND(up_Irr!K30=".",up_Irr!AI30=".",up_Irr!BG30="."),up_dir!L30*1000)))))))),".")</f>
        <v>6.5773651144152131E-4</v>
      </c>
      <c r="M30" s="48">
        <f>IFERROR(IF(AND(up_Irr!L30&lt;&gt;".",up_Irr!AJ30&lt;&gt;".",up_Irr!BH30&lt;&gt;"."),up_dir!M30/((1/1000)*(up_Irr!L30+up_Irr!AJ30+up_Irr!BH30)),IF(AND(up_Irr!L30&lt;&gt;".",up_Irr!AJ30&lt;&gt;".",up_Irr!BH30="."),up_dir!M30/((1/1000)*(up_Irr!L30+up_Irr!AJ30)),IF(AND(up_Irr!L30&lt;&gt;".",up_Irr!AJ30=".",up_Irr!BH30&lt;&gt;"."),up_dir!M30/((1/1000)*(up_Irr!L30+up_Irr!BH30)),IF(AND(up_Irr!L30=".",up_Irr!AJ30&lt;&gt;".",up_Irr!BH30&lt;&gt;"."),up_dir!M30/((1/1000)*(up_Irr!AJ30+up_Irr!BH30)),IF(AND(up_Irr!L30=".",up_Irr!AJ30=".",up_Irr!BH30&lt;&gt;"."),up_dir!M30/((1/1000)*(up_Irr!BH30)),IF(AND(up_Irr!L30=".",up_Irr!AJ30&lt;&gt;".",up_Irr!BH30="."),up_dir!M30/((1/1000)*(up_Irr!AJ30)),IF(AND(up_Irr!L30&lt;&gt;".",up_Irr!AJ30=".",up_Irr!BH30="."),up_dir!M30/((1/1000)*(up_Irr!L30)),IF(AND(up_Irr!L30=".",up_Irr!AJ30=".",up_Irr!BH30="."),up_dir!M30*1000)))))))),".")</f>
        <v>6.5773651144152131E-4</v>
      </c>
      <c r="N30" s="48">
        <f>IFERROR(IF(AND(up_Irr!M30&lt;&gt;".",up_Irr!AK30&lt;&gt;".",up_Irr!BI30&lt;&gt;"."),up_dir!N30/((1/1000)*(up_Irr!M30+up_Irr!AK30+up_Irr!BI30)),IF(AND(up_Irr!M30&lt;&gt;".",up_Irr!AK30&lt;&gt;".",up_Irr!BI30="."),up_dir!N30/((1/1000)*(up_Irr!M30+up_Irr!AK30)),IF(AND(up_Irr!M30&lt;&gt;".",up_Irr!AK30=".",up_Irr!BI30&lt;&gt;"."),up_dir!N30/((1/1000)*(up_Irr!M30+up_Irr!BI30)),IF(AND(up_Irr!M30=".",up_Irr!AK30&lt;&gt;".",up_Irr!BI30&lt;&gt;"."),up_dir!N30/((1/1000)*(up_Irr!AK30+up_Irr!BI30)),IF(AND(up_Irr!M30=".",up_Irr!AK30=".",up_Irr!BI30&lt;&gt;"."),up_dir!N30/((1/1000)*(up_Irr!BI30)),IF(AND(up_Irr!M30=".",up_Irr!AK30&lt;&gt;".",up_Irr!BI30="."),up_dir!N30/((1/1000)*(up_Irr!AK30)),IF(AND(up_Irr!M30&lt;&gt;".",up_Irr!AK30=".",up_Irr!BI30="."),up_dir!N30/((1/1000)*(up_Irr!M30)),IF(AND(up_Irr!M30=".",up_Irr!AK30=".",up_Irr!BI30="."),up_dir!N30*1000)))))))),".")</f>
        <v>6.5773651144152131E-4</v>
      </c>
      <c r="O30" s="48">
        <f>IFERROR(IF(AND(up_Irr!N30&lt;&gt;".",up_Irr!AL30&lt;&gt;".",up_Irr!BJ30&lt;&gt;"."),up_dir!O30/((1/1000)*(up_Irr!N30+up_Irr!AL30+up_Irr!BJ30)),IF(AND(up_Irr!N30&lt;&gt;".",up_Irr!AL30&lt;&gt;".",up_Irr!BJ30="."),up_dir!O30/((1/1000)*(up_Irr!N30+up_Irr!AL30)),IF(AND(up_Irr!N30&lt;&gt;".",up_Irr!AL30=".",up_Irr!BJ30&lt;&gt;"."),up_dir!O30/((1/1000)*(up_Irr!N30+up_Irr!BJ30)),IF(AND(up_Irr!N30=".",up_Irr!AL30&lt;&gt;".",up_Irr!BJ30&lt;&gt;"."),up_dir!O30/((1/1000)*(up_Irr!AL30+up_Irr!BJ30)),IF(AND(up_Irr!N30=".",up_Irr!AL30=".",up_Irr!BJ30&lt;&gt;"."),up_dir!O30/((1/1000)*(up_Irr!BJ30)),IF(AND(up_Irr!N30=".",up_Irr!AL30&lt;&gt;".",up_Irr!BJ30="."),up_dir!O30/((1/1000)*(up_Irr!AL30)),IF(AND(up_Irr!N30&lt;&gt;".",up_Irr!AL30=".",up_Irr!BJ30="."),up_dir!O30/((1/1000)*(up_Irr!N30)),IF(AND(up_Irr!N30=".",up_Irr!AL30=".",up_Irr!BJ30="."),up_dir!O30*1000)))))))),".")</f>
        <v>6.5773651144152131E-4</v>
      </c>
      <c r="P30" s="48">
        <f>IFERROR(IF(AND(up_Irr!O30&lt;&gt;".",up_Irr!AM30&lt;&gt;".",up_Irr!BK30&lt;&gt;"."),up_dir!P30/((1/1000)*(up_Irr!O30+up_Irr!AM30+up_Irr!BK30)),IF(AND(up_Irr!O30&lt;&gt;".",up_Irr!AM30&lt;&gt;".",up_Irr!BK30="."),up_dir!P30/((1/1000)*(up_Irr!O30+up_Irr!AM30)),IF(AND(up_Irr!O30&lt;&gt;".",up_Irr!AM30=".",up_Irr!BK30&lt;&gt;"."),up_dir!P30/((1/1000)*(up_Irr!O30+up_Irr!BK30)),IF(AND(up_Irr!O30=".",up_Irr!AM30&lt;&gt;".",up_Irr!BK30&lt;&gt;"."),up_dir!P30/((1/1000)*(up_Irr!AM30+up_Irr!BK30)),IF(AND(up_Irr!O30=".",up_Irr!AM30=".",up_Irr!BK30&lt;&gt;"."),up_dir!P30/((1/1000)*(up_Irr!BK30)),IF(AND(up_Irr!O30=".",up_Irr!AM30&lt;&gt;".",up_Irr!BK30="."),up_dir!P30/((1/1000)*(up_Irr!AM30)),IF(AND(up_Irr!O30&lt;&gt;".",up_Irr!AM30=".",up_Irr!BK30="."),up_dir!P30/((1/1000)*(up_Irr!O30)),IF(AND(up_Irr!O30=".",up_Irr!AM30=".",up_Irr!BK30="."),up_dir!P30*1000)))))))),".")</f>
        <v>6.5773651144152131E-4</v>
      </c>
      <c r="Q30" s="48">
        <f>IFERROR(IF(AND(up_Irr!P30&lt;&gt;".",up_Irr!AN30&lt;&gt;".",up_Irr!BL30&lt;&gt;"."),up_dir!Q30/((1/1000)*(up_Irr!P30+up_Irr!AN30+up_Irr!BL30)),IF(AND(up_Irr!P30&lt;&gt;".",up_Irr!AN30&lt;&gt;".",up_Irr!BL30="."),up_dir!Q30/((1/1000)*(up_Irr!P30+up_Irr!AN30)),IF(AND(up_Irr!P30&lt;&gt;".",up_Irr!AN30=".",up_Irr!BL30&lt;&gt;"."),up_dir!Q30/((1/1000)*(up_Irr!P30+up_Irr!BL30)),IF(AND(up_Irr!P30=".",up_Irr!AN30&lt;&gt;".",up_Irr!BL30&lt;&gt;"."),up_dir!Q30/((1/1000)*(up_Irr!AN30+up_Irr!BL30)),IF(AND(up_Irr!P30=".",up_Irr!AN30=".",up_Irr!BL30&lt;&gt;"."),up_dir!Q30/((1/1000)*(up_Irr!BL30)),IF(AND(up_Irr!P30=".",up_Irr!AN30&lt;&gt;".",up_Irr!BL30="."),up_dir!Q30/((1/1000)*(up_Irr!AN30)),IF(AND(up_Irr!P30&lt;&gt;".",up_Irr!AN30=".",up_Irr!BL30="."),up_dir!Q30/((1/1000)*(up_Irr!P30)),IF(AND(up_Irr!P30=".",up_Irr!AN30=".",up_Irr!BL30="."),up_dir!Q30*1000)))))))),".")</f>
        <v>6.5773651144152131E-4</v>
      </c>
      <c r="R30" s="48">
        <f>IFERROR(IF(AND(up_Irr!Q30&lt;&gt;".",up_Irr!AO30&lt;&gt;".",up_Irr!BM30&lt;&gt;"."),up_dir!R30/((1/1000)*(up_Irr!Q30+up_Irr!AO30+up_Irr!BM30)),IF(AND(up_Irr!Q30&lt;&gt;".",up_Irr!AO30&lt;&gt;".",up_Irr!BM30="."),up_dir!R30/((1/1000)*(up_Irr!Q30+up_Irr!AO30)),IF(AND(up_Irr!Q30&lt;&gt;".",up_Irr!AO30=".",up_Irr!BM30&lt;&gt;"."),up_dir!R30/((1/1000)*(up_Irr!Q30+up_Irr!BM30)),IF(AND(up_Irr!Q30=".",up_Irr!AO30&lt;&gt;".",up_Irr!BM30&lt;&gt;"."),up_dir!R30/((1/1000)*(up_Irr!AO30+up_Irr!BM30)),IF(AND(up_Irr!Q30=".",up_Irr!AO30=".",up_Irr!BM30&lt;&gt;"."),up_dir!R30/((1/1000)*(up_Irr!BM30)),IF(AND(up_Irr!Q30=".",up_Irr!AO30&lt;&gt;".",up_Irr!BM30="."),up_dir!R30/((1/1000)*(up_Irr!AO30)),IF(AND(up_Irr!Q30&lt;&gt;".",up_Irr!AO30=".",up_Irr!BM30="."),up_dir!R30/((1/1000)*(up_Irr!Q30)),IF(AND(up_Irr!Q30=".",up_Irr!AO30=".",up_Irr!BM30="."),up_dir!R30*1000)))))))),".")</f>
        <v>6.5773651144152131E-4</v>
      </c>
      <c r="S30" s="48">
        <f>IFERROR(IF(AND(up_Irr!R30&lt;&gt;".",up_Irr!AP30&lt;&gt;".",up_Irr!BN30&lt;&gt;"."),up_dir!S30/((1/1000)*(up_Irr!R30+up_Irr!AP30+up_Irr!BN30)),IF(AND(up_Irr!R30&lt;&gt;".",up_Irr!AP30&lt;&gt;".",up_Irr!BN30="."),up_dir!S30/((1/1000)*(up_Irr!R30+up_Irr!AP30)),IF(AND(up_Irr!R30&lt;&gt;".",up_Irr!AP30=".",up_Irr!BN30&lt;&gt;"."),up_dir!S30/((1/1000)*(up_Irr!R30+up_Irr!BN30)),IF(AND(up_Irr!R30=".",up_Irr!AP30&lt;&gt;".",up_Irr!BN30&lt;&gt;"."),up_dir!S30/((1/1000)*(up_Irr!AP30+up_Irr!BN30)),IF(AND(up_Irr!R30=".",up_Irr!AP30=".",up_Irr!BN30&lt;&gt;"."),up_dir!S30/((1/1000)*(up_Irr!BN30)),IF(AND(up_Irr!R30=".",up_Irr!AP30&lt;&gt;".",up_Irr!BN30="."),up_dir!S30/((1/1000)*(up_Irr!AP30)),IF(AND(up_Irr!R30&lt;&gt;".",up_Irr!AP30=".",up_Irr!BN30="."),up_dir!S30/((1/1000)*(up_Irr!R30)),IF(AND(up_Irr!R30=".",up_Irr!AP30=".",up_Irr!BN30="."),up_dir!S30*1000)))))))),".")</f>
        <v>6.5773651144152131E-4</v>
      </c>
      <c r="T30" s="48">
        <f>IFERROR(IF(AND(up_Irr!S30&lt;&gt;".",up_Irr!AQ30&lt;&gt;".",up_Irr!BO30&lt;&gt;"."),up_dir!T30/((1/1000)*(up_Irr!S30+up_Irr!AQ30+up_Irr!BO30)),IF(AND(up_Irr!S30&lt;&gt;".",up_Irr!AQ30&lt;&gt;".",up_Irr!BO30="."),up_dir!T30/((1/1000)*(up_Irr!S30+up_Irr!AQ30)),IF(AND(up_Irr!S30&lt;&gt;".",up_Irr!AQ30=".",up_Irr!BO30&lt;&gt;"."),up_dir!T30/((1/1000)*(up_Irr!S30+up_Irr!BO30)),IF(AND(up_Irr!S30=".",up_Irr!AQ30&lt;&gt;".",up_Irr!BO30&lt;&gt;"."),up_dir!T30/((1/1000)*(up_Irr!AQ30+up_Irr!BO30)),IF(AND(up_Irr!S30=".",up_Irr!AQ30=".",up_Irr!BO30&lt;&gt;"."),up_dir!T30/((1/1000)*(up_Irr!BO30)),IF(AND(up_Irr!S30=".",up_Irr!AQ30&lt;&gt;".",up_Irr!BO30="."),up_dir!T30/((1/1000)*(up_Irr!AQ30)),IF(AND(up_Irr!S30&lt;&gt;".",up_Irr!AQ30=".",up_Irr!BO30="."),up_dir!T30/((1/1000)*(up_Irr!S30)),IF(AND(up_Irr!S30=".",up_Irr!AQ30=".",up_Irr!BO30="."),up_dir!T30*1000)))))))),".")</f>
        <v>6.5773651144152131E-4</v>
      </c>
      <c r="U30" s="48">
        <f>IFERROR(IF(AND(up_Irr!T30&lt;&gt;".",up_Irr!AR30&lt;&gt;".",up_Irr!BP30&lt;&gt;"."),up_dir!U30/((1/1000)*(up_Irr!T30+up_Irr!AR30+up_Irr!BP30)),IF(AND(up_Irr!T30&lt;&gt;".",up_Irr!AR30&lt;&gt;".",up_Irr!BP30="."),up_dir!U30/((1/1000)*(up_Irr!T30+up_Irr!AR30)),IF(AND(up_Irr!T30&lt;&gt;".",up_Irr!AR30=".",up_Irr!BP30&lt;&gt;"."),up_dir!U30/((1/1000)*(up_Irr!T30+up_Irr!BP30)),IF(AND(up_Irr!T30=".",up_Irr!AR30&lt;&gt;".",up_Irr!BP30&lt;&gt;"."),up_dir!U30/((1/1000)*(up_Irr!AR30+up_Irr!BP30)),IF(AND(up_Irr!T30=".",up_Irr!AR30=".",up_Irr!BP30&lt;&gt;"."),up_dir!U30/((1/1000)*(up_Irr!BP30)),IF(AND(up_Irr!T30=".",up_Irr!AR30&lt;&gt;".",up_Irr!BP30="."),up_dir!U30/((1/1000)*(up_Irr!AR30)),IF(AND(up_Irr!T30&lt;&gt;".",up_Irr!AR30=".",up_Irr!BP30="."),up_dir!U30/((1/1000)*(up_Irr!T30)),IF(AND(up_Irr!T30=".",up_Irr!AR30=".",up_Irr!BP30="."),up_dir!U30*1000)))))))),".")</f>
        <v>6.5773651144152131E-4</v>
      </c>
      <c r="V30" s="48">
        <f>IFERROR(IF(AND(up_Irr!U30&lt;&gt;".",up_Irr!AS30&lt;&gt;".",up_Irr!BQ30&lt;&gt;"."),up_dir!V30/((1/1000)*(up_Irr!U30+up_Irr!AS30+up_Irr!BQ30)),IF(AND(up_Irr!U30&lt;&gt;".",up_Irr!AS30&lt;&gt;".",up_Irr!BQ30="."),up_dir!V30/((1/1000)*(up_Irr!U30+up_Irr!AS30)),IF(AND(up_Irr!U30&lt;&gt;".",up_Irr!AS30=".",up_Irr!BQ30&lt;&gt;"."),up_dir!V30/((1/1000)*(up_Irr!U30+up_Irr!BQ30)),IF(AND(up_Irr!U30=".",up_Irr!AS30&lt;&gt;".",up_Irr!BQ30&lt;&gt;"."),up_dir!V30/((1/1000)*(up_Irr!AS30+up_Irr!BQ30)),IF(AND(up_Irr!U30=".",up_Irr!AS30=".",up_Irr!BQ30&lt;&gt;"."),up_dir!V30/((1/1000)*(up_Irr!BQ30)),IF(AND(up_Irr!U30=".",up_Irr!AS30&lt;&gt;".",up_Irr!BQ30="."),up_dir!V30/((1/1000)*(up_Irr!AS30)),IF(AND(up_Irr!U30&lt;&gt;".",up_Irr!AS30=".",up_Irr!BQ30="."),up_dir!V30/((1/1000)*(up_Irr!U30)),IF(AND(up_Irr!U30=".",up_Irr!AS30=".",up_Irr!BQ30="."),up_dir!V30*1000)))))))),".")</f>
        <v>6.5773651144152131E-4</v>
      </c>
      <c r="W30" s="48">
        <f>IFERROR(IF(AND(up_Irr!V30&lt;&gt;".",up_Irr!AT30&lt;&gt;".",up_Irr!BR30&lt;&gt;"."),up_dir!W30/((1/1000)*(up_Irr!V30+up_Irr!AT30+up_Irr!BR30)),IF(AND(up_Irr!V30&lt;&gt;".",up_Irr!AT30&lt;&gt;".",up_Irr!BR30="."),up_dir!W30/((1/1000)*(up_Irr!V30+up_Irr!AT30)),IF(AND(up_Irr!V30&lt;&gt;".",up_Irr!AT30=".",up_Irr!BR30&lt;&gt;"."),up_dir!W30/((1/1000)*(up_Irr!V30+up_Irr!BR30)),IF(AND(up_Irr!V30=".",up_Irr!AT30&lt;&gt;".",up_Irr!BR30&lt;&gt;"."),up_dir!W30/((1/1000)*(up_Irr!AT30+up_Irr!BR30)),IF(AND(up_Irr!V30=".",up_Irr!AT30=".",up_Irr!BR30&lt;&gt;"."),up_dir!W30/((1/1000)*(up_Irr!BR30)),IF(AND(up_Irr!V30=".",up_Irr!AT30&lt;&gt;".",up_Irr!BR30="."),up_dir!W30/((1/1000)*(up_Irr!AT30)),IF(AND(up_Irr!V30&lt;&gt;".",up_Irr!AT30=".",up_Irr!BR30="."),up_dir!W30/((1/1000)*(up_Irr!V30)),IF(AND(up_Irr!V30=".",up_Irr!AT30=".",up_Irr!BR30="."),up_dir!W30*1000)))))))),".")</f>
        <v>6.5773651144152131E-4</v>
      </c>
      <c r="X30" s="48">
        <f>IFERROR(IF(AND(up_Irr!W30&lt;&gt;".",up_Irr!AU30&lt;&gt;".",up_Irr!BS30&lt;&gt;"."),up_dir!X30/((1/1000)*(up_Irr!W30+up_Irr!AU30+up_Irr!BS30)),IF(AND(up_Irr!W30&lt;&gt;".",up_Irr!AU30&lt;&gt;".",up_Irr!BS30="."),up_dir!X30/((1/1000)*(up_Irr!W30+up_Irr!AU30)),IF(AND(up_Irr!W30&lt;&gt;".",up_Irr!AU30=".",up_Irr!BS30&lt;&gt;"."),up_dir!X30/((1/1000)*(up_Irr!W30+up_Irr!BS30)),IF(AND(up_Irr!W30=".",up_Irr!AU30&lt;&gt;".",up_Irr!BS30&lt;&gt;"."),up_dir!X30/((1/1000)*(up_Irr!AU30+up_Irr!BS30)),IF(AND(up_Irr!W30=".",up_Irr!AU30=".",up_Irr!BS30&lt;&gt;"."),up_dir!X30/((1/1000)*(up_Irr!BS30)),IF(AND(up_Irr!W30=".",up_Irr!AU30&lt;&gt;".",up_Irr!BS30="."),up_dir!X30/((1/1000)*(up_Irr!AU30)),IF(AND(up_Irr!W30&lt;&gt;".",up_Irr!AU30=".",up_Irr!BS30="."),up_dir!X30/((1/1000)*(up_Irr!W30)),IF(AND(up_Irr!W30=".",up_Irr!AU30=".",up_Irr!BS30="."),up_dir!X30*1000)))))))),".")</f>
        <v>6.5773651144152131E-4</v>
      </c>
      <c r="Y30" s="48">
        <f>IFERROR(IF(AND(up_Irr!X30&lt;&gt;".",up_Irr!AV30&lt;&gt;".",up_Irr!BT30&lt;&gt;"."),up_dir!Y30/((1/1000)*(up_Irr!X30+up_Irr!AV30+up_Irr!BT30)),IF(AND(up_Irr!X30&lt;&gt;".",up_Irr!AV30&lt;&gt;".",up_Irr!BT30="."),up_dir!Y30/((1/1000)*(up_Irr!X30+up_Irr!AV30)),IF(AND(up_Irr!X30&lt;&gt;".",up_Irr!AV30=".",up_Irr!BT30&lt;&gt;"."),up_dir!Y30/((1/1000)*(up_Irr!X30+up_Irr!BT30)),IF(AND(up_Irr!X30=".",up_Irr!AV30&lt;&gt;".",up_Irr!BT30&lt;&gt;"."),up_dir!Y30/((1/1000)*(up_Irr!AV30+up_Irr!BT30)),IF(AND(up_Irr!X30=".",up_Irr!AV30=".",up_Irr!BT30&lt;&gt;"."),up_dir!Y30/((1/1000)*(up_Irr!BT30)),IF(AND(up_Irr!X30=".",up_Irr!AV30&lt;&gt;".",up_Irr!BT30="."),up_dir!Y30/((1/1000)*(up_Irr!AV30)),IF(AND(up_Irr!X30&lt;&gt;".",up_Irr!AV30=".",up_Irr!BT30="."),up_dir!Y30/((1/1000)*(up_Irr!X30)),IF(AND(up_Irr!X30=".",up_Irr!AV30=".",up_Irr!BT30="."),up_dir!Y30*1000)))))))),".")</f>
        <v>6.5773651144152131E-4</v>
      </c>
      <c r="Z30" s="48">
        <f>IFERROR(IF(AND(up_Irr!Y30&lt;&gt;".",up_Irr!AW30&lt;&gt;".",up_Irr!BU30&lt;&gt;"."),up_dir!Z30/((1/1000)*(up_Irr!Y30+up_Irr!AW30+up_Irr!BU30)),IF(AND(up_Irr!Y30&lt;&gt;".",up_Irr!AW30&lt;&gt;".",up_Irr!BU30="."),up_dir!Z30/((1/1000)*(up_Irr!Y30+up_Irr!AW30)),IF(AND(up_Irr!Y30&lt;&gt;".",up_Irr!AW30=".",up_Irr!BU30&lt;&gt;"."),up_dir!Z30/((1/1000)*(up_Irr!Y30+up_Irr!BU30)),IF(AND(up_Irr!Y30=".",up_Irr!AW30&lt;&gt;".",up_Irr!BU30&lt;&gt;"."),up_dir!Z30/((1/1000)*(up_Irr!AW30+up_Irr!BU30)),IF(AND(up_Irr!Y30=".",up_Irr!AW30=".",up_Irr!BU30&lt;&gt;"."),up_dir!Z30/((1/1000)*(up_Irr!BU30)),IF(AND(up_Irr!Y30=".",up_Irr!AW30&lt;&gt;".",up_Irr!BU30="."),up_dir!Z30/((1/1000)*(up_Irr!AW30)),IF(AND(up_Irr!Y30&lt;&gt;".",up_Irr!AW30=".",up_Irr!BU30="."),up_dir!Z30/((1/1000)*(up_Irr!Y30)),IF(AND(up_Irr!Y30=".",up_Irr!AW30=".",up_Irr!BU30="."),up_dir!Z30*1000)))))))),".")</f>
        <v>6.5773651144152131E-4</v>
      </c>
      <c r="AA30" s="48">
        <f>IFERROR(IF(AND(up_Irr!Z30&lt;&gt;".",up_Irr!AX30&lt;&gt;".",up_Irr!BV30&lt;&gt;"."),up_dir!AA30/((1/1000)*(up_Irr!Z30+up_Irr!AX30+up_Irr!BV30)),IF(AND(up_Irr!Z30&lt;&gt;".",up_Irr!AX30&lt;&gt;".",up_Irr!BV30="."),up_dir!AA30/((1/1000)*(up_Irr!Z30+up_Irr!AX30)),IF(AND(up_Irr!Z30&lt;&gt;".",up_Irr!AX30=".",up_Irr!BV30&lt;&gt;"."),up_dir!AA30/((1/1000)*(up_Irr!Z30+up_Irr!BV30)),IF(AND(up_Irr!Z30=".",up_Irr!AX30&lt;&gt;".",up_Irr!BV30&lt;&gt;"."),up_dir!AA30/((1/1000)*(up_Irr!AX30+up_Irr!BV30)),IF(AND(up_Irr!Z30=".",up_Irr!AX30=".",up_Irr!BV30&lt;&gt;"."),up_dir!AA30/((1/1000)*(up_Irr!BV30)),IF(AND(up_Irr!Z30=".",up_Irr!AX30&lt;&gt;".",up_Irr!BV30="."),up_dir!AA30/((1/1000)*(up_Irr!AX30)),IF(AND(up_Irr!Z30&lt;&gt;".",up_Irr!AX30=".",up_Irr!BV30="."),up_dir!AA30/((1/1000)*(up_Irr!Z30)),IF(AND(up_Irr!Z30=".",up_Irr!AX30=".",up_Irr!BV30="."),up_dir!AA30*1000)))))))),".")</f>
        <v>6.5773651144152131E-4</v>
      </c>
      <c r="AB30" s="62">
        <f t="shared" si="1"/>
        <v>22805.4847785862</v>
      </c>
      <c r="AC30" s="62">
        <f>IFERROR(s_C*s_IFAP_res_adj*s_CF_apple*0.001*(up_Irr!C30+up_Irr!AA30+up_Irr!AY30),".")</f>
        <v>7601.8282595287337</v>
      </c>
      <c r="AD30" s="62">
        <f>IFERROR(s_C*s_IFAS_res_adj*s_CF_asparagus*0.001*(up_Irr!D30+up_Irr!AB30+up_Irr!AZ30),".")</f>
        <v>7601.8282595287337</v>
      </c>
      <c r="AE30" s="62">
        <f>IFERROR(s_C*s_IFBT_res_adj*s_CF_beet*0.001*(up_Irr!E30+up_Irr!AC30+up_Irr!BA30),".")</f>
        <v>7601.8282595287337</v>
      </c>
      <c r="AF30" s="62">
        <f>IFERROR(s_C*s_IFBE_res_adj*s_CF_berries*0.001*(up_Irr!F30+up_Irr!AD30+up_Irr!BB30),".")</f>
        <v>7601.8282595287337</v>
      </c>
      <c r="AG30" s="62">
        <f>IFERROR(s_C*s_IFBR_res_adj*s_CF_broccoli*0.001*(up_Irr!G30+up_Irr!AE30+up_Irr!BC30),".")</f>
        <v>7601.8282595287337</v>
      </c>
      <c r="AH30" s="62">
        <f>IFERROR(s_C*s_IFCB_res_adj*s_CF_cabbage*0.001*(up_Irr!H30+up_Irr!AF30+up_Irr!BD30),".")</f>
        <v>7601.8282595287337</v>
      </c>
      <c r="AI30" s="62">
        <f>IFERROR(s_C*s_IFCR_res_adj*s_CF_carrot*0.001*(up_Irr!I30+up_Irr!AG30+up_Irr!BE30),".")</f>
        <v>7601.8282595287337</v>
      </c>
      <c r="AJ30" s="62">
        <f>IFERROR(s_C*s_IFCI_res_adj*s_CF_citrus*0.001*(up_Irr!J30+up_Irr!AH30+up_Irr!BF30),".")</f>
        <v>7601.8282595287337</v>
      </c>
      <c r="AK30" s="62">
        <f>IFERROR(s_C*s_IFCO_res_adj*s_CF_corn*0.001*(up_Irr!K30+up_Irr!AI30+up_Irr!BG30),".")</f>
        <v>7601.8282595287337</v>
      </c>
      <c r="AL30" s="62">
        <f>IFERROR(s_C*s_IFCU_res_adj*s_CF_cucumber*0.001*(up_Irr!L30+up_Irr!AJ30+up_Irr!BH30),".")</f>
        <v>7601.8282595287337</v>
      </c>
      <c r="AM30" s="62">
        <f>IFERROR(s_C*s_IFLE_res_adj*s_CF_lettuce*0.001*(up_Irr!M30+up_Irr!AK30+up_Irr!BI30),".")</f>
        <v>7601.8282595287337</v>
      </c>
      <c r="AN30" s="62">
        <f>IFERROR(s_C*s_IFLI_res_adj*s_CF_lima_bean*0.001*(up_Irr!N30+up_Irr!AL30+up_Irr!BJ30),".")</f>
        <v>7601.8282595287337</v>
      </c>
      <c r="AO30" s="62">
        <f>IFERROR(s_C*s_IFOK_res_adj*s_CF_okra*0.001*(up_Irr!O30+up_Irr!AM30+up_Irr!BK30),".")</f>
        <v>7601.8282595287337</v>
      </c>
      <c r="AP30" s="62">
        <f>IFERROR(s_C*s_IFON_res_adj*s_CF_onion*0.001*(up_Irr!P30+up_Irr!AN30+up_Irr!BL30),".")</f>
        <v>7601.8282595287337</v>
      </c>
      <c r="AQ30" s="62">
        <f>IFERROR(s_C*s_IFPC_res_adj*s_CF_peach*0.001*(up_Irr!Q30+up_Irr!AO30+up_Irr!BM30),".")</f>
        <v>7601.8282595287337</v>
      </c>
      <c r="AR30" s="62">
        <f>IFERROR(s_C*s_IFPR_res_adj*s_CF_pear*0.001*(up_Irr!R30+up_Irr!AP30+up_Irr!BN30),".")</f>
        <v>7601.8282595287337</v>
      </c>
      <c r="AS30" s="62">
        <f>IFERROR(s_C*s_IFPE_res_adj*s_CF_peas*0.001*(up_Irr!S30+up_Irr!AQ30+up_Irr!BO30),".")</f>
        <v>7601.8282595287337</v>
      </c>
      <c r="AT30" s="62">
        <f>IFERROR(s_C*s_IFPT_res_adj*s_CF_potato*0.001*(up_Irr!T30+up_Irr!AR30+up_Irr!BP30),".")</f>
        <v>7601.8282595287337</v>
      </c>
      <c r="AU30" s="62">
        <f>IFERROR(s_C*s_IFPU_res_adj*s_CF_pumpkin*0.001*(up_Irr!U30+up_Irr!AS30+up_Irr!BQ30),".")</f>
        <v>7601.8282595287337</v>
      </c>
      <c r="AV30" s="62">
        <f>IFERROR(s_C*s_IFSN_res_adj*s_CF_snap_bean*0.001*(up_Irr!V30+up_Irr!AT30+up_Irr!BR30),".")</f>
        <v>7601.8282595287337</v>
      </c>
      <c r="AW30" s="62">
        <f>IFERROR(s_C*s_IFST_res_adj*s_CF_strawberry*0.001*(up_Irr!W30+up_Irr!AU30+up_Irr!BS30),".")</f>
        <v>7601.8282595287337</v>
      </c>
      <c r="AX30" s="62">
        <f>IFERROR(s_C*s_IFTO_res_adj*s_CF_tomato*0.001*(up_Irr!X30+up_Irr!AV30+up_Irr!BT30),".")</f>
        <v>7601.8282595287337</v>
      </c>
      <c r="AY30" s="62">
        <f>IFERROR(s_C*s_IFRI_res_adj*s_CF_rice*0.001*(up_Irr!Y30+up_Irr!AW30+up_Irr!BU30),".")</f>
        <v>7601.8282595287337</v>
      </c>
      <c r="AZ30" s="62">
        <f>IFERROR(s_C*s_IFCG_res_adj*s_CF_cereal*0.001*(up_Irr!Z30+up_Irr!AX30+up_Irr!BV30),".")</f>
        <v>7601.8282595287337</v>
      </c>
      <c r="BA30" s="48">
        <f t="shared" si="2"/>
        <v>2.1924550381384044E-4</v>
      </c>
      <c r="BB30" s="48">
        <f>IFERROR(IF(AND(up_Irr!C30&lt;&gt;".",up_Irr!AA30&lt;&gt;".",up_Irr!AY30&lt;&gt;"."),up_dir!AC30/((1/1000)*(up_Irr!C30+up_Irr!AA30+up_Irr!AY30)),IF(AND(up_Irr!C30&lt;&gt;".",up_Irr!AA30&lt;&gt;".",up_Irr!AY30="."),up_dir!AC30/((1/1000)*(up_Irr!C30+up_Irr!AA30)),IF(AND(up_Irr!C30&lt;&gt;".",up_Irr!AA30=".",up_Irr!AY30&lt;&gt;"."),up_dir!AC30/((1/1000)*(up_Irr!C30+up_Irr!AY30)),IF(AND(up_Irr!C30=".",up_Irr!AA30&lt;&gt;".",up_Irr!AY30&lt;&gt;"."),up_dir!AC30/((1/1000)*(up_Irr!AA30+up_Irr!AY30)),IF(AND(up_Irr!C30=".",up_Irr!AA30=".",up_Irr!AY30&lt;&gt;"."),up_dir!AC30/((1/1000)*(up_Irr!AY30)),IF(AND(up_Irr!C30=".",up_Irr!AA30&lt;&gt;".",up_Irr!AY30="."),up_dir!AC30/((1/1000)*(up_Irr!AA30)),IF(AND(up_Irr!C30&lt;&gt;".",up_Irr!AA30=".",up_Irr!AY30="."),up_dir!AC30/((1/1000)*(up_Irr!C30)),IF(AND(up_Irr!C30=".",up_Irr!AA30=".",up_Irr!AY30="."),up_dir!AC30*1000)))))))),".")</f>
        <v>6.5773651144152131E-4</v>
      </c>
      <c r="BC30" s="48">
        <f>IFERROR(IF(AND(up_Irr!D30&lt;&gt;".",up_Irr!AB30&lt;&gt;".",up_Irr!AZ30&lt;&gt;"."),up_dir!AD30/((1/1000)*(up_Irr!D30+up_Irr!AB30+up_Irr!AZ30)),IF(AND(up_Irr!D30&lt;&gt;".",up_Irr!AB30&lt;&gt;".",up_Irr!AZ30="."),up_dir!AD30/((1/1000)*(up_Irr!D30+up_Irr!AB30)),IF(AND(up_Irr!D30&lt;&gt;".",up_Irr!AB30=".",up_Irr!AZ30&lt;&gt;"."),up_dir!AD30/((1/1000)*(up_Irr!D30+up_Irr!AZ30)),IF(AND(up_Irr!D30=".",up_Irr!AB30&lt;&gt;".",up_Irr!AZ30&lt;&gt;"."),up_dir!AD30/((1/1000)*(up_Irr!AB30+up_Irr!AZ30)),IF(AND(up_Irr!D30=".",up_Irr!AB30=".",up_Irr!AZ30&lt;&gt;"."),up_dir!AD30/((1/1000)*(up_Irr!AZ30)),IF(AND(up_Irr!D30=".",up_Irr!AB30&lt;&gt;".",up_Irr!AZ30="."),up_dir!AD30/((1/1000)*(up_Irr!AB30)),IF(AND(up_Irr!D30&lt;&gt;".",up_Irr!AB30=".",up_Irr!AZ30="."),up_dir!AD30/((1/1000)*(up_Irr!D30)),IF(AND(up_Irr!D30=".",up_Irr!AB30=".",up_Irr!AZ30="."),up_dir!AD30*1000)))))))),".")</f>
        <v>6.5773651144152131E-4</v>
      </c>
      <c r="BD30" s="48">
        <f>IFERROR(IF(AND(up_Irr!E30&lt;&gt;".",up_Irr!AC30&lt;&gt;".",up_Irr!BA30&lt;&gt;"."),up_dir!AE30/((1/1000)*(up_Irr!E30+up_Irr!AC30+up_Irr!BA30)),IF(AND(up_Irr!E30&lt;&gt;".",up_Irr!AC30&lt;&gt;".",up_Irr!BA30="."),up_dir!AE30/((1/1000)*(up_Irr!E30+up_Irr!AC30)),IF(AND(up_Irr!E30&lt;&gt;".",up_Irr!AC30=".",up_Irr!BA30&lt;&gt;"."),up_dir!AE30/((1/1000)*(up_Irr!E30+up_Irr!BA30)),IF(AND(up_Irr!E30=".",up_Irr!AC30&lt;&gt;".",up_Irr!BA30&lt;&gt;"."),up_dir!AE30/((1/1000)*(up_Irr!AC30+up_Irr!BA30)),IF(AND(up_Irr!E30=".",up_Irr!AC30=".",up_Irr!BA30&lt;&gt;"."),up_dir!AE30/((1/1000)*(up_Irr!BA30)),IF(AND(up_Irr!E30=".",up_Irr!AC30&lt;&gt;".",up_Irr!BA30="."),up_dir!AE30/((1/1000)*(up_Irr!AC30)),IF(AND(up_Irr!E30&lt;&gt;".",up_Irr!AC30=".",up_Irr!BA30="."),up_dir!AE30/((1/1000)*(up_Irr!E30)),IF(AND(up_Irr!E30=".",up_Irr!AC30=".",up_Irr!BA30="."),up_dir!AE30*1000)))))))),".")</f>
        <v>6.5773651144152131E-4</v>
      </c>
      <c r="BE30" s="48">
        <f>IFERROR(IF(AND(up_Irr!F30&lt;&gt;".",up_Irr!AD30&lt;&gt;".",up_Irr!BB30&lt;&gt;"."),up_dir!AF30/((1/1000)*(up_Irr!F30+up_Irr!AD30+up_Irr!BB30)),IF(AND(up_Irr!F30&lt;&gt;".",up_Irr!AD30&lt;&gt;".",up_Irr!BB30="."),up_dir!AF30/((1/1000)*(up_Irr!F30+up_Irr!AD30)),IF(AND(up_Irr!F30&lt;&gt;".",up_Irr!AD30=".",up_Irr!BB30&lt;&gt;"."),up_dir!AF30/((1/1000)*(up_Irr!F30+up_Irr!BB30)),IF(AND(up_Irr!F30=".",up_Irr!AD30&lt;&gt;".",up_Irr!BB30&lt;&gt;"."),up_dir!AF30/((1/1000)*(up_Irr!AD30+up_Irr!BB30)),IF(AND(up_Irr!F30=".",up_Irr!AD30=".",up_Irr!BB30&lt;&gt;"."),up_dir!AF30/((1/1000)*(up_Irr!BB30)),IF(AND(up_Irr!F30=".",up_Irr!AD30&lt;&gt;".",up_Irr!BB30="."),up_dir!AF30/((1/1000)*(up_Irr!AD30)),IF(AND(up_Irr!F30&lt;&gt;".",up_Irr!AD30=".",up_Irr!BB30="."),up_dir!AF30/((1/1000)*(up_Irr!F30)),IF(AND(up_Irr!F30=".",up_Irr!AD30=".",up_Irr!BB30="."),up_dir!AF30*1000)))))))),".")</f>
        <v>6.5773651144152131E-4</v>
      </c>
      <c r="BF30" s="48">
        <f>IFERROR(IF(AND(up_Irr!G30&lt;&gt;".",up_Irr!AE30&lt;&gt;".",up_Irr!BC30&lt;&gt;"."),up_dir!AG30/((1/1000)*(up_Irr!G30+up_Irr!AE30+up_Irr!BC30)),IF(AND(up_Irr!G30&lt;&gt;".",up_Irr!AE30&lt;&gt;".",up_Irr!BC30="."),up_dir!AG30/((1/1000)*(up_Irr!G30+up_Irr!AE30)),IF(AND(up_Irr!G30&lt;&gt;".",up_Irr!AE30=".",up_Irr!BC30&lt;&gt;"."),up_dir!AG30/((1/1000)*(up_Irr!G30+up_Irr!BC30)),IF(AND(up_Irr!G30=".",up_Irr!AE30&lt;&gt;".",up_Irr!BC30&lt;&gt;"."),up_dir!AG30/((1/1000)*(up_Irr!AE30+up_Irr!BC30)),IF(AND(up_Irr!G30=".",up_Irr!AE30=".",up_Irr!BC30&lt;&gt;"."),up_dir!AG30/((1/1000)*(up_Irr!BC30)),IF(AND(up_Irr!G30=".",up_Irr!AE30&lt;&gt;".",up_Irr!BC30="."),up_dir!AG30/((1/1000)*(up_Irr!AE30)),IF(AND(up_Irr!G30&lt;&gt;".",up_Irr!AE30=".",up_Irr!BC30="."),up_dir!AG30/((1/1000)*(up_Irr!G30)),IF(AND(up_Irr!G30=".",up_Irr!AE30=".",up_Irr!BC30="."),up_dir!AG30*1000)))))))),".")</f>
        <v>6.5773651144152131E-4</v>
      </c>
      <c r="BG30" s="48">
        <f>IFERROR(IF(AND(up_Irr!H30&lt;&gt;".",up_Irr!AF30&lt;&gt;".",up_Irr!BD30&lt;&gt;"."),up_dir!AH30/((1/1000)*(up_Irr!H30+up_Irr!AF30+up_Irr!BD30)),IF(AND(up_Irr!H30&lt;&gt;".",up_Irr!AF30&lt;&gt;".",up_Irr!BD30="."),up_dir!AH30/((1/1000)*(up_Irr!H30+up_Irr!AF30)),IF(AND(up_Irr!H30&lt;&gt;".",up_Irr!AF30=".",up_Irr!BD30&lt;&gt;"."),up_dir!AH30/((1/1000)*(up_Irr!H30+up_Irr!BD30)),IF(AND(up_Irr!H30=".",up_Irr!AF30&lt;&gt;".",up_Irr!BD30&lt;&gt;"."),up_dir!AH30/((1/1000)*(up_Irr!AF30+up_Irr!BD30)),IF(AND(up_Irr!H30=".",up_Irr!AF30=".",up_Irr!BD30&lt;&gt;"."),up_dir!AH30/((1/1000)*(up_Irr!BD30)),IF(AND(up_Irr!H30=".",up_Irr!AF30&lt;&gt;".",up_Irr!BD30="."),up_dir!AH30/((1/1000)*(up_Irr!AF30)),IF(AND(up_Irr!H30&lt;&gt;".",up_Irr!AF30=".",up_Irr!BD30="."),up_dir!AH30/((1/1000)*(up_Irr!H30)),IF(AND(up_Irr!H30=".",up_Irr!AF30=".",up_Irr!BD30="."),up_dir!AH30*1000)))))))),".")</f>
        <v>6.5773651144152131E-4</v>
      </c>
      <c r="BH30" s="48">
        <f>IFERROR(IF(AND(up_Irr!I30&lt;&gt;".",up_Irr!AG30&lt;&gt;".",up_Irr!BE30&lt;&gt;"."),up_dir!AI30/((1/1000)*(up_Irr!I30+up_Irr!AG30+up_Irr!BE30)),IF(AND(up_Irr!I30&lt;&gt;".",up_Irr!AG30&lt;&gt;".",up_Irr!BE30="."),up_dir!AI30/((1/1000)*(up_Irr!I30+up_Irr!AG30)),IF(AND(up_Irr!I30&lt;&gt;".",up_Irr!AG30=".",up_Irr!BE30&lt;&gt;"."),up_dir!AI30/((1/1000)*(up_Irr!I30+up_Irr!BE30)),IF(AND(up_Irr!I30=".",up_Irr!AG30&lt;&gt;".",up_Irr!BE30&lt;&gt;"."),up_dir!AI30/((1/1000)*(up_Irr!AG30+up_Irr!BE30)),IF(AND(up_Irr!I30=".",up_Irr!AG30=".",up_Irr!BE30&lt;&gt;"."),up_dir!AI30/((1/1000)*(up_Irr!BE30)),IF(AND(up_Irr!I30=".",up_Irr!AG30&lt;&gt;".",up_Irr!BE30="."),up_dir!AI30/((1/1000)*(up_Irr!AG30)),IF(AND(up_Irr!I30&lt;&gt;".",up_Irr!AG30=".",up_Irr!BE30="."),up_dir!AI30/((1/1000)*(up_Irr!I30)),IF(AND(up_Irr!I30=".",up_Irr!AG30=".",up_Irr!BE30="."),up_dir!AI30*1000)))))))),".")</f>
        <v>6.5773651144152131E-4</v>
      </c>
      <c r="BI30" s="48">
        <f>IFERROR(IF(AND(up_Irr!J30&lt;&gt;".",up_Irr!AH30&lt;&gt;".",up_Irr!BF30&lt;&gt;"."),up_dir!AJ30/((1/1000)*(up_Irr!J30+up_Irr!AH30+up_Irr!BF30)),IF(AND(up_Irr!J30&lt;&gt;".",up_Irr!AH30&lt;&gt;".",up_Irr!BF30="."),up_dir!AJ30/((1/1000)*(up_Irr!J30+up_Irr!AH30)),IF(AND(up_Irr!J30&lt;&gt;".",up_Irr!AH30=".",up_Irr!BF30&lt;&gt;"."),up_dir!AJ30/((1/1000)*(up_Irr!J30+up_Irr!BF30)),IF(AND(up_Irr!J30=".",up_Irr!AH30&lt;&gt;".",up_Irr!BF30&lt;&gt;"."),up_dir!AJ30/((1/1000)*(up_Irr!AH30+up_Irr!BF30)),IF(AND(up_Irr!J30=".",up_Irr!AH30=".",up_Irr!BF30&lt;&gt;"."),up_dir!AJ30/((1/1000)*(up_Irr!BF30)),IF(AND(up_Irr!J30=".",up_Irr!AH30&lt;&gt;".",up_Irr!BF30="."),up_dir!AJ30/((1/1000)*(up_Irr!AH30)),IF(AND(up_Irr!J30&lt;&gt;".",up_Irr!AH30=".",up_Irr!BF30="."),up_dir!AJ30/((1/1000)*(up_Irr!J30)),IF(AND(up_Irr!J30=".",up_Irr!AH30=".",up_Irr!BF30="."),up_dir!AJ30*1000)))))))),".")</f>
        <v>6.5773651144152131E-4</v>
      </c>
      <c r="BJ30" s="48">
        <f>IFERROR(IF(AND(up_Irr!K30&lt;&gt;".",up_Irr!AI30&lt;&gt;".",up_Irr!BG30&lt;&gt;"."),up_dir!AK30/((1/1000)*(up_Irr!K30+up_Irr!AI30+up_Irr!BG30)),IF(AND(up_Irr!K30&lt;&gt;".",up_Irr!AI30&lt;&gt;".",up_Irr!BG30="."),up_dir!AK30/((1/1000)*(up_Irr!K30+up_Irr!AI30)),IF(AND(up_Irr!K30&lt;&gt;".",up_Irr!AI30=".",up_Irr!BG30&lt;&gt;"."),up_dir!AK30/((1/1000)*(up_Irr!K30+up_Irr!BG30)),IF(AND(up_Irr!K30=".",up_Irr!AI30&lt;&gt;".",up_Irr!BG30&lt;&gt;"."),up_dir!AK30/((1/1000)*(up_Irr!AI30+up_Irr!BG30)),IF(AND(up_Irr!K30=".",up_Irr!AI30=".",up_Irr!BG30&lt;&gt;"."),up_dir!AK30/((1/1000)*(up_Irr!BG30)),IF(AND(up_Irr!K30=".",up_Irr!AI30&lt;&gt;".",up_Irr!BG30="."),up_dir!AK30/((1/1000)*(up_Irr!AI30)),IF(AND(up_Irr!K30&lt;&gt;".",up_Irr!AI30=".",up_Irr!BG30="."),up_dir!AK30/((1/1000)*(up_Irr!K30)),IF(AND(up_Irr!K30=".",up_Irr!AI30=".",up_Irr!BG30="."),up_dir!AK30*1000)))))))),".")</f>
        <v>6.5773651144152131E-4</v>
      </c>
      <c r="BK30" s="48">
        <f>IFERROR(IF(AND(up_Irr!L30&lt;&gt;".",up_Irr!AJ30&lt;&gt;".",up_Irr!BH30&lt;&gt;"."),up_dir!AL30/((1/1000)*(up_Irr!L30+up_Irr!AJ30+up_Irr!BH30)),IF(AND(up_Irr!L30&lt;&gt;".",up_Irr!AJ30&lt;&gt;".",up_Irr!BH30="."),up_dir!AL30/((1/1000)*(up_Irr!L30+up_Irr!AJ30)),IF(AND(up_Irr!L30&lt;&gt;".",up_Irr!AJ30=".",up_Irr!BH30&lt;&gt;"."),up_dir!AL30/((1/1000)*(up_Irr!L30+up_Irr!BH30)),IF(AND(up_Irr!L30=".",up_Irr!AJ30&lt;&gt;".",up_Irr!BH30&lt;&gt;"."),up_dir!AL30/((1/1000)*(up_Irr!AJ30+up_Irr!BH30)),IF(AND(up_Irr!L30=".",up_Irr!AJ30=".",up_Irr!BH30&lt;&gt;"."),up_dir!AL30/((1/1000)*(up_Irr!BH30)),IF(AND(up_Irr!L30=".",up_Irr!AJ30&lt;&gt;".",up_Irr!BH30="."),up_dir!AL30/((1/1000)*(up_Irr!AJ30)),IF(AND(up_Irr!L30&lt;&gt;".",up_Irr!AJ30=".",up_Irr!BH30="."),up_dir!AL30/((1/1000)*(up_Irr!L30)),IF(AND(up_Irr!L30=".",up_Irr!AJ30=".",up_Irr!BH30="."),up_dir!AL30*1000)))))))),".")</f>
        <v>6.5773651144152131E-4</v>
      </c>
      <c r="BL30" s="48">
        <f>IFERROR(IF(AND(up_Irr!M30&lt;&gt;".",up_Irr!AK30&lt;&gt;".",up_Irr!BI30&lt;&gt;"."),up_dir!AM30/((1/1000)*(up_Irr!M30+up_Irr!AK30+up_Irr!BI30)),IF(AND(up_Irr!M30&lt;&gt;".",up_Irr!AK30&lt;&gt;".",up_Irr!BI30="."),up_dir!AM30/((1/1000)*(up_Irr!M30+up_Irr!AK30)),IF(AND(up_Irr!M30&lt;&gt;".",up_Irr!AK30=".",up_Irr!BI30&lt;&gt;"."),up_dir!AM30/((1/1000)*(up_Irr!M30+up_Irr!BI30)),IF(AND(up_Irr!M30=".",up_Irr!AK30&lt;&gt;".",up_Irr!BI30&lt;&gt;"."),up_dir!AM30/((1/1000)*(up_Irr!AK30+up_Irr!BI30)),IF(AND(up_Irr!M30=".",up_Irr!AK30=".",up_Irr!BI30&lt;&gt;"."),up_dir!AM30/((1/1000)*(up_Irr!BI30)),IF(AND(up_Irr!M30=".",up_Irr!AK30&lt;&gt;".",up_Irr!BI30="."),up_dir!AM30/((1/1000)*(up_Irr!AK30)),IF(AND(up_Irr!M30&lt;&gt;".",up_Irr!AK30=".",up_Irr!BI30="."),up_dir!AM30/((1/1000)*(up_Irr!M30)),IF(AND(up_Irr!M30=".",up_Irr!AK30=".",up_Irr!BI30="."),up_dir!AM30*1000)))))))),".")</f>
        <v>6.5773651144152131E-4</v>
      </c>
      <c r="BM30" s="48">
        <f>IFERROR(IF(AND(up_Irr!N30&lt;&gt;".",up_Irr!AL30&lt;&gt;".",up_Irr!BJ30&lt;&gt;"."),up_dir!AN30/((1/1000)*(up_Irr!N30+up_Irr!AL30+up_Irr!BJ30)),IF(AND(up_Irr!N30&lt;&gt;".",up_Irr!AL30&lt;&gt;".",up_Irr!BJ30="."),up_dir!AN30/((1/1000)*(up_Irr!N30+up_Irr!AL30)),IF(AND(up_Irr!N30&lt;&gt;".",up_Irr!AL30=".",up_Irr!BJ30&lt;&gt;"."),up_dir!AN30/((1/1000)*(up_Irr!N30+up_Irr!BJ30)),IF(AND(up_Irr!N30=".",up_Irr!AL30&lt;&gt;".",up_Irr!BJ30&lt;&gt;"."),up_dir!AN30/((1/1000)*(up_Irr!AL30+up_Irr!BJ30)),IF(AND(up_Irr!N30=".",up_Irr!AL30=".",up_Irr!BJ30&lt;&gt;"."),up_dir!AN30/((1/1000)*(up_Irr!BJ30)),IF(AND(up_Irr!N30=".",up_Irr!AL30&lt;&gt;".",up_Irr!BJ30="."),up_dir!AN30/((1/1000)*(up_Irr!AL30)),IF(AND(up_Irr!N30&lt;&gt;".",up_Irr!AL30=".",up_Irr!BJ30="."),up_dir!AN30/((1/1000)*(up_Irr!N30)),IF(AND(up_Irr!N30=".",up_Irr!AL30=".",up_Irr!BJ30="."),up_dir!AN30*1000)))))))),".")</f>
        <v>6.5773651144152131E-4</v>
      </c>
      <c r="BN30" s="48">
        <f>IFERROR(IF(AND(up_Irr!O30&lt;&gt;".",up_Irr!AM30&lt;&gt;".",up_Irr!BK30&lt;&gt;"."),up_dir!AO30/((1/1000)*(up_Irr!O30+up_Irr!AM30+up_Irr!BK30)),IF(AND(up_Irr!O30&lt;&gt;".",up_Irr!AM30&lt;&gt;".",up_Irr!BK30="."),up_dir!AO30/((1/1000)*(up_Irr!O30+up_Irr!AM30)),IF(AND(up_Irr!O30&lt;&gt;".",up_Irr!AM30=".",up_Irr!BK30&lt;&gt;"."),up_dir!AO30/((1/1000)*(up_Irr!O30+up_Irr!BK30)),IF(AND(up_Irr!O30=".",up_Irr!AM30&lt;&gt;".",up_Irr!BK30&lt;&gt;"."),up_dir!AO30/((1/1000)*(up_Irr!AM30+up_Irr!BK30)),IF(AND(up_Irr!O30=".",up_Irr!AM30=".",up_Irr!BK30&lt;&gt;"."),up_dir!AO30/((1/1000)*(up_Irr!BK30)),IF(AND(up_Irr!O30=".",up_Irr!AM30&lt;&gt;".",up_Irr!BK30="."),up_dir!AO30/((1/1000)*(up_Irr!AM30)),IF(AND(up_Irr!O30&lt;&gt;".",up_Irr!AM30=".",up_Irr!BK30="."),up_dir!AO30/((1/1000)*(up_Irr!O30)),IF(AND(up_Irr!O30=".",up_Irr!AM30=".",up_Irr!BK30="."),up_dir!AO30*1000)))))))),".")</f>
        <v>6.5773651144152131E-4</v>
      </c>
      <c r="BO30" s="48">
        <f>IFERROR(IF(AND(up_Irr!P30&lt;&gt;".",up_Irr!AN30&lt;&gt;".",up_Irr!BL30&lt;&gt;"."),up_dir!AP30/((1/1000)*(up_Irr!P30+up_Irr!AN30+up_Irr!BL30)),IF(AND(up_Irr!P30&lt;&gt;".",up_Irr!AN30&lt;&gt;".",up_Irr!BL30="."),up_dir!AP30/((1/1000)*(up_Irr!P30+up_Irr!AN30)),IF(AND(up_Irr!P30&lt;&gt;".",up_Irr!AN30=".",up_Irr!BL30&lt;&gt;"."),up_dir!AP30/((1/1000)*(up_Irr!P30+up_Irr!BL30)),IF(AND(up_Irr!P30=".",up_Irr!AN30&lt;&gt;".",up_Irr!BL30&lt;&gt;"."),up_dir!AP30/((1/1000)*(up_Irr!AN30+up_Irr!BL30)),IF(AND(up_Irr!P30=".",up_Irr!AN30=".",up_Irr!BL30&lt;&gt;"."),up_dir!AP30/((1/1000)*(up_Irr!BL30)),IF(AND(up_Irr!P30=".",up_Irr!AN30&lt;&gt;".",up_Irr!BL30="."),up_dir!AP30/((1/1000)*(up_Irr!AN30)),IF(AND(up_Irr!P30&lt;&gt;".",up_Irr!AN30=".",up_Irr!BL30="."),up_dir!AP30/((1/1000)*(up_Irr!P30)),IF(AND(up_Irr!P30=".",up_Irr!AN30=".",up_Irr!BL30="."),up_dir!AP30*1000)))))))),".")</f>
        <v>6.5773651144152131E-4</v>
      </c>
      <c r="BP30" s="48">
        <f>IFERROR(IF(AND(up_Irr!Q30&lt;&gt;".",up_Irr!AO30&lt;&gt;".",up_Irr!BM30&lt;&gt;"."),up_dir!AQ30/((1/1000)*(up_Irr!Q30+up_Irr!AO30+up_Irr!BM30)),IF(AND(up_Irr!Q30&lt;&gt;".",up_Irr!AO30&lt;&gt;".",up_Irr!BM30="."),up_dir!AQ30/((1/1000)*(up_Irr!Q30+up_Irr!AO30)),IF(AND(up_Irr!Q30&lt;&gt;".",up_Irr!AO30=".",up_Irr!BM30&lt;&gt;"."),up_dir!AQ30/((1/1000)*(up_Irr!Q30+up_Irr!BM30)),IF(AND(up_Irr!Q30=".",up_Irr!AO30&lt;&gt;".",up_Irr!BM30&lt;&gt;"."),up_dir!AQ30/((1/1000)*(up_Irr!AO30+up_Irr!BM30)),IF(AND(up_Irr!Q30=".",up_Irr!AO30=".",up_Irr!BM30&lt;&gt;"."),up_dir!AQ30/((1/1000)*(up_Irr!BM30)),IF(AND(up_Irr!Q30=".",up_Irr!AO30&lt;&gt;".",up_Irr!BM30="."),up_dir!AQ30/((1/1000)*(up_Irr!AO30)),IF(AND(up_Irr!Q30&lt;&gt;".",up_Irr!AO30=".",up_Irr!BM30="."),up_dir!AQ30/((1/1000)*(up_Irr!Q30)),IF(AND(up_Irr!Q30=".",up_Irr!AO30=".",up_Irr!BM30="."),up_dir!AQ30*1000)))))))),".")</f>
        <v>6.5773651144152131E-4</v>
      </c>
      <c r="BQ30" s="48">
        <f>IFERROR(IF(AND(up_Irr!R30&lt;&gt;".",up_Irr!AP30&lt;&gt;".",up_Irr!BN30&lt;&gt;"."),up_dir!AR30/((1/1000)*(up_Irr!R30+up_Irr!AP30+up_Irr!BN30)),IF(AND(up_Irr!R30&lt;&gt;".",up_Irr!AP30&lt;&gt;".",up_Irr!BN30="."),up_dir!AR30/((1/1000)*(up_Irr!R30+up_Irr!AP30)),IF(AND(up_Irr!R30&lt;&gt;".",up_Irr!AP30=".",up_Irr!BN30&lt;&gt;"."),up_dir!AR30/((1/1000)*(up_Irr!R30+up_Irr!BN30)),IF(AND(up_Irr!R30=".",up_Irr!AP30&lt;&gt;".",up_Irr!BN30&lt;&gt;"."),up_dir!AR30/((1/1000)*(up_Irr!AP30+up_Irr!BN30)),IF(AND(up_Irr!R30=".",up_Irr!AP30=".",up_Irr!BN30&lt;&gt;"."),up_dir!AR30/((1/1000)*(up_Irr!BN30)),IF(AND(up_Irr!R30=".",up_Irr!AP30&lt;&gt;".",up_Irr!BN30="."),up_dir!AR30/((1/1000)*(up_Irr!AP30)),IF(AND(up_Irr!R30&lt;&gt;".",up_Irr!AP30=".",up_Irr!BN30="."),up_dir!AR30/((1/1000)*(up_Irr!R30)),IF(AND(up_Irr!R30=".",up_Irr!AP30=".",up_Irr!BN30="."),up_dir!AR30*1000)))))))),".")</f>
        <v>6.5773651144152131E-4</v>
      </c>
      <c r="BR30" s="48">
        <f>IFERROR(IF(AND(up_Irr!S30&lt;&gt;".",up_Irr!AQ30&lt;&gt;".",up_Irr!BO30&lt;&gt;"."),up_dir!AS30/((1/1000)*(up_Irr!S30+up_Irr!AQ30+up_Irr!BO30)),IF(AND(up_Irr!S30&lt;&gt;".",up_Irr!AQ30&lt;&gt;".",up_Irr!BO30="."),up_dir!AS30/((1/1000)*(up_Irr!S30+up_Irr!AQ30)),IF(AND(up_Irr!S30&lt;&gt;".",up_Irr!AQ30=".",up_Irr!BO30&lt;&gt;"."),up_dir!AS30/((1/1000)*(up_Irr!S30+up_Irr!BO30)),IF(AND(up_Irr!S30=".",up_Irr!AQ30&lt;&gt;".",up_Irr!BO30&lt;&gt;"."),up_dir!AS30/((1/1000)*(up_Irr!AQ30+up_Irr!BO30)),IF(AND(up_Irr!S30=".",up_Irr!AQ30=".",up_Irr!BO30&lt;&gt;"."),up_dir!AS30/((1/1000)*(up_Irr!BO30)),IF(AND(up_Irr!S30=".",up_Irr!AQ30&lt;&gt;".",up_Irr!BO30="."),up_dir!AS30/((1/1000)*(up_Irr!AQ30)),IF(AND(up_Irr!S30&lt;&gt;".",up_Irr!AQ30=".",up_Irr!BO30="."),up_dir!AS30/((1/1000)*(up_Irr!S30)),IF(AND(up_Irr!S30=".",up_Irr!AQ30=".",up_Irr!BO30="."),up_dir!AS30*1000)))))))),".")</f>
        <v>6.5773651144152131E-4</v>
      </c>
      <c r="BS30" s="48">
        <f>IFERROR(IF(AND(up_Irr!T30&lt;&gt;".",up_Irr!AR30&lt;&gt;".",up_Irr!BP30&lt;&gt;"."),up_dir!AT30/((1/1000)*(up_Irr!T30+up_Irr!AR30+up_Irr!BP30)),IF(AND(up_Irr!T30&lt;&gt;".",up_Irr!AR30&lt;&gt;".",up_Irr!BP30="."),up_dir!AT30/((1/1000)*(up_Irr!T30+up_Irr!AR30)),IF(AND(up_Irr!T30&lt;&gt;".",up_Irr!AR30=".",up_Irr!BP30&lt;&gt;"."),up_dir!AT30/((1/1000)*(up_Irr!T30+up_Irr!BP30)),IF(AND(up_Irr!T30=".",up_Irr!AR30&lt;&gt;".",up_Irr!BP30&lt;&gt;"."),up_dir!AT30/((1/1000)*(up_Irr!AR30+up_Irr!BP30)),IF(AND(up_Irr!T30=".",up_Irr!AR30=".",up_Irr!BP30&lt;&gt;"."),up_dir!AT30/((1/1000)*(up_Irr!BP30)),IF(AND(up_Irr!T30=".",up_Irr!AR30&lt;&gt;".",up_Irr!BP30="."),up_dir!AT30/((1/1000)*(up_Irr!AR30)),IF(AND(up_Irr!T30&lt;&gt;".",up_Irr!AR30=".",up_Irr!BP30="."),up_dir!AT30/((1/1000)*(up_Irr!T30)),IF(AND(up_Irr!T30=".",up_Irr!AR30=".",up_Irr!BP30="."),up_dir!AT30*1000)))))))),".")</f>
        <v>6.5773651144152131E-4</v>
      </c>
      <c r="BT30" s="48">
        <f>IFERROR(IF(AND(up_Irr!U30&lt;&gt;".",up_Irr!AS30&lt;&gt;".",up_Irr!BQ30&lt;&gt;"."),up_dir!AU30/((1/1000)*(up_Irr!U30+up_Irr!AS30+up_Irr!BQ30)),IF(AND(up_Irr!U30&lt;&gt;".",up_Irr!AS30&lt;&gt;".",up_Irr!BQ30="."),up_dir!AU30/((1/1000)*(up_Irr!U30+up_Irr!AS30)),IF(AND(up_Irr!U30&lt;&gt;".",up_Irr!AS30=".",up_Irr!BQ30&lt;&gt;"."),up_dir!AU30/((1/1000)*(up_Irr!U30+up_Irr!BQ30)),IF(AND(up_Irr!U30=".",up_Irr!AS30&lt;&gt;".",up_Irr!BQ30&lt;&gt;"."),up_dir!AU30/((1/1000)*(up_Irr!AS30+up_Irr!BQ30)),IF(AND(up_Irr!U30=".",up_Irr!AS30=".",up_Irr!BQ30&lt;&gt;"."),up_dir!AU30/((1/1000)*(up_Irr!BQ30)),IF(AND(up_Irr!U30=".",up_Irr!AS30&lt;&gt;".",up_Irr!BQ30="."),up_dir!AU30/((1/1000)*(up_Irr!AS30)),IF(AND(up_Irr!U30&lt;&gt;".",up_Irr!AS30=".",up_Irr!BQ30="."),up_dir!AU30/((1/1000)*(up_Irr!U30)),IF(AND(up_Irr!U30=".",up_Irr!AS30=".",up_Irr!BQ30="."),up_dir!AU30*1000)))))))),".")</f>
        <v>6.5773651144152131E-4</v>
      </c>
      <c r="BU30" s="48">
        <f>IFERROR(IF(AND(up_Irr!V30&lt;&gt;".",up_Irr!AT30&lt;&gt;".",up_Irr!BR30&lt;&gt;"."),up_dir!AV30/((1/1000)*(up_Irr!V30+up_Irr!AT30+up_Irr!BR30)),IF(AND(up_Irr!V30&lt;&gt;".",up_Irr!AT30&lt;&gt;".",up_Irr!BR30="."),up_dir!AV30/((1/1000)*(up_Irr!V30+up_Irr!AT30)),IF(AND(up_Irr!V30&lt;&gt;".",up_Irr!AT30=".",up_Irr!BR30&lt;&gt;"."),up_dir!AV30/((1/1000)*(up_Irr!V30+up_Irr!BR30)),IF(AND(up_Irr!V30=".",up_Irr!AT30&lt;&gt;".",up_Irr!BR30&lt;&gt;"."),up_dir!AV30/((1/1000)*(up_Irr!AT30+up_Irr!BR30)),IF(AND(up_Irr!V30=".",up_Irr!AT30=".",up_Irr!BR30&lt;&gt;"."),up_dir!AV30/((1/1000)*(up_Irr!BR30)),IF(AND(up_Irr!V30=".",up_Irr!AT30&lt;&gt;".",up_Irr!BR30="."),up_dir!AV30/((1/1000)*(up_Irr!AT30)),IF(AND(up_Irr!V30&lt;&gt;".",up_Irr!AT30=".",up_Irr!BR30="."),up_dir!AV30/((1/1000)*(up_Irr!V30)),IF(AND(up_Irr!V30=".",up_Irr!AT30=".",up_Irr!BR30="."),up_dir!AV30*1000)))))))),".")</f>
        <v>6.5773651144152131E-4</v>
      </c>
      <c r="BV30" s="48">
        <f>IFERROR(IF(AND(up_Irr!W30&lt;&gt;".",up_Irr!AU30&lt;&gt;".",up_Irr!BS30&lt;&gt;"."),up_dir!AW30/((1/1000)*(up_Irr!W30+up_Irr!AU30+up_Irr!BS30)),IF(AND(up_Irr!W30&lt;&gt;".",up_Irr!AU30&lt;&gt;".",up_Irr!BS30="."),up_dir!AW30/((1/1000)*(up_Irr!W30+up_Irr!AU30)),IF(AND(up_Irr!W30&lt;&gt;".",up_Irr!AU30=".",up_Irr!BS30&lt;&gt;"."),up_dir!AW30/((1/1000)*(up_Irr!W30+up_Irr!BS30)),IF(AND(up_Irr!W30=".",up_Irr!AU30&lt;&gt;".",up_Irr!BS30&lt;&gt;"."),up_dir!AW30/((1/1000)*(up_Irr!AU30+up_Irr!BS30)),IF(AND(up_Irr!W30=".",up_Irr!AU30=".",up_Irr!BS30&lt;&gt;"."),up_dir!AW30/((1/1000)*(up_Irr!BS30)),IF(AND(up_Irr!W30=".",up_Irr!AU30&lt;&gt;".",up_Irr!BS30="."),up_dir!AW30/((1/1000)*(up_Irr!AU30)),IF(AND(up_Irr!W30&lt;&gt;".",up_Irr!AU30=".",up_Irr!BS30="."),up_dir!AW30/((1/1000)*(up_Irr!W30)),IF(AND(up_Irr!W30=".",up_Irr!AU30=".",up_Irr!BS30="."),up_dir!AW30*1000)))))))),".")</f>
        <v>6.5773651144152131E-4</v>
      </c>
      <c r="BW30" s="48">
        <f>IFERROR(IF(AND(up_Irr!X30&lt;&gt;".",up_Irr!AV30&lt;&gt;".",up_Irr!BT30&lt;&gt;"."),up_dir!AX30/((1/1000)*(up_Irr!X30+up_Irr!AV30+up_Irr!BT30)),IF(AND(up_Irr!X30&lt;&gt;".",up_Irr!AV30&lt;&gt;".",up_Irr!BT30="."),up_dir!AX30/((1/1000)*(up_Irr!X30+up_Irr!AV30)),IF(AND(up_Irr!X30&lt;&gt;".",up_Irr!AV30=".",up_Irr!BT30&lt;&gt;"."),up_dir!AX30/((1/1000)*(up_Irr!X30+up_Irr!BT30)),IF(AND(up_Irr!X30=".",up_Irr!AV30&lt;&gt;".",up_Irr!BT30&lt;&gt;"."),up_dir!AX30/((1/1000)*(up_Irr!AV30+up_Irr!BT30)),IF(AND(up_Irr!X30=".",up_Irr!AV30=".",up_Irr!BT30&lt;&gt;"."),up_dir!AX30/((1/1000)*(up_Irr!BT30)),IF(AND(up_Irr!X30=".",up_Irr!AV30&lt;&gt;".",up_Irr!BT30="."),up_dir!AX30/((1/1000)*(up_Irr!AV30)),IF(AND(up_Irr!X30&lt;&gt;".",up_Irr!AV30=".",up_Irr!BT30="."),up_dir!AX30/((1/1000)*(up_Irr!X30)),IF(AND(up_Irr!X30=".",up_Irr!AV30=".",up_Irr!BT30="."),up_dir!AX30*1000)))))))),".")</f>
        <v>6.5773651144152131E-4</v>
      </c>
      <c r="BX30" s="48">
        <f>IFERROR(IF(AND(up_Irr!Y30&lt;&gt;".",up_Irr!AW30&lt;&gt;".",up_Irr!BU30&lt;&gt;"."),up_dir!AY30/((1/1000)*(up_Irr!Y30+up_Irr!AW30+up_Irr!BU30)),IF(AND(up_Irr!Y30&lt;&gt;".",up_Irr!AW30&lt;&gt;".",up_Irr!BU30="."),up_dir!AY30/((1/1000)*(up_Irr!Y30+up_Irr!AW30)),IF(AND(up_Irr!Y30&lt;&gt;".",up_Irr!AW30=".",up_Irr!BU30&lt;&gt;"."),up_dir!AY30/((1/1000)*(up_Irr!Y30+up_Irr!BU30)),IF(AND(up_Irr!Y30=".",up_Irr!AW30&lt;&gt;".",up_Irr!BU30&lt;&gt;"."),up_dir!AY30/((1/1000)*(up_Irr!AW30+up_Irr!BU30)),IF(AND(up_Irr!Y30=".",up_Irr!AW30=".",up_Irr!BU30&lt;&gt;"."),up_dir!AY30/((1/1000)*(up_Irr!BU30)),IF(AND(up_Irr!Y30=".",up_Irr!AW30&lt;&gt;".",up_Irr!BU30="."),up_dir!AY30/((1/1000)*(up_Irr!AW30)),IF(AND(up_Irr!Y30&lt;&gt;".",up_Irr!AW30=".",up_Irr!BU30="."),up_dir!AY30/((1/1000)*(up_Irr!Y30)),IF(AND(up_Irr!Y30=".",up_Irr!AW30=".",up_Irr!BU30="."),up_dir!AY30*1000)))))))),".")</f>
        <v>6.5773651144152131E-4</v>
      </c>
      <c r="BY30" s="48">
        <f>IFERROR(IF(AND(up_Irr!Z30&lt;&gt;".",up_Irr!AX30&lt;&gt;".",up_Irr!BV30&lt;&gt;"."),up_dir!AZ30/((1/1000)*(up_Irr!Z30+up_Irr!AX30+up_Irr!BV30)),IF(AND(up_Irr!Z30&lt;&gt;".",up_Irr!AX30&lt;&gt;".",up_Irr!BV30="."),up_dir!AZ30/((1/1000)*(up_Irr!Z30+up_Irr!AX30)),IF(AND(up_Irr!Z30&lt;&gt;".",up_Irr!AX30=".",up_Irr!BV30&lt;&gt;"."),up_dir!AZ30/((1/1000)*(up_Irr!Z30+up_Irr!BV30)),IF(AND(up_Irr!Z30=".",up_Irr!AX30&lt;&gt;".",up_Irr!BV30&lt;&gt;"."),up_dir!AZ30/((1/1000)*(up_Irr!AX30+up_Irr!BV30)),IF(AND(up_Irr!Z30=".",up_Irr!AX30=".",up_Irr!BV30&lt;&gt;"."),up_dir!AZ30/((1/1000)*(up_Irr!BV30)),IF(AND(up_Irr!Z30=".",up_Irr!AX30&lt;&gt;".",up_Irr!BV30="."),up_dir!AZ30/((1/1000)*(up_Irr!AX30)),IF(AND(up_Irr!Z30&lt;&gt;".",up_Irr!AX30=".",up_Irr!BV30="."),up_dir!AZ30/((1/1000)*(up_Irr!Z30)),IF(AND(up_Irr!Z30=".",up_Irr!AX30=".",up_Irr!BV30="."),up_dir!AZ30*1000)))))))),".")</f>
        <v>6.5773651144152131E-4</v>
      </c>
      <c r="BZ30" s="62">
        <f t="shared" si="3"/>
        <v>22805.4847785862</v>
      </c>
      <c r="CA30" s="62">
        <f>IFERROR(s_C*s_IFAP_far_adj*s_CF_apple*(1/1000)*(up_Irr!C30+up_Irr!AA30+up_Irr!AY30),".")</f>
        <v>7601.8282595287337</v>
      </c>
      <c r="CB30" s="62">
        <f>IFERROR(s_C*s_IFAS_far_adj*s_CF_asparagus*(1/1000)*(up_Irr!D30+up_Irr!AB30+up_Irr!AZ30),".")</f>
        <v>7601.8282595287337</v>
      </c>
      <c r="CC30" s="62">
        <f>IFERROR(s_C*s_IFBT_far_adj*s_CF_beet*(1/1000)*(up_Irr!E30+up_Irr!AC30+up_Irr!BA30),".")</f>
        <v>7601.8282595287337</v>
      </c>
      <c r="CD30" s="62">
        <f>IFERROR(s_C*s_IFBE_far_adj*s_CF_berries*(1/1000)*(up_Irr!F30+up_Irr!AD30+up_Irr!BB30),".")</f>
        <v>7601.8282595287337</v>
      </c>
      <c r="CE30" s="62">
        <f>IFERROR(s_C*s_IFBR_far_adj*s_CF_broccoli*(1/1000)*(up_Irr!G30+up_Irr!AE30+up_Irr!BC30),".")</f>
        <v>7601.8282595287337</v>
      </c>
      <c r="CF30" s="62">
        <f>IFERROR(s_C*s_IFCB_far_adj*s_CF_cabbage*(1/1000)*(up_Irr!H30+up_Irr!AF30+up_Irr!BD30),".")</f>
        <v>7601.8282595287337</v>
      </c>
      <c r="CG30" s="62">
        <f>IFERROR(s_C*s_IFCR_far_adj*s_CF_carrot*(1/1000)*(up_Irr!I30+up_Irr!AG30+up_Irr!BE30),".")</f>
        <v>7601.8282595287337</v>
      </c>
      <c r="CH30" s="62">
        <f>IFERROR(s_C*s_IFCI_far_adj*s_CF_citrus*(1/1000)*(up_Irr!J30+up_Irr!AH30+up_Irr!BF30),".")</f>
        <v>7601.8282595287337</v>
      </c>
      <c r="CI30" s="62">
        <f>IFERROR(s_C*s_IFCO_far_adj*s_CF_corn*(1/1000)*(up_Irr!K30+up_Irr!AI30+up_Irr!BG30),".")</f>
        <v>7601.8282595287337</v>
      </c>
      <c r="CJ30" s="62">
        <f>IFERROR(s_C*s_IFCU_far_adj*s_CF_cucumber*(1/1000)*(up_Irr!L30+up_Irr!AJ30+up_Irr!BH30),".")</f>
        <v>7601.8282595287337</v>
      </c>
      <c r="CK30" s="62">
        <f>IFERROR(s_C*s_IFLE_far_adj*s_CF_lettuce*(1/1000)*(up_Irr!M30+up_Irr!AK30+up_Irr!BI30),".")</f>
        <v>7601.8282595287337</v>
      </c>
      <c r="CL30" s="62">
        <f>IFERROR(s_C*s_IFLI_far_adj*s_CF_lima_bean*(1/1000)*(up_Irr!N30+up_Irr!AL30+up_Irr!BJ30),".")</f>
        <v>7601.8282595287337</v>
      </c>
      <c r="CM30" s="62">
        <f>IFERROR(s_C*s_IFOK_far_adj*s_CF_okra*(1/1000)*(up_Irr!O30+up_Irr!AM30+up_Irr!BK30),".")</f>
        <v>7601.8282595287337</v>
      </c>
      <c r="CN30" s="62">
        <f>IFERROR(s_C*s_IFON_far_adj*s_CF_onion*(1/1000)*(up_Irr!P30+up_Irr!AN30+up_Irr!BL30),".")</f>
        <v>7601.8282595287337</v>
      </c>
      <c r="CO30" s="62">
        <f>IFERROR(s_C*s_IFPC_far_adj*s_CF_peach*(1/1000)*(up_Irr!Q30+up_Irr!AO30+up_Irr!BM30),".")</f>
        <v>7601.8282595287337</v>
      </c>
      <c r="CP30" s="62">
        <f>IFERROR(s_C*s_IFPR_far_adj*s_CF_pear*(1/1000)*(up_Irr!R30+up_Irr!AP30+up_Irr!BN30),".")</f>
        <v>7601.8282595287337</v>
      </c>
      <c r="CQ30" s="62">
        <f>IFERROR(s_C*s_IFPE_far_adj*s_CF_peas*(1/1000)*(up_Irr!S30+up_Irr!AQ30+up_Irr!BO30),".")</f>
        <v>7601.8282595287337</v>
      </c>
      <c r="CR30" s="62">
        <f>IFERROR(s_C*s_IFPT_far_adj*s_CF_potato*(1/1000)*(up_Irr!T30+up_Irr!AR30+up_Irr!BP30),".")</f>
        <v>7601.8282595287337</v>
      </c>
      <c r="CS30" s="62">
        <f>IFERROR(s_C*s_IFPU_far_adj*s_CF_pumpkin*(1/1000)*(up_Irr!U30+up_Irr!AS30+up_Irr!BQ30),".")</f>
        <v>7601.8282595287337</v>
      </c>
      <c r="CT30" s="62">
        <f>IFERROR(s_C*s_IFSN_far_adj*s_CF_snap_bean*(1/1000)*(up_Irr!V30+up_Irr!AT30+up_Irr!BR30),".")</f>
        <v>7601.8282595287337</v>
      </c>
      <c r="CU30" s="62">
        <f>IFERROR(s_C*s_IFST_far_adj*s_CF_strawberry*(1/1000)*(up_Irr!W30+up_Irr!AU30+up_Irr!BS30),".")</f>
        <v>7601.8282595287337</v>
      </c>
      <c r="CV30" s="62">
        <f>IFERROR(s_C*s_IFTO_far_adj*s_CF_tomato*(1/1000)*(up_Irr!X30+up_Irr!AV30+up_Irr!BT30),".")</f>
        <v>7601.8282595287337</v>
      </c>
      <c r="CW30" s="62">
        <f>IFERROR(s_C*s_IFRI_far_adj*s_CF_rice*(1/1000)*(up_Irr!Y30+up_Irr!AW30+up_Irr!BU30),".")</f>
        <v>7601.8282595287337</v>
      </c>
      <c r="CX30" s="62">
        <f>IFERROR(s_C*s_IFCG_far_adj*s_CF_cereal*(1/1000)*(up_Irr!Z30+up_Irr!AX30+up_Irr!BV30),".")</f>
        <v>7601.8282595287337</v>
      </c>
    </row>
    <row r="31" spans="1:102" s="3" customFormat="1" x14ac:dyDescent="0.25">
      <c r="A31" s="54" t="s">
        <v>1</v>
      </c>
      <c r="B31" s="54" t="s">
        <v>1059</v>
      </c>
      <c r="C31" s="40">
        <f t="shared" si="0"/>
        <v>1.8271006781356816E-5</v>
      </c>
      <c r="D31" s="40">
        <f t="shared" ref="D31:AA31" si="4">1/SUM(1/D32,1/D33,1/D34,1/D35,1/D36,1/D37,1/D38,1/D39,1/D40,1/D41,1/D42,1/D43,1/D44)</f>
        <v>5.4813020344070448E-5</v>
      </c>
      <c r="E31" s="40">
        <f t="shared" si="4"/>
        <v>5.4813020344070448E-5</v>
      </c>
      <c r="F31" s="40">
        <f t="shared" si="4"/>
        <v>5.4813020344070448E-5</v>
      </c>
      <c r="G31" s="40">
        <f t="shared" si="4"/>
        <v>5.4813020344070448E-5</v>
      </c>
      <c r="H31" s="40">
        <f t="shared" si="4"/>
        <v>5.4813020344070448E-5</v>
      </c>
      <c r="I31" s="40">
        <f t="shared" si="4"/>
        <v>5.4813020344070448E-5</v>
      </c>
      <c r="J31" s="40">
        <f t="shared" si="4"/>
        <v>5.4813020344070448E-5</v>
      </c>
      <c r="K31" s="40">
        <f t="shared" si="4"/>
        <v>5.4813020344070448E-5</v>
      </c>
      <c r="L31" s="40">
        <f t="shared" si="4"/>
        <v>5.4813020344070448E-5</v>
      </c>
      <c r="M31" s="40">
        <f t="shared" si="4"/>
        <v>5.4813020344070448E-5</v>
      </c>
      <c r="N31" s="40">
        <f t="shared" si="4"/>
        <v>5.4813020344070448E-5</v>
      </c>
      <c r="O31" s="40">
        <f t="shared" si="4"/>
        <v>5.4813020344070448E-5</v>
      </c>
      <c r="P31" s="40">
        <f t="shared" si="4"/>
        <v>5.4813020344070448E-5</v>
      </c>
      <c r="Q31" s="40">
        <f t="shared" si="4"/>
        <v>5.4813020344070448E-5</v>
      </c>
      <c r="R31" s="40">
        <f t="shared" si="4"/>
        <v>5.4813020344070448E-5</v>
      </c>
      <c r="S31" s="40">
        <f t="shared" si="4"/>
        <v>5.4813020344070448E-5</v>
      </c>
      <c r="T31" s="40">
        <f t="shared" si="4"/>
        <v>5.4813020344070448E-5</v>
      </c>
      <c r="U31" s="40">
        <f t="shared" si="4"/>
        <v>5.4813020344070448E-5</v>
      </c>
      <c r="V31" s="40">
        <f t="shared" si="4"/>
        <v>5.4813020344070448E-5</v>
      </c>
      <c r="W31" s="40">
        <f t="shared" si="4"/>
        <v>5.4813020344070448E-5</v>
      </c>
      <c r="X31" s="40">
        <f t="shared" si="4"/>
        <v>5.4813020344070448E-5</v>
      </c>
      <c r="Y31" s="40">
        <f t="shared" si="4"/>
        <v>5.4813020344070448E-5</v>
      </c>
      <c r="Z31" s="40">
        <f t="shared" si="4"/>
        <v>5.4813020344070448E-5</v>
      </c>
      <c r="AA31" s="40">
        <f t="shared" si="4"/>
        <v>5.4813020344070448E-5</v>
      </c>
      <c r="AB31" s="33">
        <f>SUM(AC31,AY31:AZ31)</f>
        <v>1368288.0368425706</v>
      </c>
      <c r="AC31" s="33">
        <f>IFERROR(SUM(AC32:AC44),".")</f>
        <v>456096.01228085684</v>
      </c>
      <c r="AD31" s="33">
        <f t="shared" ref="AD31:AZ31" si="5">IFERROR(SUM(AD32:AD44),".")</f>
        <v>456096.01228085684</v>
      </c>
      <c r="AE31" s="33">
        <f t="shared" si="5"/>
        <v>456096.01228085684</v>
      </c>
      <c r="AF31" s="33">
        <f t="shared" si="5"/>
        <v>456096.01228085684</v>
      </c>
      <c r="AG31" s="33">
        <f t="shared" si="5"/>
        <v>456096.01228085684</v>
      </c>
      <c r="AH31" s="33">
        <f t="shared" si="5"/>
        <v>456096.01228085684</v>
      </c>
      <c r="AI31" s="33">
        <f t="shared" si="5"/>
        <v>456096.01228085684</v>
      </c>
      <c r="AJ31" s="33">
        <f t="shared" si="5"/>
        <v>456096.01228085684</v>
      </c>
      <c r="AK31" s="33">
        <f t="shared" si="5"/>
        <v>456096.01228085684</v>
      </c>
      <c r="AL31" s="33">
        <f t="shared" si="5"/>
        <v>456096.01228085684</v>
      </c>
      <c r="AM31" s="33">
        <f t="shared" si="5"/>
        <v>456096.01228085684</v>
      </c>
      <c r="AN31" s="33">
        <f t="shared" si="5"/>
        <v>456096.01228085684</v>
      </c>
      <c r="AO31" s="33">
        <f t="shared" si="5"/>
        <v>456096.01228085684</v>
      </c>
      <c r="AP31" s="33">
        <f t="shared" si="5"/>
        <v>456096.01228085684</v>
      </c>
      <c r="AQ31" s="33">
        <f t="shared" si="5"/>
        <v>456096.01228085684</v>
      </c>
      <c r="AR31" s="33">
        <f t="shared" si="5"/>
        <v>456096.01228085684</v>
      </c>
      <c r="AS31" s="33">
        <f t="shared" si="5"/>
        <v>456096.01228085684</v>
      </c>
      <c r="AT31" s="33">
        <f t="shared" si="5"/>
        <v>456096.01228085684</v>
      </c>
      <c r="AU31" s="33">
        <f t="shared" si="5"/>
        <v>456096.01228085684</v>
      </c>
      <c r="AV31" s="33">
        <f t="shared" si="5"/>
        <v>456096.01228085684</v>
      </c>
      <c r="AW31" s="33">
        <f t="shared" si="5"/>
        <v>456096.01228085684</v>
      </c>
      <c r="AX31" s="33">
        <f t="shared" si="5"/>
        <v>456096.01228085684</v>
      </c>
      <c r="AY31" s="33">
        <f t="shared" si="5"/>
        <v>456096.01228085684</v>
      </c>
      <c r="AZ31" s="33">
        <f t="shared" si="5"/>
        <v>456096.01228085684</v>
      </c>
      <c r="BA31" s="40">
        <f t="shared" si="2"/>
        <v>1.8271006781356816E-5</v>
      </c>
      <c r="BB31" s="40">
        <f t="shared" ref="BB31:BY31" si="6">1/SUM(1/BB32,1/BB33,1/BB34,1/BB35,1/BB36,1/BB37,1/BB38,1/BB39,1/BB40,1/BB41,1/BB42,1/BB43,1/BB44)</f>
        <v>5.4813020344070448E-5</v>
      </c>
      <c r="BC31" s="40">
        <f t="shared" si="6"/>
        <v>5.4813020344070448E-5</v>
      </c>
      <c r="BD31" s="40">
        <f t="shared" si="6"/>
        <v>5.4813020344070448E-5</v>
      </c>
      <c r="BE31" s="40">
        <f t="shared" si="6"/>
        <v>5.4813020344070448E-5</v>
      </c>
      <c r="BF31" s="40">
        <f t="shared" si="6"/>
        <v>5.4813020344070448E-5</v>
      </c>
      <c r="BG31" s="40">
        <f t="shared" si="6"/>
        <v>5.4813020344070448E-5</v>
      </c>
      <c r="BH31" s="40">
        <f t="shared" si="6"/>
        <v>5.4813020344070448E-5</v>
      </c>
      <c r="BI31" s="40">
        <f t="shared" si="6"/>
        <v>5.4813020344070448E-5</v>
      </c>
      <c r="BJ31" s="40">
        <f t="shared" si="6"/>
        <v>5.4813020344070448E-5</v>
      </c>
      <c r="BK31" s="40">
        <f t="shared" si="6"/>
        <v>5.4813020344070448E-5</v>
      </c>
      <c r="BL31" s="40">
        <f t="shared" si="6"/>
        <v>5.4813020344070448E-5</v>
      </c>
      <c r="BM31" s="40">
        <f t="shared" si="6"/>
        <v>5.4813020344070448E-5</v>
      </c>
      <c r="BN31" s="40">
        <f t="shared" si="6"/>
        <v>5.4813020344070448E-5</v>
      </c>
      <c r="BO31" s="40">
        <f t="shared" si="6"/>
        <v>5.4813020344070448E-5</v>
      </c>
      <c r="BP31" s="40">
        <f t="shared" si="6"/>
        <v>5.4813020344070448E-5</v>
      </c>
      <c r="BQ31" s="40">
        <f t="shared" si="6"/>
        <v>5.4813020344070448E-5</v>
      </c>
      <c r="BR31" s="40">
        <f t="shared" si="6"/>
        <v>5.4813020344070448E-5</v>
      </c>
      <c r="BS31" s="40">
        <f t="shared" si="6"/>
        <v>5.4813020344070448E-5</v>
      </c>
      <c r="BT31" s="40">
        <f t="shared" si="6"/>
        <v>5.4813020344070448E-5</v>
      </c>
      <c r="BU31" s="40">
        <f t="shared" si="6"/>
        <v>5.4813020344070448E-5</v>
      </c>
      <c r="BV31" s="40">
        <f t="shared" si="6"/>
        <v>5.4813020344070448E-5</v>
      </c>
      <c r="BW31" s="40">
        <f t="shared" si="6"/>
        <v>5.4813020344070448E-5</v>
      </c>
      <c r="BX31" s="40">
        <f t="shared" si="6"/>
        <v>5.4813020344070448E-5</v>
      </c>
      <c r="BY31" s="40">
        <f t="shared" si="6"/>
        <v>5.4813020344070448E-5</v>
      </c>
      <c r="BZ31" s="33">
        <f t="shared" si="3"/>
        <v>1368288.0368425706</v>
      </c>
      <c r="CA31" s="33">
        <f>IFERROR(SUM(CA32:CA44),".")</f>
        <v>456096.01228085684</v>
      </c>
      <c r="CB31" s="33">
        <f t="shared" ref="CB31:CX31" si="7">IFERROR(SUM(CB32:CB44),".")</f>
        <v>456096.01228085684</v>
      </c>
      <c r="CC31" s="33">
        <f t="shared" si="7"/>
        <v>456096.01228085684</v>
      </c>
      <c r="CD31" s="33">
        <f t="shared" si="7"/>
        <v>456096.01228085684</v>
      </c>
      <c r="CE31" s="33">
        <f t="shared" si="7"/>
        <v>456096.01228085684</v>
      </c>
      <c r="CF31" s="33">
        <f t="shared" si="7"/>
        <v>456096.01228085684</v>
      </c>
      <c r="CG31" s="33">
        <f t="shared" si="7"/>
        <v>456096.01228085684</v>
      </c>
      <c r="CH31" s="33">
        <f t="shared" si="7"/>
        <v>456096.01228085684</v>
      </c>
      <c r="CI31" s="33">
        <f t="shared" si="7"/>
        <v>456096.01228085684</v>
      </c>
      <c r="CJ31" s="33">
        <f t="shared" si="7"/>
        <v>456096.01228085684</v>
      </c>
      <c r="CK31" s="33">
        <f t="shared" si="7"/>
        <v>456096.01228085684</v>
      </c>
      <c r="CL31" s="33">
        <f t="shared" si="7"/>
        <v>456096.01228085684</v>
      </c>
      <c r="CM31" s="33">
        <f t="shared" si="7"/>
        <v>456096.01228085684</v>
      </c>
      <c r="CN31" s="33">
        <f t="shared" si="7"/>
        <v>456096.01228085684</v>
      </c>
      <c r="CO31" s="33">
        <f t="shared" si="7"/>
        <v>456096.01228085684</v>
      </c>
      <c r="CP31" s="33">
        <f t="shared" si="7"/>
        <v>456096.01228085684</v>
      </c>
      <c r="CQ31" s="33">
        <f t="shared" si="7"/>
        <v>456096.01228085684</v>
      </c>
      <c r="CR31" s="33">
        <f t="shared" si="7"/>
        <v>456096.01228085684</v>
      </c>
      <c r="CS31" s="33">
        <f t="shared" si="7"/>
        <v>456096.01228085684</v>
      </c>
      <c r="CT31" s="33">
        <f t="shared" si="7"/>
        <v>456096.01228085684</v>
      </c>
      <c r="CU31" s="33">
        <f t="shared" si="7"/>
        <v>456096.01228085684</v>
      </c>
      <c r="CV31" s="33">
        <f t="shared" si="7"/>
        <v>456096.01228085684</v>
      </c>
      <c r="CW31" s="33">
        <f t="shared" si="7"/>
        <v>456096.01228085684</v>
      </c>
      <c r="CX31" s="33">
        <f t="shared" si="7"/>
        <v>456096.01228085684</v>
      </c>
    </row>
    <row r="32" spans="1:102" s="3" customFormat="1" x14ac:dyDescent="0.25">
      <c r="A32" s="55" t="s">
        <v>1087</v>
      </c>
      <c r="B32" s="3">
        <v>1</v>
      </c>
      <c r="C32" s="42">
        <f t="shared" si="0"/>
        <v>2.1924550381384044E-4</v>
      </c>
      <c r="D32" s="42">
        <f t="shared" ref="D32:AA32" si="8">IFERROR(D3/$B32,0)</f>
        <v>6.5773651144152131E-4</v>
      </c>
      <c r="E32" s="42">
        <f t="shared" si="8"/>
        <v>6.5773651144152131E-4</v>
      </c>
      <c r="F32" s="42">
        <f t="shared" si="8"/>
        <v>6.5773651144152131E-4</v>
      </c>
      <c r="G32" s="42">
        <f t="shared" si="8"/>
        <v>6.5773651144152131E-4</v>
      </c>
      <c r="H32" s="42">
        <f t="shared" si="8"/>
        <v>6.5773651144152131E-4</v>
      </c>
      <c r="I32" s="42">
        <f t="shared" si="8"/>
        <v>6.5773651144152131E-4</v>
      </c>
      <c r="J32" s="42">
        <f t="shared" si="8"/>
        <v>6.5773651144152131E-4</v>
      </c>
      <c r="K32" s="42">
        <f t="shared" si="8"/>
        <v>6.5773651144152131E-4</v>
      </c>
      <c r="L32" s="42">
        <f t="shared" si="8"/>
        <v>6.5773651144152131E-4</v>
      </c>
      <c r="M32" s="42">
        <f t="shared" si="8"/>
        <v>6.5773651144152131E-4</v>
      </c>
      <c r="N32" s="42">
        <f t="shared" si="8"/>
        <v>6.5773651144152131E-4</v>
      </c>
      <c r="O32" s="42">
        <f t="shared" si="8"/>
        <v>6.5773651144152131E-4</v>
      </c>
      <c r="P32" s="42">
        <f t="shared" si="8"/>
        <v>6.5773651144152131E-4</v>
      </c>
      <c r="Q32" s="42">
        <f t="shared" si="8"/>
        <v>6.5773651144152131E-4</v>
      </c>
      <c r="R32" s="42">
        <f t="shared" si="8"/>
        <v>6.5773651144152131E-4</v>
      </c>
      <c r="S32" s="42">
        <f t="shared" si="8"/>
        <v>6.5773651144152131E-4</v>
      </c>
      <c r="T32" s="42">
        <f t="shared" si="8"/>
        <v>6.5773651144152131E-4</v>
      </c>
      <c r="U32" s="42">
        <f t="shared" si="8"/>
        <v>6.5773651144152131E-4</v>
      </c>
      <c r="V32" s="42">
        <f t="shared" si="8"/>
        <v>6.5773651144152131E-4</v>
      </c>
      <c r="W32" s="42">
        <f t="shared" si="8"/>
        <v>6.5773651144152131E-4</v>
      </c>
      <c r="X32" s="42">
        <f t="shared" si="8"/>
        <v>6.5773651144152131E-4</v>
      </c>
      <c r="Y32" s="42">
        <f t="shared" si="8"/>
        <v>6.5773651144152131E-4</v>
      </c>
      <c r="Z32" s="42">
        <f t="shared" si="8"/>
        <v>6.5773651144152131E-4</v>
      </c>
      <c r="AA32" s="42">
        <f t="shared" si="8"/>
        <v>6.5773651144152131E-4</v>
      </c>
      <c r="AB32" s="34">
        <f>SUM(AC32,AY32:AZ32)</f>
        <v>114027.42389293101</v>
      </c>
      <c r="AC32" s="34">
        <f>IFERROR(up_RadSpec!$J$3*(AC3*$B32),".")</f>
        <v>38009.14129764367</v>
      </c>
      <c r="AD32" s="34">
        <f>IFERROR(up_RadSpec!$J$3*(AD3*$B32),".")</f>
        <v>38009.14129764367</v>
      </c>
      <c r="AE32" s="34">
        <f>IFERROR(up_RadSpec!$J$3*(AE3*$B32),".")</f>
        <v>38009.14129764367</v>
      </c>
      <c r="AF32" s="34">
        <f>IFERROR(up_RadSpec!$J$3*(AF3*$B32),".")</f>
        <v>38009.14129764367</v>
      </c>
      <c r="AG32" s="34">
        <f>IFERROR(up_RadSpec!$J$3*(AG3*$B32),".")</f>
        <v>38009.14129764367</v>
      </c>
      <c r="AH32" s="34">
        <f>IFERROR(up_RadSpec!$J$3*(AH3*$B32),".")</f>
        <v>38009.14129764367</v>
      </c>
      <c r="AI32" s="34">
        <f>IFERROR(up_RadSpec!$J$3*(AI3*$B32),".")</f>
        <v>38009.14129764367</v>
      </c>
      <c r="AJ32" s="34">
        <f>IFERROR(up_RadSpec!$J$3*(AJ3*$B32),".")</f>
        <v>38009.14129764367</v>
      </c>
      <c r="AK32" s="34">
        <f>IFERROR(up_RadSpec!$J$3*(AK3*$B32),".")</f>
        <v>38009.14129764367</v>
      </c>
      <c r="AL32" s="34">
        <f>IFERROR(up_RadSpec!$J$3*(AL3*$B32),".")</f>
        <v>38009.14129764367</v>
      </c>
      <c r="AM32" s="34">
        <f>IFERROR(up_RadSpec!$J$3*(AM3*$B32),".")</f>
        <v>38009.14129764367</v>
      </c>
      <c r="AN32" s="34">
        <f>IFERROR(up_RadSpec!$J$3*(AN3*$B32),".")</f>
        <v>38009.14129764367</v>
      </c>
      <c r="AO32" s="34">
        <f>IFERROR(up_RadSpec!$J$3*(AO3*$B32),".")</f>
        <v>38009.14129764367</v>
      </c>
      <c r="AP32" s="34">
        <f>IFERROR(up_RadSpec!$J$3*(AP3*$B32),".")</f>
        <v>38009.14129764367</v>
      </c>
      <c r="AQ32" s="34">
        <f>IFERROR(up_RadSpec!$J$3*(AQ3*$B32),".")</f>
        <v>38009.14129764367</v>
      </c>
      <c r="AR32" s="34">
        <f>IFERROR(up_RadSpec!$J$3*(AR3*$B32),".")</f>
        <v>38009.14129764367</v>
      </c>
      <c r="AS32" s="34">
        <f>IFERROR(up_RadSpec!$J$3*(AS3*$B32),".")</f>
        <v>38009.14129764367</v>
      </c>
      <c r="AT32" s="34">
        <f>IFERROR(up_RadSpec!$J$3*(AT3*$B32),".")</f>
        <v>38009.14129764367</v>
      </c>
      <c r="AU32" s="34">
        <f>IFERROR(up_RadSpec!$J$3*(AU3*$B32),".")</f>
        <v>38009.14129764367</v>
      </c>
      <c r="AV32" s="34">
        <f>IFERROR(up_RadSpec!$J$3*(AV3*$B32),".")</f>
        <v>38009.14129764367</v>
      </c>
      <c r="AW32" s="34">
        <f>IFERROR(up_RadSpec!$J$3*(AW3*$B32),".")</f>
        <v>38009.14129764367</v>
      </c>
      <c r="AX32" s="34">
        <f>IFERROR(up_RadSpec!$J$3*(AX3*$B32),".")</f>
        <v>38009.14129764367</v>
      </c>
      <c r="AY32" s="34">
        <f>IFERROR(up_RadSpec!$J$3*(AY3*$B32),".")</f>
        <v>38009.14129764367</v>
      </c>
      <c r="AZ32" s="34">
        <f>IFERROR(up_RadSpec!$J$3*(AZ3*$B32),".")</f>
        <v>38009.14129764367</v>
      </c>
      <c r="BA32" s="42">
        <f t="shared" si="2"/>
        <v>2.1924550381384044E-4</v>
      </c>
      <c r="BB32" s="42">
        <f t="shared" ref="BB32:BY32" si="9">IFERROR(BB3/$B32,0)</f>
        <v>6.5773651144152131E-4</v>
      </c>
      <c r="BC32" s="42">
        <f t="shared" si="9"/>
        <v>6.5773651144152131E-4</v>
      </c>
      <c r="BD32" s="42">
        <f t="shared" si="9"/>
        <v>6.5773651144152131E-4</v>
      </c>
      <c r="BE32" s="42">
        <f t="shared" si="9"/>
        <v>6.5773651144152131E-4</v>
      </c>
      <c r="BF32" s="42">
        <f t="shared" si="9"/>
        <v>6.5773651144152131E-4</v>
      </c>
      <c r="BG32" s="42">
        <f t="shared" si="9"/>
        <v>6.5773651144152131E-4</v>
      </c>
      <c r="BH32" s="42">
        <f t="shared" si="9"/>
        <v>6.5773651144152131E-4</v>
      </c>
      <c r="BI32" s="42">
        <f t="shared" si="9"/>
        <v>6.5773651144152131E-4</v>
      </c>
      <c r="BJ32" s="42">
        <f t="shared" si="9"/>
        <v>6.5773651144152131E-4</v>
      </c>
      <c r="BK32" s="42">
        <f t="shared" si="9"/>
        <v>6.5773651144152131E-4</v>
      </c>
      <c r="BL32" s="42">
        <f t="shared" si="9"/>
        <v>6.5773651144152131E-4</v>
      </c>
      <c r="BM32" s="42">
        <f t="shared" si="9"/>
        <v>6.5773651144152131E-4</v>
      </c>
      <c r="BN32" s="42">
        <f t="shared" si="9"/>
        <v>6.5773651144152131E-4</v>
      </c>
      <c r="BO32" s="42">
        <f t="shared" si="9"/>
        <v>6.5773651144152131E-4</v>
      </c>
      <c r="BP32" s="42">
        <f t="shared" si="9"/>
        <v>6.5773651144152131E-4</v>
      </c>
      <c r="BQ32" s="42">
        <f t="shared" si="9"/>
        <v>6.5773651144152131E-4</v>
      </c>
      <c r="BR32" s="42">
        <f t="shared" si="9"/>
        <v>6.5773651144152131E-4</v>
      </c>
      <c r="BS32" s="42">
        <f t="shared" si="9"/>
        <v>6.5773651144152131E-4</v>
      </c>
      <c r="BT32" s="42">
        <f t="shared" si="9"/>
        <v>6.5773651144152131E-4</v>
      </c>
      <c r="BU32" s="42">
        <f t="shared" si="9"/>
        <v>6.5773651144152131E-4</v>
      </c>
      <c r="BV32" s="42">
        <f t="shared" si="9"/>
        <v>6.5773651144152131E-4</v>
      </c>
      <c r="BW32" s="42">
        <f t="shared" si="9"/>
        <v>6.5773651144152131E-4</v>
      </c>
      <c r="BX32" s="42">
        <f t="shared" si="9"/>
        <v>6.5773651144152131E-4</v>
      </c>
      <c r="BY32" s="42">
        <f t="shared" si="9"/>
        <v>6.5773651144152131E-4</v>
      </c>
      <c r="BZ32" s="34">
        <f t="shared" si="3"/>
        <v>114027.42389293101</v>
      </c>
      <c r="CA32" s="34">
        <f>IFERROR(up_RadSpec!$J$3*(CA3*$B32),".")</f>
        <v>38009.14129764367</v>
      </c>
      <c r="CB32" s="34">
        <f>IFERROR(up_RadSpec!$J$3*(CB3*$B32),".")</f>
        <v>38009.14129764367</v>
      </c>
      <c r="CC32" s="34">
        <f>IFERROR(up_RadSpec!$J$3*(CC3*$B32),".")</f>
        <v>38009.14129764367</v>
      </c>
      <c r="CD32" s="34">
        <f>IFERROR(up_RadSpec!$J$3*(CD3*$B32),".")</f>
        <v>38009.14129764367</v>
      </c>
      <c r="CE32" s="34">
        <f>IFERROR(up_RadSpec!$J$3*(CE3*$B32),".")</f>
        <v>38009.14129764367</v>
      </c>
      <c r="CF32" s="34">
        <f>IFERROR(up_RadSpec!$J$3*(CF3*$B32),".")</f>
        <v>38009.14129764367</v>
      </c>
      <c r="CG32" s="34">
        <f>IFERROR(up_RadSpec!$J$3*(CG3*$B32),".")</f>
        <v>38009.14129764367</v>
      </c>
      <c r="CH32" s="34">
        <f>IFERROR(up_RadSpec!$J$3*(CH3*$B32),".")</f>
        <v>38009.14129764367</v>
      </c>
      <c r="CI32" s="34">
        <f>IFERROR(up_RadSpec!$J$3*(CI3*$B32),".")</f>
        <v>38009.14129764367</v>
      </c>
      <c r="CJ32" s="34">
        <f>IFERROR(up_RadSpec!$J$3*(CJ3*$B32),".")</f>
        <v>38009.14129764367</v>
      </c>
      <c r="CK32" s="34">
        <f>IFERROR(up_RadSpec!$J$3*(CK3*$B32),".")</f>
        <v>38009.14129764367</v>
      </c>
      <c r="CL32" s="34">
        <f>IFERROR(up_RadSpec!$J$3*(CL3*$B32),".")</f>
        <v>38009.14129764367</v>
      </c>
      <c r="CM32" s="34">
        <f>IFERROR(up_RadSpec!$J$3*(CM3*$B32),".")</f>
        <v>38009.14129764367</v>
      </c>
      <c r="CN32" s="34">
        <f>IFERROR(up_RadSpec!$J$3*(CN3*$B32),".")</f>
        <v>38009.14129764367</v>
      </c>
      <c r="CO32" s="34">
        <f>IFERROR(up_RadSpec!$J$3*(CO3*$B32),".")</f>
        <v>38009.14129764367</v>
      </c>
      <c r="CP32" s="34">
        <f>IFERROR(up_RadSpec!$J$3*(CP3*$B32),".")</f>
        <v>38009.14129764367</v>
      </c>
      <c r="CQ32" s="34">
        <f>IFERROR(up_RadSpec!$J$3*(CQ3*$B32),".")</f>
        <v>38009.14129764367</v>
      </c>
      <c r="CR32" s="34">
        <f>IFERROR(up_RadSpec!$J$3*(CR3*$B32),".")</f>
        <v>38009.14129764367</v>
      </c>
      <c r="CS32" s="34">
        <f>IFERROR(up_RadSpec!$J$3*(CS3*$B32),".")</f>
        <v>38009.14129764367</v>
      </c>
      <c r="CT32" s="34">
        <f>IFERROR(up_RadSpec!$J$3*(CT3*$B32),".")</f>
        <v>38009.14129764367</v>
      </c>
      <c r="CU32" s="34">
        <f>IFERROR(up_RadSpec!$J$3*(CU3*$B32),".")</f>
        <v>38009.14129764367</v>
      </c>
      <c r="CV32" s="34">
        <f>IFERROR(up_RadSpec!$J$3*(CV3*$B32),".")</f>
        <v>38009.14129764367</v>
      </c>
      <c r="CW32" s="34">
        <f>IFERROR(up_RadSpec!$J$3*(CW3*$B32),".")</f>
        <v>38009.14129764367</v>
      </c>
      <c r="CX32" s="34">
        <f>IFERROR(up_RadSpec!$J$3*(CX3*$B32),".")</f>
        <v>38009.14129764367</v>
      </c>
    </row>
    <row r="33" spans="1:102" s="3" customFormat="1" x14ac:dyDescent="0.25">
      <c r="A33" s="55" t="s">
        <v>1063</v>
      </c>
      <c r="B33" s="3">
        <v>1</v>
      </c>
      <c r="C33" s="42">
        <f t="shared" si="0"/>
        <v>2.1924550381384044E-4</v>
      </c>
      <c r="D33" s="42">
        <f t="shared" ref="D33:AA34" si="10">IFERROR(D13/$B33,0)</f>
        <v>6.5773651144152131E-4</v>
      </c>
      <c r="E33" s="42">
        <f t="shared" si="10"/>
        <v>6.5773651144152131E-4</v>
      </c>
      <c r="F33" s="42">
        <f t="shared" si="10"/>
        <v>6.5773651144152131E-4</v>
      </c>
      <c r="G33" s="42">
        <f t="shared" si="10"/>
        <v>6.5773651144152131E-4</v>
      </c>
      <c r="H33" s="42">
        <f t="shared" si="10"/>
        <v>6.5773651144152131E-4</v>
      </c>
      <c r="I33" s="42">
        <f t="shared" si="10"/>
        <v>6.5773651144152131E-4</v>
      </c>
      <c r="J33" s="42">
        <f t="shared" si="10"/>
        <v>6.5773651144152131E-4</v>
      </c>
      <c r="K33" s="42">
        <f t="shared" si="10"/>
        <v>6.5773651144152131E-4</v>
      </c>
      <c r="L33" s="42">
        <f t="shared" si="10"/>
        <v>6.5773651144152131E-4</v>
      </c>
      <c r="M33" s="42">
        <f t="shared" si="10"/>
        <v>6.5773651144152131E-4</v>
      </c>
      <c r="N33" s="42">
        <f t="shared" si="10"/>
        <v>6.5773651144152131E-4</v>
      </c>
      <c r="O33" s="42">
        <f t="shared" si="10"/>
        <v>6.5773651144152131E-4</v>
      </c>
      <c r="P33" s="42">
        <f t="shared" si="10"/>
        <v>6.5773651144152131E-4</v>
      </c>
      <c r="Q33" s="42">
        <f t="shared" si="10"/>
        <v>6.5773651144152131E-4</v>
      </c>
      <c r="R33" s="42">
        <f t="shared" si="10"/>
        <v>6.5773651144152131E-4</v>
      </c>
      <c r="S33" s="42">
        <f t="shared" si="10"/>
        <v>6.5773651144152131E-4</v>
      </c>
      <c r="T33" s="42">
        <f t="shared" si="10"/>
        <v>6.5773651144152131E-4</v>
      </c>
      <c r="U33" s="42">
        <f t="shared" si="10"/>
        <v>6.5773651144152131E-4</v>
      </c>
      <c r="V33" s="42">
        <f t="shared" si="10"/>
        <v>6.5773651144152131E-4</v>
      </c>
      <c r="W33" s="42">
        <f t="shared" si="10"/>
        <v>6.5773651144152131E-4</v>
      </c>
      <c r="X33" s="42">
        <f t="shared" si="10"/>
        <v>6.5773651144152131E-4</v>
      </c>
      <c r="Y33" s="42">
        <f t="shared" si="10"/>
        <v>6.5773651144152131E-4</v>
      </c>
      <c r="Z33" s="42">
        <f t="shared" si="10"/>
        <v>6.5773651144152131E-4</v>
      </c>
      <c r="AA33" s="42">
        <f t="shared" si="10"/>
        <v>6.5773651144152131E-4</v>
      </c>
      <c r="AB33" s="34">
        <f t="shared" ref="AB33:AB76" si="11">SUM(AC33,AY33:AZ33)</f>
        <v>114027.42389293101</v>
      </c>
      <c r="AC33" s="34">
        <f>IFERROR(up_RadSpec!$J$13*(AC13*$B33),".")</f>
        <v>38009.14129764367</v>
      </c>
      <c r="AD33" s="34">
        <f>IFERROR(up_RadSpec!$J$13*(AD13*$B33),".")</f>
        <v>38009.14129764367</v>
      </c>
      <c r="AE33" s="34">
        <f>IFERROR(up_RadSpec!$J$13*(AE13*$B33),".")</f>
        <v>38009.14129764367</v>
      </c>
      <c r="AF33" s="34">
        <f>IFERROR(up_RadSpec!$J$13*(AF13*$B33),".")</f>
        <v>38009.14129764367</v>
      </c>
      <c r="AG33" s="34">
        <f>IFERROR(up_RadSpec!$J$13*(AG13*$B33),".")</f>
        <v>38009.14129764367</v>
      </c>
      <c r="AH33" s="34">
        <f>IFERROR(up_RadSpec!$J$13*(AH13*$B33),".")</f>
        <v>38009.14129764367</v>
      </c>
      <c r="AI33" s="34">
        <f>IFERROR(up_RadSpec!$J$13*(AI13*$B33),".")</f>
        <v>38009.14129764367</v>
      </c>
      <c r="AJ33" s="34">
        <f>IFERROR(up_RadSpec!$J$13*(AJ13*$B33),".")</f>
        <v>38009.14129764367</v>
      </c>
      <c r="AK33" s="34">
        <f>IFERROR(up_RadSpec!$J$13*(AK13*$B33),".")</f>
        <v>38009.14129764367</v>
      </c>
      <c r="AL33" s="34">
        <f>IFERROR(up_RadSpec!$J$13*(AL13*$B33),".")</f>
        <v>38009.14129764367</v>
      </c>
      <c r="AM33" s="34">
        <f>IFERROR(up_RadSpec!$J$13*(AM13*$B33),".")</f>
        <v>38009.14129764367</v>
      </c>
      <c r="AN33" s="34">
        <f>IFERROR(up_RadSpec!$J$13*(AN13*$B33),".")</f>
        <v>38009.14129764367</v>
      </c>
      <c r="AO33" s="34">
        <f>IFERROR(up_RadSpec!$J$13*(AO13*$B33),".")</f>
        <v>38009.14129764367</v>
      </c>
      <c r="AP33" s="34">
        <f>IFERROR(up_RadSpec!$J$13*(AP13*$B33),".")</f>
        <v>38009.14129764367</v>
      </c>
      <c r="AQ33" s="34">
        <f>IFERROR(up_RadSpec!$J$13*(AQ13*$B33),".")</f>
        <v>38009.14129764367</v>
      </c>
      <c r="AR33" s="34">
        <f>IFERROR(up_RadSpec!$J$13*(AR13*$B33),".")</f>
        <v>38009.14129764367</v>
      </c>
      <c r="AS33" s="34">
        <f>IFERROR(up_RadSpec!$J$13*(AS13*$B33),".")</f>
        <v>38009.14129764367</v>
      </c>
      <c r="AT33" s="34">
        <f>IFERROR(up_RadSpec!$J$13*(AT13*$B33),".")</f>
        <v>38009.14129764367</v>
      </c>
      <c r="AU33" s="34">
        <f>IFERROR(up_RadSpec!$J$13*(AU13*$B33),".")</f>
        <v>38009.14129764367</v>
      </c>
      <c r="AV33" s="34">
        <f>IFERROR(up_RadSpec!$J$13*(AV13*$B33),".")</f>
        <v>38009.14129764367</v>
      </c>
      <c r="AW33" s="34">
        <f>IFERROR(up_RadSpec!$J$13*(AW13*$B33),".")</f>
        <v>38009.14129764367</v>
      </c>
      <c r="AX33" s="34">
        <f>IFERROR(up_RadSpec!$J$13*(AX13*$B33),".")</f>
        <v>38009.14129764367</v>
      </c>
      <c r="AY33" s="34">
        <f>IFERROR(up_RadSpec!$J$13*(AY13*$B33),".")</f>
        <v>38009.14129764367</v>
      </c>
      <c r="AZ33" s="34">
        <f>IFERROR(up_RadSpec!$J$13*(AZ13*$B33),".")</f>
        <v>38009.14129764367</v>
      </c>
      <c r="BA33" s="42">
        <f t="shared" si="2"/>
        <v>2.1924550381384044E-4</v>
      </c>
      <c r="BB33" s="42">
        <f t="shared" ref="BB33:BY34" si="12">IFERROR(BB13/$B33,0)</f>
        <v>6.5773651144152131E-4</v>
      </c>
      <c r="BC33" s="42">
        <f t="shared" si="12"/>
        <v>6.5773651144152131E-4</v>
      </c>
      <c r="BD33" s="42">
        <f t="shared" si="12"/>
        <v>6.5773651144152131E-4</v>
      </c>
      <c r="BE33" s="42">
        <f t="shared" si="12"/>
        <v>6.5773651144152131E-4</v>
      </c>
      <c r="BF33" s="42">
        <f t="shared" si="12"/>
        <v>6.5773651144152131E-4</v>
      </c>
      <c r="BG33" s="42">
        <f t="shared" si="12"/>
        <v>6.5773651144152131E-4</v>
      </c>
      <c r="BH33" s="42">
        <f t="shared" si="12"/>
        <v>6.5773651144152131E-4</v>
      </c>
      <c r="BI33" s="42">
        <f t="shared" si="12"/>
        <v>6.5773651144152131E-4</v>
      </c>
      <c r="BJ33" s="42">
        <f t="shared" si="12"/>
        <v>6.5773651144152131E-4</v>
      </c>
      <c r="BK33" s="42">
        <f t="shared" si="12"/>
        <v>6.5773651144152131E-4</v>
      </c>
      <c r="BL33" s="42">
        <f t="shared" si="12"/>
        <v>6.5773651144152131E-4</v>
      </c>
      <c r="BM33" s="42">
        <f t="shared" si="12"/>
        <v>6.5773651144152131E-4</v>
      </c>
      <c r="BN33" s="42">
        <f t="shared" si="12"/>
        <v>6.5773651144152131E-4</v>
      </c>
      <c r="BO33" s="42">
        <f t="shared" si="12"/>
        <v>6.5773651144152131E-4</v>
      </c>
      <c r="BP33" s="42">
        <f t="shared" si="12"/>
        <v>6.5773651144152131E-4</v>
      </c>
      <c r="BQ33" s="42">
        <f t="shared" si="12"/>
        <v>6.5773651144152131E-4</v>
      </c>
      <c r="BR33" s="42">
        <f t="shared" si="12"/>
        <v>6.5773651144152131E-4</v>
      </c>
      <c r="BS33" s="42">
        <f t="shared" si="12"/>
        <v>6.5773651144152131E-4</v>
      </c>
      <c r="BT33" s="42">
        <f t="shared" si="12"/>
        <v>6.5773651144152131E-4</v>
      </c>
      <c r="BU33" s="42">
        <f t="shared" si="12"/>
        <v>6.5773651144152131E-4</v>
      </c>
      <c r="BV33" s="42">
        <f t="shared" si="12"/>
        <v>6.5773651144152131E-4</v>
      </c>
      <c r="BW33" s="42">
        <f t="shared" si="12"/>
        <v>6.5773651144152131E-4</v>
      </c>
      <c r="BX33" s="42">
        <f t="shared" si="12"/>
        <v>6.5773651144152131E-4</v>
      </c>
      <c r="BY33" s="42">
        <f t="shared" si="12"/>
        <v>6.5773651144152131E-4</v>
      </c>
      <c r="BZ33" s="34">
        <f t="shared" si="3"/>
        <v>114027.42389293101</v>
      </c>
      <c r="CA33" s="34">
        <f>IFERROR(up_RadSpec!$J$13*(CA13*$B33),".")</f>
        <v>38009.14129764367</v>
      </c>
      <c r="CB33" s="34">
        <f>IFERROR(up_RadSpec!$J$13*(CB13*$B33),".")</f>
        <v>38009.14129764367</v>
      </c>
      <c r="CC33" s="34">
        <f>IFERROR(up_RadSpec!$J$13*(CC13*$B33),".")</f>
        <v>38009.14129764367</v>
      </c>
      <c r="CD33" s="34">
        <f>IFERROR(up_RadSpec!$J$13*(CD13*$B33),".")</f>
        <v>38009.14129764367</v>
      </c>
      <c r="CE33" s="34">
        <f>IFERROR(up_RadSpec!$J$13*(CE13*$B33),".")</f>
        <v>38009.14129764367</v>
      </c>
      <c r="CF33" s="34">
        <f>IFERROR(up_RadSpec!$J$13*(CF13*$B33),".")</f>
        <v>38009.14129764367</v>
      </c>
      <c r="CG33" s="34">
        <f>IFERROR(up_RadSpec!$J$13*(CG13*$B33),".")</f>
        <v>38009.14129764367</v>
      </c>
      <c r="CH33" s="34">
        <f>IFERROR(up_RadSpec!$J$13*(CH13*$B33),".")</f>
        <v>38009.14129764367</v>
      </c>
      <c r="CI33" s="34">
        <f>IFERROR(up_RadSpec!$J$13*(CI13*$B33),".")</f>
        <v>38009.14129764367</v>
      </c>
      <c r="CJ33" s="34">
        <f>IFERROR(up_RadSpec!$J$13*(CJ13*$B33),".")</f>
        <v>38009.14129764367</v>
      </c>
      <c r="CK33" s="34">
        <f>IFERROR(up_RadSpec!$J$13*(CK13*$B33),".")</f>
        <v>38009.14129764367</v>
      </c>
      <c r="CL33" s="34">
        <f>IFERROR(up_RadSpec!$J$13*(CL13*$B33),".")</f>
        <v>38009.14129764367</v>
      </c>
      <c r="CM33" s="34">
        <f>IFERROR(up_RadSpec!$J$13*(CM13*$B33),".")</f>
        <v>38009.14129764367</v>
      </c>
      <c r="CN33" s="34">
        <f>IFERROR(up_RadSpec!$J$13*(CN13*$B33),".")</f>
        <v>38009.14129764367</v>
      </c>
      <c r="CO33" s="34">
        <f>IFERROR(up_RadSpec!$J$13*(CO13*$B33),".")</f>
        <v>38009.14129764367</v>
      </c>
      <c r="CP33" s="34">
        <f>IFERROR(up_RadSpec!$J$13*(CP13*$B33),".")</f>
        <v>38009.14129764367</v>
      </c>
      <c r="CQ33" s="34">
        <f>IFERROR(up_RadSpec!$J$13*(CQ13*$B33),".")</f>
        <v>38009.14129764367</v>
      </c>
      <c r="CR33" s="34">
        <f>IFERROR(up_RadSpec!$J$13*(CR13*$B33),".")</f>
        <v>38009.14129764367</v>
      </c>
      <c r="CS33" s="34">
        <f>IFERROR(up_RadSpec!$J$13*(CS13*$B33),".")</f>
        <v>38009.14129764367</v>
      </c>
      <c r="CT33" s="34">
        <f>IFERROR(up_RadSpec!$J$13*(CT13*$B33),".")</f>
        <v>38009.14129764367</v>
      </c>
      <c r="CU33" s="34">
        <f>IFERROR(up_RadSpec!$J$13*(CU13*$B33),".")</f>
        <v>38009.14129764367</v>
      </c>
      <c r="CV33" s="34">
        <f>IFERROR(up_RadSpec!$J$13*(CV13*$B33),".")</f>
        <v>38009.14129764367</v>
      </c>
      <c r="CW33" s="34">
        <f>IFERROR(up_RadSpec!$J$13*(CW13*$B33),".")</f>
        <v>38009.14129764367</v>
      </c>
      <c r="CX33" s="34">
        <f>IFERROR(up_RadSpec!$J$13*(CX13*$B33),".")</f>
        <v>38009.14129764367</v>
      </c>
    </row>
    <row r="34" spans="1:102" s="3" customFormat="1" x14ac:dyDescent="0.25">
      <c r="A34" s="55" t="s">
        <v>1064</v>
      </c>
      <c r="B34" s="3">
        <v>1</v>
      </c>
      <c r="C34" s="42">
        <f t="shared" si="0"/>
        <v>2.1924550381384044E-4</v>
      </c>
      <c r="D34" s="42">
        <f t="shared" si="10"/>
        <v>6.5773651144152131E-4</v>
      </c>
      <c r="E34" s="42">
        <f t="shared" si="10"/>
        <v>6.5773651144152131E-4</v>
      </c>
      <c r="F34" s="42">
        <f t="shared" si="10"/>
        <v>6.5773651144152131E-4</v>
      </c>
      <c r="G34" s="42">
        <f t="shared" si="10"/>
        <v>6.5773651144152131E-4</v>
      </c>
      <c r="H34" s="42">
        <f t="shared" si="10"/>
        <v>6.5773651144152131E-4</v>
      </c>
      <c r="I34" s="42">
        <f t="shared" si="10"/>
        <v>6.5773651144152131E-4</v>
      </c>
      <c r="J34" s="42">
        <f t="shared" si="10"/>
        <v>6.5773651144152131E-4</v>
      </c>
      <c r="K34" s="42">
        <f t="shared" si="10"/>
        <v>6.5773651144152131E-4</v>
      </c>
      <c r="L34" s="42">
        <f t="shared" si="10"/>
        <v>6.5773651144152131E-4</v>
      </c>
      <c r="M34" s="42">
        <f t="shared" si="10"/>
        <v>6.5773651144152131E-4</v>
      </c>
      <c r="N34" s="42">
        <f t="shared" si="10"/>
        <v>6.5773651144152131E-4</v>
      </c>
      <c r="O34" s="42">
        <f t="shared" si="10"/>
        <v>6.5773651144152131E-4</v>
      </c>
      <c r="P34" s="42">
        <f t="shared" si="10"/>
        <v>6.5773651144152131E-4</v>
      </c>
      <c r="Q34" s="42">
        <f t="shared" si="10"/>
        <v>6.5773651144152131E-4</v>
      </c>
      <c r="R34" s="42">
        <f t="shared" si="10"/>
        <v>6.5773651144152131E-4</v>
      </c>
      <c r="S34" s="42">
        <f t="shared" si="10"/>
        <v>6.5773651144152131E-4</v>
      </c>
      <c r="T34" s="42">
        <f t="shared" si="10"/>
        <v>6.5773651144152131E-4</v>
      </c>
      <c r="U34" s="42">
        <f t="shared" si="10"/>
        <v>6.5773651144152131E-4</v>
      </c>
      <c r="V34" s="42">
        <f t="shared" si="10"/>
        <v>6.5773651144152131E-4</v>
      </c>
      <c r="W34" s="42">
        <f t="shared" si="10"/>
        <v>6.5773651144152131E-4</v>
      </c>
      <c r="X34" s="42">
        <f t="shared" si="10"/>
        <v>6.5773651144152131E-4</v>
      </c>
      <c r="Y34" s="42">
        <f t="shared" si="10"/>
        <v>6.5773651144152131E-4</v>
      </c>
      <c r="Z34" s="42">
        <f t="shared" si="10"/>
        <v>6.5773651144152131E-4</v>
      </c>
      <c r="AA34" s="42">
        <f t="shared" si="10"/>
        <v>6.5773651144152131E-4</v>
      </c>
      <c r="AB34" s="34">
        <f t="shared" si="11"/>
        <v>114027.42389293101</v>
      </c>
      <c r="AC34" s="34">
        <f>IFERROR(up_RadSpec!$J$14*(AC14*$B34),".")</f>
        <v>38009.14129764367</v>
      </c>
      <c r="AD34" s="34">
        <f>IFERROR(up_RadSpec!$J$14*(AD14*$B34),".")</f>
        <v>38009.14129764367</v>
      </c>
      <c r="AE34" s="34">
        <f>IFERROR(up_RadSpec!$J$14*(AE14*$B34),".")</f>
        <v>38009.14129764367</v>
      </c>
      <c r="AF34" s="34">
        <f>IFERROR(up_RadSpec!$J$14*(AF14*$B34),".")</f>
        <v>38009.14129764367</v>
      </c>
      <c r="AG34" s="34">
        <f>IFERROR(up_RadSpec!$J$14*(AG14*$B34),".")</f>
        <v>38009.14129764367</v>
      </c>
      <c r="AH34" s="34">
        <f>IFERROR(up_RadSpec!$J$14*(AH14*$B34),".")</f>
        <v>38009.14129764367</v>
      </c>
      <c r="AI34" s="34">
        <f>IFERROR(up_RadSpec!$J$14*(AI14*$B34),".")</f>
        <v>38009.14129764367</v>
      </c>
      <c r="AJ34" s="34">
        <f>IFERROR(up_RadSpec!$J$14*(AJ14*$B34),".")</f>
        <v>38009.14129764367</v>
      </c>
      <c r="AK34" s="34">
        <f>IFERROR(up_RadSpec!$J$14*(AK14*$B34),".")</f>
        <v>38009.14129764367</v>
      </c>
      <c r="AL34" s="34">
        <f>IFERROR(up_RadSpec!$J$14*(AL14*$B34),".")</f>
        <v>38009.14129764367</v>
      </c>
      <c r="AM34" s="34">
        <f>IFERROR(up_RadSpec!$J$14*(AM14*$B34),".")</f>
        <v>38009.14129764367</v>
      </c>
      <c r="AN34" s="34">
        <f>IFERROR(up_RadSpec!$J$14*(AN14*$B34),".")</f>
        <v>38009.14129764367</v>
      </c>
      <c r="AO34" s="34">
        <f>IFERROR(up_RadSpec!$J$14*(AO14*$B34),".")</f>
        <v>38009.14129764367</v>
      </c>
      <c r="AP34" s="34">
        <f>IFERROR(up_RadSpec!$J$14*(AP14*$B34),".")</f>
        <v>38009.14129764367</v>
      </c>
      <c r="AQ34" s="34">
        <f>IFERROR(up_RadSpec!$J$14*(AQ14*$B34),".")</f>
        <v>38009.14129764367</v>
      </c>
      <c r="AR34" s="34">
        <f>IFERROR(up_RadSpec!$J$14*(AR14*$B34),".")</f>
        <v>38009.14129764367</v>
      </c>
      <c r="AS34" s="34">
        <f>IFERROR(up_RadSpec!$J$14*(AS14*$B34),".")</f>
        <v>38009.14129764367</v>
      </c>
      <c r="AT34" s="34">
        <f>IFERROR(up_RadSpec!$J$14*(AT14*$B34),".")</f>
        <v>38009.14129764367</v>
      </c>
      <c r="AU34" s="34">
        <f>IFERROR(up_RadSpec!$J$14*(AU14*$B34),".")</f>
        <v>38009.14129764367</v>
      </c>
      <c r="AV34" s="34">
        <f>IFERROR(up_RadSpec!$J$14*(AV14*$B34),".")</f>
        <v>38009.14129764367</v>
      </c>
      <c r="AW34" s="34">
        <f>IFERROR(up_RadSpec!$J$14*(AW14*$B34),".")</f>
        <v>38009.14129764367</v>
      </c>
      <c r="AX34" s="34">
        <f>IFERROR(up_RadSpec!$J$14*(AX14*$B34),".")</f>
        <v>38009.14129764367</v>
      </c>
      <c r="AY34" s="34">
        <f>IFERROR(up_RadSpec!$J$14*(AY14*$B34),".")</f>
        <v>38009.14129764367</v>
      </c>
      <c r="AZ34" s="34">
        <f>IFERROR(up_RadSpec!$J$14*(AZ14*$B34),".")</f>
        <v>38009.14129764367</v>
      </c>
      <c r="BA34" s="42">
        <f t="shared" si="2"/>
        <v>2.1924550381384044E-4</v>
      </c>
      <c r="BB34" s="42">
        <f t="shared" si="12"/>
        <v>6.5773651144152131E-4</v>
      </c>
      <c r="BC34" s="42">
        <f t="shared" si="12"/>
        <v>6.5773651144152131E-4</v>
      </c>
      <c r="BD34" s="42">
        <f t="shared" si="12"/>
        <v>6.5773651144152131E-4</v>
      </c>
      <c r="BE34" s="42">
        <f t="shared" si="12"/>
        <v>6.5773651144152131E-4</v>
      </c>
      <c r="BF34" s="42">
        <f t="shared" si="12"/>
        <v>6.5773651144152131E-4</v>
      </c>
      <c r="BG34" s="42">
        <f t="shared" si="12"/>
        <v>6.5773651144152131E-4</v>
      </c>
      <c r="BH34" s="42">
        <f t="shared" si="12"/>
        <v>6.5773651144152131E-4</v>
      </c>
      <c r="BI34" s="42">
        <f t="shared" si="12"/>
        <v>6.5773651144152131E-4</v>
      </c>
      <c r="BJ34" s="42">
        <f t="shared" si="12"/>
        <v>6.5773651144152131E-4</v>
      </c>
      <c r="BK34" s="42">
        <f t="shared" si="12"/>
        <v>6.5773651144152131E-4</v>
      </c>
      <c r="BL34" s="42">
        <f t="shared" si="12"/>
        <v>6.5773651144152131E-4</v>
      </c>
      <c r="BM34" s="42">
        <f t="shared" si="12"/>
        <v>6.5773651144152131E-4</v>
      </c>
      <c r="BN34" s="42">
        <f t="shared" si="12"/>
        <v>6.5773651144152131E-4</v>
      </c>
      <c r="BO34" s="42">
        <f t="shared" si="12"/>
        <v>6.5773651144152131E-4</v>
      </c>
      <c r="BP34" s="42">
        <f t="shared" si="12"/>
        <v>6.5773651144152131E-4</v>
      </c>
      <c r="BQ34" s="42">
        <f t="shared" si="12"/>
        <v>6.5773651144152131E-4</v>
      </c>
      <c r="BR34" s="42">
        <f t="shared" si="12"/>
        <v>6.5773651144152131E-4</v>
      </c>
      <c r="BS34" s="42">
        <f t="shared" si="12"/>
        <v>6.5773651144152131E-4</v>
      </c>
      <c r="BT34" s="42">
        <f t="shared" si="12"/>
        <v>6.5773651144152131E-4</v>
      </c>
      <c r="BU34" s="42">
        <f t="shared" si="12"/>
        <v>6.5773651144152131E-4</v>
      </c>
      <c r="BV34" s="42">
        <f t="shared" si="12"/>
        <v>6.5773651144152131E-4</v>
      </c>
      <c r="BW34" s="42">
        <f t="shared" si="12"/>
        <v>6.5773651144152131E-4</v>
      </c>
      <c r="BX34" s="42">
        <f t="shared" si="12"/>
        <v>6.5773651144152131E-4</v>
      </c>
      <c r="BY34" s="42">
        <f t="shared" si="12"/>
        <v>6.5773651144152131E-4</v>
      </c>
      <c r="BZ34" s="34">
        <f t="shared" si="3"/>
        <v>114027.42389293101</v>
      </c>
      <c r="CA34" s="34">
        <f>IFERROR(up_RadSpec!$J$14*(CA14*$B34),".")</f>
        <v>38009.14129764367</v>
      </c>
      <c r="CB34" s="34">
        <f>IFERROR(up_RadSpec!$J$14*(CB14*$B34),".")</f>
        <v>38009.14129764367</v>
      </c>
      <c r="CC34" s="34">
        <f>IFERROR(up_RadSpec!$J$14*(CC14*$B34),".")</f>
        <v>38009.14129764367</v>
      </c>
      <c r="CD34" s="34">
        <f>IFERROR(up_RadSpec!$J$14*(CD14*$B34),".")</f>
        <v>38009.14129764367</v>
      </c>
      <c r="CE34" s="34">
        <f>IFERROR(up_RadSpec!$J$14*(CE14*$B34),".")</f>
        <v>38009.14129764367</v>
      </c>
      <c r="CF34" s="34">
        <f>IFERROR(up_RadSpec!$J$14*(CF14*$B34),".")</f>
        <v>38009.14129764367</v>
      </c>
      <c r="CG34" s="34">
        <f>IFERROR(up_RadSpec!$J$14*(CG14*$B34),".")</f>
        <v>38009.14129764367</v>
      </c>
      <c r="CH34" s="34">
        <f>IFERROR(up_RadSpec!$J$14*(CH14*$B34),".")</f>
        <v>38009.14129764367</v>
      </c>
      <c r="CI34" s="34">
        <f>IFERROR(up_RadSpec!$J$14*(CI14*$B34),".")</f>
        <v>38009.14129764367</v>
      </c>
      <c r="CJ34" s="34">
        <f>IFERROR(up_RadSpec!$J$14*(CJ14*$B34),".")</f>
        <v>38009.14129764367</v>
      </c>
      <c r="CK34" s="34">
        <f>IFERROR(up_RadSpec!$J$14*(CK14*$B34),".")</f>
        <v>38009.14129764367</v>
      </c>
      <c r="CL34" s="34">
        <f>IFERROR(up_RadSpec!$J$14*(CL14*$B34),".")</f>
        <v>38009.14129764367</v>
      </c>
      <c r="CM34" s="34">
        <f>IFERROR(up_RadSpec!$J$14*(CM14*$B34),".")</f>
        <v>38009.14129764367</v>
      </c>
      <c r="CN34" s="34">
        <f>IFERROR(up_RadSpec!$J$14*(CN14*$B34),".")</f>
        <v>38009.14129764367</v>
      </c>
      <c r="CO34" s="34">
        <f>IFERROR(up_RadSpec!$J$14*(CO14*$B34),".")</f>
        <v>38009.14129764367</v>
      </c>
      <c r="CP34" s="34">
        <f>IFERROR(up_RadSpec!$J$14*(CP14*$B34),".")</f>
        <v>38009.14129764367</v>
      </c>
      <c r="CQ34" s="34">
        <f>IFERROR(up_RadSpec!$J$14*(CQ14*$B34),".")</f>
        <v>38009.14129764367</v>
      </c>
      <c r="CR34" s="34">
        <f>IFERROR(up_RadSpec!$J$14*(CR14*$B34),".")</f>
        <v>38009.14129764367</v>
      </c>
      <c r="CS34" s="34">
        <f>IFERROR(up_RadSpec!$J$14*(CS14*$B34),".")</f>
        <v>38009.14129764367</v>
      </c>
      <c r="CT34" s="34">
        <f>IFERROR(up_RadSpec!$J$14*(CT14*$B34),".")</f>
        <v>38009.14129764367</v>
      </c>
      <c r="CU34" s="34">
        <f>IFERROR(up_RadSpec!$J$14*(CU14*$B34),".")</f>
        <v>38009.14129764367</v>
      </c>
      <c r="CV34" s="34">
        <f>IFERROR(up_RadSpec!$J$14*(CV14*$B34),".")</f>
        <v>38009.14129764367</v>
      </c>
      <c r="CW34" s="34">
        <f>IFERROR(up_RadSpec!$J$14*(CW14*$B34),".")</f>
        <v>38009.14129764367</v>
      </c>
      <c r="CX34" s="34">
        <f>IFERROR(up_RadSpec!$J$14*(CX14*$B34),".")</f>
        <v>38009.14129764367</v>
      </c>
    </row>
    <row r="35" spans="1:102" s="3" customFormat="1" x14ac:dyDescent="0.25">
      <c r="A35" s="55" t="s">
        <v>1065</v>
      </c>
      <c r="B35" s="3">
        <v>1</v>
      </c>
      <c r="C35" s="42">
        <f t="shared" si="0"/>
        <v>2.1924550381384044E-4</v>
      </c>
      <c r="D35" s="42">
        <f t="shared" ref="D35:AA35" si="13">IFERROR(D30/$B35,0)</f>
        <v>6.5773651144152131E-4</v>
      </c>
      <c r="E35" s="42">
        <f t="shared" si="13"/>
        <v>6.5773651144152131E-4</v>
      </c>
      <c r="F35" s="42">
        <f t="shared" si="13"/>
        <v>6.5773651144152131E-4</v>
      </c>
      <c r="G35" s="42">
        <f t="shared" si="13"/>
        <v>6.5773651144152131E-4</v>
      </c>
      <c r="H35" s="42">
        <f t="shared" si="13"/>
        <v>6.5773651144152131E-4</v>
      </c>
      <c r="I35" s="42">
        <f t="shared" si="13"/>
        <v>6.5773651144152131E-4</v>
      </c>
      <c r="J35" s="42">
        <f t="shared" si="13"/>
        <v>6.5773651144152131E-4</v>
      </c>
      <c r="K35" s="42">
        <f t="shared" si="13"/>
        <v>6.5773651144152131E-4</v>
      </c>
      <c r="L35" s="42">
        <f t="shared" si="13"/>
        <v>6.5773651144152131E-4</v>
      </c>
      <c r="M35" s="42">
        <f t="shared" si="13"/>
        <v>6.5773651144152131E-4</v>
      </c>
      <c r="N35" s="42">
        <f t="shared" si="13"/>
        <v>6.5773651144152131E-4</v>
      </c>
      <c r="O35" s="42">
        <f t="shared" si="13"/>
        <v>6.5773651144152131E-4</v>
      </c>
      <c r="P35" s="42">
        <f t="shared" si="13"/>
        <v>6.5773651144152131E-4</v>
      </c>
      <c r="Q35" s="42">
        <f t="shared" si="13"/>
        <v>6.5773651144152131E-4</v>
      </c>
      <c r="R35" s="42">
        <f t="shared" si="13"/>
        <v>6.5773651144152131E-4</v>
      </c>
      <c r="S35" s="42">
        <f t="shared" si="13"/>
        <v>6.5773651144152131E-4</v>
      </c>
      <c r="T35" s="42">
        <f t="shared" si="13"/>
        <v>6.5773651144152131E-4</v>
      </c>
      <c r="U35" s="42">
        <f t="shared" si="13"/>
        <v>6.5773651144152131E-4</v>
      </c>
      <c r="V35" s="42">
        <f t="shared" si="13"/>
        <v>6.5773651144152131E-4</v>
      </c>
      <c r="W35" s="42">
        <f t="shared" si="13"/>
        <v>6.5773651144152131E-4</v>
      </c>
      <c r="X35" s="42">
        <f t="shared" si="13"/>
        <v>6.5773651144152131E-4</v>
      </c>
      <c r="Y35" s="42">
        <f t="shared" si="13"/>
        <v>6.5773651144152131E-4</v>
      </c>
      <c r="Z35" s="42">
        <f t="shared" si="13"/>
        <v>6.5773651144152131E-4</v>
      </c>
      <c r="AA35" s="42">
        <f t="shared" si="13"/>
        <v>6.5773651144152131E-4</v>
      </c>
      <c r="AB35" s="34">
        <f t="shared" si="11"/>
        <v>114027.42389293101</v>
      </c>
      <c r="AC35" s="34">
        <f>IFERROR(up_RadSpec!$J$30*(AC30*$B35),".")</f>
        <v>38009.14129764367</v>
      </c>
      <c r="AD35" s="34">
        <f>IFERROR(up_RadSpec!$J$30*(AD30*$B35),".")</f>
        <v>38009.14129764367</v>
      </c>
      <c r="AE35" s="34">
        <f>IFERROR(up_RadSpec!$J$30*(AE30*$B35),".")</f>
        <v>38009.14129764367</v>
      </c>
      <c r="AF35" s="34">
        <f>IFERROR(up_RadSpec!$J$30*(AF30*$B35),".")</f>
        <v>38009.14129764367</v>
      </c>
      <c r="AG35" s="34">
        <f>IFERROR(up_RadSpec!$J$30*(AG30*$B35),".")</f>
        <v>38009.14129764367</v>
      </c>
      <c r="AH35" s="34">
        <f>IFERROR(up_RadSpec!$J$30*(AH30*$B35),".")</f>
        <v>38009.14129764367</v>
      </c>
      <c r="AI35" s="34">
        <f>IFERROR(up_RadSpec!$J$30*(AI30*$B35),".")</f>
        <v>38009.14129764367</v>
      </c>
      <c r="AJ35" s="34">
        <f>IFERROR(up_RadSpec!$J$30*(AJ30*$B35),".")</f>
        <v>38009.14129764367</v>
      </c>
      <c r="AK35" s="34">
        <f>IFERROR(up_RadSpec!$J$30*(AK30*$B35),".")</f>
        <v>38009.14129764367</v>
      </c>
      <c r="AL35" s="34">
        <f>IFERROR(up_RadSpec!$J$30*(AL30*$B35),".")</f>
        <v>38009.14129764367</v>
      </c>
      <c r="AM35" s="34">
        <f>IFERROR(up_RadSpec!$J$30*(AM30*$B35),".")</f>
        <v>38009.14129764367</v>
      </c>
      <c r="AN35" s="34">
        <f>IFERROR(up_RadSpec!$J$30*(AN30*$B35),".")</f>
        <v>38009.14129764367</v>
      </c>
      <c r="AO35" s="34">
        <f>IFERROR(up_RadSpec!$J$30*(AO30*$B35),".")</f>
        <v>38009.14129764367</v>
      </c>
      <c r="AP35" s="34">
        <f>IFERROR(up_RadSpec!$J$30*(AP30*$B35),".")</f>
        <v>38009.14129764367</v>
      </c>
      <c r="AQ35" s="34">
        <f>IFERROR(up_RadSpec!$J$30*(AQ30*$B35),".")</f>
        <v>38009.14129764367</v>
      </c>
      <c r="AR35" s="34">
        <f>IFERROR(up_RadSpec!$J$30*(AR30*$B35),".")</f>
        <v>38009.14129764367</v>
      </c>
      <c r="AS35" s="34">
        <f>IFERROR(up_RadSpec!$J$30*(AS30*$B35),".")</f>
        <v>38009.14129764367</v>
      </c>
      <c r="AT35" s="34">
        <f>IFERROR(up_RadSpec!$J$30*(AT30*$B35),".")</f>
        <v>38009.14129764367</v>
      </c>
      <c r="AU35" s="34">
        <f>IFERROR(up_RadSpec!$J$30*(AU30*$B35),".")</f>
        <v>38009.14129764367</v>
      </c>
      <c r="AV35" s="34">
        <f>IFERROR(up_RadSpec!$J$30*(AV30*$B35),".")</f>
        <v>38009.14129764367</v>
      </c>
      <c r="AW35" s="34">
        <f>IFERROR(up_RadSpec!$J$30*(AW30*$B35),".")</f>
        <v>38009.14129764367</v>
      </c>
      <c r="AX35" s="34">
        <f>IFERROR(up_RadSpec!$J$30*(AX30*$B35),".")</f>
        <v>38009.14129764367</v>
      </c>
      <c r="AY35" s="34">
        <f>IFERROR(up_RadSpec!$J$30*(AY30*$B35),".")</f>
        <v>38009.14129764367</v>
      </c>
      <c r="AZ35" s="34">
        <f>IFERROR(up_RadSpec!$J$30*(AZ30*$B35),".")</f>
        <v>38009.14129764367</v>
      </c>
      <c r="BA35" s="42">
        <f t="shared" si="2"/>
        <v>2.1924550381384044E-4</v>
      </c>
      <c r="BB35" s="42">
        <f t="shared" ref="BB35:BY35" si="14">IFERROR(BB30/$B35,0)</f>
        <v>6.5773651144152131E-4</v>
      </c>
      <c r="BC35" s="42">
        <f t="shared" si="14"/>
        <v>6.5773651144152131E-4</v>
      </c>
      <c r="BD35" s="42">
        <f t="shared" si="14"/>
        <v>6.5773651144152131E-4</v>
      </c>
      <c r="BE35" s="42">
        <f t="shared" si="14"/>
        <v>6.5773651144152131E-4</v>
      </c>
      <c r="BF35" s="42">
        <f t="shared" si="14"/>
        <v>6.5773651144152131E-4</v>
      </c>
      <c r="BG35" s="42">
        <f t="shared" si="14"/>
        <v>6.5773651144152131E-4</v>
      </c>
      <c r="BH35" s="42">
        <f t="shared" si="14"/>
        <v>6.5773651144152131E-4</v>
      </c>
      <c r="BI35" s="42">
        <f t="shared" si="14"/>
        <v>6.5773651144152131E-4</v>
      </c>
      <c r="BJ35" s="42">
        <f t="shared" si="14"/>
        <v>6.5773651144152131E-4</v>
      </c>
      <c r="BK35" s="42">
        <f t="shared" si="14"/>
        <v>6.5773651144152131E-4</v>
      </c>
      <c r="BL35" s="42">
        <f t="shared" si="14"/>
        <v>6.5773651144152131E-4</v>
      </c>
      <c r="BM35" s="42">
        <f t="shared" si="14"/>
        <v>6.5773651144152131E-4</v>
      </c>
      <c r="BN35" s="42">
        <f t="shared" si="14"/>
        <v>6.5773651144152131E-4</v>
      </c>
      <c r="BO35" s="42">
        <f t="shared" si="14"/>
        <v>6.5773651144152131E-4</v>
      </c>
      <c r="BP35" s="42">
        <f t="shared" si="14"/>
        <v>6.5773651144152131E-4</v>
      </c>
      <c r="BQ35" s="42">
        <f t="shared" si="14"/>
        <v>6.5773651144152131E-4</v>
      </c>
      <c r="BR35" s="42">
        <f t="shared" si="14"/>
        <v>6.5773651144152131E-4</v>
      </c>
      <c r="BS35" s="42">
        <f t="shared" si="14"/>
        <v>6.5773651144152131E-4</v>
      </c>
      <c r="BT35" s="42">
        <f t="shared" si="14"/>
        <v>6.5773651144152131E-4</v>
      </c>
      <c r="BU35" s="42">
        <f t="shared" si="14"/>
        <v>6.5773651144152131E-4</v>
      </c>
      <c r="BV35" s="42">
        <f t="shared" si="14"/>
        <v>6.5773651144152131E-4</v>
      </c>
      <c r="BW35" s="42">
        <f t="shared" si="14"/>
        <v>6.5773651144152131E-4</v>
      </c>
      <c r="BX35" s="42">
        <f t="shared" si="14"/>
        <v>6.5773651144152131E-4</v>
      </c>
      <c r="BY35" s="42">
        <f t="shared" si="14"/>
        <v>6.5773651144152131E-4</v>
      </c>
      <c r="BZ35" s="34">
        <f t="shared" si="3"/>
        <v>114027.42389293101</v>
      </c>
      <c r="CA35" s="34">
        <f>IFERROR(up_RadSpec!$J$30*(CA30*$B35),".")</f>
        <v>38009.14129764367</v>
      </c>
      <c r="CB35" s="34">
        <f>IFERROR(up_RadSpec!$J$30*(CB30*$B35),".")</f>
        <v>38009.14129764367</v>
      </c>
      <c r="CC35" s="34">
        <f>IFERROR(up_RadSpec!$J$30*(CC30*$B35),".")</f>
        <v>38009.14129764367</v>
      </c>
      <c r="CD35" s="34">
        <f>IFERROR(up_RadSpec!$J$30*(CD30*$B35),".")</f>
        <v>38009.14129764367</v>
      </c>
      <c r="CE35" s="34">
        <f>IFERROR(up_RadSpec!$J$30*(CE30*$B35),".")</f>
        <v>38009.14129764367</v>
      </c>
      <c r="CF35" s="34">
        <f>IFERROR(up_RadSpec!$J$30*(CF30*$B35),".")</f>
        <v>38009.14129764367</v>
      </c>
      <c r="CG35" s="34">
        <f>IFERROR(up_RadSpec!$J$30*(CG30*$B35),".")</f>
        <v>38009.14129764367</v>
      </c>
      <c r="CH35" s="34">
        <f>IFERROR(up_RadSpec!$J$30*(CH30*$B35),".")</f>
        <v>38009.14129764367</v>
      </c>
      <c r="CI35" s="34">
        <f>IFERROR(up_RadSpec!$J$30*(CI30*$B35),".")</f>
        <v>38009.14129764367</v>
      </c>
      <c r="CJ35" s="34">
        <f>IFERROR(up_RadSpec!$J$30*(CJ30*$B35),".")</f>
        <v>38009.14129764367</v>
      </c>
      <c r="CK35" s="34">
        <f>IFERROR(up_RadSpec!$J$30*(CK30*$B35),".")</f>
        <v>38009.14129764367</v>
      </c>
      <c r="CL35" s="34">
        <f>IFERROR(up_RadSpec!$J$30*(CL30*$B35),".")</f>
        <v>38009.14129764367</v>
      </c>
      <c r="CM35" s="34">
        <f>IFERROR(up_RadSpec!$J$30*(CM30*$B35),".")</f>
        <v>38009.14129764367</v>
      </c>
      <c r="CN35" s="34">
        <f>IFERROR(up_RadSpec!$J$30*(CN30*$B35),".")</f>
        <v>38009.14129764367</v>
      </c>
      <c r="CO35" s="34">
        <f>IFERROR(up_RadSpec!$J$30*(CO30*$B35),".")</f>
        <v>38009.14129764367</v>
      </c>
      <c r="CP35" s="34">
        <f>IFERROR(up_RadSpec!$J$30*(CP30*$B35),".")</f>
        <v>38009.14129764367</v>
      </c>
      <c r="CQ35" s="34">
        <f>IFERROR(up_RadSpec!$J$30*(CQ30*$B35),".")</f>
        <v>38009.14129764367</v>
      </c>
      <c r="CR35" s="34">
        <f>IFERROR(up_RadSpec!$J$30*(CR30*$B35),".")</f>
        <v>38009.14129764367</v>
      </c>
      <c r="CS35" s="34">
        <f>IFERROR(up_RadSpec!$J$30*(CS30*$B35),".")</f>
        <v>38009.14129764367</v>
      </c>
      <c r="CT35" s="34">
        <f>IFERROR(up_RadSpec!$J$30*(CT30*$B35),".")</f>
        <v>38009.14129764367</v>
      </c>
      <c r="CU35" s="34">
        <f>IFERROR(up_RadSpec!$J$30*(CU30*$B35),".")</f>
        <v>38009.14129764367</v>
      </c>
      <c r="CV35" s="34">
        <f>IFERROR(up_RadSpec!$J$30*(CV30*$B35),".")</f>
        <v>38009.14129764367</v>
      </c>
      <c r="CW35" s="34">
        <f>IFERROR(up_RadSpec!$J$30*(CW30*$B35),".")</f>
        <v>38009.14129764367</v>
      </c>
      <c r="CX35" s="34">
        <f>IFERROR(up_RadSpec!$J$30*(CX30*$B35),".")</f>
        <v>38009.14129764367</v>
      </c>
    </row>
    <row r="36" spans="1:102" s="3" customFormat="1" x14ac:dyDescent="0.25">
      <c r="A36" s="55" t="s">
        <v>1066</v>
      </c>
      <c r="B36" s="3">
        <v>1</v>
      </c>
      <c r="C36" s="42">
        <f t="shared" si="0"/>
        <v>2.1924550381384044E-4</v>
      </c>
      <c r="D36" s="42">
        <f t="shared" ref="D36:AA36" si="15">IFERROR(D26/$B36,0)</f>
        <v>6.5773651144152131E-4</v>
      </c>
      <c r="E36" s="42">
        <f t="shared" si="15"/>
        <v>6.5773651144152131E-4</v>
      </c>
      <c r="F36" s="42">
        <f t="shared" si="15"/>
        <v>6.5773651144152131E-4</v>
      </c>
      <c r="G36" s="42">
        <f t="shared" si="15"/>
        <v>6.5773651144152131E-4</v>
      </c>
      <c r="H36" s="42">
        <f t="shared" si="15"/>
        <v>6.5773651144152131E-4</v>
      </c>
      <c r="I36" s="42">
        <f t="shared" si="15"/>
        <v>6.5773651144152131E-4</v>
      </c>
      <c r="J36" s="42">
        <f t="shared" si="15"/>
        <v>6.5773651144152131E-4</v>
      </c>
      <c r="K36" s="42">
        <f t="shared" si="15"/>
        <v>6.5773651144152131E-4</v>
      </c>
      <c r="L36" s="42">
        <f t="shared" si="15"/>
        <v>6.5773651144152131E-4</v>
      </c>
      <c r="M36" s="42">
        <f t="shared" si="15"/>
        <v>6.5773651144152131E-4</v>
      </c>
      <c r="N36" s="42">
        <f t="shared" si="15"/>
        <v>6.5773651144152131E-4</v>
      </c>
      <c r="O36" s="42">
        <f t="shared" si="15"/>
        <v>6.5773651144152131E-4</v>
      </c>
      <c r="P36" s="42">
        <f t="shared" si="15"/>
        <v>6.5773651144152131E-4</v>
      </c>
      <c r="Q36" s="42">
        <f t="shared" si="15"/>
        <v>6.5773651144152131E-4</v>
      </c>
      <c r="R36" s="42">
        <f t="shared" si="15"/>
        <v>6.5773651144152131E-4</v>
      </c>
      <c r="S36" s="42">
        <f t="shared" si="15"/>
        <v>6.5773651144152131E-4</v>
      </c>
      <c r="T36" s="42">
        <f t="shared" si="15"/>
        <v>6.5773651144152131E-4</v>
      </c>
      <c r="U36" s="42">
        <f t="shared" si="15"/>
        <v>6.5773651144152131E-4</v>
      </c>
      <c r="V36" s="42">
        <f t="shared" si="15"/>
        <v>6.5773651144152131E-4</v>
      </c>
      <c r="W36" s="42">
        <f t="shared" si="15"/>
        <v>6.5773651144152131E-4</v>
      </c>
      <c r="X36" s="42">
        <f t="shared" si="15"/>
        <v>6.5773651144152131E-4</v>
      </c>
      <c r="Y36" s="42">
        <f t="shared" si="15"/>
        <v>6.5773651144152131E-4</v>
      </c>
      <c r="Z36" s="42">
        <f t="shared" si="15"/>
        <v>6.5773651144152131E-4</v>
      </c>
      <c r="AA36" s="42">
        <f t="shared" si="15"/>
        <v>6.5773651144152131E-4</v>
      </c>
      <c r="AB36" s="34">
        <f t="shared" si="11"/>
        <v>114027.42389293101</v>
      </c>
      <c r="AC36" s="34">
        <f>IFERROR(up_RadSpec!$J$26*(AC26*$B36),".")</f>
        <v>38009.14129764367</v>
      </c>
      <c r="AD36" s="34">
        <f>IFERROR(up_RadSpec!$J$26*(AD26*$B36),".")</f>
        <v>38009.14129764367</v>
      </c>
      <c r="AE36" s="34">
        <f>IFERROR(up_RadSpec!$J$26*(AE26*$B36),".")</f>
        <v>38009.14129764367</v>
      </c>
      <c r="AF36" s="34">
        <f>IFERROR(up_RadSpec!$J$26*(AF26*$B36),".")</f>
        <v>38009.14129764367</v>
      </c>
      <c r="AG36" s="34">
        <f>IFERROR(up_RadSpec!$J$26*(AG26*$B36),".")</f>
        <v>38009.14129764367</v>
      </c>
      <c r="AH36" s="34">
        <f>IFERROR(up_RadSpec!$J$26*(AH26*$B36),".")</f>
        <v>38009.14129764367</v>
      </c>
      <c r="AI36" s="34">
        <f>IFERROR(up_RadSpec!$J$26*(AI26*$B36),".")</f>
        <v>38009.14129764367</v>
      </c>
      <c r="AJ36" s="34">
        <f>IFERROR(up_RadSpec!$J$26*(AJ26*$B36),".")</f>
        <v>38009.14129764367</v>
      </c>
      <c r="AK36" s="34">
        <f>IFERROR(up_RadSpec!$J$26*(AK26*$B36),".")</f>
        <v>38009.14129764367</v>
      </c>
      <c r="AL36" s="34">
        <f>IFERROR(up_RadSpec!$J$26*(AL26*$B36),".")</f>
        <v>38009.14129764367</v>
      </c>
      <c r="AM36" s="34">
        <f>IFERROR(up_RadSpec!$J$26*(AM26*$B36),".")</f>
        <v>38009.14129764367</v>
      </c>
      <c r="AN36" s="34">
        <f>IFERROR(up_RadSpec!$J$26*(AN26*$B36),".")</f>
        <v>38009.14129764367</v>
      </c>
      <c r="AO36" s="34">
        <f>IFERROR(up_RadSpec!$J$26*(AO26*$B36),".")</f>
        <v>38009.14129764367</v>
      </c>
      <c r="AP36" s="34">
        <f>IFERROR(up_RadSpec!$J$26*(AP26*$B36),".")</f>
        <v>38009.14129764367</v>
      </c>
      <c r="AQ36" s="34">
        <f>IFERROR(up_RadSpec!$J$26*(AQ26*$B36),".")</f>
        <v>38009.14129764367</v>
      </c>
      <c r="AR36" s="34">
        <f>IFERROR(up_RadSpec!$J$26*(AR26*$B36),".")</f>
        <v>38009.14129764367</v>
      </c>
      <c r="AS36" s="34">
        <f>IFERROR(up_RadSpec!$J$26*(AS26*$B36),".")</f>
        <v>38009.14129764367</v>
      </c>
      <c r="AT36" s="34">
        <f>IFERROR(up_RadSpec!$J$26*(AT26*$B36),".")</f>
        <v>38009.14129764367</v>
      </c>
      <c r="AU36" s="34">
        <f>IFERROR(up_RadSpec!$J$26*(AU26*$B36),".")</f>
        <v>38009.14129764367</v>
      </c>
      <c r="AV36" s="34">
        <f>IFERROR(up_RadSpec!$J$26*(AV26*$B36),".")</f>
        <v>38009.14129764367</v>
      </c>
      <c r="AW36" s="34">
        <f>IFERROR(up_RadSpec!$J$26*(AW26*$B36),".")</f>
        <v>38009.14129764367</v>
      </c>
      <c r="AX36" s="34">
        <f>IFERROR(up_RadSpec!$J$26*(AX26*$B36),".")</f>
        <v>38009.14129764367</v>
      </c>
      <c r="AY36" s="34">
        <f>IFERROR(up_RadSpec!$J$26*(AY26*$B36),".")</f>
        <v>38009.14129764367</v>
      </c>
      <c r="AZ36" s="34">
        <f>IFERROR(up_RadSpec!$J$26*(AZ26*$B36),".")</f>
        <v>38009.14129764367</v>
      </c>
      <c r="BA36" s="42">
        <f t="shared" si="2"/>
        <v>2.1924550381384044E-4</v>
      </c>
      <c r="BB36" s="42">
        <f t="shared" ref="BB36:BY36" si="16">IFERROR(BB26/$B36,0)</f>
        <v>6.5773651144152131E-4</v>
      </c>
      <c r="BC36" s="42">
        <f t="shared" si="16"/>
        <v>6.5773651144152131E-4</v>
      </c>
      <c r="BD36" s="42">
        <f t="shared" si="16"/>
        <v>6.5773651144152131E-4</v>
      </c>
      <c r="BE36" s="42">
        <f t="shared" si="16"/>
        <v>6.5773651144152131E-4</v>
      </c>
      <c r="BF36" s="42">
        <f t="shared" si="16"/>
        <v>6.5773651144152131E-4</v>
      </c>
      <c r="BG36" s="42">
        <f t="shared" si="16"/>
        <v>6.5773651144152131E-4</v>
      </c>
      <c r="BH36" s="42">
        <f t="shared" si="16"/>
        <v>6.5773651144152131E-4</v>
      </c>
      <c r="BI36" s="42">
        <f t="shared" si="16"/>
        <v>6.5773651144152131E-4</v>
      </c>
      <c r="BJ36" s="42">
        <f t="shared" si="16"/>
        <v>6.5773651144152131E-4</v>
      </c>
      <c r="BK36" s="42">
        <f t="shared" si="16"/>
        <v>6.5773651144152131E-4</v>
      </c>
      <c r="BL36" s="42">
        <f t="shared" si="16"/>
        <v>6.5773651144152131E-4</v>
      </c>
      <c r="BM36" s="42">
        <f t="shared" si="16"/>
        <v>6.5773651144152131E-4</v>
      </c>
      <c r="BN36" s="42">
        <f t="shared" si="16"/>
        <v>6.5773651144152131E-4</v>
      </c>
      <c r="BO36" s="42">
        <f t="shared" si="16"/>
        <v>6.5773651144152131E-4</v>
      </c>
      <c r="BP36" s="42">
        <f t="shared" si="16"/>
        <v>6.5773651144152131E-4</v>
      </c>
      <c r="BQ36" s="42">
        <f t="shared" si="16"/>
        <v>6.5773651144152131E-4</v>
      </c>
      <c r="BR36" s="42">
        <f t="shared" si="16"/>
        <v>6.5773651144152131E-4</v>
      </c>
      <c r="BS36" s="42">
        <f t="shared" si="16"/>
        <v>6.5773651144152131E-4</v>
      </c>
      <c r="BT36" s="42">
        <f t="shared" si="16"/>
        <v>6.5773651144152131E-4</v>
      </c>
      <c r="BU36" s="42">
        <f t="shared" si="16"/>
        <v>6.5773651144152131E-4</v>
      </c>
      <c r="BV36" s="42">
        <f t="shared" si="16"/>
        <v>6.5773651144152131E-4</v>
      </c>
      <c r="BW36" s="42">
        <f t="shared" si="16"/>
        <v>6.5773651144152131E-4</v>
      </c>
      <c r="BX36" s="42">
        <f t="shared" si="16"/>
        <v>6.5773651144152131E-4</v>
      </c>
      <c r="BY36" s="42">
        <f t="shared" si="16"/>
        <v>6.5773651144152131E-4</v>
      </c>
      <c r="BZ36" s="34">
        <f t="shared" si="3"/>
        <v>114027.42389293101</v>
      </c>
      <c r="CA36" s="34">
        <f>IFERROR(up_RadSpec!$J$26*(CA26*$B36),".")</f>
        <v>38009.14129764367</v>
      </c>
      <c r="CB36" s="34">
        <f>IFERROR(up_RadSpec!$J$26*(CB26*$B36),".")</f>
        <v>38009.14129764367</v>
      </c>
      <c r="CC36" s="34">
        <f>IFERROR(up_RadSpec!$J$26*(CC26*$B36),".")</f>
        <v>38009.14129764367</v>
      </c>
      <c r="CD36" s="34">
        <f>IFERROR(up_RadSpec!$J$26*(CD26*$B36),".")</f>
        <v>38009.14129764367</v>
      </c>
      <c r="CE36" s="34">
        <f>IFERROR(up_RadSpec!$J$26*(CE26*$B36),".")</f>
        <v>38009.14129764367</v>
      </c>
      <c r="CF36" s="34">
        <f>IFERROR(up_RadSpec!$J$26*(CF26*$B36),".")</f>
        <v>38009.14129764367</v>
      </c>
      <c r="CG36" s="34">
        <f>IFERROR(up_RadSpec!$J$26*(CG26*$B36),".")</f>
        <v>38009.14129764367</v>
      </c>
      <c r="CH36" s="34">
        <f>IFERROR(up_RadSpec!$J$26*(CH26*$B36),".")</f>
        <v>38009.14129764367</v>
      </c>
      <c r="CI36" s="34">
        <f>IFERROR(up_RadSpec!$J$26*(CI26*$B36),".")</f>
        <v>38009.14129764367</v>
      </c>
      <c r="CJ36" s="34">
        <f>IFERROR(up_RadSpec!$J$26*(CJ26*$B36),".")</f>
        <v>38009.14129764367</v>
      </c>
      <c r="CK36" s="34">
        <f>IFERROR(up_RadSpec!$J$26*(CK26*$B36),".")</f>
        <v>38009.14129764367</v>
      </c>
      <c r="CL36" s="34">
        <f>IFERROR(up_RadSpec!$J$26*(CL26*$B36),".")</f>
        <v>38009.14129764367</v>
      </c>
      <c r="CM36" s="34">
        <f>IFERROR(up_RadSpec!$J$26*(CM26*$B36),".")</f>
        <v>38009.14129764367</v>
      </c>
      <c r="CN36" s="34">
        <f>IFERROR(up_RadSpec!$J$26*(CN26*$B36),".")</f>
        <v>38009.14129764367</v>
      </c>
      <c r="CO36" s="34">
        <f>IFERROR(up_RadSpec!$J$26*(CO26*$B36),".")</f>
        <v>38009.14129764367</v>
      </c>
      <c r="CP36" s="34">
        <f>IFERROR(up_RadSpec!$J$26*(CP26*$B36),".")</f>
        <v>38009.14129764367</v>
      </c>
      <c r="CQ36" s="34">
        <f>IFERROR(up_RadSpec!$J$26*(CQ26*$B36),".")</f>
        <v>38009.14129764367</v>
      </c>
      <c r="CR36" s="34">
        <f>IFERROR(up_RadSpec!$J$26*(CR26*$B36),".")</f>
        <v>38009.14129764367</v>
      </c>
      <c r="CS36" s="34">
        <f>IFERROR(up_RadSpec!$J$26*(CS26*$B36),".")</f>
        <v>38009.14129764367</v>
      </c>
      <c r="CT36" s="34">
        <f>IFERROR(up_RadSpec!$J$26*(CT26*$B36),".")</f>
        <v>38009.14129764367</v>
      </c>
      <c r="CU36" s="34">
        <f>IFERROR(up_RadSpec!$J$26*(CU26*$B36),".")</f>
        <v>38009.14129764367</v>
      </c>
      <c r="CV36" s="34">
        <f>IFERROR(up_RadSpec!$J$26*(CV26*$B36),".")</f>
        <v>38009.14129764367</v>
      </c>
      <c r="CW36" s="34">
        <f>IFERROR(up_RadSpec!$J$26*(CW26*$B36),".")</f>
        <v>38009.14129764367</v>
      </c>
      <c r="CX36" s="34">
        <f>IFERROR(up_RadSpec!$J$26*(CX26*$B36),".")</f>
        <v>38009.14129764367</v>
      </c>
    </row>
    <row r="37" spans="1:102" s="3" customFormat="1" x14ac:dyDescent="0.25">
      <c r="A37" s="55" t="s">
        <v>1067</v>
      </c>
      <c r="B37" s="3">
        <v>1</v>
      </c>
      <c r="C37" s="42">
        <f t="shared" si="0"/>
        <v>2.1924550381384044E-4</v>
      </c>
      <c r="D37" s="42">
        <f t="shared" ref="D37:AA37" si="17">IFERROR(D22/$B37,0)</f>
        <v>6.5773651144152131E-4</v>
      </c>
      <c r="E37" s="42">
        <f t="shared" si="17"/>
        <v>6.5773651144152131E-4</v>
      </c>
      <c r="F37" s="42">
        <f t="shared" si="17"/>
        <v>6.5773651144152131E-4</v>
      </c>
      <c r="G37" s="42">
        <f t="shared" si="17"/>
        <v>6.5773651144152131E-4</v>
      </c>
      <c r="H37" s="42">
        <f t="shared" si="17"/>
        <v>6.5773651144152131E-4</v>
      </c>
      <c r="I37" s="42">
        <f t="shared" si="17"/>
        <v>6.5773651144152131E-4</v>
      </c>
      <c r="J37" s="42">
        <f t="shared" si="17"/>
        <v>6.5773651144152131E-4</v>
      </c>
      <c r="K37" s="42">
        <f t="shared" si="17"/>
        <v>6.5773651144152131E-4</v>
      </c>
      <c r="L37" s="42">
        <f t="shared" si="17"/>
        <v>6.5773651144152131E-4</v>
      </c>
      <c r="M37" s="42">
        <f t="shared" si="17"/>
        <v>6.5773651144152131E-4</v>
      </c>
      <c r="N37" s="42">
        <f t="shared" si="17"/>
        <v>6.5773651144152131E-4</v>
      </c>
      <c r="O37" s="42">
        <f t="shared" si="17"/>
        <v>6.5773651144152131E-4</v>
      </c>
      <c r="P37" s="42">
        <f t="shared" si="17"/>
        <v>6.5773651144152131E-4</v>
      </c>
      <c r="Q37" s="42">
        <f t="shared" si="17"/>
        <v>6.5773651144152131E-4</v>
      </c>
      <c r="R37" s="42">
        <f t="shared" si="17"/>
        <v>6.5773651144152131E-4</v>
      </c>
      <c r="S37" s="42">
        <f t="shared" si="17"/>
        <v>6.5773651144152131E-4</v>
      </c>
      <c r="T37" s="42">
        <f t="shared" si="17"/>
        <v>6.5773651144152131E-4</v>
      </c>
      <c r="U37" s="42">
        <f t="shared" si="17"/>
        <v>6.5773651144152131E-4</v>
      </c>
      <c r="V37" s="42">
        <f t="shared" si="17"/>
        <v>6.5773651144152131E-4</v>
      </c>
      <c r="W37" s="42">
        <f t="shared" si="17"/>
        <v>6.5773651144152131E-4</v>
      </c>
      <c r="X37" s="42">
        <f t="shared" si="17"/>
        <v>6.5773651144152131E-4</v>
      </c>
      <c r="Y37" s="42">
        <f t="shared" si="17"/>
        <v>6.5773651144152131E-4</v>
      </c>
      <c r="Z37" s="42">
        <f t="shared" si="17"/>
        <v>6.5773651144152131E-4</v>
      </c>
      <c r="AA37" s="42">
        <f t="shared" si="17"/>
        <v>6.5773651144152131E-4</v>
      </c>
      <c r="AB37" s="34">
        <f t="shared" si="11"/>
        <v>114027.42389293101</v>
      </c>
      <c r="AC37" s="34">
        <f>IFERROR(up_RadSpec!$J$22*(AC22*$B37),".")</f>
        <v>38009.14129764367</v>
      </c>
      <c r="AD37" s="34">
        <f>IFERROR(up_RadSpec!$J$22*(AD22*$B37),".")</f>
        <v>38009.14129764367</v>
      </c>
      <c r="AE37" s="34">
        <f>IFERROR(up_RadSpec!$J$22*(AE22*$B37),".")</f>
        <v>38009.14129764367</v>
      </c>
      <c r="AF37" s="34">
        <f>IFERROR(up_RadSpec!$J$22*(AF22*$B37),".")</f>
        <v>38009.14129764367</v>
      </c>
      <c r="AG37" s="34">
        <f>IFERROR(up_RadSpec!$J$22*(AG22*$B37),".")</f>
        <v>38009.14129764367</v>
      </c>
      <c r="AH37" s="34">
        <f>IFERROR(up_RadSpec!$J$22*(AH22*$B37),".")</f>
        <v>38009.14129764367</v>
      </c>
      <c r="AI37" s="34">
        <f>IFERROR(up_RadSpec!$J$22*(AI22*$B37),".")</f>
        <v>38009.14129764367</v>
      </c>
      <c r="AJ37" s="34">
        <f>IFERROR(up_RadSpec!$J$22*(AJ22*$B37),".")</f>
        <v>38009.14129764367</v>
      </c>
      <c r="AK37" s="34">
        <f>IFERROR(up_RadSpec!$J$22*(AK22*$B37),".")</f>
        <v>38009.14129764367</v>
      </c>
      <c r="AL37" s="34">
        <f>IFERROR(up_RadSpec!$J$22*(AL22*$B37),".")</f>
        <v>38009.14129764367</v>
      </c>
      <c r="AM37" s="34">
        <f>IFERROR(up_RadSpec!$J$22*(AM22*$B37),".")</f>
        <v>38009.14129764367</v>
      </c>
      <c r="AN37" s="34">
        <f>IFERROR(up_RadSpec!$J$22*(AN22*$B37),".")</f>
        <v>38009.14129764367</v>
      </c>
      <c r="AO37" s="34">
        <f>IFERROR(up_RadSpec!$J$22*(AO22*$B37),".")</f>
        <v>38009.14129764367</v>
      </c>
      <c r="AP37" s="34">
        <f>IFERROR(up_RadSpec!$J$22*(AP22*$B37),".")</f>
        <v>38009.14129764367</v>
      </c>
      <c r="AQ37" s="34">
        <f>IFERROR(up_RadSpec!$J$22*(AQ22*$B37),".")</f>
        <v>38009.14129764367</v>
      </c>
      <c r="AR37" s="34">
        <f>IFERROR(up_RadSpec!$J$22*(AR22*$B37),".")</f>
        <v>38009.14129764367</v>
      </c>
      <c r="AS37" s="34">
        <f>IFERROR(up_RadSpec!$J$22*(AS22*$B37),".")</f>
        <v>38009.14129764367</v>
      </c>
      <c r="AT37" s="34">
        <f>IFERROR(up_RadSpec!$J$22*(AT22*$B37),".")</f>
        <v>38009.14129764367</v>
      </c>
      <c r="AU37" s="34">
        <f>IFERROR(up_RadSpec!$J$22*(AU22*$B37),".")</f>
        <v>38009.14129764367</v>
      </c>
      <c r="AV37" s="34">
        <f>IFERROR(up_RadSpec!$J$22*(AV22*$B37),".")</f>
        <v>38009.14129764367</v>
      </c>
      <c r="AW37" s="34">
        <f>IFERROR(up_RadSpec!$J$22*(AW22*$B37),".")</f>
        <v>38009.14129764367</v>
      </c>
      <c r="AX37" s="34">
        <f>IFERROR(up_RadSpec!$J$22*(AX22*$B37),".")</f>
        <v>38009.14129764367</v>
      </c>
      <c r="AY37" s="34">
        <f>IFERROR(up_RadSpec!$J$22*(AY22*$B37),".")</f>
        <v>38009.14129764367</v>
      </c>
      <c r="AZ37" s="34">
        <f>IFERROR(up_RadSpec!$J$22*(AZ22*$B37),".")</f>
        <v>38009.14129764367</v>
      </c>
      <c r="BA37" s="42">
        <f t="shared" si="2"/>
        <v>2.1924550381384044E-4</v>
      </c>
      <c r="BB37" s="42">
        <f t="shared" ref="BB37:BY37" si="18">IFERROR(BB22/$B37,0)</f>
        <v>6.5773651144152131E-4</v>
      </c>
      <c r="BC37" s="42">
        <f t="shared" si="18"/>
        <v>6.5773651144152131E-4</v>
      </c>
      <c r="BD37" s="42">
        <f t="shared" si="18"/>
        <v>6.5773651144152131E-4</v>
      </c>
      <c r="BE37" s="42">
        <f t="shared" si="18"/>
        <v>6.5773651144152131E-4</v>
      </c>
      <c r="BF37" s="42">
        <f t="shared" si="18"/>
        <v>6.5773651144152131E-4</v>
      </c>
      <c r="BG37" s="42">
        <f t="shared" si="18"/>
        <v>6.5773651144152131E-4</v>
      </c>
      <c r="BH37" s="42">
        <f t="shared" si="18"/>
        <v>6.5773651144152131E-4</v>
      </c>
      <c r="BI37" s="42">
        <f t="shared" si="18"/>
        <v>6.5773651144152131E-4</v>
      </c>
      <c r="BJ37" s="42">
        <f t="shared" si="18"/>
        <v>6.5773651144152131E-4</v>
      </c>
      <c r="BK37" s="42">
        <f t="shared" si="18"/>
        <v>6.5773651144152131E-4</v>
      </c>
      <c r="BL37" s="42">
        <f t="shared" si="18"/>
        <v>6.5773651144152131E-4</v>
      </c>
      <c r="BM37" s="42">
        <f t="shared" si="18"/>
        <v>6.5773651144152131E-4</v>
      </c>
      <c r="BN37" s="42">
        <f t="shared" si="18"/>
        <v>6.5773651144152131E-4</v>
      </c>
      <c r="BO37" s="42">
        <f t="shared" si="18"/>
        <v>6.5773651144152131E-4</v>
      </c>
      <c r="BP37" s="42">
        <f t="shared" si="18"/>
        <v>6.5773651144152131E-4</v>
      </c>
      <c r="BQ37" s="42">
        <f t="shared" si="18"/>
        <v>6.5773651144152131E-4</v>
      </c>
      <c r="BR37" s="42">
        <f t="shared" si="18"/>
        <v>6.5773651144152131E-4</v>
      </c>
      <c r="BS37" s="42">
        <f t="shared" si="18"/>
        <v>6.5773651144152131E-4</v>
      </c>
      <c r="BT37" s="42">
        <f t="shared" si="18"/>
        <v>6.5773651144152131E-4</v>
      </c>
      <c r="BU37" s="42">
        <f t="shared" si="18"/>
        <v>6.5773651144152131E-4</v>
      </c>
      <c r="BV37" s="42">
        <f t="shared" si="18"/>
        <v>6.5773651144152131E-4</v>
      </c>
      <c r="BW37" s="42">
        <f t="shared" si="18"/>
        <v>6.5773651144152131E-4</v>
      </c>
      <c r="BX37" s="42">
        <f t="shared" si="18"/>
        <v>6.5773651144152131E-4</v>
      </c>
      <c r="BY37" s="42">
        <f t="shared" si="18"/>
        <v>6.5773651144152131E-4</v>
      </c>
      <c r="BZ37" s="34">
        <f t="shared" si="3"/>
        <v>114027.42389293101</v>
      </c>
      <c r="CA37" s="34">
        <f>IFERROR(up_RadSpec!$J$22*(CA22*$B37),".")</f>
        <v>38009.14129764367</v>
      </c>
      <c r="CB37" s="34">
        <f>IFERROR(up_RadSpec!$J$22*(CB22*$B37),".")</f>
        <v>38009.14129764367</v>
      </c>
      <c r="CC37" s="34">
        <f>IFERROR(up_RadSpec!$J$22*(CC22*$B37),".")</f>
        <v>38009.14129764367</v>
      </c>
      <c r="CD37" s="34">
        <f>IFERROR(up_RadSpec!$J$22*(CD22*$B37),".")</f>
        <v>38009.14129764367</v>
      </c>
      <c r="CE37" s="34">
        <f>IFERROR(up_RadSpec!$J$22*(CE22*$B37),".")</f>
        <v>38009.14129764367</v>
      </c>
      <c r="CF37" s="34">
        <f>IFERROR(up_RadSpec!$J$22*(CF22*$B37),".")</f>
        <v>38009.14129764367</v>
      </c>
      <c r="CG37" s="34">
        <f>IFERROR(up_RadSpec!$J$22*(CG22*$B37),".")</f>
        <v>38009.14129764367</v>
      </c>
      <c r="CH37" s="34">
        <f>IFERROR(up_RadSpec!$J$22*(CH22*$B37),".")</f>
        <v>38009.14129764367</v>
      </c>
      <c r="CI37" s="34">
        <f>IFERROR(up_RadSpec!$J$22*(CI22*$B37),".")</f>
        <v>38009.14129764367</v>
      </c>
      <c r="CJ37" s="34">
        <f>IFERROR(up_RadSpec!$J$22*(CJ22*$B37),".")</f>
        <v>38009.14129764367</v>
      </c>
      <c r="CK37" s="34">
        <f>IFERROR(up_RadSpec!$J$22*(CK22*$B37),".")</f>
        <v>38009.14129764367</v>
      </c>
      <c r="CL37" s="34">
        <f>IFERROR(up_RadSpec!$J$22*(CL22*$B37),".")</f>
        <v>38009.14129764367</v>
      </c>
      <c r="CM37" s="34">
        <f>IFERROR(up_RadSpec!$J$22*(CM22*$B37),".")</f>
        <v>38009.14129764367</v>
      </c>
      <c r="CN37" s="34">
        <f>IFERROR(up_RadSpec!$J$22*(CN22*$B37),".")</f>
        <v>38009.14129764367</v>
      </c>
      <c r="CO37" s="34">
        <f>IFERROR(up_RadSpec!$J$22*(CO22*$B37),".")</f>
        <v>38009.14129764367</v>
      </c>
      <c r="CP37" s="34">
        <f>IFERROR(up_RadSpec!$J$22*(CP22*$B37),".")</f>
        <v>38009.14129764367</v>
      </c>
      <c r="CQ37" s="34">
        <f>IFERROR(up_RadSpec!$J$22*(CQ22*$B37),".")</f>
        <v>38009.14129764367</v>
      </c>
      <c r="CR37" s="34">
        <f>IFERROR(up_RadSpec!$J$22*(CR22*$B37),".")</f>
        <v>38009.14129764367</v>
      </c>
      <c r="CS37" s="34">
        <f>IFERROR(up_RadSpec!$J$22*(CS22*$B37),".")</f>
        <v>38009.14129764367</v>
      </c>
      <c r="CT37" s="34">
        <f>IFERROR(up_RadSpec!$J$22*(CT22*$B37),".")</f>
        <v>38009.14129764367</v>
      </c>
      <c r="CU37" s="34">
        <f>IFERROR(up_RadSpec!$J$22*(CU22*$B37),".")</f>
        <v>38009.14129764367</v>
      </c>
      <c r="CV37" s="34">
        <f>IFERROR(up_RadSpec!$J$22*(CV22*$B37),".")</f>
        <v>38009.14129764367</v>
      </c>
      <c r="CW37" s="34">
        <f>IFERROR(up_RadSpec!$J$22*(CW22*$B37),".")</f>
        <v>38009.14129764367</v>
      </c>
      <c r="CX37" s="34">
        <f>IFERROR(up_RadSpec!$J$22*(CX22*$B37),".")</f>
        <v>38009.14129764367</v>
      </c>
    </row>
    <row r="38" spans="1:102" s="3" customFormat="1" x14ac:dyDescent="0.25">
      <c r="A38" s="55" t="s">
        <v>1068</v>
      </c>
      <c r="B38" s="3">
        <v>1</v>
      </c>
      <c r="C38" s="42">
        <f t="shared" si="0"/>
        <v>2.1924550381384044E-4</v>
      </c>
      <c r="D38" s="42">
        <f t="shared" ref="D38:AA38" si="19">IFERROR(D2/$B38,0)</f>
        <v>6.5773651144152131E-4</v>
      </c>
      <c r="E38" s="42">
        <f t="shared" si="19"/>
        <v>6.5773651144152131E-4</v>
      </c>
      <c r="F38" s="42">
        <f t="shared" si="19"/>
        <v>6.5773651144152131E-4</v>
      </c>
      <c r="G38" s="42">
        <f t="shared" si="19"/>
        <v>6.5773651144152131E-4</v>
      </c>
      <c r="H38" s="42">
        <f t="shared" si="19"/>
        <v>6.5773651144152131E-4</v>
      </c>
      <c r="I38" s="42">
        <f t="shared" si="19"/>
        <v>6.5773651144152131E-4</v>
      </c>
      <c r="J38" s="42">
        <f t="shared" si="19"/>
        <v>6.5773651144152131E-4</v>
      </c>
      <c r="K38" s="42">
        <f t="shared" si="19"/>
        <v>6.5773651144152131E-4</v>
      </c>
      <c r="L38" s="42">
        <f t="shared" si="19"/>
        <v>6.5773651144152131E-4</v>
      </c>
      <c r="M38" s="42">
        <f t="shared" si="19"/>
        <v>6.5773651144152131E-4</v>
      </c>
      <c r="N38" s="42">
        <f t="shared" si="19"/>
        <v>6.5773651144152131E-4</v>
      </c>
      <c r="O38" s="42">
        <f t="shared" si="19"/>
        <v>6.5773651144152131E-4</v>
      </c>
      <c r="P38" s="42">
        <f t="shared" si="19"/>
        <v>6.5773651144152131E-4</v>
      </c>
      <c r="Q38" s="42">
        <f t="shared" si="19"/>
        <v>6.5773651144152131E-4</v>
      </c>
      <c r="R38" s="42">
        <f t="shared" si="19"/>
        <v>6.5773651144152131E-4</v>
      </c>
      <c r="S38" s="42">
        <f t="shared" si="19"/>
        <v>6.5773651144152131E-4</v>
      </c>
      <c r="T38" s="42">
        <f t="shared" si="19"/>
        <v>6.5773651144152131E-4</v>
      </c>
      <c r="U38" s="42">
        <f t="shared" si="19"/>
        <v>6.5773651144152131E-4</v>
      </c>
      <c r="V38" s="42">
        <f t="shared" si="19"/>
        <v>6.5773651144152131E-4</v>
      </c>
      <c r="W38" s="42">
        <f t="shared" si="19"/>
        <v>6.5773651144152131E-4</v>
      </c>
      <c r="X38" s="42">
        <f t="shared" si="19"/>
        <v>6.5773651144152131E-4</v>
      </c>
      <c r="Y38" s="42">
        <f t="shared" si="19"/>
        <v>6.5773651144152131E-4</v>
      </c>
      <c r="Z38" s="42">
        <f t="shared" si="19"/>
        <v>6.5773651144152131E-4</v>
      </c>
      <c r="AA38" s="42">
        <f t="shared" si="19"/>
        <v>6.5773651144152131E-4</v>
      </c>
      <c r="AB38" s="34">
        <f t="shared" si="11"/>
        <v>114027.42389293101</v>
      </c>
      <c r="AC38" s="34">
        <f>IFERROR(up_RadSpec!$J$2*(AC2*$B38),".")</f>
        <v>38009.14129764367</v>
      </c>
      <c r="AD38" s="34">
        <f>IFERROR(up_RadSpec!$J$2*(AD2*$B38),".")</f>
        <v>38009.14129764367</v>
      </c>
      <c r="AE38" s="34">
        <f>IFERROR(up_RadSpec!$J$2*(AE2*$B38),".")</f>
        <v>38009.14129764367</v>
      </c>
      <c r="AF38" s="34">
        <f>IFERROR(up_RadSpec!$J$2*(AF2*$B38),".")</f>
        <v>38009.14129764367</v>
      </c>
      <c r="AG38" s="34">
        <f>IFERROR(up_RadSpec!$J$2*(AG2*$B38),".")</f>
        <v>38009.14129764367</v>
      </c>
      <c r="AH38" s="34">
        <f>IFERROR(up_RadSpec!$J$2*(AH2*$B38),".")</f>
        <v>38009.14129764367</v>
      </c>
      <c r="AI38" s="34">
        <f>IFERROR(up_RadSpec!$J$2*(AI2*$B38),".")</f>
        <v>38009.14129764367</v>
      </c>
      <c r="AJ38" s="34">
        <f>IFERROR(up_RadSpec!$J$2*(AJ2*$B38),".")</f>
        <v>38009.14129764367</v>
      </c>
      <c r="AK38" s="34">
        <f>IFERROR(up_RadSpec!$J$2*(AK2*$B38),".")</f>
        <v>38009.14129764367</v>
      </c>
      <c r="AL38" s="34">
        <f>IFERROR(up_RadSpec!$J$2*(AL2*$B38),".")</f>
        <v>38009.14129764367</v>
      </c>
      <c r="AM38" s="34">
        <f>IFERROR(up_RadSpec!$J$2*(AM2*$B38),".")</f>
        <v>38009.14129764367</v>
      </c>
      <c r="AN38" s="34">
        <f>IFERROR(up_RadSpec!$J$2*(AN2*$B38),".")</f>
        <v>38009.14129764367</v>
      </c>
      <c r="AO38" s="34">
        <f>IFERROR(up_RadSpec!$J$2*(AO2*$B38),".")</f>
        <v>38009.14129764367</v>
      </c>
      <c r="AP38" s="34">
        <f>IFERROR(up_RadSpec!$J$2*(AP2*$B38),".")</f>
        <v>38009.14129764367</v>
      </c>
      <c r="AQ38" s="34">
        <f>IFERROR(up_RadSpec!$J$2*(AQ2*$B38),".")</f>
        <v>38009.14129764367</v>
      </c>
      <c r="AR38" s="34">
        <f>IFERROR(up_RadSpec!$J$2*(AR2*$B38),".")</f>
        <v>38009.14129764367</v>
      </c>
      <c r="AS38" s="34">
        <f>IFERROR(up_RadSpec!$J$2*(AS2*$B38),".")</f>
        <v>38009.14129764367</v>
      </c>
      <c r="AT38" s="34">
        <f>IFERROR(up_RadSpec!$J$2*(AT2*$B38),".")</f>
        <v>38009.14129764367</v>
      </c>
      <c r="AU38" s="34">
        <f>IFERROR(up_RadSpec!$J$2*(AU2*$B38),".")</f>
        <v>38009.14129764367</v>
      </c>
      <c r="AV38" s="34">
        <f>IFERROR(up_RadSpec!$J$2*(AV2*$B38),".")</f>
        <v>38009.14129764367</v>
      </c>
      <c r="AW38" s="34">
        <f>IFERROR(up_RadSpec!$J$2*(AW2*$B38),".")</f>
        <v>38009.14129764367</v>
      </c>
      <c r="AX38" s="34">
        <f>IFERROR(up_RadSpec!$J$2*(AX2*$B38),".")</f>
        <v>38009.14129764367</v>
      </c>
      <c r="AY38" s="34">
        <f>IFERROR(up_RadSpec!$J$2*(AY2*$B38),".")</f>
        <v>38009.14129764367</v>
      </c>
      <c r="AZ38" s="34">
        <f>IFERROR(up_RadSpec!$J$2*(AZ2*$B38),".")</f>
        <v>38009.14129764367</v>
      </c>
      <c r="BA38" s="42">
        <f t="shared" si="2"/>
        <v>2.1924550381384044E-4</v>
      </c>
      <c r="BB38" s="42">
        <f t="shared" ref="BB38:BY38" si="20">IFERROR(BB2/$B38,0)</f>
        <v>6.5773651144152131E-4</v>
      </c>
      <c r="BC38" s="42">
        <f t="shared" si="20"/>
        <v>6.5773651144152131E-4</v>
      </c>
      <c r="BD38" s="42">
        <f t="shared" si="20"/>
        <v>6.5773651144152131E-4</v>
      </c>
      <c r="BE38" s="42">
        <f t="shared" si="20"/>
        <v>6.5773651144152131E-4</v>
      </c>
      <c r="BF38" s="42">
        <f t="shared" si="20"/>
        <v>6.5773651144152131E-4</v>
      </c>
      <c r="BG38" s="42">
        <f t="shared" si="20"/>
        <v>6.5773651144152131E-4</v>
      </c>
      <c r="BH38" s="42">
        <f t="shared" si="20"/>
        <v>6.5773651144152131E-4</v>
      </c>
      <c r="BI38" s="42">
        <f t="shared" si="20"/>
        <v>6.5773651144152131E-4</v>
      </c>
      <c r="BJ38" s="42">
        <f t="shared" si="20"/>
        <v>6.5773651144152131E-4</v>
      </c>
      <c r="BK38" s="42">
        <f t="shared" si="20"/>
        <v>6.5773651144152131E-4</v>
      </c>
      <c r="BL38" s="42">
        <f t="shared" si="20"/>
        <v>6.5773651144152131E-4</v>
      </c>
      <c r="BM38" s="42">
        <f t="shared" si="20"/>
        <v>6.5773651144152131E-4</v>
      </c>
      <c r="BN38" s="42">
        <f t="shared" si="20"/>
        <v>6.5773651144152131E-4</v>
      </c>
      <c r="BO38" s="42">
        <f t="shared" si="20"/>
        <v>6.5773651144152131E-4</v>
      </c>
      <c r="BP38" s="42">
        <f t="shared" si="20"/>
        <v>6.5773651144152131E-4</v>
      </c>
      <c r="BQ38" s="42">
        <f t="shared" si="20"/>
        <v>6.5773651144152131E-4</v>
      </c>
      <c r="BR38" s="42">
        <f t="shared" si="20"/>
        <v>6.5773651144152131E-4</v>
      </c>
      <c r="BS38" s="42">
        <f t="shared" si="20"/>
        <v>6.5773651144152131E-4</v>
      </c>
      <c r="BT38" s="42">
        <f t="shared" si="20"/>
        <v>6.5773651144152131E-4</v>
      </c>
      <c r="BU38" s="42">
        <f t="shared" si="20"/>
        <v>6.5773651144152131E-4</v>
      </c>
      <c r="BV38" s="42">
        <f t="shared" si="20"/>
        <v>6.5773651144152131E-4</v>
      </c>
      <c r="BW38" s="42">
        <f t="shared" si="20"/>
        <v>6.5773651144152131E-4</v>
      </c>
      <c r="BX38" s="42">
        <f t="shared" si="20"/>
        <v>6.5773651144152131E-4</v>
      </c>
      <c r="BY38" s="42">
        <f t="shared" si="20"/>
        <v>6.5773651144152131E-4</v>
      </c>
      <c r="BZ38" s="34">
        <f t="shared" si="3"/>
        <v>114027.42389293101</v>
      </c>
      <c r="CA38" s="34">
        <f>IFERROR(up_RadSpec!$J$2*(CA2*$B38),".")</f>
        <v>38009.14129764367</v>
      </c>
      <c r="CB38" s="34">
        <f>IFERROR(up_RadSpec!$J$2*(CB2*$B38),".")</f>
        <v>38009.14129764367</v>
      </c>
      <c r="CC38" s="34">
        <f>IFERROR(up_RadSpec!$J$2*(CC2*$B38),".")</f>
        <v>38009.14129764367</v>
      </c>
      <c r="CD38" s="34">
        <f>IFERROR(up_RadSpec!$J$2*(CD2*$B38),".")</f>
        <v>38009.14129764367</v>
      </c>
      <c r="CE38" s="34">
        <f>IFERROR(up_RadSpec!$J$2*(CE2*$B38),".")</f>
        <v>38009.14129764367</v>
      </c>
      <c r="CF38" s="34">
        <f>IFERROR(up_RadSpec!$J$2*(CF2*$B38),".")</f>
        <v>38009.14129764367</v>
      </c>
      <c r="CG38" s="34">
        <f>IFERROR(up_RadSpec!$J$2*(CG2*$B38),".")</f>
        <v>38009.14129764367</v>
      </c>
      <c r="CH38" s="34">
        <f>IFERROR(up_RadSpec!$J$2*(CH2*$B38),".")</f>
        <v>38009.14129764367</v>
      </c>
      <c r="CI38" s="34">
        <f>IFERROR(up_RadSpec!$J$2*(CI2*$B38),".")</f>
        <v>38009.14129764367</v>
      </c>
      <c r="CJ38" s="34">
        <f>IFERROR(up_RadSpec!$J$2*(CJ2*$B38),".")</f>
        <v>38009.14129764367</v>
      </c>
      <c r="CK38" s="34">
        <f>IFERROR(up_RadSpec!$J$2*(CK2*$B38),".")</f>
        <v>38009.14129764367</v>
      </c>
      <c r="CL38" s="34">
        <f>IFERROR(up_RadSpec!$J$2*(CL2*$B38),".")</f>
        <v>38009.14129764367</v>
      </c>
      <c r="CM38" s="34">
        <f>IFERROR(up_RadSpec!$J$2*(CM2*$B38),".")</f>
        <v>38009.14129764367</v>
      </c>
      <c r="CN38" s="34">
        <f>IFERROR(up_RadSpec!$J$2*(CN2*$B38),".")</f>
        <v>38009.14129764367</v>
      </c>
      <c r="CO38" s="34">
        <f>IFERROR(up_RadSpec!$J$2*(CO2*$B38),".")</f>
        <v>38009.14129764367</v>
      </c>
      <c r="CP38" s="34">
        <f>IFERROR(up_RadSpec!$J$2*(CP2*$B38),".")</f>
        <v>38009.14129764367</v>
      </c>
      <c r="CQ38" s="34">
        <f>IFERROR(up_RadSpec!$J$2*(CQ2*$B38),".")</f>
        <v>38009.14129764367</v>
      </c>
      <c r="CR38" s="34">
        <f>IFERROR(up_RadSpec!$J$2*(CR2*$B38),".")</f>
        <v>38009.14129764367</v>
      </c>
      <c r="CS38" s="34">
        <f>IFERROR(up_RadSpec!$J$2*(CS2*$B38),".")</f>
        <v>38009.14129764367</v>
      </c>
      <c r="CT38" s="34">
        <f>IFERROR(up_RadSpec!$J$2*(CT2*$B38),".")</f>
        <v>38009.14129764367</v>
      </c>
      <c r="CU38" s="34">
        <f>IFERROR(up_RadSpec!$J$2*(CU2*$B38),".")</f>
        <v>38009.14129764367</v>
      </c>
      <c r="CV38" s="34">
        <f>IFERROR(up_RadSpec!$J$2*(CV2*$B38),".")</f>
        <v>38009.14129764367</v>
      </c>
      <c r="CW38" s="34">
        <f>IFERROR(up_RadSpec!$J$2*(CW2*$B38),".")</f>
        <v>38009.14129764367</v>
      </c>
      <c r="CX38" s="34">
        <f>IFERROR(up_RadSpec!$J$2*(CX2*$B38),".")</f>
        <v>38009.14129764367</v>
      </c>
    </row>
    <row r="39" spans="1:102" s="3" customFormat="1" x14ac:dyDescent="0.25">
      <c r="A39" s="55" t="s">
        <v>1069</v>
      </c>
      <c r="B39" s="3">
        <v>1</v>
      </c>
      <c r="C39" s="42">
        <f t="shared" si="0"/>
        <v>2.1924550381384044E-4</v>
      </c>
      <c r="D39" s="42">
        <f t="shared" ref="D39:AA39" si="21">IFERROR(D11/$B39,0)</f>
        <v>6.5773651144152131E-4</v>
      </c>
      <c r="E39" s="42">
        <f t="shared" si="21"/>
        <v>6.5773651144152131E-4</v>
      </c>
      <c r="F39" s="42">
        <f t="shared" si="21"/>
        <v>6.5773651144152131E-4</v>
      </c>
      <c r="G39" s="42">
        <f t="shared" si="21"/>
        <v>6.5773651144152131E-4</v>
      </c>
      <c r="H39" s="42">
        <f t="shared" si="21"/>
        <v>6.5773651144152131E-4</v>
      </c>
      <c r="I39" s="42">
        <f t="shared" si="21"/>
        <v>6.5773651144152131E-4</v>
      </c>
      <c r="J39" s="42">
        <f t="shared" si="21"/>
        <v>6.5773651144152131E-4</v>
      </c>
      <c r="K39" s="42">
        <f t="shared" si="21"/>
        <v>6.5773651144152131E-4</v>
      </c>
      <c r="L39" s="42">
        <f t="shared" si="21"/>
        <v>6.5773651144152131E-4</v>
      </c>
      <c r="M39" s="42">
        <f t="shared" si="21"/>
        <v>6.5773651144152131E-4</v>
      </c>
      <c r="N39" s="42">
        <f t="shared" si="21"/>
        <v>6.5773651144152131E-4</v>
      </c>
      <c r="O39" s="42">
        <f t="shared" si="21"/>
        <v>6.5773651144152131E-4</v>
      </c>
      <c r="P39" s="42">
        <f t="shared" si="21"/>
        <v>6.5773651144152131E-4</v>
      </c>
      <c r="Q39" s="42">
        <f t="shared" si="21"/>
        <v>6.5773651144152131E-4</v>
      </c>
      <c r="R39" s="42">
        <f t="shared" si="21"/>
        <v>6.5773651144152131E-4</v>
      </c>
      <c r="S39" s="42">
        <f t="shared" si="21"/>
        <v>6.5773651144152131E-4</v>
      </c>
      <c r="T39" s="42">
        <f t="shared" si="21"/>
        <v>6.5773651144152131E-4</v>
      </c>
      <c r="U39" s="42">
        <f t="shared" si="21"/>
        <v>6.5773651144152131E-4</v>
      </c>
      <c r="V39" s="42">
        <f t="shared" si="21"/>
        <v>6.5773651144152131E-4</v>
      </c>
      <c r="W39" s="42">
        <f t="shared" si="21"/>
        <v>6.5773651144152131E-4</v>
      </c>
      <c r="X39" s="42">
        <f t="shared" si="21"/>
        <v>6.5773651144152131E-4</v>
      </c>
      <c r="Y39" s="42">
        <f t="shared" si="21"/>
        <v>6.5773651144152131E-4</v>
      </c>
      <c r="Z39" s="42">
        <f t="shared" si="21"/>
        <v>6.5773651144152131E-4</v>
      </c>
      <c r="AA39" s="42">
        <f t="shared" si="21"/>
        <v>6.5773651144152131E-4</v>
      </c>
      <c r="AB39" s="34">
        <f t="shared" si="11"/>
        <v>114027.42389293101</v>
      </c>
      <c r="AC39" s="34">
        <f>IFERROR(up_RadSpec!$J$11*(AC11*$B39),".")</f>
        <v>38009.14129764367</v>
      </c>
      <c r="AD39" s="34">
        <f>IFERROR(up_RadSpec!$J$11*(AD11*$B39),".")</f>
        <v>38009.14129764367</v>
      </c>
      <c r="AE39" s="34">
        <f>IFERROR(up_RadSpec!$J$11*(AE11*$B39),".")</f>
        <v>38009.14129764367</v>
      </c>
      <c r="AF39" s="34">
        <f>IFERROR(up_RadSpec!$J$11*(AF11*$B39),".")</f>
        <v>38009.14129764367</v>
      </c>
      <c r="AG39" s="34">
        <f>IFERROR(up_RadSpec!$J$11*(AG11*$B39),".")</f>
        <v>38009.14129764367</v>
      </c>
      <c r="AH39" s="34">
        <f>IFERROR(up_RadSpec!$J$11*(AH11*$B39),".")</f>
        <v>38009.14129764367</v>
      </c>
      <c r="AI39" s="34">
        <f>IFERROR(up_RadSpec!$J$11*(AI11*$B39),".")</f>
        <v>38009.14129764367</v>
      </c>
      <c r="AJ39" s="34">
        <f>IFERROR(up_RadSpec!$J$11*(AJ11*$B39),".")</f>
        <v>38009.14129764367</v>
      </c>
      <c r="AK39" s="34">
        <f>IFERROR(up_RadSpec!$J$11*(AK11*$B39),".")</f>
        <v>38009.14129764367</v>
      </c>
      <c r="AL39" s="34">
        <f>IFERROR(up_RadSpec!$J$11*(AL11*$B39),".")</f>
        <v>38009.14129764367</v>
      </c>
      <c r="AM39" s="34">
        <f>IFERROR(up_RadSpec!$J$11*(AM11*$B39),".")</f>
        <v>38009.14129764367</v>
      </c>
      <c r="AN39" s="34">
        <f>IFERROR(up_RadSpec!$J$11*(AN11*$B39),".")</f>
        <v>38009.14129764367</v>
      </c>
      <c r="AO39" s="34">
        <f>IFERROR(up_RadSpec!$J$11*(AO11*$B39),".")</f>
        <v>38009.14129764367</v>
      </c>
      <c r="AP39" s="34">
        <f>IFERROR(up_RadSpec!$J$11*(AP11*$B39),".")</f>
        <v>38009.14129764367</v>
      </c>
      <c r="AQ39" s="34">
        <f>IFERROR(up_RadSpec!$J$11*(AQ11*$B39),".")</f>
        <v>38009.14129764367</v>
      </c>
      <c r="AR39" s="34">
        <f>IFERROR(up_RadSpec!$J$11*(AR11*$B39),".")</f>
        <v>38009.14129764367</v>
      </c>
      <c r="AS39" s="34">
        <f>IFERROR(up_RadSpec!$J$11*(AS11*$B39),".")</f>
        <v>38009.14129764367</v>
      </c>
      <c r="AT39" s="34">
        <f>IFERROR(up_RadSpec!$J$11*(AT11*$B39),".")</f>
        <v>38009.14129764367</v>
      </c>
      <c r="AU39" s="34">
        <f>IFERROR(up_RadSpec!$J$11*(AU11*$B39),".")</f>
        <v>38009.14129764367</v>
      </c>
      <c r="AV39" s="34">
        <f>IFERROR(up_RadSpec!$J$11*(AV11*$B39),".")</f>
        <v>38009.14129764367</v>
      </c>
      <c r="AW39" s="34">
        <f>IFERROR(up_RadSpec!$J$11*(AW11*$B39),".")</f>
        <v>38009.14129764367</v>
      </c>
      <c r="AX39" s="34">
        <f>IFERROR(up_RadSpec!$J$11*(AX11*$B39),".")</f>
        <v>38009.14129764367</v>
      </c>
      <c r="AY39" s="34">
        <f>IFERROR(up_RadSpec!$J$11*(AY11*$B39),".")</f>
        <v>38009.14129764367</v>
      </c>
      <c r="AZ39" s="34">
        <f>IFERROR(up_RadSpec!$J$11*(AZ11*$B39),".")</f>
        <v>38009.14129764367</v>
      </c>
      <c r="BA39" s="42">
        <f t="shared" si="2"/>
        <v>2.1924550381384044E-4</v>
      </c>
      <c r="BB39" s="42">
        <f t="shared" ref="BB39:BY39" si="22">IFERROR(BB11/$B39,0)</f>
        <v>6.5773651144152131E-4</v>
      </c>
      <c r="BC39" s="42">
        <f t="shared" si="22"/>
        <v>6.5773651144152131E-4</v>
      </c>
      <c r="BD39" s="42">
        <f t="shared" si="22"/>
        <v>6.5773651144152131E-4</v>
      </c>
      <c r="BE39" s="42">
        <f t="shared" si="22"/>
        <v>6.5773651144152131E-4</v>
      </c>
      <c r="BF39" s="42">
        <f t="shared" si="22"/>
        <v>6.5773651144152131E-4</v>
      </c>
      <c r="BG39" s="42">
        <f t="shared" si="22"/>
        <v>6.5773651144152131E-4</v>
      </c>
      <c r="BH39" s="42">
        <f t="shared" si="22"/>
        <v>6.5773651144152131E-4</v>
      </c>
      <c r="BI39" s="42">
        <f t="shared" si="22"/>
        <v>6.5773651144152131E-4</v>
      </c>
      <c r="BJ39" s="42">
        <f t="shared" si="22"/>
        <v>6.5773651144152131E-4</v>
      </c>
      <c r="BK39" s="42">
        <f t="shared" si="22"/>
        <v>6.5773651144152131E-4</v>
      </c>
      <c r="BL39" s="42">
        <f t="shared" si="22"/>
        <v>6.5773651144152131E-4</v>
      </c>
      <c r="BM39" s="42">
        <f t="shared" si="22"/>
        <v>6.5773651144152131E-4</v>
      </c>
      <c r="BN39" s="42">
        <f t="shared" si="22"/>
        <v>6.5773651144152131E-4</v>
      </c>
      <c r="BO39" s="42">
        <f t="shared" si="22"/>
        <v>6.5773651144152131E-4</v>
      </c>
      <c r="BP39" s="42">
        <f t="shared" si="22"/>
        <v>6.5773651144152131E-4</v>
      </c>
      <c r="BQ39" s="42">
        <f t="shared" si="22"/>
        <v>6.5773651144152131E-4</v>
      </c>
      <c r="BR39" s="42">
        <f t="shared" si="22"/>
        <v>6.5773651144152131E-4</v>
      </c>
      <c r="BS39" s="42">
        <f t="shared" si="22"/>
        <v>6.5773651144152131E-4</v>
      </c>
      <c r="BT39" s="42">
        <f t="shared" si="22"/>
        <v>6.5773651144152131E-4</v>
      </c>
      <c r="BU39" s="42">
        <f t="shared" si="22"/>
        <v>6.5773651144152131E-4</v>
      </c>
      <c r="BV39" s="42">
        <f t="shared" si="22"/>
        <v>6.5773651144152131E-4</v>
      </c>
      <c r="BW39" s="42">
        <f t="shared" si="22"/>
        <v>6.5773651144152131E-4</v>
      </c>
      <c r="BX39" s="42">
        <f t="shared" si="22"/>
        <v>6.5773651144152131E-4</v>
      </c>
      <c r="BY39" s="42">
        <f t="shared" si="22"/>
        <v>6.5773651144152131E-4</v>
      </c>
      <c r="BZ39" s="34">
        <f t="shared" si="3"/>
        <v>114027.42389293101</v>
      </c>
      <c r="CA39" s="34">
        <f>IFERROR(up_RadSpec!$J$11*(CA11*$B39),".")</f>
        <v>38009.14129764367</v>
      </c>
      <c r="CB39" s="34">
        <f>IFERROR(up_RadSpec!$J$11*(CB11*$B39),".")</f>
        <v>38009.14129764367</v>
      </c>
      <c r="CC39" s="34">
        <f>IFERROR(up_RadSpec!$J$11*(CC11*$B39),".")</f>
        <v>38009.14129764367</v>
      </c>
      <c r="CD39" s="34">
        <f>IFERROR(up_RadSpec!$J$11*(CD11*$B39),".")</f>
        <v>38009.14129764367</v>
      </c>
      <c r="CE39" s="34">
        <f>IFERROR(up_RadSpec!$J$11*(CE11*$B39),".")</f>
        <v>38009.14129764367</v>
      </c>
      <c r="CF39" s="34">
        <f>IFERROR(up_RadSpec!$J$11*(CF11*$B39),".")</f>
        <v>38009.14129764367</v>
      </c>
      <c r="CG39" s="34">
        <f>IFERROR(up_RadSpec!$J$11*(CG11*$B39),".")</f>
        <v>38009.14129764367</v>
      </c>
      <c r="CH39" s="34">
        <f>IFERROR(up_RadSpec!$J$11*(CH11*$B39),".")</f>
        <v>38009.14129764367</v>
      </c>
      <c r="CI39" s="34">
        <f>IFERROR(up_RadSpec!$J$11*(CI11*$B39),".")</f>
        <v>38009.14129764367</v>
      </c>
      <c r="CJ39" s="34">
        <f>IFERROR(up_RadSpec!$J$11*(CJ11*$B39),".")</f>
        <v>38009.14129764367</v>
      </c>
      <c r="CK39" s="34">
        <f>IFERROR(up_RadSpec!$J$11*(CK11*$B39),".")</f>
        <v>38009.14129764367</v>
      </c>
      <c r="CL39" s="34">
        <f>IFERROR(up_RadSpec!$J$11*(CL11*$B39),".")</f>
        <v>38009.14129764367</v>
      </c>
      <c r="CM39" s="34">
        <f>IFERROR(up_RadSpec!$J$11*(CM11*$B39),".")</f>
        <v>38009.14129764367</v>
      </c>
      <c r="CN39" s="34">
        <f>IFERROR(up_RadSpec!$J$11*(CN11*$B39),".")</f>
        <v>38009.14129764367</v>
      </c>
      <c r="CO39" s="34">
        <f>IFERROR(up_RadSpec!$J$11*(CO11*$B39),".")</f>
        <v>38009.14129764367</v>
      </c>
      <c r="CP39" s="34">
        <f>IFERROR(up_RadSpec!$J$11*(CP11*$B39),".")</f>
        <v>38009.14129764367</v>
      </c>
      <c r="CQ39" s="34">
        <f>IFERROR(up_RadSpec!$J$11*(CQ11*$B39),".")</f>
        <v>38009.14129764367</v>
      </c>
      <c r="CR39" s="34">
        <f>IFERROR(up_RadSpec!$J$11*(CR11*$B39),".")</f>
        <v>38009.14129764367</v>
      </c>
      <c r="CS39" s="34">
        <f>IFERROR(up_RadSpec!$J$11*(CS11*$B39),".")</f>
        <v>38009.14129764367</v>
      </c>
      <c r="CT39" s="34">
        <f>IFERROR(up_RadSpec!$J$11*(CT11*$B39),".")</f>
        <v>38009.14129764367</v>
      </c>
      <c r="CU39" s="34">
        <f>IFERROR(up_RadSpec!$J$11*(CU11*$B39),".")</f>
        <v>38009.14129764367</v>
      </c>
      <c r="CV39" s="34">
        <f>IFERROR(up_RadSpec!$J$11*(CV11*$B39),".")</f>
        <v>38009.14129764367</v>
      </c>
      <c r="CW39" s="34">
        <f>IFERROR(up_RadSpec!$J$11*(CW11*$B39),".")</f>
        <v>38009.14129764367</v>
      </c>
      <c r="CX39" s="34">
        <f>IFERROR(up_RadSpec!$J$11*(CX11*$B39),".")</f>
        <v>38009.14129764367</v>
      </c>
    </row>
    <row r="40" spans="1:102" s="3" customFormat="1" x14ac:dyDescent="0.25">
      <c r="A40" s="55" t="s">
        <v>1070</v>
      </c>
      <c r="B40" s="3">
        <v>1</v>
      </c>
      <c r="C40" s="42">
        <f t="shared" si="0"/>
        <v>2.1924550381384044E-4</v>
      </c>
      <c r="D40" s="42">
        <f t="shared" ref="D40:AA40" si="23">IFERROR(D4/$B40,0)</f>
        <v>6.5773651144152131E-4</v>
      </c>
      <c r="E40" s="42">
        <f t="shared" si="23"/>
        <v>6.5773651144152131E-4</v>
      </c>
      <c r="F40" s="42">
        <f t="shared" si="23"/>
        <v>6.5773651144152131E-4</v>
      </c>
      <c r="G40" s="42">
        <f t="shared" si="23"/>
        <v>6.5773651144152131E-4</v>
      </c>
      <c r="H40" s="42">
        <f t="shared" si="23"/>
        <v>6.5773651144152131E-4</v>
      </c>
      <c r="I40" s="42">
        <f t="shared" si="23"/>
        <v>6.5773651144152131E-4</v>
      </c>
      <c r="J40" s="42">
        <f t="shared" si="23"/>
        <v>6.5773651144152131E-4</v>
      </c>
      <c r="K40" s="42">
        <f t="shared" si="23"/>
        <v>6.5773651144152131E-4</v>
      </c>
      <c r="L40" s="42">
        <f t="shared" si="23"/>
        <v>6.5773651144152131E-4</v>
      </c>
      <c r="M40" s="42">
        <f t="shared" si="23"/>
        <v>6.5773651144152131E-4</v>
      </c>
      <c r="N40" s="42">
        <f t="shared" si="23"/>
        <v>6.5773651144152131E-4</v>
      </c>
      <c r="O40" s="42">
        <f t="shared" si="23"/>
        <v>6.5773651144152131E-4</v>
      </c>
      <c r="P40" s="42">
        <f t="shared" si="23"/>
        <v>6.5773651144152131E-4</v>
      </c>
      <c r="Q40" s="42">
        <f t="shared" si="23"/>
        <v>6.5773651144152131E-4</v>
      </c>
      <c r="R40" s="42">
        <f t="shared" si="23"/>
        <v>6.5773651144152131E-4</v>
      </c>
      <c r="S40" s="42">
        <f t="shared" si="23"/>
        <v>6.5773651144152131E-4</v>
      </c>
      <c r="T40" s="42">
        <f t="shared" si="23"/>
        <v>6.5773651144152131E-4</v>
      </c>
      <c r="U40" s="42">
        <f t="shared" si="23"/>
        <v>6.5773651144152131E-4</v>
      </c>
      <c r="V40" s="42">
        <f t="shared" si="23"/>
        <v>6.5773651144152131E-4</v>
      </c>
      <c r="W40" s="42">
        <f t="shared" si="23"/>
        <v>6.5773651144152131E-4</v>
      </c>
      <c r="X40" s="42">
        <f t="shared" si="23"/>
        <v>6.5773651144152131E-4</v>
      </c>
      <c r="Y40" s="42">
        <f t="shared" si="23"/>
        <v>6.5773651144152131E-4</v>
      </c>
      <c r="Z40" s="42">
        <f t="shared" si="23"/>
        <v>6.5773651144152131E-4</v>
      </c>
      <c r="AA40" s="42">
        <f t="shared" si="23"/>
        <v>6.5773651144152131E-4</v>
      </c>
      <c r="AB40" s="34">
        <f t="shared" si="11"/>
        <v>114027.42389293101</v>
      </c>
      <c r="AC40" s="34">
        <f>IFERROR(up_RadSpec!$J$4*(AC4*$B40),".")</f>
        <v>38009.14129764367</v>
      </c>
      <c r="AD40" s="34">
        <f>IFERROR(up_RadSpec!$J$4*(AD4*$B40),".")</f>
        <v>38009.14129764367</v>
      </c>
      <c r="AE40" s="34">
        <f>IFERROR(up_RadSpec!$J$4*(AE4*$B40),".")</f>
        <v>38009.14129764367</v>
      </c>
      <c r="AF40" s="34">
        <f>IFERROR(up_RadSpec!$J$4*(AF4*$B40),".")</f>
        <v>38009.14129764367</v>
      </c>
      <c r="AG40" s="34">
        <f>IFERROR(up_RadSpec!$J$4*(AG4*$B40),".")</f>
        <v>38009.14129764367</v>
      </c>
      <c r="AH40" s="34">
        <f>IFERROR(up_RadSpec!$J$4*(AH4*$B40),".")</f>
        <v>38009.14129764367</v>
      </c>
      <c r="AI40" s="34">
        <f>IFERROR(up_RadSpec!$J$4*(AI4*$B40),".")</f>
        <v>38009.14129764367</v>
      </c>
      <c r="AJ40" s="34">
        <f>IFERROR(up_RadSpec!$J$4*(AJ4*$B40),".")</f>
        <v>38009.14129764367</v>
      </c>
      <c r="AK40" s="34">
        <f>IFERROR(up_RadSpec!$J$4*(AK4*$B40),".")</f>
        <v>38009.14129764367</v>
      </c>
      <c r="AL40" s="34">
        <f>IFERROR(up_RadSpec!$J$4*(AL4*$B40),".")</f>
        <v>38009.14129764367</v>
      </c>
      <c r="AM40" s="34">
        <f>IFERROR(up_RadSpec!$J$4*(AM4*$B40),".")</f>
        <v>38009.14129764367</v>
      </c>
      <c r="AN40" s="34">
        <f>IFERROR(up_RadSpec!$J$4*(AN4*$B40),".")</f>
        <v>38009.14129764367</v>
      </c>
      <c r="AO40" s="34">
        <f>IFERROR(up_RadSpec!$J$4*(AO4*$B40),".")</f>
        <v>38009.14129764367</v>
      </c>
      <c r="AP40" s="34">
        <f>IFERROR(up_RadSpec!$J$4*(AP4*$B40),".")</f>
        <v>38009.14129764367</v>
      </c>
      <c r="AQ40" s="34">
        <f>IFERROR(up_RadSpec!$J$4*(AQ4*$B40),".")</f>
        <v>38009.14129764367</v>
      </c>
      <c r="AR40" s="34">
        <f>IFERROR(up_RadSpec!$J$4*(AR4*$B40),".")</f>
        <v>38009.14129764367</v>
      </c>
      <c r="AS40" s="34">
        <f>IFERROR(up_RadSpec!$J$4*(AS4*$B40),".")</f>
        <v>38009.14129764367</v>
      </c>
      <c r="AT40" s="34">
        <f>IFERROR(up_RadSpec!$J$4*(AT4*$B40),".")</f>
        <v>38009.14129764367</v>
      </c>
      <c r="AU40" s="34">
        <f>IFERROR(up_RadSpec!$J$4*(AU4*$B40),".")</f>
        <v>38009.14129764367</v>
      </c>
      <c r="AV40" s="34">
        <f>IFERROR(up_RadSpec!$J$4*(AV4*$B40),".")</f>
        <v>38009.14129764367</v>
      </c>
      <c r="AW40" s="34">
        <f>IFERROR(up_RadSpec!$J$4*(AW4*$B40),".")</f>
        <v>38009.14129764367</v>
      </c>
      <c r="AX40" s="34">
        <f>IFERROR(up_RadSpec!$J$4*(AX4*$B40),".")</f>
        <v>38009.14129764367</v>
      </c>
      <c r="AY40" s="34">
        <f>IFERROR(up_RadSpec!$J$4*(AY4*$B40),".")</f>
        <v>38009.14129764367</v>
      </c>
      <c r="AZ40" s="34">
        <f>IFERROR(up_RadSpec!$J$4*(AZ4*$B40),".")</f>
        <v>38009.14129764367</v>
      </c>
      <c r="BA40" s="42">
        <f t="shared" si="2"/>
        <v>2.1924550381384044E-4</v>
      </c>
      <c r="BB40" s="42">
        <f t="shared" ref="BB40:BY40" si="24">IFERROR(BB4/$B40,0)</f>
        <v>6.5773651144152131E-4</v>
      </c>
      <c r="BC40" s="42">
        <f t="shared" si="24"/>
        <v>6.5773651144152131E-4</v>
      </c>
      <c r="BD40" s="42">
        <f t="shared" si="24"/>
        <v>6.5773651144152131E-4</v>
      </c>
      <c r="BE40" s="42">
        <f t="shared" si="24"/>
        <v>6.5773651144152131E-4</v>
      </c>
      <c r="BF40" s="42">
        <f t="shared" si="24"/>
        <v>6.5773651144152131E-4</v>
      </c>
      <c r="BG40" s="42">
        <f t="shared" si="24"/>
        <v>6.5773651144152131E-4</v>
      </c>
      <c r="BH40" s="42">
        <f t="shared" si="24"/>
        <v>6.5773651144152131E-4</v>
      </c>
      <c r="BI40" s="42">
        <f t="shared" si="24"/>
        <v>6.5773651144152131E-4</v>
      </c>
      <c r="BJ40" s="42">
        <f t="shared" si="24"/>
        <v>6.5773651144152131E-4</v>
      </c>
      <c r="BK40" s="42">
        <f t="shared" si="24"/>
        <v>6.5773651144152131E-4</v>
      </c>
      <c r="BL40" s="42">
        <f t="shared" si="24"/>
        <v>6.5773651144152131E-4</v>
      </c>
      <c r="BM40" s="42">
        <f t="shared" si="24"/>
        <v>6.5773651144152131E-4</v>
      </c>
      <c r="BN40" s="42">
        <f t="shared" si="24"/>
        <v>6.5773651144152131E-4</v>
      </c>
      <c r="BO40" s="42">
        <f t="shared" si="24"/>
        <v>6.5773651144152131E-4</v>
      </c>
      <c r="BP40" s="42">
        <f t="shared" si="24"/>
        <v>6.5773651144152131E-4</v>
      </c>
      <c r="BQ40" s="42">
        <f t="shared" si="24"/>
        <v>6.5773651144152131E-4</v>
      </c>
      <c r="BR40" s="42">
        <f t="shared" si="24"/>
        <v>6.5773651144152131E-4</v>
      </c>
      <c r="BS40" s="42">
        <f t="shared" si="24"/>
        <v>6.5773651144152131E-4</v>
      </c>
      <c r="BT40" s="42">
        <f t="shared" si="24"/>
        <v>6.5773651144152131E-4</v>
      </c>
      <c r="BU40" s="42">
        <f t="shared" si="24"/>
        <v>6.5773651144152131E-4</v>
      </c>
      <c r="BV40" s="42">
        <f t="shared" si="24"/>
        <v>6.5773651144152131E-4</v>
      </c>
      <c r="BW40" s="42">
        <f t="shared" si="24"/>
        <v>6.5773651144152131E-4</v>
      </c>
      <c r="BX40" s="42">
        <f t="shared" si="24"/>
        <v>6.5773651144152131E-4</v>
      </c>
      <c r="BY40" s="42">
        <f t="shared" si="24"/>
        <v>6.5773651144152131E-4</v>
      </c>
      <c r="BZ40" s="34">
        <f t="shared" si="3"/>
        <v>114027.42389293101</v>
      </c>
      <c r="CA40" s="34">
        <f>IFERROR(up_RadSpec!$J$4*(CA4*$B40),".")</f>
        <v>38009.14129764367</v>
      </c>
      <c r="CB40" s="34">
        <f>IFERROR(up_RadSpec!$J$4*(CB4*$B40),".")</f>
        <v>38009.14129764367</v>
      </c>
      <c r="CC40" s="34">
        <f>IFERROR(up_RadSpec!$J$4*(CC4*$B40),".")</f>
        <v>38009.14129764367</v>
      </c>
      <c r="CD40" s="34">
        <f>IFERROR(up_RadSpec!$J$4*(CD4*$B40),".")</f>
        <v>38009.14129764367</v>
      </c>
      <c r="CE40" s="34">
        <f>IFERROR(up_RadSpec!$J$4*(CE4*$B40),".")</f>
        <v>38009.14129764367</v>
      </c>
      <c r="CF40" s="34">
        <f>IFERROR(up_RadSpec!$J$4*(CF4*$B40),".")</f>
        <v>38009.14129764367</v>
      </c>
      <c r="CG40" s="34">
        <f>IFERROR(up_RadSpec!$J$4*(CG4*$B40),".")</f>
        <v>38009.14129764367</v>
      </c>
      <c r="CH40" s="34">
        <f>IFERROR(up_RadSpec!$J$4*(CH4*$B40),".")</f>
        <v>38009.14129764367</v>
      </c>
      <c r="CI40" s="34">
        <f>IFERROR(up_RadSpec!$J$4*(CI4*$B40),".")</f>
        <v>38009.14129764367</v>
      </c>
      <c r="CJ40" s="34">
        <f>IFERROR(up_RadSpec!$J$4*(CJ4*$B40),".")</f>
        <v>38009.14129764367</v>
      </c>
      <c r="CK40" s="34">
        <f>IFERROR(up_RadSpec!$J$4*(CK4*$B40),".")</f>
        <v>38009.14129764367</v>
      </c>
      <c r="CL40" s="34">
        <f>IFERROR(up_RadSpec!$J$4*(CL4*$B40),".")</f>
        <v>38009.14129764367</v>
      </c>
      <c r="CM40" s="34">
        <f>IFERROR(up_RadSpec!$J$4*(CM4*$B40),".")</f>
        <v>38009.14129764367</v>
      </c>
      <c r="CN40" s="34">
        <f>IFERROR(up_RadSpec!$J$4*(CN4*$B40),".")</f>
        <v>38009.14129764367</v>
      </c>
      <c r="CO40" s="34">
        <f>IFERROR(up_RadSpec!$J$4*(CO4*$B40),".")</f>
        <v>38009.14129764367</v>
      </c>
      <c r="CP40" s="34">
        <f>IFERROR(up_RadSpec!$J$4*(CP4*$B40),".")</f>
        <v>38009.14129764367</v>
      </c>
      <c r="CQ40" s="34">
        <f>IFERROR(up_RadSpec!$J$4*(CQ4*$B40),".")</f>
        <v>38009.14129764367</v>
      </c>
      <c r="CR40" s="34">
        <f>IFERROR(up_RadSpec!$J$4*(CR4*$B40),".")</f>
        <v>38009.14129764367</v>
      </c>
      <c r="CS40" s="34">
        <f>IFERROR(up_RadSpec!$J$4*(CS4*$B40),".")</f>
        <v>38009.14129764367</v>
      </c>
      <c r="CT40" s="34">
        <f>IFERROR(up_RadSpec!$J$4*(CT4*$B40),".")</f>
        <v>38009.14129764367</v>
      </c>
      <c r="CU40" s="34">
        <f>IFERROR(up_RadSpec!$J$4*(CU4*$B40),".")</f>
        <v>38009.14129764367</v>
      </c>
      <c r="CV40" s="34">
        <f>IFERROR(up_RadSpec!$J$4*(CV4*$B40),".")</f>
        <v>38009.14129764367</v>
      </c>
      <c r="CW40" s="34">
        <f>IFERROR(up_RadSpec!$J$4*(CW4*$B40),".")</f>
        <v>38009.14129764367</v>
      </c>
      <c r="CX40" s="34">
        <f>IFERROR(up_RadSpec!$J$4*(CX4*$B40),".")</f>
        <v>38009.14129764367</v>
      </c>
    </row>
    <row r="41" spans="1:102" s="3" customFormat="1" x14ac:dyDescent="0.25">
      <c r="A41" s="55" t="s">
        <v>1071</v>
      </c>
      <c r="B41" s="56">
        <v>0.99987999999999999</v>
      </c>
      <c r="C41" s="42">
        <f t="shared" si="0"/>
        <v>2.1927181643181226E-4</v>
      </c>
      <c r="D41" s="42">
        <f t="shared" ref="D41:AA41" si="25">IFERROR(D8/$B41,0)</f>
        <v>6.5781544929543675E-4</v>
      </c>
      <c r="E41" s="42">
        <f t="shared" si="25"/>
        <v>6.5781544929543675E-4</v>
      </c>
      <c r="F41" s="42">
        <f t="shared" si="25"/>
        <v>6.5781544929543675E-4</v>
      </c>
      <c r="G41" s="42">
        <f t="shared" si="25"/>
        <v>6.5781544929543675E-4</v>
      </c>
      <c r="H41" s="42">
        <f t="shared" si="25"/>
        <v>6.5781544929543675E-4</v>
      </c>
      <c r="I41" s="42">
        <f t="shared" si="25"/>
        <v>6.5781544929543675E-4</v>
      </c>
      <c r="J41" s="42">
        <f t="shared" si="25"/>
        <v>6.5781544929543675E-4</v>
      </c>
      <c r="K41" s="42">
        <f t="shared" si="25"/>
        <v>6.5781544929543675E-4</v>
      </c>
      <c r="L41" s="42">
        <f t="shared" si="25"/>
        <v>6.5781544929543675E-4</v>
      </c>
      <c r="M41" s="42">
        <f t="shared" si="25"/>
        <v>6.5781544929543675E-4</v>
      </c>
      <c r="N41" s="42">
        <f t="shared" si="25"/>
        <v>6.5781544929543675E-4</v>
      </c>
      <c r="O41" s="42">
        <f t="shared" si="25"/>
        <v>6.5781544929543675E-4</v>
      </c>
      <c r="P41" s="42">
        <f t="shared" si="25"/>
        <v>6.5781544929543675E-4</v>
      </c>
      <c r="Q41" s="42">
        <f t="shared" si="25"/>
        <v>6.5781544929543675E-4</v>
      </c>
      <c r="R41" s="42">
        <f t="shared" si="25"/>
        <v>6.5781544929543675E-4</v>
      </c>
      <c r="S41" s="42">
        <f t="shared" si="25"/>
        <v>6.5781544929543675E-4</v>
      </c>
      <c r="T41" s="42">
        <f t="shared" si="25"/>
        <v>6.5781544929543675E-4</v>
      </c>
      <c r="U41" s="42">
        <f t="shared" si="25"/>
        <v>6.5781544929543675E-4</v>
      </c>
      <c r="V41" s="42">
        <f t="shared" si="25"/>
        <v>6.5781544929543675E-4</v>
      </c>
      <c r="W41" s="42">
        <f t="shared" si="25"/>
        <v>6.5781544929543675E-4</v>
      </c>
      <c r="X41" s="42">
        <f t="shared" si="25"/>
        <v>6.5781544929543675E-4</v>
      </c>
      <c r="Y41" s="42">
        <f t="shared" si="25"/>
        <v>6.5781544929543675E-4</v>
      </c>
      <c r="Z41" s="42">
        <f t="shared" si="25"/>
        <v>6.5781544929543675E-4</v>
      </c>
      <c r="AA41" s="42">
        <f t="shared" si="25"/>
        <v>6.5781544929543675E-4</v>
      </c>
      <c r="AB41" s="34">
        <f t="shared" si="11"/>
        <v>114013.74060206386</v>
      </c>
      <c r="AC41" s="34">
        <f>IFERROR(up_RadSpec!$J$8*(AC8*$B41),".")</f>
        <v>38004.580200687953</v>
      </c>
      <c r="AD41" s="34">
        <f>IFERROR(up_RadSpec!$J$8*(AD8*$B41),".")</f>
        <v>38004.580200687953</v>
      </c>
      <c r="AE41" s="34">
        <f>IFERROR(up_RadSpec!$J$8*(AE8*$B41),".")</f>
        <v>38004.580200687953</v>
      </c>
      <c r="AF41" s="34">
        <f>IFERROR(up_RadSpec!$J$8*(AF8*$B41),".")</f>
        <v>38004.580200687953</v>
      </c>
      <c r="AG41" s="34">
        <f>IFERROR(up_RadSpec!$J$8*(AG8*$B41),".")</f>
        <v>38004.580200687953</v>
      </c>
      <c r="AH41" s="34">
        <f>IFERROR(up_RadSpec!$J$8*(AH8*$B41),".")</f>
        <v>38004.580200687953</v>
      </c>
      <c r="AI41" s="34">
        <f>IFERROR(up_RadSpec!$J$8*(AI8*$B41),".")</f>
        <v>38004.580200687953</v>
      </c>
      <c r="AJ41" s="34">
        <f>IFERROR(up_RadSpec!$J$8*(AJ8*$B41),".")</f>
        <v>38004.580200687953</v>
      </c>
      <c r="AK41" s="34">
        <f>IFERROR(up_RadSpec!$J$8*(AK8*$B41),".")</f>
        <v>38004.580200687953</v>
      </c>
      <c r="AL41" s="34">
        <f>IFERROR(up_RadSpec!$J$8*(AL8*$B41),".")</f>
        <v>38004.580200687953</v>
      </c>
      <c r="AM41" s="34">
        <f>IFERROR(up_RadSpec!$J$8*(AM8*$B41),".")</f>
        <v>38004.580200687953</v>
      </c>
      <c r="AN41" s="34">
        <f>IFERROR(up_RadSpec!$J$8*(AN8*$B41),".")</f>
        <v>38004.580200687953</v>
      </c>
      <c r="AO41" s="34">
        <f>IFERROR(up_RadSpec!$J$8*(AO8*$B41),".")</f>
        <v>38004.580200687953</v>
      </c>
      <c r="AP41" s="34">
        <f>IFERROR(up_RadSpec!$J$8*(AP8*$B41),".")</f>
        <v>38004.580200687953</v>
      </c>
      <c r="AQ41" s="34">
        <f>IFERROR(up_RadSpec!$J$8*(AQ8*$B41),".")</f>
        <v>38004.580200687953</v>
      </c>
      <c r="AR41" s="34">
        <f>IFERROR(up_RadSpec!$J$8*(AR8*$B41),".")</f>
        <v>38004.580200687953</v>
      </c>
      <c r="AS41" s="34">
        <f>IFERROR(up_RadSpec!$J$8*(AS8*$B41),".")</f>
        <v>38004.580200687953</v>
      </c>
      <c r="AT41" s="34">
        <f>IFERROR(up_RadSpec!$J$8*(AT8*$B41),".")</f>
        <v>38004.580200687953</v>
      </c>
      <c r="AU41" s="34">
        <f>IFERROR(up_RadSpec!$J$8*(AU8*$B41),".")</f>
        <v>38004.580200687953</v>
      </c>
      <c r="AV41" s="34">
        <f>IFERROR(up_RadSpec!$J$8*(AV8*$B41),".")</f>
        <v>38004.580200687953</v>
      </c>
      <c r="AW41" s="34">
        <f>IFERROR(up_RadSpec!$J$8*(AW8*$B41),".")</f>
        <v>38004.580200687953</v>
      </c>
      <c r="AX41" s="34">
        <f>IFERROR(up_RadSpec!$J$8*(AX8*$B41),".")</f>
        <v>38004.580200687953</v>
      </c>
      <c r="AY41" s="34">
        <f>IFERROR(up_RadSpec!$J$8*(AY8*$B41),".")</f>
        <v>38004.580200687953</v>
      </c>
      <c r="AZ41" s="34">
        <f>IFERROR(up_RadSpec!$J$8*(AZ8*$B41),".")</f>
        <v>38004.580200687953</v>
      </c>
      <c r="BA41" s="42">
        <f t="shared" si="2"/>
        <v>2.1927181643181226E-4</v>
      </c>
      <c r="BB41" s="42">
        <f t="shared" ref="BB41:BY41" si="26">IFERROR(BB8/$B41,0)</f>
        <v>6.5781544929543675E-4</v>
      </c>
      <c r="BC41" s="42">
        <f t="shared" si="26"/>
        <v>6.5781544929543675E-4</v>
      </c>
      <c r="BD41" s="42">
        <f t="shared" si="26"/>
        <v>6.5781544929543675E-4</v>
      </c>
      <c r="BE41" s="42">
        <f t="shared" si="26"/>
        <v>6.5781544929543675E-4</v>
      </c>
      <c r="BF41" s="42">
        <f t="shared" si="26"/>
        <v>6.5781544929543675E-4</v>
      </c>
      <c r="BG41" s="42">
        <f t="shared" si="26"/>
        <v>6.5781544929543675E-4</v>
      </c>
      <c r="BH41" s="42">
        <f t="shared" si="26"/>
        <v>6.5781544929543675E-4</v>
      </c>
      <c r="BI41" s="42">
        <f t="shared" si="26"/>
        <v>6.5781544929543675E-4</v>
      </c>
      <c r="BJ41" s="42">
        <f t="shared" si="26"/>
        <v>6.5781544929543675E-4</v>
      </c>
      <c r="BK41" s="42">
        <f t="shared" si="26"/>
        <v>6.5781544929543675E-4</v>
      </c>
      <c r="BL41" s="42">
        <f t="shared" si="26"/>
        <v>6.5781544929543675E-4</v>
      </c>
      <c r="BM41" s="42">
        <f t="shared" si="26"/>
        <v>6.5781544929543675E-4</v>
      </c>
      <c r="BN41" s="42">
        <f t="shared" si="26"/>
        <v>6.5781544929543675E-4</v>
      </c>
      <c r="BO41" s="42">
        <f t="shared" si="26"/>
        <v>6.5781544929543675E-4</v>
      </c>
      <c r="BP41" s="42">
        <f t="shared" si="26"/>
        <v>6.5781544929543675E-4</v>
      </c>
      <c r="BQ41" s="42">
        <f t="shared" si="26"/>
        <v>6.5781544929543675E-4</v>
      </c>
      <c r="BR41" s="42">
        <f t="shared" si="26"/>
        <v>6.5781544929543675E-4</v>
      </c>
      <c r="BS41" s="42">
        <f t="shared" si="26"/>
        <v>6.5781544929543675E-4</v>
      </c>
      <c r="BT41" s="42">
        <f t="shared" si="26"/>
        <v>6.5781544929543675E-4</v>
      </c>
      <c r="BU41" s="42">
        <f t="shared" si="26"/>
        <v>6.5781544929543675E-4</v>
      </c>
      <c r="BV41" s="42">
        <f t="shared" si="26"/>
        <v>6.5781544929543675E-4</v>
      </c>
      <c r="BW41" s="42">
        <f t="shared" si="26"/>
        <v>6.5781544929543675E-4</v>
      </c>
      <c r="BX41" s="42">
        <f t="shared" si="26"/>
        <v>6.5781544929543675E-4</v>
      </c>
      <c r="BY41" s="42">
        <f t="shared" si="26"/>
        <v>6.5781544929543675E-4</v>
      </c>
      <c r="BZ41" s="34">
        <f t="shared" si="3"/>
        <v>114013.74060206386</v>
      </c>
      <c r="CA41" s="34">
        <f>IFERROR(up_RadSpec!$J$8*(CA8*$B41),".")</f>
        <v>38004.580200687953</v>
      </c>
      <c r="CB41" s="34">
        <f>IFERROR(up_RadSpec!$J$8*(CB8*$B41),".")</f>
        <v>38004.580200687953</v>
      </c>
      <c r="CC41" s="34">
        <f>IFERROR(up_RadSpec!$J$8*(CC8*$B41),".")</f>
        <v>38004.580200687953</v>
      </c>
      <c r="CD41" s="34">
        <f>IFERROR(up_RadSpec!$J$8*(CD8*$B41),".")</f>
        <v>38004.580200687953</v>
      </c>
      <c r="CE41" s="34">
        <f>IFERROR(up_RadSpec!$J$8*(CE8*$B41),".")</f>
        <v>38004.580200687953</v>
      </c>
      <c r="CF41" s="34">
        <f>IFERROR(up_RadSpec!$J$8*(CF8*$B41),".")</f>
        <v>38004.580200687953</v>
      </c>
      <c r="CG41" s="34">
        <f>IFERROR(up_RadSpec!$J$8*(CG8*$B41),".")</f>
        <v>38004.580200687953</v>
      </c>
      <c r="CH41" s="34">
        <f>IFERROR(up_RadSpec!$J$8*(CH8*$B41),".")</f>
        <v>38004.580200687953</v>
      </c>
      <c r="CI41" s="34">
        <f>IFERROR(up_RadSpec!$J$8*(CI8*$B41),".")</f>
        <v>38004.580200687953</v>
      </c>
      <c r="CJ41" s="34">
        <f>IFERROR(up_RadSpec!$J$8*(CJ8*$B41),".")</f>
        <v>38004.580200687953</v>
      </c>
      <c r="CK41" s="34">
        <f>IFERROR(up_RadSpec!$J$8*(CK8*$B41),".")</f>
        <v>38004.580200687953</v>
      </c>
      <c r="CL41" s="34">
        <f>IFERROR(up_RadSpec!$J$8*(CL8*$B41),".")</f>
        <v>38004.580200687953</v>
      </c>
      <c r="CM41" s="34">
        <f>IFERROR(up_RadSpec!$J$8*(CM8*$B41),".")</f>
        <v>38004.580200687953</v>
      </c>
      <c r="CN41" s="34">
        <f>IFERROR(up_RadSpec!$J$8*(CN8*$B41),".")</f>
        <v>38004.580200687953</v>
      </c>
      <c r="CO41" s="34">
        <f>IFERROR(up_RadSpec!$J$8*(CO8*$B41),".")</f>
        <v>38004.580200687953</v>
      </c>
      <c r="CP41" s="34">
        <f>IFERROR(up_RadSpec!$J$8*(CP8*$B41),".")</f>
        <v>38004.580200687953</v>
      </c>
      <c r="CQ41" s="34">
        <f>IFERROR(up_RadSpec!$J$8*(CQ8*$B41),".")</f>
        <v>38004.580200687953</v>
      </c>
      <c r="CR41" s="34">
        <f>IFERROR(up_RadSpec!$J$8*(CR8*$B41),".")</f>
        <v>38004.580200687953</v>
      </c>
      <c r="CS41" s="34">
        <f>IFERROR(up_RadSpec!$J$8*(CS8*$B41),".")</f>
        <v>38004.580200687953</v>
      </c>
      <c r="CT41" s="34">
        <f>IFERROR(up_RadSpec!$J$8*(CT8*$B41),".")</f>
        <v>38004.580200687953</v>
      </c>
      <c r="CU41" s="34">
        <f>IFERROR(up_RadSpec!$J$8*(CU8*$B41),".")</f>
        <v>38004.580200687953</v>
      </c>
      <c r="CV41" s="34">
        <f>IFERROR(up_RadSpec!$J$8*(CV8*$B41),".")</f>
        <v>38004.580200687953</v>
      </c>
      <c r="CW41" s="34">
        <f>IFERROR(up_RadSpec!$J$8*(CW8*$B41),".")</f>
        <v>38004.580200687953</v>
      </c>
      <c r="CX41" s="34">
        <f>IFERROR(up_RadSpec!$J$8*(CX8*$B41),".")</f>
        <v>38004.580200687953</v>
      </c>
    </row>
    <row r="42" spans="1:102" s="3" customFormat="1" x14ac:dyDescent="0.25">
      <c r="A42" s="55" t="s">
        <v>1072</v>
      </c>
      <c r="B42" s="3">
        <v>0.97898250799999997</v>
      </c>
      <c r="C42" s="42">
        <f t="shared" si="0"/>
        <v>2.2395242205271401E-4</v>
      </c>
      <c r="D42" s="42">
        <f t="shared" ref="D42:AA42" si="27">IFERROR(D19/$B42,0)</f>
        <v>6.7185726615814196E-4</v>
      </c>
      <c r="E42" s="42">
        <f t="shared" si="27"/>
        <v>6.7185726615814196E-4</v>
      </c>
      <c r="F42" s="42">
        <f t="shared" si="27"/>
        <v>6.7185726615814196E-4</v>
      </c>
      <c r="G42" s="42">
        <f t="shared" si="27"/>
        <v>6.7185726615814196E-4</v>
      </c>
      <c r="H42" s="42">
        <f t="shared" si="27"/>
        <v>6.7185726615814196E-4</v>
      </c>
      <c r="I42" s="42">
        <f t="shared" si="27"/>
        <v>6.7185726615814196E-4</v>
      </c>
      <c r="J42" s="42">
        <f t="shared" si="27"/>
        <v>6.7185726615814196E-4</v>
      </c>
      <c r="K42" s="42">
        <f t="shared" si="27"/>
        <v>6.7185726615814196E-4</v>
      </c>
      <c r="L42" s="42">
        <f t="shared" si="27"/>
        <v>6.7185726615814196E-4</v>
      </c>
      <c r="M42" s="42">
        <f t="shared" si="27"/>
        <v>6.7185726615814196E-4</v>
      </c>
      <c r="N42" s="42">
        <f t="shared" si="27"/>
        <v>6.7185726615814196E-4</v>
      </c>
      <c r="O42" s="42">
        <f t="shared" si="27"/>
        <v>6.7185726615814196E-4</v>
      </c>
      <c r="P42" s="42">
        <f t="shared" si="27"/>
        <v>6.7185726615814196E-4</v>
      </c>
      <c r="Q42" s="42">
        <f t="shared" si="27"/>
        <v>6.7185726615814196E-4</v>
      </c>
      <c r="R42" s="42">
        <f t="shared" si="27"/>
        <v>6.7185726615814196E-4</v>
      </c>
      <c r="S42" s="42">
        <f t="shared" si="27"/>
        <v>6.7185726615814196E-4</v>
      </c>
      <c r="T42" s="42">
        <f t="shared" si="27"/>
        <v>6.7185726615814196E-4</v>
      </c>
      <c r="U42" s="42">
        <f t="shared" si="27"/>
        <v>6.7185726615814196E-4</v>
      </c>
      <c r="V42" s="42">
        <f t="shared" si="27"/>
        <v>6.7185726615814196E-4</v>
      </c>
      <c r="W42" s="42">
        <f t="shared" si="27"/>
        <v>6.7185726615814196E-4</v>
      </c>
      <c r="X42" s="42">
        <f t="shared" si="27"/>
        <v>6.7185726615814196E-4</v>
      </c>
      <c r="Y42" s="42">
        <f t="shared" si="27"/>
        <v>6.7185726615814196E-4</v>
      </c>
      <c r="Z42" s="42">
        <f t="shared" si="27"/>
        <v>6.7185726615814196E-4</v>
      </c>
      <c r="AA42" s="42">
        <f t="shared" si="27"/>
        <v>6.7185726615814196E-4</v>
      </c>
      <c r="AB42" s="34">
        <f t="shared" si="11"/>
        <v>111630.85342348072</v>
      </c>
      <c r="AC42" s="34">
        <f>IFERROR(up_RadSpec!$J$19*(AC19*$B42),".")</f>
        <v>37210.284474493572</v>
      </c>
      <c r="AD42" s="34">
        <f>IFERROR(up_RadSpec!$J$19*(AD19*$B42),".")</f>
        <v>37210.284474493572</v>
      </c>
      <c r="AE42" s="34">
        <f>IFERROR(up_RadSpec!$J$19*(AE19*$B42),".")</f>
        <v>37210.284474493572</v>
      </c>
      <c r="AF42" s="34">
        <f>IFERROR(up_RadSpec!$J$19*(AF19*$B42),".")</f>
        <v>37210.284474493572</v>
      </c>
      <c r="AG42" s="34">
        <f>IFERROR(up_RadSpec!$J$19*(AG19*$B42),".")</f>
        <v>37210.284474493572</v>
      </c>
      <c r="AH42" s="34">
        <f>IFERROR(up_RadSpec!$J$19*(AH19*$B42),".")</f>
        <v>37210.284474493572</v>
      </c>
      <c r="AI42" s="34">
        <f>IFERROR(up_RadSpec!$J$19*(AI19*$B42),".")</f>
        <v>37210.284474493572</v>
      </c>
      <c r="AJ42" s="34">
        <f>IFERROR(up_RadSpec!$J$19*(AJ19*$B42),".")</f>
        <v>37210.284474493572</v>
      </c>
      <c r="AK42" s="34">
        <f>IFERROR(up_RadSpec!$J$19*(AK19*$B42),".")</f>
        <v>37210.284474493572</v>
      </c>
      <c r="AL42" s="34">
        <f>IFERROR(up_RadSpec!$J$19*(AL19*$B42),".")</f>
        <v>37210.284474493572</v>
      </c>
      <c r="AM42" s="34">
        <f>IFERROR(up_RadSpec!$J$19*(AM19*$B42),".")</f>
        <v>37210.284474493572</v>
      </c>
      <c r="AN42" s="34">
        <f>IFERROR(up_RadSpec!$J$19*(AN19*$B42),".")</f>
        <v>37210.284474493572</v>
      </c>
      <c r="AO42" s="34">
        <f>IFERROR(up_RadSpec!$J$19*(AO19*$B42),".")</f>
        <v>37210.284474493572</v>
      </c>
      <c r="AP42" s="34">
        <f>IFERROR(up_RadSpec!$J$19*(AP19*$B42),".")</f>
        <v>37210.284474493572</v>
      </c>
      <c r="AQ42" s="34">
        <f>IFERROR(up_RadSpec!$J$19*(AQ19*$B42),".")</f>
        <v>37210.284474493572</v>
      </c>
      <c r="AR42" s="34">
        <f>IFERROR(up_RadSpec!$J$19*(AR19*$B42),".")</f>
        <v>37210.284474493572</v>
      </c>
      <c r="AS42" s="34">
        <f>IFERROR(up_RadSpec!$J$19*(AS19*$B42),".")</f>
        <v>37210.284474493572</v>
      </c>
      <c r="AT42" s="34">
        <f>IFERROR(up_RadSpec!$J$19*(AT19*$B42),".")</f>
        <v>37210.284474493572</v>
      </c>
      <c r="AU42" s="34">
        <f>IFERROR(up_RadSpec!$J$19*(AU19*$B42),".")</f>
        <v>37210.284474493572</v>
      </c>
      <c r="AV42" s="34">
        <f>IFERROR(up_RadSpec!$J$19*(AV19*$B42),".")</f>
        <v>37210.284474493572</v>
      </c>
      <c r="AW42" s="34">
        <f>IFERROR(up_RadSpec!$J$19*(AW19*$B42),".")</f>
        <v>37210.284474493572</v>
      </c>
      <c r="AX42" s="34">
        <f>IFERROR(up_RadSpec!$J$19*(AX19*$B42),".")</f>
        <v>37210.284474493572</v>
      </c>
      <c r="AY42" s="34">
        <f>IFERROR(up_RadSpec!$J$19*(AY19*$B42),".")</f>
        <v>37210.284474493572</v>
      </c>
      <c r="AZ42" s="34">
        <f>IFERROR(up_RadSpec!$J$19*(AZ19*$B42),".")</f>
        <v>37210.284474493572</v>
      </c>
      <c r="BA42" s="42">
        <f t="shared" si="2"/>
        <v>2.2395242205271401E-4</v>
      </c>
      <c r="BB42" s="42">
        <f t="shared" ref="BB42:BY42" si="28">IFERROR(BB19/$B42,0)</f>
        <v>6.7185726615814196E-4</v>
      </c>
      <c r="BC42" s="42">
        <f t="shared" si="28"/>
        <v>6.7185726615814196E-4</v>
      </c>
      <c r="BD42" s="42">
        <f t="shared" si="28"/>
        <v>6.7185726615814196E-4</v>
      </c>
      <c r="BE42" s="42">
        <f t="shared" si="28"/>
        <v>6.7185726615814196E-4</v>
      </c>
      <c r="BF42" s="42">
        <f t="shared" si="28"/>
        <v>6.7185726615814196E-4</v>
      </c>
      <c r="BG42" s="42">
        <f t="shared" si="28"/>
        <v>6.7185726615814196E-4</v>
      </c>
      <c r="BH42" s="42">
        <f t="shared" si="28"/>
        <v>6.7185726615814196E-4</v>
      </c>
      <c r="BI42" s="42">
        <f t="shared" si="28"/>
        <v>6.7185726615814196E-4</v>
      </c>
      <c r="BJ42" s="42">
        <f t="shared" si="28"/>
        <v>6.7185726615814196E-4</v>
      </c>
      <c r="BK42" s="42">
        <f t="shared" si="28"/>
        <v>6.7185726615814196E-4</v>
      </c>
      <c r="BL42" s="42">
        <f t="shared" si="28"/>
        <v>6.7185726615814196E-4</v>
      </c>
      <c r="BM42" s="42">
        <f t="shared" si="28"/>
        <v>6.7185726615814196E-4</v>
      </c>
      <c r="BN42" s="42">
        <f t="shared" si="28"/>
        <v>6.7185726615814196E-4</v>
      </c>
      <c r="BO42" s="42">
        <f t="shared" si="28"/>
        <v>6.7185726615814196E-4</v>
      </c>
      <c r="BP42" s="42">
        <f t="shared" si="28"/>
        <v>6.7185726615814196E-4</v>
      </c>
      <c r="BQ42" s="42">
        <f t="shared" si="28"/>
        <v>6.7185726615814196E-4</v>
      </c>
      <c r="BR42" s="42">
        <f t="shared" si="28"/>
        <v>6.7185726615814196E-4</v>
      </c>
      <c r="BS42" s="42">
        <f t="shared" si="28"/>
        <v>6.7185726615814196E-4</v>
      </c>
      <c r="BT42" s="42">
        <f t="shared" si="28"/>
        <v>6.7185726615814196E-4</v>
      </c>
      <c r="BU42" s="42">
        <f t="shared" si="28"/>
        <v>6.7185726615814196E-4</v>
      </c>
      <c r="BV42" s="42">
        <f t="shared" si="28"/>
        <v>6.7185726615814196E-4</v>
      </c>
      <c r="BW42" s="42">
        <f t="shared" si="28"/>
        <v>6.7185726615814196E-4</v>
      </c>
      <c r="BX42" s="42">
        <f t="shared" si="28"/>
        <v>6.7185726615814196E-4</v>
      </c>
      <c r="BY42" s="42">
        <f t="shared" si="28"/>
        <v>6.7185726615814196E-4</v>
      </c>
      <c r="BZ42" s="34">
        <f t="shared" si="3"/>
        <v>111630.85342348072</v>
      </c>
      <c r="CA42" s="34">
        <f>IFERROR(up_RadSpec!$J$19*(CA19*$B42),".")</f>
        <v>37210.284474493572</v>
      </c>
      <c r="CB42" s="34">
        <f>IFERROR(up_RadSpec!$J$19*(CB19*$B42),".")</f>
        <v>37210.284474493572</v>
      </c>
      <c r="CC42" s="34">
        <f>IFERROR(up_RadSpec!$J$19*(CC19*$B42),".")</f>
        <v>37210.284474493572</v>
      </c>
      <c r="CD42" s="34">
        <f>IFERROR(up_RadSpec!$J$19*(CD19*$B42),".")</f>
        <v>37210.284474493572</v>
      </c>
      <c r="CE42" s="34">
        <f>IFERROR(up_RadSpec!$J$19*(CE19*$B42),".")</f>
        <v>37210.284474493572</v>
      </c>
      <c r="CF42" s="34">
        <f>IFERROR(up_RadSpec!$J$19*(CF19*$B42),".")</f>
        <v>37210.284474493572</v>
      </c>
      <c r="CG42" s="34">
        <f>IFERROR(up_RadSpec!$J$19*(CG19*$B42),".")</f>
        <v>37210.284474493572</v>
      </c>
      <c r="CH42" s="34">
        <f>IFERROR(up_RadSpec!$J$19*(CH19*$B42),".")</f>
        <v>37210.284474493572</v>
      </c>
      <c r="CI42" s="34">
        <f>IFERROR(up_RadSpec!$J$19*(CI19*$B42),".")</f>
        <v>37210.284474493572</v>
      </c>
      <c r="CJ42" s="34">
        <f>IFERROR(up_RadSpec!$J$19*(CJ19*$B42),".")</f>
        <v>37210.284474493572</v>
      </c>
      <c r="CK42" s="34">
        <f>IFERROR(up_RadSpec!$J$19*(CK19*$B42),".")</f>
        <v>37210.284474493572</v>
      </c>
      <c r="CL42" s="34">
        <f>IFERROR(up_RadSpec!$J$19*(CL19*$B42),".")</f>
        <v>37210.284474493572</v>
      </c>
      <c r="CM42" s="34">
        <f>IFERROR(up_RadSpec!$J$19*(CM19*$B42),".")</f>
        <v>37210.284474493572</v>
      </c>
      <c r="CN42" s="34">
        <f>IFERROR(up_RadSpec!$J$19*(CN19*$B42),".")</f>
        <v>37210.284474493572</v>
      </c>
      <c r="CO42" s="34">
        <f>IFERROR(up_RadSpec!$J$19*(CO19*$B42),".")</f>
        <v>37210.284474493572</v>
      </c>
      <c r="CP42" s="34">
        <f>IFERROR(up_RadSpec!$J$19*(CP19*$B42),".")</f>
        <v>37210.284474493572</v>
      </c>
      <c r="CQ42" s="34">
        <f>IFERROR(up_RadSpec!$J$19*(CQ19*$B42),".")</f>
        <v>37210.284474493572</v>
      </c>
      <c r="CR42" s="34">
        <f>IFERROR(up_RadSpec!$J$19*(CR19*$B42),".")</f>
        <v>37210.284474493572</v>
      </c>
      <c r="CS42" s="34">
        <f>IFERROR(up_RadSpec!$J$19*(CS19*$B42),".")</f>
        <v>37210.284474493572</v>
      </c>
      <c r="CT42" s="34">
        <f>IFERROR(up_RadSpec!$J$19*(CT19*$B42),".")</f>
        <v>37210.284474493572</v>
      </c>
      <c r="CU42" s="34">
        <f>IFERROR(up_RadSpec!$J$19*(CU19*$B42),".")</f>
        <v>37210.284474493572</v>
      </c>
      <c r="CV42" s="34">
        <f>IFERROR(up_RadSpec!$J$19*(CV19*$B42),".")</f>
        <v>37210.284474493572</v>
      </c>
      <c r="CW42" s="34">
        <f>IFERROR(up_RadSpec!$J$19*(CW19*$B42),".")</f>
        <v>37210.284474493572</v>
      </c>
      <c r="CX42" s="34">
        <f>IFERROR(up_RadSpec!$J$19*(CX19*$B42),".")</f>
        <v>37210.284474493572</v>
      </c>
    </row>
    <row r="43" spans="1:102" s="3" customFormat="1" x14ac:dyDescent="0.25">
      <c r="A43" s="55" t="s">
        <v>1073</v>
      </c>
      <c r="B43" s="3">
        <v>2.0897492E-2</v>
      </c>
      <c r="C43" s="42">
        <f t="shared" si="0"/>
        <v>1.049147447042164E-2</v>
      </c>
      <c r="D43" s="42">
        <f t="shared" ref="D43:AA43" si="29">IFERROR(D28/$B43,0)</f>
        <v>3.1474423411264919E-2</v>
      </c>
      <c r="E43" s="42">
        <f t="shared" si="29"/>
        <v>3.1474423411264919E-2</v>
      </c>
      <c r="F43" s="42">
        <f t="shared" si="29"/>
        <v>3.1474423411264919E-2</v>
      </c>
      <c r="G43" s="42">
        <f t="shared" si="29"/>
        <v>3.1474423411264919E-2</v>
      </c>
      <c r="H43" s="42">
        <f t="shared" si="29"/>
        <v>3.1474423411264919E-2</v>
      </c>
      <c r="I43" s="42">
        <f t="shared" si="29"/>
        <v>3.1474423411264919E-2</v>
      </c>
      <c r="J43" s="42">
        <f t="shared" si="29"/>
        <v>3.1474423411264919E-2</v>
      </c>
      <c r="K43" s="42">
        <f t="shared" si="29"/>
        <v>3.1474423411264919E-2</v>
      </c>
      <c r="L43" s="42">
        <f t="shared" si="29"/>
        <v>3.1474423411264919E-2</v>
      </c>
      <c r="M43" s="42">
        <f t="shared" si="29"/>
        <v>3.1474423411264919E-2</v>
      </c>
      <c r="N43" s="42">
        <f t="shared" si="29"/>
        <v>3.1474423411264919E-2</v>
      </c>
      <c r="O43" s="42">
        <f t="shared" si="29"/>
        <v>3.1474423411264919E-2</v>
      </c>
      <c r="P43" s="42">
        <f t="shared" si="29"/>
        <v>3.1474423411264919E-2</v>
      </c>
      <c r="Q43" s="42">
        <f t="shared" si="29"/>
        <v>3.1474423411264919E-2</v>
      </c>
      <c r="R43" s="42">
        <f t="shared" si="29"/>
        <v>3.1474423411264919E-2</v>
      </c>
      <c r="S43" s="42">
        <f t="shared" si="29"/>
        <v>3.1474423411264919E-2</v>
      </c>
      <c r="T43" s="42">
        <f t="shared" si="29"/>
        <v>3.1474423411264919E-2</v>
      </c>
      <c r="U43" s="42">
        <f t="shared" si="29"/>
        <v>3.1474423411264919E-2</v>
      </c>
      <c r="V43" s="42">
        <f t="shared" si="29"/>
        <v>3.1474423411264919E-2</v>
      </c>
      <c r="W43" s="42">
        <f t="shared" si="29"/>
        <v>3.1474423411264919E-2</v>
      </c>
      <c r="X43" s="42">
        <f t="shared" si="29"/>
        <v>3.1474423411264919E-2</v>
      </c>
      <c r="Y43" s="42">
        <f t="shared" si="29"/>
        <v>3.1474423411264919E-2</v>
      </c>
      <c r="Z43" s="42">
        <f t="shared" si="29"/>
        <v>3.1474423411264919E-2</v>
      </c>
      <c r="AA43" s="42">
        <f t="shared" si="29"/>
        <v>3.1474423411264919E-2</v>
      </c>
      <c r="AB43" s="34">
        <f t="shared" si="11"/>
        <v>2382.8871785831343</v>
      </c>
      <c r="AC43" s="34">
        <f>IFERROR(up_RadSpec!$J$28*(AC28*$B43),".")</f>
        <v>794.29572619437818</v>
      </c>
      <c r="AD43" s="34">
        <f>IFERROR(up_RadSpec!$J$28*(AD28*$B43),".")</f>
        <v>794.29572619437818</v>
      </c>
      <c r="AE43" s="34">
        <f>IFERROR(up_RadSpec!$J$28*(AE28*$B43),".")</f>
        <v>794.29572619437818</v>
      </c>
      <c r="AF43" s="34">
        <f>IFERROR(up_RadSpec!$J$28*(AF28*$B43),".")</f>
        <v>794.29572619437818</v>
      </c>
      <c r="AG43" s="34">
        <f>IFERROR(up_RadSpec!$J$28*(AG28*$B43),".")</f>
        <v>794.29572619437818</v>
      </c>
      <c r="AH43" s="34">
        <f>IFERROR(up_RadSpec!$J$28*(AH28*$B43),".")</f>
        <v>794.29572619437818</v>
      </c>
      <c r="AI43" s="34">
        <f>IFERROR(up_RadSpec!$J$28*(AI28*$B43),".")</f>
        <v>794.29572619437818</v>
      </c>
      <c r="AJ43" s="34">
        <f>IFERROR(up_RadSpec!$J$28*(AJ28*$B43),".")</f>
        <v>794.29572619437818</v>
      </c>
      <c r="AK43" s="34">
        <f>IFERROR(up_RadSpec!$J$28*(AK28*$B43),".")</f>
        <v>794.29572619437818</v>
      </c>
      <c r="AL43" s="34">
        <f>IFERROR(up_RadSpec!$J$28*(AL28*$B43),".")</f>
        <v>794.29572619437818</v>
      </c>
      <c r="AM43" s="34">
        <f>IFERROR(up_RadSpec!$J$28*(AM28*$B43),".")</f>
        <v>794.29572619437818</v>
      </c>
      <c r="AN43" s="34">
        <f>IFERROR(up_RadSpec!$J$28*(AN28*$B43),".")</f>
        <v>794.29572619437818</v>
      </c>
      <c r="AO43" s="34">
        <f>IFERROR(up_RadSpec!$J$28*(AO28*$B43),".")</f>
        <v>794.29572619437818</v>
      </c>
      <c r="AP43" s="34">
        <f>IFERROR(up_RadSpec!$J$28*(AP28*$B43),".")</f>
        <v>794.29572619437818</v>
      </c>
      <c r="AQ43" s="34">
        <f>IFERROR(up_RadSpec!$J$28*(AQ28*$B43),".")</f>
        <v>794.29572619437818</v>
      </c>
      <c r="AR43" s="34">
        <f>IFERROR(up_RadSpec!$J$28*(AR28*$B43),".")</f>
        <v>794.29572619437818</v>
      </c>
      <c r="AS43" s="34">
        <f>IFERROR(up_RadSpec!$J$28*(AS28*$B43),".")</f>
        <v>794.29572619437818</v>
      </c>
      <c r="AT43" s="34">
        <f>IFERROR(up_RadSpec!$J$28*(AT28*$B43),".")</f>
        <v>794.29572619437818</v>
      </c>
      <c r="AU43" s="34">
        <f>IFERROR(up_RadSpec!$J$28*(AU28*$B43),".")</f>
        <v>794.29572619437818</v>
      </c>
      <c r="AV43" s="34">
        <f>IFERROR(up_RadSpec!$J$28*(AV28*$B43),".")</f>
        <v>794.29572619437818</v>
      </c>
      <c r="AW43" s="34">
        <f>IFERROR(up_RadSpec!$J$28*(AW28*$B43),".")</f>
        <v>794.29572619437818</v>
      </c>
      <c r="AX43" s="34">
        <f>IFERROR(up_RadSpec!$J$28*(AX28*$B43),".")</f>
        <v>794.29572619437818</v>
      </c>
      <c r="AY43" s="34">
        <f>IFERROR(up_RadSpec!$J$28*(AY28*$B43),".")</f>
        <v>794.29572619437818</v>
      </c>
      <c r="AZ43" s="34">
        <f>IFERROR(up_RadSpec!$J$28*(AZ28*$B43),".")</f>
        <v>794.29572619437818</v>
      </c>
      <c r="BA43" s="42">
        <f t="shared" si="2"/>
        <v>1.049147447042164E-2</v>
      </c>
      <c r="BB43" s="42">
        <f t="shared" ref="BB43:BY43" si="30">IFERROR(BB28/$B43,0)</f>
        <v>3.1474423411264919E-2</v>
      </c>
      <c r="BC43" s="42">
        <f t="shared" si="30"/>
        <v>3.1474423411264919E-2</v>
      </c>
      <c r="BD43" s="42">
        <f t="shared" si="30"/>
        <v>3.1474423411264919E-2</v>
      </c>
      <c r="BE43" s="42">
        <f t="shared" si="30"/>
        <v>3.1474423411264919E-2</v>
      </c>
      <c r="BF43" s="42">
        <f t="shared" si="30"/>
        <v>3.1474423411264919E-2</v>
      </c>
      <c r="BG43" s="42">
        <f t="shared" si="30"/>
        <v>3.1474423411264919E-2</v>
      </c>
      <c r="BH43" s="42">
        <f t="shared" si="30"/>
        <v>3.1474423411264919E-2</v>
      </c>
      <c r="BI43" s="42">
        <f t="shared" si="30"/>
        <v>3.1474423411264919E-2</v>
      </c>
      <c r="BJ43" s="42">
        <f t="shared" si="30"/>
        <v>3.1474423411264919E-2</v>
      </c>
      <c r="BK43" s="42">
        <f t="shared" si="30"/>
        <v>3.1474423411264919E-2</v>
      </c>
      <c r="BL43" s="42">
        <f t="shared" si="30"/>
        <v>3.1474423411264919E-2</v>
      </c>
      <c r="BM43" s="42">
        <f t="shared" si="30"/>
        <v>3.1474423411264919E-2</v>
      </c>
      <c r="BN43" s="42">
        <f t="shared" si="30"/>
        <v>3.1474423411264919E-2</v>
      </c>
      <c r="BO43" s="42">
        <f t="shared" si="30"/>
        <v>3.1474423411264919E-2</v>
      </c>
      <c r="BP43" s="42">
        <f t="shared" si="30"/>
        <v>3.1474423411264919E-2</v>
      </c>
      <c r="BQ43" s="42">
        <f t="shared" si="30"/>
        <v>3.1474423411264919E-2</v>
      </c>
      <c r="BR43" s="42">
        <f t="shared" si="30"/>
        <v>3.1474423411264919E-2</v>
      </c>
      <c r="BS43" s="42">
        <f t="shared" si="30"/>
        <v>3.1474423411264919E-2</v>
      </c>
      <c r="BT43" s="42">
        <f t="shared" si="30"/>
        <v>3.1474423411264919E-2</v>
      </c>
      <c r="BU43" s="42">
        <f t="shared" si="30"/>
        <v>3.1474423411264919E-2</v>
      </c>
      <c r="BV43" s="42">
        <f t="shared" si="30"/>
        <v>3.1474423411264919E-2</v>
      </c>
      <c r="BW43" s="42">
        <f t="shared" si="30"/>
        <v>3.1474423411264919E-2</v>
      </c>
      <c r="BX43" s="42">
        <f t="shared" si="30"/>
        <v>3.1474423411264919E-2</v>
      </c>
      <c r="BY43" s="42">
        <f t="shared" si="30"/>
        <v>3.1474423411264919E-2</v>
      </c>
      <c r="BZ43" s="34">
        <f t="shared" si="3"/>
        <v>2382.8871785831343</v>
      </c>
      <c r="CA43" s="34">
        <f>IFERROR(up_RadSpec!$J$28*(CA28*$B43),".")</f>
        <v>794.29572619437818</v>
      </c>
      <c r="CB43" s="34">
        <f>IFERROR(up_RadSpec!$J$28*(CB28*$B43),".")</f>
        <v>794.29572619437818</v>
      </c>
      <c r="CC43" s="34">
        <f>IFERROR(up_RadSpec!$J$28*(CC28*$B43),".")</f>
        <v>794.29572619437818</v>
      </c>
      <c r="CD43" s="34">
        <f>IFERROR(up_RadSpec!$J$28*(CD28*$B43),".")</f>
        <v>794.29572619437818</v>
      </c>
      <c r="CE43" s="34">
        <f>IFERROR(up_RadSpec!$J$28*(CE28*$B43),".")</f>
        <v>794.29572619437818</v>
      </c>
      <c r="CF43" s="34">
        <f>IFERROR(up_RadSpec!$J$28*(CF28*$B43),".")</f>
        <v>794.29572619437818</v>
      </c>
      <c r="CG43" s="34">
        <f>IFERROR(up_RadSpec!$J$28*(CG28*$B43),".")</f>
        <v>794.29572619437818</v>
      </c>
      <c r="CH43" s="34">
        <f>IFERROR(up_RadSpec!$J$28*(CH28*$B43),".")</f>
        <v>794.29572619437818</v>
      </c>
      <c r="CI43" s="34">
        <f>IFERROR(up_RadSpec!$J$28*(CI28*$B43),".")</f>
        <v>794.29572619437818</v>
      </c>
      <c r="CJ43" s="34">
        <f>IFERROR(up_RadSpec!$J$28*(CJ28*$B43),".")</f>
        <v>794.29572619437818</v>
      </c>
      <c r="CK43" s="34">
        <f>IFERROR(up_RadSpec!$J$28*(CK28*$B43),".")</f>
        <v>794.29572619437818</v>
      </c>
      <c r="CL43" s="34">
        <f>IFERROR(up_RadSpec!$J$28*(CL28*$B43),".")</f>
        <v>794.29572619437818</v>
      </c>
      <c r="CM43" s="34">
        <f>IFERROR(up_RadSpec!$J$28*(CM28*$B43),".")</f>
        <v>794.29572619437818</v>
      </c>
      <c r="CN43" s="34">
        <f>IFERROR(up_RadSpec!$J$28*(CN28*$B43),".")</f>
        <v>794.29572619437818</v>
      </c>
      <c r="CO43" s="34">
        <f>IFERROR(up_RadSpec!$J$28*(CO28*$B43),".")</f>
        <v>794.29572619437818</v>
      </c>
      <c r="CP43" s="34">
        <f>IFERROR(up_RadSpec!$J$28*(CP28*$B43),".")</f>
        <v>794.29572619437818</v>
      </c>
      <c r="CQ43" s="34">
        <f>IFERROR(up_RadSpec!$J$28*(CQ28*$B43),".")</f>
        <v>794.29572619437818</v>
      </c>
      <c r="CR43" s="34">
        <f>IFERROR(up_RadSpec!$J$28*(CR28*$B43),".")</f>
        <v>794.29572619437818</v>
      </c>
      <c r="CS43" s="34">
        <f>IFERROR(up_RadSpec!$J$28*(CS28*$B43),".")</f>
        <v>794.29572619437818</v>
      </c>
      <c r="CT43" s="34">
        <f>IFERROR(up_RadSpec!$J$28*(CT28*$B43),".")</f>
        <v>794.29572619437818</v>
      </c>
      <c r="CU43" s="34">
        <f>IFERROR(up_RadSpec!$J$28*(CU28*$B43),".")</f>
        <v>794.29572619437818</v>
      </c>
      <c r="CV43" s="34">
        <f>IFERROR(up_RadSpec!$J$28*(CV28*$B43),".")</f>
        <v>794.29572619437818</v>
      </c>
      <c r="CW43" s="34">
        <f>IFERROR(up_RadSpec!$J$28*(CW28*$B43),".")</f>
        <v>794.29572619437818</v>
      </c>
      <c r="CX43" s="34">
        <f>IFERROR(up_RadSpec!$J$28*(CX28*$B43),".")</f>
        <v>794.29572619437818</v>
      </c>
    </row>
    <row r="44" spans="1:102" s="3" customFormat="1" x14ac:dyDescent="0.25">
      <c r="A44" s="55" t="s">
        <v>1074</v>
      </c>
      <c r="B44" s="3">
        <v>0.99987999999999999</v>
      </c>
      <c r="C44" s="42">
        <f t="shared" si="0"/>
        <v>2.1927181643181226E-4</v>
      </c>
      <c r="D44" s="42">
        <f t="shared" ref="D44:AA44" si="31">IFERROR(D15/$B44,0)</f>
        <v>6.5781544929543675E-4</v>
      </c>
      <c r="E44" s="42">
        <f t="shared" si="31"/>
        <v>6.5781544929543675E-4</v>
      </c>
      <c r="F44" s="42">
        <f t="shared" si="31"/>
        <v>6.5781544929543675E-4</v>
      </c>
      <c r="G44" s="42">
        <f t="shared" si="31"/>
        <v>6.5781544929543675E-4</v>
      </c>
      <c r="H44" s="42">
        <f t="shared" si="31"/>
        <v>6.5781544929543675E-4</v>
      </c>
      <c r="I44" s="42">
        <f t="shared" si="31"/>
        <v>6.5781544929543675E-4</v>
      </c>
      <c r="J44" s="42">
        <f t="shared" si="31"/>
        <v>6.5781544929543675E-4</v>
      </c>
      <c r="K44" s="42">
        <f t="shared" si="31"/>
        <v>6.5781544929543675E-4</v>
      </c>
      <c r="L44" s="42">
        <f t="shared" si="31"/>
        <v>6.5781544929543675E-4</v>
      </c>
      <c r="M44" s="42">
        <f t="shared" si="31"/>
        <v>6.5781544929543675E-4</v>
      </c>
      <c r="N44" s="42">
        <f t="shared" si="31"/>
        <v>6.5781544929543675E-4</v>
      </c>
      <c r="O44" s="42">
        <f t="shared" si="31"/>
        <v>6.5781544929543675E-4</v>
      </c>
      <c r="P44" s="42">
        <f t="shared" si="31"/>
        <v>6.5781544929543675E-4</v>
      </c>
      <c r="Q44" s="42">
        <f t="shared" si="31"/>
        <v>6.5781544929543675E-4</v>
      </c>
      <c r="R44" s="42">
        <f t="shared" si="31"/>
        <v>6.5781544929543675E-4</v>
      </c>
      <c r="S44" s="42">
        <f t="shared" si="31"/>
        <v>6.5781544929543675E-4</v>
      </c>
      <c r="T44" s="42">
        <f t="shared" si="31"/>
        <v>6.5781544929543675E-4</v>
      </c>
      <c r="U44" s="42">
        <f t="shared" si="31"/>
        <v>6.5781544929543675E-4</v>
      </c>
      <c r="V44" s="42">
        <f t="shared" si="31"/>
        <v>6.5781544929543675E-4</v>
      </c>
      <c r="W44" s="42">
        <f t="shared" si="31"/>
        <v>6.5781544929543675E-4</v>
      </c>
      <c r="X44" s="42">
        <f t="shared" si="31"/>
        <v>6.5781544929543675E-4</v>
      </c>
      <c r="Y44" s="42">
        <f t="shared" si="31"/>
        <v>6.5781544929543675E-4</v>
      </c>
      <c r="Z44" s="42">
        <f t="shared" si="31"/>
        <v>6.5781544929543675E-4</v>
      </c>
      <c r="AA44" s="42">
        <f t="shared" si="31"/>
        <v>6.5781544929543675E-4</v>
      </c>
      <c r="AB44" s="34">
        <f t="shared" si="11"/>
        <v>114013.74060206386</v>
      </c>
      <c r="AC44" s="34">
        <f>IFERROR(up_RadSpec!$J$15*(AC15*$B44),".")</f>
        <v>38004.580200687953</v>
      </c>
      <c r="AD44" s="34">
        <f>IFERROR(up_RadSpec!$J$15*(AD15*$B44),".")</f>
        <v>38004.580200687953</v>
      </c>
      <c r="AE44" s="34">
        <f>IFERROR(up_RadSpec!$J$15*(AE15*$B44),".")</f>
        <v>38004.580200687953</v>
      </c>
      <c r="AF44" s="34">
        <f>IFERROR(up_RadSpec!$J$15*(AF15*$B44),".")</f>
        <v>38004.580200687953</v>
      </c>
      <c r="AG44" s="34">
        <f>IFERROR(up_RadSpec!$J$15*(AG15*$B44),".")</f>
        <v>38004.580200687953</v>
      </c>
      <c r="AH44" s="34">
        <f>IFERROR(up_RadSpec!$J$15*(AH15*$B44),".")</f>
        <v>38004.580200687953</v>
      </c>
      <c r="AI44" s="34">
        <f>IFERROR(up_RadSpec!$J$15*(AI15*$B44),".")</f>
        <v>38004.580200687953</v>
      </c>
      <c r="AJ44" s="34">
        <f>IFERROR(up_RadSpec!$J$15*(AJ15*$B44),".")</f>
        <v>38004.580200687953</v>
      </c>
      <c r="AK44" s="34">
        <f>IFERROR(up_RadSpec!$J$15*(AK15*$B44),".")</f>
        <v>38004.580200687953</v>
      </c>
      <c r="AL44" s="34">
        <f>IFERROR(up_RadSpec!$J$15*(AL15*$B44),".")</f>
        <v>38004.580200687953</v>
      </c>
      <c r="AM44" s="34">
        <f>IFERROR(up_RadSpec!$J$15*(AM15*$B44),".")</f>
        <v>38004.580200687953</v>
      </c>
      <c r="AN44" s="34">
        <f>IFERROR(up_RadSpec!$J$15*(AN15*$B44),".")</f>
        <v>38004.580200687953</v>
      </c>
      <c r="AO44" s="34">
        <f>IFERROR(up_RadSpec!$J$15*(AO15*$B44),".")</f>
        <v>38004.580200687953</v>
      </c>
      <c r="AP44" s="34">
        <f>IFERROR(up_RadSpec!$J$15*(AP15*$B44),".")</f>
        <v>38004.580200687953</v>
      </c>
      <c r="AQ44" s="34">
        <f>IFERROR(up_RadSpec!$J$15*(AQ15*$B44),".")</f>
        <v>38004.580200687953</v>
      </c>
      <c r="AR44" s="34">
        <f>IFERROR(up_RadSpec!$J$15*(AR15*$B44),".")</f>
        <v>38004.580200687953</v>
      </c>
      <c r="AS44" s="34">
        <f>IFERROR(up_RadSpec!$J$15*(AS15*$B44),".")</f>
        <v>38004.580200687953</v>
      </c>
      <c r="AT44" s="34">
        <f>IFERROR(up_RadSpec!$J$15*(AT15*$B44),".")</f>
        <v>38004.580200687953</v>
      </c>
      <c r="AU44" s="34">
        <f>IFERROR(up_RadSpec!$J$15*(AU15*$B44),".")</f>
        <v>38004.580200687953</v>
      </c>
      <c r="AV44" s="34">
        <f>IFERROR(up_RadSpec!$J$15*(AV15*$B44),".")</f>
        <v>38004.580200687953</v>
      </c>
      <c r="AW44" s="34">
        <f>IFERROR(up_RadSpec!$J$15*(AW15*$B44),".")</f>
        <v>38004.580200687953</v>
      </c>
      <c r="AX44" s="34">
        <f>IFERROR(up_RadSpec!$J$15*(AX15*$B44),".")</f>
        <v>38004.580200687953</v>
      </c>
      <c r="AY44" s="34">
        <f>IFERROR(up_RadSpec!$J$15*(AY15*$B44),".")</f>
        <v>38004.580200687953</v>
      </c>
      <c r="AZ44" s="34">
        <f>IFERROR(up_RadSpec!$J$15*(AZ15*$B44),".")</f>
        <v>38004.580200687953</v>
      </c>
      <c r="BA44" s="42">
        <f t="shared" si="2"/>
        <v>2.1927181643181226E-4</v>
      </c>
      <c r="BB44" s="42">
        <f t="shared" ref="BB44:BY44" si="32">IFERROR(BB15/$B44,0)</f>
        <v>6.5781544929543675E-4</v>
      </c>
      <c r="BC44" s="42">
        <f t="shared" si="32"/>
        <v>6.5781544929543675E-4</v>
      </c>
      <c r="BD44" s="42">
        <f t="shared" si="32"/>
        <v>6.5781544929543675E-4</v>
      </c>
      <c r="BE44" s="42">
        <f t="shared" si="32"/>
        <v>6.5781544929543675E-4</v>
      </c>
      <c r="BF44" s="42">
        <f t="shared" si="32"/>
        <v>6.5781544929543675E-4</v>
      </c>
      <c r="BG44" s="42">
        <f t="shared" si="32"/>
        <v>6.5781544929543675E-4</v>
      </c>
      <c r="BH44" s="42">
        <f t="shared" si="32"/>
        <v>6.5781544929543675E-4</v>
      </c>
      <c r="BI44" s="42">
        <f t="shared" si="32"/>
        <v>6.5781544929543675E-4</v>
      </c>
      <c r="BJ44" s="42">
        <f t="shared" si="32"/>
        <v>6.5781544929543675E-4</v>
      </c>
      <c r="BK44" s="42">
        <f t="shared" si="32"/>
        <v>6.5781544929543675E-4</v>
      </c>
      <c r="BL44" s="42">
        <f t="shared" si="32"/>
        <v>6.5781544929543675E-4</v>
      </c>
      <c r="BM44" s="42">
        <f t="shared" si="32"/>
        <v>6.5781544929543675E-4</v>
      </c>
      <c r="BN44" s="42">
        <f t="shared" si="32"/>
        <v>6.5781544929543675E-4</v>
      </c>
      <c r="BO44" s="42">
        <f t="shared" si="32"/>
        <v>6.5781544929543675E-4</v>
      </c>
      <c r="BP44" s="42">
        <f t="shared" si="32"/>
        <v>6.5781544929543675E-4</v>
      </c>
      <c r="BQ44" s="42">
        <f t="shared" si="32"/>
        <v>6.5781544929543675E-4</v>
      </c>
      <c r="BR44" s="42">
        <f t="shared" si="32"/>
        <v>6.5781544929543675E-4</v>
      </c>
      <c r="BS44" s="42">
        <f t="shared" si="32"/>
        <v>6.5781544929543675E-4</v>
      </c>
      <c r="BT44" s="42">
        <f t="shared" si="32"/>
        <v>6.5781544929543675E-4</v>
      </c>
      <c r="BU44" s="42">
        <f t="shared" si="32"/>
        <v>6.5781544929543675E-4</v>
      </c>
      <c r="BV44" s="42">
        <f t="shared" si="32"/>
        <v>6.5781544929543675E-4</v>
      </c>
      <c r="BW44" s="42">
        <f t="shared" si="32"/>
        <v>6.5781544929543675E-4</v>
      </c>
      <c r="BX44" s="42">
        <f t="shared" si="32"/>
        <v>6.5781544929543675E-4</v>
      </c>
      <c r="BY44" s="42">
        <f t="shared" si="32"/>
        <v>6.5781544929543675E-4</v>
      </c>
      <c r="BZ44" s="34">
        <f t="shared" si="3"/>
        <v>114013.74060206386</v>
      </c>
      <c r="CA44" s="34">
        <f>IFERROR(up_RadSpec!$J$15*(CA15*$B44),".")</f>
        <v>38004.580200687953</v>
      </c>
      <c r="CB44" s="34">
        <f>IFERROR(up_RadSpec!$J$15*(CB15*$B44),".")</f>
        <v>38004.580200687953</v>
      </c>
      <c r="CC44" s="34">
        <f>IFERROR(up_RadSpec!$J$15*(CC15*$B44),".")</f>
        <v>38004.580200687953</v>
      </c>
      <c r="CD44" s="34">
        <f>IFERROR(up_RadSpec!$J$15*(CD15*$B44),".")</f>
        <v>38004.580200687953</v>
      </c>
      <c r="CE44" s="34">
        <f>IFERROR(up_RadSpec!$J$15*(CE15*$B44),".")</f>
        <v>38004.580200687953</v>
      </c>
      <c r="CF44" s="34">
        <f>IFERROR(up_RadSpec!$J$15*(CF15*$B44),".")</f>
        <v>38004.580200687953</v>
      </c>
      <c r="CG44" s="34">
        <f>IFERROR(up_RadSpec!$J$15*(CG15*$B44),".")</f>
        <v>38004.580200687953</v>
      </c>
      <c r="CH44" s="34">
        <f>IFERROR(up_RadSpec!$J$15*(CH15*$B44),".")</f>
        <v>38004.580200687953</v>
      </c>
      <c r="CI44" s="34">
        <f>IFERROR(up_RadSpec!$J$15*(CI15*$B44),".")</f>
        <v>38004.580200687953</v>
      </c>
      <c r="CJ44" s="34">
        <f>IFERROR(up_RadSpec!$J$15*(CJ15*$B44),".")</f>
        <v>38004.580200687953</v>
      </c>
      <c r="CK44" s="34">
        <f>IFERROR(up_RadSpec!$J$15*(CK15*$B44),".")</f>
        <v>38004.580200687953</v>
      </c>
      <c r="CL44" s="34">
        <f>IFERROR(up_RadSpec!$J$15*(CL15*$B44),".")</f>
        <v>38004.580200687953</v>
      </c>
      <c r="CM44" s="34">
        <f>IFERROR(up_RadSpec!$J$15*(CM15*$B44),".")</f>
        <v>38004.580200687953</v>
      </c>
      <c r="CN44" s="34">
        <f>IFERROR(up_RadSpec!$J$15*(CN15*$B44),".")</f>
        <v>38004.580200687953</v>
      </c>
      <c r="CO44" s="34">
        <f>IFERROR(up_RadSpec!$J$15*(CO15*$B44),".")</f>
        <v>38004.580200687953</v>
      </c>
      <c r="CP44" s="34">
        <f>IFERROR(up_RadSpec!$J$15*(CP15*$B44),".")</f>
        <v>38004.580200687953</v>
      </c>
      <c r="CQ44" s="34">
        <f>IFERROR(up_RadSpec!$J$15*(CQ15*$B44),".")</f>
        <v>38004.580200687953</v>
      </c>
      <c r="CR44" s="34">
        <f>IFERROR(up_RadSpec!$J$15*(CR15*$B44),".")</f>
        <v>38004.580200687953</v>
      </c>
      <c r="CS44" s="34">
        <f>IFERROR(up_RadSpec!$J$15*(CS15*$B44),".")</f>
        <v>38004.580200687953</v>
      </c>
      <c r="CT44" s="34">
        <f>IFERROR(up_RadSpec!$J$15*(CT15*$B44),".")</f>
        <v>38004.580200687953</v>
      </c>
      <c r="CU44" s="34">
        <f>IFERROR(up_RadSpec!$J$15*(CU15*$B44),".")</f>
        <v>38004.580200687953</v>
      </c>
      <c r="CV44" s="34">
        <f>IFERROR(up_RadSpec!$J$15*(CV15*$B44),".")</f>
        <v>38004.580200687953</v>
      </c>
      <c r="CW44" s="34">
        <f>IFERROR(up_RadSpec!$J$15*(CW15*$B44),".")</f>
        <v>38004.580200687953</v>
      </c>
      <c r="CX44" s="34">
        <f>IFERROR(up_RadSpec!$J$15*(CX15*$B44),".")</f>
        <v>38004.580200687953</v>
      </c>
    </row>
    <row r="45" spans="1:102" s="3" customFormat="1" x14ac:dyDescent="0.25">
      <c r="A45" s="54" t="s">
        <v>8</v>
      </c>
      <c r="B45" s="54" t="s">
        <v>1059</v>
      </c>
      <c r="C45" s="40">
        <f t="shared" si="0"/>
        <v>1.1278118910788658E-4</v>
      </c>
      <c r="D45" s="40">
        <f t="shared" ref="D45:AA45" si="33">IFERROR(IF(AND(D46&lt;&gt;0,D47&lt;&gt;0),1/SUM(1/D46,1/D47),IF(AND(D46&lt;&gt;0,D47=0),1/(1/D46),IF(AND(D46=0,D47&lt;&gt;0),1/(1/D47),IF(AND(D46=0,D47=0),".")))),".")</f>
        <v>3.3834356732365974E-4</v>
      </c>
      <c r="E45" s="40">
        <f t="shared" si="33"/>
        <v>3.3834356732365974E-4</v>
      </c>
      <c r="F45" s="40">
        <f t="shared" si="33"/>
        <v>3.3834356732365974E-4</v>
      </c>
      <c r="G45" s="40">
        <f t="shared" si="33"/>
        <v>3.3834356732365974E-4</v>
      </c>
      <c r="H45" s="40">
        <f t="shared" si="33"/>
        <v>3.3834356732365974E-4</v>
      </c>
      <c r="I45" s="40">
        <f t="shared" si="33"/>
        <v>3.3834356732365974E-4</v>
      </c>
      <c r="J45" s="40">
        <f t="shared" si="33"/>
        <v>3.3834356732365974E-4</v>
      </c>
      <c r="K45" s="40">
        <f t="shared" si="33"/>
        <v>3.3834356732365974E-4</v>
      </c>
      <c r="L45" s="40">
        <f t="shared" si="33"/>
        <v>3.3834356732365974E-4</v>
      </c>
      <c r="M45" s="40">
        <f t="shared" si="33"/>
        <v>3.3834356732365974E-4</v>
      </c>
      <c r="N45" s="40">
        <f t="shared" si="33"/>
        <v>3.3834356732365974E-4</v>
      </c>
      <c r="O45" s="40">
        <f t="shared" si="33"/>
        <v>3.3834356732365974E-4</v>
      </c>
      <c r="P45" s="40">
        <f t="shared" si="33"/>
        <v>3.3834356732365974E-4</v>
      </c>
      <c r="Q45" s="40">
        <f t="shared" si="33"/>
        <v>3.3834356732365974E-4</v>
      </c>
      <c r="R45" s="40">
        <f t="shared" si="33"/>
        <v>3.3834356732365974E-4</v>
      </c>
      <c r="S45" s="40">
        <f t="shared" si="33"/>
        <v>3.3834356732365974E-4</v>
      </c>
      <c r="T45" s="40">
        <f t="shared" si="33"/>
        <v>3.3834356732365974E-4</v>
      </c>
      <c r="U45" s="40">
        <f t="shared" si="33"/>
        <v>3.3834356732365974E-4</v>
      </c>
      <c r="V45" s="40">
        <f t="shared" si="33"/>
        <v>3.3834356732365974E-4</v>
      </c>
      <c r="W45" s="40">
        <f t="shared" si="33"/>
        <v>3.3834356732365974E-4</v>
      </c>
      <c r="X45" s="40">
        <f t="shared" si="33"/>
        <v>3.3834356732365974E-4</v>
      </c>
      <c r="Y45" s="40">
        <f t="shared" si="33"/>
        <v>3.3834356732365974E-4</v>
      </c>
      <c r="Z45" s="40">
        <f t="shared" si="33"/>
        <v>3.3834356732365974E-4</v>
      </c>
      <c r="AA45" s="40">
        <f t="shared" si="33"/>
        <v>3.3834356732365974E-4</v>
      </c>
      <c r="AB45" s="33">
        <f t="shared" si="11"/>
        <v>221668.17177361896</v>
      </c>
      <c r="AC45" s="33">
        <f>IFERROR(SUM(AC46:AC47),".")</f>
        <v>73889.39059120632</v>
      </c>
      <c r="AD45" s="33">
        <f t="shared" ref="AD45:AZ45" si="34">IFERROR(SUM(AD46:AD47),".")</f>
        <v>73889.39059120632</v>
      </c>
      <c r="AE45" s="33">
        <f t="shared" si="34"/>
        <v>73889.39059120632</v>
      </c>
      <c r="AF45" s="33">
        <f t="shared" si="34"/>
        <v>73889.39059120632</v>
      </c>
      <c r="AG45" s="33">
        <f t="shared" si="34"/>
        <v>73889.39059120632</v>
      </c>
      <c r="AH45" s="33">
        <f t="shared" si="34"/>
        <v>73889.39059120632</v>
      </c>
      <c r="AI45" s="33">
        <f t="shared" si="34"/>
        <v>73889.39059120632</v>
      </c>
      <c r="AJ45" s="33">
        <f t="shared" si="34"/>
        <v>73889.39059120632</v>
      </c>
      <c r="AK45" s="33">
        <f t="shared" si="34"/>
        <v>73889.39059120632</v>
      </c>
      <c r="AL45" s="33">
        <f t="shared" si="34"/>
        <v>73889.39059120632</v>
      </c>
      <c r="AM45" s="33">
        <f t="shared" si="34"/>
        <v>73889.39059120632</v>
      </c>
      <c r="AN45" s="33">
        <f t="shared" si="34"/>
        <v>73889.39059120632</v>
      </c>
      <c r="AO45" s="33">
        <f t="shared" si="34"/>
        <v>73889.39059120632</v>
      </c>
      <c r="AP45" s="33">
        <f t="shared" si="34"/>
        <v>73889.39059120632</v>
      </c>
      <c r="AQ45" s="33">
        <f t="shared" si="34"/>
        <v>73889.39059120632</v>
      </c>
      <c r="AR45" s="33">
        <f t="shared" si="34"/>
        <v>73889.39059120632</v>
      </c>
      <c r="AS45" s="33">
        <f t="shared" si="34"/>
        <v>73889.39059120632</v>
      </c>
      <c r="AT45" s="33">
        <f t="shared" si="34"/>
        <v>73889.39059120632</v>
      </c>
      <c r="AU45" s="33">
        <f t="shared" si="34"/>
        <v>73889.39059120632</v>
      </c>
      <c r="AV45" s="33">
        <f t="shared" si="34"/>
        <v>73889.39059120632</v>
      </c>
      <c r="AW45" s="33">
        <f t="shared" si="34"/>
        <v>73889.39059120632</v>
      </c>
      <c r="AX45" s="33">
        <f t="shared" si="34"/>
        <v>73889.39059120632</v>
      </c>
      <c r="AY45" s="33">
        <f t="shared" si="34"/>
        <v>73889.39059120632</v>
      </c>
      <c r="AZ45" s="33">
        <f t="shared" si="34"/>
        <v>73889.39059120632</v>
      </c>
      <c r="BA45" s="40">
        <f t="shared" si="2"/>
        <v>1.1278118910788658E-4</v>
      </c>
      <c r="BB45" s="40">
        <f t="shared" ref="BB45:BY45" si="35">IFERROR(IF(AND(BB46&lt;&gt;0,BB47&lt;&gt;0),1/SUM(1/BB46,1/BB47),IF(AND(BB46&lt;&gt;0,BB47=0),1/(1/BB46),IF(AND(BB46=0,BB47&lt;&gt;0),1/(1/BB47),IF(AND(BB46=0,BB47=0),".")))),".")</f>
        <v>3.3834356732365974E-4</v>
      </c>
      <c r="BC45" s="40">
        <f t="shared" si="35"/>
        <v>3.3834356732365974E-4</v>
      </c>
      <c r="BD45" s="40">
        <f t="shared" si="35"/>
        <v>3.3834356732365974E-4</v>
      </c>
      <c r="BE45" s="40">
        <f t="shared" si="35"/>
        <v>3.3834356732365974E-4</v>
      </c>
      <c r="BF45" s="40">
        <f t="shared" si="35"/>
        <v>3.3834356732365974E-4</v>
      </c>
      <c r="BG45" s="40">
        <f t="shared" si="35"/>
        <v>3.3834356732365974E-4</v>
      </c>
      <c r="BH45" s="40">
        <f t="shared" si="35"/>
        <v>3.3834356732365974E-4</v>
      </c>
      <c r="BI45" s="40">
        <f t="shared" si="35"/>
        <v>3.3834356732365974E-4</v>
      </c>
      <c r="BJ45" s="40">
        <f t="shared" si="35"/>
        <v>3.3834356732365974E-4</v>
      </c>
      <c r="BK45" s="40">
        <f t="shared" si="35"/>
        <v>3.3834356732365974E-4</v>
      </c>
      <c r="BL45" s="40">
        <f t="shared" si="35"/>
        <v>3.3834356732365974E-4</v>
      </c>
      <c r="BM45" s="40">
        <f t="shared" si="35"/>
        <v>3.3834356732365974E-4</v>
      </c>
      <c r="BN45" s="40">
        <f t="shared" si="35"/>
        <v>3.3834356732365974E-4</v>
      </c>
      <c r="BO45" s="40">
        <f t="shared" si="35"/>
        <v>3.3834356732365974E-4</v>
      </c>
      <c r="BP45" s="40">
        <f t="shared" si="35"/>
        <v>3.3834356732365974E-4</v>
      </c>
      <c r="BQ45" s="40">
        <f t="shared" si="35"/>
        <v>3.3834356732365974E-4</v>
      </c>
      <c r="BR45" s="40">
        <f t="shared" si="35"/>
        <v>3.3834356732365974E-4</v>
      </c>
      <c r="BS45" s="40">
        <f t="shared" si="35"/>
        <v>3.3834356732365974E-4</v>
      </c>
      <c r="BT45" s="40">
        <f t="shared" si="35"/>
        <v>3.3834356732365974E-4</v>
      </c>
      <c r="BU45" s="40">
        <f t="shared" si="35"/>
        <v>3.3834356732365974E-4</v>
      </c>
      <c r="BV45" s="40">
        <f t="shared" si="35"/>
        <v>3.3834356732365974E-4</v>
      </c>
      <c r="BW45" s="40">
        <f t="shared" si="35"/>
        <v>3.3834356732365974E-4</v>
      </c>
      <c r="BX45" s="40">
        <f t="shared" si="35"/>
        <v>3.3834356732365974E-4</v>
      </c>
      <c r="BY45" s="40">
        <f t="shared" si="35"/>
        <v>3.3834356732365974E-4</v>
      </c>
      <c r="BZ45" s="33">
        <f t="shared" si="3"/>
        <v>221668.17177361896</v>
      </c>
      <c r="CA45" s="33">
        <f>IFERROR(SUM(CA46:CA47),".")</f>
        <v>73889.39059120632</v>
      </c>
      <c r="CB45" s="33">
        <f t="shared" ref="CB45:CX45" si="36">IFERROR(SUM(CB46:CB47),".")</f>
        <v>73889.39059120632</v>
      </c>
      <c r="CC45" s="33">
        <f t="shared" si="36"/>
        <v>73889.39059120632</v>
      </c>
      <c r="CD45" s="33">
        <f t="shared" si="36"/>
        <v>73889.39059120632</v>
      </c>
      <c r="CE45" s="33">
        <f t="shared" si="36"/>
        <v>73889.39059120632</v>
      </c>
      <c r="CF45" s="33">
        <f t="shared" si="36"/>
        <v>73889.39059120632</v>
      </c>
      <c r="CG45" s="33">
        <f t="shared" si="36"/>
        <v>73889.39059120632</v>
      </c>
      <c r="CH45" s="33">
        <f t="shared" si="36"/>
        <v>73889.39059120632</v>
      </c>
      <c r="CI45" s="33">
        <f t="shared" si="36"/>
        <v>73889.39059120632</v>
      </c>
      <c r="CJ45" s="33">
        <f t="shared" si="36"/>
        <v>73889.39059120632</v>
      </c>
      <c r="CK45" s="33">
        <f t="shared" si="36"/>
        <v>73889.39059120632</v>
      </c>
      <c r="CL45" s="33">
        <f t="shared" si="36"/>
        <v>73889.39059120632</v>
      </c>
      <c r="CM45" s="33">
        <f t="shared" si="36"/>
        <v>73889.39059120632</v>
      </c>
      <c r="CN45" s="33">
        <f t="shared" si="36"/>
        <v>73889.39059120632</v>
      </c>
      <c r="CO45" s="33">
        <f t="shared" si="36"/>
        <v>73889.39059120632</v>
      </c>
      <c r="CP45" s="33">
        <f t="shared" si="36"/>
        <v>73889.39059120632</v>
      </c>
      <c r="CQ45" s="33">
        <f t="shared" si="36"/>
        <v>73889.39059120632</v>
      </c>
      <c r="CR45" s="33">
        <f t="shared" si="36"/>
        <v>73889.39059120632</v>
      </c>
      <c r="CS45" s="33">
        <f t="shared" si="36"/>
        <v>73889.39059120632</v>
      </c>
      <c r="CT45" s="33">
        <f t="shared" si="36"/>
        <v>73889.39059120632</v>
      </c>
      <c r="CU45" s="33">
        <f t="shared" si="36"/>
        <v>73889.39059120632</v>
      </c>
      <c r="CV45" s="33">
        <f t="shared" si="36"/>
        <v>73889.39059120632</v>
      </c>
      <c r="CW45" s="33">
        <f t="shared" si="36"/>
        <v>73889.39059120632</v>
      </c>
      <c r="CX45" s="33">
        <f t="shared" si="36"/>
        <v>73889.39059120632</v>
      </c>
    </row>
    <row r="46" spans="1:102" s="3" customFormat="1" x14ac:dyDescent="0.25">
      <c r="A46" s="55" t="s">
        <v>1086</v>
      </c>
      <c r="B46" s="3">
        <v>1</v>
      </c>
      <c r="C46" s="42">
        <f t="shared" si="0"/>
        <v>2.1924550381384044E-4</v>
      </c>
      <c r="D46" s="42">
        <f t="shared" ref="D46:AA46" si="37">IFERROR(D10/$B46,0)</f>
        <v>6.5773651144152131E-4</v>
      </c>
      <c r="E46" s="42">
        <f t="shared" si="37"/>
        <v>6.5773651144152131E-4</v>
      </c>
      <c r="F46" s="42">
        <f t="shared" si="37"/>
        <v>6.5773651144152131E-4</v>
      </c>
      <c r="G46" s="42">
        <f t="shared" si="37"/>
        <v>6.5773651144152131E-4</v>
      </c>
      <c r="H46" s="42">
        <f t="shared" si="37"/>
        <v>6.5773651144152131E-4</v>
      </c>
      <c r="I46" s="42">
        <f t="shared" si="37"/>
        <v>6.5773651144152131E-4</v>
      </c>
      <c r="J46" s="42">
        <f t="shared" si="37"/>
        <v>6.5773651144152131E-4</v>
      </c>
      <c r="K46" s="42">
        <f t="shared" si="37"/>
        <v>6.5773651144152131E-4</v>
      </c>
      <c r="L46" s="42">
        <f t="shared" si="37"/>
        <v>6.5773651144152131E-4</v>
      </c>
      <c r="M46" s="42">
        <f t="shared" si="37"/>
        <v>6.5773651144152131E-4</v>
      </c>
      <c r="N46" s="42">
        <f t="shared" si="37"/>
        <v>6.5773651144152131E-4</v>
      </c>
      <c r="O46" s="42">
        <f t="shared" si="37"/>
        <v>6.5773651144152131E-4</v>
      </c>
      <c r="P46" s="42">
        <f t="shared" si="37"/>
        <v>6.5773651144152131E-4</v>
      </c>
      <c r="Q46" s="42">
        <f t="shared" si="37"/>
        <v>6.5773651144152131E-4</v>
      </c>
      <c r="R46" s="42">
        <f t="shared" si="37"/>
        <v>6.5773651144152131E-4</v>
      </c>
      <c r="S46" s="42">
        <f t="shared" si="37"/>
        <v>6.5773651144152131E-4</v>
      </c>
      <c r="T46" s="42">
        <f t="shared" si="37"/>
        <v>6.5773651144152131E-4</v>
      </c>
      <c r="U46" s="42">
        <f t="shared" si="37"/>
        <v>6.5773651144152131E-4</v>
      </c>
      <c r="V46" s="42">
        <f t="shared" si="37"/>
        <v>6.5773651144152131E-4</v>
      </c>
      <c r="W46" s="42">
        <f t="shared" si="37"/>
        <v>6.5773651144152131E-4</v>
      </c>
      <c r="X46" s="42">
        <f t="shared" si="37"/>
        <v>6.5773651144152131E-4</v>
      </c>
      <c r="Y46" s="42">
        <f t="shared" si="37"/>
        <v>6.5773651144152131E-4</v>
      </c>
      <c r="Z46" s="42">
        <f t="shared" si="37"/>
        <v>6.5773651144152131E-4</v>
      </c>
      <c r="AA46" s="42">
        <f t="shared" si="37"/>
        <v>6.5773651144152131E-4</v>
      </c>
      <c r="AB46" s="34">
        <f t="shared" si="11"/>
        <v>114027.42389293101</v>
      </c>
      <c r="AC46" s="34">
        <f>IFERROR(up_RadSpec!$J$10*(AC10*$B46),".")</f>
        <v>38009.14129764367</v>
      </c>
      <c r="AD46" s="34">
        <f>IFERROR(up_RadSpec!$J$10*(AD10*$B46),".")</f>
        <v>38009.14129764367</v>
      </c>
      <c r="AE46" s="34">
        <f>IFERROR(up_RadSpec!$J$10*(AE10*$B46),".")</f>
        <v>38009.14129764367</v>
      </c>
      <c r="AF46" s="34">
        <f>IFERROR(up_RadSpec!$J$10*(AF10*$B46),".")</f>
        <v>38009.14129764367</v>
      </c>
      <c r="AG46" s="34">
        <f>IFERROR(up_RadSpec!$J$10*(AG10*$B46),".")</f>
        <v>38009.14129764367</v>
      </c>
      <c r="AH46" s="34">
        <f>IFERROR(up_RadSpec!$J$10*(AH10*$B46),".")</f>
        <v>38009.14129764367</v>
      </c>
      <c r="AI46" s="34">
        <f>IFERROR(up_RadSpec!$J$10*(AI10*$B46),".")</f>
        <v>38009.14129764367</v>
      </c>
      <c r="AJ46" s="34">
        <f>IFERROR(up_RadSpec!$J$10*(AJ10*$B46),".")</f>
        <v>38009.14129764367</v>
      </c>
      <c r="AK46" s="34">
        <f>IFERROR(up_RadSpec!$J$10*(AK10*$B46),".")</f>
        <v>38009.14129764367</v>
      </c>
      <c r="AL46" s="34">
        <f>IFERROR(up_RadSpec!$J$10*(AL10*$B46),".")</f>
        <v>38009.14129764367</v>
      </c>
      <c r="AM46" s="34">
        <f>IFERROR(up_RadSpec!$J$10*(AM10*$B46),".")</f>
        <v>38009.14129764367</v>
      </c>
      <c r="AN46" s="34">
        <f>IFERROR(up_RadSpec!$J$10*(AN10*$B46),".")</f>
        <v>38009.14129764367</v>
      </c>
      <c r="AO46" s="34">
        <f>IFERROR(up_RadSpec!$J$10*(AO10*$B46),".")</f>
        <v>38009.14129764367</v>
      </c>
      <c r="AP46" s="34">
        <f>IFERROR(up_RadSpec!$J$10*(AP10*$B46),".")</f>
        <v>38009.14129764367</v>
      </c>
      <c r="AQ46" s="34">
        <f>IFERROR(up_RadSpec!$J$10*(AQ10*$B46),".")</f>
        <v>38009.14129764367</v>
      </c>
      <c r="AR46" s="34">
        <f>IFERROR(up_RadSpec!$J$10*(AR10*$B46),".")</f>
        <v>38009.14129764367</v>
      </c>
      <c r="AS46" s="34">
        <f>IFERROR(up_RadSpec!$J$10*(AS10*$B46),".")</f>
        <v>38009.14129764367</v>
      </c>
      <c r="AT46" s="34">
        <f>IFERROR(up_RadSpec!$J$10*(AT10*$B46),".")</f>
        <v>38009.14129764367</v>
      </c>
      <c r="AU46" s="34">
        <f>IFERROR(up_RadSpec!$J$10*(AU10*$B46),".")</f>
        <v>38009.14129764367</v>
      </c>
      <c r="AV46" s="34">
        <f>IFERROR(up_RadSpec!$J$10*(AV10*$B46),".")</f>
        <v>38009.14129764367</v>
      </c>
      <c r="AW46" s="34">
        <f>IFERROR(up_RadSpec!$J$10*(AW10*$B46),".")</f>
        <v>38009.14129764367</v>
      </c>
      <c r="AX46" s="34">
        <f>IFERROR(up_RadSpec!$J$10*(AX10*$B46),".")</f>
        <v>38009.14129764367</v>
      </c>
      <c r="AY46" s="34">
        <f>IFERROR(up_RadSpec!$J$10*(AY10*$B46),".")</f>
        <v>38009.14129764367</v>
      </c>
      <c r="AZ46" s="34">
        <f>IFERROR(up_RadSpec!$J$10*(AZ10*$B46),".")</f>
        <v>38009.14129764367</v>
      </c>
      <c r="BA46" s="42">
        <f t="shared" si="2"/>
        <v>2.1924550381384044E-4</v>
      </c>
      <c r="BB46" s="42">
        <f t="shared" ref="BB46:BY46" si="38">IFERROR(BB10/$B46,0)</f>
        <v>6.5773651144152131E-4</v>
      </c>
      <c r="BC46" s="42">
        <f t="shared" si="38"/>
        <v>6.5773651144152131E-4</v>
      </c>
      <c r="BD46" s="42">
        <f t="shared" si="38"/>
        <v>6.5773651144152131E-4</v>
      </c>
      <c r="BE46" s="42">
        <f t="shared" si="38"/>
        <v>6.5773651144152131E-4</v>
      </c>
      <c r="BF46" s="42">
        <f t="shared" si="38"/>
        <v>6.5773651144152131E-4</v>
      </c>
      <c r="BG46" s="42">
        <f t="shared" si="38"/>
        <v>6.5773651144152131E-4</v>
      </c>
      <c r="BH46" s="42">
        <f t="shared" si="38"/>
        <v>6.5773651144152131E-4</v>
      </c>
      <c r="BI46" s="42">
        <f t="shared" si="38"/>
        <v>6.5773651144152131E-4</v>
      </c>
      <c r="BJ46" s="42">
        <f t="shared" si="38"/>
        <v>6.5773651144152131E-4</v>
      </c>
      <c r="BK46" s="42">
        <f t="shared" si="38"/>
        <v>6.5773651144152131E-4</v>
      </c>
      <c r="BL46" s="42">
        <f t="shared" si="38"/>
        <v>6.5773651144152131E-4</v>
      </c>
      <c r="BM46" s="42">
        <f t="shared" si="38"/>
        <v>6.5773651144152131E-4</v>
      </c>
      <c r="BN46" s="42">
        <f t="shared" si="38"/>
        <v>6.5773651144152131E-4</v>
      </c>
      <c r="BO46" s="42">
        <f t="shared" si="38"/>
        <v>6.5773651144152131E-4</v>
      </c>
      <c r="BP46" s="42">
        <f t="shared" si="38"/>
        <v>6.5773651144152131E-4</v>
      </c>
      <c r="BQ46" s="42">
        <f t="shared" si="38"/>
        <v>6.5773651144152131E-4</v>
      </c>
      <c r="BR46" s="42">
        <f t="shared" si="38"/>
        <v>6.5773651144152131E-4</v>
      </c>
      <c r="BS46" s="42">
        <f t="shared" si="38"/>
        <v>6.5773651144152131E-4</v>
      </c>
      <c r="BT46" s="42">
        <f t="shared" si="38"/>
        <v>6.5773651144152131E-4</v>
      </c>
      <c r="BU46" s="42">
        <f t="shared" si="38"/>
        <v>6.5773651144152131E-4</v>
      </c>
      <c r="BV46" s="42">
        <f t="shared" si="38"/>
        <v>6.5773651144152131E-4</v>
      </c>
      <c r="BW46" s="42">
        <f t="shared" si="38"/>
        <v>6.5773651144152131E-4</v>
      </c>
      <c r="BX46" s="42">
        <f t="shared" si="38"/>
        <v>6.5773651144152131E-4</v>
      </c>
      <c r="BY46" s="42">
        <f t="shared" si="38"/>
        <v>6.5773651144152131E-4</v>
      </c>
      <c r="BZ46" s="34">
        <f t="shared" si="3"/>
        <v>114027.42389293101</v>
      </c>
      <c r="CA46" s="34">
        <f>IFERROR(up_RadSpec!$J$10*(CA10*$B46),".")</f>
        <v>38009.14129764367</v>
      </c>
      <c r="CB46" s="34">
        <f>IFERROR(up_RadSpec!$J$10*(CB10*$B46),".")</f>
        <v>38009.14129764367</v>
      </c>
      <c r="CC46" s="34">
        <f>IFERROR(up_RadSpec!$J$10*(CC10*$B46),".")</f>
        <v>38009.14129764367</v>
      </c>
      <c r="CD46" s="34">
        <f>IFERROR(up_RadSpec!$J$10*(CD10*$B46),".")</f>
        <v>38009.14129764367</v>
      </c>
      <c r="CE46" s="34">
        <f>IFERROR(up_RadSpec!$J$10*(CE10*$B46),".")</f>
        <v>38009.14129764367</v>
      </c>
      <c r="CF46" s="34">
        <f>IFERROR(up_RadSpec!$J$10*(CF10*$B46),".")</f>
        <v>38009.14129764367</v>
      </c>
      <c r="CG46" s="34">
        <f>IFERROR(up_RadSpec!$J$10*(CG10*$B46),".")</f>
        <v>38009.14129764367</v>
      </c>
      <c r="CH46" s="34">
        <f>IFERROR(up_RadSpec!$J$10*(CH10*$B46),".")</f>
        <v>38009.14129764367</v>
      </c>
      <c r="CI46" s="34">
        <f>IFERROR(up_RadSpec!$J$10*(CI10*$B46),".")</f>
        <v>38009.14129764367</v>
      </c>
      <c r="CJ46" s="34">
        <f>IFERROR(up_RadSpec!$J$10*(CJ10*$B46),".")</f>
        <v>38009.14129764367</v>
      </c>
      <c r="CK46" s="34">
        <f>IFERROR(up_RadSpec!$J$10*(CK10*$B46),".")</f>
        <v>38009.14129764367</v>
      </c>
      <c r="CL46" s="34">
        <f>IFERROR(up_RadSpec!$J$10*(CL10*$B46),".")</f>
        <v>38009.14129764367</v>
      </c>
      <c r="CM46" s="34">
        <f>IFERROR(up_RadSpec!$J$10*(CM10*$B46),".")</f>
        <v>38009.14129764367</v>
      </c>
      <c r="CN46" s="34">
        <f>IFERROR(up_RadSpec!$J$10*(CN10*$B46),".")</f>
        <v>38009.14129764367</v>
      </c>
      <c r="CO46" s="34">
        <f>IFERROR(up_RadSpec!$J$10*(CO10*$B46),".")</f>
        <v>38009.14129764367</v>
      </c>
      <c r="CP46" s="34">
        <f>IFERROR(up_RadSpec!$J$10*(CP10*$B46),".")</f>
        <v>38009.14129764367</v>
      </c>
      <c r="CQ46" s="34">
        <f>IFERROR(up_RadSpec!$J$10*(CQ10*$B46),".")</f>
        <v>38009.14129764367</v>
      </c>
      <c r="CR46" s="34">
        <f>IFERROR(up_RadSpec!$J$10*(CR10*$B46),".")</f>
        <v>38009.14129764367</v>
      </c>
      <c r="CS46" s="34">
        <f>IFERROR(up_RadSpec!$J$10*(CS10*$B46),".")</f>
        <v>38009.14129764367</v>
      </c>
      <c r="CT46" s="34">
        <f>IFERROR(up_RadSpec!$J$10*(CT10*$B46),".")</f>
        <v>38009.14129764367</v>
      </c>
      <c r="CU46" s="34">
        <f>IFERROR(up_RadSpec!$J$10*(CU10*$B46),".")</f>
        <v>38009.14129764367</v>
      </c>
      <c r="CV46" s="34">
        <f>IFERROR(up_RadSpec!$J$10*(CV10*$B46),".")</f>
        <v>38009.14129764367</v>
      </c>
      <c r="CW46" s="34">
        <f>IFERROR(up_RadSpec!$J$10*(CW10*$B46),".")</f>
        <v>38009.14129764367</v>
      </c>
      <c r="CX46" s="34">
        <f>IFERROR(up_RadSpec!$J$10*(CX10*$B46),".")</f>
        <v>38009.14129764367</v>
      </c>
    </row>
    <row r="47" spans="1:102" s="3" customFormat="1" x14ac:dyDescent="0.25">
      <c r="A47" s="55" t="s">
        <v>1060</v>
      </c>
      <c r="B47" s="3">
        <v>0.94399</v>
      </c>
      <c r="C47" s="42">
        <f t="shared" si="0"/>
        <v>2.3225405334149771E-4</v>
      </c>
      <c r="D47" s="42">
        <f t="shared" ref="D47:AA47" si="39">IFERROR(D6/$B$47,0)</f>
        <v>6.9676216002449319E-4</v>
      </c>
      <c r="E47" s="42">
        <f t="shared" si="39"/>
        <v>6.9676216002449319E-4</v>
      </c>
      <c r="F47" s="42">
        <f t="shared" si="39"/>
        <v>6.9676216002449319E-4</v>
      </c>
      <c r="G47" s="42">
        <f t="shared" si="39"/>
        <v>6.9676216002449319E-4</v>
      </c>
      <c r="H47" s="42">
        <f t="shared" si="39"/>
        <v>6.9676216002449319E-4</v>
      </c>
      <c r="I47" s="42">
        <f t="shared" si="39"/>
        <v>6.9676216002449319E-4</v>
      </c>
      <c r="J47" s="42">
        <f t="shared" si="39"/>
        <v>6.9676216002449319E-4</v>
      </c>
      <c r="K47" s="42">
        <f t="shared" si="39"/>
        <v>6.9676216002449319E-4</v>
      </c>
      <c r="L47" s="42">
        <f t="shared" si="39"/>
        <v>6.9676216002449319E-4</v>
      </c>
      <c r="M47" s="42">
        <f t="shared" si="39"/>
        <v>6.9676216002449319E-4</v>
      </c>
      <c r="N47" s="42">
        <f t="shared" si="39"/>
        <v>6.9676216002449319E-4</v>
      </c>
      <c r="O47" s="42">
        <f t="shared" si="39"/>
        <v>6.9676216002449319E-4</v>
      </c>
      <c r="P47" s="42">
        <f t="shared" si="39"/>
        <v>6.9676216002449319E-4</v>
      </c>
      <c r="Q47" s="42">
        <f t="shared" si="39"/>
        <v>6.9676216002449319E-4</v>
      </c>
      <c r="R47" s="42">
        <f t="shared" si="39"/>
        <v>6.9676216002449319E-4</v>
      </c>
      <c r="S47" s="42">
        <f t="shared" si="39"/>
        <v>6.9676216002449319E-4</v>
      </c>
      <c r="T47" s="42">
        <f t="shared" si="39"/>
        <v>6.9676216002449319E-4</v>
      </c>
      <c r="U47" s="42">
        <f t="shared" si="39"/>
        <v>6.9676216002449319E-4</v>
      </c>
      <c r="V47" s="42">
        <f t="shared" si="39"/>
        <v>6.9676216002449319E-4</v>
      </c>
      <c r="W47" s="42">
        <f t="shared" si="39"/>
        <v>6.9676216002449319E-4</v>
      </c>
      <c r="X47" s="42">
        <f t="shared" si="39"/>
        <v>6.9676216002449319E-4</v>
      </c>
      <c r="Y47" s="42">
        <f t="shared" si="39"/>
        <v>6.9676216002449319E-4</v>
      </c>
      <c r="Z47" s="42">
        <f t="shared" si="39"/>
        <v>6.9676216002449319E-4</v>
      </c>
      <c r="AA47" s="42">
        <f t="shared" si="39"/>
        <v>6.9676216002449319E-4</v>
      </c>
      <c r="AB47" s="34">
        <f t="shared" si="11"/>
        <v>107640.74788068795</v>
      </c>
      <c r="AC47" s="34">
        <f>IFERROR(up_RadSpec!$J$6*(AC6*$B47),".")</f>
        <v>35880.249293562651</v>
      </c>
      <c r="AD47" s="34">
        <f>IFERROR(up_RadSpec!$J$6*(AD6*$B47),".")</f>
        <v>35880.249293562651</v>
      </c>
      <c r="AE47" s="34">
        <f>IFERROR(up_RadSpec!$J$6*(AE6*$B47),".")</f>
        <v>35880.249293562651</v>
      </c>
      <c r="AF47" s="34">
        <f>IFERROR(up_RadSpec!$J$6*(AF6*$B47),".")</f>
        <v>35880.249293562651</v>
      </c>
      <c r="AG47" s="34">
        <f>IFERROR(up_RadSpec!$J$6*(AG6*$B47),".")</f>
        <v>35880.249293562651</v>
      </c>
      <c r="AH47" s="34">
        <f>IFERROR(up_RadSpec!$J$6*(AH6*$B47),".")</f>
        <v>35880.249293562651</v>
      </c>
      <c r="AI47" s="34">
        <f>IFERROR(up_RadSpec!$J$6*(AI6*$B47),".")</f>
        <v>35880.249293562651</v>
      </c>
      <c r="AJ47" s="34">
        <f>IFERROR(up_RadSpec!$J$6*(AJ6*$B47),".")</f>
        <v>35880.249293562651</v>
      </c>
      <c r="AK47" s="34">
        <f>IFERROR(up_RadSpec!$J$6*(AK6*$B47),".")</f>
        <v>35880.249293562651</v>
      </c>
      <c r="AL47" s="34">
        <f>IFERROR(up_RadSpec!$J$6*(AL6*$B47),".")</f>
        <v>35880.249293562651</v>
      </c>
      <c r="AM47" s="34">
        <f>IFERROR(up_RadSpec!$J$6*(AM6*$B47),".")</f>
        <v>35880.249293562651</v>
      </c>
      <c r="AN47" s="34">
        <f>IFERROR(up_RadSpec!$J$6*(AN6*$B47),".")</f>
        <v>35880.249293562651</v>
      </c>
      <c r="AO47" s="34">
        <f>IFERROR(up_RadSpec!$J$6*(AO6*$B47),".")</f>
        <v>35880.249293562651</v>
      </c>
      <c r="AP47" s="34">
        <f>IFERROR(up_RadSpec!$J$6*(AP6*$B47),".")</f>
        <v>35880.249293562651</v>
      </c>
      <c r="AQ47" s="34">
        <f>IFERROR(up_RadSpec!$J$6*(AQ6*$B47),".")</f>
        <v>35880.249293562651</v>
      </c>
      <c r="AR47" s="34">
        <f>IFERROR(up_RadSpec!$J$6*(AR6*$B47),".")</f>
        <v>35880.249293562651</v>
      </c>
      <c r="AS47" s="34">
        <f>IFERROR(up_RadSpec!$J$6*(AS6*$B47),".")</f>
        <v>35880.249293562651</v>
      </c>
      <c r="AT47" s="34">
        <f>IFERROR(up_RadSpec!$J$6*(AT6*$B47),".")</f>
        <v>35880.249293562651</v>
      </c>
      <c r="AU47" s="34">
        <f>IFERROR(up_RadSpec!$J$6*(AU6*$B47),".")</f>
        <v>35880.249293562651</v>
      </c>
      <c r="AV47" s="34">
        <f>IFERROR(up_RadSpec!$J$6*(AV6*$B47),".")</f>
        <v>35880.249293562651</v>
      </c>
      <c r="AW47" s="34">
        <f>IFERROR(up_RadSpec!$J$6*(AW6*$B47),".")</f>
        <v>35880.249293562651</v>
      </c>
      <c r="AX47" s="34">
        <f>IFERROR(up_RadSpec!$J$6*(AX6*$B47),".")</f>
        <v>35880.249293562651</v>
      </c>
      <c r="AY47" s="34">
        <f>IFERROR(up_RadSpec!$J$6*(AY6*$B47),".")</f>
        <v>35880.249293562651</v>
      </c>
      <c r="AZ47" s="34">
        <f>IFERROR(up_RadSpec!$J$6*(AZ6*$B47),".")</f>
        <v>35880.249293562651</v>
      </c>
      <c r="BA47" s="42">
        <f t="shared" si="2"/>
        <v>2.3225405334149771E-4</v>
      </c>
      <c r="BB47" s="42">
        <f t="shared" ref="BB47:BY47" si="40">IFERROR(BB6/$B$47,0)</f>
        <v>6.9676216002449319E-4</v>
      </c>
      <c r="BC47" s="42">
        <f t="shared" si="40"/>
        <v>6.9676216002449319E-4</v>
      </c>
      <c r="BD47" s="42">
        <f t="shared" si="40"/>
        <v>6.9676216002449319E-4</v>
      </c>
      <c r="BE47" s="42">
        <f t="shared" si="40"/>
        <v>6.9676216002449319E-4</v>
      </c>
      <c r="BF47" s="42">
        <f t="shared" si="40"/>
        <v>6.9676216002449319E-4</v>
      </c>
      <c r="BG47" s="42">
        <f t="shared" si="40"/>
        <v>6.9676216002449319E-4</v>
      </c>
      <c r="BH47" s="42">
        <f t="shared" si="40"/>
        <v>6.9676216002449319E-4</v>
      </c>
      <c r="BI47" s="42">
        <f t="shared" si="40"/>
        <v>6.9676216002449319E-4</v>
      </c>
      <c r="BJ47" s="42">
        <f t="shared" si="40"/>
        <v>6.9676216002449319E-4</v>
      </c>
      <c r="BK47" s="42">
        <f t="shared" si="40"/>
        <v>6.9676216002449319E-4</v>
      </c>
      <c r="BL47" s="42">
        <f t="shared" si="40"/>
        <v>6.9676216002449319E-4</v>
      </c>
      <c r="BM47" s="42">
        <f t="shared" si="40"/>
        <v>6.9676216002449319E-4</v>
      </c>
      <c r="BN47" s="42">
        <f t="shared" si="40"/>
        <v>6.9676216002449319E-4</v>
      </c>
      <c r="BO47" s="42">
        <f t="shared" si="40"/>
        <v>6.9676216002449319E-4</v>
      </c>
      <c r="BP47" s="42">
        <f t="shared" si="40"/>
        <v>6.9676216002449319E-4</v>
      </c>
      <c r="BQ47" s="42">
        <f t="shared" si="40"/>
        <v>6.9676216002449319E-4</v>
      </c>
      <c r="BR47" s="42">
        <f t="shared" si="40"/>
        <v>6.9676216002449319E-4</v>
      </c>
      <c r="BS47" s="42">
        <f t="shared" si="40"/>
        <v>6.9676216002449319E-4</v>
      </c>
      <c r="BT47" s="42">
        <f t="shared" si="40"/>
        <v>6.9676216002449319E-4</v>
      </c>
      <c r="BU47" s="42">
        <f t="shared" si="40"/>
        <v>6.9676216002449319E-4</v>
      </c>
      <c r="BV47" s="42">
        <f t="shared" si="40"/>
        <v>6.9676216002449319E-4</v>
      </c>
      <c r="BW47" s="42">
        <f t="shared" si="40"/>
        <v>6.9676216002449319E-4</v>
      </c>
      <c r="BX47" s="42">
        <f t="shared" si="40"/>
        <v>6.9676216002449319E-4</v>
      </c>
      <c r="BY47" s="42">
        <f t="shared" si="40"/>
        <v>6.9676216002449319E-4</v>
      </c>
      <c r="BZ47" s="34">
        <f t="shared" si="3"/>
        <v>107640.74788068795</v>
      </c>
      <c r="CA47" s="34">
        <f>IFERROR(up_RadSpec!$J$6*(CA6*$B47),".")</f>
        <v>35880.249293562651</v>
      </c>
      <c r="CB47" s="34">
        <f>IFERROR(up_RadSpec!$J$6*(CB6*$B47),".")</f>
        <v>35880.249293562651</v>
      </c>
      <c r="CC47" s="34">
        <f>IFERROR(up_RadSpec!$J$6*(CC6*$B47),".")</f>
        <v>35880.249293562651</v>
      </c>
      <c r="CD47" s="34">
        <f>IFERROR(up_RadSpec!$J$6*(CD6*$B47),".")</f>
        <v>35880.249293562651</v>
      </c>
      <c r="CE47" s="34">
        <f>IFERROR(up_RadSpec!$J$6*(CE6*$B47),".")</f>
        <v>35880.249293562651</v>
      </c>
      <c r="CF47" s="34">
        <f>IFERROR(up_RadSpec!$J$6*(CF6*$B47),".")</f>
        <v>35880.249293562651</v>
      </c>
      <c r="CG47" s="34">
        <f>IFERROR(up_RadSpec!$J$6*(CG6*$B47),".")</f>
        <v>35880.249293562651</v>
      </c>
      <c r="CH47" s="34">
        <f>IFERROR(up_RadSpec!$J$6*(CH6*$B47),".")</f>
        <v>35880.249293562651</v>
      </c>
      <c r="CI47" s="34">
        <f>IFERROR(up_RadSpec!$J$6*(CI6*$B47),".")</f>
        <v>35880.249293562651</v>
      </c>
      <c r="CJ47" s="34">
        <f>IFERROR(up_RadSpec!$J$6*(CJ6*$B47),".")</f>
        <v>35880.249293562651</v>
      </c>
      <c r="CK47" s="34">
        <f>IFERROR(up_RadSpec!$J$6*(CK6*$B47),".")</f>
        <v>35880.249293562651</v>
      </c>
      <c r="CL47" s="34">
        <f>IFERROR(up_RadSpec!$J$6*(CL6*$B47),".")</f>
        <v>35880.249293562651</v>
      </c>
      <c r="CM47" s="34">
        <f>IFERROR(up_RadSpec!$J$6*(CM6*$B47),".")</f>
        <v>35880.249293562651</v>
      </c>
      <c r="CN47" s="34">
        <f>IFERROR(up_RadSpec!$J$6*(CN6*$B47),".")</f>
        <v>35880.249293562651</v>
      </c>
      <c r="CO47" s="34">
        <f>IFERROR(up_RadSpec!$J$6*(CO6*$B47),".")</f>
        <v>35880.249293562651</v>
      </c>
      <c r="CP47" s="34">
        <f>IFERROR(up_RadSpec!$J$6*(CP6*$B47),".")</f>
        <v>35880.249293562651</v>
      </c>
      <c r="CQ47" s="34">
        <f>IFERROR(up_RadSpec!$J$6*(CQ6*$B47),".")</f>
        <v>35880.249293562651</v>
      </c>
      <c r="CR47" s="34">
        <f>IFERROR(up_RadSpec!$J$6*(CR6*$B47),".")</f>
        <v>35880.249293562651</v>
      </c>
      <c r="CS47" s="34">
        <f>IFERROR(up_RadSpec!$J$6*(CS6*$B47),".")</f>
        <v>35880.249293562651</v>
      </c>
      <c r="CT47" s="34">
        <f>IFERROR(up_RadSpec!$J$6*(CT6*$B47),".")</f>
        <v>35880.249293562651</v>
      </c>
      <c r="CU47" s="34">
        <f>IFERROR(up_RadSpec!$J$6*(CU6*$B47),".")</f>
        <v>35880.249293562651</v>
      </c>
      <c r="CV47" s="34">
        <f>IFERROR(up_RadSpec!$J$6*(CV6*$B47),".")</f>
        <v>35880.249293562651</v>
      </c>
      <c r="CW47" s="34">
        <f>IFERROR(up_RadSpec!$J$6*(CW6*$B47),".")</f>
        <v>35880.249293562651</v>
      </c>
      <c r="CX47" s="34">
        <f>IFERROR(up_RadSpec!$J$6*(CX6*$B47),".")</f>
        <v>35880.249293562651</v>
      </c>
    </row>
    <row r="48" spans="1:102" s="3" customFormat="1" x14ac:dyDescent="0.25">
      <c r="A48" s="54" t="s">
        <v>21</v>
      </c>
      <c r="B48" s="54" t="s">
        <v>1059</v>
      </c>
      <c r="C48" s="40">
        <f t="shared" si="0"/>
        <v>2.4360607859126112E-5</v>
      </c>
      <c r="D48" s="40">
        <f t="shared" ref="D48:AA48" si="41">1/SUM(1/D49,1/D50,1/D51,1/D52,1/D53,1/D54,1/D55,1/D56,1/D57,1/D58,1/D59,1/D60,1/D61,1/D62)</f>
        <v>7.3081823577378333E-5</v>
      </c>
      <c r="E48" s="40">
        <f t="shared" si="41"/>
        <v>7.3081823577378333E-5</v>
      </c>
      <c r="F48" s="40">
        <f t="shared" si="41"/>
        <v>7.3081823577378333E-5</v>
      </c>
      <c r="G48" s="40">
        <f t="shared" si="41"/>
        <v>7.3081823577378333E-5</v>
      </c>
      <c r="H48" s="40">
        <f t="shared" si="41"/>
        <v>7.3081823577378333E-5</v>
      </c>
      <c r="I48" s="40">
        <f t="shared" si="41"/>
        <v>7.3081823577378333E-5</v>
      </c>
      <c r="J48" s="40">
        <f t="shared" si="41"/>
        <v>7.3081823577378333E-5</v>
      </c>
      <c r="K48" s="40">
        <f t="shared" si="41"/>
        <v>7.3081823577378333E-5</v>
      </c>
      <c r="L48" s="40">
        <f t="shared" si="41"/>
        <v>7.3081823577378333E-5</v>
      </c>
      <c r="M48" s="40">
        <f t="shared" si="41"/>
        <v>7.3081823577378333E-5</v>
      </c>
      <c r="N48" s="40">
        <f t="shared" si="41"/>
        <v>7.3081823577378333E-5</v>
      </c>
      <c r="O48" s="40">
        <f t="shared" si="41"/>
        <v>7.3081823577378333E-5</v>
      </c>
      <c r="P48" s="40">
        <f t="shared" si="41"/>
        <v>7.3081823577378333E-5</v>
      </c>
      <c r="Q48" s="40">
        <f t="shared" si="41"/>
        <v>7.3081823577378333E-5</v>
      </c>
      <c r="R48" s="40">
        <f t="shared" si="41"/>
        <v>7.3081823577378333E-5</v>
      </c>
      <c r="S48" s="40">
        <f t="shared" si="41"/>
        <v>7.3081823577378333E-5</v>
      </c>
      <c r="T48" s="40">
        <f t="shared" si="41"/>
        <v>7.3081823577378333E-5</v>
      </c>
      <c r="U48" s="40">
        <f t="shared" si="41"/>
        <v>7.3081823577378333E-5</v>
      </c>
      <c r="V48" s="40">
        <f t="shared" si="41"/>
        <v>7.3081823577378333E-5</v>
      </c>
      <c r="W48" s="40">
        <f t="shared" si="41"/>
        <v>7.3081823577378333E-5</v>
      </c>
      <c r="X48" s="40">
        <f t="shared" si="41"/>
        <v>7.3081823577378333E-5</v>
      </c>
      <c r="Y48" s="40">
        <f t="shared" si="41"/>
        <v>7.3081823577378333E-5</v>
      </c>
      <c r="Z48" s="40">
        <f t="shared" si="41"/>
        <v>7.3081823577378333E-5</v>
      </c>
      <c r="AA48" s="40">
        <f t="shared" si="41"/>
        <v>7.3081823577378333E-5</v>
      </c>
      <c r="AB48" s="33">
        <f t="shared" si="11"/>
        <v>1026246.9698856205</v>
      </c>
      <c r="AC48" s="33">
        <f>IFERROR(SUM(AC49:AC62),".")</f>
        <v>342082.32329520682</v>
      </c>
      <c r="AD48" s="33">
        <f t="shared" ref="AD48:AZ48" si="42">IFERROR(SUM(AD49:AD62),".")</f>
        <v>342082.32329520682</v>
      </c>
      <c r="AE48" s="33">
        <f t="shared" si="42"/>
        <v>342082.32329520682</v>
      </c>
      <c r="AF48" s="33">
        <f t="shared" si="42"/>
        <v>342082.32329520682</v>
      </c>
      <c r="AG48" s="33">
        <f t="shared" si="42"/>
        <v>342082.32329520682</v>
      </c>
      <c r="AH48" s="33">
        <f t="shared" si="42"/>
        <v>342082.32329520682</v>
      </c>
      <c r="AI48" s="33">
        <f t="shared" si="42"/>
        <v>342082.32329520682</v>
      </c>
      <c r="AJ48" s="33">
        <f t="shared" si="42"/>
        <v>342082.32329520682</v>
      </c>
      <c r="AK48" s="33">
        <f t="shared" si="42"/>
        <v>342082.32329520682</v>
      </c>
      <c r="AL48" s="33">
        <f t="shared" si="42"/>
        <v>342082.32329520682</v>
      </c>
      <c r="AM48" s="33">
        <f t="shared" si="42"/>
        <v>342082.32329520682</v>
      </c>
      <c r="AN48" s="33">
        <f t="shared" si="42"/>
        <v>342082.32329520682</v>
      </c>
      <c r="AO48" s="33">
        <f t="shared" si="42"/>
        <v>342082.32329520682</v>
      </c>
      <c r="AP48" s="33">
        <f t="shared" si="42"/>
        <v>342082.32329520682</v>
      </c>
      <c r="AQ48" s="33">
        <f t="shared" si="42"/>
        <v>342082.32329520682</v>
      </c>
      <c r="AR48" s="33">
        <f t="shared" si="42"/>
        <v>342082.32329520682</v>
      </c>
      <c r="AS48" s="33">
        <f t="shared" si="42"/>
        <v>342082.32329520682</v>
      </c>
      <c r="AT48" s="33">
        <f t="shared" si="42"/>
        <v>342082.32329520682</v>
      </c>
      <c r="AU48" s="33">
        <f t="shared" si="42"/>
        <v>342082.32329520682</v>
      </c>
      <c r="AV48" s="33">
        <f t="shared" si="42"/>
        <v>342082.32329520682</v>
      </c>
      <c r="AW48" s="33">
        <f t="shared" si="42"/>
        <v>342082.32329520682</v>
      </c>
      <c r="AX48" s="33">
        <f t="shared" si="42"/>
        <v>342082.32329520682</v>
      </c>
      <c r="AY48" s="33">
        <f t="shared" si="42"/>
        <v>342082.32329520682</v>
      </c>
      <c r="AZ48" s="33">
        <f t="shared" si="42"/>
        <v>342082.32329520682</v>
      </c>
      <c r="BA48" s="40">
        <f t="shared" si="2"/>
        <v>2.4360607859126112E-5</v>
      </c>
      <c r="BB48" s="40">
        <f t="shared" ref="BB48:BY48" si="43">1/SUM(1/BB49,1/BB50,1/BB51,1/BB52,1/BB53,1/BB54,1/BB55,1/BB56,1/BB57,1/BB58,1/BB59,1/BB60,1/BB61,1/BB62)</f>
        <v>7.3081823577378333E-5</v>
      </c>
      <c r="BC48" s="40">
        <f t="shared" si="43"/>
        <v>7.3081823577378333E-5</v>
      </c>
      <c r="BD48" s="40">
        <f t="shared" si="43"/>
        <v>7.3081823577378333E-5</v>
      </c>
      <c r="BE48" s="40">
        <f t="shared" si="43"/>
        <v>7.3081823577378333E-5</v>
      </c>
      <c r="BF48" s="40">
        <f t="shared" si="43"/>
        <v>7.3081823577378333E-5</v>
      </c>
      <c r="BG48" s="40">
        <f t="shared" si="43"/>
        <v>7.3081823577378333E-5</v>
      </c>
      <c r="BH48" s="40">
        <f t="shared" si="43"/>
        <v>7.3081823577378333E-5</v>
      </c>
      <c r="BI48" s="40">
        <f t="shared" si="43"/>
        <v>7.3081823577378333E-5</v>
      </c>
      <c r="BJ48" s="40">
        <f t="shared" si="43"/>
        <v>7.3081823577378333E-5</v>
      </c>
      <c r="BK48" s="40">
        <f t="shared" si="43"/>
        <v>7.3081823577378333E-5</v>
      </c>
      <c r="BL48" s="40">
        <f t="shared" si="43"/>
        <v>7.3081823577378333E-5</v>
      </c>
      <c r="BM48" s="40">
        <f t="shared" si="43"/>
        <v>7.3081823577378333E-5</v>
      </c>
      <c r="BN48" s="40">
        <f t="shared" si="43"/>
        <v>7.3081823577378333E-5</v>
      </c>
      <c r="BO48" s="40">
        <f t="shared" si="43"/>
        <v>7.3081823577378333E-5</v>
      </c>
      <c r="BP48" s="40">
        <f t="shared" si="43"/>
        <v>7.3081823577378333E-5</v>
      </c>
      <c r="BQ48" s="40">
        <f t="shared" si="43"/>
        <v>7.3081823577378333E-5</v>
      </c>
      <c r="BR48" s="40">
        <f t="shared" si="43"/>
        <v>7.3081823577378333E-5</v>
      </c>
      <c r="BS48" s="40">
        <f t="shared" si="43"/>
        <v>7.3081823577378333E-5</v>
      </c>
      <c r="BT48" s="40">
        <f t="shared" si="43"/>
        <v>7.3081823577378333E-5</v>
      </c>
      <c r="BU48" s="40">
        <f t="shared" si="43"/>
        <v>7.3081823577378333E-5</v>
      </c>
      <c r="BV48" s="40">
        <f t="shared" si="43"/>
        <v>7.3081823577378333E-5</v>
      </c>
      <c r="BW48" s="40">
        <f t="shared" si="43"/>
        <v>7.3081823577378333E-5</v>
      </c>
      <c r="BX48" s="40">
        <f t="shared" si="43"/>
        <v>7.3081823577378333E-5</v>
      </c>
      <c r="BY48" s="40">
        <f t="shared" si="43"/>
        <v>7.3081823577378333E-5</v>
      </c>
      <c r="BZ48" s="33">
        <f t="shared" si="3"/>
        <v>1026246.9698856205</v>
      </c>
      <c r="CA48" s="33">
        <f>IFERROR(SUM(CA49:CA62),".")</f>
        <v>342082.32329520682</v>
      </c>
      <c r="CB48" s="33">
        <f t="shared" ref="CB48:CX48" si="44">IFERROR(SUM(CB49:CB62),".")</f>
        <v>342082.32329520682</v>
      </c>
      <c r="CC48" s="33">
        <f t="shared" si="44"/>
        <v>342082.32329520682</v>
      </c>
      <c r="CD48" s="33">
        <f t="shared" si="44"/>
        <v>342082.32329520682</v>
      </c>
      <c r="CE48" s="33">
        <f t="shared" si="44"/>
        <v>342082.32329520682</v>
      </c>
      <c r="CF48" s="33">
        <f t="shared" si="44"/>
        <v>342082.32329520682</v>
      </c>
      <c r="CG48" s="33">
        <f t="shared" si="44"/>
        <v>342082.32329520682</v>
      </c>
      <c r="CH48" s="33">
        <f t="shared" si="44"/>
        <v>342082.32329520682</v>
      </c>
      <c r="CI48" s="33">
        <f t="shared" si="44"/>
        <v>342082.32329520682</v>
      </c>
      <c r="CJ48" s="33">
        <f t="shared" si="44"/>
        <v>342082.32329520682</v>
      </c>
      <c r="CK48" s="33">
        <f t="shared" si="44"/>
        <v>342082.32329520682</v>
      </c>
      <c r="CL48" s="33">
        <f t="shared" si="44"/>
        <v>342082.32329520682</v>
      </c>
      <c r="CM48" s="33">
        <f t="shared" si="44"/>
        <v>342082.32329520682</v>
      </c>
      <c r="CN48" s="33">
        <f t="shared" si="44"/>
        <v>342082.32329520682</v>
      </c>
      <c r="CO48" s="33">
        <f t="shared" si="44"/>
        <v>342082.32329520682</v>
      </c>
      <c r="CP48" s="33">
        <f t="shared" si="44"/>
        <v>342082.32329520682</v>
      </c>
      <c r="CQ48" s="33">
        <f t="shared" si="44"/>
        <v>342082.32329520682</v>
      </c>
      <c r="CR48" s="33">
        <f t="shared" si="44"/>
        <v>342082.32329520682</v>
      </c>
      <c r="CS48" s="33">
        <f t="shared" si="44"/>
        <v>342082.32329520682</v>
      </c>
      <c r="CT48" s="33">
        <f t="shared" si="44"/>
        <v>342082.32329520682</v>
      </c>
      <c r="CU48" s="33">
        <f t="shared" si="44"/>
        <v>342082.32329520682</v>
      </c>
      <c r="CV48" s="33">
        <f t="shared" si="44"/>
        <v>342082.32329520682</v>
      </c>
      <c r="CW48" s="33">
        <f t="shared" si="44"/>
        <v>342082.32329520682</v>
      </c>
      <c r="CX48" s="33">
        <f t="shared" si="44"/>
        <v>342082.32329520682</v>
      </c>
    </row>
    <row r="49" spans="1:102" s="3" customFormat="1" x14ac:dyDescent="0.25">
      <c r="A49" s="55" t="s">
        <v>1088</v>
      </c>
      <c r="B49" s="3">
        <v>1</v>
      </c>
      <c r="C49" s="42">
        <f t="shared" si="0"/>
        <v>2.1924550381384044E-4</v>
      </c>
      <c r="D49" s="42">
        <f t="shared" ref="D49:AA49" si="45">IFERROR(D23/$B49,0)</f>
        <v>6.5773651144152131E-4</v>
      </c>
      <c r="E49" s="42">
        <f t="shared" si="45"/>
        <v>6.5773651144152131E-4</v>
      </c>
      <c r="F49" s="42">
        <f t="shared" si="45"/>
        <v>6.5773651144152131E-4</v>
      </c>
      <c r="G49" s="42">
        <f t="shared" si="45"/>
        <v>6.5773651144152131E-4</v>
      </c>
      <c r="H49" s="42">
        <f t="shared" si="45"/>
        <v>6.5773651144152131E-4</v>
      </c>
      <c r="I49" s="42">
        <f t="shared" si="45"/>
        <v>6.5773651144152131E-4</v>
      </c>
      <c r="J49" s="42">
        <f t="shared" si="45"/>
        <v>6.5773651144152131E-4</v>
      </c>
      <c r="K49" s="42">
        <f t="shared" si="45"/>
        <v>6.5773651144152131E-4</v>
      </c>
      <c r="L49" s="42">
        <f t="shared" si="45"/>
        <v>6.5773651144152131E-4</v>
      </c>
      <c r="M49" s="42">
        <f t="shared" si="45"/>
        <v>6.5773651144152131E-4</v>
      </c>
      <c r="N49" s="42">
        <f t="shared" si="45"/>
        <v>6.5773651144152131E-4</v>
      </c>
      <c r="O49" s="42">
        <f t="shared" si="45"/>
        <v>6.5773651144152131E-4</v>
      </c>
      <c r="P49" s="42">
        <f t="shared" si="45"/>
        <v>6.5773651144152131E-4</v>
      </c>
      <c r="Q49" s="42">
        <f t="shared" si="45"/>
        <v>6.5773651144152131E-4</v>
      </c>
      <c r="R49" s="42">
        <f t="shared" si="45"/>
        <v>6.5773651144152131E-4</v>
      </c>
      <c r="S49" s="42">
        <f t="shared" si="45"/>
        <v>6.5773651144152131E-4</v>
      </c>
      <c r="T49" s="42">
        <f t="shared" si="45"/>
        <v>6.5773651144152131E-4</v>
      </c>
      <c r="U49" s="42">
        <f t="shared" si="45"/>
        <v>6.5773651144152131E-4</v>
      </c>
      <c r="V49" s="42">
        <f t="shared" si="45"/>
        <v>6.5773651144152131E-4</v>
      </c>
      <c r="W49" s="42">
        <f t="shared" si="45"/>
        <v>6.5773651144152131E-4</v>
      </c>
      <c r="X49" s="42">
        <f t="shared" si="45"/>
        <v>6.5773651144152131E-4</v>
      </c>
      <c r="Y49" s="42">
        <f t="shared" si="45"/>
        <v>6.5773651144152131E-4</v>
      </c>
      <c r="Z49" s="42">
        <f t="shared" si="45"/>
        <v>6.5773651144152131E-4</v>
      </c>
      <c r="AA49" s="42">
        <f t="shared" si="45"/>
        <v>6.5773651144152131E-4</v>
      </c>
      <c r="AB49" s="34">
        <f t="shared" si="11"/>
        <v>114027.42389293101</v>
      </c>
      <c r="AC49" s="34">
        <f>IFERROR(up_RadSpec!$J$23*(AC23*$B49),".")</f>
        <v>38009.14129764367</v>
      </c>
      <c r="AD49" s="34">
        <f>IFERROR(up_RadSpec!$J$23*(AC23*$B49),".")</f>
        <v>38009.14129764367</v>
      </c>
      <c r="AE49" s="34">
        <f>IFERROR(up_RadSpec!$J$23*(AC23*$B49),".")</f>
        <v>38009.14129764367</v>
      </c>
      <c r="AF49" s="34">
        <f>IFERROR(up_RadSpec!$J$23*(AC23*$B49),".")</f>
        <v>38009.14129764367</v>
      </c>
      <c r="AG49" s="34">
        <f>IFERROR(up_RadSpec!$J$23*(AC23*$B49),".")</f>
        <v>38009.14129764367</v>
      </c>
      <c r="AH49" s="34">
        <f>IFERROR(up_RadSpec!$J$23*(AC23*$B49),".")</f>
        <v>38009.14129764367</v>
      </c>
      <c r="AI49" s="34">
        <f>IFERROR(up_RadSpec!$J$23*(AC23*$B49),".")</f>
        <v>38009.14129764367</v>
      </c>
      <c r="AJ49" s="34">
        <f>IFERROR(up_RadSpec!$J$23*(AC23*$B49),".")</f>
        <v>38009.14129764367</v>
      </c>
      <c r="AK49" s="34">
        <f>IFERROR(up_RadSpec!$J$23*(AC23*$B49),".")</f>
        <v>38009.14129764367</v>
      </c>
      <c r="AL49" s="34">
        <f>IFERROR(up_RadSpec!$J$23*(AC23*$B49),".")</f>
        <v>38009.14129764367</v>
      </c>
      <c r="AM49" s="34">
        <f>IFERROR(up_RadSpec!$J$23*(AC23*$B49),".")</f>
        <v>38009.14129764367</v>
      </c>
      <c r="AN49" s="34">
        <f>IFERROR(up_RadSpec!$J$23*(AC23*$B49),".")</f>
        <v>38009.14129764367</v>
      </c>
      <c r="AO49" s="34">
        <f>IFERROR(up_RadSpec!$J$23*(AC23*$B49),".")</f>
        <v>38009.14129764367</v>
      </c>
      <c r="AP49" s="34">
        <f>IFERROR(up_RadSpec!$J$23*(AC23*$B49),".")</f>
        <v>38009.14129764367</v>
      </c>
      <c r="AQ49" s="34">
        <f>IFERROR(up_RadSpec!$J$23*(AC23*$B49),".")</f>
        <v>38009.14129764367</v>
      </c>
      <c r="AR49" s="34">
        <f>IFERROR(up_RadSpec!$J$23*(AC23*$B49),".")</f>
        <v>38009.14129764367</v>
      </c>
      <c r="AS49" s="34">
        <f>IFERROR(up_RadSpec!$J$23*(AC23*$B49),".")</f>
        <v>38009.14129764367</v>
      </c>
      <c r="AT49" s="34">
        <f>IFERROR(up_RadSpec!$J$23*(AC23*$B49),".")</f>
        <v>38009.14129764367</v>
      </c>
      <c r="AU49" s="34">
        <f>IFERROR(up_RadSpec!$J$23*(AC23*$B49),".")</f>
        <v>38009.14129764367</v>
      </c>
      <c r="AV49" s="34">
        <f>IFERROR(up_RadSpec!$J$23*(AC23*$B49),".")</f>
        <v>38009.14129764367</v>
      </c>
      <c r="AW49" s="34">
        <f>IFERROR(up_RadSpec!$J$23*(AC23*$B49),".")</f>
        <v>38009.14129764367</v>
      </c>
      <c r="AX49" s="34">
        <f>IFERROR(up_RadSpec!$J$23*(AC23*$B49),".")</f>
        <v>38009.14129764367</v>
      </c>
      <c r="AY49" s="34">
        <f>IFERROR(up_RadSpec!$J$23*(AC23*$B49),".")</f>
        <v>38009.14129764367</v>
      </c>
      <c r="AZ49" s="34">
        <f>IFERROR(up_RadSpec!$J$23*(AC23*$B49),".")</f>
        <v>38009.14129764367</v>
      </c>
      <c r="BA49" s="42">
        <f t="shared" si="2"/>
        <v>2.1924550381384044E-4</v>
      </c>
      <c r="BB49" s="42">
        <f t="shared" ref="BB49:BY49" si="46">IFERROR(BB23/$B49,0)</f>
        <v>6.5773651144152131E-4</v>
      </c>
      <c r="BC49" s="42">
        <f t="shared" si="46"/>
        <v>6.5773651144152131E-4</v>
      </c>
      <c r="BD49" s="42">
        <f t="shared" si="46"/>
        <v>6.5773651144152131E-4</v>
      </c>
      <c r="BE49" s="42">
        <f t="shared" si="46"/>
        <v>6.5773651144152131E-4</v>
      </c>
      <c r="BF49" s="42">
        <f t="shared" si="46"/>
        <v>6.5773651144152131E-4</v>
      </c>
      <c r="BG49" s="42">
        <f t="shared" si="46"/>
        <v>6.5773651144152131E-4</v>
      </c>
      <c r="BH49" s="42">
        <f t="shared" si="46"/>
        <v>6.5773651144152131E-4</v>
      </c>
      <c r="BI49" s="42">
        <f t="shared" si="46"/>
        <v>6.5773651144152131E-4</v>
      </c>
      <c r="BJ49" s="42">
        <f t="shared" si="46"/>
        <v>6.5773651144152131E-4</v>
      </c>
      <c r="BK49" s="42">
        <f t="shared" si="46"/>
        <v>6.5773651144152131E-4</v>
      </c>
      <c r="BL49" s="42">
        <f t="shared" si="46"/>
        <v>6.5773651144152131E-4</v>
      </c>
      <c r="BM49" s="42">
        <f t="shared" si="46"/>
        <v>6.5773651144152131E-4</v>
      </c>
      <c r="BN49" s="42">
        <f t="shared" si="46"/>
        <v>6.5773651144152131E-4</v>
      </c>
      <c r="BO49" s="42">
        <f t="shared" si="46"/>
        <v>6.5773651144152131E-4</v>
      </c>
      <c r="BP49" s="42">
        <f t="shared" si="46"/>
        <v>6.5773651144152131E-4</v>
      </c>
      <c r="BQ49" s="42">
        <f t="shared" si="46"/>
        <v>6.5773651144152131E-4</v>
      </c>
      <c r="BR49" s="42">
        <f t="shared" si="46"/>
        <v>6.5773651144152131E-4</v>
      </c>
      <c r="BS49" s="42">
        <f t="shared" si="46"/>
        <v>6.5773651144152131E-4</v>
      </c>
      <c r="BT49" s="42">
        <f t="shared" si="46"/>
        <v>6.5773651144152131E-4</v>
      </c>
      <c r="BU49" s="42">
        <f t="shared" si="46"/>
        <v>6.5773651144152131E-4</v>
      </c>
      <c r="BV49" s="42">
        <f t="shared" si="46"/>
        <v>6.5773651144152131E-4</v>
      </c>
      <c r="BW49" s="42">
        <f t="shared" si="46"/>
        <v>6.5773651144152131E-4</v>
      </c>
      <c r="BX49" s="42">
        <f t="shared" si="46"/>
        <v>6.5773651144152131E-4</v>
      </c>
      <c r="BY49" s="42">
        <f t="shared" si="46"/>
        <v>6.5773651144152131E-4</v>
      </c>
      <c r="BZ49" s="34">
        <f t="shared" si="3"/>
        <v>114027.42389293101</v>
      </c>
      <c r="CA49" s="34">
        <f>IFERROR(up_RadSpec!$J$23*(AC23*$B49),".")</f>
        <v>38009.14129764367</v>
      </c>
      <c r="CB49" s="34">
        <f>IFERROR(up_RadSpec!$J$23*(AC23*$B49),".")</f>
        <v>38009.14129764367</v>
      </c>
      <c r="CC49" s="34">
        <f>IFERROR(up_RadSpec!$J$23*(AC23*$B49),".")</f>
        <v>38009.14129764367</v>
      </c>
      <c r="CD49" s="34">
        <f>IFERROR(up_RadSpec!$J$23*(AC23*$B49),".")</f>
        <v>38009.14129764367</v>
      </c>
      <c r="CE49" s="34">
        <f>IFERROR(up_RadSpec!$J$23*(AC23*$B49),".")</f>
        <v>38009.14129764367</v>
      </c>
      <c r="CF49" s="34">
        <f>IFERROR(up_RadSpec!$J$23*(AC23*$B49),".")</f>
        <v>38009.14129764367</v>
      </c>
      <c r="CG49" s="34">
        <f>IFERROR(up_RadSpec!$J$23*(AC23*$B49),".")</f>
        <v>38009.14129764367</v>
      </c>
      <c r="CH49" s="34">
        <f>IFERROR(up_RadSpec!$J$23*(AC23*$B49),".")</f>
        <v>38009.14129764367</v>
      </c>
      <c r="CI49" s="34">
        <f>IFERROR(up_RadSpec!$J$23*(AC23*$B49),".")</f>
        <v>38009.14129764367</v>
      </c>
      <c r="CJ49" s="34">
        <f>IFERROR(up_RadSpec!$J$23*(AC23*$B49),".")</f>
        <v>38009.14129764367</v>
      </c>
      <c r="CK49" s="34">
        <f>IFERROR(up_RadSpec!$J$23*(AC23*$B49),".")</f>
        <v>38009.14129764367</v>
      </c>
      <c r="CL49" s="34">
        <f>IFERROR(up_RadSpec!$J$23*(AC23*$B49),".")</f>
        <v>38009.14129764367</v>
      </c>
      <c r="CM49" s="34">
        <f>IFERROR(up_RadSpec!$J$23*(AC23*$B49),".")</f>
        <v>38009.14129764367</v>
      </c>
      <c r="CN49" s="34">
        <f>IFERROR(up_RadSpec!$J$23*(AC23*$B49),".")</f>
        <v>38009.14129764367</v>
      </c>
      <c r="CO49" s="34">
        <f>IFERROR(up_RadSpec!$J$23*(AC23*$B49),".")</f>
        <v>38009.14129764367</v>
      </c>
      <c r="CP49" s="34">
        <f>IFERROR(up_RadSpec!$J$23*(AC23*$B49),".")</f>
        <v>38009.14129764367</v>
      </c>
      <c r="CQ49" s="34">
        <f>IFERROR(up_RadSpec!$J$23*(AC23*$B49),".")</f>
        <v>38009.14129764367</v>
      </c>
      <c r="CR49" s="34">
        <f>IFERROR(up_RadSpec!$J$23*(AC23*$B49),".")</f>
        <v>38009.14129764367</v>
      </c>
      <c r="CS49" s="34">
        <f>IFERROR(up_RadSpec!$J$23*(AC23*$B49),".")</f>
        <v>38009.14129764367</v>
      </c>
      <c r="CT49" s="34">
        <f>IFERROR(up_RadSpec!$J$23*(AC23*$B49),".")</f>
        <v>38009.14129764367</v>
      </c>
      <c r="CU49" s="34">
        <f>IFERROR(up_RadSpec!$J$23*(AC23*$B49),".")</f>
        <v>38009.14129764367</v>
      </c>
      <c r="CV49" s="34">
        <f>IFERROR(up_RadSpec!$J$23*(AC23*$B49),".")</f>
        <v>38009.14129764367</v>
      </c>
      <c r="CW49" s="34">
        <f>IFERROR(up_RadSpec!$J$23*(AC23*$B49),".")</f>
        <v>38009.14129764367</v>
      </c>
      <c r="CX49" s="34">
        <f>IFERROR(up_RadSpec!$J$23*(AC23*$B49),".")</f>
        <v>38009.14129764367</v>
      </c>
    </row>
    <row r="50" spans="1:102" s="3" customFormat="1" x14ac:dyDescent="0.25">
      <c r="A50" s="55" t="s">
        <v>1075</v>
      </c>
      <c r="B50" s="3">
        <v>1</v>
      </c>
      <c r="C50" s="42">
        <f t="shared" si="0"/>
        <v>2.1924550381384044E-4</v>
      </c>
      <c r="D50" s="42">
        <f t="shared" ref="D50:AA50" si="47">IFERROR(D25/$B50,0)</f>
        <v>6.5773651144152131E-4</v>
      </c>
      <c r="E50" s="42">
        <f t="shared" si="47"/>
        <v>6.5773651144152131E-4</v>
      </c>
      <c r="F50" s="42">
        <f t="shared" si="47"/>
        <v>6.5773651144152131E-4</v>
      </c>
      <c r="G50" s="42">
        <f t="shared" si="47"/>
        <v>6.5773651144152131E-4</v>
      </c>
      <c r="H50" s="42">
        <f t="shared" si="47"/>
        <v>6.5773651144152131E-4</v>
      </c>
      <c r="I50" s="42">
        <f t="shared" si="47"/>
        <v>6.5773651144152131E-4</v>
      </c>
      <c r="J50" s="42">
        <f t="shared" si="47"/>
        <v>6.5773651144152131E-4</v>
      </c>
      <c r="K50" s="42">
        <f t="shared" si="47"/>
        <v>6.5773651144152131E-4</v>
      </c>
      <c r="L50" s="42">
        <f t="shared" si="47"/>
        <v>6.5773651144152131E-4</v>
      </c>
      <c r="M50" s="42">
        <f t="shared" si="47"/>
        <v>6.5773651144152131E-4</v>
      </c>
      <c r="N50" s="42">
        <f t="shared" si="47"/>
        <v>6.5773651144152131E-4</v>
      </c>
      <c r="O50" s="42">
        <f t="shared" si="47"/>
        <v>6.5773651144152131E-4</v>
      </c>
      <c r="P50" s="42">
        <f t="shared" si="47"/>
        <v>6.5773651144152131E-4</v>
      </c>
      <c r="Q50" s="42">
        <f t="shared" si="47"/>
        <v>6.5773651144152131E-4</v>
      </c>
      <c r="R50" s="42">
        <f t="shared" si="47"/>
        <v>6.5773651144152131E-4</v>
      </c>
      <c r="S50" s="42">
        <f t="shared" si="47"/>
        <v>6.5773651144152131E-4</v>
      </c>
      <c r="T50" s="42">
        <f t="shared" si="47"/>
        <v>6.5773651144152131E-4</v>
      </c>
      <c r="U50" s="42">
        <f t="shared" si="47"/>
        <v>6.5773651144152131E-4</v>
      </c>
      <c r="V50" s="42">
        <f t="shared" si="47"/>
        <v>6.5773651144152131E-4</v>
      </c>
      <c r="W50" s="42">
        <f t="shared" si="47"/>
        <v>6.5773651144152131E-4</v>
      </c>
      <c r="X50" s="42">
        <f t="shared" si="47"/>
        <v>6.5773651144152131E-4</v>
      </c>
      <c r="Y50" s="42">
        <f t="shared" si="47"/>
        <v>6.5773651144152131E-4</v>
      </c>
      <c r="Z50" s="42">
        <f t="shared" si="47"/>
        <v>6.5773651144152131E-4</v>
      </c>
      <c r="AA50" s="42">
        <f t="shared" si="47"/>
        <v>6.5773651144152131E-4</v>
      </c>
      <c r="AB50" s="34">
        <f t="shared" si="11"/>
        <v>114027.42389293101</v>
      </c>
      <c r="AC50" s="34">
        <f>IFERROR(up_RadSpec!$J$25*(AC25*$B50),".")</f>
        <v>38009.14129764367</v>
      </c>
      <c r="AD50" s="34">
        <f>IFERROR(up_RadSpec!$J$25*(AC25*$B50),".")</f>
        <v>38009.14129764367</v>
      </c>
      <c r="AE50" s="34">
        <f>IFERROR(up_RadSpec!$J$25*(AC25*$B50),".")</f>
        <v>38009.14129764367</v>
      </c>
      <c r="AF50" s="34">
        <f>IFERROR(up_RadSpec!$J$25*(AC25*$B50),".")</f>
        <v>38009.14129764367</v>
      </c>
      <c r="AG50" s="34">
        <f>IFERROR(up_RadSpec!$J$25*(AC25*$B50),".")</f>
        <v>38009.14129764367</v>
      </c>
      <c r="AH50" s="34">
        <f>IFERROR(up_RadSpec!$J$25*(AC25*$B50),".")</f>
        <v>38009.14129764367</v>
      </c>
      <c r="AI50" s="34">
        <f>IFERROR(up_RadSpec!$J$25*(AC25*$B50),".")</f>
        <v>38009.14129764367</v>
      </c>
      <c r="AJ50" s="34">
        <f>IFERROR(up_RadSpec!$J$25*(AC25*$B50),".")</f>
        <v>38009.14129764367</v>
      </c>
      <c r="AK50" s="34">
        <f>IFERROR(up_RadSpec!$J$25*(AC25*$B50),".")</f>
        <v>38009.14129764367</v>
      </c>
      <c r="AL50" s="34">
        <f>IFERROR(up_RadSpec!$J$25*(AC25*$B50),".")</f>
        <v>38009.14129764367</v>
      </c>
      <c r="AM50" s="34">
        <f>IFERROR(up_RadSpec!$J$25*(AC25*$B50),".")</f>
        <v>38009.14129764367</v>
      </c>
      <c r="AN50" s="34">
        <f>IFERROR(up_RadSpec!$J$25*(AC25*$B50),".")</f>
        <v>38009.14129764367</v>
      </c>
      <c r="AO50" s="34">
        <f>IFERROR(up_RadSpec!$J$25*(AC25*$B50),".")</f>
        <v>38009.14129764367</v>
      </c>
      <c r="AP50" s="34">
        <f>IFERROR(up_RadSpec!$J$25*(AC25*$B50),".")</f>
        <v>38009.14129764367</v>
      </c>
      <c r="AQ50" s="34">
        <f>IFERROR(up_RadSpec!$J$25*(AC25*$B50),".")</f>
        <v>38009.14129764367</v>
      </c>
      <c r="AR50" s="34">
        <f>IFERROR(up_RadSpec!$J$25*(AC25*$B50),".")</f>
        <v>38009.14129764367</v>
      </c>
      <c r="AS50" s="34">
        <f>IFERROR(up_RadSpec!$J$25*(AC25*$B50),".")</f>
        <v>38009.14129764367</v>
      </c>
      <c r="AT50" s="34">
        <f>IFERROR(up_RadSpec!$J$25*(AC25*$B50),".")</f>
        <v>38009.14129764367</v>
      </c>
      <c r="AU50" s="34">
        <f>IFERROR(up_RadSpec!$J$25*(AC25*$B50),".")</f>
        <v>38009.14129764367</v>
      </c>
      <c r="AV50" s="34">
        <f>IFERROR(up_RadSpec!$J$25*(AC25*$B50),".")</f>
        <v>38009.14129764367</v>
      </c>
      <c r="AW50" s="34">
        <f>IFERROR(up_RadSpec!$J$25*(AC25*$B50),".")</f>
        <v>38009.14129764367</v>
      </c>
      <c r="AX50" s="34">
        <f>IFERROR(up_RadSpec!$J$25*(AC25*$B50),".")</f>
        <v>38009.14129764367</v>
      </c>
      <c r="AY50" s="34">
        <f>IFERROR(up_RadSpec!$J$25*(AC25*$B50),".")</f>
        <v>38009.14129764367</v>
      </c>
      <c r="AZ50" s="34">
        <f>IFERROR(up_RadSpec!$J$25*(AC25*$B50),".")</f>
        <v>38009.14129764367</v>
      </c>
      <c r="BA50" s="42">
        <f t="shared" si="2"/>
        <v>2.1924550381384044E-4</v>
      </c>
      <c r="BB50" s="42">
        <f t="shared" ref="BB50:BY50" si="48">IFERROR(BB25/$B50,0)</f>
        <v>6.5773651144152131E-4</v>
      </c>
      <c r="BC50" s="42">
        <f t="shared" si="48"/>
        <v>6.5773651144152131E-4</v>
      </c>
      <c r="BD50" s="42">
        <f t="shared" si="48"/>
        <v>6.5773651144152131E-4</v>
      </c>
      <c r="BE50" s="42">
        <f t="shared" si="48"/>
        <v>6.5773651144152131E-4</v>
      </c>
      <c r="BF50" s="42">
        <f t="shared" si="48"/>
        <v>6.5773651144152131E-4</v>
      </c>
      <c r="BG50" s="42">
        <f t="shared" si="48"/>
        <v>6.5773651144152131E-4</v>
      </c>
      <c r="BH50" s="42">
        <f t="shared" si="48"/>
        <v>6.5773651144152131E-4</v>
      </c>
      <c r="BI50" s="42">
        <f t="shared" si="48"/>
        <v>6.5773651144152131E-4</v>
      </c>
      <c r="BJ50" s="42">
        <f t="shared" si="48"/>
        <v>6.5773651144152131E-4</v>
      </c>
      <c r="BK50" s="42">
        <f t="shared" si="48"/>
        <v>6.5773651144152131E-4</v>
      </c>
      <c r="BL50" s="42">
        <f t="shared" si="48"/>
        <v>6.5773651144152131E-4</v>
      </c>
      <c r="BM50" s="42">
        <f t="shared" si="48"/>
        <v>6.5773651144152131E-4</v>
      </c>
      <c r="BN50" s="42">
        <f t="shared" si="48"/>
        <v>6.5773651144152131E-4</v>
      </c>
      <c r="BO50" s="42">
        <f t="shared" si="48"/>
        <v>6.5773651144152131E-4</v>
      </c>
      <c r="BP50" s="42">
        <f t="shared" si="48"/>
        <v>6.5773651144152131E-4</v>
      </c>
      <c r="BQ50" s="42">
        <f t="shared" si="48"/>
        <v>6.5773651144152131E-4</v>
      </c>
      <c r="BR50" s="42">
        <f t="shared" si="48"/>
        <v>6.5773651144152131E-4</v>
      </c>
      <c r="BS50" s="42">
        <f t="shared" si="48"/>
        <v>6.5773651144152131E-4</v>
      </c>
      <c r="BT50" s="42">
        <f t="shared" si="48"/>
        <v>6.5773651144152131E-4</v>
      </c>
      <c r="BU50" s="42">
        <f t="shared" si="48"/>
        <v>6.5773651144152131E-4</v>
      </c>
      <c r="BV50" s="42">
        <f t="shared" si="48"/>
        <v>6.5773651144152131E-4</v>
      </c>
      <c r="BW50" s="42">
        <f t="shared" si="48"/>
        <v>6.5773651144152131E-4</v>
      </c>
      <c r="BX50" s="42">
        <f t="shared" si="48"/>
        <v>6.5773651144152131E-4</v>
      </c>
      <c r="BY50" s="42">
        <f t="shared" si="48"/>
        <v>6.5773651144152131E-4</v>
      </c>
      <c r="BZ50" s="34">
        <f t="shared" si="3"/>
        <v>114027.42389293101</v>
      </c>
      <c r="CA50" s="34">
        <f>IFERROR(up_RadSpec!$J$25*(AC25*$B50),".")</f>
        <v>38009.14129764367</v>
      </c>
      <c r="CB50" s="34">
        <f>IFERROR(up_RadSpec!$J$25*(AC25*$B50),".")</f>
        <v>38009.14129764367</v>
      </c>
      <c r="CC50" s="34">
        <f>IFERROR(up_RadSpec!$J$25*(AC25*$B50),".")</f>
        <v>38009.14129764367</v>
      </c>
      <c r="CD50" s="34">
        <f>IFERROR(up_RadSpec!$J$25*(AC25*$B50),".")</f>
        <v>38009.14129764367</v>
      </c>
      <c r="CE50" s="34">
        <f>IFERROR(up_RadSpec!$J$25*(AC25*$B50),".")</f>
        <v>38009.14129764367</v>
      </c>
      <c r="CF50" s="34">
        <f>IFERROR(up_RadSpec!$J$25*(AC25*$B50),".")</f>
        <v>38009.14129764367</v>
      </c>
      <c r="CG50" s="34">
        <f>IFERROR(up_RadSpec!$J$25*(AC25*$B50),".")</f>
        <v>38009.14129764367</v>
      </c>
      <c r="CH50" s="34">
        <f>IFERROR(up_RadSpec!$J$25*(AC25*$B50),".")</f>
        <v>38009.14129764367</v>
      </c>
      <c r="CI50" s="34">
        <f>IFERROR(up_RadSpec!$J$25*(AC25*$B50),".")</f>
        <v>38009.14129764367</v>
      </c>
      <c r="CJ50" s="34">
        <f>IFERROR(up_RadSpec!$J$25*(AC25*$B50),".")</f>
        <v>38009.14129764367</v>
      </c>
      <c r="CK50" s="34">
        <f>IFERROR(up_RadSpec!$J$25*(AC25*$B50),".")</f>
        <v>38009.14129764367</v>
      </c>
      <c r="CL50" s="34">
        <f>IFERROR(up_RadSpec!$J$25*(AC25*$B50),".")</f>
        <v>38009.14129764367</v>
      </c>
      <c r="CM50" s="34">
        <f>IFERROR(up_RadSpec!$J$25*(AC25*$B50),".")</f>
        <v>38009.14129764367</v>
      </c>
      <c r="CN50" s="34">
        <f>IFERROR(up_RadSpec!$J$25*(AC25*$B50),".")</f>
        <v>38009.14129764367</v>
      </c>
      <c r="CO50" s="34">
        <f>IFERROR(up_RadSpec!$J$25*(AC25*$B50),".")</f>
        <v>38009.14129764367</v>
      </c>
      <c r="CP50" s="34">
        <f>IFERROR(up_RadSpec!$J$25*(AC25*$B50),".")</f>
        <v>38009.14129764367</v>
      </c>
      <c r="CQ50" s="34">
        <f>IFERROR(up_RadSpec!$J$25*(AC25*$B50),".")</f>
        <v>38009.14129764367</v>
      </c>
      <c r="CR50" s="34">
        <f>IFERROR(up_RadSpec!$J$25*(AC25*$B50),".")</f>
        <v>38009.14129764367</v>
      </c>
      <c r="CS50" s="34">
        <f>IFERROR(up_RadSpec!$J$25*(AC25*$B50),".")</f>
        <v>38009.14129764367</v>
      </c>
      <c r="CT50" s="34">
        <f>IFERROR(up_RadSpec!$J$25*(AC25*$B50),".")</f>
        <v>38009.14129764367</v>
      </c>
      <c r="CU50" s="34">
        <f>IFERROR(up_RadSpec!$J$25*(AC25*$B50),".")</f>
        <v>38009.14129764367</v>
      </c>
      <c r="CV50" s="34">
        <f>IFERROR(up_RadSpec!$J$25*(AC25*$B50),".")</f>
        <v>38009.14129764367</v>
      </c>
      <c r="CW50" s="34">
        <f>IFERROR(up_RadSpec!$J$25*(AC25*$B50),".")</f>
        <v>38009.14129764367</v>
      </c>
      <c r="CX50" s="34">
        <f>IFERROR(up_RadSpec!$J$25*(AC25*$B50),".")</f>
        <v>38009.14129764367</v>
      </c>
    </row>
    <row r="51" spans="1:102" s="3" customFormat="1" x14ac:dyDescent="0.25">
      <c r="A51" s="55" t="s">
        <v>1061</v>
      </c>
      <c r="B51" s="3">
        <v>1</v>
      </c>
      <c r="C51" s="42">
        <f t="shared" si="0"/>
        <v>2.1924550381384044E-4</v>
      </c>
      <c r="D51" s="42">
        <f t="shared" ref="D51:AA51" si="49">IFERROR(D21/$B51,0)</f>
        <v>6.5773651144152131E-4</v>
      </c>
      <c r="E51" s="42">
        <f t="shared" si="49"/>
        <v>6.5773651144152131E-4</v>
      </c>
      <c r="F51" s="42">
        <f t="shared" si="49"/>
        <v>6.5773651144152131E-4</v>
      </c>
      <c r="G51" s="42">
        <f t="shared" si="49"/>
        <v>6.5773651144152131E-4</v>
      </c>
      <c r="H51" s="42">
        <f t="shared" si="49"/>
        <v>6.5773651144152131E-4</v>
      </c>
      <c r="I51" s="42">
        <f t="shared" si="49"/>
        <v>6.5773651144152131E-4</v>
      </c>
      <c r="J51" s="42">
        <f t="shared" si="49"/>
        <v>6.5773651144152131E-4</v>
      </c>
      <c r="K51" s="42">
        <f t="shared" si="49"/>
        <v>6.5773651144152131E-4</v>
      </c>
      <c r="L51" s="42">
        <f t="shared" si="49"/>
        <v>6.5773651144152131E-4</v>
      </c>
      <c r="M51" s="42">
        <f t="shared" si="49"/>
        <v>6.5773651144152131E-4</v>
      </c>
      <c r="N51" s="42">
        <f t="shared" si="49"/>
        <v>6.5773651144152131E-4</v>
      </c>
      <c r="O51" s="42">
        <f t="shared" si="49"/>
        <v>6.5773651144152131E-4</v>
      </c>
      <c r="P51" s="42">
        <f t="shared" si="49"/>
        <v>6.5773651144152131E-4</v>
      </c>
      <c r="Q51" s="42">
        <f t="shared" si="49"/>
        <v>6.5773651144152131E-4</v>
      </c>
      <c r="R51" s="42">
        <f t="shared" si="49"/>
        <v>6.5773651144152131E-4</v>
      </c>
      <c r="S51" s="42">
        <f t="shared" si="49"/>
        <v>6.5773651144152131E-4</v>
      </c>
      <c r="T51" s="42">
        <f t="shared" si="49"/>
        <v>6.5773651144152131E-4</v>
      </c>
      <c r="U51" s="42">
        <f t="shared" si="49"/>
        <v>6.5773651144152131E-4</v>
      </c>
      <c r="V51" s="42">
        <f t="shared" si="49"/>
        <v>6.5773651144152131E-4</v>
      </c>
      <c r="W51" s="42">
        <f t="shared" si="49"/>
        <v>6.5773651144152131E-4</v>
      </c>
      <c r="X51" s="42">
        <f t="shared" si="49"/>
        <v>6.5773651144152131E-4</v>
      </c>
      <c r="Y51" s="42">
        <f t="shared" si="49"/>
        <v>6.5773651144152131E-4</v>
      </c>
      <c r="Z51" s="42">
        <f t="shared" si="49"/>
        <v>6.5773651144152131E-4</v>
      </c>
      <c r="AA51" s="42">
        <f t="shared" si="49"/>
        <v>6.5773651144152131E-4</v>
      </c>
      <c r="AB51" s="34">
        <f t="shared" si="11"/>
        <v>114027.42389293101</v>
      </c>
      <c r="AC51" s="34">
        <f>IFERROR(up_RadSpec!$J$21*(AC21*$B51),".")</f>
        <v>38009.14129764367</v>
      </c>
      <c r="AD51" s="34">
        <f>IFERROR(up_RadSpec!$J$21*(AC21*$B51),".")</f>
        <v>38009.14129764367</v>
      </c>
      <c r="AE51" s="34">
        <f>IFERROR(up_RadSpec!$J$21*(AC21*$B51),".")</f>
        <v>38009.14129764367</v>
      </c>
      <c r="AF51" s="34">
        <f>IFERROR(up_RadSpec!$J$21*(AC21*$B51),".")</f>
        <v>38009.14129764367</v>
      </c>
      <c r="AG51" s="34">
        <f>IFERROR(up_RadSpec!$J$21*(AC21*$B51),".")</f>
        <v>38009.14129764367</v>
      </c>
      <c r="AH51" s="34">
        <f>IFERROR(up_RadSpec!$J$21*(AC21*$B51),".")</f>
        <v>38009.14129764367</v>
      </c>
      <c r="AI51" s="34">
        <f>IFERROR(up_RadSpec!$J$21*(AC21*$B51),".")</f>
        <v>38009.14129764367</v>
      </c>
      <c r="AJ51" s="34">
        <f>IFERROR(up_RadSpec!$J$21*(AC21*$B51),".")</f>
        <v>38009.14129764367</v>
      </c>
      <c r="AK51" s="34">
        <f>IFERROR(up_RadSpec!$J$21*(AC21*$B51),".")</f>
        <v>38009.14129764367</v>
      </c>
      <c r="AL51" s="34">
        <f>IFERROR(up_RadSpec!$J$21*(AC21*$B51),".")</f>
        <v>38009.14129764367</v>
      </c>
      <c r="AM51" s="34">
        <f>IFERROR(up_RadSpec!$J$21*(AC21*$B51),".")</f>
        <v>38009.14129764367</v>
      </c>
      <c r="AN51" s="34">
        <f>IFERROR(up_RadSpec!$J$21*(AC21*$B51),".")</f>
        <v>38009.14129764367</v>
      </c>
      <c r="AO51" s="34">
        <f>IFERROR(up_RadSpec!$J$21*(AC21*$B51),".")</f>
        <v>38009.14129764367</v>
      </c>
      <c r="AP51" s="34">
        <f>IFERROR(up_RadSpec!$J$21*(AC21*$B51),".")</f>
        <v>38009.14129764367</v>
      </c>
      <c r="AQ51" s="34">
        <f>IFERROR(up_RadSpec!$J$21*(AC21*$B51),".")</f>
        <v>38009.14129764367</v>
      </c>
      <c r="AR51" s="34">
        <f>IFERROR(up_RadSpec!$J$21*(AC21*$B51),".")</f>
        <v>38009.14129764367</v>
      </c>
      <c r="AS51" s="34">
        <f>IFERROR(up_RadSpec!$J$21*(AC21*$B51),".")</f>
        <v>38009.14129764367</v>
      </c>
      <c r="AT51" s="34">
        <f>IFERROR(up_RadSpec!$J$21*(AC21*$B51),".")</f>
        <v>38009.14129764367</v>
      </c>
      <c r="AU51" s="34">
        <f>IFERROR(up_RadSpec!$J$21*(AC21*$B51),".")</f>
        <v>38009.14129764367</v>
      </c>
      <c r="AV51" s="34">
        <f>IFERROR(up_RadSpec!$J$21*(AC21*$B51),".")</f>
        <v>38009.14129764367</v>
      </c>
      <c r="AW51" s="34">
        <f>IFERROR(up_RadSpec!$J$21*(AC21*$B51),".")</f>
        <v>38009.14129764367</v>
      </c>
      <c r="AX51" s="34">
        <f>IFERROR(up_RadSpec!$J$21*(AC21*$B51),".")</f>
        <v>38009.14129764367</v>
      </c>
      <c r="AY51" s="34">
        <f>IFERROR(up_RadSpec!$J$21*(AC21*$B51),".")</f>
        <v>38009.14129764367</v>
      </c>
      <c r="AZ51" s="34">
        <f>IFERROR(up_RadSpec!$J$21*(AC21*$B51),".")</f>
        <v>38009.14129764367</v>
      </c>
      <c r="BA51" s="42">
        <f t="shared" si="2"/>
        <v>2.1924550381384044E-4</v>
      </c>
      <c r="BB51" s="42">
        <f t="shared" ref="BB51:BY51" si="50">IFERROR(BB21/$B51,0)</f>
        <v>6.5773651144152131E-4</v>
      </c>
      <c r="BC51" s="42">
        <f t="shared" si="50"/>
        <v>6.5773651144152131E-4</v>
      </c>
      <c r="BD51" s="42">
        <f t="shared" si="50"/>
        <v>6.5773651144152131E-4</v>
      </c>
      <c r="BE51" s="42">
        <f t="shared" si="50"/>
        <v>6.5773651144152131E-4</v>
      </c>
      <c r="BF51" s="42">
        <f t="shared" si="50"/>
        <v>6.5773651144152131E-4</v>
      </c>
      <c r="BG51" s="42">
        <f t="shared" si="50"/>
        <v>6.5773651144152131E-4</v>
      </c>
      <c r="BH51" s="42">
        <f t="shared" si="50"/>
        <v>6.5773651144152131E-4</v>
      </c>
      <c r="BI51" s="42">
        <f t="shared" si="50"/>
        <v>6.5773651144152131E-4</v>
      </c>
      <c r="BJ51" s="42">
        <f t="shared" si="50"/>
        <v>6.5773651144152131E-4</v>
      </c>
      <c r="BK51" s="42">
        <f t="shared" si="50"/>
        <v>6.5773651144152131E-4</v>
      </c>
      <c r="BL51" s="42">
        <f t="shared" si="50"/>
        <v>6.5773651144152131E-4</v>
      </c>
      <c r="BM51" s="42">
        <f t="shared" si="50"/>
        <v>6.5773651144152131E-4</v>
      </c>
      <c r="BN51" s="42">
        <f t="shared" si="50"/>
        <v>6.5773651144152131E-4</v>
      </c>
      <c r="BO51" s="42">
        <f t="shared" si="50"/>
        <v>6.5773651144152131E-4</v>
      </c>
      <c r="BP51" s="42">
        <f t="shared" si="50"/>
        <v>6.5773651144152131E-4</v>
      </c>
      <c r="BQ51" s="42">
        <f t="shared" si="50"/>
        <v>6.5773651144152131E-4</v>
      </c>
      <c r="BR51" s="42">
        <f t="shared" si="50"/>
        <v>6.5773651144152131E-4</v>
      </c>
      <c r="BS51" s="42">
        <f t="shared" si="50"/>
        <v>6.5773651144152131E-4</v>
      </c>
      <c r="BT51" s="42">
        <f t="shared" si="50"/>
        <v>6.5773651144152131E-4</v>
      </c>
      <c r="BU51" s="42">
        <f t="shared" si="50"/>
        <v>6.5773651144152131E-4</v>
      </c>
      <c r="BV51" s="42">
        <f t="shared" si="50"/>
        <v>6.5773651144152131E-4</v>
      </c>
      <c r="BW51" s="42">
        <f t="shared" si="50"/>
        <v>6.5773651144152131E-4</v>
      </c>
      <c r="BX51" s="42">
        <f t="shared" si="50"/>
        <v>6.5773651144152131E-4</v>
      </c>
      <c r="BY51" s="42">
        <f t="shared" si="50"/>
        <v>6.5773651144152131E-4</v>
      </c>
      <c r="BZ51" s="34">
        <f t="shared" si="3"/>
        <v>114027.42389293101</v>
      </c>
      <c r="CA51" s="34">
        <f>IFERROR(up_RadSpec!$J$21*(AC21*$B51),".")</f>
        <v>38009.14129764367</v>
      </c>
      <c r="CB51" s="34">
        <f>IFERROR(up_RadSpec!$J$21*(AC21*$B51),".")</f>
        <v>38009.14129764367</v>
      </c>
      <c r="CC51" s="34">
        <f>IFERROR(up_RadSpec!$J$21*(AC21*$B51),".")</f>
        <v>38009.14129764367</v>
      </c>
      <c r="CD51" s="34">
        <f>IFERROR(up_RadSpec!$J$21*(AC21*$B51),".")</f>
        <v>38009.14129764367</v>
      </c>
      <c r="CE51" s="34">
        <f>IFERROR(up_RadSpec!$J$21*(AC21*$B51),".")</f>
        <v>38009.14129764367</v>
      </c>
      <c r="CF51" s="34">
        <f>IFERROR(up_RadSpec!$J$21*(AC21*$B51),".")</f>
        <v>38009.14129764367</v>
      </c>
      <c r="CG51" s="34">
        <f>IFERROR(up_RadSpec!$J$21*(AC21*$B51),".")</f>
        <v>38009.14129764367</v>
      </c>
      <c r="CH51" s="34">
        <f>IFERROR(up_RadSpec!$J$21*(AC21*$B51),".")</f>
        <v>38009.14129764367</v>
      </c>
      <c r="CI51" s="34">
        <f>IFERROR(up_RadSpec!$J$21*(AC21*$B51),".")</f>
        <v>38009.14129764367</v>
      </c>
      <c r="CJ51" s="34">
        <f>IFERROR(up_RadSpec!$J$21*(AC21*$B51),".")</f>
        <v>38009.14129764367</v>
      </c>
      <c r="CK51" s="34">
        <f>IFERROR(up_RadSpec!$J$21*(AC21*$B51),".")</f>
        <v>38009.14129764367</v>
      </c>
      <c r="CL51" s="34">
        <f>IFERROR(up_RadSpec!$J$21*(AC21*$B51),".")</f>
        <v>38009.14129764367</v>
      </c>
      <c r="CM51" s="34">
        <f>IFERROR(up_RadSpec!$J$21*(AC21*$B51),".")</f>
        <v>38009.14129764367</v>
      </c>
      <c r="CN51" s="34">
        <f>IFERROR(up_RadSpec!$J$21*(AC21*$B51),".")</f>
        <v>38009.14129764367</v>
      </c>
      <c r="CO51" s="34">
        <f>IFERROR(up_RadSpec!$J$21*(AC21*$B51),".")</f>
        <v>38009.14129764367</v>
      </c>
      <c r="CP51" s="34">
        <f>IFERROR(up_RadSpec!$J$21*(AC21*$B51),".")</f>
        <v>38009.14129764367</v>
      </c>
      <c r="CQ51" s="34">
        <f>IFERROR(up_RadSpec!$J$21*(AC21*$B51),".")</f>
        <v>38009.14129764367</v>
      </c>
      <c r="CR51" s="34">
        <f>IFERROR(up_RadSpec!$J$21*(AC21*$B51),".")</f>
        <v>38009.14129764367</v>
      </c>
      <c r="CS51" s="34">
        <f>IFERROR(up_RadSpec!$J$21*(AC21*$B51),".")</f>
        <v>38009.14129764367</v>
      </c>
      <c r="CT51" s="34">
        <f>IFERROR(up_RadSpec!$J$21*(AC21*$B51),".")</f>
        <v>38009.14129764367</v>
      </c>
      <c r="CU51" s="34">
        <f>IFERROR(up_RadSpec!$J$21*(AC21*$B51),".")</f>
        <v>38009.14129764367</v>
      </c>
      <c r="CV51" s="34">
        <f>IFERROR(up_RadSpec!$J$21*(AC21*$B51),".")</f>
        <v>38009.14129764367</v>
      </c>
      <c r="CW51" s="34">
        <f>IFERROR(up_RadSpec!$J$21*(AC21*$B51),".")</f>
        <v>38009.14129764367</v>
      </c>
      <c r="CX51" s="34">
        <f>IFERROR(up_RadSpec!$J$21*(AC21*$B51),".")</f>
        <v>38009.14129764367</v>
      </c>
    </row>
    <row r="52" spans="1:102" s="3" customFormat="1" x14ac:dyDescent="0.25">
      <c r="A52" s="55" t="s">
        <v>1062</v>
      </c>
      <c r="B52" s="3">
        <v>0.99980000000000002</v>
      </c>
      <c r="C52" s="42">
        <f t="shared" si="0"/>
        <v>2.1928936168617762E-4</v>
      </c>
      <c r="D52" s="42">
        <f t="shared" ref="D52:AA52" si="51">IFERROR(D17/$B52,0)</f>
        <v>6.5786808505853295E-4</v>
      </c>
      <c r="E52" s="42">
        <f t="shared" si="51"/>
        <v>6.5786808505853295E-4</v>
      </c>
      <c r="F52" s="42">
        <f t="shared" si="51"/>
        <v>6.5786808505853295E-4</v>
      </c>
      <c r="G52" s="42">
        <f t="shared" si="51"/>
        <v>6.5786808505853295E-4</v>
      </c>
      <c r="H52" s="42">
        <f t="shared" si="51"/>
        <v>6.5786808505853295E-4</v>
      </c>
      <c r="I52" s="42">
        <f t="shared" si="51"/>
        <v>6.5786808505853295E-4</v>
      </c>
      <c r="J52" s="42">
        <f t="shared" si="51"/>
        <v>6.5786808505853295E-4</v>
      </c>
      <c r="K52" s="42">
        <f t="shared" si="51"/>
        <v>6.5786808505853295E-4</v>
      </c>
      <c r="L52" s="42">
        <f t="shared" si="51"/>
        <v>6.5786808505853295E-4</v>
      </c>
      <c r="M52" s="42">
        <f t="shared" si="51"/>
        <v>6.5786808505853295E-4</v>
      </c>
      <c r="N52" s="42">
        <f t="shared" si="51"/>
        <v>6.5786808505853295E-4</v>
      </c>
      <c r="O52" s="42">
        <f t="shared" si="51"/>
        <v>6.5786808505853295E-4</v>
      </c>
      <c r="P52" s="42">
        <f t="shared" si="51"/>
        <v>6.5786808505853295E-4</v>
      </c>
      <c r="Q52" s="42">
        <f t="shared" si="51"/>
        <v>6.5786808505853295E-4</v>
      </c>
      <c r="R52" s="42">
        <f t="shared" si="51"/>
        <v>6.5786808505853295E-4</v>
      </c>
      <c r="S52" s="42">
        <f t="shared" si="51"/>
        <v>6.5786808505853295E-4</v>
      </c>
      <c r="T52" s="42">
        <f t="shared" si="51"/>
        <v>6.5786808505853295E-4</v>
      </c>
      <c r="U52" s="42">
        <f t="shared" si="51"/>
        <v>6.5786808505853295E-4</v>
      </c>
      <c r="V52" s="42">
        <f t="shared" si="51"/>
        <v>6.5786808505853295E-4</v>
      </c>
      <c r="W52" s="42">
        <f t="shared" si="51"/>
        <v>6.5786808505853295E-4</v>
      </c>
      <c r="X52" s="42">
        <f t="shared" si="51"/>
        <v>6.5786808505853295E-4</v>
      </c>
      <c r="Y52" s="42">
        <f t="shared" si="51"/>
        <v>6.5786808505853295E-4</v>
      </c>
      <c r="Z52" s="42">
        <f t="shared" si="51"/>
        <v>6.5786808505853295E-4</v>
      </c>
      <c r="AA52" s="42">
        <f t="shared" si="51"/>
        <v>6.5786808505853295E-4</v>
      </c>
      <c r="AB52" s="34">
        <f t="shared" si="11"/>
        <v>114004.61840815243</v>
      </c>
      <c r="AC52" s="34">
        <f>IFERROR(up_RadSpec!$J$17*(AC17*$B52),".")</f>
        <v>38001.539469384144</v>
      </c>
      <c r="AD52" s="34">
        <f>IFERROR(up_RadSpec!$J$17*(AC17*$B52),".")</f>
        <v>38001.539469384144</v>
      </c>
      <c r="AE52" s="34">
        <f>IFERROR(up_RadSpec!$J$17*(AC17*$B52),".")</f>
        <v>38001.539469384144</v>
      </c>
      <c r="AF52" s="34">
        <f>IFERROR(up_RadSpec!$J$17*(AC17*$B52),".")</f>
        <v>38001.539469384144</v>
      </c>
      <c r="AG52" s="34">
        <f>IFERROR(up_RadSpec!$J$17*(AC17*$B52),".")</f>
        <v>38001.539469384144</v>
      </c>
      <c r="AH52" s="34">
        <f>IFERROR(up_RadSpec!$J$17*(AC17*$B52),".")</f>
        <v>38001.539469384144</v>
      </c>
      <c r="AI52" s="34">
        <f>IFERROR(up_RadSpec!$J$17*(AC17*$B52),".")</f>
        <v>38001.539469384144</v>
      </c>
      <c r="AJ52" s="34">
        <f>IFERROR(up_RadSpec!$J$17*(AC17*$B52),".")</f>
        <v>38001.539469384144</v>
      </c>
      <c r="AK52" s="34">
        <f>IFERROR(up_RadSpec!$J$17*(AC17*$B52),".")</f>
        <v>38001.539469384144</v>
      </c>
      <c r="AL52" s="34">
        <f>IFERROR(up_RadSpec!$J$17*(AC17*$B52),".")</f>
        <v>38001.539469384144</v>
      </c>
      <c r="AM52" s="34">
        <f>IFERROR(up_RadSpec!$J$17*(AC17*$B52),".")</f>
        <v>38001.539469384144</v>
      </c>
      <c r="AN52" s="34">
        <f>IFERROR(up_RadSpec!$J$17*(AC17*$B52),".")</f>
        <v>38001.539469384144</v>
      </c>
      <c r="AO52" s="34">
        <f>IFERROR(up_RadSpec!$J$17*(AC17*$B52),".")</f>
        <v>38001.539469384144</v>
      </c>
      <c r="AP52" s="34">
        <f>IFERROR(up_RadSpec!$J$17*(AC17*$B52),".")</f>
        <v>38001.539469384144</v>
      </c>
      <c r="AQ52" s="34">
        <f>IFERROR(up_RadSpec!$J$17*(AC17*$B52),".")</f>
        <v>38001.539469384144</v>
      </c>
      <c r="AR52" s="34">
        <f>IFERROR(up_RadSpec!$J$17*(AC17*$B52),".")</f>
        <v>38001.539469384144</v>
      </c>
      <c r="AS52" s="34">
        <f>IFERROR(up_RadSpec!$J$17*(AC17*$B52),".")</f>
        <v>38001.539469384144</v>
      </c>
      <c r="AT52" s="34">
        <f>IFERROR(up_RadSpec!$J$17*(AC17*$B52),".")</f>
        <v>38001.539469384144</v>
      </c>
      <c r="AU52" s="34">
        <f>IFERROR(up_RadSpec!$J$17*(AC17*$B52),".")</f>
        <v>38001.539469384144</v>
      </c>
      <c r="AV52" s="34">
        <f>IFERROR(up_RadSpec!$J$17*(AC17*$B52),".")</f>
        <v>38001.539469384144</v>
      </c>
      <c r="AW52" s="34">
        <f>IFERROR(up_RadSpec!$J$17*(AC17*$B52),".")</f>
        <v>38001.539469384144</v>
      </c>
      <c r="AX52" s="34">
        <f>IFERROR(up_RadSpec!$J$17*(AC17*$B52),".")</f>
        <v>38001.539469384144</v>
      </c>
      <c r="AY52" s="34">
        <f>IFERROR(up_RadSpec!$J$17*(AC17*$B52),".")</f>
        <v>38001.539469384144</v>
      </c>
      <c r="AZ52" s="34">
        <f>IFERROR(up_RadSpec!$J$17*(AC17*$B52),".")</f>
        <v>38001.539469384144</v>
      </c>
      <c r="BA52" s="42">
        <f t="shared" si="2"/>
        <v>2.1928936168617762E-4</v>
      </c>
      <c r="BB52" s="42">
        <f t="shared" ref="BB52:BY52" si="52">IFERROR(BB17/$B52,0)</f>
        <v>6.5786808505853295E-4</v>
      </c>
      <c r="BC52" s="42">
        <f t="shared" si="52"/>
        <v>6.5786808505853295E-4</v>
      </c>
      <c r="BD52" s="42">
        <f t="shared" si="52"/>
        <v>6.5786808505853295E-4</v>
      </c>
      <c r="BE52" s="42">
        <f t="shared" si="52"/>
        <v>6.5786808505853295E-4</v>
      </c>
      <c r="BF52" s="42">
        <f t="shared" si="52"/>
        <v>6.5786808505853295E-4</v>
      </c>
      <c r="BG52" s="42">
        <f t="shared" si="52"/>
        <v>6.5786808505853295E-4</v>
      </c>
      <c r="BH52" s="42">
        <f t="shared" si="52"/>
        <v>6.5786808505853295E-4</v>
      </c>
      <c r="BI52" s="42">
        <f t="shared" si="52"/>
        <v>6.5786808505853295E-4</v>
      </c>
      <c r="BJ52" s="42">
        <f t="shared" si="52"/>
        <v>6.5786808505853295E-4</v>
      </c>
      <c r="BK52" s="42">
        <f t="shared" si="52"/>
        <v>6.5786808505853295E-4</v>
      </c>
      <c r="BL52" s="42">
        <f t="shared" si="52"/>
        <v>6.5786808505853295E-4</v>
      </c>
      <c r="BM52" s="42">
        <f t="shared" si="52"/>
        <v>6.5786808505853295E-4</v>
      </c>
      <c r="BN52" s="42">
        <f t="shared" si="52"/>
        <v>6.5786808505853295E-4</v>
      </c>
      <c r="BO52" s="42">
        <f t="shared" si="52"/>
        <v>6.5786808505853295E-4</v>
      </c>
      <c r="BP52" s="42">
        <f t="shared" si="52"/>
        <v>6.5786808505853295E-4</v>
      </c>
      <c r="BQ52" s="42">
        <f t="shared" si="52"/>
        <v>6.5786808505853295E-4</v>
      </c>
      <c r="BR52" s="42">
        <f t="shared" si="52"/>
        <v>6.5786808505853295E-4</v>
      </c>
      <c r="BS52" s="42">
        <f t="shared" si="52"/>
        <v>6.5786808505853295E-4</v>
      </c>
      <c r="BT52" s="42">
        <f t="shared" si="52"/>
        <v>6.5786808505853295E-4</v>
      </c>
      <c r="BU52" s="42">
        <f t="shared" si="52"/>
        <v>6.5786808505853295E-4</v>
      </c>
      <c r="BV52" s="42">
        <f t="shared" si="52"/>
        <v>6.5786808505853295E-4</v>
      </c>
      <c r="BW52" s="42">
        <f t="shared" si="52"/>
        <v>6.5786808505853295E-4</v>
      </c>
      <c r="BX52" s="42">
        <f t="shared" si="52"/>
        <v>6.5786808505853295E-4</v>
      </c>
      <c r="BY52" s="42">
        <f t="shared" si="52"/>
        <v>6.5786808505853295E-4</v>
      </c>
      <c r="BZ52" s="34">
        <f t="shared" si="3"/>
        <v>114004.61840815243</v>
      </c>
      <c r="CA52" s="34">
        <f>IFERROR(up_RadSpec!$J$17*(AC17*$B52),".")</f>
        <v>38001.539469384144</v>
      </c>
      <c r="CB52" s="34">
        <f>IFERROR(up_RadSpec!$J$17*(AC17*$B52),".")</f>
        <v>38001.539469384144</v>
      </c>
      <c r="CC52" s="34">
        <f>IFERROR(up_RadSpec!$J$17*(AC17*$B52),".")</f>
        <v>38001.539469384144</v>
      </c>
      <c r="CD52" s="34">
        <f>IFERROR(up_RadSpec!$J$17*(AC17*$B52),".")</f>
        <v>38001.539469384144</v>
      </c>
      <c r="CE52" s="34">
        <f>IFERROR(up_RadSpec!$J$17*(AC17*$B52),".")</f>
        <v>38001.539469384144</v>
      </c>
      <c r="CF52" s="34">
        <f>IFERROR(up_RadSpec!$J$17*(AC17*$B52),".")</f>
        <v>38001.539469384144</v>
      </c>
      <c r="CG52" s="34">
        <f>IFERROR(up_RadSpec!$J$17*(AC17*$B52),".")</f>
        <v>38001.539469384144</v>
      </c>
      <c r="CH52" s="34">
        <f>IFERROR(up_RadSpec!$J$17*(AC17*$B52),".")</f>
        <v>38001.539469384144</v>
      </c>
      <c r="CI52" s="34">
        <f>IFERROR(up_RadSpec!$J$17*(AC17*$B52),".")</f>
        <v>38001.539469384144</v>
      </c>
      <c r="CJ52" s="34">
        <f>IFERROR(up_RadSpec!$J$17*(AC17*$B52),".")</f>
        <v>38001.539469384144</v>
      </c>
      <c r="CK52" s="34">
        <f>IFERROR(up_RadSpec!$J$17*(AC17*$B52),".")</f>
        <v>38001.539469384144</v>
      </c>
      <c r="CL52" s="34">
        <f>IFERROR(up_RadSpec!$J$17*(AC17*$B52),".")</f>
        <v>38001.539469384144</v>
      </c>
      <c r="CM52" s="34">
        <f>IFERROR(up_RadSpec!$J$17*(AC17*$B52),".")</f>
        <v>38001.539469384144</v>
      </c>
      <c r="CN52" s="34">
        <f>IFERROR(up_RadSpec!$J$17*(AC17*$B52),".")</f>
        <v>38001.539469384144</v>
      </c>
      <c r="CO52" s="34">
        <f>IFERROR(up_RadSpec!$J$17*(AC17*$B52),".")</f>
        <v>38001.539469384144</v>
      </c>
      <c r="CP52" s="34">
        <f>IFERROR(up_RadSpec!$J$17*(AC17*$B52),".")</f>
        <v>38001.539469384144</v>
      </c>
      <c r="CQ52" s="34">
        <f>IFERROR(up_RadSpec!$J$17*(AC17*$B52),".")</f>
        <v>38001.539469384144</v>
      </c>
      <c r="CR52" s="34">
        <f>IFERROR(up_RadSpec!$J$17*(AC17*$B52),".")</f>
        <v>38001.539469384144</v>
      </c>
      <c r="CS52" s="34">
        <f>IFERROR(up_RadSpec!$J$17*(AC17*$B52),".")</f>
        <v>38001.539469384144</v>
      </c>
      <c r="CT52" s="34">
        <f>IFERROR(up_RadSpec!$J$17*(AC17*$B52),".")</f>
        <v>38001.539469384144</v>
      </c>
      <c r="CU52" s="34">
        <f>IFERROR(up_RadSpec!$J$17*(AC17*$B52),".")</f>
        <v>38001.539469384144</v>
      </c>
      <c r="CV52" s="34">
        <f>IFERROR(up_RadSpec!$J$17*(AC17*$B52),".")</f>
        <v>38001.539469384144</v>
      </c>
      <c r="CW52" s="34">
        <f>IFERROR(up_RadSpec!$J$17*(AC17*$B52),".")</f>
        <v>38001.539469384144</v>
      </c>
      <c r="CX52" s="34">
        <f>IFERROR(up_RadSpec!$J$17*(AC17*$B52),".")</f>
        <v>38001.539469384144</v>
      </c>
    </row>
    <row r="53" spans="1:102" s="3" customFormat="1" x14ac:dyDescent="0.25">
      <c r="A53" s="55" t="s">
        <v>1076</v>
      </c>
      <c r="B53" s="3">
        <v>2.0000000000000001E-4</v>
      </c>
      <c r="C53" s="42">
        <f t="shared" si="0"/>
        <v>1.0962275190692021</v>
      </c>
      <c r="D53" s="42">
        <f t="shared" ref="D53:AA53" si="53">IFERROR(D5/$B53,0)</f>
        <v>3.2886825572076064</v>
      </c>
      <c r="E53" s="42">
        <f t="shared" si="53"/>
        <v>3.2886825572076064</v>
      </c>
      <c r="F53" s="42">
        <f t="shared" si="53"/>
        <v>3.2886825572076064</v>
      </c>
      <c r="G53" s="42">
        <f t="shared" si="53"/>
        <v>3.2886825572076064</v>
      </c>
      <c r="H53" s="42">
        <f t="shared" si="53"/>
        <v>3.2886825572076064</v>
      </c>
      <c r="I53" s="42">
        <f t="shared" si="53"/>
        <v>3.2886825572076064</v>
      </c>
      <c r="J53" s="42">
        <f t="shared" si="53"/>
        <v>3.2886825572076064</v>
      </c>
      <c r="K53" s="42">
        <f t="shared" si="53"/>
        <v>3.2886825572076064</v>
      </c>
      <c r="L53" s="42">
        <f t="shared" si="53"/>
        <v>3.2886825572076064</v>
      </c>
      <c r="M53" s="42">
        <f t="shared" si="53"/>
        <v>3.2886825572076064</v>
      </c>
      <c r="N53" s="42">
        <f t="shared" si="53"/>
        <v>3.2886825572076064</v>
      </c>
      <c r="O53" s="42">
        <f t="shared" si="53"/>
        <v>3.2886825572076064</v>
      </c>
      <c r="P53" s="42">
        <f t="shared" si="53"/>
        <v>3.2886825572076064</v>
      </c>
      <c r="Q53" s="42">
        <f t="shared" si="53"/>
        <v>3.2886825572076064</v>
      </c>
      <c r="R53" s="42">
        <f t="shared" si="53"/>
        <v>3.2886825572076064</v>
      </c>
      <c r="S53" s="42">
        <f t="shared" si="53"/>
        <v>3.2886825572076064</v>
      </c>
      <c r="T53" s="42">
        <f t="shared" si="53"/>
        <v>3.2886825572076064</v>
      </c>
      <c r="U53" s="42">
        <f t="shared" si="53"/>
        <v>3.2886825572076064</v>
      </c>
      <c r="V53" s="42">
        <f t="shared" si="53"/>
        <v>3.2886825572076064</v>
      </c>
      <c r="W53" s="42">
        <f t="shared" si="53"/>
        <v>3.2886825572076064</v>
      </c>
      <c r="X53" s="42">
        <f t="shared" si="53"/>
        <v>3.2886825572076064</v>
      </c>
      <c r="Y53" s="42">
        <f t="shared" si="53"/>
        <v>3.2886825572076064</v>
      </c>
      <c r="Z53" s="42">
        <f t="shared" si="53"/>
        <v>3.2886825572076064</v>
      </c>
      <c r="AA53" s="42">
        <f t="shared" si="53"/>
        <v>3.2886825572076064</v>
      </c>
      <c r="AB53" s="34">
        <f t="shared" si="11"/>
        <v>22.805484778586205</v>
      </c>
      <c r="AC53" s="34">
        <f>IFERROR(up_RadSpec!$J$5*(AC5*$B53),".")</f>
        <v>7.6018282595287348</v>
      </c>
      <c r="AD53" s="34">
        <f>IFERROR(up_RadSpec!$J$5*(AC5*$B53),".")</f>
        <v>7.6018282595287348</v>
      </c>
      <c r="AE53" s="34">
        <f>IFERROR(up_RadSpec!$J$5*(AC5*$B53),".")</f>
        <v>7.6018282595287348</v>
      </c>
      <c r="AF53" s="34">
        <f>IFERROR(up_RadSpec!$J$5*(AC5*$B53),".")</f>
        <v>7.6018282595287348</v>
      </c>
      <c r="AG53" s="34">
        <f>IFERROR(up_RadSpec!$J$5*(AC5*$B53),".")</f>
        <v>7.6018282595287348</v>
      </c>
      <c r="AH53" s="34">
        <f>IFERROR(up_RadSpec!$J$5*(AC5*$B53),".")</f>
        <v>7.6018282595287348</v>
      </c>
      <c r="AI53" s="34">
        <f>IFERROR(up_RadSpec!$J$5*(AC5*$B53),".")</f>
        <v>7.6018282595287348</v>
      </c>
      <c r="AJ53" s="34">
        <f>IFERROR(up_RadSpec!$J$5*(AC5*$B53),".")</f>
        <v>7.6018282595287348</v>
      </c>
      <c r="AK53" s="34">
        <f>IFERROR(up_RadSpec!$J$5*(AC5*$B53),".")</f>
        <v>7.6018282595287348</v>
      </c>
      <c r="AL53" s="34">
        <f>IFERROR(up_RadSpec!$J$5*(AC5*$B53),".")</f>
        <v>7.6018282595287348</v>
      </c>
      <c r="AM53" s="34">
        <f>IFERROR(up_RadSpec!$J$5*(AC5*$B53),".")</f>
        <v>7.6018282595287348</v>
      </c>
      <c r="AN53" s="34">
        <f>IFERROR(up_RadSpec!$J$5*(AC5*$B53),".")</f>
        <v>7.6018282595287348</v>
      </c>
      <c r="AO53" s="34">
        <f>IFERROR(up_RadSpec!$J$5*(AC5*$B53),".")</f>
        <v>7.6018282595287348</v>
      </c>
      <c r="AP53" s="34">
        <f>IFERROR(up_RadSpec!$J$5*(AC5*$B53),".")</f>
        <v>7.6018282595287348</v>
      </c>
      <c r="AQ53" s="34">
        <f>IFERROR(up_RadSpec!$J$5*(AC5*$B53),".")</f>
        <v>7.6018282595287348</v>
      </c>
      <c r="AR53" s="34">
        <f>IFERROR(up_RadSpec!$J$5*(AC5*$B53),".")</f>
        <v>7.6018282595287348</v>
      </c>
      <c r="AS53" s="34">
        <f>IFERROR(up_RadSpec!$J$5*(AC5*$B53),".")</f>
        <v>7.6018282595287348</v>
      </c>
      <c r="AT53" s="34">
        <f>IFERROR(up_RadSpec!$J$5*(AC5*$B53),".")</f>
        <v>7.6018282595287348</v>
      </c>
      <c r="AU53" s="34">
        <f>IFERROR(up_RadSpec!$J$5*(AC5*$B53),".")</f>
        <v>7.6018282595287348</v>
      </c>
      <c r="AV53" s="34">
        <f>IFERROR(up_RadSpec!$J$5*(AC5*$B53),".")</f>
        <v>7.6018282595287348</v>
      </c>
      <c r="AW53" s="34">
        <f>IFERROR(up_RadSpec!$J$5*(AC5*$B53),".")</f>
        <v>7.6018282595287348</v>
      </c>
      <c r="AX53" s="34">
        <f>IFERROR(up_RadSpec!$J$5*(AC5*$B53),".")</f>
        <v>7.6018282595287348</v>
      </c>
      <c r="AY53" s="34">
        <f>IFERROR(up_RadSpec!$J$5*(AC5*$B53),".")</f>
        <v>7.6018282595287348</v>
      </c>
      <c r="AZ53" s="34">
        <f>IFERROR(up_RadSpec!$J$5*(AC5*$B53),".")</f>
        <v>7.6018282595287348</v>
      </c>
      <c r="BA53" s="42">
        <f t="shared" si="2"/>
        <v>1.0962275190692021</v>
      </c>
      <c r="BB53" s="42">
        <f t="shared" ref="BB53:BY53" si="54">IFERROR(BB5/$B53,0)</f>
        <v>3.2886825572076064</v>
      </c>
      <c r="BC53" s="42">
        <f t="shared" si="54"/>
        <v>3.2886825572076064</v>
      </c>
      <c r="BD53" s="42">
        <f t="shared" si="54"/>
        <v>3.2886825572076064</v>
      </c>
      <c r="BE53" s="42">
        <f t="shared" si="54"/>
        <v>3.2886825572076064</v>
      </c>
      <c r="BF53" s="42">
        <f t="shared" si="54"/>
        <v>3.2886825572076064</v>
      </c>
      <c r="BG53" s="42">
        <f t="shared" si="54"/>
        <v>3.2886825572076064</v>
      </c>
      <c r="BH53" s="42">
        <f t="shared" si="54"/>
        <v>3.2886825572076064</v>
      </c>
      <c r="BI53" s="42">
        <f t="shared" si="54"/>
        <v>3.2886825572076064</v>
      </c>
      <c r="BJ53" s="42">
        <f t="shared" si="54"/>
        <v>3.2886825572076064</v>
      </c>
      <c r="BK53" s="42">
        <f t="shared" si="54"/>
        <v>3.2886825572076064</v>
      </c>
      <c r="BL53" s="42">
        <f t="shared" si="54"/>
        <v>3.2886825572076064</v>
      </c>
      <c r="BM53" s="42">
        <f t="shared" si="54"/>
        <v>3.2886825572076064</v>
      </c>
      <c r="BN53" s="42">
        <f t="shared" si="54"/>
        <v>3.2886825572076064</v>
      </c>
      <c r="BO53" s="42">
        <f t="shared" si="54"/>
        <v>3.2886825572076064</v>
      </c>
      <c r="BP53" s="42">
        <f t="shared" si="54"/>
        <v>3.2886825572076064</v>
      </c>
      <c r="BQ53" s="42">
        <f t="shared" si="54"/>
        <v>3.2886825572076064</v>
      </c>
      <c r="BR53" s="42">
        <f t="shared" si="54"/>
        <v>3.2886825572076064</v>
      </c>
      <c r="BS53" s="42">
        <f t="shared" si="54"/>
        <v>3.2886825572076064</v>
      </c>
      <c r="BT53" s="42">
        <f t="shared" si="54"/>
        <v>3.2886825572076064</v>
      </c>
      <c r="BU53" s="42">
        <f t="shared" si="54"/>
        <v>3.2886825572076064</v>
      </c>
      <c r="BV53" s="42">
        <f t="shared" si="54"/>
        <v>3.2886825572076064</v>
      </c>
      <c r="BW53" s="42">
        <f t="shared" si="54"/>
        <v>3.2886825572076064</v>
      </c>
      <c r="BX53" s="42">
        <f t="shared" si="54"/>
        <v>3.2886825572076064</v>
      </c>
      <c r="BY53" s="42">
        <f t="shared" si="54"/>
        <v>3.2886825572076064</v>
      </c>
      <c r="BZ53" s="34">
        <f t="shared" si="3"/>
        <v>22.805484778586205</v>
      </c>
      <c r="CA53" s="34">
        <f>IFERROR(up_RadSpec!$J$5*(AC5*$B53),".")</f>
        <v>7.6018282595287348</v>
      </c>
      <c r="CB53" s="34">
        <f>IFERROR(up_RadSpec!$J$5*(AC5*$B53),".")</f>
        <v>7.6018282595287348</v>
      </c>
      <c r="CC53" s="34">
        <f>IFERROR(up_RadSpec!$J$5*(AC5*$B53),".")</f>
        <v>7.6018282595287348</v>
      </c>
      <c r="CD53" s="34">
        <f>IFERROR(up_RadSpec!$J$5*(AC5*$B53),".")</f>
        <v>7.6018282595287348</v>
      </c>
      <c r="CE53" s="34">
        <f>IFERROR(up_RadSpec!$J$5*(AC5*$B53),".")</f>
        <v>7.6018282595287348</v>
      </c>
      <c r="CF53" s="34">
        <f>IFERROR(up_RadSpec!$J$5*(AC5*$B53),".")</f>
        <v>7.6018282595287348</v>
      </c>
      <c r="CG53" s="34">
        <f>IFERROR(up_RadSpec!$J$5*(AC5*$B53),".")</f>
        <v>7.6018282595287348</v>
      </c>
      <c r="CH53" s="34">
        <f>IFERROR(up_RadSpec!$J$5*(AC5*$B53),".")</f>
        <v>7.6018282595287348</v>
      </c>
      <c r="CI53" s="34">
        <f>IFERROR(up_RadSpec!$J$5*(AC5*$B53),".")</f>
        <v>7.6018282595287348</v>
      </c>
      <c r="CJ53" s="34">
        <f>IFERROR(up_RadSpec!$J$5*(AC5*$B53),".")</f>
        <v>7.6018282595287348</v>
      </c>
      <c r="CK53" s="34">
        <f>IFERROR(up_RadSpec!$J$5*(AC5*$B53),".")</f>
        <v>7.6018282595287348</v>
      </c>
      <c r="CL53" s="34">
        <f>IFERROR(up_RadSpec!$J$5*(AC5*$B53),".")</f>
        <v>7.6018282595287348</v>
      </c>
      <c r="CM53" s="34">
        <f>IFERROR(up_RadSpec!$J$5*(AC5*$B53),".")</f>
        <v>7.6018282595287348</v>
      </c>
      <c r="CN53" s="34">
        <f>IFERROR(up_RadSpec!$J$5*(AC5*$B53),".")</f>
        <v>7.6018282595287348</v>
      </c>
      <c r="CO53" s="34">
        <f>IFERROR(up_RadSpec!$J$5*(AC5*$B53),".")</f>
        <v>7.6018282595287348</v>
      </c>
      <c r="CP53" s="34">
        <f>IFERROR(up_RadSpec!$J$5*(AC5*$B53),".")</f>
        <v>7.6018282595287348</v>
      </c>
      <c r="CQ53" s="34">
        <f>IFERROR(up_RadSpec!$J$5*(AC5*$B53),".")</f>
        <v>7.6018282595287348</v>
      </c>
      <c r="CR53" s="34">
        <f>IFERROR(up_RadSpec!$J$5*(AC5*$B53),".")</f>
        <v>7.6018282595287348</v>
      </c>
      <c r="CS53" s="34">
        <f>IFERROR(up_RadSpec!$J$5*(AC5*$B53),".")</f>
        <v>7.6018282595287348</v>
      </c>
      <c r="CT53" s="34">
        <f>IFERROR(up_RadSpec!$J$5*(AC5*$B53),".")</f>
        <v>7.6018282595287348</v>
      </c>
      <c r="CU53" s="34">
        <f>IFERROR(up_RadSpec!$J$5*(AC5*$B53),".")</f>
        <v>7.6018282595287348</v>
      </c>
      <c r="CV53" s="34">
        <f>IFERROR(up_RadSpec!$J$5*(AC5*$B53),".")</f>
        <v>7.6018282595287348</v>
      </c>
      <c r="CW53" s="34">
        <f>IFERROR(up_RadSpec!$J$5*(AC5*$B53),".")</f>
        <v>7.6018282595287348</v>
      </c>
      <c r="CX53" s="34">
        <f>IFERROR(up_RadSpec!$J$5*(AC5*$B53),".")</f>
        <v>7.6018282595287348</v>
      </c>
    </row>
    <row r="54" spans="1:102" s="3" customFormat="1" x14ac:dyDescent="0.25">
      <c r="A54" s="55" t="s">
        <v>1077</v>
      </c>
      <c r="B54" s="3">
        <v>0.99999979999999999</v>
      </c>
      <c r="C54" s="42">
        <f t="shared" si="0"/>
        <v>2.1924554766294995E-4</v>
      </c>
      <c r="D54" s="42">
        <f t="shared" ref="D54:AA54" si="55">IFERROR(D9/$B54,0)</f>
        <v>6.577366429888499E-4</v>
      </c>
      <c r="E54" s="42">
        <f t="shared" si="55"/>
        <v>6.577366429888499E-4</v>
      </c>
      <c r="F54" s="42">
        <f t="shared" si="55"/>
        <v>6.577366429888499E-4</v>
      </c>
      <c r="G54" s="42">
        <f t="shared" si="55"/>
        <v>6.577366429888499E-4</v>
      </c>
      <c r="H54" s="42">
        <f t="shared" si="55"/>
        <v>6.577366429888499E-4</v>
      </c>
      <c r="I54" s="42">
        <f t="shared" si="55"/>
        <v>6.577366429888499E-4</v>
      </c>
      <c r="J54" s="42">
        <f t="shared" si="55"/>
        <v>6.577366429888499E-4</v>
      </c>
      <c r="K54" s="42">
        <f t="shared" si="55"/>
        <v>6.577366429888499E-4</v>
      </c>
      <c r="L54" s="42">
        <f t="shared" si="55"/>
        <v>6.577366429888499E-4</v>
      </c>
      <c r="M54" s="42">
        <f t="shared" si="55"/>
        <v>6.577366429888499E-4</v>
      </c>
      <c r="N54" s="42">
        <f t="shared" si="55"/>
        <v>6.577366429888499E-4</v>
      </c>
      <c r="O54" s="42">
        <f t="shared" si="55"/>
        <v>6.577366429888499E-4</v>
      </c>
      <c r="P54" s="42">
        <f t="shared" si="55"/>
        <v>6.577366429888499E-4</v>
      </c>
      <c r="Q54" s="42">
        <f t="shared" si="55"/>
        <v>6.577366429888499E-4</v>
      </c>
      <c r="R54" s="42">
        <f t="shared" si="55"/>
        <v>6.577366429888499E-4</v>
      </c>
      <c r="S54" s="42">
        <f t="shared" si="55"/>
        <v>6.577366429888499E-4</v>
      </c>
      <c r="T54" s="42">
        <f t="shared" si="55"/>
        <v>6.577366429888499E-4</v>
      </c>
      <c r="U54" s="42">
        <f t="shared" si="55"/>
        <v>6.577366429888499E-4</v>
      </c>
      <c r="V54" s="42">
        <f t="shared" si="55"/>
        <v>6.577366429888499E-4</v>
      </c>
      <c r="W54" s="42">
        <f t="shared" si="55"/>
        <v>6.577366429888499E-4</v>
      </c>
      <c r="X54" s="42">
        <f t="shared" si="55"/>
        <v>6.577366429888499E-4</v>
      </c>
      <c r="Y54" s="42">
        <f t="shared" si="55"/>
        <v>6.577366429888499E-4</v>
      </c>
      <c r="Z54" s="42">
        <f t="shared" si="55"/>
        <v>6.577366429888499E-4</v>
      </c>
      <c r="AA54" s="42">
        <f t="shared" si="55"/>
        <v>6.577366429888499E-4</v>
      </c>
      <c r="AB54" s="34">
        <f t="shared" si="11"/>
        <v>114027.40108744623</v>
      </c>
      <c r="AC54" s="34">
        <f>IFERROR(up_RadSpec!$J$9*(AC9*$B54),".")</f>
        <v>38009.133695815406</v>
      </c>
      <c r="AD54" s="34">
        <f>IFERROR(up_RadSpec!$J$9*(AC9*$B54),".")</f>
        <v>38009.133695815406</v>
      </c>
      <c r="AE54" s="34">
        <f>IFERROR(up_RadSpec!$J$9*(AC9*$B54),".")</f>
        <v>38009.133695815406</v>
      </c>
      <c r="AF54" s="34">
        <f>IFERROR(up_RadSpec!$J$9*(AC9*$B54),".")</f>
        <v>38009.133695815406</v>
      </c>
      <c r="AG54" s="34">
        <f>IFERROR(up_RadSpec!$J$9*(AC9*$B54),".")</f>
        <v>38009.133695815406</v>
      </c>
      <c r="AH54" s="34">
        <f>IFERROR(up_RadSpec!$J$9*(AC9*$B54),".")</f>
        <v>38009.133695815406</v>
      </c>
      <c r="AI54" s="34">
        <f>IFERROR(up_RadSpec!$J$9*(AC9*$B54),".")</f>
        <v>38009.133695815406</v>
      </c>
      <c r="AJ54" s="34">
        <f>IFERROR(up_RadSpec!$J$9*(AC9*$B54),".")</f>
        <v>38009.133695815406</v>
      </c>
      <c r="AK54" s="34">
        <f>IFERROR(up_RadSpec!$J$9*(AC9*$B54),".")</f>
        <v>38009.133695815406</v>
      </c>
      <c r="AL54" s="34">
        <f>IFERROR(up_RadSpec!$J$9*(AC9*$B54),".")</f>
        <v>38009.133695815406</v>
      </c>
      <c r="AM54" s="34">
        <f>IFERROR(up_RadSpec!$J$9*(AC9*$B54),".")</f>
        <v>38009.133695815406</v>
      </c>
      <c r="AN54" s="34">
        <f>IFERROR(up_RadSpec!$J$9*(AC9*$B54),".")</f>
        <v>38009.133695815406</v>
      </c>
      <c r="AO54" s="34">
        <f>IFERROR(up_RadSpec!$J$9*(AC9*$B54),".")</f>
        <v>38009.133695815406</v>
      </c>
      <c r="AP54" s="34">
        <f>IFERROR(up_RadSpec!$J$9*(AC9*$B54),".")</f>
        <v>38009.133695815406</v>
      </c>
      <c r="AQ54" s="34">
        <f>IFERROR(up_RadSpec!$J$9*(AC9*$B54),".")</f>
        <v>38009.133695815406</v>
      </c>
      <c r="AR54" s="34">
        <f>IFERROR(up_RadSpec!$J$9*(AC9*$B54),".")</f>
        <v>38009.133695815406</v>
      </c>
      <c r="AS54" s="34">
        <f>IFERROR(up_RadSpec!$J$9*(AC9*$B54),".")</f>
        <v>38009.133695815406</v>
      </c>
      <c r="AT54" s="34">
        <f>IFERROR(up_RadSpec!$J$9*(AC9*$B54),".")</f>
        <v>38009.133695815406</v>
      </c>
      <c r="AU54" s="34">
        <f>IFERROR(up_RadSpec!$J$9*(AC9*$B54),".")</f>
        <v>38009.133695815406</v>
      </c>
      <c r="AV54" s="34">
        <f>IFERROR(up_RadSpec!$J$9*(AC9*$B54),".")</f>
        <v>38009.133695815406</v>
      </c>
      <c r="AW54" s="34">
        <f>IFERROR(up_RadSpec!$J$9*(AC9*$B54),".")</f>
        <v>38009.133695815406</v>
      </c>
      <c r="AX54" s="34">
        <f>IFERROR(up_RadSpec!$J$9*(AC9*$B54),".")</f>
        <v>38009.133695815406</v>
      </c>
      <c r="AY54" s="34">
        <f>IFERROR(up_RadSpec!$J$9*(AC9*$B54),".")</f>
        <v>38009.133695815406</v>
      </c>
      <c r="AZ54" s="34">
        <f>IFERROR(up_RadSpec!$J$9*(AC9*$B54),".")</f>
        <v>38009.133695815406</v>
      </c>
      <c r="BA54" s="42">
        <f t="shared" si="2"/>
        <v>2.1924554766294995E-4</v>
      </c>
      <c r="BB54" s="42">
        <f t="shared" ref="BB54:BY54" si="56">IFERROR(BB9/$B54,0)</f>
        <v>6.577366429888499E-4</v>
      </c>
      <c r="BC54" s="42">
        <f t="shared" si="56"/>
        <v>6.577366429888499E-4</v>
      </c>
      <c r="BD54" s="42">
        <f t="shared" si="56"/>
        <v>6.577366429888499E-4</v>
      </c>
      <c r="BE54" s="42">
        <f t="shared" si="56"/>
        <v>6.577366429888499E-4</v>
      </c>
      <c r="BF54" s="42">
        <f t="shared" si="56"/>
        <v>6.577366429888499E-4</v>
      </c>
      <c r="BG54" s="42">
        <f t="shared" si="56"/>
        <v>6.577366429888499E-4</v>
      </c>
      <c r="BH54" s="42">
        <f t="shared" si="56"/>
        <v>6.577366429888499E-4</v>
      </c>
      <c r="BI54" s="42">
        <f t="shared" si="56"/>
        <v>6.577366429888499E-4</v>
      </c>
      <c r="BJ54" s="42">
        <f t="shared" si="56"/>
        <v>6.577366429888499E-4</v>
      </c>
      <c r="BK54" s="42">
        <f t="shared" si="56"/>
        <v>6.577366429888499E-4</v>
      </c>
      <c r="BL54" s="42">
        <f t="shared" si="56"/>
        <v>6.577366429888499E-4</v>
      </c>
      <c r="BM54" s="42">
        <f t="shared" si="56"/>
        <v>6.577366429888499E-4</v>
      </c>
      <c r="BN54" s="42">
        <f t="shared" si="56"/>
        <v>6.577366429888499E-4</v>
      </c>
      <c r="BO54" s="42">
        <f t="shared" si="56"/>
        <v>6.577366429888499E-4</v>
      </c>
      <c r="BP54" s="42">
        <f t="shared" si="56"/>
        <v>6.577366429888499E-4</v>
      </c>
      <c r="BQ54" s="42">
        <f t="shared" si="56"/>
        <v>6.577366429888499E-4</v>
      </c>
      <c r="BR54" s="42">
        <f t="shared" si="56"/>
        <v>6.577366429888499E-4</v>
      </c>
      <c r="BS54" s="42">
        <f t="shared" si="56"/>
        <v>6.577366429888499E-4</v>
      </c>
      <c r="BT54" s="42">
        <f t="shared" si="56"/>
        <v>6.577366429888499E-4</v>
      </c>
      <c r="BU54" s="42">
        <f t="shared" si="56"/>
        <v>6.577366429888499E-4</v>
      </c>
      <c r="BV54" s="42">
        <f t="shared" si="56"/>
        <v>6.577366429888499E-4</v>
      </c>
      <c r="BW54" s="42">
        <f t="shared" si="56"/>
        <v>6.577366429888499E-4</v>
      </c>
      <c r="BX54" s="42">
        <f t="shared" si="56"/>
        <v>6.577366429888499E-4</v>
      </c>
      <c r="BY54" s="42">
        <f t="shared" si="56"/>
        <v>6.577366429888499E-4</v>
      </c>
      <c r="BZ54" s="34">
        <f t="shared" si="3"/>
        <v>114027.40108744623</v>
      </c>
      <c r="CA54" s="34">
        <f>IFERROR(up_RadSpec!$J$9*(AC9*$B54),".")</f>
        <v>38009.133695815406</v>
      </c>
      <c r="CB54" s="34">
        <f>IFERROR(up_RadSpec!$J$9*(AC9*$B54),".")</f>
        <v>38009.133695815406</v>
      </c>
      <c r="CC54" s="34">
        <f>IFERROR(up_RadSpec!$J$9*(AC9*$B54),".")</f>
        <v>38009.133695815406</v>
      </c>
      <c r="CD54" s="34">
        <f>IFERROR(up_RadSpec!$J$9*(AC9*$B54),".")</f>
        <v>38009.133695815406</v>
      </c>
      <c r="CE54" s="34">
        <f>IFERROR(up_RadSpec!$J$9*(AC9*$B54),".")</f>
        <v>38009.133695815406</v>
      </c>
      <c r="CF54" s="34">
        <f>IFERROR(up_RadSpec!$J$9*(AC9*$B54),".")</f>
        <v>38009.133695815406</v>
      </c>
      <c r="CG54" s="34">
        <f>IFERROR(up_RadSpec!$J$9*(AC9*$B54),".")</f>
        <v>38009.133695815406</v>
      </c>
      <c r="CH54" s="34">
        <f>IFERROR(up_RadSpec!$J$9*(AC9*$B54),".")</f>
        <v>38009.133695815406</v>
      </c>
      <c r="CI54" s="34">
        <f>IFERROR(up_RadSpec!$J$9*(AC9*$B54),".")</f>
        <v>38009.133695815406</v>
      </c>
      <c r="CJ54" s="34">
        <f>IFERROR(up_RadSpec!$J$9*(AC9*$B54),".")</f>
        <v>38009.133695815406</v>
      </c>
      <c r="CK54" s="34">
        <f>IFERROR(up_RadSpec!$J$9*(AC9*$B54),".")</f>
        <v>38009.133695815406</v>
      </c>
      <c r="CL54" s="34">
        <f>IFERROR(up_RadSpec!$J$9*(AC9*$B54),".")</f>
        <v>38009.133695815406</v>
      </c>
      <c r="CM54" s="34">
        <f>IFERROR(up_RadSpec!$J$9*(AC9*$B54),".")</f>
        <v>38009.133695815406</v>
      </c>
      <c r="CN54" s="34">
        <f>IFERROR(up_RadSpec!$J$9*(AC9*$B54),".")</f>
        <v>38009.133695815406</v>
      </c>
      <c r="CO54" s="34">
        <f>IFERROR(up_RadSpec!$J$9*(AC9*$B54),".")</f>
        <v>38009.133695815406</v>
      </c>
      <c r="CP54" s="34">
        <f>IFERROR(up_RadSpec!$J$9*(AC9*$B54),".")</f>
        <v>38009.133695815406</v>
      </c>
      <c r="CQ54" s="34">
        <f>IFERROR(up_RadSpec!$J$9*(AC9*$B54),".")</f>
        <v>38009.133695815406</v>
      </c>
      <c r="CR54" s="34">
        <f>IFERROR(up_RadSpec!$J$9*(AC9*$B54),".")</f>
        <v>38009.133695815406</v>
      </c>
      <c r="CS54" s="34">
        <f>IFERROR(up_RadSpec!$J$9*(AC9*$B54),".")</f>
        <v>38009.133695815406</v>
      </c>
      <c r="CT54" s="34">
        <f>IFERROR(up_RadSpec!$J$9*(AC9*$B54),".")</f>
        <v>38009.133695815406</v>
      </c>
      <c r="CU54" s="34">
        <f>IFERROR(up_RadSpec!$J$9*(AC9*$B54),".")</f>
        <v>38009.133695815406</v>
      </c>
      <c r="CV54" s="34">
        <f>IFERROR(up_RadSpec!$J$9*(AC9*$B54),".")</f>
        <v>38009.133695815406</v>
      </c>
      <c r="CW54" s="34">
        <f>IFERROR(up_RadSpec!$J$9*(AC9*$B54),".")</f>
        <v>38009.133695815406</v>
      </c>
      <c r="CX54" s="34">
        <f>IFERROR(up_RadSpec!$J$9*(AC9*$B54),".")</f>
        <v>38009.133695815406</v>
      </c>
    </row>
    <row r="55" spans="1:102" s="3" customFormat="1" x14ac:dyDescent="0.25">
      <c r="A55" s="55" t="s">
        <v>1078</v>
      </c>
      <c r="B55" s="3">
        <v>1.9999999999999999E-7</v>
      </c>
      <c r="C55" s="42">
        <f t="shared" si="0"/>
        <v>1096.2275190692021</v>
      </c>
      <c r="D55" s="42">
        <f t="shared" ref="D55:AA55" si="57">IFERROR(D24/$B55,0)</f>
        <v>3288.6825572076068</v>
      </c>
      <c r="E55" s="42">
        <f t="shared" si="57"/>
        <v>3288.6825572076068</v>
      </c>
      <c r="F55" s="42">
        <f t="shared" si="57"/>
        <v>3288.6825572076068</v>
      </c>
      <c r="G55" s="42">
        <f t="shared" si="57"/>
        <v>3288.6825572076068</v>
      </c>
      <c r="H55" s="42">
        <f t="shared" si="57"/>
        <v>3288.6825572076068</v>
      </c>
      <c r="I55" s="42">
        <f t="shared" si="57"/>
        <v>3288.6825572076068</v>
      </c>
      <c r="J55" s="42">
        <f t="shared" si="57"/>
        <v>3288.6825572076068</v>
      </c>
      <c r="K55" s="42">
        <f t="shared" si="57"/>
        <v>3288.6825572076068</v>
      </c>
      <c r="L55" s="42">
        <f t="shared" si="57"/>
        <v>3288.6825572076068</v>
      </c>
      <c r="M55" s="42">
        <f t="shared" si="57"/>
        <v>3288.6825572076068</v>
      </c>
      <c r="N55" s="42">
        <f t="shared" si="57"/>
        <v>3288.6825572076068</v>
      </c>
      <c r="O55" s="42">
        <f t="shared" si="57"/>
        <v>3288.6825572076068</v>
      </c>
      <c r="P55" s="42">
        <f t="shared" si="57"/>
        <v>3288.6825572076068</v>
      </c>
      <c r="Q55" s="42">
        <f t="shared" si="57"/>
        <v>3288.6825572076068</v>
      </c>
      <c r="R55" s="42">
        <f t="shared" si="57"/>
        <v>3288.6825572076068</v>
      </c>
      <c r="S55" s="42">
        <f t="shared" si="57"/>
        <v>3288.6825572076068</v>
      </c>
      <c r="T55" s="42">
        <f t="shared" si="57"/>
        <v>3288.6825572076068</v>
      </c>
      <c r="U55" s="42">
        <f t="shared" si="57"/>
        <v>3288.6825572076068</v>
      </c>
      <c r="V55" s="42">
        <f t="shared" si="57"/>
        <v>3288.6825572076068</v>
      </c>
      <c r="W55" s="42">
        <f t="shared" si="57"/>
        <v>3288.6825572076068</v>
      </c>
      <c r="X55" s="42">
        <f t="shared" si="57"/>
        <v>3288.6825572076068</v>
      </c>
      <c r="Y55" s="42">
        <f t="shared" si="57"/>
        <v>3288.6825572076068</v>
      </c>
      <c r="Z55" s="42">
        <f t="shared" si="57"/>
        <v>3288.6825572076068</v>
      </c>
      <c r="AA55" s="42">
        <f t="shared" si="57"/>
        <v>3288.6825572076068</v>
      </c>
      <c r="AB55" s="34">
        <f t="shared" si="11"/>
        <v>2.28054847785862E-2</v>
      </c>
      <c r="AC55" s="34">
        <f>IFERROR(up_RadSpec!$J$24*(AC24*$B55),".")</f>
        <v>7.6018282595287333E-3</v>
      </c>
      <c r="AD55" s="34">
        <f>IFERROR(up_RadSpec!$J$24*(AC24*$B55),".")</f>
        <v>7.6018282595287333E-3</v>
      </c>
      <c r="AE55" s="34">
        <f>IFERROR(up_RadSpec!$J$24*(AC24*$B55),".")</f>
        <v>7.6018282595287333E-3</v>
      </c>
      <c r="AF55" s="34">
        <f>IFERROR(up_RadSpec!$J$24*(AC24*$B55),".")</f>
        <v>7.6018282595287333E-3</v>
      </c>
      <c r="AG55" s="34">
        <f>IFERROR(up_RadSpec!$J$24*(AC24*$B55),".")</f>
        <v>7.6018282595287333E-3</v>
      </c>
      <c r="AH55" s="34">
        <f>IFERROR(up_RadSpec!$J$24*(AC24*$B55),".")</f>
        <v>7.6018282595287333E-3</v>
      </c>
      <c r="AI55" s="34">
        <f>IFERROR(up_RadSpec!$J$24*(AC24*$B55),".")</f>
        <v>7.6018282595287333E-3</v>
      </c>
      <c r="AJ55" s="34">
        <f>IFERROR(up_RadSpec!$J$24*(AC24*$B55),".")</f>
        <v>7.6018282595287333E-3</v>
      </c>
      <c r="AK55" s="34">
        <f>IFERROR(up_RadSpec!$J$24*(AC24*$B55),".")</f>
        <v>7.6018282595287333E-3</v>
      </c>
      <c r="AL55" s="34">
        <f>IFERROR(up_RadSpec!$J$24*(AC24*$B55),".")</f>
        <v>7.6018282595287333E-3</v>
      </c>
      <c r="AM55" s="34">
        <f>IFERROR(up_RadSpec!$J$24*(AC24*$B55),".")</f>
        <v>7.6018282595287333E-3</v>
      </c>
      <c r="AN55" s="34">
        <f>IFERROR(up_RadSpec!$J$24*(AC24*$B55),".")</f>
        <v>7.6018282595287333E-3</v>
      </c>
      <c r="AO55" s="34">
        <f>IFERROR(up_RadSpec!$J$24*(AC24*$B55),".")</f>
        <v>7.6018282595287333E-3</v>
      </c>
      <c r="AP55" s="34">
        <f>IFERROR(up_RadSpec!$J$24*(AC24*$B55),".")</f>
        <v>7.6018282595287333E-3</v>
      </c>
      <c r="AQ55" s="34">
        <f>IFERROR(up_RadSpec!$J$24*(AC24*$B55),".")</f>
        <v>7.6018282595287333E-3</v>
      </c>
      <c r="AR55" s="34">
        <f>IFERROR(up_RadSpec!$J$24*(AC24*$B55),".")</f>
        <v>7.6018282595287333E-3</v>
      </c>
      <c r="AS55" s="34">
        <f>IFERROR(up_RadSpec!$J$24*(AC24*$B55),".")</f>
        <v>7.6018282595287333E-3</v>
      </c>
      <c r="AT55" s="34">
        <f>IFERROR(up_RadSpec!$J$24*(AC24*$B55),".")</f>
        <v>7.6018282595287333E-3</v>
      </c>
      <c r="AU55" s="34">
        <f>IFERROR(up_RadSpec!$J$24*(AC24*$B55),".")</f>
        <v>7.6018282595287333E-3</v>
      </c>
      <c r="AV55" s="34">
        <f>IFERROR(up_RadSpec!$J$24*(AC24*$B55),".")</f>
        <v>7.6018282595287333E-3</v>
      </c>
      <c r="AW55" s="34">
        <f>IFERROR(up_RadSpec!$J$24*(AC24*$B55),".")</f>
        <v>7.6018282595287333E-3</v>
      </c>
      <c r="AX55" s="34">
        <f>IFERROR(up_RadSpec!$J$24*(AC24*$B55),".")</f>
        <v>7.6018282595287333E-3</v>
      </c>
      <c r="AY55" s="34">
        <f>IFERROR(up_RadSpec!$J$24*(AC24*$B55),".")</f>
        <v>7.6018282595287333E-3</v>
      </c>
      <c r="AZ55" s="34">
        <f>IFERROR(up_RadSpec!$J$24*(AC24*$B55),".")</f>
        <v>7.6018282595287333E-3</v>
      </c>
      <c r="BA55" s="42">
        <f t="shared" si="2"/>
        <v>1096.2275190692021</v>
      </c>
      <c r="BB55" s="42">
        <f t="shared" ref="BB55:BY55" si="58">IFERROR(BB24/$B55,0)</f>
        <v>3288.6825572076068</v>
      </c>
      <c r="BC55" s="42">
        <f t="shared" si="58"/>
        <v>3288.6825572076068</v>
      </c>
      <c r="BD55" s="42">
        <f t="shared" si="58"/>
        <v>3288.6825572076068</v>
      </c>
      <c r="BE55" s="42">
        <f t="shared" si="58"/>
        <v>3288.6825572076068</v>
      </c>
      <c r="BF55" s="42">
        <f t="shared" si="58"/>
        <v>3288.6825572076068</v>
      </c>
      <c r="BG55" s="42">
        <f t="shared" si="58"/>
        <v>3288.6825572076068</v>
      </c>
      <c r="BH55" s="42">
        <f t="shared" si="58"/>
        <v>3288.6825572076068</v>
      </c>
      <c r="BI55" s="42">
        <f t="shared" si="58"/>
        <v>3288.6825572076068</v>
      </c>
      <c r="BJ55" s="42">
        <f t="shared" si="58"/>
        <v>3288.6825572076068</v>
      </c>
      <c r="BK55" s="42">
        <f t="shared" si="58"/>
        <v>3288.6825572076068</v>
      </c>
      <c r="BL55" s="42">
        <f t="shared" si="58"/>
        <v>3288.6825572076068</v>
      </c>
      <c r="BM55" s="42">
        <f t="shared" si="58"/>
        <v>3288.6825572076068</v>
      </c>
      <c r="BN55" s="42">
        <f t="shared" si="58"/>
        <v>3288.6825572076068</v>
      </c>
      <c r="BO55" s="42">
        <f t="shared" si="58"/>
        <v>3288.6825572076068</v>
      </c>
      <c r="BP55" s="42">
        <f t="shared" si="58"/>
        <v>3288.6825572076068</v>
      </c>
      <c r="BQ55" s="42">
        <f t="shared" si="58"/>
        <v>3288.6825572076068</v>
      </c>
      <c r="BR55" s="42">
        <f t="shared" si="58"/>
        <v>3288.6825572076068</v>
      </c>
      <c r="BS55" s="42">
        <f t="shared" si="58"/>
        <v>3288.6825572076068</v>
      </c>
      <c r="BT55" s="42">
        <f t="shared" si="58"/>
        <v>3288.6825572076068</v>
      </c>
      <c r="BU55" s="42">
        <f t="shared" si="58"/>
        <v>3288.6825572076068</v>
      </c>
      <c r="BV55" s="42">
        <f t="shared" si="58"/>
        <v>3288.6825572076068</v>
      </c>
      <c r="BW55" s="42">
        <f t="shared" si="58"/>
        <v>3288.6825572076068</v>
      </c>
      <c r="BX55" s="42">
        <f t="shared" si="58"/>
        <v>3288.6825572076068</v>
      </c>
      <c r="BY55" s="42">
        <f t="shared" si="58"/>
        <v>3288.6825572076068</v>
      </c>
      <c r="BZ55" s="34">
        <f t="shared" si="3"/>
        <v>2.28054847785862E-2</v>
      </c>
      <c r="CA55" s="34">
        <f>IFERROR(up_RadSpec!$J$24*(AC24*$B55),".")</f>
        <v>7.6018282595287333E-3</v>
      </c>
      <c r="CB55" s="34">
        <f>IFERROR(up_RadSpec!$J$24*(AC24*$B55),".")</f>
        <v>7.6018282595287333E-3</v>
      </c>
      <c r="CC55" s="34">
        <f>IFERROR(up_RadSpec!$J$24*(AC24*$B55),".")</f>
        <v>7.6018282595287333E-3</v>
      </c>
      <c r="CD55" s="34">
        <f>IFERROR(up_RadSpec!$J$24*(AC24*$B55),".")</f>
        <v>7.6018282595287333E-3</v>
      </c>
      <c r="CE55" s="34">
        <f>IFERROR(up_RadSpec!$J$24*(AC24*$B55),".")</f>
        <v>7.6018282595287333E-3</v>
      </c>
      <c r="CF55" s="34">
        <f>IFERROR(up_RadSpec!$J$24*(AC24*$B55),".")</f>
        <v>7.6018282595287333E-3</v>
      </c>
      <c r="CG55" s="34">
        <f>IFERROR(up_RadSpec!$J$24*(AC24*$B55),".")</f>
        <v>7.6018282595287333E-3</v>
      </c>
      <c r="CH55" s="34">
        <f>IFERROR(up_RadSpec!$J$24*(AC24*$B55),".")</f>
        <v>7.6018282595287333E-3</v>
      </c>
      <c r="CI55" s="34">
        <f>IFERROR(up_RadSpec!$J$24*(AC24*$B55),".")</f>
        <v>7.6018282595287333E-3</v>
      </c>
      <c r="CJ55" s="34">
        <f>IFERROR(up_RadSpec!$J$24*(AC24*$B55),".")</f>
        <v>7.6018282595287333E-3</v>
      </c>
      <c r="CK55" s="34">
        <f>IFERROR(up_RadSpec!$J$24*(AC24*$B55),".")</f>
        <v>7.6018282595287333E-3</v>
      </c>
      <c r="CL55" s="34">
        <f>IFERROR(up_RadSpec!$J$24*(AC24*$B55),".")</f>
        <v>7.6018282595287333E-3</v>
      </c>
      <c r="CM55" s="34">
        <f>IFERROR(up_RadSpec!$J$24*(AC24*$B55),".")</f>
        <v>7.6018282595287333E-3</v>
      </c>
      <c r="CN55" s="34">
        <f>IFERROR(up_RadSpec!$J$24*(AC24*$B55),".")</f>
        <v>7.6018282595287333E-3</v>
      </c>
      <c r="CO55" s="34">
        <f>IFERROR(up_RadSpec!$J$24*(AC24*$B55),".")</f>
        <v>7.6018282595287333E-3</v>
      </c>
      <c r="CP55" s="34">
        <f>IFERROR(up_RadSpec!$J$24*(AC24*$B55),".")</f>
        <v>7.6018282595287333E-3</v>
      </c>
      <c r="CQ55" s="34">
        <f>IFERROR(up_RadSpec!$J$24*(AC24*$B55),".")</f>
        <v>7.6018282595287333E-3</v>
      </c>
      <c r="CR55" s="34">
        <f>IFERROR(up_RadSpec!$J$24*(AC24*$B55),".")</f>
        <v>7.6018282595287333E-3</v>
      </c>
      <c r="CS55" s="34">
        <f>IFERROR(up_RadSpec!$J$24*(AC24*$B55),".")</f>
        <v>7.6018282595287333E-3</v>
      </c>
      <c r="CT55" s="34">
        <f>IFERROR(up_RadSpec!$J$24*(AC24*$B55),".")</f>
        <v>7.6018282595287333E-3</v>
      </c>
      <c r="CU55" s="34">
        <f>IFERROR(up_RadSpec!$J$24*(AC24*$B55),".")</f>
        <v>7.6018282595287333E-3</v>
      </c>
      <c r="CV55" s="34">
        <f>IFERROR(up_RadSpec!$J$24*(AC24*$B55),".")</f>
        <v>7.6018282595287333E-3</v>
      </c>
      <c r="CW55" s="34">
        <f>IFERROR(up_RadSpec!$J$24*(AC24*$B55),".")</f>
        <v>7.6018282595287333E-3</v>
      </c>
      <c r="CX55" s="34">
        <f>IFERROR(up_RadSpec!$J$24*(AC24*$B55),".")</f>
        <v>7.6018282595287333E-3</v>
      </c>
    </row>
    <row r="56" spans="1:102" s="3" customFormat="1" x14ac:dyDescent="0.25">
      <c r="A56" s="55" t="s">
        <v>1079</v>
      </c>
      <c r="B56" s="3">
        <v>0.99979000004200003</v>
      </c>
      <c r="C56" s="42">
        <f t="shared" si="0"/>
        <v>2.1929155503118674E-4</v>
      </c>
      <c r="D56" s="42">
        <f t="shared" ref="D56:AA56" si="59">IFERROR(D20/$B56,0)</f>
        <v>6.5787466509356022E-4</v>
      </c>
      <c r="E56" s="42">
        <f t="shared" si="59"/>
        <v>6.5787466509356022E-4</v>
      </c>
      <c r="F56" s="42">
        <f t="shared" si="59"/>
        <v>6.5787466509356022E-4</v>
      </c>
      <c r="G56" s="42">
        <f t="shared" si="59"/>
        <v>6.5787466509356022E-4</v>
      </c>
      <c r="H56" s="42">
        <f t="shared" si="59"/>
        <v>6.5787466509356022E-4</v>
      </c>
      <c r="I56" s="42">
        <f t="shared" si="59"/>
        <v>6.5787466509356022E-4</v>
      </c>
      <c r="J56" s="42">
        <f t="shared" si="59"/>
        <v>6.5787466509356022E-4</v>
      </c>
      <c r="K56" s="42">
        <f t="shared" si="59"/>
        <v>6.5787466509356022E-4</v>
      </c>
      <c r="L56" s="42">
        <f t="shared" si="59"/>
        <v>6.5787466509356022E-4</v>
      </c>
      <c r="M56" s="42">
        <f t="shared" si="59"/>
        <v>6.5787466509356022E-4</v>
      </c>
      <c r="N56" s="42">
        <f t="shared" si="59"/>
        <v>6.5787466509356022E-4</v>
      </c>
      <c r="O56" s="42">
        <f t="shared" si="59"/>
        <v>6.5787466509356022E-4</v>
      </c>
      <c r="P56" s="42">
        <f t="shared" si="59"/>
        <v>6.5787466509356022E-4</v>
      </c>
      <c r="Q56" s="42">
        <f t="shared" si="59"/>
        <v>6.5787466509356022E-4</v>
      </c>
      <c r="R56" s="42">
        <f t="shared" si="59"/>
        <v>6.5787466509356022E-4</v>
      </c>
      <c r="S56" s="42">
        <f t="shared" si="59"/>
        <v>6.5787466509356022E-4</v>
      </c>
      <c r="T56" s="42">
        <f t="shared" si="59"/>
        <v>6.5787466509356022E-4</v>
      </c>
      <c r="U56" s="42">
        <f t="shared" si="59"/>
        <v>6.5787466509356022E-4</v>
      </c>
      <c r="V56" s="42">
        <f t="shared" si="59"/>
        <v>6.5787466509356022E-4</v>
      </c>
      <c r="W56" s="42">
        <f t="shared" si="59"/>
        <v>6.5787466509356022E-4</v>
      </c>
      <c r="X56" s="42">
        <f t="shared" si="59"/>
        <v>6.5787466509356022E-4</v>
      </c>
      <c r="Y56" s="42">
        <f t="shared" si="59"/>
        <v>6.5787466509356022E-4</v>
      </c>
      <c r="Z56" s="42">
        <f t="shared" si="59"/>
        <v>6.5787466509356022E-4</v>
      </c>
      <c r="AA56" s="42">
        <f t="shared" si="59"/>
        <v>6.5787466509356022E-4</v>
      </c>
      <c r="AB56" s="34">
        <f t="shared" si="11"/>
        <v>114003.47813870266</v>
      </c>
      <c r="AC56" s="34">
        <f>IFERROR(up_RadSpec!$J$20*(AC20*$B56),".")</f>
        <v>38001.159379567551</v>
      </c>
      <c r="AD56" s="34">
        <f>IFERROR(up_RadSpec!$J$20*(AC20*$B56),".")</f>
        <v>38001.159379567551</v>
      </c>
      <c r="AE56" s="34">
        <f>IFERROR(up_RadSpec!$J$20*(AC20*$B56),".")</f>
        <v>38001.159379567551</v>
      </c>
      <c r="AF56" s="34">
        <f>IFERROR(up_RadSpec!$J$20*(AC20*$B56),".")</f>
        <v>38001.159379567551</v>
      </c>
      <c r="AG56" s="34">
        <f>IFERROR(up_RadSpec!$J$20*(AC20*$B56),".")</f>
        <v>38001.159379567551</v>
      </c>
      <c r="AH56" s="34">
        <f>IFERROR(up_RadSpec!$J$20*(AC20*$B56),".")</f>
        <v>38001.159379567551</v>
      </c>
      <c r="AI56" s="34">
        <f>IFERROR(up_RadSpec!$J$20*(AC20*$B56),".")</f>
        <v>38001.159379567551</v>
      </c>
      <c r="AJ56" s="34">
        <f>IFERROR(up_RadSpec!$J$20*(AC20*$B56),".")</f>
        <v>38001.159379567551</v>
      </c>
      <c r="AK56" s="34">
        <f>IFERROR(up_RadSpec!$J$20*(AC20*$B56),".")</f>
        <v>38001.159379567551</v>
      </c>
      <c r="AL56" s="34">
        <f>IFERROR(up_RadSpec!$J$20*(AC20*$B56),".")</f>
        <v>38001.159379567551</v>
      </c>
      <c r="AM56" s="34">
        <f>IFERROR(up_RadSpec!$J$20*(AC20*$B56),".")</f>
        <v>38001.159379567551</v>
      </c>
      <c r="AN56" s="34">
        <f>IFERROR(up_RadSpec!$J$20*(AC20*$B56),".")</f>
        <v>38001.159379567551</v>
      </c>
      <c r="AO56" s="34">
        <f>IFERROR(up_RadSpec!$J$20*(AC20*$B56),".")</f>
        <v>38001.159379567551</v>
      </c>
      <c r="AP56" s="34">
        <f>IFERROR(up_RadSpec!$J$20*(AC20*$B56),".")</f>
        <v>38001.159379567551</v>
      </c>
      <c r="AQ56" s="34">
        <f>IFERROR(up_RadSpec!$J$20*(AC20*$B56),".")</f>
        <v>38001.159379567551</v>
      </c>
      <c r="AR56" s="34">
        <f>IFERROR(up_RadSpec!$J$20*(AC20*$B56),".")</f>
        <v>38001.159379567551</v>
      </c>
      <c r="AS56" s="34">
        <f>IFERROR(up_RadSpec!$J$20*(AC20*$B56),".")</f>
        <v>38001.159379567551</v>
      </c>
      <c r="AT56" s="34">
        <f>IFERROR(up_RadSpec!$J$20*(AC20*$B56),".")</f>
        <v>38001.159379567551</v>
      </c>
      <c r="AU56" s="34">
        <f>IFERROR(up_RadSpec!$J$20*(AC20*$B56),".")</f>
        <v>38001.159379567551</v>
      </c>
      <c r="AV56" s="34">
        <f>IFERROR(up_RadSpec!$J$20*(AC20*$B56),".")</f>
        <v>38001.159379567551</v>
      </c>
      <c r="AW56" s="34">
        <f>IFERROR(up_RadSpec!$J$20*(AC20*$B56),".")</f>
        <v>38001.159379567551</v>
      </c>
      <c r="AX56" s="34">
        <f>IFERROR(up_RadSpec!$J$20*(AC20*$B56),".")</f>
        <v>38001.159379567551</v>
      </c>
      <c r="AY56" s="34">
        <f>IFERROR(up_RadSpec!$J$20*(AC20*$B56),".")</f>
        <v>38001.159379567551</v>
      </c>
      <c r="AZ56" s="34">
        <f>IFERROR(up_RadSpec!$J$20*(AC20*$B56),".")</f>
        <v>38001.159379567551</v>
      </c>
      <c r="BA56" s="42">
        <f t="shared" si="2"/>
        <v>2.1929155503118674E-4</v>
      </c>
      <c r="BB56" s="42">
        <f t="shared" ref="BB56:BY56" si="60">IFERROR(BB20/$B56,0)</f>
        <v>6.5787466509356022E-4</v>
      </c>
      <c r="BC56" s="42">
        <f t="shared" si="60"/>
        <v>6.5787466509356022E-4</v>
      </c>
      <c r="BD56" s="42">
        <f t="shared" si="60"/>
        <v>6.5787466509356022E-4</v>
      </c>
      <c r="BE56" s="42">
        <f t="shared" si="60"/>
        <v>6.5787466509356022E-4</v>
      </c>
      <c r="BF56" s="42">
        <f t="shared" si="60"/>
        <v>6.5787466509356022E-4</v>
      </c>
      <c r="BG56" s="42">
        <f t="shared" si="60"/>
        <v>6.5787466509356022E-4</v>
      </c>
      <c r="BH56" s="42">
        <f t="shared" si="60"/>
        <v>6.5787466509356022E-4</v>
      </c>
      <c r="BI56" s="42">
        <f t="shared" si="60"/>
        <v>6.5787466509356022E-4</v>
      </c>
      <c r="BJ56" s="42">
        <f t="shared" si="60"/>
        <v>6.5787466509356022E-4</v>
      </c>
      <c r="BK56" s="42">
        <f t="shared" si="60"/>
        <v>6.5787466509356022E-4</v>
      </c>
      <c r="BL56" s="42">
        <f t="shared" si="60"/>
        <v>6.5787466509356022E-4</v>
      </c>
      <c r="BM56" s="42">
        <f t="shared" si="60"/>
        <v>6.5787466509356022E-4</v>
      </c>
      <c r="BN56" s="42">
        <f t="shared" si="60"/>
        <v>6.5787466509356022E-4</v>
      </c>
      <c r="BO56" s="42">
        <f t="shared" si="60"/>
        <v>6.5787466509356022E-4</v>
      </c>
      <c r="BP56" s="42">
        <f t="shared" si="60"/>
        <v>6.5787466509356022E-4</v>
      </c>
      <c r="BQ56" s="42">
        <f t="shared" si="60"/>
        <v>6.5787466509356022E-4</v>
      </c>
      <c r="BR56" s="42">
        <f t="shared" si="60"/>
        <v>6.5787466509356022E-4</v>
      </c>
      <c r="BS56" s="42">
        <f t="shared" si="60"/>
        <v>6.5787466509356022E-4</v>
      </c>
      <c r="BT56" s="42">
        <f t="shared" si="60"/>
        <v>6.5787466509356022E-4</v>
      </c>
      <c r="BU56" s="42">
        <f t="shared" si="60"/>
        <v>6.5787466509356022E-4</v>
      </c>
      <c r="BV56" s="42">
        <f t="shared" si="60"/>
        <v>6.5787466509356022E-4</v>
      </c>
      <c r="BW56" s="42">
        <f t="shared" si="60"/>
        <v>6.5787466509356022E-4</v>
      </c>
      <c r="BX56" s="42">
        <f t="shared" si="60"/>
        <v>6.5787466509356022E-4</v>
      </c>
      <c r="BY56" s="42">
        <f t="shared" si="60"/>
        <v>6.5787466509356022E-4</v>
      </c>
      <c r="BZ56" s="34">
        <f t="shared" si="3"/>
        <v>114003.47813870266</v>
      </c>
      <c r="CA56" s="34">
        <f>IFERROR(up_RadSpec!$J$20*(AC20*$B56),".")</f>
        <v>38001.159379567551</v>
      </c>
      <c r="CB56" s="34">
        <f>IFERROR(up_RadSpec!$J$20*(AC20*$B56),".")</f>
        <v>38001.159379567551</v>
      </c>
      <c r="CC56" s="34">
        <f>IFERROR(up_RadSpec!$J$20*(AC20*$B56),".")</f>
        <v>38001.159379567551</v>
      </c>
      <c r="CD56" s="34">
        <f>IFERROR(up_RadSpec!$J$20*(AC20*$B56),".")</f>
        <v>38001.159379567551</v>
      </c>
      <c r="CE56" s="34">
        <f>IFERROR(up_RadSpec!$J$20*(AC20*$B56),".")</f>
        <v>38001.159379567551</v>
      </c>
      <c r="CF56" s="34">
        <f>IFERROR(up_RadSpec!$J$20*(AC20*$B56),".")</f>
        <v>38001.159379567551</v>
      </c>
      <c r="CG56" s="34">
        <f>IFERROR(up_RadSpec!$J$20*(AC20*$B56),".")</f>
        <v>38001.159379567551</v>
      </c>
      <c r="CH56" s="34">
        <f>IFERROR(up_RadSpec!$J$20*(AC20*$B56),".")</f>
        <v>38001.159379567551</v>
      </c>
      <c r="CI56" s="34">
        <f>IFERROR(up_RadSpec!$J$20*(AC20*$B56),".")</f>
        <v>38001.159379567551</v>
      </c>
      <c r="CJ56" s="34">
        <f>IFERROR(up_RadSpec!$J$20*(AC20*$B56),".")</f>
        <v>38001.159379567551</v>
      </c>
      <c r="CK56" s="34">
        <f>IFERROR(up_RadSpec!$J$20*(AC20*$B56),".")</f>
        <v>38001.159379567551</v>
      </c>
      <c r="CL56" s="34">
        <f>IFERROR(up_RadSpec!$J$20*(AC20*$B56),".")</f>
        <v>38001.159379567551</v>
      </c>
      <c r="CM56" s="34">
        <f>IFERROR(up_RadSpec!$J$20*(AC20*$B56),".")</f>
        <v>38001.159379567551</v>
      </c>
      <c r="CN56" s="34">
        <f>IFERROR(up_RadSpec!$J$20*(AC20*$B56),".")</f>
        <v>38001.159379567551</v>
      </c>
      <c r="CO56" s="34">
        <f>IFERROR(up_RadSpec!$J$20*(AC20*$B56),".")</f>
        <v>38001.159379567551</v>
      </c>
      <c r="CP56" s="34">
        <f>IFERROR(up_RadSpec!$J$20*(AC20*$B56),".")</f>
        <v>38001.159379567551</v>
      </c>
      <c r="CQ56" s="34">
        <f>IFERROR(up_RadSpec!$J$20*(AC20*$B56),".")</f>
        <v>38001.159379567551</v>
      </c>
      <c r="CR56" s="34">
        <f>IFERROR(up_RadSpec!$J$20*(AC20*$B56),".")</f>
        <v>38001.159379567551</v>
      </c>
      <c r="CS56" s="34">
        <f>IFERROR(up_RadSpec!$J$20*(AC20*$B56),".")</f>
        <v>38001.159379567551</v>
      </c>
      <c r="CT56" s="34">
        <f>IFERROR(up_RadSpec!$J$20*(AC20*$B56),".")</f>
        <v>38001.159379567551</v>
      </c>
      <c r="CU56" s="34">
        <f>IFERROR(up_RadSpec!$J$20*(AC20*$B56),".")</f>
        <v>38001.159379567551</v>
      </c>
      <c r="CV56" s="34">
        <f>IFERROR(up_RadSpec!$J$20*(AC20*$B56),".")</f>
        <v>38001.159379567551</v>
      </c>
      <c r="CW56" s="34">
        <f>IFERROR(up_RadSpec!$J$20*(AC20*$B56),".")</f>
        <v>38001.159379567551</v>
      </c>
      <c r="CX56" s="34">
        <f>IFERROR(up_RadSpec!$J$20*(AC20*$B56),".")</f>
        <v>38001.159379567551</v>
      </c>
    </row>
    <row r="57" spans="1:102" s="3" customFormat="1" x14ac:dyDescent="0.25">
      <c r="A57" s="55" t="s">
        <v>1080</v>
      </c>
      <c r="B57" s="3">
        <v>2.0999995799999999E-4</v>
      </c>
      <c r="C57" s="42">
        <f t="shared" si="0"/>
        <v>1.044026417442619</v>
      </c>
      <c r="D57" s="42">
        <f t="shared" ref="D57:AA57" si="61">IFERROR(D29/$B57,0)</f>
        <v>3.1320792523278569</v>
      </c>
      <c r="E57" s="42">
        <f t="shared" si="61"/>
        <v>3.1320792523278569</v>
      </c>
      <c r="F57" s="42">
        <f t="shared" si="61"/>
        <v>3.1320792523278569</v>
      </c>
      <c r="G57" s="42">
        <f t="shared" si="61"/>
        <v>3.1320792523278569</v>
      </c>
      <c r="H57" s="42">
        <f t="shared" si="61"/>
        <v>3.1320792523278569</v>
      </c>
      <c r="I57" s="42">
        <f t="shared" si="61"/>
        <v>3.1320792523278569</v>
      </c>
      <c r="J57" s="42">
        <f t="shared" si="61"/>
        <v>3.1320792523278569</v>
      </c>
      <c r="K57" s="42">
        <f t="shared" si="61"/>
        <v>3.1320792523278569</v>
      </c>
      <c r="L57" s="42">
        <f t="shared" si="61"/>
        <v>3.1320792523278569</v>
      </c>
      <c r="M57" s="42">
        <f t="shared" si="61"/>
        <v>3.1320792523278569</v>
      </c>
      <c r="N57" s="42">
        <f t="shared" si="61"/>
        <v>3.1320792523278569</v>
      </c>
      <c r="O57" s="42">
        <f t="shared" si="61"/>
        <v>3.1320792523278569</v>
      </c>
      <c r="P57" s="42">
        <f t="shared" si="61"/>
        <v>3.1320792523278569</v>
      </c>
      <c r="Q57" s="42">
        <f t="shared" si="61"/>
        <v>3.1320792523278569</v>
      </c>
      <c r="R57" s="42">
        <f t="shared" si="61"/>
        <v>3.1320792523278569</v>
      </c>
      <c r="S57" s="42">
        <f t="shared" si="61"/>
        <v>3.1320792523278569</v>
      </c>
      <c r="T57" s="42">
        <f t="shared" si="61"/>
        <v>3.1320792523278569</v>
      </c>
      <c r="U57" s="42">
        <f t="shared" si="61"/>
        <v>3.1320792523278569</v>
      </c>
      <c r="V57" s="42">
        <f t="shared" si="61"/>
        <v>3.1320792523278569</v>
      </c>
      <c r="W57" s="42">
        <f t="shared" si="61"/>
        <v>3.1320792523278569</v>
      </c>
      <c r="X57" s="42">
        <f t="shared" si="61"/>
        <v>3.1320792523278569</v>
      </c>
      <c r="Y57" s="42">
        <f t="shared" si="61"/>
        <v>3.1320792523278569</v>
      </c>
      <c r="Z57" s="42">
        <f t="shared" si="61"/>
        <v>3.1320792523278569</v>
      </c>
      <c r="AA57" s="42">
        <f t="shared" si="61"/>
        <v>3.1320792523278569</v>
      </c>
      <c r="AB57" s="34">
        <f t="shared" si="11"/>
        <v>23.945754228363704</v>
      </c>
      <c r="AC57" s="34">
        <f>IFERROR(up_RadSpec!$J$29*(AC29*$B57),".")</f>
        <v>7.9819180761212349</v>
      </c>
      <c r="AD57" s="34">
        <f>IFERROR(up_RadSpec!$J$29*(AC29*$B57),".")</f>
        <v>7.9819180761212349</v>
      </c>
      <c r="AE57" s="34">
        <f>IFERROR(up_RadSpec!$J$29*(AC29*$B57),".")</f>
        <v>7.9819180761212349</v>
      </c>
      <c r="AF57" s="34">
        <f>IFERROR(up_RadSpec!$J$29*(AC29*$B57),".")</f>
        <v>7.9819180761212349</v>
      </c>
      <c r="AG57" s="34">
        <f>IFERROR(up_RadSpec!$J$29*(AC29*$B57),".")</f>
        <v>7.9819180761212349</v>
      </c>
      <c r="AH57" s="34">
        <f>IFERROR(up_RadSpec!$J$29*(AC29*$B57),".")</f>
        <v>7.9819180761212349</v>
      </c>
      <c r="AI57" s="34">
        <f>IFERROR(up_RadSpec!$J$29*(AC29*$B57),".")</f>
        <v>7.9819180761212349</v>
      </c>
      <c r="AJ57" s="34">
        <f>IFERROR(up_RadSpec!$J$29*(AC29*$B57),".")</f>
        <v>7.9819180761212349</v>
      </c>
      <c r="AK57" s="34">
        <f>IFERROR(up_RadSpec!$J$29*(AC29*$B57),".")</f>
        <v>7.9819180761212349</v>
      </c>
      <c r="AL57" s="34">
        <f>IFERROR(up_RadSpec!$J$29*(AC29*$B57),".")</f>
        <v>7.9819180761212349</v>
      </c>
      <c r="AM57" s="34">
        <f>IFERROR(up_RadSpec!$J$29*(AC29*$B57),".")</f>
        <v>7.9819180761212349</v>
      </c>
      <c r="AN57" s="34">
        <f>IFERROR(up_RadSpec!$J$29*(AC29*$B57),".")</f>
        <v>7.9819180761212349</v>
      </c>
      <c r="AO57" s="34">
        <f>IFERROR(up_RadSpec!$J$29*(AC29*$B57),".")</f>
        <v>7.9819180761212349</v>
      </c>
      <c r="AP57" s="34">
        <f>IFERROR(up_RadSpec!$J$29*(AC29*$B57),".")</f>
        <v>7.9819180761212349</v>
      </c>
      <c r="AQ57" s="34">
        <f>IFERROR(up_RadSpec!$J$29*(AC29*$B57),".")</f>
        <v>7.9819180761212349</v>
      </c>
      <c r="AR57" s="34">
        <f>IFERROR(up_RadSpec!$J$29*(AC29*$B57),".")</f>
        <v>7.9819180761212349</v>
      </c>
      <c r="AS57" s="34">
        <f>IFERROR(up_RadSpec!$J$29*(AC29*$B57),".")</f>
        <v>7.9819180761212349</v>
      </c>
      <c r="AT57" s="34">
        <f>IFERROR(up_RadSpec!$J$29*(AC29*$B57),".")</f>
        <v>7.9819180761212349</v>
      </c>
      <c r="AU57" s="34">
        <f>IFERROR(up_RadSpec!$J$29*(AC29*$B57),".")</f>
        <v>7.9819180761212349</v>
      </c>
      <c r="AV57" s="34">
        <f>IFERROR(up_RadSpec!$J$29*(AC29*$B57),".")</f>
        <v>7.9819180761212349</v>
      </c>
      <c r="AW57" s="34">
        <f>IFERROR(up_RadSpec!$J$29*(AC29*$B57),".")</f>
        <v>7.9819180761212349</v>
      </c>
      <c r="AX57" s="34">
        <f>IFERROR(up_RadSpec!$J$29*(AC29*$B57),".")</f>
        <v>7.9819180761212349</v>
      </c>
      <c r="AY57" s="34">
        <f>IFERROR(up_RadSpec!$J$29*(AC29*$B57),".")</f>
        <v>7.9819180761212349</v>
      </c>
      <c r="AZ57" s="34">
        <f>IFERROR(up_RadSpec!$J$29*(AC29*$B57),".")</f>
        <v>7.9819180761212349</v>
      </c>
      <c r="BA57" s="42">
        <f t="shared" si="2"/>
        <v>1.044026417442619</v>
      </c>
      <c r="BB57" s="42">
        <f t="shared" ref="BB57:BY57" si="62">IFERROR(BB29/$B57,0)</f>
        <v>3.1320792523278569</v>
      </c>
      <c r="BC57" s="42">
        <f t="shared" si="62"/>
        <v>3.1320792523278569</v>
      </c>
      <c r="BD57" s="42">
        <f t="shared" si="62"/>
        <v>3.1320792523278569</v>
      </c>
      <c r="BE57" s="42">
        <f t="shared" si="62"/>
        <v>3.1320792523278569</v>
      </c>
      <c r="BF57" s="42">
        <f t="shared" si="62"/>
        <v>3.1320792523278569</v>
      </c>
      <c r="BG57" s="42">
        <f t="shared" si="62"/>
        <v>3.1320792523278569</v>
      </c>
      <c r="BH57" s="42">
        <f t="shared" si="62"/>
        <v>3.1320792523278569</v>
      </c>
      <c r="BI57" s="42">
        <f t="shared" si="62"/>
        <v>3.1320792523278569</v>
      </c>
      <c r="BJ57" s="42">
        <f t="shared" si="62"/>
        <v>3.1320792523278569</v>
      </c>
      <c r="BK57" s="42">
        <f t="shared" si="62"/>
        <v>3.1320792523278569</v>
      </c>
      <c r="BL57" s="42">
        <f t="shared" si="62"/>
        <v>3.1320792523278569</v>
      </c>
      <c r="BM57" s="42">
        <f t="shared" si="62"/>
        <v>3.1320792523278569</v>
      </c>
      <c r="BN57" s="42">
        <f t="shared" si="62"/>
        <v>3.1320792523278569</v>
      </c>
      <c r="BO57" s="42">
        <f t="shared" si="62"/>
        <v>3.1320792523278569</v>
      </c>
      <c r="BP57" s="42">
        <f t="shared" si="62"/>
        <v>3.1320792523278569</v>
      </c>
      <c r="BQ57" s="42">
        <f t="shared" si="62"/>
        <v>3.1320792523278569</v>
      </c>
      <c r="BR57" s="42">
        <f t="shared" si="62"/>
        <v>3.1320792523278569</v>
      </c>
      <c r="BS57" s="42">
        <f t="shared" si="62"/>
        <v>3.1320792523278569</v>
      </c>
      <c r="BT57" s="42">
        <f t="shared" si="62"/>
        <v>3.1320792523278569</v>
      </c>
      <c r="BU57" s="42">
        <f t="shared" si="62"/>
        <v>3.1320792523278569</v>
      </c>
      <c r="BV57" s="42">
        <f t="shared" si="62"/>
        <v>3.1320792523278569</v>
      </c>
      <c r="BW57" s="42">
        <f t="shared" si="62"/>
        <v>3.1320792523278569</v>
      </c>
      <c r="BX57" s="42">
        <f t="shared" si="62"/>
        <v>3.1320792523278569</v>
      </c>
      <c r="BY57" s="42">
        <f t="shared" si="62"/>
        <v>3.1320792523278569</v>
      </c>
      <c r="BZ57" s="34">
        <f t="shared" si="3"/>
        <v>23.945754228363704</v>
      </c>
      <c r="CA57" s="34">
        <f>IFERROR(up_RadSpec!$J$29*(AC29*$B57),".")</f>
        <v>7.9819180761212349</v>
      </c>
      <c r="CB57" s="34">
        <f>IFERROR(up_RadSpec!$J$29*(AC29*$B57),".")</f>
        <v>7.9819180761212349</v>
      </c>
      <c r="CC57" s="34">
        <f>IFERROR(up_RadSpec!$J$29*(AC29*$B57),".")</f>
        <v>7.9819180761212349</v>
      </c>
      <c r="CD57" s="34">
        <f>IFERROR(up_RadSpec!$J$29*(AC29*$B57),".")</f>
        <v>7.9819180761212349</v>
      </c>
      <c r="CE57" s="34">
        <f>IFERROR(up_RadSpec!$J$29*(AC29*$B57),".")</f>
        <v>7.9819180761212349</v>
      </c>
      <c r="CF57" s="34">
        <f>IFERROR(up_RadSpec!$J$29*(AC29*$B57),".")</f>
        <v>7.9819180761212349</v>
      </c>
      <c r="CG57" s="34">
        <f>IFERROR(up_RadSpec!$J$29*(AC29*$B57),".")</f>
        <v>7.9819180761212349</v>
      </c>
      <c r="CH57" s="34">
        <f>IFERROR(up_RadSpec!$J$29*(AC29*$B57),".")</f>
        <v>7.9819180761212349</v>
      </c>
      <c r="CI57" s="34">
        <f>IFERROR(up_RadSpec!$J$29*(AC29*$B57),".")</f>
        <v>7.9819180761212349</v>
      </c>
      <c r="CJ57" s="34">
        <f>IFERROR(up_RadSpec!$J$29*(AC29*$B57),".")</f>
        <v>7.9819180761212349</v>
      </c>
      <c r="CK57" s="34">
        <f>IFERROR(up_RadSpec!$J$29*(AC29*$B57),".")</f>
        <v>7.9819180761212349</v>
      </c>
      <c r="CL57" s="34">
        <f>IFERROR(up_RadSpec!$J$29*(AC29*$B57),".")</f>
        <v>7.9819180761212349</v>
      </c>
      <c r="CM57" s="34">
        <f>IFERROR(up_RadSpec!$J$29*(AC29*$B57),".")</f>
        <v>7.9819180761212349</v>
      </c>
      <c r="CN57" s="34">
        <f>IFERROR(up_RadSpec!$J$29*(AC29*$B57),".")</f>
        <v>7.9819180761212349</v>
      </c>
      <c r="CO57" s="34">
        <f>IFERROR(up_RadSpec!$J$29*(AC29*$B57),".")</f>
        <v>7.9819180761212349</v>
      </c>
      <c r="CP57" s="34">
        <f>IFERROR(up_RadSpec!$J$29*(AC29*$B57),".")</f>
        <v>7.9819180761212349</v>
      </c>
      <c r="CQ57" s="34">
        <f>IFERROR(up_RadSpec!$J$29*(AC29*$B57),".")</f>
        <v>7.9819180761212349</v>
      </c>
      <c r="CR57" s="34">
        <f>IFERROR(up_RadSpec!$J$29*(AC29*$B57),".")</f>
        <v>7.9819180761212349</v>
      </c>
      <c r="CS57" s="34">
        <f>IFERROR(up_RadSpec!$J$29*(AC29*$B57),".")</f>
        <v>7.9819180761212349</v>
      </c>
      <c r="CT57" s="34">
        <f>IFERROR(up_RadSpec!$J$29*(AC29*$B57),".")</f>
        <v>7.9819180761212349</v>
      </c>
      <c r="CU57" s="34">
        <f>IFERROR(up_RadSpec!$J$29*(AC29*$B57),".")</f>
        <v>7.9819180761212349</v>
      </c>
      <c r="CV57" s="34">
        <f>IFERROR(up_RadSpec!$J$29*(AC29*$B57),".")</f>
        <v>7.9819180761212349</v>
      </c>
      <c r="CW57" s="34">
        <f>IFERROR(up_RadSpec!$J$29*(AC29*$B57),".")</f>
        <v>7.9819180761212349</v>
      </c>
      <c r="CX57" s="34">
        <f>IFERROR(up_RadSpec!$J$29*(AC29*$B57),".")</f>
        <v>7.9819180761212349</v>
      </c>
    </row>
    <row r="58" spans="1:102" s="3" customFormat="1" x14ac:dyDescent="0.25">
      <c r="A58" s="55" t="s">
        <v>1081</v>
      </c>
      <c r="B58" s="3">
        <v>1</v>
      </c>
      <c r="C58" s="42">
        <f t="shared" si="0"/>
        <v>2.1924550381384044E-4</v>
      </c>
      <c r="D58" s="42">
        <f t="shared" ref="D58:AA58" si="63">IFERROR(D16/$B58,0)</f>
        <v>6.5773651144152131E-4</v>
      </c>
      <c r="E58" s="42">
        <f t="shared" si="63"/>
        <v>6.5773651144152131E-4</v>
      </c>
      <c r="F58" s="42">
        <f t="shared" si="63"/>
        <v>6.5773651144152131E-4</v>
      </c>
      <c r="G58" s="42">
        <f t="shared" si="63"/>
        <v>6.5773651144152131E-4</v>
      </c>
      <c r="H58" s="42">
        <f t="shared" si="63"/>
        <v>6.5773651144152131E-4</v>
      </c>
      <c r="I58" s="42">
        <f t="shared" si="63"/>
        <v>6.5773651144152131E-4</v>
      </c>
      <c r="J58" s="42">
        <f t="shared" si="63"/>
        <v>6.5773651144152131E-4</v>
      </c>
      <c r="K58" s="42">
        <f t="shared" si="63"/>
        <v>6.5773651144152131E-4</v>
      </c>
      <c r="L58" s="42">
        <f t="shared" si="63"/>
        <v>6.5773651144152131E-4</v>
      </c>
      <c r="M58" s="42">
        <f t="shared" si="63"/>
        <v>6.5773651144152131E-4</v>
      </c>
      <c r="N58" s="42">
        <f t="shared" si="63"/>
        <v>6.5773651144152131E-4</v>
      </c>
      <c r="O58" s="42">
        <f t="shared" si="63"/>
        <v>6.5773651144152131E-4</v>
      </c>
      <c r="P58" s="42">
        <f t="shared" si="63"/>
        <v>6.5773651144152131E-4</v>
      </c>
      <c r="Q58" s="42">
        <f t="shared" si="63"/>
        <v>6.5773651144152131E-4</v>
      </c>
      <c r="R58" s="42">
        <f t="shared" si="63"/>
        <v>6.5773651144152131E-4</v>
      </c>
      <c r="S58" s="42">
        <f t="shared" si="63"/>
        <v>6.5773651144152131E-4</v>
      </c>
      <c r="T58" s="42">
        <f t="shared" si="63"/>
        <v>6.5773651144152131E-4</v>
      </c>
      <c r="U58" s="42">
        <f t="shared" si="63"/>
        <v>6.5773651144152131E-4</v>
      </c>
      <c r="V58" s="42">
        <f t="shared" si="63"/>
        <v>6.5773651144152131E-4</v>
      </c>
      <c r="W58" s="42">
        <f t="shared" si="63"/>
        <v>6.5773651144152131E-4</v>
      </c>
      <c r="X58" s="42">
        <f t="shared" si="63"/>
        <v>6.5773651144152131E-4</v>
      </c>
      <c r="Y58" s="42">
        <f t="shared" si="63"/>
        <v>6.5773651144152131E-4</v>
      </c>
      <c r="Z58" s="42">
        <f t="shared" si="63"/>
        <v>6.5773651144152131E-4</v>
      </c>
      <c r="AA58" s="42">
        <f t="shared" si="63"/>
        <v>6.5773651144152131E-4</v>
      </c>
      <c r="AB58" s="34">
        <f t="shared" si="11"/>
        <v>114027.42389293101</v>
      </c>
      <c r="AC58" s="34">
        <f>IFERROR(up_RadSpec!$J$16*(AC16*$B58),".")</f>
        <v>38009.14129764367</v>
      </c>
      <c r="AD58" s="34">
        <f>IFERROR(up_RadSpec!$J$16*(AC16*$B58),".")</f>
        <v>38009.14129764367</v>
      </c>
      <c r="AE58" s="34">
        <f>IFERROR(up_RadSpec!$J$16*(AC16*$B58),".")</f>
        <v>38009.14129764367</v>
      </c>
      <c r="AF58" s="34">
        <f>IFERROR(up_RadSpec!$J$16*(AC16*$B58),".")</f>
        <v>38009.14129764367</v>
      </c>
      <c r="AG58" s="34">
        <f>IFERROR(up_RadSpec!$J$16*(AC16*$B58),".")</f>
        <v>38009.14129764367</v>
      </c>
      <c r="AH58" s="34">
        <f>IFERROR(up_RadSpec!$J$16*(AC16*$B58),".")</f>
        <v>38009.14129764367</v>
      </c>
      <c r="AI58" s="34">
        <f>IFERROR(up_RadSpec!$J$16*(AC16*$B58),".")</f>
        <v>38009.14129764367</v>
      </c>
      <c r="AJ58" s="34">
        <f>IFERROR(up_RadSpec!$J$16*(AC16*$B58),".")</f>
        <v>38009.14129764367</v>
      </c>
      <c r="AK58" s="34">
        <f>IFERROR(up_RadSpec!$J$16*(AC16*$B58),".")</f>
        <v>38009.14129764367</v>
      </c>
      <c r="AL58" s="34">
        <f>IFERROR(up_RadSpec!$J$16*(AC16*$B58),".")</f>
        <v>38009.14129764367</v>
      </c>
      <c r="AM58" s="34">
        <f>IFERROR(up_RadSpec!$J$16*(AC16*$B58),".")</f>
        <v>38009.14129764367</v>
      </c>
      <c r="AN58" s="34">
        <f>IFERROR(up_RadSpec!$J$16*(AC16*$B58),".")</f>
        <v>38009.14129764367</v>
      </c>
      <c r="AO58" s="34">
        <f>IFERROR(up_RadSpec!$J$16*(AC16*$B58),".")</f>
        <v>38009.14129764367</v>
      </c>
      <c r="AP58" s="34">
        <f>IFERROR(up_RadSpec!$J$16*(AC16*$B58),".")</f>
        <v>38009.14129764367</v>
      </c>
      <c r="AQ58" s="34">
        <f>IFERROR(up_RadSpec!$J$16*(AC16*$B58),".")</f>
        <v>38009.14129764367</v>
      </c>
      <c r="AR58" s="34">
        <f>IFERROR(up_RadSpec!$J$16*(AC16*$B58),".")</f>
        <v>38009.14129764367</v>
      </c>
      <c r="AS58" s="34">
        <f>IFERROR(up_RadSpec!$J$16*(AC16*$B58),".")</f>
        <v>38009.14129764367</v>
      </c>
      <c r="AT58" s="34">
        <f>IFERROR(up_RadSpec!$J$16*(AC16*$B58),".")</f>
        <v>38009.14129764367</v>
      </c>
      <c r="AU58" s="34">
        <f>IFERROR(up_RadSpec!$J$16*(AC16*$B58),".")</f>
        <v>38009.14129764367</v>
      </c>
      <c r="AV58" s="34">
        <f>IFERROR(up_RadSpec!$J$16*(AC16*$B58),".")</f>
        <v>38009.14129764367</v>
      </c>
      <c r="AW58" s="34">
        <f>IFERROR(up_RadSpec!$J$16*(AC16*$B58),".")</f>
        <v>38009.14129764367</v>
      </c>
      <c r="AX58" s="34">
        <f>IFERROR(up_RadSpec!$J$16*(AC16*$B58),".")</f>
        <v>38009.14129764367</v>
      </c>
      <c r="AY58" s="34">
        <f>IFERROR(up_RadSpec!$J$16*(AC16*$B58),".")</f>
        <v>38009.14129764367</v>
      </c>
      <c r="AZ58" s="34">
        <f>IFERROR(up_RadSpec!$J$16*(AC16*$B58),".")</f>
        <v>38009.14129764367</v>
      </c>
      <c r="BA58" s="42">
        <f t="shared" si="2"/>
        <v>2.1924550381384044E-4</v>
      </c>
      <c r="BB58" s="42">
        <f t="shared" ref="BB58:BY58" si="64">IFERROR(BB16/$B58,0)</f>
        <v>6.5773651144152131E-4</v>
      </c>
      <c r="BC58" s="42">
        <f t="shared" si="64"/>
        <v>6.5773651144152131E-4</v>
      </c>
      <c r="BD58" s="42">
        <f t="shared" si="64"/>
        <v>6.5773651144152131E-4</v>
      </c>
      <c r="BE58" s="42">
        <f t="shared" si="64"/>
        <v>6.5773651144152131E-4</v>
      </c>
      <c r="BF58" s="42">
        <f t="shared" si="64"/>
        <v>6.5773651144152131E-4</v>
      </c>
      <c r="BG58" s="42">
        <f t="shared" si="64"/>
        <v>6.5773651144152131E-4</v>
      </c>
      <c r="BH58" s="42">
        <f t="shared" si="64"/>
        <v>6.5773651144152131E-4</v>
      </c>
      <c r="BI58" s="42">
        <f t="shared" si="64"/>
        <v>6.5773651144152131E-4</v>
      </c>
      <c r="BJ58" s="42">
        <f t="shared" si="64"/>
        <v>6.5773651144152131E-4</v>
      </c>
      <c r="BK58" s="42">
        <f t="shared" si="64"/>
        <v>6.5773651144152131E-4</v>
      </c>
      <c r="BL58" s="42">
        <f t="shared" si="64"/>
        <v>6.5773651144152131E-4</v>
      </c>
      <c r="BM58" s="42">
        <f t="shared" si="64"/>
        <v>6.5773651144152131E-4</v>
      </c>
      <c r="BN58" s="42">
        <f t="shared" si="64"/>
        <v>6.5773651144152131E-4</v>
      </c>
      <c r="BO58" s="42">
        <f t="shared" si="64"/>
        <v>6.5773651144152131E-4</v>
      </c>
      <c r="BP58" s="42">
        <f t="shared" si="64"/>
        <v>6.5773651144152131E-4</v>
      </c>
      <c r="BQ58" s="42">
        <f t="shared" si="64"/>
        <v>6.5773651144152131E-4</v>
      </c>
      <c r="BR58" s="42">
        <f t="shared" si="64"/>
        <v>6.5773651144152131E-4</v>
      </c>
      <c r="BS58" s="42">
        <f t="shared" si="64"/>
        <v>6.5773651144152131E-4</v>
      </c>
      <c r="BT58" s="42">
        <f t="shared" si="64"/>
        <v>6.5773651144152131E-4</v>
      </c>
      <c r="BU58" s="42">
        <f t="shared" si="64"/>
        <v>6.5773651144152131E-4</v>
      </c>
      <c r="BV58" s="42">
        <f t="shared" si="64"/>
        <v>6.5773651144152131E-4</v>
      </c>
      <c r="BW58" s="42">
        <f t="shared" si="64"/>
        <v>6.5773651144152131E-4</v>
      </c>
      <c r="BX58" s="42">
        <f t="shared" si="64"/>
        <v>6.5773651144152131E-4</v>
      </c>
      <c r="BY58" s="42">
        <f t="shared" si="64"/>
        <v>6.5773651144152131E-4</v>
      </c>
      <c r="BZ58" s="34">
        <f t="shared" si="3"/>
        <v>114027.42389293101</v>
      </c>
      <c r="CA58" s="34">
        <f>IFERROR(up_RadSpec!$J$16*(AC16*$B58),".")</f>
        <v>38009.14129764367</v>
      </c>
      <c r="CB58" s="34">
        <f>IFERROR(up_RadSpec!$J$16*(AC16*$B58),".")</f>
        <v>38009.14129764367</v>
      </c>
      <c r="CC58" s="34">
        <f>IFERROR(up_RadSpec!$J$16*(AC16*$B58),".")</f>
        <v>38009.14129764367</v>
      </c>
      <c r="CD58" s="34">
        <f>IFERROR(up_RadSpec!$J$16*(AC16*$B58),".")</f>
        <v>38009.14129764367</v>
      </c>
      <c r="CE58" s="34">
        <f>IFERROR(up_RadSpec!$J$16*(AC16*$B58),".")</f>
        <v>38009.14129764367</v>
      </c>
      <c r="CF58" s="34">
        <f>IFERROR(up_RadSpec!$J$16*(AC16*$B58),".")</f>
        <v>38009.14129764367</v>
      </c>
      <c r="CG58" s="34">
        <f>IFERROR(up_RadSpec!$J$16*(AC16*$B58),".")</f>
        <v>38009.14129764367</v>
      </c>
      <c r="CH58" s="34">
        <f>IFERROR(up_RadSpec!$J$16*(AC16*$B58),".")</f>
        <v>38009.14129764367</v>
      </c>
      <c r="CI58" s="34">
        <f>IFERROR(up_RadSpec!$J$16*(AC16*$B58),".")</f>
        <v>38009.14129764367</v>
      </c>
      <c r="CJ58" s="34">
        <f>IFERROR(up_RadSpec!$J$16*(AC16*$B58),".")</f>
        <v>38009.14129764367</v>
      </c>
      <c r="CK58" s="34">
        <f>IFERROR(up_RadSpec!$J$16*(AC16*$B58),".")</f>
        <v>38009.14129764367</v>
      </c>
      <c r="CL58" s="34">
        <f>IFERROR(up_RadSpec!$J$16*(AC16*$B58),".")</f>
        <v>38009.14129764367</v>
      </c>
      <c r="CM58" s="34">
        <f>IFERROR(up_RadSpec!$J$16*(AC16*$B58),".")</f>
        <v>38009.14129764367</v>
      </c>
      <c r="CN58" s="34">
        <f>IFERROR(up_RadSpec!$J$16*(AC16*$B58),".")</f>
        <v>38009.14129764367</v>
      </c>
      <c r="CO58" s="34">
        <f>IFERROR(up_RadSpec!$J$16*(AC16*$B58),".")</f>
        <v>38009.14129764367</v>
      </c>
      <c r="CP58" s="34">
        <f>IFERROR(up_RadSpec!$J$16*(AC16*$B58),".")</f>
        <v>38009.14129764367</v>
      </c>
      <c r="CQ58" s="34">
        <f>IFERROR(up_RadSpec!$J$16*(AC16*$B58),".")</f>
        <v>38009.14129764367</v>
      </c>
      <c r="CR58" s="34">
        <f>IFERROR(up_RadSpec!$J$16*(AC16*$B58),".")</f>
        <v>38009.14129764367</v>
      </c>
      <c r="CS58" s="34">
        <f>IFERROR(up_RadSpec!$J$16*(AC16*$B58),".")</f>
        <v>38009.14129764367</v>
      </c>
      <c r="CT58" s="34">
        <f>IFERROR(up_RadSpec!$J$16*(AC16*$B58),".")</f>
        <v>38009.14129764367</v>
      </c>
      <c r="CU58" s="34">
        <f>IFERROR(up_RadSpec!$J$16*(AC16*$B58),".")</f>
        <v>38009.14129764367</v>
      </c>
      <c r="CV58" s="34">
        <f>IFERROR(up_RadSpec!$J$16*(AC16*$B58),".")</f>
        <v>38009.14129764367</v>
      </c>
      <c r="CW58" s="34">
        <f>IFERROR(up_RadSpec!$J$16*(AC16*$B58),".")</f>
        <v>38009.14129764367</v>
      </c>
      <c r="CX58" s="34">
        <f>IFERROR(up_RadSpec!$J$16*(AC16*$B58),".")</f>
        <v>38009.14129764367</v>
      </c>
    </row>
    <row r="59" spans="1:102" s="3" customFormat="1" x14ac:dyDescent="0.25">
      <c r="A59" s="55" t="s">
        <v>1082</v>
      </c>
      <c r="B59" s="3">
        <v>1</v>
      </c>
      <c r="C59" s="42">
        <f t="shared" si="0"/>
        <v>2.1924550381384044E-4</v>
      </c>
      <c r="D59" s="42">
        <f t="shared" ref="D59:AA59" si="65">IFERROR(D7/$B59,0)</f>
        <v>6.5773651144152131E-4</v>
      </c>
      <c r="E59" s="42">
        <f t="shared" si="65"/>
        <v>6.5773651144152131E-4</v>
      </c>
      <c r="F59" s="42">
        <f t="shared" si="65"/>
        <v>6.5773651144152131E-4</v>
      </c>
      <c r="G59" s="42">
        <f t="shared" si="65"/>
        <v>6.5773651144152131E-4</v>
      </c>
      <c r="H59" s="42">
        <f t="shared" si="65"/>
        <v>6.5773651144152131E-4</v>
      </c>
      <c r="I59" s="42">
        <f t="shared" si="65"/>
        <v>6.5773651144152131E-4</v>
      </c>
      <c r="J59" s="42">
        <f t="shared" si="65"/>
        <v>6.5773651144152131E-4</v>
      </c>
      <c r="K59" s="42">
        <f t="shared" si="65"/>
        <v>6.5773651144152131E-4</v>
      </c>
      <c r="L59" s="42">
        <f t="shared" si="65"/>
        <v>6.5773651144152131E-4</v>
      </c>
      <c r="M59" s="42">
        <f t="shared" si="65"/>
        <v>6.5773651144152131E-4</v>
      </c>
      <c r="N59" s="42">
        <f t="shared" si="65"/>
        <v>6.5773651144152131E-4</v>
      </c>
      <c r="O59" s="42">
        <f t="shared" si="65"/>
        <v>6.5773651144152131E-4</v>
      </c>
      <c r="P59" s="42">
        <f t="shared" si="65"/>
        <v>6.5773651144152131E-4</v>
      </c>
      <c r="Q59" s="42">
        <f t="shared" si="65"/>
        <v>6.5773651144152131E-4</v>
      </c>
      <c r="R59" s="42">
        <f t="shared" si="65"/>
        <v>6.5773651144152131E-4</v>
      </c>
      <c r="S59" s="42">
        <f t="shared" si="65"/>
        <v>6.5773651144152131E-4</v>
      </c>
      <c r="T59" s="42">
        <f t="shared" si="65"/>
        <v>6.5773651144152131E-4</v>
      </c>
      <c r="U59" s="42">
        <f t="shared" si="65"/>
        <v>6.5773651144152131E-4</v>
      </c>
      <c r="V59" s="42">
        <f t="shared" si="65"/>
        <v>6.5773651144152131E-4</v>
      </c>
      <c r="W59" s="42">
        <f t="shared" si="65"/>
        <v>6.5773651144152131E-4</v>
      </c>
      <c r="X59" s="42">
        <f t="shared" si="65"/>
        <v>6.5773651144152131E-4</v>
      </c>
      <c r="Y59" s="42">
        <f t="shared" si="65"/>
        <v>6.5773651144152131E-4</v>
      </c>
      <c r="Z59" s="42">
        <f t="shared" si="65"/>
        <v>6.5773651144152131E-4</v>
      </c>
      <c r="AA59" s="42">
        <f t="shared" si="65"/>
        <v>6.5773651144152131E-4</v>
      </c>
      <c r="AB59" s="34">
        <f t="shared" si="11"/>
        <v>114027.42389293101</v>
      </c>
      <c r="AC59" s="34">
        <f>IFERROR(up_RadSpec!$J$7*(AC7*$B59),".")</f>
        <v>38009.14129764367</v>
      </c>
      <c r="AD59" s="34">
        <f>IFERROR(up_RadSpec!$J$7*(AC7*$B59),".")</f>
        <v>38009.14129764367</v>
      </c>
      <c r="AE59" s="34">
        <f>IFERROR(up_RadSpec!$J$7*(AC7*$B59),".")</f>
        <v>38009.14129764367</v>
      </c>
      <c r="AF59" s="34">
        <f>IFERROR(up_RadSpec!$J$7*(AC7*$B59),".")</f>
        <v>38009.14129764367</v>
      </c>
      <c r="AG59" s="34">
        <f>IFERROR(up_RadSpec!$J$7*(AC7*$B59),".")</f>
        <v>38009.14129764367</v>
      </c>
      <c r="AH59" s="34">
        <f>IFERROR(up_RadSpec!$J$7*(AC7*$B59),".")</f>
        <v>38009.14129764367</v>
      </c>
      <c r="AI59" s="34">
        <f>IFERROR(up_RadSpec!$J$7*(AC7*$B59),".")</f>
        <v>38009.14129764367</v>
      </c>
      <c r="AJ59" s="34">
        <f>IFERROR(up_RadSpec!$J$7*(AC7*$B59),".")</f>
        <v>38009.14129764367</v>
      </c>
      <c r="AK59" s="34">
        <f>IFERROR(up_RadSpec!$J$7*(AC7*$B59),".")</f>
        <v>38009.14129764367</v>
      </c>
      <c r="AL59" s="34">
        <f>IFERROR(up_RadSpec!$J$7*(AC7*$B59),".")</f>
        <v>38009.14129764367</v>
      </c>
      <c r="AM59" s="34">
        <f>IFERROR(up_RadSpec!$J$7*(AC7*$B59),".")</f>
        <v>38009.14129764367</v>
      </c>
      <c r="AN59" s="34">
        <f>IFERROR(up_RadSpec!$J$7*(AC7*$B59),".")</f>
        <v>38009.14129764367</v>
      </c>
      <c r="AO59" s="34">
        <f>IFERROR(up_RadSpec!$J$7*(AC7*$B59),".")</f>
        <v>38009.14129764367</v>
      </c>
      <c r="AP59" s="34">
        <f>IFERROR(up_RadSpec!$J$7*(AC7*$B59),".")</f>
        <v>38009.14129764367</v>
      </c>
      <c r="AQ59" s="34">
        <f>IFERROR(up_RadSpec!$J$7*(AC7*$B59),".")</f>
        <v>38009.14129764367</v>
      </c>
      <c r="AR59" s="34">
        <f>IFERROR(up_RadSpec!$J$7*(AC7*$B59),".")</f>
        <v>38009.14129764367</v>
      </c>
      <c r="AS59" s="34">
        <f>IFERROR(up_RadSpec!$J$7*(AC7*$B59),".")</f>
        <v>38009.14129764367</v>
      </c>
      <c r="AT59" s="34">
        <f>IFERROR(up_RadSpec!$J$7*(AC7*$B59),".")</f>
        <v>38009.14129764367</v>
      </c>
      <c r="AU59" s="34">
        <f>IFERROR(up_RadSpec!$J$7*(AC7*$B59),".")</f>
        <v>38009.14129764367</v>
      </c>
      <c r="AV59" s="34">
        <f>IFERROR(up_RadSpec!$J$7*(AC7*$B59),".")</f>
        <v>38009.14129764367</v>
      </c>
      <c r="AW59" s="34">
        <f>IFERROR(up_RadSpec!$J$7*(AC7*$B59),".")</f>
        <v>38009.14129764367</v>
      </c>
      <c r="AX59" s="34">
        <f>IFERROR(up_RadSpec!$J$7*(AC7*$B59),".")</f>
        <v>38009.14129764367</v>
      </c>
      <c r="AY59" s="34">
        <f>IFERROR(up_RadSpec!$J$7*(AC7*$B59),".")</f>
        <v>38009.14129764367</v>
      </c>
      <c r="AZ59" s="34">
        <f>IFERROR(up_RadSpec!$J$7*(AC7*$B59),".")</f>
        <v>38009.14129764367</v>
      </c>
      <c r="BA59" s="42">
        <f t="shared" si="2"/>
        <v>2.1924550381384044E-4</v>
      </c>
      <c r="BB59" s="42">
        <f t="shared" ref="BB59:BY59" si="66">IFERROR(BB7/$B59,0)</f>
        <v>6.5773651144152131E-4</v>
      </c>
      <c r="BC59" s="42">
        <f t="shared" si="66"/>
        <v>6.5773651144152131E-4</v>
      </c>
      <c r="BD59" s="42">
        <f t="shared" si="66"/>
        <v>6.5773651144152131E-4</v>
      </c>
      <c r="BE59" s="42">
        <f t="shared" si="66"/>
        <v>6.5773651144152131E-4</v>
      </c>
      <c r="BF59" s="42">
        <f t="shared" si="66"/>
        <v>6.5773651144152131E-4</v>
      </c>
      <c r="BG59" s="42">
        <f t="shared" si="66"/>
        <v>6.5773651144152131E-4</v>
      </c>
      <c r="BH59" s="42">
        <f t="shared" si="66"/>
        <v>6.5773651144152131E-4</v>
      </c>
      <c r="BI59" s="42">
        <f t="shared" si="66"/>
        <v>6.5773651144152131E-4</v>
      </c>
      <c r="BJ59" s="42">
        <f t="shared" si="66"/>
        <v>6.5773651144152131E-4</v>
      </c>
      <c r="BK59" s="42">
        <f t="shared" si="66"/>
        <v>6.5773651144152131E-4</v>
      </c>
      <c r="BL59" s="42">
        <f t="shared" si="66"/>
        <v>6.5773651144152131E-4</v>
      </c>
      <c r="BM59" s="42">
        <f t="shared" si="66"/>
        <v>6.5773651144152131E-4</v>
      </c>
      <c r="BN59" s="42">
        <f t="shared" si="66"/>
        <v>6.5773651144152131E-4</v>
      </c>
      <c r="BO59" s="42">
        <f t="shared" si="66"/>
        <v>6.5773651144152131E-4</v>
      </c>
      <c r="BP59" s="42">
        <f t="shared" si="66"/>
        <v>6.5773651144152131E-4</v>
      </c>
      <c r="BQ59" s="42">
        <f t="shared" si="66"/>
        <v>6.5773651144152131E-4</v>
      </c>
      <c r="BR59" s="42">
        <f t="shared" si="66"/>
        <v>6.5773651144152131E-4</v>
      </c>
      <c r="BS59" s="42">
        <f t="shared" si="66"/>
        <v>6.5773651144152131E-4</v>
      </c>
      <c r="BT59" s="42">
        <f t="shared" si="66"/>
        <v>6.5773651144152131E-4</v>
      </c>
      <c r="BU59" s="42">
        <f t="shared" si="66"/>
        <v>6.5773651144152131E-4</v>
      </c>
      <c r="BV59" s="42">
        <f t="shared" si="66"/>
        <v>6.5773651144152131E-4</v>
      </c>
      <c r="BW59" s="42">
        <f t="shared" si="66"/>
        <v>6.5773651144152131E-4</v>
      </c>
      <c r="BX59" s="42">
        <f t="shared" si="66"/>
        <v>6.5773651144152131E-4</v>
      </c>
      <c r="BY59" s="42">
        <f t="shared" si="66"/>
        <v>6.5773651144152131E-4</v>
      </c>
      <c r="BZ59" s="34">
        <f t="shared" si="3"/>
        <v>114027.42389293101</v>
      </c>
      <c r="CA59" s="34">
        <f>IFERROR(up_RadSpec!$J$7*(AC7*$B59),".")</f>
        <v>38009.14129764367</v>
      </c>
      <c r="CB59" s="34">
        <f>IFERROR(up_RadSpec!$J$7*(AC7*$B59),".")</f>
        <v>38009.14129764367</v>
      </c>
      <c r="CC59" s="34">
        <f>IFERROR(up_RadSpec!$J$7*(AC7*$B59),".")</f>
        <v>38009.14129764367</v>
      </c>
      <c r="CD59" s="34">
        <f>IFERROR(up_RadSpec!$J$7*(AC7*$B59),".")</f>
        <v>38009.14129764367</v>
      </c>
      <c r="CE59" s="34">
        <f>IFERROR(up_RadSpec!$J$7*(AC7*$B59),".")</f>
        <v>38009.14129764367</v>
      </c>
      <c r="CF59" s="34">
        <f>IFERROR(up_RadSpec!$J$7*(AC7*$B59),".")</f>
        <v>38009.14129764367</v>
      </c>
      <c r="CG59" s="34">
        <f>IFERROR(up_RadSpec!$J$7*(AC7*$B59),".")</f>
        <v>38009.14129764367</v>
      </c>
      <c r="CH59" s="34">
        <f>IFERROR(up_RadSpec!$J$7*(AC7*$B59),".")</f>
        <v>38009.14129764367</v>
      </c>
      <c r="CI59" s="34">
        <f>IFERROR(up_RadSpec!$J$7*(AC7*$B59),".")</f>
        <v>38009.14129764367</v>
      </c>
      <c r="CJ59" s="34">
        <f>IFERROR(up_RadSpec!$J$7*(AC7*$B59),".")</f>
        <v>38009.14129764367</v>
      </c>
      <c r="CK59" s="34">
        <f>IFERROR(up_RadSpec!$J$7*(AC7*$B59),".")</f>
        <v>38009.14129764367</v>
      </c>
      <c r="CL59" s="34">
        <f>IFERROR(up_RadSpec!$J$7*(AC7*$B59),".")</f>
        <v>38009.14129764367</v>
      </c>
      <c r="CM59" s="34">
        <f>IFERROR(up_RadSpec!$J$7*(AC7*$B59),".")</f>
        <v>38009.14129764367</v>
      </c>
      <c r="CN59" s="34">
        <f>IFERROR(up_RadSpec!$J$7*(AC7*$B59),".")</f>
        <v>38009.14129764367</v>
      </c>
      <c r="CO59" s="34">
        <f>IFERROR(up_RadSpec!$J$7*(AC7*$B59),".")</f>
        <v>38009.14129764367</v>
      </c>
      <c r="CP59" s="34">
        <f>IFERROR(up_RadSpec!$J$7*(AC7*$B59),".")</f>
        <v>38009.14129764367</v>
      </c>
      <c r="CQ59" s="34">
        <f>IFERROR(up_RadSpec!$J$7*(AC7*$B59),".")</f>
        <v>38009.14129764367</v>
      </c>
      <c r="CR59" s="34">
        <f>IFERROR(up_RadSpec!$J$7*(AC7*$B59),".")</f>
        <v>38009.14129764367</v>
      </c>
      <c r="CS59" s="34">
        <f>IFERROR(up_RadSpec!$J$7*(AC7*$B59),".")</f>
        <v>38009.14129764367</v>
      </c>
      <c r="CT59" s="34">
        <f>IFERROR(up_RadSpec!$J$7*(AC7*$B59),".")</f>
        <v>38009.14129764367</v>
      </c>
      <c r="CU59" s="34">
        <f>IFERROR(up_RadSpec!$J$7*(AC7*$B59),".")</f>
        <v>38009.14129764367</v>
      </c>
      <c r="CV59" s="34">
        <f>IFERROR(up_RadSpec!$J$7*(AC7*$B59),".")</f>
        <v>38009.14129764367</v>
      </c>
      <c r="CW59" s="34">
        <f>IFERROR(up_RadSpec!$J$7*(AC7*$B59),".")</f>
        <v>38009.14129764367</v>
      </c>
      <c r="CX59" s="34">
        <f>IFERROR(up_RadSpec!$J$7*(AC7*$B59),".")</f>
        <v>38009.14129764367</v>
      </c>
    </row>
    <row r="60" spans="1:102" s="3" customFormat="1" x14ac:dyDescent="0.25">
      <c r="A60" s="55" t="s">
        <v>1083</v>
      </c>
      <c r="B60" s="3">
        <v>1.9000000000000001E-8</v>
      </c>
      <c r="C60" s="42">
        <f t="shared" si="0"/>
        <v>11539.237042833707</v>
      </c>
      <c r="D60" s="42">
        <f t="shared" ref="D60:AA60" si="67">IFERROR(D12/$B60,0)</f>
        <v>34617.71112850112</v>
      </c>
      <c r="E60" s="42">
        <f t="shared" si="67"/>
        <v>34617.71112850112</v>
      </c>
      <c r="F60" s="42">
        <f t="shared" si="67"/>
        <v>34617.71112850112</v>
      </c>
      <c r="G60" s="42">
        <f t="shared" si="67"/>
        <v>34617.71112850112</v>
      </c>
      <c r="H60" s="42">
        <f t="shared" si="67"/>
        <v>34617.71112850112</v>
      </c>
      <c r="I60" s="42">
        <f t="shared" si="67"/>
        <v>34617.71112850112</v>
      </c>
      <c r="J60" s="42">
        <f t="shared" si="67"/>
        <v>34617.71112850112</v>
      </c>
      <c r="K60" s="42">
        <f t="shared" si="67"/>
        <v>34617.71112850112</v>
      </c>
      <c r="L60" s="42">
        <f t="shared" si="67"/>
        <v>34617.71112850112</v>
      </c>
      <c r="M60" s="42">
        <f t="shared" si="67"/>
        <v>34617.71112850112</v>
      </c>
      <c r="N60" s="42">
        <f t="shared" si="67"/>
        <v>34617.71112850112</v>
      </c>
      <c r="O60" s="42">
        <f t="shared" si="67"/>
        <v>34617.71112850112</v>
      </c>
      <c r="P60" s="42">
        <f t="shared" si="67"/>
        <v>34617.71112850112</v>
      </c>
      <c r="Q60" s="42">
        <f t="shared" si="67"/>
        <v>34617.71112850112</v>
      </c>
      <c r="R60" s="42">
        <f t="shared" si="67"/>
        <v>34617.71112850112</v>
      </c>
      <c r="S60" s="42">
        <f t="shared" si="67"/>
        <v>34617.71112850112</v>
      </c>
      <c r="T60" s="42">
        <f t="shared" si="67"/>
        <v>34617.71112850112</v>
      </c>
      <c r="U60" s="42">
        <f t="shared" si="67"/>
        <v>34617.71112850112</v>
      </c>
      <c r="V60" s="42">
        <f t="shared" si="67"/>
        <v>34617.71112850112</v>
      </c>
      <c r="W60" s="42">
        <f t="shared" si="67"/>
        <v>34617.71112850112</v>
      </c>
      <c r="X60" s="42">
        <f t="shared" si="67"/>
        <v>34617.71112850112</v>
      </c>
      <c r="Y60" s="42">
        <f t="shared" si="67"/>
        <v>34617.71112850112</v>
      </c>
      <c r="Z60" s="42">
        <f t="shared" si="67"/>
        <v>34617.71112850112</v>
      </c>
      <c r="AA60" s="42">
        <f t="shared" si="67"/>
        <v>34617.71112850112</v>
      </c>
      <c r="AB60" s="34">
        <f t="shared" si="11"/>
        <v>2.1665210539656894E-3</v>
      </c>
      <c r="AC60" s="34">
        <f>IFERROR(up_RadSpec!$J$12*(AC12*$B60),".")</f>
        <v>7.2217368465522975E-4</v>
      </c>
      <c r="AD60" s="34">
        <f>IFERROR(up_RadSpec!$J$12*(AC12*$B60),".")</f>
        <v>7.2217368465522975E-4</v>
      </c>
      <c r="AE60" s="34">
        <f>IFERROR(up_RadSpec!$J$12*(AC12*$B60),".")</f>
        <v>7.2217368465522975E-4</v>
      </c>
      <c r="AF60" s="34">
        <f>IFERROR(up_RadSpec!$J$12*(AC12*$B60),".")</f>
        <v>7.2217368465522975E-4</v>
      </c>
      <c r="AG60" s="34">
        <f>IFERROR(up_RadSpec!$J$12*(AC12*$B60),".")</f>
        <v>7.2217368465522975E-4</v>
      </c>
      <c r="AH60" s="34">
        <f>IFERROR(up_RadSpec!$J$12*(AC12*$B60),".")</f>
        <v>7.2217368465522975E-4</v>
      </c>
      <c r="AI60" s="34">
        <f>IFERROR(up_RadSpec!$J$12*(AC12*$B60),".")</f>
        <v>7.2217368465522975E-4</v>
      </c>
      <c r="AJ60" s="34">
        <f>IFERROR(up_RadSpec!$J$12*(AC12*$B60),".")</f>
        <v>7.2217368465522975E-4</v>
      </c>
      <c r="AK60" s="34">
        <f>IFERROR(up_RadSpec!$J$12*(AC12*$B60),".")</f>
        <v>7.2217368465522975E-4</v>
      </c>
      <c r="AL60" s="34">
        <f>IFERROR(up_RadSpec!$J$12*(AC12*$B60),".")</f>
        <v>7.2217368465522975E-4</v>
      </c>
      <c r="AM60" s="34">
        <f>IFERROR(up_RadSpec!$J$12*(AC12*$B60),".")</f>
        <v>7.2217368465522975E-4</v>
      </c>
      <c r="AN60" s="34">
        <f>IFERROR(up_RadSpec!$J$12*(AC12*$B60),".")</f>
        <v>7.2217368465522975E-4</v>
      </c>
      <c r="AO60" s="34">
        <f>IFERROR(up_RadSpec!$J$12*(AC12*$B60),".")</f>
        <v>7.2217368465522975E-4</v>
      </c>
      <c r="AP60" s="34">
        <f>IFERROR(up_RadSpec!$J$12*(AC12*$B60),".")</f>
        <v>7.2217368465522975E-4</v>
      </c>
      <c r="AQ60" s="34">
        <f>IFERROR(up_RadSpec!$J$12*(AC12*$B60),".")</f>
        <v>7.2217368465522975E-4</v>
      </c>
      <c r="AR60" s="34">
        <f>IFERROR(up_RadSpec!$J$12*(AC12*$B60),".")</f>
        <v>7.2217368465522975E-4</v>
      </c>
      <c r="AS60" s="34">
        <f>IFERROR(up_RadSpec!$J$12*(AC12*$B60),".")</f>
        <v>7.2217368465522975E-4</v>
      </c>
      <c r="AT60" s="34">
        <f>IFERROR(up_RadSpec!$J$12*(AC12*$B60),".")</f>
        <v>7.2217368465522975E-4</v>
      </c>
      <c r="AU60" s="34">
        <f>IFERROR(up_RadSpec!$J$12*(AC12*$B60),".")</f>
        <v>7.2217368465522975E-4</v>
      </c>
      <c r="AV60" s="34">
        <f>IFERROR(up_RadSpec!$J$12*(AC12*$B60),".")</f>
        <v>7.2217368465522975E-4</v>
      </c>
      <c r="AW60" s="34">
        <f>IFERROR(up_RadSpec!$J$12*(AC12*$B60),".")</f>
        <v>7.2217368465522975E-4</v>
      </c>
      <c r="AX60" s="34">
        <f>IFERROR(up_RadSpec!$J$12*(AC12*$B60),".")</f>
        <v>7.2217368465522975E-4</v>
      </c>
      <c r="AY60" s="34">
        <f>IFERROR(up_RadSpec!$J$12*(AC12*$B60),".")</f>
        <v>7.2217368465522975E-4</v>
      </c>
      <c r="AZ60" s="34">
        <f>IFERROR(up_RadSpec!$J$12*(AC12*$B60),".")</f>
        <v>7.2217368465522975E-4</v>
      </c>
      <c r="BA60" s="42">
        <f t="shared" si="2"/>
        <v>11539.237042833707</v>
      </c>
      <c r="BB60" s="42">
        <f t="shared" ref="BB60:BY60" si="68">IFERROR(BB12/$B60,0)</f>
        <v>34617.71112850112</v>
      </c>
      <c r="BC60" s="42">
        <f t="shared" si="68"/>
        <v>34617.71112850112</v>
      </c>
      <c r="BD60" s="42">
        <f t="shared" si="68"/>
        <v>34617.71112850112</v>
      </c>
      <c r="BE60" s="42">
        <f t="shared" si="68"/>
        <v>34617.71112850112</v>
      </c>
      <c r="BF60" s="42">
        <f t="shared" si="68"/>
        <v>34617.71112850112</v>
      </c>
      <c r="BG60" s="42">
        <f t="shared" si="68"/>
        <v>34617.71112850112</v>
      </c>
      <c r="BH60" s="42">
        <f t="shared" si="68"/>
        <v>34617.71112850112</v>
      </c>
      <c r="BI60" s="42">
        <f t="shared" si="68"/>
        <v>34617.71112850112</v>
      </c>
      <c r="BJ60" s="42">
        <f t="shared" si="68"/>
        <v>34617.71112850112</v>
      </c>
      <c r="BK60" s="42">
        <f t="shared" si="68"/>
        <v>34617.71112850112</v>
      </c>
      <c r="BL60" s="42">
        <f t="shared" si="68"/>
        <v>34617.71112850112</v>
      </c>
      <c r="BM60" s="42">
        <f t="shared" si="68"/>
        <v>34617.71112850112</v>
      </c>
      <c r="BN60" s="42">
        <f t="shared" si="68"/>
        <v>34617.71112850112</v>
      </c>
      <c r="BO60" s="42">
        <f t="shared" si="68"/>
        <v>34617.71112850112</v>
      </c>
      <c r="BP60" s="42">
        <f t="shared" si="68"/>
        <v>34617.71112850112</v>
      </c>
      <c r="BQ60" s="42">
        <f t="shared" si="68"/>
        <v>34617.71112850112</v>
      </c>
      <c r="BR60" s="42">
        <f t="shared" si="68"/>
        <v>34617.71112850112</v>
      </c>
      <c r="BS60" s="42">
        <f t="shared" si="68"/>
        <v>34617.71112850112</v>
      </c>
      <c r="BT60" s="42">
        <f t="shared" si="68"/>
        <v>34617.71112850112</v>
      </c>
      <c r="BU60" s="42">
        <f t="shared" si="68"/>
        <v>34617.71112850112</v>
      </c>
      <c r="BV60" s="42">
        <f t="shared" si="68"/>
        <v>34617.71112850112</v>
      </c>
      <c r="BW60" s="42">
        <f t="shared" si="68"/>
        <v>34617.71112850112</v>
      </c>
      <c r="BX60" s="42">
        <f t="shared" si="68"/>
        <v>34617.71112850112</v>
      </c>
      <c r="BY60" s="42">
        <f t="shared" si="68"/>
        <v>34617.71112850112</v>
      </c>
      <c r="BZ60" s="34">
        <f t="shared" si="3"/>
        <v>2.1665210539656894E-3</v>
      </c>
      <c r="CA60" s="34">
        <f>IFERROR(up_RadSpec!$J$12*(AC12*$B60),".")</f>
        <v>7.2217368465522975E-4</v>
      </c>
      <c r="CB60" s="34">
        <f>IFERROR(up_RadSpec!$J$12*(AC12*$B60),".")</f>
        <v>7.2217368465522975E-4</v>
      </c>
      <c r="CC60" s="34">
        <f>IFERROR(up_RadSpec!$J$12*(AC12*$B60),".")</f>
        <v>7.2217368465522975E-4</v>
      </c>
      <c r="CD60" s="34">
        <f>IFERROR(up_RadSpec!$J$12*(AC12*$B60),".")</f>
        <v>7.2217368465522975E-4</v>
      </c>
      <c r="CE60" s="34">
        <f>IFERROR(up_RadSpec!$J$12*(AC12*$B60),".")</f>
        <v>7.2217368465522975E-4</v>
      </c>
      <c r="CF60" s="34">
        <f>IFERROR(up_RadSpec!$J$12*(AC12*$B60),".")</f>
        <v>7.2217368465522975E-4</v>
      </c>
      <c r="CG60" s="34">
        <f>IFERROR(up_RadSpec!$J$12*(AC12*$B60),".")</f>
        <v>7.2217368465522975E-4</v>
      </c>
      <c r="CH60" s="34">
        <f>IFERROR(up_RadSpec!$J$12*(AC12*$B60),".")</f>
        <v>7.2217368465522975E-4</v>
      </c>
      <c r="CI60" s="34">
        <f>IFERROR(up_RadSpec!$J$12*(AC12*$B60),".")</f>
        <v>7.2217368465522975E-4</v>
      </c>
      <c r="CJ60" s="34">
        <f>IFERROR(up_RadSpec!$J$12*(AC12*$B60),".")</f>
        <v>7.2217368465522975E-4</v>
      </c>
      <c r="CK60" s="34">
        <f>IFERROR(up_RadSpec!$J$12*(AC12*$B60),".")</f>
        <v>7.2217368465522975E-4</v>
      </c>
      <c r="CL60" s="34">
        <f>IFERROR(up_RadSpec!$J$12*(AC12*$B60),".")</f>
        <v>7.2217368465522975E-4</v>
      </c>
      <c r="CM60" s="34">
        <f>IFERROR(up_RadSpec!$J$12*(AC12*$B60),".")</f>
        <v>7.2217368465522975E-4</v>
      </c>
      <c r="CN60" s="34">
        <f>IFERROR(up_RadSpec!$J$12*(AC12*$B60),".")</f>
        <v>7.2217368465522975E-4</v>
      </c>
      <c r="CO60" s="34">
        <f>IFERROR(up_RadSpec!$J$12*(AC12*$B60),".")</f>
        <v>7.2217368465522975E-4</v>
      </c>
      <c r="CP60" s="34">
        <f>IFERROR(up_RadSpec!$J$12*(AC12*$B60),".")</f>
        <v>7.2217368465522975E-4</v>
      </c>
      <c r="CQ60" s="34">
        <f>IFERROR(up_RadSpec!$J$12*(AC12*$B60),".")</f>
        <v>7.2217368465522975E-4</v>
      </c>
      <c r="CR60" s="34">
        <f>IFERROR(up_RadSpec!$J$12*(AC12*$B60),".")</f>
        <v>7.2217368465522975E-4</v>
      </c>
      <c r="CS60" s="34">
        <f>IFERROR(up_RadSpec!$J$12*(AC12*$B60),".")</f>
        <v>7.2217368465522975E-4</v>
      </c>
      <c r="CT60" s="34">
        <f>IFERROR(up_RadSpec!$J$12*(AC12*$B60),".")</f>
        <v>7.2217368465522975E-4</v>
      </c>
      <c r="CU60" s="34">
        <f>IFERROR(up_RadSpec!$J$12*(AC12*$B60),".")</f>
        <v>7.2217368465522975E-4</v>
      </c>
      <c r="CV60" s="34">
        <f>IFERROR(up_RadSpec!$J$12*(AC12*$B60),".")</f>
        <v>7.2217368465522975E-4</v>
      </c>
      <c r="CW60" s="34">
        <f>IFERROR(up_RadSpec!$J$12*(AC12*$B60),".")</f>
        <v>7.2217368465522975E-4</v>
      </c>
      <c r="CX60" s="34">
        <f>IFERROR(up_RadSpec!$J$12*(AC12*$B60),".")</f>
        <v>7.2217368465522975E-4</v>
      </c>
    </row>
    <row r="61" spans="1:102" s="3" customFormat="1" x14ac:dyDescent="0.25">
      <c r="A61" s="55" t="s">
        <v>1084</v>
      </c>
      <c r="B61" s="3">
        <v>1</v>
      </c>
      <c r="C61" s="42">
        <f t="shared" si="0"/>
        <v>2.1924550381384044E-4</v>
      </c>
      <c r="D61" s="42">
        <f t="shared" ref="D61:AA61" si="69">IFERROR(D18/$B61,0)</f>
        <v>6.5773651144152131E-4</v>
      </c>
      <c r="E61" s="42">
        <f t="shared" si="69"/>
        <v>6.5773651144152131E-4</v>
      </c>
      <c r="F61" s="42">
        <f t="shared" si="69"/>
        <v>6.5773651144152131E-4</v>
      </c>
      <c r="G61" s="42">
        <f t="shared" si="69"/>
        <v>6.5773651144152131E-4</v>
      </c>
      <c r="H61" s="42">
        <f t="shared" si="69"/>
        <v>6.5773651144152131E-4</v>
      </c>
      <c r="I61" s="42">
        <f t="shared" si="69"/>
        <v>6.5773651144152131E-4</v>
      </c>
      <c r="J61" s="42">
        <f t="shared" si="69"/>
        <v>6.5773651144152131E-4</v>
      </c>
      <c r="K61" s="42">
        <f t="shared" si="69"/>
        <v>6.5773651144152131E-4</v>
      </c>
      <c r="L61" s="42">
        <f t="shared" si="69"/>
        <v>6.5773651144152131E-4</v>
      </c>
      <c r="M61" s="42">
        <f t="shared" si="69"/>
        <v>6.5773651144152131E-4</v>
      </c>
      <c r="N61" s="42">
        <f t="shared" si="69"/>
        <v>6.5773651144152131E-4</v>
      </c>
      <c r="O61" s="42">
        <f t="shared" si="69"/>
        <v>6.5773651144152131E-4</v>
      </c>
      <c r="P61" s="42">
        <f t="shared" si="69"/>
        <v>6.5773651144152131E-4</v>
      </c>
      <c r="Q61" s="42">
        <f t="shared" si="69"/>
        <v>6.5773651144152131E-4</v>
      </c>
      <c r="R61" s="42">
        <f t="shared" si="69"/>
        <v>6.5773651144152131E-4</v>
      </c>
      <c r="S61" s="42">
        <f t="shared" si="69"/>
        <v>6.5773651144152131E-4</v>
      </c>
      <c r="T61" s="42">
        <f t="shared" si="69"/>
        <v>6.5773651144152131E-4</v>
      </c>
      <c r="U61" s="42">
        <f t="shared" si="69"/>
        <v>6.5773651144152131E-4</v>
      </c>
      <c r="V61" s="42">
        <f t="shared" si="69"/>
        <v>6.5773651144152131E-4</v>
      </c>
      <c r="W61" s="42">
        <f t="shared" si="69"/>
        <v>6.5773651144152131E-4</v>
      </c>
      <c r="X61" s="42">
        <f t="shared" si="69"/>
        <v>6.5773651144152131E-4</v>
      </c>
      <c r="Y61" s="42">
        <f t="shared" si="69"/>
        <v>6.5773651144152131E-4</v>
      </c>
      <c r="Z61" s="42">
        <f t="shared" si="69"/>
        <v>6.5773651144152131E-4</v>
      </c>
      <c r="AA61" s="42">
        <f t="shared" si="69"/>
        <v>6.5773651144152131E-4</v>
      </c>
      <c r="AB61" s="34">
        <f t="shared" si="11"/>
        <v>114027.42389293101</v>
      </c>
      <c r="AC61" s="34">
        <f>IFERROR(up_RadSpec!$J$18*(AC18*$B61),".")</f>
        <v>38009.14129764367</v>
      </c>
      <c r="AD61" s="34">
        <f>IFERROR(up_RadSpec!$J$18*(AC18*$B61),".")</f>
        <v>38009.14129764367</v>
      </c>
      <c r="AE61" s="34">
        <f>IFERROR(up_RadSpec!$J$18*(AC18*$B61),".")</f>
        <v>38009.14129764367</v>
      </c>
      <c r="AF61" s="34">
        <f>IFERROR(up_RadSpec!$J$18*(AC18*$B61),".")</f>
        <v>38009.14129764367</v>
      </c>
      <c r="AG61" s="34">
        <f>IFERROR(up_RadSpec!$J$18*(AC18*$B61),".")</f>
        <v>38009.14129764367</v>
      </c>
      <c r="AH61" s="34">
        <f>IFERROR(up_RadSpec!$J$18*(AC18*$B61),".")</f>
        <v>38009.14129764367</v>
      </c>
      <c r="AI61" s="34">
        <f>IFERROR(up_RadSpec!$J$18*(AC18*$B61),".")</f>
        <v>38009.14129764367</v>
      </c>
      <c r="AJ61" s="34">
        <f>IFERROR(up_RadSpec!$J$18*(AC18*$B61),".")</f>
        <v>38009.14129764367</v>
      </c>
      <c r="AK61" s="34">
        <f>IFERROR(up_RadSpec!$J$18*(AC18*$B61),".")</f>
        <v>38009.14129764367</v>
      </c>
      <c r="AL61" s="34">
        <f>IFERROR(up_RadSpec!$J$18*(AC18*$B61),".")</f>
        <v>38009.14129764367</v>
      </c>
      <c r="AM61" s="34">
        <f>IFERROR(up_RadSpec!$J$18*(AC18*$B61),".")</f>
        <v>38009.14129764367</v>
      </c>
      <c r="AN61" s="34">
        <f>IFERROR(up_RadSpec!$J$18*(AC18*$B61),".")</f>
        <v>38009.14129764367</v>
      </c>
      <c r="AO61" s="34">
        <f>IFERROR(up_RadSpec!$J$18*(AC18*$B61),".")</f>
        <v>38009.14129764367</v>
      </c>
      <c r="AP61" s="34">
        <f>IFERROR(up_RadSpec!$J$18*(AC18*$B61),".")</f>
        <v>38009.14129764367</v>
      </c>
      <c r="AQ61" s="34">
        <f>IFERROR(up_RadSpec!$J$18*(AC18*$B61),".")</f>
        <v>38009.14129764367</v>
      </c>
      <c r="AR61" s="34">
        <f>IFERROR(up_RadSpec!$J$18*(AC18*$B61),".")</f>
        <v>38009.14129764367</v>
      </c>
      <c r="AS61" s="34">
        <f>IFERROR(up_RadSpec!$J$18*(AC18*$B61),".")</f>
        <v>38009.14129764367</v>
      </c>
      <c r="AT61" s="34">
        <f>IFERROR(up_RadSpec!$J$18*(AC18*$B61),".")</f>
        <v>38009.14129764367</v>
      </c>
      <c r="AU61" s="34">
        <f>IFERROR(up_RadSpec!$J$18*(AC18*$B61),".")</f>
        <v>38009.14129764367</v>
      </c>
      <c r="AV61" s="34">
        <f>IFERROR(up_RadSpec!$J$18*(AC18*$B61),".")</f>
        <v>38009.14129764367</v>
      </c>
      <c r="AW61" s="34">
        <f>IFERROR(up_RadSpec!$J$18*(AC18*$B61),".")</f>
        <v>38009.14129764367</v>
      </c>
      <c r="AX61" s="34">
        <f>IFERROR(up_RadSpec!$J$18*(AC18*$B61),".")</f>
        <v>38009.14129764367</v>
      </c>
      <c r="AY61" s="34">
        <f>IFERROR(up_RadSpec!$J$18*(AC18*$B61),".")</f>
        <v>38009.14129764367</v>
      </c>
      <c r="AZ61" s="34">
        <f>IFERROR(up_RadSpec!$J$18*(AC18*$B61),".")</f>
        <v>38009.14129764367</v>
      </c>
      <c r="BA61" s="42">
        <f t="shared" si="2"/>
        <v>2.1924550381384044E-4</v>
      </c>
      <c r="BB61" s="42">
        <f t="shared" ref="BB61:BY61" si="70">IFERROR(BB18/$B61,0)</f>
        <v>6.5773651144152131E-4</v>
      </c>
      <c r="BC61" s="42">
        <f t="shared" si="70"/>
        <v>6.5773651144152131E-4</v>
      </c>
      <c r="BD61" s="42">
        <f t="shared" si="70"/>
        <v>6.5773651144152131E-4</v>
      </c>
      <c r="BE61" s="42">
        <f t="shared" si="70"/>
        <v>6.5773651144152131E-4</v>
      </c>
      <c r="BF61" s="42">
        <f t="shared" si="70"/>
        <v>6.5773651144152131E-4</v>
      </c>
      <c r="BG61" s="42">
        <f t="shared" si="70"/>
        <v>6.5773651144152131E-4</v>
      </c>
      <c r="BH61" s="42">
        <f t="shared" si="70"/>
        <v>6.5773651144152131E-4</v>
      </c>
      <c r="BI61" s="42">
        <f t="shared" si="70"/>
        <v>6.5773651144152131E-4</v>
      </c>
      <c r="BJ61" s="42">
        <f t="shared" si="70"/>
        <v>6.5773651144152131E-4</v>
      </c>
      <c r="BK61" s="42">
        <f t="shared" si="70"/>
        <v>6.5773651144152131E-4</v>
      </c>
      <c r="BL61" s="42">
        <f t="shared" si="70"/>
        <v>6.5773651144152131E-4</v>
      </c>
      <c r="BM61" s="42">
        <f t="shared" si="70"/>
        <v>6.5773651144152131E-4</v>
      </c>
      <c r="BN61" s="42">
        <f t="shared" si="70"/>
        <v>6.5773651144152131E-4</v>
      </c>
      <c r="BO61" s="42">
        <f t="shared" si="70"/>
        <v>6.5773651144152131E-4</v>
      </c>
      <c r="BP61" s="42">
        <f t="shared" si="70"/>
        <v>6.5773651144152131E-4</v>
      </c>
      <c r="BQ61" s="42">
        <f t="shared" si="70"/>
        <v>6.5773651144152131E-4</v>
      </c>
      <c r="BR61" s="42">
        <f t="shared" si="70"/>
        <v>6.5773651144152131E-4</v>
      </c>
      <c r="BS61" s="42">
        <f t="shared" si="70"/>
        <v>6.5773651144152131E-4</v>
      </c>
      <c r="BT61" s="42">
        <f t="shared" si="70"/>
        <v>6.5773651144152131E-4</v>
      </c>
      <c r="BU61" s="42">
        <f t="shared" si="70"/>
        <v>6.5773651144152131E-4</v>
      </c>
      <c r="BV61" s="42">
        <f t="shared" si="70"/>
        <v>6.5773651144152131E-4</v>
      </c>
      <c r="BW61" s="42">
        <f t="shared" si="70"/>
        <v>6.5773651144152131E-4</v>
      </c>
      <c r="BX61" s="42">
        <f t="shared" si="70"/>
        <v>6.5773651144152131E-4</v>
      </c>
      <c r="BY61" s="42">
        <f t="shared" si="70"/>
        <v>6.5773651144152131E-4</v>
      </c>
      <c r="BZ61" s="34">
        <f t="shared" si="3"/>
        <v>114027.42389293101</v>
      </c>
      <c r="CA61" s="34">
        <f>IFERROR(up_RadSpec!$J$18*(AC18*$B61),".")</f>
        <v>38009.14129764367</v>
      </c>
      <c r="CB61" s="34">
        <f>IFERROR(up_RadSpec!$J$18*(AC18*$B61),".")</f>
        <v>38009.14129764367</v>
      </c>
      <c r="CC61" s="34">
        <f>IFERROR(up_RadSpec!$J$18*(AC18*$B61),".")</f>
        <v>38009.14129764367</v>
      </c>
      <c r="CD61" s="34">
        <f>IFERROR(up_RadSpec!$J$18*(AC18*$B61),".")</f>
        <v>38009.14129764367</v>
      </c>
      <c r="CE61" s="34">
        <f>IFERROR(up_RadSpec!$J$18*(AC18*$B61),".")</f>
        <v>38009.14129764367</v>
      </c>
      <c r="CF61" s="34">
        <f>IFERROR(up_RadSpec!$J$18*(AC18*$B61),".")</f>
        <v>38009.14129764367</v>
      </c>
      <c r="CG61" s="34">
        <f>IFERROR(up_RadSpec!$J$18*(AC18*$B61),".")</f>
        <v>38009.14129764367</v>
      </c>
      <c r="CH61" s="34">
        <f>IFERROR(up_RadSpec!$J$18*(AC18*$B61),".")</f>
        <v>38009.14129764367</v>
      </c>
      <c r="CI61" s="34">
        <f>IFERROR(up_RadSpec!$J$18*(AC18*$B61),".")</f>
        <v>38009.14129764367</v>
      </c>
      <c r="CJ61" s="34">
        <f>IFERROR(up_RadSpec!$J$18*(AC18*$B61),".")</f>
        <v>38009.14129764367</v>
      </c>
      <c r="CK61" s="34">
        <f>IFERROR(up_RadSpec!$J$18*(AC18*$B61),".")</f>
        <v>38009.14129764367</v>
      </c>
      <c r="CL61" s="34">
        <f>IFERROR(up_RadSpec!$J$18*(AC18*$B61),".")</f>
        <v>38009.14129764367</v>
      </c>
      <c r="CM61" s="34">
        <f>IFERROR(up_RadSpec!$J$18*(AC18*$B61),".")</f>
        <v>38009.14129764367</v>
      </c>
      <c r="CN61" s="34">
        <f>IFERROR(up_RadSpec!$J$18*(AC18*$B61),".")</f>
        <v>38009.14129764367</v>
      </c>
      <c r="CO61" s="34">
        <f>IFERROR(up_RadSpec!$J$18*(AC18*$B61),".")</f>
        <v>38009.14129764367</v>
      </c>
      <c r="CP61" s="34">
        <f>IFERROR(up_RadSpec!$J$18*(AC18*$B61),".")</f>
        <v>38009.14129764367</v>
      </c>
      <c r="CQ61" s="34">
        <f>IFERROR(up_RadSpec!$J$18*(AC18*$B61),".")</f>
        <v>38009.14129764367</v>
      </c>
      <c r="CR61" s="34">
        <f>IFERROR(up_RadSpec!$J$18*(AC18*$B61),".")</f>
        <v>38009.14129764367</v>
      </c>
      <c r="CS61" s="34">
        <f>IFERROR(up_RadSpec!$J$18*(AC18*$B61),".")</f>
        <v>38009.14129764367</v>
      </c>
      <c r="CT61" s="34">
        <f>IFERROR(up_RadSpec!$J$18*(AC18*$B61),".")</f>
        <v>38009.14129764367</v>
      </c>
      <c r="CU61" s="34">
        <f>IFERROR(up_RadSpec!$J$18*(AC18*$B61),".")</f>
        <v>38009.14129764367</v>
      </c>
      <c r="CV61" s="34">
        <f>IFERROR(up_RadSpec!$J$18*(AC18*$B61),".")</f>
        <v>38009.14129764367</v>
      </c>
      <c r="CW61" s="34">
        <f>IFERROR(up_RadSpec!$J$18*(AC18*$B61),".")</f>
        <v>38009.14129764367</v>
      </c>
      <c r="CX61" s="34">
        <f>IFERROR(up_RadSpec!$J$18*(AC18*$B61),".")</f>
        <v>38009.14129764367</v>
      </c>
    </row>
    <row r="62" spans="1:102" s="3" customFormat="1" x14ac:dyDescent="0.25">
      <c r="A62" s="55" t="s">
        <v>1085</v>
      </c>
      <c r="B62" s="3">
        <v>1.339E-6</v>
      </c>
      <c r="C62" s="42">
        <f t="shared" si="0"/>
        <v>163.73824033893982</v>
      </c>
      <c r="D62" s="42">
        <f t="shared" ref="D62:AA62" si="71">IFERROR(D27/$B62,0)</f>
        <v>491.21472101681951</v>
      </c>
      <c r="E62" s="42">
        <f t="shared" si="71"/>
        <v>491.21472101681951</v>
      </c>
      <c r="F62" s="42">
        <f t="shared" si="71"/>
        <v>491.21472101681951</v>
      </c>
      <c r="G62" s="42">
        <f t="shared" si="71"/>
        <v>491.21472101681951</v>
      </c>
      <c r="H62" s="42">
        <f t="shared" si="71"/>
        <v>491.21472101681951</v>
      </c>
      <c r="I62" s="42">
        <f t="shared" si="71"/>
        <v>491.21472101681951</v>
      </c>
      <c r="J62" s="42">
        <f t="shared" si="71"/>
        <v>491.21472101681951</v>
      </c>
      <c r="K62" s="42">
        <f t="shared" si="71"/>
        <v>491.21472101681951</v>
      </c>
      <c r="L62" s="42">
        <f t="shared" si="71"/>
        <v>491.21472101681951</v>
      </c>
      <c r="M62" s="42">
        <f t="shared" si="71"/>
        <v>491.21472101681951</v>
      </c>
      <c r="N62" s="42">
        <f t="shared" si="71"/>
        <v>491.21472101681951</v>
      </c>
      <c r="O62" s="42">
        <f t="shared" si="71"/>
        <v>491.21472101681951</v>
      </c>
      <c r="P62" s="42">
        <f t="shared" si="71"/>
        <v>491.21472101681951</v>
      </c>
      <c r="Q62" s="42">
        <f t="shared" si="71"/>
        <v>491.21472101681951</v>
      </c>
      <c r="R62" s="42">
        <f t="shared" si="71"/>
        <v>491.21472101681951</v>
      </c>
      <c r="S62" s="42">
        <f t="shared" si="71"/>
        <v>491.21472101681951</v>
      </c>
      <c r="T62" s="42">
        <f t="shared" si="71"/>
        <v>491.21472101681951</v>
      </c>
      <c r="U62" s="42">
        <f t="shared" si="71"/>
        <v>491.21472101681951</v>
      </c>
      <c r="V62" s="42">
        <f t="shared" si="71"/>
        <v>491.21472101681951</v>
      </c>
      <c r="W62" s="42">
        <f t="shared" si="71"/>
        <v>491.21472101681951</v>
      </c>
      <c r="X62" s="42">
        <f t="shared" si="71"/>
        <v>491.21472101681951</v>
      </c>
      <c r="Y62" s="42">
        <f t="shared" si="71"/>
        <v>491.21472101681951</v>
      </c>
      <c r="Z62" s="42">
        <f t="shared" si="71"/>
        <v>491.21472101681951</v>
      </c>
      <c r="AA62" s="42">
        <f t="shared" si="71"/>
        <v>491.21472101681951</v>
      </c>
      <c r="AB62" s="34">
        <f t="shared" si="11"/>
        <v>0.15268272059263463</v>
      </c>
      <c r="AC62" s="34">
        <f>IFERROR(up_RadSpec!$J$27*(AC27*$B62),".")</f>
        <v>5.0894240197544877E-2</v>
      </c>
      <c r="AD62" s="34">
        <f>IFERROR(up_RadSpec!$J$27*(AC27*$B62),".")</f>
        <v>5.0894240197544877E-2</v>
      </c>
      <c r="AE62" s="34">
        <f>IFERROR(up_RadSpec!$J$27*(AC27*$B62),".")</f>
        <v>5.0894240197544877E-2</v>
      </c>
      <c r="AF62" s="34">
        <f>IFERROR(up_RadSpec!$J$27*(AC27*$B62),".")</f>
        <v>5.0894240197544877E-2</v>
      </c>
      <c r="AG62" s="34">
        <f>IFERROR(up_RadSpec!$J$27*(AC27*$B62),".")</f>
        <v>5.0894240197544877E-2</v>
      </c>
      <c r="AH62" s="34">
        <f>IFERROR(up_RadSpec!$J$27*(AC27*$B62),".")</f>
        <v>5.0894240197544877E-2</v>
      </c>
      <c r="AI62" s="34">
        <f>IFERROR(up_RadSpec!$J$27*(AC27*$B62),".")</f>
        <v>5.0894240197544877E-2</v>
      </c>
      <c r="AJ62" s="34">
        <f>IFERROR(up_RadSpec!$J$27*(AC27*$B62),".")</f>
        <v>5.0894240197544877E-2</v>
      </c>
      <c r="AK62" s="34">
        <f>IFERROR(up_RadSpec!$J$27*(AC27*$B62),".")</f>
        <v>5.0894240197544877E-2</v>
      </c>
      <c r="AL62" s="34">
        <f>IFERROR(up_RadSpec!$J$27*(AC27*$B62),".")</f>
        <v>5.0894240197544877E-2</v>
      </c>
      <c r="AM62" s="34">
        <f>IFERROR(up_RadSpec!$J$27*(AC27*$B62),".")</f>
        <v>5.0894240197544877E-2</v>
      </c>
      <c r="AN62" s="34">
        <f>IFERROR(up_RadSpec!$J$27*(AC27*$B62),".")</f>
        <v>5.0894240197544877E-2</v>
      </c>
      <c r="AO62" s="34">
        <f>IFERROR(up_RadSpec!$J$27*(AC27*$B62),".")</f>
        <v>5.0894240197544877E-2</v>
      </c>
      <c r="AP62" s="34">
        <f>IFERROR(up_RadSpec!$J$27*(AC27*$B62),".")</f>
        <v>5.0894240197544877E-2</v>
      </c>
      <c r="AQ62" s="34">
        <f>IFERROR(up_RadSpec!$J$27*(AC27*$B62),".")</f>
        <v>5.0894240197544877E-2</v>
      </c>
      <c r="AR62" s="34">
        <f>IFERROR(up_RadSpec!$J$27*(AC27*$B62),".")</f>
        <v>5.0894240197544877E-2</v>
      </c>
      <c r="AS62" s="34">
        <f>IFERROR(up_RadSpec!$J$27*(AC27*$B62),".")</f>
        <v>5.0894240197544877E-2</v>
      </c>
      <c r="AT62" s="34">
        <f>IFERROR(up_RadSpec!$J$27*(AC27*$B62),".")</f>
        <v>5.0894240197544877E-2</v>
      </c>
      <c r="AU62" s="34">
        <f>IFERROR(up_RadSpec!$J$27*(AC27*$B62),".")</f>
        <v>5.0894240197544877E-2</v>
      </c>
      <c r="AV62" s="34">
        <f>IFERROR(up_RadSpec!$J$27*(AC27*$B62),".")</f>
        <v>5.0894240197544877E-2</v>
      </c>
      <c r="AW62" s="34">
        <f>IFERROR(up_RadSpec!$J$27*(AC27*$B62),".")</f>
        <v>5.0894240197544877E-2</v>
      </c>
      <c r="AX62" s="34">
        <f>IFERROR(up_RadSpec!$J$27*(AC27*$B62),".")</f>
        <v>5.0894240197544877E-2</v>
      </c>
      <c r="AY62" s="34">
        <f>IFERROR(up_RadSpec!$J$27*(AC27*$B62),".")</f>
        <v>5.0894240197544877E-2</v>
      </c>
      <c r="AZ62" s="34">
        <f>IFERROR(up_RadSpec!$J$27*(AC27*$B62),".")</f>
        <v>5.0894240197544877E-2</v>
      </c>
      <c r="BA62" s="42">
        <f t="shared" si="2"/>
        <v>163.73824033893982</v>
      </c>
      <c r="BB62" s="42">
        <f t="shared" ref="BB62:BY62" si="72">IFERROR(BB27/$B62,0)</f>
        <v>491.21472101681951</v>
      </c>
      <c r="BC62" s="42">
        <f t="shared" si="72"/>
        <v>491.21472101681951</v>
      </c>
      <c r="BD62" s="42">
        <f t="shared" si="72"/>
        <v>491.21472101681951</v>
      </c>
      <c r="BE62" s="42">
        <f t="shared" si="72"/>
        <v>491.21472101681951</v>
      </c>
      <c r="BF62" s="42">
        <f t="shared" si="72"/>
        <v>491.21472101681951</v>
      </c>
      <c r="BG62" s="42">
        <f t="shared" si="72"/>
        <v>491.21472101681951</v>
      </c>
      <c r="BH62" s="42">
        <f t="shared" si="72"/>
        <v>491.21472101681951</v>
      </c>
      <c r="BI62" s="42">
        <f t="shared" si="72"/>
        <v>491.21472101681951</v>
      </c>
      <c r="BJ62" s="42">
        <f t="shared" si="72"/>
        <v>491.21472101681951</v>
      </c>
      <c r="BK62" s="42">
        <f t="shared" si="72"/>
        <v>491.21472101681951</v>
      </c>
      <c r="BL62" s="42">
        <f t="shared" si="72"/>
        <v>491.21472101681951</v>
      </c>
      <c r="BM62" s="42">
        <f t="shared" si="72"/>
        <v>491.21472101681951</v>
      </c>
      <c r="BN62" s="42">
        <f t="shared" si="72"/>
        <v>491.21472101681951</v>
      </c>
      <c r="BO62" s="42">
        <f t="shared" si="72"/>
        <v>491.21472101681951</v>
      </c>
      <c r="BP62" s="42">
        <f t="shared" si="72"/>
        <v>491.21472101681951</v>
      </c>
      <c r="BQ62" s="42">
        <f t="shared" si="72"/>
        <v>491.21472101681951</v>
      </c>
      <c r="BR62" s="42">
        <f t="shared" si="72"/>
        <v>491.21472101681951</v>
      </c>
      <c r="BS62" s="42">
        <f t="shared" si="72"/>
        <v>491.21472101681951</v>
      </c>
      <c r="BT62" s="42">
        <f t="shared" si="72"/>
        <v>491.21472101681951</v>
      </c>
      <c r="BU62" s="42">
        <f t="shared" si="72"/>
        <v>491.21472101681951</v>
      </c>
      <c r="BV62" s="42">
        <f t="shared" si="72"/>
        <v>491.21472101681951</v>
      </c>
      <c r="BW62" s="42">
        <f t="shared" si="72"/>
        <v>491.21472101681951</v>
      </c>
      <c r="BX62" s="42">
        <f t="shared" si="72"/>
        <v>491.21472101681951</v>
      </c>
      <c r="BY62" s="42">
        <f t="shared" si="72"/>
        <v>491.21472101681951</v>
      </c>
      <c r="BZ62" s="34">
        <f t="shared" si="3"/>
        <v>0.15268272059263463</v>
      </c>
      <c r="CA62" s="34">
        <f>IFERROR(up_RadSpec!$J$27*(AC27*$B62),".")</f>
        <v>5.0894240197544877E-2</v>
      </c>
      <c r="CB62" s="34">
        <f>IFERROR(up_RadSpec!$J$27*(AC27*$B62),".")</f>
        <v>5.0894240197544877E-2</v>
      </c>
      <c r="CC62" s="34">
        <f>IFERROR(up_RadSpec!$J$27*(AC27*$B62),".")</f>
        <v>5.0894240197544877E-2</v>
      </c>
      <c r="CD62" s="34">
        <f>IFERROR(up_RadSpec!$J$27*(AC27*$B62),".")</f>
        <v>5.0894240197544877E-2</v>
      </c>
      <c r="CE62" s="34">
        <f>IFERROR(up_RadSpec!$J$27*(AC27*$B62),".")</f>
        <v>5.0894240197544877E-2</v>
      </c>
      <c r="CF62" s="34">
        <f>IFERROR(up_RadSpec!$J$27*(AC27*$B62),".")</f>
        <v>5.0894240197544877E-2</v>
      </c>
      <c r="CG62" s="34">
        <f>IFERROR(up_RadSpec!$J$27*(AC27*$B62),".")</f>
        <v>5.0894240197544877E-2</v>
      </c>
      <c r="CH62" s="34">
        <f>IFERROR(up_RadSpec!$J$27*(AC27*$B62),".")</f>
        <v>5.0894240197544877E-2</v>
      </c>
      <c r="CI62" s="34">
        <f>IFERROR(up_RadSpec!$J$27*(AC27*$B62),".")</f>
        <v>5.0894240197544877E-2</v>
      </c>
      <c r="CJ62" s="34">
        <f>IFERROR(up_RadSpec!$J$27*(AC27*$B62),".")</f>
        <v>5.0894240197544877E-2</v>
      </c>
      <c r="CK62" s="34">
        <f>IFERROR(up_RadSpec!$J$27*(AC27*$B62),".")</f>
        <v>5.0894240197544877E-2</v>
      </c>
      <c r="CL62" s="34">
        <f>IFERROR(up_RadSpec!$J$27*(AC27*$B62),".")</f>
        <v>5.0894240197544877E-2</v>
      </c>
      <c r="CM62" s="34">
        <f>IFERROR(up_RadSpec!$J$27*(AC27*$B62),".")</f>
        <v>5.0894240197544877E-2</v>
      </c>
      <c r="CN62" s="34">
        <f>IFERROR(up_RadSpec!$J$27*(AC27*$B62),".")</f>
        <v>5.0894240197544877E-2</v>
      </c>
      <c r="CO62" s="34">
        <f>IFERROR(up_RadSpec!$J$27*(AC27*$B62),".")</f>
        <v>5.0894240197544877E-2</v>
      </c>
      <c r="CP62" s="34">
        <f>IFERROR(up_RadSpec!$J$27*(AC27*$B62),".")</f>
        <v>5.0894240197544877E-2</v>
      </c>
      <c r="CQ62" s="34">
        <f>IFERROR(up_RadSpec!$J$27*(AC27*$B62),".")</f>
        <v>5.0894240197544877E-2</v>
      </c>
      <c r="CR62" s="34">
        <f>IFERROR(up_RadSpec!$J$27*(AC27*$B62),".")</f>
        <v>5.0894240197544877E-2</v>
      </c>
      <c r="CS62" s="34">
        <f>IFERROR(up_RadSpec!$J$27*(AC27*$B62),".")</f>
        <v>5.0894240197544877E-2</v>
      </c>
      <c r="CT62" s="34">
        <f>IFERROR(up_RadSpec!$J$27*(AC27*$B62),".")</f>
        <v>5.0894240197544877E-2</v>
      </c>
      <c r="CU62" s="34">
        <f>IFERROR(up_RadSpec!$J$27*(AC27*$B62),".")</f>
        <v>5.0894240197544877E-2</v>
      </c>
      <c r="CV62" s="34">
        <f>IFERROR(up_RadSpec!$J$27*(AC27*$B62),".")</f>
        <v>5.0894240197544877E-2</v>
      </c>
      <c r="CW62" s="34">
        <f>IFERROR(up_RadSpec!$J$27*(AC27*$B62),".")</f>
        <v>5.0894240197544877E-2</v>
      </c>
      <c r="CX62" s="34">
        <f>IFERROR(up_RadSpec!$J$27*(AC27*$B62),".")</f>
        <v>5.0894240197544877E-2</v>
      </c>
    </row>
    <row r="63" spans="1:102" s="3" customFormat="1" x14ac:dyDescent="0.25">
      <c r="A63" s="54" t="s">
        <v>23</v>
      </c>
      <c r="B63" s="54" t="s">
        <v>1059</v>
      </c>
      <c r="C63" s="40">
        <f t="shared" si="0"/>
        <v>2.7405683324615315E-5</v>
      </c>
      <c r="D63" s="40">
        <f t="shared" ref="D63:AA63" si="73">1/SUM(1/D64,1/D65,1/D66,1/D67,1/D68,1/D69,1/D70,1/D71,1/D72,1/D73,1/D74,1/D75,1/D76)</f>
        <v>8.2217049973845932E-5</v>
      </c>
      <c r="E63" s="40">
        <f t="shared" si="73"/>
        <v>8.2217049973845932E-5</v>
      </c>
      <c r="F63" s="40">
        <f t="shared" si="73"/>
        <v>8.2217049973845932E-5</v>
      </c>
      <c r="G63" s="40">
        <f t="shared" si="73"/>
        <v>8.2217049973845932E-5</v>
      </c>
      <c r="H63" s="40">
        <f t="shared" si="73"/>
        <v>8.2217049973845932E-5</v>
      </c>
      <c r="I63" s="40">
        <f t="shared" si="73"/>
        <v>8.2217049973845932E-5</v>
      </c>
      <c r="J63" s="40">
        <f t="shared" si="73"/>
        <v>8.2217049973845932E-5</v>
      </c>
      <c r="K63" s="40">
        <f t="shared" si="73"/>
        <v>8.2217049973845932E-5</v>
      </c>
      <c r="L63" s="40">
        <f t="shared" si="73"/>
        <v>8.2217049973845932E-5</v>
      </c>
      <c r="M63" s="40">
        <f t="shared" si="73"/>
        <v>8.2217049973845932E-5</v>
      </c>
      <c r="N63" s="40">
        <f t="shared" si="73"/>
        <v>8.2217049973845932E-5</v>
      </c>
      <c r="O63" s="40">
        <f t="shared" si="73"/>
        <v>8.2217049973845932E-5</v>
      </c>
      <c r="P63" s="40">
        <f t="shared" si="73"/>
        <v>8.2217049973845932E-5</v>
      </c>
      <c r="Q63" s="40">
        <f t="shared" si="73"/>
        <v>8.2217049973845932E-5</v>
      </c>
      <c r="R63" s="40">
        <f t="shared" si="73"/>
        <v>8.2217049973845932E-5</v>
      </c>
      <c r="S63" s="40">
        <f t="shared" si="73"/>
        <v>8.2217049973845932E-5</v>
      </c>
      <c r="T63" s="40">
        <f t="shared" si="73"/>
        <v>8.2217049973845932E-5</v>
      </c>
      <c r="U63" s="40">
        <f t="shared" si="73"/>
        <v>8.2217049973845932E-5</v>
      </c>
      <c r="V63" s="40">
        <f t="shared" si="73"/>
        <v>8.2217049973845932E-5</v>
      </c>
      <c r="W63" s="40">
        <f t="shared" si="73"/>
        <v>8.2217049973845932E-5</v>
      </c>
      <c r="X63" s="40">
        <f t="shared" si="73"/>
        <v>8.2217049973845932E-5</v>
      </c>
      <c r="Y63" s="40">
        <f t="shared" si="73"/>
        <v>8.2217049973845932E-5</v>
      </c>
      <c r="Z63" s="40">
        <f t="shared" si="73"/>
        <v>8.2217049973845932E-5</v>
      </c>
      <c r="AA63" s="40">
        <f t="shared" si="73"/>
        <v>8.2217049973845932E-5</v>
      </c>
      <c r="AB63" s="33">
        <f t="shared" si="11"/>
        <v>912219.54599268944</v>
      </c>
      <c r="AC63" s="33">
        <f>IFERROR(SUM(AC64:AC76),".")</f>
        <v>304073.18199756317</v>
      </c>
      <c r="AD63" s="33">
        <f t="shared" ref="AD63:AZ63" si="74">IFERROR(SUM(AD64:AD76),".")</f>
        <v>304073.18199756317</v>
      </c>
      <c r="AE63" s="33">
        <f t="shared" si="74"/>
        <v>304073.18199756317</v>
      </c>
      <c r="AF63" s="33">
        <f t="shared" si="74"/>
        <v>304073.18199756317</v>
      </c>
      <c r="AG63" s="33">
        <f t="shared" si="74"/>
        <v>304073.18199756317</v>
      </c>
      <c r="AH63" s="33">
        <f t="shared" si="74"/>
        <v>304073.18199756317</v>
      </c>
      <c r="AI63" s="33">
        <f t="shared" si="74"/>
        <v>304073.18199756317</v>
      </c>
      <c r="AJ63" s="33">
        <f t="shared" si="74"/>
        <v>304073.18199756317</v>
      </c>
      <c r="AK63" s="33">
        <f t="shared" si="74"/>
        <v>304073.18199756317</v>
      </c>
      <c r="AL63" s="33">
        <f t="shared" si="74"/>
        <v>304073.18199756317</v>
      </c>
      <c r="AM63" s="33">
        <f t="shared" si="74"/>
        <v>304073.18199756317</v>
      </c>
      <c r="AN63" s="33">
        <f t="shared" si="74"/>
        <v>304073.18199756317</v>
      </c>
      <c r="AO63" s="33">
        <f t="shared" si="74"/>
        <v>304073.18199756317</v>
      </c>
      <c r="AP63" s="33">
        <f t="shared" si="74"/>
        <v>304073.18199756317</v>
      </c>
      <c r="AQ63" s="33">
        <f t="shared" si="74"/>
        <v>304073.18199756317</v>
      </c>
      <c r="AR63" s="33">
        <f t="shared" si="74"/>
        <v>304073.18199756317</v>
      </c>
      <c r="AS63" s="33">
        <f t="shared" si="74"/>
        <v>304073.18199756317</v>
      </c>
      <c r="AT63" s="33">
        <f t="shared" si="74"/>
        <v>304073.18199756317</v>
      </c>
      <c r="AU63" s="33">
        <f t="shared" si="74"/>
        <v>304073.18199756317</v>
      </c>
      <c r="AV63" s="33">
        <f t="shared" si="74"/>
        <v>304073.18199756317</v>
      </c>
      <c r="AW63" s="33">
        <f t="shared" si="74"/>
        <v>304073.18199756317</v>
      </c>
      <c r="AX63" s="33">
        <f t="shared" si="74"/>
        <v>304073.18199756317</v>
      </c>
      <c r="AY63" s="33">
        <f t="shared" si="74"/>
        <v>304073.18199756317</v>
      </c>
      <c r="AZ63" s="33">
        <f t="shared" si="74"/>
        <v>304073.18199756317</v>
      </c>
      <c r="BA63" s="40">
        <f t="shared" si="2"/>
        <v>2.7405683324615315E-5</v>
      </c>
      <c r="BB63" s="40">
        <f t="shared" ref="BB63:BY63" si="75">1/SUM(1/BB64,1/BB65,1/BB66,1/BB67,1/BB68,1/BB69,1/BB70,1/BB71,1/BB72,1/BB73,1/BB74,1/BB75,1/BB76)</f>
        <v>8.2217049973845932E-5</v>
      </c>
      <c r="BC63" s="40">
        <f t="shared" si="75"/>
        <v>8.2217049973845932E-5</v>
      </c>
      <c r="BD63" s="40">
        <f t="shared" si="75"/>
        <v>8.2217049973845932E-5</v>
      </c>
      <c r="BE63" s="40">
        <f t="shared" si="75"/>
        <v>8.2217049973845932E-5</v>
      </c>
      <c r="BF63" s="40">
        <f t="shared" si="75"/>
        <v>8.2217049973845932E-5</v>
      </c>
      <c r="BG63" s="40">
        <f t="shared" si="75"/>
        <v>8.2217049973845932E-5</v>
      </c>
      <c r="BH63" s="40">
        <f t="shared" si="75"/>
        <v>8.2217049973845932E-5</v>
      </c>
      <c r="BI63" s="40">
        <f t="shared" si="75"/>
        <v>8.2217049973845932E-5</v>
      </c>
      <c r="BJ63" s="40">
        <f t="shared" si="75"/>
        <v>8.2217049973845932E-5</v>
      </c>
      <c r="BK63" s="40">
        <f t="shared" si="75"/>
        <v>8.2217049973845932E-5</v>
      </c>
      <c r="BL63" s="40">
        <f t="shared" si="75"/>
        <v>8.2217049973845932E-5</v>
      </c>
      <c r="BM63" s="40">
        <f t="shared" si="75"/>
        <v>8.2217049973845932E-5</v>
      </c>
      <c r="BN63" s="40">
        <f t="shared" si="75"/>
        <v>8.2217049973845932E-5</v>
      </c>
      <c r="BO63" s="40">
        <f t="shared" si="75"/>
        <v>8.2217049973845932E-5</v>
      </c>
      <c r="BP63" s="40">
        <f t="shared" si="75"/>
        <v>8.2217049973845932E-5</v>
      </c>
      <c r="BQ63" s="40">
        <f t="shared" si="75"/>
        <v>8.2217049973845932E-5</v>
      </c>
      <c r="BR63" s="40">
        <f t="shared" si="75"/>
        <v>8.2217049973845932E-5</v>
      </c>
      <c r="BS63" s="40">
        <f t="shared" si="75"/>
        <v>8.2217049973845932E-5</v>
      </c>
      <c r="BT63" s="40">
        <f t="shared" si="75"/>
        <v>8.2217049973845932E-5</v>
      </c>
      <c r="BU63" s="40">
        <f t="shared" si="75"/>
        <v>8.2217049973845932E-5</v>
      </c>
      <c r="BV63" s="40">
        <f t="shared" si="75"/>
        <v>8.2217049973845932E-5</v>
      </c>
      <c r="BW63" s="40">
        <f t="shared" si="75"/>
        <v>8.2217049973845932E-5</v>
      </c>
      <c r="BX63" s="40">
        <f t="shared" si="75"/>
        <v>8.2217049973845932E-5</v>
      </c>
      <c r="BY63" s="40">
        <f t="shared" si="75"/>
        <v>8.2217049973845932E-5</v>
      </c>
      <c r="BZ63" s="33">
        <f t="shared" si="3"/>
        <v>912219.54599268944</v>
      </c>
      <c r="CA63" s="33">
        <f>IFERROR(SUM(CA64:CA76),".")</f>
        <v>304073.18199756317</v>
      </c>
      <c r="CB63" s="33">
        <f t="shared" ref="CB63:CX63" si="76">IFERROR(SUM(CB64:CB76),".")</f>
        <v>304073.18199756317</v>
      </c>
      <c r="CC63" s="33">
        <f t="shared" si="76"/>
        <v>304073.18199756317</v>
      </c>
      <c r="CD63" s="33">
        <f t="shared" si="76"/>
        <v>304073.18199756317</v>
      </c>
      <c r="CE63" s="33">
        <f t="shared" si="76"/>
        <v>304073.18199756317</v>
      </c>
      <c r="CF63" s="33">
        <f t="shared" si="76"/>
        <v>304073.18199756317</v>
      </c>
      <c r="CG63" s="33">
        <f t="shared" si="76"/>
        <v>304073.18199756317</v>
      </c>
      <c r="CH63" s="33">
        <f t="shared" si="76"/>
        <v>304073.18199756317</v>
      </c>
      <c r="CI63" s="33">
        <f t="shared" si="76"/>
        <v>304073.18199756317</v>
      </c>
      <c r="CJ63" s="33">
        <f t="shared" si="76"/>
        <v>304073.18199756317</v>
      </c>
      <c r="CK63" s="33">
        <f t="shared" si="76"/>
        <v>304073.18199756317</v>
      </c>
      <c r="CL63" s="33">
        <f t="shared" si="76"/>
        <v>304073.18199756317</v>
      </c>
      <c r="CM63" s="33">
        <f t="shared" si="76"/>
        <v>304073.18199756317</v>
      </c>
      <c r="CN63" s="33">
        <f t="shared" si="76"/>
        <v>304073.18199756317</v>
      </c>
      <c r="CO63" s="33">
        <f t="shared" si="76"/>
        <v>304073.18199756317</v>
      </c>
      <c r="CP63" s="33">
        <f t="shared" si="76"/>
        <v>304073.18199756317</v>
      </c>
      <c r="CQ63" s="33">
        <f t="shared" si="76"/>
        <v>304073.18199756317</v>
      </c>
      <c r="CR63" s="33">
        <f t="shared" si="76"/>
        <v>304073.18199756317</v>
      </c>
      <c r="CS63" s="33">
        <f t="shared" si="76"/>
        <v>304073.18199756317</v>
      </c>
      <c r="CT63" s="33">
        <f t="shared" si="76"/>
        <v>304073.18199756317</v>
      </c>
      <c r="CU63" s="33">
        <f t="shared" si="76"/>
        <v>304073.18199756317</v>
      </c>
      <c r="CV63" s="33">
        <f t="shared" si="76"/>
        <v>304073.18199756317</v>
      </c>
      <c r="CW63" s="33">
        <f t="shared" si="76"/>
        <v>304073.18199756317</v>
      </c>
      <c r="CX63" s="33">
        <f t="shared" si="76"/>
        <v>304073.18199756317</v>
      </c>
    </row>
    <row r="64" spans="1:102" s="3" customFormat="1" x14ac:dyDescent="0.25">
      <c r="A64" s="55" t="s">
        <v>1075</v>
      </c>
      <c r="B64" s="3">
        <v>1</v>
      </c>
      <c r="C64" s="42">
        <f t="shared" si="0"/>
        <v>2.1924550381384044E-4</v>
      </c>
      <c r="D64" s="42">
        <f t="shared" ref="D64:AA64" si="77">IFERROR(D25/$B50,0)</f>
        <v>6.5773651144152131E-4</v>
      </c>
      <c r="E64" s="42">
        <f t="shared" si="77"/>
        <v>6.5773651144152131E-4</v>
      </c>
      <c r="F64" s="42">
        <f t="shared" si="77"/>
        <v>6.5773651144152131E-4</v>
      </c>
      <c r="G64" s="42">
        <f t="shared" si="77"/>
        <v>6.5773651144152131E-4</v>
      </c>
      <c r="H64" s="42">
        <f t="shared" si="77"/>
        <v>6.5773651144152131E-4</v>
      </c>
      <c r="I64" s="42">
        <f t="shared" si="77"/>
        <v>6.5773651144152131E-4</v>
      </c>
      <c r="J64" s="42">
        <f t="shared" si="77"/>
        <v>6.5773651144152131E-4</v>
      </c>
      <c r="K64" s="42">
        <f t="shared" si="77"/>
        <v>6.5773651144152131E-4</v>
      </c>
      <c r="L64" s="42">
        <f t="shared" si="77"/>
        <v>6.5773651144152131E-4</v>
      </c>
      <c r="M64" s="42">
        <f t="shared" si="77"/>
        <v>6.5773651144152131E-4</v>
      </c>
      <c r="N64" s="42">
        <f t="shared" si="77"/>
        <v>6.5773651144152131E-4</v>
      </c>
      <c r="O64" s="42">
        <f t="shared" si="77"/>
        <v>6.5773651144152131E-4</v>
      </c>
      <c r="P64" s="42">
        <f t="shared" si="77"/>
        <v>6.5773651144152131E-4</v>
      </c>
      <c r="Q64" s="42">
        <f t="shared" si="77"/>
        <v>6.5773651144152131E-4</v>
      </c>
      <c r="R64" s="42">
        <f t="shared" si="77"/>
        <v>6.5773651144152131E-4</v>
      </c>
      <c r="S64" s="42">
        <f t="shared" si="77"/>
        <v>6.5773651144152131E-4</v>
      </c>
      <c r="T64" s="42">
        <f t="shared" si="77"/>
        <v>6.5773651144152131E-4</v>
      </c>
      <c r="U64" s="42">
        <f t="shared" si="77"/>
        <v>6.5773651144152131E-4</v>
      </c>
      <c r="V64" s="42">
        <f t="shared" si="77"/>
        <v>6.5773651144152131E-4</v>
      </c>
      <c r="W64" s="42">
        <f t="shared" si="77"/>
        <v>6.5773651144152131E-4</v>
      </c>
      <c r="X64" s="42">
        <f t="shared" si="77"/>
        <v>6.5773651144152131E-4</v>
      </c>
      <c r="Y64" s="42">
        <f t="shared" si="77"/>
        <v>6.5773651144152131E-4</v>
      </c>
      <c r="Z64" s="42">
        <f t="shared" si="77"/>
        <v>6.5773651144152131E-4</v>
      </c>
      <c r="AA64" s="42">
        <f t="shared" si="77"/>
        <v>6.5773651144152131E-4</v>
      </c>
      <c r="AB64" s="34">
        <f t="shared" si="11"/>
        <v>114027.42389293101</v>
      </c>
      <c r="AC64" s="34">
        <f>IFERROR(up_RadSpec!$J$25*(AC25*$B64),".")</f>
        <v>38009.14129764367</v>
      </c>
      <c r="AD64" s="34">
        <f>IFERROR(up_RadSpec!$J$25*(AC25*$B64),".")</f>
        <v>38009.14129764367</v>
      </c>
      <c r="AE64" s="34">
        <f>IFERROR(up_RadSpec!$J$25*(AC25*$B64),".")</f>
        <v>38009.14129764367</v>
      </c>
      <c r="AF64" s="34">
        <f>IFERROR(up_RadSpec!$J$25*(AC25*$B64),".")</f>
        <v>38009.14129764367</v>
      </c>
      <c r="AG64" s="34">
        <f>IFERROR(up_RadSpec!$J$25*(AC25*$B64),".")</f>
        <v>38009.14129764367</v>
      </c>
      <c r="AH64" s="34">
        <f>IFERROR(up_RadSpec!$J$25*(AC25*$B64),".")</f>
        <v>38009.14129764367</v>
      </c>
      <c r="AI64" s="34">
        <f>IFERROR(up_RadSpec!$J$25*(AC25*$B64),".")</f>
        <v>38009.14129764367</v>
      </c>
      <c r="AJ64" s="34">
        <f>IFERROR(up_RadSpec!$J$25*(AC25*$B64),".")</f>
        <v>38009.14129764367</v>
      </c>
      <c r="AK64" s="34">
        <f>IFERROR(up_RadSpec!$J$25*(AC25*$B64),".")</f>
        <v>38009.14129764367</v>
      </c>
      <c r="AL64" s="34">
        <f>IFERROR(up_RadSpec!$J$25*(AC25*$B64),".")</f>
        <v>38009.14129764367</v>
      </c>
      <c r="AM64" s="34">
        <f>IFERROR(up_RadSpec!$J$25*(AC25*$B64),".")</f>
        <v>38009.14129764367</v>
      </c>
      <c r="AN64" s="34">
        <f>IFERROR(up_RadSpec!$J$25*(AC25*$B64),".")</f>
        <v>38009.14129764367</v>
      </c>
      <c r="AO64" s="34">
        <f>IFERROR(up_RadSpec!$J$25*(AC25*$B64),".")</f>
        <v>38009.14129764367</v>
      </c>
      <c r="AP64" s="34">
        <f>IFERROR(up_RadSpec!$J$25*(AC25*$B64),".")</f>
        <v>38009.14129764367</v>
      </c>
      <c r="AQ64" s="34">
        <f>IFERROR(up_RadSpec!$J$25*(AC25*$B64),".")</f>
        <v>38009.14129764367</v>
      </c>
      <c r="AR64" s="34">
        <f>IFERROR(up_RadSpec!$J$25*(AC25*$B64),".")</f>
        <v>38009.14129764367</v>
      </c>
      <c r="AS64" s="34">
        <f>IFERROR(up_RadSpec!$J$25*(AC25*$B64),".")</f>
        <v>38009.14129764367</v>
      </c>
      <c r="AT64" s="34">
        <f>IFERROR(up_RadSpec!$J$25*(AC25*$B64),".")</f>
        <v>38009.14129764367</v>
      </c>
      <c r="AU64" s="34">
        <f>IFERROR(up_RadSpec!$J$25*(AC25*$B64),".")</f>
        <v>38009.14129764367</v>
      </c>
      <c r="AV64" s="34">
        <f>IFERROR(up_RadSpec!$J$25*(AC25*$B64),".")</f>
        <v>38009.14129764367</v>
      </c>
      <c r="AW64" s="34">
        <f>IFERROR(up_RadSpec!$J$25*(AC25*$B64),".")</f>
        <v>38009.14129764367</v>
      </c>
      <c r="AX64" s="34">
        <f>IFERROR(up_RadSpec!$J$25*(AC25*$B64),".")</f>
        <v>38009.14129764367</v>
      </c>
      <c r="AY64" s="34">
        <f>IFERROR(up_RadSpec!$J$25*(AC25*$B64),".")</f>
        <v>38009.14129764367</v>
      </c>
      <c r="AZ64" s="34">
        <f>IFERROR(up_RadSpec!$J$25*(AC25*$B64),".")</f>
        <v>38009.14129764367</v>
      </c>
      <c r="BA64" s="42">
        <f t="shared" si="2"/>
        <v>2.1924550381384044E-4</v>
      </c>
      <c r="BB64" s="42">
        <f t="shared" ref="BB64:BY64" si="78">IFERROR(BB25/$B50,0)</f>
        <v>6.5773651144152131E-4</v>
      </c>
      <c r="BC64" s="42">
        <f t="shared" si="78"/>
        <v>6.5773651144152131E-4</v>
      </c>
      <c r="BD64" s="42">
        <f t="shared" si="78"/>
        <v>6.5773651144152131E-4</v>
      </c>
      <c r="BE64" s="42">
        <f t="shared" si="78"/>
        <v>6.5773651144152131E-4</v>
      </c>
      <c r="BF64" s="42">
        <f t="shared" si="78"/>
        <v>6.5773651144152131E-4</v>
      </c>
      <c r="BG64" s="42">
        <f t="shared" si="78"/>
        <v>6.5773651144152131E-4</v>
      </c>
      <c r="BH64" s="42">
        <f t="shared" si="78"/>
        <v>6.5773651144152131E-4</v>
      </c>
      <c r="BI64" s="42">
        <f t="shared" si="78"/>
        <v>6.5773651144152131E-4</v>
      </c>
      <c r="BJ64" s="42">
        <f t="shared" si="78"/>
        <v>6.5773651144152131E-4</v>
      </c>
      <c r="BK64" s="42">
        <f t="shared" si="78"/>
        <v>6.5773651144152131E-4</v>
      </c>
      <c r="BL64" s="42">
        <f t="shared" si="78"/>
        <v>6.5773651144152131E-4</v>
      </c>
      <c r="BM64" s="42">
        <f t="shared" si="78"/>
        <v>6.5773651144152131E-4</v>
      </c>
      <c r="BN64" s="42">
        <f t="shared" si="78"/>
        <v>6.5773651144152131E-4</v>
      </c>
      <c r="BO64" s="42">
        <f t="shared" si="78"/>
        <v>6.5773651144152131E-4</v>
      </c>
      <c r="BP64" s="42">
        <f t="shared" si="78"/>
        <v>6.5773651144152131E-4</v>
      </c>
      <c r="BQ64" s="42">
        <f t="shared" si="78"/>
        <v>6.5773651144152131E-4</v>
      </c>
      <c r="BR64" s="42">
        <f t="shared" si="78"/>
        <v>6.5773651144152131E-4</v>
      </c>
      <c r="BS64" s="42">
        <f t="shared" si="78"/>
        <v>6.5773651144152131E-4</v>
      </c>
      <c r="BT64" s="42">
        <f t="shared" si="78"/>
        <v>6.5773651144152131E-4</v>
      </c>
      <c r="BU64" s="42">
        <f t="shared" si="78"/>
        <v>6.5773651144152131E-4</v>
      </c>
      <c r="BV64" s="42">
        <f t="shared" si="78"/>
        <v>6.5773651144152131E-4</v>
      </c>
      <c r="BW64" s="42">
        <f t="shared" si="78"/>
        <v>6.5773651144152131E-4</v>
      </c>
      <c r="BX64" s="42">
        <f t="shared" si="78"/>
        <v>6.5773651144152131E-4</v>
      </c>
      <c r="BY64" s="42">
        <f t="shared" si="78"/>
        <v>6.5773651144152131E-4</v>
      </c>
      <c r="BZ64" s="34">
        <f t="shared" si="3"/>
        <v>114027.42389293101</v>
      </c>
      <c r="CA64" s="34">
        <f>IFERROR(up_RadSpec!$J$25*(AC25*$B64),".")</f>
        <v>38009.14129764367</v>
      </c>
      <c r="CB64" s="34">
        <f>IFERROR(up_RadSpec!$J$25*(AC25*$B64),".")</f>
        <v>38009.14129764367</v>
      </c>
      <c r="CC64" s="34">
        <f>IFERROR(up_RadSpec!$J$25*(AC25*$B64),".")</f>
        <v>38009.14129764367</v>
      </c>
      <c r="CD64" s="34">
        <f>IFERROR(up_RadSpec!$J$25*(AC25*$B64),".")</f>
        <v>38009.14129764367</v>
      </c>
      <c r="CE64" s="34">
        <f>IFERROR(up_RadSpec!$J$25*(AC25*$B64),".")</f>
        <v>38009.14129764367</v>
      </c>
      <c r="CF64" s="34">
        <f>IFERROR(up_RadSpec!$J$25*(AC25*$B64),".")</f>
        <v>38009.14129764367</v>
      </c>
      <c r="CG64" s="34">
        <f>IFERROR(up_RadSpec!$J$25*(AC25*$B64),".")</f>
        <v>38009.14129764367</v>
      </c>
      <c r="CH64" s="34">
        <f>IFERROR(up_RadSpec!$J$25*(AC25*$B64),".")</f>
        <v>38009.14129764367</v>
      </c>
      <c r="CI64" s="34">
        <f>IFERROR(up_RadSpec!$J$25*(AC25*$B64),".")</f>
        <v>38009.14129764367</v>
      </c>
      <c r="CJ64" s="34">
        <f>IFERROR(up_RadSpec!$J$25*(AC25*$B64),".")</f>
        <v>38009.14129764367</v>
      </c>
      <c r="CK64" s="34">
        <f>IFERROR(up_RadSpec!$J$25*(AC25*$B64),".")</f>
        <v>38009.14129764367</v>
      </c>
      <c r="CL64" s="34">
        <f>IFERROR(up_RadSpec!$J$25*(AC25*$B64),".")</f>
        <v>38009.14129764367</v>
      </c>
      <c r="CM64" s="34">
        <f>IFERROR(up_RadSpec!$J$25*(AC25*$B64),".")</f>
        <v>38009.14129764367</v>
      </c>
      <c r="CN64" s="34">
        <f>IFERROR(up_RadSpec!$J$25*(AC25*$B64),".")</f>
        <v>38009.14129764367</v>
      </c>
      <c r="CO64" s="34">
        <f>IFERROR(up_RadSpec!$J$25*(AC25*$B64),".")</f>
        <v>38009.14129764367</v>
      </c>
      <c r="CP64" s="34">
        <f>IFERROR(up_RadSpec!$J$25*(AC25*$B64),".")</f>
        <v>38009.14129764367</v>
      </c>
      <c r="CQ64" s="34">
        <f>IFERROR(up_RadSpec!$J$25*(AC25*$B64),".")</f>
        <v>38009.14129764367</v>
      </c>
      <c r="CR64" s="34">
        <f>IFERROR(up_RadSpec!$J$25*(AC25*$B64),".")</f>
        <v>38009.14129764367</v>
      </c>
      <c r="CS64" s="34">
        <f>IFERROR(up_RadSpec!$J$25*(AC25*$B64),".")</f>
        <v>38009.14129764367</v>
      </c>
      <c r="CT64" s="34">
        <f>IFERROR(up_RadSpec!$J$25*(AC25*$B64),".")</f>
        <v>38009.14129764367</v>
      </c>
      <c r="CU64" s="34">
        <f>IFERROR(up_RadSpec!$J$25*(AC25*$B64),".")</f>
        <v>38009.14129764367</v>
      </c>
      <c r="CV64" s="34">
        <f>IFERROR(up_RadSpec!$J$25*(AC25*$B64),".")</f>
        <v>38009.14129764367</v>
      </c>
      <c r="CW64" s="34">
        <f>IFERROR(up_RadSpec!$J$25*(AC25*$B64),".")</f>
        <v>38009.14129764367</v>
      </c>
      <c r="CX64" s="34">
        <f>IFERROR(up_RadSpec!$J$25*(AC25*$B64),".")</f>
        <v>38009.14129764367</v>
      </c>
    </row>
    <row r="65" spans="1:102" s="3" customFormat="1" x14ac:dyDescent="0.25">
      <c r="A65" s="55" t="s">
        <v>1061</v>
      </c>
      <c r="B65" s="3">
        <v>1</v>
      </c>
      <c r="C65" s="42">
        <f t="shared" si="0"/>
        <v>2.1924550381384044E-4</v>
      </c>
      <c r="D65" s="42">
        <f t="shared" ref="D65:AA65" si="79">IFERROR(D21/$B51,0)</f>
        <v>6.5773651144152131E-4</v>
      </c>
      <c r="E65" s="42">
        <f t="shared" si="79"/>
        <v>6.5773651144152131E-4</v>
      </c>
      <c r="F65" s="42">
        <f t="shared" si="79"/>
        <v>6.5773651144152131E-4</v>
      </c>
      <c r="G65" s="42">
        <f t="shared" si="79"/>
        <v>6.5773651144152131E-4</v>
      </c>
      <c r="H65" s="42">
        <f t="shared" si="79"/>
        <v>6.5773651144152131E-4</v>
      </c>
      <c r="I65" s="42">
        <f t="shared" si="79"/>
        <v>6.5773651144152131E-4</v>
      </c>
      <c r="J65" s="42">
        <f t="shared" si="79"/>
        <v>6.5773651144152131E-4</v>
      </c>
      <c r="K65" s="42">
        <f t="shared" si="79"/>
        <v>6.5773651144152131E-4</v>
      </c>
      <c r="L65" s="42">
        <f t="shared" si="79"/>
        <v>6.5773651144152131E-4</v>
      </c>
      <c r="M65" s="42">
        <f t="shared" si="79"/>
        <v>6.5773651144152131E-4</v>
      </c>
      <c r="N65" s="42">
        <f t="shared" si="79"/>
        <v>6.5773651144152131E-4</v>
      </c>
      <c r="O65" s="42">
        <f t="shared" si="79"/>
        <v>6.5773651144152131E-4</v>
      </c>
      <c r="P65" s="42">
        <f t="shared" si="79"/>
        <v>6.5773651144152131E-4</v>
      </c>
      <c r="Q65" s="42">
        <f t="shared" si="79"/>
        <v>6.5773651144152131E-4</v>
      </c>
      <c r="R65" s="42">
        <f t="shared" si="79"/>
        <v>6.5773651144152131E-4</v>
      </c>
      <c r="S65" s="42">
        <f t="shared" si="79"/>
        <v>6.5773651144152131E-4</v>
      </c>
      <c r="T65" s="42">
        <f t="shared" si="79"/>
        <v>6.5773651144152131E-4</v>
      </c>
      <c r="U65" s="42">
        <f t="shared" si="79"/>
        <v>6.5773651144152131E-4</v>
      </c>
      <c r="V65" s="42">
        <f t="shared" si="79"/>
        <v>6.5773651144152131E-4</v>
      </c>
      <c r="W65" s="42">
        <f t="shared" si="79"/>
        <v>6.5773651144152131E-4</v>
      </c>
      <c r="X65" s="42">
        <f t="shared" si="79"/>
        <v>6.5773651144152131E-4</v>
      </c>
      <c r="Y65" s="42">
        <f t="shared" si="79"/>
        <v>6.5773651144152131E-4</v>
      </c>
      <c r="Z65" s="42">
        <f t="shared" si="79"/>
        <v>6.5773651144152131E-4</v>
      </c>
      <c r="AA65" s="42">
        <f t="shared" si="79"/>
        <v>6.5773651144152131E-4</v>
      </c>
      <c r="AB65" s="34">
        <f t="shared" si="11"/>
        <v>114027.42389293101</v>
      </c>
      <c r="AC65" s="34">
        <f>IFERROR(up_RadSpec!$J$21*(AC21*$B65),".")</f>
        <v>38009.14129764367</v>
      </c>
      <c r="AD65" s="34">
        <f>IFERROR(up_RadSpec!$J$21*(AC21*$B65),".")</f>
        <v>38009.14129764367</v>
      </c>
      <c r="AE65" s="34">
        <f>IFERROR(up_RadSpec!$J$21*(AC21*$B65),".")</f>
        <v>38009.14129764367</v>
      </c>
      <c r="AF65" s="34">
        <f>IFERROR(up_RadSpec!$J$21*(AC21*$B65),".")</f>
        <v>38009.14129764367</v>
      </c>
      <c r="AG65" s="34">
        <f>IFERROR(up_RadSpec!$J$21*(AC21*$B65),".")</f>
        <v>38009.14129764367</v>
      </c>
      <c r="AH65" s="34">
        <f>IFERROR(up_RadSpec!$J$21*(AC21*$B65),".")</f>
        <v>38009.14129764367</v>
      </c>
      <c r="AI65" s="34">
        <f>IFERROR(up_RadSpec!$J$21*(AC21*$B65),".")</f>
        <v>38009.14129764367</v>
      </c>
      <c r="AJ65" s="34">
        <f>IFERROR(up_RadSpec!$J$21*(AC21*$B65),".")</f>
        <v>38009.14129764367</v>
      </c>
      <c r="AK65" s="34">
        <f>IFERROR(up_RadSpec!$J$21*(AC21*$B65),".")</f>
        <v>38009.14129764367</v>
      </c>
      <c r="AL65" s="34">
        <f>IFERROR(up_RadSpec!$J$21*(AC21*$B65),".")</f>
        <v>38009.14129764367</v>
      </c>
      <c r="AM65" s="34">
        <f>IFERROR(up_RadSpec!$J$21*(AC21*$B65),".")</f>
        <v>38009.14129764367</v>
      </c>
      <c r="AN65" s="34">
        <f>IFERROR(up_RadSpec!$J$21*(AC21*$B65),".")</f>
        <v>38009.14129764367</v>
      </c>
      <c r="AO65" s="34">
        <f>IFERROR(up_RadSpec!$J$21*(AC21*$B65),".")</f>
        <v>38009.14129764367</v>
      </c>
      <c r="AP65" s="34">
        <f>IFERROR(up_RadSpec!$J$21*(AC21*$B65),".")</f>
        <v>38009.14129764367</v>
      </c>
      <c r="AQ65" s="34">
        <f>IFERROR(up_RadSpec!$J$21*(AC21*$B65),".")</f>
        <v>38009.14129764367</v>
      </c>
      <c r="AR65" s="34">
        <f>IFERROR(up_RadSpec!$J$21*(AC21*$B65),".")</f>
        <v>38009.14129764367</v>
      </c>
      <c r="AS65" s="34">
        <f>IFERROR(up_RadSpec!$J$21*(AC21*$B65),".")</f>
        <v>38009.14129764367</v>
      </c>
      <c r="AT65" s="34">
        <f>IFERROR(up_RadSpec!$J$21*(AC21*$B65),".")</f>
        <v>38009.14129764367</v>
      </c>
      <c r="AU65" s="34">
        <f>IFERROR(up_RadSpec!$J$21*(AC21*$B65),".")</f>
        <v>38009.14129764367</v>
      </c>
      <c r="AV65" s="34">
        <f>IFERROR(up_RadSpec!$J$21*(AC21*$B65),".")</f>
        <v>38009.14129764367</v>
      </c>
      <c r="AW65" s="34">
        <f>IFERROR(up_RadSpec!$J$21*(AC21*$B65),".")</f>
        <v>38009.14129764367</v>
      </c>
      <c r="AX65" s="34">
        <f>IFERROR(up_RadSpec!$J$21*(AC21*$B65),".")</f>
        <v>38009.14129764367</v>
      </c>
      <c r="AY65" s="34">
        <f>IFERROR(up_RadSpec!$J$21*(AC21*$B65),".")</f>
        <v>38009.14129764367</v>
      </c>
      <c r="AZ65" s="34">
        <f>IFERROR(up_RadSpec!$J$21*(AC21*$B65),".")</f>
        <v>38009.14129764367</v>
      </c>
      <c r="BA65" s="42">
        <f t="shared" si="2"/>
        <v>2.1924550381384044E-4</v>
      </c>
      <c r="BB65" s="42">
        <f t="shared" ref="BB65:BY65" si="80">IFERROR(BB21/$B51,0)</f>
        <v>6.5773651144152131E-4</v>
      </c>
      <c r="BC65" s="42">
        <f t="shared" si="80"/>
        <v>6.5773651144152131E-4</v>
      </c>
      <c r="BD65" s="42">
        <f t="shared" si="80"/>
        <v>6.5773651144152131E-4</v>
      </c>
      <c r="BE65" s="42">
        <f t="shared" si="80"/>
        <v>6.5773651144152131E-4</v>
      </c>
      <c r="BF65" s="42">
        <f t="shared" si="80"/>
        <v>6.5773651144152131E-4</v>
      </c>
      <c r="BG65" s="42">
        <f t="shared" si="80"/>
        <v>6.5773651144152131E-4</v>
      </c>
      <c r="BH65" s="42">
        <f t="shared" si="80"/>
        <v>6.5773651144152131E-4</v>
      </c>
      <c r="BI65" s="42">
        <f t="shared" si="80"/>
        <v>6.5773651144152131E-4</v>
      </c>
      <c r="BJ65" s="42">
        <f t="shared" si="80"/>
        <v>6.5773651144152131E-4</v>
      </c>
      <c r="BK65" s="42">
        <f t="shared" si="80"/>
        <v>6.5773651144152131E-4</v>
      </c>
      <c r="BL65" s="42">
        <f t="shared" si="80"/>
        <v>6.5773651144152131E-4</v>
      </c>
      <c r="BM65" s="42">
        <f t="shared" si="80"/>
        <v>6.5773651144152131E-4</v>
      </c>
      <c r="BN65" s="42">
        <f t="shared" si="80"/>
        <v>6.5773651144152131E-4</v>
      </c>
      <c r="BO65" s="42">
        <f t="shared" si="80"/>
        <v>6.5773651144152131E-4</v>
      </c>
      <c r="BP65" s="42">
        <f t="shared" si="80"/>
        <v>6.5773651144152131E-4</v>
      </c>
      <c r="BQ65" s="42">
        <f t="shared" si="80"/>
        <v>6.5773651144152131E-4</v>
      </c>
      <c r="BR65" s="42">
        <f t="shared" si="80"/>
        <v>6.5773651144152131E-4</v>
      </c>
      <c r="BS65" s="42">
        <f t="shared" si="80"/>
        <v>6.5773651144152131E-4</v>
      </c>
      <c r="BT65" s="42">
        <f t="shared" si="80"/>
        <v>6.5773651144152131E-4</v>
      </c>
      <c r="BU65" s="42">
        <f t="shared" si="80"/>
        <v>6.5773651144152131E-4</v>
      </c>
      <c r="BV65" s="42">
        <f t="shared" si="80"/>
        <v>6.5773651144152131E-4</v>
      </c>
      <c r="BW65" s="42">
        <f t="shared" si="80"/>
        <v>6.5773651144152131E-4</v>
      </c>
      <c r="BX65" s="42">
        <f t="shared" si="80"/>
        <v>6.5773651144152131E-4</v>
      </c>
      <c r="BY65" s="42">
        <f t="shared" si="80"/>
        <v>6.5773651144152131E-4</v>
      </c>
      <c r="BZ65" s="34">
        <f t="shared" si="3"/>
        <v>114027.42389293101</v>
      </c>
      <c r="CA65" s="34">
        <f>IFERROR(up_RadSpec!$J$21*(AC21*$B65),".")</f>
        <v>38009.14129764367</v>
      </c>
      <c r="CB65" s="34">
        <f>IFERROR(up_RadSpec!$J$21*(AC21*$B65),".")</f>
        <v>38009.14129764367</v>
      </c>
      <c r="CC65" s="34">
        <f>IFERROR(up_RadSpec!$J$21*(AC21*$B65),".")</f>
        <v>38009.14129764367</v>
      </c>
      <c r="CD65" s="34">
        <f>IFERROR(up_RadSpec!$J$21*(AC21*$B65),".")</f>
        <v>38009.14129764367</v>
      </c>
      <c r="CE65" s="34">
        <f>IFERROR(up_RadSpec!$J$21*(AC21*$B65),".")</f>
        <v>38009.14129764367</v>
      </c>
      <c r="CF65" s="34">
        <f>IFERROR(up_RadSpec!$J$21*(AC21*$B65),".")</f>
        <v>38009.14129764367</v>
      </c>
      <c r="CG65" s="34">
        <f>IFERROR(up_RadSpec!$J$21*(AC21*$B65),".")</f>
        <v>38009.14129764367</v>
      </c>
      <c r="CH65" s="34">
        <f>IFERROR(up_RadSpec!$J$21*(AC21*$B65),".")</f>
        <v>38009.14129764367</v>
      </c>
      <c r="CI65" s="34">
        <f>IFERROR(up_RadSpec!$J$21*(AC21*$B65),".")</f>
        <v>38009.14129764367</v>
      </c>
      <c r="CJ65" s="34">
        <f>IFERROR(up_RadSpec!$J$21*(AC21*$B65),".")</f>
        <v>38009.14129764367</v>
      </c>
      <c r="CK65" s="34">
        <f>IFERROR(up_RadSpec!$J$21*(AC21*$B65),".")</f>
        <v>38009.14129764367</v>
      </c>
      <c r="CL65" s="34">
        <f>IFERROR(up_RadSpec!$J$21*(AC21*$B65),".")</f>
        <v>38009.14129764367</v>
      </c>
      <c r="CM65" s="34">
        <f>IFERROR(up_RadSpec!$J$21*(AC21*$B65),".")</f>
        <v>38009.14129764367</v>
      </c>
      <c r="CN65" s="34">
        <f>IFERROR(up_RadSpec!$J$21*(AC21*$B65),".")</f>
        <v>38009.14129764367</v>
      </c>
      <c r="CO65" s="34">
        <f>IFERROR(up_RadSpec!$J$21*(AC21*$B65),".")</f>
        <v>38009.14129764367</v>
      </c>
      <c r="CP65" s="34">
        <f>IFERROR(up_RadSpec!$J$21*(AC21*$B65),".")</f>
        <v>38009.14129764367</v>
      </c>
      <c r="CQ65" s="34">
        <f>IFERROR(up_RadSpec!$J$21*(AC21*$B65),".")</f>
        <v>38009.14129764367</v>
      </c>
      <c r="CR65" s="34">
        <f>IFERROR(up_RadSpec!$J$21*(AC21*$B65),".")</f>
        <v>38009.14129764367</v>
      </c>
      <c r="CS65" s="34">
        <f>IFERROR(up_RadSpec!$J$21*(AC21*$B65),".")</f>
        <v>38009.14129764367</v>
      </c>
      <c r="CT65" s="34">
        <f>IFERROR(up_RadSpec!$J$21*(AC21*$B65),".")</f>
        <v>38009.14129764367</v>
      </c>
      <c r="CU65" s="34">
        <f>IFERROR(up_RadSpec!$J$21*(AC21*$B65),".")</f>
        <v>38009.14129764367</v>
      </c>
      <c r="CV65" s="34">
        <f>IFERROR(up_RadSpec!$J$21*(AC21*$B65),".")</f>
        <v>38009.14129764367</v>
      </c>
      <c r="CW65" s="34">
        <f>IFERROR(up_RadSpec!$J$21*(AC21*$B65),".")</f>
        <v>38009.14129764367</v>
      </c>
      <c r="CX65" s="34">
        <f>IFERROR(up_RadSpec!$J$21*(AC21*$B65),".")</f>
        <v>38009.14129764367</v>
      </c>
    </row>
    <row r="66" spans="1:102" s="3" customFormat="1" x14ac:dyDescent="0.25">
      <c r="A66" s="55" t="s">
        <v>1062</v>
      </c>
      <c r="B66" s="3">
        <v>0.99980000000000002</v>
      </c>
      <c r="C66" s="42">
        <f t="shared" si="0"/>
        <v>2.1928936168617762E-4</v>
      </c>
      <c r="D66" s="42">
        <f t="shared" ref="D66:AA66" si="81">IFERROR(D17/$B52,0)</f>
        <v>6.5786808505853295E-4</v>
      </c>
      <c r="E66" s="42">
        <f t="shared" si="81"/>
        <v>6.5786808505853295E-4</v>
      </c>
      <c r="F66" s="42">
        <f t="shared" si="81"/>
        <v>6.5786808505853295E-4</v>
      </c>
      <c r="G66" s="42">
        <f t="shared" si="81"/>
        <v>6.5786808505853295E-4</v>
      </c>
      <c r="H66" s="42">
        <f t="shared" si="81"/>
        <v>6.5786808505853295E-4</v>
      </c>
      <c r="I66" s="42">
        <f t="shared" si="81"/>
        <v>6.5786808505853295E-4</v>
      </c>
      <c r="J66" s="42">
        <f t="shared" si="81"/>
        <v>6.5786808505853295E-4</v>
      </c>
      <c r="K66" s="42">
        <f t="shared" si="81"/>
        <v>6.5786808505853295E-4</v>
      </c>
      <c r="L66" s="42">
        <f t="shared" si="81"/>
        <v>6.5786808505853295E-4</v>
      </c>
      <c r="M66" s="42">
        <f t="shared" si="81"/>
        <v>6.5786808505853295E-4</v>
      </c>
      <c r="N66" s="42">
        <f t="shared" si="81"/>
        <v>6.5786808505853295E-4</v>
      </c>
      <c r="O66" s="42">
        <f t="shared" si="81"/>
        <v>6.5786808505853295E-4</v>
      </c>
      <c r="P66" s="42">
        <f t="shared" si="81"/>
        <v>6.5786808505853295E-4</v>
      </c>
      <c r="Q66" s="42">
        <f t="shared" si="81"/>
        <v>6.5786808505853295E-4</v>
      </c>
      <c r="R66" s="42">
        <f t="shared" si="81"/>
        <v>6.5786808505853295E-4</v>
      </c>
      <c r="S66" s="42">
        <f t="shared" si="81"/>
        <v>6.5786808505853295E-4</v>
      </c>
      <c r="T66" s="42">
        <f t="shared" si="81"/>
        <v>6.5786808505853295E-4</v>
      </c>
      <c r="U66" s="42">
        <f t="shared" si="81"/>
        <v>6.5786808505853295E-4</v>
      </c>
      <c r="V66" s="42">
        <f t="shared" si="81"/>
        <v>6.5786808505853295E-4</v>
      </c>
      <c r="W66" s="42">
        <f t="shared" si="81"/>
        <v>6.5786808505853295E-4</v>
      </c>
      <c r="X66" s="42">
        <f t="shared" si="81"/>
        <v>6.5786808505853295E-4</v>
      </c>
      <c r="Y66" s="42">
        <f t="shared" si="81"/>
        <v>6.5786808505853295E-4</v>
      </c>
      <c r="Z66" s="42">
        <f t="shared" si="81"/>
        <v>6.5786808505853295E-4</v>
      </c>
      <c r="AA66" s="42">
        <f t="shared" si="81"/>
        <v>6.5786808505853295E-4</v>
      </c>
      <c r="AB66" s="34">
        <f t="shared" si="11"/>
        <v>114004.61840815243</v>
      </c>
      <c r="AC66" s="34">
        <f>IFERROR(up_RadSpec!$J$17*(AC17*$B66),".")</f>
        <v>38001.539469384144</v>
      </c>
      <c r="AD66" s="34">
        <f>IFERROR(up_RadSpec!$J$17*(AC17*$B66),".")</f>
        <v>38001.539469384144</v>
      </c>
      <c r="AE66" s="34">
        <f>IFERROR(up_RadSpec!$J$17*(AC17*$B66),".")</f>
        <v>38001.539469384144</v>
      </c>
      <c r="AF66" s="34">
        <f>IFERROR(up_RadSpec!$J$17*(AC17*$B66),".")</f>
        <v>38001.539469384144</v>
      </c>
      <c r="AG66" s="34">
        <f>IFERROR(up_RadSpec!$J$17*(AC17*$B66),".")</f>
        <v>38001.539469384144</v>
      </c>
      <c r="AH66" s="34">
        <f>IFERROR(up_RadSpec!$J$17*(AC17*$B66),".")</f>
        <v>38001.539469384144</v>
      </c>
      <c r="AI66" s="34">
        <f>IFERROR(up_RadSpec!$J$17*(AC17*$B66),".")</f>
        <v>38001.539469384144</v>
      </c>
      <c r="AJ66" s="34">
        <f>IFERROR(up_RadSpec!$J$17*(AC17*$B66),".")</f>
        <v>38001.539469384144</v>
      </c>
      <c r="AK66" s="34">
        <f>IFERROR(up_RadSpec!$J$17*(AC17*$B66),".")</f>
        <v>38001.539469384144</v>
      </c>
      <c r="AL66" s="34">
        <f>IFERROR(up_RadSpec!$J$17*(AC17*$B66),".")</f>
        <v>38001.539469384144</v>
      </c>
      <c r="AM66" s="34">
        <f>IFERROR(up_RadSpec!$J$17*(AC17*$B66),".")</f>
        <v>38001.539469384144</v>
      </c>
      <c r="AN66" s="34">
        <f>IFERROR(up_RadSpec!$J$17*(AC17*$B66),".")</f>
        <v>38001.539469384144</v>
      </c>
      <c r="AO66" s="34">
        <f>IFERROR(up_RadSpec!$J$17*(AC17*$B66),".")</f>
        <v>38001.539469384144</v>
      </c>
      <c r="AP66" s="34">
        <f>IFERROR(up_RadSpec!$J$17*(AC17*$B66),".")</f>
        <v>38001.539469384144</v>
      </c>
      <c r="AQ66" s="34">
        <f>IFERROR(up_RadSpec!$J$17*(AC17*$B66),".")</f>
        <v>38001.539469384144</v>
      </c>
      <c r="AR66" s="34">
        <f>IFERROR(up_RadSpec!$J$17*(AC17*$B66),".")</f>
        <v>38001.539469384144</v>
      </c>
      <c r="AS66" s="34">
        <f>IFERROR(up_RadSpec!$J$17*(AC17*$B66),".")</f>
        <v>38001.539469384144</v>
      </c>
      <c r="AT66" s="34">
        <f>IFERROR(up_RadSpec!$J$17*(AC17*$B66),".")</f>
        <v>38001.539469384144</v>
      </c>
      <c r="AU66" s="34">
        <f>IFERROR(up_RadSpec!$J$17*(AC17*$B66),".")</f>
        <v>38001.539469384144</v>
      </c>
      <c r="AV66" s="34">
        <f>IFERROR(up_RadSpec!$J$17*(AC17*$B66),".")</f>
        <v>38001.539469384144</v>
      </c>
      <c r="AW66" s="34">
        <f>IFERROR(up_RadSpec!$J$17*(AC17*$B66),".")</f>
        <v>38001.539469384144</v>
      </c>
      <c r="AX66" s="34">
        <f>IFERROR(up_RadSpec!$J$17*(AC17*$B66),".")</f>
        <v>38001.539469384144</v>
      </c>
      <c r="AY66" s="34">
        <f>IFERROR(up_RadSpec!$J$17*(AC17*$B66),".")</f>
        <v>38001.539469384144</v>
      </c>
      <c r="AZ66" s="34">
        <f>IFERROR(up_RadSpec!$J$17*(AC17*$B66),".")</f>
        <v>38001.539469384144</v>
      </c>
      <c r="BA66" s="42">
        <f t="shared" si="2"/>
        <v>2.1928936168617762E-4</v>
      </c>
      <c r="BB66" s="42">
        <f t="shared" ref="BB66:BY66" si="82">IFERROR(BB17/$B52,0)</f>
        <v>6.5786808505853295E-4</v>
      </c>
      <c r="BC66" s="42">
        <f t="shared" si="82"/>
        <v>6.5786808505853295E-4</v>
      </c>
      <c r="BD66" s="42">
        <f t="shared" si="82"/>
        <v>6.5786808505853295E-4</v>
      </c>
      <c r="BE66" s="42">
        <f t="shared" si="82"/>
        <v>6.5786808505853295E-4</v>
      </c>
      <c r="BF66" s="42">
        <f t="shared" si="82"/>
        <v>6.5786808505853295E-4</v>
      </c>
      <c r="BG66" s="42">
        <f t="shared" si="82"/>
        <v>6.5786808505853295E-4</v>
      </c>
      <c r="BH66" s="42">
        <f t="shared" si="82"/>
        <v>6.5786808505853295E-4</v>
      </c>
      <c r="BI66" s="42">
        <f t="shared" si="82"/>
        <v>6.5786808505853295E-4</v>
      </c>
      <c r="BJ66" s="42">
        <f t="shared" si="82"/>
        <v>6.5786808505853295E-4</v>
      </c>
      <c r="BK66" s="42">
        <f t="shared" si="82"/>
        <v>6.5786808505853295E-4</v>
      </c>
      <c r="BL66" s="42">
        <f t="shared" si="82"/>
        <v>6.5786808505853295E-4</v>
      </c>
      <c r="BM66" s="42">
        <f t="shared" si="82"/>
        <v>6.5786808505853295E-4</v>
      </c>
      <c r="BN66" s="42">
        <f t="shared" si="82"/>
        <v>6.5786808505853295E-4</v>
      </c>
      <c r="BO66" s="42">
        <f t="shared" si="82"/>
        <v>6.5786808505853295E-4</v>
      </c>
      <c r="BP66" s="42">
        <f t="shared" si="82"/>
        <v>6.5786808505853295E-4</v>
      </c>
      <c r="BQ66" s="42">
        <f t="shared" si="82"/>
        <v>6.5786808505853295E-4</v>
      </c>
      <c r="BR66" s="42">
        <f t="shared" si="82"/>
        <v>6.5786808505853295E-4</v>
      </c>
      <c r="BS66" s="42">
        <f t="shared" si="82"/>
        <v>6.5786808505853295E-4</v>
      </c>
      <c r="BT66" s="42">
        <f t="shared" si="82"/>
        <v>6.5786808505853295E-4</v>
      </c>
      <c r="BU66" s="42">
        <f t="shared" si="82"/>
        <v>6.5786808505853295E-4</v>
      </c>
      <c r="BV66" s="42">
        <f t="shared" si="82"/>
        <v>6.5786808505853295E-4</v>
      </c>
      <c r="BW66" s="42">
        <f t="shared" si="82"/>
        <v>6.5786808505853295E-4</v>
      </c>
      <c r="BX66" s="42">
        <f t="shared" si="82"/>
        <v>6.5786808505853295E-4</v>
      </c>
      <c r="BY66" s="42">
        <f t="shared" si="82"/>
        <v>6.5786808505853295E-4</v>
      </c>
      <c r="BZ66" s="34">
        <f t="shared" si="3"/>
        <v>114004.61840815243</v>
      </c>
      <c r="CA66" s="34">
        <f>IFERROR(up_RadSpec!$J$17*(AC17*$B66),".")</f>
        <v>38001.539469384144</v>
      </c>
      <c r="CB66" s="34">
        <f>IFERROR(up_RadSpec!$J$17*(AC17*$B66),".")</f>
        <v>38001.539469384144</v>
      </c>
      <c r="CC66" s="34">
        <f>IFERROR(up_RadSpec!$J$17*(AC17*$B66),".")</f>
        <v>38001.539469384144</v>
      </c>
      <c r="CD66" s="34">
        <f>IFERROR(up_RadSpec!$J$17*(AC17*$B66),".")</f>
        <v>38001.539469384144</v>
      </c>
      <c r="CE66" s="34">
        <f>IFERROR(up_RadSpec!$J$17*(AC17*$B66),".")</f>
        <v>38001.539469384144</v>
      </c>
      <c r="CF66" s="34">
        <f>IFERROR(up_RadSpec!$J$17*(AC17*$B66),".")</f>
        <v>38001.539469384144</v>
      </c>
      <c r="CG66" s="34">
        <f>IFERROR(up_RadSpec!$J$17*(AC17*$B66),".")</f>
        <v>38001.539469384144</v>
      </c>
      <c r="CH66" s="34">
        <f>IFERROR(up_RadSpec!$J$17*(AC17*$B66),".")</f>
        <v>38001.539469384144</v>
      </c>
      <c r="CI66" s="34">
        <f>IFERROR(up_RadSpec!$J$17*(AC17*$B66),".")</f>
        <v>38001.539469384144</v>
      </c>
      <c r="CJ66" s="34">
        <f>IFERROR(up_RadSpec!$J$17*(AC17*$B66),".")</f>
        <v>38001.539469384144</v>
      </c>
      <c r="CK66" s="34">
        <f>IFERROR(up_RadSpec!$J$17*(AC17*$B66),".")</f>
        <v>38001.539469384144</v>
      </c>
      <c r="CL66" s="34">
        <f>IFERROR(up_RadSpec!$J$17*(AC17*$B66),".")</f>
        <v>38001.539469384144</v>
      </c>
      <c r="CM66" s="34">
        <f>IFERROR(up_RadSpec!$J$17*(AC17*$B66),".")</f>
        <v>38001.539469384144</v>
      </c>
      <c r="CN66" s="34">
        <f>IFERROR(up_RadSpec!$J$17*(AC17*$B66),".")</f>
        <v>38001.539469384144</v>
      </c>
      <c r="CO66" s="34">
        <f>IFERROR(up_RadSpec!$J$17*(AC17*$B66),".")</f>
        <v>38001.539469384144</v>
      </c>
      <c r="CP66" s="34">
        <f>IFERROR(up_RadSpec!$J$17*(AC17*$B66),".")</f>
        <v>38001.539469384144</v>
      </c>
      <c r="CQ66" s="34">
        <f>IFERROR(up_RadSpec!$J$17*(AC17*$B66),".")</f>
        <v>38001.539469384144</v>
      </c>
      <c r="CR66" s="34">
        <f>IFERROR(up_RadSpec!$J$17*(AC17*$B66),".")</f>
        <v>38001.539469384144</v>
      </c>
      <c r="CS66" s="34">
        <f>IFERROR(up_RadSpec!$J$17*(AC17*$B66),".")</f>
        <v>38001.539469384144</v>
      </c>
      <c r="CT66" s="34">
        <f>IFERROR(up_RadSpec!$J$17*(AC17*$B66),".")</f>
        <v>38001.539469384144</v>
      </c>
      <c r="CU66" s="34">
        <f>IFERROR(up_RadSpec!$J$17*(AC17*$B66),".")</f>
        <v>38001.539469384144</v>
      </c>
      <c r="CV66" s="34">
        <f>IFERROR(up_RadSpec!$J$17*(AC17*$B66),".")</f>
        <v>38001.539469384144</v>
      </c>
      <c r="CW66" s="34">
        <f>IFERROR(up_RadSpec!$J$17*(AC17*$B66),".")</f>
        <v>38001.539469384144</v>
      </c>
      <c r="CX66" s="34">
        <f>IFERROR(up_RadSpec!$J$17*(AC17*$B66),".")</f>
        <v>38001.539469384144</v>
      </c>
    </row>
    <row r="67" spans="1:102" s="3" customFormat="1" x14ac:dyDescent="0.25">
      <c r="A67" s="55" t="s">
        <v>1076</v>
      </c>
      <c r="B67" s="3">
        <v>2.0000000000000001E-4</v>
      </c>
      <c r="C67" s="42">
        <f t="shared" ref="C67:C76" si="83">IFERROR(1/SUM(1/D67,1/Z67,1/AA67),".")</f>
        <v>1.0962275190692021</v>
      </c>
      <c r="D67" s="42">
        <f t="shared" ref="D67:AA67" si="84">IFERROR(D5/$B53,0)</f>
        <v>3.2886825572076064</v>
      </c>
      <c r="E67" s="42">
        <f t="shared" si="84"/>
        <v>3.2886825572076064</v>
      </c>
      <c r="F67" s="42">
        <f t="shared" si="84"/>
        <v>3.2886825572076064</v>
      </c>
      <c r="G67" s="42">
        <f t="shared" si="84"/>
        <v>3.2886825572076064</v>
      </c>
      <c r="H67" s="42">
        <f t="shared" si="84"/>
        <v>3.2886825572076064</v>
      </c>
      <c r="I67" s="42">
        <f t="shared" si="84"/>
        <v>3.2886825572076064</v>
      </c>
      <c r="J67" s="42">
        <f t="shared" si="84"/>
        <v>3.2886825572076064</v>
      </c>
      <c r="K67" s="42">
        <f t="shared" si="84"/>
        <v>3.2886825572076064</v>
      </c>
      <c r="L67" s="42">
        <f t="shared" si="84"/>
        <v>3.2886825572076064</v>
      </c>
      <c r="M67" s="42">
        <f t="shared" si="84"/>
        <v>3.2886825572076064</v>
      </c>
      <c r="N67" s="42">
        <f t="shared" si="84"/>
        <v>3.2886825572076064</v>
      </c>
      <c r="O67" s="42">
        <f t="shared" si="84"/>
        <v>3.2886825572076064</v>
      </c>
      <c r="P67" s="42">
        <f t="shared" si="84"/>
        <v>3.2886825572076064</v>
      </c>
      <c r="Q67" s="42">
        <f t="shared" si="84"/>
        <v>3.2886825572076064</v>
      </c>
      <c r="R67" s="42">
        <f t="shared" si="84"/>
        <v>3.2886825572076064</v>
      </c>
      <c r="S67" s="42">
        <f t="shared" si="84"/>
        <v>3.2886825572076064</v>
      </c>
      <c r="T67" s="42">
        <f t="shared" si="84"/>
        <v>3.2886825572076064</v>
      </c>
      <c r="U67" s="42">
        <f t="shared" si="84"/>
        <v>3.2886825572076064</v>
      </c>
      <c r="V67" s="42">
        <f t="shared" si="84"/>
        <v>3.2886825572076064</v>
      </c>
      <c r="W67" s="42">
        <f t="shared" si="84"/>
        <v>3.2886825572076064</v>
      </c>
      <c r="X67" s="42">
        <f t="shared" si="84"/>
        <v>3.2886825572076064</v>
      </c>
      <c r="Y67" s="42">
        <f t="shared" si="84"/>
        <v>3.2886825572076064</v>
      </c>
      <c r="Z67" s="42">
        <f t="shared" si="84"/>
        <v>3.2886825572076064</v>
      </c>
      <c r="AA67" s="42">
        <f t="shared" si="84"/>
        <v>3.2886825572076064</v>
      </c>
      <c r="AB67" s="34">
        <f t="shared" si="11"/>
        <v>22.805484778586205</v>
      </c>
      <c r="AC67" s="34">
        <f>IFERROR(up_RadSpec!$J$5*(AC5*$B67),".")</f>
        <v>7.6018282595287348</v>
      </c>
      <c r="AD67" s="34">
        <f>IFERROR(up_RadSpec!$J$5*(AC5*$B67),".")</f>
        <v>7.6018282595287348</v>
      </c>
      <c r="AE67" s="34">
        <f>IFERROR(up_RadSpec!$J$5*(AC5*$B67),".")</f>
        <v>7.6018282595287348</v>
      </c>
      <c r="AF67" s="34">
        <f>IFERROR(up_RadSpec!$J$5*(AC5*$B67),".")</f>
        <v>7.6018282595287348</v>
      </c>
      <c r="AG67" s="34">
        <f>IFERROR(up_RadSpec!$J$5*(AC5*$B67),".")</f>
        <v>7.6018282595287348</v>
      </c>
      <c r="AH67" s="34">
        <f>IFERROR(up_RadSpec!$J$5*(AC5*$B67),".")</f>
        <v>7.6018282595287348</v>
      </c>
      <c r="AI67" s="34">
        <f>IFERROR(up_RadSpec!$J$5*(AC5*$B67),".")</f>
        <v>7.6018282595287348</v>
      </c>
      <c r="AJ67" s="34">
        <f>IFERROR(up_RadSpec!$J$5*(AC5*$B67),".")</f>
        <v>7.6018282595287348</v>
      </c>
      <c r="AK67" s="34">
        <f>IFERROR(up_RadSpec!$J$5*(AC5*$B67),".")</f>
        <v>7.6018282595287348</v>
      </c>
      <c r="AL67" s="34">
        <f>IFERROR(up_RadSpec!$J$5*(AC5*$B67),".")</f>
        <v>7.6018282595287348</v>
      </c>
      <c r="AM67" s="34">
        <f>IFERROR(up_RadSpec!$J$5*(AC5*$B67),".")</f>
        <v>7.6018282595287348</v>
      </c>
      <c r="AN67" s="34">
        <f>IFERROR(up_RadSpec!$J$5*(AC5*$B67),".")</f>
        <v>7.6018282595287348</v>
      </c>
      <c r="AO67" s="34">
        <f>IFERROR(up_RadSpec!$J$5*(AC5*$B67),".")</f>
        <v>7.6018282595287348</v>
      </c>
      <c r="AP67" s="34">
        <f>IFERROR(up_RadSpec!$J$5*(AC5*$B67),".")</f>
        <v>7.6018282595287348</v>
      </c>
      <c r="AQ67" s="34">
        <f>IFERROR(up_RadSpec!$J$5*(AC5*$B67),".")</f>
        <v>7.6018282595287348</v>
      </c>
      <c r="AR67" s="34">
        <f>IFERROR(up_RadSpec!$J$5*(AC5*$B67),".")</f>
        <v>7.6018282595287348</v>
      </c>
      <c r="AS67" s="34">
        <f>IFERROR(up_RadSpec!$J$5*(AC5*$B67),".")</f>
        <v>7.6018282595287348</v>
      </c>
      <c r="AT67" s="34">
        <f>IFERROR(up_RadSpec!$J$5*(AC5*$B67),".")</f>
        <v>7.6018282595287348</v>
      </c>
      <c r="AU67" s="34">
        <f>IFERROR(up_RadSpec!$J$5*(AC5*$B67),".")</f>
        <v>7.6018282595287348</v>
      </c>
      <c r="AV67" s="34">
        <f>IFERROR(up_RadSpec!$J$5*(AC5*$B67),".")</f>
        <v>7.6018282595287348</v>
      </c>
      <c r="AW67" s="34">
        <f>IFERROR(up_RadSpec!$J$5*(AC5*$B67),".")</f>
        <v>7.6018282595287348</v>
      </c>
      <c r="AX67" s="34">
        <f>IFERROR(up_RadSpec!$J$5*(AC5*$B67),".")</f>
        <v>7.6018282595287348</v>
      </c>
      <c r="AY67" s="34">
        <f>IFERROR(up_RadSpec!$J$5*(AC5*$B67),".")</f>
        <v>7.6018282595287348</v>
      </c>
      <c r="AZ67" s="34">
        <f>IFERROR(up_RadSpec!$J$5*(AC5*$B67),".")</f>
        <v>7.6018282595287348</v>
      </c>
      <c r="BA67" s="42">
        <f t="shared" ref="BA67:BA76" si="85">IFERROR(1/SUM(1/BB67,1/BX67,1/BY67),".")</f>
        <v>1.0962275190692021</v>
      </c>
      <c r="BB67" s="42">
        <f t="shared" ref="BB67:BY67" si="86">IFERROR(BB5/$B53,0)</f>
        <v>3.2886825572076064</v>
      </c>
      <c r="BC67" s="42">
        <f t="shared" si="86"/>
        <v>3.2886825572076064</v>
      </c>
      <c r="BD67" s="42">
        <f t="shared" si="86"/>
        <v>3.2886825572076064</v>
      </c>
      <c r="BE67" s="42">
        <f t="shared" si="86"/>
        <v>3.2886825572076064</v>
      </c>
      <c r="BF67" s="42">
        <f t="shared" si="86"/>
        <v>3.2886825572076064</v>
      </c>
      <c r="BG67" s="42">
        <f t="shared" si="86"/>
        <v>3.2886825572076064</v>
      </c>
      <c r="BH67" s="42">
        <f t="shared" si="86"/>
        <v>3.2886825572076064</v>
      </c>
      <c r="BI67" s="42">
        <f t="shared" si="86"/>
        <v>3.2886825572076064</v>
      </c>
      <c r="BJ67" s="42">
        <f t="shared" si="86"/>
        <v>3.2886825572076064</v>
      </c>
      <c r="BK67" s="42">
        <f t="shared" si="86"/>
        <v>3.2886825572076064</v>
      </c>
      <c r="BL67" s="42">
        <f t="shared" si="86"/>
        <v>3.2886825572076064</v>
      </c>
      <c r="BM67" s="42">
        <f t="shared" si="86"/>
        <v>3.2886825572076064</v>
      </c>
      <c r="BN67" s="42">
        <f t="shared" si="86"/>
        <v>3.2886825572076064</v>
      </c>
      <c r="BO67" s="42">
        <f t="shared" si="86"/>
        <v>3.2886825572076064</v>
      </c>
      <c r="BP67" s="42">
        <f t="shared" si="86"/>
        <v>3.2886825572076064</v>
      </c>
      <c r="BQ67" s="42">
        <f t="shared" si="86"/>
        <v>3.2886825572076064</v>
      </c>
      <c r="BR67" s="42">
        <f t="shared" si="86"/>
        <v>3.2886825572076064</v>
      </c>
      <c r="BS67" s="42">
        <f t="shared" si="86"/>
        <v>3.2886825572076064</v>
      </c>
      <c r="BT67" s="42">
        <f t="shared" si="86"/>
        <v>3.2886825572076064</v>
      </c>
      <c r="BU67" s="42">
        <f t="shared" si="86"/>
        <v>3.2886825572076064</v>
      </c>
      <c r="BV67" s="42">
        <f t="shared" si="86"/>
        <v>3.2886825572076064</v>
      </c>
      <c r="BW67" s="42">
        <f t="shared" si="86"/>
        <v>3.2886825572076064</v>
      </c>
      <c r="BX67" s="42">
        <f t="shared" si="86"/>
        <v>3.2886825572076064</v>
      </c>
      <c r="BY67" s="42">
        <f t="shared" si="86"/>
        <v>3.2886825572076064</v>
      </c>
      <c r="BZ67" s="34">
        <f t="shared" ref="BZ67:BZ76" si="87">SUM(CA67,CW67:CX67)</f>
        <v>22.805484778586205</v>
      </c>
      <c r="CA67" s="34">
        <f>IFERROR(up_RadSpec!$J$5*(AC5*$B67),".")</f>
        <v>7.6018282595287348</v>
      </c>
      <c r="CB67" s="34">
        <f>IFERROR(up_RadSpec!$J$5*(AC5*$B67),".")</f>
        <v>7.6018282595287348</v>
      </c>
      <c r="CC67" s="34">
        <f>IFERROR(up_RadSpec!$J$5*(AC5*$B67),".")</f>
        <v>7.6018282595287348</v>
      </c>
      <c r="CD67" s="34">
        <f>IFERROR(up_RadSpec!$J$5*(AC5*$B67),".")</f>
        <v>7.6018282595287348</v>
      </c>
      <c r="CE67" s="34">
        <f>IFERROR(up_RadSpec!$J$5*(AC5*$B67),".")</f>
        <v>7.6018282595287348</v>
      </c>
      <c r="CF67" s="34">
        <f>IFERROR(up_RadSpec!$J$5*(AC5*$B67),".")</f>
        <v>7.6018282595287348</v>
      </c>
      <c r="CG67" s="34">
        <f>IFERROR(up_RadSpec!$J$5*(AC5*$B67),".")</f>
        <v>7.6018282595287348</v>
      </c>
      <c r="CH67" s="34">
        <f>IFERROR(up_RadSpec!$J$5*(AC5*$B67),".")</f>
        <v>7.6018282595287348</v>
      </c>
      <c r="CI67" s="34">
        <f>IFERROR(up_RadSpec!$J$5*(AC5*$B67),".")</f>
        <v>7.6018282595287348</v>
      </c>
      <c r="CJ67" s="34">
        <f>IFERROR(up_RadSpec!$J$5*(AC5*$B67),".")</f>
        <v>7.6018282595287348</v>
      </c>
      <c r="CK67" s="34">
        <f>IFERROR(up_RadSpec!$J$5*(AC5*$B67),".")</f>
        <v>7.6018282595287348</v>
      </c>
      <c r="CL67" s="34">
        <f>IFERROR(up_RadSpec!$J$5*(AC5*$B67),".")</f>
        <v>7.6018282595287348</v>
      </c>
      <c r="CM67" s="34">
        <f>IFERROR(up_RadSpec!$J$5*(AC5*$B67),".")</f>
        <v>7.6018282595287348</v>
      </c>
      <c r="CN67" s="34">
        <f>IFERROR(up_RadSpec!$J$5*(AC5*$B67),".")</f>
        <v>7.6018282595287348</v>
      </c>
      <c r="CO67" s="34">
        <f>IFERROR(up_RadSpec!$J$5*(AC5*$B67),".")</f>
        <v>7.6018282595287348</v>
      </c>
      <c r="CP67" s="34">
        <f>IFERROR(up_RadSpec!$J$5*(AC5*$B67),".")</f>
        <v>7.6018282595287348</v>
      </c>
      <c r="CQ67" s="34">
        <f>IFERROR(up_RadSpec!$J$5*(AC5*$B67),".")</f>
        <v>7.6018282595287348</v>
      </c>
      <c r="CR67" s="34">
        <f>IFERROR(up_RadSpec!$J$5*(AC5*$B67),".")</f>
        <v>7.6018282595287348</v>
      </c>
      <c r="CS67" s="34">
        <f>IFERROR(up_RadSpec!$J$5*(AC5*$B67),".")</f>
        <v>7.6018282595287348</v>
      </c>
      <c r="CT67" s="34">
        <f>IFERROR(up_RadSpec!$J$5*(AC5*$B67),".")</f>
        <v>7.6018282595287348</v>
      </c>
      <c r="CU67" s="34">
        <f>IFERROR(up_RadSpec!$J$5*(AC5*$B67),".")</f>
        <v>7.6018282595287348</v>
      </c>
      <c r="CV67" s="34">
        <f>IFERROR(up_RadSpec!$J$5*(AC5*$B67),".")</f>
        <v>7.6018282595287348</v>
      </c>
      <c r="CW67" s="34">
        <f>IFERROR(up_RadSpec!$J$5*(AC5*$B67),".")</f>
        <v>7.6018282595287348</v>
      </c>
      <c r="CX67" s="34">
        <f>IFERROR(up_RadSpec!$J$5*(AC5*$B67),".")</f>
        <v>7.6018282595287348</v>
      </c>
    </row>
    <row r="68" spans="1:102" s="3" customFormat="1" x14ac:dyDescent="0.25">
      <c r="A68" s="55" t="s">
        <v>1077</v>
      </c>
      <c r="B68" s="3">
        <v>0.99999979999999999</v>
      </c>
      <c r="C68" s="42">
        <f t="shared" si="83"/>
        <v>2.1924554766294995E-4</v>
      </c>
      <c r="D68" s="42">
        <f t="shared" ref="D68:AA68" si="88">IFERROR(D9/$B54,0)</f>
        <v>6.577366429888499E-4</v>
      </c>
      <c r="E68" s="42">
        <f t="shared" si="88"/>
        <v>6.577366429888499E-4</v>
      </c>
      <c r="F68" s="42">
        <f t="shared" si="88"/>
        <v>6.577366429888499E-4</v>
      </c>
      <c r="G68" s="42">
        <f t="shared" si="88"/>
        <v>6.577366429888499E-4</v>
      </c>
      <c r="H68" s="42">
        <f t="shared" si="88"/>
        <v>6.577366429888499E-4</v>
      </c>
      <c r="I68" s="42">
        <f t="shared" si="88"/>
        <v>6.577366429888499E-4</v>
      </c>
      <c r="J68" s="42">
        <f t="shared" si="88"/>
        <v>6.577366429888499E-4</v>
      </c>
      <c r="K68" s="42">
        <f t="shared" si="88"/>
        <v>6.577366429888499E-4</v>
      </c>
      <c r="L68" s="42">
        <f t="shared" si="88"/>
        <v>6.577366429888499E-4</v>
      </c>
      <c r="M68" s="42">
        <f t="shared" si="88"/>
        <v>6.577366429888499E-4</v>
      </c>
      <c r="N68" s="42">
        <f t="shared" si="88"/>
        <v>6.577366429888499E-4</v>
      </c>
      <c r="O68" s="42">
        <f t="shared" si="88"/>
        <v>6.577366429888499E-4</v>
      </c>
      <c r="P68" s="42">
        <f t="shared" si="88"/>
        <v>6.577366429888499E-4</v>
      </c>
      <c r="Q68" s="42">
        <f t="shared" si="88"/>
        <v>6.577366429888499E-4</v>
      </c>
      <c r="R68" s="42">
        <f t="shared" si="88"/>
        <v>6.577366429888499E-4</v>
      </c>
      <c r="S68" s="42">
        <f t="shared" si="88"/>
        <v>6.577366429888499E-4</v>
      </c>
      <c r="T68" s="42">
        <f t="shared" si="88"/>
        <v>6.577366429888499E-4</v>
      </c>
      <c r="U68" s="42">
        <f t="shared" si="88"/>
        <v>6.577366429888499E-4</v>
      </c>
      <c r="V68" s="42">
        <f t="shared" si="88"/>
        <v>6.577366429888499E-4</v>
      </c>
      <c r="W68" s="42">
        <f t="shared" si="88"/>
        <v>6.577366429888499E-4</v>
      </c>
      <c r="X68" s="42">
        <f t="shared" si="88"/>
        <v>6.577366429888499E-4</v>
      </c>
      <c r="Y68" s="42">
        <f t="shared" si="88"/>
        <v>6.577366429888499E-4</v>
      </c>
      <c r="Z68" s="42">
        <f t="shared" si="88"/>
        <v>6.577366429888499E-4</v>
      </c>
      <c r="AA68" s="42">
        <f t="shared" si="88"/>
        <v>6.577366429888499E-4</v>
      </c>
      <c r="AB68" s="34">
        <f t="shared" si="11"/>
        <v>114027.40108744623</v>
      </c>
      <c r="AC68" s="34">
        <f>IFERROR(up_RadSpec!$J$9*(AC9*$B68),".")</f>
        <v>38009.133695815406</v>
      </c>
      <c r="AD68" s="34">
        <f>IFERROR(up_RadSpec!$J$9*(AC9*$B68),".")</f>
        <v>38009.133695815406</v>
      </c>
      <c r="AE68" s="34">
        <f>IFERROR(up_RadSpec!$J$9*(AC9*$B68),".")</f>
        <v>38009.133695815406</v>
      </c>
      <c r="AF68" s="34">
        <f>IFERROR(up_RadSpec!$J$9*(AC9*$B68),".")</f>
        <v>38009.133695815406</v>
      </c>
      <c r="AG68" s="34">
        <f>IFERROR(up_RadSpec!$J$9*(AC9*$B68),".")</f>
        <v>38009.133695815406</v>
      </c>
      <c r="AH68" s="34">
        <f>IFERROR(up_RadSpec!$J$9*(AC9*$B68),".")</f>
        <v>38009.133695815406</v>
      </c>
      <c r="AI68" s="34">
        <f>IFERROR(up_RadSpec!$J$9*(AC9*$B68),".")</f>
        <v>38009.133695815406</v>
      </c>
      <c r="AJ68" s="34">
        <f>IFERROR(up_RadSpec!$J$9*(AC9*$B68),".")</f>
        <v>38009.133695815406</v>
      </c>
      <c r="AK68" s="34">
        <f>IFERROR(up_RadSpec!$J$9*(AC9*$B68),".")</f>
        <v>38009.133695815406</v>
      </c>
      <c r="AL68" s="34">
        <f>IFERROR(up_RadSpec!$J$9*(AC9*$B68),".")</f>
        <v>38009.133695815406</v>
      </c>
      <c r="AM68" s="34">
        <f>IFERROR(up_RadSpec!$J$9*(AC9*$B68),".")</f>
        <v>38009.133695815406</v>
      </c>
      <c r="AN68" s="34">
        <f>IFERROR(up_RadSpec!$J$9*(AC9*$B68),".")</f>
        <v>38009.133695815406</v>
      </c>
      <c r="AO68" s="34">
        <f>IFERROR(up_RadSpec!$J$9*(AC9*$B68),".")</f>
        <v>38009.133695815406</v>
      </c>
      <c r="AP68" s="34">
        <f>IFERROR(up_RadSpec!$J$9*(AC9*$B68),".")</f>
        <v>38009.133695815406</v>
      </c>
      <c r="AQ68" s="34">
        <f>IFERROR(up_RadSpec!$J$9*(AC9*$B68),".")</f>
        <v>38009.133695815406</v>
      </c>
      <c r="AR68" s="34">
        <f>IFERROR(up_RadSpec!$J$9*(AC9*$B68),".")</f>
        <v>38009.133695815406</v>
      </c>
      <c r="AS68" s="34">
        <f>IFERROR(up_RadSpec!$J$9*(AC9*$B68),".")</f>
        <v>38009.133695815406</v>
      </c>
      <c r="AT68" s="34">
        <f>IFERROR(up_RadSpec!$J$9*(AC9*$B68),".")</f>
        <v>38009.133695815406</v>
      </c>
      <c r="AU68" s="34">
        <f>IFERROR(up_RadSpec!$J$9*(AC9*$B68),".")</f>
        <v>38009.133695815406</v>
      </c>
      <c r="AV68" s="34">
        <f>IFERROR(up_RadSpec!$J$9*(AC9*$B68),".")</f>
        <v>38009.133695815406</v>
      </c>
      <c r="AW68" s="34">
        <f>IFERROR(up_RadSpec!$J$9*(AC9*$B68),".")</f>
        <v>38009.133695815406</v>
      </c>
      <c r="AX68" s="34">
        <f>IFERROR(up_RadSpec!$J$9*(AC9*$B68),".")</f>
        <v>38009.133695815406</v>
      </c>
      <c r="AY68" s="34">
        <f>IFERROR(up_RadSpec!$J$9*(AC9*$B68),".")</f>
        <v>38009.133695815406</v>
      </c>
      <c r="AZ68" s="34">
        <f>IFERROR(up_RadSpec!$J$9*(AC9*$B68),".")</f>
        <v>38009.133695815406</v>
      </c>
      <c r="BA68" s="42">
        <f t="shared" si="85"/>
        <v>2.1924554766294995E-4</v>
      </c>
      <c r="BB68" s="42">
        <f t="shared" ref="BB68:BY68" si="89">IFERROR(BB9/$B54,0)</f>
        <v>6.577366429888499E-4</v>
      </c>
      <c r="BC68" s="42">
        <f t="shared" si="89"/>
        <v>6.577366429888499E-4</v>
      </c>
      <c r="BD68" s="42">
        <f t="shared" si="89"/>
        <v>6.577366429888499E-4</v>
      </c>
      <c r="BE68" s="42">
        <f t="shared" si="89"/>
        <v>6.577366429888499E-4</v>
      </c>
      <c r="BF68" s="42">
        <f t="shared" si="89"/>
        <v>6.577366429888499E-4</v>
      </c>
      <c r="BG68" s="42">
        <f t="shared" si="89"/>
        <v>6.577366429888499E-4</v>
      </c>
      <c r="BH68" s="42">
        <f t="shared" si="89"/>
        <v>6.577366429888499E-4</v>
      </c>
      <c r="BI68" s="42">
        <f t="shared" si="89"/>
        <v>6.577366429888499E-4</v>
      </c>
      <c r="BJ68" s="42">
        <f t="shared" si="89"/>
        <v>6.577366429888499E-4</v>
      </c>
      <c r="BK68" s="42">
        <f t="shared" si="89"/>
        <v>6.577366429888499E-4</v>
      </c>
      <c r="BL68" s="42">
        <f t="shared" si="89"/>
        <v>6.577366429888499E-4</v>
      </c>
      <c r="BM68" s="42">
        <f t="shared" si="89"/>
        <v>6.577366429888499E-4</v>
      </c>
      <c r="BN68" s="42">
        <f t="shared" si="89"/>
        <v>6.577366429888499E-4</v>
      </c>
      <c r="BO68" s="42">
        <f t="shared" si="89"/>
        <v>6.577366429888499E-4</v>
      </c>
      <c r="BP68" s="42">
        <f t="shared" si="89"/>
        <v>6.577366429888499E-4</v>
      </c>
      <c r="BQ68" s="42">
        <f t="shared" si="89"/>
        <v>6.577366429888499E-4</v>
      </c>
      <c r="BR68" s="42">
        <f t="shared" si="89"/>
        <v>6.577366429888499E-4</v>
      </c>
      <c r="BS68" s="42">
        <f t="shared" si="89"/>
        <v>6.577366429888499E-4</v>
      </c>
      <c r="BT68" s="42">
        <f t="shared" si="89"/>
        <v>6.577366429888499E-4</v>
      </c>
      <c r="BU68" s="42">
        <f t="shared" si="89"/>
        <v>6.577366429888499E-4</v>
      </c>
      <c r="BV68" s="42">
        <f t="shared" si="89"/>
        <v>6.577366429888499E-4</v>
      </c>
      <c r="BW68" s="42">
        <f t="shared" si="89"/>
        <v>6.577366429888499E-4</v>
      </c>
      <c r="BX68" s="42">
        <f t="shared" si="89"/>
        <v>6.577366429888499E-4</v>
      </c>
      <c r="BY68" s="42">
        <f t="shared" si="89"/>
        <v>6.577366429888499E-4</v>
      </c>
      <c r="BZ68" s="34">
        <f t="shared" si="87"/>
        <v>114027.40108744623</v>
      </c>
      <c r="CA68" s="34">
        <f>IFERROR(up_RadSpec!$J$9*(AC9*$B68),".")</f>
        <v>38009.133695815406</v>
      </c>
      <c r="CB68" s="34">
        <f>IFERROR(up_RadSpec!$J$9*(AC9*$B68),".")</f>
        <v>38009.133695815406</v>
      </c>
      <c r="CC68" s="34">
        <f>IFERROR(up_RadSpec!$J$9*(AC9*$B68),".")</f>
        <v>38009.133695815406</v>
      </c>
      <c r="CD68" s="34">
        <f>IFERROR(up_RadSpec!$J$9*(AC9*$B68),".")</f>
        <v>38009.133695815406</v>
      </c>
      <c r="CE68" s="34">
        <f>IFERROR(up_RadSpec!$J$9*(AC9*$B68),".")</f>
        <v>38009.133695815406</v>
      </c>
      <c r="CF68" s="34">
        <f>IFERROR(up_RadSpec!$J$9*(AC9*$B68),".")</f>
        <v>38009.133695815406</v>
      </c>
      <c r="CG68" s="34">
        <f>IFERROR(up_RadSpec!$J$9*(AC9*$B68),".")</f>
        <v>38009.133695815406</v>
      </c>
      <c r="CH68" s="34">
        <f>IFERROR(up_RadSpec!$J$9*(AC9*$B68),".")</f>
        <v>38009.133695815406</v>
      </c>
      <c r="CI68" s="34">
        <f>IFERROR(up_RadSpec!$J$9*(AC9*$B68),".")</f>
        <v>38009.133695815406</v>
      </c>
      <c r="CJ68" s="34">
        <f>IFERROR(up_RadSpec!$J$9*(AC9*$B68),".")</f>
        <v>38009.133695815406</v>
      </c>
      <c r="CK68" s="34">
        <f>IFERROR(up_RadSpec!$J$9*(AC9*$B68),".")</f>
        <v>38009.133695815406</v>
      </c>
      <c r="CL68" s="34">
        <f>IFERROR(up_RadSpec!$J$9*(AC9*$B68),".")</f>
        <v>38009.133695815406</v>
      </c>
      <c r="CM68" s="34">
        <f>IFERROR(up_RadSpec!$J$9*(AC9*$B68),".")</f>
        <v>38009.133695815406</v>
      </c>
      <c r="CN68" s="34">
        <f>IFERROR(up_RadSpec!$J$9*(AC9*$B68),".")</f>
        <v>38009.133695815406</v>
      </c>
      <c r="CO68" s="34">
        <f>IFERROR(up_RadSpec!$J$9*(AC9*$B68),".")</f>
        <v>38009.133695815406</v>
      </c>
      <c r="CP68" s="34">
        <f>IFERROR(up_RadSpec!$J$9*(AC9*$B68),".")</f>
        <v>38009.133695815406</v>
      </c>
      <c r="CQ68" s="34">
        <f>IFERROR(up_RadSpec!$J$9*(AC9*$B68),".")</f>
        <v>38009.133695815406</v>
      </c>
      <c r="CR68" s="34">
        <f>IFERROR(up_RadSpec!$J$9*(AC9*$B68),".")</f>
        <v>38009.133695815406</v>
      </c>
      <c r="CS68" s="34">
        <f>IFERROR(up_RadSpec!$J$9*(AC9*$B68),".")</f>
        <v>38009.133695815406</v>
      </c>
      <c r="CT68" s="34">
        <f>IFERROR(up_RadSpec!$J$9*(AC9*$B68),".")</f>
        <v>38009.133695815406</v>
      </c>
      <c r="CU68" s="34">
        <f>IFERROR(up_RadSpec!$J$9*(AC9*$B68),".")</f>
        <v>38009.133695815406</v>
      </c>
      <c r="CV68" s="34">
        <f>IFERROR(up_RadSpec!$J$9*(AC9*$B68),".")</f>
        <v>38009.133695815406</v>
      </c>
      <c r="CW68" s="34">
        <f>IFERROR(up_RadSpec!$J$9*(AC9*$B68),".")</f>
        <v>38009.133695815406</v>
      </c>
      <c r="CX68" s="34">
        <f>IFERROR(up_RadSpec!$J$9*(AC9*$B68),".")</f>
        <v>38009.133695815406</v>
      </c>
    </row>
    <row r="69" spans="1:102" s="3" customFormat="1" x14ac:dyDescent="0.25">
      <c r="A69" s="55" t="s">
        <v>1078</v>
      </c>
      <c r="B69" s="3">
        <v>1.9999999999999999E-7</v>
      </c>
      <c r="C69" s="42">
        <f t="shared" si="83"/>
        <v>1096.2275190692021</v>
      </c>
      <c r="D69" s="42">
        <f t="shared" ref="D69:AA69" si="90">IFERROR(D24/$B55,0)</f>
        <v>3288.6825572076068</v>
      </c>
      <c r="E69" s="42">
        <f t="shared" si="90"/>
        <v>3288.6825572076068</v>
      </c>
      <c r="F69" s="42">
        <f t="shared" si="90"/>
        <v>3288.6825572076068</v>
      </c>
      <c r="G69" s="42">
        <f t="shared" si="90"/>
        <v>3288.6825572076068</v>
      </c>
      <c r="H69" s="42">
        <f t="shared" si="90"/>
        <v>3288.6825572076068</v>
      </c>
      <c r="I69" s="42">
        <f t="shared" si="90"/>
        <v>3288.6825572076068</v>
      </c>
      <c r="J69" s="42">
        <f t="shared" si="90"/>
        <v>3288.6825572076068</v>
      </c>
      <c r="K69" s="42">
        <f t="shared" si="90"/>
        <v>3288.6825572076068</v>
      </c>
      <c r="L69" s="42">
        <f t="shared" si="90"/>
        <v>3288.6825572076068</v>
      </c>
      <c r="M69" s="42">
        <f t="shared" si="90"/>
        <v>3288.6825572076068</v>
      </c>
      <c r="N69" s="42">
        <f t="shared" si="90"/>
        <v>3288.6825572076068</v>
      </c>
      <c r="O69" s="42">
        <f t="shared" si="90"/>
        <v>3288.6825572076068</v>
      </c>
      <c r="P69" s="42">
        <f t="shared" si="90"/>
        <v>3288.6825572076068</v>
      </c>
      <c r="Q69" s="42">
        <f t="shared" si="90"/>
        <v>3288.6825572076068</v>
      </c>
      <c r="R69" s="42">
        <f t="shared" si="90"/>
        <v>3288.6825572076068</v>
      </c>
      <c r="S69" s="42">
        <f t="shared" si="90"/>
        <v>3288.6825572076068</v>
      </c>
      <c r="T69" s="42">
        <f t="shared" si="90"/>
        <v>3288.6825572076068</v>
      </c>
      <c r="U69" s="42">
        <f t="shared" si="90"/>
        <v>3288.6825572076068</v>
      </c>
      <c r="V69" s="42">
        <f t="shared" si="90"/>
        <v>3288.6825572076068</v>
      </c>
      <c r="W69" s="42">
        <f t="shared" si="90"/>
        <v>3288.6825572076068</v>
      </c>
      <c r="X69" s="42">
        <f t="shared" si="90"/>
        <v>3288.6825572076068</v>
      </c>
      <c r="Y69" s="42">
        <f t="shared" si="90"/>
        <v>3288.6825572076068</v>
      </c>
      <c r="Z69" s="42">
        <f t="shared" si="90"/>
        <v>3288.6825572076068</v>
      </c>
      <c r="AA69" s="42">
        <f t="shared" si="90"/>
        <v>3288.6825572076068</v>
      </c>
      <c r="AB69" s="34">
        <f t="shared" si="11"/>
        <v>2.28054847785862E-2</v>
      </c>
      <c r="AC69" s="34">
        <f>IFERROR(up_RadSpec!$J$24*(AC24*$B69),".")</f>
        <v>7.6018282595287333E-3</v>
      </c>
      <c r="AD69" s="34">
        <f>IFERROR(up_RadSpec!$J$24*(AC24*$B69),".")</f>
        <v>7.6018282595287333E-3</v>
      </c>
      <c r="AE69" s="34">
        <f>IFERROR(up_RadSpec!$J$24*(AC24*$B69),".")</f>
        <v>7.6018282595287333E-3</v>
      </c>
      <c r="AF69" s="34">
        <f>IFERROR(up_RadSpec!$J$24*(AC24*$B69),".")</f>
        <v>7.6018282595287333E-3</v>
      </c>
      <c r="AG69" s="34">
        <f>IFERROR(up_RadSpec!$J$24*(AC24*$B69),".")</f>
        <v>7.6018282595287333E-3</v>
      </c>
      <c r="AH69" s="34">
        <f>IFERROR(up_RadSpec!$J$24*(AC24*$B69),".")</f>
        <v>7.6018282595287333E-3</v>
      </c>
      <c r="AI69" s="34">
        <f>IFERROR(up_RadSpec!$J$24*(AC24*$B69),".")</f>
        <v>7.6018282595287333E-3</v>
      </c>
      <c r="AJ69" s="34">
        <f>IFERROR(up_RadSpec!$J$24*(AC24*$B69),".")</f>
        <v>7.6018282595287333E-3</v>
      </c>
      <c r="AK69" s="34">
        <f>IFERROR(up_RadSpec!$J$24*(AC24*$B69),".")</f>
        <v>7.6018282595287333E-3</v>
      </c>
      <c r="AL69" s="34">
        <f>IFERROR(up_RadSpec!$J$24*(AC24*$B69),".")</f>
        <v>7.6018282595287333E-3</v>
      </c>
      <c r="AM69" s="34">
        <f>IFERROR(up_RadSpec!$J$24*(AC24*$B69),".")</f>
        <v>7.6018282595287333E-3</v>
      </c>
      <c r="AN69" s="34">
        <f>IFERROR(up_RadSpec!$J$24*(AC24*$B69),".")</f>
        <v>7.6018282595287333E-3</v>
      </c>
      <c r="AO69" s="34">
        <f>IFERROR(up_RadSpec!$J$24*(AC24*$B69),".")</f>
        <v>7.6018282595287333E-3</v>
      </c>
      <c r="AP69" s="34">
        <f>IFERROR(up_RadSpec!$J$24*(AC24*$B69),".")</f>
        <v>7.6018282595287333E-3</v>
      </c>
      <c r="AQ69" s="34">
        <f>IFERROR(up_RadSpec!$J$24*(AC24*$B69),".")</f>
        <v>7.6018282595287333E-3</v>
      </c>
      <c r="AR69" s="34">
        <f>IFERROR(up_RadSpec!$J$24*(AC24*$B69),".")</f>
        <v>7.6018282595287333E-3</v>
      </c>
      <c r="AS69" s="34">
        <f>IFERROR(up_RadSpec!$J$24*(AC24*$B69),".")</f>
        <v>7.6018282595287333E-3</v>
      </c>
      <c r="AT69" s="34">
        <f>IFERROR(up_RadSpec!$J$24*(AC24*$B69),".")</f>
        <v>7.6018282595287333E-3</v>
      </c>
      <c r="AU69" s="34">
        <f>IFERROR(up_RadSpec!$J$24*(AC24*$B69),".")</f>
        <v>7.6018282595287333E-3</v>
      </c>
      <c r="AV69" s="34">
        <f>IFERROR(up_RadSpec!$J$24*(AC24*$B69),".")</f>
        <v>7.6018282595287333E-3</v>
      </c>
      <c r="AW69" s="34">
        <f>IFERROR(up_RadSpec!$J$24*(AC24*$B69),".")</f>
        <v>7.6018282595287333E-3</v>
      </c>
      <c r="AX69" s="34">
        <f>IFERROR(up_RadSpec!$J$24*(AC24*$B69),".")</f>
        <v>7.6018282595287333E-3</v>
      </c>
      <c r="AY69" s="34">
        <f>IFERROR(up_RadSpec!$J$24*(AC24*$B69),".")</f>
        <v>7.6018282595287333E-3</v>
      </c>
      <c r="AZ69" s="34">
        <f>IFERROR(up_RadSpec!$J$24*(AC24*$B69),".")</f>
        <v>7.6018282595287333E-3</v>
      </c>
      <c r="BA69" s="42">
        <f t="shared" si="85"/>
        <v>1096.2275190692021</v>
      </c>
      <c r="BB69" s="42">
        <f t="shared" ref="BB69:BY69" si="91">IFERROR(BB24/$B55,0)</f>
        <v>3288.6825572076068</v>
      </c>
      <c r="BC69" s="42">
        <f t="shared" si="91"/>
        <v>3288.6825572076068</v>
      </c>
      <c r="BD69" s="42">
        <f t="shared" si="91"/>
        <v>3288.6825572076068</v>
      </c>
      <c r="BE69" s="42">
        <f t="shared" si="91"/>
        <v>3288.6825572076068</v>
      </c>
      <c r="BF69" s="42">
        <f t="shared" si="91"/>
        <v>3288.6825572076068</v>
      </c>
      <c r="BG69" s="42">
        <f t="shared" si="91"/>
        <v>3288.6825572076068</v>
      </c>
      <c r="BH69" s="42">
        <f t="shared" si="91"/>
        <v>3288.6825572076068</v>
      </c>
      <c r="BI69" s="42">
        <f t="shared" si="91"/>
        <v>3288.6825572076068</v>
      </c>
      <c r="BJ69" s="42">
        <f t="shared" si="91"/>
        <v>3288.6825572076068</v>
      </c>
      <c r="BK69" s="42">
        <f t="shared" si="91"/>
        <v>3288.6825572076068</v>
      </c>
      <c r="BL69" s="42">
        <f t="shared" si="91"/>
        <v>3288.6825572076068</v>
      </c>
      <c r="BM69" s="42">
        <f t="shared" si="91"/>
        <v>3288.6825572076068</v>
      </c>
      <c r="BN69" s="42">
        <f t="shared" si="91"/>
        <v>3288.6825572076068</v>
      </c>
      <c r="BO69" s="42">
        <f t="shared" si="91"/>
        <v>3288.6825572076068</v>
      </c>
      <c r="BP69" s="42">
        <f t="shared" si="91"/>
        <v>3288.6825572076068</v>
      </c>
      <c r="BQ69" s="42">
        <f t="shared" si="91"/>
        <v>3288.6825572076068</v>
      </c>
      <c r="BR69" s="42">
        <f t="shared" si="91"/>
        <v>3288.6825572076068</v>
      </c>
      <c r="BS69" s="42">
        <f t="shared" si="91"/>
        <v>3288.6825572076068</v>
      </c>
      <c r="BT69" s="42">
        <f t="shared" si="91"/>
        <v>3288.6825572076068</v>
      </c>
      <c r="BU69" s="42">
        <f t="shared" si="91"/>
        <v>3288.6825572076068</v>
      </c>
      <c r="BV69" s="42">
        <f t="shared" si="91"/>
        <v>3288.6825572076068</v>
      </c>
      <c r="BW69" s="42">
        <f t="shared" si="91"/>
        <v>3288.6825572076068</v>
      </c>
      <c r="BX69" s="42">
        <f t="shared" si="91"/>
        <v>3288.6825572076068</v>
      </c>
      <c r="BY69" s="42">
        <f t="shared" si="91"/>
        <v>3288.6825572076068</v>
      </c>
      <c r="BZ69" s="34">
        <f t="shared" si="87"/>
        <v>2.28054847785862E-2</v>
      </c>
      <c r="CA69" s="34">
        <f>IFERROR(up_RadSpec!$J$24*(AC24*$B69),".")</f>
        <v>7.6018282595287333E-3</v>
      </c>
      <c r="CB69" s="34">
        <f>IFERROR(up_RadSpec!$J$24*(AC24*$B69),".")</f>
        <v>7.6018282595287333E-3</v>
      </c>
      <c r="CC69" s="34">
        <f>IFERROR(up_RadSpec!$J$24*(AC24*$B69),".")</f>
        <v>7.6018282595287333E-3</v>
      </c>
      <c r="CD69" s="34">
        <f>IFERROR(up_RadSpec!$J$24*(AC24*$B69),".")</f>
        <v>7.6018282595287333E-3</v>
      </c>
      <c r="CE69" s="34">
        <f>IFERROR(up_RadSpec!$J$24*(AC24*$B69),".")</f>
        <v>7.6018282595287333E-3</v>
      </c>
      <c r="CF69" s="34">
        <f>IFERROR(up_RadSpec!$J$24*(AC24*$B69),".")</f>
        <v>7.6018282595287333E-3</v>
      </c>
      <c r="CG69" s="34">
        <f>IFERROR(up_RadSpec!$J$24*(AC24*$B69),".")</f>
        <v>7.6018282595287333E-3</v>
      </c>
      <c r="CH69" s="34">
        <f>IFERROR(up_RadSpec!$J$24*(AC24*$B69),".")</f>
        <v>7.6018282595287333E-3</v>
      </c>
      <c r="CI69" s="34">
        <f>IFERROR(up_RadSpec!$J$24*(AC24*$B69),".")</f>
        <v>7.6018282595287333E-3</v>
      </c>
      <c r="CJ69" s="34">
        <f>IFERROR(up_RadSpec!$J$24*(AC24*$B69),".")</f>
        <v>7.6018282595287333E-3</v>
      </c>
      <c r="CK69" s="34">
        <f>IFERROR(up_RadSpec!$J$24*(AC24*$B69),".")</f>
        <v>7.6018282595287333E-3</v>
      </c>
      <c r="CL69" s="34">
        <f>IFERROR(up_RadSpec!$J$24*(AC24*$B69),".")</f>
        <v>7.6018282595287333E-3</v>
      </c>
      <c r="CM69" s="34">
        <f>IFERROR(up_RadSpec!$J$24*(AC24*$B69),".")</f>
        <v>7.6018282595287333E-3</v>
      </c>
      <c r="CN69" s="34">
        <f>IFERROR(up_RadSpec!$J$24*(AC24*$B69),".")</f>
        <v>7.6018282595287333E-3</v>
      </c>
      <c r="CO69" s="34">
        <f>IFERROR(up_RadSpec!$J$24*(AC24*$B69),".")</f>
        <v>7.6018282595287333E-3</v>
      </c>
      <c r="CP69" s="34">
        <f>IFERROR(up_RadSpec!$J$24*(AC24*$B69),".")</f>
        <v>7.6018282595287333E-3</v>
      </c>
      <c r="CQ69" s="34">
        <f>IFERROR(up_RadSpec!$J$24*(AC24*$B69),".")</f>
        <v>7.6018282595287333E-3</v>
      </c>
      <c r="CR69" s="34">
        <f>IFERROR(up_RadSpec!$J$24*(AC24*$B69),".")</f>
        <v>7.6018282595287333E-3</v>
      </c>
      <c r="CS69" s="34">
        <f>IFERROR(up_RadSpec!$J$24*(AC24*$B69),".")</f>
        <v>7.6018282595287333E-3</v>
      </c>
      <c r="CT69" s="34">
        <f>IFERROR(up_RadSpec!$J$24*(AC24*$B69),".")</f>
        <v>7.6018282595287333E-3</v>
      </c>
      <c r="CU69" s="34">
        <f>IFERROR(up_RadSpec!$J$24*(AC24*$B69),".")</f>
        <v>7.6018282595287333E-3</v>
      </c>
      <c r="CV69" s="34">
        <f>IFERROR(up_RadSpec!$J$24*(AC24*$B69),".")</f>
        <v>7.6018282595287333E-3</v>
      </c>
      <c r="CW69" s="34">
        <f>IFERROR(up_RadSpec!$J$24*(AC24*$B69),".")</f>
        <v>7.6018282595287333E-3</v>
      </c>
      <c r="CX69" s="34">
        <f>IFERROR(up_RadSpec!$J$24*(AC24*$B69),".")</f>
        <v>7.6018282595287333E-3</v>
      </c>
    </row>
    <row r="70" spans="1:102" s="3" customFormat="1" x14ac:dyDescent="0.25">
      <c r="A70" s="55" t="s">
        <v>1079</v>
      </c>
      <c r="B70" s="3">
        <v>0.99979000004200003</v>
      </c>
      <c r="C70" s="42">
        <f t="shared" si="83"/>
        <v>2.1929155503118674E-4</v>
      </c>
      <c r="D70" s="42">
        <f t="shared" ref="D70:AA70" si="92">IFERROR(D20/$B56,0)</f>
        <v>6.5787466509356022E-4</v>
      </c>
      <c r="E70" s="42">
        <f t="shared" si="92"/>
        <v>6.5787466509356022E-4</v>
      </c>
      <c r="F70" s="42">
        <f t="shared" si="92"/>
        <v>6.5787466509356022E-4</v>
      </c>
      <c r="G70" s="42">
        <f t="shared" si="92"/>
        <v>6.5787466509356022E-4</v>
      </c>
      <c r="H70" s="42">
        <f t="shared" si="92"/>
        <v>6.5787466509356022E-4</v>
      </c>
      <c r="I70" s="42">
        <f t="shared" si="92"/>
        <v>6.5787466509356022E-4</v>
      </c>
      <c r="J70" s="42">
        <f t="shared" si="92"/>
        <v>6.5787466509356022E-4</v>
      </c>
      <c r="K70" s="42">
        <f t="shared" si="92"/>
        <v>6.5787466509356022E-4</v>
      </c>
      <c r="L70" s="42">
        <f t="shared" si="92"/>
        <v>6.5787466509356022E-4</v>
      </c>
      <c r="M70" s="42">
        <f t="shared" si="92"/>
        <v>6.5787466509356022E-4</v>
      </c>
      <c r="N70" s="42">
        <f t="shared" si="92"/>
        <v>6.5787466509356022E-4</v>
      </c>
      <c r="O70" s="42">
        <f t="shared" si="92"/>
        <v>6.5787466509356022E-4</v>
      </c>
      <c r="P70" s="42">
        <f t="shared" si="92"/>
        <v>6.5787466509356022E-4</v>
      </c>
      <c r="Q70" s="42">
        <f t="shared" si="92"/>
        <v>6.5787466509356022E-4</v>
      </c>
      <c r="R70" s="42">
        <f t="shared" si="92"/>
        <v>6.5787466509356022E-4</v>
      </c>
      <c r="S70" s="42">
        <f t="shared" si="92"/>
        <v>6.5787466509356022E-4</v>
      </c>
      <c r="T70" s="42">
        <f t="shared" si="92"/>
        <v>6.5787466509356022E-4</v>
      </c>
      <c r="U70" s="42">
        <f t="shared" si="92"/>
        <v>6.5787466509356022E-4</v>
      </c>
      <c r="V70" s="42">
        <f t="shared" si="92"/>
        <v>6.5787466509356022E-4</v>
      </c>
      <c r="W70" s="42">
        <f t="shared" si="92"/>
        <v>6.5787466509356022E-4</v>
      </c>
      <c r="X70" s="42">
        <f t="shared" si="92"/>
        <v>6.5787466509356022E-4</v>
      </c>
      <c r="Y70" s="42">
        <f t="shared" si="92"/>
        <v>6.5787466509356022E-4</v>
      </c>
      <c r="Z70" s="42">
        <f t="shared" si="92"/>
        <v>6.5787466509356022E-4</v>
      </c>
      <c r="AA70" s="42">
        <f t="shared" si="92"/>
        <v>6.5787466509356022E-4</v>
      </c>
      <c r="AB70" s="34">
        <f t="shared" si="11"/>
        <v>114003.47813870266</v>
      </c>
      <c r="AC70" s="34">
        <f>IFERROR(up_RadSpec!$J$20*(AC20*$B70),".")</f>
        <v>38001.159379567551</v>
      </c>
      <c r="AD70" s="34">
        <f>IFERROR(up_RadSpec!$J$20*(AC20*$B70),".")</f>
        <v>38001.159379567551</v>
      </c>
      <c r="AE70" s="34">
        <f>IFERROR(up_RadSpec!$J$20*(AC20*$B70),".")</f>
        <v>38001.159379567551</v>
      </c>
      <c r="AF70" s="34">
        <f>IFERROR(up_RadSpec!$J$20*(AC20*$B70),".")</f>
        <v>38001.159379567551</v>
      </c>
      <c r="AG70" s="34">
        <f>IFERROR(up_RadSpec!$J$20*(AC20*$B70),".")</f>
        <v>38001.159379567551</v>
      </c>
      <c r="AH70" s="34">
        <f>IFERROR(up_RadSpec!$J$20*(AC20*$B70),".")</f>
        <v>38001.159379567551</v>
      </c>
      <c r="AI70" s="34">
        <f>IFERROR(up_RadSpec!$J$20*(AC20*$B70),".")</f>
        <v>38001.159379567551</v>
      </c>
      <c r="AJ70" s="34">
        <f>IFERROR(up_RadSpec!$J$20*(AC20*$B70),".")</f>
        <v>38001.159379567551</v>
      </c>
      <c r="AK70" s="34">
        <f>IFERROR(up_RadSpec!$J$20*(AC20*$B70),".")</f>
        <v>38001.159379567551</v>
      </c>
      <c r="AL70" s="34">
        <f>IFERROR(up_RadSpec!$J$20*(AC20*$B70),".")</f>
        <v>38001.159379567551</v>
      </c>
      <c r="AM70" s="34">
        <f>IFERROR(up_RadSpec!$J$20*(AC20*$B70),".")</f>
        <v>38001.159379567551</v>
      </c>
      <c r="AN70" s="34">
        <f>IFERROR(up_RadSpec!$J$20*(AC20*$B70),".")</f>
        <v>38001.159379567551</v>
      </c>
      <c r="AO70" s="34">
        <f>IFERROR(up_RadSpec!$J$20*(AC20*$B70),".")</f>
        <v>38001.159379567551</v>
      </c>
      <c r="AP70" s="34">
        <f>IFERROR(up_RadSpec!$J$20*(AC20*$B70),".")</f>
        <v>38001.159379567551</v>
      </c>
      <c r="AQ70" s="34">
        <f>IFERROR(up_RadSpec!$J$20*(AC20*$B70),".")</f>
        <v>38001.159379567551</v>
      </c>
      <c r="AR70" s="34">
        <f>IFERROR(up_RadSpec!$J$20*(AC20*$B70),".")</f>
        <v>38001.159379567551</v>
      </c>
      <c r="AS70" s="34">
        <f>IFERROR(up_RadSpec!$J$20*(AC20*$B70),".")</f>
        <v>38001.159379567551</v>
      </c>
      <c r="AT70" s="34">
        <f>IFERROR(up_RadSpec!$J$20*(AC20*$B70),".")</f>
        <v>38001.159379567551</v>
      </c>
      <c r="AU70" s="34">
        <f>IFERROR(up_RadSpec!$J$20*(AC20*$B70),".")</f>
        <v>38001.159379567551</v>
      </c>
      <c r="AV70" s="34">
        <f>IFERROR(up_RadSpec!$J$20*(AC20*$B70),".")</f>
        <v>38001.159379567551</v>
      </c>
      <c r="AW70" s="34">
        <f>IFERROR(up_RadSpec!$J$20*(AC20*$B70),".")</f>
        <v>38001.159379567551</v>
      </c>
      <c r="AX70" s="34">
        <f>IFERROR(up_RadSpec!$J$20*(AC20*$B70),".")</f>
        <v>38001.159379567551</v>
      </c>
      <c r="AY70" s="34">
        <f>IFERROR(up_RadSpec!$J$20*(AC20*$B70),".")</f>
        <v>38001.159379567551</v>
      </c>
      <c r="AZ70" s="34">
        <f>IFERROR(up_RadSpec!$J$20*(AC20*$B70),".")</f>
        <v>38001.159379567551</v>
      </c>
      <c r="BA70" s="42">
        <f t="shared" si="85"/>
        <v>2.1929155503118674E-4</v>
      </c>
      <c r="BB70" s="42">
        <f t="shared" ref="BB70:BY70" si="93">IFERROR(BB20/$B56,0)</f>
        <v>6.5787466509356022E-4</v>
      </c>
      <c r="BC70" s="42">
        <f t="shared" si="93"/>
        <v>6.5787466509356022E-4</v>
      </c>
      <c r="BD70" s="42">
        <f t="shared" si="93"/>
        <v>6.5787466509356022E-4</v>
      </c>
      <c r="BE70" s="42">
        <f t="shared" si="93"/>
        <v>6.5787466509356022E-4</v>
      </c>
      <c r="BF70" s="42">
        <f t="shared" si="93"/>
        <v>6.5787466509356022E-4</v>
      </c>
      <c r="BG70" s="42">
        <f t="shared" si="93"/>
        <v>6.5787466509356022E-4</v>
      </c>
      <c r="BH70" s="42">
        <f t="shared" si="93"/>
        <v>6.5787466509356022E-4</v>
      </c>
      <c r="BI70" s="42">
        <f t="shared" si="93"/>
        <v>6.5787466509356022E-4</v>
      </c>
      <c r="BJ70" s="42">
        <f t="shared" si="93"/>
        <v>6.5787466509356022E-4</v>
      </c>
      <c r="BK70" s="42">
        <f t="shared" si="93"/>
        <v>6.5787466509356022E-4</v>
      </c>
      <c r="BL70" s="42">
        <f t="shared" si="93"/>
        <v>6.5787466509356022E-4</v>
      </c>
      <c r="BM70" s="42">
        <f t="shared" si="93"/>
        <v>6.5787466509356022E-4</v>
      </c>
      <c r="BN70" s="42">
        <f t="shared" si="93"/>
        <v>6.5787466509356022E-4</v>
      </c>
      <c r="BO70" s="42">
        <f t="shared" si="93"/>
        <v>6.5787466509356022E-4</v>
      </c>
      <c r="BP70" s="42">
        <f t="shared" si="93"/>
        <v>6.5787466509356022E-4</v>
      </c>
      <c r="BQ70" s="42">
        <f t="shared" si="93"/>
        <v>6.5787466509356022E-4</v>
      </c>
      <c r="BR70" s="42">
        <f t="shared" si="93"/>
        <v>6.5787466509356022E-4</v>
      </c>
      <c r="BS70" s="42">
        <f t="shared" si="93"/>
        <v>6.5787466509356022E-4</v>
      </c>
      <c r="BT70" s="42">
        <f t="shared" si="93"/>
        <v>6.5787466509356022E-4</v>
      </c>
      <c r="BU70" s="42">
        <f t="shared" si="93"/>
        <v>6.5787466509356022E-4</v>
      </c>
      <c r="BV70" s="42">
        <f t="shared" si="93"/>
        <v>6.5787466509356022E-4</v>
      </c>
      <c r="BW70" s="42">
        <f t="shared" si="93"/>
        <v>6.5787466509356022E-4</v>
      </c>
      <c r="BX70" s="42">
        <f t="shared" si="93"/>
        <v>6.5787466509356022E-4</v>
      </c>
      <c r="BY70" s="42">
        <f t="shared" si="93"/>
        <v>6.5787466509356022E-4</v>
      </c>
      <c r="BZ70" s="34">
        <f t="shared" si="87"/>
        <v>114003.47813870266</v>
      </c>
      <c r="CA70" s="34">
        <f>IFERROR(up_RadSpec!$J$20*(AC20*$B70),".")</f>
        <v>38001.159379567551</v>
      </c>
      <c r="CB70" s="34">
        <f>IFERROR(up_RadSpec!$J$20*(AC20*$B70),".")</f>
        <v>38001.159379567551</v>
      </c>
      <c r="CC70" s="34">
        <f>IFERROR(up_RadSpec!$J$20*(AC20*$B70),".")</f>
        <v>38001.159379567551</v>
      </c>
      <c r="CD70" s="34">
        <f>IFERROR(up_RadSpec!$J$20*(AC20*$B70),".")</f>
        <v>38001.159379567551</v>
      </c>
      <c r="CE70" s="34">
        <f>IFERROR(up_RadSpec!$J$20*(AC20*$B70),".")</f>
        <v>38001.159379567551</v>
      </c>
      <c r="CF70" s="34">
        <f>IFERROR(up_RadSpec!$J$20*(AC20*$B70),".")</f>
        <v>38001.159379567551</v>
      </c>
      <c r="CG70" s="34">
        <f>IFERROR(up_RadSpec!$J$20*(AC20*$B70),".")</f>
        <v>38001.159379567551</v>
      </c>
      <c r="CH70" s="34">
        <f>IFERROR(up_RadSpec!$J$20*(AC20*$B70),".")</f>
        <v>38001.159379567551</v>
      </c>
      <c r="CI70" s="34">
        <f>IFERROR(up_RadSpec!$J$20*(AC20*$B70),".")</f>
        <v>38001.159379567551</v>
      </c>
      <c r="CJ70" s="34">
        <f>IFERROR(up_RadSpec!$J$20*(AC20*$B70),".")</f>
        <v>38001.159379567551</v>
      </c>
      <c r="CK70" s="34">
        <f>IFERROR(up_RadSpec!$J$20*(AC20*$B70),".")</f>
        <v>38001.159379567551</v>
      </c>
      <c r="CL70" s="34">
        <f>IFERROR(up_RadSpec!$J$20*(AC20*$B70),".")</f>
        <v>38001.159379567551</v>
      </c>
      <c r="CM70" s="34">
        <f>IFERROR(up_RadSpec!$J$20*(AC20*$B70),".")</f>
        <v>38001.159379567551</v>
      </c>
      <c r="CN70" s="34">
        <f>IFERROR(up_RadSpec!$J$20*(AC20*$B70),".")</f>
        <v>38001.159379567551</v>
      </c>
      <c r="CO70" s="34">
        <f>IFERROR(up_RadSpec!$J$20*(AC20*$B70),".")</f>
        <v>38001.159379567551</v>
      </c>
      <c r="CP70" s="34">
        <f>IFERROR(up_RadSpec!$J$20*(AC20*$B70),".")</f>
        <v>38001.159379567551</v>
      </c>
      <c r="CQ70" s="34">
        <f>IFERROR(up_RadSpec!$J$20*(AC20*$B70),".")</f>
        <v>38001.159379567551</v>
      </c>
      <c r="CR70" s="34">
        <f>IFERROR(up_RadSpec!$J$20*(AC20*$B70),".")</f>
        <v>38001.159379567551</v>
      </c>
      <c r="CS70" s="34">
        <f>IFERROR(up_RadSpec!$J$20*(AC20*$B70),".")</f>
        <v>38001.159379567551</v>
      </c>
      <c r="CT70" s="34">
        <f>IFERROR(up_RadSpec!$J$20*(AC20*$B70),".")</f>
        <v>38001.159379567551</v>
      </c>
      <c r="CU70" s="34">
        <f>IFERROR(up_RadSpec!$J$20*(AC20*$B70),".")</f>
        <v>38001.159379567551</v>
      </c>
      <c r="CV70" s="34">
        <f>IFERROR(up_RadSpec!$J$20*(AC20*$B70),".")</f>
        <v>38001.159379567551</v>
      </c>
      <c r="CW70" s="34">
        <f>IFERROR(up_RadSpec!$J$20*(AC20*$B70),".")</f>
        <v>38001.159379567551</v>
      </c>
      <c r="CX70" s="34">
        <f>IFERROR(up_RadSpec!$J$20*(AC20*$B70),".")</f>
        <v>38001.159379567551</v>
      </c>
    </row>
    <row r="71" spans="1:102" s="3" customFormat="1" x14ac:dyDescent="0.25">
      <c r="A71" s="55" t="s">
        <v>1080</v>
      </c>
      <c r="B71" s="3">
        <v>2.0999995799999999E-4</v>
      </c>
      <c r="C71" s="42">
        <f t="shared" si="83"/>
        <v>1.044026417442619</v>
      </c>
      <c r="D71" s="42">
        <f t="shared" ref="D71:AA71" si="94">IFERROR(D29/$B57,0)</f>
        <v>3.1320792523278569</v>
      </c>
      <c r="E71" s="42">
        <f t="shared" si="94"/>
        <v>3.1320792523278569</v>
      </c>
      <c r="F71" s="42">
        <f t="shared" si="94"/>
        <v>3.1320792523278569</v>
      </c>
      <c r="G71" s="42">
        <f t="shared" si="94"/>
        <v>3.1320792523278569</v>
      </c>
      <c r="H71" s="42">
        <f t="shared" si="94"/>
        <v>3.1320792523278569</v>
      </c>
      <c r="I71" s="42">
        <f t="shared" si="94"/>
        <v>3.1320792523278569</v>
      </c>
      <c r="J71" s="42">
        <f t="shared" si="94"/>
        <v>3.1320792523278569</v>
      </c>
      <c r="K71" s="42">
        <f t="shared" si="94"/>
        <v>3.1320792523278569</v>
      </c>
      <c r="L71" s="42">
        <f t="shared" si="94"/>
        <v>3.1320792523278569</v>
      </c>
      <c r="M71" s="42">
        <f t="shared" si="94"/>
        <v>3.1320792523278569</v>
      </c>
      <c r="N71" s="42">
        <f t="shared" si="94"/>
        <v>3.1320792523278569</v>
      </c>
      <c r="O71" s="42">
        <f t="shared" si="94"/>
        <v>3.1320792523278569</v>
      </c>
      <c r="P71" s="42">
        <f t="shared" si="94"/>
        <v>3.1320792523278569</v>
      </c>
      <c r="Q71" s="42">
        <f t="shared" si="94"/>
        <v>3.1320792523278569</v>
      </c>
      <c r="R71" s="42">
        <f t="shared" si="94"/>
        <v>3.1320792523278569</v>
      </c>
      <c r="S71" s="42">
        <f t="shared" si="94"/>
        <v>3.1320792523278569</v>
      </c>
      <c r="T71" s="42">
        <f t="shared" si="94"/>
        <v>3.1320792523278569</v>
      </c>
      <c r="U71" s="42">
        <f t="shared" si="94"/>
        <v>3.1320792523278569</v>
      </c>
      <c r="V71" s="42">
        <f t="shared" si="94"/>
        <v>3.1320792523278569</v>
      </c>
      <c r="W71" s="42">
        <f t="shared" si="94"/>
        <v>3.1320792523278569</v>
      </c>
      <c r="X71" s="42">
        <f t="shared" si="94"/>
        <v>3.1320792523278569</v>
      </c>
      <c r="Y71" s="42">
        <f t="shared" si="94"/>
        <v>3.1320792523278569</v>
      </c>
      <c r="Z71" s="42">
        <f t="shared" si="94"/>
        <v>3.1320792523278569</v>
      </c>
      <c r="AA71" s="42">
        <f t="shared" si="94"/>
        <v>3.1320792523278569</v>
      </c>
      <c r="AB71" s="34">
        <f t="shared" si="11"/>
        <v>23.945754228363704</v>
      </c>
      <c r="AC71" s="34">
        <f>IFERROR(up_RadSpec!$J$29*(AC29*$B71),".")</f>
        <v>7.9819180761212349</v>
      </c>
      <c r="AD71" s="34">
        <f>IFERROR(up_RadSpec!$J$29*(AC29*$B71),".")</f>
        <v>7.9819180761212349</v>
      </c>
      <c r="AE71" s="34">
        <f>IFERROR(up_RadSpec!$J$29*(AC29*$B71),".")</f>
        <v>7.9819180761212349</v>
      </c>
      <c r="AF71" s="34">
        <f>IFERROR(up_RadSpec!$J$29*(AC29*$B71),".")</f>
        <v>7.9819180761212349</v>
      </c>
      <c r="AG71" s="34">
        <f>IFERROR(up_RadSpec!$J$29*(AC29*$B71),".")</f>
        <v>7.9819180761212349</v>
      </c>
      <c r="AH71" s="34">
        <f>IFERROR(up_RadSpec!$J$29*(AC29*$B71),".")</f>
        <v>7.9819180761212349</v>
      </c>
      <c r="AI71" s="34">
        <f>IFERROR(up_RadSpec!$J$29*(AC29*$B71),".")</f>
        <v>7.9819180761212349</v>
      </c>
      <c r="AJ71" s="34">
        <f>IFERROR(up_RadSpec!$J$29*(AC29*$B71),".")</f>
        <v>7.9819180761212349</v>
      </c>
      <c r="AK71" s="34">
        <f>IFERROR(up_RadSpec!$J$29*(AC29*$B71),".")</f>
        <v>7.9819180761212349</v>
      </c>
      <c r="AL71" s="34">
        <f>IFERROR(up_RadSpec!$J$29*(AC29*$B71),".")</f>
        <v>7.9819180761212349</v>
      </c>
      <c r="AM71" s="34">
        <f>IFERROR(up_RadSpec!$J$29*(AC29*$B71),".")</f>
        <v>7.9819180761212349</v>
      </c>
      <c r="AN71" s="34">
        <f>IFERROR(up_RadSpec!$J$29*(AC29*$B71),".")</f>
        <v>7.9819180761212349</v>
      </c>
      <c r="AO71" s="34">
        <f>IFERROR(up_RadSpec!$J$29*(AC29*$B71),".")</f>
        <v>7.9819180761212349</v>
      </c>
      <c r="AP71" s="34">
        <f>IFERROR(up_RadSpec!$J$29*(AC29*$B71),".")</f>
        <v>7.9819180761212349</v>
      </c>
      <c r="AQ71" s="34">
        <f>IFERROR(up_RadSpec!$J$29*(AC29*$B71),".")</f>
        <v>7.9819180761212349</v>
      </c>
      <c r="AR71" s="34">
        <f>IFERROR(up_RadSpec!$J$29*(AC29*$B71),".")</f>
        <v>7.9819180761212349</v>
      </c>
      <c r="AS71" s="34">
        <f>IFERROR(up_RadSpec!$J$29*(AC29*$B71),".")</f>
        <v>7.9819180761212349</v>
      </c>
      <c r="AT71" s="34">
        <f>IFERROR(up_RadSpec!$J$29*(AC29*$B71),".")</f>
        <v>7.9819180761212349</v>
      </c>
      <c r="AU71" s="34">
        <f>IFERROR(up_RadSpec!$J$29*(AC29*$B71),".")</f>
        <v>7.9819180761212349</v>
      </c>
      <c r="AV71" s="34">
        <f>IFERROR(up_RadSpec!$J$29*(AC29*$B71),".")</f>
        <v>7.9819180761212349</v>
      </c>
      <c r="AW71" s="34">
        <f>IFERROR(up_RadSpec!$J$29*(AC29*$B71),".")</f>
        <v>7.9819180761212349</v>
      </c>
      <c r="AX71" s="34">
        <f>IFERROR(up_RadSpec!$J$29*(AC29*$B71),".")</f>
        <v>7.9819180761212349</v>
      </c>
      <c r="AY71" s="34">
        <f>IFERROR(up_RadSpec!$J$29*(AC29*$B71),".")</f>
        <v>7.9819180761212349</v>
      </c>
      <c r="AZ71" s="34">
        <f>IFERROR(up_RadSpec!$J$29*(AC29*$B71),".")</f>
        <v>7.9819180761212349</v>
      </c>
      <c r="BA71" s="42">
        <f t="shared" si="85"/>
        <v>1.044026417442619</v>
      </c>
      <c r="BB71" s="42">
        <f t="shared" ref="BB71:BY71" si="95">IFERROR(BB29/$B57,0)</f>
        <v>3.1320792523278569</v>
      </c>
      <c r="BC71" s="42">
        <f t="shared" si="95"/>
        <v>3.1320792523278569</v>
      </c>
      <c r="BD71" s="42">
        <f t="shared" si="95"/>
        <v>3.1320792523278569</v>
      </c>
      <c r="BE71" s="42">
        <f t="shared" si="95"/>
        <v>3.1320792523278569</v>
      </c>
      <c r="BF71" s="42">
        <f t="shared" si="95"/>
        <v>3.1320792523278569</v>
      </c>
      <c r="BG71" s="42">
        <f t="shared" si="95"/>
        <v>3.1320792523278569</v>
      </c>
      <c r="BH71" s="42">
        <f t="shared" si="95"/>
        <v>3.1320792523278569</v>
      </c>
      <c r="BI71" s="42">
        <f t="shared" si="95"/>
        <v>3.1320792523278569</v>
      </c>
      <c r="BJ71" s="42">
        <f t="shared" si="95"/>
        <v>3.1320792523278569</v>
      </c>
      <c r="BK71" s="42">
        <f t="shared" si="95"/>
        <v>3.1320792523278569</v>
      </c>
      <c r="BL71" s="42">
        <f t="shared" si="95"/>
        <v>3.1320792523278569</v>
      </c>
      <c r="BM71" s="42">
        <f t="shared" si="95"/>
        <v>3.1320792523278569</v>
      </c>
      <c r="BN71" s="42">
        <f t="shared" si="95"/>
        <v>3.1320792523278569</v>
      </c>
      <c r="BO71" s="42">
        <f t="shared" si="95"/>
        <v>3.1320792523278569</v>
      </c>
      <c r="BP71" s="42">
        <f t="shared" si="95"/>
        <v>3.1320792523278569</v>
      </c>
      <c r="BQ71" s="42">
        <f t="shared" si="95"/>
        <v>3.1320792523278569</v>
      </c>
      <c r="BR71" s="42">
        <f t="shared" si="95"/>
        <v>3.1320792523278569</v>
      </c>
      <c r="BS71" s="42">
        <f t="shared" si="95"/>
        <v>3.1320792523278569</v>
      </c>
      <c r="BT71" s="42">
        <f t="shared" si="95"/>
        <v>3.1320792523278569</v>
      </c>
      <c r="BU71" s="42">
        <f t="shared" si="95"/>
        <v>3.1320792523278569</v>
      </c>
      <c r="BV71" s="42">
        <f t="shared" si="95"/>
        <v>3.1320792523278569</v>
      </c>
      <c r="BW71" s="42">
        <f t="shared" si="95"/>
        <v>3.1320792523278569</v>
      </c>
      <c r="BX71" s="42">
        <f t="shared" si="95"/>
        <v>3.1320792523278569</v>
      </c>
      <c r="BY71" s="42">
        <f t="shared" si="95"/>
        <v>3.1320792523278569</v>
      </c>
      <c r="BZ71" s="34">
        <f t="shared" si="87"/>
        <v>23.945754228363704</v>
      </c>
      <c r="CA71" s="34">
        <f>IFERROR(up_RadSpec!$J$29*(AC29*$B71),".")</f>
        <v>7.9819180761212349</v>
      </c>
      <c r="CB71" s="34">
        <f>IFERROR(up_RadSpec!$J$29*(AC29*$B71),".")</f>
        <v>7.9819180761212349</v>
      </c>
      <c r="CC71" s="34">
        <f>IFERROR(up_RadSpec!$J$29*(AC29*$B71),".")</f>
        <v>7.9819180761212349</v>
      </c>
      <c r="CD71" s="34">
        <f>IFERROR(up_RadSpec!$J$29*(AC29*$B71),".")</f>
        <v>7.9819180761212349</v>
      </c>
      <c r="CE71" s="34">
        <f>IFERROR(up_RadSpec!$J$29*(AC29*$B71),".")</f>
        <v>7.9819180761212349</v>
      </c>
      <c r="CF71" s="34">
        <f>IFERROR(up_RadSpec!$J$29*(AC29*$B71),".")</f>
        <v>7.9819180761212349</v>
      </c>
      <c r="CG71" s="34">
        <f>IFERROR(up_RadSpec!$J$29*(AC29*$B71),".")</f>
        <v>7.9819180761212349</v>
      </c>
      <c r="CH71" s="34">
        <f>IFERROR(up_RadSpec!$J$29*(AC29*$B71),".")</f>
        <v>7.9819180761212349</v>
      </c>
      <c r="CI71" s="34">
        <f>IFERROR(up_RadSpec!$J$29*(AC29*$B71),".")</f>
        <v>7.9819180761212349</v>
      </c>
      <c r="CJ71" s="34">
        <f>IFERROR(up_RadSpec!$J$29*(AC29*$B71),".")</f>
        <v>7.9819180761212349</v>
      </c>
      <c r="CK71" s="34">
        <f>IFERROR(up_RadSpec!$J$29*(AC29*$B71),".")</f>
        <v>7.9819180761212349</v>
      </c>
      <c r="CL71" s="34">
        <f>IFERROR(up_RadSpec!$J$29*(AC29*$B71),".")</f>
        <v>7.9819180761212349</v>
      </c>
      <c r="CM71" s="34">
        <f>IFERROR(up_RadSpec!$J$29*(AC29*$B71),".")</f>
        <v>7.9819180761212349</v>
      </c>
      <c r="CN71" s="34">
        <f>IFERROR(up_RadSpec!$J$29*(AC29*$B71),".")</f>
        <v>7.9819180761212349</v>
      </c>
      <c r="CO71" s="34">
        <f>IFERROR(up_RadSpec!$J$29*(AC29*$B71),".")</f>
        <v>7.9819180761212349</v>
      </c>
      <c r="CP71" s="34">
        <f>IFERROR(up_RadSpec!$J$29*(AC29*$B71),".")</f>
        <v>7.9819180761212349</v>
      </c>
      <c r="CQ71" s="34">
        <f>IFERROR(up_RadSpec!$J$29*(AC29*$B71),".")</f>
        <v>7.9819180761212349</v>
      </c>
      <c r="CR71" s="34">
        <f>IFERROR(up_RadSpec!$J$29*(AC29*$B71),".")</f>
        <v>7.9819180761212349</v>
      </c>
      <c r="CS71" s="34">
        <f>IFERROR(up_RadSpec!$J$29*(AC29*$B71),".")</f>
        <v>7.9819180761212349</v>
      </c>
      <c r="CT71" s="34">
        <f>IFERROR(up_RadSpec!$J$29*(AC29*$B71),".")</f>
        <v>7.9819180761212349</v>
      </c>
      <c r="CU71" s="34">
        <f>IFERROR(up_RadSpec!$J$29*(AC29*$B71),".")</f>
        <v>7.9819180761212349</v>
      </c>
      <c r="CV71" s="34">
        <f>IFERROR(up_RadSpec!$J$29*(AC29*$B71),".")</f>
        <v>7.9819180761212349</v>
      </c>
      <c r="CW71" s="34">
        <f>IFERROR(up_RadSpec!$J$29*(AC29*$B71),".")</f>
        <v>7.9819180761212349</v>
      </c>
      <c r="CX71" s="34">
        <f>IFERROR(up_RadSpec!$J$29*(AC29*$B71),".")</f>
        <v>7.9819180761212349</v>
      </c>
    </row>
    <row r="72" spans="1:102" s="3" customFormat="1" x14ac:dyDescent="0.25">
      <c r="A72" s="55" t="s">
        <v>1081</v>
      </c>
      <c r="B72" s="3">
        <v>1</v>
      </c>
      <c r="C72" s="42">
        <f t="shared" si="83"/>
        <v>2.1924550381384044E-4</v>
      </c>
      <c r="D72" s="42">
        <f t="shared" ref="D72:AA72" si="96">IFERROR(D16/$B58,0)</f>
        <v>6.5773651144152131E-4</v>
      </c>
      <c r="E72" s="42">
        <f t="shared" si="96"/>
        <v>6.5773651144152131E-4</v>
      </c>
      <c r="F72" s="42">
        <f t="shared" si="96"/>
        <v>6.5773651144152131E-4</v>
      </c>
      <c r="G72" s="42">
        <f t="shared" si="96"/>
        <v>6.5773651144152131E-4</v>
      </c>
      <c r="H72" s="42">
        <f t="shared" si="96"/>
        <v>6.5773651144152131E-4</v>
      </c>
      <c r="I72" s="42">
        <f t="shared" si="96"/>
        <v>6.5773651144152131E-4</v>
      </c>
      <c r="J72" s="42">
        <f t="shared" si="96"/>
        <v>6.5773651144152131E-4</v>
      </c>
      <c r="K72" s="42">
        <f t="shared" si="96"/>
        <v>6.5773651144152131E-4</v>
      </c>
      <c r="L72" s="42">
        <f t="shared" si="96"/>
        <v>6.5773651144152131E-4</v>
      </c>
      <c r="M72" s="42">
        <f t="shared" si="96"/>
        <v>6.5773651144152131E-4</v>
      </c>
      <c r="N72" s="42">
        <f t="shared" si="96"/>
        <v>6.5773651144152131E-4</v>
      </c>
      <c r="O72" s="42">
        <f t="shared" si="96"/>
        <v>6.5773651144152131E-4</v>
      </c>
      <c r="P72" s="42">
        <f t="shared" si="96"/>
        <v>6.5773651144152131E-4</v>
      </c>
      <c r="Q72" s="42">
        <f t="shared" si="96"/>
        <v>6.5773651144152131E-4</v>
      </c>
      <c r="R72" s="42">
        <f t="shared" si="96"/>
        <v>6.5773651144152131E-4</v>
      </c>
      <c r="S72" s="42">
        <f t="shared" si="96"/>
        <v>6.5773651144152131E-4</v>
      </c>
      <c r="T72" s="42">
        <f t="shared" si="96"/>
        <v>6.5773651144152131E-4</v>
      </c>
      <c r="U72" s="42">
        <f t="shared" si="96"/>
        <v>6.5773651144152131E-4</v>
      </c>
      <c r="V72" s="42">
        <f t="shared" si="96"/>
        <v>6.5773651144152131E-4</v>
      </c>
      <c r="W72" s="42">
        <f t="shared" si="96"/>
        <v>6.5773651144152131E-4</v>
      </c>
      <c r="X72" s="42">
        <f t="shared" si="96"/>
        <v>6.5773651144152131E-4</v>
      </c>
      <c r="Y72" s="42">
        <f t="shared" si="96"/>
        <v>6.5773651144152131E-4</v>
      </c>
      <c r="Z72" s="42">
        <f t="shared" si="96"/>
        <v>6.5773651144152131E-4</v>
      </c>
      <c r="AA72" s="42">
        <f t="shared" si="96"/>
        <v>6.5773651144152131E-4</v>
      </c>
      <c r="AB72" s="34">
        <f t="shared" si="11"/>
        <v>114027.42389293101</v>
      </c>
      <c r="AC72" s="34">
        <f>IFERROR(up_RadSpec!$J$16*(AC16*$B72),".")</f>
        <v>38009.14129764367</v>
      </c>
      <c r="AD72" s="34">
        <f>IFERROR(up_RadSpec!$J$16*(AC16*$B72),".")</f>
        <v>38009.14129764367</v>
      </c>
      <c r="AE72" s="34">
        <f>IFERROR(up_RadSpec!$J$16*(AC16*$B72),".")</f>
        <v>38009.14129764367</v>
      </c>
      <c r="AF72" s="34">
        <f>IFERROR(up_RadSpec!$J$16*(AC16*$B72),".")</f>
        <v>38009.14129764367</v>
      </c>
      <c r="AG72" s="34">
        <f>IFERROR(up_RadSpec!$J$16*(AC16*$B72),".")</f>
        <v>38009.14129764367</v>
      </c>
      <c r="AH72" s="34">
        <f>IFERROR(up_RadSpec!$J$16*(AC16*$B72),".")</f>
        <v>38009.14129764367</v>
      </c>
      <c r="AI72" s="34">
        <f>IFERROR(up_RadSpec!$J$16*(AC16*$B72),".")</f>
        <v>38009.14129764367</v>
      </c>
      <c r="AJ72" s="34">
        <f>IFERROR(up_RadSpec!$J$16*(AC16*$B72),".")</f>
        <v>38009.14129764367</v>
      </c>
      <c r="AK72" s="34">
        <f>IFERROR(up_RadSpec!$J$16*(AC16*$B72),".")</f>
        <v>38009.14129764367</v>
      </c>
      <c r="AL72" s="34">
        <f>IFERROR(up_RadSpec!$J$16*(AC16*$B72),".")</f>
        <v>38009.14129764367</v>
      </c>
      <c r="AM72" s="34">
        <f>IFERROR(up_RadSpec!$J$16*(AC16*$B72),".")</f>
        <v>38009.14129764367</v>
      </c>
      <c r="AN72" s="34">
        <f>IFERROR(up_RadSpec!$J$16*(AC16*$B72),".")</f>
        <v>38009.14129764367</v>
      </c>
      <c r="AO72" s="34">
        <f>IFERROR(up_RadSpec!$J$16*(AC16*$B72),".")</f>
        <v>38009.14129764367</v>
      </c>
      <c r="AP72" s="34">
        <f>IFERROR(up_RadSpec!$J$16*(AC16*$B72),".")</f>
        <v>38009.14129764367</v>
      </c>
      <c r="AQ72" s="34">
        <f>IFERROR(up_RadSpec!$J$16*(AC16*$B72),".")</f>
        <v>38009.14129764367</v>
      </c>
      <c r="AR72" s="34">
        <f>IFERROR(up_RadSpec!$J$16*(AC16*$B72),".")</f>
        <v>38009.14129764367</v>
      </c>
      <c r="AS72" s="34">
        <f>IFERROR(up_RadSpec!$J$16*(AC16*$B72),".")</f>
        <v>38009.14129764367</v>
      </c>
      <c r="AT72" s="34">
        <f>IFERROR(up_RadSpec!$J$16*(AC16*$B72),".")</f>
        <v>38009.14129764367</v>
      </c>
      <c r="AU72" s="34">
        <f>IFERROR(up_RadSpec!$J$16*(AC16*$B72),".")</f>
        <v>38009.14129764367</v>
      </c>
      <c r="AV72" s="34">
        <f>IFERROR(up_RadSpec!$J$16*(AC16*$B72),".")</f>
        <v>38009.14129764367</v>
      </c>
      <c r="AW72" s="34">
        <f>IFERROR(up_RadSpec!$J$16*(AC16*$B72),".")</f>
        <v>38009.14129764367</v>
      </c>
      <c r="AX72" s="34">
        <f>IFERROR(up_RadSpec!$J$16*(AC16*$B72),".")</f>
        <v>38009.14129764367</v>
      </c>
      <c r="AY72" s="34">
        <f>IFERROR(up_RadSpec!$J$16*(AC16*$B72),".")</f>
        <v>38009.14129764367</v>
      </c>
      <c r="AZ72" s="34">
        <f>IFERROR(up_RadSpec!$J$16*(AC16*$B72),".")</f>
        <v>38009.14129764367</v>
      </c>
      <c r="BA72" s="42">
        <f t="shared" si="85"/>
        <v>2.1924550381384044E-4</v>
      </c>
      <c r="BB72" s="42">
        <f t="shared" ref="BB72:BY72" si="97">IFERROR(BB16/$B58,0)</f>
        <v>6.5773651144152131E-4</v>
      </c>
      <c r="BC72" s="42">
        <f t="shared" si="97"/>
        <v>6.5773651144152131E-4</v>
      </c>
      <c r="BD72" s="42">
        <f t="shared" si="97"/>
        <v>6.5773651144152131E-4</v>
      </c>
      <c r="BE72" s="42">
        <f t="shared" si="97"/>
        <v>6.5773651144152131E-4</v>
      </c>
      <c r="BF72" s="42">
        <f t="shared" si="97"/>
        <v>6.5773651144152131E-4</v>
      </c>
      <c r="BG72" s="42">
        <f t="shared" si="97"/>
        <v>6.5773651144152131E-4</v>
      </c>
      <c r="BH72" s="42">
        <f t="shared" si="97"/>
        <v>6.5773651144152131E-4</v>
      </c>
      <c r="BI72" s="42">
        <f t="shared" si="97"/>
        <v>6.5773651144152131E-4</v>
      </c>
      <c r="BJ72" s="42">
        <f t="shared" si="97"/>
        <v>6.5773651144152131E-4</v>
      </c>
      <c r="BK72" s="42">
        <f t="shared" si="97"/>
        <v>6.5773651144152131E-4</v>
      </c>
      <c r="BL72" s="42">
        <f t="shared" si="97"/>
        <v>6.5773651144152131E-4</v>
      </c>
      <c r="BM72" s="42">
        <f t="shared" si="97"/>
        <v>6.5773651144152131E-4</v>
      </c>
      <c r="BN72" s="42">
        <f t="shared" si="97"/>
        <v>6.5773651144152131E-4</v>
      </c>
      <c r="BO72" s="42">
        <f t="shared" si="97"/>
        <v>6.5773651144152131E-4</v>
      </c>
      <c r="BP72" s="42">
        <f t="shared" si="97"/>
        <v>6.5773651144152131E-4</v>
      </c>
      <c r="BQ72" s="42">
        <f t="shared" si="97"/>
        <v>6.5773651144152131E-4</v>
      </c>
      <c r="BR72" s="42">
        <f t="shared" si="97"/>
        <v>6.5773651144152131E-4</v>
      </c>
      <c r="BS72" s="42">
        <f t="shared" si="97"/>
        <v>6.5773651144152131E-4</v>
      </c>
      <c r="BT72" s="42">
        <f t="shared" si="97"/>
        <v>6.5773651144152131E-4</v>
      </c>
      <c r="BU72" s="42">
        <f t="shared" si="97"/>
        <v>6.5773651144152131E-4</v>
      </c>
      <c r="BV72" s="42">
        <f t="shared" si="97"/>
        <v>6.5773651144152131E-4</v>
      </c>
      <c r="BW72" s="42">
        <f t="shared" si="97"/>
        <v>6.5773651144152131E-4</v>
      </c>
      <c r="BX72" s="42">
        <f t="shared" si="97"/>
        <v>6.5773651144152131E-4</v>
      </c>
      <c r="BY72" s="42">
        <f t="shared" si="97"/>
        <v>6.5773651144152131E-4</v>
      </c>
      <c r="BZ72" s="34">
        <f t="shared" si="87"/>
        <v>114027.42389293101</v>
      </c>
      <c r="CA72" s="34">
        <f>IFERROR(up_RadSpec!$J$16*(AC16*$B72),".")</f>
        <v>38009.14129764367</v>
      </c>
      <c r="CB72" s="34">
        <f>IFERROR(up_RadSpec!$J$16*(AC16*$B72),".")</f>
        <v>38009.14129764367</v>
      </c>
      <c r="CC72" s="34">
        <f>IFERROR(up_RadSpec!$J$16*(AC16*$B72),".")</f>
        <v>38009.14129764367</v>
      </c>
      <c r="CD72" s="34">
        <f>IFERROR(up_RadSpec!$J$16*(AC16*$B72),".")</f>
        <v>38009.14129764367</v>
      </c>
      <c r="CE72" s="34">
        <f>IFERROR(up_RadSpec!$J$16*(AC16*$B72),".")</f>
        <v>38009.14129764367</v>
      </c>
      <c r="CF72" s="34">
        <f>IFERROR(up_RadSpec!$J$16*(AC16*$B72),".")</f>
        <v>38009.14129764367</v>
      </c>
      <c r="CG72" s="34">
        <f>IFERROR(up_RadSpec!$J$16*(AC16*$B72),".")</f>
        <v>38009.14129764367</v>
      </c>
      <c r="CH72" s="34">
        <f>IFERROR(up_RadSpec!$J$16*(AC16*$B72),".")</f>
        <v>38009.14129764367</v>
      </c>
      <c r="CI72" s="34">
        <f>IFERROR(up_RadSpec!$J$16*(AC16*$B72),".")</f>
        <v>38009.14129764367</v>
      </c>
      <c r="CJ72" s="34">
        <f>IFERROR(up_RadSpec!$J$16*(AC16*$B72),".")</f>
        <v>38009.14129764367</v>
      </c>
      <c r="CK72" s="34">
        <f>IFERROR(up_RadSpec!$J$16*(AC16*$B72),".")</f>
        <v>38009.14129764367</v>
      </c>
      <c r="CL72" s="34">
        <f>IFERROR(up_RadSpec!$J$16*(AC16*$B72),".")</f>
        <v>38009.14129764367</v>
      </c>
      <c r="CM72" s="34">
        <f>IFERROR(up_RadSpec!$J$16*(AC16*$B72),".")</f>
        <v>38009.14129764367</v>
      </c>
      <c r="CN72" s="34">
        <f>IFERROR(up_RadSpec!$J$16*(AC16*$B72),".")</f>
        <v>38009.14129764367</v>
      </c>
      <c r="CO72" s="34">
        <f>IFERROR(up_RadSpec!$J$16*(AC16*$B72),".")</f>
        <v>38009.14129764367</v>
      </c>
      <c r="CP72" s="34">
        <f>IFERROR(up_RadSpec!$J$16*(AC16*$B72),".")</f>
        <v>38009.14129764367</v>
      </c>
      <c r="CQ72" s="34">
        <f>IFERROR(up_RadSpec!$J$16*(AC16*$B72),".")</f>
        <v>38009.14129764367</v>
      </c>
      <c r="CR72" s="34">
        <f>IFERROR(up_RadSpec!$J$16*(AC16*$B72),".")</f>
        <v>38009.14129764367</v>
      </c>
      <c r="CS72" s="34">
        <f>IFERROR(up_RadSpec!$J$16*(AC16*$B72),".")</f>
        <v>38009.14129764367</v>
      </c>
      <c r="CT72" s="34">
        <f>IFERROR(up_RadSpec!$J$16*(AC16*$B72),".")</f>
        <v>38009.14129764367</v>
      </c>
      <c r="CU72" s="34">
        <f>IFERROR(up_RadSpec!$J$16*(AC16*$B72),".")</f>
        <v>38009.14129764367</v>
      </c>
      <c r="CV72" s="34">
        <f>IFERROR(up_RadSpec!$J$16*(AC16*$B72),".")</f>
        <v>38009.14129764367</v>
      </c>
      <c r="CW72" s="34">
        <f>IFERROR(up_RadSpec!$J$16*(AC16*$B72),".")</f>
        <v>38009.14129764367</v>
      </c>
      <c r="CX72" s="34">
        <f>IFERROR(up_RadSpec!$J$16*(AC16*$B72),".")</f>
        <v>38009.14129764367</v>
      </c>
    </row>
    <row r="73" spans="1:102" s="3" customFormat="1" x14ac:dyDescent="0.25">
      <c r="A73" s="55" t="s">
        <v>1082</v>
      </c>
      <c r="B73" s="3">
        <v>1</v>
      </c>
      <c r="C73" s="42">
        <f t="shared" si="83"/>
        <v>2.1924550381384044E-4</v>
      </c>
      <c r="D73" s="42">
        <f t="shared" ref="D73:AA73" si="98">IFERROR(D7/$B59,0)</f>
        <v>6.5773651144152131E-4</v>
      </c>
      <c r="E73" s="42">
        <f t="shared" si="98"/>
        <v>6.5773651144152131E-4</v>
      </c>
      <c r="F73" s="42">
        <f t="shared" si="98"/>
        <v>6.5773651144152131E-4</v>
      </c>
      <c r="G73" s="42">
        <f t="shared" si="98"/>
        <v>6.5773651144152131E-4</v>
      </c>
      <c r="H73" s="42">
        <f t="shared" si="98"/>
        <v>6.5773651144152131E-4</v>
      </c>
      <c r="I73" s="42">
        <f t="shared" si="98"/>
        <v>6.5773651144152131E-4</v>
      </c>
      <c r="J73" s="42">
        <f t="shared" si="98"/>
        <v>6.5773651144152131E-4</v>
      </c>
      <c r="K73" s="42">
        <f t="shared" si="98"/>
        <v>6.5773651144152131E-4</v>
      </c>
      <c r="L73" s="42">
        <f t="shared" si="98"/>
        <v>6.5773651144152131E-4</v>
      </c>
      <c r="M73" s="42">
        <f t="shared" si="98"/>
        <v>6.5773651144152131E-4</v>
      </c>
      <c r="N73" s="42">
        <f t="shared" si="98"/>
        <v>6.5773651144152131E-4</v>
      </c>
      <c r="O73" s="42">
        <f t="shared" si="98"/>
        <v>6.5773651144152131E-4</v>
      </c>
      <c r="P73" s="42">
        <f t="shared" si="98"/>
        <v>6.5773651144152131E-4</v>
      </c>
      <c r="Q73" s="42">
        <f t="shared" si="98"/>
        <v>6.5773651144152131E-4</v>
      </c>
      <c r="R73" s="42">
        <f t="shared" si="98"/>
        <v>6.5773651144152131E-4</v>
      </c>
      <c r="S73" s="42">
        <f t="shared" si="98"/>
        <v>6.5773651144152131E-4</v>
      </c>
      <c r="T73" s="42">
        <f t="shared" si="98"/>
        <v>6.5773651144152131E-4</v>
      </c>
      <c r="U73" s="42">
        <f t="shared" si="98"/>
        <v>6.5773651144152131E-4</v>
      </c>
      <c r="V73" s="42">
        <f t="shared" si="98"/>
        <v>6.5773651144152131E-4</v>
      </c>
      <c r="W73" s="42">
        <f t="shared" si="98"/>
        <v>6.5773651144152131E-4</v>
      </c>
      <c r="X73" s="42">
        <f t="shared" si="98"/>
        <v>6.5773651144152131E-4</v>
      </c>
      <c r="Y73" s="42">
        <f t="shared" si="98"/>
        <v>6.5773651144152131E-4</v>
      </c>
      <c r="Z73" s="42">
        <f t="shared" si="98"/>
        <v>6.5773651144152131E-4</v>
      </c>
      <c r="AA73" s="42">
        <f t="shared" si="98"/>
        <v>6.5773651144152131E-4</v>
      </c>
      <c r="AB73" s="34">
        <f t="shared" si="11"/>
        <v>114027.42389293101</v>
      </c>
      <c r="AC73" s="34">
        <f>IFERROR(up_RadSpec!$J$7*(AC7*$B73),".")</f>
        <v>38009.14129764367</v>
      </c>
      <c r="AD73" s="34">
        <f>IFERROR(up_RadSpec!$J$7*(AC7*$B73),".")</f>
        <v>38009.14129764367</v>
      </c>
      <c r="AE73" s="34">
        <f>IFERROR(up_RadSpec!$J$7*(AC7*$B73),".")</f>
        <v>38009.14129764367</v>
      </c>
      <c r="AF73" s="34">
        <f>IFERROR(up_RadSpec!$J$7*(AC7*$B73),".")</f>
        <v>38009.14129764367</v>
      </c>
      <c r="AG73" s="34">
        <f>IFERROR(up_RadSpec!$J$7*(AC7*$B73),".")</f>
        <v>38009.14129764367</v>
      </c>
      <c r="AH73" s="34">
        <f>IFERROR(up_RadSpec!$J$7*(AC7*$B73),".")</f>
        <v>38009.14129764367</v>
      </c>
      <c r="AI73" s="34">
        <f>IFERROR(up_RadSpec!$J$7*(AC7*$B73),".")</f>
        <v>38009.14129764367</v>
      </c>
      <c r="AJ73" s="34">
        <f>IFERROR(up_RadSpec!$J$7*(AC7*$B73),".")</f>
        <v>38009.14129764367</v>
      </c>
      <c r="AK73" s="34">
        <f>IFERROR(up_RadSpec!$J$7*(AC7*$B73),".")</f>
        <v>38009.14129764367</v>
      </c>
      <c r="AL73" s="34">
        <f>IFERROR(up_RadSpec!$J$7*(AC7*$B73),".")</f>
        <v>38009.14129764367</v>
      </c>
      <c r="AM73" s="34">
        <f>IFERROR(up_RadSpec!$J$7*(AC7*$B73),".")</f>
        <v>38009.14129764367</v>
      </c>
      <c r="AN73" s="34">
        <f>IFERROR(up_RadSpec!$J$7*(AC7*$B73),".")</f>
        <v>38009.14129764367</v>
      </c>
      <c r="AO73" s="34">
        <f>IFERROR(up_RadSpec!$J$7*(AC7*$B73),".")</f>
        <v>38009.14129764367</v>
      </c>
      <c r="AP73" s="34">
        <f>IFERROR(up_RadSpec!$J$7*(AC7*$B73),".")</f>
        <v>38009.14129764367</v>
      </c>
      <c r="AQ73" s="34">
        <f>IFERROR(up_RadSpec!$J$7*(AC7*$B73),".")</f>
        <v>38009.14129764367</v>
      </c>
      <c r="AR73" s="34">
        <f>IFERROR(up_RadSpec!$J$7*(AC7*$B73),".")</f>
        <v>38009.14129764367</v>
      </c>
      <c r="AS73" s="34">
        <f>IFERROR(up_RadSpec!$J$7*(AC7*$B73),".")</f>
        <v>38009.14129764367</v>
      </c>
      <c r="AT73" s="34">
        <f>IFERROR(up_RadSpec!$J$7*(AC7*$B73),".")</f>
        <v>38009.14129764367</v>
      </c>
      <c r="AU73" s="34">
        <f>IFERROR(up_RadSpec!$J$7*(AC7*$B73),".")</f>
        <v>38009.14129764367</v>
      </c>
      <c r="AV73" s="34">
        <f>IFERROR(up_RadSpec!$J$7*(AC7*$B73),".")</f>
        <v>38009.14129764367</v>
      </c>
      <c r="AW73" s="34">
        <f>IFERROR(up_RadSpec!$J$7*(AC7*$B73),".")</f>
        <v>38009.14129764367</v>
      </c>
      <c r="AX73" s="34">
        <f>IFERROR(up_RadSpec!$J$7*(AC7*$B73),".")</f>
        <v>38009.14129764367</v>
      </c>
      <c r="AY73" s="34">
        <f>IFERROR(up_RadSpec!$J$7*(AC7*$B73),".")</f>
        <v>38009.14129764367</v>
      </c>
      <c r="AZ73" s="34">
        <f>IFERROR(up_RadSpec!$J$7*(AC7*$B73),".")</f>
        <v>38009.14129764367</v>
      </c>
      <c r="BA73" s="42">
        <f t="shared" si="85"/>
        <v>2.1924550381384044E-4</v>
      </c>
      <c r="BB73" s="42">
        <f t="shared" ref="BB73:BY73" si="99">IFERROR(BB7/$B59,0)</f>
        <v>6.5773651144152131E-4</v>
      </c>
      <c r="BC73" s="42">
        <f t="shared" si="99"/>
        <v>6.5773651144152131E-4</v>
      </c>
      <c r="BD73" s="42">
        <f t="shared" si="99"/>
        <v>6.5773651144152131E-4</v>
      </c>
      <c r="BE73" s="42">
        <f t="shared" si="99"/>
        <v>6.5773651144152131E-4</v>
      </c>
      <c r="BF73" s="42">
        <f t="shared" si="99"/>
        <v>6.5773651144152131E-4</v>
      </c>
      <c r="BG73" s="42">
        <f t="shared" si="99"/>
        <v>6.5773651144152131E-4</v>
      </c>
      <c r="BH73" s="42">
        <f t="shared" si="99"/>
        <v>6.5773651144152131E-4</v>
      </c>
      <c r="BI73" s="42">
        <f t="shared" si="99"/>
        <v>6.5773651144152131E-4</v>
      </c>
      <c r="BJ73" s="42">
        <f t="shared" si="99"/>
        <v>6.5773651144152131E-4</v>
      </c>
      <c r="BK73" s="42">
        <f t="shared" si="99"/>
        <v>6.5773651144152131E-4</v>
      </c>
      <c r="BL73" s="42">
        <f t="shared" si="99"/>
        <v>6.5773651144152131E-4</v>
      </c>
      <c r="BM73" s="42">
        <f t="shared" si="99"/>
        <v>6.5773651144152131E-4</v>
      </c>
      <c r="BN73" s="42">
        <f t="shared" si="99"/>
        <v>6.5773651144152131E-4</v>
      </c>
      <c r="BO73" s="42">
        <f t="shared" si="99"/>
        <v>6.5773651144152131E-4</v>
      </c>
      <c r="BP73" s="42">
        <f t="shared" si="99"/>
        <v>6.5773651144152131E-4</v>
      </c>
      <c r="BQ73" s="42">
        <f t="shared" si="99"/>
        <v>6.5773651144152131E-4</v>
      </c>
      <c r="BR73" s="42">
        <f t="shared" si="99"/>
        <v>6.5773651144152131E-4</v>
      </c>
      <c r="BS73" s="42">
        <f t="shared" si="99"/>
        <v>6.5773651144152131E-4</v>
      </c>
      <c r="BT73" s="42">
        <f t="shared" si="99"/>
        <v>6.5773651144152131E-4</v>
      </c>
      <c r="BU73" s="42">
        <f t="shared" si="99"/>
        <v>6.5773651144152131E-4</v>
      </c>
      <c r="BV73" s="42">
        <f t="shared" si="99"/>
        <v>6.5773651144152131E-4</v>
      </c>
      <c r="BW73" s="42">
        <f t="shared" si="99"/>
        <v>6.5773651144152131E-4</v>
      </c>
      <c r="BX73" s="42">
        <f t="shared" si="99"/>
        <v>6.5773651144152131E-4</v>
      </c>
      <c r="BY73" s="42">
        <f t="shared" si="99"/>
        <v>6.5773651144152131E-4</v>
      </c>
      <c r="BZ73" s="34">
        <f t="shared" si="87"/>
        <v>114027.42389293101</v>
      </c>
      <c r="CA73" s="34">
        <f>IFERROR(up_RadSpec!$J$7*(AC7*$B73),".")</f>
        <v>38009.14129764367</v>
      </c>
      <c r="CB73" s="34">
        <f>IFERROR(up_RadSpec!$J$7*(AC7*$B73),".")</f>
        <v>38009.14129764367</v>
      </c>
      <c r="CC73" s="34">
        <f>IFERROR(up_RadSpec!$J$7*(AC7*$B73),".")</f>
        <v>38009.14129764367</v>
      </c>
      <c r="CD73" s="34">
        <f>IFERROR(up_RadSpec!$J$7*(AC7*$B73),".")</f>
        <v>38009.14129764367</v>
      </c>
      <c r="CE73" s="34">
        <f>IFERROR(up_RadSpec!$J$7*(AC7*$B73),".")</f>
        <v>38009.14129764367</v>
      </c>
      <c r="CF73" s="34">
        <f>IFERROR(up_RadSpec!$J$7*(AC7*$B73),".")</f>
        <v>38009.14129764367</v>
      </c>
      <c r="CG73" s="34">
        <f>IFERROR(up_RadSpec!$J$7*(AC7*$B73),".")</f>
        <v>38009.14129764367</v>
      </c>
      <c r="CH73" s="34">
        <f>IFERROR(up_RadSpec!$J$7*(AC7*$B73),".")</f>
        <v>38009.14129764367</v>
      </c>
      <c r="CI73" s="34">
        <f>IFERROR(up_RadSpec!$J$7*(AC7*$B73),".")</f>
        <v>38009.14129764367</v>
      </c>
      <c r="CJ73" s="34">
        <f>IFERROR(up_RadSpec!$J$7*(AC7*$B73),".")</f>
        <v>38009.14129764367</v>
      </c>
      <c r="CK73" s="34">
        <f>IFERROR(up_RadSpec!$J$7*(AC7*$B73),".")</f>
        <v>38009.14129764367</v>
      </c>
      <c r="CL73" s="34">
        <f>IFERROR(up_RadSpec!$J$7*(AC7*$B73),".")</f>
        <v>38009.14129764367</v>
      </c>
      <c r="CM73" s="34">
        <f>IFERROR(up_RadSpec!$J$7*(AC7*$B73),".")</f>
        <v>38009.14129764367</v>
      </c>
      <c r="CN73" s="34">
        <f>IFERROR(up_RadSpec!$J$7*(AC7*$B73),".")</f>
        <v>38009.14129764367</v>
      </c>
      <c r="CO73" s="34">
        <f>IFERROR(up_RadSpec!$J$7*(AC7*$B73),".")</f>
        <v>38009.14129764367</v>
      </c>
      <c r="CP73" s="34">
        <f>IFERROR(up_RadSpec!$J$7*(AC7*$B73),".")</f>
        <v>38009.14129764367</v>
      </c>
      <c r="CQ73" s="34">
        <f>IFERROR(up_RadSpec!$J$7*(AC7*$B73),".")</f>
        <v>38009.14129764367</v>
      </c>
      <c r="CR73" s="34">
        <f>IFERROR(up_RadSpec!$J$7*(AC7*$B73),".")</f>
        <v>38009.14129764367</v>
      </c>
      <c r="CS73" s="34">
        <f>IFERROR(up_RadSpec!$J$7*(AC7*$B73),".")</f>
        <v>38009.14129764367</v>
      </c>
      <c r="CT73" s="34">
        <f>IFERROR(up_RadSpec!$J$7*(AC7*$B73),".")</f>
        <v>38009.14129764367</v>
      </c>
      <c r="CU73" s="34">
        <f>IFERROR(up_RadSpec!$J$7*(AC7*$B73),".")</f>
        <v>38009.14129764367</v>
      </c>
      <c r="CV73" s="34">
        <f>IFERROR(up_RadSpec!$J$7*(AC7*$B73),".")</f>
        <v>38009.14129764367</v>
      </c>
      <c r="CW73" s="34">
        <f>IFERROR(up_RadSpec!$J$7*(AC7*$B73),".")</f>
        <v>38009.14129764367</v>
      </c>
      <c r="CX73" s="34">
        <f>IFERROR(up_RadSpec!$J$7*(AC7*$B73),".")</f>
        <v>38009.14129764367</v>
      </c>
    </row>
    <row r="74" spans="1:102" s="3" customFormat="1" x14ac:dyDescent="0.25">
      <c r="A74" s="55" t="s">
        <v>1083</v>
      </c>
      <c r="B74" s="3">
        <v>1.9000000000000001E-8</v>
      </c>
      <c r="C74" s="42">
        <f t="shared" si="83"/>
        <v>11539.237042833707</v>
      </c>
      <c r="D74" s="42">
        <f t="shared" ref="D74:AA74" si="100">IFERROR(D12/$B60,0)</f>
        <v>34617.71112850112</v>
      </c>
      <c r="E74" s="42">
        <f t="shared" si="100"/>
        <v>34617.71112850112</v>
      </c>
      <c r="F74" s="42">
        <f t="shared" si="100"/>
        <v>34617.71112850112</v>
      </c>
      <c r="G74" s="42">
        <f t="shared" si="100"/>
        <v>34617.71112850112</v>
      </c>
      <c r="H74" s="42">
        <f t="shared" si="100"/>
        <v>34617.71112850112</v>
      </c>
      <c r="I74" s="42">
        <f t="shared" si="100"/>
        <v>34617.71112850112</v>
      </c>
      <c r="J74" s="42">
        <f t="shared" si="100"/>
        <v>34617.71112850112</v>
      </c>
      <c r="K74" s="42">
        <f t="shared" si="100"/>
        <v>34617.71112850112</v>
      </c>
      <c r="L74" s="42">
        <f t="shared" si="100"/>
        <v>34617.71112850112</v>
      </c>
      <c r="M74" s="42">
        <f t="shared" si="100"/>
        <v>34617.71112850112</v>
      </c>
      <c r="N74" s="42">
        <f t="shared" si="100"/>
        <v>34617.71112850112</v>
      </c>
      <c r="O74" s="42">
        <f t="shared" si="100"/>
        <v>34617.71112850112</v>
      </c>
      <c r="P74" s="42">
        <f t="shared" si="100"/>
        <v>34617.71112850112</v>
      </c>
      <c r="Q74" s="42">
        <f t="shared" si="100"/>
        <v>34617.71112850112</v>
      </c>
      <c r="R74" s="42">
        <f t="shared" si="100"/>
        <v>34617.71112850112</v>
      </c>
      <c r="S74" s="42">
        <f t="shared" si="100"/>
        <v>34617.71112850112</v>
      </c>
      <c r="T74" s="42">
        <f t="shared" si="100"/>
        <v>34617.71112850112</v>
      </c>
      <c r="U74" s="42">
        <f t="shared" si="100"/>
        <v>34617.71112850112</v>
      </c>
      <c r="V74" s="42">
        <f t="shared" si="100"/>
        <v>34617.71112850112</v>
      </c>
      <c r="W74" s="42">
        <f t="shared" si="100"/>
        <v>34617.71112850112</v>
      </c>
      <c r="X74" s="42">
        <f t="shared" si="100"/>
        <v>34617.71112850112</v>
      </c>
      <c r="Y74" s="42">
        <f t="shared" si="100"/>
        <v>34617.71112850112</v>
      </c>
      <c r="Z74" s="42">
        <f t="shared" si="100"/>
        <v>34617.71112850112</v>
      </c>
      <c r="AA74" s="42">
        <f t="shared" si="100"/>
        <v>34617.71112850112</v>
      </c>
      <c r="AB74" s="34">
        <f t="shared" si="11"/>
        <v>2.1665210539656894E-3</v>
      </c>
      <c r="AC74" s="34">
        <f>IFERROR(up_RadSpec!$J$12*(AC12*$B74),".")</f>
        <v>7.2217368465522975E-4</v>
      </c>
      <c r="AD74" s="34">
        <f>IFERROR(up_RadSpec!$J$12*(AC12*$B74),".")</f>
        <v>7.2217368465522975E-4</v>
      </c>
      <c r="AE74" s="34">
        <f>IFERROR(up_RadSpec!$J$12*(AC12*$B74),".")</f>
        <v>7.2217368465522975E-4</v>
      </c>
      <c r="AF74" s="34">
        <f>IFERROR(up_RadSpec!$J$12*(AC12*$B74),".")</f>
        <v>7.2217368465522975E-4</v>
      </c>
      <c r="AG74" s="34">
        <f>IFERROR(up_RadSpec!$J$12*(AC12*$B74),".")</f>
        <v>7.2217368465522975E-4</v>
      </c>
      <c r="AH74" s="34">
        <f>IFERROR(up_RadSpec!$J$12*(AC12*$B74),".")</f>
        <v>7.2217368465522975E-4</v>
      </c>
      <c r="AI74" s="34">
        <f>IFERROR(up_RadSpec!$J$12*(AC12*$B74),".")</f>
        <v>7.2217368465522975E-4</v>
      </c>
      <c r="AJ74" s="34">
        <f>IFERROR(up_RadSpec!$J$12*(AC12*$B74),".")</f>
        <v>7.2217368465522975E-4</v>
      </c>
      <c r="AK74" s="34">
        <f>IFERROR(up_RadSpec!$J$12*(AC12*$B74),".")</f>
        <v>7.2217368465522975E-4</v>
      </c>
      <c r="AL74" s="34">
        <f>IFERROR(up_RadSpec!$J$12*(AC12*$B74),".")</f>
        <v>7.2217368465522975E-4</v>
      </c>
      <c r="AM74" s="34">
        <f>IFERROR(up_RadSpec!$J$12*(AC12*$B74),".")</f>
        <v>7.2217368465522975E-4</v>
      </c>
      <c r="AN74" s="34">
        <f>IFERROR(up_RadSpec!$J$12*(AC12*$B74),".")</f>
        <v>7.2217368465522975E-4</v>
      </c>
      <c r="AO74" s="34">
        <f>IFERROR(up_RadSpec!$J$12*(AC12*$B74),".")</f>
        <v>7.2217368465522975E-4</v>
      </c>
      <c r="AP74" s="34">
        <f>IFERROR(up_RadSpec!$J$12*(AC12*$B74),".")</f>
        <v>7.2217368465522975E-4</v>
      </c>
      <c r="AQ74" s="34">
        <f>IFERROR(up_RadSpec!$J$12*(AC12*$B74),".")</f>
        <v>7.2217368465522975E-4</v>
      </c>
      <c r="AR74" s="34">
        <f>IFERROR(up_RadSpec!$J$12*(AC12*$B74),".")</f>
        <v>7.2217368465522975E-4</v>
      </c>
      <c r="AS74" s="34">
        <f>IFERROR(up_RadSpec!$J$12*(AC12*$B74),".")</f>
        <v>7.2217368465522975E-4</v>
      </c>
      <c r="AT74" s="34">
        <f>IFERROR(up_RadSpec!$J$12*(AC12*$B74),".")</f>
        <v>7.2217368465522975E-4</v>
      </c>
      <c r="AU74" s="34">
        <f>IFERROR(up_RadSpec!$J$12*(AC12*$B74),".")</f>
        <v>7.2217368465522975E-4</v>
      </c>
      <c r="AV74" s="34">
        <f>IFERROR(up_RadSpec!$J$12*(AC12*$B74),".")</f>
        <v>7.2217368465522975E-4</v>
      </c>
      <c r="AW74" s="34">
        <f>IFERROR(up_RadSpec!$J$12*(AC12*$B74),".")</f>
        <v>7.2217368465522975E-4</v>
      </c>
      <c r="AX74" s="34">
        <f>IFERROR(up_RadSpec!$J$12*(AC12*$B74),".")</f>
        <v>7.2217368465522975E-4</v>
      </c>
      <c r="AY74" s="34">
        <f>IFERROR(up_RadSpec!$J$12*(AC12*$B74),".")</f>
        <v>7.2217368465522975E-4</v>
      </c>
      <c r="AZ74" s="34">
        <f>IFERROR(up_RadSpec!$J$12*(AC12*$B74),".")</f>
        <v>7.2217368465522975E-4</v>
      </c>
      <c r="BA74" s="42">
        <f t="shared" si="85"/>
        <v>11539.237042833707</v>
      </c>
      <c r="BB74" s="42">
        <f t="shared" ref="BB74:BY74" si="101">IFERROR(BB12/$B60,0)</f>
        <v>34617.71112850112</v>
      </c>
      <c r="BC74" s="42">
        <f t="shared" si="101"/>
        <v>34617.71112850112</v>
      </c>
      <c r="BD74" s="42">
        <f t="shared" si="101"/>
        <v>34617.71112850112</v>
      </c>
      <c r="BE74" s="42">
        <f t="shared" si="101"/>
        <v>34617.71112850112</v>
      </c>
      <c r="BF74" s="42">
        <f t="shared" si="101"/>
        <v>34617.71112850112</v>
      </c>
      <c r="BG74" s="42">
        <f t="shared" si="101"/>
        <v>34617.71112850112</v>
      </c>
      <c r="BH74" s="42">
        <f t="shared" si="101"/>
        <v>34617.71112850112</v>
      </c>
      <c r="BI74" s="42">
        <f t="shared" si="101"/>
        <v>34617.71112850112</v>
      </c>
      <c r="BJ74" s="42">
        <f t="shared" si="101"/>
        <v>34617.71112850112</v>
      </c>
      <c r="BK74" s="42">
        <f t="shared" si="101"/>
        <v>34617.71112850112</v>
      </c>
      <c r="BL74" s="42">
        <f t="shared" si="101"/>
        <v>34617.71112850112</v>
      </c>
      <c r="BM74" s="42">
        <f t="shared" si="101"/>
        <v>34617.71112850112</v>
      </c>
      <c r="BN74" s="42">
        <f t="shared" si="101"/>
        <v>34617.71112850112</v>
      </c>
      <c r="BO74" s="42">
        <f t="shared" si="101"/>
        <v>34617.71112850112</v>
      </c>
      <c r="BP74" s="42">
        <f t="shared" si="101"/>
        <v>34617.71112850112</v>
      </c>
      <c r="BQ74" s="42">
        <f t="shared" si="101"/>
        <v>34617.71112850112</v>
      </c>
      <c r="BR74" s="42">
        <f t="shared" si="101"/>
        <v>34617.71112850112</v>
      </c>
      <c r="BS74" s="42">
        <f t="shared" si="101"/>
        <v>34617.71112850112</v>
      </c>
      <c r="BT74" s="42">
        <f t="shared" si="101"/>
        <v>34617.71112850112</v>
      </c>
      <c r="BU74" s="42">
        <f t="shared" si="101"/>
        <v>34617.71112850112</v>
      </c>
      <c r="BV74" s="42">
        <f t="shared" si="101"/>
        <v>34617.71112850112</v>
      </c>
      <c r="BW74" s="42">
        <f t="shared" si="101"/>
        <v>34617.71112850112</v>
      </c>
      <c r="BX74" s="42">
        <f t="shared" si="101"/>
        <v>34617.71112850112</v>
      </c>
      <c r="BY74" s="42">
        <f t="shared" si="101"/>
        <v>34617.71112850112</v>
      </c>
      <c r="BZ74" s="34">
        <f t="shared" si="87"/>
        <v>2.1665210539656894E-3</v>
      </c>
      <c r="CA74" s="34">
        <f>IFERROR(up_RadSpec!$J$12*(AC12*$B74),".")</f>
        <v>7.2217368465522975E-4</v>
      </c>
      <c r="CB74" s="34">
        <f>IFERROR(up_RadSpec!$J$12*(AC12*$B74),".")</f>
        <v>7.2217368465522975E-4</v>
      </c>
      <c r="CC74" s="34">
        <f>IFERROR(up_RadSpec!$J$12*(AC12*$B74),".")</f>
        <v>7.2217368465522975E-4</v>
      </c>
      <c r="CD74" s="34">
        <f>IFERROR(up_RadSpec!$J$12*(AC12*$B74),".")</f>
        <v>7.2217368465522975E-4</v>
      </c>
      <c r="CE74" s="34">
        <f>IFERROR(up_RadSpec!$J$12*(AC12*$B74),".")</f>
        <v>7.2217368465522975E-4</v>
      </c>
      <c r="CF74" s="34">
        <f>IFERROR(up_RadSpec!$J$12*(AC12*$B74),".")</f>
        <v>7.2217368465522975E-4</v>
      </c>
      <c r="CG74" s="34">
        <f>IFERROR(up_RadSpec!$J$12*(AC12*$B74),".")</f>
        <v>7.2217368465522975E-4</v>
      </c>
      <c r="CH74" s="34">
        <f>IFERROR(up_RadSpec!$J$12*(AC12*$B74),".")</f>
        <v>7.2217368465522975E-4</v>
      </c>
      <c r="CI74" s="34">
        <f>IFERROR(up_RadSpec!$J$12*(AC12*$B74),".")</f>
        <v>7.2217368465522975E-4</v>
      </c>
      <c r="CJ74" s="34">
        <f>IFERROR(up_RadSpec!$J$12*(AC12*$B74),".")</f>
        <v>7.2217368465522975E-4</v>
      </c>
      <c r="CK74" s="34">
        <f>IFERROR(up_RadSpec!$J$12*(AC12*$B74),".")</f>
        <v>7.2217368465522975E-4</v>
      </c>
      <c r="CL74" s="34">
        <f>IFERROR(up_RadSpec!$J$12*(AC12*$B74),".")</f>
        <v>7.2217368465522975E-4</v>
      </c>
      <c r="CM74" s="34">
        <f>IFERROR(up_RadSpec!$J$12*(AC12*$B74),".")</f>
        <v>7.2217368465522975E-4</v>
      </c>
      <c r="CN74" s="34">
        <f>IFERROR(up_RadSpec!$J$12*(AC12*$B74),".")</f>
        <v>7.2217368465522975E-4</v>
      </c>
      <c r="CO74" s="34">
        <f>IFERROR(up_RadSpec!$J$12*(AC12*$B74),".")</f>
        <v>7.2217368465522975E-4</v>
      </c>
      <c r="CP74" s="34">
        <f>IFERROR(up_RadSpec!$J$12*(AC12*$B74),".")</f>
        <v>7.2217368465522975E-4</v>
      </c>
      <c r="CQ74" s="34">
        <f>IFERROR(up_RadSpec!$J$12*(AC12*$B74),".")</f>
        <v>7.2217368465522975E-4</v>
      </c>
      <c r="CR74" s="34">
        <f>IFERROR(up_RadSpec!$J$12*(AC12*$B74),".")</f>
        <v>7.2217368465522975E-4</v>
      </c>
      <c r="CS74" s="34">
        <f>IFERROR(up_RadSpec!$J$12*(AC12*$B74),".")</f>
        <v>7.2217368465522975E-4</v>
      </c>
      <c r="CT74" s="34">
        <f>IFERROR(up_RadSpec!$J$12*(AC12*$B74),".")</f>
        <v>7.2217368465522975E-4</v>
      </c>
      <c r="CU74" s="34">
        <f>IFERROR(up_RadSpec!$J$12*(AC12*$B74),".")</f>
        <v>7.2217368465522975E-4</v>
      </c>
      <c r="CV74" s="34">
        <f>IFERROR(up_RadSpec!$J$12*(AC12*$B74),".")</f>
        <v>7.2217368465522975E-4</v>
      </c>
      <c r="CW74" s="34">
        <f>IFERROR(up_RadSpec!$J$12*(AC12*$B74),".")</f>
        <v>7.2217368465522975E-4</v>
      </c>
      <c r="CX74" s="34">
        <f>IFERROR(up_RadSpec!$J$12*(AC12*$B74),".")</f>
        <v>7.2217368465522975E-4</v>
      </c>
    </row>
    <row r="75" spans="1:102" s="3" customFormat="1" x14ac:dyDescent="0.25">
      <c r="A75" s="55" t="s">
        <v>1084</v>
      </c>
      <c r="B75" s="3">
        <v>1</v>
      </c>
      <c r="C75" s="42">
        <f t="shared" si="83"/>
        <v>2.1924550381384044E-4</v>
      </c>
      <c r="D75" s="42">
        <f t="shared" ref="D75:AA75" si="102">IFERROR(D18/$B61,0)</f>
        <v>6.5773651144152131E-4</v>
      </c>
      <c r="E75" s="42">
        <f t="shared" si="102"/>
        <v>6.5773651144152131E-4</v>
      </c>
      <c r="F75" s="42">
        <f t="shared" si="102"/>
        <v>6.5773651144152131E-4</v>
      </c>
      <c r="G75" s="42">
        <f t="shared" si="102"/>
        <v>6.5773651144152131E-4</v>
      </c>
      <c r="H75" s="42">
        <f t="shared" si="102"/>
        <v>6.5773651144152131E-4</v>
      </c>
      <c r="I75" s="42">
        <f t="shared" si="102"/>
        <v>6.5773651144152131E-4</v>
      </c>
      <c r="J75" s="42">
        <f t="shared" si="102"/>
        <v>6.5773651144152131E-4</v>
      </c>
      <c r="K75" s="42">
        <f t="shared" si="102"/>
        <v>6.5773651144152131E-4</v>
      </c>
      <c r="L75" s="42">
        <f t="shared" si="102"/>
        <v>6.5773651144152131E-4</v>
      </c>
      <c r="M75" s="42">
        <f t="shared" si="102"/>
        <v>6.5773651144152131E-4</v>
      </c>
      <c r="N75" s="42">
        <f t="shared" si="102"/>
        <v>6.5773651144152131E-4</v>
      </c>
      <c r="O75" s="42">
        <f t="shared" si="102"/>
        <v>6.5773651144152131E-4</v>
      </c>
      <c r="P75" s="42">
        <f t="shared" si="102"/>
        <v>6.5773651144152131E-4</v>
      </c>
      <c r="Q75" s="42">
        <f t="shared" si="102"/>
        <v>6.5773651144152131E-4</v>
      </c>
      <c r="R75" s="42">
        <f t="shared" si="102"/>
        <v>6.5773651144152131E-4</v>
      </c>
      <c r="S75" s="42">
        <f t="shared" si="102"/>
        <v>6.5773651144152131E-4</v>
      </c>
      <c r="T75" s="42">
        <f t="shared" si="102"/>
        <v>6.5773651144152131E-4</v>
      </c>
      <c r="U75" s="42">
        <f t="shared" si="102"/>
        <v>6.5773651144152131E-4</v>
      </c>
      <c r="V75" s="42">
        <f t="shared" si="102"/>
        <v>6.5773651144152131E-4</v>
      </c>
      <c r="W75" s="42">
        <f t="shared" si="102"/>
        <v>6.5773651144152131E-4</v>
      </c>
      <c r="X75" s="42">
        <f t="shared" si="102"/>
        <v>6.5773651144152131E-4</v>
      </c>
      <c r="Y75" s="42">
        <f t="shared" si="102"/>
        <v>6.5773651144152131E-4</v>
      </c>
      <c r="Z75" s="42">
        <f t="shared" si="102"/>
        <v>6.5773651144152131E-4</v>
      </c>
      <c r="AA75" s="42">
        <f t="shared" si="102"/>
        <v>6.5773651144152131E-4</v>
      </c>
      <c r="AB75" s="34">
        <f t="shared" si="11"/>
        <v>114027.42389293101</v>
      </c>
      <c r="AC75" s="34">
        <f>IFERROR(up_RadSpec!$J$18*(AC18*$B75),".")</f>
        <v>38009.14129764367</v>
      </c>
      <c r="AD75" s="34">
        <f>IFERROR(up_RadSpec!$J$18*(AC18*$B75),".")</f>
        <v>38009.14129764367</v>
      </c>
      <c r="AE75" s="34">
        <f>IFERROR(up_RadSpec!$J$18*(AC18*$B75),".")</f>
        <v>38009.14129764367</v>
      </c>
      <c r="AF75" s="34">
        <f>IFERROR(up_RadSpec!$J$18*(AC18*$B75),".")</f>
        <v>38009.14129764367</v>
      </c>
      <c r="AG75" s="34">
        <f>IFERROR(up_RadSpec!$J$18*(AC18*$B75),".")</f>
        <v>38009.14129764367</v>
      </c>
      <c r="AH75" s="34">
        <f>IFERROR(up_RadSpec!$J$18*(AC18*$B75),".")</f>
        <v>38009.14129764367</v>
      </c>
      <c r="AI75" s="34">
        <f>IFERROR(up_RadSpec!$J$18*(AC18*$B75),".")</f>
        <v>38009.14129764367</v>
      </c>
      <c r="AJ75" s="34">
        <f>IFERROR(up_RadSpec!$J$18*(AC18*$B75),".")</f>
        <v>38009.14129764367</v>
      </c>
      <c r="AK75" s="34">
        <f>IFERROR(up_RadSpec!$J$18*(AC18*$B75),".")</f>
        <v>38009.14129764367</v>
      </c>
      <c r="AL75" s="34">
        <f>IFERROR(up_RadSpec!$J$18*(AC18*$B75),".")</f>
        <v>38009.14129764367</v>
      </c>
      <c r="AM75" s="34">
        <f>IFERROR(up_RadSpec!$J$18*(AC18*$B75),".")</f>
        <v>38009.14129764367</v>
      </c>
      <c r="AN75" s="34">
        <f>IFERROR(up_RadSpec!$J$18*(AC18*$B75),".")</f>
        <v>38009.14129764367</v>
      </c>
      <c r="AO75" s="34">
        <f>IFERROR(up_RadSpec!$J$18*(AC18*$B75),".")</f>
        <v>38009.14129764367</v>
      </c>
      <c r="AP75" s="34">
        <f>IFERROR(up_RadSpec!$J$18*(AC18*$B75),".")</f>
        <v>38009.14129764367</v>
      </c>
      <c r="AQ75" s="34">
        <f>IFERROR(up_RadSpec!$J$18*(AC18*$B75),".")</f>
        <v>38009.14129764367</v>
      </c>
      <c r="AR75" s="34">
        <f>IFERROR(up_RadSpec!$J$18*(AC18*$B75),".")</f>
        <v>38009.14129764367</v>
      </c>
      <c r="AS75" s="34">
        <f>IFERROR(up_RadSpec!$J$18*(AC18*$B75),".")</f>
        <v>38009.14129764367</v>
      </c>
      <c r="AT75" s="34">
        <f>IFERROR(up_RadSpec!$J$18*(AC18*$B75),".")</f>
        <v>38009.14129764367</v>
      </c>
      <c r="AU75" s="34">
        <f>IFERROR(up_RadSpec!$J$18*(AC18*$B75),".")</f>
        <v>38009.14129764367</v>
      </c>
      <c r="AV75" s="34">
        <f>IFERROR(up_RadSpec!$J$18*(AC18*$B75),".")</f>
        <v>38009.14129764367</v>
      </c>
      <c r="AW75" s="34">
        <f>IFERROR(up_RadSpec!$J$18*(AC18*$B75),".")</f>
        <v>38009.14129764367</v>
      </c>
      <c r="AX75" s="34">
        <f>IFERROR(up_RadSpec!$J$18*(AC18*$B75),".")</f>
        <v>38009.14129764367</v>
      </c>
      <c r="AY75" s="34">
        <f>IFERROR(up_RadSpec!$J$18*(AC18*$B75),".")</f>
        <v>38009.14129764367</v>
      </c>
      <c r="AZ75" s="34">
        <f>IFERROR(up_RadSpec!$J$18*(AC18*$B75),".")</f>
        <v>38009.14129764367</v>
      </c>
      <c r="BA75" s="42">
        <f t="shared" si="85"/>
        <v>2.1924550381384044E-4</v>
      </c>
      <c r="BB75" s="42">
        <f t="shared" ref="BB75:BY75" si="103">IFERROR(BB18/$B61,0)</f>
        <v>6.5773651144152131E-4</v>
      </c>
      <c r="BC75" s="42">
        <f t="shared" si="103"/>
        <v>6.5773651144152131E-4</v>
      </c>
      <c r="BD75" s="42">
        <f t="shared" si="103"/>
        <v>6.5773651144152131E-4</v>
      </c>
      <c r="BE75" s="42">
        <f t="shared" si="103"/>
        <v>6.5773651144152131E-4</v>
      </c>
      <c r="BF75" s="42">
        <f t="shared" si="103"/>
        <v>6.5773651144152131E-4</v>
      </c>
      <c r="BG75" s="42">
        <f t="shared" si="103"/>
        <v>6.5773651144152131E-4</v>
      </c>
      <c r="BH75" s="42">
        <f t="shared" si="103"/>
        <v>6.5773651144152131E-4</v>
      </c>
      <c r="BI75" s="42">
        <f t="shared" si="103"/>
        <v>6.5773651144152131E-4</v>
      </c>
      <c r="BJ75" s="42">
        <f t="shared" si="103"/>
        <v>6.5773651144152131E-4</v>
      </c>
      <c r="BK75" s="42">
        <f t="shared" si="103"/>
        <v>6.5773651144152131E-4</v>
      </c>
      <c r="BL75" s="42">
        <f t="shared" si="103"/>
        <v>6.5773651144152131E-4</v>
      </c>
      <c r="BM75" s="42">
        <f t="shared" si="103"/>
        <v>6.5773651144152131E-4</v>
      </c>
      <c r="BN75" s="42">
        <f t="shared" si="103"/>
        <v>6.5773651144152131E-4</v>
      </c>
      <c r="BO75" s="42">
        <f t="shared" si="103"/>
        <v>6.5773651144152131E-4</v>
      </c>
      <c r="BP75" s="42">
        <f t="shared" si="103"/>
        <v>6.5773651144152131E-4</v>
      </c>
      <c r="BQ75" s="42">
        <f t="shared" si="103"/>
        <v>6.5773651144152131E-4</v>
      </c>
      <c r="BR75" s="42">
        <f t="shared" si="103"/>
        <v>6.5773651144152131E-4</v>
      </c>
      <c r="BS75" s="42">
        <f t="shared" si="103"/>
        <v>6.5773651144152131E-4</v>
      </c>
      <c r="BT75" s="42">
        <f t="shared" si="103"/>
        <v>6.5773651144152131E-4</v>
      </c>
      <c r="BU75" s="42">
        <f t="shared" si="103"/>
        <v>6.5773651144152131E-4</v>
      </c>
      <c r="BV75" s="42">
        <f t="shared" si="103"/>
        <v>6.5773651144152131E-4</v>
      </c>
      <c r="BW75" s="42">
        <f t="shared" si="103"/>
        <v>6.5773651144152131E-4</v>
      </c>
      <c r="BX75" s="42">
        <f t="shared" si="103"/>
        <v>6.5773651144152131E-4</v>
      </c>
      <c r="BY75" s="42">
        <f t="shared" si="103"/>
        <v>6.5773651144152131E-4</v>
      </c>
      <c r="BZ75" s="34">
        <f t="shared" si="87"/>
        <v>114027.42389293101</v>
      </c>
      <c r="CA75" s="34">
        <f>IFERROR(up_RadSpec!$J$18*(AC18*$B75),".")</f>
        <v>38009.14129764367</v>
      </c>
      <c r="CB75" s="34">
        <f>IFERROR(up_RadSpec!$J$18*(AC18*$B75),".")</f>
        <v>38009.14129764367</v>
      </c>
      <c r="CC75" s="34">
        <f>IFERROR(up_RadSpec!$J$18*(AC18*$B75),".")</f>
        <v>38009.14129764367</v>
      </c>
      <c r="CD75" s="34">
        <f>IFERROR(up_RadSpec!$J$18*(AC18*$B75),".")</f>
        <v>38009.14129764367</v>
      </c>
      <c r="CE75" s="34">
        <f>IFERROR(up_RadSpec!$J$18*(AC18*$B75),".")</f>
        <v>38009.14129764367</v>
      </c>
      <c r="CF75" s="34">
        <f>IFERROR(up_RadSpec!$J$18*(AC18*$B75),".")</f>
        <v>38009.14129764367</v>
      </c>
      <c r="CG75" s="34">
        <f>IFERROR(up_RadSpec!$J$18*(AC18*$B75),".")</f>
        <v>38009.14129764367</v>
      </c>
      <c r="CH75" s="34">
        <f>IFERROR(up_RadSpec!$J$18*(AC18*$B75),".")</f>
        <v>38009.14129764367</v>
      </c>
      <c r="CI75" s="34">
        <f>IFERROR(up_RadSpec!$J$18*(AC18*$B75),".")</f>
        <v>38009.14129764367</v>
      </c>
      <c r="CJ75" s="34">
        <f>IFERROR(up_RadSpec!$J$18*(AC18*$B75),".")</f>
        <v>38009.14129764367</v>
      </c>
      <c r="CK75" s="34">
        <f>IFERROR(up_RadSpec!$J$18*(AC18*$B75),".")</f>
        <v>38009.14129764367</v>
      </c>
      <c r="CL75" s="34">
        <f>IFERROR(up_RadSpec!$J$18*(AC18*$B75),".")</f>
        <v>38009.14129764367</v>
      </c>
      <c r="CM75" s="34">
        <f>IFERROR(up_RadSpec!$J$18*(AC18*$B75),".")</f>
        <v>38009.14129764367</v>
      </c>
      <c r="CN75" s="34">
        <f>IFERROR(up_RadSpec!$J$18*(AC18*$B75),".")</f>
        <v>38009.14129764367</v>
      </c>
      <c r="CO75" s="34">
        <f>IFERROR(up_RadSpec!$J$18*(AC18*$B75),".")</f>
        <v>38009.14129764367</v>
      </c>
      <c r="CP75" s="34">
        <f>IFERROR(up_RadSpec!$J$18*(AC18*$B75),".")</f>
        <v>38009.14129764367</v>
      </c>
      <c r="CQ75" s="34">
        <f>IFERROR(up_RadSpec!$J$18*(AC18*$B75),".")</f>
        <v>38009.14129764367</v>
      </c>
      <c r="CR75" s="34">
        <f>IFERROR(up_RadSpec!$J$18*(AC18*$B75),".")</f>
        <v>38009.14129764367</v>
      </c>
      <c r="CS75" s="34">
        <f>IFERROR(up_RadSpec!$J$18*(AC18*$B75),".")</f>
        <v>38009.14129764367</v>
      </c>
      <c r="CT75" s="34">
        <f>IFERROR(up_RadSpec!$J$18*(AC18*$B75),".")</f>
        <v>38009.14129764367</v>
      </c>
      <c r="CU75" s="34">
        <f>IFERROR(up_RadSpec!$J$18*(AC18*$B75),".")</f>
        <v>38009.14129764367</v>
      </c>
      <c r="CV75" s="34">
        <f>IFERROR(up_RadSpec!$J$18*(AC18*$B75),".")</f>
        <v>38009.14129764367</v>
      </c>
      <c r="CW75" s="34">
        <f>IFERROR(up_RadSpec!$J$18*(AC18*$B75),".")</f>
        <v>38009.14129764367</v>
      </c>
      <c r="CX75" s="34">
        <f>IFERROR(up_RadSpec!$J$18*(AC18*$B75),".")</f>
        <v>38009.14129764367</v>
      </c>
    </row>
    <row r="76" spans="1:102" s="3" customFormat="1" x14ac:dyDescent="0.25">
      <c r="A76" s="55" t="s">
        <v>1085</v>
      </c>
      <c r="B76" s="3">
        <v>1.339E-6</v>
      </c>
      <c r="C76" s="42">
        <f t="shared" si="83"/>
        <v>163.73824033893982</v>
      </c>
      <c r="D76" s="42">
        <f t="shared" ref="D76:AA76" si="104">IFERROR(D27/$B62,0)</f>
        <v>491.21472101681951</v>
      </c>
      <c r="E76" s="42">
        <f t="shared" si="104"/>
        <v>491.21472101681951</v>
      </c>
      <c r="F76" s="42">
        <f t="shared" si="104"/>
        <v>491.21472101681951</v>
      </c>
      <c r="G76" s="42">
        <f t="shared" si="104"/>
        <v>491.21472101681951</v>
      </c>
      <c r="H76" s="42">
        <f t="shared" si="104"/>
        <v>491.21472101681951</v>
      </c>
      <c r="I76" s="42">
        <f t="shared" si="104"/>
        <v>491.21472101681951</v>
      </c>
      <c r="J76" s="42">
        <f t="shared" si="104"/>
        <v>491.21472101681951</v>
      </c>
      <c r="K76" s="42">
        <f t="shared" si="104"/>
        <v>491.21472101681951</v>
      </c>
      <c r="L76" s="42">
        <f t="shared" si="104"/>
        <v>491.21472101681951</v>
      </c>
      <c r="M76" s="42">
        <f t="shared" si="104"/>
        <v>491.21472101681951</v>
      </c>
      <c r="N76" s="42">
        <f t="shared" si="104"/>
        <v>491.21472101681951</v>
      </c>
      <c r="O76" s="42">
        <f t="shared" si="104"/>
        <v>491.21472101681951</v>
      </c>
      <c r="P76" s="42">
        <f t="shared" si="104"/>
        <v>491.21472101681951</v>
      </c>
      <c r="Q76" s="42">
        <f t="shared" si="104"/>
        <v>491.21472101681951</v>
      </c>
      <c r="R76" s="42">
        <f t="shared" si="104"/>
        <v>491.21472101681951</v>
      </c>
      <c r="S76" s="42">
        <f t="shared" si="104"/>
        <v>491.21472101681951</v>
      </c>
      <c r="T76" s="42">
        <f t="shared" si="104"/>
        <v>491.21472101681951</v>
      </c>
      <c r="U76" s="42">
        <f t="shared" si="104"/>
        <v>491.21472101681951</v>
      </c>
      <c r="V76" s="42">
        <f t="shared" si="104"/>
        <v>491.21472101681951</v>
      </c>
      <c r="W76" s="42">
        <f t="shared" si="104"/>
        <v>491.21472101681951</v>
      </c>
      <c r="X76" s="42">
        <f t="shared" si="104"/>
        <v>491.21472101681951</v>
      </c>
      <c r="Y76" s="42">
        <f t="shared" si="104"/>
        <v>491.21472101681951</v>
      </c>
      <c r="Z76" s="42">
        <f t="shared" si="104"/>
        <v>491.21472101681951</v>
      </c>
      <c r="AA76" s="42">
        <f t="shared" si="104"/>
        <v>491.21472101681951</v>
      </c>
      <c r="AB76" s="34">
        <f t="shared" si="11"/>
        <v>0.15268272059263463</v>
      </c>
      <c r="AC76" s="34">
        <f>IFERROR(up_RadSpec!$J$27*(AC27*$B76),".")</f>
        <v>5.0894240197544877E-2</v>
      </c>
      <c r="AD76" s="34">
        <f>IFERROR(up_RadSpec!$J$27*(AC27*$B76),".")</f>
        <v>5.0894240197544877E-2</v>
      </c>
      <c r="AE76" s="34">
        <f>IFERROR(up_RadSpec!$J$27*(AC27*$B76),".")</f>
        <v>5.0894240197544877E-2</v>
      </c>
      <c r="AF76" s="34">
        <f>IFERROR(up_RadSpec!$J$27*(AC27*$B76),".")</f>
        <v>5.0894240197544877E-2</v>
      </c>
      <c r="AG76" s="34">
        <f>IFERROR(up_RadSpec!$J$27*(AC27*$B76),".")</f>
        <v>5.0894240197544877E-2</v>
      </c>
      <c r="AH76" s="34">
        <f>IFERROR(up_RadSpec!$J$27*(AC27*$B76),".")</f>
        <v>5.0894240197544877E-2</v>
      </c>
      <c r="AI76" s="34">
        <f>IFERROR(up_RadSpec!$J$27*(AC27*$B76),".")</f>
        <v>5.0894240197544877E-2</v>
      </c>
      <c r="AJ76" s="34">
        <f>IFERROR(up_RadSpec!$J$27*(AC27*$B76),".")</f>
        <v>5.0894240197544877E-2</v>
      </c>
      <c r="AK76" s="34">
        <f>IFERROR(up_RadSpec!$J$27*(AC27*$B76),".")</f>
        <v>5.0894240197544877E-2</v>
      </c>
      <c r="AL76" s="34">
        <f>IFERROR(up_RadSpec!$J$27*(AC27*$B76),".")</f>
        <v>5.0894240197544877E-2</v>
      </c>
      <c r="AM76" s="34">
        <f>IFERROR(up_RadSpec!$J$27*(AC27*$B76),".")</f>
        <v>5.0894240197544877E-2</v>
      </c>
      <c r="AN76" s="34">
        <f>IFERROR(up_RadSpec!$J$27*(AC27*$B76),".")</f>
        <v>5.0894240197544877E-2</v>
      </c>
      <c r="AO76" s="34">
        <f>IFERROR(up_RadSpec!$J$27*(AC27*$B76),".")</f>
        <v>5.0894240197544877E-2</v>
      </c>
      <c r="AP76" s="34">
        <f>IFERROR(up_RadSpec!$J$27*(AC27*$B76),".")</f>
        <v>5.0894240197544877E-2</v>
      </c>
      <c r="AQ76" s="34">
        <f>IFERROR(up_RadSpec!$J$27*(AC27*$B76),".")</f>
        <v>5.0894240197544877E-2</v>
      </c>
      <c r="AR76" s="34">
        <f>IFERROR(up_RadSpec!$J$27*(AC27*$B76),".")</f>
        <v>5.0894240197544877E-2</v>
      </c>
      <c r="AS76" s="34">
        <f>IFERROR(up_RadSpec!$J$27*(AC27*$B76),".")</f>
        <v>5.0894240197544877E-2</v>
      </c>
      <c r="AT76" s="34">
        <f>IFERROR(up_RadSpec!$J$27*(AC27*$B76),".")</f>
        <v>5.0894240197544877E-2</v>
      </c>
      <c r="AU76" s="34">
        <f>IFERROR(up_RadSpec!$J$27*(AC27*$B76),".")</f>
        <v>5.0894240197544877E-2</v>
      </c>
      <c r="AV76" s="34">
        <f>IFERROR(up_RadSpec!$J$27*(AC27*$B76),".")</f>
        <v>5.0894240197544877E-2</v>
      </c>
      <c r="AW76" s="34">
        <f>IFERROR(up_RadSpec!$J$27*(AC27*$B76),".")</f>
        <v>5.0894240197544877E-2</v>
      </c>
      <c r="AX76" s="34">
        <f>IFERROR(up_RadSpec!$J$27*(AC27*$B76),".")</f>
        <v>5.0894240197544877E-2</v>
      </c>
      <c r="AY76" s="34">
        <f>IFERROR(up_RadSpec!$J$27*(AC27*$B76),".")</f>
        <v>5.0894240197544877E-2</v>
      </c>
      <c r="AZ76" s="34">
        <f>IFERROR(up_RadSpec!$J$27*(AC27*$B76),".")</f>
        <v>5.0894240197544877E-2</v>
      </c>
      <c r="BA76" s="42">
        <f t="shared" si="85"/>
        <v>163.73824033893982</v>
      </c>
      <c r="BB76" s="42">
        <f t="shared" ref="BB76:BY76" si="105">IFERROR(BB27/$B62,0)</f>
        <v>491.21472101681951</v>
      </c>
      <c r="BC76" s="42">
        <f t="shared" si="105"/>
        <v>491.21472101681951</v>
      </c>
      <c r="BD76" s="42">
        <f t="shared" si="105"/>
        <v>491.21472101681951</v>
      </c>
      <c r="BE76" s="42">
        <f t="shared" si="105"/>
        <v>491.21472101681951</v>
      </c>
      <c r="BF76" s="42">
        <f t="shared" si="105"/>
        <v>491.21472101681951</v>
      </c>
      <c r="BG76" s="42">
        <f t="shared" si="105"/>
        <v>491.21472101681951</v>
      </c>
      <c r="BH76" s="42">
        <f t="shared" si="105"/>
        <v>491.21472101681951</v>
      </c>
      <c r="BI76" s="42">
        <f t="shared" si="105"/>
        <v>491.21472101681951</v>
      </c>
      <c r="BJ76" s="42">
        <f t="shared" si="105"/>
        <v>491.21472101681951</v>
      </c>
      <c r="BK76" s="42">
        <f t="shared" si="105"/>
        <v>491.21472101681951</v>
      </c>
      <c r="BL76" s="42">
        <f t="shared" si="105"/>
        <v>491.21472101681951</v>
      </c>
      <c r="BM76" s="42">
        <f t="shared" si="105"/>
        <v>491.21472101681951</v>
      </c>
      <c r="BN76" s="42">
        <f t="shared" si="105"/>
        <v>491.21472101681951</v>
      </c>
      <c r="BO76" s="42">
        <f t="shared" si="105"/>
        <v>491.21472101681951</v>
      </c>
      <c r="BP76" s="42">
        <f t="shared" si="105"/>
        <v>491.21472101681951</v>
      </c>
      <c r="BQ76" s="42">
        <f t="shared" si="105"/>
        <v>491.21472101681951</v>
      </c>
      <c r="BR76" s="42">
        <f t="shared" si="105"/>
        <v>491.21472101681951</v>
      </c>
      <c r="BS76" s="42">
        <f t="shared" si="105"/>
        <v>491.21472101681951</v>
      </c>
      <c r="BT76" s="42">
        <f t="shared" si="105"/>
        <v>491.21472101681951</v>
      </c>
      <c r="BU76" s="42">
        <f t="shared" si="105"/>
        <v>491.21472101681951</v>
      </c>
      <c r="BV76" s="42">
        <f t="shared" si="105"/>
        <v>491.21472101681951</v>
      </c>
      <c r="BW76" s="42">
        <f t="shared" si="105"/>
        <v>491.21472101681951</v>
      </c>
      <c r="BX76" s="42">
        <f t="shared" si="105"/>
        <v>491.21472101681951</v>
      </c>
      <c r="BY76" s="42">
        <f t="shared" si="105"/>
        <v>491.21472101681951</v>
      </c>
      <c r="BZ76" s="34">
        <f t="shared" si="87"/>
        <v>0.15268272059263463</v>
      </c>
      <c r="CA76" s="34">
        <f>IFERROR(up_RadSpec!$J$27*(AC27*$B76),".")</f>
        <v>5.0894240197544877E-2</v>
      </c>
      <c r="CB76" s="34">
        <f>IFERROR(up_RadSpec!$J$27*(AC27*$B76),".")</f>
        <v>5.0894240197544877E-2</v>
      </c>
      <c r="CC76" s="34">
        <f>IFERROR(up_RadSpec!$J$27*(AC27*$B76),".")</f>
        <v>5.0894240197544877E-2</v>
      </c>
      <c r="CD76" s="34">
        <f>IFERROR(up_RadSpec!$J$27*(AC27*$B76),".")</f>
        <v>5.0894240197544877E-2</v>
      </c>
      <c r="CE76" s="34">
        <f>IFERROR(up_RadSpec!$J$27*(AC27*$B76),".")</f>
        <v>5.0894240197544877E-2</v>
      </c>
      <c r="CF76" s="34">
        <f>IFERROR(up_RadSpec!$J$27*(AC27*$B76),".")</f>
        <v>5.0894240197544877E-2</v>
      </c>
      <c r="CG76" s="34">
        <f>IFERROR(up_RadSpec!$J$27*(AC27*$B76),".")</f>
        <v>5.0894240197544877E-2</v>
      </c>
      <c r="CH76" s="34">
        <f>IFERROR(up_RadSpec!$J$27*(AC27*$B76),".")</f>
        <v>5.0894240197544877E-2</v>
      </c>
      <c r="CI76" s="34">
        <f>IFERROR(up_RadSpec!$J$27*(AC27*$B76),".")</f>
        <v>5.0894240197544877E-2</v>
      </c>
      <c r="CJ76" s="34">
        <f>IFERROR(up_RadSpec!$J$27*(AC27*$B76),".")</f>
        <v>5.0894240197544877E-2</v>
      </c>
      <c r="CK76" s="34">
        <f>IFERROR(up_RadSpec!$J$27*(AC27*$B76),".")</f>
        <v>5.0894240197544877E-2</v>
      </c>
      <c r="CL76" s="34">
        <f>IFERROR(up_RadSpec!$J$27*(AC27*$B76),".")</f>
        <v>5.0894240197544877E-2</v>
      </c>
      <c r="CM76" s="34">
        <f>IFERROR(up_RadSpec!$J$27*(AC27*$B76),".")</f>
        <v>5.0894240197544877E-2</v>
      </c>
      <c r="CN76" s="34">
        <f>IFERROR(up_RadSpec!$J$27*(AC27*$B76),".")</f>
        <v>5.0894240197544877E-2</v>
      </c>
      <c r="CO76" s="34">
        <f>IFERROR(up_RadSpec!$J$27*(AC27*$B76),".")</f>
        <v>5.0894240197544877E-2</v>
      </c>
      <c r="CP76" s="34">
        <f>IFERROR(up_RadSpec!$J$27*(AC27*$B76),".")</f>
        <v>5.0894240197544877E-2</v>
      </c>
      <c r="CQ76" s="34">
        <f>IFERROR(up_RadSpec!$J$27*(AC27*$B76),".")</f>
        <v>5.0894240197544877E-2</v>
      </c>
      <c r="CR76" s="34">
        <f>IFERROR(up_RadSpec!$J$27*(AC27*$B76),".")</f>
        <v>5.0894240197544877E-2</v>
      </c>
      <c r="CS76" s="34">
        <f>IFERROR(up_RadSpec!$J$27*(AC27*$B76),".")</f>
        <v>5.0894240197544877E-2</v>
      </c>
      <c r="CT76" s="34">
        <f>IFERROR(up_RadSpec!$J$27*(AC27*$B76),".")</f>
        <v>5.0894240197544877E-2</v>
      </c>
      <c r="CU76" s="34">
        <f>IFERROR(up_RadSpec!$J$27*(AC27*$B76),".")</f>
        <v>5.0894240197544877E-2</v>
      </c>
      <c r="CV76" s="34">
        <f>IFERROR(up_RadSpec!$J$27*(AC27*$B76),".")</f>
        <v>5.0894240197544877E-2</v>
      </c>
      <c r="CW76" s="34">
        <f>IFERROR(up_RadSpec!$J$27*(AC27*$B76),".")</f>
        <v>5.0894240197544877E-2</v>
      </c>
      <c r="CX76" s="34">
        <f>IFERROR(up_RadSpec!$J$27*(AC27*$B76),".")</f>
        <v>5.0894240197544877E-2</v>
      </c>
    </row>
  </sheetData>
  <sheetProtection algorithmName="SHA-512" hashValue="VdPNZQRZ88+YGiF4USOQNFbcIf68hQRQnR/6iksE/C74aK6pkYZsBSpZ+Q0Fgyid/+Ubw9ct/Wb0ZugWnIryuQ==" saltValue="fe41pGsh26QGw7wQGfmjKQ==" spinCount="100000" sheet="1" objects="1" scenarios="1" formatColumns="0" formatRows="0" autoFilter="0"/>
  <autoFilter ref="A1:CX76" xr:uid="{1E308CA7-F89C-417C-85A8-4F0FC89ABE1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U121"/>
  <sheetViews>
    <sheetView zoomScale="85" zoomScaleNormal="85" workbookViewId="0">
      <pane ySplit="1" topLeftCell="A2" activePane="bottomLeft" state="frozen"/>
      <selection pane="bottomLeft" activeCell="A2" sqref="A2"/>
    </sheetView>
  </sheetViews>
  <sheetFormatPr defaultColWidth="12.42578125" defaultRowHeight="15" x14ac:dyDescent="0.25"/>
  <cols>
    <col min="1" max="3" width="12.42578125" style="83"/>
    <col min="4" max="4" width="13.140625" style="83" bestFit="1" customWidth="1"/>
    <col min="5" max="12" width="12.42578125" style="83"/>
    <col min="13" max="13" width="14.28515625" style="83" bestFit="1" customWidth="1"/>
    <col min="14" max="20" width="12.42578125" style="83"/>
    <col min="21" max="21" width="30.140625" style="83" customWidth="1"/>
    <col min="22" max="16384" width="12.42578125" style="83"/>
  </cols>
  <sheetData>
    <row r="1" spans="1:21" ht="18.75" x14ac:dyDescent="0.25">
      <c r="A1" s="124" t="s">
        <v>40</v>
      </c>
      <c r="B1" s="124"/>
      <c r="C1" s="124"/>
      <c r="D1" s="124" t="s">
        <v>41</v>
      </c>
      <c r="E1" s="124"/>
      <c r="F1" s="124"/>
      <c r="G1" s="124" t="s">
        <v>42</v>
      </c>
      <c r="H1" s="124"/>
      <c r="I1" s="124"/>
      <c r="J1" s="124" t="s">
        <v>369</v>
      </c>
      <c r="K1" s="124"/>
      <c r="L1" s="124"/>
      <c r="M1" s="124" t="s">
        <v>550</v>
      </c>
      <c r="N1" s="124"/>
      <c r="O1" s="124"/>
      <c r="P1" s="124" t="s">
        <v>551</v>
      </c>
      <c r="Q1" s="124"/>
      <c r="R1" s="124"/>
    </row>
    <row r="2" spans="1:21" ht="18" x14ac:dyDescent="0.25">
      <c r="A2" s="83" t="s">
        <v>1398</v>
      </c>
      <c r="B2" s="120">
        <v>1</v>
      </c>
      <c r="D2" s="83" t="s">
        <v>52</v>
      </c>
      <c r="E2" s="78">
        <v>6</v>
      </c>
      <c r="F2" s="47" t="s">
        <v>43</v>
      </c>
      <c r="G2" s="83" t="s">
        <v>53</v>
      </c>
      <c r="H2" s="78">
        <v>6</v>
      </c>
      <c r="I2" s="47" t="s">
        <v>43</v>
      </c>
      <c r="J2" s="83" t="s">
        <v>54</v>
      </c>
      <c r="K2" s="78">
        <v>6</v>
      </c>
      <c r="L2" s="47" t="s">
        <v>43</v>
      </c>
      <c r="M2" s="82" t="s">
        <v>601</v>
      </c>
      <c r="N2" s="81">
        <v>1</v>
      </c>
      <c r="P2" s="82" t="s">
        <v>162</v>
      </c>
      <c r="Q2" s="81">
        <v>1</v>
      </c>
    </row>
    <row r="3" spans="1:21" ht="18" x14ac:dyDescent="0.25">
      <c r="A3" s="82" t="s">
        <v>91</v>
      </c>
      <c r="B3" s="95">
        <v>0.5</v>
      </c>
      <c r="D3" s="83" t="s">
        <v>55</v>
      </c>
      <c r="E3" s="78">
        <v>20</v>
      </c>
      <c r="F3" s="47" t="s">
        <v>43</v>
      </c>
      <c r="G3" s="83" t="s">
        <v>56</v>
      </c>
      <c r="H3" s="78">
        <v>20</v>
      </c>
      <c r="I3" s="47" t="s">
        <v>43</v>
      </c>
      <c r="J3" s="83" t="s">
        <v>57</v>
      </c>
      <c r="K3" s="78">
        <v>34</v>
      </c>
      <c r="L3" s="47" t="s">
        <v>43</v>
      </c>
      <c r="M3" s="82" t="s">
        <v>602</v>
      </c>
      <c r="N3" s="81">
        <v>1</v>
      </c>
      <c r="P3" s="82" t="s">
        <v>161</v>
      </c>
      <c r="Q3" s="81">
        <v>1</v>
      </c>
    </row>
    <row r="4" spans="1:21" ht="18" x14ac:dyDescent="0.25">
      <c r="A4" s="83" t="s">
        <v>81</v>
      </c>
      <c r="B4" s="81">
        <v>1</v>
      </c>
      <c r="D4" s="83" t="s">
        <v>58</v>
      </c>
      <c r="E4" s="94">
        <v>1</v>
      </c>
      <c r="F4" s="47" t="s">
        <v>43</v>
      </c>
      <c r="G4" s="83" t="s">
        <v>59</v>
      </c>
      <c r="H4" s="94">
        <v>1</v>
      </c>
      <c r="I4" s="47" t="s">
        <v>43</v>
      </c>
      <c r="J4" s="83" t="s">
        <v>60</v>
      </c>
      <c r="K4" s="94">
        <v>1</v>
      </c>
      <c r="L4" s="47" t="s">
        <v>43</v>
      </c>
      <c r="M4" s="82" t="s">
        <v>603</v>
      </c>
      <c r="N4" s="81">
        <v>1</v>
      </c>
      <c r="P4" s="82" t="s">
        <v>164</v>
      </c>
      <c r="Q4" s="81">
        <v>1</v>
      </c>
    </row>
    <row r="5" spans="1:21" ht="18" x14ac:dyDescent="0.25">
      <c r="A5" s="83" t="s">
        <v>82</v>
      </c>
      <c r="B5" s="94">
        <v>0.4</v>
      </c>
      <c r="D5" s="83" t="s">
        <v>78</v>
      </c>
      <c r="E5" s="93">
        <f>ED_res</f>
        <v>1</v>
      </c>
      <c r="G5" s="83" t="s">
        <v>79</v>
      </c>
      <c r="H5" s="93">
        <f>ED_rec</f>
        <v>1</v>
      </c>
      <c r="I5" s="47"/>
      <c r="J5" s="83" t="s">
        <v>80</v>
      </c>
      <c r="K5" s="93">
        <f>ED_far</f>
        <v>1</v>
      </c>
      <c r="L5" s="47"/>
      <c r="M5" s="82" t="s">
        <v>604</v>
      </c>
      <c r="N5" s="81">
        <v>1</v>
      </c>
      <c r="P5" s="82" t="s">
        <v>741</v>
      </c>
      <c r="Q5" s="81">
        <v>1</v>
      </c>
      <c r="S5" s="82"/>
      <c r="T5" s="81"/>
    </row>
    <row r="6" spans="1:21" ht="18" x14ac:dyDescent="0.25">
      <c r="A6" s="83" t="s">
        <v>83</v>
      </c>
      <c r="B6" s="81">
        <v>1</v>
      </c>
      <c r="D6" s="83" t="s">
        <v>61</v>
      </c>
      <c r="E6" s="81">
        <v>10</v>
      </c>
      <c r="F6" s="83" t="s">
        <v>44</v>
      </c>
      <c r="G6" s="83" t="s">
        <v>110</v>
      </c>
      <c r="H6" s="81">
        <v>10</v>
      </c>
      <c r="I6" s="82" t="s">
        <v>87</v>
      </c>
      <c r="J6" s="83" t="s">
        <v>131</v>
      </c>
      <c r="K6" s="81">
        <v>10</v>
      </c>
      <c r="L6" s="82" t="s">
        <v>87</v>
      </c>
      <c r="M6" s="82" t="s">
        <v>605</v>
      </c>
      <c r="N6" s="81">
        <v>1</v>
      </c>
      <c r="P6" s="82" t="s">
        <v>163</v>
      </c>
      <c r="Q6" s="81">
        <v>1</v>
      </c>
    </row>
    <row r="7" spans="1:21" ht="18" x14ac:dyDescent="0.25">
      <c r="A7" s="82" t="s">
        <v>124</v>
      </c>
      <c r="B7" s="81">
        <v>2.6999999999999999E-5</v>
      </c>
      <c r="C7" s="82" t="s">
        <v>125</v>
      </c>
      <c r="D7" s="83" t="s">
        <v>62</v>
      </c>
      <c r="E7" s="81">
        <v>20</v>
      </c>
      <c r="F7" s="83" t="s">
        <v>44</v>
      </c>
      <c r="G7" s="83" t="s">
        <v>111</v>
      </c>
      <c r="H7" s="81">
        <v>20</v>
      </c>
      <c r="I7" s="82" t="s">
        <v>87</v>
      </c>
      <c r="J7" s="83" t="s">
        <v>132</v>
      </c>
      <c r="K7" s="81">
        <v>20</v>
      </c>
      <c r="L7" s="82" t="s">
        <v>87</v>
      </c>
      <c r="M7" s="82" t="s">
        <v>606</v>
      </c>
      <c r="N7" s="81">
        <v>1</v>
      </c>
      <c r="P7" s="82" t="s">
        <v>165</v>
      </c>
      <c r="Q7" s="81">
        <v>1</v>
      </c>
    </row>
    <row r="8" spans="1:21" ht="18" x14ac:dyDescent="0.25">
      <c r="A8" s="82" t="s">
        <v>118</v>
      </c>
      <c r="B8" s="81">
        <v>3.62</v>
      </c>
      <c r="C8" s="82" t="s">
        <v>119</v>
      </c>
      <c r="D8" s="83" t="s">
        <v>222</v>
      </c>
      <c r="E8" s="94">
        <f>((EF_res_c*1*ET_res_c*(1/24)*IRA_res_c*AAF_res_c)+(EF_res_a*1*ET_res_a*(1/24)*IRA_res_a*AAF_res_a))</f>
        <v>6195</v>
      </c>
      <c r="F8" s="47" t="s">
        <v>237</v>
      </c>
      <c r="G8" s="83" t="s">
        <v>225</v>
      </c>
      <c r="H8" s="122">
        <f>((EF_rec_c*1*ET_rec_c*(1/24)*IRA_rec_c*AAF_rec_c)+(EF_rec_a*1*ET_rec_a*(1/24)*IRA_rec_a*AAF_rec_a))</f>
        <v>55.3125</v>
      </c>
      <c r="J8" s="83" t="s">
        <v>228</v>
      </c>
      <c r="K8" s="94">
        <f>((EF_far_c*1*ET_far_c*(1/24)*IRA_far_c*AAF_far_c)+(EF_far_a*1*ET_far_a*(1/24)*IRA_far_a*AAF_far_a))</f>
        <v>6475</v>
      </c>
      <c r="L8" s="47" t="s">
        <v>237</v>
      </c>
      <c r="M8" s="82" t="s">
        <v>607</v>
      </c>
      <c r="N8" s="81">
        <v>1</v>
      </c>
      <c r="P8" s="82" t="s">
        <v>1097</v>
      </c>
      <c r="Q8" s="78">
        <v>1</v>
      </c>
    </row>
    <row r="9" spans="1:21" ht="18" x14ac:dyDescent="0.25">
      <c r="A9" s="82" t="s">
        <v>120</v>
      </c>
      <c r="B9" s="81">
        <v>0.25</v>
      </c>
      <c r="C9" s="82" t="s">
        <v>90</v>
      </c>
      <c r="D9" s="83" t="s">
        <v>342</v>
      </c>
      <c r="E9" s="122">
        <f>((EF_res_c*1*ET_event_res_c*EV_res_c*AAF_res_c)+(EF_res_a*1*ET_event_res_a*EV_res_a*AAF_res_a))</f>
        <v>234.815</v>
      </c>
      <c r="F9" s="47" t="s">
        <v>341</v>
      </c>
      <c r="G9" s="83" t="s">
        <v>353</v>
      </c>
      <c r="H9" s="94">
        <f>((EF_rec_c*1*ET_event_rec_c*EV_rec_c*AAF_rec_c)+(EF_rec_a*1*ET_event_rec_a*EV_rec_a*AAF_rec_a))</f>
        <v>75</v>
      </c>
      <c r="I9" s="47" t="s">
        <v>341</v>
      </c>
      <c r="J9" s="83" t="s">
        <v>364</v>
      </c>
      <c r="K9" s="122">
        <f>((EF_far_c*1*EV_far_c*ET_event_far_c*AAF_far_c)+(EF_far_a*1*EV_far_a*ET_event_far_a*AAF_far_a))</f>
        <v>239.57499999999999</v>
      </c>
      <c r="L9" s="47" t="s">
        <v>341</v>
      </c>
      <c r="M9" s="82" t="s">
        <v>608</v>
      </c>
      <c r="N9" s="81">
        <v>1</v>
      </c>
      <c r="P9" s="82" t="s">
        <v>439</v>
      </c>
      <c r="Q9" s="78">
        <v>1</v>
      </c>
    </row>
    <row r="10" spans="1:21" ht="18" x14ac:dyDescent="0.25">
      <c r="A10" s="82" t="s">
        <v>198</v>
      </c>
      <c r="B10" s="81">
        <v>10950</v>
      </c>
      <c r="C10" s="82" t="s">
        <v>121</v>
      </c>
      <c r="D10" s="83" t="s">
        <v>63</v>
      </c>
      <c r="E10" s="81">
        <v>200</v>
      </c>
      <c r="F10" s="83" t="s">
        <v>45</v>
      </c>
      <c r="G10" s="83" t="s">
        <v>114</v>
      </c>
      <c r="H10" s="81">
        <v>200</v>
      </c>
      <c r="I10" s="82" t="s">
        <v>45</v>
      </c>
      <c r="J10" s="83" t="s">
        <v>129</v>
      </c>
      <c r="K10" s="81">
        <v>200</v>
      </c>
      <c r="L10" s="82" t="s">
        <v>45</v>
      </c>
      <c r="M10" s="82" t="s">
        <v>609</v>
      </c>
      <c r="N10" s="81">
        <v>1</v>
      </c>
      <c r="P10" s="82" t="s">
        <v>441</v>
      </c>
      <c r="Q10" s="78">
        <v>1</v>
      </c>
    </row>
    <row r="11" spans="1:21" ht="18" x14ac:dyDescent="0.25">
      <c r="A11" s="82" t="s">
        <v>122</v>
      </c>
      <c r="B11" s="81">
        <v>240</v>
      </c>
      <c r="C11" s="82" t="s">
        <v>123</v>
      </c>
      <c r="D11" s="83" t="s">
        <v>64</v>
      </c>
      <c r="E11" s="81">
        <v>100</v>
      </c>
      <c r="F11" s="83" t="s">
        <v>45</v>
      </c>
      <c r="G11" s="83" t="s">
        <v>115</v>
      </c>
      <c r="H11" s="81">
        <v>100</v>
      </c>
      <c r="I11" s="82" t="s">
        <v>45</v>
      </c>
      <c r="J11" s="83" t="s">
        <v>130</v>
      </c>
      <c r="K11" s="81">
        <v>100</v>
      </c>
      <c r="L11" s="82" t="s">
        <v>45</v>
      </c>
      <c r="M11" s="82" t="s">
        <v>610</v>
      </c>
      <c r="N11" s="81">
        <v>1</v>
      </c>
      <c r="P11" s="82" t="s">
        <v>440</v>
      </c>
      <c r="Q11" s="78">
        <v>1</v>
      </c>
    </row>
    <row r="12" spans="1:21" ht="18" x14ac:dyDescent="0.25">
      <c r="A12" s="82" t="s">
        <v>200</v>
      </c>
      <c r="B12" s="81">
        <v>0.42</v>
      </c>
      <c r="C12" s="82" t="s">
        <v>90</v>
      </c>
      <c r="D12" s="83" t="s">
        <v>224</v>
      </c>
      <c r="E12" s="94">
        <f>((EF_res_c*1*IRS_res_c*AAF_res_c)+(EF_res_a*1*IRS_res_a*AAF_res_a))</f>
        <v>43050</v>
      </c>
      <c r="F12" s="82" t="s">
        <v>238</v>
      </c>
      <c r="G12" s="83" t="s">
        <v>226</v>
      </c>
      <c r="H12" s="94">
        <f>((EF_rec_c*1*IRS_rec_c*AAF_rec_c)+(EF_rec_a*1*IRS_rec_a*AAF_rec_a))</f>
        <v>9225</v>
      </c>
      <c r="I12" s="82" t="s">
        <v>238</v>
      </c>
      <c r="J12" s="83" t="s">
        <v>229</v>
      </c>
      <c r="K12" s="94">
        <f>((EF_far_c*1*IRS_far_c*AAF_far_c)+(EF_far_a*1*IRS_far_a*AAF_far_a))</f>
        <v>40250</v>
      </c>
      <c r="L12" s="82" t="s">
        <v>238</v>
      </c>
      <c r="M12" s="82" t="s">
        <v>611</v>
      </c>
      <c r="N12" s="81">
        <v>1</v>
      </c>
      <c r="P12" s="82" t="s">
        <v>137</v>
      </c>
      <c r="Q12" s="81">
        <v>62.8</v>
      </c>
      <c r="R12" s="82" t="s">
        <v>47</v>
      </c>
      <c r="U12" s="117"/>
    </row>
    <row r="13" spans="1:21" ht="18" x14ac:dyDescent="0.25">
      <c r="A13" s="82" t="s">
        <v>199</v>
      </c>
      <c r="B13" s="81">
        <v>60</v>
      </c>
      <c r="C13" s="82" t="s">
        <v>121</v>
      </c>
      <c r="D13" s="83" t="s">
        <v>65</v>
      </c>
      <c r="E13" s="81">
        <v>0.78</v>
      </c>
      <c r="F13" s="83" t="s">
        <v>46</v>
      </c>
      <c r="G13" s="83" t="s">
        <v>112</v>
      </c>
      <c r="H13" s="81">
        <v>0.12</v>
      </c>
      <c r="I13" s="82" t="s">
        <v>88</v>
      </c>
      <c r="J13" s="83" t="s">
        <v>133</v>
      </c>
      <c r="K13" s="81">
        <v>0.78</v>
      </c>
      <c r="L13" s="82" t="s">
        <v>46</v>
      </c>
      <c r="M13" s="82" t="s">
        <v>612</v>
      </c>
      <c r="N13" s="81">
        <v>1</v>
      </c>
      <c r="P13" s="82" t="s">
        <v>138</v>
      </c>
      <c r="Q13" s="81">
        <v>165.3</v>
      </c>
      <c r="R13" s="82" t="s">
        <v>47</v>
      </c>
      <c r="U13" s="117"/>
    </row>
    <row r="14" spans="1:21" ht="18" x14ac:dyDescent="0.25">
      <c r="A14" s="82" t="s">
        <v>201</v>
      </c>
      <c r="B14" s="81">
        <v>2</v>
      </c>
      <c r="C14" s="82" t="s">
        <v>123</v>
      </c>
      <c r="D14" s="83" t="s">
        <v>66</v>
      </c>
      <c r="E14" s="81">
        <v>2.5</v>
      </c>
      <c r="F14" s="83" t="s">
        <v>46</v>
      </c>
      <c r="G14" s="83" t="s">
        <v>113</v>
      </c>
      <c r="H14" s="81">
        <v>7.0999999999999994E-2</v>
      </c>
      <c r="I14" s="82" t="s">
        <v>88</v>
      </c>
      <c r="J14" s="83" t="s">
        <v>134</v>
      </c>
      <c r="K14" s="81">
        <v>2.5</v>
      </c>
      <c r="L14" s="82" t="s">
        <v>46</v>
      </c>
      <c r="M14" s="82" t="s">
        <v>613</v>
      </c>
      <c r="N14" s="81">
        <v>1</v>
      </c>
      <c r="P14" s="83" t="s">
        <v>232</v>
      </c>
      <c r="Q14" s="94">
        <f>((EF_far_c*1*IRB_far_c*AAF_far_c)+(EF_far_a*1*IRB_far_a*AAF_far_a))</f>
        <v>52473.750000000007</v>
      </c>
      <c r="R14" s="82" t="s">
        <v>214</v>
      </c>
    </row>
    <row r="15" spans="1:21" ht="18" x14ac:dyDescent="0.25">
      <c r="A15" s="82" t="s">
        <v>126</v>
      </c>
      <c r="B15" s="81">
        <v>1</v>
      </c>
      <c r="C15" s="82" t="s">
        <v>90</v>
      </c>
      <c r="D15" s="83" t="s">
        <v>223</v>
      </c>
      <c r="E15" s="122">
        <f>((EF_res_c*1*IRW_res_c*AAF_res_c)+(EF_res_a*1*IRW_res_a*AAF_res_a))</f>
        <v>736.54</v>
      </c>
      <c r="F15" s="82" t="s">
        <v>239</v>
      </c>
      <c r="G15" s="83" t="s">
        <v>227</v>
      </c>
      <c r="H15" s="121">
        <f>((EF_rec_c*1*IRW_rec_c*AAF_rec_c)+(EF_rec_a*1*IRW_rec_a*AAF_rec_a))</f>
        <v>6.1702500000000002</v>
      </c>
      <c r="I15" s="82" t="s">
        <v>239</v>
      </c>
      <c r="J15" s="83" t="s">
        <v>230</v>
      </c>
      <c r="K15" s="122">
        <f>((EF_far_c*1*IRW_far_c*AAF_far_c)+(EF_far_a*1*IRW_far_a*AAF_far_a))</f>
        <v>784.7</v>
      </c>
      <c r="L15" s="82" t="s">
        <v>239</v>
      </c>
      <c r="M15" s="82" t="s">
        <v>614</v>
      </c>
      <c r="N15" s="81">
        <v>1</v>
      </c>
      <c r="P15" s="82" t="s">
        <v>135</v>
      </c>
      <c r="Q15" s="81">
        <v>994.7</v>
      </c>
      <c r="R15" s="82" t="s">
        <v>47</v>
      </c>
    </row>
    <row r="16" spans="1:21" ht="18" x14ac:dyDescent="0.25">
      <c r="A16" s="82" t="s">
        <v>202</v>
      </c>
      <c r="B16" s="81">
        <v>14</v>
      </c>
      <c r="C16" s="82" t="s">
        <v>127</v>
      </c>
      <c r="D16" s="83" t="s">
        <v>67</v>
      </c>
      <c r="E16" s="81">
        <v>54000</v>
      </c>
      <c r="F16" s="83" t="s">
        <v>45</v>
      </c>
      <c r="G16" s="118" t="s">
        <v>1399</v>
      </c>
      <c r="H16" s="119">
        <v>0.23</v>
      </c>
      <c r="J16" s="118" t="s">
        <v>1401</v>
      </c>
      <c r="K16" s="119">
        <v>0.15</v>
      </c>
      <c r="M16" s="82" t="s">
        <v>615</v>
      </c>
      <c r="N16" s="81">
        <v>1</v>
      </c>
      <c r="P16" s="82" t="s">
        <v>136</v>
      </c>
      <c r="Q16" s="81">
        <v>676.4</v>
      </c>
      <c r="R16" s="82" t="s">
        <v>47</v>
      </c>
    </row>
    <row r="17" spans="1:18" ht="18" x14ac:dyDescent="0.25">
      <c r="A17" s="83" t="s">
        <v>191</v>
      </c>
      <c r="B17" s="78">
        <v>1.5</v>
      </c>
      <c r="D17" s="118" t="s">
        <v>1396</v>
      </c>
      <c r="E17" s="119">
        <v>0.23</v>
      </c>
      <c r="G17" s="118" t="s">
        <v>1400</v>
      </c>
      <c r="H17" s="119">
        <v>0.77</v>
      </c>
      <c r="J17" s="118" t="s">
        <v>1402</v>
      </c>
      <c r="K17" s="119">
        <v>0.85</v>
      </c>
      <c r="M17" s="82" t="s">
        <v>616</v>
      </c>
      <c r="N17" s="81">
        <v>1</v>
      </c>
      <c r="P17" s="83" t="s">
        <v>231</v>
      </c>
      <c r="Q17" s="94">
        <f>((EF_far_c*1*IRD_far_c*AAF_far_c)+(EF_far_a*1*IRD_far_a*AAF_far_a))</f>
        <v>253450.75</v>
      </c>
      <c r="R17" s="82" t="s">
        <v>214</v>
      </c>
    </row>
    <row r="18" spans="1:18" ht="18" x14ac:dyDescent="0.25">
      <c r="A18" s="83" t="s">
        <v>203</v>
      </c>
      <c r="B18" s="78">
        <v>0.3</v>
      </c>
      <c r="D18" s="118" t="s">
        <v>1397</v>
      </c>
      <c r="E18" s="119">
        <v>0.77</v>
      </c>
      <c r="G18" s="83" t="s">
        <v>356</v>
      </c>
      <c r="H18" s="81">
        <v>1</v>
      </c>
      <c r="I18" s="82" t="s">
        <v>47</v>
      </c>
      <c r="J18" s="83" t="s">
        <v>149</v>
      </c>
      <c r="K18" s="81">
        <v>350</v>
      </c>
      <c r="L18" s="82" t="s">
        <v>48</v>
      </c>
      <c r="M18" s="82" t="s">
        <v>617</v>
      </c>
      <c r="N18" s="81">
        <v>1</v>
      </c>
      <c r="P18" s="82" t="s">
        <v>139</v>
      </c>
      <c r="Q18" s="81">
        <v>31.7</v>
      </c>
      <c r="R18" s="82" t="s">
        <v>47</v>
      </c>
    </row>
    <row r="19" spans="1:18" ht="18" x14ac:dyDescent="0.25">
      <c r="A19" s="83" t="s">
        <v>195</v>
      </c>
      <c r="B19" s="78">
        <v>70</v>
      </c>
      <c r="C19" s="83" t="s">
        <v>43</v>
      </c>
      <c r="D19" s="83" t="s">
        <v>68</v>
      </c>
      <c r="E19" s="81">
        <v>350</v>
      </c>
      <c r="F19" s="83" t="s">
        <v>48</v>
      </c>
      <c r="G19" s="83" t="s">
        <v>357</v>
      </c>
      <c r="H19" s="81">
        <v>1</v>
      </c>
      <c r="I19" s="82" t="s">
        <v>47</v>
      </c>
      <c r="J19" s="83" t="s">
        <v>150</v>
      </c>
      <c r="K19" s="81">
        <v>350</v>
      </c>
      <c r="L19" s="82" t="s">
        <v>48</v>
      </c>
      <c r="M19" s="82" t="s">
        <v>618</v>
      </c>
      <c r="N19" s="81">
        <v>1</v>
      </c>
      <c r="P19" s="82" t="s">
        <v>140</v>
      </c>
      <c r="Q19" s="81">
        <v>59.6</v>
      </c>
      <c r="R19" s="82" t="s">
        <v>47</v>
      </c>
    </row>
    <row r="20" spans="1:18" ht="18" x14ac:dyDescent="0.25">
      <c r="A20" s="83" t="s">
        <v>196</v>
      </c>
      <c r="B20" s="78">
        <v>1</v>
      </c>
      <c r="C20" s="83" t="s">
        <v>192</v>
      </c>
      <c r="D20" s="83" t="s">
        <v>69</v>
      </c>
      <c r="E20" s="81">
        <v>350</v>
      </c>
      <c r="F20" s="83" t="s">
        <v>48</v>
      </c>
      <c r="G20" s="83" t="s">
        <v>94</v>
      </c>
      <c r="H20" s="96">
        <v>75</v>
      </c>
      <c r="I20" s="97" t="s">
        <v>48</v>
      </c>
      <c r="J20" s="83" t="s">
        <v>362</v>
      </c>
      <c r="K20" s="78">
        <v>350</v>
      </c>
      <c r="L20" s="83" t="s">
        <v>48</v>
      </c>
      <c r="M20" s="82" t="s">
        <v>619</v>
      </c>
      <c r="N20" s="81">
        <v>1</v>
      </c>
      <c r="P20" s="83" t="s">
        <v>233</v>
      </c>
      <c r="Q20" s="94">
        <f>((EF_far_c*1*IRE_far_c*AAF_far_c)+(EF_far_a*1*IRE_far_a*AAF_far_a))</f>
        <v>19395.25</v>
      </c>
      <c r="R20" s="82" t="s">
        <v>214</v>
      </c>
    </row>
    <row r="21" spans="1:18" ht="18" x14ac:dyDescent="0.25">
      <c r="A21" s="83" t="s">
        <v>215</v>
      </c>
      <c r="B21" s="78">
        <v>1</v>
      </c>
      <c r="C21" s="83" t="s">
        <v>193</v>
      </c>
      <c r="D21" s="83" t="s">
        <v>70</v>
      </c>
      <c r="E21" s="81">
        <v>350</v>
      </c>
      <c r="F21" s="83" t="s">
        <v>48</v>
      </c>
      <c r="G21" s="83" t="s">
        <v>95</v>
      </c>
      <c r="H21" s="81">
        <v>75</v>
      </c>
      <c r="I21" s="97" t="s">
        <v>48</v>
      </c>
      <c r="J21" s="83" t="s">
        <v>151</v>
      </c>
      <c r="K21" s="81">
        <v>24</v>
      </c>
      <c r="L21" s="82" t="s">
        <v>50</v>
      </c>
      <c r="M21" s="82" t="s">
        <v>620</v>
      </c>
      <c r="N21" s="81">
        <v>1</v>
      </c>
      <c r="P21" s="82" t="s">
        <v>143</v>
      </c>
      <c r="Q21" s="81">
        <v>46.9</v>
      </c>
      <c r="R21" s="82" t="s">
        <v>47</v>
      </c>
    </row>
    <row r="22" spans="1:18" ht="18" x14ac:dyDescent="0.25">
      <c r="A22" s="83" t="s">
        <v>240</v>
      </c>
      <c r="B22" s="78">
        <v>0.18</v>
      </c>
      <c r="C22" s="83" t="s">
        <v>192</v>
      </c>
      <c r="D22" s="83" t="s">
        <v>71</v>
      </c>
      <c r="E22" s="81">
        <v>0.54</v>
      </c>
      <c r="F22" s="47" t="s">
        <v>49</v>
      </c>
      <c r="G22" s="83" t="s">
        <v>96</v>
      </c>
      <c r="H22" s="81">
        <v>75</v>
      </c>
      <c r="I22" s="97" t="s">
        <v>48</v>
      </c>
      <c r="J22" s="83" t="s">
        <v>152</v>
      </c>
      <c r="K22" s="81">
        <v>24</v>
      </c>
      <c r="L22" s="82" t="s">
        <v>50</v>
      </c>
      <c r="M22" s="82" t="s">
        <v>621</v>
      </c>
      <c r="N22" s="81">
        <v>1</v>
      </c>
      <c r="P22" s="82" t="s">
        <v>144</v>
      </c>
      <c r="Q22" s="81">
        <v>107.4</v>
      </c>
      <c r="R22" s="82" t="s">
        <v>47</v>
      </c>
    </row>
    <row r="23" spans="1:18" ht="18" x14ac:dyDescent="0.25">
      <c r="A23" s="83" t="s">
        <v>216</v>
      </c>
      <c r="B23" s="78">
        <v>1</v>
      </c>
      <c r="C23" s="83" t="s">
        <v>194</v>
      </c>
      <c r="D23" s="83" t="s">
        <v>72</v>
      </c>
      <c r="E23" s="81">
        <v>0.71</v>
      </c>
      <c r="F23" s="47" t="s">
        <v>49</v>
      </c>
      <c r="G23" s="83" t="s">
        <v>97</v>
      </c>
      <c r="H23" s="81">
        <v>1</v>
      </c>
      <c r="I23" s="97" t="s">
        <v>50</v>
      </c>
      <c r="J23" s="83" t="s">
        <v>153</v>
      </c>
      <c r="K23" s="81">
        <v>24</v>
      </c>
      <c r="L23" s="82" t="s">
        <v>50</v>
      </c>
      <c r="M23" s="82" t="s">
        <v>622</v>
      </c>
      <c r="N23" s="81">
        <v>1</v>
      </c>
      <c r="P23" s="83" t="s">
        <v>235</v>
      </c>
      <c r="Q23" s="94">
        <f>((EF_far_c*1*IRP_far_c*AAF_far_c)+(EF_far_a*1*IRP_far_a*AAF_far_a))</f>
        <v>34413.75</v>
      </c>
    </row>
    <row r="24" spans="1:18" ht="18" x14ac:dyDescent="0.25">
      <c r="A24" s="83" t="s">
        <v>204</v>
      </c>
      <c r="B24" s="78">
        <v>1</v>
      </c>
      <c r="C24" s="83" t="s">
        <v>194</v>
      </c>
      <c r="D24" s="83" t="s">
        <v>73</v>
      </c>
      <c r="E24" s="81">
        <v>24</v>
      </c>
      <c r="F24" s="83" t="s">
        <v>50</v>
      </c>
      <c r="G24" s="83" t="s">
        <v>98</v>
      </c>
      <c r="H24" s="81">
        <v>1</v>
      </c>
      <c r="I24" s="97" t="s">
        <v>50</v>
      </c>
      <c r="J24" s="83" t="s">
        <v>154</v>
      </c>
      <c r="K24" s="81">
        <v>0.54</v>
      </c>
      <c r="L24" s="82" t="s">
        <v>116</v>
      </c>
      <c r="M24" s="82" t="s">
        <v>623</v>
      </c>
      <c r="N24" s="81">
        <v>1</v>
      </c>
      <c r="P24" s="82" t="s">
        <v>141</v>
      </c>
      <c r="Q24" s="81">
        <v>57.4</v>
      </c>
      <c r="R24" s="82" t="s">
        <v>47</v>
      </c>
    </row>
    <row r="25" spans="1:18" ht="18" x14ac:dyDescent="0.25">
      <c r="A25" s="83" t="s">
        <v>205</v>
      </c>
      <c r="B25" s="78">
        <v>1</v>
      </c>
      <c r="C25" s="83" t="s">
        <v>194</v>
      </c>
      <c r="D25" s="83" t="s">
        <v>74</v>
      </c>
      <c r="E25" s="81">
        <v>24</v>
      </c>
      <c r="F25" s="83" t="s">
        <v>50</v>
      </c>
      <c r="G25" s="83" t="s">
        <v>99</v>
      </c>
      <c r="H25" s="81">
        <v>1</v>
      </c>
      <c r="I25" s="97" t="s">
        <v>50</v>
      </c>
      <c r="J25" s="83" t="s">
        <v>155</v>
      </c>
      <c r="K25" s="81">
        <v>0.71</v>
      </c>
      <c r="L25" s="82" t="s">
        <v>116</v>
      </c>
      <c r="M25" s="82" t="s">
        <v>624</v>
      </c>
      <c r="N25" s="81">
        <v>1</v>
      </c>
      <c r="P25" s="82" t="s">
        <v>142</v>
      </c>
      <c r="Q25" s="81">
        <v>831.8</v>
      </c>
      <c r="R25" s="82" t="s">
        <v>47</v>
      </c>
    </row>
    <row r="26" spans="1:18" ht="18" x14ac:dyDescent="0.25">
      <c r="A26" s="83" t="s">
        <v>367</v>
      </c>
      <c r="B26" s="78">
        <v>1</v>
      </c>
      <c r="D26" s="83" t="s">
        <v>75</v>
      </c>
      <c r="E26" s="81">
        <v>24</v>
      </c>
      <c r="F26" s="83" t="s">
        <v>50</v>
      </c>
      <c r="G26" s="83" t="s">
        <v>147</v>
      </c>
      <c r="H26" s="81">
        <v>1</v>
      </c>
      <c r="I26" s="82" t="s">
        <v>49</v>
      </c>
      <c r="J26" s="82" t="s">
        <v>156</v>
      </c>
      <c r="K26" s="81">
        <v>12.167999999999999</v>
      </c>
      <c r="L26" s="82" t="s">
        <v>50</v>
      </c>
      <c r="M26" s="83" t="s">
        <v>370</v>
      </c>
      <c r="N26" s="81">
        <v>82.9</v>
      </c>
      <c r="O26" s="82" t="s">
        <v>47</v>
      </c>
      <c r="P26" s="83" t="s">
        <v>234</v>
      </c>
      <c r="Q26" s="94">
        <f>((EF_far_c*1*IRFI_far_c*AAF_far_c)+(EF_far_a*1*IRFI_far_a*AAF_far_a))</f>
        <v>250474</v>
      </c>
      <c r="R26" s="82" t="s">
        <v>214</v>
      </c>
    </row>
    <row r="27" spans="1:18" ht="18.75" x14ac:dyDescent="0.25">
      <c r="A27" s="83" t="s">
        <v>217</v>
      </c>
      <c r="B27" s="92">
        <f>Q_C_wind*((3600)/(B37*(1-V)*((Um/Ut)^3)*F_x))</f>
        <v>1359344473.5814338</v>
      </c>
      <c r="C27" s="83" t="s">
        <v>206</v>
      </c>
      <c r="D27" s="83" t="s">
        <v>76</v>
      </c>
      <c r="E27" s="81">
        <v>1</v>
      </c>
      <c r="F27" s="47" t="s">
        <v>51</v>
      </c>
      <c r="G27" s="83" t="s">
        <v>148</v>
      </c>
      <c r="H27" s="81">
        <v>1</v>
      </c>
      <c r="I27" s="82" t="s">
        <v>49</v>
      </c>
      <c r="J27" s="82" t="s">
        <v>157</v>
      </c>
      <c r="K27" s="81">
        <v>10.007999999999999</v>
      </c>
      <c r="L27" s="82" t="s">
        <v>50</v>
      </c>
      <c r="M27" s="83" t="s">
        <v>371</v>
      </c>
      <c r="N27" s="81">
        <v>84.7</v>
      </c>
      <c r="O27" s="82" t="s">
        <v>47</v>
      </c>
      <c r="P27" s="82" t="s">
        <v>145</v>
      </c>
      <c r="Q27" s="81">
        <v>33.700000000000003</v>
      </c>
      <c r="R27" s="82" t="s">
        <v>47</v>
      </c>
    </row>
    <row r="28" spans="1:18" ht="18" x14ac:dyDescent="0.25">
      <c r="A28" s="84" t="s">
        <v>207</v>
      </c>
      <c r="B28" s="78">
        <v>4.6900000000000004</v>
      </c>
      <c r="C28" s="83" t="s">
        <v>208</v>
      </c>
      <c r="D28" s="83" t="s">
        <v>77</v>
      </c>
      <c r="E28" s="81">
        <v>1</v>
      </c>
      <c r="F28" s="47" t="s">
        <v>51</v>
      </c>
      <c r="G28" s="83" t="s">
        <v>92</v>
      </c>
      <c r="H28" s="81">
        <v>1</v>
      </c>
      <c r="I28" s="97" t="s">
        <v>51</v>
      </c>
      <c r="J28" s="83" t="s">
        <v>158</v>
      </c>
      <c r="K28" s="81">
        <v>1</v>
      </c>
      <c r="L28" s="82" t="s">
        <v>117</v>
      </c>
      <c r="M28" s="83" t="s">
        <v>372</v>
      </c>
      <c r="N28" s="94">
        <f>((EF_far_c*1*IRAP_far_c*AAF_far_c)+(EF_far_a*1*IRAP_far_a*AAF_far_a))</f>
        <v>29550.5</v>
      </c>
      <c r="O28" s="82" t="s">
        <v>214</v>
      </c>
      <c r="P28" s="82" t="s">
        <v>146</v>
      </c>
      <c r="Q28" s="81">
        <v>92.5</v>
      </c>
      <c r="R28" s="82" t="s">
        <v>47</v>
      </c>
    </row>
    <row r="29" spans="1:18" ht="18" x14ac:dyDescent="0.25">
      <c r="A29" s="84" t="s">
        <v>209</v>
      </c>
      <c r="B29" s="78">
        <v>11.32</v>
      </c>
      <c r="C29" s="83" t="s">
        <v>208</v>
      </c>
      <c r="D29" s="83" t="s">
        <v>84</v>
      </c>
      <c r="E29" s="81">
        <v>1.752</v>
      </c>
      <c r="F29" s="82" t="s">
        <v>50</v>
      </c>
      <c r="G29" s="83" t="s">
        <v>93</v>
      </c>
      <c r="H29" s="81">
        <v>1</v>
      </c>
      <c r="I29" s="97" t="s">
        <v>51</v>
      </c>
      <c r="J29" s="83" t="s">
        <v>159</v>
      </c>
      <c r="K29" s="81">
        <v>1</v>
      </c>
      <c r="L29" s="82" t="s">
        <v>117</v>
      </c>
      <c r="M29" s="83" t="s">
        <v>373</v>
      </c>
      <c r="N29" s="81">
        <v>12</v>
      </c>
      <c r="O29" s="82" t="s">
        <v>47</v>
      </c>
      <c r="P29" s="83" t="s">
        <v>236</v>
      </c>
      <c r="Q29" s="94">
        <f>((EF_far_c*1*IRSW_far_c*AAF_far_c)+(EF_far_a*1*IRSW_far_a*AAF_far_a))</f>
        <v>29288</v>
      </c>
      <c r="R29" s="82" t="s">
        <v>214</v>
      </c>
    </row>
    <row r="30" spans="1:18" ht="18" x14ac:dyDescent="0.25">
      <c r="A30" s="85" t="s">
        <v>210</v>
      </c>
      <c r="B30" s="79">
        <v>0.19400000000000001</v>
      </c>
      <c r="C30" s="86" t="s">
        <v>90</v>
      </c>
      <c r="D30" s="83" t="s">
        <v>85</v>
      </c>
      <c r="E30" s="81">
        <v>16.416</v>
      </c>
      <c r="F30" s="82" t="s">
        <v>50</v>
      </c>
      <c r="G30" s="82" t="s">
        <v>109</v>
      </c>
      <c r="H30" s="81">
        <v>1</v>
      </c>
      <c r="I30" s="82" t="s">
        <v>89</v>
      </c>
      <c r="J30" s="82" t="s">
        <v>160</v>
      </c>
      <c r="K30" s="81">
        <v>0.4</v>
      </c>
      <c r="L30" s="82"/>
      <c r="M30" s="83" t="s">
        <v>374</v>
      </c>
      <c r="N30" s="81">
        <v>39.299999999999997</v>
      </c>
      <c r="O30" s="82" t="s">
        <v>47</v>
      </c>
      <c r="P30" s="83" t="s">
        <v>1094</v>
      </c>
      <c r="Q30" s="81">
        <v>0</v>
      </c>
      <c r="R30" s="82" t="s">
        <v>47</v>
      </c>
    </row>
    <row r="31" spans="1:18" ht="18" x14ac:dyDescent="0.25">
      <c r="A31" s="85" t="s">
        <v>211</v>
      </c>
      <c r="B31" s="79">
        <v>0.5</v>
      </c>
      <c r="C31" s="86"/>
      <c r="D31" s="83" t="s">
        <v>86</v>
      </c>
      <c r="E31" s="81">
        <v>1</v>
      </c>
      <c r="G31" s="82" t="s">
        <v>108</v>
      </c>
      <c r="H31" s="81">
        <v>1</v>
      </c>
      <c r="I31" s="82" t="s">
        <v>89</v>
      </c>
      <c r="L31" s="82"/>
      <c r="M31" s="83" t="s">
        <v>375</v>
      </c>
      <c r="N31" s="94">
        <f>((EF_far_c*1*IRAS_far_c*AAF_far_c)+(EF_far_a*1*IRAS_far_a*AAF_far_a))</f>
        <v>12321.749999999998</v>
      </c>
      <c r="O31" s="82" t="s">
        <v>214</v>
      </c>
      <c r="P31" s="83" t="s">
        <v>1095</v>
      </c>
      <c r="Q31" s="81">
        <v>0</v>
      </c>
      <c r="R31" s="82" t="s">
        <v>47</v>
      </c>
    </row>
    <row r="32" spans="1:18" ht="18" x14ac:dyDescent="0.25">
      <c r="A32" s="86" t="s">
        <v>218</v>
      </c>
      <c r="B32" s="94">
        <f>A_wind*EXP((((LN(As))-B_wind)^2)/C_wind)</f>
        <v>93.773582452087695</v>
      </c>
      <c r="C32" s="86"/>
      <c r="D32" s="83" t="s">
        <v>475</v>
      </c>
      <c r="E32" s="81">
        <v>72.2</v>
      </c>
      <c r="F32" s="82" t="s">
        <v>47</v>
      </c>
      <c r="G32" s="82" t="s">
        <v>107</v>
      </c>
      <c r="H32" s="81">
        <v>1</v>
      </c>
      <c r="I32" s="82" t="s">
        <v>90</v>
      </c>
      <c r="L32" s="82"/>
      <c r="M32" s="83" t="s">
        <v>376</v>
      </c>
      <c r="N32" s="81">
        <v>3.9</v>
      </c>
      <c r="O32" s="82" t="s">
        <v>47</v>
      </c>
      <c r="P32" s="83" t="s">
        <v>1096</v>
      </c>
      <c r="Q32" s="94">
        <f>((EF_far_c*1*IRSH_far_c*AAF_far_c)+(EF_far_a*1*IRSH_far_a*AAF_far_a))</f>
        <v>0</v>
      </c>
      <c r="R32" s="82" t="s">
        <v>214</v>
      </c>
    </row>
    <row r="33" spans="1:18" ht="18" x14ac:dyDescent="0.25">
      <c r="A33" s="85" t="s">
        <v>212</v>
      </c>
      <c r="B33" s="79">
        <v>0.5</v>
      </c>
      <c r="C33" s="86" t="s">
        <v>213</v>
      </c>
      <c r="D33" s="83" t="s">
        <v>476</v>
      </c>
      <c r="E33" s="81">
        <v>73.7</v>
      </c>
      <c r="F33" s="82" t="s">
        <v>47</v>
      </c>
      <c r="G33" s="82" t="s">
        <v>106</v>
      </c>
      <c r="H33" s="81">
        <v>1</v>
      </c>
      <c r="I33" s="82" t="s">
        <v>90</v>
      </c>
      <c r="L33" s="82"/>
      <c r="M33" s="83" t="s">
        <v>377</v>
      </c>
      <c r="N33" s="81">
        <v>33.9</v>
      </c>
      <c r="O33" s="82" t="s">
        <v>47</v>
      </c>
      <c r="P33" s="83" t="s">
        <v>442</v>
      </c>
      <c r="Q33" s="81">
        <v>0</v>
      </c>
      <c r="R33" s="82" t="s">
        <v>47</v>
      </c>
    </row>
    <row r="34" spans="1:18" ht="18" x14ac:dyDescent="0.25">
      <c r="A34" s="86" t="s">
        <v>219</v>
      </c>
      <c r="B34" s="80">
        <v>16.2302</v>
      </c>
      <c r="C34" s="86"/>
      <c r="D34" s="83" t="s">
        <v>477</v>
      </c>
      <c r="E34" s="94">
        <f>((EF_res_c*1*IRAP_res_c*AAF_res_c)+(EF_res_a*1*IRAP_res_a*AAF_res_a))</f>
        <v>25674.25</v>
      </c>
      <c r="F34" s="82" t="s">
        <v>214</v>
      </c>
      <c r="G34" s="82" t="s">
        <v>105</v>
      </c>
      <c r="H34" s="81">
        <v>1</v>
      </c>
      <c r="I34" s="82" t="s">
        <v>46</v>
      </c>
      <c r="L34" s="82"/>
      <c r="M34" s="83" t="s">
        <v>378</v>
      </c>
      <c r="N34" s="94">
        <f>((EF_far_c*1*IRBT_far_c*AAF_far_c)+(EF_far_a*1*IRBT_far_a*AAF_far_a))</f>
        <v>10290</v>
      </c>
      <c r="O34" s="82" t="s">
        <v>214</v>
      </c>
      <c r="P34" s="83" t="s">
        <v>443</v>
      </c>
      <c r="Q34" s="81">
        <v>0</v>
      </c>
      <c r="R34" s="82" t="s">
        <v>47</v>
      </c>
    </row>
    <row r="35" spans="1:18" ht="18" x14ac:dyDescent="0.25">
      <c r="A35" s="86" t="s">
        <v>220</v>
      </c>
      <c r="B35" s="80">
        <v>18.776199999999999</v>
      </c>
      <c r="C35" s="86"/>
      <c r="D35" s="83" t="s">
        <v>478</v>
      </c>
      <c r="E35" s="81">
        <v>12</v>
      </c>
      <c r="F35" s="82" t="s">
        <v>47</v>
      </c>
      <c r="G35" s="82" t="s">
        <v>104</v>
      </c>
      <c r="H35" s="81">
        <v>1</v>
      </c>
      <c r="I35" s="82" t="s">
        <v>89</v>
      </c>
      <c r="M35" s="83" t="s">
        <v>379</v>
      </c>
      <c r="N35" s="81">
        <v>23.9</v>
      </c>
      <c r="O35" s="82" t="s">
        <v>47</v>
      </c>
      <c r="P35" s="83" t="s">
        <v>444</v>
      </c>
      <c r="Q35" s="94">
        <f>((EF_far_c*1*IRGO_far_c*AAF_far_c)+(EF_far_a*1*IRGO_far_a*AAF_far_a))</f>
        <v>0</v>
      </c>
      <c r="R35" s="82" t="s">
        <v>214</v>
      </c>
    </row>
    <row r="36" spans="1:18" ht="18" x14ac:dyDescent="0.25">
      <c r="A36" s="86" t="s">
        <v>221</v>
      </c>
      <c r="B36" s="80">
        <v>216.108</v>
      </c>
      <c r="C36" s="86"/>
      <c r="D36" s="83" t="s">
        <v>479</v>
      </c>
      <c r="E36" s="81">
        <v>39.299999999999997</v>
      </c>
      <c r="F36" s="82" t="s">
        <v>47</v>
      </c>
      <c r="G36" s="82" t="s">
        <v>103</v>
      </c>
      <c r="H36" s="81">
        <v>1</v>
      </c>
      <c r="I36" s="82" t="s">
        <v>89</v>
      </c>
      <c r="M36" s="83" t="s">
        <v>380</v>
      </c>
      <c r="N36" s="81">
        <v>35.4</v>
      </c>
      <c r="O36" s="82" t="s">
        <v>47</v>
      </c>
      <c r="P36" s="83" t="s">
        <v>445</v>
      </c>
      <c r="Q36" s="81">
        <v>0</v>
      </c>
      <c r="R36" s="82" t="s">
        <v>47</v>
      </c>
    </row>
    <row r="37" spans="1:18" ht="18" x14ac:dyDescent="0.25">
      <c r="A37" s="86"/>
      <c r="B37" s="79">
        <v>3.5999999999999997E-2</v>
      </c>
      <c r="C37" s="86"/>
      <c r="D37" s="83" t="s">
        <v>480</v>
      </c>
      <c r="E37" s="94">
        <f>((EF_res_c*1*IRAS_res_c*AAF_res_c)+(EF_res_a*1*IRAS_res_a*AAF_res_a))</f>
        <v>11557.349999999999</v>
      </c>
      <c r="F37" s="82" t="s">
        <v>214</v>
      </c>
      <c r="G37" s="82" t="s">
        <v>102</v>
      </c>
      <c r="H37" s="81">
        <v>1</v>
      </c>
      <c r="I37" s="82" t="s">
        <v>90</v>
      </c>
      <c r="M37" s="83" t="s">
        <v>381</v>
      </c>
      <c r="N37" s="94">
        <f>((EF_far_c*1*IRBE_far_c*AAF_far_c)+(EF_far_a*1*IRBE_far_a*AAF_far_a))</f>
        <v>11786.25</v>
      </c>
      <c r="O37" s="82" t="s">
        <v>214</v>
      </c>
      <c r="P37" s="83" t="s">
        <v>446</v>
      </c>
      <c r="Q37" s="81">
        <v>0</v>
      </c>
      <c r="R37" s="82" t="s">
        <v>47</v>
      </c>
    </row>
    <row r="38" spans="1:18" ht="18" x14ac:dyDescent="0.25">
      <c r="A38" s="83" t="s">
        <v>366</v>
      </c>
      <c r="B38" s="93">
        <v>1</v>
      </c>
      <c r="C38" s="86"/>
      <c r="D38" s="83" t="s">
        <v>481</v>
      </c>
      <c r="E38" s="81">
        <v>3.9</v>
      </c>
      <c r="F38" s="82" t="s">
        <v>47</v>
      </c>
      <c r="G38" s="82" t="s">
        <v>101</v>
      </c>
      <c r="H38" s="81">
        <v>1</v>
      </c>
      <c r="I38" s="82" t="s">
        <v>90</v>
      </c>
      <c r="M38" s="83" t="s">
        <v>382</v>
      </c>
      <c r="N38" s="81">
        <v>14.4</v>
      </c>
      <c r="O38" s="82" t="s">
        <v>47</v>
      </c>
      <c r="P38" s="83" t="s">
        <v>447</v>
      </c>
      <c r="Q38" s="94">
        <f>((EF_far_c*1*IRSM_far_c*AAF_far_c)+(EF_far_a*1*IRSM_far_a*AAF_far_a))</f>
        <v>0</v>
      </c>
      <c r="R38" s="82" t="s">
        <v>214</v>
      </c>
    </row>
    <row r="39" spans="1:18" ht="18" x14ac:dyDescent="0.25">
      <c r="A39" s="86"/>
      <c r="B39" s="87"/>
      <c r="C39" s="86"/>
      <c r="D39" s="83" t="s">
        <v>482</v>
      </c>
      <c r="E39" s="81">
        <v>33.9</v>
      </c>
      <c r="F39" s="82" t="s">
        <v>47</v>
      </c>
      <c r="G39" s="82" t="s">
        <v>100</v>
      </c>
      <c r="H39" s="81">
        <v>1</v>
      </c>
      <c r="I39" s="82" t="s">
        <v>46</v>
      </c>
      <c r="M39" s="83" t="s">
        <v>383</v>
      </c>
      <c r="N39" s="81">
        <v>35.299999999999997</v>
      </c>
      <c r="O39" s="82" t="s">
        <v>47</v>
      </c>
      <c r="P39" s="83" t="s">
        <v>448</v>
      </c>
      <c r="Q39" s="81">
        <v>0</v>
      </c>
      <c r="R39" s="82" t="s">
        <v>47</v>
      </c>
    </row>
    <row r="40" spans="1:18" ht="18" x14ac:dyDescent="0.25">
      <c r="B40" s="87"/>
      <c r="C40" s="86"/>
      <c r="D40" s="83" t="s">
        <v>483</v>
      </c>
      <c r="E40" s="94">
        <f>((EF_res_c*1*IRBT_res_c*AAF_res_c)+(EF_res_a*1*IRBT_res_a*AAF_res_a))</f>
        <v>9450.0000000000018</v>
      </c>
      <c r="F40" s="82" t="s">
        <v>214</v>
      </c>
      <c r="G40" s="82" t="s">
        <v>354</v>
      </c>
      <c r="H40" s="81">
        <v>1</v>
      </c>
      <c r="M40" s="83" t="s">
        <v>384</v>
      </c>
      <c r="N40" s="94">
        <f>((EF_far_c*1*IRBR_far_c*AAF_far_c)+(EF_far_a*1*IRBR_far_a*AAF_far_a))</f>
        <v>11257.749999999998</v>
      </c>
      <c r="O40" s="82" t="s">
        <v>214</v>
      </c>
      <c r="P40" s="83" t="s">
        <v>449</v>
      </c>
      <c r="Q40" s="81">
        <v>0</v>
      </c>
      <c r="R40" s="82" t="s">
        <v>47</v>
      </c>
    </row>
    <row r="41" spans="1:18" ht="18" x14ac:dyDescent="0.25">
      <c r="A41" s="86"/>
      <c r="B41" s="87"/>
      <c r="C41" s="86"/>
      <c r="D41" s="83" t="s">
        <v>484</v>
      </c>
      <c r="E41" s="81">
        <v>23.9</v>
      </c>
      <c r="F41" s="82" t="s">
        <v>47</v>
      </c>
      <c r="G41" s="82" t="s">
        <v>355</v>
      </c>
      <c r="H41" s="81">
        <v>1</v>
      </c>
      <c r="M41" s="83" t="s">
        <v>385</v>
      </c>
      <c r="N41" s="81">
        <v>11.5</v>
      </c>
      <c r="O41" s="82" t="s">
        <v>47</v>
      </c>
      <c r="P41" s="83" t="s">
        <v>450</v>
      </c>
      <c r="Q41" s="94">
        <f>((EF_far_c*1*IRGM_far_c*AAF_far_c)+(EF_far_a*1*IRGM_far_a*AAF_far_a))</f>
        <v>0</v>
      </c>
      <c r="R41" s="82" t="s">
        <v>214</v>
      </c>
    </row>
    <row r="42" spans="1:18" ht="18" x14ac:dyDescent="0.25">
      <c r="D42" s="83" t="s">
        <v>485</v>
      </c>
      <c r="E42" s="81">
        <v>35.4</v>
      </c>
      <c r="F42" s="82" t="s">
        <v>47</v>
      </c>
      <c r="M42" s="83" t="s">
        <v>386</v>
      </c>
      <c r="N42" s="81">
        <v>85.7</v>
      </c>
      <c r="O42" s="82" t="s">
        <v>47</v>
      </c>
      <c r="P42" s="82" t="s">
        <v>166</v>
      </c>
      <c r="Q42" s="81">
        <v>92</v>
      </c>
      <c r="R42" s="82" t="s">
        <v>46</v>
      </c>
    </row>
    <row r="43" spans="1:18" ht="18" x14ac:dyDescent="0.25">
      <c r="D43" s="83" t="s">
        <v>486</v>
      </c>
      <c r="E43" s="94">
        <f>((EF_res_c*1*IRBE_res_c*AAF_res_c)+(EF_res_a*1*IRBE_res_a*AAF_res_a))</f>
        <v>11464.250000000002</v>
      </c>
      <c r="F43" s="82" t="s">
        <v>214</v>
      </c>
      <c r="M43" s="83" t="s">
        <v>387</v>
      </c>
      <c r="N43" s="94">
        <f>((EF_far_c*1*IRCB_far_c*AAF_far_c)+(EF_far_a*1*IRCB_far_a*AAF_far_a))</f>
        <v>26099.5</v>
      </c>
      <c r="O43" s="82" t="s">
        <v>214</v>
      </c>
      <c r="P43" s="82" t="s">
        <v>363</v>
      </c>
      <c r="Q43" s="80">
        <v>1.03</v>
      </c>
      <c r="R43" s="82" t="s">
        <v>128</v>
      </c>
    </row>
    <row r="44" spans="1:18" ht="18" x14ac:dyDescent="0.25">
      <c r="A44" s="86"/>
      <c r="B44" s="87"/>
      <c r="C44" s="86"/>
      <c r="D44" s="83" t="s">
        <v>487</v>
      </c>
      <c r="E44" s="81">
        <v>13.1</v>
      </c>
      <c r="F44" s="82" t="s">
        <v>47</v>
      </c>
      <c r="M44" s="83" t="s">
        <v>388</v>
      </c>
      <c r="N44" s="81">
        <v>13.3</v>
      </c>
      <c r="O44" s="82" t="s">
        <v>47</v>
      </c>
      <c r="P44" s="82" t="s">
        <v>167</v>
      </c>
      <c r="Q44" s="81">
        <v>20.3</v>
      </c>
      <c r="R44" s="82" t="s">
        <v>89</v>
      </c>
    </row>
    <row r="45" spans="1:18" ht="18" x14ac:dyDescent="0.25">
      <c r="A45" s="86"/>
      <c r="B45" s="87"/>
      <c r="C45" s="86"/>
      <c r="D45" s="83" t="s">
        <v>488</v>
      </c>
      <c r="E45" s="81">
        <v>32</v>
      </c>
      <c r="F45" s="82" t="s">
        <v>47</v>
      </c>
      <c r="M45" s="83" t="s">
        <v>389</v>
      </c>
      <c r="N45" s="81">
        <v>24.4</v>
      </c>
      <c r="O45" s="82" t="s">
        <v>47</v>
      </c>
      <c r="P45" s="82" t="s">
        <v>168</v>
      </c>
      <c r="Q45" s="81">
        <v>0.4</v>
      </c>
      <c r="R45" s="82" t="s">
        <v>89</v>
      </c>
    </row>
    <row r="46" spans="1:18" ht="18" x14ac:dyDescent="0.25">
      <c r="A46" s="86"/>
      <c r="B46" s="88"/>
      <c r="C46" s="86"/>
      <c r="D46" s="83" t="s">
        <v>489</v>
      </c>
      <c r="E46" s="94">
        <f>((EF_res_c*1*IRBR_res_c*AAF_res_c)+(EF_res_a*1*IRBR_res_a*AAF_res_a))</f>
        <v>9678.5499999999993</v>
      </c>
      <c r="F46" s="82" t="s">
        <v>214</v>
      </c>
      <c r="M46" s="83" t="s">
        <v>390</v>
      </c>
      <c r="N46" s="94">
        <f>((EF_far_c*1*IRCR_far_c*AAF_far_c)+(EF_far_a*1*IRCR_far_a*AAF_far_a))</f>
        <v>7957.25</v>
      </c>
      <c r="O46" s="82" t="s">
        <v>214</v>
      </c>
      <c r="P46" s="82" t="s">
        <v>169</v>
      </c>
      <c r="Q46" s="81">
        <v>1</v>
      </c>
      <c r="R46" s="82"/>
    </row>
    <row r="47" spans="1:18" ht="18" x14ac:dyDescent="0.25">
      <c r="A47" s="86"/>
      <c r="B47" s="87"/>
      <c r="C47" s="86"/>
      <c r="D47" s="83" t="s">
        <v>490</v>
      </c>
      <c r="E47" s="81">
        <v>12.3</v>
      </c>
      <c r="F47" s="82" t="s">
        <v>47</v>
      </c>
      <c r="M47" s="83" t="s">
        <v>391</v>
      </c>
      <c r="N47" s="81">
        <v>46</v>
      </c>
      <c r="O47" s="82" t="s">
        <v>47</v>
      </c>
      <c r="P47" s="82" t="s">
        <v>170</v>
      </c>
      <c r="Q47" s="81">
        <v>1</v>
      </c>
      <c r="R47" s="82"/>
    </row>
    <row r="48" spans="1:18" ht="18" x14ac:dyDescent="0.25">
      <c r="A48" s="86"/>
      <c r="B48" s="87"/>
      <c r="C48" s="86"/>
      <c r="D48" s="83" t="s">
        <v>491</v>
      </c>
      <c r="E48" s="81">
        <v>92.1</v>
      </c>
      <c r="F48" s="82" t="s">
        <v>47</v>
      </c>
      <c r="M48" s="83" t="s">
        <v>392</v>
      </c>
      <c r="N48" s="81">
        <v>91.9</v>
      </c>
      <c r="O48" s="82" t="s">
        <v>47</v>
      </c>
      <c r="P48" s="82" t="s">
        <v>181</v>
      </c>
      <c r="Q48" s="81">
        <v>53</v>
      </c>
      <c r="R48" s="82" t="s">
        <v>46</v>
      </c>
    </row>
    <row r="49" spans="1:18" ht="18" x14ac:dyDescent="0.25">
      <c r="A49" s="86"/>
      <c r="B49" s="87"/>
      <c r="C49" s="86"/>
      <c r="D49" s="83" t="s">
        <v>492</v>
      </c>
      <c r="E49" s="94">
        <f>((EF_res_c*1*IRCB_res_c*AAF_res_c)+(EF_res_a*1*IRCB_res_a*AAF_res_a))</f>
        <v>25811.1</v>
      </c>
      <c r="F49" s="82" t="s">
        <v>214</v>
      </c>
      <c r="M49" s="83" t="s">
        <v>393</v>
      </c>
      <c r="N49" s="94">
        <f>((EF_far_c*1*IRCG_far_c*AAF_far_c)+(EF_far_a*1*IRCG_far_a*AAF_far_a))</f>
        <v>29755.250000000004</v>
      </c>
      <c r="O49" s="82" t="s">
        <v>214</v>
      </c>
      <c r="P49" s="82" t="s">
        <v>171</v>
      </c>
      <c r="Q49" s="81">
        <v>11.77</v>
      </c>
      <c r="R49" s="82" t="s">
        <v>89</v>
      </c>
    </row>
    <row r="50" spans="1:18" ht="18" x14ac:dyDescent="0.25">
      <c r="A50" s="86"/>
      <c r="B50" s="89"/>
      <c r="C50" s="86"/>
      <c r="D50" s="83" t="s">
        <v>493</v>
      </c>
      <c r="E50" s="81">
        <v>14.9</v>
      </c>
      <c r="F50" s="82" t="s">
        <v>47</v>
      </c>
      <c r="M50" s="83" t="s">
        <v>394</v>
      </c>
      <c r="N50" s="81">
        <v>194.4</v>
      </c>
      <c r="O50" s="82" t="s">
        <v>47</v>
      </c>
      <c r="P50" s="82" t="s">
        <v>172</v>
      </c>
      <c r="Q50" s="81">
        <v>0.5</v>
      </c>
      <c r="R50" s="82" t="s">
        <v>89</v>
      </c>
    </row>
    <row r="51" spans="1:18" ht="18" x14ac:dyDescent="0.25">
      <c r="A51" s="86"/>
      <c r="B51" s="79"/>
      <c r="C51" s="86"/>
      <c r="D51" s="83" t="s">
        <v>494</v>
      </c>
      <c r="E51" s="81">
        <v>27.3</v>
      </c>
      <c r="F51" s="82" t="s">
        <v>47</v>
      </c>
      <c r="M51" s="83" t="s">
        <v>395</v>
      </c>
      <c r="N51" s="81">
        <v>309.39999999999998</v>
      </c>
      <c r="O51" s="82" t="s">
        <v>47</v>
      </c>
      <c r="P51" s="82" t="s">
        <v>173</v>
      </c>
      <c r="Q51" s="81">
        <v>1</v>
      </c>
      <c r="R51" s="82"/>
    </row>
    <row r="52" spans="1:18" ht="18" x14ac:dyDescent="0.25">
      <c r="A52" s="86"/>
      <c r="B52" s="79"/>
      <c r="C52" s="86"/>
      <c r="D52" s="83" t="s">
        <v>495</v>
      </c>
      <c r="E52" s="94">
        <f>((EF_res_c*1*IRCR_res_c*AAF_res_c)+(EF_res_a*1*IRCR_res_a*AAF_res_a))</f>
        <v>8556.8000000000011</v>
      </c>
      <c r="F52" s="82" t="s">
        <v>214</v>
      </c>
      <c r="M52" s="83" t="s">
        <v>396</v>
      </c>
      <c r="N52" s="94">
        <f>((EF_far_c*1*IRCI_far_c*AAF_far_c)+(EF_far_a*1*IRCI_far_a*AAF_far_a))</f>
        <v>102252.49999999999</v>
      </c>
      <c r="O52" s="82" t="s">
        <v>214</v>
      </c>
      <c r="P52" s="82" t="s">
        <v>174</v>
      </c>
      <c r="Q52" s="81">
        <v>1</v>
      </c>
      <c r="R52" s="82"/>
    </row>
    <row r="53" spans="1:18" ht="18" x14ac:dyDescent="0.25">
      <c r="A53" s="86"/>
      <c r="B53" s="79"/>
      <c r="C53" s="86"/>
      <c r="D53" s="83" t="s">
        <v>496</v>
      </c>
      <c r="E53" s="81">
        <v>46</v>
      </c>
      <c r="F53" s="82" t="s">
        <v>47</v>
      </c>
      <c r="M53" s="83" t="s">
        <v>397</v>
      </c>
      <c r="N53" s="81">
        <v>32.700000000000003</v>
      </c>
      <c r="O53" s="82" t="s">
        <v>47</v>
      </c>
      <c r="P53" s="82" t="s">
        <v>175</v>
      </c>
      <c r="Q53" s="81">
        <v>0.4</v>
      </c>
      <c r="R53" s="82" t="s">
        <v>46</v>
      </c>
    </row>
    <row r="54" spans="1:18" ht="18" x14ac:dyDescent="0.25">
      <c r="A54" s="86"/>
      <c r="B54" s="79"/>
      <c r="C54" s="86"/>
      <c r="D54" s="83" t="s">
        <v>497</v>
      </c>
      <c r="E54" s="81">
        <v>91.9</v>
      </c>
      <c r="F54" s="82" t="s">
        <v>47</v>
      </c>
      <c r="M54" s="83" t="s">
        <v>398</v>
      </c>
      <c r="N54" s="81">
        <v>82</v>
      </c>
      <c r="O54" s="82" t="s">
        <v>47</v>
      </c>
      <c r="P54" s="82" t="s">
        <v>176</v>
      </c>
      <c r="Q54" s="81">
        <v>0.2</v>
      </c>
      <c r="R54" s="82" t="s">
        <v>89</v>
      </c>
    </row>
    <row r="55" spans="1:18" ht="18" x14ac:dyDescent="0.25">
      <c r="A55" s="86"/>
      <c r="B55" s="89"/>
      <c r="C55" s="86"/>
      <c r="D55" s="83" t="s">
        <v>498</v>
      </c>
      <c r="E55" s="94">
        <f>((EF_res_c*1*IRCG_res_c*AAF_res_c)+(EF_res_a*1*IRCG_res_a*AAF_res_a))</f>
        <v>28470.050000000003</v>
      </c>
      <c r="F55" s="82" t="s">
        <v>214</v>
      </c>
      <c r="M55" s="83" t="s">
        <v>399</v>
      </c>
      <c r="N55" s="94">
        <f>((EF_far_c*1*IRCO_far_c*AAF_far_c)+(EF_far_a*1*IRCO_far_a*AAF_far_a))</f>
        <v>26111.75</v>
      </c>
      <c r="O55" s="82" t="s">
        <v>214</v>
      </c>
      <c r="P55" s="82" t="s">
        <v>177</v>
      </c>
      <c r="Q55" s="81">
        <v>2.1999999999999999E-2</v>
      </c>
      <c r="R55" s="82" t="s">
        <v>89</v>
      </c>
    </row>
    <row r="56" spans="1:18" ht="18" x14ac:dyDescent="0.25">
      <c r="A56" s="86"/>
      <c r="B56" s="89"/>
      <c r="C56" s="86"/>
      <c r="D56" s="83" t="s">
        <v>499</v>
      </c>
      <c r="E56" s="81">
        <v>194.1</v>
      </c>
      <c r="F56" s="82" t="s">
        <v>47</v>
      </c>
      <c r="M56" s="83" t="s">
        <v>400</v>
      </c>
      <c r="N56" s="81">
        <v>16.899999999999999</v>
      </c>
      <c r="O56" s="82" t="s">
        <v>47</v>
      </c>
      <c r="P56" s="82" t="s">
        <v>178</v>
      </c>
      <c r="Q56" s="81">
        <v>1</v>
      </c>
      <c r="R56" s="82"/>
    </row>
    <row r="57" spans="1:18" ht="18" x14ac:dyDescent="0.25">
      <c r="A57" s="86"/>
      <c r="B57" s="79"/>
      <c r="C57" s="86"/>
      <c r="D57" s="83" t="s">
        <v>500</v>
      </c>
      <c r="E57" s="81">
        <v>309.39999999999998</v>
      </c>
      <c r="F57" s="82" t="s">
        <v>47</v>
      </c>
      <c r="M57" s="83" t="s">
        <v>401</v>
      </c>
      <c r="N57" s="81">
        <v>54.9</v>
      </c>
      <c r="O57" s="82" t="s">
        <v>47</v>
      </c>
      <c r="P57" s="82" t="s">
        <v>179</v>
      </c>
      <c r="Q57" s="81">
        <v>1</v>
      </c>
      <c r="R57" s="82"/>
    </row>
    <row r="58" spans="1:18" ht="18" x14ac:dyDescent="0.25">
      <c r="A58" s="86"/>
      <c r="B58" s="79"/>
      <c r="C58" s="86"/>
      <c r="D58" s="83" t="s">
        <v>501</v>
      </c>
      <c r="E58" s="94">
        <f>((EF_res_c*1*IRCI_res_c*AAF_res_c)+(EF_res_a*1*IRCI_res_a*AAF_res_a))</f>
        <v>99008.349999999991</v>
      </c>
      <c r="F58" s="82" t="s">
        <v>214</v>
      </c>
      <c r="M58" s="83" t="s">
        <v>402</v>
      </c>
      <c r="N58" s="94">
        <f>((EF_far_c*1*IRCU_far_c*AAF_far_c)+(EF_far_a*1*IRCU_far_a*AAF_far_a))</f>
        <v>17220</v>
      </c>
      <c r="O58" s="82" t="s">
        <v>214</v>
      </c>
      <c r="P58" s="82" t="s">
        <v>180</v>
      </c>
      <c r="Q58" s="81">
        <v>0.4</v>
      </c>
      <c r="R58" s="82" t="s">
        <v>46</v>
      </c>
    </row>
    <row r="59" spans="1:18" ht="18" x14ac:dyDescent="0.25">
      <c r="A59" s="86"/>
      <c r="B59" s="79"/>
      <c r="C59" s="86"/>
      <c r="D59" s="83" t="s">
        <v>502</v>
      </c>
      <c r="E59" s="81">
        <v>23.8</v>
      </c>
      <c r="F59" s="82" t="s">
        <v>47</v>
      </c>
      <c r="M59" s="83" t="s">
        <v>403</v>
      </c>
      <c r="N59" s="81">
        <v>4.2</v>
      </c>
      <c r="O59" s="82" t="s">
        <v>47</v>
      </c>
      <c r="P59" s="82" t="s">
        <v>190</v>
      </c>
      <c r="Q59" s="81">
        <v>0.2</v>
      </c>
      <c r="R59" s="82" t="s">
        <v>89</v>
      </c>
    </row>
    <row r="60" spans="1:18" ht="18" x14ac:dyDescent="0.25">
      <c r="A60" s="86"/>
      <c r="B60" s="80"/>
      <c r="C60" s="86"/>
      <c r="D60" s="83" t="s">
        <v>503</v>
      </c>
      <c r="E60" s="81">
        <v>59.8</v>
      </c>
      <c r="F60" s="82" t="s">
        <v>47</v>
      </c>
      <c r="M60" s="83" t="s">
        <v>404</v>
      </c>
      <c r="N60" s="81">
        <v>37.5</v>
      </c>
      <c r="O60" s="82" t="s">
        <v>47</v>
      </c>
      <c r="P60" s="82" t="s">
        <v>189</v>
      </c>
      <c r="Q60" s="81">
        <v>2.1999999999999999E-2</v>
      </c>
      <c r="R60" s="82" t="s">
        <v>89</v>
      </c>
    </row>
    <row r="61" spans="1:18" ht="18" x14ac:dyDescent="0.25">
      <c r="A61" s="86"/>
      <c r="B61" s="80"/>
      <c r="C61" s="86"/>
      <c r="D61" s="83" t="s">
        <v>504</v>
      </c>
      <c r="E61" s="94">
        <f>((EF_res_c*1*IRCO_res_c*AAF_res_c)+(EF_res_a*1*IRCO_res_a*AAF_res_a))</f>
        <v>18032</v>
      </c>
      <c r="F61" s="82" t="s">
        <v>214</v>
      </c>
      <c r="M61" s="83" t="s">
        <v>405</v>
      </c>
      <c r="N61" s="94">
        <f>((EF_far_c*1*IRLE_far_c*AAF_far_c)+(EF_far_a*1*IRLE_far_a*AAF_far_a))</f>
        <v>11376.75</v>
      </c>
      <c r="O61" s="82" t="s">
        <v>214</v>
      </c>
      <c r="P61" s="82" t="s">
        <v>188</v>
      </c>
      <c r="Q61" s="81">
        <v>1</v>
      </c>
      <c r="R61" s="82"/>
    </row>
    <row r="62" spans="1:18" ht="18" x14ac:dyDescent="0.25">
      <c r="A62" s="86"/>
      <c r="B62" s="80"/>
      <c r="C62" s="86"/>
      <c r="D62" s="83" t="s">
        <v>505</v>
      </c>
      <c r="E62" s="81">
        <v>25.4</v>
      </c>
      <c r="F62" s="82" t="s">
        <v>47</v>
      </c>
      <c r="M62" s="83" t="s">
        <v>406</v>
      </c>
      <c r="N62" s="81">
        <v>6.5</v>
      </c>
      <c r="O62" s="82" t="s">
        <v>47</v>
      </c>
      <c r="P62" s="82" t="s">
        <v>187</v>
      </c>
      <c r="Q62" s="81">
        <v>1</v>
      </c>
      <c r="R62" s="82"/>
    </row>
    <row r="63" spans="1:18" ht="18" x14ac:dyDescent="0.25">
      <c r="A63" s="86"/>
      <c r="B63" s="79"/>
      <c r="C63" s="86"/>
      <c r="D63" s="83" t="s">
        <v>506</v>
      </c>
      <c r="E63" s="81">
        <v>82.4</v>
      </c>
      <c r="F63" s="82" t="s">
        <v>47</v>
      </c>
      <c r="M63" s="83" t="s">
        <v>407</v>
      </c>
      <c r="N63" s="81">
        <v>33.799999999999997</v>
      </c>
      <c r="O63" s="82" t="s">
        <v>47</v>
      </c>
      <c r="P63" s="82" t="s">
        <v>186</v>
      </c>
      <c r="Q63" s="81">
        <v>11.4</v>
      </c>
      <c r="R63" s="82" t="s">
        <v>46</v>
      </c>
    </row>
    <row r="64" spans="1:18" ht="18" x14ac:dyDescent="0.25">
      <c r="A64" s="86"/>
      <c r="B64" s="79"/>
      <c r="C64" s="86"/>
      <c r="D64" s="83" t="s">
        <v>507</v>
      </c>
      <c r="E64" s="94">
        <f>((EF_res_c*1*IRCU_res_c*AAF_res_c)+(EF_res_a*1*IRCU_res_a*AAF_res_a))</f>
        <v>24251.500000000004</v>
      </c>
      <c r="F64" s="82" t="s">
        <v>214</v>
      </c>
      <c r="M64" s="83" t="s">
        <v>408</v>
      </c>
      <c r="N64" s="94">
        <f>((EF_far_c*1*IRLI_far_c*AAF_far_c)+(EF_far_a*1*IRLI_far_a*AAF_far_a))</f>
        <v>10396.749999999998</v>
      </c>
      <c r="O64" s="82" t="s">
        <v>214</v>
      </c>
      <c r="P64" s="82" t="s">
        <v>185</v>
      </c>
      <c r="Q64" s="81">
        <v>4.7</v>
      </c>
      <c r="R64" s="82" t="s">
        <v>89</v>
      </c>
    </row>
    <row r="65" spans="1:18" ht="18" x14ac:dyDescent="0.25">
      <c r="A65" s="86"/>
      <c r="B65" s="79"/>
      <c r="C65" s="86"/>
      <c r="D65" s="83" t="s">
        <v>508</v>
      </c>
      <c r="E65" s="81">
        <v>4.2</v>
      </c>
      <c r="F65" s="82" t="s">
        <v>47</v>
      </c>
      <c r="M65" s="83" t="s">
        <v>409</v>
      </c>
      <c r="N65" s="81">
        <v>5.3</v>
      </c>
      <c r="O65" s="82" t="s">
        <v>47</v>
      </c>
      <c r="P65" s="82" t="s">
        <v>184</v>
      </c>
      <c r="Q65" s="81">
        <v>0.37</v>
      </c>
      <c r="R65" s="82" t="s">
        <v>89</v>
      </c>
    </row>
    <row r="66" spans="1:18" ht="18" x14ac:dyDescent="0.25">
      <c r="A66" s="86"/>
      <c r="B66" s="79"/>
      <c r="C66" s="86"/>
      <c r="D66" s="83" t="s">
        <v>509</v>
      </c>
      <c r="E66" s="81">
        <v>37.5</v>
      </c>
      <c r="F66" s="82" t="s">
        <v>47</v>
      </c>
      <c r="M66" s="83" t="s">
        <v>410</v>
      </c>
      <c r="N66" s="81">
        <v>30.2</v>
      </c>
      <c r="O66" s="82" t="s">
        <v>47</v>
      </c>
      <c r="P66" s="82" t="s">
        <v>183</v>
      </c>
      <c r="Q66" s="81">
        <v>1</v>
      </c>
      <c r="R66" s="82"/>
    </row>
    <row r="67" spans="1:18" ht="18" x14ac:dyDescent="0.25">
      <c r="A67" s="86"/>
      <c r="B67" s="79"/>
      <c r="C67" s="86"/>
      <c r="D67" s="83" t="s">
        <v>510</v>
      </c>
      <c r="E67" s="94">
        <f>((EF_res_c*1*IRLE_res_c*AAF_res_c)+(EF_res_a*1*IRLE_res_a*AAF_res_a))</f>
        <v>10444.35</v>
      </c>
      <c r="F67" s="82" t="s">
        <v>214</v>
      </c>
      <c r="M67" s="83" t="s">
        <v>411</v>
      </c>
      <c r="N67" s="94">
        <f>((EF_far_c*1*IROK_far_c*AAF_far_c)+(EF_far_a*1*IROK_far_a*AAF_far_a))</f>
        <v>9262.75</v>
      </c>
      <c r="O67" s="82" t="s">
        <v>214</v>
      </c>
      <c r="P67" s="82" t="s">
        <v>182</v>
      </c>
      <c r="Q67" s="81">
        <v>1</v>
      </c>
      <c r="R67" s="82"/>
    </row>
    <row r="68" spans="1:18" ht="18" x14ac:dyDescent="0.25">
      <c r="A68" s="86"/>
      <c r="B68" s="79"/>
      <c r="C68" s="86"/>
      <c r="D68" s="83" t="s">
        <v>511</v>
      </c>
      <c r="E68" s="81">
        <v>6.5</v>
      </c>
      <c r="F68" s="82" t="s">
        <v>47</v>
      </c>
      <c r="M68" s="83" t="s">
        <v>412</v>
      </c>
      <c r="N68" s="81">
        <v>7.2</v>
      </c>
      <c r="O68" s="82" t="s">
        <v>47</v>
      </c>
      <c r="P68" s="82" t="s">
        <v>337</v>
      </c>
      <c r="Q68" s="81">
        <v>0.25</v>
      </c>
    </row>
    <row r="69" spans="1:18" ht="18" x14ac:dyDescent="0.25">
      <c r="A69" s="86"/>
      <c r="B69" s="90"/>
      <c r="C69" s="86"/>
      <c r="D69" s="83" t="s">
        <v>512</v>
      </c>
      <c r="E69" s="81">
        <v>33.799999999999997</v>
      </c>
      <c r="F69" s="82" t="s">
        <v>47</v>
      </c>
      <c r="M69" s="83" t="s">
        <v>413</v>
      </c>
      <c r="N69" s="81">
        <v>27.2</v>
      </c>
      <c r="O69" s="82" t="s">
        <v>47</v>
      </c>
      <c r="P69" s="82" t="s">
        <v>359</v>
      </c>
      <c r="Q69" s="93">
        <f>MLF_pasture</f>
        <v>0.25</v>
      </c>
    </row>
    <row r="70" spans="1:18" ht="18" x14ac:dyDescent="0.25">
      <c r="A70" s="86"/>
      <c r="B70" s="90"/>
      <c r="C70" s="86"/>
      <c r="D70" s="83" t="s">
        <v>513</v>
      </c>
      <c r="E70" s="94">
        <f>((EF_res_c*1*IRLI_res_c*AAF_res_c)+(EF_res_a*1*IRLI_res_a*AAF_res_a))</f>
        <v>9632.3499999999985</v>
      </c>
      <c r="F70" s="82" t="s">
        <v>214</v>
      </c>
      <c r="M70" s="83" t="s">
        <v>414</v>
      </c>
      <c r="N70" s="94">
        <f>((EF_far_c*1*IRON_far_c*AAF_far_c)+(EF_far_a*1*IRON_far_a*AAF_far_a))</f>
        <v>8470</v>
      </c>
      <c r="O70" s="82" t="s">
        <v>214</v>
      </c>
      <c r="P70" s="82" t="s">
        <v>1089</v>
      </c>
      <c r="Q70" s="81">
        <v>5.25</v>
      </c>
      <c r="R70" s="82" t="s">
        <v>46</v>
      </c>
    </row>
    <row r="71" spans="1:18" ht="18" x14ac:dyDescent="0.25">
      <c r="A71" s="86"/>
      <c r="B71" s="90"/>
      <c r="C71" s="86"/>
      <c r="D71" s="83" t="s">
        <v>514</v>
      </c>
      <c r="E71" s="81">
        <v>5.3</v>
      </c>
      <c r="F71" s="82" t="s">
        <v>47</v>
      </c>
      <c r="M71" s="83" t="s">
        <v>415</v>
      </c>
      <c r="N71" s="81">
        <v>99.3</v>
      </c>
      <c r="O71" s="82" t="s">
        <v>47</v>
      </c>
      <c r="P71" s="82" t="s">
        <v>1090</v>
      </c>
      <c r="Q71" s="81">
        <v>1.98</v>
      </c>
      <c r="R71" s="82" t="s">
        <v>89</v>
      </c>
    </row>
    <row r="72" spans="1:18" ht="18" x14ac:dyDescent="0.25">
      <c r="A72" s="86"/>
      <c r="B72" s="90"/>
      <c r="C72" s="86"/>
      <c r="D72" s="83" t="s">
        <v>515</v>
      </c>
      <c r="E72" s="81">
        <v>30.2</v>
      </c>
      <c r="F72" s="82" t="s">
        <v>47</v>
      </c>
      <c r="M72" s="83" t="s">
        <v>416</v>
      </c>
      <c r="N72" s="81">
        <v>103.1</v>
      </c>
      <c r="O72" s="82" t="s">
        <v>47</v>
      </c>
      <c r="P72" s="82" t="s">
        <v>1091</v>
      </c>
      <c r="Q72" s="81">
        <v>0.36</v>
      </c>
      <c r="R72" s="82" t="s">
        <v>89</v>
      </c>
    </row>
    <row r="73" spans="1:18" ht="18" x14ac:dyDescent="0.25">
      <c r="A73" s="86"/>
      <c r="B73" s="90"/>
      <c r="C73" s="86"/>
      <c r="D73" s="83" t="s">
        <v>516</v>
      </c>
      <c r="E73" s="94">
        <f>((EF_res_c*1*IROK_res_c*AAF_res_c)+(EF_res_a*1*IROK_res_a*AAF_res_a))</f>
        <v>8565.5500000000011</v>
      </c>
      <c r="F73" s="82" t="s">
        <v>214</v>
      </c>
      <c r="M73" s="83" t="s">
        <v>417</v>
      </c>
      <c r="N73" s="94">
        <f>((EF_far_c*1*IRPC_far_c*AAF_far_c)+(EF_far_a*1*IRPC_far_a*AAF_far_a))</f>
        <v>35885.5</v>
      </c>
      <c r="O73" s="82" t="s">
        <v>214</v>
      </c>
      <c r="P73" s="82" t="s">
        <v>1092</v>
      </c>
      <c r="Q73" s="81">
        <v>1</v>
      </c>
      <c r="R73" s="82"/>
    </row>
    <row r="74" spans="1:18" ht="18" x14ac:dyDescent="0.25">
      <c r="A74" s="86"/>
      <c r="B74" s="90"/>
      <c r="C74" s="86"/>
      <c r="D74" s="83" t="s">
        <v>517</v>
      </c>
      <c r="E74" s="81">
        <v>5.8</v>
      </c>
      <c r="F74" s="82" t="s">
        <v>47</v>
      </c>
      <c r="M74" s="83" t="s">
        <v>544</v>
      </c>
      <c r="N74" s="81">
        <v>76.900000000000006</v>
      </c>
      <c r="O74" s="82" t="s">
        <v>47</v>
      </c>
      <c r="P74" s="82" t="s">
        <v>1093</v>
      </c>
      <c r="Q74" s="81">
        <v>1</v>
      </c>
      <c r="R74" s="82"/>
    </row>
    <row r="75" spans="1:18" ht="18" x14ac:dyDescent="0.25">
      <c r="A75" s="86"/>
      <c r="B75" s="90"/>
      <c r="C75" s="86"/>
      <c r="D75" s="83" t="s">
        <v>518</v>
      </c>
      <c r="E75" s="81">
        <v>21.8</v>
      </c>
      <c r="F75" s="82" t="s">
        <v>47</v>
      </c>
      <c r="M75" s="83" t="s">
        <v>545</v>
      </c>
      <c r="N75" s="81">
        <v>59.9</v>
      </c>
      <c r="O75" s="82" t="s">
        <v>47</v>
      </c>
      <c r="P75" s="82" t="s">
        <v>726</v>
      </c>
      <c r="Q75" s="81">
        <v>7.57</v>
      </c>
      <c r="R75" s="82" t="s">
        <v>46</v>
      </c>
    </row>
    <row r="76" spans="1:18" ht="18" x14ac:dyDescent="0.25">
      <c r="A76" s="86"/>
      <c r="B76" s="90"/>
      <c r="C76" s="86"/>
      <c r="D76" s="83" t="s">
        <v>519</v>
      </c>
      <c r="E76" s="94">
        <f>((EF_res_c*1*IRON_res_c*AAF_res_c)+(EF_res_a*1*IRON_res_a*AAF_res_a))</f>
        <v>6342</v>
      </c>
      <c r="F76" s="82" t="s">
        <v>214</v>
      </c>
      <c r="M76" s="83" t="s">
        <v>546</v>
      </c>
      <c r="N76" s="94">
        <f>((EF_far_c*1*IRPR_far_c*AAF_far_c)+(EF_far_a*1*IRPR_far_a*AAF_far_a))</f>
        <v>21857.5</v>
      </c>
      <c r="O76" s="82" t="s">
        <v>214</v>
      </c>
      <c r="P76" s="82" t="s">
        <v>727</v>
      </c>
      <c r="Q76" s="81">
        <v>1.27</v>
      </c>
      <c r="R76" s="82" t="s">
        <v>89</v>
      </c>
    </row>
    <row r="77" spans="1:18" ht="18" x14ac:dyDescent="0.25">
      <c r="A77" s="86"/>
      <c r="B77" s="90"/>
      <c r="C77" s="86"/>
      <c r="D77" s="83" t="s">
        <v>520</v>
      </c>
      <c r="E77" s="81">
        <v>111.4</v>
      </c>
      <c r="F77" s="82" t="s">
        <v>47</v>
      </c>
      <c r="M77" s="83" t="s">
        <v>418</v>
      </c>
      <c r="N77" s="81">
        <v>28.7</v>
      </c>
      <c r="O77" s="82" t="s">
        <v>47</v>
      </c>
      <c r="P77" s="82" t="s">
        <v>728</v>
      </c>
      <c r="Q77" s="81"/>
      <c r="R77" s="82" t="s">
        <v>89</v>
      </c>
    </row>
    <row r="78" spans="1:18" ht="18" x14ac:dyDescent="0.25">
      <c r="A78" s="86"/>
      <c r="B78" s="90"/>
      <c r="C78" s="86"/>
      <c r="D78" s="83" t="s">
        <v>521</v>
      </c>
      <c r="E78" s="81">
        <v>115.7</v>
      </c>
      <c r="F78" s="82" t="s">
        <v>47</v>
      </c>
      <c r="M78" s="83" t="s">
        <v>419</v>
      </c>
      <c r="N78" s="81">
        <v>31.7</v>
      </c>
      <c r="O78" s="82" t="s">
        <v>47</v>
      </c>
      <c r="P78" s="82" t="s">
        <v>729</v>
      </c>
      <c r="Q78" s="81">
        <v>1</v>
      </c>
      <c r="R78" s="82"/>
    </row>
    <row r="79" spans="1:18" ht="18" x14ac:dyDescent="0.25">
      <c r="A79" s="86"/>
      <c r="B79" s="90"/>
      <c r="C79" s="86"/>
      <c r="D79" s="83" t="s">
        <v>522</v>
      </c>
      <c r="E79" s="94">
        <f>((EF_res_c*1*IRPC_res_c*AAF_res_c)+(EF_res_a*1*IRPC_res_a*AAF_res_a))</f>
        <v>40148.850000000006</v>
      </c>
      <c r="F79" s="82" t="s">
        <v>214</v>
      </c>
      <c r="M79" s="83" t="s">
        <v>420</v>
      </c>
      <c r="N79" s="94">
        <f>((EF_far_c*1*IRPE_far_c*AAF_far_c)+(EF_far_a*1*IRPE_far_a*AAF_far_a))</f>
        <v>10937.5</v>
      </c>
      <c r="O79" s="82" t="s">
        <v>214</v>
      </c>
      <c r="P79" s="82" t="s">
        <v>730</v>
      </c>
      <c r="Q79" s="81">
        <v>1</v>
      </c>
      <c r="R79" s="82"/>
    </row>
    <row r="80" spans="1:18" ht="18" x14ac:dyDescent="0.25">
      <c r="A80" s="85"/>
      <c r="B80" s="79"/>
      <c r="C80" s="86"/>
      <c r="D80" s="83" t="s">
        <v>547</v>
      </c>
      <c r="E80" s="81">
        <v>66.7</v>
      </c>
      <c r="F80" s="82" t="s">
        <v>47</v>
      </c>
      <c r="M80" s="83" t="s">
        <v>421</v>
      </c>
      <c r="N80" s="81">
        <v>57.3</v>
      </c>
      <c r="O80" s="82" t="s">
        <v>47</v>
      </c>
      <c r="P80" s="82" t="s">
        <v>731</v>
      </c>
      <c r="Q80" s="81">
        <v>15.14</v>
      </c>
      <c r="R80" s="82" t="s">
        <v>46</v>
      </c>
    </row>
    <row r="81" spans="1:18" ht="18" x14ac:dyDescent="0.25">
      <c r="A81" s="85"/>
      <c r="B81" s="79"/>
      <c r="C81" s="86"/>
      <c r="D81" s="83" t="s">
        <v>548</v>
      </c>
      <c r="E81" s="81">
        <v>51.9</v>
      </c>
      <c r="F81" s="82" t="s">
        <v>47</v>
      </c>
      <c r="M81" s="83" t="s">
        <v>422</v>
      </c>
      <c r="N81" s="81">
        <v>141.80000000000001</v>
      </c>
      <c r="O81" s="82" t="s">
        <v>47</v>
      </c>
      <c r="P81" s="82" t="s">
        <v>732</v>
      </c>
      <c r="Q81" s="81">
        <v>1.91</v>
      </c>
      <c r="R81" s="82" t="s">
        <v>89</v>
      </c>
    </row>
    <row r="82" spans="1:18" ht="18" x14ac:dyDescent="0.25">
      <c r="A82" s="85"/>
      <c r="B82" s="79"/>
      <c r="C82" s="86"/>
      <c r="D82" s="83" t="s">
        <v>549</v>
      </c>
      <c r="E82" s="94">
        <f>((EF_res_c*1*IRPR_res_c*AAF_res_c)+(EF_res_a*1*IRPR_res_a*AAF_res_a))</f>
        <v>19356.400000000001</v>
      </c>
      <c r="F82" s="82" t="s">
        <v>214</v>
      </c>
      <c r="M82" s="83" t="s">
        <v>423</v>
      </c>
      <c r="N82" s="94">
        <f>((EF_far_c*1*IRPT_far_c*AAF_far_c)+(EF_far_a*1*IRPT_far_a*AAF_far_a))</f>
        <v>45193.750000000007</v>
      </c>
      <c r="O82" s="82" t="s">
        <v>214</v>
      </c>
      <c r="P82" s="82" t="s">
        <v>733</v>
      </c>
      <c r="Q82" s="81"/>
      <c r="R82" s="82" t="s">
        <v>89</v>
      </c>
    </row>
    <row r="83" spans="1:18" ht="18" x14ac:dyDescent="0.25">
      <c r="A83" s="85"/>
      <c r="B83" s="79"/>
      <c r="C83" s="86"/>
      <c r="D83" s="83" t="s">
        <v>523</v>
      </c>
      <c r="E83" s="81">
        <v>32.1</v>
      </c>
      <c r="F83" s="82" t="s">
        <v>47</v>
      </c>
      <c r="M83" s="83" t="s">
        <v>424</v>
      </c>
      <c r="N83" s="81">
        <v>45.2</v>
      </c>
      <c r="O83" s="82" t="s">
        <v>47</v>
      </c>
      <c r="P83" s="82" t="s">
        <v>734</v>
      </c>
      <c r="Q83" s="81">
        <v>1</v>
      </c>
      <c r="R83" s="82"/>
    </row>
    <row r="84" spans="1:18" ht="18" x14ac:dyDescent="0.25">
      <c r="A84" s="85"/>
      <c r="B84" s="79"/>
      <c r="C84" s="86"/>
      <c r="D84" s="83" t="s">
        <v>524</v>
      </c>
      <c r="E84" s="81">
        <v>35.4</v>
      </c>
      <c r="F84" s="82" t="s">
        <v>47</v>
      </c>
      <c r="M84" s="83" t="s">
        <v>425</v>
      </c>
      <c r="N84" s="81">
        <v>64.8</v>
      </c>
      <c r="O84" s="82" t="s">
        <v>47</v>
      </c>
      <c r="P84" s="82" t="s">
        <v>735</v>
      </c>
      <c r="Q84" s="81">
        <v>1</v>
      </c>
      <c r="R84" s="82"/>
    </row>
    <row r="85" spans="1:18" ht="18" x14ac:dyDescent="0.25">
      <c r="A85" s="85"/>
      <c r="B85" s="79"/>
      <c r="C85" s="86"/>
      <c r="D85" s="83" t="s">
        <v>525</v>
      </c>
      <c r="E85" s="94">
        <f>((EF_res_c*1*IRPE_res_c*AAF_res_c)+(EF_res_a*1*IRPE_res_a*AAF_res_a))</f>
        <v>12124.350000000002</v>
      </c>
      <c r="F85" s="82" t="s">
        <v>214</v>
      </c>
      <c r="M85" s="83" t="s">
        <v>426</v>
      </c>
      <c r="N85" s="94">
        <f>((EF_far_c*1*IRPU_far_c*AAF_far_c)+(EF_far_a*1*IRPU_far_a*AAF_far_a))</f>
        <v>21651</v>
      </c>
      <c r="O85" s="82" t="s">
        <v>214</v>
      </c>
      <c r="P85" s="82" t="s">
        <v>736</v>
      </c>
      <c r="Q85" s="81">
        <v>10.4</v>
      </c>
      <c r="R85" s="82" t="s">
        <v>46</v>
      </c>
    </row>
    <row r="86" spans="1:18" ht="18" x14ac:dyDescent="0.25">
      <c r="A86" s="85"/>
      <c r="B86" s="79"/>
      <c r="C86" s="86"/>
      <c r="D86" s="83" t="s">
        <v>526</v>
      </c>
      <c r="E86" s="81">
        <v>51.7</v>
      </c>
      <c r="F86" s="82" t="s">
        <v>47</v>
      </c>
      <c r="M86" s="83" t="s">
        <v>427</v>
      </c>
      <c r="N86" s="81">
        <v>34.799999999999997</v>
      </c>
      <c r="O86" s="82" t="s">
        <v>47</v>
      </c>
      <c r="P86" s="82" t="s">
        <v>737</v>
      </c>
      <c r="Q86" s="81">
        <v>2.97</v>
      </c>
      <c r="R86" s="82" t="s">
        <v>89</v>
      </c>
    </row>
    <row r="87" spans="1:18" ht="18" x14ac:dyDescent="0.25">
      <c r="A87" s="85"/>
      <c r="B87" s="79"/>
      <c r="C87" s="86"/>
      <c r="D87" s="83" t="s">
        <v>527</v>
      </c>
      <c r="E87" s="81">
        <v>127.8</v>
      </c>
      <c r="F87" s="82" t="s">
        <v>47</v>
      </c>
      <c r="M87" s="83" t="s">
        <v>428</v>
      </c>
      <c r="N87" s="81">
        <v>88.5</v>
      </c>
      <c r="O87" s="82" t="s">
        <v>47</v>
      </c>
      <c r="P87" s="82" t="s">
        <v>738</v>
      </c>
      <c r="Q87" s="81">
        <v>0.53</v>
      </c>
      <c r="R87" s="82" t="s">
        <v>89</v>
      </c>
    </row>
    <row r="88" spans="1:18" ht="18" x14ac:dyDescent="0.25">
      <c r="A88" s="85"/>
      <c r="B88" s="79"/>
      <c r="C88" s="86"/>
      <c r="D88" s="83" t="s">
        <v>528</v>
      </c>
      <c r="E88" s="94">
        <f>((EF_res_c*1*IRPT_res_c*AAF_res_c)+(EF_res_a*1*IRPT_res_a*AAF_res_a))</f>
        <v>38603.949999999997</v>
      </c>
      <c r="F88" s="82" t="s">
        <v>214</v>
      </c>
      <c r="M88" s="83" t="s">
        <v>429</v>
      </c>
      <c r="N88" s="94">
        <f>((EF_far_c*1*IRRI_far_c*AAF_far_c)+(EF_far_a*1*IRRI_far_a*AAF_far_a))</f>
        <v>28155.75</v>
      </c>
      <c r="O88" s="82" t="s">
        <v>214</v>
      </c>
      <c r="P88" s="82" t="s">
        <v>739</v>
      </c>
      <c r="Q88" s="81">
        <v>1</v>
      </c>
      <c r="R88" s="82"/>
    </row>
    <row r="89" spans="1:18" ht="18" x14ac:dyDescent="0.25">
      <c r="A89" s="85"/>
      <c r="B89" s="79"/>
      <c r="C89" s="86"/>
      <c r="D89" s="83" t="s">
        <v>529</v>
      </c>
      <c r="E89" s="81">
        <v>45.2</v>
      </c>
      <c r="F89" s="82" t="s">
        <v>47</v>
      </c>
      <c r="M89" s="83" t="s">
        <v>430</v>
      </c>
      <c r="N89" s="81">
        <v>27.5</v>
      </c>
      <c r="O89" s="82" t="s">
        <v>47</v>
      </c>
      <c r="P89" s="82" t="s">
        <v>740</v>
      </c>
      <c r="Q89" s="81">
        <v>1</v>
      </c>
      <c r="R89" s="82"/>
    </row>
    <row r="90" spans="1:18" ht="18" x14ac:dyDescent="0.25">
      <c r="A90" s="85"/>
      <c r="B90" s="79"/>
      <c r="C90" s="86"/>
      <c r="D90" s="83" t="s">
        <v>530</v>
      </c>
      <c r="E90" s="81">
        <v>64.8</v>
      </c>
      <c r="F90" s="82" t="s">
        <v>47</v>
      </c>
      <c r="M90" s="83" t="s">
        <v>431</v>
      </c>
      <c r="N90" s="81">
        <v>54.2</v>
      </c>
      <c r="O90" s="82" t="s">
        <v>47</v>
      </c>
    </row>
    <row r="91" spans="1:18" ht="18" x14ac:dyDescent="0.25">
      <c r="A91" s="85"/>
      <c r="B91" s="79"/>
      <c r="C91" s="86"/>
      <c r="D91" s="83" t="s">
        <v>531</v>
      </c>
      <c r="E91" s="94">
        <f>((EF_res_c*1*IRPU_res_c*AAF_res_c)+(EF_res_a*1*IRPU_res_a*AAF_res_a))</f>
        <v>21102.200000000004</v>
      </c>
      <c r="F91" s="82" t="s">
        <v>214</v>
      </c>
      <c r="K91" s="91"/>
      <c r="M91" s="83" t="s">
        <v>432</v>
      </c>
      <c r="N91" s="94">
        <f>((EF_far_c*1*IRSN_far_c*AAF_far_c)+(EF_far_a*1*IRSN_far_a*AAF_far_a))</f>
        <v>17568.25</v>
      </c>
      <c r="O91" s="82" t="s">
        <v>214</v>
      </c>
    </row>
    <row r="92" spans="1:18" ht="18" x14ac:dyDescent="0.25">
      <c r="A92" s="85"/>
      <c r="B92" s="79"/>
      <c r="C92" s="86"/>
      <c r="D92" s="83" t="s">
        <v>532</v>
      </c>
      <c r="E92" s="81">
        <v>28.8</v>
      </c>
      <c r="F92" s="82" t="s">
        <v>47</v>
      </c>
      <c r="K92" s="91"/>
      <c r="M92" s="83" t="s">
        <v>433</v>
      </c>
      <c r="N92" s="81">
        <v>25.3</v>
      </c>
      <c r="O92" s="82" t="s">
        <v>47</v>
      </c>
    </row>
    <row r="93" spans="1:18" ht="18" x14ac:dyDescent="0.25">
      <c r="A93" s="85"/>
      <c r="B93" s="79"/>
      <c r="C93" s="86"/>
      <c r="D93" s="83" t="s">
        <v>533</v>
      </c>
      <c r="E93" s="81">
        <v>73.2</v>
      </c>
      <c r="F93" s="82" t="s">
        <v>47</v>
      </c>
      <c r="K93" s="91"/>
      <c r="M93" s="83" t="s">
        <v>434</v>
      </c>
      <c r="N93" s="81">
        <v>40.5</v>
      </c>
      <c r="O93" s="82" t="s">
        <v>47</v>
      </c>
    </row>
    <row r="94" spans="1:18" ht="18" x14ac:dyDescent="0.25">
      <c r="A94" s="85"/>
      <c r="B94" s="79"/>
      <c r="C94" s="86"/>
      <c r="D94" s="83" t="s">
        <v>534</v>
      </c>
      <c r="E94" s="94">
        <f>((EF_res_c*1*IRRI_res_c*AAF_res_c)+(EF_res_a*1*IRRI_res_a*AAF_res_a))</f>
        <v>22045.800000000003</v>
      </c>
      <c r="F94" s="82" t="s">
        <v>214</v>
      </c>
      <c r="K94" s="91"/>
      <c r="M94" s="83" t="s">
        <v>435</v>
      </c>
      <c r="N94" s="94">
        <f>((EF_far_c*1*IRST_far_c*AAF_far_c)+(EF_far_a*1*IRST_far_a*AAF_far_a))</f>
        <v>13377</v>
      </c>
      <c r="O94" s="82" t="s">
        <v>214</v>
      </c>
    </row>
    <row r="95" spans="1:18" ht="18" x14ac:dyDescent="0.25">
      <c r="A95" s="85"/>
      <c r="B95" s="79"/>
      <c r="C95" s="86"/>
      <c r="D95" s="83" t="s">
        <v>535</v>
      </c>
      <c r="E95" s="81">
        <v>27.3</v>
      </c>
      <c r="F95" s="82" t="s">
        <v>47</v>
      </c>
      <c r="K95" s="91"/>
      <c r="M95" s="83" t="s">
        <v>436</v>
      </c>
      <c r="N95" s="81">
        <v>34.9</v>
      </c>
      <c r="O95" s="82" t="s">
        <v>47</v>
      </c>
    </row>
    <row r="96" spans="1:18" ht="18" x14ac:dyDescent="0.25">
      <c r="A96" s="85"/>
      <c r="B96" s="79"/>
      <c r="C96" s="86"/>
      <c r="D96" s="83" t="s">
        <v>536</v>
      </c>
      <c r="E96" s="81">
        <v>53.9</v>
      </c>
      <c r="F96" s="82" t="s">
        <v>47</v>
      </c>
      <c r="M96" s="83" t="s">
        <v>437</v>
      </c>
      <c r="N96" s="81">
        <v>94.2</v>
      </c>
      <c r="O96" s="82" t="s">
        <v>47</v>
      </c>
    </row>
    <row r="97" spans="1:15" ht="18" x14ac:dyDescent="0.25">
      <c r="A97" s="85"/>
      <c r="B97" s="78"/>
      <c r="C97" s="86"/>
      <c r="D97" s="83" t="s">
        <v>537</v>
      </c>
      <c r="E97" s="94">
        <f>((EF_res_c*1*IRSN_res_c*AAF_res_c)+(EF_res_a*1*IRSN_res_a*AAF_res_a))</f>
        <v>16723.7</v>
      </c>
      <c r="F97" s="82" t="s">
        <v>214</v>
      </c>
      <c r="K97" s="91"/>
      <c r="M97" s="83" t="s">
        <v>438</v>
      </c>
      <c r="N97" s="94">
        <f>((EF_far_c*1*IRTO_far_c*AAF_far_c)+(EF_far_a*1*IRTO_far_a*AAF_far_a))</f>
        <v>29856.75</v>
      </c>
      <c r="O97" s="82" t="s">
        <v>214</v>
      </c>
    </row>
    <row r="98" spans="1:15" ht="18" x14ac:dyDescent="0.25">
      <c r="A98" s="86"/>
      <c r="B98" s="80"/>
      <c r="C98" s="86"/>
      <c r="D98" s="83" t="s">
        <v>538</v>
      </c>
      <c r="E98" s="81">
        <v>25.3</v>
      </c>
      <c r="F98" s="82" t="s">
        <v>47</v>
      </c>
      <c r="K98" s="91"/>
      <c r="M98" s="82" t="s">
        <v>451</v>
      </c>
      <c r="N98" s="99">
        <v>1.6000000000000001E-4</v>
      </c>
    </row>
    <row r="99" spans="1:15" ht="18" x14ac:dyDescent="0.25">
      <c r="A99" s="86"/>
      <c r="B99" s="80"/>
      <c r="D99" s="83" t="s">
        <v>539</v>
      </c>
      <c r="E99" s="81">
        <v>40.5</v>
      </c>
      <c r="F99" s="82" t="s">
        <v>47</v>
      </c>
      <c r="M99" s="82" t="s">
        <v>452</v>
      </c>
      <c r="N99" s="99">
        <v>7.8999999999999996E-5</v>
      </c>
    </row>
    <row r="100" spans="1:15" ht="18" x14ac:dyDescent="0.25">
      <c r="A100" s="86"/>
      <c r="B100" s="80"/>
      <c r="D100" s="83" t="s">
        <v>540</v>
      </c>
      <c r="E100" s="94">
        <f>((EF_res_c*1*IRST_res_c*AAF_res_c)+(EF_res_a*1*IRST_res_a*AAF_res_a))</f>
        <v>12951.4</v>
      </c>
      <c r="F100" s="82" t="s">
        <v>214</v>
      </c>
      <c r="M100" s="82" t="s">
        <v>453</v>
      </c>
      <c r="N100" s="99">
        <v>1.3799999999999999E-4</v>
      </c>
    </row>
    <row r="101" spans="1:15" ht="18" x14ac:dyDescent="0.25">
      <c r="D101" s="83" t="s">
        <v>541</v>
      </c>
      <c r="E101" s="81">
        <v>29.7</v>
      </c>
      <c r="F101" s="82" t="s">
        <v>47</v>
      </c>
      <c r="M101" s="82" t="s">
        <v>454</v>
      </c>
      <c r="N101" s="99">
        <v>1.66E-4</v>
      </c>
    </row>
    <row r="102" spans="1:15" ht="18" x14ac:dyDescent="0.25">
      <c r="D102" s="83" t="s">
        <v>542</v>
      </c>
      <c r="E102" s="81">
        <v>80.3</v>
      </c>
      <c r="F102" s="82" t="s">
        <v>47</v>
      </c>
      <c r="M102" s="82" t="s">
        <v>455</v>
      </c>
      <c r="N102" s="99">
        <v>1.01E-3</v>
      </c>
    </row>
    <row r="103" spans="1:15" ht="18" x14ac:dyDescent="0.25">
      <c r="D103" s="83" t="s">
        <v>543</v>
      </c>
      <c r="E103" s="94">
        <f>((EF_res_c*1*IRTO_res_c*AAF_res_c)+(EF_res_a*1*IRTO_res_a*AAF_res_a))</f>
        <v>24031.7</v>
      </c>
      <c r="F103" s="82" t="s">
        <v>214</v>
      </c>
      <c r="M103" s="82" t="s">
        <v>456</v>
      </c>
      <c r="N103" s="99">
        <v>1.05E-4</v>
      </c>
    </row>
    <row r="104" spans="1:15" ht="18" x14ac:dyDescent="0.25">
      <c r="M104" s="82" t="s">
        <v>457</v>
      </c>
      <c r="N104" s="99">
        <v>9.7E-5</v>
      </c>
    </row>
    <row r="105" spans="1:15" ht="18" x14ac:dyDescent="0.25">
      <c r="M105" s="82" t="s">
        <v>458</v>
      </c>
      <c r="N105" s="99">
        <v>1.5699999999999999E-4</v>
      </c>
    </row>
    <row r="106" spans="1:15" ht="18" x14ac:dyDescent="0.25">
      <c r="M106" s="82" t="s">
        <v>459</v>
      </c>
      <c r="N106" s="99">
        <v>1.45E-4</v>
      </c>
    </row>
    <row r="107" spans="1:15" ht="18" x14ac:dyDescent="0.25">
      <c r="M107" s="82" t="s">
        <v>460</v>
      </c>
      <c r="N107" s="99">
        <v>4.0000000000000003E-5</v>
      </c>
    </row>
    <row r="108" spans="1:15" ht="18" x14ac:dyDescent="0.25">
      <c r="M108" s="82" t="s">
        <v>461</v>
      </c>
      <c r="N108" s="99">
        <v>1.35E-2</v>
      </c>
    </row>
    <row r="109" spans="1:15" ht="18" x14ac:dyDescent="0.25">
      <c r="M109" s="82" t="s">
        <v>462</v>
      </c>
      <c r="N109" s="99">
        <v>3.8300000000000001E-3</v>
      </c>
    </row>
    <row r="110" spans="1:15" ht="18" x14ac:dyDescent="0.25">
      <c r="M110" s="82" t="s">
        <v>463</v>
      </c>
      <c r="N110" s="99">
        <v>8.0000000000000007E-5</v>
      </c>
    </row>
    <row r="111" spans="1:15" ht="18" x14ac:dyDescent="0.25">
      <c r="M111" s="82" t="s">
        <v>464</v>
      </c>
      <c r="N111" s="99">
        <v>9.7E-5</v>
      </c>
    </row>
    <row r="112" spans="1:15" ht="18" x14ac:dyDescent="0.25">
      <c r="M112" s="82" t="s">
        <v>465</v>
      </c>
      <c r="N112" s="99">
        <v>1.4999999999999999E-4</v>
      </c>
    </row>
    <row r="113" spans="13:14" ht="18" x14ac:dyDescent="0.25">
      <c r="M113" s="82" t="s">
        <v>466</v>
      </c>
      <c r="N113" s="99">
        <v>1.6000000000000001E-4</v>
      </c>
    </row>
    <row r="114" spans="13:14" ht="18" x14ac:dyDescent="0.25">
      <c r="M114" s="82" t="s">
        <v>467</v>
      </c>
      <c r="N114" s="99">
        <v>1.7799999999999999E-4</v>
      </c>
    </row>
    <row r="115" spans="13:14" ht="18" x14ac:dyDescent="0.25">
      <c r="M115" s="82" t="s">
        <v>468</v>
      </c>
      <c r="N115" s="99">
        <v>2.1000000000000001E-4</v>
      </c>
    </row>
    <row r="116" spans="13:14" ht="18" x14ac:dyDescent="0.25">
      <c r="M116" s="82" t="s">
        <v>469</v>
      </c>
      <c r="N116" s="99">
        <v>5.8E-5</v>
      </c>
    </row>
    <row r="117" spans="13:14" ht="18" x14ac:dyDescent="0.25">
      <c r="M117" s="82" t="s">
        <v>470</v>
      </c>
      <c r="N117" s="99">
        <v>5.0000000000000001E-3</v>
      </c>
    </row>
    <row r="118" spans="13:14" ht="18" x14ac:dyDescent="0.25">
      <c r="M118" s="82" t="s">
        <v>471</v>
      </c>
      <c r="N118" s="99">
        <v>8.0000000000000007E-5</v>
      </c>
    </row>
    <row r="119" spans="13:14" ht="18" x14ac:dyDescent="0.25">
      <c r="M119" s="82" t="s">
        <v>472</v>
      </c>
      <c r="N119" s="99">
        <v>1.5900000000000001E-3</v>
      </c>
    </row>
    <row r="120" spans="13:14" ht="18" x14ac:dyDescent="0.25">
      <c r="M120" s="82" t="s">
        <v>473</v>
      </c>
      <c r="N120" s="99">
        <v>0.25</v>
      </c>
    </row>
    <row r="121" spans="13:14" ht="18" x14ac:dyDescent="0.25">
      <c r="M121" s="82" t="s">
        <v>474</v>
      </c>
      <c r="N121" s="99">
        <v>0.25</v>
      </c>
    </row>
  </sheetData>
  <sheetProtection algorithmName="SHA-512" hashValue="XWSyt6HCSjNSb03CNlqAGbmYKBPUuOBOe+h0VyUleZM/ro71Io2kPyOwTniJ6nko6/PnU+UYiBblV+1RY9joXA==" saltValue="lnzeFCYmydBEz9apZBrR5Q==" spinCount="100000" sheet="1" formatColumns="0" formatRows="0" autoFilter="0"/>
  <mergeCells count="6">
    <mergeCell ref="A1:C1"/>
    <mergeCell ref="P1:R1"/>
    <mergeCell ref="M1:O1"/>
    <mergeCell ref="J1:L1"/>
    <mergeCell ref="G1:I1"/>
    <mergeCell ref="D1:F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theme="9" tint="-0.499984740745262"/>
  </sheetPr>
  <dimension ref="A1:AO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2" bestFit="1" customWidth="1"/>
    <col min="2" max="2" width="11.5703125" style="2" bestFit="1" customWidth="1"/>
    <col min="3" max="3" width="14.42578125" style="2" bestFit="1" customWidth="1"/>
    <col min="4" max="4" width="14.5703125" style="2" bestFit="1" customWidth="1"/>
    <col min="5" max="5" width="14.28515625" style="2" bestFit="1" customWidth="1"/>
    <col min="6" max="6" width="19" style="2" bestFit="1" customWidth="1"/>
    <col min="7" max="7" width="16.140625" style="2" bestFit="1" customWidth="1"/>
    <col min="8" max="10" width="14.140625" style="2" bestFit="1" customWidth="1"/>
    <col min="11" max="11" width="14" style="2" bestFit="1" customWidth="1"/>
    <col min="12" max="12" width="18.42578125" style="2" bestFit="1" customWidth="1"/>
    <col min="13" max="13" width="14.28515625" style="2" bestFit="1" customWidth="1"/>
    <col min="14" max="14" width="13.5703125" style="2" bestFit="1" customWidth="1"/>
    <col min="15" max="16" width="15.42578125" style="2" bestFit="1" customWidth="1"/>
    <col min="17" max="17" width="16.42578125" style="2" bestFit="1" customWidth="1"/>
    <col min="18" max="18" width="13.85546875" style="2" bestFit="1" customWidth="1"/>
    <col min="19" max="19" width="13.140625" style="2" bestFit="1" customWidth="1"/>
    <col min="20" max="21" width="14.85546875" style="2" bestFit="1" customWidth="1"/>
    <col min="22" max="22" width="16" style="2" bestFit="1" customWidth="1"/>
    <col min="23" max="23" width="13.5703125" style="2" bestFit="1" customWidth="1"/>
    <col min="24" max="24" width="13.85546875" style="2" bestFit="1" customWidth="1"/>
    <col min="25" max="25" width="14.140625" style="2" bestFit="1" customWidth="1"/>
    <col min="26" max="26" width="13.28515625" style="2" bestFit="1" customWidth="1"/>
    <col min="27" max="27" width="13.42578125" style="2" bestFit="1" customWidth="1"/>
    <col min="28" max="28" width="13.85546875" style="2" bestFit="1" customWidth="1"/>
    <col min="29" max="29" width="13.7109375" style="2" bestFit="1" customWidth="1"/>
    <col min="30" max="30" width="14" style="2" bestFit="1" customWidth="1"/>
    <col min="31" max="31" width="14.140625" style="2" bestFit="1" customWidth="1"/>
    <col min="32" max="32" width="15" style="2" bestFit="1" customWidth="1"/>
    <col min="33" max="33" width="18.5703125" style="2" bestFit="1" customWidth="1"/>
    <col min="34" max="34" width="13.5703125" style="2" bestFit="1" customWidth="1"/>
    <col min="35" max="36" width="14.140625" style="2" bestFit="1" customWidth="1"/>
    <col min="37" max="37" width="15.140625" style="2" bestFit="1" customWidth="1"/>
    <col min="38" max="38" width="18.5703125" style="2" bestFit="1" customWidth="1"/>
    <col min="39" max="39" width="14.42578125" style="2" bestFit="1" customWidth="1"/>
    <col min="40" max="41" width="13.85546875" style="2" bestFit="1" customWidth="1"/>
    <col min="42" max="16384" width="9.140625" style="2"/>
  </cols>
  <sheetData>
    <row r="1" spans="1:41" x14ac:dyDescent="0.25">
      <c r="A1" s="140" t="s">
        <v>39</v>
      </c>
      <c r="B1" s="140" t="s">
        <v>335</v>
      </c>
      <c r="C1" s="141" t="s">
        <v>1146</v>
      </c>
      <c r="D1" s="141" t="s">
        <v>1147</v>
      </c>
      <c r="E1" s="141" t="s">
        <v>1148</v>
      </c>
      <c r="F1" s="141" t="s">
        <v>1152</v>
      </c>
      <c r="G1" s="141" t="s">
        <v>1180</v>
      </c>
      <c r="H1" s="141" t="s">
        <v>1149</v>
      </c>
      <c r="I1" s="144" t="s">
        <v>1202</v>
      </c>
      <c r="J1" s="144" t="s">
        <v>1203</v>
      </c>
      <c r="K1" s="144" t="s">
        <v>1204</v>
      </c>
      <c r="L1" s="144" t="s">
        <v>1205</v>
      </c>
      <c r="M1" s="143" t="s">
        <v>1206</v>
      </c>
      <c r="N1" s="129" t="s">
        <v>1197</v>
      </c>
      <c r="O1" s="129" t="s">
        <v>1198</v>
      </c>
      <c r="P1" s="129" t="s">
        <v>1199</v>
      </c>
      <c r="Q1" s="129" t="s">
        <v>1200</v>
      </c>
      <c r="R1" s="129" t="s">
        <v>1201</v>
      </c>
      <c r="S1" s="144" t="s">
        <v>1207</v>
      </c>
      <c r="T1" s="144" t="s">
        <v>1208</v>
      </c>
      <c r="U1" s="144" t="s">
        <v>1209</v>
      </c>
      <c r="V1" s="144" t="s">
        <v>1210</v>
      </c>
      <c r="W1" s="144" t="s">
        <v>1211</v>
      </c>
      <c r="X1" s="129" t="s">
        <v>1186</v>
      </c>
      <c r="Y1" s="129" t="s">
        <v>1187</v>
      </c>
      <c r="Z1" s="129" t="s">
        <v>1188</v>
      </c>
      <c r="AA1" s="144" t="s">
        <v>1212</v>
      </c>
      <c r="AB1" s="144" t="s">
        <v>1213</v>
      </c>
      <c r="AC1" s="143" t="s">
        <v>1214</v>
      </c>
      <c r="AD1" s="141" t="s">
        <v>1181</v>
      </c>
      <c r="AE1" s="141" t="s">
        <v>1182</v>
      </c>
      <c r="AF1" s="141" t="s">
        <v>1183</v>
      </c>
      <c r="AG1" s="141" t="s">
        <v>1189</v>
      </c>
      <c r="AH1" s="141" t="s">
        <v>1184</v>
      </c>
      <c r="AI1" s="144" t="s">
        <v>1216</v>
      </c>
      <c r="AJ1" s="144" t="s">
        <v>1217</v>
      </c>
      <c r="AK1" s="144" t="s">
        <v>1218</v>
      </c>
      <c r="AL1" s="144" t="s">
        <v>1219</v>
      </c>
      <c r="AM1" s="143" t="s">
        <v>1215</v>
      </c>
      <c r="AN1" s="129" t="s">
        <v>1185</v>
      </c>
      <c r="AO1" s="144" t="s">
        <v>1220</v>
      </c>
    </row>
    <row r="2" spans="1:41" x14ac:dyDescent="0.25">
      <c r="A2" s="128" t="s">
        <v>0</v>
      </c>
      <c r="B2" s="129" t="s">
        <v>1059</v>
      </c>
      <c r="C2" s="141">
        <f>IFERROR(((s_DL/(up_RadSpec!I2*s_IFS_res_adj*(1/1000)))*1),".")</f>
        <v>0.33057851239669422</v>
      </c>
      <c r="D2" s="141">
        <f>IFERROR(IF(A2="H-3",(s_DL/((up_RadSpec!L2*s_IFA_res_adj*(1/17)*1000))*1),(s_DL/((up_RadSpec!L2*s_IFA_res_adj*(1/s_PEF_wind)*1000))*1)),".")</f>
        <v>3089.9917845330979</v>
      </c>
      <c r="E2" s="141">
        <f>IFERROR((s_DL/(up_RadSpec!K2*s_EF_res*(1/365)*s_ED_res*up_RadSpec!V2*((s_ET_res_o*(1/24)*up_RadSpec!AA2)+(s_ET_res_i*(1/24)*up_RadSpec!AF2))))*1,".")</f>
        <v>939.40305308726374</v>
      </c>
      <c r="F2" s="141">
        <f>up_b2s!C2</f>
        <v>4.3958447178843029E-5</v>
      </c>
      <c r="G2" s="141">
        <f>up_dir!C2</f>
        <v>2.2038567493112948E-4</v>
      </c>
      <c r="H2" s="141">
        <f>(IF(AND(C2&lt;&gt;".",D2&lt;&gt;".",E2&lt;&gt;".",F2&lt;&gt;"."),1/((1/C2)+(1/D2)+(1/E2)+(1/F2)),IF(AND(C2&lt;&gt;".",D2&lt;&gt;".",E2&lt;&gt;".",F2="."), 1/((1/C2)+(1/D2)+(1/E2)),IF(AND(C2&lt;&gt;".",D2&lt;&gt;".",E2=".",F2&lt;&gt;"."),1/((1/C2)+(1/D2)+(1/F2)),IF(AND(C2&lt;&gt;".",D2=".",E2&lt;&gt;".",F2&lt;&gt;"."),1/((1/C2)+(1/E2)+(1/F2)),IF(AND(C2=".",D2&lt;&gt;".",E2&lt;&gt;".",F2&lt;&gt;"."),1/((1/D2)+(1/E2)+(1/F2)),IF(AND(C2&lt;&gt;".",D2&lt;&gt;".",E2=".",F2="."),1/((1/C2)+(1/D2)),IF(AND(C2&lt;&gt;".",D2=".",E2&lt;&gt;".",F2="."),1/((1/C2)+(1/E2)),IF(AND(C2&lt;&gt;".",D2=".",E2=".",F2&lt;&gt;"."),1/((1/C2)+(1/F2)),IF(AND(C2=".",D2=".",E2&lt;&gt;".",F2&lt;&gt;"."),1/((1/E2)+(1/F2)),IF(AND(C2=".",D2&lt;&gt;".",E2=".",F2&lt;&gt;"."),1/((1/D2)+(1/F2)),IF(AND(C2=".",D2&lt;&gt;".",E2&lt;&gt;".",F2="."),1/((1/D2)+(1/E2)),IF(AND(C2&lt;&gt;".",D2=".",E2=".",F2="."),1/((1/C2)),IF(AND(C2=".",D2&lt;&gt;".",E2=".",F2="."),1/((1/D2)),IF(AND(C2=".",D2=".",E2&lt;&gt;".",F2="."),1/((1/E2)),IF(AND(C2=".",D2=".",E2=".",F2&lt;&gt;"."),1/((1/F2)),IF(AND(C2=".",D2=".",E2=".",F2="."),".")))))))))))))))))</f>
        <v>4.3952599930522912E-5</v>
      </c>
      <c r="I2" s="142">
        <f t="shared" ref="I2:I30" si="0">s_C*s_IFS_res_adj*(1/1000)</f>
        <v>15.125</v>
      </c>
      <c r="J2" s="142">
        <f t="shared" ref="J2:J30" si="1">s_C*s_IFA_res_adj*(1/s_PEF_wind)*1000</f>
        <v>1.618127279505213E-3</v>
      </c>
      <c r="K2" s="142">
        <f>IFERROR((s_C*s_EF_res*(1/365)*s_ED_res*up_RadSpec!V2*((s_ET_res_o*(1/24)*up_RadSpec!AA2)+(s_ET_res_i*(1/24)*up_RadSpec!AF2))),".")</f>
        <v>5.3225290077224567E-3</v>
      </c>
      <c r="L2" s="142">
        <f>up_b2s!AB2</f>
        <v>113743.78125</v>
      </c>
      <c r="M2" s="141"/>
      <c r="N2" s="141">
        <f>IFERROR((s_DL/(up_RadSpec!K2*s_EF_res*(1/365)*s_ED_res*up_RadSpec!V2*((s_ET_res_o*(1/24)*up_RadSpec!AA2)+(s_ET_res_i*(1/24)*up_RadSpec!AF2))))*1,".")</f>
        <v>939.40305308726374</v>
      </c>
      <c r="O2" s="141">
        <f>IFERROR((s_DL/(up_RadSpec!R2*s_EF_res*(1/365)*s_ED_res*up_RadSpec!W2*((s_ET_res_o*(1/24)*up_RadSpec!AB2)+(s_ET_res_i*(1/24)*up_RadSpec!AG2))))*1,".")</f>
        <v>1899.412977947009</v>
      </c>
      <c r="P2" s="141">
        <f>IFERROR((s_DL/(up_RadSpec!S2*s_EF_res*(1/365)*s_ED_res*up_RadSpec!X2*((s_ET_res_o*(1/24)*up_RadSpec!AC2)+(s_ET_res_i*(1/24)*up_RadSpec!AH2))))*1,".")</f>
        <v>1290.059473237043</v>
      </c>
      <c r="Q2" s="141">
        <f>IFERROR((s_DL/(up_RadSpec!T2*s_EF_res*(1/365)*s_ED_res*up_RadSpec!Y2*((s_ET_res_o*(1/24)*up_RadSpec!AD2)+(s_ET_res_i*(1/24)*up_RadSpec!AI2))))*1,".")</f>
        <v>1072.3245527167094</v>
      </c>
      <c r="R2" s="141">
        <f>IFERROR((s_DL/(up_RadSpec!P2*s_EF_res*(1/365)*s_ED_res*up_RadSpec!U2*((s_ET_res_o*(1/24)*up_RadSpec!Z2)+(s_ET_res_i*(1/24)*up_RadSpec!AE2))))*1,".")</f>
        <v>15030.661116333202</v>
      </c>
      <c r="S2" s="142">
        <f>IFERROR((s_C*s_EF_res*(1/365)*s_ED_res*up_RadSpec!V2*((s_ET_res_o*(1/24)*up_RadSpec!AA2)+(s_ET_res_i*(1/24)*up_RadSpec!AF2))),".")</f>
        <v>5.3225290077224567E-3</v>
      </c>
      <c r="T2" s="142">
        <f>IFERROR((s_C*s_EF_res*(1/365)*s_ED_res*up_RadSpec!W2*((s_ET_res_o*(1/24)*up_RadSpec!AB2)+(s_ET_res_i*(1/24)*up_RadSpec!AG2))),".")</f>
        <v>2.6323922485800206E-3</v>
      </c>
      <c r="U2" s="142">
        <f>IFERROR((s_C*s_EF_res*(1/365)*s_ED_res*up_RadSpec!X2*((s_ET_res_o*(1/24)*up_RadSpec!AC2)+(s_ET_res_i*(1/24)*up_RadSpec!AH2))),".")</f>
        <v>3.8757903055848275E-3</v>
      </c>
      <c r="V2" s="142">
        <f>IFERROR((s_C*s_EF_res*(1/365)*s_ED_res*up_RadSpec!Y2*((s_ET_res_o*(1/24)*up_RadSpec!AD2)+(s_ET_res_i*(1/24)*up_RadSpec!AI2))),".")</f>
        <v>4.6627674311220573E-3</v>
      </c>
      <c r="W2" s="142">
        <f>IFERROR((s_C*s_EF_res*(1/365)*s_ED_res*up_RadSpec!U2*((s_ET_res_o*(1/24)*up_RadSpec!Z2)+(s_ET_res_i*(1/24)*up_RadSpec!AE2))),".")</f>
        <v>3.3265336509827271E-4</v>
      </c>
      <c r="X2" s="141">
        <f>IFERROR((s_DL/(up_RadSpec!L2*s_IFA_res_adj)),".")</f>
        <v>9.9740259740259754E-3</v>
      </c>
      <c r="Y2" s="141">
        <f>IFERROR((s_DL/(up_RadSpec!O2*s_EF_res*(1/365)*s_ED_res*s_ET_res*(1/24)*s_GSF_a)),".")</f>
        <v>15.927272727272728</v>
      </c>
      <c r="Z2" s="141">
        <f>IFERROR(IF(AND(X2&lt;&gt;".",Y2&lt;&gt;"."),1/((1/X2)+(1/Y2)),IF(AND(X2&lt;&gt;".",Y2="."),1/((1/X2)),IF(AND(X2=".",Y2&lt;&gt;"."),1/((1/Y2)),IF(AND(X2=".",Y2="."),".")))),".")</f>
        <v>9.9677839175609673E-3</v>
      </c>
      <c r="AA2" s="142">
        <f t="shared" ref="AA2:AA30" si="2">s_C*s_IFA_res_adj</f>
        <v>501.30208333333326</v>
      </c>
      <c r="AB2" s="142">
        <f t="shared" ref="AB2:AB30" si="3">IFERROR((s_C*s_EF_res*(1/365)*s_ED_res*s_ET_res*(1/24)*s_GSF_a),".")</f>
        <v>0.3139269406392694</v>
      </c>
      <c r="AC2" s="141"/>
      <c r="AD2" s="141">
        <f>IFERROR((s_DL/(up_RadSpec!M2*s_IFW_res_adj)),".")</f>
        <v>3.6363636363636364E-3</v>
      </c>
      <c r="AE2" s="141" t="str">
        <f>IFERROR(IF(up_RadSpec!C2=1,(s_DL/(up_RadSpec!L2*s_IFA_res_adj*s_K)),"."),".")</f>
        <v>.</v>
      </c>
      <c r="AF2" s="141">
        <f>IFERROR((s_DL/(up_RadSpec!Q2*(1/8760)*s_DFA_res_adj)),".")</f>
        <v>39.81818181818182</v>
      </c>
      <c r="AG2" s="141">
        <f>up_b2w!C2</f>
        <v>2.1924550381384044E-4</v>
      </c>
      <c r="AH2" s="141">
        <f>(IF(AND(AD2&lt;&gt;".",AE2&lt;&gt;".",AF2&lt;&gt;".",AG2&lt;&gt;"."),1/((1/AD2)+(1/AE2)+(1/AF2)+(1/AG2)),IF(AND(AD2&lt;&gt;".",AE2&lt;&gt;".",AF2&lt;&gt;".",AG2="."), 1/((1/AD2)+(1/AE2)+(1/AF2)),IF(AND(AD2&lt;&gt;".",AE2&lt;&gt;".",AF2=".",AG2&lt;&gt;"."),1/((1/AD2)+(1/AE2)+(1/AG2)),IF(AND(AD2&lt;&gt;".",AE2=".",AF2&lt;&gt;".",AG2&lt;&gt;"."),1/((1/AD2)+(1/AF2)+(1/AG2)),IF(AND(AD2=".",AE2&lt;&gt;".",AF2&lt;&gt;".",AG2&lt;&gt;"."),1/((1/AE2)+(1/AF2)+(1/AG2)),IF(AND(AD2&lt;&gt;".",AE2&lt;&gt;".",AF2=".",AG2="."),1/((1/AD2)+(1/AE2)),IF(AND(AD2&lt;&gt;".",AE2=".",AF2&lt;&gt;".",AG2="."),1/((1/AD2)+(1/AF2)),IF(AND(AD2&lt;&gt;".",AE2=".",AF2=".",AG2&lt;&gt;"."),1/((1/AD2)+(1/AG2)),IF(AND(AD2=".",AE2=".",AF2&lt;&gt;".",AG2&lt;&gt;"."),1/((1/AF2)+(1/AG2)),IF(AND(AD2=".",AE2&lt;&gt;".",AF2=".",AG2&lt;&gt;"."),1/((1/AE2)+(1/AG2)),IF(AND(AD2=".",AE2&lt;&gt;".",AF2&lt;&gt;".",AG2="."),1/((1/AE2)+(1/AF2)),IF(AND(AD2&lt;&gt;".",AE2=".",AF2=".",AG2="."),1/((1/AD2)),IF(AND(AD2=".",AE2&lt;&gt;".",AF2=".",AG2="."),1/((1/AE2)),IF(AND(AD2=".",AE2=".",AF2&lt;&gt;".",AG2="."),1/((1/AF2)),IF(AND(AD2=".",AE2=".",AF2=".",AG2&lt;&gt;"."),1/((1/AG2)),IF(AND(AD2=".",AE2=".",AF2=".",AG2="."),".")))))))))))))))))</f>
        <v>2.0677724539454526E-4</v>
      </c>
      <c r="AI2" s="142">
        <f t="shared" ref="AI2:AI30" si="4">s_C*s_IFW_res_adj</f>
        <v>1375</v>
      </c>
      <c r="AJ2" s="142">
        <f t="shared" ref="AJ2:AJ30" si="5">s_C*s_IFA_res_adj*s_K</f>
        <v>250.65104166666663</v>
      </c>
      <c r="AK2" s="142">
        <f t="shared" ref="AK2:AK30" si="6">s_C*(1/8760)*s_DFA_res_adj</f>
        <v>0.12557077625570776</v>
      </c>
      <c r="AL2" s="142">
        <f>up_b2w!AB2</f>
        <v>22805.4847785862</v>
      </c>
      <c r="AM2" s="141"/>
      <c r="AN2" s="141">
        <f>IFERROR(s_DL/(up_RadSpec!J2*s_EF_res*s_ED_res*s_IRF_res*0.001*s_CF_res_fish),".")</f>
        <v>6.6115702479338848E-4</v>
      </c>
      <c r="AO2" s="142">
        <f t="shared" ref="AO2:AO30" si="7">s_C*s_EF_res*s_ED_res*s_IRF_res*0.001*s_CF_res_fish</f>
        <v>7562.5</v>
      </c>
    </row>
    <row r="3" spans="1:41" x14ac:dyDescent="0.25">
      <c r="A3" s="131" t="s">
        <v>1</v>
      </c>
      <c r="B3" s="129" t="s">
        <v>336</v>
      </c>
      <c r="C3" s="141">
        <f>IFERROR(((s_DL/(up_RadSpec!I3*s_IFS_res_adj*(1/1000)))*1),".")</f>
        <v>0.33057851239669422</v>
      </c>
      <c r="D3" s="141">
        <f>IFERROR(IF(A3="H-3",(s_DL/((up_RadSpec!L3*s_IFA_res_adj*(1/17)*1000))*1),(s_DL/((up_RadSpec!L3*s_IFA_res_adj*(1/s_PEF_wind)*1000))*1)),".")</f>
        <v>3089.9917845330979</v>
      </c>
      <c r="E3" s="141">
        <f>IFERROR((s_DL/(up_RadSpec!K3*s_EF_res*(1/365)*s_ED_res*up_RadSpec!V3*((s_ET_res_o*(1/24)*up_RadSpec!AA3)+(s_ET_res_i*(1/24)*up_RadSpec!AF3))))*1,".")</f>
        <v>123246.7532467533</v>
      </c>
      <c r="F3" s="141">
        <f>up_b2s!C3</f>
        <v>4.3958447178843029E-5</v>
      </c>
      <c r="G3" s="141">
        <f>up_dir!C3</f>
        <v>2.2038567493112948E-4</v>
      </c>
      <c r="H3" s="141">
        <f t="shared" ref="H3:H10" si="8">(IF(AND(C3&lt;&gt;".",D3&lt;&gt;".",E3&lt;&gt;".",F3&lt;&gt;"."),1/((1/C3)+(1/D3)+(1/E3)+(1/F3)),IF(AND(C3&lt;&gt;".",D3&lt;&gt;".",E3&lt;&gt;".",F3="."), 1/((1/C3)+(1/D3)+(1/E3)),IF(AND(C3&lt;&gt;".",D3&lt;&gt;".",E3=".",F3&lt;&gt;"."),1/((1/C3)+(1/D3)+(1/F3)),IF(AND(C3&lt;&gt;".",D3=".",E3&lt;&gt;".",F3&lt;&gt;"."),1/((1/C3)+(1/E3)+(1/F3)),IF(AND(C3=".",D3&lt;&gt;".",E3&lt;&gt;".",F3&lt;&gt;"."),1/((1/D3)+(1/E3)+(1/F3)),IF(AND(C3&lt;&gt;".",D3&lt;&gt;".",E3=".",F3="."),1/((1/C3)+(1/D3)),IF(AND(C3&lt;&gt;".",D3=".",E3&lt;&gt;".",F3="."),1/((1/C3)+(1/E3)),IF(AND(C3&lt;&gt;".",D3=".",E3=".",F3&lt;&gt;"."),1/((1/C3)+(1/F3)),IF(AND(C3=".",D3=".",E3&lt;&gt;".",F3&lt;&gt;"."),1/((1/E3)+(1/F3)),IF(AND(C3=".",D3&lt;&gt;".",E3=".",F3&lt;&gt;"."),1/((1/D3)+(1/F3)),IF(AND(C3=".",D3&lt;&gt;".",E3&lt;&gt;".",F3="."),1/((1/D3)+(1/E3)),IF(AND(C3&lt;&gt;".",D3=".",E3=".",F3="."),1/((1/C3)),IF(AND(C3=".",D3&lt;&gt;".",E3=".",F3="."),1/((1/D3)),IF(AND(C3=".",D3=".",E3&lt;&gt;".",F3="."),1/((1/E3)),IF(AND(C3=".",D3=".",E3=".",F3&lt;&gt;"."),1/((1/F3)),IF(AND(C3=".",D3=".",E3=".",F3="."),".")))))))))))))))))</f>
        <v>4.3952601971293852E-5</v>
      </c>
      <c r="I3" s="142">
        <f t="shared" si="0"/>
        <v>15.125</v>
      </c>
      <c r="J3" s="142">
        <f t="shared" si="1"/>
        <v>1.618127279505213E-3</v>
      </c>
      <c r="K3" s="142">
        <f>IFERROR((s_C*s_EF_res*(1/365)*s_ED_res*up_RadSpec!V3*((s_ET_res_o*(1/24)*up_RadSpec!AA3)+(s_ET_res_i*(1/24)*up_RadSpec!AF3))),".")</f>
        <v>4.0569020021074795E-5</v>
      </c>
      <c r="L3" s="142">
        <f>up_b2s!AB3</f>
        <v>113743.78125</v>
      </c>
      <c r="M3" s="141"/>
      <c r="N3" s="141">
        <f>IFERROR((s_DL/(up_RadSpec!K3*s_EF_res*(1/365)*s_ED_res*up_RadSpec!V3*((s_ET_res_o*(1/24)*up_RadSpec!AA3)+(s_ET_res_i*(1/24)*up_RadSpec!AF3))))*1,".")</f>
        <v>123246.7532467533</v>
      </c>
      <c r="O3" s="141">
        <f>IFERROR((s_DL/(up_RadSpec!R3*s_EF_res*(1/365)*s_ED_res*up_RadSpec!W3*((s_ET_res_o*(1/24)*up_RadSpec!AB3)+(s_ET_res_i*(1/24)*up_RadSpec!AG3))))*1,".")</f>
        <v>172812.08406846816</v>
      </c>
      <c r="P3" s="141">
        <f>IFERROR((s_DL/(up_RadSpec!S3*s_EF_res*(1/365)*s_ED_res*up_RadSpec!X3*((s_ET_res_o*(1/24)*up_RadSpec!AC3)+(s_ET_res_i*(1/24)*up_RadSpec!AH3))))*1,".")</f>
        <v>131016.23974552155</v>
      </c>
      <c r="Q3" s="141">
        <f>IFERROR((s_DL/(up_RadSpec!T3*s_EF_res*(1/365)*s_ED_res*up_RadSpec!Y3*((s_ET_res_o*(1/24)*up_RadSpec!AD3)+(s_ET_res_i*(1/24)*up_RadSpec!AI3))))*1,".")</f>
        <v>135053.79742667874</v>
      </c>
      <c r="R3" s="141">
        <f>IFERROR((s_DL/(up_RadSpec!P3*s_EF_res*(1/365)*s_ED_res*up_RadSpec!U3*((s_ET_res_o*(1/24)*up_RadSpec!Z3)+(s_ET_res_i*(1/24)*up_RadSpec!AE3))))*1,".")</f>
        <v>267934.36349970242</v>
      </c>
      <c r="S3" s="142">
        <f>IFERROR((s_C*s_EF_res*(1/365)*s_ED_res*up_RadSpec!V3*((s_ET_res_o*(1/24)*up_RadSpec!AA3)+(s_ET_res_i*(1/24)*up_RadSpec!AF3))),".")</f>
        <v>4.0569020021074795E-5</v>
      </c>
      <c r="T3" s="142">
        <f>IFERROR((s_C*s_EF_res*(1/365)*s_ED_res*up_RadSpec!W3*((s_ET_res_o*(1/24)*up_RadSpec!AB3)+(s_ET_res_i*(1/24)*up_RadSpec!AG3))),".")</f>
        <v>2.8933161861638099E-5</v>
      </c>
      <c r="U3" s="142">
        <f>IFERROR((s_C*s_EF_res*(1/365)*s_ED_res*up_RadSpec!X3*((s_ET_res_o*(1/24)*up_RadSpec!AC3)+(s_ET_res_i*(1/24)*up_RadSpec!AH3))),".")</f>
        <v>3.8163207932938039E-5</v>
      </c>
      <c r="V3" s="142">
        <f>IFERROR((s_C*s_EF_res*(1/365)*s_ED_res*up_RadSpec!Y3*((s_ET_res_o*(1/24)*up_RadSpec!AD3)+(s_ET_res_i*(1/24)*up_RadSpec!AI3))),".")</f>
        <v>3.7022283677099273E-5</v>
      </c>
      <c r="W3" s="142">
        <f>IFERROR((s_C*s_EF_res*(1/365)*s_ED_res*up_RadSpec!U3*((s_ET_res_o*(1/24)*up_RadSpec!Z3)+(s_ET_res_i*(1/24)*up_RadSpec!AE3))),".")</f>
        <v>1.8661286796852221E-5</v>
      </c>
      <c r="X3" s="141">
        <f>IFERROR((s_DL/(up_RadSpec!L3*s_IFA_res_adj)),".")</f>
        <v>9.9740259740259754E-3</v>
      </c>
      <c r="Y3" s="141">
        <f>IFERROR((s_DL/(up_RadSpec!O3*s_EF_res*(1/365)*s_ED_res*s_ET_res*(1/24)*s_GSF_a)),".")</f>
        <v>15.927272727272728</v>
      </c>
      <c r="Z3" s="141">
        <f>IFERROR(IF(AND(X3&lt;&gt;".",Y3&lt;&gt;"."),1/((1/X3)+(1/Y3)),IF(AND(X3&lt;&gt;".",Y3="."),1/((1/X3)),IF(AND(X3=".",Y3&lt;&gt;"."),1/((1/Y3)),IF(AND(X3=".",Y3="."),".")))),".")</f>
        <v>9.9677839175609673E-3</v>
      </c>
      <c r="AA3" s="142">
        <f t="shared" si="2"/>
        <v>501.30208333333326</v>
      </c>
      <c r="AB3" s="142">
        <f t="shared" si="3"/>
        <v>0.3139269406392694</v>
      </c>
      <c r="AC3" s="141"/>
      <c r="AD3" s="141">
        <f>IFERROR((s_DL/(up_RadSpec!M3*s_IFW_res_adj)),".")</f>
        <v>3.6363636363636364E-3</v>
      </c>
      <c r="AE3" s="141" t="str">
        <f>IFERROR(IF(up_RadSpec!C3=1,(s_DL/(up_RadSpec!L3*s_IFA_res_adj*s_K)),"."),".")</f>
        <v>.</v>
      </c>
      <c r="AF3" s="141">
        <f>IFERROR((s_DL/(up_RadSpec!Q3*(1/8760)*s_DFA_res_adj)),".")</f>
        <v>39.81818181818182</v>
      </c>
      <c r="AG3" s="141">
        <f>up_b2w!C3</f>
        <v>2.1924550381384044E-4</v>
      </c>
      <c r="AH3" s="141">
        <f>(IF(AND(AD3&lt;&gt;".",AE3&lt;&gt;".",AF3&lt;&gt;".",AG3&lt;&gt;"."),1/((1/AD3)+(1/AE3)+(1/AF3)+(1/AG3)),IF(AND(AD3&lt;&gt;".",AE3&lt;&gt;".",AF3&lt;&gt;".",AG3="."), 1/((1/AD3)+(1/AE3)+(1/AF3)),IF(AND(AD3&lt;&gt;".",AE3&lt;&gt;".",AF3=".",AG3&lt;&gt;"."),1/((1/AD3)+(1/AE3)+(1/AG3)),IF(AND(AD3&lt;&gt;".",AE3=".",AF3&lt;&gt;".",AG3&lt;&gt;"."),1/((1/AD3)+(1/AF3)+(1/AG3)),IF(AND(AD3=".",AE3&lt;&gt;".",AF3&lt;&gt;".",AG3&lt;&gt;"."),1/((1/AE3)+(1/AF3)+(1/AG3)),IF(AND(AD3&lt;&gt;".",AE3&lt;&gt;".",AF3=".",AG3="."),1/((1/AD3)+(1/AE3)),IF(AND(AD3&lt;&gt;".",AE3=".",AF3&lt;&gt;".",AG3="."),1/((1/AD3)+(1/AF3)),IF(AND(AD3&lt;&gt;".",AE3=".",AF3=".",AG3&lt;&gt;"."),1/((1/AD3)+(1/AG3)),IF(AND(AD3=".",AE3=".",AF3&lt;&gt;".",AG3&lt;&gt;"."),1/((1/AF3)+(1/AG3)),IF(AND(AD3=".",AE3&lt;&gt;".",AF3=".",AG3&lt;&gt;"."),1/((1/AE3)+(1/AG3)),IF(AND(AD3=".",AE3&lt;&gt;".",AF3&lt;&gt;".",AG3="."),1/((1/AE3)+(1/AF3)),IF(AND(AD3&lt;&gt;".",AE3=".",AF3=".",AG3="."),1/((1/AD3)),IF(AND(AD3=".",AE3&lt;&gt;".",AF3=".",AG3="."),1/((1/AE3)),IF(AND(AD3=".",AE3=".",AF3&lt;&gt;".",AG3="."),1/((1/AF3)),IF(AND(AD3=".",AE3=".",AF3=".",AG3&lt;&gt;"."),1/((1/AG3)),IF(AND(AD3=".",AE3=".",AF3=".",AG3="."),".")))))))))))))))))</f>
        <v>2.0677724539454526E-4</v>
      </c>
      <c r="AI3" s="142">
        <f t="shared" si="4"/>
        <v>1375</v>
      </c>
      <c r="AJ3" s="142">
        <f t="shared" si="5"/>
        <v>250.65104166666663</v>
      </c>
      <c r="AK3" s="142">
        <f t="shared" si="6"/>
        <v>0.12557077625570776</v>
      </c>
      <c r="AL3" s="142">
        <f>up_b2w!AB3</f>
        <v>22805.4847785862</v>
      </c>
      <c r="AM3" s="141"/>
      <c r="AN3" s="141">
        <f>IFERROR(s_DL/(up_RadSpec!J3*s_EF_res*s_ED_res*s_IRF_res*0.001*s_CF_res_fish),".")</f>
        <v>6.6115702479338848E-4</v>
      </c>
      <c r="AO3" s="142">
        <f t="shared" si="7"/>
        <v>7562.5</v>
      </c>
    </row>
    <row r="4" spans="1:41" x14ac:dyDescent="0.25">
      <c r="A4" s="128" t="s">
        <v>2</v>
      </c>
      <c r="B4" s="129" t="s">
        <v>1059</v>
      </c>
      <c r="C4" s="141">
        <f>IFERROR(((s_DL/(up_RadSpec!I4*s_IFS_res_adj*(1/1000)))*1),".")</f>
        <v>0.33057851239669422</v>
      </c>
      <c r="D4" s="141">
        <f>IFERROR(IF(A4="H-3",(s_DL/((up_RadSpec!L4*s_IFA_res_adj*(1/17)*1000))*1),(s_DL/((up_RadSpec!L4*s_IFA_res_adj*(1/s_PEF_wind)*1000))*1)),".")</f>
        <v>3089.9917845330979</v>
      </c>
      <c r="E4" s="141">
        <f>IFERROR((s_DL/(up_RadSpec!K4*s_EF_res*(1/365)*s_ED_res*up_RadSpec!V4*((s_ET_res_o*(1/24)*up_RadSpec!AA4)+(s_ET_res_i*(1/24)*up_RadSpec!AF4))))*1,".")</f>
        <v>458.81032547699226</v>
      </c>
      <c r="F4" s="141">
        <f>up_b2s!C4</f>
        <v>4.3958447178843029E-5</v>
      </c>
      <c r="G4" s="141">
        <f>up_dir!C4</f>
        <v>2.2038567493112948E-4</v>
      </c>
      <c r="H4" s="141">
        <f t="shared" si="8"/>
        <v>4.3952597776446204E-5</v>
      </c>
      <c r="I4" s="142">
        <f t="shared" si="0"/>
        <v>15.125</v>
      </c>
      <c r="J4" s="142">
        <f t="shared" si="1"/>
        <v>1.618127279505213E-3</v>
      </c>
      <c r="K4" s="142">
        <f>IFERROR((s_C*s_EF_res*(1/365)*s_ED_res*up_RadSpec!V4*((s_ET_res_o*(1/24)*up_RadSpec!AA4)+(s_ET_res_i*(1/24)*up_RadSpec!AF4))),".")</f>
        <v>1.0897749510763206E-2</v>
      </c>
      <c r="L4" s="142">
        <f>up_b2s!AB4</f>
        <v>113743.78125</v>
      </c>
      <c r="M4" s="141"/>
      <c r="N4" s="141">
        <f>IFERROR((s_DL/(up_RadSpec!K4*s_EF_res*(1/365)*s_ED_res*up_RadSpec!V4*((s_ET_res_o*(1/24)*up_RadSpec!AA4)+(s_ET_res_i*(1/24)*up_RadSpec!AF4))))*1,".")</f>
        <v>458.81032547699226</v>
      </c>
      <c r="O4" s="141">
        <f>IFERROR((s_DL/(up_RadSpec!R4*s_EF_res*(1/365)*s_ED_res*up_RadSpec!W4*((s_ET_res_o*(1/24)*up_RadSpec!AB4)+(s_ET_res_i*(1/24)*up_RadSpec!AG4))))*1,".")</f>
        <v>748.71794871794896</v>
      </c>
      <c r="P4" s="141">
        <f>IFERROR((s_DL/(up_RadSpec!S4*s_EF_res*(1/365)*s_ED_res*up_RadSpec!X4*((s_ET_res_o*(1/24)*up_RadSpec!AC4)+(s_ET_res_i*(1/24)*up_RadSpec!AH4))))*1,".")</f>
        <v>538.60342555994714</v>
      </c>
      <c r="Q4" s="141">
        <f>IFERROR((s_DL/(up_RadSpec!T4*s_EF_res*(1/365)*s_ED_res*up_RadSpec!Y4*((s_ET_res_o*(1/24)*up_RadSpec!AD4)+(s_ET_res_i*(1/24)*up_RadSpec!AI4))))*1,".")</f>
        <v>468.85231426294234</v>
      </c>
      <c r="R4" s="141">
        <f>IFERROR((s_DL/(up_RadSpec!P4*s_EF_res*(1/365)*s_ED_res*up_RadSpec!U4*((s_ET_res_o*(1/24)*up_RadSpec!Z4)+(s_ET_res_i*(1/24)*up_RadSpec!AE4))))*1,".")</f>
        <v>1382.7035962958289</v>
      </c>
      <c r="S4" s="142">
        <f>IFERROR((s_C*s_EF_res*(1/365)*s_ED_res*up_RadSpec!V4*((s_ET_res_o*(1/24)*up_RadSpec!AA4)+(s_ET_res_i*(1/24)*up_RadSpec!AF4))),".")</f>
        <v>1.0897749510763206E-2</v>
      </c>
      <c r="T4" s="142">
        <f>IFERROR((s_C*s_EF_res*(1/365)*s_ED_res*up_RadSpec!W4*((s_ET_res_o*(1/24)*up_RadSpec!AB4)+(s_ET_res_i*(1/24)*up_RadSpec!AG4))),".")</f>
        <v>6.6780821917808196E-3</v>
      </c>
      <c r="U4" s="142">
        <f>IFERROR((s_C*s_EF_res*(1/365)*s_ED_res*up_RadSpec!X4*((s_ET_res_o*(1/24)*up_RadSpec!AC4)+(s_ET_res_i*(1/24)*up_RadSpec!AH4))),".")</f>
        <v>9.2832681017612547E-3</v>
      </c>
      <c r="V4" s="142">
        <f>IFERROR((s_C*s_EF_res*(1/365)*s_ED_res*up_RadSpec!Y4*((s_ET_res_o*(1/24)*up_RadSpec!AD4)+(s_ET_res_i*(1/24)*up_RadSpec!AI4))),".")</f>
        <v>1.0664338956842375E-2</v>
      </c>
      <c r="W4" s="142">
        <f>IFERROR((s_C*s_EF_res*(1/365)*s_ED_res*up_RadSpec!U4*((s_ET_res_o*(1/24)*up_RadSpec!Z4)+(s_ET_res_i*(1/24)*up_RadSpec!AE4))),".")</f>
        <v>3.6161039961092657E-3</v>
      </c>
      <c r="X4" s="141">
        <f>IFERROR((s_DL/(up_RadSpec!L4*s_IFA_res_adj)),".")</f>
        <v>9.9740259740259754E-3</v>
      </c>
      <c r="Y4" s="141">
        <f>IFERROR((s_DL/(up_RadSpec!O4*s_EF_res*(1/365)*s_ED_res*s_ET_res*(1/24)*s_GSF_a)),".")</f>
        <v>15.927272727272728</v>
      </c>
      <c r="Z4" s="141">
        <f t="shared" ref="Z4:Z16" si="9">IFERROR(IF(AND(X4&lt;&gt;".",Y4&lt;&gt;"."),1/((1/X4)+(1/Y4)),IF(AND(X4&lt;&gt;".",Y4="."),1/((1/X4)),IF(AND(X4=".",Y4&lt;&gt;"."),1/((1/Y4)),IF(AND(X4=".",Y4="."),".")))),".")</f>
        <v>9.9677839175609673E-3</v>
      </c>
      <c r="AA4" s="142">
        <f t="shared" si="2"/>
        <v>501.30208333333326</v>
      </c>
      <c r="AB4" s="142">
        <f t="shared" si="3"/>
        <v>0.3139269406392694</v>
      </c>
      <c r="AC4" s="141"/>
      <c r="AD4" s="141">
        <f>IFERROR((s_DL/(up_RadSpec!M4*s_IFW_res_adj)),".")</f>
        <v>3.6363636363636364E-3</v>
      </c>
      <c r="AE4" s="141" t="str">
        <f>IFERROR(IF(up_RadSpec!C4=1,(s_DL/(up_RadSpec!L4*s_IFA_res_adj*s_K)),"."),".")</f>
        <v>.</v>
      </c>
      <c r="AF4" s="141">
        <f>IFERROR((s_DL/(up_RadSpec!Q4*(1/8760)*s_DFA_res_adj)),".")</f>
        <v>39.81818181818182</v>
      </c>
      <c r="AG4" s="141">
        <f>up_b2w!C4</f>
        <v>2.1924550381384044E-4</v>
      </c>
      <c r="AH4" s="141">
        <f t="shared" ref="AH4:AH5" si="10">(IF(AND(AD4&lt;&gt;".",AE4&lt;&gt;".",AF4&lt;&gt;".",AG4&lt;&gt;"."),1/((1/AD4)+(1/AE4)+(1/AF4)+(1/AG4)),IF(AND(AD4&lt;&gt;".",AE4&lt;&gt;".",AF4&lt;&gt;".",AG4="."), 1/((1/AD4)+(1/AE4)+(1/AF4)),IF(AND(AD4&lt;&gt;".",AE4&lt;&gt;".",AF4=".",AG4&lt;&gt;"."),1/((1/AD4)+(1/AE4)+(1/AG4)),IF(AND(AD4&lt;&gt;".",AE4=".",AF4&lt;&gt;".",AG4&lt;&gt;"."),1/((1/AD4)+(1/AF4)+(1/AG4)),IF(AND(AD4=".",AE4&lt;&gt;".",AF4&lt;&gt;".",AG4&lt;&gt;"."),1/((1/AE4)+(1/AF4)+(1/AG4)),IF(AND(AD4&lt;&gt;".",AE4&lt;&gt;".",AF4=".",AG4="."),1/((1/AD4)+(1/AE4)),IF(AND(AD4&lt;&gt;".",AE4=".",AF4&lt;&gt;".",AG4="."),1/((1/AD4)+(1/AF4)),IF(AND(AD4&lt;&gt;".",AE4=".",AF4=".",AG4&lt;&gt;"."),1/((1/AD4)+(1/AG4)),IF(AND(AD4=".",AE4=".",AF4&lt;&gt;".",AG4&lt;&gt;"."),1/((1/AF4)+(1/AG4)),IF(AND(AD4=".",AE4&lt;&gt;".",AF4=".",AG4&lt;&gt;"."),1/((1/AE4)+(1/AG4)),IF(AND(AD4=".",AE4&lt;&gt;".",AF4&lt;&gt;".",AG4="."),1/((1/AE4)+(1/AF4)),IF(AND(AD4&lt;&gt;".",AE4=".",AF4=".",AG4="."),1/((1/AD4)),IF(AND(AD4=".",AE4&lt;&gt;".",AF4=".",AG4="."),1/((1/AE4)),IF(AND(AD4=".",AE4=".",AF4&lt;&gt;".",AG4="."),1/((1/AF4)),IF(AND(AD4=".",AE4=".",AF4=".",AG4&lt;&gt;"."),1/((1/AG4)),IF(AND(AD4=".",AE4=".",AF4=".",AG4="."),".")))))))))))))))))</f>
        <v>2.0677724539454526E-4</v>
      </c>
      <c r="AI4" s="142">
        <f t="shared" si="4"/>
        <v>1375</v>
      </c>
      <c r="AJ4" s="142">
        <f t="shared" si="5"/>
        <v>250.65104166666663</v>
      </c>
      <c r="AK4" s="142">
        <f t="shared" si="6"/>
        <v>0.12557077625570776</v>
      </c>
      <c r="AL4" s="142">
        <f>up_b2w!AB4</f>
        <v>22805.4847785862</v>
      </c>
      <c r="AM4" s="141"/>
      <c r="AN4" s="141">
        <f>IFERROR(s_DL/(up_RadSpec!J4*s_EF_res*s_ED_res*s_IRF_res*0.001*s_CF_res_fish),".")</f>
        <v>6.6115702479338848E-4</v>
      </c>
      <c r="AO4" s="142">
        <f t="shared" si="7"/>
        <v>7562.5</v>
      </c>
    </row>
    <row r="5" spans="1:41" x14ac:dyDescent="0.25">
      <c r="A5" s="128" t="s">
        <v>3</v>
      </c>
      <c r="B5" s="129" t="s">
        <v>1059</v>
      </c>
      <c r="C5" s="141">
        <f>IFERROR(((s_DL/(up_RadSpec!I5*s_IFS_res_adj*(1/1000)))*1),".")</f>
        <v>0.33057851239669422</v>
      </c>
      <c r="D5" s="141">
        <f>IFERROR(IF(A5="H-3",(s_DL/((up_RadSpec!L5*s_IFA_res_adj*(1/17)*1000))*1),(s_DL/((up_RadSpec!L5*s_IFA_res_adj*(1/s_PEF_wind)*1000))*1)),".")</f>
        <v>3089.9917845330979</v>
      </c>
      <c r="E5" s="141" t="str">
        <f>IFERROR((s_DL/(up_RadSpec!K5*s_EF_res*(1/365)*s_ED_res*up_RadSpec!V5*((s_ET_res_o*(1/24)*up_RadSpec!AA5)+(s_ET_res_i*(1/24)*up_RadSpec!AF5))))*1,".")</f>
        <v>.</v>
      </c>
      <c r="F5" s="141">
        <f>up_b2s!C5</f>
        <v>4.3958447178843029E-5</v>
      </c>
      <c r="G5" s="141">
        <f>up_dir!C5</f>
        <v>2.2038567493112948E-4</v>
      </c>
      <c r="H5" s="141">
        <f t="shared" si="8"/>
        <v>4.3952601986968353E-5</v>
      </c>
      <c r="I5" s="142">
        <f t="shared" si="0"/>
        <v>15.125</v>
      </c>
      <c r="J5" s="142">
        <f t="shared" si="1"/>
        <v>1.618127279505213E-3</v>
      </c>
      <c r="K5" s="142">
        <f>IFERROR((s_C*s_EF_res*(1/365)*s_ED_res*up_RadSpec!V5*((s_ET_res_o*(1/24)*up_RadSpec!AA5)+(s_ET_res_i*(1/24)*up_RadSpec!AF5))),".")</f>
        <v>0</v>
      </c>
      <c r="L5" s="142">
        <f>up_b2s!AB5</f>
        <v>113743.78125</v>
      </c>
      <c r="M5" s="141"/>
      <c r="N5" s="141" t="str">
        <f>IFERROR((s_DL/(up_RadSpec!K5*s_EF_res*(1/365)*s_ED_res*up_RadSpec!V5*((s_ET_res_o*(1/24)*up_RadSpec!AA5)+(s_ET_res_i*(1/24)*up_RadSpec!AF5))))*1,".")</f>
        <v>.</v>
      </c>
      <c r="O5" s="141" t="str">
        <f>IFERROR((s_DL/(up_RadSpec!R5*s_EF_res*(1/365)*s_ED_res*up_RadSpec!W5*((s_ET_res_o*(1/24)*up_RadSpec!AB5)+(s_ET_res_i*(1/24)*up_RadSpec!AG5))))*1,".")</f>
        <v>.</v>
      </c>
      <c r="P5" s="141" t="str">
        <f>IFERROR((s_DL/(up_RadSpec!S5*s_EF_res*(1/365)*s_ED_res*up_RadSpec!X5*((s_ET_res_o*(1/24)*up_RadSpec!AC5)+(s_ET_res_i*(1/24)*up_RadSpec!AH5))))*1,".")</f>
        <v>.</v>
      </c>
      <c r="Q5" s="141" t="str">
        <f>IFERROR((s_DL/(up_RadSpec!T5*s_EF_res*(1/365)*s_ED_res*up_RadSpec!Y5*((s_ET_res_o*(1/24)*up_RadSpec!AD5)+(s_ET_res_i*(1/24)*up_RadSpec!AI5))))*1,".")</f>
        <v>.</v>
      </c>
      <c r="R5" s="141" t="str">
        <f>IFERROR((s_DL/(up_RadSpec!P5*s_EF_res*(1/365)*s_ED_res*up_RadSpec!U5*((s_ET_res_o*(1/24)*up_RadSpec!Z5)+(s_ET_res_i*(1/24)*up_RadSpec!AE5))))*1,".")</f>
        <v>.</v>
      </c>
      <c r="S5" s="142">
        <f>IFERROR((s_C*s_EF_res*(1/365)*s_ED_res*up_RadSpec!V5*((s_ET_res_o*(1/24)*up_RadSpec!AA5)+(s_ET_res_i*(1/24)*up_RadSpec!AF5))),".")</f>
        <v>0</v>
      </c>
      <c r="T5" s="142">
        <f>IFERROR((s_C*s_EF_res*(1/365)*s_ED_res*up_RadSpec!W5*((s_ET_res_o*(1/24)*up_RadSpec!AB5)+(s_ET_res_i*(1/24)*up_RadSpec!AG5))),".")</f>
        <v>0</v>
      </c>
      <c r="U5" s="142">
        <f>IFERROR((s_C*s_EF_res*(1/365)*s_ED_res*up_RadSpec!X5*((s_ET_res_o*(1/24)*up_RadSpec!AC5)+(s_ET_res_i*(1/24)*up_RadSpec!AH5))),".")</f>
        <v>0</v>
      </c>
      <c r="V5" s="142">
        <f>IFERROR((s_C*s_EF_res*(1/365)*s_ED_res*up_RadSpec!Y5*((s_ET_res_o*(1/24)*up_RadSpec!AD5)+(s_ET_res_i*(1/24)*up_RadSpec!AI5))),".")</f>
        <v>0</v>
      </c>
      <c r="W5" s="142">
        <f>IFERROR((s_C*s_EF_res*(1/365)*s_ED_res*up_RadSpec!U5*((s_ET_res_o*(1/24)*up_RadSpec!Z5)+(s_ET_res_i*(1/24)*up_RadSpec!AE5))),".")</f>
        <v>0</v>
      </c>
      <c r="X5" s="141">
        <f>IFERROR((s_DL/(up_RadSpec!L5*s_IFA_res_adj)),".")</f>
        <v>9.9740259740259754E-3</v>
      </c>
      <c r="Y5" s="141">
        <f>IFERROR((s_DL/(up_RadSpec!O5*s_EF_res*(1/365)*s_ED_res*s_ET_res*(1/24)*s_GSF_a)),".")</f>
        <v>15.927272727272728</v>
      </c>
      <c r="Z5" s="141">
        <f t="shared" si="9"/>
        <v>9.9677839175609673E-3</v>
      </c>
      <c r="AA5" s="142">
        <f t="shared" si="2"/>
        <v>501.30208333333326</v>
      </c>
      <c r="AB5" s="142">
        <f t="shared" si="3"/>
        <v>0.3139269406392694</v>
      </c>
      <c r="AC5" s="141"/>
      <c r="AD5" s="141">
        <f>IFERROR((s_DL/(up_RadSpec!M5*s_IFW_res_adj)),".")</f>
        <v>3.6363636363636364E-3</v>
      </c>
      <c r="AE5" s="141" t="str">
        <f>IFERROR(IF(up_RadSpec!C5=1,(s_DL/(up_RadSpec!L5*s_IFA_res_adj*s_K)),"."),".")</f>
        <v>.</v>
      </c>
      <c r="AF5" s="141">
        <f>IFERROR((s_DL/(up_RadSpec!Q5*(1/8760)*s_DFA_res_adj)),".")</f>
        <v>39.81818181818182</v>
      </c>
      <c r="AG5" s="141">
        <f>up_b2w!C5</f>
        <v>2.1924550381384044E-4</v>
      </c>
      <c r="AH5" s="141">
        <f t="shared" si="10"/>
        <v>2.0677724539454526E-4</v>
      </c>
      <c r="AI5" s="142">
        <f t="shared" si="4"/>
        <v>1375</v>
      </c>
      <c r="AJ5" s="142">
        <f t="shared" si="5"/>
        <v>250.65104166666663</v>
      </c>
      <c r="AK5" s="142">
        <f t="shared" si="6"/>
        <v>0.12557077625570776</v>
      </c>
      <c r="AL5" s="142">
        <f>up_b2w!AB5</f>
        <v>22805.4847785862</v>
      </c>
      <c r="AM5" s="141"/>
      <c r="AN5" s="141">
        <f>IFERROR(s_DL/(up_RadSpec!J5*s_EF_res*s_ED_res*s_IRF_res*0.001*s_CF_res_fish),".")</f>
        <v>6.6115702479338848E-4</v>
      </c>
      <c r="AO5" s="142">
        <f t="shared" si="7"/>
        <v>7562.5</v>
      </c>
    </row>
    <row r="6" spans="1:41" x14ac:dyDescent="0.25">
      <c r="A6" s="128" t="s">
        <v>4</v>
      </c>
      <c r="B6" s="129" t="s">
        <v>1059</v>
      </c>
      <c r="C6" s="141">
        <f>IFERROR(((s_DL/(up_RadSpec!I6*s_IFS_res_adj*(1/1000)))*1),".")</f>
        <v>0.33057851239669422</v>
      </c>
      <c r="D6" s="141">
        <f>IFERROR(IF(A6="H-3",(s_DL/((up_RadSpec!L6*s_IFA_res_adj*(1/17)*1000))*1),(s_DL/((up_RadSpec!L6*s_IFA_res_adj*(1/s_PEF_wind)*1000))*1)),".")</f>
        <v>3089.9917845330979</v>
      </c>
      <c r="E6" s="141">
        <f>IFERROR((s_DL/(up_RadSpec!K6*s_EF_res*(1/365)*s_ED_res*up_RadSpec!V6*((s_ET_res_o*(1/24)*up_RadSpec!AA6)+(s_ET_res_i*(1/24)*up_RadSpec!AF6))))*1,".")</f>
        <v>235.81516264443084</v>
      </c>
      <c r="F6" s="141">
        <f>up_b2s!C6</f>
        <v>4.3958447178843029E-5</v>
      </c>
      <c r="G6" s="141">
        <f>up_dir!C6</f>
        <v>2.2038567493112948E-4</v>
      </c>
      <c r="H6" s="141">
        <f t="shared" si="8"/>
        <v>4.395259379482821E-5</v>
      </c>
      <c r="I6" s="142">
        <f t="shared" si="0"/>
        <v>15.125</v>
      </c>
      <c r="J6" s="142">
        <f t="shared" si="1"/>
        <v>1.618127279505213E-3</v>
      </c>
      <c r="K6" s="142">
        <f>IFERROR((s_C*s_EF_res*(1/365)*s_ED_res*up_RadSpec!V6*((s_ET_res_o*(1/24)*up_RadSpec!AA6)+(s_ET_res_i*(1/24)*up_RadSpec!AF6))),".")</f>
        <v>2.1203047098117052E-2</v>
      </c>
      <c r="L6" s="142">
        <f>up_b2s!AB6</f>
        <v>113743.78125</v>
      </c>
      <c r="M6" s="141"/>
      <c r="N6" s="141">
        <f>IFERROR((s_DL/(up_RadSpec!K6*s_EF_res*(1/365)*s_ED_res*up_RadSpec!V6*((s_ET_res_o*(1/24)*up_RadSpec!AA6)+(s_ET_res_i*(1/24)*up_RadSpec!AF6))))*1,".")</f>
        <v>235.81516264443084</v>
      </c>
      <c r="O6" s="141">
        <f>IFERROR((s_DL/(up_RadSpec!R6*s_EF_res*(1/365)*s_ED_res*up_RadSpec!W6*((s_ET_res_o*(1/24)*up_RadSpec!AB6)+(s_ET_res_i*(1/24)*up_RadSpec!AG6))))*1,".")</f>
        <v>440.2277280249582</v>
      </c>
      <c r="P6" s="141">
        <f>IFERROR((s_DL/(up_RadSpec!S6*s_EF_res*(1/365)*s_ED_res*up_RadSpec!X6*((s_ET_res_o*(1/24)*up_RadSpec!AC6)+(s_ET_res_i*(1/24)*up_RadSpec!AH6))))*1,".")</f>
        <v>311.09207332476643</v>
      </c>
      <c r="Q6" s="141">
        <f>IFERROR((s_DL/(up_RadSpec!T6*s_EF_res*(1/365)*s_ED_res*up_RadSpec!Y6*((s_ET_res_o*(1/24)*up_RadSpec!AD6)+(s_ET_res_i*(1/24)*up_RadSpec!AI6))))*1,".")</f>
        <v>257.2615039281705</v>
      </c>
      <c r="R6" s="141">
        <f>IFERROR((s_DL/(up_RadSpec!P6*s_EF_res*(1/365)*s_ED_res*up_RadSpec!U6*((s_ET_res_o*(1/24)*up_RadSpec!Z6)+(s_ET_res_i*(1/24)*up_RadSpec!AE6))))*1,".")</f>
        <v>739.4745172522953</v>
      </c>
      <c r="S6" s="142">
        <f>IFERROR((s_C*s_EF_res*(1/365)*s_ED_res*up_RadSpec!V6*((s_ET_res_o*(1/24)*up_RadSpec!AA6)+(s_ET_res_i*(1/24)*up_RadSpec!AF6))),".")</f>
        <v>2.1203047098117052E-2</v>
      </c>
      <c r="T6" s="142">
        <f>IFERROR((s_C*s_EF_res*(1/365)*s_ED_res*up_RadSpec!W6*((s_ET_res_o*(1/24)*up_RadSpec!AB6)+(s_ET_res_i*(1/24)*up_RadSpec!AG6))),".")</f>
        <v>1.1357758000460459E-2</v>
      </c>
      <c r="U6" s="142">
        <f>IFERROR((s_C*s_EF_res*(1/365)*s_ED_res*up_RadSpec!X6*((s_ET_res_o*(1/24)*up_RadSpec!AC6)+(s_ET_res_i*(1/24)*up_RadSpec!AH6))),".")</f>
        <v>1.6072412088688034E-2</v>
      </c>
      <c r="V6" s="142">
        <f>IFERROR((s_C*s_EF_res*(1/365)*s_ED_res*up_RadSpec!Y6*((s_ET_res_o*(1/24)*up_RadSpec!AD6)+(s_ET_res_i*(1/24)*up_RadSpec!AI6))),".")</f>
        <v>1.9435476834482164E-2</v>
      </c>
      <c r="W6" s="142">
        <f>IFERROR((s_C*s_EF_res*(1/365)*s_ED_res*up_RadSpec!U6*((s_ET_res_o*(1/24)*up_RadSpec!Z6)+(s_ET_res_i*(1/24)*up_RadSpec!AE6))),".")</f>
        <v>6.7615582191780793E-3</v>
      </c>
      <c r="X6" s="141">
        <f>IFERROR((s_DL/(up_RadSpec!L6*s_IFA_res_adj)),".")</f>
        <v>9.9740259740259754E-3</v>
      </c>
      <c r="Y6" s="141">
        <f>IFERROR((s_DL/(up_RadSpec!O6*s_EF_res*(1/365)*s_ED_res*s_ET_res*(1/24)*s_GSF_a)),".")</f>
        <v>15.927272727272728</v>
      </c>
      <c r="Z6" s="141">
        <f t="shared" si="9"/>
        <v>9.9677839175609673E-3</v>
      </c>
      <c r="AA6" s="142">
        <f t="shared" si="2"/>
        <v>501.30208333333326</v>
      </c>
      <c r="AB6" s="142">
        <f t="shared" si="3"/>
        <v>0.3139269406392694</v>
      </c>
      <c r="AC6" s="141"/>
      <c r="AD6" s="141">
        <f>IFERROR((s_DL/(up_RadSpec!M6*s_IFW_res_adj)),".")</f>
        <v>3.6363636363636364E-3</v>
      </c>
      <c r="AE6" s="141" t="str">
        <f>IFERROR(IF(up_RadSpec!C6=1,(s_DL/(up_RadSpec!L6*s_IFA_res_adj*s_K)),"."),".")</f>
        <v>.</v>
      </c>
      <c r="AF6" s="141">
        <f>IFERROR((s_DL/(up_RadSpec!Q6*(1/8760)*s_DFA_res_adj)),".")</f>
        <v>39.81818181818182</v>
      </c>
      <c r="AG6" s="141">
        <f>up_b2w!C6</f>
        <v>2.1924550381384044E-4</v>
      </c>
      <c r="AH6" s="141">
        <f>(IF(AND(AD6&lt;&gt;".",AE6&lt;&gt;".",AF6&lt;&gt;".",AG6&lt;&gt;"."),1/((1/AD6)+(1/AE6)+(1/AF6)+(1/AG6)),IF(AND(AD6&lt;&gt;".",AE6&lt;&gt;".",AF6&lt;&gt;".",AG6="."), 1/((1/AD6)+(1/AE6)+(1/AF6)),IF(AND(AD6&lt;&gt;".",AE6&lt;&gt;".",AF6=".",AG6&lt;&gt;"."),1/((1/AD6)+(1/AE6)+(1/AG6)),IF(AND(AD6&lt;&gt;".",AE6=".",AF6&lt;&gt;".",AG6&lt;&gt;"."),1/((1/AD6)+(1/AF6)+(1/AG6)),IF(AND(AD6=".",AE6&lt;&gt;".",AF6&lt;&gt;".",AG6&lt;&gt;"."),1/((1/AE6)+(1/AF6)+(1/AG6)),IF(AND(AD6&lt;&gt;".",AE6&lt;&gt;".",AF6=".",AG6="."),1/((1/AD6)+(1/AE6)),IF(AND(AD6&lt;&gt;".",AE6=".",AF6&lt;&gt;".",AG6="."),1/((1/AD6)+(1/AF6)),IF(AND(AD6&lt;&gt;".",AE6=".",AF6=".",AG6&lt;&gt;"."),1/((1/AD6)+(1/AG6)),IF(AND(AD6=".",AE6=".",AF6&lt;&gt;".",AG6&lt;&gt;"."),1/((1/AF6)+(1/AG6)),IF(AND(AD6=".",AE6&lt;&gt;".",AF6=".",AG6&lt;&gt;"."),1/((1/AE6)+(1/AG6)),IF(AND(AD6=".",AE6&lt;&gt;".",AF6&lt;&gt;".",AG6="."),1/((1/AE6)+(1/AF6)),IF(AND(AD6&lt;&gt;".",AE6=".",AF6=".",AG6="."),1/((1/AD6)),IF(AND(AD6=".",AE6&lt;&gt;".",AF6=".",AG6="."),1/((1/AE6)),IF(AND(AD6=".",AE6=".",AF6&lt;&gt;".",AG6="."),1/((1/AF6)),IF(AND(AD6=".",AE6=".",AF6=".",AG6&lt;&gt;"."),1/((1/AG6)),IF(AND(AD6=".",AE6=".",AF6=".",AG6="."),".")))))))))))))))))</f>
        <v>2.0677724539454526E-4</v>
      </c>
      <c r="AI6" s="142">
        <f t="shared" si="4"/>
        <v>1375</v>
      </c>
      <c r="AJ6" s="142">
        <f t="shared" si="5"/>
        <v>250.65104166666663</v>
      </c>
      <c r="AK6" s="142">
        <f t="shared" si="6"/>
        <v>0.12557077625570776</v>
      </c>
      <c r="AL6" s="142">
        <f>up_b2w!AB6</f>
        <v>22805.4847785862</v>
      </c>
      <c r="AM6" s="141"/>
      <c r="AN6" s="141">
        <f>IFERROR(s_DL/(up_RadSpec!J6*s_EF_res*s_ED_res*s_IRF_res*0.001*s_CF_res_fish),".")</f>
        <v>6.6115702479338848E-4</v>
      </c>
      <c r="AO6" s="142">
        <f t="shared" si="7"/>
        <v>7562.5</v>
      </c>
    </row>
    <row r="7" spans="1:41" x14ac:dyDescent="0.25">
      <c r="A7" s="128" t="s">
        <v>5</v>
      </c>
      <c r="B7" s="129" t="s">
        <v>1059</v>
      </c>
      <c r="C7" s="141">
        <f>IFERROR(((s_DL/(up_RadSpec!I7*s_IFS_res_adj*(1/1000)))*1),".")</f>
        <v>0.33057851239669422</v>
      </c>
      <c r="D7" s="141">
        <f>IFERROR(IF(A7="H-3",(s_DL/((up_RadSpec!L7*s_IFA_res_adj*(1/17)*1000))*1),(s_DL/((up_RadSpec!L7*s_IFA_res_adj*(1/s_PEF_wind)*1000))*1)),".")</f>
        <v>3089.9917845330979</v>
      </c>
      <c r="E7" s="141">
        <f>IFERROR((s_DL/(up_RadSpec!K7*s_EF_res*(1/365)*s_ED_res*up_RadSpec!V7*((s_ET_res_o*(1/24)*up_RadSpec!AA7)+(s_ET_res_i*(1/24)*up_RadSpec!AF7))))*1,".")</f>
        <v>510.24109710241078</v>
      </c>
      <c r="F7" s="141">
        <f>up_b2s!C7</f>
        <v>4.3958447178843029E-5</v>
      </c>
      <c r="G7" s="141">
        <f>up_dir!C7</f>
        <v>2.2038567493112948E-4</v>
      </c>
      <c r="H7" s="141">
        <f t="shared" si="8"/>
        <v>4.3952598200854169E-5</v>
      </c>
      <c r="I7" s="142">
        <f t="shared" si="0"/>
        <v>15.125</v>
      </c>
      <c r="J7" s="142">
        <f t="shared" si="1"/>
        <v>1.618127279505213E-3</v>
      </c>
      <c r="K7" s="142">
        <f>IFERROR((s_C*s_EF_res*(1/365)*s_ED_res*up_RadSpec!V7*((s_ET_res_o*(1/24)*up_RadSpec!AA7)+(s_ET_res_i*(1/24)*up_RadSpec!AF7))),".")</f>
        <v>9.7992890584359324E-3</v>
      </c>
      <c r="L7" s="142">
        <f>up_b2s!AB7</f>
        <v>113743.78125</v>
      </c>
      <c r="M7" s="141"/>
      <c r="N7" s="141">
        <f>IFERROR((s_DL/(up_RadSpec!K7*s_EF_res*(1/365)*s_ED_res*up_RadSpec!V7*((s_ET_res_o*(1/24)*up_RadSpec!AA7)+(s_ET_res_i*(1/24)*up_RadSpec!AF7))))*1,".")</f>
        <v>510.24109710241078</v>
      </c>
      <c r="O7" s="141">
        <f>IFERROR((s_DL/(up_RadSpec!R7*s_EF_res*(1/365)*s_ED_res*up_RadSpec!W7*((s_ET_res_o*(1/24)*up_RadSpec!AB7)+(s_ET_res_i*(1/24)*up_RadSpec!AG7))))*1,".")</f>
        <v>811.73075290722397</v>
      </c>
      <c r="P7" s="141">
        <f>IFERROR((s_DL/(up_RadSpec!S7*s_EF_res*(1/365)*s_ED_res*up_RadSpec!X7*((s_ET_res_o*(1/24)*up_RadSpec!AC7)+(s_ET_res_i*(1/24)*up_RadSpec!AH7))))*1,".")</f>
        <v>594.69696969696975</v>
      </c>
      <c r="Q7" s="141">
        <f>IFERROR((s_DL/(up_RadSpec!T7*s_EF_res*(1/365)*s_ED_res*up_RadSpec!Y7*((s_ET_res_o*(1/24)*up_RadSpec!AD7)+(s_ET_res_i*(1/24)*up_RadSpec!AI7))))*1,".")</f>
        <v>547.06310932241604</v>
      </c>
      <c r="R7" s="141">
        <f>IFERROR((s_DL/(up_RadSpec!P7*s_EF_res*(1/365)*s_ED_res*up_RadSpec!U7*((s_ET_res_o*(1/24)*up_RadSpec!Z7)+(s_ET_res_i*(1/24)*up_RadSpec!AE7))))*1,".")</f>
        <v>1389.1242447392176</v>
      </c>
      <c r="S7" s="142">
        <f>IFERROR((s_C*s_EF_res*(1/365)*s_ED_res*up_RadSpec!V7*((s_ET_res_o*(1/24)*up_RadSpec!AA7)+(s_ET_res_i*(1/24)*up_RadSpec!AF7))),".")</f>
        <v>9.7992890584359324E-3</v>
      </c>
      <c r="T7" s="142">
        <f>IFERROR((s_C*s_EF_res*(1/365)*s_ED_res*up_RadSpec!W7*((s_ET_res_o*(1/24)*up_RadSpec!AB7)+(s_ET_res_i*(1/24)*up_RadSpec!AG7))),".")</f>
        <v>6.1596779253372336E-3</v>
      </c>
      <c r="U7" s="142">
        <f>IFERROR((s_C*s_EF_res*(1/365)*s_ED_res*up_RadSpec!X7*((s_ET_res_o*(1/24)*up_RadSpec!AC7)+(s_ET_res_i*(1/24)*up_RadSpec!AH7))),".")</f>
        <v>8.4076433121019097E-3</v>
      </c>
      <c r="V7" s="142">
        <f>IFERROR((s_C*s_EF_res*(1/365)*s_ED_res*up_RadSpec!Y7*((s_ET_res_o*(1/24)*up_RadSpec!AD7)+(s_ET_res_i*(1/24)*up_RadSpec!AI7))),".")</f>
        <v>9.1397133434804687E-3</v>
      </c>
      <c r="W7" s="142">
        <f>IFERROR((s_C*s_EF_res*(1/365)*s_ED_res*up_RadSpec!U7*((s_ET_res_o*(1/24)*up_RadSpec!Z7)+(s_ET_res_i*(1/24)*up_RadSpec!AE7))),".")</f>
        <v>3.5993900609939014E-3</v>
      </c>
      <c r="X7" s="141">
        <f>IFERROR((s_DL/(up_RadSpec!L7*s_IFA_res_adj)),".")</f>
        <v>9.9740259740259754E-3</v>
      </c>
      <c r="Y7" s="141">
        <f>IFERROR((s_DL/(up_RadSpec!O7*s_EF_res*(1/365)*s_ED_res*s_ET_res*(1/24)*s_GSF_a)),".")</f>
        <v>15.927272727272728</v>
      </c>
      <c r="Z7" s="141">
        <f t="shared" si="9"/>
        <v>9.9677839175609673E-3</v>
      </c>
      <c r="AA7" s="142">
        <f t="shared" si="2"/>
        <v>501.30208333333326</v>
      </c>
      <c r="AB7" s="142">
        <f t="shared" si="3"/>
        <v>0.3139269406392694</v>
      </c>
      <c r="AC7" s="141"/>
      <c r="AD7" s="141">
        <f>IFERROR((s_DL/(up_RadSpec!M7*s_IFW_res_adj)),".")</f>
        <v>3.6363636363636364E-3</v>
      </c>
      <c r="AE7" s="141" t="str">
        <f>IFERROR(IF(up_RadSpec!C7=1,(s_DL/(up_RadSpec!L7*s_IFA_res_adj*s_K)),"."),".")</f>
        <v>.</v>
      </c>
      <c r="AF7" s="141">
        <f>IFERROR((s_DL/(up_RadSpec!Q7*(1/8760)*s_DFA_res_adj)),".")</f>
        <v>39.81818181818182</v>
      </c>
      <c r="AG7" s="141">
        <f>up_b2w!C7</f>
        <v>2.1924550381384044E-4</v>
      </c>
      <c r="AH7" s="141">
        <f>(IF(AND(AD7&lt;&gt;".",AE7&lt;&gt;".",AF7&lt;&gt;".",AG7&lt;&gt;"."),1/((1/AD7)+(1/AE7)+(1/AF7)+(1/AG7)),IF(AND(AD7&lt;&gt;".",AE7&lt;&gt;".",AF7&lt;&gt;".",AG7="."), 1/((1/AD7)+(1/AE7)+(1/AF7)),IF(AND(AD7&lt;&gt;".",AE7&lt;&gt;".",AF7=".",AG7&lt;&gt;"."),1/((1/AD7)+(1/AE7)+(1/AG7)),IF(AND(AD7&lt;&gt;".",AE7=".",AF7&lt;&gt;".",AG7&lt;&gt;"."),1/((1/AD7)+(1/AF7)+(1/AG7)),IF(AND(AD7=".",AE7&lt;&gt;".",AF7&lt;&gt;".",AG7&lt;&gt;"."),1/((1/AE7)+(1/AF7)+(1/AG7)),IF(AND(AD7&lt;&gt;".",AE7&lt;&gt;".",AF7=".",AG7="."),1/((1/AD7)+(1/AE7)),IF(AND(AD7&lt;&gt;".",AE7=".",AF7&lt;&gt;".",AG7="."),1/((1/AD7)+(1/AF7)),IF(AND(AD7&lt;&gt;".",AE7=".",AF7=".",AG7&lt;&gt;"."),1/((1/AD7)+(1/AG7)),IF(AND(AD7=".",AE7=".",AF7&lt;&gt;".",AG7&lt;&gt;"."),1/((1/AF7)+(1/AG7)),IF(AND(AD7=".",AE7&lt;&gt;".",AF7=".",AG7&lt;&gt;"."),1/((1/AE7)+(1/AG7)),IF(AND(AD7=".",AE7&lt;&gt;".",AF7&lt;&gt;".",AG7="."),1/((1/AE7)+(1/AF7)),IF(AND(AD7&lt;&gt;".",AE7=".",AF7=".",AG7="."),1/((1/AD7)),IF(AND(AD7=".",AE7&lt;&gt;".",AF7=".",AG7="."),1/((1/AE7)),IF(AND(AD7=".",AE7=".",AF7&lt;&gt;".",AG7="."),1/((1/AF7)),IF(AND(AD7=".",AE7=".",AF7=".",AG7&lt;&gt;"."),1/((1/AG7)),IF(AND(AD7=".",AE7=".",AF7=".",AG7="."),".")))))))))))))))))</f>
        <v>2.0677724539454526E-4</v>
      </c>
      <c r="AI7" s="142">
        <f t="shared" si="4"/>
        <v>1375</v>
      </c>
      <c r="AJ7" s="142">
        <f t="shared" si="5"/>
        <v>250.65104166666663</v>
      </c>
      <c r="AK7" s="142">
        <f t="shared" si="6"/>
        <v>0.12557077625570776</v>
      </c>
      <c r="AL7" s="142">
        <f>up_b2w!AB7</f>
        <v>22805.4847785862</v>
      </c>
      <c r="AM7" s="141"/>
      <c r="AN7" s="141">
        <f>IFERROR(s_DL/(up_RadSpec!J7*s_EF_res*s_ED_res*s_IRF_res*0.001*s_CF_res_fish),".")</f>
        <v>6.6115702479338848E-4</v>
      </c>
      <c r="AO7" s="142">
        <f t="shared" si="7"/>
        <v>7562.5</v>
      </c>
    </row>
    <row r="8" spans="1:41" x14ac:dyDescent="0.25">
      <c r="A8" s="128" t="s">
        <v>6</v>
      </c>
      <c r="B8" s="129" t="s">
        <v>1059</v>
      </c>
      <c r="C8" s="141">
        <f>IFERROR(((s_DL/(up_RadSpec!I8*s_IFS_res_adj*(1/1000)))*1),".")</f>
        <v>0.33057851239669422</v>
      </c>
      <c r="D8" s="141">
        <f>IFERROR(IF(A8="H-3",(s_DL/((up_RadSpec!L8*s_IFA_res_adj*(1/17)*1000))*1),(s_DL/((up_RadSpec!L8*s_IFA_res_adj*(1/s_PEF_wind)*1000))*1)),".")</f>
        <v>3089.9917845330979</v>
      </c>
      <c r="E8" s="141">
        <f>IFERROR((s_DL/(up_RadSpec!K8*s_EF_res*(1/365)*s_ED_res*up_RadSpec!V8*((s_ET_res_o*(1/24)*up_RadSpec!AA8)+(s_ET_res_i*(1/24)*up_RadSpec!AF8))))*1,".")</f>
        <v>293.31993972877962</v>
      </c>
      <c r="F8" s="141">
        <f>up_b2s!C8</f>
        <v>4.3958447178843029E-5</v>
      </c>
      <c r="G8" s="141">
        <f>up_dir!C8</f>
        <v>2.2038567493112948E-4</v>
      </c>
      <c r="H8" s="141">
        <f t="shared" si="8"/>
        <v>4.3952595400880368E-5</v>
      </c>
      <c r="I8" s="142">
        <f t="shared" si="0"/>
        <v>15.125</v>
      </c>
      <c r="J8" s="142">
        <f t="shared" si="1"/>
        <v>1.618127279505213E-3</v>
      </c>
      <c r="K8" s="142">
        <f>IFERROR((s_C*s_EF_res*(1/365)*s_ED_res*up_RadSpec!V8*((s_ET_res_o*(1/24)*up_RadSpec!AA8)+(s_ET_res_i*(1/24)*up_RadSpec!AF8))),".")</f>
        <v>1.7046232876712322E-2</v>
      </c>
      <c r="L8" s="142">
        <f>up_b2s!AB8</f>
        <v>113743.78125</v>
      </c>
      <c r="M8" s="141"/>
      <c r="N8" s="141">
        <f>IFERROR((s_DL/(up_RadSpec!K8*s_EF_res*(1/365)*s_ED_res*up_RadSpec!V8*((s_ET_res_o*(1/24)*up_RadSpec!AA8)+(s_ET_res_i*(1/24)*up_RadSpec!AF8))))*1,".")</f>
        <v>293.31993972877962</v>
      </c>
      <c r="O8" s="141">
        <f>IFERROR((s_DL/(up_RadSpec!R8*s_EF_res*(1/365)*s_ED_res*up_RadSpec!W8*((s_ET_res_o*(1/24)*up_RadSpec!AB8)+(s_ET_res_i*(1/24)*up_RadSpec!AG8))))*1,".")</f>
        <v>538.44735386317529</v>
      </c>
      <c r="P8" s="141">
        <f>IFERROR((s_DL/(up_RadSpec!S8*s_EF_res*(1/365)*s_ED_res*up_RadSpec!X8*((s_ET_res_o*(1/24)*up_RadSpec!AC8)+(s_ET_res_i*(1/24)*up_RadSpec!AH8))))*1,".")</f>
        <v>393.01645900630677</v>
      </c>
      <c r="Q8" s="141">
        <f>IFERROR((s_DL/(up_RadSpec!T8*s_EF_res*(1/365)*s_ED_res*up_RadSpec!Y8*((s_ET_res_o*(1/24)*up_RadSpec!AD8)+(s_ET_res_i*(1/24)*up_RadSpec!AI8))))*1,".")</f>
        <v>360.33405462714342</v>
      </c>
      <c r="R8" s="141">
        <f>IFERROR((s_DL/(up_RadSpec!P8*s_EF_res*(1/365)*s_ED_res*up_RadSpec!U8*((s_ET_res_o*(1/24)*up_RadSpec!Z8)+(s_ET_res_i*(1/24)*up_RadSpec!AE8))))*1,".")</f>
        <v>997.68151311775478</v>
      </c>
      <c r="S8" s="142">
        <f>IFERROR((s_C*s_EF_res*(1/365)*s_ED_res*up_RadSpec!V8*((s_ET_res_o*(1/24)*up_RadSpec!AA8)+(s_ET_res_i*(1/24)*up_RadSpec!AF8))),".")</f>
        <v>1.7046232876712322E-2</v>
      </c>
      <c r="T8" s="142">
        <f>IFERROR((s_C*s_EF_res*(1/365)*s_ED_res*up_RadSpec!W8*((s_ET_res_o*(1/24)*up_RadSpec!AB8)+(s_ET_res_i*(1/24)*up_RadSpec!AG8))),".")</f>
        <v>9.2859589041095897E-3</v>
      </c>
      <c r="U8" s="142">
        <f>IFERROR((s_C*s_EF_res*(1/365)*s_ED_res*up_RadSpec!X8*((s_ET_res_o*(1/24)*up_RadSpec!AC8)+(s_ET_res_i*(1/24)*up_RadSpec!AH8))),".")</f>
        <v>1.2722113502935419E-2</v>
      </c>
      <c r="V8" s="142">
        <f>IFERROR((s_C*s_EF_res*(1/365)*s_ED_res*up_RadSpec!Y8*((s_ET_res_o*(1/24)*up_RadSpec!AD8)+(s_ET_res_i*(1/24)*up_RadSpec!AI8))),".")</f>
        <v>1.3876012926876321E-2</v>
      </c>
      <c r="W8" s="142">
        <f>IFERROR((s_C*s_EF_res*(1/365)*s_ED_res*up_RadSpec!U8*((s_ET_res_o*(1/24)*up_RadSpec!Z8)+(s_ET_res_i*(1/24)*up_RadSpec!AE8))),".")</f>
        <v>5.011619373776908E-3</v>
      </c>
      <c r="X8" s="141">
        <f>IFERROR((s_DL/(up_RadSpec!L8*s_IFA_res_adj)),".")</f>
        <v>9.9740259740259754E-3</v>
      </c>
      <c r="Y8" s="141">
        <f>IFERROR((s_DL/(up_RadSpec!O8*s_EF_res*(1/365)*s_ED_res*s_ET_res*(1/24)*s_GSF_a)),".")</f>
        <v>15.927272727272728</v>
      </c>
      <c r="Z8" s="141">
        <f t="shared" si="9"/>
        <v>9.9677839175609673E-3</v>
      </c>
      <c r="AA8" s="142">
        <f t="shared" si="2"/>
        <v>501.30208333333326</v>
      </c>
      <c r="AB8" s="142">
        <f t="shared" si="3"/>
        <v>0.3139269406392694</v>
      </c>
      <c r="AC8" s="141"/>
      <c r="AD8" s="141">
        <f>IFERROR((s_DL/(up_RadSpec!M8*s_IFW_res_adj)),".")</f>
        <v>3.6363636363636364E-3</v>
      </c>
      <c r="AE8" s="141" t="str">
        <f>IFERROR(IF(up_RadSpec!C8=1,(s_DL/(up_RadSpec!L8*s_IFA_res_adj*s_K)),"."),".")</f>
        <v>.</v>
      </c>
      <c r="AF8" s="141">
        <f>IFERROR((s_DL/(up_RadSpec!Q8*(1/8760)*s_DFA_res_adj)),".")</f>
        <v>39.81818181818182</v>
      </c>
      <c r="AG8" s="141">
        <f>up_b2w!C8</f>
        <v>2.1924550381384044E-4</v>
      </c>
      <c r="AH8" s="141">
        <f t="shared" ref="AH8:AH9" si="11">(IF(AND(AD8&lt;&gt;".",AE8&lt;&gt;".",AF8&lt;&gt;".",AG8&lt;&gt;"."),1/((1/AD8)+(1/AE8)+(1/AF8)+(1/AG8)),IF(AND(AD8&lt;&gt;".",AE8&lt;&gt;".",AF8&lt;&gt;".",AG8="."), 1/((1/AD8)+(1/AE8)+(1/AF8)),IF(AND(AD8&lt;&gt;".",AE8&lt;&gt;".",AF8=".",AG8&lt;&gt;"."),1/((1/AD8)+(1/AE8)+(1/AG8)),IF(AND(AD8&lt;&gt;".",AE8=".",AF8&lt;&gt;".",AG8&lt;&gt;"."),1/((1/AD8)+(1/AF8)+(1/AG8)),IF(AND(AD8=".",AE8&lt;&gt;".",AF8&lt;&gt;".",AG8&lt;&gt;"."),1/((1/AE8)+(1/AF8)+(1/AG8)),IF(AND(AD8&lt;&gt;".",AE8&lt;&gt;".",AF8=".",AG8="."),1/((1/AD8)+(1/AE8)),IF(AND(AD8&lt;&gt;".",AE8=".",AF8&lt;&gt;".",AG8="."),1/((1/AD8)+(1/AF8)),IF(AND(AD8&lt;&gt;".",AE8=".",AF8=".",AG8&lt;&gt;"."),1/((1/AD8)+(1/AG8)),IF(AND(AD8=".",AE8=".",AF8&lt;&gt;".",AG8&lt;&gt;"."),1/((1/AF8)+(1/AG8)),IF(AND(AD8=".",AE8&lt;&gt;".",AF8=".",AG8&lt;&gt;"."),1/((1/AE8)+(1/AG8)),IF(AND(AD8=".",AE8&lt;&gt;".",AF8&lt;&gt;".",AG8="."),1/((1/AE8)+(1/AF8)),IF(AND(AD8&lt;&gt;".",AE8=".",AF8=".",AG8="."),1/((1/AD8)),IF(AND(AD8=".",AE8&lt;&gt;".",AF8=".",AG8="."),1/((1/AE8)),IF(AND(AD8=".",AE8=".",AF8&lt;&gt;".",AG8="."),1/((1/AF8)),IF(AND(AD8=".",AE8=".",AF8=".",AG8&lt;&gt;"."),1/((1/AG8)),IF(AND(AD8=".",AE8=".",AF8=".",AG8="."),".")))))))))))))))))</f>
        <v>2.0677724539454526E-4</v>
      </c>
      <c r="AI8" s="142">
        <f t="shared" si="4"/>
        <v>1375</v>
      </c>
      <c r="AJ8" s="142">
        <f t="shared" si="5"/>
        <v>250.65104166666663</v>
      </c>
      <c r="AK8" s="142">
        <f t="shared" si="6"/>
        <v>0.12557077625570776</v>
      </c>
      <c r="AL8" s="142">
        <f>up_b2w!AB8</f>
        <v>22805.4847785862</v>
      </c>
      <c r="AM8" s="141"/>
      <c r="AN8" s="141">
        <f>IFERROR(s_DL/(up_RadSpec!J8*s_EF_res*s_ED_res*s_IRF_res*0.001*s_CF_res_fish),".")</f>
        <v>6.6115702479338848E-4</v>
      </c>
      <c r="AO8" s="142">
        <f t="shared" si="7"/>
        <v>7562.5</v>
      </c>
    </row>
    <row r="9" spans="1:41" x14ac:dyDescent="0.25">
      <c r="A9" s="128" t="s">
        <v>7</v>
      </c>
      <c r="B9" s="129" t="s">
        <v>1059</v>
      </c>
      <c r="C9" s="141">
        <f>IFERROR(((s_DL/(up_RadSpec!I9*s_IFS_res_adj*(1/1000)))*1),".")</f>
        <v>0.33057851239669422</v>
      </c>
      <c r="D9" s="141">
        <f>IFERROR(IF(A9="H-3",(s_DL/((up_RadSpec!L9*s_IFA_res_adj*(1/17)*1000))*1),(s_DL/((up_RadSpec!L9*s_IFA_res_adj*(1/s_PEF_wind)*1000))*1)),".")</f>
        <v>3089.9917845330979</v>
      </c>
      <c r="E9" s="141">
        <f>IFERROR((s_DL/(up_RadSpec!K9*s_EF_res*(1/365)*s_ED_res*up_RadSpec!V9*((s_ET_res_o*(1/24)*up_RadSpec!AA9)+(s_ET_res_i*(1/24)*up_RadSpec!AF9))))*1,".")</f>
        <v>144.45656280518662</v>
      </c>
      <c r="F9" s="141">
        <f>up_b2s!C9</f>
        <v>4.3958447178843029E-5</v>
      </c>
      <c r="G9" s="141">
        <f>up_dir!C9</f>
        <v>2.2038567493112948E-4</v>
      </c>
      <c r="H9" s="141">
        <f t="shared" si="8"/>
        <v>4.3952588613878235E-5</v>
      </c>
      <c r="I9" s="142">
        <f t="shared" si="0"/>
        <v>15.125</v>
      </c>
      <c r="J9" s="142">
        <f t="shared" si="1"/>
        <v>1.618127279505213E-3</v>
      </c>
      <c r="K9" s="142">
        <f>IFERROR((s_C*s_EF_res*(1/365)*s_ED_res*up_RadSpec!V9*((s_ET_res_o*(1/24)*up_RadSpec!AA9)+(s_ET_res_i*(1/24)*up_RadSpec!AF9))),".")</f>
        <v>3.4612480754806371E-2</v>
      </c>
      <c r="L9" s="142">
        <f>up_b2s!AB9</f>
        <v>113743.78125</v>
      </c>
      <c r="M9" s="141"/>
      <c r="N9" s="141">
        <f>IFERROR((s_DL/(up_RadSpec!K9*s_EF_res*(1/365)*s_ED_res*up_RadSpec!V9*((s_ET_res_o*(1/24)*up_RadSpec!AA9)+(s_ET_res_i*(1/24)*up_RadSpec!AF9))))*1,".")</f>
        <v>144.45656280518662</v>
      </c>
      <c r="O9" s="141">
        <f>IFERROR((s_DL/(up_RadSpec!R9*s_EF_res*(1/365)*s_ED_res*up_RadSpec!W9*((s_ET_res_o*(1/24)*up_RadSpec!AB9)+(s_ET_res_i*(1/24)*up_RadSpec!AG9))))*1,".")</f>
        <v>295.8712121212123</v>
      </c>
      <c r="P9" s="141">
        <f>IFERROR((s_DL/(up_RadSpec!S9*s_EF_res*(1/365)*s_ED_res*up_RadSpec!X9*((s_ET_res_o*(1/24)*up_RadSpec!AC9)+(s_ET_res_i*(1/24)*up_RadSpec!AH9))))*1,".")</f>
        <v>208.18077457555449</v>
      </c>
      <c r="Q9" s="141">
        <f>IFERROR((s_DL/(up_RadSpec!T9*s_EF_res*(1/365)*s_ED_res*up_RadSpec!Y9*((s_ET_res_o*(1/24)*up_RadSpec!AD9)+(s_ET_res_i*(1/24)*up_RadSpec!AI9))))*1,".")</f>
        <v>171.60697887970616</v>
      </c>
      <c r="R9" s="141">
        <f>IFERROR((s_DL/(up_RadSpec!P9*s_EF_res*(1/365)*s_ED_res*up_RadSpec!U9*((s_ET_res_o*(1/24)*up_RadSpec!Z9)+(s_ET_res_i*(1/24)*up_RadSpec!AE9))))*1,".")</f>
        <v>524.07060857765111</v>
      </c>
      <c r="S9" s="142">
        <f>IFERROR((s_C*s_EF_res*(1/365)*s_ED_res*up_RadSpec!V9*((s_ET_res_o*(1/24)*up_RadSpec!AA9)+(s_ET_res_i*(1/24)*up_RadSpec!AF9))),".")</f>
        <v>3.4612480754806371E-2</v>
      </c>
      <c r="T9" s="142">
        <f>IFERROR((s_C*s_EF_res*(1/365)*s_ED_res*up_RadSpec!W9*((s_ET_res_o*(1/24)*up_RadSpec!AB9)+(s_ET_res_i*(1/24)*up_RadSpec!AG9))),".")</f>
        <v>1.6899244654973746E-2</v>
      </c>
      <c r="U9" s="142">
        <f>IFERROR((s_C*s_EF_res*(1/365)*s_ED_res*up_RadSpec!X9*((s_ET_res_o*(1/24)*up_RadSpec!AC9)+(s_ET_res_i*(1/24)*up_RadSpec!AH9))),".")</f>
        <v>2.4017587648014843E-2</v>
      </c>
      <c r="V9" s="142">
        <f>IFERROR((s_C*s_EF_res*(1/365)*s_ED_res*up_RadSpec!Y9*((s_ET_res_o*(1/24)*up_RadSpec!AD9)+(s_ET_res_i*(1/24)*up_RadSpec!AI9))),".")</f>
        <v>2.9136344178082189E-2</v>
      </c>
      <c r="W9" s="142">
        <f>IFERROR((s_C*s_EF_res*(1/365)*s_ED_res*up_RadSpec!U9*((s_ET_res_o*(1/24)*up_RadSpec!Z9)+(s_ET_res_i*(1/24)*up_RadSpec!AE9))),".")</f>
        <v>9.5406991313063769E-3</v>
      </c>
      <c r="X9" s="141">
        <f>IFERROR((s_DL/(up_RadSpec!L9*s_IFA_res_adj)),".")</f>
        <v>9.9740259740259754E-3</v>
      </c>
      <c r="Y9" s="141">
        <f>IFERROR((s_DL/(up_RadSpec!O9*s_EF_res*(1/365)*s_ED_res*s_ET_res*(1/24)*s_GSF_a)),".")</f>
        <v>15.927272727272728</v>
      </c>
      <c r="Z9" s="141">
        <f t="shared" si="9"/>
        <v>9.9677839175609673E-3</v>
      </c>
      <c r="AA9" s="142">
        <f t="shared" si="2"/>
        <v>501.30208333333326</v>
      </c>
      <c r="AB9" s="142">
        <f t="shared" si="3"/>
        <v>0.3139269406392694</v>
      </c>
      <c r="AC9" s="141"/>
      <c r="AD9" s="141">
        <f>IFERROR((s_DL/(up_RadSpec!M9*s_IFW_res_adj)),".")</f>
        <v>3.6363636363636364E-3</v>
      </c>
      <c r="AE9" s="141" t="str">
        <f>IFERROR(IF(up_RadSpec!C9=1,(s_DL/(up_RadSpec!L9*s_IFA_res_adj*s_K)),"."),".")</f>
        <v>.</v>
      </c>
      <c r="AF9" s="141">
        <f>IFERROR((s_DL/(up_RadSpec!Q9*(1/8760)*s_DFA_res_adj)),".")</f>
        <v>39.81818181818182</v>
      </c>
      <c r="AG9" s="141">
        <f>up_b2w!C9</f>
        <v>2.1924550381384044E-4</v>
      </c>
      <c r="AH9" s="141">
        <f t="shared" si="11"/>
        <v>2.0677724539454526E-4</v>
      </c>
      <c r="AI9" s="142">
        <f t="shared" si="4"/>
        <v>1375</v>
      </c>
      <c r="AJ9" s="142">
        <f t="shared" si="5"/>
        <v>250.65104166666663</v>
      </c>
      <c r="AK9" s="142">
        <f t="shared" si="6"/>
        <v>0.12557077625570776</v>
      </c>
      <c r="AL9" s="142">
        <f>up_b2w!AB9</f>
        <v>22805.4847785862</v>
      </c>
      <c r="AM9" s="141"/>
      <c r="AN9" s="141">
        <f>IFERROR(s_DL/(up_RadSpec!J9*s_EF_res*s_ED_res*s_IRF_res*0.001*s_CF_res_fish),".")</f>
        <v>6.6115702479338848E-4</v>
      </c>
      <c r="AO9" s="142">
        <f t="shared" si="7"/>
        <v>7562.5</v>
      </c>
    </row>
    <row r="10" spans="1:41" x14ac:dyDescent="0.25">
      <c r="A10" s="131" t="s">
        <v>8</v>
      </c>
      <c r="B10" s="129" t="s">
        <v>336</v>
      </c>
      <c r="C10" s="141">
        <f>IFERROR(((s_DL/(up_RadSpec!I10*s_IFS_res_adj*(1/1000)))*1),".")</f>
        <v>0.33057851239669422</v>
      </c>
      <c r="D10" s="141">
        <f>IFERROR(IF(A10="H-3",(s_DL/((up_RadSpec!L10*s_IFA_res_adj*(1/17)*1000))*1),(s_DL/((up_RadSpec!L10*s_IFA_res_adj*(1/s_PEF_wind)*1000))*1)),".")</f>
        <v>3089.9917845330979</v>
      </c>
      <c r="E10" s="141">
        <f>IFERROR((s_DL/(up_RadSpec!K10*s_EF_res*(1/365)*s_ED_res*up_RadSpec!V10*((s_ET_res_o*(1/24)*up_RadSpec!AA10)+(s_ET_res_i*(1/24)*up_RadSpec!AF10))))*1,".")</f>
        <v>276.40981240981239</v>
      </c>
      <c r="F10" s="141">
        <f>up_b2s!C10</f>
        <v>4.3958447178843029E-5</v>
      </c>
      <c r="G10" s="141">
        <f>up_dir!C10</f>
        <v>2.2038567493112948E-4</v>
      </c>
      <c r="H10" s="141">
        <f t="shared" si="8"/>
        <v>4.3952594997958457E-5</v>
      </c>
      <c r="I10" s="142">
        <f t="shared" si="0"/>
        <v>15.125</v>
      </c>
      <c r="J10" s="142">
        <f t="shared" si="1"/>
        <v>1.618127279505213E-3</v>
      </c>
      <c r="K10" s="142">
        <f>IFERROR((s_C*s_EF_res*(1/365)*s_ED_res*up_RadSpec!V10*((s_ET_res_o*(1/24)*up_RadSpec!AA10)+(s_ET_res_i*(1/24)*up_RadSpec!AF10))),".")</f>
        <v>1.8089082860006683E-2</v>
      </c>
      <c r="L10" s="142">
        <f>up_b2s!AB10</f>
        <v>113743.78125</v>
      </c>
      <c r="M10" s="141"/>
      <c r="N10" s="141">
        <f>IFERROR((s_DL/(up_RadSpec!K10*s_EF_res*(1/365)*s_ED_res*up_RadSpec!V10*((s_ET_res_o*(1/24)*up_RadSpec!AA10)+(s_ET_res_i*(1/24)*up_RadSpec!AF10))))*1,".")</f>
        <v>276.40981240981239</v>
      </c>
      <c r="O10" s="141">
        <f>IFERROR((s_DL/(up_RadSpec!R10*s_EF_res*(1/365)*s_ED_res*up_RadSpec!W10*((s_ET_res_o*(1/24)*up_RadSpec!AB10)+(s_ET_res_i*(1/24)*up_RadSpec!AG10))))*1,".")</f>
        <v>430.7198973865639</v>
      </c>
      <c r="P10" s="141">
        <f>IFERROR((s_DL/(up_RadSpec!S10*s_EF_res*(1/365)*s_ED_res*up_RadSpec!X10*((s_ET_res_o*(1/24)*up_RadSpec!AC10)+(s_ET_res_i*(1/24)*up_RadSpec!AH10))))*1,".")</f>
        <v>307.59036342644413</v>
      </c>
      <c r="Q10" s="141">
        <f>IFERROR((s_DL/(up_RadSpec!T10*s_EF_res*(1/365)*s_ED_res*up_RadSpec!Y10*((s_ET_res_o*(1/24)*up_RadSpec!AD10)+(s_ET_res_i*(1/24)*up_RadSpec!AI10))))*1,".")</f>
        <v>281.32732952010059</v>
      </c>
      <c r="R10" s="141">
        <f>IFERROR((s_DL/(up_RadSpec!P10*s_EF_res*(1/365)*s_ED_res*up_RadSpec!U10*((s_ET_res_o*(1/24)*up_RadSpec!Z10)+(s_ET_res_i*(1/24)*up_RadSpec!AE10))))*1,".")</f>
        <v>724.07613070789353</v>
      </c>
      <c r="S10" s="142">
        <f>IFERROR((s_C*s_EF_res*(1/365)*s_ED_res*up_RadSpec!V10*((s_ET_res_o*(1/24)*up_RadSpec!AA10)+(s_ET_res_i*(1/24)*up_RadSpec!AF10))),".")</f>
        <v>1.8089082860006683E-2</v>
      </c>
      <c r="T10" s="142">
        <f>IFERROR((s_C*s_EF_res*(1/365)*s_ED_res*up_RadSpec!W10*((s_ET_res_o*(1/24)*up_RadSpec!AB10)+(s_ET_res_i*(1/24)*up_RadSpec!AG10))),".")</f>
        <v>1.1608472304943423E-2</v>
      </c>
      <c r="U10" s="142">
        <f>IFERROR((s_C*s_EF_res*(1/365)*s_ED_res*up_RadSpec!X10*((s_ET_res_o*(1/24)*up_RadSpec!AC10)+(s_ET_res_i*(1/24)*up_RadSpec!AH10))),".")</f>
        <v>1.6255385715930205E-2</v>
      </c>
      <c r="V10" s="142">
        <f>IFERROR((s_C*s_EF_res*(1/365)*s_ED_res*up_RadSpec!Y10*((s_ET_res_o*(1/24)*up_RadSpec!AD10)+(s_ET_res_i*(1/24)*up_RadSpec!AI10))),".")</f>
        <v>1.7772891131939438E-2</v>
      </c>
      <c r="W10" s="142">
        <f>IFERROR((s_C*s_EF_res*(1/365)*s_ED_res*up_RadSpec!U10*((s_ET_res_o*(1/24)*up_RadSpec!Z10)+(s_ET_res_i*(1/24)*up_RadSpec!AE10))),".")</f>
        <v>6.905351230279814E-3</v>
      </c>
      <c r="X10" s="141">
        <f>IFERROR((s_DL/(up_RadSpec!L10*s_IFA_res_adj)),".")</f>
        <v>9.9740259740259754E-3</v>
      </c>
      <c r="Y10" s="141">
        <f>IFERROR((s_DL/(up_RadSpec!O10*s_EF_res*(1/365)*s_ED_res*s_ET_res*(1/24)*s_GSF_a)),".")</f>
        <v>15.927272727272728</v>
      </c>
      <c r="Z10" s="141">
        <f t="shared" si="9"/>
        <v>9.9677839175609673E-3</v>
      </c>
      <c r="AA10" s="142">
        <f t="shared" si="2"/>
        <v>501.30208333333326</v>
      </c>
      <c r="AB10" s="142">
        <f t="shared" si="3"/>
        <v>0.3139269406392694</v>
      </c>
      <c r="AC10" s="141"/>
      <c r="AD10" s="141">
        <f>IFERROR((s_DL/(up_RadSpec!M10*s_IFW_res_adj)),".")</f>
        <v>3.6363636363636364E-3</v>
      </c>
      <c r="AE10" s="141" t="str">
        <f>IFERROR(IF(up_RadSpec!C10=1,(s_DL/(up_RadSpec!L10*s_IFA_res_adj*s_K)),"."),".")</f>
        <v>.</v>
      </c>
      <c r="AF10" s="141">
        <f>IFERROR((s_DL/(up_RadSpec!Q10*(1/8760)*s_DFA_res_adj)),".")</f>
        <v>39.81818181818182</v>
      </c>
      <c r="AG10" s="141">
        <f>up_b2w!C10</f>
        <v>2.1924550381384044E-4</v>
      </c>
      <c r="AH10" s="141">
        <f>(IF(AND(AD10&lt;&gt;".",AE10&lt;&gt;".",AF10&lt;&gt;".",AG10&lt;&gt;"."),1/((1/AD10)+(1/AE10)+(1/AF10)+(1/AG10)),IF(AND(AD10&lt;&gt;".",AE10&lt;&gt;".",AF10&lt;&gt;".",AG10="."), 1/((1/AD10)+(1/AE10)+(1/AF10)),IF(AND(AD10&lt;&gt;".",AE10&lt;&gt;".",AF10=".",AG10&lt;&gt;"."),1/((1/AD10)+(1/AE10)+(1/AG10)),IF(AND(AD10&lt;&gt;".",AE10=".",AF10&lt;&gt;".",AG10&lt;&gt;"."),1/((1/AD10)+(1/AF10)+(1/AG10)),IF(AND(AD10=".",AE10&lt;&gt;".",AF10&lt;&gt;".",AG10&lt;&gt;"."),1/((1/AE10)+(1/AF10)+(1/AG10)),IF(AND(AD10&lt;&gt;".",AE10&lt;&gt;".",AF10=".",AG10="."),1/((1/AD10)+(1/AE10)),IF(AND(AD10&lt;&gt;".",AE10=".",AF10&lt;&gt;".",AG10="."),1/((1/AD10)+(1/AF10)),IF(AND(AD10&lt;&gt;".",AE10=".",AF10=".",AG10&lt;&gt;"."),1/((1/AD10)+(1/AG10)),IF(AND(AD10=".",AE10=".",AF10&lt;&gt;".",AG10&lt;&gt;"."),1/((1/AF10)+(1/AG10)),IF(AND(AD10=".",AE10&lt;&gt;".",AF10=".",AG10&lt;&gt;"."),1/((1/AE10)+(1/AG10)),IF(AND(AD10=".",AE10&lt;&gt;".",AF10&lt;&gt;".",AG10="."),1/((1/AE10)+(1/AF10)),IF(AND(AD10&lt;&gt;".",AE10=".",AF10=".",AG10="."),1/((1/AD10)),IF(AND(AD10=".",AE10&lt;&gt;".",AF10=".",AG10="."),1/((1/AE10)),IF(AND(AD10=".",AE10=".",AF10&lt;&gt;".",AG10="."),1/((1/AF10)),IF(AND(AD10=".",AE10=".",AF10=".",AG10&lt;&gt;"."),1/((1/AG10)),IF(AND(AD10=".",AE10=".",AF10=".",AG10="."),".")))))))))))))))))</f>
        <v>2.0677724539454526E-4</v>
      </c>
      <c r="AI10" s="142">
        <f t="shared" si="4"/>
        <v>1375</v>
      </c>
      <c r="AJ10" s="142">
        <f t="shared" si="5"/>
        <v>250.65104166666663</v>
      </c>
      <c r="AK10" s="142">
        <f t="shared" si="6"/>
        <v>0.12557077625570776</v>
      </c>
      <c r="AL10" s="142">
        <f>up_b2w!AB10</f>
        <v>22805.4847785862</v>
      </c>
      <c r="AM10" s="141"/>
      <c r="AN10" s="141">
        <f>IFERROR(s_DL/(up_RadSpec!J10*s_EF_res*s_ED_res*s_IRF_res*0.001*s_CF_res_fish),".")</f>
        <v>6.6115702479338848E-4</v>
      </c>
      <c r="AO10" s="142">
        <f t="shared" si="7"/>
        <v>7562.5</v>
      </c>
    </row>
    <row r="11" spans="1:41" x14ac:dyDescent="0.25">
      <c r="A11" s="128" t="s">
        <v>9</v>
      </c>
      <c r="B11" s="129" t="s">
        <v>1059</v>
      </c>
      <c r="C11" s="141">
        <f>IFERROR(((s_DL/(up_RadSpec!I11*s_IFS_res_adj*(1/1000)))*1),".")</f>
        <v>0.33057851239669422</v>
      </c>
      <c r="D11" s="141">
        <f>IFERROR(IF(A11="H-3",(s_DL/((up_RadSpec!L11*s_IFA_res_adj*(1/17)*1000))*1),(s_DL/((up_RadSpec!L11*s_IFA_res_adj*(1/s_PEF_wind)*1000))*1)),".")</f>
        <v>3089.9917845330979</v>
      </c>
      <c r="E11" s="141">
        <f>IFERROR((s_DL/(up_RadSpec!K11*s_EF_res*(1/365)*s_ED_res*up_RadSpec!V11*((s_ET_res_o*(1/24)*up_RadSpec!AA11)+(s_ET_res_i*(1/24)*up_RadSpec!AF11))))*1,".")</f>
        <v>826.50682650682666</v>
      </c>
      <c r="F11" s="141">
        <f>up_b2s!C11</f>
        <v>4.3958447178843029E-5</v>
      </c>
      <c r="G11" s="141">
        <f>up_dir!C11</f>
        <v>2.2038567493112948E-4</v>
      </c>
      <c r="H11" s="141">
        <f>(IF(AND(C11&lt;&gt;".",D11&lt;&gt;".",E11&lt;&gt;".",F11&lt;&gt;"."),1/((1/C11)+(1/D11)+(1/E11)+(1/F11)),IF(AND(C11&lt;&gt;".",D11&lt;&gt;".",E11&lt;&gt;".",F11="."), 1/((1/C11)+(1/D11)+(1/E11)),IF(AND(C11&lt;&gt;".",D11&lt;&gt;".",E11=".",F11&lt;&gt;"."),1/((1/C11)+(1/D11)+(1/F11)),IF(AND(C11&lt;&gt;".",D11=".",E11&lt;&gt;".",F11&lt;&gt;"."),1/((1/C11)+(1/E11)+(1/F11)),IF(AND(C11=".",D11&lt;&gt;".",E11&lt;&gt;".",F11&lt;&gt;"."),1/((1/D11)+(1/E11)+(1/F11)),IF(AND(C11&lt;&gt;".",D11&lt;&gt;".",E11=".",F11="."),1/((1/C11)+(1/D11)),IF(AND(C11&lt;&gt;".",D11=".",E11&lt;&gt;".",F11="."),1/((1/C11)+(1/E11)),IF(AND(C11&lt;&gt;".",D11=".",E11=".",F11&lt;&gt;"."),1/((1/C11)+(1/F11)),IF(AND(C11=".",D11=".",E11&lt;&gt;".",F11&lt;&gt;"."),1/((1/E11)+(1/F11)),IF(AND(C11=".",D11&lt;&gt;".",E11=".",F11&lt;&gt;"."),1/((1/D11)+(1/F11)),IF(AND(C11=".",D11&lt;&gt;".",E11&lt;&gt;".",F11="."),1/((1/D11)+(1/E11)),IF(AND(C11&lt;&gt;".",D11=".",E11=".",F11="."),1/((1/C11)),IF(AND(C11=".",D11&lt;&gt;".",E11=".",F11="."),1/((1/D11)),IF(AND(C11=".",D11=".",E11&lt;&gt;".",F11="."),1/((1/E11)),IF(AND(C11=".",D11=".",E11=".",F11&lt;&gt;"."),1/((1/F11)),IF(AND(C11=".",D11=".",E11=".",F11="."),".")))))))))))))))))</f>
        <v>4.3952599649623937E-5</v>
      </c>
      <c r="I11" s="142">
        <f t="shared" si="0"/>
        <v>15.125</v>
      </c>
      <c r="J11" s="142">
        <f t="shared" si="1"/>
        <v>1.618127279505213E-3</v>
      </c>
      <c r="K11" s="142">
        <f>IFERROR((s_C*s_EF_res*(1/365)*s_ED_res*up_RadSpec!V11*((s_ET_res_o*(1/24)*up_RadSpec!AA11)+(s_ET_res_i*(1/24)*up_RadSpec!AF11))),".")</f>
        <v>6.0495568090249792E-3</v>
      </c>
      <c r="L11" s="142">
        <f>up_b2s!AB11</f>
        <v>113743.78125</v>
      </c>
      <c r="M11" s="141"/>
      <c r="N11" s="141">
        <f>IFERROR((s_DL/(up_RadSpec!K11*s_EF_res*(1/365)*s_ED_res*up_RadSpec!V11*((s_ET_res_o*(1/24)*up_RadSpec!AA11)+(s_ET_res_i*(1/24)*up_RadSpec!AF11))))*1,".")</f>
        <v>826.50682650682666</v>
      </c>
      <c r="O11" s="141">
        <f>IFERROR((s_DL/(up_RadSpec!R11*s_EF_res*(1/365)*s_ED_res*up_RadSpec!W11*((s_ET_res_o*(1/24)*up_RadSpec!AB11)+(s_ET_res_i*(1/24)*up_RadSpec!AG11))))*1,".")</f>
        <v>1045.804303422032</v>
      </c>
      <c r="P11" s="141">
        <f>IFERROR((s_DL/(up_RadSpec!S11*s_EF_res*(1/365)*s_ED_res*up_RadSpec!X11*((s_ET_res_o*(1/24)*up_RadSpec!AC11)+(s_ET_res_i*(1/24)*up_RadSpec!AH11))))*1,".")</f>
        <v>811.64159581425747</v>
      </c>
      <c r="Q11" s="141">
        <f>IFERROR((s_DL/(up_RadSpec!T11*s_EF_res*(1/365)*s_ED_res*up_RadSpec!Y11*((s_ET_res_o*(1/24)*up_RadSpec!AD11)+(s_ET_res_i*(1/24)*up_RadSpec!AI11))))*1,".")</f>
        <v>773.13266443701264</v>
      </c>
      <c r="R11" s="141">
        <f>IFERROR((s_DL/(up_RadSpec!P11*s_EF_res*(1/365)*s_ED_res*up_RadSpec!U11*((s_ET_res_o*(1/24)*up_RadSpec!Z11)+(s_ET_res_i*(1/24)*up_RadSpec!AE11))))*1,".")</f>
        <v>1946.8923933209649</v>
      </c>
      <c r="S11" s="142">
        <f>IFERROR((s_C*s_EF_res*(1/365)*s_ED_res*up_RadSpec!V11*((s_ET_res_o*(1/24)*up_RadSpec!AA11)+(s_ET_res_i*(1/24)*up_RadSpec!AF11))),".")</f>
        <v>6.0495568090249792E-3</v>
      </c>
      <c r="T11" s="142">
        <f>IFERROR((s_C*s_EF_res*(1/365)*s_ED_res*up_RadSpec!W11*((s_ET_res_o*(1/24)*up_RadSpec!AB11)+(s_ET_res_i*(1/24)*up_RadSpec!AG11))),".")</f>
        <v>4.7810092037671231E-3</v>
      </c>
      <c r="U11" s="142">
        <f>IFERROR((s_C*s_EF_res*(1/365)*s_ED_res*up_RadSpec!X11*((s_ET_res_o*(1/24)*up_RadSpec!AC11)+(s_ET_res_i*(1/24)*up_RadSpec!AH11))),".")</f>
        <v>6.1603545527800178E-3</v>
      </c>
      <c r="V11" s="142">
        <f>IFERROR((s_C*s_EF_res*(1/365)*s_ED_res*up_RadSpec!Y11*((s_ET_res_o*(1/24)*up_RadSpec!AD11)+(s_ET_res_i*(1/24)*up_RadSpec!AI11))),".")</f>
        <v>6.4671953857245827E-3</v>
      </c>
      <c r="W11" s="142">
        <f>IFERROR((s_C*s_EF_res*(1/365)*s_ED_res*up_RadSpec!U11*((s_ET_res_o*(1/24)*up_RadSpec!Z11)+(s_ET_res_i*(1/24)*up_RadSpec!AE11))),".")</f>
        <v>2.5681953543776055E-3</v>
      </c>
      <c r="X11" s="141">
        <f>IFERROR((s_DL/(up_RadSpec!L11*s_IFA_res_adj)),".")</f>
        <v>9.9740259740259754E-3</v>
      </c>
      <c r="Y11" s="141">
        <f>IFERROR((s_DL/(up_RadSpec!O11*s_EF_res*(1/365)*s_ED_res*s_ET_res*(1/24)*s_GSF_a)),".")</f>
        <v>15.927272727272728</v>
      </c>
      <c r="Z11" s="141">
        <f t="shared" si="9"/>
        <v>9.9677839175609673E-3</v>
      </c>
      <c r="AA11" s="142">
        <f t="shared" si="2"/>
        <v>501.30208333333326</v>
      </c>
      <c r="AB11" s="142">
        <f t="shared" si="3"/>
        <v>0.3139269406392694</v>
      </c>
      <c r="AC11" s="141"/>
      <c r="AD11" s="141">
        <f>IFERROR((s_DL/(up_RadSpec!M11*s_IFW_res_adj)),".")</f>
        <v>3.6363636363636364E-3</v>
      </c>
      <c r="AE11" s="141" t="str">
        <f>IFERROR(IF(up_RadSpec!C11=1,(s_DL/(up_RadSpec!L11*s_IFA_res_adj*s_K)),"."),".")</f>
        <v>.</v>
      </c>
      <c r="AF11" s="141">
        <f>IFERROR((s_DL/(up_RadSpec!Q11*(1/8760)*s_DFA_res_adj)),".")</f>
        <v>39.81818181818182</v>
      </c>
      <c r="AG11" s="141">
        <f>up_b2w!C11</f>
        <v>2.1924550381384044E-4</v>
      </c>
      <c r="AH11" s="141">
        <f>(IF(AND(AD11&lt;&gt;".",AE11&lt;&gt;".",AF11&lt;&gt;".",AG11&lt;&gt;"."),1/((1/AD11)+(1/AE11)+(1/AF11)+(1/AG11)),IF(AND(AD11&lt;&gt;".",AE11&lt;&gt;".",AF11&lt;&gt;".",AG11="."), 1/((1/AD11)+(1/AE11)+(1/AF11)),IF(AND(AD11&lt;&gt;".",AE11&lt;&gt;".",AF11=".",AG11&lt;&gt;"."),1/((1/AD11)+(1/AE11)+(1/AG11)),IF(AND(AD11&lt;&gt;".",AE11=".",AF11&lt;&gt;".",AG11&lt;&gt;"."),1/((1/AD11)+(1/AF11)+(1/AG11)),IF(AND(AD11=".",AE11&lt;&gt;".",AF11&lt;&gt;".",AG11&lt;&gt;"."),1/((1/AE11)+(1/AF11)+(1/AG11)),IF(AND(AD11&lt;&gt;".",AE11&lt;&gt;".",AF11=".",AG11="."),1/((1/AD11)+(1/AE11)),IF(AND(AD11&lt;&gt;".",AE11=".",AF11&lt;&gt;".",AG11="."),1/((1/AD11)+(1/AF11)),IF(AND(AD11&lt;&gt;".",AE11=".",AF11=".",AG11&lt;&gt;"."),1/((1/AD11)+(1/AG11)),IF(AND(AD11=".",AE11=".",AF11&lt;&gt;".",AG11&lt;&gt;"."),1/((1/AF11)+(1/AG11)),IF(AND(AD11=".",AE11&lt;&gt;".",AF11=".",AG11&lt;&gt;"."),1/((1/AE11)+(1/AG11)),IF(AND(AD11=".",AE11&lt;&gt;".",AF11&lt;&gt;".",AG11="."),1/((1/AE11)+(1/AF11)),IF(AND(AD11&lt;&gt;".",AE11=".",AF11=".",AG11="."),1/((1/AD11)),IF(AND(AD11=".",AE11&lt;&gt;".",AF11=".",AG11="."),1/((1/AE11)),IF(AND(AD11=".",AE11=".",AF11&lt;&gt;".",AG11="."),1/((1/AF11)),IF(AND(AD11=".",AE11=".",AF11=".",AG11&lt;&gt;"."),1/((1/AG11)),IF(AND(AD11=".",AE11=".",AF11=".",AG11="."),".")))))))))))))))))</f>
        <v>2.0677724539454526E-4</v>
      </c>
      <c r="AI11" s="142">
        <f t="shared" si="4"/>
        <v>1375</v>
      </c>
      <c r="AJ11" s="142">
        <f t="shared" si="5"/>
        <v>250.65104166666663</v>
      </c>
      <c r="AK11" s="142">
        <f t="shared" si="6"/>
        <v>0.12557077625570776</v>
      </c>
      <c r="AL11" s="142">
        <f>up_b2w!AB11</f>
        <v>22805.4847785862</v>
      </c>
      <c r="AM11" s="141"/>
      <c r="AN11" s="141">
        <f>IFERROR(s_DL/(up_RadSpec!J11*s_EF_res*s_ED_res*s_IRF_res*0.001*s_CF_res_fish),".")</f>
        <v>6.6115702479338848E-4</v>
      </c>
      <c r="AO11" s="142">
        <f t="shared" si="7"/>
        <v>7562.5</v>
      </c>
    </row>
    <row r="12" spans="1:41" x14ac:dyDescent="0.25">
      <c r="A12" s="128" t="s">
        <v>10</v>
      </c>
      <c r="B12" s="129" t="s">
        <v>1059</v>
      </c>
      <c r="C12" s="141">
        <f>IFERROR(((s_DL/(up_RadSpec!I12*s_IFS_res_adj*(1/1000)))*1),".")</f>
        <v>0.33057851239669422</v>
      </c>
      <c r="D12" s="141">
        <f>IFERROR(IF(A12="H-3",(s_DL/((up_RadSpec!L12*s_IFA_res_adj*(1/17)*1000))*1),(s_DL/((up_RadSpec!L12*s_IFA_res_adj*(1/s_PEF_wind)*1000))*1)),".")</f>
        <v>3089.9917845330979</v>
      </c>
      <c r="E12" s="141">
        <f>IFERROR((s_DL/(up_RadSpec!K12*s_EF_res*(1/365)*s_ED_res*up_RadSpec!V12*((s_ET_res_o*(1/24)*up_RadSpec!AA12)+(s_ET_res_i*(1/24)*up_RadSpec!AF12))))*1,".")</f>
        <v>396.01143510577469</v>
      </c>
      <c r="F12" s="141">
        <f>up_b2s!C12</f>
        <v>4.3958447178843029E-5</v>
      </c>
      <c r="G12" s="141">
        <f>up_dir!C12</f>
        <v>2.2038567493112948E-4</v>
      </c>
      <c r="H12" s="141">
        <f t="shared" ref="H12:H29" si="12">(IF(AND(C12&lt;&gt;".",D12&lt;&gt;".",E12&lt;&gt;".",F12&lt;&gt;"."),1/((1/C12)+(1/D12)+(1/E12)+(1/F12)),IF(AND(C12&lt;&gt;".",D12&lt;&gt;".",E12&lt;&gt;".",F12="."), 1/((1/C12)+(1/D12)+(1/E12)),IF(AND(C12&lt;&gt;".",D12&lt;&gt;".",E12=".",F12&lt;&gt;"."),1/((1/C12)+(1/D12)+(1/F12)),IF(AND(C12&lt;&gt;".",D12=".",E12&lt;&gt;".",F12&lt;&gt;"."),1/((1/C12)+(1/E12)+(1/F12)),IF(AND(C12=".",D12&lt;&gt;".",E12&lt;&gt;".",F12&lt;&gt;"."),1/((1/D12)+(1/E12)+(1/F12)),IF(AND(C12&lt;&gt;".",D12&lt;&gt;".",E12=".",F12="."),1/((1/C12)+(1/D12)),IF(AND(C12&lt;&gt;".",D12=".",E12&lt;&gt;".",F12="."),1/((1/C12)+(1/E12)),IF(AND(C12&lt;&gt;".",D12=".",E12=".",F12&lt;&gt;"."),1/((1/C12)+(1/F12)),IF(AND(C12=".",D12=".",E12&lt;&gt;".",F12&lt;&gt;"."),1/((1/E12)+(1/F12)),IF(AND(C12=".",D12&lt;&gt;".",E12=".",F12&lt;&gt;"."),1/((1/D12)+(1/F12)),IF(AND(C12=".",D12&lt;&gt;".",E12&lt;&gt;".",F12="."),1/((1/D12)+(1/E12)),IF(AND(C12&lt;&gt;".",D12=".",E12=".",F12="."),1/((1/C12)),IF(AND(C12=".",D12&lt;&gt;".",E12=".",F12="."),1/((1/D12)),IF(AND(C12=".",D12=".",E12&lt;&gt;".",F12="."),1/((1/E12)),IF(AND(C12=".",D12=".",E12=".",F12&lt;&gt;"."),1/((1/F12)),IF(AND(C12=".",D12=".",E12=".",F12="."),".")))))))))))))))))</f>
        <v>4.3952597108748089E-5</v>
      </c>
      <c r="I12" s="142">
        <f t="shared" si="0"/>
        <v>15.125</v>
      </c>
      <c r="J12" s="142">
        <f t="shared" si="1"/>
        <v>1.618127279505213E-3</v>
      </c>
      <c r="K12" s="142">
        <f>IFERROR((s_C*s_EF_res*(1/365)*s_ED_res*up_RadSpec!V12*((s_ET_res_o*(1/24)*up_RadSpec!AA12)+(s_ET_res_i*(1/24)*up_RadSpec!AF12))),".")</f>
        <v>1.2625898034142624E-2</v>
      </c>
      <c r="L12" s="142">
        <f>up_b2s!AB12</f>
        <v>113743.78125</v>
      </c>
      <c r="M12" s="141"/>
      <c r="N12" s="141">
        <f>IFERROR((s_DL/(up_RadSpec!K12*s_EF_res*(1/365)*s_ED_res*up_RadSpec!V12*((s_ET_res_o*(1/24)*up_RadSpec!AA12)+(s_ET_res_i*(1/24)*up_RadSpec!AF12))))*1,".")</f>
        <v>396.01143510577469</v>
      </c>
      <c r="O12" s="141">
        <f>IFERROR((s_DL/(up_RadSpec!R12*s_EF_res*(1/365)*s_ED_res*up_RadSpec!W12*((s_ET_res_o*(1/24)*up_RadSpec!AB12)+(s_ET_res_i*(1/24)*up_RadSpec!AG12))))*1,".")</f>
        <v>710.46991344547155</v>
      </c>
      <c r="P12" s="141">
        <f>IFERROR((s_DL/(up_RadSpec!S12*s_EF_res*(1/365)*s_ED_res*up_RadSpec!X12*((s_ET_res_o*(1/24)*up_RadSpec!AC12)+(s_ET_res_i*(1/24)*up_RadSpec!AH12))))*1,".")</f>
        <v>515.15294947869359</v>
      </c>
      <c r="Q12" s="141">
        <f>IFERROR((s_DL/(up_RadSpec!T12*s_EF_res*(1/365)*s_ED_res*up_RadSpec!Y12*((s_ET_res_o*(1/24)*up_RadSpec!AD12)+(s_ET_res_i*(1/24)*up_RadSpec!AI12))))*1,".")</f>
        <v>454.95190353610622</v>
      </c>
      <c r="R12" s="141">
        <f>IFERROR((s_DL/(up_RadSpec!P12*s_EF_res*(1/365)*s_ED_res*up_RadSpec!U12*((s_ET_res_o*(1/24)*up_RadSpec!Z12)+(s_ET_res_i*(1/24)*up_RadSpec!AE12))))*1,".")</f>
        <v>1226.4481550195835</v>
      </c>
      <c r="S12" s="142">
        <f>IFERROR((s_C*s_EF_res*(1/365)*s_ED_res*up_RadSpec!V12*((s_ET_res_o*(1/24)*up_RadSpec!AA12)+(s_ET_res_i*(1/24)*up_RadSpec!AF12))),".")</f>
        <v>1.2625898034142624E-2</v>
      </c>
      <c r="T12" s="142">
        <f>IFERROR((s_C*s_EF_res*(1/365)*s_ED_res*up_RadSpec!W12*((s_ET_res_o*(1/24)*up_RadSpec!AB12)+(s_ET_res_i*(1/24)*up_RadSpec!AG12))),".")</f>
        <v>7.0375956889605134E-3</v>
      </c>
      <c r="U12" s="142">
        <f>IFERROR((s_C*s_EF_res*(1/365)*s_ED_res*up_RadSpec!X12*((s_ET_res_o*(1/24)*up_RadSpec!AC12)+(s_ET_res_i*(1/24)*up_RadSpec!AH12))),".")</f>
        <v>9.7058553291012404E-3</v>
      </c>
      <c r="V12" s="142">
        <f>IFERROR((s_C*s_EF_res*(1/365)*s_ED_res*up_RadSpec!Y12*((s_ET_res_o*(1/24)*up_RadSpec!AD12)+(s_ET_res_i*(1/24)*up_RadSpec!AI12))),".")</f>
        <v>1.099017272185825E-2</v>
      </c>
      <c r="W12" s="142">
        <f>IFERROR((s_C*s_EF_res*(1/365)*s_ED_res*up_RadSpec!U12*((s_ET_res_o*(1/24)*up_RadSpec!Z12)+(s_ET_res_i*(1/24)*up_RadSpec!AE12))),".")</f>
        <v>4.0768131775779483E-3</v>
      </c>
      <c r="X12" s="141">
        <f>IFERROR((s_DL/(up_RadSpec!L12*s_IFA_res_adj)),".")</f>
        <v>9.9740259740259754E-3</v>
      </c>
      <c r="Y12" s="141">
        <f>IFERROR((s_DL/(up_RadSpec!O12*s_EF_res*(1/365)*s_ED_res*s_ET_res*(1/24)*s_GSF_a)),".")</f>
        <v>15.927272727272728</v>
      </c>
      <c r="Z12" s="141">
        <f t="shared" si="9"/>
        <v>9.9677839175609673E-3</v>
      </c>
      <c r="AA12" s="142">
        <f t="shared" si="2"/>
        <v>501.30208333333326</v>
      </c>
      <c r="AB12" s="142">
        <f t="shared" si="3"/>
        <v>0.3139269406392694</v>
      </c>
      <c r="AC12" s="141"/>
      <c r="AD12" s="141">
        <f>IFERROR((s_DL/(up_RadSpec!M12*s_IFW_res_adj)),".")</f>
        <v>3.6363636363636364E-3</v>
      </c>
      <c r="AE12" s="141" t="str">
        <f>IFERROR(IF(up_RadSpec!C12=1,(s_DL/(up_RadSpec!L12*s_IFA_res_adj*s_K)),"."),".")</f>
        <v>.</v>
      </c>
      <c r="AF12" s="141">
        <f>IFERROR((s_DL/(up_RadSpec!Q12*(1/8760)*s_DFA_res_adj)),".")</f>
        <v>39.81818181818182</v>
      </c>
      <c r="AG12" s="141">
        <f>up_b2w!C12</f>
        <v>2.1924550381384044E-4</v>
      </c>
      <c r="AH12" s="141">
        <f>(IF(AND(AD12&lt;&gt;".",AE12&lt;&gt;".",AF12&lt;&gt;".",AG12&lt;&gt;"."),1/((1/AD12)+(1/AE12)+(1/AF12)+(1/AG12)),IF(AND(AD12&lt;&gt;".",AE12&lt;&gt;".",AF12&lt;&gt;".",AG12="."), 1/((1/AD12)+(1/AE12)+(1/AF12)),IF(AND(AD12&lt;&gt;".",AE12&lt;&gt;".",AF12=".",AG12&lt;&gt;"."),1/((1/AD12)+(1/AE12)+(1/AG12)),IF(AND(AD12&lt;&gt;".",AE12=".",AF12&lt;&gt;".",AG12&lt;&gt;"."),1/((1/AD12)+(1/AF12)+(1/AG12)),IF(AND(AD12=".",AE12&lt;&gt;".",AF12&lt;&gt;".",AG12&lt;&gt;"."),1/((1/AE12)+(1/AF12)+(1/AG12)),IF(AND(AD12&lt;&gt;".",AE12&lt;&gt;".",AF12=".",AG12="."),1/((1/AD12)+(1/AE12)),IF(AND(AD12&lt;&gt;".",AE12=".",AF12&lt;&gt;".",AG12="."),1/((1/AD12)+(1/AF12)),IF(AND(AD12&lt;&gt;".",AE12=".",AF12=".",AG12&lt;&gt;"."),1/((1/AD12)+(1/AG12)),IF(AND(AD12=".",AE12=".",AF12&lt;&gt;".",AG12&lt;&gt;"."),1/((1/AF12)+(1/AG12)),IF(AND(AD12=".",AE12&lt;&gt;".",AF12=".",AG12&lt;&gt;"."),1/((1/AE12)+(1/AG12)),IF(AND(AD12=".",AE12&lt;&gt;".",AF12&lt;&gt;".",AG12="."),1/((1/AE12)+(1/AF12)),IF(AND(AD12&lt;&gt;".",AE12=".",AF12=".",AG12="."),1/((1/AD12)),IF(AND(AD12=".",AE12&lt;&gt;".",AF12=".",AG12="."),1/((1/AE12)),IF(AND(AD12=".",AE12=".",AF12&lt;&gt;".",AG12="."),1/((1/AF12)),IF(AND(AD12=".",AE12=".",AF12=".",AG12&lt;&gt;"."),1/((1/AG12)),IF(AND(AD12=".",AE12=".",AF12=".",AG12="."),".")))))))))))))))))</f>
        <v>2.0677724539454526E-4</v>
      </c>
      <c r="AI12" s="142">
        <f t="shared" si="4"/>
        <v>1375</v>
      </c>
      <c r="AJ12" s="142">
        <f t="shared" si="5"/>
        <v>250.65104166666663</v>
      </c>
      <c r="AK12" s="142">
        <f t="shared" si="6"/>
        <v>0.12557077625570776</v>
      </c>
      <c r="AL12" s="142">
        <f>up_b2w!AB12</f>
        <v>22805.4847785862</v>
      </c>
      <c r="AM12" s="141"/>
      <c r="AN12" s="141">
        <f>IFERROR(s_DL/(up_RadSpec!J12*s_EF_res*s_ED_res*s_IRF_res*0.001*s_CF_res_fish),".")</f>
        <v>6.6115702479338848E-4</v>
      </c>
      <c r="AO12" s="142">
        <f t="shared" si="7"/>
        <v>7562.5</v>
      </c>
    </row>
    <row r="13" spans="1:41" x14ac:dyDescent="0.25">
      <c r="A13" s="128" t="s">
        <v>11</v>
      </c>
      <c r="B13" s="129" t="s">
        <v>1059</v>
      </c>
      <c r="C13" s="141">
        <f>IFERROR(((s_DL/(up_RadSpec!I13*s_IFS_res_adj*(1/1000)))*1),".")</f>
        <v>0.33057851239669422</v>
      </c>
      <c r="D13" s="141">
        <f>IFERROR(IF(A13="H-3",(s_DL/((up_RadSpec!L13*s_IFA_res_adj*(1/17)*1000))*1),(s_DL/((up_RadSpec!L13*s_IFA_res_adj*(1/s_PEF_wind)*1000))*1)),".")</f>
        <v>3089.9917845330979</v>
      </c>
      <c r="E13" s="141">
        <f>IFERROR((s_DL/(up_RadSpec!K13*s_EF_res*(1/365)*s_ED_res*up_RadSpec!V13*((s_ET_res_o*(1/24)*up_RadSpec!AA13)+(s_ET_res_i*(1/24)*up_RadSpec!AF13))))*1,".")</f>
        <v>3043.9232247141867</v>
      </c>
      <c r="F13" s="141">
        <f>up_b2s!C13</f>
        <v>4.3958447178843029E-5</v>
      </c>
      <c r="G13" s="141">
        <f>up_dir!C13</f>
        <v>2.2038567493112948E-4</v>
      </c>
      <c r="H13" s="141">
        <f t="shared" si="12"/>
        <v>4.3952601352316611E-5</v>
      </c>
      <c r="I13" s="142">
        <f t="shared" si="0"/>
        <v>15.125</v>
      </c>
      <c r="J13" s="142">
        <f t="shared" si="1"/>
        <v>1.618127279505213E-3</v>
      </c>
      <c r="K13" s="142">
        <f>IFERROR((s_C*s_EF_res*(1/365)*s_ED_res*up_RadSpec!V13*((s_ET_res_o*(1/24)*up_RadSpec!AA13)+(s_ET_res_i*(1/24)*up_RadSpec!AF13))),".")</f>
        <v>1.6426169883011689E-3</v>
      </c>
      <c r="L13" s="142">
        <f>up_b2s!AB13</f>
        <v>113743.78125</v>
      </c>
      <c r="M13" s="141"/>
      <c r="N13" s="141">
        <f>IFERROR((s_DL/(up_RadSpec!K13*s_EF_res*(1/365)*s_ED_res*up_RadSpec!V13*((s_ET_res_o*(1/24)*up_RadSpec!AA13)+(s_ET_res_i*(1/24)*up_RadSpec!AF13))))*1,".")</f>
        <v>3043.9232247141867</v>
      </c>
      <c r="O13" s="141">
        <f>IFERROR((s_DL/(up_RadSpec!R13*s_EF_res*(1/365)*s_ED_res*up_RadSpec!W13*((s_ET_res_o*(1/24)*up_RadSpec!AB13)+(s_ET_res_i*(1/24)*up_RadSpec!AG13))))*1,".")</f>
        <v>6638.1290962296553</v>
      </c>
      <c r="P13" s="141">
        <f>IFERROR((s_DL/(up_RadSpec!S13*s_EF_res*(1/365)*s_ED_res*up_RadSpec!X13*((s_ET_res_o*(1/24)*up_RadSpec!AC13)+(s_ET_res_i*(1/24)*up_RadSpec!AH13))))*1,".")</f>
        <v>3943.6655108296891</v>
      </c>
      <c r="Q13" s="141">
        <f>IFERROR((s_DL/(up_RadSpec!T13*s_EF_res*(1/365)*s_ED_res*up_RadSpec!Y13*((s_ET_res_o*(1/24)*up_RadSpec!AD13)+(s_ET_res_i*(1/24)*up_RadSpec!AI13))))*1,".")</f>
        <v>3255.5712315832266</v>
      </c>
      <c r="R13" s="141">
        <f>IFERROR((s_DL/(up_RadSpec!P13*s_EF_res*(1/365)*s_ED_res*up_RadSpec!U13*((s_ET_res_o*(1/24)*up_RadSpec!Z13)+(s_ET_res_i*(1/24)*up_RadSpec!AE13))))*1,".")</f>
        <v>63861.832611832586</v>
      </c>
      <c r="S13" s="142">
        <f>IFERROR((s_C*s_EF_res*(1/365)*s_ED_res*up_RadSpec!V13*((s_ET_res_o*(1/24)*up_RadSpec!AA13)+(s_ET_res_i*(1/24)*up_RadSpec!AF13))),".")</f>
        <v>1.6426169883011689E-3</v>
      </c>
      <c r="T13" s="142">
        <f>IFERROR((s_C*s_EF_res*(1/365)*s_ED_res*up_RadSpec!W13*((s_ET_res_o*(1/24)*up_RadSpec!AB13)+(s_ET_res_i*(1/24)*up_RadSpec!AG13))),".")</f>
        <v>7.5322427863596612E-4</v>
      </c>
      <c r="U13" s="142">
        <f>IFERROR((s_C*s_EF_res*(1/365)*s_ED_res*up_RadSpec!X13*((s_ET_res_o*(1/24)*up_RadSpec!AC13)+(s_ET_res_i*(1/24)*up_RadSpec!AH13))),".")</f>
        <v>1.267856005097165E-3</v>
      </c>
      <c r="V13" s="142">
        <f>IFERROR((s_C*s_EF_res*(1/365)*s_ED_res*up_RadSpec!Y13*((s_ET_res_o*(1/24)*up_RadSpec!AD13)+(s_ET_res_i*(1/24)*up_RadSpec!AI13))),".")</f>
        <v>1.5358287822098843E-3</v>
      </c>
      <c r="W13" s="142">
        <f>IFERROR((s_C*s_EF_res*(1/365)*s_ED_res*up_RadSpec!U13*((s_ET_res_o*(1/24)*up_RadSpec!Z13)+(s_ET_res_i*(1/24)*up_RadSpec!AE13))),".")</f>
        <v>7.8294026267476373E-5</v>
      </c>
      <c r="X13" s="141">
        <f>IFERROR((s_DL/(up_RadSpec!L13*s_IFA_res_adj)),".")</f>
        <v>9.9740259740259754E-3</v>
      </c>
      <c r="Y13" s="141">
        <f>IFERROR((s_DL/(up_RadSpec!O13*s_EF_res*(1/365)*s_ED_res*s_ET_res*(1/24)*s_GSF_a)),".")</f>
        <v>15.927272727272728</v>
      </c>
      <c r="Z13" s="141">
        <f t="shared" si="9"/>
        <v>9.9677839175609673E-3</v>
      </c>
      <c r="AA13" s="142">
        <f t="shared" si="2"/>
        <v>501.30208333333326</v>
      </c>
      <c r="AB13" s="142">
        <f t="shared" si="3"/>
        <v>0.3139269406392694</v>
      </c>
      <c r="AC13" s="141"/>
      <c r="AD13" s="141">
        <f>IFERROR((s_DL/(up_RadSpec!M13*s_IFW_res_adj)),".")</f>
        <v>3.6363636363636364E-3</v>
      </c>
      <c r="AE13" s="141" t="str">
        <f>IFERROR(IF(up_RadSpec!C13=1,(s_DL/(up_RadSpec!L13*s_IFA_res_adj*s_K)),"."),".")</f>
        <v>.</v>
      </c>
      <c r="AF13" s="141">
        <f>IFERROR((s_DL/(up_RadSpec!Q13*(1/8760)*s_DFA_res_adj)),".")</f>
        <v>39.81818181818182</v>
      </c>
      <c r="AG13" s="141">
        <f>up_b2w!C13</f>
        <v>2.1924550381384044E-4</v>
      </c>
      <c r="AH13" s="141">
        <f>(IF(AND(AD13&lt;&gt;".",AE13&lt;&gt;".",AF13&lt;&gt;".",AG13&lt;&gt;"."),1/((1/AD13)+(1/AE13)+(1/AF13)+(1/AG13)),IF(AND(AD13&lt;&gt;".",AE13&lt;&gt;".",AF13&lt;&gt;".",AG13="."), 1/((1/AD13)+(1/AE13)+(1/AF13)),IF(AND(AD13&lt;&gt;".",AE13&lt;&gt;".",AF13=".",AG13&lt;&gt;"."),1/((1/AD13)+(1/AE13)+(1/AG13)),IF(AND(AD13&lt;&gt;".",AE13=".",AF13&lt;&gt;".",AG13&lt;&gt;"."),1/((1/AD13)+(1/AF13)+(1/AG13)),IF(AND(AD13=".",AE13&lt;&gt;".",AF13&lt;&gt;".",AG13&lt;&gt;"."),1/((1/AE13)+(1/AF13)+(1/AG13)),IF(AND(AD13&lt;&gt;".",AE13&lt;&gt;".",AF13=".",AG13="."),1/((1/AD13)+(1/AE13)),IF(AND(AD13&lt;&gt;".",AE13=".",AF13&lt;&gt;".",AG13="."),1/((1/AD13)+(1/AF13)),IF(AND(AD13&lt;&gt;".",AE13=".",AF13=".",AG13&lt;&gt;"."),1/((1/AD13)+(1/AG13)),IF(AND(AD13=".",AE13=".",AF13&lt;&gt;".",AG13&lt;&gt;"."),1/((1/AF13)+(1/AG13)),IF(AND(AD13=".",AE13&lt;&gt;".",AF13=".",AG13&lt;&gt;"."),1/((1/AE13)+(1/AG13)),IF(AND(AD13=".",AE13&lt;&gt;".",AF13&lt;&gt;".",AG13="."),1/((1/AE13)+(1/AF13)),IF(AND(AD13&lt;&gt;".",AE13=".",AF13=".",AG13="."),1/((1/AD13)),IF(AND(AD13=".",AE13&lt;&gt;".",AF13=".",AG13="."),1/((1/AE13)),IF(AND(AD13=".",AE13=".",AF13&lt;&gt;".",AG13="."),1/((1/AF13)),IF(AND(AD13=".",AE13=".",AF13=".",AG13&lt;&gt;"."),1/((1/AG13)),IF(AND(AD13=".",AE13=".",AF13=".",AG13="."),".")))))))))))))))))</f>
        <v>2.0677724539454526E-4</v>
      </c>
      <c r="AI13" s="142">
        <f t="shared" si="4"/>
        <v>1375</v>
      </c>
      <c r="AJ13" s="142">
        <f t="shared" si="5"/>
        <v>250.65104166666663</v>
      </c>
      <c r="AK13" s="142">
        <f t="shared" si="6"/>
        <v>0.12557077625570776</v>
      </c>
      <c r="AL13" s="142">
        <f>up_b2w!AB13</f>
        <v>22805.4847785862</v>
      </c>
      <c r="AM13" s="141"/>
      <c r="AN13" s="141">
        <f>IFERROR(s_DL/(up_RadSpec!J13*s_EF_res*s_ED_res*s_IRF_res*0.001*s_CF_res_fish),".")</f>
        <v>6.6115702479338848E-4</v>
      </c>
      <c r="AO13" s="142">
        <f t="shared" si="7"/>
        <v>7562.5</v>
      </c>
    </row>
    <row r="14" spans="1:41" x14ac:dyDescent="0.25">
      <c r="A14" s="128" t="s">
        <v>12</v>
      </c>
      <c r="B14" s="129" t="s">
        <v>1059</v>
      </c>
      <c r="C14" s="141">
        <f>IFERROR(((s_DL/(up_RadSpec!I14*s_IFS_res_adj*(1/1000)))*1),".")</f>
        <v>0.33057851239669422</v>
      </c>
      <c r="D14" s="141">
        <f>IFERROR(IF(A14="H-3",(s_DL/((up_RadSpec!L14*s_IFA_res_adj*(1/17)*1000))*1),(s_DL/((up_RadSpec!L14*s_IFA_res_adj*(1/s_PEF_wind)*1000))*1)),".")</f>
        <v>3089.9917845330979</v>
      </c>
      <c r="E14" s="141">
        <f>IFERROR((s_DL/(up_RadSpec!K14*s_EF_res*(1/365)*s_ED_res*up_RadSpec!V14*((s_ET_res_o*(1/24)*up_RadSpec!AA14)+(s_ET_res_i*(1/24)*up_RadSpec!AF14))))*1,".")</f>
        <v>456.94544130414806</v>
      </c>
      <c r="F14" s="141">
        <f>up_b2s!C14</f>
        <v>4.3958447178843029E-5</v>
      </c>
      <c r="G14" s="141">
        <f>up_dir!C14</f>
        <v>2.2038567493112948E-4</v>
      </c>
      <c r="H14" s="141">
        <f t="shared" si="12"/>
        <v>4.3952597759262243E-5</v>
      </c>
      <c r="I14" s="142">
        <f t="shared" si="0"/>
        <v>15.125</v>
      </c>
      <c r="J14" s="142">
        <f t="shared" si="1"/>
        <v>1.618127279505213E-3</v>
      </c>
      <c r="K14" s="142">
        <f>IFERROR((s_C*s_EF_res*(1/365)*s_ED_res*up_RadSpec!V14*((s_ET_res_o*(1/24)*up_RadSpec!AA14)+(s_ET_res_i*(1/24)*up_RadSpec!AF14))),".")</f>
        <v>1.0942225368809278E-2</v>
      </c>
      <c r="L14" s="142">
        <f>up_b2s!AB14</f>
        <v>113743.78125</v>
      </c>
      <c r="M14" s="141"/>
      <c r="N14" s="141">
        <f>IFERROR((s_DL/(up_RadSpec!K14*s_EF_res*(1/365)*s_ED_res*up_RadSpec!V14*((s_ET_res_o*(1/24)*up_RadSpec!AA14)+(s_ET_res_i*(1/24)*up_RadSpec!AF14))))*1,".")</f>
        <v>456.94544130414806</v>
      </c>
      <c r="O14" s="141">
        <f>IFERROR((s_DL/(up_RadSpec!R14*s_EF_res*(1/365)*s_ED_res*up_RadSpec!W14*((s_ET_res_o*(1/24)*up_RadSpec!AB14)+(s_ET_res_i*(1/24)*up_RadSpec!AG14))))*1,".")</f>
        <v>829.86017700335981</v>
      </c>
      <c r="P14" s="141">
        <f>IFERROR((s_DL/(up_RadSpec!S14*s_EF_res*(1/365)*s_ED_res*up_RadSpec!X14*((s_ET_res_o*(1/24)*up_RadSpec!AC14)+(s_ET_res_i*(1/24)*up_RadSpec!AH14))))*1,".")</f>
        <v>613.55185865285387</v>
      </c>
      <c r="Q14" s="141">
        <f>IFERROR((s_DL/(up_RadSpec!T14*s_EF_res*(1/365)*s_ED_res*up_RadSpec!Y14*((s_ET_res_o*(1/24)*up_RadSpec!AD14)+(s_ET_res_i*(1/24)*up_RadSpec!AI14))))*1,".")</f>
        <v>537.65341535125719</v>
      </c>
      <c r="R14" s="141">
        <f>IFERROR((s_DL/(up_RadSpec!P14*s_EF_res*(1/365)*s_ED_res*up_RadSpec!U14*((s_ET_res_o*(1/24)*up_RadSpec!Z14)+(s_ET_res_i*(1/24)*up_RadSpec!AE14))))*1,".")</f>
        <v>2315.5333826065539</v>
      </c>
      <c r="S14" s="142">
        <f>IFERROR((s_C*s_EF_res*(1/365)*s_ED_res*up_RadSpec!V14*((s_ET_res_o*(1/24)*up_RadSpec!AA14)+(s_ET_res_i*(1/24)*up_RadSpec!AF14))),".")</f>
        <v>1.0942225368809278E-2</v>
      </c>
      <c r="T14" s="142">
        <f>IFERROR((s_C*s_EF_res*(1/365)*s_ED_res*up_RadSpec!W14*((s_ET_res_o*(1/24)*up_RadSpec!AB14)+(s_ET_res_i*(1/24)*up_RadSpec!AG14))),".")</f>
        <v>6.0251113844926154E-3</v>
      </c>
      <c r="U14" s="142">
        <f>IFERROR((s_C*s_EF_res*(1/365)*s_ED_res*up_RadSpec!X14*((s_ET_res_o*(1/24)*up_RadSpec!AC14)+(s_ET_res_i*(1/24)*up_RadSpec!AH14))),".")</f>
        <v>8.1492703990470473E-3</v>
      </c>
      <c r="V14" s="142">
        <f>IFERROR((s_C*s_EF_res*(1/365)*s_ED_res*up_RadSpec!Y14*((s_ET_res_o*(1/24)*up_RadSpec!AD14)+(s_ET_res_i*(1/24)*up_RadSpec!AI14))),".")</f>
        <v>9.2996712328767099E-3</v>
      </c>
      <c r="W14" s="142">
        <f>IFERROR((s_C*s_EF_res*(1/365)*s_ED_res*up_RadSpec!U14*((s_ET_res_o*(1/24)*up_RadSpec!Z14)+(s_ET_res_i*(1/24)*up_RadSpec!AE14))),".")</f>
        <v>2.1593296980981507E-3</v>
      </c>
      <c r="X14" s="141">
        <f>IFERROR((s_DL/(up_RadSpec!L14*s_IFA_res_adj)),".")</f>
        <v>9.9740259740259754E-3</v>
      </c>
      <c r="Y14" s="141">
        <f>IFERROR((s_DL/(up_RadSpec!O14*s_EF_res*(1/365)*s_ED_res*s_ET_res*(1/24)*s_GSF_a)),".")</f>
        <v>15.927272727272728</v>
      </c>
      <c r="Z14" s="141">
        <f t="shared" si="9"/>
        <v>9.9677839175609673E-3</v>
      </c>
      <c r="AA14" s="142">
        <f t="shared" si="2"/>
        <v>501.30208333333326</v>
      </c>
      <c r="AB14" s="142">
        <f t="shared" si="3"/>
        <v>0.3139269406392694</v>
      </c>
      <c r="AC14" s="141"/>
      <c r="AD14" s="141">
        <f>IFERROR((s_DL/(up_RadSpec!M14*s_IFW_res_adj)),".")</f>
        <v>3.6363636363636364E-3</v>
      </c>
      <c r="AE14" s="141" t="str">
        <f>IFERROR(IF(up_RadSpec!C14=1,(s_DL/(up_RadSpec!L14*s_IFA_res_adj*s_K)),"."),".")</f>
        <v>.</v>
      </c>
      <c r="AF14" s="141">
        <f>IFERROR((s_DL/(up_RadSpec!Q14*(1/8760)*s_DFA_res_adj)),".")</f>
        <v>39.81818181818182</v>
      </c>
      <c r="AG14" s="141">
        <f>up_b2w!C14</f>
        <v>2.1924550381384044E-4</v>
      </c>
      <c r="AH14" s="141">
        <f>(IF(AND(AD14&lt;&gt;".",AE14&lt;&gt;".",AF14&lt;&gt;".",AG14&lt;&gt;"."),1/((1/AD14)+(1/AE14)+(1/AF14)+(1/AG14)),IF(AND(AD14&lt;&gt;".",AE14&lt;&gt;".",AF14&lt;&gt;".",AG14="."), 1/((1/AD14)+(1/AE14)+(1/AF14)),IF(AND(AD14&lt;&gt;".",AE14&lt;&gt;".",AF14=".",AG14&lt;&gt;"."),1/((1/AD14)+(1/AE14)+(1/AG14)),IF(AND(AD14&lt;&gt;".",AE14=".",AF14&lt;&gt;".",AG14&lt;&gt;"."),1/((1/AD14)+(1/AF14)+(1/AG14)),IF(AND(AD14=".",AE14&lt;&gt;".",AF14&lt;&gt;".",AG14&lt;&gt;"."),1/((1/AE14)+(1/AF14)+(1/AG14)),IF(AND(AD14&lt;&gt;".",AE14&lt;&gt;".",AF14=".",AG14="."),1/((1/AD14)+(1/AE14)),IF(AND(AD14&lt;&gt;".",AE14=".",AF14&lt;&gt;".",AG14="."),1/((1/AD14)+(1/AF14)),IF(AND(AD14&lt;&gt;".",AE14=".",AF14=".",AG14&lt;&gt;"."),1/((1/AD14)+(1/AG14)),IF(AND(AD14=".",AE14=".",AF14&lt;&gt;".",AG14&lt;&gt;"."),1/((1/AF14)+(1/AG14)),IF(AND(AD14=".",AE14&lt;&gt;".",AF14=".",AG14&lt;&gt;"."),1/((1/AE14)+(1/AG14)),IF(AND(AD14=".",AE14&lt;&gt;".",AF14&lt;&gt;".",AG14="."),1/((1/AE14)+(1/AF14)),IF(AND(AD14&lt;&gt;".",AE14=".",AF14=".",AG14="."),1/((1/AD14)),IF(AND(AD14=".",AE14&lt;&gt;".",AF14=".",AG14="."),1/((1/AE14)),IF(AND(AD14=".",AE14=".",AF14&lt;&gt;".",AG14="."),1/((1/AF14)),IF(AND(AD14=".",AE14=".",AF14=".",AG14&lt;&gt;"."),1/((1/AG14)),IF(AND(AD14=".",AE14=".",AF14=".",AG14="."),".")))))))))))))))))</f>
        <v>2.0677724539454526E-4</v>
      </c>
      <c r="AI14" s="142">
        <f t="shared" si="4"/>
        <v>1375</v>
      </c>
      <c r="AJ14" s="142">
        <f t="shared" si="5"/>
        <v>250.65104166666663</v>
      </c>
      <c r="AK14" s="142">
        <f t="shared" si="6"/>
        <v>0.12557077625570776</v>
      </c>
      <c r="AL14" s="142">
        <f>up_b2w!AB14</f>
        <v>22805.4847785862</v>
      </c>
      <c r="AM14" s="141"/>
      <c r="AN14" s="141">
        <f>IFERROR(s_DL/(up_RadSpec!J14*s_EF_res*s_ED_res*s_IRF_res*0.001*s_CF_res_fish),".")</f>
        <v>6.6115702479338848E-4</v>
      </c>
      <c r="AO14" s="142">
        <f t="shared" si="7"/>
        <v>7562.5</v>
      </c>
    </row>
    <row r="15" spans="1:41" x14ac:dyDescent="0.25">
      <c r="A15" s="128" t="s">
        <v>13</v>
      </c>
      <c r="B15" s="129" t="s">
        <v>1059</v>
      </c>
      <c r="C15" s="141">
        <f>IFERROR(((s_DL/(up_RadSpec!I15*s_IFS_res_adj*(1/1000)))*1),".")</f>
        <v>0.33057851239669422</v>
      </c>
      <c r="D15" s="141">
        <f>IFERROR(IF(A15="H-3",(s_DL/((up_RadSpec!L15*s_IFA_res_adj*(1/17)*1000))*1),(s_DL/((up_RadSpec!L15*s_IFA_res_adj*(1/s_PEF_wind)*1000))*1)),".")</f>
        <v>3089.9917845330979</v>
      </c>
      <c r="E15" s="141" t="str">
        <f>IFERROR((s_DL/(up_RadSpec!K15*s_EF_res*(1/365)*s_ED_res*up_RadSpec!V15*((s_ET_res_o*(1/24)*up_RadSpec!AA15)+(s_ET_res_i*(1/24)*up_RadSpec!AF15))))*1,".")</f>
        <v>.</v>
      </c>
      <c r="F15" s="141">
        <f>up_b2s!C15</f>
        <v>4.3958447178843029E-5</v>
      </c>
      <c r="G15" s="141">
        <f>up_dir!C15</f>
        <v>2.2038567493112948E-4</v>
      </c>
      <c r="H15" s="141">
        <f t="shared" si="12"/>
        <v>4.3952601986968353E-5</v>
      </c>
      <c r="I15" s="142">
        <f t="shared" si="0"/>
        <v>15.125</v>
      </c>
      <c r="J15" s="142">
        <f t="shared" si="1"/>
        <v>1.618127279505213E-3</v>
      </c>
      <c r="K15" s="142">
        <f>IFERROR((s_C*s_EF_res*(1/365)*s_ED_res*up_RadSpec!V15*((s_ET_res_o*(1/24)*up_RadSpec!AA15)+(s_ET_res_i*(1/24)*up_RadSpec!AF15))),".")</f>
        <v>0</v>
      </c>
      <c r="L15" s="142">
        <f>up_b2s!AB15</f>
        <v>113743.78125</v>
      </c>
      <c r="M15" s="141"/>
      <c r="N15" s="141" t="str">
        <f>IFERROR((s_DL/(up_RadSpec!K15*s_EF_res*(1/365)*s_ED_res*up_RadSpec!V15*((s_ET_res_o*(1/24)*up_RadSpec!AA15)+(s_ET_res_i*(1/24)*up_RadSpec!AF15))))*1,".")</f>
        <v>.</v>
      </c>
      <c r="O15" s="141" t="str">
        <f>IFERROR((s_DL/(up_RadSpec!R15*s_EF_res*(1/365)*s_ED_res*up_RadSpec!W15*((s_ET_res_o*(1/24)*up_RadSpec!AB15)+(s_ET_res_i*(1/24)*up_RadSpec!AG15))))*1,".")</f>
        <v>.</v>
      </c>
      <c r="P15" s="141" t="str">
        <f>IFERROR((s_DL/(up_RadSpec!S15*s_EF_res*(1/365)*s_ED_res*up_RadSpec!X15*((s_ET_res_o*(1/24)*up_RadSpec!AC15)+(s_ET_res_i*(1/24)*up_RadSpec!AH15))))*1,".")</f>
        <v>.</v>
      </c>
      <c r="Q15" s="141" t="str">
        <f>IFERROR((s_DL/(up_RadSpec!T15*s_EF_res*(1/365)*s_ED_res*up_RadSpec!Y15*((s_ET_res_o*(1/24)*up_RadSpec!AD15)+(s_ET_res_i*(1/24)*up_RadSpec!AI15))))*1,".")</f>
        <v>.</v>
      </c>
      <c r="R15" s="141" t="str">
        <f>IFERROR((s_DL/(up_RadSpec!P15*s_EF_res*(1/365)*s_ED_res*up_RadSpec!U15*((s_ET_res_o*(1/24)*up_RadSpec!Z15)+(s_ET_res_i*(1/24)*up_RadSpec!AE15))))*1,".")</f>
        <v>.</v>
      </c>
      <c r="S15" s="142">
        <f>IFERROR((s_C*s_EF_res*(1/365)*s_ED_res*up_RadSpec!V15*((s_ET_res_o*(1/24)*up_RadSpec!AA15)+(s_ET_res_i*(1/24)*up_RadSpec!AF15))),".")</f>
        <v>0</v>
      </c>
      <c r="T15" s="142">
        <f>IFERROR((s_C*s_EF_res*(1/365)*s_ED_res*up_RadSpec!W15*((s_ET_res_o*(1/24)*up_RadSpec!AB15)+(s_ET_res_i*(1/24)*up_RadSpec!AG15))),".")</f>
        <v>0</v>
      </c>
      <c r="U15" s="142">
        <f>IFERROR((s_C*s_EF_res*(1/365)*s_ED_res*up_RadSpec!X15*((s_ET_res_o*(1/24)*up_RadSpec!AC15)+(s_ET_res_i*(1/24)*up_RadSpec!AH15))),".")</f>
        <v>0</v>
      </c>
      <c r="V15" s="142">
        <f>IFERROR((s_C*s_EF_res*(1/365)*s_ED_res*up_RadSpec!Y15*((s_ET_res_o*(1/24)*up_RadSpec!AD15)+(s_ET_res_i*(1/24)*up_RadSpec!AI15))),".")</f>
        <v>0</v>
      </c>
      <c r="W15" s="142">
        <f>IFERROR((s_C*s_EF_res*(1/365)*s_ED_res*up_RadSpec!U15*((s_ET_res_o*(1/24)*up_RadSpec!Z15)+(s_ET_res_i*(1/24)*up_RadSpec!AE15))),".")</f>
        <v>0</v>
      </c>
      <c r="X15" s="141">
        <f>IFERROR((s_DL/(up_RadSpec!L15*s_IFA_res_adj)),".")</f>
        <v>9.9740259740259754E-3</v>
      </c>
      <c r="Y15" s="141">
        <f>IFERROR((s_DL/(up_RadSpec!O15*s_EF_res*(1/365)*s_ED_res*s_ET_res*(1/24)*s_GSF_a)),".")</f>
        <v>15.927272727272728</v>
      </c>
      <c r="Z15" s="141">
        <f t="shared" si="9"/>
        <v>9.9677839175609673E-3</v>
      </c>
      <c r="AA15" s="142">
        <f t="shared" si="2"/>
        <v>501.30208333333326</v>
      </c>
      <c r="AB15" s="142">
        <f t="shared" si="3"/>
        <v>0.3139269406392694</v>
      </c>
      <c r="AC15" s="141"/>
      <c r="AD15" s="141">
        <f>IFERROR((s_DL/(up_RadSpec!M15*s_IFW_res_adj)),".")</f>
        <v>3.6363636363636364E-3</v>
      </c>
      <c r="AE15" s="141" t="str">
        <f>IFERROR(IF(up_RadSpec!C15=1,(s_DL/(up_RadSpec!L15*s_IFA_res_adj*s_K)),"."),".")</f>
        <v>.</v>
      </c>
      <c r="AF15" s="141">
        <f>IFERROR((s_DL/(up_RadSpec!Q15*(1/8760)*s_DFA_res_adj)),".")</f>
        <v>39.81818181818182</v>
      </c>
      <c r="AG15" s="141">
        <f>up_b2w!C15</f>
        <v>2.1924550381384044E-4</v>
      </c>
      <c r="AH15" s="141">
        <f t="shared" ref="AH15:AH16" si="13">(IF(AND(AD15&lt;&gt;".",AE15&lt;&gt;".",AF15&lt;&gt;".",AG15&lt;&gt;"."),1/((1/AD15)+(1/AE15)+(1/AF15)+(1/AG15)),IF(AND(AD15&lt;&gt;".",AE15&lt;&gt;".",AF15&lt;&gt;".",AG15="."), 1/((1/AD15)+(1/AE15)+(1/AF15)),IF(AND(AD15&lt;&gt;".",AE15&lt;&gt;".",AF15=".",AG15&lt;&gt;"."),1/((1/AD15)+(1/AE15)+(1/AG15)),IF(AND(AD15&lt;&gt;".",AE15=".",AF15&lt;&gt;".",AG15&lt;&gt;"."),1/((1/AD15)+(1/AF15)+(1/AG15)),IF(AND(AD15=".",AE15&lt;&gt;".",AF15&lt;&gt;".",AG15&lt;&gt;"."),1/((1/AE15)+(1/AF15)+(1/AG15)),IF(AND(AD15&lt;&gt;".",AE15&lt;&gt;".",AF15=".",AG15="."),1/((1/AD15)+(1/AE15)),IF(AND(AD15&lt;&gt;".",AE15=".",AF15&lt;&gt;".",AG15="."),1/((1/AD15)+(1/AF15)),IF(AND(AD15&lt;&gt;".",AE15=".",AF15=".",AG15&lt;&gt;"."),1/((1/AD15)+(1/AG15)),IF(AND(AD15=".",AE15=".",AF15&lt;&gt;".",AG15&lt;&gt;"."),1/((1/AF15)+(1/AG15)),IF(AND(AD15=".",AE15&lt;&gt;".",AF15=".",AG15&lt;&gt;"."),1/((1/AE15)+(1/AG15)),IF(AND(AD15=".",AE15&lt;&gt;".",AF15&lt;&gt;".",AG15="."),1/((1/AE15)+(1/AF15)),IF(AND(AD15&lt;&gt;".",AE15=".",AF15=".",AG15="."),1/((1/AD15)),IF(AND(AD15=".",AE15&lt;&gt;".",AF15=".",AG15="."),1/((1/AE15)),IF(AND(AD15=".",AE15=".",AF15&lt;&gt;".",AG15="."),1/((1/AF15)),IF(AND(AD15=".",AE15=".",AF15=".",AG15&lt;&gt;"."),1/((1/AG15)),IF(AND(AD15=".",AE15=".",AF15=".",AG15="."),".")))))))))))))))))</f>
        <v>2.0677724539454526E-4</v>
      </c>
      <c r="AI15" s="142">
        <f t="shared" si="4"/>
        <v>1375</v>
      </c>
      <c r="AJ15" s="142">
        <f t="shared" si="5"/>
        <v>250.65104166666663</v>
      </c>
      <c r="AK15" s="142">
        <f t="shared" si="6"/>
        <v>0.12557077625570776</v>
      </c>
      <c r="AL15" s="142">
        <f>up_b2w!AB15</f>
        <v>22805.4847785862</v>
      </c>
      <c r="AM15" s="141"/>
      <c r="AN15" s="141">
        <f>IFERROR(s_DL/(up_RadSpec!J15*s_EF_res*s_ED_res*s_IRF_res*0.001*s_CF_res_fish),".")</f>
        <v>6.6115702479338848E-4</v>
      </c>
      <c r="AO15" s="142">
        <f t="shared" si="7"/>
        <v>7562.5</v>
      </c>
    </row>
    <row r="16" spans="1:41" x14ac:dyDescent="0.25">
      <c r="A16" s="128" t="s">
        <v>14</v>
      </c>
      <c r="B16" s="129" t="s">
        <v>1059</v>
      </c>
      <c r="C16" s="141">
        <f>IFERROR(((s_DL/(up_RadSpec!I16*s_IFS_res_adj*(1/1000)))*1),".")</f>
        <v>0.33057851239669422</v>
      </c>
      <c r="D16" s="141">
        <f>IFERROR(IF(A16="H-3",(s_DL/((up_RadSpec!L16*s_IFA_res_adj*(1/17)*1000))*1),(s_DL/((up_RadSpec!L16*s_IFA_res_adj*(1/s_PEF_wind)*1000))*1)),".")</f>
        <v>3089.9917845330979</v>
      </c>
      <c r="E16" s="141">
        <f>IFERROR((s_DL/(up_RadSpec!K16*s_EF_res*(1/365)*s_ED_res*up_RadSpec!V16*((s_ET_res_o*(1/24)*up_RadSpec!AA16)+(s_ET_res_i*(1/24)*up_RadSpec!AF16))))*1,".")</f>
        <v>4249701.1279172543</v>
      </c>
      <c r="F16" s="141">
        <f>up_b2s!C16</f>
        <v>4.3958447178843029E-5</v>
      </c>
      <c r="G16" s="141">
        <f>up_dir!C16</f>
        <v>2.2038567493112948E-4</v>
      </c>
      <c r="H16" s="141">
        <f t="shared" si="12"/>
        <v>4.3952601986513774E-5</v>
      </c>
      <c r="I16" s="142">
        <f t="shared" si="0"/>
        <v>15.125</v>
      </c>
      <c r="J16" s="142">
        <f t="shared" si="1"/>
        <v>1.618127279505213E-3</v>
      </c>
      <c r="K16" s="142">
        <f>IFERROR((s_C*s_EF_res*(1/365)*s_ED_res*up_RadSpec!V16*((s_ET_res_o*(1/24)*up_RadSpec!AA16)+(s_ET_res_i*(1/24)*up_RadSpec!AF16))),".")</f>
        <v>1.1765533268101753E-6</v>
      </c>
      <c r="L16" s="142">
        <f>up_b2s!AB16</f>
        <v>113743.78125</v>
      </c>
      <c r="M16" s="141"/>
      <c r="N16" s="141">
        <f>IFERROR((s_DL/(up_RadSpec!K16*s_EF_res*(1/365)*s_ED_res*up_RadSpec!V16*((s_ET_res_o*(1/24)*up_RadSpec!AA16)+(s_ET_res_i*(1/24)*up_RadSpec!AF16))))*1,".")</f>
        <v>4249701.1279172543</v>
      </c>
      <c r="O16" s="141">
        <f>IFERROR((s_DL/(up_RadSpec!R16*s_EF_res*(1/365)*s_ED_res*up_RadSpec!W16*((s_ET_res_o*(1/24)*up_RadSpec!AB16)+(s_ET_res_i*(1/24)*up_RadSpec!AG16))))*1,".")</f>
        <v>7568571.8978401944</v>
      </c>
      <c r="P16" s="141">
        <f>IFERROR((s_DL/(up_RadSpec!S16*s_EF_res*(1/365)*s_ED_res*up_RadSpec!X16*((s_ET_res_o*(1/24)*up_RadSpec!AC16)+(s_ET_res_i*(1/24)*up_RadSpec!AH16))))*1,".")</f>
        <v>4546743.3645543214</v>
      </c>
      <c r="Q16" s="141">
        <f>IFERROR((s_DL/(up_RadSpec!T16*s_EF_res*(1/365)*s_ED_res*up_RadSpec!Y16*((s_ET_res_o*(1/24)*up_RadSpec!AD16)+(s_ET_res_i*(1/24)*up_RadSpec!AI16))))*1,".")</f>
        <v>4570236.0766923204</v>
      </c>
      <c r="R16" s="141">
        <f>IFERROR((s_DL/(up_RadSpec!P16*s_EF_res*(1/365)*s_ED_res*up_RadSpec!U16*((s_ET_res_o*(1/24)*up_RadSpec!Z16)+(s_ET_res_i*(1/24)*up_RadSpec!AE16))))*1,".")</f>
        <v>176969696.96969697</v>
      </c>
      <c r="S16" s="142">
        <f>IFERROR((s_C*s_EF_res*(1/365)*s_ED_res*up_RadSpec!V16*((s_ET_res_o*(1/24)*up_RadSpec!AA16)+(s_ET_res_i*(1/24)*up_RadSpec!AF16))),".")</f>
        <v>1.1765533268101753E-6</v>
      </c>
      <c r="T16" s="142">
        <f>IFERROR((s_C*s_EF_res*(1/365)*s_ED_res*up_RadSpec!W16*((s_ET_res_o*(1/24)*up_RadSpec!AB16)+(s_ET_res_i*(1/24)*up_RadSpec!AG16))),".")</f>
        <v>6.6062661060626578E-7</v>
      </c>
      <c r="U16" s="142">
        <f>IFERROR((s_C*s_EF_res*(1/365)*s_ED_res*up_RadSpec!X16*((s_ET_res_o*(1/24)*up_RadSpec!AC16)+(s_ET_res_i*(1/24)*up_RadSpec!AH16))),".")</f>
        <v>1.0996881941873374E-6</v>
      </c>
      <c r="V16" s="142">
        <f>IFERROR((s_C*s_EF_res*(1/365)*s_ED_res*up_RadSpec!Y16*((s_ET_res_o*(1/24)*up_RadSpec!AD16)+(s_ET_res_i*(1/24)*up_RadSpec!AI16))),".")</f>
        <v>1.0940353881278531E-6</v>
      </c>
      <c r="W16" s="142">
        <f>IFERROR((s_C*s_EF_res*(1/365)*s_ED_res*up_RadSpec!U16*((s_ET_res_o*(1/24)*up_RadSpec!Z16)+(s_ET_res_i*(1/24)*up_RadSpec!AE16))),".")</f>
        <v>2.8253424657534244E-8</v>
      </c>
      <c r="X16" s="141">
        <f>IFERROR((s_DL/(up_RadSpec!L16*s_IFA_res_adj)),".")</f>
        <v>9.9740259740259754E-3</v>
      </c>
      <c r="Y16" s="141">
        <f>IFERROR((s_DL/(up_RadSpec!O16*s_EF_res*(1/365)*s_ED_res*s_ET_res*(1/24)*s_GSF_a)),".")</f>
        <v>15.927272727272728</v>
      </c>
      <c r="Z16" s="141">
        <f t="shared" si="9"/>
        <v>9.9677839175609673E-3</v>
      </c>
      <c r="AA16" s="142">
        <f t="shared" si="2"/>
        <v>501.30208333333326</v>
      </c>
      <c r="AB16" s="142">
        <f t="shared" si="3"/>
        <v>0.3139269406392694</v>
      </c>
      <c r="AC16" s="141"/>
      <c r="AD16" s="141">
        <f>IFERROR((s_DL/(up_RadSpec!M16*s_IFW_res_adj)),".")</f>
        <v>3.6363636363636364E-3</v>
      </c>
      <c r="AE16" s="141" t="str">
        <f>IFERROR(IF(up_RadSpec!C16=1,(s_DL/(up_RadSpec!L16*s_IFA_res_adj*s_K)),"."),".")</f>
        <v>.</v>
      </c>
      <c r="AF16" s="141">
        <f>IFERROR((s_DL/(up_RadSpec!Q16*(1/8760)*s_DFA_res_adj)),".")</f>
        <v>39.81818181818182</v>
      </c>
      <c r="AG16" s="141">
        <f>up_b2w!C16</f>
        <v>2.1924550381384044E-4</v>
      </c>
      <c r="AH16" s="141">
        <f t="shared" si="13"/>
        <v>2.0677724539454526E-4</v>
      </c>
      <c r="AI16" s="142">
        <f t="shared" si="4"/>
        <v>1375</v>
      </c>
      <c r="AJ16" s="142">
        <f t="shared" si="5"/>
        <v>250.65104166666663</v>
      </c>
      <c r="AK16" s="142">
        <f t="shared" si="6"/>
        <v>0.12557077625570776</v>
      </c>
      <c r="AL16" s="142">
        <f>up_b2w!AB16</f>
        <v>22805.4847785862</v>
      </c>
      <c r="AM16" s="141"/>
      <c r="AN16" s="141">
        <f>IFERROR(s_DL/(up_RadSpec!J16*s_EF_res*s_ED_res*s_IRF_res*0.001*s_CF_res_fish),".")</f>
        <v>6.6115702479338848E-4</v>
      </c>
      <c r="AO16" s="142">
        <f t="shared" si="7"/>
        <v>7562.5</v>
      </c>
    </row>
    <row r="17" spans="1:41" x14ac:dyDescent="0.25">
      <c r="A17" s="128" t="s">
        <v>15</v>
      </c>
      <c r="B17" s="129" t="s">
        <v>1059</v>
      </c>
      <c r="C17" s="141">
        <f>IFERROR(((s_DL/(up_RadSpec!I17*s_IFS_res_adj*(1/1000)))*1),".")</f>
        <v>0.33057851239669422</v>
      </c>
      <c r="D17" s="141">
        <f>IFERROR(IF(A17="H-3",(s_DL/((up_RadSpec!L17*s_IFA_res_adj*(1/17)*1000))*1),(s_DL/((up_RadSpec!L17*s_IFA_res_adj*(1/s_PEF_wind)*1000))*1)),".")</f>
        <v>3089.9917845330979</v>
      </c>
      <c r="E17" s="141">
        <f>IFERROR((s_DL/(up_RadSpec!K17*s_EF_res*(1/365)*s_ED_res*up_RadSpec!V17*((s_ET_res_o*(1/24)*up_RadSpec!AA17)+(s_ET_res_i*(1/24)*up_RadSpec!AF17))))*1,".")</f>
        <v>390.7123179850451</v>
      </c>
      <c r="F17" s="141">
        <f>up_b2s!C17</f>
        <v>4.3958447178843029E-5</v>
      </c>
      <c r="G17" s="141">
        <f>up_dir!C17</f>
        <v>2.2038567493112948E-4</v>
      </c>
      <c r="H17" s="141">
        <f t="shared" si="12"/>
        <v>4.3952597042586223E-5</v>
      </c>
      <c r="I17" s="142">
        <f t="shared" si="0"/>
        <v>15.125</v>
      </c>
      <c r="J17" s="142">
        <f t="shared" si="1"/>
        <v>1.618127279505213E-3</v>
      </c>
      <c r="K17" s="142">
        <f>IFERROR((s_C*s_EF_res*(1/365)*s_ED_res*up_RadSpec!V17*((s_ET_res_o*(1/24)*up_RadSpec!AA17)+(s_ET_res_i*(1/24)*up_RadSpec!AF17))),".")</f>
        <v>1.2797139403706694E-2</v>
      </c>
      <c r="L17" s="142">
        <f>up_b2s!AB17</f>
        <v>113743.78125</v>
      </c>
      <c r="M17" s="141"/>
      <c r="N17" s="141">
        <f>IFERROR((s_DL/(up_RadSpec!K17*s_EF_res*(1/365)*s_ED_res*up_RadSpec!V17*((s_ET_res_o*(1/24)*up_RadSpec!AA17)+(s_ET_res_i*(1/24)*up_RadSpec!AF17))))*1,".")</f>
        <v>390.7123179850451</v>
      </c>
      <c r="O17" s="141">
        <f>IFERROR((s_DL/(up_RadSpec!R17*s_EF_res*(1/365)*s_ED_res*up_RadSpec!W17*((s_ET_res_o*(1/24)*up_RadSpec!AB17)+(s_ET_res_i*(1/24)*up_RadSpec!AG17))))*1,".")</f>
        <v>682.85148687158755</v>
      </c>
      <c r="P17" s="141">
        <f>IFERROR((s_DL/(up_RadSpec!S17*s_EF_res*(1/365)*s_ED_res*up_RadSpec!X17*((s_ET_res_o*(1/24)*up_RadSpec!AC17)+(s_ET_res_i*(1/24)*up_RadSpec!AH17))))*1,".")</f>
        <v>514.47016152898505</v>
      </c>
      <c r="Q17" s="141">
        <f>IFERROR((s_DL/(up_RadSpec!T17*s_EF_res*(1/365)*s_ED_res*up_RadSpec!Y17*((s_ET_res_o*(1/24)*up_RadSpec!AD17)+(s_ET_res_i*(1/24)*up_RadSpec!AI17))))*1,".")</f>
        <v>457.48305980964301</v>
      </c>
      <c r="R17" s="141">
        <f>IFERROR((s_DL/(up_RadSpec!P17*s_EF_res*(1/365)*s_ED_res*up_RadSpec!U17*((s_ET_res_o*(1/24)*up_RadSpec!Z17)+(s_ET_res_i*(1/24)*up_RadSpec!AE17))))*1,".")</f>
        <v>1308.4363888102205</v>
      </c>
      <c r="S17" s="142">
        <f>IFERROR((s_C*s_EF_res*(1/365)*s_ED_res*up_RadSpec!V17*((s_ET_res_o*(1/24)*up_RadSpec!AA17)+(s_ET_res_i*(1/24)*up_RadSpec!AF17))),".")</f>
        <v>1.2797139403706694E-2</v>
      </c>
      <c r="T17" s="142">
        <f>IFERROR((s_C*s_EF_res*(1/365)*s_ED_res*up_RadSpec!W17*((s_ET_res_o*(1/24)*up_RadSpec!AB17)+(s_ET_res_i*(1/24)*up_RadSpec!AG17))),".")</f>
        <v>7.322236381013059E-3</v>
      </c>
      <c r="U17" s="142">
        <f>IFERROR((s_C*s_EF_res*(1/365)*s_ED_res*up_RadSpec!X17*((s_ET_res_o*(1/24)*up_RadSpec!AC17)+(s_ET_res_i*(1/24)*up_RadSpec!AH17))),".")</f>
        <v>9.718736622431506E-3</v>
      </c>
      <c r="V17" s="142">
        <f>IFERROR((s_C*s_EF_res*(1/365)*s_ED_res*up_RadSpec!Y17*((s_ET_res_o*(1/24)*up_RadSpec!AD17)+(s_ET_res_i*(1/24)*up_RadSpec!AI17))),".")</f>
        <v>1.0929366438356168E-2</v>
      </c>
      <c r="W17" s="142">
        <f>IFERROR((s_C*s_EF_res*(1/365)*s_ED_res*up_RadSpec!U17*((s_ET_res_o*(1/24)*up_RadSpec!Z17)+(s_ET_res_i*(1/24)*up_RadSpec!AE17))),".")</f>
        <v>3.8213550484839159E-3</v>
      </c>
      <c r="X17" s="141">
        <f>IFERROR((s_DL/(up_RadSpec!L17*s_IFA_res_adj)),".")</f>
        <v>9.9740259740259754E-3</v>
      </c>
      <c r="Y17" s="141">
        <f>IFERROR((s_DL/(up_RadSpec!O17*s_EF_res*(1/365)*s_ED_res*s_ET_res*(1/24)*s_GSF_a)),".")</f>
        <v>15.927272727272728</v>
      </c>
      <c r="Z17" s="141">
        <f>IFERROR(IF(AND(X17&lt;&gt;".",Y17&lt;&gt;"."),1/((1/X17)+(1/Y17)),IF(AND(X17&lt;&gt;".",Y17="."),1/((1/X17)),IF(AND(X17=".",Y17&lt;&gt;"."),1/((1/Y17)),IF(AND(X17=".",Y17="."),".")))),".")</f>
        <v>9.9677839175609673E-3</v>
      </c>
      <c r="AA17" s="142">
        <f t="shared" si="2"/>
        <v>501.30208333333326</v>
      </c>
      <c r="AB17" s="142">
        <f t="shared" si="3"/>
        <v>0.3139269406392694</v>
      </c>
      <c r="AC17" s="141"/>
      <c r="AD17" s="141">
        <f>IFERROR((s_DL/(up_RadSpec!M17*s_IFW_res_adj)),".")</f>
        <v>3.6363636363636364E-3</v>
      </c>
      <c r="AE17" s="141" t="str">
        <f>IFERROR(IF(up_RadSpec!C17=1,(s_DL/(up_RadSpec!L17*s_IFA_res_adj*s_K)),"."),".")</f>
        <v>.</v>
      </c>
      <c r="AF17" s="141">
        <f>IFERROR((s_DL/(up_RadSpec!Q17*(1/8760)*s_DFA_res_adj)),".")</f>
        <v>39.81818181818182</v>
      </c>
      <c r="AG17" s="141">
        <f>up_b2w!C17</f>
        <v>2.1924550381384044E-4</v>
      </c>
      <c r="AH17" s="141">
        <f>(IF(AND(AD17&lt;&gt;".",AE17&lt;&gt;".",AF17&lt;&gt;".",AG17&lt;&gt;"."),1/((1/AD17)+(1/AE17)+(1/AF17)+(1/AG17)),IF(AND(AD17&lt;&gt;".",AE17&lt;&gt;".",AF17&lt;&gt;".",AG17="."), 1/((1/AD17)+(1/AE17)+(1/AF17)),IF(AND(AD17&lt;&gt;".",AE17&lt;&gt;".",AF17=".",AG17&lt;&gt;"."),1/((1/AD17)+(1/AE17)+(1/AG17)),IF(AND(AD17&lt;&gt;".",AE17=".",AF17&lt;&gt;".",AG17&lt;&gt;"."),1/((1/AD17)+(1/AF17)+(1/AG17)),IF(AND(AD17=".",AE17&lt;&gt;".",AF17&lt;&gt;".",AG17&lt;&gt;"."),1/((1/AE17)+(1/AF17)+(1/AG17)),IF(AND(AD17&lt;&gt;".",AE17&lt;&gt;".",AF17=".",AG17="."),1/((1/AD17)+(1/AE17)),IF(AND(AD17&lt;&gt;".",AE17=".",AF17&lt;&gt;".",AG17="."),1/((1/AD17)+(1/AF17)),IF(AND(AD17&lt;&gt;".",AE17=".",AF17=".",AG17&lt;&gt;"."),1/((1/AD17)+(1/AG17)),IF(AND(AD17=".",AE17=".",AF17&lt;&gt;".",AG17&lt;&gt;"."),1/((1/AF17)+(1/AG17)),IF(AND(AD17=".",AE17&lt;&gt;".",AF17=".",AG17&lt;&gt;"."),1/((1/AE17)+(1/AG17)),IF(AND(AD17=".",AE17&lt;&gt;".",AF17&lt;&gt;".",AG17="."),1/((1/AE17)+(1/AF17)),IF(AND(AD17&lt;&gt;".",AE17=".",AF17=".",AG17="."),1/((1/AD17)),IF(AND(AD17=".",AE17&lt;&gt;".",AF17=".",AG17="."),1/((1/AE17)),IF(AND(AD17=".",AE17=".",AF17&lt;&gt;".",AG17="."),1/((1/AF17)),IF(AND(AD17=".",AE17=".",AF17=".",AG17&lt;&gt;"."),1/((1/AG17)),IF(AND(AD17=".",AE17=".",AF17=".",AG17="."),".")))))))))))))))))</f>
        <v>2.0677724539454526E-4</v>
      </c>
      <c r="AI17" s="142">
        <f t="shared" si="4"/>
        <v>1375</v>
      </c>
      <c r="AJ17" s="142">
        <f t="shared" si="5"/>
        <v>250.65104166666663</v>
      </c>
      <c r="AK17" s="142">
        <f t="shared" si="6"/>
        <v>0.12557077625570776</v>
      </c>
      <c r="AL17" s="142">
        <f>up_b2w!AB17</f>
        <v>22805.4847785862</v>
      </c>
      <c r="AM17" s="141"/>
      <c r="AN17" s="141">
        <f>IFERROR(s_DL/(up_RadSpec!J17*s_EF_res*s_ED_res*s_IRF_res*0.001*s_CF_res_fish),".")</f>
        <v>6.6115702479338848E-4</v>
      </c>
      <c r="AO17" s="142">
        <f t="shared" si="7"/>
        <v>7562.5</v>
      </c>
    </row>
    <row r="18" spans="1:41" x14ac:dyDescent="0.25">
      <c r="A18" s="128" t="s">
        <v>16</v>
      </c>
      <c r="B18" s="129" t="s">
        <v>1059</v>
      </c>
      <c r="C18" s="141">
        <f>IFERROR(((s_DL/(up_RadSpec!I18*s_IFS_res_adj*(1/1000)))*1),".")</f>
        <v>0.33057851239669422</v>
      </c>
      <c r="D18" s="141">
        <f>IFERROR(IF(A18="H-3",(s_DL/((up_RadSpec!L18*s_IFA_res_adj*(1/17)*1000))*1),(s_DL/((up_RadSpec!L18*s_IFA_res_adj*(1/s_PEF_wind)*1000))*1)),".")</f>
        <v>3089.9917845330979</v>
      </c>
      <c r="E18" s="141">
        <f>IFERROR((s_DL/(up_RadSpec!K18*s_EF_res*(1/365)*s_ED_res*up_RadSpec!V18*((s_ET_res_o*(1/24)*up_RadSpec!AA18)+(s_ET_res_i*(1/24)*up_RadSpec!AF18))))*1,".")</f>
        <v>198.99502767614223</v>
      </c>
      <c r="F18" s="141">
        <f>up_b2s!C18</f>
        <v>4.3958447178843029E-5</v>
      </c>
      <c r="G18" s="141">
        <f>up_dir!C18</f>
        <v>2.2038567493112948E-4</v>
      </c>
      <c r="H18" s="141">
        <f t="shared" si="12"/>
        <v>4.3952592279033349E-5</v>
      </c>
      <c r="I18" s="142">
        <f t="shared" si="0"/>
        <v>15.125</v>
      </c>
      <c r="J18" s="142">
        <f t="shared" si="1"/>
        <v>1.618127279505213E-3</v>
      </c>
      <c r="K18" s="142">
        <f>IFERROR((s_C*s_EF_res*(1/365)*s_ED_res*up_RadSpec!V18*((s_ET_res_o*(1/24)*up_RadSpec!AA18)+(s_ET_res_i*(1/24)*up_RadSpec!AF18))),".")</f>
        <v>2.512625595920584E-2</v>
      </c>
      <c r="L18" s="142">
        <f>up_b2s!AB18</f>
        <v>113743.78125</v>
      </c>
      <c r="M18" s="141"/>
      <c r="N18" s="141">
        <f>IFERROR((s_DL/(up_RadSpec!K18*s_EF_res*(1/365)*s_ED_res*up_RadSpec!V18*((s_ET_res_o*(1/24)*up_RadSpec!AA18)+(s_ET_res_i*(1/24)*up_RadSpec!AF18))))*1,".")</f>
        <v>198.99502767614223</v>
      </c>
      <c r="O18" s="141">
        <f>IFERROR((s_DL/(up_RadSpec!R18*s_EF_res*(1/365)*s_ED_res*up_RadSpec!W18*((s_ET_res_o*(1/24)*up_RadSpec!AB18)+(s_ET_res_i*(1/24)*up_RadSpec!AG18))))*1,".")</f>
        <v>393.75339800268989</v>
      </c>
      <c r="P18" s="141">
        <f>IFERROR((s_DL/(up_RadSpec!S18*s_EF_res*(1/365)*s_ED_res*up_RadSpec!X18*((s_ET_res_o*(1/24)*up_RadSpec!AC18)+(s_ET_res_i*(1/24)*up_RadSpec!AH18))))*1,".")</f>
        <v>275.74376135306943</v>
      </c>
      <c r="Q18" s="141">
        <f>IFERROR((s_DL/(up_RadSpec!T18*s_EF_res*(1/365)*s_ED_res*up_RadSpec!Y18*((s_ET_res_o*(1/24)*up_RadSpec!AD18)+(s_ET_res_i*(1/24)*up_RadSpec!AI18))))*1,".")</f>
        <v>228.45868626050287</v>
      </c>
      <c r="R18" s="141">
        <f>IFERROR((s_DL/(up_RadSpec!P18*s_EF_res*(1/365)*s_ED_res*up_RadSpec!U18*((s_ET_res_o*(1/24)*up_RadSpec!Z18)+(s_ET_res_i*(1/24)*up_RadSpec!AE18))))*1,".")</f>
        <v>669.30846930846917</v>
      </c>
      <c r="S18" s="142">
        <f>IFERROR((s_C*s_EF_res*(1/365)*s_ED_res*up_RadSpec!V18*((s_ET_res_o*(1/24)*up_RadSpec!AA18)+(s_ET_res_i*(1/24)*up_RadSpec!AF18))),".")</f>
        <v>2.512625595920584E-2</v>
      </c>
      <c r="T18" s="142">
        <f>IFERROR((s_C*s_EF_res*(1/365)*s_ED_res*up_RadSpec!W18*((s_ET_res_o*(1/24)*up_RadSpec!AB18)+(s_ET_res_i*(1/24)*up_RadSpec!AG18))),".")</f>
        <v>1.269830311398568E-2</v>
      </c>
      <c r="U18" s="142">
        <f>IFERROR((s_C*s_EF_res*(1/365)*s_ED_res*up_RadSpec!X18*((s_ET_res_o*(1/24)*up_RadSpec!AC18)+(s_ET_res_i*(1/24)*up_RadSpec!AH18))),".")</f>
        <v>1.8132776514924922E-2</v>
      </c>
      <c r="V18" s="142">
        <f>IFERROR((s_C*s_EF_res*(1/365)*s_ED_res*up_RadSpec!Y18*((s_ET_res_o*(1/24)*up_RadSpec!AD18)+(s_ET_res_i*(1/24)*up_RadSpec!AI18))),".")</f>
        <v>2.1885795116140552E-2</v>
      </c>
      <c r="W18" s="142">
        <f>IFERROR((s_C*s_EF_res*(1/365)*s_ED_res*up_RadSpec!U18*((s_ET_res_o*(1/24)*up_RadSpec!Z18)+(s_ET_res_i*(1/24)*up_RadSpec!AE18))),".")</f>
        <v>7.4703970280938026E-3</v>
      </c>
      <c r="X18" s="141">
        <f>IFERROR((s_DL/(up_RadSpec!L18*s_IFA_res_adj)),".")</f>
        <v>9.9740259740259754E-3</v>
      </c>
      <c r="Y18" s="141">
        <f>IFERROR((s_DL/(up_RadSpec!O18*s_EF_res*(1/365)*s_ED_res*s_ET_res*(1/24)*s_GSF_a)),".")</f>
        <v>15.927272727272728</v>
      </c>
      <c r="Z18" s="141">
        <f t="shared" ref="Z18:Z20" si="14">IFERROR(IF(AND(X18&lt;&gt;".",Y18&lt;&gt;"."),1/((1/X18)+(1/Y18)),IF(AND(X18&lt;&gt;".",Y18="."),1/((1/X18)),IF(AND(X18=".",Y18&lt;&gt;"."),1/((1/Y18)),IF(AND(X18=".",Y18="."),".")))),".")</f>
        <v>9.9677839175609673E-3</v>
      </c>
      <c r="AA18" s="142">
        <f t="shared" si="2"/>
        <v>501.30208333333326</v>
      </c>
      <c r="AB18" s="142">
        <f t="shared" si="3"/>
        <v>0.3139269406392694</v>
      </c>
      <c r="AC18" s="141"/>
      <c r="AD18" s="141">
        <f>IFERROR((s_DL/(up_RadSpec!M18*s_IFW_res_adj)),".")</f>
        <v>3.6363636363636364E-3</v>
      </c>
      <c r="AE18" s="141" t="str">
        <f>IFERROR(IF(up_RadSpec!C18=1,(s_DL/(up_RadSpec!L18*s_IFA_res_adj*s_K)),"."),".")</f>
        <v>.</v>
      </c>
      <c r="AF18" s="141">
        <f>IFERROR((s_DL/(up_RadSpec!Q18*(1/8760)*s_DFA_res_adj)),".")</f>
        <v>39.81818181818182</v>
      </c>
      <c r="AG18" s="141">
        <f>up_b2w!C18</f>
        <v>2.1924550381384044E-4</v>
      </c>
      <c r="AH18" s="141">
        <f t="shared" ref="AH18:AH20" si="15">(IF(AND(AD18&lt;&gt;".",AE18&lt;&gt;".",AF18&lt;&gt;".",AG18&lt;&gt;"."),1/((1/AD18)+(1/AE18)+(1/AF18)+(1/AG18)),IF(AND(AD18&lt;&gt;".",AE18&lt;&gt;".",AF18&lt;&gt;".",AG18="."), 1/((1/AD18)+(1/AE18)+(1/AF18)),IF(AND(AD18&lt;&gt;".",AE18&lt;&gt;".",AF18=".",AG18&lt;&gt;"."),1/((1/AD18)+(1/AE18)+(1/AG18)),IF(AND(AD18&lt;&gt;".",AE18=".",AF18&lt;&gt;".",AG18&lt;&gt;"."),1/((1/AD18)+(1/AF18)+(1/AG18)),IF(AND(AD18=".",AE18&lt;&gt;".",AF18&lt;&gt;".",AG18&lt;&gt;"."),1/((1/AE18)+(1/AF18)+(1/AG18)),IF(AND(AD18&lt;&gt;".",AE18&lt;&gt;".",AF18=".",AG18="."),1/((1/AD18)+(1/AE18)),IF(AND(AD18&lt;&gt;".",AE18=".",AF18&lt;&gt;".",AG18="."),1/((1/AD18)+(1/AF18)),IF(AND(AD18&lt;&gt;".",AE18=".",AF18=".",AG18&lt;&gt;"."),1/((1/AD18)+(1/AG18)),IF(AND(AD18=".",AE18=".",AF18&lt;&gt;".",AG18&lt;&gt;"."),1/((1/AF18)+(1/AG18)),IF(AND(AD18=".",AE18&lt;&gt;".",AF18=".",AG18&lt;&gt;"."),1/((1/AE18)+(1/AG18)),IF(AND(AD18=".",AE18&lt;&gt;".",AF18&lt;&gt;".",AG18="."),1/((1/AE18)+(1/AF18)),IF(AND(AD18&lt;&gt;".",AE18=".",AF18=".",AG18="."),1/((1/AD18)),IF(AND(AD18=".",AE18&lt;&gt;".",AF18=".",AG18="."),1/((1/AE18)),IF(AND(AD18=".",AE18=".",AF18&lt;&gt;".",AG18="."),1/((1/AF18)),IF(AND(AD18=".",AE18=".",AF18=".",AG18&lt;&gt;"."),1/((1/AG18)),IF(AND(AD18=".",AE18=".",AF18=".",AG18="."),".")))))))))))))))))</f>
        <v>2.0677724539454526E-4</v>
      </c>
      <c r="AI18" s="142">
        <f t="shared" si="4"/>
        <v>1375</v>
      </c>
      <c r="AJ18" s="142">
        <f t="shared" si="5"/>
        <v>250.65104166666663</v>
      </c>
      <c r="AK18" s="142">
        <f t="shared" si="6"/>
        <v>0.12557077625570776</v>
      </c>
      <c r="AL18" s="142">
        <f>up_b2w!AB18</f>
        <v>22805.4847785862</v>
      </c>
      <c r="AM18" s="141"/>
      <c r="AN18" s="141">
        <f>IFERROR(s_DL/(up_RadSpec!J18*s_EF_res*s_ED_res*s_IRF_res*0.001*s_CF_res_fish),".")</f>
        <v>6.6115702479338848E-4</v>
      </c>
      <c r="AO18" s="142">
        <f t="shared" si="7"/>
        <v>7562.5</v>
      </c>
    </row>
    <row r="19" spans="1:41" x14ac:dyDescent="0.25">
      <c r="A19" s="128" t="s">
        <v>17</v>
      </c>
      <c r="B19" s="129" t="s">
        <v>1059</v>
      </c>
      <c r="C19" s="141">
        <f>IFERROR(((s_DL/(up_RadSpec!I19*s_IFS_res_adj*(1/1000)))*1),".")</f>
        <v>0.33057851239669422</v>
      </c>
      <c r="D19" s="141">
        <f>IFERROR(IF(A19="H-3",(s_DL/((up_RadSpec!L19*s_IFA_res_adj*(1/17)*1000))*1),(s_DL/((up_RadSpec!L19*s_IFA_res_adj*(1/s_PEF_wind)*1000))*1)),".")</f>
        <v>3089.9917845330979</v>
      </c>
      <c r="E19" s="141">
        <f>IFERROR((s_DL/(up_RadSpec!K19*s_EF_res*(1/365)*s_ED_res*up_RadSpec!V19*((s_ET_res_o*(1/24)*up_RadSpec!AA19)+(s_ET_res_i*(1/24)*up_RadSpec!AF19))))*1,".")</f>
        <v>203.05335018159568</v>
      </c>
      <c r="F19" s="141">
        <f>up_b2s!C19</f>
        <v>4.3958447178843029E-5</v>
      </c>
      <c r="G19" s="141">
        <f>up_dir!C19</f>
        <v>2.2038567493112948E-4</v>
      </c>
      <c r="H19" s="141">
        <f t="shared" si="12"/>
        <v>4.3952592473060794E-5</v>
      </c>
      <c r="I19" s="142">
        <f t="shared" si="0"/>
        <v>15.125</v>
      </c>
      <c r="J19" s="142">
        <f t="shared" si="1"/>
        <v>1.618127279505213E-3</v>
      </c>
      <c r="K19" s="142">
        <f>IFERROR((s_C*s_EF_res*(1/365)*s_ED_res*up_RadSpec!V19*((s_ET_res_o*(1/24)*up_RadSpec!AA19)+(s_ET_res_i*(1/24)*up_RadSpec!AF19))),".")</f>
        <v>2.4624070450097846E-2</v>
      </c>
      <c r="L19" s="142">
        <f>up_b2s!AB19</f>
        <v>113743.78125</v>
      </c>
      <c r="M19" s="141"/>
      <c r="N19" s="141">
        <f>IFERROR((s_DL/(up_RadSpec!K19*s_EF_res*(1/365)*s_ED_res*up_RadSpec!V19*((s_ET_res_o*(1/24)*up_RadSpec!AA19)+(s_ET_res_i*(1/24)*up_RadSpec!AF19))))*1,".")</f>
        <v>203.05335018159568</v>
      </c>
      <c r="O19" s="141">
        <f>IFERROR((s_DL/(up_RadSpec!R19*s_EF_res*(1/365)*s_ED_res*up_RadSpec!W19*((s_ET_res_o*(1/24)*up_RadSpec!AB19)+(s_ET_res_i*(1/24)*up_RadSpec!AG19))))*1,".")</f>
        <v>402.73674316227516</v>
      </c>
      <c r="P19" s="141">
        <f>IFERROR((s_DL/(up_RadSpec!S19*s_EF_res*(1/365)*s_ED_res*up_RadSpec!X19*((s_ET_res_o*(1/24)*up_RadSpec!AC19)+(s_ET_res_i*(1/24)*up_RadSpec!AH19))))*1,".")</f>
        <v>279.17679468481623</v>
      </c>
      <c r="Q19" s="141">
        <f>IFERROR((s_DL/(up_RadSpec!T19*s_EF_res*(1/365)*s_ED_res*up_RadSpec!Y19*((s_ET_res_o*(1/24)*up_RadSpec!AD19)+(s_ET_res_i*(1/24)*up_RadSpec!AI19))))*1,".")</f>
        <v>233.16953316953311</v>
      </c>
      <c r="R19" s="141">
        <f>IFERROR((s_DL/(up_RadSpec!P19*s_EF_res*(1/365)*s_ED_res*up_RadSpec!U19*((s_ET_res_o*(1/24)*up_RadSpec!Z19)+(s_ET_res_i*(1/24)*up_RadSpec!AE19))))*1,".")</f>
        <v>693.52375470284312</v>
      </c>
      <c r="S19" s="142">
        <f>IFERROR((s_C*s_EF_res*(1/365)*s_ED_res*up_RadSpec!V19*((s_ET_res_o*(1/24)*up_RadSpec!AA19)+(s_ET_res_i*(1/24)*up_RadSpec!AF19))),".")</f>
        <v>2.4624070450097846E-2</v>
      </c>
      <c r="T19" s="142">
        <f>IFERROR((s_C*s_EF_res*(1/365)*s_ED_res*up_RadSpec!W19*((s_ET_res_o*(1/24)*up_RadSpec!AB19)+(s_ET_res_i*(1/24)*up_RadSpec!AG19))),".")</f>
        <v>1.2415057937699378E-2</v>
      </c>
      <c r="U19" s="142">
        <f>IFERROR((s_C*s_EF_res*(1/365)*s_ED_res*up_RadSpec!X19*((s_ET_res_o*(1/24)*up_RadSpec!AC19)+(s_ET_res_i*(1/24)*up_RadSpec!AH19))),".")</f>
        <v>1.7909798003250512E-2</v>
      </c>
      <c r="V19" s="142">
        <f>IFERROR((s_C*s_EF_res*(1/365)*s_ED_res*up_RadSpec!Y19*((s_ET_res_o*(1/24)*up_RadSpec!AD19)+(s_ET_res_i*(1/24)*up_RadSpec!AI19))),".")</f>
        <v>2.1443624868282409E-2</v>
      </c>
      <c r="W19" s="142">
        <f>IFERROR((s_C*s_EF_res*(1/365)*s_ED_res*up_RadSpec!U19*((s_ET_res_o*(1/24)*up_RadSpec!Z19)+(s_ET_res_i*(1/24)*up_RadSpec!AE19))),".")</f>
        <v>7.2095583836812773E-3</v>
      </c>
      <c r="X19" s="141">
        <f>IFERROR((s_DL/(up_RadSpec!L19*s_IFA_res_adj)),".")</f>
        <v>9.9740259740259754E-3</v>
      </c>
      <c r="Y19" s="141">
        <f>IFERROR((s_DL/(up_RadSpec!O19*s_EF_res*(1/365)*s_ED_res*s_ET_res*(1/24)*s_GSF_a)),".")</f>
        <v>15.927272727272728</v>
      </c>
      <c r="Z19" s="141">
        <f t="shared" si="14"/>
        <v>9.9677839175609673E-3</v>
      </c>
      <c r="AA19" s="142">
        <f t="shared" si="2"/>
        <v>501.30208333333326</v>
      </c>
      <c r="AB19" s="142">
        <f t="shared" si="3"/>
        <v>0.3139269406392694</v>
      </c>
      <c r="AC19" s="141"/>
      <c r="AD19" s="141">
        <f>IFERROR((s_DL/(up_RadSpec!M19*s_IFW_res_adj)),".")</f>
        <v>3.6363636363636364E-3</v>
      </c>
      <c r="AE19" s="141" t="str">
        <f>IFERROR(IF(up_RadSpec!C19=1,(s_DL/(up_RadSpec!L19*s_IFA_res_adj*s_K)),"."),".")</f>
        <v>.</v>
      </c>
      <c r="AF19" s="141">
        <f>IFERROR((s_DL/(up_RadSpec!Q19*(1/8760)*s_DFA_res_adj)),".")</f>
        <v>39.81818181818182</v>
      </c>
      <c r="AG19" s="141">
        <f>up_b2w!C19</f>
        <v>2.1924550381384044E-4</v>
      </c>
      <c r="AH19" s="141">
        <f t="shared" si="15"/>
        <v>2.0677724539454526E-4</v>
      </c>
      <c r="AI19" s="142">
        <f t="shared" si="4"/>
        <v>1375</v>
      </c>
      <c r="AJ19" s="142">
        <f t="shared" si="5"/>
        <v>250.65104166666663</v>
      </c>
      <c r="AK19" s="142">
        <f t="shared" si="6"/>
        <v>0.12557077625570776</v>
      </c>
      <c r="AL19" s="142">
        <f>up_b2w!AB19</f>
        <v>22805.4847785862</v>
      </c>
      <c r="AM19" s="141"/>
      <c r="AN19" s="141">
        <f>IFERROR(s_DL/(up_RadSpec!J19*s_EF_res*s_ED_res*s_IRF_res*0.001*s_CF_res_fish),".")</f>
        <v>6.6115702479338848E-4</v>
      </c>
      <c r="AO19" s="142">
        <f t="shared" si="7"/>
        <v>7562.5</v>
      </c>
    </row>
    <row r="20" spans="1:41" x14ac:dyDescent="0.25">
      <c r="A20" s="128" t="s">
        <v>18</v>
      </c>
      <c r="B20" s="129" t="s">
        <v>1059</v>
      </c>
      <c r="C20" s="141">
        <f>IFERROR(((s_DL/(up_RadSpec!I20*s_IFS_res_adj*(1/1000)))*1),".")</f>
        <v>0.33057851239669422</v>
      </c>
      <c r="D20" s="141">
        <f>IFERROR(IF(A20="H-3",(s_DL/((up_RadSpec!L20*s_IFA_res_adj*(1/17)*1000))*1),(s_DL/((up_RadSpec!L20*s_IFA_res_adj*(1/s_PEF_wind)*1000))*1)),".")</f>
        <v>3089.9917845330979</v>
      </c>
      <c r="E20" s="141">
        <f>IFERROR((s_DL/(up_RadSpec!K20*s_EF_res*(1/365)*s_ED_res*up_RadSpec!V20*((s_ET_res_o*(1/24)*up_RadSpec!AA20)+(s_ET_res_i*(1/24)*up_RadSpec!AF20))))*1,".")</f>
        <v>199.66339756976558</v>
      </c>
      <c r="F20" s="141">
        <f>up_b2s!C20</f>
        <v>4.3958447178843029E-5</v>
      </c>
      <c r="G20" s="141">
        <f>up_dir!C20</f>
        <v>2.2038567493112948E-4</v>
      </c>
      <c r="H20" s="141">
        <f t="shared" si="12"/>
        <v>4.3952592311530493E-5</v>
      </c>
      <c r="I20" s="142">
        <f t="shared" si="0"/>
        <v>15.125</v>
      </c>
      <c r="J20" s="142">
        <f t="shared" si="1"/>
        <v>1.618127279505213E-3</v>
      </c>
      <c r="K20" s="142">
        <f>IFERROR((s_C*s_EF_res*(1/365)*s_ED_res*up_RadSpec!V20*((s_ET_res_o*(1/24)*up_RadSpec!AA20)+(s_ET_res_i*(1/24)*up_RadSpec!AF20))),".")</f>
        <v>2.5042146236407301E-2</v>
      </c>
      <c r="L20" s="142">
        <f>up_b2s!AB20</f>
        <v>113743.78125</v>
      </c>
      <c r="M20" s="141"/>
      <c r="N20" s="141">
        <f>IFERROR((s_DL/(up_RadSpec!K20*s_EF_res*(1/365)*s_ED_res*up_RadSpec!V20*((s_ET_res_o*(1/24)*up_RadSpec!AA20)+(s_ET_res_i*(1/24)*up_RadSpec!AF20))))*1,".")</f>
        <v>199.66339756976558</v>
      </c>
      <c r="O20" s="141">
        <f>IFERROR((s_DL/(up_RadSpec!R20*s_EF_res*(1/365)*s_ED_res*up_RadSpec!W20*((s_ET_res_o*(1/24)*up_RadSpec!AB20)+(s_ET_res_i*(1/24)*up_RadSpec!AG20))))*1,".")</f>
        <v>393.75513007353811</v>
      </c>
      <c r="P20" s="141">
        <f>IFERROR((s_DL/(up_RadSpec!S20*s_EF_res*(1/365)*s_ED_res*up_RadSpec!X20*((s_ET_res_o*(1/24)*up_RadSpec!AC20)+(s_ET_res_i*(1/24)*up_RadSpec!AH20))))*1,".")</f>
        <v>275.50227550227555</v>
      </c>
      <c r="Q20" s="141">
        <f>IFERROR((s_DL/(up_RadSpec!T20*s_EF_res*(1/365)*s_ED_res*up_RadSpec!Y20*((s_ET_res_o*(1/24)*up_RadSpec!AD20)+(s_ET_res_i*(1/24)*up_RadSpec!AI20))))*1,".")</f>
        <v>231.33293721529026</v>
      </c>
      <c r="R20" s="141">
        <f>IFERROR((s_DL/(up_RadSpec!P20*s_EF_res*(1/365)*s_ED_res*up_RadSpec!U20*((s_ET_res_o*(1/24)*up_RadSpec!Z20)+(s_ET_res_i*(1/24)*up_RadSpec!AE20))))*1,".")</f>
        <v>670.94367094367112</v>
      </c>
      <c r="S20" s="142">
        <f>IFERROR((s_C*s_EF_res*(1/365)*s_ED_res*up_RadSpec!V20*((s_ET_res_o*(1/24)*up_RadSpec!AA20)+(s_ET_res_i*(1/24)*up_RadSpec!AF20))),".")</f>
        <v>2.5042146236407301E-2</v>
      </c>
      <c r="T20" s="142">
        <f>IFERROR((s_C*s_EF_res*(1/365)*s_ED_res*up_RadSpec!W20*((s_ET_res_o*(1/24)*up_RadSpec!AB20)+(s_ET_res_i*(1/24)*up_RadSpec!AG20))),".")</f>
        <v>1.2698247256019738E-2</v>
      </c>
      <c r="U20" s="142">
        <f>IFERROR((s_C*s_EF_res*(1/365)*s_ED_res*up_RadSpec!X20*((s_ET_res_o*(1/24)*up_RadSpec!AC20)+(s_ET_res_i*(1/24)*up_RadSpec!AH20))),".")</f>
        <v>1.8148670427074937E-2</v>
      </c>
      <c r="V20" s="142">
        <f>IFERROR((s_C*s_EF_res*(1/365)*s_ED_res*up_RadSpec!Y20*((s_ET_res_o*(1/24)*up_RadSpec!AD20)+(s_ET_res_i*(1/24)*up_RadSpec!AI20))),".")</f>
        <v>2.1613869863013689E-2</v>
      </c>
      <c r="W20" s="142">
        <f>IFERROR((s_C*s_EF_res*(1/365)*s_ED_res*up_RadSpec!U20*((s_ET_res_o*(1/24)*up_RadSpec!Z20)+(s_ET_res_i*(1/24)*up_RadSpec!AE20))),".")</f>
        <v>7.452190424521902E-3</v>
      </c>
      <c r="X20" s="141">
        <f>IFERROR((s_DL/(up_RadSpec!L20*s_IFA_res_adj)),".")</f>
        <v>9.9740259740259754E-3</v>
      </c>
      <c r="Y20" s="141">
        <f>IFERROR((s_DL/(up_RadSpec!O20*s_EF_res*(1/365)*s_ED_res*s_ET_res*(1/24)*s_GSF_a)),".")</f>
        <v>15.927272727272728</v>
      </c>
      <c r="Z20" s="141">
        <f t="shared" si="14"/>
        <v>9.9677839175609673E-3</v>
      </c>
      <c r="AA20" s="142">
        <f t="shared" si="2"/>
        <v>501.30208333333326</v>
      </c>
      <c r="AB20" s="142">
        <f t="shared" si="3"/>
        <v>0.3139269406392694</v>
      </c>
      <c r="AC20" s="141"/>
      <c r="AD20" s="141">
        <f>IFERROR((s_DL/(up_RadSpec!M20*s_IFW_res_adj)),".")</f>
        <v>3.6363636363636364E-3</v>
      </c>
      <c r="AE20" s="141" t="str">
        <f>IFERROR(IF(up_RadSpec!C20=1,(s_DL/(up_RadSpec!L20*s_IFA_res_adj*s_K)),"."),".")</f>
        <v>.</v>
      </c>
      <c r="AF20" s="141">
        <f>IFERROR((s_DL/(up_RadSpec!Q20*(1/8760)*s_DFA_res_adj)),".")</f>
        <v>39.81818181818182</v>
      </c>
      <c r="AG20" s="141">
        <f>up_b2w!C20</f>
        <v>2.1924550381384044E-4</v>
      </c>
      <c r="AH20" s="141">
        <f t="shared" si="15"/>
        <v>2.0677724539454526E-4</v>
      </c>
      <c r="AI20" s="142">
        <f t="shared" si="4"/>
        <v>1375</v>
      </c>
      <c r="AJ20" s="142">
        <f t="shared" si="5"/>
        <v>250.65104166666663</v>
      </c>
      <c r="AK20" s="142">
        <f t="shared" si="6"/>
        <v>0.12557077625570776</v>
      </c>
      <c r="AL20" s="142">
        <f>up_b2w!AB20</f>
        <v>22805.4847785862</v>
      </c>
      <c r="AM20" s="141"/>
      <c r="AN20" s="141">
        <f>IFERROR(s_DL/(up_RadSpec!J20*s_EF_res*s_ED_res*s_IRF_res*0.001*s_CF_res_fish),".")</f>
        <v>6.6115702479338848E-4</v>
      </c>
      <c r="AO20" s="142">
        <f t="shared" si="7"/>
        <v>7562.5</v>
      </c>
    </row>
    <row r="21" spans="1:41" x14ac:dyDescent="0.25">
      <c r="A21" s="128" t="s">
        <v>19</v>
      </c>
      <c r="B21" s="129" t="s">
        <v>1059</v>
      </c>
      <c r="C21" s="141">
        <f>IFERROR(((s_DL/(up_RadSpec!I21*s_IFS_res_adj*(1/1000)))*1),".")</f>
        <v>0.33057851239669422</v>
      </c>
      <c r="D21" s="141">
        <f>IFERROR(IF(A21="H-3",(s_DL/((up_RadSpec!L21*s_IFA_res_adj*(1/17)*1000))*1),(s_DL/((up_RadSpec!L21*s_IFA_res_adj*(1/s_PEF_wind)*1000))*1)),".")</f>
        <v>3089.9917845330979</v>
      </c>
      <c r="E21" s="141" t="str">
        <f>IFERROR((s_DL/(up_RadSpec!K21*s_EF_res*(1/365)*s_ED_res*up_RadSpec!V21*((s_ET_res_o*(1/24)*up_RadSpec!AA21)+(s_ET_res_i*(1/24)*up_RadSpec!AF21))))*1,".")</f>
        <v>.</v>
      </c>
      <c r="F21" s="141">
        <f>up_b2s!C21</f>
        <v>4.3958447178843029E-5</v>
      </c>
      <c r="G21" s="141">
        <f>up_dir!C21</f>
        <v>2.2038567493112948E-4</v>
      </c>
      <c r="H21" s="141">
        <f t="shared" si="12"/>
        <v>4.3952601986968353E-5</v>
      </c>
      <c r="I21" s="142">
        <f t="shared" si="0"/>
        <v>15.125</v>
      </c>
      <c r="J21" s="142">
        <f t="shared" si="1"/>
        <v>1.618127279505213E-3</v>
      </c>
      <c r="K21" s="142">
        <f>IFERROR((s_C*s_EF_res*(1/365)*s_ED_res*up_RadSpec!V21*((s_ET_res_o*(1/24)*up_RadSpec!AA21)+(s_ET_res_i*(1/24)*up_RadSpec!AF21))),".")</f>
        <v>0</v>
      </c>
      <c r="L21" s="142">
        <f>up_b2s!AB21</f>
        <v>113743.78125</v>
      </c>
      <c r="M21" s="141"/>
      <c r="N21" s="141" t="str">
        <f>IFERROR((s_DL/(up_RadSpec!K21*s_EF_res*(1/365)*s_ED_res*up_RadSpec!V21*((s_ET_res_o*(1/24)*up_RadSpec!AA21)+(s_ET_res_i*(1/24)*up_RadSpec!AF21))))*1,".")</f>
        <v>.</v>
      </c>
      <c r="O21" s="141" t="str">
        <f>IFERROR((s_DL/(up_RadSpec!R21*s_EF_res*(1/365)*s_ED_res*up_RadSpec!W21*((s_ET_res_o*(1/24)*up_RadSpec!AB21)+(s_ET_res_i*(1/24)*up_RadSpec!AG21))))*1,".")</f>
        <v>.</v>
      </c>
      <c r="P21" s="141" t="str">
        <f>IFERROR((s_DL/(up_RadSpec!S21*s_EF_res*(1/365)*s_ED_res*up_RadSpec!X21*((s_ET_res_o*(1/24)*up_RadSpec!AC21)+(s_ET_res_i*(1/24)*up_RadSpec!AH21))))*1,".")</f>
        <v>.</v>
      </c>
      <c r="Q21" s="141" t="str">
        <f>IFERROR((s_DL/(up_RadSpec!T21*s_EF_res*(1/365)*s_ED_res*up_RadSpec!Y21*((s_ET_res_o*(1/24)*up_RadSpec!AD21)+(s_ET_res_i*(1/24)*up_RadSpec!AI21))))*1,".")</f>
        <v>.</v>
      </c>
      <c r="R21" s="141" t="str">
        <f>IFERROR((s_DL/(up_RadSpec!P21*s_EF_res*(1/365)*s_ED_res*up_RadSpec!U21*((s_ET_res_o*(1/24)*up_RadSpec!Z21)+(s_ET_res_i*(1/24)*up_RadSpec!AE21))))*1,".")</f>
        <v>.</v>
      </c>
      <c r="S21" s="142">
        <f>IFERROR((s_C*s_EF_res*(1/365)*s_ED_res*up_RadSpec!V21*((s_ET_res_o*(1/24)*up_RadSpec!AA21)+(s_ET_res_i*(1/24)*up_RadSpec!AF21))),".")</f>
        <v>0</v>
      </c>
      <c r="T21" s="142">
        <f>IFERROR((s_C*s_EF_res*(1/365)*s_ED_res*up_RadSpec!W21*((s_ET_res_o*(1/24)*up_RadSpec!AB21)+(s_ET_res_i*(1/24)*up_RadSpec!AG21))),".")</f>
        <v>0</v>
      </c>
      <c r="U21" s="142">
        <f>IFERROR((s_C*s_EF_res*(1/365)*s_ED_res*up_RadSpec!X21*((s_ET_res_o*(1/24)*up_RadSpec!AC21)+(s_ET_res_i*(1/24)*up_RadSpec!AH21))),".")</f>
        <v>0</v>
      </c>
      <c r="V21" s="142">
        <f>IFERROR((s_C*s_EF_res*(1/365)*s_ED_res*up_RadSpec!Y21*((s_ET_res_o*(1/24)*up_RadSpec!AD21)+(s_ET_res_i*(1/24)*up_RadSpec!AI21))),".")</f>
        <v>0</v>
      </c>
      <c r="W21" s="142">
        <f>IFERROR((s_C*s_EF_res*(1/365)*s_ED_res*up_RadSpec!U21*((s_ET_res_o*(1/24)*up_RadSpec!Z21)+(s_ET_res_i*(1/24)*up_RadSpec!AE21))),".")</f>
        <v>0</v>
      </c>
      <c r="X21" s="141">
        <f>IFERROR((s_DL/(up_RadSpec!L21*s_IFA_res_adj)),".")</f>
        <v>9.9740259740259754E-3</v>
      </c>
      <c r="Y21" s="141">
        <f>IFERROR((s_DL/(up_RadSpec!O21*s_EF_res*(1/365)*s_ED_res*s_ET_res*(1/24)*s_GSF_a)),".")</f>
        <v>15.927272727272728</v>
      </c>
      <c r="Z21" s="141">
        <f>IFERROR(IF(AND(X21&lt;&gt;".",Y21&lt;&gt;"."),1/((1/X21)+(1/Y21)),IF(AND(X21&lt;&gt;".",Y21="."),1/((1/X21)),IF(AND(X21=".",Y21&lt;&gt;"."),1/((1/Y21)),IF(AND(X21=".",Y21="."),".")))),".")</f>
        <v>9.9677839175609673E-3</v>
      </c>
      <c r="AA21" s="142">
        <f t="shared" si="2"/>
        <v>501.30208333333326</v>
      </c>
      <c r="AB21" s="142">
        <f t="shared" si="3"/>
        <v>0.3139269406392694</v>
      </c>
      <c r="AC21" s="141"/>
      <c r="AD21" s="141">
        <f>IFERROR((s_DL/(up_RadSpec!M21*s_IFW_res_adj)),".")</f>
        <v>3.6363636363636364E-3</v>
      </c>
      <c r="AE21" s="141" t="str">
        <f>IFERROR(IF(up_RadSpec!C21=1,(s_DL/(up_RadSpec!L21*s_IFA_res_adj*s_K)),"."),".")</f>
        <v>.</v>
      </c>
      <c r="AF21" s="141">
        <f>IFERROR((s_DL/(up_RadSpec!Q21*(1/8760)*s_DFA_res_adj)),".")</f>
        <v>39.81818181818182</v>
      </c>
      <c r="AG21" s="141">
        <f>up_b2w!C21</f>
        <v>2.1924550381384044E-4</v>
      </c>
      <c r="AH21" s="141">
        <f>(IF(AND(AD21&lt;&gt;".",AE21&lt;&gt;".",AF21&lt;&gt;".",AG21&lt;&gt;"."),1/((1/AD21)+(1/AE21)+(1/AF21)+(1/AG21)),IF(AND(AD21&lt;&gt;".",AE21&lt;&gt;".",AF21&lt;&gt;".",AG21="."), 1/((1/AD21)+(1/AE21)+(1/AF21)),IF(AND(AD21&lt;&gt;".",AE21&lt;&gt;".",AF21=".",AG21&lt;&gt;"."),1/((1/AD21)+(1/AE21)+(1/AG21)),IF(AND(AD21&lt;&gt;".",AE21=".",AF21&lt;&gt;".",AG21&lt;&gt;"."),1/((1/AD21)+(1/AF21)+(1/AG21)),IF(AND(AD21=".",AE21&lt;&gt;".",AF21&lt;&gt;".",AG21&lt;&gt;"."),1/((1/AE21)+(1/AF21)+(1/AG21)),IF(AND(AD21&lt;&gt;".",AE21&lt;&gt;".",AF21=".",AG21="."),1/((1/AD21)+(1/AE21)),IF(AND(AD21&lt;&gt;".",AE21=".",AF21&lt;&gt;".",AG21="."),1/((1/AD21)+(1/AF21)),IF(AND(AD21&lt;&gt;".",AE21=".",AF21=".",AG21&lt;&gt;"."),1/((1/AD21)+(1/AG21)),IF(AND(AD21=".",AE21=".",AF21&lt;&gt;".",AG21&lt;&gt;"."),1/((1/AF21)+(1/AG21)),IF(AND(AD21=".",AE21&lt;&gt;".",AF21=".",AG21&lt;&gt;"."),1/((1/AE21)+(1/AG21)),IF(AND(AD21=".",AE21&lt;&gt;".",AF21&lt;&gt;".",AG21="."),1/((1/AE21)+(1/AF21)),IF(AND(AD21&lt;&gt;".",AE21=".",AF21=".",AG21="."),1/((1/AD21)),IF(AND(AD21=".",AE21&lt;&gt;".",AF21=".",AG21="."),1/((1/AE21)),IF(AND(AD21=".",AE21=".",AF21&lt;&gt;".",AG21="."),1/((1/AF21)),IF(AND(AD21=".",AE21=".",AF21=".",AG21&lt;&gt;"."),1/((1/AG21)),IF(AND(AD21=".",AE21=".",AF21=".",AG21="."),".")))))))))))))))))</f>
        <v>2.0677724539454526E-4</v>
      </c>
      <c r="AI21" s="142">
        <f t="shared" si="4"/>
        <v>1375</v>
      </c>
      <c r="AJ21" s="142">
        <f t="shared" si="5"/>
        <v>250.65104166666663</v>
      </c>
      <c r="AK21" s="142">
        <f t="shared" si="6"/>
        <v>0.12557077625570776</v>
      </c>
      <c r="AL21" s="142">
        <f>up_b2w!AB21</f>
        <v>22805.4847785862</v>
      </c>
      <c r="AM21" s="141"/>
      <c r="AN21" s="141">
        <f>IFERROR(s_DL/(up_RadSpec!J21*s_EF_res*s_ED_res*s_IRF_res*0.001*s_CF_res_fish),".")</f>
        <v>6.6115702479338848E-4</v>
      </c>
      <c r="AO21" s="142">
        <f t="shared" si="7"/>
        <v>7562.5</v>
      </c>
    </row>
    <row r="22" spans="1:41" x14ac:dyDescent="0.25">
      <c r="A22" s="128" t="s">
        <v>20</v>
      </c>
      <c r="B22" s="129" t="s">
        <v>1059</v>
      </c>
      <c r="C22" s="141">
        <f>IFERROR(((s_DL/(up_RadSpec!I22*s_IFS_res_adj*(1/1000)))*1),".")</f>
        <v>0.33057851239669422</v>
      </c>
      <c r="D22" s="141">
        <f>IFERROR(IF(A22="H-3",(s_DL/((up_RadSpec!L22*s_IFA_res_adj*(1/17)*1000))*1),(s_DL/((up_RadSpec!L22*s_IFA_res_adj*(1/s_PEF_wind)*1000))*1)),".")</f>
        <v>3089.9917845330979</v>
      </c>
      <c r="E22" s="141">
        <f>IFERROR((s_DL/(up_RadSpec!K22*s_EF_res*(1/365)*s_ED_res*up_RadSpec!V22*((s_ET_res_o*(1/24)*up_RadSpec!AA22)+(s_ET_res_i*(1/24)*up_RadSpec!AF22))))*1,".")</f>
        <v>849169110.45943344</v>
      </c>
      <c r="F22" s="141">
        <f>up_b2s!C22</f>
        <v>4.3958447178843029E-5</v>
      </c>
      <c r="G22" s="141">
        <f>up_dir!C22</f>
        <v>2.2038567493112948E-4</v>
      </c>
      <c r="H22" s="141">
        <f t="shared" si="12"/>
        <v>4.3952601986966083E-5</v>
      </c>
      <c r="I22" s="142">
        <f t="shared" si="0"/>
        <v>15.125</v>
      </c>
      <c r="J22" s="142">
        <f t="shared" si="1"/>
        <v>1.618127279505213E-3</v>
      </c>
      <c r="K22" s="142">
        <f>IFERROR((s_C*s_EF_res*(1/365)*s_ED_res*up_RadSpec!V22*((s_ET_res_o*(1/24)*up_RadSpec!AA22)+(s_ET_res_i*(1/24)*up_RadSpec!AF22))),".")</f>
        <v>5.8881086681247815E-9</v>
      </c>
      <c r="L22" s="142">
        <f>up_b2s!AB22</f>
        <v>113743.78125</v>
      </c>
      <c r="M22" s="141"/>
      <c r="N22" s="141">
        <f>IFERROR((s_DL/(up_RadSpec!K22*s_EF_res*(1/365)*s_ED_res*up_RadSpec!V22*((s_ET_res_o*(1/24)*up_RadSpec!AA22)+(s_ET_res_i*(1/24)*up_RadSpec!AF22))))*1,".")</f>
        <v>849169110.45943344</v>
      </c>
      <c r="O22" s="141">
        <f>IFERROR((s_DL/(up_RadSpec!R22*s_EF_res*(1/365)*s_ED_res*up_RadSpec!W22*((s_ET_res_o*(1/24)*up_RadSpec!AB22)+(s_ET_res_i*(1/24)*up_RadSpec!AG22))))*1,".")</f>
        <v>778111286.12044013</v>
      </c>
      <c r="P22" s="141">
        <f>IFERROR((s_DL/(up_RadSpec!S22*s_EF_res*(1/365)*s_ED_res*up_RadSpec!X22*((s_ET_res_o*(1/24)*up_RadSpec!AC22)+(s_ET_res_i*(1/24)*up_RadSpec!AH22))))*1,".")</f>
        <v>597797819.95241511</v>
      </c>
      <c r="Q22" s="141">
        <f>IFERROR((s_DL/(up_RadSpec!T22*s_EF_res*(1/365)*s_ED_res*up_RadSpec!Y22*((s_ET_res_o*(1/24)*up_RadSpec!AD22)+(s_ET_res_i*(1/24)*up_RadSpec!AI22))))*1,".")</f>
        <v>616014309.76430941</v>
      </c>
      <c r="R22" s="141">
        <f>IFERROR((s_DL/(up_RadSpec!P22*s_EF_res*(1/365)*s_ED_res*up_RadSpec!U22*((s_ET_res_o*(1/24)*up_RadSpec!Z22)+(s_ET_res_i*(1/24)*up_RadSpec!AE22))))*1,".")</f>
        <v>4371048166.3075275</v>
      </c>
      <c r="S22" s="142">
        <f>IFERROR((s_C*s_EF_res*(1/365)*s_ED_res*up_RadSpec!V22*((s_ET_res_o*(1/24)*up_RadSpec!AA22)+(s_ET_res_i*(1/24)*up_RadSpec!AF22))),".")</f>
        <v>5.8881086681247815E-9</v>
      </c>
      <c r="T22" s="142">
        <f>IFERROR((s_C*s_EF_res*(1/365)*s_ED_res*up_RadSpec!W22*((s_ET_res_o*(1/24)*up_RadSpec!AB22)+(s_ET_res_i*(1/24)*up_RadSpec!AG22))),".")</f>
        <v>6.4258160615165197E-9</v>
      </c>
      <c r="U22" s="142">
        <f>IFERROR((s_C*s_EF_res*(1/365)*s_ED_res*up_RadSpec!X22*((s_ET_res_o*(1/24)*up_RadSpec!AC22)+(s_ET_res_i*(1/24)*up_RadSpec!AH22))),".")</f>
        <v>8.3640318400592386E-9</v>
      </c>
      <c r="V22" s="142">
        <f>IFERROR((s_C*s_EF_res*(1/365)*s_ED_res*up_RadSpec!Y22*((s_ET_res_o*(1/24)*up_RadSpec!AD22)+(s_ET_res_i*(1/24)*up_RadSpec!AI22))),".")</f>
        <v>8.1166945649574738E-9</v>
      </c>
      <c r="W22" s="142">
        <f>IFERROR((s_C*s_EF_res*(1/365)*s_ED_res*up_RadSpec!U22*((s_ET_res_o*(1/24)*up_RadSpec!Z22)+(s_ET_res_i*(1/24)*up_RadSpec!AE22))),".")</f>
        <v>1.1438903919065673E-9</v>
      </c>
      <c r="X22" s="141">
        <f>IFERROR((s_DL/(up_RadSpec!L22*s_IFA_res_adj)),".")</f>
        <v>9.9740259740259754E-3</v>
      </c>
      <c r="Y22" s="141">
        <f>IFERROR((s_DL/(up_RadSpec!O22*s_EF_res*(1/365)*s_ED_res*s_ET_res*(1/24)*s_GSF_a)),".")</f>
        <v>15.927272727272728</v>
      </c>
      <c r="Z22" s="141">
        <f t="shared" ref="Z22:Z24" si="16">IFERROR(IF(AND(X22&lt;&gt;".",Y22&lt;&gt;"."),1/((1/X22)+(1/Y22)),IF(AND(X22&lt;&gt;".",Y22="."),1/((1/X22)),IF(AND(X22=".",Y22&lt;&gt;"."),1/((1/Y22)),IF(AND(X22=".",Y22="."),".")))),".")</f>
        <v>9.9677839175609673E-3</v>
      </c>
      <c r="AA22" s="142">
        <f t="shared" si="2"/>
        <v>501.30208333333326</v>
      </c>
      <c r="AB22" s="142">
        <f t="shared" si="3"/>
        <v>0.3139269406392694</v>
      </c>
      <c r="AC22" s="141"/>
      <c r="AD22" s="141">
        <f>IFERROR((s_DL/(up_RadSpec!M22*s_IFW_res_adj)),".")</f>
        <v>3.6363636363636364E-3</v>
      </c>
      <c r="AE22" s="141" t="str">
        <f>IFERROR(IF(up_RadSpec!C22=1,(s_DL/(up_RadSpec!L22*s_IFA_res_adj*s_K)),"."),".")</f>
        <v>.</v>
      </c>
      <c r="AF22" s="141">
        <f>IFERROR((s_DL/(up_RadSpec!Q22*(1/8760)*s_DFA_res_adj)),".")</f>
        <v>39.81818181818182</v>
      </c>
      <c r="AG22" s="141">
        <f>up_b2w!C22</f>
        <v>2.1924550381384044E-4</v>
      </c>
      <c r="AH22" s="141">
        <f t="shared" ref="AH22:AH24" si="17">(IF(AND(AD22&lt;&gt;".",AE22&lt;&gt;".",AF22&lt;&gt;".",AG22&lt;&gt;"."),1/((1/AD22)+(1/AE22)+(1/AF22)+(1/AG22)),IF(AND(AD22&lt;&gt;".",AE22&lt;&gt;".",AF22&lt;&gt;".",AG22="."), 1/((1/AD22)+(1/AE22)+(1/AF22)),IF(AND(AD22&lt;&gt;".",AE22&lt;&gt;".",AF22=".",AG22&lt;&gt;"."),1/((1/AD22)+(1/AE22)+(1/AG22)),IF(AND(AD22&lt;&gt;".",AE22=".",AF22&lt;&gt;".",AG22&lt;&gt;"."),1/((1/AD22)+(1/AF22)+(1/AG22)),IF(AND(AD22=".",AE22&lt;&gt;".",AF22&lt;&gt;".",AG22&lt;&gt;"."),1/((1/AE22)+(1/AF22)+(1/AG22)),IF(AND(AD22&lt;&gt;".",AE22&lt;&gt;".",AF22=".",AG22="."),1/((1/AD22)+(1/AE22)),IF(AND(AD22&lt;&gt;".",AE22=".",AF22&lt;&gt;".",AG22="."),1/((1/AD22)+(1/AF22)),IF(AND(AD22&lt;&gt;".",AE22=".",AF22=".",AG22&lt;&gt;"."),1/((1/AD22)+(1/AG22)),IF(AND(AD22=".",AE22=".",AF22&lt;&gt;".",AG22&lt;&gt;"."),1/((1/AF22)+(1/AG22)),IF(AND(AD22=".",AE22&lt;&gt;".",AF22=".",AG22&lt;&gt;"."),1/((1/AE22)+(1/AG22)),IF(AND(AD22=".",AE22&lt;&gt;".",AF22&lt;&gt;".",AG22="."),1/((1/AE22)+(1/AF22)),IF(AND(AD22&lt;&gt;".",AE22=".",AF22=".",AG22="."),1/((1/AD22)),IF(AND(AD22=".",AE22&lt;&gt;".",AF22=".",AG22="."),1/((1/AE22)),IF(AND(AD22=".",AE22=".",AF22&lt;&gt;".",AG22="."),1/((1/AF22)),IF(AND(AD22=".",AE22=".",AF22=".",AG22&lt;&gt;"."),1/((1/AG22)),IF(AND(AD22=".",AE22=".",AF22=".",AG22="."),".")))))))))))))))))</f>
        <v>2.0677724539454526E-4</v>
      </c>
      <c r="AI22" s="142">
        <f t="shared" si="4"/>
        <v>1375</v>
      </c>
      <c r="AJ22" s="142">
        <f t="shared" si="5"/>
        <v>250.65104166666663</v>
      </c>
      <c r="AK22" s="142">
        <f t="shared" si="6"/>
        <v>0.12557077625570776</v>
      </c>
      <c r="AL22" s="142">
        <f>up_b2w!AB22</f>
        <v>22805.4847785862</v>
      </c>
      <c r="AM22" s="141"/>
      <c r="AN22" s="141">
        <f>IFERROR(s_DL/(up_RadSpec!J22*s_EF_res*s_ED_res*s_IRF_res*0.001*s_CF_res_fish),".")</f>
        <v>6.6115702479338848E-4</v>
      </c>
      <c r="AO22" s="142">
        <f t="shared" si="7"/>
        <v>7562.5</v>
      </c>
    </row>
    <row r="23" spans="1:41" x14ac:dyDescent="0.25">
      <c r="A23" s="131" t="s">
        <v>21</v>
      </c>
      <c r="B23" s="129" t="s">
        <v>336</v>
      </c>
      <c r="C23" s="141">
        <f>IFERROR(((s_DL/(up_RadSpec!I23*s_IFS_res_adj*(1/1000)))*1),".")</f>
        <v>0.33057851239669422</v>
      </c>
      <c r="D23" s="141">
        <f>IFERROR(IF(A23="H-3",(s_DL/((up_RadSpec!L23*s_IFA_res_adj*(1/17)*1000))*1),(s_DL/((up_RadSpec!L23*s_IFA_res_adj*(1/s_PEF_wind)*1000))*1)),".")</f>
        <v>3089.9917845330979</v>
      </c>
      <c r="E23" s="141">
        <f>IFERROR((s_DL/(up_RadSpec!K23*s_EF_res*(1/365)*s_ED_res*up_RadSpec!V23*((s_ET_res_o*(1/24)*up_RadSpec!AA23)+(s_ET_res_i*(1/24)*up_RadSpec!AF23))))*1,".")</f>
        <v>194.46624184916195</v>
      </c>
      <c r="F23" s="141">
        <f>up_b2s!C23</f>
        <v>4.3958447178843029E-5</v>
      </c>
      <c r="G23" s="141">
        <f>up_dir!C23</f>
        <v>2.2038567493112948E-4</v>
      </c>
      <c r="H23" s="141">
        <f t="shared" si="12"/>
        <v>4.3952592052952219E-5</v>
      </c>
      <c r="I23" s="142">
        <f t="shared" si="0"/>
        <v>15.125</v>
      </c>
      <c r="J23" s="142">
        <f t="shared" si="1"/>
        <v>1.618127279505213E-3</v>
      </c>
      <c r="K23" s="142">
        <f>IFERROR((s_C*s_EF_res*(1/365)*s_ED_res*up_RadSpec!V23*((s_ET_res_o*(1/24)*up_RadSpec!AA23)+(s_ET_res_i*(1/24)*up_RadSpec!AF23))),".")</f>
        <v>2.5711403441828522E-2</v>
      </c>
      <c r="L23" s="142">
        <f>up_b2s!AB23</f>
        <v>113743.78125</v>
      </c>
      <c r="M23" s="141"/>
      <c r="N23" s="141">
        <f>IFERROR((s_DL/(up_RadSpec!K23*s_EF_res*(1/365)*s_ED_res*up_RadSpec!V23*((s_ET_res_o*(1/24)*up_RadSpec!AA23)+(s_ET_res_i*(1/24)*up_RadSpec!AF23))))*1,".")</f>
        <v>194.46624184916195</v>
      </c>
      <c r="O23" s="141">
        <f>IFERROR((s_DL/(up_RadSpec!R23*s_EF_res*(1/365)*s_ED_res*up_RadSpec!W23*((s_ET_res_o*(1/24)*up_RadSpec!AB23)+(s_ET_res_i*(1/24)*up_RadSpec!AG23))))*1,".")</f>
        <v>346.1535689835336</v>
      </c>
      <c r="P23" s="141">
        <f>IFERROR((s_DL/(up_RadSpec!S23*s_EF_res*(1/365)*s_ED_res*up_RadSpec!X23*((s_ET_res_o*(1/24)*up_RadSpec!AC23)+(s_ET_res_i*(1/24)*up_RadSpec!AH23))))*1,".")</f>
        <v>244.77396269819053</v>
      </c>
      <c r="Q23" s="141">
        <f>IFERROR((s_DL/(up_RadSpec!T23*s_EF_res*(1/365)*s_ED_res*up_RadSpec!Y23*((s_ET_res_o*(1/24)*up_RadSpec!AD23)+(s_ET_res_i*(1/24)*up_RadSpec!AI23))))*1,".")</f>
        <v>200.30636030636026</v>
      </c>
      <c r="R23" s="141">
        <f>IFERROR((s_DL/(up_RadSpec!P23*s_EF_res*(1/365)*s_ED_res*up_RadSpec!U23*((s_ET_res_o*(1/24)*up_RadSpec!Z23)+(s_ET_res_i*(1/24)*up_RadSpec!AE23))))*1,".")</f>
        <v>544.89976043374088</v>
      </c>
      <c r="S23" s="142">
        <f>IFERROR((s_C*s_EF_res*(1/365)*s_ED_res*up_RadSpec!V23*((s_ET_res_o*(1/24)*up_RadSpec!AA23)+(s_ET_res_i*(1/24)*up_RadSpec!AF23))),".")</f>
        <v>2.5711403441828522E-2</v>
      </c>
      <c r="T23" s="142">
        <f>IFERROR((s_C*s_EF_res*(1/365)*s_ED_res*up_RadSpec!W23*((s_ET_res_o*(1/24)*up_RadSpec!AB23)+(s_ET_res_i*(1/24)*up_RadSpec!AG23))),".")</f>
        <v>1.4444456010326007E-2</v>
      </c>
      <c r="U23" s="142">
        <f>IFERROR((s_C*s_EF_res*(1/365)*s_ED_res*up_RadSpec!X23*((s_ET_res_o*(1/24)*up_RadSpec!AC23)+(s_ET_res_i*(1/24)*up_RadSpec!AH23))),".")</f>
        <v>2.0427009249202967E-2</v>
      </c>
      <c r="V23" s="142">
        <f>IFERROR((s_C*s_EF_res*(1/365)*s_ED_res*up_RadSpec!Y23*((s_ET_res_o*(1/24)*up_RadSpec!AD23)+(s_ET_res_i*(1/24)*up_RadSpec!AI23))),".")</f>
        <v>2.4961763532384631E-2</v>
      </c>
      <c r="W23" s="142">
        <f>IFERROR((s_C*s_EF_res*(1/365)*s_ED_res*up_RadSpec!U23*((s_ET_res_o*(1/24)*up_RadSpec!Z23)+(s_ET_res_i*(1/24)*up_RadSpec!AE23))),".")</f>
        <v>9.175999629766755E-3</v>
      </c>
      <c r="X23" s="141">
        <f>IFERROR((s_DL/(up_RadSpec!L23*s_IFA_res_adj)),".")</f>
        <v>9.9740259740259754E-3</v>
      </c>
      <c r="Y23" s="141">
        <f>IFERROR((s_DL/(up_RadSpec!O23*s_EF_res*(1/365)*s_ED_res*s_ET_res*(1/24)*s_GSF_a)),".")</f>
        <v>15.927272727272728</v>
      </c>
      <c r="Z23" s="141">
        <f t="shared" si="16"/>
        <v>9.9677839175609673E-3</v>
      </c>
      <c r="AA23" s="142">
        <f t="shared" si="2"/>
        <v>501.30208333333326</v>
      </c>
      <c r="AB23" s="142">
        <f t="shared" si="3"/>
        <v>0.3139269406392694</v>
      </c>
      <c r="AC23" s="141"/>
      <c r="AD23" s="141">
        <f>IFERROR((s_DL/(up_RadSpec!M23*s_IFW_res_adj)),".")</f>
        <v>3.6363636363636364E-3</v>
      </c>
      <c r="AE23" s="141">
        <f>IFERROR(IF(up_RadSpec!C23=1,(s_DL/(up_RadSpec!L23*s_IFA_res_adj*s_K)),"."),".")</f>
        <v>1.9948051948051951E-2</v>
      </c>
      <c r="AF23" s="141">
        <f>IFERROR((s_DL/(up_RadSpec!Q23*(1/8760)*s_DFA_res_adj)),".")</f>
        <v>39.81818181818182</v>
      </c>
      <c r="AG23" s="141">
        <f>up_b2w!C23</f>
        <v>2.1924550381384044E-4</v>
      </c>
      <c r="AH23" s="141">
        <f t="shared" si="17"/>
        <v>2.0465582681031537E-4</v>
      </c>
      <c r="AI23" s="142">
        <f t="shared" si="4"/>
        <v>1375</v>
      </c>
      <c r="AJ23" s="142">
        <f t="shared" si="5"/>
        <v>250.65104166666663</v>
      </c>
      <c r="AK23" s="142">
        <f t="shared" si="6"/>
        <v>0.12557077625570776</v>
      </c>
      <c r="AL23" s="142">
        <f>up_b2w!AB23</f>
        <v>22805.4847785862</v>
      </c>
      <c r="AM23" s="141"/>
      <c r="AN23" s="141">
        <f>IFERROR(s_DL/(up_RadSpec!J23*s_EF_res*s_ED_res*s_IRF_res*0.001*s_CF_res_fish),".")</f>
        <v>6.6115702479338848E-4</v>
      </c>
      <c r="AO23" s="142">
        <f t="shared" si="7"/>
        <v>7562.5</v>
      </c>
    </row>
    <row r="24" spans="1:41" x14ac:dyDescent="0.25">
      <c r="A24" s="128" t="s">
        <v>22</v>
      </c>
      <c r="B24" s="129" t="s">
        <v>1059</v>
      </c>
      <c r="C24" s="141">
        <f>IFERROR(((s_DL/(up_RadSpec!I24*s_IFS_res_adj*(1/1000)))*1),".")</f>
        <v>0.33057851239669422</v>
      </c>
      <c r="D24" s="141">
        <f>IFERROR(IF(A24="H-3",(s_DL/((up_RadSpec!L24*s_IFA_res_adj*(1/17)*1000))*1),(s_DL/((up_RadSpec!L24*s_IFA_res_adj*(1/s_PEF_wind)*1000))*1)),".")</f>
        <v>3089.9917845330979</v>
      </c>
      <c r="E24" s="141">
        <f>IFERROR((s_DL/(up_RadSpec!K24*s_EF_res*(1/365)*s_ED_res*up_RadSpec!V24*((s_ET_res_o*(1/24)*up_RadSpec!AA24)+(s_ET_res_i*(1/24)*up_RadSpec!AF24))))*1,".")</f>
        <v>254.92979041989193</v>
      </c>
      <c r="F24" s="141">
        <f>up_b2s!C24</f>
        <v>4.3958447178843029E-5</v>
      </c>
      <c r="G24" s="141">
        <f>up_dir!C24</f>
        <v>2.2038567493112948E-4</v>
      </c>
      <c r="H24" s="141">
        <f t="shared" si="12"/>
        <v>4.3952594409074515E-5</v>
      </c>
      <c r="I24" s="142">
        <f t="shared" si="0"/>
        <v>15.125</v>
      </c>
      <c r="J24" s="142">
        <f t="shared" si="1"/>
        <v>1.618127279505213E-3</v>
      </c>
      <c r="K24" s="142">
        <f>IFERROR((s_C*s_EF_res*(1/365)*s_ED_res*up_RadSpec!V24*((s_ET_res_o*(1/24)*up_RadSpec!AA24)+(s_ET_res_i*(1/24)*up_RadSpec!AF24))),".")</f>
        <v>1.9613243284610078E-2</v>
      </c>
      <c r="L24" s="142">
        <f>up_b2s!AB24</f>
        <v>113743.78125</v>
      </c>
      <c r="M24" s="141"/>
      <c r="N24" s="141">
        <f>IFERROR((s_DL/(up_RadSpec!K24*s_EF_res*(1/365)*s_ED_res*up_RadSpec!V24*((s_ET_res_o*(1/24)*up_RadSpec!AA24)+(s_ET_res_i*(1/24)*up_RadSpec!AF24))))*1,".")</f>
        <v>254.92979041989193</v>
      </c>
      <c r="O24" s="141">
        <f>IFERROR((s_DL/(up_RadSpec!R24*s_EF_res*(1/365)*s_ED_res*up_RadSpec!W24*((s_ET_res_o*(1/24)*up_RadSpec!AB24)+(s_ET_res_i*(1/24)*up_RadSpec!AG24))))*1,".")</f>
        <v>462.19152457011302</v>
      </c>
      <c r="P24" s="141">
        <f>IFERROR((s_DL/(up_RadSpec!S24*s_EF_res*(1/365)*s_ED_res*up_RadSpec!X24*((s_ET_res_o*(1/24)*up_RadSpec!AC24)+(s_ET_res_i*(1/24)*up_RadSpec!AH24))))*1,".")</f>
        <v>326.33708223946297</v>
      </c>
      <c r="Q24" s="141">
        <f>IFERROR((s_DL/(up_RadSpec!T24*s_EF_res*(1/365)*s_ED_res*up_RadSpec!Y24*((s_ET_res_o*(1/24)*up_RadSpec!AD24)+(s_ET_res_i*(1/24)*up_RadSpec!AI24))))*1,".")</f>
        <v>272.5126223740329</v>
      </c>
      <c r="R24" s="141">
        <f>IFERROR((s_DL/(up_RadSpec!P24*s_EF_res*(1/365)*s_ED_res*up_RadSpec!U24*((s_ET_res_o*(1/24)*up_RadSpec!Z24)+(s_ET_res_i*(1/24)*up_RadSpec!AE24))))*1,".")</f>
        <v>768.16516816516798</v>
      </c>
      <c r="S24" s="142">
        <f>IFERROR((s_C*s_EF_res*(1/365)*s_ED_res*up_RadSpec!V24*((s_ET_res_o*(1/24)*up_RadSpec!AA24)+(s_ET_res_i*(1/24)*up_RadSpec!AF24))),".")</f>
        <v>1.9613243284610078E-2</v>
      </c>
      <c r="T24" s="142">
        <f>IFERROR((s_C*s_EF_res*(1/365)*s_ED_res*up_RadSpec!W24*((s_ET_res_o*(1/24)*up_RadSpec!AB24)+(s_ET_res_i*(1/24)*up_RadSpec!AG24))),".")</f>
        <v>1.081802615193026E-2</v>
      </c>
      <c r="U24" s="142">
        <f>IFERROR((s_C*s_EF_res*(1/365)*s_ED_res*up_RadSpec!X24*((s_ET_res_o*(1/24)*up_RadSpec!AC24)+(s_ET_res_i*(1/24)*up_RadSpec!AH24))),".")</f>
        <v>1.5321580880995464E-2</v>
      </c>
      <c r="V24" s="142">
        <f>IFERROR((s_C*s_EF_res*(1/365)*s_ED_res*up_RadSpec!Y24*((s_ET_res_o*(1/24)*up_RadSpec!AD24)+(s_ET_res_i*(1/24)*up_RadSpec!AI24))),".")</f>
        <v>1.8347773972602739E-2</v>
      </c>
      <c r="W24" s="142">
        <f>IFERROR((s_C*s_EF_res*(1/365)*s_ED_res*up_RadSpec!U24*((s_ET_res_o*(1/24)*up_RadSpec!Z24)+(s_ET_res_i*(1/24)*up_RadSpec!AE24))),".")</f>
        <v>6.509016819837005E-3</v>
      </c>
      <c r="X24" s="141">
        <f>IFERROR((s_DL/(up_RadSpec!L24*s_IFA_res_adj)),".")</f>
        <v>9.9740259740259754E-3</v>
      </c>
      <c r="Y24" s="141">
        <f>IFERROR((s_DL/(up_RadSpec!O24*s_EF_res*(1/365)*s_ED_res*s_ET_res*(1/24)*s_GSF_a)),".")</f>
        <v>15.927272727272728</v>
      </c>
      <c r="Z24" s="141">
        <f t="shared" si="16"/>
        <v>9.9677839175609673E-3</v>
      </c>
      <c r="AA24" s="142">
        <f t="shared" si="2"/>
        <v>501.30208333333326</v>
      </c>
      <c r="AB24" s="142">
        <f t="shared" si="3"/>
        <v>0.3139269406392694</v>
      </c>
      <c r="AC24" s="141"/>
      <c r="AD24" s="141">
        <f>IFERROR((s_DL/(up_RadSpec!M24*s_IFW_res_adj)),".")</f>
        <v>3.6363636363636364E-3</v>
      </c>
      <c r="AE24" s="141" t="str">
        <f>IFERROR(IF(up_RadSpec!C24=1,(s_DL/(up_RadSpec!L24*s_IFA_res_adj*s_K)),"."),".")</f>
        <v>.</v>
      </c>
      <c r="AF24" s="141">
        <f>IFERROR((s_DL/(up_RadSpec!Q24*(1/8760)*s_DFA_res_adj)),".")</f>
        <v>39.81818181818182</v>
      </c>
      <c r="AG24" s="141">
        <f>up_b2w!C24</f>
        <v>2.1924550381384044E-4</v>
      </c>
      <c r="AH24" s="141">
        <f t="shared" si="17"/>
        <v>2.0677724539454526E-4</v>
      </c>
      <c r="AI24" s="142">
        <f t="shared" si="4"/>
        <v>1375</v>
      </c>
      <c r="AJ24" s="142">
        <f t="shared" si="5"/>
        <v>250.65104166666663</v>
      </c>
      <c r="AK24" s="142">
        <f t="shared" si="6"/>
        <v>0.12557077625570776</v>
      </c>
      <c r="AL24" s="142">
        <f>up_b2w!AB24</f>
        <v>22805.4847785862</v>
      </c>
      <c r="AM24" s="141"/>
      <c r="AN24" s="141">
        <f>IFERROR(s_DL/(up_RadSpec!J24*s_EF_res*s_ED_res*s_IRF_res*0.001*s_CF_res_fish),".")</f>
        <v>6.6115702479338848E-4</v>
      </c>
      <c r="AO24" s="142">
        <f t="shared" si="7"/>
        <v>7562.5</v>
      </c>
    </row>
    <row r="25" spans="1:41" x14ac:dyDescent="0.25">
      <c r="A25" s="131" t="s">
        <v>23</v>
      </c>
      <c r="B25" s="129" t="s">
        <v>336</v>
      </c>
      <c r="C25" s="141">
        <f>IFERROR(((s_DL/(up_RadSpec!I25*s_IFS_res_adj*(1/1000)))*1),".")</f>
        <v>0.33057851239669422</v>
      </c>
      <c r="D25" s="141">
        <f>IFERROR(IF(A25="H-3",(s_DL/((up_RadSpec!L25*s_IFA_res_adj*(1/17)*1000))*1),(s_DL/((up_RadSpec!L25*s_IFA_res_adj*(1/s_PEF_wind)*1000))*1)),".")</f>
        <v>3089.9917845330979</v>
      </c>
      <c r="E25" s="141">
        <f>IFERROR((s_DL/(up_RadSpec!K25*s_EF_res*(1/365)*s_ED_res*up_RadSpec!V25*((s_ET_res_o*(1/24)*up_RadSpec!AA25)+(s_ET_res_i*(1/24)*up_RadSpec!AF25))))*1,".")</f>
        <v>284.28866983083856</v>
      </c>
      <c r="F25" s="141">
        <f>up_b2s!C25</f>
        <v>4.3958447178843029E-5</v>
      </c>
      <c r="G25" s="141">
        <f>up_dir!C25</f>
        <v>2.2038567493112948E-4</v>
      </c>
      <c r="H25" s="141">
        <f t="shared" si="12"/>
        <v>4.3952595191653845E-5</v>
      </c>
      <c r="I25" s="142">
        <f t="shared" si="0"/>
        <v>15.125</v>
      </c>
      <c r="J25" s="142">
        <f t="shared" si="1"/>
        <v>1.618127279505213E-3</v>
      </c>
      <c r="K25" s="142">
        <f>IFERROR((s_C*s_EF_res*(1/365)*s_ED_res*up_RadSpec!V25*((s_ET_res_o*(1/24)*up_RadSpec!AA25)+(s_ET_res_i*(1/24)*up_RadSpec!AF25))),".")</f>
        <v>1.7587756849315066E-2</v>
      </c>
      <c r="L25" s="142">
        <f>up_b2s!AB25</f>
        <v>113743.78125</v>
      </c>
      <c r="M25" s="141"/>
      <c r="N25" s="141">
        <f>IFERROR((s_DL/(up_RadSpec!K25*s_EF_res*(1/365)*s_ED_res*up_RadSpec!V25*((s_ET_res_o*(1/24)*up_RadSpec!AA25)+(s_ET_res_i*(1/24)*up_RadSpec!AF25))))*1,".")</f>
        <v>284.28866983083856</v>
      </c>
      <c r="O25" s="141">
        <f>IFERROR((s_DL/(up_RadSpec!R25*s_EF_res*(1/365)*s_ED_res*up_RadSpec!W25*((s_ET_res_o*(1/24)*up_RadSpec!AB25)+(s_ET_res_i*(1/24)*up_RadSpec!AG25))))*1,".")</f>
        <v>509.10201418675985</v>
      </c>
      <c r="P25" s="141">
        <f>IFERROR((s_DL/(up_RadSpec!S25*s_EF_res*(1/365)*s_ED_res*up_RadSpec!X25*((s_ET_res_o*(1/24)*up_RadSpec!AC25)+(s_ET_res_i*(1/24)*up_RadSpec!AH25))))*1,".")</f>
        <v>365.1816348445563</v>
      </c>
      <c r="Q25" s="141">
        <f>IFERROR((s_DL/(up_RadSpec!T25*s_EF_res*(1/365)*s_ED_res*up_RadSpec!Y25*((s_ET_res_o*(1/24)*up_RadSpec!AD25)+(s_ET_res_i*(1/24)*up_RadSpec!AI25))))*1,".")</f>
        <v>326.09800745393966</v>
      </c>
      <c r="R25" s="141">
        <f>IFERROR((s_DL/(up_RadSpec!P25*s_EF_res*(1/365)*s_ED_res*up_RadSpec!U25*((s_ET_res_o*(1/24)*up_RadSpec!Z25)+(s_ET_res_i*(1/24)*up_RadSpec!AE25))))*1,".")</f>
        <v>912.76400367309452</v>
      </c>
      <c r="S25" s="142">
        <f>IFERROR((s_C*s_EF_res*(1/365)*s_ED_res*up_RadSpec!V25*((s_ET_res_o*(1/24)*up_RadSpec!AA25)+(s_ET_res_i*(1/24)*up_RadSpec!AF25))),".")</f>
        <v>1.7587756849315066E-2</v>
      </c>
      <c r="T25" s="142">
        <f>IFERROR((s_C*s_EF_res*(1/365)*s_ED_res*up_RadSpec!W25*((s_ET_res_o*(1/24)*up_RadSpec!AB25)+(s_ET_res_i*(1/24)*up_RadSpec!AG25))),".")</f>
        <v>9.8212143355728143E-3</v>
      </c>
      <c r="U25" s="142">
        <f>IFERROR((s_C*s_EF_res*(1/365)*s_ED_res*up_RadSpec!X25*((s_ET_res_o*(1/24)*up_RadSpec!AC25)+(s_ET_res_i*(1/24)*up_RadSpec!AH25))),".")</f>
        <v>1.369181668220612E-2</v>
      </c>
      <c r="V25" s="142">
        <f>IFERROR((s_C*s_EF_res*(1/365)*s_ED_res*up_RadSpec!Y25*((s_ET_res_o*(1/24)*up_RadSpec!AD25)+(s_ET_res_i*(1/24)*up_RadSpec!AI25))),".")</f>
        <v>1.5332813711553374E-2</v>
      </c>
      <c r="W25" s="142">
        <f>IFERROR((s_C*s_EF_res*(1/365)*s_ED_res*up_RadSpec!U25*((s_ET_res_o*(1/24)*up_RadSpec!Z25)+(s_ET_res_i*(1/24)*up_RadSpec!AE25))),".")</f>
        <v>5.4778672032193164E-3</v>
      </c>
      <c r="X25" s="141">
        <f>IFERROR((s_DL/(up_RadSpec!L25*s_IFA_res_adj)),".")</f>
        <v>9.9740259740259754E-3</v>
      </c>
      <c r="Y25" s="141">
        <f>IFERROR((s_DL/(up_RadSpec!O25*s_EF_res*(1/365)*s_ED_res*s_ET_res*(1/24)*s_GSF_a)),".")</f>
        <v>15.927272727272728</v>
      </c>
      <c r="Z25" s="141">
        <f>IFERROR(IF(AND(X25&lt;&gt;".",Y25&lt;&gt;"."),1/((1/X25)+(1/Y25)),IF(AND(X25&lt;&gt;".",Y25="."),1/((1/X25)),IF(AND(X25=".",Y25&lt;&gt;"."),1/((1/Y25)),IF(AND(X25=".",Y25="."),".")))),".")</f>
        <v>9.9677839175609673E-3</v>
      </c>
      <c r="AA25" s="142">
        <f t="shared" si="2"/>
        <v>501.30208333333326</v>
      </c>
      <c r="AB25" s="142">
        <f t="shared" si="3"/>
        <v>0.3139269406392694</v>
      </c>
      <c r="AC25" s="141"/>
      <c r="AD25" s="141">
        <f>IFERROR((s_DL/(up_RadSpec!M25*s_IFW_res_adj)),".")</f>
        <v>3.6363636363636364E-3</v>
      </c>
      <c r="AE25" s="141">
        <f>IFERROR(IF(up_RadSpec!C25=1,(s_DL/(up_RadSpec!L25*s_IFA_res_adj*s_K)),"."),".")</f>
        <v>1.9948051948051951E-2</v>
      </c>
      <c r="AF25" s="141">
        <f>IFERROR((s_DL/(up_RadSpec!Q25*(1/8760)*s_DFA_res_adj)),".")</f>
        <v>39.81818181818182</v>
      </c>
      <c r="AG25" s="141">
        <f>up_b2w!C25</f>
        <v>2.1924550381384044E-4</v>
      </c>
      <c r="AH25" s="141">
        <f>(IF(AND(AD25&lt;&gt;".",AE25&lt;&gt;".",AF25&lt;&gt;".",AG25&lt;&gt;"."),1/((1/AD25)+(1/AE25)+(1/AF25)+(1/AG25)),IF(AND(AD25&lt;&gt;".",AE25&lt;&gt;".",AF25&lt;&gt;".",AG25="."), 1/((1/AD25)+(1/AE25)+(1/AF25)),IF(AND(AD25&lt;&gt;".",AE25&lt;&gt;".",AF25=".",AG25&lt;&gt;"."),1/((1/AD25)+(1/AE25)+(1/AG25)),IF(AND(AD25&lt;&gt;".",AE25=".",AF25&lt;&gt;".",AG25&lt;&gt;"."),1/((1/AD25)+(1/AF25)+(1/AG25)),IF(AND(AD25=".",AE25&lt;&gt;".",AF25&lt;&gt;".",AG25&lt;&gt;"."),1/((1/AE25)+(1/AF25)+(1/AG25)),IF(AND(AD25&lt;&gt;".",AE25&lt;&gt;".",AF25=".",AG25="."),1/((1/AD25)+(1/AE25)),IF(AND(AD25&lt;&gt;".",AE25=".",AF25&lt;&gt;".",AG25="."),1/((1/AD25)+(1/AF25)),IF(AND(AD25&lt;&gt;".",AE25=".",AF25=".",AG25&lt;&gt;"."),1/((1/AD25)+(1/AG25)),IF(AND(AD25=".",AE25=".",AF25&lt;&gt;".",AG25&lt;&gt;"."),1/((1/AF25)+(1/AG25)),IF(AND(AD25=".",AE25&lt;&gt;".",AF25=".",AG25&lt;&gt;"."),1/((1/AE25)+(1/AG25)),IF(AND(AD25=".",AE25&lt;&gt;".",AF25&lt;&gt;".",AG25="."),1/((1/AE25)+(1/AF25)),IF(AND(AD25&lt;&gt;".",AE25=".",AF25=".",AG25="."),1/((1/AD25)),IF(AND(AD25=".",AE25&lt;&gt;".",AF25=".",AG25="."),1/((1/AE25)),IF(AND(AD25=".",AE25=".",AF25&lt;&gt;".",AG25="."),1/((1/AF25)),IF(AND(AD25=".",AE25=".",AF25=".",AG25&lt;&gt;"."),1/((1/AG25)),IF(AND(AD25=".",AE25=".",AF25=".",AG25="."),".")))))))))))))))))</f>
        <v>2.0465582681031537E-4</v>
      </c>
      <c r="AI25" s="142">
        <f t="shared" si="4"/>
        <v>1375</v>
      </c>
      <c r="AJ25" s="142">
        <f t="shared" si="5"/>
        <v>250.65104166666663</v>
      </c>
      <c r="AK25" s="142">
        <f t="shared" si="6"/>
        <v>0.12557077625570776</v>
      </c>
      <c r="AL25" s="142">
        <f>up_b2w!AB25</f>
        <v>22805.4847785862</v>
      </c>
      <c r="AM25" s="141"/>
      <c r="AN25" s="141">
        <f>IFERROR(s_DL/(up_RadSpec!J25*s_EF_res*s_ED_res*s_IRF_res*0.001*s_CF_res_fish),".")</f>
        <v>6.6115702479338848E-4</v>
      </c>
      <c r="AO25" s="142">
        <f t="shared" si="7"/>
        <v>7562.5</v>
      </c>
    </row>
    <row r="26" spans="1:41" x14ac:dyDescent="0.25">
      <c r="A26" s="128" t="s">
        <v>24</v>
      </c>
      <c r="B26" s="129" t="s">
        <v>1059</v>
      </c>
      <c r="C26" s="141">
        <f>IFERROR(((s_DL/(up_RadSpec!I26*s_IFS_res_adj*(1/1000)))*1),".")</f>
        <v>0.33057851239669422</v>
      </c>
      <c r="D26" s="141">
        <f>IFERROR(IF(A26="H-3",(s_DL/((up_RadSpec!L26*s_IFA_res_adj*(1/17)*1000))*1),(s_DL/((up_RadSpec!L26*s_IFA_res_adj*(1/s_PEF_wind)*1000))*1)),".")</f>
        <v>3089.9917845330979</v>
      </c>
      <c r="E26" s="141">
        <f>IFERROR((s_DL/(up_RadSpec!K26*s_EF_res*(1/365)*s_ED_res*up_RadSpec!V26*((s_ET_res_o*(1/24)*up_RadSpec!AA26)+(s_ET_res_i*(1/24)*up_RadSpec!AF26))))*1,".")</f>
        <v>1549.9896928468352</v>
      </c>
      <c r="F26" s="141">
        <f>up_b2s!C26</f>
        <v>4.3958447178843029E-5</v>
      </c>
      <c r="G26" s="141">
        <f>up_dir!C26</f>
        <v>2.2038567493112948E-4</v>
      </c>
      <c r="H26" s="141">
        <f t="shared" si="12"/>
        <v>4.3952600740617376E-5</v>
      </c>
      <c r="I26" s="142">
        <f t="shared" si="0"/>
        <v>15.125</v>
      </c>
      <c r="J26" s="142">
        <f t="shared" si="1"/>
        <v>1.618127279505213E-3</v>
      </c>
      <c r="K26" s="142">
        <f>IFERROR((s_C*s_EF_res*(1/365)*s_ED_res*up_RadSpec!V26*((s_ET_res_o*(1/24)*up_RadSpec!AA26)+(s_ET_res_i*(1/24)*up_RadSpec!AF26))),".")</f>
        <v>3.2258279026466299E-3</v>
      </c>
      <c r="L26" s="142">
        <f>up_b2s!AB26</f>
        <v>113743.78125</v>
      </c>
      <c r="M26" s="141"/>
      <c r="N26" s="141">
        <f>IFERROR((s_DL/(up_RadSpec!K26*s_EF_res*(1/365)*s_ED_res*up_RadSpec!V26*((s_ET_res_o*(1/24)*up_RadSpec!AA26)+(s_ET_res_i*(1/24)*up_RadSpec!AF26))))*1,".")</f>
        <v>1549.9896928468352</v>
      </c>
      <c r="O26" s="141">
        <f>IFERROR((s_DL/(up_RadSpec!R26*s_EF_res*(1/365)*s_ED_res*up_RadSpec!W26*((s_ET_res_o*(1/24)*up_RadSpec!AB26)+(s_ET_res_i*(1/24)*up_RadSpec!AG26))))*1,".")</f>
        <v>2829.8980669054918</v>
      </c>
      <c r="P26" s="141">
        <f>IFERROR((s_DL/(up_RadSpec!S26*s_EF_res*(1/365)*s_ED_res*up_RadSpec!X26*((s_ET_res_o*(1/24)*up_RadSpec!AC26)+(s_ET_res_i*(1/24)*up_RadSpec!AH26))))*1,".")</f>
        <v>2045.3971291866021</v>
      </c>
      <c r="Q26" s="141">
        <f>IFERROR((s_DL/(up_RadSpec!T26*s_EF_res*(1/365)*s_ED_res*up_RadSpec!Y26*((s_ET_res_o*(1/24)*up_RadSpec!AD26)+(s_ET_res_i*(1/24)*up_RadSpec!AI26))))*1,".")</f>
        <v>1749.5867768595035</v>
      </c>
      <c r="R26" s="141">
        <f>IFERROR((s_DL/(up_RadSpec!P26*s_EF_res*(1/365)*s_ED_res*up_RadSpec!U26*((s_ET_res_o*(1/24)*up_RadSpec!Z26)+(s_ET_res_i*(1/24)*up_RadSpec!AE26))))*1,".")</f>
        <v>16494.164472369241</v>
      </c>
      <c r="S26" s="142">
        <f>IFERROR((s_C*s_EF_res*(1/365)*s_ED_res*up_RadSpec!V26*((s_ET_res_o*(1/24)*up_RadSpec!AA26)+(s_ET_res_i*(1/24)*up_RadSpec!AF26))),".")</f>
        <v>3.2258279026466299E-3</v>
      </c>
      <c r="T26" s="142">
        <f>IFERROR((s_C*s_EF_res*(1/365)*s_ED_res*up_RadSpec!W26*((s_ET_res_o*(1/24)*up_RadSpec!AB26)+(s_ET_res_i*(1/24)*up_RadSpec!AG26))),".")</f>
        <v>1.7668480919765164E-3</v>
      </c>
      <c r="U26" s="142">
        <f>IFERROR((s_C*s_EF_res*(1/365)*s_ED_res*up_RadSpec!X26*((s_ET_res_o*(1/24)*up_RadSpec!AC26)+(s_ET_res_i*(1/24)*up_RadSpec!AH26))),".")</f>
        <v>2.4445130623549677E-3</v>
      </c>
      <c r="V26" s="142">
        <f>IFERROR((s_C*s_EF_res*(1/365)*s_ED_res*up_RadSpec!Y26*((s_ET_res_o*(1/24)*up_RadSpec!AD26)+(s_ET_res_i*(1/24)*up_RadSpec!AI26))),".")</f>
        <v>2.8578176665092123E-3</v>
      </c>
      <c r="W26" s="142">
        <f>IFERROR((s_C*s_EF_res*(1/365)*s_ED_res*up_RadSpec!U26*((s_ET_res_o*(1/24)*up_RadSpec!Z26)+(s_ET_res_i*(1/24)*up_RadSpec!AE26))),".")</f>
        <v>3.0313751317175962E-4</v>
      </c>
      <c r="X26" s="141">
        <f>IFERROR((s_DL/(up_RadSpec!L26*s_IFA_res_adj)),".")</f>
        <v>9.9740259740259754E-3</v>
      </c>
      <c r="Y26" s="141">
        <f>IFERROR((s_DL/(up_RadSpec!O26*s_EF_res*(1/365)*s_ED_res*s_ET_res*(1/24)*s_GSF_a)),".")</f>
        <v>15.927272727272728</v>
      </c>
      <c r="Z26" s="141">
        <f>IFERROR(IF(AND(X26&lt;&gt;".",Y26&lt;&gt;"."),1/((1/X26)+(1/Y26)),IF(AND(X26&lt;&gt;".",Y26="."),1/((1/X26)),IF(AND(X26=".",Y26&lt;&gt;"."),1/((1/Y26)),IF(AND(X26=".",Y26="."),".")))),".")</f>
        <v>9.9677839175609673E-3</v>
      </c>
      <c r="AA26" s="142">
        <f t="shared" si="2"/>
        <v>501.30208333333326</v>
      </c>
      <c r="AB26" s="142">
        <f t="shared" si="3"/>
        <v>0.3139269406392694</v>
      </c>
      <c r="AC26" s="141"/>
      <c r="AD26" s="141">
        <f>IFERROR((s_DL/(up_RadSpec!M26*s_IFW_res_adj)),".")</f>
        <v>3.6363636363636364E-3</v>
      </c>
      <c r="AE26" s="141" t="str">
        <f>IFERROR(IF(up_RadSpec!C26=1,(s_DL/(up_RadSpec!L26*s_IFA_res_adj*s_K)),"."),".")</f>
        <v>.</v>
      </c>
      <c r="AF26" s="141">
        <f>IFERROR((s_DL/(up_RadSpec!Q26*(1/8760)*s_DFA_res_adj)),".")</f>
        <v>39.81818181818182</v>
      </c>
      <c r="AG26" s="141">
        <f>up_b2w!C26</f>
        <v>2.1924550381384044E-4</v>
      </c>
      <c r="AH26" s="141">
        <f>(IF(AND(AD26&lt;&gt;".",AE26&lt;&gt;".",AF26&lt;&gt;".",AG26&lt;&gt;"."),1/((1/AD26)+(1/AE26)+(1/AF26)+(1/AG26)),IF(AND(AD26&lt;&gt;".",AE26&lt;&gt;".",AF26&lt;&gt;".",AG26="."), 1/((1/AD26)+(1/AE26)+(1/AF26)),IF(AND(AD26&lt;&gt;".",AE26&lt;&gt;".",AF26=".",AG26&lt;&gt;"."),1/((1/AD26)+(1/AE26)+(1/AG26)),IF(AND(AD26&lt;&gt;".",AE26=".",AF26&lt;&gt;".",AG26&lt;&gt;"."),1/((1/AD26)+(1/AF26)+(1/AG26)),IF(AND(AD26=".",AE26&lt;&gt;".",AF26&lt;&gt;".",AG26&lt;&gt;"."),1/((1/AE26)+(1/AF26)+(1/AG26)),IF(AND(AD26&lt;&gt;".",AE26&lt;&gt;".",AF26=".",AG26="."),1/((1/AD26)+(1/AE26)),IF(AND(AD26&lt;&gt;".",AE26=".",AF26&lt;&gt;".",AG26="."),1/((1/AD26)+(1/AF26)),IF(AND(AD26&lt;&gt;".",AE26=".",AF26=".",AG26&lt;&gt;"."),1/((1/AD26)+(1/AG26)),IF(AND(AD26=".",AE26=".",AF26&lt;&gt;".",AG26&lt;&gt;"."),1/((1/AF26)+(1/AG26)),IF(AND(AD26=".",AE26&lt;&gt;".",AF26=".",AG26&lt;&gt;"."),1/((1/AE26)+(1/AG26)),IF(AND(AD26=".",AE26&lt;&gt;".",AF26&lt;&gt;".",AG26="."),1/((1/AE26)+(1/AF26)),IF(AND(AD26&lt;&gt;".",AE26=".",AF26=".",AG26="."),1/((1/AD26)),IF(AND(AD26=".",AE26&lt;&gt;".",AF26=".",AG26="."),1/((1/AE26)),IF(AND(AD26=".",AE26=".",AF26&lt;&gt;".",AG26="."),1/((1/AF26)),IF(AND(AD26=".",AE26=".",AF26=".",AG26&lt;&gt;"."),1/((1/AG26)),IF(AND(AD26=".",AE26=".",AF26=".",AG26="."),".")))))))))))))))))</f>
        <v>2.0677724539454526E-4</v>
      </c>
      <c r="AI26" s="142">
        <f t="shared" si="4"/>
        <v>1375</v>
      </c>
      <c r="AJ26" s="142">
        <f t="shared" si="5"/>
        <v>250.65104166666663</v>
      </c>
      <c r="AK26" s="142">
        <f t="shared" si="6"/>
        <v>0.12557077625570776</v>
      </c>
      <c r="AL26" s="142">
        <f>up_b2w!AB26</f>
        <v>22805.4847785862</v>
      </c>
      <c r="AM26" s="141"/>
      <c r="AN26" s="141">
        <f>IFERROR(s_DL/(up_RadSpec!J26*s_EF_res*s_ED_res*s_IRF_res*0.001*s_CF_res_fish),".")</f>
        <v>6.6115702479338848E-4</v>
      </c>
      <c r="AO26" s="142">
        <f t="shared" si="7"/>
        <v>7562.5</v>
      </c>
    </row>
    <row r="27" spans="1:41" x14ac:dyDescent="0.25">
      <c r="A27" s="128" t="s">
        <v>25</v>
      </c>
      <c r="B27" s="129" t="s">
        <v>1059</v>
      </c>
      <c r="C27" s="141">
        <f>IFERROR(((s_DL/(up_RadSpec!I27*s_IFS_res_adj*(1/1000)))*1),".")</f>
        <v>0.33057851239669422</v>
      </c>
      <c r="D27" s="141">
        <f>IFERROR(IF(A27="H-3",(s_DL/((up_RadSpec!L27*s_IFA_res_adj*(1/17)*1000))*1),(s_DL/((up_RadSpec!L27*s_IFA_res_adj*(1/s_PEF_wind)*1000))*1)),".")</f>
        <v>3089.9917845330979</v>
      </c>
      <c r="E27" s="141">
        <f>IFERROR((s_DL/(up_RadSpec!K27*s_EF_res*(1/365)*s_ED_res*up_RadSpec!V27*((s_ET_res_o*(1/24)*up_RadSpec!AA27)+(s_ET_res_i*(1/24)*up_RadSpec!AF27))))*1,".")</f>
        <v>326.57468737646929</v>
      </c>
      <c r="F27" s="141">
        <f>up_b2s!C27</f>
        <v>4.3958447178843029E-5</v>
      </c>
      <c r="G27" s="141">
        <f>up_dir!C27</f>
        <v>2.2038567493112948E-4</v>
      </c>
      <c r="H27" s="141">
        <f t="shared" si="12"/>
        <v>4.39525960715345E-5</v>
      </c>
      <c r="I27" s="142">
        <f t="shared" si="0"/>
        <v>15.125</v>
      </c>
      <c r="J27" s="142">
        <f t="shared" si="1"/>
        <v>1.618127279505213E-3</v>
      </c>
      <c r="K27" s="142">
        <f>IFERROR((s_C*s_EF_res*(1/365)*s_ED_res*up_RadSpec!V27*((s_ET_res_o*(1/24)*up_RadSpec!AA27)+(s_ET_res_i*(1/24)*up_RadSpec!AF27))),".")</f>
        <v>1.5310433396315533E-2</v>
      </c>
      <c r="L27" s="142">
        <f>up_b2s!AB27</f>
        <v>113743.78125</v>
      </c>
      <c r="M27" s="141"/>
      <c r="N27" s="141">
        <f>IFERROR((s_DL/(up_RadSpec!K27*s_EF_res*(1/365)*s_ED_res*up_RadSpec!V27*((s_ET_res_o*(1/24)*up_RadSpec!AA27)+(s_ET_res_i*(1/24)*up_RadSpec!AF27))))*1,".")</f>
        <v>326.57468737646929</v>
      </c>
      <c r="O27" s="141">
        <f>IFERROR((s_DL/(up_RadSpec!R27*s_EF_res*(1/365)*s_ED_res*up_RadSpec!W27*((s_ET_res_o*(1/24)*up_RadSpec!AB27)+(s_ET_res_i*(1/24)*up_RadSpec!AG27))))*1,".")</f>
        <v>968.67623604465757</v>
      </c>
      <c r="P27" s="141">
        <f>IFERROR((s_DL/(up_RadSpec!S27*s_EF_res*(1/365)*s_ED_res*up_RadSpec!X27*((s_ET_res_o*(1/24)*up_RadSpec!AC27)+(s_ET_res_i*(1/24)*up_RadSpec!AH27))))*1,".")</f>
        <v>593.87137366935349</v>
      </c>
      <c r="Q27" s="141">
        <f>IFERROR((s_DL/(up_RadSpec!T27*s_EF_res*(1/365)*s_ED_res*up_RadSpec!Y27*((s_ET_res_o*(1/24)*up_RadSpec!AD27)+(s_ET_res_i*(1/24)*up_RadSpec!AI27))))*1,".")</f>
        <v>432.01848165351828</v>
      </c>
      <c r="R27" s="141">
        <f>IFERROR((s_DL/(up_RadSpec!P27*s_EF_res*(1/365)*s_ED_res*up_RadSpec!U27*((s_ET_res_o*(1/24)*up_RadSpec!Z27)+(s_ET_res_i*(1/24)*up_RadSpec!AE27))))*1,".")</f>
        <v>3030.0022558087089</v>
      </c>
      <c r="S27" s="142">
        <f>IFERROR((s_C*s_EF_res*(1/365)*s_ED_res*up_RadSpec!V27*((s_ET_res_o*(1/24)*up_RadSpec!AA27)+(s_ET_res_i*(1/24)*up_RadSpec!AF27))),".")</f>
        <v>1.5310433396315533E-2</v>
      </c>
      <c r="T27" s="142">
        <f>IFERROR((s_C*s_EF_res*(1/365)*s_ED_res*up_RadSpec!W27*((s_ET_res_o*(1/24)*up_RadSpec!AB27)+(s_ET_res_i*(1/24)*up_RadSpec!AG27))),".")</f>
        <v>5.1616833508956773E-3</v>
      </c>
      <c r="U27" s="142">
        <f>IFERROR((s_C*s_EF_res*(1/365)*s_ED_res*up_RadSpec!X27*((s_ET_res_o*(1/24)*up_RadSpec!AC27)+(s_ET_res_i*(1/24)*up_RadSpec!AH27))),".")</f>
        <v>8.4193315618270939E-3</v>
      </c>
      <c r="V27" s="142">
        <f>IFERROR((s_C*s_EF_res*(1/365)*s_ED_res*up_RadSpec!Y27*((s_ET_res_o*(1/24)*up_RadSpec!AD27)+(s_ET_res_i*(1/24)*up_RadSpec!AI27))),".")</f>
        <v>1.1573578937787281E-2</v>
      </c>
      <c r="W27" s="142">
        <f>IFERROR((s_C*s_EF_res*(1/365)*s_ED_res*up_RadSpec!U27*((s_ET_res_o*(1/24)*up_RadSpec!Z27)+(s_ET_res_i*(1/24)*up_RadSpec!AE27))),".")</f>
        <v>1.6501637879690284E-3</v>
      </c>
      <c r="X27" s="141">
        <f>IFERROR((s_DL/(up_RadSpec!L27*s_IFA_res_adj)),".")</f>
        <v>9.9740259740259754E-3</v>
      </c>
      <c r="Y27" s="141">
        <f>IFERROR((s_DL/(up_RadSpec!O27*s_EF_res*(1/365)*s_ED_res*s_ET_res*(1/24)*s_GSF_a)),".")</f>
        <v>15.927272727272728</v>
      </c>
      <c r="Z27" s="141">
        <f>IFERROR(IF(AND(X27&lt;&gt;".",Y27&lt;&gt;"."),1/((1/X27)+(1/Y27)),IF(AND(X27&lt;&gt;".",Y27="."),1/((1/X27)),IF(AND(X27=".",Y27&lt;&gt;"."),1/((1/Y27)),IF(AND(X27=".",Y27="."),".")))),".")</f>
        <v>9.9677839175609673E-3</v>
      </c>
      <c r="AA27" s="142">
        <f t="shared" si="2"/>
        <v>501.30208333333326</v>
      </c>
      <c r="AB27" s="142">
        <f t="shared" si="3"/>
        <v>0.3139269406392694</v>
      </c>
      <c r="AC27" s="141"/>
      <c r="AD27" s="141">
        <f>IFERROR((s_DL/(up_RadSpec!M27*s_IFW_res_adj)),".")</f>
        <v>3.6363636363636364E-3</v>
      </c>
      <c r="AE27" s="141" t="str">
        <f>IFERROR(IF(up_RadSpec!C27=1,(s_DL/(up_RadSpec!L27*s_IFA_res_adj*s_K)),"."),".")</f>
        <v>.</v>
      </c>
      <c r="AF27" s="141">
        <f>IFERROR((s_DL/(up_RadSpec!Q27*(1/8760)*s_DFA_res_adj)),".")</f>
        <v>39.81818181818182</v>
      </c>
      <c r="AG27" s="141">
        <f>up_b2w!C27</f>
        <v>2.1924550381384044E-4</v>
      </c>
      <c r="AH27" s="141">
        <f>(IF(AND(AD27&lt;&gt;".",AE27&lt;&gt;".",AF27&lt;&gt;".",AG27&lt;&gt;"."),1/((1/AD27)+(1/AE27)+(1/AF27)+(1/AG27)),IF(AND(AD27&lt;&gt;".",AE27&lt;&gt;".",AF27&lt;&gt;".",AG27="."), 1/((1/AD27)+(1/AE27)+(1/AF27)),IF(AND(AD27&lt;&gt;".",AE27&lt;&gt;".",AF27=".",AG27&lt;&gt;"."),1/((1/AD27)+(1/AE27)+(1/AG27)),IF(AND(AD27&lt;&gt;".",AE27=".",AF27&lt;&gt;".",AG27&lt;&gt;"."),1/((1/AD27)+(1/AF27)+(1/AG27)),IF(AND(AD27=".",AE27&lt;&gt;".",AF27&lt;&gt;".",AG27&lt;&gt;"."),1/((1/AE27)+(1/AF27)+(1/AG27)),IF(AND(AD27&lt;&gt;".",AE27&lt;&gt;".",AF27=".",AG27="."),1/((1/AD27)+(1/AE27)),IF(AND(AD27&lt;&gt;".",AE27=".",AF27&lt;&gt;".",AG27="."),1/((1/AD27)+(1/AF27)),IF(AND(AD27&lt;&gt;".",AE27=".",AF27=".",AG27&lt;&gt;"."),1/((1/AD27)+(1/AG27)),IF(AND(AD27=".",AE27=".",AF27&lt;&gt;".",AG27&lt;&gt;"."),1/((1/AF27)+(1/AG27)),IF(AND(AD27=".",AE27&lt;&gt;".",AF27=".",AG27&lt;&gt;"."),1/((1/AE27)+(1/AG27)),IF(AND(AD27=".",AE27&lt;&gt;".",AF27&lt;&gt;".",AG27="."),1/((1/AE27)+(1/AF27)),IF(AND(AD27&lt;&gt;".",AE27=".",AF27=".",AG27="."),1/((1/AD27)),IF(AND(AD27=".",AE27&lt;&gt;".",AF27=".",AG27="."),1/((1/AE27)),IF(AND(AD27=".",AE27=".",AF27&lt;&gt;".",AG27="."),1/((1/AF27)),IF(AND(AD27=".",AE27=".",AF27=".",AG27&lt;&gt;"."),1/((1/AG27)),IF(AND(AD27=".",AE27=".",AF27=".",AG27="."),".")))))))))))))))))</f>
        <v>2.0677724539454526E-4</v>
      </c>
      <c r="AI27" s="142">
        <f t="shared" si="4"/>
        <v>1375</v>
      </c>
      <c r="AJ27" s="142">
        <f t="shared" si="5"/>
        <v>250.65104166666663</v>
      </c>
      <c r="AK27" s="142">
        <f t="shared" si="6"/>
        <v>0.12557077625570776</v>
      </c>
      <c r="AL27" s="142">
        <f>up_b2w!AB27</f>
        <v>22805.4847785862</v>
      </c>
      <c r="AM27" s="141"/>
      <c r="AN27" s="141">
        <f>IFERROR(s_DL/(up_RadSpec!J27*s_EF_res*s_ED_res*s_IRF_res*0.001*s_CF_res_fish),".")</f>
        <v>6.6115702479338848E-4</v>
      </c>
      <c r="AO27" s="142">
        <f t="shared" si="7"/>
        <v>7562.5</v>
      </c>
    </row>
    <row r="28" spans="1:41" x14ac:dyDescent="0.25">
      <c r="A28" s="128" t="s">
        <v>26</v>
      </c>
      <c r="B28" s="129" t="s">
        <v>1059</v>
      </c>
      <c r="C28" s="141">
        <f>IFERROR(((s_DL/(up_RadSpec!I28*s_IFS_res_adj*(1/1000)))*1),".")</f>
        <v>0.33057851239669422</v>
      </c>
      <c r="D28" s="141">
        <f>IFERROR(IF(A28="H-3",(s_DL/((up_RadSpec!L28*s_IFA_res_adj*(1/17)*1000))*1),(s_DL/((up_RadSpec!L28*s_IFA_res_adj*(1/s_PEF_wind)*1000))*1)),".")</f>
        <v>3089.9917845330979</v>
      </c>
      <c r="E28" s="141">
        <f>IFERROR((s_DL/(up_RadSpec!K28*s_EF_res*(1/365)*s_ED_res*up_RadSpec!V28*((s_ET_res_o*(1/24)*up_RadSpec!AA28)+(s_ET_res_i*(1/24)*up_RadSpec!AF28))))*1,".")</f>
        <v>144.51224642307446</v>
      </c>
      <c r="F28" s="141">
        <f>up_b2s!C28</f>
        <v>4.3958447178843029E-5</v>
      </c>
      <c r="G28" s="141">
        <f>up_dir!C28</f>
        <v>2.2038567493112948E-4</v>
      </c>
      <c r="H28" s="141">
        <f t="shared" si="12"/>
        <v>4.3952588619031163E-5</v>
      </c>
      <c r="I28" s="142">
        <f t="shared" si="0"/>
        <v>15.125</v>
      </c>
      <c r="J28" s="142">
        <f t="shared" si="1"/>
        <v>1.618127279505213E-3</v>
      </c>
      <c r="K28" s="142">
        <f>IFERROR((s_C*s_EF_res*(1/365)*s_ED_res*up_RadSpec!V28*((s_ET_res_o*(1/24)*up_RadSpec!AA28)+(s_ET_res_i*(1/24)*up_RadSpec!AF28))),".")</f>
        <v>3.4599143835616436E-2</v>
      </c>
      <c r="L28" s="142">
        <f>up_b2s!AB28</f>
        <v>113743.78125</v>
      </c>
      <c r="M28" s="141"/>
      <c r="N28" s="141">
        <f>IFERROR((s_DL/(up_RadSpec!K28*s_EF_res*(1/365)*s_ED_res*up_RadSpec!V28*((s_ET_res_o*(1/24)*up_RadSpec!AA28)+(s_ET_res_i*(1/24)*up_RadSpec!AF28))))*1,".")</f>
        <v>144.51224642307446</v>
      </c>
      <c r="O28" s="141">
        <f>IFERROR((s_DL/(up_RadSpec!R28*s_EF_res*(1/365)*s_ED_res*up_RadSpec!W28*((s_ET_res_o*(1/24)*up_RadSpec!AB28)+(s_ET_res_i*(1/24)*up_RadSpec!AG28))))*1,".")</f>
        <v>322.2421188522884</v>
      </c>
      <c r="P28" s="141">
        <f>IFERROR((s_DL/(up_RadSpec!S28*s_EF_res*(1/365)*s_ED_res*up_RadSpec!X28*((s_ET_res_o*(1/24)*up_RadSpec!AC28)+(s_ET_res_i*(1/24)*up_RadSpec!AH28))))*1,".")</f>
        <v>223.72907328659531</v>
      </c>
      <c r="Q28" s="141">
        <f>IFERROR((s_DL/(up_RadSpec!T28*s_EF_res*(1/365)*s_ED_res*up_RadSpec!Y28*((s_ET_res_o*(1/24)*up_RadSpec!AD28)+(s_ET_res_i*(1/24)*up_RadSpec!AI28))))*1,".")</f>
        <v>193.70526187427583</v>
      </c>
      <c r="R28" s="141">
        <f>IFERROR((s_DL/(up_RadSpec!P28*s_EF_res*(1/365)*s_ED_res*up_RadSpec!U28*((s_ET_res_o*(1/24)*up_RadSpec!Z28)+(s_ET_res_i*(1/24)*up_RadSpec!AE28))))*1,".")</f>
        <v>566.49029982363356</v>
      </c>
      <c r="S28" s="142">
        <f>IFERROR((s_C*s_EF_res*(1/365)*s_ED_res*up_RadSpec!V28*((s_ET_res_o*(1/24)*up_RadSpec!AA28)+(s_ET_res_i*(1/24)*up_RadSpec!AF28))),".")</f>
        <v>3.4599143835616436E-2</v>
      </c>
      <c r="T28" s="142">
        <f>IFERROR((s_C*s_EF_res*(1/365)*s_ED_res*up_RadSpec!W28*((s_ET_res_o*(1/24)*up_RadSpec!AB28)+(s_ET_res_i*(1/24)*up_RadSpec!AG28))),".")</f>
        <v>1.5516283277332642E-2</v>
      </c>
      <c r="U28" s="142">
        <f>IFERROR((s_C*s_EF_res*(1/365)*s_ED_res*up_RadSpec!X28*((s_ET_res_o*(1/24)*up_RadSpec!AC28)+(s_ET_res_i*(1/24)*up_RadSpec!AH28))),".")</f>
        <v>2.2348458904109598E-2</v>
      </c>
      <c r="V28" s="142">
        <f>IFERROR((s_C*s_EF_res*(1/365)*s_ED_res*up_RadSpec!Y28*((s_ET_res_o*(1/24)*up_RadSpec!AD28)+(s_ET_res_i*(1/24)*up_RadSpec!AI28))),".")</f>
        <v>2.581241186543112E-2</v>
      </c>
      <c r="W28" s="142">
        <f>IFERROR((s_C*s_EF_res*(1/365)*s_ED_res*up_RadSpec!U28*((s_ET_res_o*(1/24)*up_RadSpec!Z28)+(s_ET_res_i*(1/24)*up_RadSpec!AE28))),".")</f>
        <v>8.826276463262759E-3</v>
      </c>
      <c r="X28" s="141">
        <f>IFERROR((s_DL/(up_RadSpec!L28*s_IFA_res_adj)),".")</f>
        <v>9.9740259740259754E-3</v>
      </c>
      <c r="Y28" s="141">
        <f>IFERROR((s_DL/(up_RadSpec!O28*s_EF_res*(1/365)*s_ED_res*s_ET_res*(1/24)*s_GSF_a)),".")</f>
        <v>15.927272727272728</v>
      </c>
      <c r="Z28" s="141">
        <f t="shared" ref="Z28:Z29" si="18">IFERROR(IF(AND(X28&lt;&gt;".",Y28&lt;&gt;"."),1/((1/X28)+(1/Y28)),IF(AND(X28&lt;&gt;".",Y28="."),1/((1/X28)),IF(AND(X28=".",Y28&lt;&gt;"."),1/((1/Y28)),IF(AND(X28=".",Y28="."),".")))),".")</f>
        <v>9.9677839175609673E-3</v>
      </c>
      <c r="AA28" s="142">
        <f t="shared" si="2"/>
        <v>501.30208333333326</v>
      </c>
      <c r="AB28" s="142">
        <f t="shared" si="3"/>
        <v>0.3139269406392694</v>
      </c>
      <c r="AC28" s="141"/>
      <c r="AD28" s="141">
        <f>IFERROR((s_DL/(up_RadSpec!M28*s_IFW_res_adj)),".")</f>
        <v>3.6363636363636364E-3</v>
      </c>
      <c r="AE28" s="141" t="str">
        <f>IFERROR(IF(up_RadSpec!C28=1,(s_DL/(up_RadSpec!L28*s_IFA_res_adj*s_K)),"."),".")</f>
        <v>.</v>
      </c>
      <c r="AF28" s="141">
        <f>IFERROR((s_DL/(up_RadSpec!Q28*(1/8760)*s_DFA_res_adj)),".")</f>
        <v>39.81818181818182</v>
      </c>
      <c r="AG28" s="141">
        <f>up_b2w!C28</f>
        <v>2.1924550381384044E-4</v>
      </c>
      <c r="AH28" s="141">
        <f t="shared" ref="AH28:AH29" si="19">(IF(AND(AD28&lt;&gt;".",AE28&lt;&gt;".",AF28&lt;&gt;".",AG28&lt;&gt;"."),1/((1/AD28)+(1/AE28)+(1/AF28)+(1/AG28)),IF(AND(AD28&lt;&gt;".",AE28&lt;&gt;".",AF28&lt;&gt;".",AG28="."), 1/((1/AD28)+(1/AE28)+(1/AF28)),IF(AND(AD28&lt;&gt;".",AE28&lt;&gt;".",AF28=".",AG28&lt;&gt;"."),1/((1/AD28)+(1/AE28)+(1/AG28)),IF(AND(AD28&lt;&gt;".",AE28=".",AF28&lt;&gt;".",AG28&lt;&gt;"."),1/((1/AD28)+(1/AF28)+(1/AG28)),IF(AND(AD28=".",AE28&lt;&gt;".",AF28&lt;&gt;".",AG28&lt;&gt;"."),1/((1/AE28)+(1/AF28)+(1/AG28)),IF(AND(AD28&lt;&gt;".",AE28&lt;&gt;".",AF28=".",AG28="."),1/((1/AD28)+(1/AE28)),IF(AND(AD28&lt;&gt;".",AE28=".",AF28&lt;&gt;".",AG28="."),1/((1/AD28)+(1/AF28)),IF(AND(AD28&lt;&gt;".",AE28=".",AF28=".",AG28&lt;&gt;"."),1/((1/AD28)+(1/AG28)),IF(AND(AD28=".",AE28=".",AF28&lt;&gt;".",AG28&lt;&gt;"."),1/((1/AF28)+(1/AG28)),IF(AND(AD28=".",AE28&lt;&gt;".",AF28=".",AG28&lt;&gt;"."),1/((1/AE28)+(1/AG28)),IF(AND(AD28=".",AE28&lt;&gt;".",AF28&lt;&gt;".",AG28="."),1/((1/AE28)+(1/AF28)),IF(AND(AD28&lt;&gt;".",AE28=".",AF28=".",AG28="."),1/((1/AD28)),IF(AND(AD28=".",AE28&lt;&gt;".",AF28=".",AG28="."),1/((1/AE28)),IF(AND(AD28=".",AE28=".",AF28&lt;&gt;".",AG28="."),1/((1/AF28)),IF(AND(AD28=".",AE28=".",AF28=".",AG28&lt;&gt;"."),1/((1/AG28)),IF(AND(AD28=".",AE28=".",AF28=".",AG28="."),".")))))))))))))))))</f>
        <v>2.0677724539454526E-4</v>
      </c>
      <c r="AI28" s="142">
        <f t="shared" si="4"/>
        <v>1375</v>
      </c>
      <c r="AJ28" s="142">
        <f t="shared" si="5"/>
        <v>250.65104166666663</v>
      </c>
      <c r="AK28" s="142">
        <f t="shared" si="6"/>
        <v>0.12557077625570776</v>
      </c>
      <c r="AL28" s="142">
        <f>up_b2w!AB28</f>
        <v>22805.4847785862</v>
      </c>
      <c r="AM28" s="141"/>
      <c r="AN28" s="141">
        <f>IFERROR(s_DL/(up_RadSpec!J28*s_EF_res*s_ED_res*s_IRF_res*0.001*s_CF_res_fish),".")</f>
        <v>6.6115702479338848E-4</v>
      </c>
      <c r="AO28" s="142">
        <f t="shared" si="7"/>
        <v>7562.5</v>
      </c>
    </row>
    <row r="29" spans="1:41" x14ac:dyDescent="0.25">
      <c r="A29" s="128" t="s">
        <v>27</v>
      </c>
      <c r="B29" s="129" t="s">
        <v>1059</v>
      </c>
      <c r="C29" s="141">
        <f>IFERROR(((s_DL/(up_RadSpec!I29*s_IFS_res_adj*(1/1000)))*1),".")</f>
        <v>0.33057851239669422</v>
      </c>
      <c r="D29" s="141">
        <f>IFERROR(IF(A29="H-3",(s_DL/((up_RadSpec!L29*s_IFA_res_adj*(1/17)*1000))*1),(s_DL/((up_RadSpec!L29*s_IFA_res_adj*(1/s_PEF_wind)*1000))*1)),".")</f>
        <v>3089.9917845330979</v>
      </c>
      <c r="E29" s="141">
        <f>IFERROR((s_DL/(up_RadSpec!K29*s_EF_res*(1/365)*s_ED_res*up_RadSpec!V29*((s_ET_res_o*(1/24)*up_RadSpec!AA29)+(s_ET_res_i*(1/24)*up_RadSpec!AF29))))*1,".")</f>
        <v>157.1452227189933</v>
      </c>
      <c r="F29" s="141">
        <f>up_b2s!C29</f>
        <v>4.3958447178843029E-5</v>
      </c>
      <c r="G29" s="141">
        <f>up_dir!C29</f>
        <v>2.2038567493112948E-4</v>
      </c>
      <c r="H29" s="141">
        <f t="shared" si="12"/>
        <v>4.3952589693685445E-5</v>
      </c>
      <c r="I29" s="142">
        <f t="shared" si="0"/>
        <v>15.125</v>
      </c>
      <c r="J29" s="142">
        <f t="shared" si="1"/>
        <v>1.618127279505213E-3</v>
      </c>
      <c r="K29" s="142">
        <f>IFERROR((s_C*s_EF_res*(1/365)*s_ED_res*up_RadSpec!V29*((s_ET_res_o*(1/24)*up_RadSpec!AA29)+(s_ET_res_i*(1/24)*up_RadSpec!AF29))),".")</f>
        <v>3.181770284510009E-2</v>
      </c>
      <c r="L29" s="142">
        <f>up_b2s!AB29</f>
        <v>113743.78125</v>
      </c>
      <c r="M29" s="141"/>
      <c r="N29" s="141">
        <f>IFERROR((s_DL/(up_RadSpec!K29*s_EF_res*(1/365)*s_ED_res*up_RadSpec!V29*((s_ET_res_o*(1/24)*up_RadSpec!AA29)+(s_ET_res_i*(1/24)*up_RadSpec!AF29))))*1,".")</f>
        <v>157.1452227189933</v>
      </c>
      <c r="O29" s="141">
        <f>IFERROR((s_DL/(up_RadSpec!R29*s_EF_res*(1/365)*s_ED_res*up_RadSpec!W29*((s_ET_res_o*(1/24)*up_RadSpec!AB29)+(s_ET_res_i*(1/24)*up_RadSpec!AG29))))*1,".")</f>
        <v>313.57788410419971</v>
      </c>
      <c r="P29" s="141">
        <f>IFERROR((s_DL/(up_RadSpec!S29*s_EF_res*(1/365)*s_ED_res*up_RadSpec!X29*((s_ET_res_o*(1/24)*up_RadSpec!AC29)+(s_ET_res_i*(1/24)*up_RadSpec!AH29))))*1,".")</f>
        <v>223.39155097775784</v>
      </c>
      <c r="Q29" s="141">
        <f>IFERROR((s_DL/(up_RadSpec!T29*s_EF_res*(1/365)*s_ED_res*up_RadSpec!Y29*((s_ET_res_o*(1/24)*up_RadSpec!AD29)+(s_ET_res_i*(1/24)*up_RadSpec!AI29))))*1,".")</f>
        <v>189.49370629370617</v>
      </c>
      <c r="R29" s="141">
        <f>IFERROR((s_DL/(up_RadSpec!P29*s_EF_res*(1/365)*s_ED_res*up_RadSpec!U29*((s_ET_res_o*(1/24)*up_RadSpec!Z29)+(s_ET_res_i*(1/24)*up_RadSpec!AE29))))*1,".")</f>
        <v>563.08539944903589</v>
      </c>
      <c r="S29" s="142">
        <f>IFERROR((s_C*s_EF_res*(1/365)*s_ED_res*up_RadSpec!V29*((s_ET_res_o*(1/24)*up_RadSpec!AA29)+(s_ET_res_i*(1/24)*up_RadSpec!AF29))),".")</f>
        <v>3.181770284510009E-2</v>
      </c>
      <c r="T29" s="142">
        <f>IFERROR((s_C*s_EF_res*(1/365)*s_ED_res*up_RadSpec!W29*((s_ET_res_o*(1/24)*up_RadSpec!AB29)+(s_ET_res_i*(1/24)*up_RadSpec!AG29))),".")</f>
        <v>1.5945002034450029E-2</v>
      </c>
      <c r="U29" s="142">
        <f>IFERROR((s_C*s_EF_res*(1/365)*s_ED_res*up_RadSpec!X29*((s_ET_res_o*(1/24)*up_RadSpec!AC29)+(s_ET_res_i*(1/24)*up_RadSpec!AH29))),".")</f>
        <v>2.2382225192114937E-2</v>
      </c>
      <c r="V29" s="142">
        <f>IFERROR((s_C*s_EF_res*(1/365)*s_ED_res*up_RadSpec!Y29*((s_ET_res_o*(1/24)*up_RadSpec!AD29)+(s_ET_res_i*(1/24)*up_RadSpec!AI29))),".")</f>
        <v>2.6386100614076542E-2</v>
      </c>
      <c r="W29" s="142">
        <f>IFERROR((s_C*s_EF_res*(1/365)*s_ED_res*up_RadSpec!U29*((s_ET_res_o*(1/24)*up_RadSpec!Z29)+(s_ET_res_i*(1/24)*up_RadSpec!AE29))),".")</f>
        <v>8.8796477495107617E-3</v>
      </c>
      <c r="X29" s="141">
        <f>IFERROR((s_DL/(up_RadSpec!L29*s_IFA_res_adj)),".")</f>
        <v>9.9740259740259754E-3</v>
      </c>
      <c r="Y29" s="141">
        <f>IFERROR((s_DL/(up_RadSpec!O29*s_EF_res*(1/365)*s_ED_res*s_ET_res*(1/24)*s_GSF_a)),".")</f>
        <v>15.927272727272728</v>
      </c>
      <c r="Z29" s="141">
        <f t="shared" si="18"/>
        <v>9.9677839175609673E-3</v>
      </c>
      <c r="AA29" s="142">
        <f t="shared" si="2"/>
        <v>501.30208333333326</v>
      </c>
      <c r="AB29" s="142">
        <f t="shared" si="3"/>
        <v>0.3139269406392694</v>
      </c>
      <c r="AC29" s="141"/>
      <c r="AD29" s="141">
        <f>IFERROR((s_DL/(up_RadSpec!M29*s_IFW_res_adj)),".")</f>
        <v>3.6363636363636364E-3</v>
      </c>
      <c r="AE29" s="141" t="str">
        <f>IFERROR(IF(up_RadSpec!C29=1,(s_DL/(up_RadSpec!L29*s_IFA_res_adj*s_K)),"."),".")</f>
        <v>.</v>
      </c>
      <c r="AF29" s="141">
        <f>IFERROR((s_DL/(up_RadSpec!Q29*(1/8760)*s_DFA_res_adj)),".")</f>
        <v>39.81818181818182</v>
      </c>
      <c r="AG29" s="141">
        <f>up_b2w!C29</f>
        <v>2.1924550381384044E-4</v>
      </c>
      <c r="AH29" s="141">
        <f t="shared" si="19"/>
        <v>2.0677724539454526E-4</v>
      </c>
      <c r="AI29" s="142">
        <f t="shared" si="4"/>
        <v>1375</v>
      </c>
      <c r="AJ29" s="142">
        <f t="shared" si="5"/>
        <v>250.65104166666663</v>
      </c>
      <c r="AK29" s="142">
        <f t="shared" si="6"/>
        <v>0.12557077625570776</v>
      </c>
      <c r="AL29" s="142">
        <f>up_b2w!AB29</f>
        <v>22805.4847785862</v>
      </c>
      <c r="AM29" s="141"/>
      <c r="AN29" s="141">
        <f>IFERROR(s_DL/(up_RadSpec!J29*s_EF_res*s_ED_res*s_IRF_res*0.001*s_CF_res_fish),".")</f>
        <v>6.6115702479338848E-4</v>
      </c>
      <c r="AO29" s="142">
        <f t="shared" si="7"/>
        <v>7562.5</v>
      </c>
    </row>
    <row r="30" spans="1:41" x14ac:dyDescent="0.25">
      <c r="A30" s="128" t="s">
        <v>28</v>
      </c>
      <c r="B30" s="129" t="s">
        <v>1059</v>
      </c>
      <c r="C30" s="141">
        <f>IFERROR(((s_DL/(up_RadSpec!I30*s_IFS_res_adj*(1/1000)))*1),".")</f>
        <v>0.33057851239669422</v>
      </c>
      <c r="D30" s="141">
        <f>IFERROR(IF(A30="H-3",(s_DL/((up_RadSpec!L30*s_IFA_res_adj*(1/17)*1000))*1),(s_DL/((up_RadSpec!L30*s_IFA_res_adj*(1/s_PEF_wind)*1000))*1)),".")</f>
        <v>3089.9917845330979</v>
      </c>
      <c r="E30" s="141">
        <f>IFERROR((s_DL/(up_RadSpec!K30*s_EF_res*(1/365)*s_ED_res*up_RadSpec!V30*((s_ET_res_o*(1/24)*up_RadSpec!AA30)+(s_ET_res_i*(1/24)*up_RadSpec!AF30))))*1,".")</f>
        <v>1474.7474747474748</v>
      </c>
      <c r="F30" s="141">
        <f>up_b2s!C30</f>
        <v>4.3958447178843029E-5</v>
      </c>
      <c r="G30" s="141">
        <f>up_dir!C30</f>
        <v>2.2038567493112948E-4</v>
      </c>
      <c r="H30" s="141">
        <f>(IF(AND(C30&lt;&gt;".",D30&lt;&gt;".",E30&lt;&gt;".",F30&lt;&gt;"."),1/((1/C30)+(1/D30)+(1/E30)+(1/F30)),IF(AND(C30&lt;&gt;".",D30&lt;&gt;".",E30&lt;&gt;".",F30="."), 1/((1/C30)+(1/D30)+(1/E30)),IF(AND(C30&lt;&gt;".",D30&lt;&gt;".",E30=".",F30&lt;&gt;"."),1/((1/C30)+(1/D30)+(1/F30)),IF(AND(C30&lt;&gt;".",D30=".",E30&lt;&gt;".",F30&lt;&gt;"."),1/((1/C30)+(1/E30)+(1/F30)),IF(AND(C30=".",D30&lt;&gt;".",E30&lt;&gt;".",F30&lt;&gt;"."),1/((1/D30)+(1/E30)+(1/F30)),IF(AND(C30&lt;&gt;".",D30&lt;&gt;".",E30=".",F30="."),1/((1/C30)+(1/D30)),IF(AND(C30&lt;&gt;".",D30=".",E30&lt;&gt;".",F30="."),1/((1/C30)+(1/E30)),IF(AND(C30&lt;&gt;".",D30=".",E30=".",F30&lt;&gt;"."),1/((1/C30)+(1/F30)),IF(AND(C30=".",D30=".",E30&lt;&gt;".",F30&lt;&gt;"."),1/((1/E30)+(1/F30)),IF(AND(C30=".",D30&lt;&gt;".",E30=".",F30&lt;&gt;"."),1/((1/D30)+(1/F30)),IF(AND(C30=".",D30&lt;&gt;".",E30&lt;&gt;".",F30="."),1/((1/D30)+(1/E30)),IF(AND(C30&lt;&gt;".",D30=".",E30=".",F30="."),1/((1/C30)),IF(AND(C30=".",D30&lt;&gt;".",E30=".",F30="."),1/((1/D30)),IF(AND(C30=".",D30=".",E30&lt;&gt;".",F30="."),1/((1/E30)),IF(AND(C30=".",D30=".",E30=".",F30&lt;&gt;"."),1/((1/F30)),IF(AND(C30=".",D30=".",E30=".",F30="."),".")))))))))))))))))</f>
        <v>4.3952600677028044E-5</v>
      </c>
      <c r="I30" s="142">
        <f t="shared" si="0"/>
        <v>15.125</v>
      </c>
      <c r="J30" s="142">
        <f t="shared" si="1"/>
        <v>1.618127279505213E-3</v>
      </c>
      <c r="K30" s="142">
        <f>IFERROR((s_C*s_EF_res*(1/365)*s_ED_res*up_RadSpec!V30*((s_ET_res_o*(1/24)*up_RadSpec!AA30)+(s_ET_res_i*(1/24)*up_RadSpec!AF30))),".")</f>
        <v>3.3904109589041093E-3</v>
      </c>
      <c r="L30" s="142">
        <f>up_b2s!AB30</f>
        <v>113743.78125</v>
      </c>
      <c r="M30" s="141"/>
      <c r="N30" s="141">
        <f>IFERROR((s_DL/(up_RadSpec!K30*s_EF_res*(1/365)*s_ED_res*up_RadSpec!V30*((s_ET_res_o*(1/24)*up_RadSpec!AA30)+(s_ET_res_i*(1/24)*up_RadSpec!AF30))))*1,".")</f>
        <v>1474.7474747474748</v>
      </c>
      <c r="O30" s="141">
        <f>IFERROR((s_DL/(up_RadSpec!R30*s_EF_res*(1/365)*s_ED_res*up_RadSpec!W30*((s_ET_res_o*(1/24)*up_RadSpec!AB30)+(s_ET_res_i*(1/24)*up_RadSpec!AG30))))*1,".")</f>
        <v>7224.7422680412365</v>
      </c>
      <c r="P30" s="141">
        <f>IFERROR((s_DL/(up_RadSpec!S30*s_EF_res*(1/365)*s_ED_res*up_RadSpec!X30*((s_ET_res_o*(1/24)*up_RadSpec!AC30)+(s_ET_res_i*(1/24)*up_RadSpec!AH30))))*1,".")</f>
        <v>2603.5517512790229</v>
      </c>
      <c r="Q30" s="141">
        <f>IFERROR((s_DL/(up_RadSpec!T30*s_EF_res*(1/365)*s_ED_res*up_RadSpec!Y30*((s_ET_res_o*(1/24)*up_RadSpec!AD30)+(s_ET_res_i*(1/24)*up_RadSpec!AI30))))*1,".")</f>
        <v>1937.953387868499</v>
      </c>
      <c r="R30" s="141">
        <f>IFERROR((s_DL/(up_RadSpec!P30*s_EF_res*(1/365)*s_ED_res*up_RadSpec!U30*((s_ET_res_o*(1/24)*up_RadSpec!Z30)+(s_ET_res_i*(1/24)*up_RadSpec!AE30))))*1,".")</f>
        <v>176969.69696969693</v>
      </c>
      <c r="S30" s="142">
        <f>IFERROR((s_C*s_EF_res*(1/365)*s_ED_res*up_RadSpec!V30*((s_ET_res_o*(1/24)*up_RadSpec!AA30)+(s_ET_res_i*(1/24)*up_RadSpec!AF30))),".")</f>
        <v>3.3904109589041093E-3</v>
      </c>
      <c r="T30" s="142">
        <f>IFERROR((s_C*s_EF_res*(1/365)*s_ED_res*up_RadSpec!W30*((s_ET_res_o*(1/24)*up_RadSpec!AB30)+(s_ET_res_i*(1/24)*up_RadSpec!AG30))),".")</f>
        <v>6.9206621004566215E-4</v>
      </c>
      <c r="U30" s="142">
        <f>IFERROR((s_C*s_EF_res*(1/365)*s_ED_res*up_RadSpec!X30*((s_ET_res_o*(1/24)*up_RadSpec!AC30)+(s_ET_res_i*(1/24)*up_RadSpec!AH30))),".")</f>
        <v>1.9204534718941905E-3</v>
      </c>
      <c r="V30" s="142">
        <f>IFERROR((s_C*s_EF_res*(1/365)*s_ED_res*up_RadSpec!Y30*((s_ET_res_o*(1/24)*up_RadSpec!AD30)+(s_ET_res_i*(1/24)*up_RadSpec!AI30))),".")</f>
        <v>2.5800414144632037E-3</v>
      </c>
      <c r="W30" s="142">
        <f>IFERROR((s_C*s_EF_res*(1/365)*s_ED_res*up_RadSpec!U30*((s_ET_res_o*(1/24)*up_RadSpec!Z30)+(s_ET_res_i*(1/24)*up_RadSpec!AE30))),".")</f>
        <v>2.825342465753425E-5</v>
      </c>
      <c r="X30" s="141">
        <f>IFERROR((s_DL/(up_RadSpec!L30*s_IFA_res_adj)),".")</f>
        <v>9.9740259740259754E-3</v>
      </c>
      <c r="Y30" s="141">
        <f>IFERROR((s_DL/(up_RadSpec!O30*s_EF_res*(1/365)*s_ED_res*s_ET_res*(1/24)*s_GSF_a)),".")</f>
        <v>15.927272727272728</v>
      </c>
      <c r="Z30" s="141">
        <f>IFERROR(IF(AND(X30&lt;&gt;".",Y30&lt;&gt;"."),1/((1/X30)+(1/Y30)),IF(AND(X30&lt;&gt;".",Y30="."),1/((1/X30)),IF(AND(X30=".",Y30&lt;&gt;"."),1/((1/Y30)),IF(AND(X30=".",Y30="."),".")))),".")</f>
        <v>9.9677839175609673E-3</v>
      </c>
      <c r="AA30" s="142">
        <f t="shared" si="2"/>
        <v>501.30208333333326</v>
      </c>
      <c r="AB30" s="142">
        <f t="shared" si="3"/>
        <v>0.3139269406392694</v>
      </c>
      <c r="AC30" s="141"/>
      <c r="AD30" s="141">
        <f>IFERROR((s_DL/(up_RadSpec!M30*s_IFW_res_adj)),".")</f>
        <v>3.6363636363636364E-3</v>
      </c>
      <c r="AE30" s="141" t="str">
        <f>IFERROR(IF(up_RadSpec!C30=1,(s_DL/(up_RadSpec!L30*s_IFA_res_adj*s_K)),"."),".")</f>
        <v>.</v>
      </c>
      <c r="AF30" s="141">
        <f>IFERROR((s_DL/(up_RadSpec!Q30*(1/8760)*s_DFA_res_adj)),".")</f>
        <v>39.81818181818182</v>
      </c>
      <c r="AG30" s="141">
        <f>up_b2w!C30</f>
        <v>2.1924550381384044E-4</v>
      </c>
      <c r="AH30" s="141">
        <f>(IF(AND(AD30&lt;&gt;".",AE30&lt;&gt;".",AF30&lt;&gt;".",AG30&lt;&gt;"."),1/((1/AD30)+(1/AE30)+(1/AF30)+(1/AG30)),IF(AND(AD30&lt;&gt;".",AE30&lt;&gt;".",AF30&lt;&gt;".",AG30="."), 1/((1/AD30)+(1/AE30)+(1/AF30)),IF(AND(AD30&lt;&gt;".",AE30&lt;&gt;".",AF30=".",AG30&lt;&gt;"."),1/((1/AD30)+(1/AE30)+(1/AG30)),IF(AND(AD30&lt;&gt;".",AE30=".",AF30&lt;&gt;".",AG30&lt;&gt;"."),1/((1/AD30)+(1/AF30)+(1/AG30)),IF(AND(AD30=".",AE30&lt;&gt;".",AF30&lt;&gt;".",AG30&lt;&gt;"."),1/((1/AE30)+(1/AF30)+(1/AG30)),IF(AND(AD30&lt;&gt;".",AE30&lt;&gt;".",AF30=".",AG30="."),1/((1/AD30)+(1/AE30)),IF(AND(AD30&lt;&gt;".",AE30=".",AF30&lt;&gt;".",AG30="."),1/((1/AD30)+(1/AF30)),IF(AND(AD30&lt;&gt;".",AE30=".",AF30=".",AG30&lt;&gt;"."),1/((1/AD30)+(1/AG30)),IF(AND(AD30=".",AE30=".",AF30&lt;&gt;".",AG30&lt;&gt;"."),1/((1/AF30)+(1/AG30)),IF(AND(AD30=".",AE30&lt;&gt;".",AF30=".",AG30&lt;&gt;"."),1/((1/AE30)+(1/AG30)),IF(AND(AD30=".",AE30&lt;&gt;".",AF30&lt;&gt;".",AG30="."),1/((1/AE30)+(1/AF30)),IF(AND(AD30&lt;&gt;".",AE30=".",AF30=".",AG30="."),1/((1/AD30)),IF(AND(AD30=".",AE30&lt;&gt;".",AF30=".",AG30="."),1/((1/AE30)),IF(AND(AD30=".",AE30=".",AF30&lt;&gt;".",AG30="."),1/((1/AF30)),IF(AND(AD30=".",AE30=".",AF30=".",AG30&lt;&gt;"."),1/((1/AG30)),IF(AND(AD30=".",AE30=".",AF30=".",AG30="."),".")))))))))))))))))</f>
        <v>2.0677724539454526E-4</v>
      </c>
      <c r="AI30" s="142">
        <f t="shared" si="4"/>
        <v>1375</v>
      </c>
      <c r="AJ30" s="142">
        <f t="shared" si="5"/>
        <v>250.65104166666663</v>
      </c>
      <c r="AK30" s="142">
        <f t="shared" si="6"/>
        <v>0.12557077625570776</v>
      </c>
      <c r="AL30" s="142">
        <f>up_b2w!AB30</f>
        <v>22805.4847785862</v>
      </c>
      <c r="AM30" s="141"/>
      <c r="AN30" s="141">
        <f>IFERROR(s_DL/(up_RadSpec!J30*s_EF_res*s_ED_res*s_IRF_res*0.001*s_CF_res_fish),".")</f>
        <v>6.6115702479338848E-4</v>
      </c>
      <c r="AO30" s="142">
        <f t="shared" si="7"/>
        <v>7562.5</v>
      </c>
    </row>
    <row r="31" spans="1:41" x14ac:dyDescent="0.25">
      <c r="A31" s="145" t="s">
        <v>1</v>
      </c>
      <c r="B31" s="145" t="s">
        <v>1221</v>
      </c>
      <c r="C31" s="133">
        <f>1/SUM(1/C32,1/C33,1/C34,1/C35,1/C36,1/C37,1/C38,1/C39,1/C40,1/C41,1/C42,1/C43,1/C44)</f>
        <v>2.7549035837466318E-2</v>
      </c>
      <c r="D31" s="133">
        <f t="shared" ref="D31:H31" si="20">1/SUM(1/D32,1/D33,1/D34,1/D35,1/D36,1/D37,1/D38,1/D39,1/D40,1/D41,1/D42,1/D43,1/D44)</f>
        <v>257.50704058897583</v>
      </c>
      <c r="E31" s="133">
        <f>1/SUM(1/E32,1/E33,1/E34,1/E35,1/E36,1/E37,1/E38,1/E39,1/E40,1/E41,1/E42,1/E43)</f>
        <v>59.962644451861991</v>
      </c>
      <c r="F31" s="133">
        <f t="shared" si="20"/>
        <v>3.6633138309851812E-6</v>
      </c>
      <c r="G31" s="133">
        <f t="shared" si="20"/>
        <v>1.8366023891644204E-5</v>
      </c>
      <c r="H31" s="134">
        <f t="shared" si="20"/>
        <v>3.6628264933045941E-6</v>
      </c>
      <c r="I31" s="146">
        <f>SUM(I32:I44)</f>
        <v>907.47277499999996</v>
      </c>
      <c r="J31" s="146">
        <f t="shared" ref="J31:K31" si="21">SUM(J32:J44)</f>
        <v>9.708472414120968E-2</v>
      </c>
      <c r="K31" s="146">
        <f t="shared" si="21"/>
        <v>0.41692624180492904</v>
      </c>
      <c r="L31" s="159">
        <f>up_b2s!AB31</f>
        <v>6824422.1361937504</v>
      </c>
      <c r="M31" s="146">
        <f t="shared" ref="M31" si="22">SUM(I31:L31)</f>
        <v>6825330.1229797164</v>
      </c>
      <c r="N31" s="134">
        <f>1/SUM(1/N32,1/N33,1/N34,1/N35,1/N36,1/N37,1/N38,1/N39,1/N40,1/N41,1/N42,1/N43)</f>
        <v>59.962644451861991</v>
      </c>
      <c r="O31" s="134">
        <f>1/SUM(1/O32,1/O33,1/O34,1/O35,1/O36,1/O37,1/O38,1/O39,1/O40,1/O41,1/O42,1/O43)</f>
        <v>110.81340781663027</v>
      </c>
      <c r="P31" s="134">
        <f>1/SUM(1/P32,1/P33,1/P34,1/P35,1/P36,1/P37,1/P38,1/P39,1/P40,1/P41,1/P42,1/P43)</f>
        <v>78.295451610689085</v>
      </c>
      <c r="Q31" s="134">
        <f>1/SUM(1/Q32,1/Q33,1/Q34,1/Q35,1/Q36,1/Q37,1/Q38,1/Q39,1/Q40,1/Q41,1/Q42,1/Q43)</f>
        <v>68.016673019499251</v>
      </c>
      <c r="R31" s="134">
        <f>1/SUM(1/R32,1/R33,1/R34,1/R35,1/R36,1/R37,1/R38,1/R39,1/R40,1/R41,1/R42,1/R43)</f>
        <v>234.10293166978016</v>
      </c>
      <c r="S31" s="146">
        <f>SUM(S32:S44)</f>
        <v>0.41692624180492904</v>
      </c>
      <c r="T31" s="146">
        <f t="shared" ref="T31:W31" si="23">SUM(T32:T44)</f>
        <v>0.2256044687423478</v>
      </c>
      <c r="U31" s="146">
        <f t="shared" si="23"/>
        <v>0.31930335013977923</v>
      </c>
      <c r="V31" s="146">
        <f t="shared" si="23"/>
        <v>0.3675569370003281</v>
      </c>
      <c r="W31" s="146">
        <f t="shared" si="23"/>
        <v>0.10679063188864454</v>
      </c>
      <c r="X31" s="134">
        <f>1/SUM(1/X32,1/X33,1/X34,1/X35,1/X36,1/X37,1/X38,1/X39,1/X40,1/X41,1/X42,1/X43,1/X44)</f>
        <v>8.311937669818407E-4</v>
      </c>
      <c r="Y31" s="134">
        <f t="shared" ref="Y31:Z31" si="24">1/SUM(1/Y32,1/Y33,1/Y34,1/Y35,1/Y36,1/Y37,1/Y38,1/Y39,1/Y40,1/Y41,1/Y42,1/Y43,1/Y44)</f>
        <v>1.3273125466491269</v>
      </c>
      <c r="Z31" s="134">
        <f t="shared" si="24"/>
        <v>8.3067358000414745E-4</v>
      </c>
      <c r="AA31" s="146">
        <f t="shared" ref="AA31" si="25">SUM(AA32:AA44)</f>
        <v>30077.222656249985</v>
      </c>
      <c r="AB31" s="146">
        <f t="shared" ref="AB31" si="26">SUM(AB32:AB44)</f>
        <v>18.835051369863013</v>
      </c>
      <c r="AC31" s="147">
        <f t="shared" ref="AC31" si="27">SUM(AA31:AB31)</f>
        <v>30096.05770761985</v>
      </c>
      <c r="AD31" s="134">
        <f t="shared" ref="AD31:AH31" si="28">1/SUM(1/AD32,1/AD33,1/AD34,1/AD35,1/AD36,1/AD37,1/AD38,1/AD39,1/AD40,1/AD41,1/AD42,1/AD43,1/AD44)</f>
        <v>3.0303939421212937E-4</v>
      </c>
      <c r="AE31" s="134" t="str">
        <f>IFERROR(1/SUM(1/AE32,1/AE33,1/AE34,1/AE35,1/AE36,1/AE37,1/AE38,1/AE39,1/AE40,1/AE41,1/AE42,1/AE43,1/AE44),".")</f>
        <v>.</v>
      </c>
      <c r="AF31" s="134">
        <f t="shared" si="28"/>
        <v>3.3182813666228168</v>
      </c>
      <c r="AG31" s="134">
        <f t="shared" si="28"/>
        <v>1.8271006781356809E-5</v>
      </c>
      <c r="AH31" s="134">
        <f t="shared" si="28"/>
        <v>1.7231954074834349E-5</v>
      </c>
      <c r="AI31" s="146">
        <f t="shared" ref="AI31" si="29">SUM(AI32:AI44)</f>
        <v>82497.524999999994</v>
      </c>
      <c r="AJ31" s="146">
        <f t="shared" ref="AJ31" si="30">SUM(AJ32:AJ44)</f>
        <v>15038.611328124993</v>
      </c>
      <c r="AK31" s="146">
        <f t="shared" ref="AK31" si="31">SUM(AK32:AK44)</f>
        <v>7.5340205479452074</v>
      </c>
      <c r="AL31" s="146">
        <f>up_b2w!AB31</f>
        <v>1368288.0368425706</v>
      </c>
      <c r="AM31" s="147">
        <f t="shared" ref="AM31" si="32">SUM(AI31:AL31)</f>
        <v>1465831.7071912435</v>
      </c>
      <c r="AN31" s="134">
        <f>1/SUM(1/AN32,1/AN33,1/AN34,1/AN35,1/AN36,1/AN37,1/AN38,1/AN39,1/AN40,1/AN41,1/AN42,1/AN43,1/AN44)</f>
        <v>5.5098071674932618E-5</v>
      </c>
      <c r="AO31" s="146">
        <f t="shared" ref="AO31" si="33">SUM(AO32:AO44)</f>
        <v>453736.38750000007</v>
      </c>
    </row>
    <row r="32" spans="1:41" x14ac:dyDescent="0.25">
      <c r="A32" s="148" t="s">
        <v>1087</v>
      </c>
      <c r="B32" s="141">
        <v>1</v>
      </c>
      <c r="C32" s="136">
        <f>IFERROR(C3/$B32,0)</f>
        <v>0.33057851239669422</v>
      </c>
      <c r="D32" s="136">
        <f>IFERROR(D3/$B32,0)</f>
        <v>3089.9917845330979</v>
      </c>
      <c r="E32" s="136">
        <f>IFERROR(E3/$B32,0)</f>
        <v>123246.7532467533</v>
      </c>
      <c r="F32" s="136">
        <f>IFERROR(F3/$B32,0)</f>
        <v>4.3958447178843029E-5</v>
      </c>
      <c r="G32" s="136">
        <f>IFERROR(G3/$B32,0)</f>
        <v>2.2038567493112948E-4</v>
      </c>
      <c r="H32" s="136">
        <f>(IF(AND(C32&lt;&gt;0,D32&lt;&gt;0,E32&lt;&gt;0,F32&lt;&gt;0),1/((1/C32)+(1/D32)+(1/E32)+(1/F32)),IF(AND(C32&lt;&gt;0,D32&lt;&gt;0,E32&lt;&gt;0,F32=0), 1/((1/C32)+(1/D32)+(1/E32)),IF(AND(C32&lt;&gt;0,D32&lt;&gt;0,E32=0,F32&lt;&gt;0),1/((1/C32)+(1/D32)+(1/F32)),IF(AND(C32&lt;&gt;0,D32=0,E32&lt;&gt;0,F32&lt;&gt;0),1/((1/C32)+(1/E32)+(1/F32)),IF(AND(C32=0,D32&lt;&gt;0,E32&lt;&gt;0,F32&lt;&gt;0),1/((1/D32)+(1/E32)+(1/F32)),IF(AND(C32&lt;&gt;0,D32&lt;&gt;0,E32=0,F32=0),1/((1/C32)+(1/D32)),IF(AND(C32&lt;&gt;0,D32=0,E32&lt;&gt;0,F32=0),1/((1/C32)+(1/E32)),IF(AND(C32&lt;&gt;0,D32=0,E32=0,F32&lt;&gt;0),1/((1/C32)+(1/F32)),IF(AND(C32=0,D32=0,E32&lt;&gt;0,F32&lt;&gt;0),1/((1/E32)+(1/F32)),IF(AND(C32=0,D32&lt;&gt;0,E32=0,F32&lt;&gt;0),1/((1/D32)+(1/F32)),IF(AND(C32=0,D32&lt;&gt;0,E32&lt;&gt;0,F32=0),1/((1/D32)+(1/E32)),IF(AND(C32&lt;&gt;0,D32=0,E32=0,F32=0),1/((1/C32)),IF(AND(C32=0,D32&lt;&gt;0,E32=0,F32=0),1/((1/D32)),IF(AND(C32=0,D32=0,E32&lt;&gt;0,F32=0),1/((1/E32)),IF(AND(C32=0,D32=0,E32=0,F32&lt;&gt;0),1/((1/F32)),IF(AND(C32=0,D32=0,E32=0,F32=0),0)))))))))))))))))</f>
        <v>4.3952601971293852E-5</v>
      </c>
      <c r="I32" s="149">
        <f>IFERROR(up_RadSpec!$I$3*I3,".")*$B$32</f>
        <v>75.625</v>
      </c>
      <c r="J32" s="149">
        <f>IFERROR(up_RadSpec!$L$3*J3,".")*B32</f>
        <v>8.0906363975260659E-3</v>
      </c>
      <c r="K32" s="149">
        <f>IFERROR(up_RadSpec!$K$3*K3,".")*B32</f>
        <v>2.0284510010537397E-4</v>
      </c>
      <c r="L32" s="149">
        <f>up_b2s!AB32</f>
        <v>568718.90625</v>
      </c>
      <c r="M32" s="150">
        <f>SUM(I32:L32)</f>
        <v>568794.53954348154</v>
      </c>
      <c r="N32" s="136">
        <f>IFERROR(N3/$B32,0)</f>
        <v>123246.7532467533</v>
      </c>
      <c r="O32" s="136">
        <f>IFERROR(O3/$B32,0)</f>
        <v>172812.08406846816</v>
      </c>
      <c r="P32" s="136">
        <f>IFERROR(P3/$B32,0)</f>
        <v>131016.23974552155</v>
      </c>
      <c r="Q32" s="136">
        <f>IFERROR(Q3/$B32,0)</f>
        <v>135053.79742667874</v>
      </c>
      <c r="R32" s="136">
        <f>IFERROR(R3/$B32,0)</f>
        <v>267934.36349970242</v>
      </c>
      <c r="S32" s="149">
        <f>IFERROR(up_RadSpec!$K$3*S3,".")*$B$32</f>
        <v>2.0284510010537397E-4</v>
      </c>
      <c r="T32" s="149">
        <f>IFERROR(up_RadSpec!$R$3*T3,".")*$B$32</f>
        <v>1.4466580930819049E-4</v>
      </c>
      <c r="U32" s="149">
        <f>IFERROR(up_RadSpec!$S$3*U3,".")*$B$32</f>
        <v>1.9081603966469019E-4</v>
      </c>
      <c r="V32" s="149">
        <f>IFERROR(up_RadSpec!$T$3*V3,".")*$B$32</f>
        <v>1.8511141838549637E-4</v>
      </c>
      <c r="W32" s="149">
        <f>IFERROR(up_RadSpec!$P$3*W3,".")*$B$32</f>
        <v>9.3306433984261103E-5</v>
      </c>
      <c r="X32" s="136">
        <f>IFERROR(X3/$B32,0)</f>
        <v>9.9740259740259754E-3</v>
      </c>
      <c r="Y32" s="136">
        <f t="shared" ref="Y32" si="34">IFERROR(Y3/$B32,0)</f>
        <v>15.927272727272728</v>
      </c>
      <c r="Z32" s="136">
        <f t="shared" ref="Z32:Z38" si="35">IFERROR(IF(AND(X32&lt;&gt;0,Y32&lt;&gt;0),1/((1/X32)+(1/Y32)),IF(AND(X32&lt;&gt;0,Y32=0),1/((1/X32)),IF(AND(X32=0,Y32&lt;&gt;0),1/((1/Y32)),IF(AND(X32=".",Y32="."),".")))),".")</f>
        <v>9.9677839175609673E-3</v>
      </c>
      <c r="AA32" s="149">
        <f>IFERROR(up_RadSpec!$L$3*AA3,".")*$B$32</f>
        <v>2506.5104166666661</v>
      </c>
      <c r="AB32" s="149">
        <f>IFERROR(up_RadSpec!$O$3*AB3,".")*$B$32</f>
        <v>1.5696347031963471</v>
      </c>
      <c r="AC32" s="150">
        <f>SUM(AA32:AB32)</f>
        <v>2508.0800513698623</v>
      </c>
      <c r="AD32" s="136">
        <f t="shared" ref="AD32:AF32" si="36">IFERROR(AD3/$B32,0)</f>
        <v>3.6363636363636364E-3</v>
      </c>
      <c r="AE32" s="136">
        <f t="shared" si="36"/>
        <v>0</v>
      </c>
      <c r="AF32" s="136">
        <f t="shared" si="36"/>
        <v>39.81818181818182</v>
      </c>
      <c r="AG32" s="136">
        <f>IFERROR(AG3/$B32,0)</f>
        <v>2.1924550381384044E-4</v>
      </c>
      <c r="AH32" s="136">
        <f>IFERROR(AH3/$B32,0)</f>
        <v>2.0677724539454526E-4</v>
      </c>
      <c r="AI32" s="149">
        <f>IFERROR(up_RadSpec!$M$3*AI3,".")*$B$32</f>
        <v>6875</v>
      </c>
      <c r="AJ32" s="149">
        <f>IFERROR(up_RadSpec!$L$3*AJ3,".")*$B$32</f>
        <v>1253.255208333333</v>
      </c>
      <c r="AK32" s="149">
        <f>IFERROR(up_RadSpec!$Q$3*AK3,".")*$B$32</f>
        <v>0.62785388127853881</v>
      </c>
      <c r="AL32" s="149">
        <f>up_b2w!AB32</f>
        <v>114027.42389293101</v>
      </c>
      <c r="AM32" s="150">
        <f>SUM(AI32:AL32)</f>
        <v>122156.30695514561</v>
      </c>
      <c r="AN32" s="136">
        <f>IFERROR(AN3/$B32,0)</f>
        <v>6.6115702479338848E-4</v>
      </c>
      <c r="AO32" s="149">
        <f>IFERROR(up_RadSpec!$J$3*AO3,".")*$B$32</f>
        <v>37812.5</v>
      </c>
    </row>
    <row r="33" spans="1:41" x14ac:dyDescent="0.25">
      <c r="A33" s="148" t="s">
        <v>1063</v>
      </c>
      <c r="B33" s="141">
        <v>1</v>
      </c>
      <c r="C33" s="136">
        <f t="shared" ref="C33:G34" si="37">IFERROR(C13/$B33,0)</f>
        <v>0.33057851239669422</v>
      </c>
      <c r="D33" s="136">
        <f t="shared" si="37"/>
        <v>3089.9917845330979</v>
      </c>
      <c r="E33" s="136">
        <f t="shared" si="37"/>
        <v>3043.9232247141867</v>
      </c>
      <c r="F33" s="136">
        <f t="shared" si="37"/>
        <v>4.3958447178843029E-5</v>
      </c>
      <c r="G33" s="136">
        <f t="shared" si="37"/>
        <v>2.2038567493112948E-4</v>
      </c>
      <c r="H33" s="136">
        <f t="shared" ref="H33:H44" si="38">(IF(AND(C33&lt;&gt;0,D33&lt;&gt;0,E33&lt;&gt;0,F33&lt;&gt;0),1/((1/C33)+(1/D33)+(1/E33)+(1/F33)),IF(AND(C33&lt;&gt;0,D33&lt;&gt;0,E33&lt;&gt;0,F33=0), 1/((1/C33)+(1/D33)+(1/E33)),IF(AND(C33&lt;&gt;0,D33&lt;&gt;0,E33=0,F33&lt;&gt;0),1/((1/C33)+(1/D33)+(1/F33)),IF(AND(C33&lt;&gt;0,D33=0,E33&lt;&gt;0,F33&lt;&gt;0),1/((1/C33)+(1/E33)+(1/F33)),IF(AND(C33=0,D33&lt;&gt;0,E33&lt;&gt;0,F33&lt;&gt;0),1/((1/D33)+(1/E33)+(1/F33)),IF(AND(C33&lt;&gt;0,D33&lt;&gt;0,E33=0,F33=0),1/((1/C33)+(1/D33)),IF(AND(C33&lt;&gt;0,D33=0,E33&lt;&gt;0,F33=0),1/((1/C33)+(1/E33)),IF(AND(C33&lt;&gt;0,D33=0,E33=0,F33&lt;&gt;0),1/((1/C33)+(1/F33)),IF(AND(C33=0,D33=0,E33&lt;&gt;0,F33&lt;&gt;0),1/((1/E33)+(1/F33)),IF(AND(C33=0,D33&lt;&gt;0,E33=0,F33&lt;&gt;0),1/((1/D33)+(1/F33)),IF(AND(C33=0,D33&lt;&gt;0,E33&lt;&gt;0,F33=0),1/((1/D33)+(1/E33)),IF(AND(C33&lt;&gt;0,D33=0,E33=0,F33=0),1/((1/C33)),IF(AND(C33=0,D33&lt;&gt;0,E33=0,F33=0),1/((1/D33)),IF(AND(C33=0,D33=0,E33&lt;&gt;0,F33=0),1/((1/E33)),IF(AND(C33=0,D33=0,E33=0,F33&lt;&gt;0),1/((1/F33)),IF(AND(C33=0,D33=0,E33=0,F33=0),0)))))))))))))))))</f>
        <v>4.3952601352316611E-5</v>
      </c>
      <c r="I33" s="149">
        <f>IFERROR(up_RadSpec!$I$13*I13,".")*$B$33</f>
        <v>75.625</v>
      </c>
      <c r="J33" s="149">
        <f>IFERROR(up_RadSpec!$L$13*J13,".")*B33</f>
        <v>8.0906363975260659E-3</v>
      </c>
      <c r="K33" s="149">
        <f>IFERROR(up_RadSpec!$K$13*K13,".")*B33</f>
        <v>8.2130849415058445E-3</v>
      </c>
      <c r="L33" s="149">
        <f>up_b2s!AB33</f>
        <v>568718.90625</v>
      </c>
      <c r="M33" s="150">
        <f t="shared" ref="M33:M76" si="39">SUM(I33:L33)</f>
        <v>568794.54755372135</v>
      </c>
      <c r="N33" s="136">
        <f t="shared" ref="N33:R34" si="40">IFERROR(N13/$B33,0)</f>
        <v>3043.9232247141867</v>
      </c>
      <c r="O33" s="136">
        <f t="shared" si="40"/>
        <v>6638.1290962296553</v>
      </c>
      <c r="P33" s="136">
        <f t="shared" si="40"/>
        <v>3943.6655108296891</v>
      </c>
      <c r="Q33" s="136">
        <f t="shared" si="40"/>
        <v>3255.5712315832266</v>
      </c>
      <c r="R33" s="136">
        <f t="shared" si="40"/>
        <v>63861.832611832586</v>
      </c>
      <c r="S33" s="149">
        <f>IFERROR(up_RadSpec!$K$13*S13,".")*$B$33</f>
        <v>8.2130849415058445E-3</v>
      </c>
      <c r="T33" s="149">
        <f>IFERROR(up_RadSpec!$R$13*T13,".")*$B$33</f>
        <v>3.7661213931798306E-3</v>
      </c>
      <c r="U33" s="149">
        <f>IFERROR(up_RadSpec!$S$13*U13,".")*$B$33</f>
        <v>6.3392800254858253E-3</v>
      </c>
      <c r="V33" s="149">
        <f>IFERROR(up_RadSpec!$T$13*V13,".")*$B$33</f>
        <v>7.6791439110494211E-3</v>
      </c>
      <c r="W33" s="149">
        <f>IFERROR(up_RadSpec!$P$13*W13,".")*$B$33</f>
        <v>3.9147013133738188E-4</v>
      </c>
      <c r="X33" s="136">
        <f t="shared" ref="X33:Y33" si="41">IFERROR(X13/$B33,0)</f>
        <v>9.9740259740259754E-3</v>
      </c>
      <c r="Y33" s="136">
        <f t="shared" si="41"/>
        <v>15.927272727272728</v>
      </c>
      <c r="Z33" s="136">
        <f t="shared" si="35"/>
        <v>9.9677839175609673E-3</v>
      </c>
      <c r="AA33" s="149">
        <f>IFERROR(up_RadSpec!$L$13*AA13,".")*$B$33</f>
        <v>2506.5104166666661</v>
      </c>
      <c r="AB33" s="149">
        <f>IFERROR(up_RadSpec!$O$13*AB13,".")*$B$33</f>
        <v>1.5696347031963471</v>
      </c>
      <c r="AC33" s="150">
        <f t="shared" ref="AC33:AC76" si="42">SUM(AA33:AB33)</f>
        <v>2508.0800513698623</v>
      </c>
      <c r="AD33" s="136">
        <f t="shared" ref="AD33:AF33" si="43">IFERROR(AD13/$B33,0)</f>
        <v>3.6363636363636364E-3</v>
      </c>
      <c r="AE33" s="136">
        <f t="shared" si="43"/>
        <v>0</v>
      </c>
      <c r="AF33" s="136">
        <f t="shared" si="43"/>
        <v>39.81818181818182</v>
      </c>
      <c r="AG33" s="136">
        <f t="shared" ref="AG33:AG34" si="44">IFERROR(AG13/$B33,0)</f>
        <v>2.1924550381384044E-4</v>
      </c>
      <c r="AH33" s="136">
        <f t="shared" ref="AH33" si="45">IFERROR(AH13/$B33,0)</f>
        <v>2.0677724539454526E-4</v>
      </c>
      <c r="AI33" s="149">
        <f>IFERROR(up_RadSpec!$M$13*AI13,".")*$B$33</f>
        <v>6875</v>
      </c>
      <c r="AJ33" s="149">
        <f>IFERROR(up_RadSpec!$L$13*AJ13,".")*$B$33</f>
        <v>1253.255208333333</v>
      </c>
      <c r="AK33" s="149">
        <f>IFERROR(up_RadSpec!$Q$13*AK13,".")*$B$33</f>
        <v>0.62785388127853881</v>
      </c>
      <c r="AL33" s="149">
        <f>up_b2w!AB33</f>
        <v>114027.42389293101</v>
      </c>
      <c r="AM33" s="150">
        <f t="shared" ref="AM33:AM76" si="46">SUM(AI33:AL33)</f>
        <v>122156.30695514561</v>
      </c>
      <c r="AN33" s="136">
        <f t="shared" ref="AN33" si="47">IFERROR(AN13/$B33,0)</f>
        <v>6.6115702479338848E-4</v>
      </c>
      <c r="AO33" s="149">
        <f>IFERROR(up_RadSpec!$J$13*AO13,".")*$B$33</f>
        <v>37812.5</v>
      </c>
    </row>
    <row r="34" spans="1:41" x14ac:dyDescent="0.25">
      <c r="A34" s="148" t="s">
        <v>1064</v>
      </c>
      <c r="B34" s="141">
        <v>1</v>
      </c>
      <c r="C34" s="136">
        <f t="shared" si="37"/>
        <v>0.33057851239669422</v>
      </c>
      <c r="D34" s="136">
        <f t="shared" si="37"/>
        <v>3089.9917845330979</v>
      </c>
      <c r="E34" s="136">
        <f t="shared" si="37"/>
        <v>456.94544130414806</v>
      </c>
      <c r="F34" s="136">
        <f t="shared" si="37"/>
        <v>4.3958447178843029E-5</v>
      </c>
      <c r="G34" s="136">
        <f t="shared" si="37"/>
        <v>2.2038567493112948E-4</v>
      </c>
      <c r="H34" s="136">
        <f t="shared" si="38"/>
        <v>4.3952597759262243E-5</v>
      </c>
      <c r="I34" s="149">
        <f>IFERROR(up_RadSpec!$I$14*I14,".")*$B$34</f>
        <v>75.625</v>
      </c>
      <c r="J34" s="149">
        <f>IFERROR(up_RadSpec!$L$14*J14,".")*B33</f>
        <v>8.0906363975260659E-3</v>
      </c>
      <c r="K34" s="149">
        <f>IFERROR(up_RadSpec!$K$14*K14,".")*B33</f>
        <v>5.4711126844046387E-2</v>
      </c>
      <c r="L34" s="149">
        <f>up_b2s!AB34</f>
        <v>568718.90625</v>
      </c>
      <c r="M34" s="150">
        <f t="shared" si="39"/>
        <v>568794.5940517633</v>
      </c>
      <c r="N34" s="136">
        <f t="shared" si="40"/>
        <v>456.94544130414806</v>
      </c>
      <c r="O34" s="136">
        <f t="shared" si="40"/>
        <v>829.86017700335981</v>
      </c>
      <c r="P34" s="136">
        <f t="shared" si="40"/>
        <v>613.55185865285387</v>
      </c>
      <c r="Q34" s="136">
        <f t="shared" si="40"/>
        <v>537.65341535125719</v>
      </c>
      <c r="R34" s="136">
        <f t="shared" si="40"/>
        <v>2315.5333826065539</v>
      </c>
      <c r="S34" s="149">
        <f>IFERROR(up_RadSpec!$K$14*S14,".")*$B$33</f>
        <v>5.4711126844046387E-2</v>
      </c>
      <c r="T34" s="149">
        <f>IFERROR(up_RadSpec!$R$14*T14,".")*$B$33</f>
        <v>3.0125556922463076E-2</v>
      </c>
      <c r="U34" s="149">
        <f>IFERROR(up_RadSpec!$S$14*U14,".")*$B$33</f>
        <v>4.0746351995235235E-2</v>
      </c>
      <c r="V34" s="149">
        <f>IFERROR(up_RadSpec!$T$14*V14,".")*$B$33</f>
        <v>4.6498356164383553E-2</v>
      </c>
      <c r="W34" s="149">
        <f>IFERROR(up_RadSpec!$P$14*W14,".")*$B$33</f>
        <v>1.0796648490490753E-2</v>
      </c>
      <c r="X34" s="136">
        <f t="shared" ref="X34:Y34" si="48">IFERROR(X14/$B34,0)</f>
        <v>9.9740259740259754E-3</v>
      </c>
      <c r="Y34" s="136">
        <f t="shared" si="48"/>
        <v>15.927272727272728</v>
      </c>
      <c r="Z34" s="136">
        <f t="shared" si="35"/>
        <v>9.9677839175609673E-3</v>
      </c>
      <c r="AA34" s="149">
        <f>IFERROR(up_RadSpec!$L$14*AA14,".")*$B$33</f>
        <v>2506.5104166666661</v>
      </c>
      <c r="AB34" s="149">
        <f>IFERROR(up_RadSpec!$O$14*AB14,".")*$B$33</f>
        <v>1.5696347031963471</v>
      </c>
      <c r="AC34" s="150">
        <f t="shared" si="42"/>
        <v>2508.0800513698623</v>
      </c>
      <c r="AD34" s="136">
        <f t="shared" ref="AD34:AF34" si="49">IFERROR(AD14/$B34,0)</f>
        <v>3.6363636363636364E-3</v>
      </c>
      <c r="AE34" s="136">
        <f t="shared" si="49"/>
        <v>0</v>
      </c>
      <c r="AF34" s="136">
        <f t="shared" si="49"/>
        <v>39.81818181818182</v>
      </c>
      <c r="AG34" s="136">
        <f t="shared" si="44"/>
        <v>2.1924550381384044E-4</v>
      </c>
      <c r="AH34" s="136">
        <f t="shared" ref="AH34" si="50">IFERROR(AH14/$B34,0)</f>
        <v>2.0677724539454526E-4</v>
      </c>
      <c r="AI34" s="149">
        <f>IFERROR(up_RadSpec!$M$14*AI14,".")*$B$34</f>
        <v>6875</v>
      </c>
      <c r="AJ34" s="149">
        <f>IFERROR(up_RadSpec!$L$14*AJ14,".")*$B$34</f>
        <v>1253.255208333333</v>
      </c>
      <c r="AK34" s="149">
        <f>IFERROR(up_RadSpec!$Q$14*AK14,".")*$B$34</f>
        <v>0.62785388127853881</v>
      </c>
      <c r="AL34" s="149">
        <f>up_b2w!AB34</f>
        <v>114027.42389293101</v>
      </c>
      <c r="AM34" s="150">
        <f t="shared" si="46"/>
        <v>122156.30695514561</v>
      </c>
      <c r="AN34" s="136">
        <f t="shared" ref="AN34" si="51">IFERROR(AN14/$B34,0)</f>
        <v>6.6115702479338848E-4</v>
      </c>
      <c r="AO34" s="149">
        <f>IFERROR(up_RadSpec!$J$14*AO14,".")*$B$33</f>
        <v>37812.5</v>
      </c>
    </row>
    <row r="35" spans="1:41" x14ac:dyDescent="0.25">
      <c r="A35" s="148" t="s">
        <v>1065</v>
      </c>
      <c r="B35" s="141">
        <v>1</v>
      </c>
      <c r="C35" s="136">
        <f>IFERROR(C30/$B35,0)</f>
        <v>0.33057851239669422</v>
      </c>
      <c r="D35" s="136">
        <f>IFERROR(D30/$B35,0)</f>
        <v>3089.9917845330979</v>
      </c>
      <c r="E35" s="136">
        <f>IFERROR(E30/$B35,0)</f>
        <v>1474.7474747474748</v>
      </c>
      <c r="F35" s="136">
        <f>IFERROR(F30/$B35,0)</f>
        <v>4.3958447178843029E-5</v>
      </c>
      <c r="G35" s="136">
        <f>IFERROR(G30/$B35,0)</f>
        <v>2.2038567493112948E-4</v>
      </c>
      <c r="H35" s="136">
        <f t="shared" si="38"/>
        <v>4.3952600677028044E-5</v>
      </c>
      <c r="I35" s="149">
        <f>IFERROR(up_RadSpec!$I$30*I30,".")*$B$35</f>
        <v>75.625</v>
      </c>
      <c r="J35" s="149">
        <f>IFERROR(up_RadSpec!$L$30*J30,".")*B35</f>
        <v>8.0906363975260659E-3</v>
      </c>
      <c r="K35" s="149">
        <f>IFERROR(up_RadSpec!$K$30*K30,".")*B35</f>
        <v>1.6952054794520548E-2</v>
      </c>
      <c r="L35" s="149">
        <f>up_b2s!AB35</f>
        <v>568718.90625</v>
      </c>
      <c r="M35" s="150">
        <f t="shared" si="39"/>
        <v>568794.55629269115</v>
      </c>
      <c r="N35" s="136">
        <f>IFERROR(N30/$B35,0)</f>
        <v>1474.7474747474748</v>
      </c>
      <c r="O35" s="136">
        <f>IFERROR(O30/$B35,0)</f>
        <v>7224.7422680412365</v>
      </c>
      <c r="P35" s="136">
        <f>IFERROR(P30/$B35,0)</f>
        <v>2603.5517512790229</v>
      </c>
      <c r="Q35" s="136">
        <f>IFERROR(Q30/$B35,0)</f>
        <v>1937.953387868499</v>
      </c>
      <c r="R35" s="136">
        <f>IFERROR(R30/$B35,0)</f>
        <v>176969.69696969693</v>
      </c>
      <c r="S35" s="149">
        <f>IFERROR(up_RadSpec!$K$30*S30,".")*$B$35</f>
        <v>1.6952054794520548E-2</v>
      </c>
      <c r="T35" s="149">
        <f>IFERROR(up_RadSpec!$R$30*T30,".")*$B$35</f>
        <v>3.4603310502283107E-3</v>
      </c>
      <c r="U35" s="149">
        <f>IFERROR(up_RadSpec!$S$30*U30,".")*$B$35</f>
        <v>9.6022673594709524E-3</v>
      </c>
      <c r="V35" s="149">
        <f>IFERROR(up_RadSpec!$T$30*V30,".")*$B$35</f>
        <v>1.2900207072316018E-2</v>
      </c>
      <c r="W35" s="149">
        <f>IFERROR(up_RadSpec!$P$30*W30,".")*$B$35</f>
        <v>1.4126712328767124E-4</v>
      </c>
      <c r="X35" s="136">
        <f t="shared" ref="X35:Y35" si="52">IFERROR(X30/$B35,0)</f>
        <v>9.9740259740259754E-3</v>
      </c>
      <c r="Y35" s="136">
        <f t="shared" si="52"/>
        <v>15.927272727272728</v>
      </c>
      <c r="Z35" s="136">
        <f t="shared" si="35"/>
        <v>9.9677839175609673E-3</v>
      </c>
      <c r="AA35" s="149">
        <f>IFERROR(up_RadSpec!$L$30*AA30,".")*$B$35</f>
        <v>2506.5104166666661</v>
      </c>
      <c r="AB35" s="149">
        <f>IFERROR(up_RadSpec!$O$30*AB30,".")*$B$35</f>
        <v>1.5696347031963471</v>
      </c>
      <c r="AC35" s="150">
        <f t="shared" si="42"/>
        <v>2508.0800513698623</v>
      </c>
      <c r="AD35" s="136">
        <f t="shared" ref="AD35:AF35" si="53">IFERROR(AD30/$B35,0)</f>
        <v>3.6363636363636364E-3</v>
      </c>
      <c r="AE35" s="136">
        <f t="shared" si="53"/>
        <v>0</v>
      </c>
      <c r="AF35" s="136">
        <f t="shared" si="53"/>
        <v>39.81818181818182</v>
      </c>
      <c r="AG35" s="136">
        <f>IFERROR(AG30/$B35,0)</f>
        <v>2.1924550381384044E-4</v>
      </c>
      <c r="AH35" s="136">
        <f>IFERROR(AH30/$B35,0)</f>
        <v>2.0677724539454526E-4</v>
      </c>
      <c r="AI35" s="149">
        <f>IFERROR(up_RadSpec!$M$30*AI30,".")*$B$35</f>
        <v>6875</v>
      </c>
      <c r="AJ35" s="149">
        <f>IFERROR(up_RadSpec!$L$30*AJ30,".")*$B$35</f>
        <v>1253.255208333333</v>
      </c>
      <c r="AK35" s="149">
        <f>IFERROR(up_RadSpec!$Q$30*AK30,".")*$B$35</f>
        <v>0.62785388127853881</v>
      </c>
      <c r="AL35" s="149">
        <f>up_b2w!AB35</f>
        <v>114027.42389293101</v>
      </c>
      <c r="AM35" s="150">
        <f t="shared" si="46"/>
        <v>122156.30695514561</v>
      </c>
      <c r="AN35" s="136">
        <f t="shared" ref="AN35" si="54">IFERROR(AN30/$B35,0)</f>
        <v>6.6115702479338848E-4</v>
      </c>
      <c r="AO35" s="149">
        <f>IFERROR(up_RadSpec!$J$30*AO30,".")*$B$35</f>
        <v>37812.5</v>
      </c>
    </row>
    <row r="36" spans="1:41" x14ac:dyDescent="0.25">
      <c r="A36" s="148" t="s">
        <v>1066</v>
      </c>
      <c r="B36" s="141">
        <v>1</v>
      </c>
      <c r="C36" s="136">
        <f>IFERROR(C26/$B36,0)</f>
        <v>0.33057851239669422</v>
      </c>
      <c r="D36" s="136">
        <f>IFERROR(D26/$B36,0)</f>
        <v>3089.9917845330979</v>
      </c>
      <c r="E36" s="136">
        <f>IFERROR(E26/$B36,0)</f>
        <v>1549.9896928468352</v>
      </c>
      <c r="F36" s="136">
        <f>IFERROR(F26/$B36,0)</f>
        <v>4.3958447178843029E-5</v>
      </c>
      <c r="G36" s="136">
        <f>IFERROR(G26/$B36,0)</f>
        <v>2.2038567493112948E-4</v>
      </c>
      <c r="H36" s="136">
        <f t="shared" si="38"/>
        <v>4.3952600740617376E-5</v>
      </c>
      <c r="I36" s="149">
        <f>IFERROR(up_RadSpec!$I$26*I26,".")*$B$37</f>
        <v>75.625</v>
      </c>
      <c r="J36" s="149">
        <f>IFERROR(up_RadSpec!$L$26*J26,".")*B37</f>
        <v>8.0906363975260659E-3</v>
      </c>
      <c r="K36" s="149">
        <f>IFERROR(up_RadSpec!$K$26*K26,".")*B37</f>
        <v>1.6129139513233151E-2</v>
      </c>
      <c r="L36" s="149">
        <f>up_b2s!AB36</f>
        <v>568718.90625</v>
      </c>
      <c r="M36" s="150">
        <f t="shared" si="39"/>
        <v>568794.55546977592</v>
      </c>
      <c r="N36" s="136">
        <f>IFERROR(N26/$B36,0)</f>
        <v>1549.9896928468352</v>
      </c>
      <c r="O36" s="136">
        <f>IFERROR(O26/$B36,0)</f>
        <v>2829.8980669054918</v>
      </c>
      <c r="P36" s="136">
        <f>IFERROR(P26/$B36,0)</f>
        <v>2045.3971291866021</v>
      </c>
      <c r="Q36" s="136">
        <f>IFERROR(Q26/$B36,0)</f>
        <v>1749.5867768595035</v>
      </c>
      <c r="R36" s="136">
        <f>IFERROR(R26/$B36,0)</f>
        <v>16494.164472369241</v>
      </c>
      <c r="S36" s="149">
        <f>IFERROR(up_RadSpec!$K$26*S26,".")*$B$37</f>
        <v>1.6129139513233151E-2</v>
      </c>
      <c r="T36" s="149">
        <f>IFERROR(up_RadSpec!$R$26*T26,".")*$B$37</f>
        <v>8.8342404598825818E-3</v>
      </c>
      <c r="U36" s="149">
        <f>IFERROR(up_RadSpec!$S$26*U26,".")*$B$37</f>
        <v>1.2222565311774838E-2</v>
      </c>
      <c r="V36" s="149">
        <f>IFERROR(up_RadSpec!$T$26*V26,".")*$B$37</f>
        <v>1.4289088332546062E-2</v>
      </c>
      <c r="W36" s="149">
        <f>IFERROR(up_RadSpec!$P$26*W26,".")*$B$37</f>
        <v>1.5156875658587981E-3</v>
      </c>
      <c r="X36" s="136">
        <f t="shared" ref="X36:Y36" si="55">IFERROR(X26/$B36,0)</f>
        <v>9.9740259740259754E-3</v>
      </c>
      <c r="Y36" s="136">
        <f t="shared" si="55"/>
        <v>15.927272727272728</v>
      </c>
      <c r="Z36" s="136">
        <f t="shared" si="35"/>
        <v>9.9677839175609673E-3</v>
      </c>
      <c r="AA36" s="149">
        <f>IFERROR(up_RadSpec!$L$26*AA26,".")*$B$37</f>
        <v>2506.5104166666661</v>
      </c>
      <c r="AB36" s="149">
        <f>IFERROR(up_RadSpec!$O$26*AB26,".")*$B$37</f>
        <v>1.5696347031963471</v>
      </c>
      <c r="AC36" s="150">
        <f t="shared" si="42"/>
        <v>2508.0800513698623</v>
      </c>
      <c r="AD36" s="136">
        <f t="shared" ref="AD36:AF36" si="56">IFERROR(AD26/$B36,0)</f>
        <v>3.6363636363636364E-3</v>
      </c>
      <c r="AE36" s="136">
        <f t="shared" si="56"/>
        <v>0</v>
      </c>
      <c r="AF36" s="136">
        <f t="shared" si="56"/>
        <v>39.81818181818182</v>
      </c>
      <c r="AG36" s="136">
        <f>IFERROR(AG26/$B36,0)</f>
        <v>2.1924550381384044E-4</v>
      </c>
      <c r="AH36" s="136">
        <f>IFERROR(AH26/$B36,0)</f>
        <v>2.0677724539454526E-4</v>
      </c>
      <c r="AI36" s="149">
        <f>IFERROR(up_RadSpec!$M$26*AI26,".")*$B$37</f>
        <v>6875</v>
      </c>
      <c r="AJ36" s="149">
        <f>IFERROR(up_RadSpec!$L$26*AJ26,".")*$B$37</f>
        <v>1253.255208333333</v>
      </c>
      <c r="AK36" s="149">
        <f>IFERROR(up_RadSpec!$Q$26*AK26,".")*$B$37</f>
        <v>0.62785388127853881</v>
      </c>
      <c r="AL36" s="149">
        <f>up_b2w!AB36</f>
        <v>114027.42389293101</v>
      </c>
      <c r="AM36" s="150">
        <f t="shared" si="46"/>
        <v>122156.30695514561</v>
      </c>
      <c r="AN36" s="136">
        <f t="shared" ref="AN36" si="57">IFERROR(AN26/$B36,0)</f>
        <v>6.6115702479338848E-4</v>
      </c>
      <c r="AO36" s="149">
        <f>IFERROR(up_RadSpec!$J$26*AO26,".")*$B$37</f>
        <v>37812.5</v>
      </c>
    </row>
    <row r="37" spans="1:41" x14ac:dyDescent="0.25">
      <c r="A37" s="148" t="s">
        <v>1067</v>
      </c>
      <c r="B37" s="141">
        <v>1</v>
      </c>
      <c r="C37" s="136">
        <f>IFERROR(C22/$B37,0)</f>
        <v>0.33057851239669422</v>
      </c>
      <c r="D37" s="136">
        <f>IFERROR(D22/$B37,0)</f>
        <v>3089.9917845330979</v>
      </c>
      <c r="E37" s="136">
        <f>IFERROR(E22/$B37,0)</f>
        <v>849169110.45943344</v>
      </c>
      <c r="F37" s="136">
        <f>IFERROR(F22/$B37,0)</f>
        <v>4.3958447178843029E-5</v>
      </c>
      <c r="G37" s="136">
        <f>IFERROR(G22/$B37,0)</f>
        <v>2.2038567493112948E-4</v>
      </c>
      <c r="H37" s="136">
        <f t="shared" si="38"/>
        <v>4.3952601986966083E-5</v>
      </c>
      <c r="I37" s="149">
        <f>IFERROR(up_RadSpec!$I$22*I22,".")*$B$37</f>
        <v>75.625</v>
      </c>
      <c r="J37" s="149">
        <f>IFERROR(up_RadSpec!$L$22*J22,".")*B37</f>
        <v>8.0906363975260659E-3</v>
      </c>
      <c r="K37" s="149">
        <f>IFERROR(up_RadSpec!$K$22*K22,".")*B37</f>
        <v>2.9440543340623906E-8</v>
      </c>
      <c r="L37" s="149">
        <f>up_b2s!AB37</f>
        <v>568718.90625</v>
      </c>
      <c r="M37" s="150">
        <f t="shared" si="39"/>
        <v>568794.5393406658</v>
      </c>
      <c r="N37" s="136">
        <f>IFERROR(N22/$B37,0)</f>
        <v>849169110.45943344</v>
      </c>
      <c r="O37" s="136">
        <f>IFERROR(O22/$B37,0)</f>
        <v>778111286.12044013</v>
      </c>
      <c r="P37" s="136">
        <f>IFERROR(P22/$B37,0)</f>
        <v>597797819.95241511</v>
      </c>
      <c r="Q37" s="136">
        <f>IFERROR(Q22/$B37,0)</f>
        <v>616014309.76430941</v>
      </c>
      <c r="R37" s="136">
        <f>IFERROR(R22/$B37,0)</f>
        <v>4371048166.3075275</v>
      </c>
      <c r="S37" s="149">
        <f>IFERROR(up_RadSpec!$K$22*S22,".")*$B$37</f>
        <v>2.9440543340623906E-8</v>
      </c>
      <c r="T37" s="149">
        <f>IFERROR(up_RadSpec!$R$22*T22,".")*$B$37</f>
        <v>3.2129080307582599E-8</v>
      </c>
      <c r="U37" s="149">
        <f>IFERROR(up_RadSpec!$S$22*U22,".")*$B$37</f>
        <v>4.1820159200296195E-8</v>
      </c>
      <c r="V37" s="149">
        <f>IFERROR(up_RadSpec!$T$22*V22,".")*$B$37</f>
        <v>4.0583472824787366E-8</v>
      </c>
      <c r="W37" s="149">
        <f>IFERROR(up_RadSpec!$P$22*W22,".")*$B$37</f>
        <v>5.7194519595328363E-9</v>
      </c>
      <c r="X37" s="136">
        <f t="shared" ref="X37:Y37" si="58">IFERROR(X22/$B37,0)</f>
        <v>9.9740259740259754E-3</v>
      </c>
      <c r="Y37" s="136">
        <f t="shared" si="58"/>
        <v>15.927272727272728</v>
      </c>
      <c r="Z37" s="136">
        <f t="shared" si="35"/>
        <v>9.9677839175609673E-3</v>
      </c>
      <c r="AA37" s="149">
        <f>IFERROR(up_RadSpec!$L$22*AA22,".")*$B$37</f>
        <v>2506.5104166666661</v>
      </c>
      <c r="AB37" s="149">
        <f>IFERROR(up_RadSpec!$O$22*AB22,".")*$B$37</f>
        <v>1.5696347031963471</v>
      </c>
      <c r="AC37" s="150">
        <f t="shared" si="42"/>
        <v>2508.0800513698623</v>
      </c>
      <c r="AD37" s="136">
        <f t="shared" ref="AD37:AF37" si="59">IFERROR(AD22/$B37,0)</f>
        <v>3.6363636363636364E-3</v>
      </c>
      <c r="AE37" s="136">
        <f t="shared" si="59"/>
        <v>0</v>
      </c>
      <c r="AF37" s="136">
        <f t="shared" si="59"/>
        <v>39.81818181818182</v>
      </c>
      <c r="AG37" s="136">
        <f>IFERROR(AG22/$B37,0)</f>
        <v>2.1924550381384044E-4</v>
      </c>
      <c r="AH37" s="136">
        <f>IFERROR(AH22/$B37,0)</f>
        <v>2.0677724539454526E-4</v>
      </c>
      <c r="AI37" s="149">
        <f>IFERROR(up_RadSpec!$M$22*AI22,".")*$B$37</f>
        <v>6875</v>
      </c>
      <c r="AJ37" s="149">
        <f>IFERROR(up_RadSpec!$L$22*AJ22,".")*$B$37</f>
        <v>1253.255208333333</v>
      </c>
      <c r="AK37" s="149">
        <f>IFERROR(up_RadSpec!$Q$22*AK22,".")*$B$37</f>
        <v>0.62785388127853881</v>
      </c>
      <c r="AL37" s="149">
        <f>up_b2w!AB37</f>
        <v>114027.42389293101</v>
      </c>
      <c r="AM37" s="150">
        <f t="shared" si="46"/>
        <v>122156.30695514561</v>
      </c>
      <c r="AN37" s="136">
        <f t="shared" ref="AN37" si="60">IFERROR(AN22/$B37,0)</f>
        <v>6.6115702479338848E-4</v>
      </c>
      <c r="AO37" s="149">
        <f>IFERROR(up_RadSpec!$J$22*AO22,".")*$B$37</f>
        <v>37812.5</v>
      </c>
    </row>
    <row r="38" spans="1:41" x14ac:dyDescent="0.25">
      <c r="A38" s="148" t="s">
        <v>1068</v>
      </c>
      <c r="B38" s="141">
        <v>1</v>
      </c>
      <c r="C38" s="136">
        <f>IFERROR(C2/$B38,0)</f>
        <v>0.33057851239669422</v>
      </c>
      <c r="D38" s="136">
        <f>IFERROR(D2/$B38,0)</f>
        <v>3089.9917845330979</v>
      </c>
      <c r="E38" s="136">
        <f>IFERROR(E2/$B38,0)</f>
        <v>939.40305308726374</v>
      </c>
      <c r="F38" s="136">
        <f>IFERROR(F2/$B38,0)</f>
        <v>4.3958447178843029E-5</v>
      </c>
      <c r="G38" s="136">
        <f>IFERROR(G2/$B38,0)</f>
        <v>2.2038567493112948E-4</v>
      </c>
      <c r="H38" s="136">
        <f t="shared" si="38"/>
        <v>4.3952599930522912E-5</v>
      </c>
      <c r="I38" s="149">
        <f>IFERROR(up_RadSpec!$I$2*I2,".")*$B$38</f>
        <v>75.625</v>
      </c>
      <c r="J38" s="149">
        <f>IFERROR(up_RadSpec!$L$2*J2,".")*B38</f>
        <v>8.0906363975260659E-3</v>
      </c>
      <c r="K38" s="149">
        <f>IFERROR(up_RadSpec!$K$2*K2,".")*B38</f>
        <v>2.6612645038612284E-2</v>
      </c>
      <c r="L38" s="149">
        <f>up_b2s!AB38</f>
        <v>568718.90625</v>
      </c>
      <c r="M38" s="150">
        <f t="shared" si="39"/>
        <v>568794.56595328148</v>
      </c>
      <c r="N38" s="136">
        <f>IFERROR(N2/$B38,0)</f>
        <v>939.40305308726374</v>
      </c>
      <c r="O38" s="136">
        <f>IFERROR(O2/$B38,0)</f>
        <v>1899.412977947009</v>
      </c>
      <c r="P38" s="136">
        <f>IFERROR(P2/$B38,0)</f>
        <v>1290.059473237043</v>
      </c>
      <c r="Q38" s="136">
        <f>IFERROR(Q2/$B38,0)</f>
        <v>1072.3245527167094</v>
      </c>
      <c r="R38" s="136">
        <f>IFERROR(R2/$B38,0)</f>
        <v>15030.661116333202</v>
      </c>
      <c r="S38" s="149">
        <f>IFERROR(up_RadSpec!$K$2*S2,".")*$B$38</f>
        <v>2.6612645038612284E-2</v>
      </c>
      <c r="T38" s="149">
        <f>IFERROR(up_RadSpec!$R$2*T2,".")*$B$38</f>
        <v>1.3161961242900103E-2</v>
      </c>
      <c r="U38" s="149">
        <f>IFERROR(up_RadSpec!$S$2*U2,".")*$B$38</f>
        <v>1.9378951527924137E-2</v>
      </c>
      <c r="V38" s="149">
        <f>IFERROR(up_RadSpec!$T$2*V2,".")*$B$38</f>
        <v>2.3313837155610286E-2</v>
      </c>
      <c r="W38" s="149">
        <f>IFERROR(up_RadSpec!$P$2*W2,".")*$B$38</f>
        <v>1.6632668254913637E-3</v>
      </c>
      <c r="X38" s="136">
        <f t="shared" ref="X38:Y38" si="61">IFERROR(X2/$B38,0)</f>
        <v>9.9740259740259754E-3</v>
      </c>
      <c r="Y38" s="136">
        <f t="shared" si="61"/>
        <v>15.927272727272728</v>
      </c>
      <c r="Z38" s="136">
        <f t="shared" si="35"/>
        <v>9.9677839175609673E-3</v>
      </c>
      <c r="AA38" s="149">
        <f>IFERROR(up_RadSpec!$L$2*AA2,".")*$B$38</f>
        <v>2506.5104166666661</v>
      </c>
      <c r="AB38" s="149">
        <f>IFERROR(up_RadSpec!$O$2*AB2,".")*$B$38</f>
        <v>1.5696347031963471</v>
      </c>
      <c r="AC38" s="150">
        <f t="shared" si="42"/>
        <v>2508.0800513698623</v>
      </c>
      <c r="AD38" s="136">
        <f t="shared" ref="AD38:AF38" si="62">IFERROR(AD2/$B38,0)</f>
        <v>3.6363636363636364E-3</v>
      </c>
      <c r="AE38" s="136">
        <f t="shared" si="62"/>
        <v>0</v>
      </c>
      <c r="AF38" s="136">
        <f t="shared" si="62"/>
        <v>39.81818181818182</v>
      </c>
      <c r="AG38" s="136">
        <f>IFERROR(AG2/$B38,0)</f>
        <v>2.1924550381384044E-4</v>
      </c>
      <c r="AH38" s="136">
        <f>IFERROR(AH2/$B38,0)</f>
        <v>2.0677724539454526E-4</v>
      </c>
      <c r="AI38" s="149">
        <f>IFERROR(up_RadSpec!$M$2*AI2,".")*$B$38</f>
        <v>6875</v>
      </c>
      <c r="AJ38" s="149">
        <f>IFERROR(up_RadSpec!$L$2*AJ2,".")*$B$38</f>
        <v>1253.255208333333</v>
      </c>
      <c r="AK38" s="149">
        <f>IFERROR(up_RadSpec!$Q$2*AK2,".")*$B$38</f>
        <v>0.62785388127853881</v>
      </c>
      <c r="AL38" s="149">
        <f>up_b2w!AB38</f>
        <v>114027.42389293101</v>
      </c>
      <c r="AM38" s="150">
        <f t="shared" si="46"/>
        <v>122156.30695514561</v>
      </c>
      <c r="AN38" s="136">
        <f t="shared" ref="AN38" si="63">IFERROR(AN2/$B38,0)</f>
        <v>6.6115702479338848E-4</v>
      </c>
      <c r="AO38" s="149">
        <f>IFERROR(up_RadSpec!$J$2*AO2,".")*$B$38</f>
        <v>37812.5</v>
      </c>
    </row>
    <row r="39" spans="1:41" x14ac:dyDescent="0.25">
      <c r="A39" s="148" t="s">
        <v>1069</v>
      </c>
      <c r="B39" s="141">
        <v>1</v>
      </c>
      <c r="C39" s="136">
        <f>IFERROR(C11/$B39,0)</f>
        <v>0.33057851239669422</v>
      </c>
      <c r="D39" s="136">
        <f>IFERROR(D11/$B39,0)</f>
        <v>3089.9917845330979</v>
      </c>
      <c r="E39" s="136">
        <f>IFERROR(E11/$B39,0)</f>
        <v>826.50682650682666</v>
      </c>
      <c r="F39" s="136">
        <f>IFERROR(F11/$B39,0)</f>
        <v>4.3958447178843029E-5</v>
      </c>
      <c r="G39" s="136">
        <f>IFERROR(G11/$B39,0)</f>
        <v>2.2038567493112948E-4</v>
      </c>
      <c r="H39" s="136">
        <f t="shared" si="38"/>
        <v>4.3952599649623937E-5</v>
      </c>
      <c r="I39" s="149">
        <f>IFERROR(up_RadSpec!$I$11*I11,".")*$B$39</f>
        <v>75.625</v>
      </c>
      <c r="J39" s="149">
        <f>IFERROR(up_RadSpec!$L$11*J11,".")*B39</f>
        <v>8.0906363975260659E-3</v>
      </c>
      <c r="K39" s="149">
        <f>IFERROR(up_RadSpec!$K$11*K11,".")*B39</f>
        <v>3.0247784045124897E-2</v>
      </c>
      <c r="L39" s="149">
        <f>up_b2s!AB39</f>
        <v>568718.90625</v>
      </c>
      <c r="M39" s="150">
        <f t="shared" si="39"/>
        <v>568794.56958842045</v>
      </c>
      <c r="N39" s="136">
        <f>IFERROR(N11/$B39,0)</f>
        <v>826.50682650682666</v>
      </c>
      <c r="O39" s="136">
        <f>IFERROR(O11/$B39,0)</f>
        <v>1045.804303422032</v>
      </c>
      <c r="P39" s="136">
        <f>IFERROR(P11/$B39,0)</f>
        <v>811.64159581425747</v>
      </c>
      <c r="Q39" s="136">
        <f>IFERROR(Q11/$B39,0)</f>
        <v>773.13266443701264</v>
      </c>
      <c r="R39" s="136">
        <f>IFERROR(R11/$B39,0)</f>
        <v>1946.8923933209649</v>
      </c>
      <c r="S39" s="149">
        <f>IFERROR(up_RadSpec!$K$11*S11,".")*$B$39</f>
        <v>3.0247784045124897E-2</v>
      </c>
      <c r="T39" s="149">
        <f>IFERROR(up_RadSpec!$R$11*T11,".")*$B$39</f>
        <v>2.3905046018835616E-2</v>
      </c>
      <c r="U39" s="149">
        <f>IFERROR(up_RadSpec!$S$11*U11,".")*$B$39</f>
        <v>3.0801772763900087E-2</v>
      </c>
      <c r="V39" s="149">
        <f>IFERROR(up_RadSpec!$T$11*V11,".")*$B$39</f>
        <v>3.2335976928622917E-2</v>
      </c>
      <c r="W39" s="149">
        <f>IFERROR(up_RadSpec!$P$11*W11,".")*$B$39</f>
        <v>1.2840976771888028E-2</v>
      </c>
      <c r="X39" s="136">
        <f t="shared" ref="X39:Y39" si="64">IFERROR(X11/$B39,0)</f>
        <v>9.9740259740259754E-3</v>
      </c>
      <c r="Y39" s="136">
        <f t="shared" si="64"/>
        <v>15.927272727272728</v>
      </c>
      <c r="Z39" s="136">
        <f>IFERROR(IF(AND(X39&lt;&gt;0,Y39&lt;&gt;0),1/((1/X39)+(1/Y39)),IF(AND(X39&lt;&gt;0,Y39=0),1/((1/X39)),IF(AND(X39=0,Y39&lt;&gt;0),1/((1/Y39)),IF(AND(X39=".",Y39="."),".")))),".")</f>
        <v>9.9677839175609673E-3</v>
      </c>
      <c r="AA39" s="149">
        <f>IFERROR(up_RadSpec!$L$11*AA11,".")*$B$39</f>
        <v>2506.5104166666661</v>
      </c>
      <c r="AB39" s="149">
        <f>IFERROR(up_RadSpec!$O$11*AB11,".")*$B$39</f>
        <v>1.5696347031963471</v>
      </c>
      <c r="AC39" s="150">
        <f t="shared" si="42"/>
        <v>2508.0800513698623</v>
      </c>
      <c r="AD39" s="136">
        <f t="shared" ref="AD39:AF39" si="65">IFERROR(AD11/$B39,0)</f>
        <v>3.6363636363636364E-3</v>
      </c>
      <c r="AE39" s="136">
        <f t="shared" si="65"/>
        <v>0</v>
      </c>
      <c r="AF39" s="136">
        <f t="shared" si="65"/>
        <v>39.81818181818182</v>
      </c>
      <c r="AG39" s="136">
        <f>IFERROR(AG11/$B39,0)</f>
        <v>2.1924550381384044E-4</v>
      </c>
      <c r="AH39" s="136">
        <f>IFERROR(AH11/$B39,0)</f>
        <v>2.0677724539454526E-4</v>
      </c>
      <c r="AI39" s="149">
        <f>IFERROR(up_RadSpec!$M$11*AI11,".")*$B$39</f>
        <v>6875</v>
      </c>
      <c r="AJ39" s="149">
        <f>IFERROR(up_RadSpec!$L$11*AJ11,".")*$B$39</f>
        <v>1253.255208333333</v>
      </c>
      <c r="AK39" s="149">
        <f>IFERROR(up_RadSpec!$Q$11*AK11,".")*$B$39</f>
        <v>0.62785388127853881</v>
      </c>
      <c r="AL39" s="149">
        <f>up_b2w!AB39</f>
        <v>114027.42389293101</v>
      </c>
      <c r="AM39" s="150">
        <f t="shared" si="46"/>
        <v>122156.30695514561</v>
      </c>
      <c r="AN39" s="136">
        <f t="shared" ref="AN39" si="66">IFERROR(AN11/$B39,0)</f>
        <v>6.6115702479338848E-4</v>
      </c>
      <c r="AO39" s="149">
        <f>IFERROR(up_RadSpec!$J$11*AO11,".")*$B$39</f>
        <v>37812.5</v>
      </c>
    </row>
    <row r="40" spans="1:41" x14ac:dyDescent="0.25">
      <c r="A40" s="148" t="s">
        <v>1070</v>
      </c>
      <c r="B40" s="141">
        <v>1</v>
      </c>
      <c r="C40" s="136">
        <f>IFERROR(C4/$B40,0)</f>
        <v>0.33057851239669422</v>
      </c>
      <c r="D40" s="136">
        <f>IFERROR(D4/$B40,0)</f>
        <v>3089.9917845330979</v>
      </c>
      <c r="E40" s="136">
        <f>IFERROR(E4/$B40,0)</f>
        <v>458.81032547699226</v>
      </c>
      <c r="F40" s="136">
        <f>IFERROR(F4/$B40,0)</f>
        <v>4.3958447178843029E-5</v>
      </c>
      <c r="G40" s="136">
        <f>IFERROR(G4/$B40,0)</f>
        <v>2.2038567493112948E-4</v>
      </c>
      <c r="H40" s="136">
        <f t="shared" si="38"/>
        <v>4.3952597776446204E-5</v>
      </c>
      <c r="I40" s="149">
        <f>IFERROR(up_RadSpec!$I$4*I4,".")*$B$40</f>
        <v>75.625</v>
      </c>
      <c r="J40" s="149">
        <f>IFERROR(up_RadSpec!$L$4*J4,".")*B40</f>
        <v>8.0906363975260659E-3</v>
      </c>
      <c r="K40" s="149">
        <f>IFERROR(up_RadSpec!$K$4*K4,".")*B40</f>
        <v>5.4488747553816032E-2</v>
      </c>
      <c r="L40" s="149">
        <f>up_b2s!AB40</f>
        <v>568718.90625</v>
      </c>
      <c r="M40" s="150">
        <f t="shared" si="39"/>
        <v>568794.59382938396</v>
      </c>
      <c r="N40" s="136">
        <f>IFERROR(N4/$B40,0)</f>
        <v>458.81032547699226</v>
      </c>
      <c r="O40" s="136">
        <f>IFERROR(O4/$B40,0)</f>
        <v>748.71794871794896</v>
      </c>
      <c r="P40" s="136">
        <f>IFERROR(P4/$B40,0)</f>
        <v>538.60342555994714</v>
      </c>
      <c r="Q40" s="136">
        <f>IFERROR(Q4/$B40,0)</f>
        <v>468.85231426294234</v>
      </c>
      <c r="R40" s="136">
        <f>IFERROR(R4/$B40,0)</f>
        <v>1382.7035962958289</v>
      </c>
      <c r="S40" s="149">
        <f>IFERROR(up_RadSpec!$K$4*S4,".")*$B$40</f>
        <v>5.4488747553816032E-2</v>
      </c>
      <c r="T40" s="149">
        <f>IFERROR(up_RadSpec!$R$4*T4,".")*$B$40</f>
        <v>3.3390410958904097E-2</v>
      </c>
      <c r="U40" s="149">
        <f>IFERROR(up_RadSpec!$S$4*U4,".")*$B$40</f>
        <v>4.6416340508806275E-2</v>
      </c>
      <c r="V40" s="149">
        <f>IFERROR(up_RadSpec!$T$4*V4,".")*$B$40</f>
        <v>5.3321694784211879E-2</v>
      </c>
      <c r="W40" s="149">
        <f>IFERROR(up_RadSpec!$P$4*W4,".")*$B$40</f>
        <v>1.8080519980546328E-2</v>
      </c>
      <c r="X40" s="136">
        <f t="shared" ref="X40:Y40" si="67">IFERROR(X4/$B40,0)</f>
        <v>9.9740259740259754E-3</v>
      </c>
      <c r="Y40" s="136">
        <f t="shared" si="67"/>
        <v>15.927272727272728</v>
      </c>
      <c r="Z40" s="136">
        <f t="shared" ref="Z40:Z44" si="68">IFERROR(IF(AND(X40&lt;&gt;0,Y40&lt;&gt;0),1/((1/X40)+(1/Y40)),IF(AND(X40&lt;&gt;0,Y40=0),1/((1/X40)),IF(AND(X40=0,Y40&lt;&gt;0),1/((1/Y40)),IF(AND(X40=".",Y40="."),".")))),".")</f>
        <v>9.9677839175609673E-3</v>
      </c>
      <c r="AA40" s="149">
        <f>IFERROR(up_RadSpec!$L$4*AA4,".")*$B$40</f>
        <v>2506.5104166666661</v>
      </c>
      <c r="AB40" s="149">
        <f>IFERROR(up_RadSpec!$O$4*AB4,".")*$B$40</f>
        <v>1.5696347031963471</v>
      </c>
      <c r="AC40" s="150">
        <f t="shared" si="42"/>
        <v>2508.0800513698623</v>
      </c>
      <c r="AD40" s="136">
        <f t="shared" ref="AD40:AF40" si="69">IFERROR(AD4/$B40,0)</f>
        <v>3.6363636363636364E-3</v>
      </c>
      <c r="AE40" s="136">
        <f t="shared" si="69"/>
        <v>0</v>
      </c>
      <c r="AF40" s="136">
        <f t="shared" si="69"/>
        <v>39.81818181818182</v>
      </c>
      <c r="AG40" s="136">
        <f>IFERROR(AG4/$B40,0)</f>
        <v>2.1924550381384044E-4</v>
      </c>
      <c r="AH40" s="136">
        <f>IFERROR(AH4/$B40,0)</f>
        <v>2.0677724539454526E-4</v>
      </c>
      <c r="AI40" s="149">
        <f>IFERROR(up_RadSpec!$M$4*AI4,".")*$B$40</f>
        <v>6875</v>
      </c>
      <c r="AJ40" s="149">
        <f>IFERROR(up_RadSpec!$L$4*AJ4,".")*$B$40</f>
        <v>1253.255208333333</v>
      </c>
      <c r="AK40" s="149">
        <f>IFERROR(up_RadSpec!$Q$4*AK4,".")*$B$40</f>
        <v>0.62785388127853881</v>
      </c>
      <c r="AL40" s="149">
        <f>up_b2w!AB40</f>
        <v>114027.42389293101</v>
      </c>
      <c r="AM40" s="150">
        <f t="shared" si="46"/>
        <v>122156.30695514561</v>
      </c>
      <c r="AN40" s="136">
        <f t="shared" ref="AN40" si="70">IFERROR(AN4/$B40,0)</f>
        <v>6.6115702479338848E-4</v>
      </c>
      <c r="AO40" s="149">
        <f>IFERROR(up_RadSpec!$J$4*AO4,".")*$B$40</f>
        <v>37812.5</v>
      </c>
    </row>
    <row r="41" spans="1:41" x14ac:dyDescent="0.25">
      <c r="A41" s="148" t="s">
        <v>1071</v>
      </c>
      <c r="B41" s="151">
        <v>0.99987999999999999</v>
      </c>
      <c r="C41" s="136">
        <f>IFERROR(C8/$B41,0)</f>
        <v>0.33061818657908371</v>
      </c>
      <c r="D41" s="136">
        <f>IFERROR(D8/$B41,0)</f>
        <v>3090.3626280484636</v>
      </c>
      <c r="E41" s="136">
        <f>IFERROR(E8/$B41,0)</f>
        <v>293.35514234586111</v>
      </c>
      <c r="F41" s="136">
        <f>IFERROR(F8/$B41,0)</f>
        <v>4.3963722825582096E-5</v>
      </c>
      <c r="G41" s="136">
        <f>IFERROR(G8/$B41,0)</f>
        <v>2.2041212438605581E-4</v>
      </c>
      <c r="H41" s="136">
        <f t="shared" si="38"/>
        <v>4.39578703453218E-5</v>
      </c>
      <c r="I41" s="149">
        <f>IFERROR(up_RadSpec!$I$8*I8,".")*$B$41</f>
        <v>75.615925000000004</v>
      </c>
      <c r="J41" s="149">
        <f>IFERROR(up_RadSpec!$L$8*J8,".")*B41</f>
        <v>8.0896655211583623E-3</v>
      </c>
      <c r="K41" s="149">
        <f>IFERROR(up_RadSpec!$K$8*K8,".")*B41</f>
        <v>8.5220936643835579E-2</v>
      </c>
      <c r="L41" s="149">
        <f>up_b2s!AB41</f>
        <v>568650.65998124995</v>
      </c>
      <c r="M41" s="150">
        <f t="shared" si="39"/>
        <v>568726.36921685212</v>
      </c>
      <c r="N41" s="136">
        <f>IFERROR(N8/$B41,0)</f>
        <v>293.35514234586111</v>
      </c>
      <c r="O41" s="136">
        <f>IFERROR(O8/$B41,0)</f>
        <v>538.51197530021136</v>
      </c>
      <c r="P41" s="136">
        <f>IFERROR(P8/$B41,0)</f>
        <v>393.06362664150373</v>
      </c>
      <c r="Q41" s="136">
        <f>IFERROR(Q8/$B41,0)</f>
        <v>360.37729990313181</v>
      </c>
      <c r="R41" s="136">
        <f>IFERROR(R8/$B41,0)</f>
        <v>997.80124926766689</v>
      </c>
      <c r="S41" s="149">
        <f>IFERROR(up_RadSpec!$K$8*S8,".")*$B$41</f>
        <v>8.5220936643835579E-2</v>
      </c>
      <c r="T41" s="149">
        <f>IFERROR(up_RadSpec!$R$8*T8,".")*$B$41</f>
        <v>4.6424222945205484E-2</v>
      </c>
      <c r="U41" s="149">
        <f>IFERROR(up_RadSpec!$S$8*U8,".")*$B$41</f>
        <v>6.3602934246575343E-2</v>
      </c>
      <c r="V41" s="149">
        <f>IFERROR(up_RadSpec!$T$8*V8,".")*$B$41</f>
        <v>6.9371739026625481E-2</v>
      </c>
      <c r="W41" s="149">
        <f>IFERROR(up_RadSpec!$P$8*W8,".")*$B$41</f>
        <v>2.5055089897260272E-2</v>
      </c>
      <c r="X41" s="136">
        <f t="shared" ref="X41:Y41" si="71">IFERROR(X8/$B41,0)</f>
        <v>9.9752230007860692E-3</v>
      </c>
      <c r="Y41" s="136">
        <f t="shared" si="71"/>
        <v>15.929184229380253</v>
      </c>
      <c r="Z41" s="136">
        <f t="shared" si="68"/>
        <v>9.9689801951843883E-3</v>
      </c>
      <c r="AA41" s="149">
        <f>IFERROR(up_RadSpec!$L$8*AA8,".")*$B$41</f>
        <v>2506.2096354166661</v>
      </c>
      <c r="AB41" s="149">
        <f>IFERROR(up_RadSpec!$O$8*AB8,".")*$B$41</f>
        <v>1.5694463470319635</v>
      </c>
      <c r="AC41" s="150">
        <f t="shared" si="42"/>
        <v>2507.7790817636978</v>
      </c>
      <c r="AD41" s="136">
        <f t="shared" ref="AD41:AF41" si="72">IFERROR(AD8/$B41,0)</f>
        <v>3.6368000523699208E-3</v>
      </c>
      <c r="AE41" s="136">
        <f t="shared" si="72"/>
        <v>0</v>
      </c>
      <c r="AF41" s="136">
        <f t="shared" si="72"/>
        <v>39.822960573450636</v>
      </c>
      <c r="AG41" s="136">
        <f>IFERROR(AG8/$B41,0)</f>
        <v>2.1927181643181226E-4</v>
      </c>
      <c r="AH41" s="136">
        <f>IFERROR(AH8/$B41,0)</f>
        <v>2.068020616419423E-4</v>
      </c>
      <c r="AI41" s="149">
        <f>IFERROR(up_RadSpec!$M$8*AI8,".")*$B$41</f>
        <v>6874.1750000000002</v>
      </c>
      <c r="AJ41" s="149">
        <f>IFERROR(up_RadSpec!$L$8*AJ8,".")*$B$41</f>
        <v>1253.104817708333</v>
      </c>
      <c r="AK41" s="149">
        <f>IFERROR(up_RadSpec!$Q$8*AK8,".")*$B$41</f>
        <v>0.62777853881278534</v>
      </c>
      <c r="AL41" s="149">
        <f>up_b2w!AB41</f>
        <v>114013.74060206386</v>
      </c>
      <c r="AM41" s="150">
        <f t="shared" si="46"/>
        <v>122141.648198311</v>
      </c>
      <c r="AN41" s="136">
        <f t="shared" ref="AN41" si="73">IFERROR(AN8/$B41,0)</f>
        <v>6.612363731581675E-4</v>
      </c>
      <c r="AO41" s="149">
        <f>IFERROR(up_RadSpec!$J$8*AO8,".")*$B$41</f>
        <v>37807.962500000001</v>
      </c>
    </row>
    <row r="42" spans="1:41" x14ac:dyDescent="0.25">
      <c r="A42" s="148" t="s">
        <v>1072</v>
      </c>
      <c r="B42" s="141">
        <v>0.97898250799999997</v>
      </c>
      <c r="C42" s="136">
        <f>IFERROR(C19/$B42,0)</f>
        <v>0.33767560676037556</v>
      </c>
      <c r="D42" s="136">
        <f>IFERROR(D19/$B42,0)</f>
        <v>3156.329923448538</v>
      </c>
      <c r="E42" s="136">
        <f>IFERROR(E19/$B42,0)</f>
        <v>207.41264376257445</v>
      </c>
      <c r="F42" s="136">
        <f>IFERROR(F19/$B42,0)</f>
        <v>4.490217835316321E-5</v>
      </c>
      <c r="G42" s="136">
        <f>IFERROR(G19/$B42,0)</f>
        <v>2.2511707117358373E-4</v>
      </c>
      <c r="H42" s="136">
        <f t="shared" si="38"/>
        <v>4.4896197954397772E-5</v>
      </c>
      <c r="I42" s="152">
        <f>IFERROR(up_RadSpec!$I$19*I19,".")*$B$42</f>
        <v>74.035552167500001</v>
      </c>
      <c r="J42" s="152">
        <f>IFERROR(up_RadSpec!$L$19*J19,".")*B42</f>
        <v>7.9205915117661532E-3</v>
      </c>
      <c r="K42" s="152">
        <f>IFERROR(up_RadSpec!$K$19*K19,".")*B42</f>
        <v>0.12053267123202739</v>
      </c>
      <c r="L42" s="149">
        <f>up_b2s!AB42</f>
        <v>556765.86118764174</v>
      </c>
      <c r="M42" s="150">
        <f t="shared" si="39"/>
        <v>556840.02519307204</v>
      </c>
      <c r="N42" s="136">
        <f>IFERROR(N19/$B42,0)</f>
        <v>207.41264376257445</v>
      </c>
      <c r="O42" s="136">
        <f>IFERROR(O19/$B42,0)</f>
        <v>411.38298168885689</v>
      </c>
      <c r="P42" s="136">
        <f>IFERROR(P19/$B42,0)</f>
        <v>285.17036045430166</v>
      </c>
      <c r="Q42" s="136">
        <f>IFERROR(Q19/$B42,0)</f>
        <v>238.17538236294322</v>
      </c>
      <c r="R42" s="136">
        <f>IFERROR(R19/$B42,0)</f>
        <v>708.41281538284966</v>
      </c>
      <c r="S42" s="152">
        <f>IFERROR(up_RadSpec!$K$19*S19,".")*$B$42</f>
        <v>0.12053267123202739</v>
      </c>
      <c r="T42" s="152">
        <f>IFERROR(up_RadSpec!$R$19*T19,".")*$B$42</f>
        <v>6.0770622784071221E-2</v>
      </c>
      <c r="U42" s="152">
        <f>IFERROR(up_RadSpec!$S$19*U19,".")*$B$42</f>
        <v>8.7666894834977888E-2</v>
      </c>
      <c r="V42" s="152">
        <f>IFERROR(up_RadSpec!$T$19*V19,".")*$B$42</f>
        <v>0.10496466827081141</v>
      </c>
      <c r="W42" s="152">
        <f>IFERROR(up_RadSpec!$P$19*W19,".")*$B$42</f>
        <v>3.5290157740143616E-2</v>
      </c>
      <c r="X42" s="136">
        <f t="shared" ref="X42:Y42" si="74">IFERROR(X19/$B42,0)</f>
        <v>1.0188155449684476E-2</v>
      </c>
      <c r="Y42" s="136">
        <f t="shared" si="74"/>
        <v>16.269210733714896</v>
      </c>
      <c r="Z42" s="136">
        <f t="shared" si="68"/>
        <v>1.0181779384316606E-2</v>
      </c>
      <c r="AA42" s="152">
        <f>IFERROR(up_RadSpec!$L$19*AA19,".")*$B$42</f>
        <v>2453.8298540364576</v>
      </c>
      <c r="AB42" s="152">
        <f>IFERROR(up_RadSpec!$O$19*AB19,".")*$B$42</f>
        <v>1.5366449183789954</v>
      </c>
      <c r="AC42" s="150">
        <f t="shared" si="42"/>
        <v>2455.3664989548365</v>
      </c>
      <c r="AD42" s="136">
        <f t="shared" ref="AD42:AF42" si="75">IFERROR(AD19/$B42,0)</f>
        <v>3.7144316743641312E-3</v>
      </c>
      <c r="AE42" s="136">
        <f t="shared" si="75"/>
        <v>0</v>
      </c>
      <c r="AF42" s="136">
        <f t="shared" si="75"/>
        <v>40.673026834287242</v>
      </c>
      <c r="AG42" s="136">
        <f>IFERROR(AG19/$B42,0)</f>
        <v>2.2395242205271399E-4</v>
      </c>
      <c r="AH42" s="136">
        <f>IFERROR(AH19/$B42,0)</f>
        <v>2.1121648620359748E-4</v>
      </c>
      <c r="AI42" s="152">
        <f>IFERROR(up_RadSpec!$M$19*AI19,".")*$B$42</f>
        <v>6730.5047425000002</v>
      </c>
      <c r="AJ42" s="152">
        <f>IFERROR(up_RadSpec!$L$19*AJ19,".")*$B$42</f>
        <v>1226.9149270182288</v>
      </c>
      <c r="AK42" s="152">
        <f>IFERROR(up_RadSpec!$Q$19*AK19,".")*$B$42</f>
        <v>0.61465796735159817</v>
      </c>
      <c r="AL42" s="149">
        <f>up_b2w!AB42</f>
        <v>111630.85342348072</v>
      </c>
      <c r="AM42" s="150">
        <f t="shared" si="46"/>
        <v>119588.8877509663</v>
      </c>
      <c r="AN42" s="136">
        <f t="shared" ref="AN42" si="76">IFERROR(AN19/$B42,0)</f>
        <v>6.7535121352075113E-4</v>
      </c>
      <c r="AO42" s="152">
        <f>IFERROR(up_RadSpec!$J$19*AO19,".")*$B$42</f>
        <v>37017.776083749995</v>
      </c>
    </row>
    <row r="43" spans="1:41" x14ac:dyDescent="0.25">
      <c r="A43" s="148" t="s">
        <v>1073</v>
      </c>
      <c r="B43" s="141">
        <v>2.0897492E-2</v>
      </c>
      <c r="C43" s="136">
        <f>IFERROR(C28/$B43,0)</f>
        <v>15.819051989429843</v>
      </c>
      <c r="D43" s="136">
        <f>IFERROR(D28/$B43,0)</f>
        <v>147864.2405764815</v>
      </c>
      <c r="E43" s="136">
        <f>IFERROR(E28/$B43,0)</f>
        <v>6915.2913863096328</v>
      </c>
      <c r="F43" s="136">
        <f>IFERROR(F28/$B43,0)</f>
        <v>2.1035274079225885E-3</v>
      </c>
      <c r="G43" s="136">
        <f>IFERROR(G28/$B43,0)</f>
        <v>1.0546034659619894E-2</v>
      </c>
      <c r="H43" s="136">
        <f t="shared" si="38"/>
        <v>2.1032470604142911E-3</v>
      </c>
      <c r="I43" s="152">
        <f>IFERROR(up_RadSpec!I28*I28,".")*$B$43</f>
        <v>1.5803728324999999</v>
      </c>
      <c r="J43" s="152">
        <f>IFERROR(up_RadSpec!J28*J28,".")*B43</f>
        <v>1.6907400939220979E-4</v>
      </c>
      <c r="K43" s="152">
        <f>IFERROR(up_RadSpec!K28*K28,".")*B43</f>
        <v>3.6151766575582191E-3</v>
      </c>
      <c r="L43" s="149">
        <f>up_b2s!AB43</f>
        <v>11884.798793608126</v>
      </c>
      <c r="M43" s="150">
        <f t="shared" si="39"/>
        <v>11886.382950691293</v>
      </c>
      <c r="N43" s="136">
        <f>IFERROR(N28/$B43,0)</f>
        <v>6915.2913863096328</v>
      </c>
      <c r="O43" s="136">
        <f>IFERROR(O28/$B43,0)</f>
        <v>15420.133614707851</v>
      </c>
      <c r="P43" s="136">
        <f>IFERROR(P28/$B43,0)</f>
        <v>10706.025071649521</v>
      </c>
      <c r="Q43" s="136">
        <f>IFERROR(Q28/$B43,0)</f>
        <v>9269.3066648512577</v>
      </c>
      <c r="R43" s="136">
        <f>IFERROR(R28/$B43,0)</f>
        <v>27108.052000863718</v>
      </c>
      <c r="S43" s="152">
        <f>IFERROR(up_RadSpec!$K$28*S28,".")*$B$43</f>
        <v>3.6151766575582191E-3</v>
      </c>
      <c r="T43" s="152">
        <f>IFERROR(up_RadSpec!$R$28*T28,".")*$B$43</f>
        <v>1.6212570282889635E-3</v>
      </c>
      <c r="U43" s="152">
        <f>IFERROR(up_RadSpec!$S$28*U28,".")*$B$43</f>
        <v>2.3351337058047953E-3</v>
      </c>
      <c r="V43" s="152">
        <f>IFERROR(up_RadSpec!$T$28*V28,".")*$B$43</f>
        <v>2.6970733522927591E-3</v>
      </c>
      <c r="W43" s="152">
        <f>IFERROR(up_RadSpec!$P$28*W28,".")*$B$43</f>
        <v>9.2223520890410895E-4</v>
      </c>
      <c r="X43" s="136">
        <f t="shared" ref="X43:Y43" si="77">IFERROR(X28/$B43,0)</f>
        <v>0.47728339716679757</v>
      </c>
      <c r="Y43" s="136">
        <f t="shared" si="77"/>
        <v>762.16192485072986</v>
      </c>
      <c r="Z43" s="136">
        <f t="shared" si="68"/>
        <v>0.47698469833418128</v>
      </c>
      <c r="AA43" s="152">
        <f>IFERROR(up_RadSpec!$L$28*AA28,".")*$B$43</f>
        <v>52.379781380208321</v>
      </c>
      <c r="AB43" s="152">
        <f>IFERROR(up_RadSpec!$O$28*AB28,".")*$B$43</f>
        <v>3.2801428652968041E-2</v>
      </c>
      <c r="AC43" s="150">
        <f t="shared" si="42"/>
        <v>52.412582808861288</v>
      </c>
      <c r="AD43" s="136">
        <f t="shared" ref="AD43:AF43" si="78">IFERROR(AD28/$B43,0)</f>
        <v>0.17400957188372826</v>
      </c>
      <c r="AE43" s="136">
        <f t="shared" si="78"/>
        <v>0</v>
      </c>
      <c r="AF43" s="136">
        <f t="shared" si="78"/>
        <v>1905.4048121268245</v>
      </c>
      <c r="AG43" s="136">
        <f>IFERROR(AG28/$B43,0)</f>
        <v>1.049147447042164E-2</v>
      </c>
      <c r="AH43" s="136">
        <f>IFERROR(AH28/$B43,0)</f>
        <v>9.8948354852603972E-3</v>
      </c>
      <c r="AI43" s="152">
        <f>IFERROR(up_RadSpec!$M$28*AI28,".")*$B$43</f>
        <v>143.67025749999999</v>
      </c>
      <c r="AJ43" s="152">
        <f>IFERROR(up_RadSpec!$L$28*AJ28,".")*$B$43</f>
        <v>26.189890690104161</v>
      </c>
      <c r="AK43" s="152">
        <f>IFERROR(up_RadSpec!$Q$28*AK28,".")*$B$43</f>
        <v>1.3120571461187214E-2</v>
      </c>
      <c r="AL43" s="149">
        <f>up_b2w!AB43</f>
        <v>2382.8871785831343</v>
      </c>
      <c r="AM43" s="150">
        <f t="shared" si="46"/>
        <v>2552.7604473446995</v>
      </c>
      <c r="AN43" s="136">
        <f t="shared" ref="AN43" si="79">IFERROR(AN28/$B43,0)</f>
        <v>3.1638103978859689E-2</v>
      </c>
      <c r="AO43" s="152">
        <f>IFERROR(up_RadSpec!$J$28*AO28,".")*$B$43</f>
        <v>790.18641624999998</v>
      </c>
    </row>
    <row r="44" spans="1:41" x14ac:dyDescent="0.25">
      <c r="A44" s="148" t="s">
        <v>1074</v>
      </c>
      <c r="B44" s="141">
        <v>0.99987999999999999</v>
      </c>
      <c r="C44" s="136">
        <f>IFERROR(C15/$B44,0)</f>
        <v>0.33061818657908371</v>
      </c>
      <c r="D44" s="136">
        <f>IFERROR(D15/$B44,0)</f>
        <v>3090.3626280484636</v>
      </c>
      <c r="E44" s="136">
        <f>IFERROR(E15/$B44,0)</f>
        <v>0</v>
      </c>
      <c r="F44" s="136">
        <f>IFERROR(F15/$B44,0)</f>
        <v>4.3963722825582096E-5</v>
      </c>
      <c r="G44" s="136">
        <f>IFERROR(G15/$B44,0)</f>
        <v>2.2041212438605581E-4</v>
      </c>
      <c r="H44" s="136">
        <f t="shared" si="38"/>
        <v>4.3957876932200222E-5</v>
      </c>
      <c r="I44" s="149">
        <f>IFERROR(up_RadSpec!$I$15*I15,".")*$B$44</f>
        <v>75.615925000000004</v>
      </c>
      <c r="J44" s="149">
        <f>IFERROR(up_RadSpec!$L$15*J15,".")*B44</f>
        <v>8.0896655211583623E-3</v>
      </c>
      <c r="K44" s="149">
        <f>IFERROR(up_RadSpec!$K$15*K15,".")*B44</f>
        <v>0</v>
      </c>
      <c r="L44" s="149">
        <f>up_b2s!AB44</f>
        <v>568650.65998124995</v>
      </c>
      <c r="M44" s="150">
        <f t="shared" si="39"/>
        <v>568726.28399591544</v>
      </c>
      <c r="N44" s="136">
        <f>IFERROR(N15/$B44,0)</f>
        <v>0</v>
      </c>
      <c r="O44" s="136">
        <f>IFERROR(O15/$B44,0)</f>
        <v>0</v>
      </c>
      <c r="P44" s="136">
        <f>IFERROR(P15/$B44,0)</f>
        <v>0</v>
      </c>
      <c r="Q44" s="136">
        <f>IFERROR(Q15/$B44,0)</f>
        <v>0</v>
      </c>
      <c r="R44" s="136">
        <f>IFERROR(R15/$B44,0)</f>
        <v>0</v>
      </c>
      <c r="S44" s="149">
        <f>IFERROR(up_RadSpec!$K$15*S15,".")*$B$44</f>
        <v>0</v>
      </c>
      <c r="T44" s="149">
        <f>IFERROR(up_RadSpec!$R$15*T15,".")*$B$44</f>
        <v>0</v>
      </c>
      <c r="U44" s="149">
        <f>IFERROR(up_RadSpec!$S$15*U15,".")*$B$44</f>
        <v>0</v>
      </c>
      <c r="V44" s="149">
        <f>IFERROR(up_RadSpec!$T$15*V15,".")*$B$44</f>
        <v>0</v>
      </c>
      <c r="W44" s="149">
        <f>IFERROR(up_RadSpec!$P$15*W15,".")*$B$44</f>
        <v>0</v>
      </c>
      <c r="X44" s="136">
        <f t="shared" ref="X44:Y44" si="80">IFERROR(X15/$B44,0)</f>
        <v>9.9752230007860692E-3</v>
      </c>
      <c r="Y44" s="136">
        <f t="shared" si="80"/>
        <v>15.929184229380253</v>
      </c>
      <c r="Z44" s="136">
        <f t="shared" si="68"/>
        <v>9.9689801951843883E-3</v>
      </c>
      <c r="AA44" s="149">
        <f>IFERROR(up_RadSpec!$L$15*AA15,".")*$B$44</f>
        <v>2506.2096354166661</v>
      </c>
      <c r="AB44" s="149">
        <f>IFERROR(up_RadSpec!$O$15*AB15,".")*$B$44</f>
        <v>1.5694463470319635</v>
      </c>
      <c r="AC44" s="150">
        <f t="shared" si="42"/>
        <v>2507.7790817636978</v>
      </c>
      <c r="AD44" s="136">
        <f t="shared" ref="AD44:AF44" si="81">IFERROR(AD15/$B44,0)</f>
        <v>3.6368000523699208E-3</v>
      </c>
      <c r="AE44" s="136">
        <f t="shared" si="81"/>
        <v>0</v>
      </c>
      <c r="AF44" s="136">
        <f t="shared" si="81"/>
        <v>39.822960573450636</v>
      </c>
      <c r="AG44" s="136">
        <f>IFERROR(AG15/$B44,0)</f>
        <v>2.1927181643181226E-4</v>
      </c>
      <c r="AH44" s="136">
        <f>IFERROR(AH15/$B44,0)</f>
        <v>2.068020616419423E-4</v>
      </c>
      <c r="AI44" s="149">
        <f>IFERROR(up_RadSpec!$M$15*AI15,".")*$B$44</f>
        <v>6874.1750000000002</v>
      </c>
      <c r="AJ44" s="149">
        <f>IFERROR(up_RadSpec!$L$15*AJ15,".")*$B$44</f>
        <v>1253.104817708333</v>
      </c>
      <c r="AK44" s="149">
        <f>IFERROR(up_RadSpec!$Q$15*AK15,".")*$B$44</f>
        <v>0.62777853881278534</v>
      </c>
      <c r="AL44" s="149">
        <f>up_b2w!AB44</f>
        <v>114013.74060206386</v>
      </c>
      <c r="AM44" s="150">
        <f t="shared" si="46"/>
        <v>122141.648198311</v>
      </c>
      <c r="AN44" s="136">
        <f t="shared" ref="AN44" si="82">IFERROR(AN15/$B44,0)</f>
        <v>6.612363731581675E-4</v>
      </c>
      <c r="AO44" s="149">
        <f>IFERROR(up_RadSpec!$J$15*AO15,".")*$B$44</f>
        <v>37807.962500000001</v>
      </c>
    </row>
    <row r="45" spans="1:41" x14ac:dyDescent="0.25">
      <c r="A45" s="145" t="s">
        <v>8</v>
      </c>
      <c r="B45" s="145" t="s">
        <v>1221</v>
      </c>
      <c r="C45" s="133">
        <f>IFERROR(IF(AND(C46&lt;&gt;0,C47&lt;&gt;0),1/SUM(1/C46,1/C47),IF(AND(C46&lt;&gt;0,C47=0),1/(1/C46),IF(AND(C46=0,C47&lt;&gt;0),1/(1/C47),IF(AND(C46=0,C47=0),".")))),".")</f>
        <v>0.17005154985195101</v>
      </c>
      <c r="D45" s="133">
        <f t="shared" ref="D45:G45" si="83">IFERROR(IF(AND(D46&lt;&gt;0,D47&lt;&gt;0),1/SUM(1/D46,1/D47),IF(AND(D46&lt;&gt;0,D47=0),1/(1/D46),IF(AND(D46=0,D47&lt;&gt;0),1/(1/D47),IF(AND(D46=0,D47=0),".")))),".")</f>
        <v>1589.5101232686889</v>
      </c>
      <c r="E45" s="133">
        <f t="shared" si="83"/>
        <v>131.21793475004543</v>
      </c>
      <c r="F45" s="133">
        <f t="shared" si="83"/>
        <v>2.2612486267338325E-5</v>
      </c>
      <c r="G45" s="133">
        <f t="shared" si="83"/>
        <v>1.1336769990130067E-4</v>
      </c>
      <c r="H45" s="134">
        <f>IFERROR(IF(AND(H46&lt;&gt;0,H47&lt;&gt;0),1/SUM(1/H46,1/H47),IF(AND(H46&lt;&gt;0,H47=0),1/(1/H46),IF(AND(H46=0,H47&lt;&gt;0),1/(1/H47),IF(AND(H46=0,H47=0),".")))),".")</f>
        <v>2.2609475570206401E-5</v>
      </c>
      <c r="I45" s="146">
        <f>SUM(I46:I47)</f>
        <v>147.01424374999999</v>
      </c>
      <c r="J45" s="146">
        <f t="shared" ref="J45:K45" si="84">SUM(J46:J47)</f>
        <v>1.5728116250426697E-2</v>
      </c>
      <c r="K45" s="146">
        <f t="shared" si="84"/>
        <v>0.19052273645079099</v>
      </c>
      <c r="L45" s="159">
        <f>up_b2s!AB45</f>
        <v>1105583.8665609376</v>
      </c>
      <c r="M45" s="147">
        <f t="shared" si="39"/>
        <v>1105731.0870555404</v>
      </c>
      <c r="N45" s="134">
        <f t="shared" ref="N45:R45" si="85">IFERROR(IF(AND(N46&lt;&gt;0,N47&lt;&gt;0),1/SUM(1/N46,1/N47),IF(AND(N46&lt;&gt;0,N47=0),1/(1/N46),IF(AND(N46=0,N47&lt;&gt;0),1/(1/N47),IF(AND(N46=0,N47=0),".")))),".")</f>
        <v>131.21793475004543</v>
      </c>
      <c r="O45" s="134">
        <f t="shared" si="85"/>
        <v>223.91319196004366</v>
      </c>
      <c r="P45" s="134">
        <f t="shared" si="85"/>
        <v>159.09591770179014</v>
      </c>
      <c r="Q45" s="134">
        <f t="shared" si="85"/>
        <v>138.42828067086154</v>
      </c>
      <c r="R45" s="134">
        <f t="shared" si="85"/>
        <v>376.27384008456488</v>
      </c>
      <c r="S45" s="146">
        <f t="shared" ref="S45:W45" si="86">SUM(S46:S47)</f>
        <v>0.19052273645079099</v>
      </c>
      <c r="T45" s="146">
        <f t="shared" si="86"/>
        <v>0.11165041139899046</v>
      </c>
      <c r="U45" s="146">
        <f t="shared" si="86"/>
        <v>0.15713791001765409</v>
      </c>
      <c r="V45" s="146">
        <f t="shared" si="86"/>
        <v>0.18059893454461129</v>
      </c>
      <c r="W45" s="146">
        <f t="shared" si="86"/>
        <v>6.6440972868008652E-2</v>
      </c>
      <c r="X45" s="134">
        <f t="shared" ref="X45:Y45" si="87">IFERROR(IF(AND(X46&lt;&gt;0,X47&lt;&gt;0),1/SUM(1/X46,1/X47),IF(AND(X46&lt;&gt;0,X47=0),1/(1/X46),IF(AND(X46=0,X47&lt;&gt;0),1/(1/X47),IF(AND(X46=0,X47=0),".")))),".")</f>
        <v>5.130698189818865E-3</v>
      </c>
      <c r="Y45" s="134">
        <f t="shared" si="87"/>
        <v>8.193083671866999</v>
      </c>
      <c r="Z45" s="134">
        <f t="shared" ref="Z45" si="88">IFERROR(IF(AND(Z46&lt;&gt;0,Z47&lt;&gt;0),1/SUM(1/Z46,1/Z47),IF(AND(Z46&lt;&gt;0,Z47=0),1/(1/Z46),IF(AND(Z46=0,Z47&lt;&gt;0),1/(1/Z47),IF(AND(Z46=0,Z47=0),".")))),".")</f>
        <v>5.1274872389060486E-3</v>
      </c>
      <c r="AA45" s="146">
        <f t="shared" ref="AA45" si="89">SUM(AA46:AA47)</f>
        <v>4872.6311848958321</v>
      </c>
      <c r="AB45" s="146">
        <f t="shared" ref="AB45" si="90">SUM(AB46:AB47)</f>
        <v>3.051354166666667</v>
      </c>
      <c r="AC45" s="147">
        <f t="shared" si="42"/>
        <v>4875.682539062499</v>
      </c>
      <c r="AD45" s="134">
        <f t="shared" ref="AD45:AG45" si="91">IFERROR(IF(AND(AD46&lt;&gt;0,AD47&lt;&gt;0),1/SUM(1/AD46,1/AD47),IF(AND(AD46&lt;&gt;0,AD47=0),1/(1/AD46),IF(AND(AD46=0,AD47&lt;&gt;0),1/(1/AD47),IF(AND(AD46=0,AD47=0),".")))),".")</f>
        <v>1.8705670483714608E-3</v>
      </c>
      <c r="AE45" s="134" t="str">
        <f t="shared" si="91"/>
        <v>.</v>
      </c>
      <c r="AF45" s="134">
        <f t="shared" si="91"/>
        <v>20.482709179667498</v>
      </c>
      <c r="AG45" s="134">
        <f t="shared" si="91"/>
        <v>1.1278118910788658E-4</v>
      </c>
      <c r="AH45" s="134">
        <f t="shared" ref="AH45" si="92">IFERROR(IF(AND(AH46&lt;&gt;0,AH47&lt;&gt;0),1/SUM(1/AH46,1/AH47),IF(AND(AH46&lt;&gt;0,AH47=0),1/(1/AH46),IF(AND(AH46=0,AH47&lt;&gt;0),1/(1/AH47),IF(AND(AH46=0,AH47=0),".")))),".")</f>
        <v>1.0636744293671533E-4</v>
      </c>
      <c r="AI45" s="146">
        <f t="shared" ref="AI45" si="93">SUM(AI46:AI47)</f>
        <v>13364.93125</v>
      </c>
      <c r="AJ45" s="146">
        <f t="shared" ref="AJ45" si="94">SUM(AJ46:AJ47)</f>
        <v>2436.3155924479161</v>
      </c>
      <c r="AK45" s="146">
        <f t="shared" ref="AK45" si="95">SUM(AK46:AK47)</f>
        <v>1.2205416666666666</v>
      </c>
      <c r="AL45" s="146">
        <f>up_b2w!AB45</f>
        <v>221668.17177361896</v>
      </c>
      <c r="AM45" s="147">
        <f t="shared" si="46"/>
        <v>237470.63915773353</v>
      </c>
      <c r="AN45" s="134">
        <f t="shared" ref="AN45" si="96">IFERROR(IF(AND(AN46&lt;&gt;0,AN47&lt;&gt;0),1/SUM(1/AN46,1/AN47),IF(AND(AN46&lt;&gt;0,AN47=0),1/(1/AN46),IF(AND(AN46=0,AN47&lt;&gt;0),1/(1/AN47),IF(AND(AN46=0,AN47=0),".")))),".")</f>
        <v>3.40103099703902E-4</v>
      </c>
      <c r="AO45" s="146">
        <f>SUM(AO46:AO47)</f>
        <v>73507.121874999997</v>
      </c>
    </row>
    <row r="46" spans="1:41" x14ac:dyDescent="0.25">
      <c r="A46" s="148" t="s">
        <v>1086</v>
      </c>
      <c r="B46" s="141">
        <v>1</v>
      </c>
      <c r="C46" s="136">
        <f>IFERROR(C10/$B46,0)</f>
        <v>0.33057851239669422</v>
      </c>
      <c r="D46" s="136">
        <f>IFERROR(D10/$B46,0)</f>
        <v>3089.9917845330979</v>
      </c>
      <c r="E46" s="136">
        <f>IFERROR(E10/$B46,0)</f>
        <v>276.40981240981239</v>
      </c>
      <c r="F46" s="136">
        <f>IFERROR(F10/$B46,0)</f>
        <v>4.3958447178843029E-5</v>
      </c>
      <c r="G46" s="136">
        <f>IFERROR(G10/$B46,0)</f>
        <v>2.2038567493112948E-4</v>
      </c>
      <c r="H46" s="136">
        <f>(IF(AND(C46&lt;&gt;0,D46&lt;&gt;0,E46&lt;&gt;0,F46&lt;&gt;0),1/((1/C46)+(1/D46)+(1/E46)+(1/F46)),IF(AND(C46&lt;&gt;0,D46&lt;&gt;0,E46&lt;&gt;0,F46=0), 1/((1/C46)+(1/D46)+(1/E46)),IF(AND(C46&lt;&gt;0,D46&lt;&gt;0,E46=0,F46&lt;&gt;0),1/((1/C46)+(1/D46)+(1/F46)),IF(AND(C46&lt;&gt;0,D46=0,E46&lt;&gt;0,F46&lt;&gt;0),1/((1/C46)+(1/E46)+(1/F46)),IF(AND(C46=0,D46&lt;&gt;0,E46&lt;&gt;0,F46&lt;&gt;0),1/((1/D46)+(1/E46)+(1/F46)),IF(AND(C46&lt;&gt;0,D46&lt;&gt;0,E46=0,F46=0),1/((1/C46)+(1/D46)),IF(AND(C46&lt;&gt;0,D46=0,E46&lt;&gt;0,F46=0),1/((1/C46)+(1/E46)),IF(AND(C46&lt;&gt;0,D46=0,E46=0,F46&lt;&gt;0),1/((1/C46)+(1/F46)),IF(AND(C46=0,D46=0,E46&lt;&gt;0,F46&lt;&gt;0),1/((1/E46)+(1/F46)),IF(AND(C46=0,D46&lt;&gt;0,E46=0,F46&lt;&gt;0),1/((1/D46)+(1/F46)),IF(AND(C46=0,D46&lt;&gt;0,E46&lt;&gt;0,F46=0),1/((1/D46)+(1/E46)),IF(AND(C46&lt;&gt;0,D46=0,E46=0,F46=0),1/((1/C46)),IF(AND(C46=0,D46&lt;&gt;0,E46=0,F46=0),1/((1/D46)),IF(AND(C46=0,D46=0,E46&lt;&gt;0,F46=0),1/((1/E46)),IF(AND(C46=0,D46=0,E46=0,F46&lt;&gt;0),1/((1/F46)),IF(AND(C46=0,D46=0,E46=0,F46=0),0)))))))))))))))))</f>
        <v>4.3952594997958457E-5</v>
      </c>
      <c r="I46" s="149">
        <f>IFERROR(up_RadSpec!$I$10*I10,".")*$B$46</f>
        <v>75.625</v>
      </c>
      <c r="J46" s="149">
        <f>IFERROR(up_RadSpec!$L$10*J10,".")*B46</f>
        <v>8.0906363975260659E-3</v>
      </c>
      <c r="K46" s="149">
        <f>IFERROR(up_RadSpec!$K$10*K10,".")*B46</f>
        <v>9.0445414300033417E-2</v>
      </c>
      <c r="L46" s="149">
        <f>up_b2s!AB46</f>
        <v>568718.90625</v>
      </c>
      <c r="M46" s="150">
        <f t="shared" si="39"/>
        <v>568794.62978605065</v>
      </c>
      <c r="N46" s="136">
        <f>IFERROR(N10/$B46,0)</f>
        <v>276.40981240981239</v>
      </c>
      <c r="O46" s="136">
        <f>IFERROR(O10/$B46,0)</f>
        <v>430.7198973865639</v>
      </c>
      <c r="P46" s="136">
        <f>IFERROR(P10/$B46,0)</f>
        <v>307.59036342644413</v>
      </c>
      <c r="Q46" s="136">
        <f>IFERROR(Q10/$B46,0)</f>
        <v>281.32732952010059</v>
      </c>
      <c r="R46" s="136">
        <f>IFERROR(R10/$B46,0)</f>
        <v>724.07613070789353</v>
      </c>
      <c r="S46" s="149">
        <f>IFERROR(up_RadSpec!$K$10*S10,".")*$B46</f>
        <v>9.0445414300033417E-2</v>
      </c>
      <c r="T46" s="149">
        <f>IFERROR(up_RadSpec!$R$10*T10,".")*$B46</f>
        <v>5.8042361524717118E-2</v>
      </c>
      <c r="U46" s="149">
        <f>IFERROR(up_RadSpec!$S$10*U10,".")*$B46</f>
        <v>8.127692857965102E-2</v>
      </c>
      <c r="V46" s="149">
        <f>IFERROR(up_RadSpec!$T$10*V10,".")*$B46</f>
        <v>8.8864455659697195E-2</v>
      </c>
      <c r="W46" s="149">
        <f>IFERROR(up_RadSpec!$P$10*W10,".")*$B46</f>
        <v>3.4526756151399073E-2</v>
      </c>
      <c r="X46" s="136">
        <f t="shared" ref="X46:Y46" si="97">IFERROR(X10/$B46,0)</f>
        <v>9.9740259740259754E-3</v>
      </c>
      <c r="Y46" s="136">
        <f t="shared" si="97"/>
        <v>15.927272727272728</v>
      </c>
      <c r="Z46" s="136">
        <f t="shared" ref="Z46:Z47" si="98">IFERROR(IF(AND(X46&lt;&gt;0,Y46&lt;&gt;0),1/((1/X46)+(1/Y46)),IF(AND(X46&lt;&gt;0,Y46=0),1/((1/X46)),IF(AND(X46=0,Y46&lt;&gt;0),1/((1/Y46)),IF(AND(X46=".",Y46="."),".")))),".")</f>
        <v>9.9677839175609673E-3</v>
      </c>
      <c r="AA46" s="149">
        <f>IFERROR(up_RadSpec!$L$10*AA10,".")*$B$46</f>
        <v>2506.5104166666661</v>
      </c>
      <c r="AB46" s="149">
        <f>IFERROR(up_RadSpec!$O$10*AB10,".")*$B$46</f>
        <v>1.5696347031963471</v>
      </c>
      <c r="AC46" s="150">
        <f t="shared" si="42"/>
        <v>2508.0800513698623</v>
      </c>
      <c r="AD46" s="136">
        <f t="shared" ref="AD46:AF46" si="99">IFERROR(AD10/$B46,0)</f>
        <v>3.6363636363636364E-3</v>
      </c>
      <c r="AE46" s="136">
        <f t="shared" si="99"/>
        <v>0</v>
      </c>
      <c r="AF46" s="136">
        <f t="shared" si="99"/>
        <v>39.81818181818182</v>
      </c>
      <c r="AG46" s="136">
        <f>IFERROR(AG10/$B46,0)</f>
        <v>2.1924550381384044E-4</v>
      </c>
      <c r="AH46" s="136">
        <f>IFERROR(AH10/$B46,0)</f>
        <v>2.0677724539454526E-4</v>
      </c>
      <c r="AI46" s="149">
        <f>IFERROR(up_RadSpec!$M$10*AI10,".")*$B$46</f>
        <v>6875</v>
      </c>
      <c r="AJ46" s="149">
        <f>IFERROR(up_RadSpec!$L$10*AJ10,".")*$B$46</f>
        <v>1253.255208333333</v>
      </c>
      <c r="AK46" s="149">
        <f>IFERROR(up_RadSpec!$Q$10*AK10,".")*$B$46</f>
        <v>0.62785388127853881</v>
      </c>
      <c r="AL46" s="149">
        <f>up_b2w!AB46</f>
        <v>114027.42389293101</v>
      </c>
      <c r="AM46" s="150">
        <f t="shared" si="46"/>
        <v>122156.30695514561</v>
      </c>
      <c r="AN46" s="136">
        <f t="shared" ref="AN46" si="100">IFERROR(AN10/$B46,0)</f>
        <v>6.6115702479338848E-4</v>
      </c>
      <c r="AO46" s="149">
        <f>IFERROR(up_RadSpec!$J$10*AO10,".")*$B$46</f>
        <v>37812.5</v>
      </c>
    </row>
    <row r="47" spans="1:41" x14ac:dyDescent="0.25">
      <c r="A47" s="148" t="s">
        <v>1060</v>
      </c>
      <c r="B47" s="141">
        <v>0.94399</v>
      </c>
      <c r="C47" s="136">
        <f>IFERROR(C6/$B$47,0)</f>
        <v>0.35019281178475853</v>
      </c>
      <c r="D47" s="136">
        <f>IFERROR(D6/$B$47,0)</f>
        <v>3273.3310570377844</v>
      </c>
      <c r="E47" s="136">
        <f>IFERROR(E6/$B$47,0)</f>
        <v>249.80684397549851</v>
      </c>
      <c r="F47" s="136">
        <f>IFERROR(F6/$B$47,0)</f>
        <v>4.6566644963233754E-5</v>
      </c>
      <c r="G47" s="136">
        <f>IFERROR(G6/$B$47,0)</f>
        <v>2.3346187452317238E-4</v>
      </c>
      <c r="H47" s="136">
        <f>(IF(AND(C47&lt;&gt;0,D47&lt;&gt;0,E47&lt;&gt;0,F47&lt;&gt;0),1/((1/C47)+(1/D47)+(1/E47)+(1/F47)),IF(AND(C47&lt;&gt;0,D47&lt;&gt;0,E47&lt;&gt;0,F47=0), 1/((1/C47)+(1/D47)+(1/E47)),IF(AND(C47&lt;&gt;0,D47&lt;&gt;0,E47=0,F47&lt;&gt;0),1/((1/C47)+(1/D47)+(1/F47)),IF(AND(C47&lt;&gt;0,D47=0,E47&lt;&gt;0,F47&lt;&gt;0),1/((1/C47)+(1/E47)+(1/F47)),IF(AND(C47=0,D47&lt;&gt;0,E47&lt;&gt;0,F47&lt;&gt;0),1/((1/D47)+(1/E47)+(1/F47)),IF(AND(C47&lt;&gt;0,D47&lt;&gt;0,E47=0,F47=0),1/((1/C47)+(1/D47)),IF(AND(C47&lt;&gt;0,D47=0,E47&lt;&gt;0,F47=0),1/((1/C47)+(1/E47)),IF(AND(C47&lt;&gt;0,D47=0,E47=0,F47&lt;&gt;0),1/((1/C47)+(1/F47)),IF(AND(C47=0,D47=0,E47&lt;&gt;0,F47&lt;&gt;0),1/((1/E47)+(1/F47)),IF(AND(C47=0,D47&lt;&gt;0,E47=0,F47&lt;&gt;0),1/((1/D47)+(1/F47)),IF(AND(C47=0,D47&lt;&gt;0,E47&lt;&gt;0,F47=0),1/((1/D47)+(1/E47)),IF(AND(C47&lt;&gt;0,D47=0,E47=0,F47=0),1/((1/C47)),IF(AND(C47=0,D47&lt;&gt;0,E47=0,F47=0),1/((1/D47)),IF(AND(C47=0,D47=0,E47&lt;&gt;0,F47=0),1/((1/E47)),IF(AND(C47=0,D47=0,E47=0,F47&lt;&gt;0),1/((1/F47)),IF(AND(C47=0,D47=0,E47=0,F47=0),0)))))))))))))))))</f>
        <v>4.6560444278888772E-5</v>
      </c>
      <c r="I47" s="149">
        <f>IFERROR(up_RadSpec!$I$6*I6,".")*$B$47</f>
        <v>71.389243750000006</v>
      </c>
      <c r="J47" s="149">
        <f>IFERROR(up_RadSpec!$L$6*$J$6,".")*B47</f>
        <v>7.6374798529006312E-3</v>
      </c>
      <c r="K47" s="149">
        <f>IFERROR(up_RadSpec!$K$6*$K$6,".")*B47</f>
        <v>0.10007732215075757</v>
      </c>
      <c r="L47" s="149">
        <f>up_b2s!AB47</f>
        <v>536864.96031093749</v>
      </c>
      <c r="M47" s="150">
        <f t="shared" si="39"/>
        <v>536936.45726948953</v>
      </c>
      <c r="N47" s="136">
        <f>IFERROR(N6/$B$47,0)</f>
        <v>249.80684397549851</v>
      </c>
      <c r="O47" s="136">
        <f>IFERROR(O6/$B$47,0)</f>
        <v>466.34787235559509</v>
      </c>
      <c r="P47" s="136">
        <f>IFERROR(P6/$B$47,0)</f>
        <v>329.55017884168944</v>
      </c>
      <c r="Q47" s="136">
        <f>IFERROR(Q6/$B$47,0)</f>
        <v>272.52566650935972</v>
      </c>
      <c r="R47" s="136">
        <f>IFERROR(R6/$B$47,0)</f>
        <v>783.34994783026866</v>
      </c>
      <c r="S47" s="149">
        <f>IFERROR(up_RadSpec!$K$6*S6,".")*$B47</f>
        <v>0.10007732215075757</v>
      </c>
      <c r="T47" s="149">
        <f>IFERROR(up_RadSpec!$R$6*T6,".")*$B47</f>
        <v>5.3608049874273346E-2</v>
      </c>
      <c r="U47" s="149">
        <f>IFERROR(up_RadSpec!$S$6*U6,".")*$B47</f>
        <v>7.5860981438003086E-2</v>
      </c>
      <c r="V47" s="149">
        <f>IFERROR(up_RadSpec!$T$6*V6,".")*$B47</f>
        <v>9.1734478884914081E-2</v>
      </c>
      <c r="W47" s="149">
        <f>IFERROR(up_RadSpec!$P$6*W6,".")*$B47</f>
        <v>3.1914216716609572E-2</v>
      </c>
      <c r="X47" s="136">
        <f t="shared" ref="X47:Y47" si="101">IFERROR(X6/$B$47,0)</f>
        <v>1.0565817406991574E-2</v>
      </c>
      <c r="Y47" s="136">
        <f t="shared" si="101"/>
        <v>16.872289671789666</v>
      </c>
      <c r="Z47" s="136">
        <f t="shared" si="98"/>
        <v>1.0559204988994554E-2</v>
      </c>
      <c r="AA47" s="149">
        <f>IFERROR(up_RadSpec!$L$6*AA6,".")*$B$47</f>
        <v>2366.1207682291661</v>
      </c>
      <c r="AB47" s="149">
        <f>IFERROR(up_RadSpec!$O$6*AB6,".")*$B$47</f>
        <v>1.4817194634703197</v>
      </c>
      <c r="AC47" s="150">
        <f t="shared" si="42"/>
        <v>2367.6024876926363</v>
      </c>
      <c r="AD47" s="136">
        <f t="shared" ref="AD47:AF47" si="102">IFERROR(AD6/$B$47,0)</f>
        <v>3.8521209296323439E-3</v>
      </c>
      <c r="AE47" s="136">
        <f t="shared" si="102"/>
        <v>0</v>
      </c>
      <c r="AF47" s="136">
        <f t="shared" si="102"/>
        <v>42.180724179474169</v>
      </c>
      <c r="AG47" s="136">
        <f>IFERROR(AG6/$B$47,0)</f>
        <v>2.3225405334149774E-4</v>
      </c>
      <c r="AH47" s="136">
        <f>IFERROR(AH6/$B$47,0)</f>
        <v>2.1904601255791402E-4</v>
      </c>
      <c r="AI47" s="149">
        <f>IFERROR(up_RadSpec!$M$6*AI6,".")*$B$47</f>
        <v>6489.9312499999996</v>
      </c>
      <c r="AJ47" s="149">
        <f>IFERROR(up_RadSpec!$L$6*AJ6,".")*$B$47</f>
        <v>1183.060384114583</v>
      </c>
      <c r="AK47" s="149">
        <f>IFERROR(up_RadSpec!$Q$6*AK6,".")*$B$47</f>
        <v>0.59268778538812783</v>
      </c>
      <c r="AL47" s="149">
        <f>up_b2w!AB47</f>
        <v>107640.74788068795</v>
      </c>
      <c r="AM47" s="150">
        <f t="shared" si="46"/>
        <v>115314.33220258792</v>
      </c>
      <c r="AN47" s="136">
        <f t="shared" ref="AN47" si="103">IFERROR(AN6/$B$47,0)</f>
        <v>7.0038562356951719E-4</v>
      </c>
      <c r="AO47" s="149">
        <f>IFERROR(up_RadSpec!$J$6*AO6,".")*$B$47</f>
        <v>35694.621874999997</v>
      </c>
    </row>
    <row r="48" spans="1:41" x14ac:dyDescent="0.25">
      <c r="A48" s="145" t="s">
        <v>21</v>
      </c>
      <c r="B48" s="145" t="s">
        <v>1221</v>
      </c>
      <c r="C48" s="133">
        <f>1/SUM(1/C49,1/C50,1/C51,1/C52,1/C53,1/C54,1/C55,1/C56,1/C57,1/C58,1/C59,1/C60,1/C61,1/C62)</f>
        <v>3.6730940279564153E-2</v>
      </c>
      <c r="D48" s="133">
        <f t="shared" ref="D48:G48" si="104">1/SUM(1/D49,1/D50,1/D51,1/D52,1/D53,1/D54,1/D55,1/D56,1/D57,1/D58,1/D59,1/D60,1/D61,1/D62)</f>
        <v>343.33236869863788</v>
      </c>
      <c r="E48" s="133">
        <f>1/SUM(1/E49,1/E50,1/E52,1/E54,1/E55,1/E56,1/E57,1/E58,1/E59,1/E60,1/E61,1/E62)</f>
        <v>33.183668476437539</v>
      </c>
      <c r="F48" s="133">
        <f t="shared" si="104"/>
        <v>4.8842711717780858E-6</v>
      </c>
      <c r="G48" s="133">
        <f t="shared" si="104"/>
        <v>2.4487293519709427E-5</v>
      </c>
      <c r="H48" s="134">
        <f>1/SUM(1/H49,1/H50,1/H51,1/H52,1/H53,1/H54,1/H55,1/H56,1/H57,1/H58,1/H59,1/H60,1/H61,1/H62)</f>
        <v>4.883620987392494E-6</v>
      </c>
      <c r="I48" s="146">
        <f>SUM(I49:I62)</f>
        <v>680.62510269874997</v>
      </c>
      <c r="J48" s="146">
        <f t="shared" ref="J48:K48" si="105">SUM(J49:J62)</f>
        <v>7.2815738564818822E-2</v>
      </c>
      <c r="K48" s="146">
        <f t="shared" si="105"/>
        <v>0.7533826471823496</v>
      </c>
      <c r="L48" s="159">
        <f>up_b2s!AB48</f>
        <v>5118470.9285702743</v>
      </c>
      <c r="M48" s="147">
        <f t="shared" si="39"/>
        <v>5119152.3798713591</v>
      </c>
      <c r="N48" s="134">
        <f t="shared" ref="N48:R48" si="106">1/SUM(1/N49,1/N50,1/N52,1/N54,1/N55,1/N56,1/N57,1/N58,1/N59,1/N60,1/N61,1/N62)</f>
        <v>33.183668476437539</v>
      </c>
      <c r="O48" s="134">
        <f t="shared" si="106"/>
        <v>62.466218656323669</v>
      </c>
      <c r="P48" s="134">
        <f t="shared" si="106"/>
        <v>44.426952008626799</v>
      </c>
      <c r="Q48" s="134">
        <f t="shared" si="106"/>
        <v>37.594100836614075</v>
      </c>
      <c r="R48" s="134">
        <f t="shared" si="106"/>
        <v>107.44031958389807</v>
      </c>
      <c r="S48" s="146">
        <f t="shared" ref="S48:W48" si="107">SUM(S49:S62)</f>
        <v>0.7533826471823496</v>
      </c>
      <c r="T48" s="146">
        <f t="shared" si="107"/>
        <v>0.40021631751947206</v>
      </c>
      <c r="U48" s="146">
        <f t="shared" si="107"/>
        <v>0.56272147580922305</v>
      </c>
      <c r="V48" s="146">
        <f t="shared" si="107"/>
        <v>0.66499795030745124</v>
      </c>
      <c r="W48" s="146">
        <f t="shared" si="107"/>
        <v>0.23268731977735765</v>
      </c>
      <c r="X48" s="134">
        <f>1/SUM(1/X49,1/X50,1/X51,1/X52,1/X53,1/X54,1/X55,1/X56,1/X57,1/X58,1/X59,1/X60,1/X61,1/X62)</f>
        <v>1.1082249410062784E-3</v>
      </c>
      <c r="Y48" s="134">
        <f t="shared" ref="Y48:Z48" si="108">1/SUM(1/Y49,1/Y50,1/Y51,1/Y52,1/Y53,1/Y54,1/Y55,1/Y56,1/Y57,1/Y58,1/Y59,1/Y60,1/Y61,1/Y62)</f>
        <v>1.7696967026694006</v>
      </c>
      <c r="Z48" s="134">
        <f t="shared" si="108"/>
        <v>1.1075313792814837E-3</v>
      </c>
      <c r="AA48" s="146">
        <f t="shared" ref="AA48" si="109">SUM(AA49:AA62)</f>
        <v>22558.597153841136</v>
      </c>
      <c r="AB48" s="146">
        <f t="shared" ref="AB48" si="110">SUM(AB49:AB62)</f>
        <v>14.126714460331051</v>
      </c>
      <c r="AC48" s="147">
        <f t="shared" si="42"/>
        <v>22572.723868301466</v>
      </c>
      <c r="AD48" s="134">
        <f t="shared" ref="AD48:AH48" si="111">1/SUM(1/AD49,1/AD50,1/AD51,1/AD52,1/AD53,1/AD54,1/AD55,1/AD56,1/AD57,1/AD58,1/AD59,1/AD60,1/AD61,1/AD62)</f>
        <v>4.040403430752056E-4</v>
      </c>
      <c r="AE48" s="134">
        <f>1/SUM(1/AE49,1/AE50)</f>
        <v>9.9740259740259754E-3</v>
      </c>
      <c r="AF48" s="134">
        <f t="shared" si="111"/>
        <v>4.4242417566735019</v>
      </c>
      <c r="AG48" s="134">
        <f t="shared" si="111"/>
        <v>2.4360607859126109E-5</v>
      </c>
      <c r="AH48" s="134">
        <f t="shared" si="111"/>
        <v>2.2922443994432235E-5</v>
      </c>
      <c r="AI48" s="146">
        <f t="shared" ref="AI48" si="112">SUM(AI49:AI62)</f>
        <v>61875.009336249997</v>
      </c>
      <c r="AJ48" s="146">
        <f t="shared" ref="AJ48" si="113">SUM(AJ49:AJ62)</f>
        <v>11279.298576920568</v>
      </c>
      <c r="AK48" s="146">
        <f t="shared" ref="AK48" si="114">SUM(AK49:AK62)</f>
        <v>5.6506857841324214</v>
      </c>
      <c r="AL48" s="146">
        <f>up_b2w!AB48</f>
        <v>1026246.9698856205</v>
      </c>
      <c r="AM48" s="147">
        <f t="shared" si="46"/>
        <v>1099406.9284845751</v>
      </c>
      <c r="AN48" s="134">
        <f>1/SUM(1/AN49,1/AN50,1/AN51,1/AN52,1/AN53,1/AN54,1/AN55,1/AN56,1/AN57,1/AN58,1/AN59,1/AN60,1/AN61,1/AN62)</f>
        <v>7.3461880559128306E-5</v>
      </c>
      <c r="AO48" s="146">
        <f t="shared" ref="AO48" si="115">SUM(AO49:AO62)</f>
        <v>340312.55134937499</v>
      </c>
    </row>
    <row r="49" spans="1:41" x14ac:dyDescent="0.25">
      <c r="A49" s="148" t="s">
        <v>1088</v>
      </c>
      <c r="B49" s="141">
        <v>1</v>
      </c>
      <c r="C49" s="136">
        <f>IFERROR(C23/$B49,0)</f>
        <v>0.33057851239669422</v>
      </c>
      <c r="D49" s="136">
        <f>IFERROR(D23/$B49,0)</f>
        <v>3089.9917845330979</v>
      </c>
      <c r="E49" s="136">
        <f>IFERROR(E23/$B49,0)</f>
        <v>194.46624184916195</v>
      </c>
      <c r="F49" s="136">
        <f>IFERROR(F23/$B49,0)</f>
        <v>4.3958447178843029E-5</v>
      </c>
      <c r="G49" s="136">
        <f>IFERROR(G23/$B49,0)</f>
        <v>2.2038567493112948E-4</v>
      </c>
      <c r="H49" s="136">
        <f>(IF(AND(C49&lt;&gt;0,D49&lt;&gt;0,E49&lt;&gt;0,F49&lt;&gt;0),1/((1/C49)+(1/D49)+(1/E49)+(1/F49)),IF(AND(C49&lt;&gt;0,D49&lt;&gt;0,E49&lt;&gt;0,F49=0), 1/((1/C49)+(1/D49)+(1/E49)),IF(AND(C49&lt;&gt;0,D49&lt;&gt;0,E49=0,F49&lt;&gt;0),1/((1/C49)+(1/D49)+(1/F49)),IF(AND(C49&lt;&gt;0,D49=0,E49&lt;&gt;0,F49&lt;&gt;0),1/((1/C49)+(1/E49)+(1/F49)),IF(AND(C49=0,D49&lt;&gt;0,E49&lt;&gt;0,F49&lt;&gt;0),1/((1/D49)+(1/E49)+(1/F49)),IF(AND(C49&lt;&gt;0,D49&lt;&gt;0,E49=0,F49=0),1/((1/C49)+(1/D49)),IF(AND(C49&lt;&gt;0,D49=0,E49&lt;&gt;0,F49=0),1/((1/C49)+(1/E49)),IF(AND(C49&lt;&gt;0,D49=0,E49=0,F49&lt;&gt;0),1/((1/C49)+(1/F49)),IF(AND(C49=0,D49=0,E49&lt;&gt;0,F49&lt;&gt;0),1/((1/E49)+(1/F49)),IF(AND(C49=0,D49&lt;&gt;0,E49=0,F49&lt;&gt;0),1/((1/D49)+(1/F49)),IF(AND(C49=0,D49&lt;&gt;0,E49&lt;&gt;0,F49=0),1/((1/D49)+(1/E49)),IF(AND(C49&lt;&gt;0,D49=0,E49=0,F49=0),1/((1/C49)),IF(AND(C49=0,D49&lt;&gt;0,E49=0,F49=0),1/((1/D49)),IF(AND(C49=0,D49=0,E49&lt;&gt;0,F49=0),1/((1/E49)),IF(AND(C49=0,D49=0,E49=0,F49&lt;&gt;0),1/((1/F49)),IF(AND(C49=0,D49=0,E49=0,F49=0),0)))))))))))))))))</f>
        <v>4.3952592052952219E-5</v>
      </c>
      <c r="I49" s="149">
        <f>IFERROR(up_RadSpec!$I$23*I23,".")*$B$49</f>
        <v>75.625</v>
      </c>
      <c r="J49" s="149">
        <f>IFERROR(up_RadSpec!$L$23*$J$23,".")*B49</f>
        <v>8.0906363975260659E-3</v>
      </c>
      <c r="K49" s="149">
        <f>IFERROR(up_RadSpec!$K$23*$K$23,".")*B49</f>
        <v>0.12855701720914262</v>
      </c>
      <c r="L49" s="149">
        <f>up_b2s!AB49</f>
        <v>568718.90625</v>
      </c>
      <c r="M49" s="150">
        <f t="shared" si="39"/>
        <v>568794.66789765365</v>
      </c>
      <c r="N49" s="136">
        <f>IFERROR(N23/$B49,0)</f>
        <v>194.46624184916195</v>
      </c>
      <c r="O49" s="136">
        <f>IFERROR(O23/$B49,0)</f>
        <v>346.1535689835336</v>
      </c>
      <c r="P49" s="136">
        <f>IFERROR(P23/$B49,0)</f>
        <v>244.77396269819053</v>
      </c>
      <c r="Q49" s="136">
        <f>IFERROR(Q23/$B49,0)</f>
        <v>200.30636030636026</v>
      </c>
      <c r="R49" s="136">
        <f>IFERROR(R23/$B49,0)</f>
        <v>544.89976043374088</v>
      </c>
      <c r="S49" s="149">
        <f>IFERROR(up_RadSpec!$K$23*$S$23,".")*$B$49</f>
        <v>0.12855701720914262</v>
      </c>
      <c r="T49" s="149">
        <f>IFERROR(up_RadSpec!$R$23*$T$23,".")*$B$49</f>
        <v>7.2222280051630033E-2</v>
      </c>
      <c r="U49" s="149">
        <f>IFERROR(up_RadSpec!$S$23*$U$23,".")*$B$49</f>
        <v>0.10213504624601483</v>
      </c>
      <c r="V49" s="149">
        <f>IFERROR(up_RadSpec!$T$23*$V$23,".")*$B$49</f>
        <v>0.12480881766192316</v>
      </c>
      <c r="W49" s="149">
        <f>IFERROR(up_RadSpec!$P$23*$W$23,".")*$B$49</f>
        <v>4.5879998148833777E-2</v>
      </c>
      <c r="X49" s="136">
        <f t="shared" ref="X49:Y49" si="116">IFERROR(X23/$B49,0)</f>
        <v>9.9740259740259754E-3</v>
      </c>
      <c r="Y49" s="136">
        <f t="shared" si="116"/>
        <v>15.927272727272728</v>
      </c>
      <c r="Z49" s="136">
        <f t="shared" ref="Z49:Z62" si="117">IFERROR(IF(AND(X49&lt;&gt;0,Y49&lt;&gt;0),1/((1/X49)+(1/Y49)),IF(AND(X49&lt;&gt;0,Y49=0),1/((1/X49)),IF(AND(X49=0,Y49&lt;&gt;0),1/((1/Y49)),IF(AND(X49=".",Y49="."),".")))),".")</f>
        <v>9.9677839175609673E-3</v>
      </c>
      <c r="AA49" s="149">
        <f>IFERROR(up_RadSpec!$L$23*AA23,".")*$B$49</f>
        <v>2506.5104166666661</v>
      </c>
      <c r="AB49" s="149">
        <f>IFERROR(up_RadSpec!$O$23*AB23,".")*$B$49</f>
        <v>1.5696347031963471</v>
      </c>
      <c r="AC49" s="150">
        <f t="shared" si="42"/>
        <v>2508.0800513698623</v>
      </c>
      <c r="AD49" s="136">
        <f t="shared" ref="AD49:AF49" si="118">IFERROR(AD23/$B49,0)</f>
        <v>3.6363636363636364E-3</v>
      </c>
      <c r="AE49" s="136">
        <f t="shared" si="118"/>
        <v>1.9948051948051951E-2</v>
      </c>
      <c r="AF49" s="136">
        <f t="shared" si="118"/>
        <v>39.81818181818182</v>
      </c>
      <c r="AG49" s="136">
        <f>IFERROR(AG23/$B49,0)</f>
        <v>2.1924550381384044E-4</v>
      </c>
      <c r="AH49" s="136">
        <f>IFERROR(AH23/$B49,0)</f>
        <v>2.0465582681031537E-4</v>
      </c>
      <c r="AI49" s="149">
        <f>IFERROR(up_RadSpec!$M$23*AI23,".")*$B$49</f>
        <v>6875</v>
      </c>
      <c r="AJ49" s="149">
        <f>IFERROR(up_RadSpec!$L$23*AJ23,".")*$B$49</f>
        <v>1253.255208333333</v>
      </c>
      <c r="AK49" s="149">
        <f>IFERROR(up_RadSpec!$Q$23*AK23,".")*$B$49</f>
        <v>0.62785388127853881</v>
      </c>
      <c r="AL49" s="149">
        <f>up_b2w!AB49</f>
        <v>114027.42389293101</v>
      </c>
      <c r="AM49" s="150">
        <f t="shared" si="46"/>
        <v>122156.30695514561</v>
      </c>
      <c r="AN49" s="136">
        <f t="shared" ref="AN49" si="119">IFERROR(AN23/$B49,0)</f>
        <v>6.6115702479338848E-4</v>
      </c>
      <c r="AO49" s="149">
        <f>IFERROR(up_RadSpec!$J$23*AO23,".")*$B$49</f>
        <v>37812.5</v>
      </c>
    </row>
    <row r="50" spans="1:41" x14ac:dyDescent="0.25">
      <c r="A50" s="148" t="s">
        <v>1075</v>
      </c>
      <c r="B50" s="141">
        <v>1</v>
      </c>
      <c r="C50" s="136">
        <f>IFERROR(C25/$B50,0)</f>
        <v>0.33057851239669422</v>
      </c>
      <c r="D50" s="136">
        <f>IFERROR(D25/$B50,0)</f>
        <v>3089.9917845330979</v>
      </c>
      <c r="E50" s="136">
        <f>IFERROR(E25/$B50,0)</f>
        <v>284.28866983083856</v>
      </c>
      <c r="F50" s="136">
        <f>IFERROR(F25/$B50,0)</f>
        <v>4.3958447178843029E-5</v>
      </c>
      <c r="G50" s="136">
        <f>IFERROR(G25/$B50,0)</f>
        <v>2.2038567493112948E-4</v>
      </c>
      <c r="H50" s="136">
        <f t="shared" ref="H50:H62" si="120">(IF(AND(C50&lt;&gt;0,D50&lt;&gt;0,E50&lt;&gt;0,F50&lt;&gt;0),1/((1/C50)+(1/D50)+(1/E50)+(1/F50)),IF(AND(C50&lt;&gt;0,D50&lt;&gt;0,E50&lt;&gt;0,F50=0), 1/((1/C50)+(1/D50)+(1/E50)),IF(AND(C50&lt;&gt;0,D50&lt;&gt;0,E50=0,F50&lt;&gt;0),1/((1/C50)+(1/D50)+(1/F50)),IF(AND(C50&lt;&gt;0,D50=0,E50&lt;&gt;0,F50&lt;&gt;0),1/((1/C50)+(1/E50)+(1/F50)),IF(AND(C50=0,D50&lt;&gt;0,E50&lt;&gt;0,F50&lt;&gt;0),1/((1/D50)+(1/E50)+(1/F50)),IF(AND(C50&lt;&gt;0,D50&lt;&gt;0,E50=0,F50=0),1/((1/C50)+(1/D50)),IF(AND(C50&lt;&gt;0,D50=0,E50&lt;&gt;0,F50=0),1/((1/C50)+(1/E50)),IF(AND(C50&lt;&gt;0,D50=0,E50=0,F50&lt;&gt;0),1/((1/C50)+(1/F50)),IF(AND(C50=0,D50=0,E50&lt;&gt;0,F50&lt;&gt;0),1/((1/E50)+(1/F50)),IF(AND(C50=0,D50&lt;&gt;0,E50=0,F50&lt;&gt;0),1/((1/D50)+(1/F50)),IF(AND(C50=0,D50&lt;&gt;0,E50&lt;&gt;0,F50=0),1/((1/D50)+(1/E50)),IF(AND(C50&lt;&gt;0,D50=0,E50=0,F50=0),1/((1/C50)),IF(AND(C50=0,D50&lt;&gt;0,E50=0,F50=0),1/((1/D50)),IF(AND(C50=0,D50=0,E50&lt;&gt;0,F50=0),1/((1/E50)),IF(AND(C50=0,D50=0,E50=0,F50&lt;&gt;0),1/((1/F50)),IF(AND(C50=0,D50=0,E50=0,F50=0),0)))))))))))))))))</f>
        <v>4.3952595191653845E-5</v>
      </c>
      <c r="I50" s="149">
        <f>IFERROR(up_RadSpec!$I$25*I25,".")*$B$50</f>
        <v>75.625</v>
      </c>
      <c r="J50" s="149">
        <f>IFERROR(up_RadSpec!$L$25*$J$25,".")*B50</f>
        <v>8.0906363975260659E-3</v>
      </c>
      <c r="K50" s="149">
        <f>IFERROR(up_RadSpec!$K$25*$K$25,".")*B50</f>
        <v>8.7938784246575336E-2</v>
      </c>
      <c r="L50" s="149">
        <f>up_b2s!AB50</f>
        <v>568718.90625</v>
      </c>
      <c r="M50" s="150">
        <f t="shared" si="39"/>
        <v>568794.62727942062</v>
      </c>
      <c r="N50" s="136">
        <f>IFERROR(N25/$B50,0)</f>
        <v>284.28866983083856</v>
      </c>
      <c r="O50" s="136">
        <f>IFERROR(O25/$B50,0)</f>
        <v>509.10201418675985</v>
      </c>
      <c r="P50" s="136">
        <f>IFERROR(P25/$B50,0)</f>
        <v>365.1816348445563</v>
      </c>
      <c r="Q50" s="136">
        <f>IFERROR(Q25/$B50,0)</f>
        <v>326.09800745393966</v>
      </c>
      <c r="R50" s="136">
        <f>IFERROR(R25/$B50,0)</f>
        <v>912.76400367309452</v>
      </c>
      <c r="S50" s="149">
        <f>IFERROR(up_RadSpec!$K$25*$S$25,".")*$B$50</f>
        <v>8.7938784246575336E-2</v>
      </c>
      <c r="T50" s="149">
        <f>IFERROR(up_RadSpec!$R$25*$T$25,".")*$B$50</f>
        <v>4.9106071677864072E-2</v>
      </c>
      <c r="U50" s="149">
        <f>IFERROR(up_RadSpec!$S$25*$U$25,".")*$B$50</f>
        <v>6.8459083411030602E-2</v>
      </c>
      <c r="V50" s="149">
        <f>IFERROR(up_RadSpec!$T$25*$V$25,".")*$B$50</f>
        <v>7.6664068557766876E-2</v>
      </c>
      <c r="W50" s="149">
        <f>IFERROR(up_RadSpec!$P$25*$W$25,".")*$B$50</f>
        <v>2.7389336016096583E-2</v>
      </c>
      <c r="X50" s="136">
        <f t="shared" ref="X50:Y50" si="121">IFERROR(X25/$B50,0)</f>
        <v>9.9740259740259754E-3</v>
      </c>
      <c r="Y50" s="136">
        <f t="shared" si="121"/>
        <v>15.927272727272728</v>
      </c>
      <c r="Z50" s="136">
        <f t="shared" si="117"/>
        <v>9.9677839175609673E-3</v>
      </c>
      <c r="AA50" s="149">
        <f>IFERROR(up_RadSpec!$L$25*AA$25,".")*$B$50</f>
        <v>2506.5104166666661</v>
      </c>
      <c r="AB50" s="149">
        <f>IFERROR(up_RadSpec!$O$25*$AB$25,".")*$B$50</f>
        <v>1.5696347031963471</v>
      </c>
      <c r="AC50" s="150">
        <f t="shared" si="42"/>
        <v>2508.0800513698623</v>
      </c>
      <c r="AD50" s="136">
        <f t="shared" ref="AD50:AF50" si="122">IFERROR(AD25/$B50,0)</f>
        <v>3.6363636363636364E-3</v>
      </c>
      <c r="AE50" s="136">
        <f t="shared" si="122"/>
        <v>1.9948051948051951E-2</v>
      </c>
      <c r="AF50" s="136">
        <f t="shared" si="122"/>
        <v>39.81818181818182</v>
      </c>
      <c r="AG50" s="136">
        <f>IFERROR(AG25/$B50,0)</f>
        <v>2.1924550381384044E-4</v>
      </c>
      <c r="AH50" s="136">
        <f>IFERROR(AH25/$B50,0)</f>
        <v>2.0465582681031537E-4</v>
      </c>
      <c r="AI50" s="149">
        <f>IFERROR(up_RadSpec!$M$25*AI25,".")*$B$50</f>
        <v>6875</v>
      </c>
      <c r="AJ50" s="149">
        <f>IFERROR(up_RadSpec!$L$25*AJ25,".")*$B$50</f>
        <v>1253.255208333333</v>
      </c>
      <c r="AK50" s="149">
        <f>IFERROR(up_RadSpec!$Q$25*AK25,".")*$B$50</f>
        <v>0.62785388127853881</v>
      </c>
      <c r="AL50" s="149">
        <f>up_b2w!AB50</f>
        <v>114027.42389293101</v>
      </c>
      <c r="AM50" s="150">
        <f t="shared" si="46"/>
        <v>122156.30695514561</v>
      </c>
      <c r="AN50" s="136">
        <f t="shared" ref="AN50" si="123">IFERROR(AN25/$B50,0)</f>
        <v>6.6115702479338848E-4</v>
      </c>
      <c r="AO50" s="149">
        <f>IFERROR(up_RadSpec!$J$25*AO25,".")*$B$50</f>
        <v>37812.5</v>
      </c>
    </row>
    <row r="51" spans="1:41" x14ac:dyDescent="0.25">
      <c r="A51" s="148" t="s">
        <v>1061</v>
      </c>
      <c r="B51" s="141">
        <v>1</v>
      </c>
      <c r="C51" s="136">
        <f>IFERROR(C21/$B51,0)</f>
        <v>0.33057851239669422</v>
      </c>
      <c r="D51" s="136">
        <f>IFERROR(D21/$B51,0)</f>
        <v>3089.9917845330979</v>
      </c>
      <c r="E51" s="136">
        <f>IFERROR(E21/$B51,0)</f>
        <v>0</v>
      </c>
      <c r="F51" s="136">
        <f>IFERROR(F21/$B51,0)</f>
        <v>4.3958447178843029E-5</v>
      </c>
      <c r="G51" s="136">
        <f>IFERROR(G21/$B51,0)</f>
        <v>2.2038567493112948E-4</v>
      </c>
      <c r="H51" s="136">
        <f t="shared" si="120"/>
        <v>4.3952601986968353E-5</v>
      </c>
      <c r="I51" s="149">
        <f>IFERROR(up_RadSpec!$I$21*I21,".")*$B$51</f>
        <v>75.625</v>
      </c>
      <c r="J51" s="149">
        <f>IFERROR(up_RadSpec!$L$21*$J$21,".")*B51</f>
        <v>8.0906363975260659E-3</v>
      </c>
      <c r="K51" s="149">
        <f>IFERROR(up_RadSpec!$K$21*$K$21,".")*B51</f>
        <v>0</v>
      </c>
      <c r="L51" s="149">
        <f>up_b2s!AB51</f>
        <v>568718.90625</v>
      </c>
      <c r="M51" s="150">
        <f t="shared" si="39"/>
        <v>568794.53934063634</v>
      </c>
      <c r="N51" s="136">
        <f>IFERROR(N21/$B51,0)</f>
        <v>0</v>
      </c>
      <c r="O51" s="136">
        <f>IFERROR(O21/$B51,0)</f>
        <v>0</v>
      </c>
      <c r="P51" s="136">
        <f>IFERROR(P21/$B51,0)</f>
        <v>0</v>
      </c>
      <c r="Q51" s="136">
        <f>IFERROR(Q21/$B51,0)</f>
        <v>0</v>
      </c>
      <c r="R51" s="136">
        <f>IFERROR(R21/$B51,0)</f>
        <v>0</v>
      </c>
      <c r="S51" s="149">
        <f>IFERROR(up_RadSpec!$K$21*$S$21,".")*$B$51</f>
        <v>0</v>
      </c>
      <c r="T51" s="149">
        <f>IFERROR(up_RadSpec!$R$21*$T$21,".")*$B$51</f>
        <v>0</v>
      </c>
      <c r="U51" s="149">
        <f>IFERROR(up_RadSpec!$S$21*$U$21,".")*$B$51</f>
        <v>0</v>
      </c>
      <c r="V51" s="149">
        <f>IFERROR(up_RadSpec!$T$21*$V$21,".")*$B$51</f>
        <v>0</v>
      </c>
      <c r="W51" s="149">
        <f>IFERROR(up_RadSpec!$P$21*$W$21,".")*$B$51</f>
        <v>0</v>
      </c>
      <c r="X51" s="136">
        <f t="shared" ref="X51:Y51" si="124">IFERROR(X21/$B51,0)</f>
        <v>9.9740259740259754E-3</v>
      </c>
      <c r="Y51" s="136">
        <f t="shared" si="124"/>
        <v>15.927272727272728</v>
      </c>
      <c r="Z51" s="136">
        <f t="shared" si="117"/>
        <v>9.9677839175609673E-3</v>
      </c>
      <c r="AA51" s="149">
        <f>IFERROR(up_RadSpec!$L$21*AA21,".")*$B$51</f>
        <v>2506.5104166666661</v>
      </c>
      <c r="AB51" s="149">
        <f>IFERROR(up_RadSpec!$O$21*$AB$21,".")*$B$51</f>
        <v>1.5696347031963471</v>
      </c>
      <c r="AC51" s="150">
        <f t="shared" si="42"/>
        <v>2508.0800513698623</v>
      </c>
      <c r="AD51" s="136">
        <f t="shared" ref="AD51:AF51" si="125">IFERROR(AD21/$B51,0)</f>
        <v>3.6363636363636364E-3</v>
      </c>
      <c r="AE51" s="136">
        <f t="shared" si="125"/>
        <v>0</v>
      </c>
      <c r="AF51" s="136">
        <f t="shared" si="125"/>
        <v>39.81818181818182</v>
      </c>
      <c r="AG51" s="136">
        <f>IFERROR(AG21/$B51,0)</f>
        <v>2.1924550381384044E-4</v>
      </c>
      <c r="AH51" s="136">
        <f>IFERROR(AH21/$B51,0)</f>
        <v>2.0677724539454526E-4</v>
      </c>
      <c r="AI51" s="149">
        <f>IFERROR(up_RadSpec!$M$21*AI21,".")*$B$51</f>
        <v>6875</v>
      </c>
      <c r="AJ51" s="149">
        <f>IFERROR(up_RadSpec!$L$21*AJ21,".")*$B$51</f>
        <v>1253.255208333333</v>
      </c>
      <c r="AK51" s="149">
        <f>IFERROR(up_RadSpec!$Q$21*AK21,".")*$B$51</f>
        <v>0.62785388127853881</v>
      </c>
      <c r="AL51" s="149">
        <f>up_b2w!AB51</f>
        <v>114027.42389293101</v>
      </c>
      <c r="AM51" s="150">
        <f t="shared" si="46"/>
        <v>122156.30695514561</v>
      </c>
      <c r="AN51" s="136">
        <f t="shared" ref="AN51" si="126">IFERROR(AN21/$B51,0)</f>
        <v>6.6115702479338848E-4</v>
      </c>
      <c r="AO51" s="149">
        <f>IFERROR(up_RadSpec!$J$21*AO21,".")*$B$51</f>
        <v>37812.5</v>
      </c>
    </row>
    <row r="52" spans="1:41" x14ac:dyDescent="0.25">
      <c r="A52" s="148" t="s">
        <v>1062</v>
      </c>
      <c r="B52" s="141">
        <v>0.99980000000000002</v>
      </c>
      <c r="C52" s="136">
        <f>IFERROR(C17/$B52,0)</f>
        <v>0.33064464132495919</v>
      </c>
      <c r="D52" s="136">
        <f>IFERROR(D17/$B52,0)</f>
        <v>3090.6099065144008</v>
      </c>
      <c r="E52" s="136">
        <f>IFERROR(E17/$B52,0)</f>
        <v>390.79047608026116</v>
      </c>
      <c r="F52" s="136">
        <f>IFERROR(F17/$B52,0)</f>
        <v>4.3967240626968418E-5</v>
      </c>
      <c r="G52" s="136">
        <f>IFERROR(G17/$B52,0)</f>
        <v>2.2042976088330614E-4</v>
      </c>
      <c r="H52" s="136">
        <f t="shared" si="120"/>
        <v>4.396138932045031E-5</v>
      </c>
      <c r="I52" s="149">
        <f>IFERROR(up_RadSpec!$I$17*I17,".")*$B$52</f>
        <v>75.609875000000002</v>
      </c>
      <c r="J52" s="149">
        <f>IFERROR(up_RadSpec!$L$17*$J$17,".")*B52</f>
        <v>8.0890182702465611E-3</v>
      </c>
      <c r="K52" s="149">
        <f>IFERROR(up_RadSpec!$K$17*$K$17,".")*B52</f>
        <v>6.3972899879129769E-2</v>
      </c>
      <c r="L52" s="149">
        <f>up_b2s!AB52</f>
        <v>568605.16246875003</v>
      </c>
      <c r="M52" s="150">
        <f t="shared" si="39"/>
        <v>568680.84440566821</v>
      </c>
      <c r="N52" s="136">
        <f>IFERROR(N17/$B52,0)</f>
        <v>390.79047608026116</v>
      </c>
      <c r="O52" s="136">
        <f>IFERROR(O17/$B52,0)</f>
        <v>682.98808448848524</v>
      </c>
      <c r="P52" s="136">
        <f>IFERROR(P17/$B52,0)</f>
        <v>514.57307614421393</v>
      </c>
      <c r="Q52" s="136">
        <f>IFERROR(Q17/$B52,0)</f>
        <v>457.57457472458793</v>
      </c>
      <c r="R52" s="136">
        <f>IFERROR(R17/$B52,0)</f>
        <v>1308.6981284359076</v>
      </c>
      <c r="S52" s="149">
        <f>IFERROR(up_RadSpec!$K$17*$S$17,".")*$B$52</f>
        <v>6.3972899879129769E-2</v>
      </c>
      <c r="T52" s="149">
        <f>IFERROR(up_RadSpec!$R$17*$T$17,".")*$B$52</f>
        <v>3.6603859668684284E-2</v>
      </c>
      <c r="U52" s="149">
        <f>IFERROR(up_RadSpec!$S$17*$U$17,".")*$B$52</f>
        <v>4.8583964375535103E-2</v>
      </c>
      <c r="V52" s="149">
        <f>IFERROR(up_RadSpec!$T$17*$V$17,".")*$B$52</f>
        <v>5.4635902825342489E-2</v>
      </c>
      <c r="W52" s="149">
        <f>IFERROR(up_RadSpec!$P$17*$W$17,".")*$B$52</f>
        <v>1.9102953887371096E-2</v>
      </c>
      <c r="X52" s="136">
        <f t="shared" ref="X52:Y52" si="127">IFERROR(X17/$B52,0)</f>
        <v>9.9760211782616275E-3</v>
      </c>
      <c r="Y52" s="136">
        <f t="shared" si="127"/>
        <v>15.930458819036534</v>
      </c>
      <c r="Z52" s="136">
        <f t="shared" si="117"/>
        <v>9.9697778731355942E-3</v>
      </c>
      <c r="AA52" s="149">
        <f>IFERROR(up_RadSpec!$L$17*AA17,".")*$B$52</f>
        <v>2506.0091145833326</v>
      </c>
      <c r="AB52" s="149">
        <f>IFERROR(up_RadSpec!$O$17*$AB$17,".")*$B$52</f>
        <v>1.569320776255708</v>
      </c>
      <c r="AC52" s="150">
        <f t="shared" si="42"/>
        <v>2507.5784353595882</v>
      </c>
      <c r="AD52" s="136">
        <f t="shared" ref="AD52:AF52" si="128">IFERROR(AD17/$B52,0)</f>
        <v>3.6370910545745513E-3</v>
      </c>
      <c r="AE52" s="136">
        <f t="shared" si="128"/>
        <v>0</v>
      </c>
      <c r="AF52" s="136">
        <f t="shared" si="128"/>
        <v>39.826147047591334</v>
      </c>
      <c r="AG52" s="136">
        <f>IFERROR(AG17/$B52,0)</f>
        <v>2.1928936168617768E-4</v>
      </c>
      <c r="AH52" s="136">
        <f>IFERROR(AH17/$B52,0)</f>
        <v>2.0681860911636853E-4</v>
      </c>
      <c r="AI52" s="149">
        <f>IFERROR(up_RadSpec!$M$17*AI17,".")*$B$52</f>
        <v>6873.625</v>
      </c>
      <c r="AJ52" s="149">
        <f>IFERROR(up_RadSpec!$L$17*AJ17,".")*$B$52</f>
        <v>1253.0045572916663</v>
      </c>
      <c r="AK52" s="149">
        <f>IFERROR(up_RadSpec!$Q$17*AK17,".")*$B$52</f>
        <v>0.62772831050228306</v>
      </c>
      <c r="AL52" s="149">
        <f>up_b2w!AB52</f>
        <v>114004.61840815243</v>
      </c>
      <c r="AM52" s="150">
        <f t="shared" si="46"/>
        <v>122131.8756937546</v>
      </c>
      <c r="AN52" s="136">
        <f t="shared" ref="AN52" si="129">IFERROR(AN17/$B52,0)</f>
        <v>6.6128928264991846E-4</v>
      </c>
      <c r="AO52" s="149">
        <f>IFERROR(up_RadSpec!$J$17*AO17,".")*$B$52</f>
        <v>37804.9375</v>
      </c>
    </row>
    <row r="53" spans="1:41" x14ac:dyDescent="0.25">
      <c r="A53" s="148" t="s">
        <v>1076</v>
      </c>
      <c r="B53" s="141">
        <v>2.0000000000000001E-4</v>
      </c>
      <c r="C53" s="136">
        <f>IFERROR(C5/$B53,0)</f>
        <v>1652.8925619834711</v>
      </c>
      <c r="D53" s="136">
        <f>IFERROR(D5/$B53,0)</f>
        <v>15449958.922665488</v>
      </c>
      <c r="E53" s="136">
        <f>IFERROR(E5/$B53,0)</f>
        <v>0</v>
      </c>
      <c r="F53" s="136">
        <f>IFERROR(F5/$B53,0)</f>
        <v>0.21979223589421512</v>
      </c>
      <c r="G53" s="136">
        <f>IFERROR(G5/$B53,0)</f>
        <v>1.1019283746556474</v>
      </c>
      <c r="H53" s="136">
        <f t="shared" si="120"/>
        <v>0.21976300993484174</v>
      </c>
      <c r="I53" s="149">
        <f>IFERROR(up_RadSpec!$I$5*I5,".")*$B$53</f>
        <v>1.5125000000000001E-2</v>
      </c>
      <c r="J53" s="149">
        <f>IFERROR(up_RadSpec!$L$5*$J$5,".")*B53</f>
        <v>1.6181272795052132E-6</v>
      </c>
      <c r="K53" s="149">
        <f>IFERROR(up_RadSpec!$K$5*$K$5,".")*B53</f>
        <v>0</v>
      </c>
      <c r="L53" s="149">
        <f>up_b2s!AB53</f>
        <v>113.74378125000001</v>
      </c>
      <c r="M53" s="150">
        <f t="shared" si="39"/>
        <v>113.7589078681273</v>
      </c>
      <c r="N53" s="136">
        <f>IFERROR(N5/$B53,0)</f>
        <v>0</v>
      </c>
      <c r="O53" s="136">
        <f>IFERROR(O5/$B53,0)</f>
        <v>0</v>
      </c>
      <c r="P53" s="136">
        <f>IFERROR(P5/$B53,0)</f>
        <v>0</v>
      </c>
      <c r="Q53" s="136">
        <f>IFERROR(Q5/$B53,0)</f>
        <v>0</v>
      </c>
      <c r="R53" s="136">
        <f>IFERROR(R5/$B53,0)</f>
        <v>0</v>
      </c>
      <c r="S53" s="149">
        <f>IFERROR(up_RadSpec!$K$5*$S$5,".")*$B$53</f>
        <v>0</v>
      </c>
      <c r="T53" s="149">
        <f>IFERROR(up_RadSpec!$R$5*$T$5,".")*$B$53</f>
        <v>0</v>
      </c>
      <c r="U53" s="149">
        <f>IFERROR(up_RadSpec!$S$5*$U$5,".")*$B$53</f>
        <v>0</v>
      </c>
      <c r="V53" s="149">
        <f>IFERROR(up_RadSpec!$T$5*$V$5,".")*$B$53</f>
        <v>0</v>
      </c>
      <c r="W53" s="149">
        <f>IFERROR(up_RadSpec!$P$5*$W$5,".")*$B$53</f>
        <v>0</v>
      </c>
      <c r="X53" s="136">
        <f t="shared" ref="X53:Y53" si="130">IFERROR(X5/$B53,0)</f>
        <v>49.870129870129873</v>
      </c>
      <c r="Y53" s="136">
        <f t="shared" si="130"/>
        <v>79636.363636363632</v>
      </c>
      <c r="Z53" s="136">
        <f t="shared" si="117"/>
        <v>49.838919587804824</v>
      </c>
      <c r="AA53" s="149">
        <f>IFERROR(up_RadSpec!$L$5*AA5,".")*$B$53</f>
        <v>0.50130208333333326</v>
      </c>
      <c r="AB53" s="149">
        <f>IFERROR(up_RadSpec!$O$5*$AB$5,".")*$B$53</f>
        <v>3.1392694063926945E-4</v>
      </c>
      <c r="AC53" s="150">
        <f t="shared" si="42"/>
        <v>0.50161601027397251</v>
      </c>
      <c r="AD53" s="136">
        <f t="shared" ref="AD53:AF53" si="131">IFERROR(AD5/$B53,0)</f>
        <v>18.18181818181818</v>
      </c>
      <c r="AE53" s="136">
        <f t="shared" si="131"/>
        <v>0</v>
      </c>
      <c r="AF53" s="136">
        <f t="shared" si="131"/>
        <v>199090.90909090909</v>
      </c>
      <c r="AG53" s="136">
        <f>IFERROR(AG5/$B53,0)</f>
        <v>1.0962275190692021</v>
      </c>
      <c r="AH53" s="136">
        <f>IFERROR(AH5/$B53,0)</f>
        <v>1.0338862269727263</v>
      </c>
      <c r="AI53" s="149">
        <f>IFERROR(up_RadSpec!$M$5*AI5,".")*$B$53</f>
        <v>1.375</v>
      </c>
      <c r="AJ53" s="149">
        <f>IFERROR(up_RadSpec!$L$5*AJ5,".")*$B$53</f>
        <v>0.25065104166666663</v>
      </c>
      <c r="AK53" s="149">
        <f>IFERROR(up_RadSpec!$Q$5*AK5,".")*$B$53</f>
        <v>1.2557077625570778E-4</v>
      </c>
      <c r="AL53" s="149">
        <f>up_b2w!AB53</f>
        <v>22.805484778586205</v>
      </c>
      <c r="AM53" s="150">
        <f t="shared" si="46"/>
        <v>24.431261391029128</v>
      </c>
      <c r="AN53" s="136">
        <f t="shared" ref="AN53" si="132">IFERROR(AN5/$B53,0)</f>
        <v>3.3057851239669422</v>
      </c>
      <c r="AO53" s="149">
        <f>IFERROR(up_RadSpec!$J$5*AO5,".")*$B$53</f>
        <v>7.5625</v>
      </c>
    </row>
    <row r="54" spans="1:41" x14ac:dyDescent="0.25">
      <c r="A54" s="148" t="s">
        <v>1077</v>
      </c>
      <c r="B54" s="141">
        <v>0.99999979999999999</v>
      </c>
      <c r="C54" s="136">
        <f>IFERROR(C9/$B54,0)</f>
        <v>0.3305785785124099</v>
      </c>
      <c r="D54" s="136">
        <f>IFERROR(D9/$B54,0)</f>
        <v>3089.9924025315786</v>
      </c>
      <c r="E54" s="136">
        <f>IFERROR(E9/$B54,0)</f>
        <v>144.45659169650497</v>
      </c>
      <c r="F54" s="136">
        <f>IFERROR(F9/$B54,0)</f>
        <v>4.395845597053422E-5</v>
      </c>
      <c r="G54" s="136">
        <f>IFERROR(G9/$B54,0)</f>
        <v>2.2038571900827327E-4</v>
      </c>
      <c r="H54" s="136">
        <f>(IF(AND(C54&lt;&gt;0,D54&lt;&gt;0,E54&lt;&gt;0,F54&lt;&gt;0),1/((1/C54)+(1/D54)+(1/E54)+(1/F54)),IF(AND(C54&lt;&gt;0,D54&lt;&gt;0,E54&lt;&gt;0,F54=0), 1/((1/C54)+(1/D54)+(1/E54)),IF(AND(C54&lt;&gt;0,D54&lt;&gt;0,E54=0,F54&lt;&gt;0),1/((1/C54)+(1/D54)+(1/F54)),IF(AND(C54&lt;&gt;0,D54=0,E54&lt;&gt;0,F54&lt;&gt;0),1/((1/C54)+(1/E54)+(1/F54)),IF(AND(C54=0,D54&lt;&gt;0,E54&lt;&gt;0,F54&lt;&gt;0),1/((1/D54)+(1/E54)+(1/F54)),IF(AND(C54&lt;&gt;0,D54&lt;&gt;0,E54=0,F54=0),1/((1/C54)+(1/D54)),IF(AND(C54&lt;&gt;0,D54=0,E54&lt;&gt;0,F54=0),1/((1/C54)+(1/E54)),IF(AND(C54&lt;&gt;0,D54=0,E54=0,F54&lt;&gt;0),1/((1/C54)+(1/F54)),IF(AND(C54=0,D54=0,E54&lt;&gt;0,F54&lt;&gt;0),1/((1/E54)+(1/F54)),IF(AND(C54=0,D54&lt;&gt;0,E54=0,F54&lt;&gt;0),1/((1/D54)+(1/F54)),IF(AND(C54=0,D54&lt;&gt;0,E54&lt;&gt;0,F54=0),1/((1/D54)+(1/E54)),IF(AND(C54&lt;&gt;0,D54=0,E54=0,F54=0),1/((1/C54)),IF(AND(C54=0,D54&lt;&gt;0,E54=0,F54=0),1/((1/D54)),IF(AND(C54=0,D54=0,E54&lt;&gt;0,F54=0),1/((1/E54)),IF(AND(C54=0,D54=0,E54=0,F54&lt;&gt;0),1/((1/F54)),IF(AND(C54=0,D54=0,E54=0,F54=0),0)))))))))))))))))</f>
        <v>4.3952597404397702E-5</v>
      </c>
      <c r="I54" s="149">
        <f>IFERROR(up_RadSpec!$I$9*I9,".")*$B$54</f>
        <v>75.624984874999996</v>
      </c>
      <c r="J54" s="149">
        <f>IFERROR(up_RadSpec!$L$9*$J$9,".")*B54</f>
        <v>8.0906347793987862E-3</v>
      </c>
      <c r="K54" s="149">
        <f>IFERROR(up_RadSpec!$K$9*$K$9,".")*B54</f>
        <v>0.17306236916155113</v>
      </c>
      <c r="L54" s="149">
        <f>up_b2s!AB54</f>
        <v>568718.79250621877</v>
      </c>
      <c r="M54" s="150">
        <f t="shared" si="39"/>
        <v>568794.59864409768</v>
      </c>
      <c r="N54" s="136">
        <f>IFERROR(N9/$B54,0)</f>
        <v>144.45659169650497</v>
      </c>
      <c r="O54" s="136">
        <f>IFERROR(O9/$B54,0)</f>
        <v>295.87127129546656</v>
      </c>
      <c r="P54" s="136">
        <f>IFERROR(P9/$B54,0)</f>
        <v>208.18081621171774</v>
      </c>
      <c r="Q54" s="136">
        <f>IFERROR(Q9/$B54,0)</f>
        <v>171.6070132011088</v>
      </c>
      <c r="R54" s="136">
        <f>IFERROR(R9/$B54,0)</f>
        <v>524.07071339179379</v>
      </c>
      <c r="S54" s="149">
        <f>IFERROR(up_RadSpec!$K$9*$S$9,".")*$B$54</f>
        <v>0.17306236916155113</v>
      </c>
      <c r="T54" s="149">
        <f>IFERROR(up_RadSpec!$R$9*$T$9,".")*$B$54</f>
        <v>8.4496206375624078E-2</v>
      </c>
      <c r="U54" s="149">
        <f>IFERROR(up_RadSpec!$S$9*$U$9,".")*$B$54</f>
        <v>0.12008791422248656</v>
      </c>
      <c r="V54" s="149">
        <f>IFERROR(up_RadSpec!$T$9*$V$9,".")*$B$54</f>
        <v>0.14568169175406678</v>
      </c>
      <c r="W54" s="149">
        <f>IFERROR(up_RadSpec!$P$9*$W$9,".")*$B$54</f>
        <v>4.7703486115832749E-2</v>
      </c>
      <c r="X54" s="136">
        <f t="shared" ref="X54:Y54" si="133">IFERROR(X9/$B54,0)</f>
        <v>9.9740279688315687E-3</v>
      </c>
      <c r="Y54" s="136">
        <f t="shared" si="133"/>
        <v>15.927275912727911</v>
      </c>
      <c r="Z54" s="136">
        <f t="shared" si="117"/>
        <v>9.9677859111181478E-3</v>
      </c>
      <c r="AA54" s="149">
        <f>IFERROR(up_RadSpec!$L$9*AA9,".")*$B$54</f>
        <v>2506.5099153645829</v>
      </c>
      <c r="AB54" s="149">
        <f>IFERROR(up_RadSpec!$O$9*$AB$9,".")*$B$54</f>
        <v>1.5696343892694065</v>
      </c>
      <c r="AC54" s="150">
        <f t="shared" si="42"/>
        <v>2508.0795497538525</v>
      </c>
      <c r="AD54" s="136">
        <f t="shared" ref="AD54:AF54" si="134">IFERROR(AD9/$B54,0)</f>
        <v>3.6363643636365089E-3</v>
      </c>
      <c r="AE54" s="136">
        <f t="shared" si="134"/>
        <v>0</v>
      </c>
      <c r="AF54" s="136">
        <f t="shared" si="134"/>
        <v>39.818189781819775</v>
      </c>
      <c r="AG54" s="136">
        <f>IFERROR(AG9/$B54,0)</f>
        <v>2.1924554766294998E-4</v>
      </c>
      <c r="AH54" s="136">
        <f>IFERROR(AH9/$B54,0)</f>
        <v>2.0677728675000262E-4</v>
      </c>
      <c r="AI54" s="149">
        <f>IFERROR(up_RadSpec!$M$9*AI9,".")*$B$54</f>
        <v>6874.9986250000002</v>
      </c>
      <c r="AJ54" s="149">
        <f>IFERROR(up_RadSpec!$L$9*AJ9,".")*$B$54</f>
        <v>1253.2549576822914</v>
      </c>
      <c r="AK54" s="149">
        <f>IFERROR(up_RadSpec!$Q$9*AK9,".")*$B$54</f>
        <v>0.62785375570776258</v>
      </c>
      <c r="AL54" s="149">
        <f>up_b2w!AB54</f>
        <v>114027.40108744623</v>
      </c>
      <c r="AM54" s="150">
        <f t="shared" si="46"/>
        <v>122156.28252388422</v>
      </c>
      <c r="AN54" s="136">
        <f t="shared" ref="AN54" si="135">IFERROR(AN9/$B54,0)</f>
        <v>6.611571570248199E-4</v>
      </c>
      <c r="AO54" s="149">
        <f>IFERROR(up_RadSpec!$J$9*AO9,".")*$B$54</f>
        <v>37812.492437499997</v>
      </c>
    </row>
    <row r="55" spans="1:41" x14ac:dyDescent="0.25">
      <c r="A55" s="148" t="s">
        <v>1078</v>
      </c>
      <c r="B55" s="141">
        <v>1.9999999999999999E-7</v>
      </c>
      <c r="C55" s="136">
        <f>IFERROR(C24/$B55,0)</f>
        <v>1652892.5619834713</v>
      </c>
      <c r="D55" s="136">
        <f>IFERROR(D24/$B55,0)</f>
        <v>15449958922.665489</v>
      </c>
      <c r="E55" s="136">
        <f>IFERROR(E24/$B55,0)</f>
        <v>1274648952.0994596</v>
      </c>
      <c r="F55" s="136">
        <f>IFERROR(F24/$B55,0)</f>
        <v>219.79223589421517</v>
      </c>
      <c r="G55" s="136">
        <f>IFERROR(G24/$B55,0)</f>
        <v>1101.9283746556475</v>
      </c>
      <c r="H55" s="136">
        <f t="shared" si="120"/>
        <v>219.76297204537261</v>
      </c>
      <c r="I55" s="149">
        <f>IFERROR(up_RadSpec!$I$24*I24,".")*$B$55</f>
        <v>1.5125E-5</v>
      </c>
      <c r="J55" s="149">
        <f>IFERROR(up_RadSpec!$L$24*$J$24,".")*B55</f>
        <v>1.6181272795052132E-9</v>
      </c>
      <c r="K55" s="149">
        <f>IFERROR(up_RadSpec!$K$24*$K$24,".")*B55</f>
        <v>1.9613243284610075E-8</v>
      </c>
      <c r="L55" s="149">
        <f>up_b2s!AB55</f>
        <v>0.11374378124999998</v>
      </c>
      <c r="M55" s="150">
        <f t="shared" si="39"/>
        <v>0.11375892748137055</v>
      </c>
      <c r="N55" s="136">
        <f>IFERROR(N24/$B55,0)</f>
        <v>1274648952.0994596</v>
      </c>
      <c r="O55" s="136">
        <f>IFERROR(O24/$B55,0)</f>
        <v>2310957622.850565</v>
      </c>
      <c r="P55" s="136">
        <f>IFERROR(P24/$B55,0)</f>
        <v>1631685411.197315</v>
      </c>
      <c r="Q55" s="136">
        <f>IFERROR(Q24/$B55,0)</f>
        <v>1362563111.8701646</v>
      </c>
      <c r="R55" s="136">
        <f>IFERROR(R24/$B55,0)</f>
        <v>3840825840.82584</v>
      </c>
      <c r="S55" s="149">
        <f>IFERROR(up_RadSpec!$K$24*$S$24,".")*$B$55</f>
        <v>1.9613243284610075E-8</v>
      </c>
      <c r="T55" s="149">
        <f>IFERROR(up_RadSpec!$R$24*$T$24,".")*$B$55</f>
        <v>1.081802615193026E-8</v>
      </c>
      <c r="U55" s="149">
        <f>IFERROR(up_RadSpec!$S$24*$U$24,".")*$B$55</f>
        <v>1.5321580880995463E-8</v>
      </c>
      <c r="V55" s="149">
        <f>IFERROR(up_RadSpec!$T$24*$V$24,".")*$B$55</f>
        <v>1.8347773972602737E-8</v>
      </c>
      <c r="W55" s="149">
        <f>IFERROR(up_RadSpec!$P$24*$W$24,".")*$B$55</f>
        <v>6.5090168198370047E-9</v>
      </c>
      <c r="X55" s="136">
        <f t="shared" ref="X55:Y55" si="136">IFERROR(X24/$B55,0)</f>
        <v>49870.12987012988</v>
      </c>
      <c r="Y55" s="136">
        <f t="shared" si="136"/>
        <v>79636363.63636364</v>
      </c>
      <c r="Z55" s="136">
        <f t="shared" si="117"/>
        <v>49838.919587804834</v>
      </c>
      <c r="AA55" s="149">
        <f>IFERROR(up_RadSpec!$L$24*AA24,".")*$B$55</f>
        <v>5.013020833333332E-4</v>
      </c>
      <c r="AB55" s="149">
        <f>IFERROR(up_RadSpec!$O$24*$AB$24,".")*$B$55</f>
        <v>3.1392694063926939E-7</v>
      </c>
      <c r="AC55" s="150">
        <f t="shared" si="42"/>
        <v>5.0161601027397251E-4</v>
      </c>
      <c r="AD55" s="136">
        <f t="shared" ref="AD55:AF55" si="137">IFERROR(AD24/$B55,0)</f>
        <v>18181.818181818184</v>
      </c>
      <c r="AE55" s="136">
        <f t="shared" si="137"/>
        <v>0</v>
      </c>
      <c r="AF55" s="136">
        <f t="shared" si="137"/>
        <v>199090909.09090912</v>
      </c>
      <c r="AG55" s="136">
        <f>IFERROR(AG24/$B55,0)</f>
        <v>1096.2275190692023</v>
      </c>
      <c r="AH55" s="136">
        <f>IFERROR(AH24/$B55,0)</f>
        <v>1033.8862269727263</v>
      </c>
      <c r="AI55" s="149">
        <f>IFERROR(up_RadSpec!$M$24*AI24,".")*$B$55</f>
        <v>1.3749999999999999E-3</v>
      </c>
      <c r="AJ55" s="149">
        <f>IFERROR(up_RadSpec!$L$24*AJ24,".")*$B$55</f>
        <v>2.506510416666666E-4</v>
      </c>
      <c r="AK55" s="149">
        <f>IFERROR(up_RadSpec!$Q$24*AK24,".")*$B$55</f>
        <v>1.2557077625570775E-7</v>
      </c>
      <c r="AL55" s="149">
        <f>up_b2w!AB55</f>
        <v>2.28054847785862E-2</v>
      </c>
      <c r="AM55" s="150">
        <f t="shared" si="46"/>
        <v>2.4431261391029122E-2</v>
      </c>
      <c r="AN55" s="136">
        <f t="shared" ref="AN55" si="138">IFERROR(AN24/$B55,0)</f>
        <v>3305.7851239669426</v>
      </c>
      <c r="AO55" s="149">
        <f>IFERROR(up_RadSpec!$J$24*AO24,".")*$B$55</f>
        <v>7.5624999999999998E-3</v>
      </c>
    </row>
    <row r="56" spans="1:41" x14ac:dyDescent="0.25">
      <c r="A56" s="148" t="s">
        <v>1079</v>
      </c>
      <c r="B56" s="141">
        <v>0.99979000004200003</v>
      </c>
      <c r="C56" s="136">
        <f>IFERROR(C20/$B56,0)</f>
        <v>0.33064794845198192</v>
      </c>
      <c r="D56" s="136">
        <f>IFERROR(D20/$B56,0)</f>
        <v>3090.6408189752756</v>
      </c>
      <c r="E56" s="136">
        <f>IFERROR(E20/$B56,0)</f>
        <v>199.70533568187113</v>
      </c>
      <c r="F56" s="136">
        <f>IFERROR(F20/$B56,0)</f>
        <v>4.3967680389878262E-5</v>
      </c>
      <c r="G56" s="136">
        <f>IFERROR(G20/$B56,0)</f>
        <v>2.2043196563465461E-4</v>
      </c>
      <c r="H56" s="136">
        <f t="shared" si="120"/>
        <v>4.3961824292785587E-5</v>
      </c>
      <c r="I56" s="149">
        <f>IFERROR(up_RadSpec!$I$20*I20,".")*$B$56</f>
        <v>75.609118753176247</v>
      </c>
      <c r="J56" s="149">
        <f>IFERROR(up_RadSpec!$L$20*$J$20,".")*B56</f>
        <v>8.0889373642223927E-3</v>
      </c>
      <c r="K56" s="149">
        <f>IFERROR(up_RadSpec!$K$20*$K$20,".")*B56</f>
        <v>0.12518443693374715</v>
      </c>
      <c r="L56" s="149">
        <f>up_b2s!AB56</f>
        <v>568599.47530357365</v>
      </c>
      <c r="M56" s="150">
        <f t="shared" si="39"/>
        <v>568675.21769570117</v>
      </c>
      <c r="N56" s="136">
        <f>IFERROR(N20/$B56,0)</f>
        <v>199.70533568187113</v>
      </c>
      <c r="O56" s="136">
        <f>IFERROR(O20/$B56,0)</f>
        <v>393.83783600255742</v>
      </c>
      <c r="P56" s="136">
        <f>IFERROR(P20/$B56,0)</f>
        <v>275.5601431207574</v>
      </c>
      <c r="Q56" s="136">
        <f>IFERROR(Q20/$B56,0)</f>
        <v>231.38152732631076</v>
      </c>
      <c r="R56" s="136">
        <f>IFERROR(R20/$B56,0)</f>
        <v>671.0845986812086</v>
      </c>
      <c r="S56" s="149">
        <f>IFERROR(up_RadSpec!$K$20*$S$20,".")*$B$56</f>
        <v>0.12518443693374715</v>
      </c>
      <c r="T56" s="149">
        <f>IFERROR(up_RadSpec!$R$20*$T$20,".")*$B$56</f>
        <v>6.3477903123146495E-2</v>
      </c>
      <c r="U56" s="149">
        <f>IFERROR(up_RadSpec!$S$20*$U$20,".")*$B$56</f>
        <v>9.0724296035237476E-2</v>
      </c>
      <c r="V56" s="149">
        <f>IFERROR(up_RadSpec!$T$20*$V$20,".")*$B$56</f>
        <v>0.10804665475625121</v>
      </c>
      <c r="W56" s="149">
        <f>IFERROR(up_RadSpec!$P$20*$W$20,".")*$B$56</f>
        <v>3.7253127324228724E-2</v>
      </c>
      <c r="X56" s="136">
        <f t="shared" ref="X56:Y56" si="139">IFERROR(X20/$B56,0)</f>
        <v>9.976120959008369E-3</v>
      </c>
      <c r="Y56" s="136">
        <f t="shared" si="139"/>
        <v>15.930618156416489</v>
      </c>
      <c r="Z56" s="136">
        <f t="shared" si="117"/>
        <v>9.9698775914364313E-3</v>
      </c>
      <c r="AA56" s="149">
        <f>IFERROR(up_RadSpec!$L$20*AA20,".")*$B$56</f>
        <v>2505.9840495844396</v>
      </c>
      <c r="AB56" s="149">
        <f>IFERROR(up_RadSpec!$O$20*$AB$20,".")*$B$56</f>
        <v>1.5693050799746007</v>
      </c>
      <c r="AC56" s="150">
        <f t="shared" si="42"/>
        <v>2507.5533546644142</v>
      </c>
      <c r="AD56" s="136">
        <f t="shared" ref="AD56:AF56" si="140">IFERROR(AD20/$B56,0)</f>
        <v>3.6371274329718012E-3</v>
      </c>
      <c r="AE56" s="136">
        <f t="shared" si="140"/>
        <v>0</v>
      </c>
      <c r="AF56" s="136">
        <f t="shared" si="140"/>
        <v>39.826545391041222</v>
      </c>
      <c r="AG56" s="136">
        <f>IFERROR(AG20/$B56,0)</f>
        <v>2.1929155503118674E-4</v>
      </c>
      <c r="AH56" s="136">
        <f>IFERROR(AH20/$B56,0)</f>
        <v>2.0682067772818171E-4</v>
      </c>
      <c r="AI56" s="149">
        <f>IFERROR(up_RadSpec!$M$20*AI20,".")*$B$56</f>
        <v>6873.5562502887506</v>
      </c>
      <c r="AJ56" s="149">
        <f>IFERROR(up_RadSpec!$L$20*AJ20,".")*$B$56</f>
        <v>1252.9920247922198</v>
      </c>
      <c r="AK56" s="149">
        <f>IFERROR(up_RadSpec!$Q$20*AK20,".")*$B$56</f>
        <v>0.62772203198984022</v>
      </c>
      <c r="AL56" s="149">
        <f>up_b2w!AB56</f>
        <v>114003.47813870266</v>
      </c>
      <c r="AM56" s="150">
        <f t="shared" si="46"/>
        <v>122130.65413581562</v>
      </c>
      <c r="AN56" s="136">
        <f t="shared" ref="AN56" si="141">IFERROR(AN20/$B56,0)</f>
        <v>6.6129589690396386E-4</v>
      </c>
      <c r="AO56" s="149">
        <f>IFERROR(up_RadSpec!$J$20*AO20,".")*$B$56</f>
        <v>37804.559376588128</v>
      </c>
    </row>
    <row r="57" spans="1:41" x14ac:dyDescent="0.25">
      <c r="A57" s="148" t="s">
        <v>1080</v>
      </c>
      <c r="B57" s="141">
        <v>2.0999995799999999E-4</v>
      </c>
      <c r="C57" s="136">
        <f>IFERROR(C29/$B57,0)</f>
        <v>1574.1837072019521</v>
      </c>
      <c r="D57" s="136">
        <f>IFERROR(D29/$B57,0)</f>
        <v>14714249.535864661</v>
      </c>
      <c r="E57" s="136">
        <f>IFERROR(E29/$B57,0)</f>
        <v>748310.73403830535</v>
      </c>
      <c r="F57" s="136">
        <f>IFERROR(F29/$B57,0)</f>
        <v>0.20932598081206774</v>
      </c>
      <c r="G57" s="136">
        <f>IFERROR(G29/$B57,0)</f>
        <v>1.0494558048013014</v>
      </c>
      <c r="H57" s="136">
        <f t="shared" si="120"/>
        <v>0.2092980880200245</v>
      </c>
      <c r="I57" s="149">
        <f>IFERROR(up_RadSpec!$I$29*I29,".")*$B$57</f>
        <v>1.588124682375E-2</v>
      </c>
      <c r="J57" s="149">
        <f>IFERROR(up_RadSpec!$L$29*$J$29,".")*B57</f>
        <v>1.699033303673745E-6</v>
      </c>
      <c r="K57" s="149">
        <f>IFERROR(up_RadSpec!$K$29*$K$29,".")*B57</f>
        <v>3.3408581305637499E-5</v>
      </c>
      <c r="L57" s="149">
        <f>up_b2s!AB57</f>
        <v>119.43094642630592</v>
      </c>
      <c r="M57" s="150">
        <f t="shared" si="39"/>
        <v>119.44686278074428</v>
      </c>
      <c r="N57" s="136">
        <f>IFERROR(N29/$B57,0)</f>
        <v>748310.73403830535</v>
      </c>
      <c r="O57" s="136">
        <f>IFERROR(O29/$B57,0)</f>
        <v>1493228.318189472</v>
      </c>
      <c r="P57" s="136">
        <f>IFERROR(P29/$B57,0)</f>
        <v>1063769.5031241761</v>
      </c>
      <c r="Q57" s="136">
        <f>IFERROR(Q29/$B57,0)</f>
        <v>902351.16282121441</v>
      </c>
      <c r="R57" s="136">
        <f>IFERROR(R29/$B57,0)</f>
        <v>2681359.5812673252</v>
      </c>
      <c r="S57" s="149">
        <f>IFERROR(up_RadSpec!$K$29*$S$29,".")*$B$57</f>
        <v>3.3408581305637499E-5</v>
      </c>
      <c r="T57" s="149">
        <f>IFERROR(up_RadSpec!$R$29*$T$29,".")*$B$57</f>
        <v>1.6742248787722103E-5</v>
      </c>
      <c r="U57" s="149">
        <f>IFERROR(up_RadSpec!$S$29*$U$29,".")*$B$57</f>
        <v>2.3501331751453393E-5</v>
      </c>
      <c r="V57" s="149">
        <f>IFERROR(up_RadSpec!$T$29*$V$29,".")*$B$57</f>
        <v>2.7705400103699236E-5</v>
      </c>
      <c r="W57" s="149">
        <f>IFERROR(up_RadSpec!$P$29*$W$29,".")*$B$57</f>
        <v>9.3236282722602721E-6</v>
      </c>
      <c r="X57" s="136">
        <f t="shared" ref="X57:Y57" si="142">IFERROR(X29/$B57,0)</f>
        <v>47.49537128015033</v>
      </c>
      <c r="Y57" s="136">
        <f t="shared" si="142"/>
        <v>75844.17101299006</v>
      </c>
      <c r="Z57" s="136">
        <f t="shared" si="117"/>
        <v>47.465647195800706</v>
      </c>
      <c r="AA57" s="149">
        <f>IFERROR(up_RadSpec!$L$29*AA29,".")*$B$57</f>
        <v>0.52636708222656237</v>
      </c>
      <c r="AB57" s="149">
        <f>IFERROR(up_RadSpec!$O$29*$AB$29,".")*$B$57</f>
        <v>3.2962322174657534E-4</v>
      </c>
      <c r="AC57" s="150">
        <f t="shared" si="42"/>
        <v>0.52669670544830893</v>
      </c>
      <c r="AD57" s="136">
        <f t="shared" ref="AD57:AF57" si="143">IFERROR(AD29/$B57,0)</f>
        <v>17.316020779221471</v>
      </c>
      <c r="AE57" s="136">
        <f t="shared" si="143"/>
        <v>0</v>
      </c>
      <c r="AF57" s="136">
        <f t="shared" si="143"/>
        <v>189610.42753247515</v>
      </c>
      <c r="AG57" s="136">
        <f>IFERROR(AG29/$B57,0)</f>
        <v>1.044026417442619</v>
      </c>
      <c r="AH57" s="136">
        <f>IFERROR(AH29/$B57,0)</f>
        <v>0.98465374642858394</v>
      </c>
      <c r="AI57" s="149">
        <f>IFERROR(up_RadSpec!$M$29*AI29,".")*$B$57</f>
        <v>1.44374971125</v>
      </c>
      <c r="AJ57" s="149">
        <f>IFERROR(up_RadSpec!$L$29*AJ29,".")*$B$57</f>
        <v>0.26318354111328118</v>
      </c>
      <c r="AK57" s="149">
        <f>IFERROR(up_RadSpec!$Q$29*AK29,".")*$B$57</f>
        <v>1.3184928869863012E-4</v>
      </c>
      <c r="AL57" s="149">
        <f>up_b2w!AB57</f>
        <v>23.945754228363704</v>
      </c>
      <c r="AM57" s="150">
        <f t="shared" si="46"/>
        <v>25.652819330015685</v>
      </c>
      <c r="AN57" s="136">
        <f t="shared" ref="AN57" si="144">IFERROR(AN29/$B57,0)</f>
        <v>3.1483674144039044</v>
      </c>
      <c r="AO57" s="149">
        <f>IFERROR(up_RadSpec!$J$29*AO29,".")*$B$57</f>
        <v>7.9406234118749994</v>
      </c>
    </row>
    <row r="58" spans="1:41" x14ac:dyDescent="0.25">
      <c r="A58" s="148" t="s">
        <v>1081</v>
      </c>
      <c r="B58" s="141">
        <v>1</v>
      </c>
      <c r="C58" s="136">
        <f>IFERROR(C16/$B58,0)</f>
        <v>0.33057851239669422</v>
      </c>
      <c r="D58" s="136">
        <f>IFERROR(D16/$B58,0)</f>
        <v>3089.9917845330979</v>
      </c>
      <c r="E58" s="136">
        <f>IFERROR(E16/$B58,0)</f>
        <v>4249701.1279172543</v>
      </c>
      <c r="F58" s="136">
        <f>IFERROR(F16/$B58,0)</f>
        <v>4.3958447178843029E-5</v>
      </c>
      <c r="G58" s="136">
        <f>IFERROR(G16/$B58,0)</f>
        <v>2.2038567493112948E-4</v>
      </c>
      <c r="H58" s="136">
        <f t="shared" si="120"/>
        <v>4.3952601986513774E-5</v>
      </c>
      <c r="I58" s="149">
        <f>IFERROR(up_RadSpec!$I$16*I16,".")*$B$58</f>
        <v>75.625</v>
      </c>
      <c r="J58" s="149">
        <f>IFERROR(up_RadSpec!$L$16*$J$16,".")*B58</f>
        <v>8.0906363975260659E-3</v>
      </c>
      <c r="K58" s="149">
        <f>IFERROR(up_RadSpec!$K$16*$K$16,".")*B58</f>
        <v>5.8827666340508767E-6</v>
      </c>
      <c r="L58" s="149">
        <f>up_b2s!AB58</f>
        <v>568718.90625</v>
      </c>
      <c r="M58" s="150">
        <f t="shared" si="39"/>
        <v>568794.53934651916</v>
      </c>
      <c r="N58" s="136">
        <f>IFERROR(N16/$B58,0)</f>
        <v>4249701.1279172543</v>
      </c>
      <c r="O58" s="136">
        <f>IFERROR(O16/$B58,0)</f>
        <v>7568571.8978401944</v>
      </c>
      <c r="P58" s="136">
        <f>IFERROR(P16/$B58,0)</f>
        <v>4546743.3645543214</v>
      </c>
      <c r="Q58" s="136">
        <f>IFERROR(Q16/$B58,0)</f>
        <v>4570236.0766923204</v>
      </c>
      <c r="R58" s="136">
        <f>IFERROR(R16/$B58,0)</f>
        <v>176969696.96969697</v>
      </c>
      <c r="S58" s="149">
        <f>IFERROR(up_RadSpec!$K$16*$S$16,".")*$B$58</f>
        <v>5.8827666340508767E-6</v>
      </c>
      <c r="T58" s="149">
        <f>IFERROR(up_RadSpec!$R$16*$T$16,".")*$B$58</f>
        <v>3.3031330530313289E-6</v>
      </c>
      <c r="U58" s="149">
        <f>IFERROR(up_RadSpec!$S$16*$U$16,".")*$B$58</f>
        <v>5.4984409709366871E-6</v>
      </c>
      <c r="V58" s="149">
        <f>IFERROR(up_RadSpec!$T$16*$V$16,".")*$B$58</f>
        <v>5.4701769406392654E-6</v>
      </c>
      <c r="W58" s="149">
        <f>IFERROR(up_RadSpec!$P$16*$W$16,".")*$B$58</f>
        <v>1.4126712328767122E-7</v>
      </c>
      <c r="X58" s="136">
        <f t="shared" ref="X58:Y58" si="145">IFERROR(X16/$B58,0)</f>
        <v>9.9740259740259754E-3</v>
      </c>
      <c r="Y58" s="136">
        <f t="shared" si="145"/>
        <v>15.927272727272728</v>
      </c>
      <c r="Z58" s="136">
        <f t="shared" si="117"/>
        <v>9.9677839175609673E-3</v>
      </c>
      <c r="AA58" s="149">
        <f>IFERROR(up_RadSpec!$L$16*AA16,".")*$B$58</f>
        <v>2506.5104166666661</v>
      </c>
      <c r="AB58" s="149">
        <f>IFERROR(up_RadSpec!$O$16*$AB$16,".")*$B$58</f>
        <v>1.5696347031963471</v>
      </c>
      <c r="AC58" s="150">
        <f t="shared" si="42"/>
        <v>2508.0800513698623</v>
      </c>
      <c r="AD58" s="136">
        <f t="shared" ref="AD58:AF58" si="146">IFERROR(AD16/$B58,0)</f>
        <v>3.6363636363636364E-3</v>
      </c>
      <c r="AE58" s="136">
        <f t="shared" si="146"/>
        <v>0</v>
      </c>
      <c r="AF58" s="136">
        <f t="shared" si="146"/>
        <v>39.81818181818182</v>
      </c>
      <c r="AG58" s="136">
        <f>IFERROR(AG16/$B58,0)</f>
        <v>2.1924550381384044E-4</v>
      </c>
      <c r="AH58" s="136">
        <f>IFERROR(AH16/$B58,0)</f>
        <v>2.0677724539454526E-4</v>
      </c>
      <c r="AI58" s="149">
        <f>IFERROR(up_RadSpec!$M$16*AI16,".")*$B$58</f>
        <v>6875</v>
      </c>
      <c r="AJ58" s="149">
        <f>IFERROR(up_RadSpec!$L$16*AJ16,".")*$B$58</f>
        <v>1253.255208333333</v>
      </c>
      <c r="AK58" s="149">
        <f>IFERROR(up_RadSpec!$Q$16*AK16,".")*$B$58</f>
        <v>0.62785388127853881</v>
      </c>
      <c r="AL58" s="149">
        <f>up_b2w!AB58</f>
        <v>114027.42389293101</v>
      </c>
      <c r="AM58" s="150">
        <f t="shared" si="46"/>
        <v>122156.30695514561</v>
      </c>
      <c r="AN58" s="136">
        <f t="shared" ref="AN58" si="147">IFERROR(AN16/$B58,0)</f>
        <v>6.6115702479338848E-4</v>
      </c>
      <c r="AO58" s="149">
        <f>IFERROR(up_RadSpec!$J$16*AO16,".")*$B$58</f>
        <v>37812.5</v>
      </c>
    </row>
    <row r="59" spans="1:41" x14ac:dyDescent="0.25">
      <c r="A59" s="148" t="s">
        <v>1082</v>
      </c>
      <c r="B59" s="141">
        <v>1</v>
      </c>
      <c r="C59" s="136">
        <f>IFERROR(C7/$B59,0)</f>
        <v>0.33057851239669422</v>
      </c>
      <c r="D59" s="136">
        <f>IFERROR(D7/$B59,0)</f>
        <v>3089.9917845330979</v>
      </c>
      <c r="E59" s="136">
        <f>IFERROR(E7/$B59,0)</f>
        <v>510.24109710241078</v>
      </c>
      <c r="F59" s="136">
        <f>IFERROR(F7/$B59,0)</f>
        <v>4.3958447178843029E-5</v>
      </c>
      <c r="G59" s="136">
        <f>IFERROR(G7/$B59,0)</f>
        <v>2.2038567493112948E-4</v>
      </c>
      <c r="H59" s="136">
        <f t="shared" si="120"/>
        <v>4.3952598200854169E-5</v>
      </c>
      <c r="I59" s="149">
        <f>IFERROR(up_RadSpec!$I$7*I7,".")*$B$59</f>
        <v>75.625</v>
      </c>
      <c r="J59" s="149">
        <f>IFERROR(up_RadSpec!$L$7*$J$7,".")*B59</f>
        <v>8.0906363975260659E-3</v>
      </c>
      <c r="K59" s="149">
        <f>IFERROR(up_RadSpec!$K$7*$K$7,".")*B59</f>
        <v>4.8996445292179662E-2</v>
      </c>
      <c r="L59" s="149">
        <f>up_b2s!AB59</f>
        <v>568718.90625</v>
      </c>
      <c r="M59" s="150">
        <f t="shared" si="39"/>
        <v>568794.58833708172</v>
      </c>
      <c r="N59" s="136">
        <f>IFERROR(N7/$B59,0)</f>
        <v>510.24109710241078</v>
      </c>
      <c r="O59" s="136">
        <f>IFERROR(O7/$B59,0)</f>
        <v>811.73075290722397</v>
      </c>
      <c r="P59" s="136">
        <f>IFERROR(P7/$B59,0)</f>
        <v>594.69696969696975</v>
      </c>
      <c r="Q59" s="136">
        <f>IFERROR(Q7/$B59,0)</f>
        <v>547.06310932241604</v>
      </c>
      <c r="R59" s="136">
        <f>IFERROR(R7/$B59,0)</f>
        <v>1389.1242447392176</v>
      </c>
      <c r="S59" s="149">
        <f>IFERROR(up_RadSpec!$K$7*$S$7,".")*$B$59</f>
        <v>4.8996445292179662E-2</v>
      </c>
      <c r="T59" s="149">
        <f>IFERROR(up_RadSpec!$R$7*$T$7,".")*$B$59</f>
        <v>3.0798389626686167E-2</v>
      </c>
      <c r="U59" s="149">
        <f>IFERROR(up_RadSpec!$S$7*$U$7,".")*$B$59</f>
        <v>4.2038216560509545E-2</v>
      </c>
      <c r="V59" s="149">
        <f>IFERROR(up_RadSpec!$T$7*$V$7,".")*$B$59</f>
        <v>4.5698566717402342E-2</v>
      </c>
      <c r="W59" s="149">
        <f>IFERROR(up_RadSpec!$P$7*$W$7,".")*$B$59</f>
        <v>1.7996950304969506E-2</v>
      </c>
      <c r="X59" s="136">
        <f t="shared" ref="X59:Y59" si="148">IFERROR(X7/$B59,0)</f>
        <v>9.9740259740259754E-3</v>
      </c>
      <c r="Y59" s="136">
        <f t="shared" si="148"/>
        <v>15.927272727272728</v>
      </c>
      <c r="Z59" s="136">
        <f t="shared" si="117"/>
        <v>9.9677839175609673E-3</v>
      </c>
      <c r="AA59" s="149">
        <f>IFERROR(up_RadSpec!$L$7*AA7,".")*$B$59</f>
        <v>2506.5104166666661</v>
      </c>
      <c r="AB59" s="149">
        <f>IFERROR(up_RadSpec!$O$7*$AB$7,".")*$B$59</f>
        <v>1.5696347031963471</v>
      </c>
      <c r="AC59" s="150">
        <f t="shared" si="42"/>
        <v>2508.0800513698623</v>
      </c>
      <c r="AD59" s="136">
        <f t="shared" ref="AD59:AF59" si="149">IFERROR(AD7/$B59,0)</f>
        <v>3.6363636363636364E-3</v>
      </c>
      <c r="AE59" s="136">
        <f t="shared" si="149"/>
        <v>0</v>
      </c>
      <c r="AF59" s="136">
        <f t="shared" si="149"/>
        <v>39.81818181818182</v>
      </c>
      <c r="AG59" s="136">
        <f>IFERROR(AG7/$B59,0)</f>
        <v>2.1924550381384044E-4</v>
      </c>
      <c r="AH59" s="136">
        <f>IFERROR(AH7/$B59,0)</f>
        <v>2.0677724539454526E-4</v>
      </c>
      <c r="AI59" s="149">
        <f>IFERROR(up_RadSpec!$M$7*AI7,".")*$B$59</f>
        <v>6875</v>
      </c>
      <c r="AJ59" s="149">
        <f>IFERROR(up_RadSpec!$L$7*AJ7,".")*$B$59</f>
        <v>1253.255208333333</v>
      </c>
      <c r="AK59" s="149">
        <f>IFERROR(up_RadSpec!$Q$7*AK7,".")*$B$59</f>
        <v>0.62785388127853881</v>
      </c>
      <c r="AL59" s="149">
        <f>up_b2w!AB59</f>
        <v>114027.42389293101</v>
      </c>
      <c r="AM59" s="150">
        <f t="shared" si="46"/>
        <v>122156.30695514561</v>
      </c>
      <c r="AN59" s="136">
        <f t="shared" ref="AN59" si="150">IFERROR(AN7/$B59,0)</f>
        <v>6.6115702479338848E-4</v>
      </c>
      <c r="AO59" s="149">
        <f>IFERROR(up_RadSpec!$J$7*AO7,".")*$B$59</f>
        <v>37812.5</v>
      </c>
    </row>
    <row r="60" spans="1:41" x14ac:dyDescent="0.25">
      <c r="A60" s="148" t="s">
        <v>1083</v>
      </c>
      <c r="B60" s="141">
        <v>1.9000000000000001E-8</v>
      </c>
      <c r="C60" s="136">
        <f>IFERROR(C12/$B60,0)</f>
        <v>17398869.073510222</v>
      </c>
      <c r="D60" s="136">
        <f>IFERROR(D12/$B60,0)</f>
        <v>162631146554.37357</v>
      </c>
      <c r="E60" s="136">
        <f>IFERROR(E12/$B60,0)</f>
        <v>20842707110.830246</v>
      </c>
      <c r="F60" s="136">
        <f>IFERROR(F12/$B60,0)</f>
        <v>2313.6024830970014</v>
      </c>
      <c r="G60" s="136">
        <f>IFERROR(G12/$B60,0)</f>
        <v>11599.246049006813</v>
      </c>
      <c r="H60" s="136">
        <f t="shared" si="120"/>
        <v>2313.2945846709517</v>
      </c>
      <c r="I60" s="149">
        <f>IFERROR(up_RadSpec!$I$12*I12,".")*$B$60</f>
        <v>1.4368750000000001E-6</v>
      </c>
      <c r="J60" s="149">
        <f>IFERROR(up_RadSpec!$L$12*$J$12,".")*B60</f>
        <v>1.5372209155299527E-10</v>
      </c>
      <c r="K60" s="149">
        <f>IFERROR(up_RadSpec!$K$12*$K$12,".")*B60</f>
        <v>1.1994603132435494E-9</v>
      </c>
      <c r="L60" s="149">
        <f>up_b2s!AB60</f>
        <v>1.0805659218750001E-2</v>
      </c>
      <c r="M60" s="150">
        <f t="shared" si="39"/>
        <v>1.0807097446932406E-2</v>
      </c>
      <c r="N60" s="136">
        <f>IFERROR(N12/$B60,0)</f>
        <v>20842707110.830246</v>
      </c>
      <c r="O60" s="136">
        <f>IFERROR(O12/$B60,0)</f>
        <v>37393153339.235344</v>
      </c>
      <c r="P60" s="136">
        <f>IFERROR(P12/$B60,0)</f>
        <v>27113313130.457554</v>
      </c>
      <c r="Q60" s="136">
        <f>IFERROR(Q12/$B60,0)</f>
        <v>23944837028.216114</v>
      </c>
      <c r="R60" s="136">
        <f>IFERROR(R12/$B60,0)</f>
        <v>64549902895.767548</v>
      </c>
      <c r="S60" s="149">
        <f>IFERROR(up_RadSpec!$K$12*$S$12,".")*$B$60</f>
        <v>1.1994603132435494E-9</v>
      </c>
      <c r="T60" s="149">
        <f>IFERROR(up_RadSpec!$R$12*$T$12,".")*$B$60</f>
        <v>6.6857159045124879E-10</v>
      </c>
      <c r="U60" s="149">
        <f>IFERROR(up_RadSpec!$S$12*$U$12,".")*$B$60</f>
        <v>9.220562562646179E-10</v>
      </c>
      <c r="V60" s="149">
        <f>IFERROR(up_RadSpec!$T$12*$V$12,".")*$B$60</f>
        <v>1.0440664085765337E-9</v>
      </c>
      <c r="W60" s="149">
        <f>IFERROR(up_RadSpec!$P$12*$W$12,".")*$B$60</f>
        <v>3.872972518699051E-10</v>
      </c>
      <c r="X60" s="136">
        <f t="shared" ref="X60:Y60" si="151">IFERROR(X12/$B60,0)</f>
        <v>524948.73547505133</v>
      </c>
      <c r="Y60" s="136">
        <f t="shared" si="151"/>
        <v>838277511.96172249</v>
      </c>
      <c r="Z60" s="136">
        <f t="shared" si="117"/>
        <v>524620.20618741936</v>
      </c>
      <c r="AA60" s="149">
        <f>IFERROR(up_RadSpec!$L$12*AA12,".")*$B$60</f>
        <v>4.762369791666666E-5</v>
      </c>
      <c r="AB60" s="149">
        <f>IFERROR(up_RadSpec!$O$12*$AB$12,".")*$B$60</f>
        <v>2.9823059360730597E-8</v>
      </c>
      <c r="AC60" s="150">
        <f t="shared" si="42"/>
        <v>4.7653520976027393E-5</v>
      </c>
      <c r="AD60" s="136">
        <f t="shared" ref="AD60:AF60" si="152">IFERROR(AD12/$B60,0)</f>
        <v>191387.55980861242</v>
      </c>
      <c r="AE60" s="136">
        <f t="shared" si="152"/>
        <v>0</v>
      </c>
      <c r="AF60" s="136">
        <f t="shared" si="152"/>
        <v>2095693779.9043062</v>
      </c>
      <c r="AG60" s="136">
        <f>IFERROR(AG12/$B60,0)</f>
        <v>11539.237042833707</v>
      </c>
      <c r="AH60" s="136">
        <f>IFERROR(AH12/$B60,0)</f>
        <v>10883.012915502381</v>
      </c>
      <c r="AI60" s="149">
        <f>IFERROR(up_RadSpec!$M$12*AI12,".")*$B$60</f>
        <v>1.3062500000000002E-4</v>
      </c>
      <c r="AJ60" s="149">
        <f>IFERROR(up_RadSpec!$L$12*AJ12,".")*$B$60</f>
        <v>2.381184895833333E-5</v>
      </c>
      <c r="AK60" s="149">
        <f>IFERROR(up_RadSpec!$Q$12*AK12,".")*$B$60</f>
        <v>1.1929223744292239E-8</v>
      </c>
      <c r="AL60" s="149">
        <f>up_b2w!AB60</f>
        <v>2.1665210539656894E-3</v>
      </c>
      <c r="AM60" s="150">
        <f t="shared" si="46"/>
        <v>2.3209698321477669E-3</v>
      </c>
      <c r="AN60" s="136">
        <f t="shared" ref="AN60" si="153">IFERROR(AN12/$B60,0)</f>
        <v>34797.738147020442</v>
      </c>
      <c r="AO60" s="149">
        <f>IFERROR(up_RadSpec!$J$12*AO12,".")*$B$60</f>
        <v>7.184375E-4</v>
      </c>
    </row>
    <row r="61" spans="1:41" x14ac:dyDescent="0.25">
      <c r="A61" s="148" t="s">
        <v>1084</v>
      </c>
      <c r="B61" s="141">
        <v>1</v>
      </c>
      <c r="C61" s="136">
        <f>IFERROR(C18/$B61,0)</f>
        <v>0.33057851239669422</v>
      </c>
      <c r="D61" s="136">
        <f>IFERROR(D18/$B61,0)</f>
        <v>3089.9917845330979</v>
      </c>
      <c r="E61" s="136">
        <f>IFERROR(E18/$B61,0)</f>
        <v>198.99502767614223</v>
      </c>
      <c r="F61" s="136">
        <f>IFERROR(F18/$B61,0)</f>
        <v>4.3958447178843029E-5</v>
      </c>
      <c r="G61" s="136">
        <f>IFERROR(G18/$B61,0)</f>
        <v>2.2038567493112948E-4</v>
      </c>
      <c r="H61" s="136">
        <f t="shared" si="120"/>
        <v>4.3952592279033349E-5</v>
      </c>
      <c r="I61" s="149">
        <f>IFERROR(up_RadSpec!$I$18*I18,".")*$B$61</f>
        <v>75.625</v>
      </c>
      <c r="J61" s="149">
        <f>IFERROR(up_RadSpec!$L$18*$J$18,".")*B61</f>
        <v>8.0906363975260659E-3</v>
      </c>
      <c r="K61" s="149">
        <f>IFERROR(up_RadSpec!$K$18*$K$18,".")*B61</f>
        <v>0.1256312797960292</v>
      </c>
      <c r="L61" s="149">
        <f>up_b2s!AB61</f>
        <v>568718.90625</v>
      </c>
      <c r="M61" s="150">
        <f t="shared" si="39"/>
        <v>568794.66497191624</v>
      </c>
      <c r="N61" s="136">
        <f>IFERROR(N18/$B61,0)</f>
        <v>198.99502767614223</v>
      </c>
      <c r="O61" s="136">
        <f>IFERROR(O18/$B61,0)</f>
        <v>393.75339800268989</v>
      </c>
      <c r="P61" s="136">
        <f>IFERROR(P18/$B61,0)</f>
        <v>275.74376135306943</v>
      </c>
      <c r="Q61" s="136">
        <f>IFERROR(Q18/$B61,0)</f>
        <v>228.45868626050287</v>
      </c>
      <c r="R61" s="136">
        <f>IFERROR(R18/$B61,0)</f>
        <v>669.30846930846917</v>
      </c>
      <c r="S61" s="149">
        <f>IFERROR(up_RadSpec!$K$18*$S$18,".")*$B$61</f>
        <v>0.1256312797960292</v>
      </c>
      <c r="T61" s="149">
        <f>IFERROR(up_RadSpec!$R$18*$T$18,".")*$B$61</f>
        <v>6.3491515569928395E-2</v>
      </c>
      <c r="U61" s="149">
        <f>IFERROR(up_RadSpec!$S$18*$U$18,".")*$B$61</f>
        <v>9.0663882574624613E-2</v>
      </c>
      <c r="V61" s="149">
        <f>IFERROR(up_RadSpec!$T$18*$V$18,".")*$B$61</f>
        <v>0.10942897558070276</v>
      </c>
      <c r="W61" s="149">
        <f>IFERROR(up_RadSpec!$P$18*$W$18,".")*$B$61</f>
        <v>3.7351985140469016E-2</v>
      </c>
      <c r="X61" s="136">
        <f t="shared" ref="X61:Y61" si="154">IFERROR(X18/$B61,0)</f>
        <v>9.9740259740259754E-3</v>
      </c>
      <c r="Y61" s="136">
        <f t="shared" si="154"/>
        <v>15.927272727272728</v>
      </c>
      <c r="Z61" s="136">
        <f t="shared" si="117"/>
        <v>9.9677839175609673E-3</v>
      </c>
      <c r="AA61" s="149">
        <f>IFERROR(up_RadSpec!$L$18*AA18,".")*$B$61</f>
        <v>2506.5104166666661</v>
      </c>
      <c r="AB61" s="149">
        <f>IFERROR(up_RadSpec!$O$18*$AB$18,".")*$B$61</f>
        <v>1.5696347031963471</v>
      </c>
      <c r="AC61" s="150">
        <f t="shared" si="42"/>
        <v>2508.0800513698623</v>
      </c>
      <c r="AD61" s="136">
        <f t="shared" ref="AD61:AF61" si="155">IFERROR(AD18/$B61,0)</f>
        <v>3.6363636363636364E-3</v>
      </c>
      <c r="AE61" s="136">
        <f t="shared" si="155"/>
        <v>0</v>
      </c>
      <c r="AF61" s="136">
        <f t="shared" si="155"/>
        <v>39.81818181818182</v>
      </c>
      <c r="AG61" s="136">
        <f>IFERROR(AG18/$B61,0)</f>
        <v>2.1924550381384044E-4</v>
      </c>
      <c r="AH61" s="136">
        <f>IFERROR(AH18/$B61,0)</f>
        <v>2.0677724539454526E-4</v>
      </c>
      <c r="AI61" s="149">
        <f>IFERROR(up_RadSpec!$M$18*AI18,".")*$B$61</f>
        <v>6875</v>
      </c>
      <c r="AJ61" s="149">
        <f>IFERROR(up_RadSpec!$L$18*AJ18,".")*$B$61</f>
        <v>1253.255208333333</v>
      </c>
      <c r="AK61" s="149">
        <f>IFERROR(up_RadSpec!$Q$18*AK18,".")*$B$61</f>
        <v>0.62785388127853881</v>
      </c>
      <c r="AL61" s="149">
        <f>up_b2w!AB61</f>
        <v>114027.42389293101</v>
      </c>
      <c r="AM61" s="150">
        <f t="shared" si="46"/>
        <v>122156.30695514561</v>
      </c>
      <c r="AN61" s="136">
        <f t="shared" ref="AN61" si="156">IFERROR(AN18/$B61,0)</f>
        <v>6.6115702479338848E-4</v>
      </c>
      <c r="AO61" s="149">
        <f>IFERROR(up_RadSpec!$J$18*AO18,".")*$B$61</f>
        <v>37812.5</v>
      </c>
    </row>
    <row r="62" spans="1:41" x14ac:dyDescent="0.25">
      <c r="A62" s="148" t="s">
        <v>1085</v>
      </c>
      <c r="B62" s="141">
        <v>1.339E-6</v>
      </c>
      <c r="C62" s="136">
        <f>IFERROR(C27/$B62,0)</f>
        <v>246884.62464278881</v>
      </c>
      <c r="D62" s="136">
        <f>IFERROR(D27/$B62,0)</f>
        <v>2307686172.1681089</v>
      </c>
      <c r="E62" s="136">
        <f>IFERROR(E27/$B62,0)</f>
        <v>243894464.06009656</v>
      </c>
      <c r="F62" s="136">
        <f>IFERROR(F27/$B62,0)</f>
        <v>32.829310813176271</v>
      </c>
      <c r="G62" s="136">
        <f>IFERROR(G27/$B62,0)</f>
        <v>164.5897497618592</v>
      </c>
      <c r="H62" s="136">
        <f t="shared" si="120"/>
        <v>32.824941054170651</v>
      </c>
      <c r="I62" s="149">
        <f>IFERROR(up_RadSpec!$I$27*I27,".")*$B$62</f>
        <v>1.0126187500000001E-4</v>
      </c>
      <c r="J62" s="149">
        <f>IFERROR(up_RadSpec!$L$27*$J$27,".")*B62</f>
        <v>1.0833362136287402E-8</v>
      </c>
      <c r="K62" s="149">
        <f>IFERROR(up_RadSpec!$K$27*$K$27,".")*B62</f>
        <v>1.0250335158833248E-7</v>
      </c>
      <c r="L62" s="149">
        <f>up_b2s!AB62</f>
        <v>0.76151461546874999</v>
      </c>
      <c r="M62" s="150">
        <f t="shared" si="39"/>
        <v>0.76161599068046371</v>
      </c>
      <c r="N62" s="136">
        <f>IFERROR(N27/$B62,0)</f>
        <v>243894464.06009656</v>
      </c>
      <c r="O62" s="136">
        <f>IFERROR(O27/$B62,0)</f>
        <v>723432588.53223121</v>
      </c>
      <c r="P62" s="136">
        <f>IFERROR(P27/$B62,0)</f>
        <v>443518576.30272853</v>
      </c>
      <c r="Q62" s="136">
        <f>IFERROR(Q27/$B62,0)</f>
        <v>322642630.06237364</v>
      </c>
      <c r="R62" s="136">
        <f>IFERROR(R27/$B62,0)</f>
        <v>2262884433.0162129</v>
      </c>
      <c r="S62" s="149">
        <f>IFERROR(up_RadSpec!$K$27*$S$27,".")*$B$62</f>
        <v>1.0250335158833248E-7</v>
      </c>
      <c r="T62" s="149">
        <f>IFERROR(up_RadSpec!$R$27*$T$27,".")*$B$62</f>
        <v>3.4557470034246562E-8</v>
      </c>
      <c r="U62" s="149">
        <f>IFERROR(up_RadSpec!$S$27*$U$27,".")*$B$62</f>
        <v>5.6367424806432396E-8</v>
      </c>
      <c r="V62" s="149">
        <f>IFERROR(up_RadSpec!$T$27*$V$27,".")*$B$62</f>
        <v>7.7485110988485845E-8</v>
      </c>
      <c r="W62" s="149">
        <f>IFERROR(up_RadSpec!$P$27*$W$27,".")*$B$62</f>
        <v>1.1047846560452647E-8</v>
      </c>
      <c r="X62" s="136">
        <f t="shared" ref="X62:Y62" si="157">IFERROR(X27/$B62,0)</f>
        <v>7448.8618177938579</v>
      </c>
      <c r="Y62" s="136">
        <f t="shared" si="157"/>
        <v>11894901.215289565</v>
      </c>
      <c r="Z62" s="136">
        <f t="shared" si="117"/>
        <v>7444.2000877975861</v>
      </c>
      <c r="AA62" s="149">
        <f>IFERROR(up_RadSpec!$L$27*AA27,".")*$B$62</f>
        <v>3.3562174479166659E-3</v>
      </c>
      <c r="AB62" s="149">
        <f>IFERROR(up_RadSpec!$O$27*$AB$27,".")*$B$62</f>
        <v>2.1017408675799087E-6</v>
      </c>
      <c r="AC62" s="150">
        <f t="shared" si="42"/>
        <v>3.3583191887842458E-3</v>
      </c>
      <c r="AD62" s="136">
        <f t="shared" ref="AD62:AF62" si="158">IFERROR(AD27/$B62,0)</f>
        <v>2715.730871070677</v>
      </c>
      <c r="AE62" s="136">
        <f t="shared" si="158"/>
        <v>0</v>
      </c>
      <c r="AF62" s="136">
        <f t="shared" si="158"/>
        <v>29737253.038223915</v>
      </c>
      <c r="AG62" s="136">
        <f>IFERROR(AG27/$B62,0)</f>
        <v>163.73824033893985</v>
      </c>
      <c r="AH62" s="136">
        <f>IFERROR(AH27/$B62,0)</f>
        <v>154.42662090705397</v>
      </c>
      <c r="AI62" s="149">
        <f>IFERROR(up_RadSpec!$M$27*AI27,".")*$B$62</f>
        <v>9.2056250000000003E-3</v>
      </c>
      <c r="AJ62" s="149">
        <f>IFERROR(up_RadSpec!$L$27*AJ27,".")*$B$62</f>
        <v>1.6781087239583329E-3</v>
      </c>
      <c r="AK62" s="149">
        <f>IFERROR(up_RadSpec!$Q$27*AK27,".")*$B$62</f>
        <v>8.4069634703196346E-7</v>
      </c>
      <c r="AL62" s="149">
        <f>up_b2w!AB62</f>
        <v>0.15268272059263463</v>
      </c>
      <c r="AM62" s="150">
        <f t="shared" si="46"/>
        <v>0.16356729501293998</v>
      </c>
      <c r="AN62" s="136">
        <f t="shared" ref="AN62" si="159">IFERROR(AN27/$B62,0)</f>
        <v>493.76924928557764</v>
      </c>
      <c r="AO62" s="149">
        <f>IFERROR(up_RadSpec!$J$27*AO27,".")*$B$62</f>
        <v>5.0630937500000001E-2</v>
      </c>
    </row>
    <row r="63" spans="1:41" x14ac:dyDescent="0.25">
      <c r="A63" s="145" t="s">
        <v>23</v>
      </c>
      <c r="B63" s="145" t="s">
        <v>1221</v>
      </c>
      <c r="C63" s="133">
        <f>1/SUM(1/C64,1/C65,1/C66,1/C67,1/C68,1/C69,1/C70,1/C71,1/C72,1/C73,1/C74,1/C75,1/C76)</f>
        <v>4.1322307035125169E-2</v>
      </c>
      <c r="D63" s="133">
        <f t="shared" ref="D63:G63" si="160">1/SUM(1/D64,1/D65,1/D66,1/D67,1/D68,1/D69,1/D70,1/D71,1/D72,1/D73,1/D74,1/D75,1/D76)</f>
        <v>386.2489075008852</v>
      </c>
      <c r="E63" s="133">
        <f>1/SUM(1/E64,1/E66,1/E68,1/E69,1/E70,1/E71,1/E72,1/E73,1/E74,1/E75,1/E76)</f>
        <v>40.011162796046023</v>
      </c>
      <c r="F63" s="133">
        <f t="shared" si="160"/>
        <v>5.4948049646122347E-6</v>
      </c>
      <c r="G63" s="133">
        <f t="shared" si="160"/>
        <v>2.7548204690083433E-5</v>
      </c>
      <c r="H63" s="134">
        <f>1/SUM(1/H64,1/H65,1/H66,1/H67,1/H68,1/H69,1/H70,1/H71,1/H72,1/H73,1/H74,1/H75,1/H76)</f>
        <v>5.4940735613412507E-6</v>
      </c>
      <c r="I63" s="146">
        <f>SUM(I64:I76)</f>
        <v>605.00010269874997</v>
      </c>
      <c r="J63" s="146">
        <f t="shared" ref="J63:K63" si="161">SUM(J64:J76)</f>
        <v>6.4725102167292756E-2</v>
      </c>
      <c r="K63" s="146">
        <f t="shared" si="161"/>
        <v>0.62482562997320712</v>
      </c>
      <c r="L63" s="159">
        <f>up_b2s!AB63</f>
        <v>4549752.0223202743</v>
      </c>
      <c r="M63" s="147">
        <f t="shared" si="39"/>
        <v>4550357.7119737053</v>
      </c>
      <c r="N63" s="134">
        <f t="shared" ref="N63:R63" si="162">1/SUM(1/N64,1/N66,1/N68,1/N69,1/N70,1/N71,1/N72,1/N73,1/N74,1/N75,1/N76)</f>
        <v>40.011162796046023</v>
      </c>
      <c r="O63" s="134">
        <f t="shared" si="162"/>
        <v>76.220897773030728</v>
      </c>
      <c r="P63" s="134">
        <f t="shared" si="162"/>
        <v>54.278629146126725</v>
      </c>
      <c r="Q63" s="134">
        <f t="shared" si="162"/>
        <v>46.280086897647749</v>
      </c>
      <c r="R63" s="134">
        <f t="shared" si="162"/>
        <v>133.8277310656689</v>
      </c>
      <c r="S63" s="146">
        <f t="shared" ref="S63:W63" si="163">SUM(S64:S76)</f>
        <v>0.62482562997320712</v>
      </c>
      <c r="T63" s="146">
        <f t="shared" si="163"/>
        <v>0.327994037467842</v>
      </c>
      <c r="U63" s="146">
        <f t="shared" si="163"/>
        <v>0.46058642956320817</v>
      </c>
      <c r="V63" s="146">
        <f t="shared" si="163"/>
        <v>0.54018913264552815</v>
      </c>
      <c r="W63" s="146">
        <f t="shared" si="163"/>
        <v>0.18680732162852384</v>
      </c>
      <c r="X63" s="134">
        <f>1/SUM(1/X64,1/X65,1/X66,1/X67,1/X68,1/X69,1/X70,1/X71,1/X72,1/X73,1/X74,1/X75,1/X76)</f>
        <v>1.2467530351169193E-3</v>
      </c>
      <c r="Y63" s="134">
        <f t="shared" ref="Y63" si="164">1/SUM(1/Y64,1/Y65,1/Y66,1/Y67,1/Y68,1/Y69,1/Y70,1/Y71,1/Y72,1/Y73,1/Y74,1/Y75,1/Y76)</f>
        <v>1.9909087529523299</v>
      </c>
      <c r="Z63" s="134">
        <f t="shared" ref="Z63" si="165">1/SUM(1/Z64,1/Z65,1/Z66,1/Z67,1/Z68,1/Z69,1/Z70,1/Z71,1/Z72,1/Z73,1/Z74,1/Z75,1/Z76)</f>
        <v>1.2459727781912418E-3</v>
      </c>
      <c r="AA63" s="146">
        <f t="shared" ref="AA63" si="166">SUM(AA64:AA76)</f>
        <v>20052.086737174472</v>
      </c>
      <c r="AB63" s="146">
        <f t="shared" ref="AB63" si="167">SUM(AB64:AB76)</f>
        <v>12.557079757134705</v>
      </c>
      <c r="AC63" s="147">
        <f t="shared" si="42"/>
        <v>20064.643816931606</v>
      </c>
      <c r="AD63" s="134">
        <f t="shared" ref="AD63:AH63" si="168">1/SUM(1/AD64,1/AD65,1/AD66,1/AD67,1/AD68,1/AD69,1/AD70,1/AD71,1/AD72,1/AD73,1/AD74,1/AD75,1/AD76)</f>
        <v>4.5454537738637681E-4</v>
      </c>
      <c r="AE63" s="134">
        <f>1/SUM(1/AE64)</f>
        <v>1.9948051948051951E-2</v>
      </c>
      <c r="AF63" s="134">
        <f t="shared" si="168"/>
        <v>4.9772718823808253</v>
      </c>
      <c r="AG63" s="134">
        <f t="shared" si="168"/>
        <v>2.7405683324615309E-5</v>
      </c>
      <c r="AH63" s="134">
        <f t="shared" si="168"/>
        <v>2.5813703874903463E-5</v>
      </c>
      <c r="AI63" s="146">
        <f t="shared" ref="AI63" si="169">SUM(AI64:AI76)</f>
        <v>55000.009336249997</v>
      </c>
      <c r="AJ63" s="146">
        <f t="shared" ref="AJ63" si="170">SUM(AJ64:AJ76)</f>
        <v>10026.043368587236</v>
      </c>
      <c r="AK63" s="146">
        <f t="shared" ref="AK63" si="171">SUM(AK64:AK76)</f>
        <v>5.0228319028538824</v>
      </c>
      <c r="AL63" s="146">
        <f>up_b2w!AB63</f>
        <v>912219.54599268944</v>
      </c>
      <c r="AM63" s="147">
        <f t="shared" si="46"/>
        <v>977250.62152942957</v>
      </c>
      <c r="AN63" s="134">
        <f>1/SUM(1/AN64,1/AN65,1/AN66,1/AN67,1/AN68,1/AN69,1/AN70,1/AN71,1/AN72,1/AN73,1/AN74,1/AN75,1/AN76)</f>
        <v>8.2644614070250314E-5</v>
      </c>
      <c r="AO63" s="146">
        <f t="shared" ref="AO63" si="172">SUM(AO64:AO76)</f>
        <v>302500.05134937499</v>
      </c>
    </row>
    <row r="64" spans="1:41" x14ac:dyDescent="0.25">
      <c r="A64" s="148" t="s">
        <v>1075</v>
      </c>
      <c r="B64" s="141">
        <v>1</v>
      </c>
      <c r="C64" s="136">
        <f>IFERROR(C25/$B50,0)</f>
        <v>0.33057851239669422</v>
      </c>
      <c r="D64" s="136">
        <f>IFERROR(D25/$B50,0)</f>
        <v>3089.9917845330979</v>
      </c>
      <c r="E64" s="136">
        <f>IFERROR(E25/$B50,0)</f>
        <v>284.28866983083856</v>
      </c>
      <c r="F64" s="136">
        <f>IFERROR(F25/$B50,0)</f>
        <v>4.3958447178843029E-5</v>
      </c>
      <c r="G64" s="136">
        <f>IFERROR(G25/$B50,0)</f>
        <v>2.2038567493112948E-4</v>
      </c>
      <c r="H64" s="136">
        <f t="shared" ref="H64:H76" si="173">(IF(AND(C64&lt;&gt;0,D64&lt;&gt;0,E64&lt;&gt;0,F64&lt;&gt;0),1/((1/C64)+(1/D64)+(1/E64)+(1/F64)),IF(AND(C64&lt;&gt;0,D64&lt;&gt;0,E64&lt;&gt;0,F64=0), 1/((1/C64)+(1/D64)+(1/E64)),IF(AND(C64&lt;&gt;0,D64&lt;&gt;0,E64=0,F64&lt;&gt;0),1/((1/C64)+(1/D64)+(1/F64)),IF(AND(C64&lt;&gt;0,D64=0,E64&lt;&gt;0,F64&lt;&gt;0),1/((1/C64)+(1/E64)+(1/F64)),IF(AND(C64=0,D64&lt;&gt;0,E64&lt;&gt;0,F64&lt;&gt;0),1/((1/D64)+(1/E64)+(1/F64)),IF(AND(C64&lt;&gt;0,D64&lt;&gt;0,E64=0,F64=0),1/((1/C64)+(1/D64)),IF(AND(C64&lt;&gt;0,D64=0,E64&lt;&gt;0,F64=0),1/((1/C64)+(1/E64)),IF(AND(C64&lt;&gt;0,D64=0,E64=0,F64&lt;&gt;0),1/((1/C64)+(1/F64)),IF(AND(C64=0,D64=0,E64&lt;&gt;0,F64&lt;&gt;0),1/((1/E64)+(1/F64)),IF(AND(C64=0,D64&lt;&gt;0,E64=0,F64&lt;&gt;0),1/((1/D64)+(1/F64)),IF(AND(C64=0,D64&lt;&gt;0,E64&lt;&gt;0,F64=0),1/((1/D64)+(1/E64)),IF(AND(C64&lt;&gt;0,D64=0,E64=0,F64=0),1/((1/C64)),IF(AND(C64=0,D64&lt;&gt;0,E64=0,F64=0),1/((1/D64)),IF(AND(C64=0,D64=0,E64&lt;&gt;0,F64=0),1/((1/E64)),IF(AND(C64=0,D64=0,E64=0,F64&lt;&gt;0),1/((1/F64)),IF(AND(C64=0,D64=0,E64=0,F64=0),0)))))))))))))))))</f>
        <v>4.3952595191653845E-5</v>
      </c>
      <c r="I64" s="149">
        <f>IFERROR(up_RadSpec!$I$25*I25,".")*$B$64</f>
        <v>75.625</v>
      </c>
      <c r="J64" s="149">
        <f>IFERROR(up_RadSpec!$L$25*$J$25,".")*B64</f>
        <v>8.0906363975260659E-3</v>
      </c>
      <c r="K64" s="149">
        <f>IFERROR(up_RadSpec!$K$25*$K$25,".")*B64</f>
        <v>8.7938784246575336E-2</v>
      </c>
      <c r="L64" s="149">
        <f>up_b2s!AB64</f>
        <v>568718.90625</v>
      </c>
      <c r="M64" s="150">
        <f t="shared" si="39"/>
        <v>568794.62727942062</v>
      </c>
      <c r="N64" s="136">
        <f>IFERROR(N25/$B50,0)</f>
        <v>284.28866983083856</v>
      </c>
      <c r="O64" s="136">
        <f>IFERROR(O25/$B50,0)</f>
        <v>509.10201418675985</v>
      </c>
      <c r="P64" s="136">
        <f>IFERROR(P25/$B50,0)</f>
        <v>365.1816348445563</v>
      </c>
      <c r="Q64" s="136">
        <f>IFERROR(Q25/$B50,0)</f>
        <v>326.09800745393966</v>
      </c>
      <c r="R64" s="136">
        <f>IFERROR(R25/$B50,0)</f>
        <v>912.76400367309452</v>
      </c>
      <c r="S64" s="149">
        <f>IFERROR(up_RadSpec!$K$25*$S$25,".")*$B$64</f>
        <v>8.7938784246575336E-2</v>
      </c>
      <c r="T64" s="149">
        <f>IFERROR(up_RadSpec!$R$25*$T$25,".")*$B$64</f>
        <v>4.9106071677864072E-2</v>
      </c>
      <c r="U64" s="149">
        <f>IFERROR(up_RadSpec!$S$25*$U$25,".")*$B$64</f>
        <v>6.8459083411030602E-2</v>
      </c>
      <c r="V64" s="149">
        <f>IFERROR(up_RadSpec!$T$25*$V$25,".")*$B$64</f>
        <v>7.6664068557766876E-2</v>
      </c>
      <c r="W64" s="149">
        <f>IFERROR(up_RadSpec!$P$25*$W$25,".")*$B$64</f>
        <v>2.7389336016096583E-2</v>
      </c>
      <c r="X64" s="136">
        <f t="shared" ref="X64:Y64" si="174">IFERROR(X25/$B50,0)</f>
        <v>9.9740259740259754E-3</v>
      </c>
      <c r="Y64" s="136">
        <f t="shared" si="174"/>
        <v>15.927272727272728</v>
      </c>
      <c r="Z64" s="136">
        <f t="shared" ref="Z64:Z76" si="175">IFERROR(IF(AND(X64&lt;&gt;0,Y64&lt;&gt;0),1/((1/X64)+(1/Y64)),IF(AND(X64&lt;&gt;0,Y64=0),1/((1/X64)),IF(AND(X64=0,Y64&lt;&gt;0),1/((1/Y64)),IF(AND(X64=".",Y64="."),".")))),".")</f>
        <v>9.9677839175609673E-3</v>
      </c>
      <c r="AA64" s="149">
        <f>IFERROR(up_RadSpec!$L$25*AA25,".")*$B$64</f>
        <v>2506.5104166666661</v>
      </c>
      <c r="AB64" s="149">
        <f>IFERROR(up_RadSpec!$O$25*$AB$25,".")*$B$64</f>
        <v>1.5696347031963471</v>
      </c>
      <c r="AC64" s="150">
        <f t="shared" si="42"/>
        <v>2508.0800513698623</v>
      </c>
      <c r="AD64" s="136">
        <f t="shared" ref="AD64:AF64" si="176">IFERROR(AD25/$B50,0)</f>
        <v>3.6363636363636364E-3</v>
      </c>
      <c r="AE64" s="136">
        <f t="shared" si="176"/>
        <v>1.9948051948051951E-2</v>
      </c>
      <c r="AF64" s="136">
        <f t="shared" si="176"/>
        <v>39.81818181818182</v>
      </c>
      <c r="AG64" s="136">
        <f>IFERROR(AG25/$B50,0)</f>
        <v>2.1924550381384044E-4</v>
      </c>
      <c r="AH64" s="136">
        <f>IFERROR(AH25/$B50,0)</f>
        <v>2.0465582681031537E-4</v>
      </c>
      <c r="AI64" s="149">
        <f>IFERROR(up_RadSpec!$M$25*AI25,".")*$B$64</f>
        <v>6875</v>
      </c>
      <c r="AJ64" s="149">
        <f>IFERROR(up_RadSpec!$L$25*AJ25,".")*$B$64</f>
        <v>1253.255208333333</v>
      </c>
      <c r="AK64" s="149">
        <f>IFERROR(up_RadSpec!$Q$25*AK25,".")*$B$64</f>
        <v>0.62785388127853881</v>
      </c>
      <c r="AL64" s="149">
        <f>up_b2w!AB64</f>
        <v>114027.42389293101</v>
      </c>
      <c r="AM64" s="150">
        <f t="shared" si="46"/>
        <v>122156.30695514561</v>
      </c>
      <c r="AN64" s="136">
        <f t="shared" ref="AN64" si="177">IFERROR(AN25/$B50,0)</f>
        <v>6.6115702479338848E-4</v>
      </c>
      <c r="AO64" s="149">
        <f>IFERROR(up_RadSpec!$J$25*AO25,".")*$B$64</f>
        <v>37812.5</v>
      </c>
    </row>
    <row r="65" spans="1:41" x14ac:dyDescent="0.25">
      <c r="A65" s="148" t="s">
        <v>1061</v>
      </c>
      <c r="B65" s="141">
        <v>1</v>
      </c>
      <c r="C65" s="136">
        <f>IFERROR(C21/$B51,0)</f>
        <v>0.33057851239669422</v>
      </c>
      <c r="D65" s="136">
        <f>IFERROR(D21/$B51,0)</f>
        <v>3089.9917845330979</v>
      </c>
      <c r="E65" s="136">
        <f>IFERROR(E21/$B51,0)</f>
        <v>0</v>
      </c>
      <c r="F65" s="136">
        <f>IFERROR(F21/$B51,0)</f>
        <v>4.3958447178843029E-5</v>
      </c>
      <c r="G65" s="136">
        <f>IFERROR(G21/$B51,0)</f>
        <v>2.2038567493112948E-4</v>
      </c>
      <c r="H65" s="136">
        <f t="shared" si="173"/>
        <v>4.3952601986968353E-5</v>
      </c>
      <c r="I65" s="149">
        <f>IFERROR(up_RadSpec!$I$21*I21,".")*$B$65</f>
        <v>75.625</v>
      </c>
      <c r="J65" s="149">
        <f>IFERROR(up_RadSpec!$L$21*$J$21,".")*B65</f>
        <v>8.0906363975260659E-3</v>
      </c>
      <c r="K65" s="149">
        <f>IFERROR(up_RadSpec!$K$21*$K$21,".")*B65</f>
        <v>0</v>
      </c>
      <c r="L65" s="149">
        <f>up_b2s!AB65</f>
        <v>568718.90625</v>
      </c>
      <c r="M65" s="150">
        <f t="shared" si="39"/>
        <v>568794.53934063634</v>
      </c>
      <c r="N65" s="136">
        <f>IFERROR(N21/$B51,0)</f>
        <v>0</v>
      </c>
      <c r="O65" s="136">
        <f>IFERROR(O21/$B51,0)</f>
        <v>0</v>
      </c>
      <c r="P65" s="136">
        <f>IFERROR(P21/$B51,0)</f>
        <v>0</v>
      </c>
      <c r="Q65" s="136">
        <f>IFERROR(Q21/$B51,0)</f>
        <v>0</v>
      </c>
      <c r="R65" s="136">
        <f>IFERROR(R21/$B51,0)</f>
        <v>0</v>
      </c>
      <c r="S65" s="149">
        <f>IFERROR(up_RadSpec!$K$21*$S$21,".")*$B$65</f>
        <v>0</v>
      </c>
      <c r="T65" s="149">
        <f>IFERROR(up_RadSpec!$R$21*$T$21,".")*$B$65</f>
        <v>0</v>
      </c>
      <c r="U65" s="149">
        <f>IFERROR(up_RadSpec!$S$21*$U$21,".")*$B$65</f>
        <v>0</v>
      </c>
      <c r="V65" s="149">
        <f>IFERROR(up_RadSpec!$T$21*$V$21,".")*$B$65</f>
        <v>0</v>
      </c>
      <c r="W65" s="149">
        <f>IFERROR(up_RadSpec!$P$21*$W$21,".")*$B$65</f>
        <v>0</v>
      </c>
      <c r="X65" s="136">
        <f t="shared" ref="X65:Y65" si="178">IFERROR(X21/$B51,0)</f>
        <v>9.9740259740259754E-3</v>
      </c>
      <c r="Y65" s="136">
        <f t="shared" si="178"/>
        <v>15.927272727272728</v>
      </c>
      <c r="Z65" s="136">
        <f t="shared" si="175"/>
        <v>9.9677839175609673E-3</v>
      </c>
      <c r="AA65" s="149">
        <f>IFERROR(up_RadSpec!$L$21*AA21,".")*$B$65</f>
        <v>2506.5104166666661</v>
      </c>
      <c r="AB65" s="149">
        <f>IFERROR(up_RadSpec!$O$21*$AB$21,".")*$B$65</f>
        <v>1.5696347031963471</v>
      </c>
      <c r="AC65" s="150">
        <f t="shared" si="42"/>
        <v>2508.0800513698623</v>
      </c>
      <c r="AD65" s="136">
        <f t="shared" ref="AD65:AF65" si="179">IFERROR(AD21/$B51,0)</f>
        <v>3.6363636363636364E-3</v>
      </c>
      <c r="AE65" s="136">
        <f t="shared" si="179"/>
        <v>0</v>
      </c>
      <c r="AF65" s="136">
        <f t="shared" si="179"/>
        <v>39.81818181818182</v>
      </c>
      <c r="AG65" s="136">
        <f>IFERROR(AG21/$B51,0)</f>
        <v>2.1924550381384044E-4</v>
      </c>
      <c r="AH65" s="136">
        <f>IFERROR(AH21/$B51,0)</f>
        <v>2.0677724539454526E-4</v>
      </c>
      <c r="AI65" s="149">
        <f>IFERROR(up_RadSpec!$M$21*AI21,".")*$B$65</f>
        <v>6875</v>
      </c>
      <c r="AJ65" s="149">
        <f>IFERROR(up_RadSpec!$L$21*AJ21,".")*$B$65</f>
        <v>1253.255208333333</v>
      </c>
      <c r="AK65" s="149">
        <f>IFERROR(up_RadSpec!$Q$21*AK21,".")*$B$65</f>
        <v>0.62785388127853881</v>
      </c>
      <c r="AL65" s="149">
        <f>up_b2w!AB65</f>
        <v>114027.42389293101</v>
      </c>
      <c r="AM65" s="150">
        <f t="shared" si="46"/>
        <v>122156.30695514561</v>
      </c>
      <c r="AN65" s="136">
        <f t="shared" ref="AN65" si="180">IFERROR(AN21/$B51,0)</f>
        <v>6.6115702479338848E-4</v>
      </c>
      <c r="AO65" s="149">
        <f>IFERROR(up_RadSpec!$J$21*AO21,".")*$B$65</f>
        <v>37812.5</v>
      </c>
    </row>
    <row r="66" spans="1:41" x14ac:dyDescent="0.25">
      <c r="A66" s="148" t="s">
        <v>1062</v>
      </c>
      <c r="B66" s="141">
        <v>0.99980000000000002</v>
      </c>
      <c r="C66" s="136">
        <f>IFERROR(C17/$B52,0)</f>
        <v>0.33064464132495919</v>
      </c>
      <c r="D66" s="136">
        <f>IFERROR(D17/$B52,0)</f>
        <v>3090.6099065144008</v>
      </c>
      <c r="E66" s="136">
        <f>IFERROR(E17/$B52,0)</f>
        <v>390.79047608026116</v>
      </c>
      <c r="F66" s="136">
        <f>IFERROR(F17/$B52,0)</f>
        <v>4.3967240626968418E-5</v>
      </c>
      <c r="G66" s="136">
        <f>IFERROR(G17/$B52,0)</f>
        <v>2.2042976088330614E-4</v>
      </c>
      <c r="H66" s="136">
        <f t="shared" si="173"/>
        <v>4.396138932045031E-5</v>
      </c>
      <c r="I66" s="149">
        <f>IFERROR(up_RadSpec!$I$17*I17,".")*$B$66</f>
        <v>75.609875000000002</v>
      </c>
      <c r="J66" s="149">
        <f>IFERROR(up_RadSpec!$L$17*$J$17,".")*B66</f>
        <v>8.0890182702465611E-3</v>
      </c>
      <c r="K66" s="149">
        <f>IFERROR(up_RadSpec!$K$17*$K$17,".")*B66</f>
        <v>6.3972899879129769E-2</v>
      </c>
      <c r="L66" s="149">
        <f>up_b2s!AB66</f>
        <v>568605.16246875003</v>
      </c>
      <c r="M66" s="150">
        <f t="shared" si="39"/>
        <v>568680.84440566821</v>
      </c>
      <c r="N66" s="136">
        <f>IFERROR(N17/$B52,0)</f>
        <v>390.79047608026116</v>
      </c>
      <c r="O66" s="136">
        <f>IFERROR(O17/$B52,0)</f>
        <v>682.98808448848524</v>
      </c>
      <c r="P66" s="136">
        <f>IFERROR(P17/$B52,0)</f>
        <v>514.57307614421393</v>
      </c>
      <c r="Q66" s="136">
        <f>IFERROR(Q17/$B52,0)</f>
        <v>457.57457472458793</v>
      </c>
      <c r="R66" s="136">
        <f>IFERROR(R17/$B52,0)</f>
        <v>1308.6981284359076</v>
      </c>
      <c r="S66" s="149">
        <f>IFERROR(up_RadSpec!$K$17*$S$17,".")*$B$66</f>
        <v>6.3972899879129769E-2</v>
      </c>
      <c r="T66" s="149">
        <f>IFERROR(up_RadSpec!$R$17*$T$17,".")*$B$66</f>
        <v>3.6603859668684284E-2</v>
      </c>
      <c r="U66" s="149">
        <f>IFERROR(up_RadSpec!$S$17*$U$17,".")*$B$66</f>
        <v>4.8583964375535103E-2</v>
      </c>
      <c r="V66" s="149">
        <f>IFERROR(up_RadSpec!$T$17*$V$17,".")*$B$66</f>
        <v>5.4635902825342489E-2</v>
      </c>
      <c r="W66" s="149">
        <f>IFERROR(up_RadSpec!$P$17*$W$17,".")*$B$66</f>
        <v>1.9102953887371096E-2</v>
      </c>
      <c r="X66" s="136">
        <f t="shared" ref="X66:Y66" si="181">IFERROR(X17/$B52,0)</f>
        <v>9.9760211782616275E-3</v>
      </c>
      <c r="Y66" s="136">
        <f t="shared" si="181"/>
        <v>15.930458819036534</v>
      </c>
      <c r="Z66" s="136">
        <f t="shared" si="175"/>
        <v>9.9697778731355942E-3</v>
      </c>
      <c r="AA66" s="149">
        <f>IFERROR(up_RadSpec!$L$17*AA17,".")*$B$66</f>
        <v>2506.0091145833326</v>
      </c>
      <c r="AB66" s="149">
        <f>IFERROR(up_RadSpec!$O$17*$AB$17,".")*$B$66</f>
        <v>1.569320776255708</v>
      </c>
      <c r="AC66" s="150">
        <f t="shared" si="42"/>
        <v>2507.5784353595882</v>
      </c>
      <c r="AD66" s="136">
        <f t="shared" ref="AD66:AF66" si="182">IFERROR(AD17/$B52,0)</f>
        <v>3.6370910545745513E-3</v>
      </c>
      <c r="AE66" s="136">
        <f t="shared" si="182"/>
        <v>0</v>
      </c>
      <c r="AF66" s="136">
        <f t="shared" si="182"/>
        <v>39.826147047591334</v>
      </c>
      <c r="AG66" s="136">
        <f>IFERROR(AG17/$B52,0)</f>
        <v>2.1928936168617768E-4</v>
      </c>
      <c r="AH66" s="136">
        <f>IFERROR(AH17/$B52,0)</f>
        <v>2.0681860911636853E-4</v>
      </c>
      <c r="AI66" s="149">
        <f>IFERROR(up_RadSpec!$M$17*AI17,".")*$B$66</f>
        <v>6873.625</v>
      </c>
      <c r="AJ66" s="149">
        <f>IFERROR(up_RadSpec!$L$17*AJ17,".")*$B$66</f>
        <v>1253.0045572916663</v>
      </c>
      <c r="AK66" s="149">
        <f>IFERROR(up_RadSpec!$Q$17*AK17,".")*$B$66</f>
        <v>0.62772831050228306</v>
      </c>
      <c r="AL66" s="149">
        <f>up_b2w!AB66</f>
        <v>114004.61840815243</v>
      </c>
      <c r="AM66" s="150">
        <f t="shared" si="46"/>
        <v>122131.8756937546</v>
      </c>
      <c r="AN66" s="136">
        <f t="shared" ref="AN66" si="183">IFERROR(AN17/$B52,0)</f>
        <v>6.6128928264991846E-4</v>
      </c>
      <c r="AO66" s="149">
        <f>IFERROR(up_RadSpec!$J$17*AO17,".")*$B$66</f>
        <v>37804.9375</v>
      </c>
    </row>
    <row r="67" spans="1:41" x14ac:dyDescent="0.25">
      <c r="A67" s="148" t="s">
        <v>1076</v>
      </c>
      <c r="B67" s="141">
        <v>2.0000000000000001E-4</v>
      </c>
      <c r="C67" s="136">
        <f>IFERROR(C5/$B53,0)</f>
        <v>1652.8925619834711</v>
      </c>
      <c r="D67" s="136">
        <f>IFERROR(D5/$B53,0)</f>
        <v>15449958.922665488</v>
      </c>
      <c r="E67" s="136">
        <f>IFERROR(E5/$B53,0)</f>
        <v>0</v>
      </c>
      <c r="F67" s="136">
        <f>IFERROR(F5/$B53,0)</f>
        <v>0.21979223589421512</v>
      </c>
      <c r="G67" s="136">
        <f>IFERROR(G5/$B53,0)</f>
        <v>1.1019283746556474</v>
      </c>
      <c r="H67" s="136">
        <f t="shared" si="173"/>
        <v>0.21976300993484174</v>
      </c>
      <c r="I67" s="149">
        <f>IFERROR(up_RadSpec!$I$5*I5,".")*$B$67</f>
        <v>1.5125000000000001E-2</v>
      </c>
      <c r="J67" s="149">
        <f>IFERROR(up_RadSpec!$L$5*$J$5,".")*B67</f>
        <v>1.6181272795052132E-6</v>
      </c>
      <c r="K67" s="149">
        <f>IFERROR(up_RadSpec!$K$5*$K$5,".")*B67</f>
        <v>0</v>
      </c>
      <c r="L67" s="149">
        <f>up_b2s!AB67</f>
        <v>113.74378125000001</v>
      </c>
      <c r="M67" s="150">
        <f t="shared" si="39"/>
        <v>113.7589078681273</v>
      </c>
      <c r="N67" s="136">
        <f>IFERROR(N5/$B53,0)</f>
        <v>0</v>
      </c>
      <c r="O67" s="136">
        <f>IFERROR(O5/$B53,0)</f>
        <v>0</v>
      </c>
      <c r="P67" s="136">
        <f>IFERROR(P5/$B53,0)</f>
        <v>0</v>
      </c>
      <c r="Q67" s="136">
        <f>IFERROR(Q5/$B53,0)</f>
        <v>0</v>
      </c>
      <c r="R67" s="136">
        <f>IFERROR(R5/$B53,0)</f>
        <v>0</v>
      </c>
      <c r="S67" s="149">
        <f>IFERROR(up_RadSpec!$K$5*$S$5,".")*$B$67</f>
        <v>0</v>
      </c>
      <c r="T67" s="149">
        <f>IFERROR(up_RadSpec!$R$5*$T$5,".")*$B$67</f>
        <v>0</v>
      </c>
      <c r="U67" s="149">
        <f>IFERROR(up_RadSpec!$S$5*$U$5,".")*$B$67</f>
        <v>0</v>
      </c>
      <c r="V67" s="149">
        <f>IFERROR(up_RadSpec!$T$5*$V$5,".")*$B$67</f>
        <v>0</v>
      </c>
      <c r="W67" s="149">
        <f>IFERROR(up_RadSpec!$P$5*$W$5,".")*$B$67</f>
        <v>0</v>
      </c>
      <c r="X67" s="136">
        <f t="shared" ref="X67:Y67" si="184">IFERROR(X5/$B53,0)</f>
        <v>49.870129870129873</v>
      </c>
      <c r="Y67" s="136">
        <f t="shared" si="184"/>
        <v>79636.363636363632</v>
      </c>
      <c r="Z67" s="136">
        <f t="shared" si="175"/>
        <v>49.838919587804824</v>
      </c>
      <c r="AA67" s="149">
        <f>IFERROR(up_RadSpec!$L$5*AA5,".")*$B$67</f>
        <v>0.50130208333333326</v>
      </c>
      <c r="AB67" s="149">
        <f>IFERROR(up_RadSpec!$O$5*$AB$5,".")*$B$67</f>
        <v>3.1392694063926945E-4</v>
      </c>
      <c r="AC67" s="150">
        <f t="shared" si="42"/>
        <v>0.50161601027397251</v>
      </c>
      <c r="AD67" s="136">
        <f t="shared" ref="AD67:AF67" si="185">IFERROR(AD5/$B53,0)</f>
        <v>18.18181818181818</v>
      </c>
      <c r="AE67" s="136">
        <f t="shared" si="185"/>
        <v>0</v>
      </c>
      <c r="AF67" s="136">
        <f t="shared" si="185"/>
        <v>199090.90909090909</v>
      </c>
      <c r="AG67" s="136">
        <f>IFERROR(AG5/$B53,0)</f>
        <v>1.0962275190692021</v>
      </c>
      <c r="AH67" s="136">
        <f>IFERROR(AH5/$B53,0)</f>
        <v>1.0338862269727263</v>
      </c>
      <c r="AI67" s="149">
        <f>IFERROR(up_RadSpec!$M$5*AI5,".")*$B$67</f>
        <v>1.375</v>
      </c>
      <c r="AJ67" s="149">
        <f>IFERROR(up_RadSpec!$L$5*AJ5,".")*$B$67</f>
        <v>0.25065104166666663</v>
      </c>
      <c r="AK67" s="149">
        <f>IFERROR(up_RadSpec!$Q$5*AK5,".")*$B$67</f>
        <v>1.2557077625570778E-4</v>
      </c>
      <c r="AL67" s="149">
        <f>up_b2w!AB67</f>
        <v>22.805484778586205</v>
      </c>
      <c r="AM67" s="150">
        <f t="shared" si="46"/>
        <v>24.431261391029128</v>
      </c>
      <c r="AN67" s="136">
        <f t="shared" ref="AN67" si="186">IFERROR(AN5/$B53,0)</f>
        <v>3.3057851239669422</v>
      </c>
      <c r="AO67" s="149">
        <f>IFERROR(up_RadSpec!$J$5*AO5,".")*$B$67</f>
        <v>7.5625</v>
      </c>
    </row>
    <row r="68" spans="1:41" x14ac:dyDescent="0.25">
      <c r="A68" s="148" t="s">
        <v>1077</v>
      </c>
      <c r="B68" s="141">
        <v>0.99999979999999999</v>
      </c>
      <c r="C68" s="136">
        <f>IFERROR(C9/$B54,0)</f>
        <v>0.3305785785124099</v>
      </c>
      <c r="D68" s="136">
        <f>IFERROR(D9/$B54,0)</f>
        <v>3089.9924025315786</v>
      </c>
      <c r="E68" s="136">
        <f>IFERROR(E9/$B54,0)</f>
        <v>144.45659169650497</v>
      </c>
      <c r="F68" s="136">
        <f>IFERROR(F9/$B54,0)</f>
        <v>4.395845597053422E-5</v>
      </c>
      <c r="G68" s="136">
        <f>IFERROR(G9/$B54,0)</f>
        <v>2.2038571900827327E-4</v>
      </c>
      <c r="H68" s="136">
        <f t="shared" si="173"/>
        <v>4.3952597404397702E-5</v>
      </c>
      <c r="I68" s="149">
        <f>IFERROR(up_RadSpec!$I$9*I9,".")*$B$68</f>
        <v>75.624984874999996</v>
      </c>
      <c r="J68" s="149">
        <f>IFERROR(up_RadSpec!$L$9*$J$9,".")*B68</f>
        <v>8.0906347793987862E-3</v>
      </c>
      <c r="K68" s="149">
        <f>IFERROR(up_RadSpec!$K$9*$K$9,".")*B68</f>
        <v>0.17306236916155113</v>
      </c>
      <c r="L68" s="149">
        <f>up_b2s!AB68</f>
        <v>568718.79250621877</v>
      </c>
      <c r="M68" s="150">
        <f t="shared" si="39"/>
        <v>568794.59864409768</v>
      </c>
      <c r="N68" s="136">
        <f>IFERROR(N9/$B54,0)</f>
        <v>144.45659169650497</v>
      </c>
      <c r="O68" s="136">
        <f>IFERROR(O9/$B54,0)</f>
        <v>295.87127129546656</v>
      </c>
      <c r="P68" s="136">
        <f>IFERROR(P9/$B54,0)</f>
        <v>208.18081621171774</v>
      </c>
      <c r="Q68" s="136">
        <f>IFERROR(Q9/$B54,0)</f>
        <v>171.6070132011088</v>
      </c>
      <c r="R68" s="136">
        <f>IFERROR(R9/$B54,0)</f>
        <v>524.07071339179379</v>
      </c>
      <c r="S68" s="149">
        <f>IFERROR(up_RadSpec!$K$9*$S$9,".")*$B$68</f>
        <v>0.17306236916155113</v>
      </c>
      <c r="T68" s="149">
        <f>IFERROR(up_RadSpec!$R$9*$T$9,".")*$B$68</f>
        <v>8.4496206375624078E-2</v>
      </c>
      <c r="U68" s="149">
        <f>IFERROR(up_RadSpec!$S$9*$U$9,".")*$B$68</f>
        <v>0.12008791422248656</v>
      </c>
      <c r="V68" s="149">
        <f>IFERROR(up_RadSpec!$T$9*$V$9,".")*$B$68</f>
        <v>0.14568169175406678</v>
      </c>
      <c r="W68" s="149">
        <f>IFERROR(up_RadSpec!$P$9*$W$9,".")*$B$68</f>
        <v>4.7703486115832749E-2</v>
      </c>
      <c r="X68" s="136">
        <f t="shared" ref="X68:Y68" si="187">IFERROR(X9/$B54,0)</f>
        <v>9.9740279688315687E-3</v>
      </c>
      <c r="Y68" s="136">
        <f t="shared" si="187"/>
        <v>15.927275912727911</v>
      </c>
      <c r="Z68" s="136">
        <f t="shared" si="175"/>
        <v>9.9677859111181478E-3</v>
      </c>
      <c r="AA68" s="149">
        <f>IFERROR(up_RadSpec!$L$9*AA9,".")*$B$68</f>
        <v>2506.5099153645829</v>
      </c>
      <c r="AB68" s="149">
        <f>IFERROR(up_RadSpec!$O$9*$AB$9,".")*$B$68</f>
        <v>1.5696343892694065</v>
      </c>
      <c r="AC68" s="150">
        <f t="shared" si="42"/>
        <v>2508.0795497538525</v>
      </c>
      <c r="AD68" s="136">
        <f t="shared" ref="AD68:AF68" si="188">IFERROR(AD9/$B54,0)</f>
        <v>3.6363643636365089E-3</v>
      </c>
      <c r="AE68" s="136">
        <f t="shared" si="188"/>
        <v>0</v>
      </c>
      <c r="AF68" s="136">
        <f t="shared" si="188"/>
        <v>39.818189781819775</v>
      </c>
      <c r="AG68" s="136">
        <f>IFERROR(AG9/$B54,0)</f>
        <v>2.1924554766294998E-4</v>
      </c>
      <c r="AH68" s="136">
        <f>IFERROR(AH9/$B54,0)</f>
        <v>2.0677728675000262E-4</v>
      </c>
      <c r="AI68" s="149">
        <f>IFERROR(up_RadSpec!$M$9*AI9,".")*$B$68</f>
        <v>6874.9986250000002</v>
      </c>
      <c r="AJ68" s="149">
        <f>IFERROR(up_RadSpec!$L$9*AJ9,".")*$B$68</f>
        <v>1253.2549576822914</v>
      </c>
      <c r="AK68" s="149">
        <f>IFERROR(up_RadSpec!$Q$9*AK9,".")*$B$68</f>
        <v>0.62785375570776258</v>
      </c>
      <c r="AL68" s="149">
        <f>up_b2w!AB68</f>
        <v>114027.40108744623</v>
      </c>
      <c r="AM68" s="150">
        <f t="shared" si="46"/>
        <v>122156.28252388422</v>
      </c>
      <c r="AN68" s="136">
        <f t="shared" ref="AN68" si="189">IFERROR(AN9/$B54,0)</f>
        <v>6.611571570248199E-4</v>
      </c>
      <c r="AO68" s="149">
        <f>IFERROR(up_RadSpec!$J$9*AO9,".")*$B$68</f>
        <v>37812.492437499997</v>
      </c>
    </row>
    <row r="69" spans="1:41" x14ac:dyDescent="0.25">
      <c r="A69" s="148" t="s">
        <v>1078</v>
      </c>
      <c r="B69" s="141">
        <v>1.9999999999999999E-7</v>
      </c>
      <c r="C69" s="136">
        <f>IFERROR(C24/$B55,0)</f>
        <v>1652892.5619834713</v>
      </c>
      <c r="D69" s="136">
        <f>IFERROR(D24/$B55,0)</f>
        <v>15449958922.665489</v>
      </c>
      <c r="E69" s="136">
        <f>IFERROR(E24/$B55,0)</f>
        <v>1274648952.0994596</v>
      </c>
      <c r="F69" s="136">
        <f>IFERROR(F24/$B55,0)</f>
        <v>219.79223589421517</v>
      </c>
      <c r="G69" s="136">
        <f>IFERROR(G24/$B55,0)</f>
        <v>1101.9283746556475</v>
      </c>
      <c r="H69" s="136">
        <f t="shared" si="173"/>
        <v>219.76297204537261</v>
      </c>
      <c r="I69" s="149">
        <f>IFERROR(up_RadSpec!$I$24*I24,".")*$B$69</f>
        <v>1.5125E-5</v>
      </c>
      <c r="J69" s="149">
        <f>IFERROR(up_RadSpec!$L$24*$J$24,".")*B69</f>
        <v>1.6181272795052132E-9</v>
      </c>
      <c r="K69" s="149">
        <f>IFERROR(up_RadSpec!$K$24*$K$24,".")*B69</f>
        <v>1.9613243284610075E-8</v>
      </c>
      <c r="L69" s="149">
        <f>up_b2s!AB69</f>
        <v>0.11374378124999998</v>
      </c>
      <c r="M69" s="150">
        <f t="shared" si="39"/>
        <v>0.11375892748137055</v>
      </c>
      <c r="N69" s="136">
        <f>IFERROR(N24/$B55,0)</f>
        <v>1274648952.0994596</v>
      </c>
      <c r="O69" s="136">
        <f>IFERROR(O24/$B55,0)</f>
        <v>2310957622.850565</v>
      </c>
      <c r="P69" s="136">
        <f>IFERROR(P24/$B55,0)</f>
        <v>1631685411.197315</v>
      </c>
      <c r="Q69" s="136">
        <f>IFERROR(Q24/$B55,0)</f>
        <v>1362563111.8701646</v>
      </c>
      <c r="R69" s="136">
        <f>IFERROR(R24/$B55,0)</f>
        <v>3840825840.82584</v>
      </c>
      <c r="S69" s="149">
        <f>IFERROR(up_RadSpec!$K$24*$S$24,".")*$B$69</f>
        <v>1.9613243284610075E-8</v>
      </c>
      <c r="T69" s="149">
        <f>IFERROR(up_RadSpec!$R$24*$T$24,".")*$B$69</f>
        <v>1.081802615193026E-8</v>
      </c>
      <c r="U69" s="149">
        <f>IFERROR(up_RadSpec!$S$24*$U$24,".")*$B$69</f>
        <v>1.5321580880995463E-8</v>
      </c>
      <c r="V69" s="149">
        <f>IFERROR(up_RadSpec!$T$24*$V$24,".")*$B$69</f>
        <v>1.8347773972602737E-8</v>
      </c>
      <c r="W69" s="149">
        <f>IFERROR(up_RadSpec!$P$24*$W$24,".")*$B$69</f>
        <v>6.5090168198370047E-9</v>
      </c>
      <c r="X69" s="136">
        <f t="shared" ref="X69:Y69" si="190">IFERROR(X24/$B55,0)</f>
        <v>49870.12987012988</v>
      </c>
      <c r="Y69" s="136">
        <f t="shared" si="190"/>
        <v>79636363.63636364</v>
      </c>
      <c r="Z69" s="136">
        <f t="shared" si="175"/>
        <v>49838.919587804834</v>
      </c>
      <c r="AA69" s="149">
        <f>IFERROR(up_RadSpec!$L$24*AA24,".")*$B$69</f>
        <v>5.013020833333332E-4</v>
      </c>
      <c r="AB69" s="149">
        <f>IFERROR(up_RadSpec!$O$24*$AB$24,".")*$B$69</f>
        <v>3.1392694063926939E-7</v>
      </c>
      <c r="AC69" s="150">
        <f t="shared" si="42"/>
        <v>5.0161601027397251E-4</v>
      </c>
      <c r="AD69" s="136">
        <f t="shared" ref="AD69:AF69" si="191">IFERROR(AD24/$B55,0)</f>
        <v>18181.818181818184</v>
      </c>
      <c r="AE69" s="136">
        <f t="shared" si="191"/>
        <v>0</v>
      </c>
      <c r="AF69" s="136">
        <f t="shared" si="191"/>
        <v>199090909.09090912</v>
      </c>
      <c r="AG69" s="136">
        <f>IFERROR(AG24/$B55,0)</f>
        <v>1096.2275190692023</v>
      </c>
      <c r="AH69" s="136">
        <f>IFERROR(AH24/$B55,0)</f>
        <v>1033.8862269727263</v>
      </c>
      <c r="AI69" s="149">
        <f>IFERROR(up_RadSpec!$M$24*AI24,".")*$B$69</f>
        <v>1.3749999999999999E-3</v>
      </c>
      <c r="AJ69" s="149">
        <f>IFERROR(up_RadSpec!$L$24*AJ24,".")*$B$69</f>
        <v>2.506510416666666E-4</v>
      </c>
      <c r="AK69" s="149">
        <f>IFERROR(up_RadSpec!$Q$24*AK24,".")*$B$69</f>
        <v>1.2557077625570775E-7</v>
      </c>
      <c r="AL69" s="149">
        <f>up_b2w!AB69</f>
        <v>2.28054847785862E-2</v>
      </c>
      <c r="AM69" s="150">
        <f t="shared" si="46"/>
        <v>2.4431261391029122E-2</v>
      </c>
      <c r="AN69" s="136">
        <f t="shared" ref="AN69" si="192">IFERROR(AN24/$B55,0)</f>
        <v>3305.7851239669426</v>
      </c>
      <c r="AO69" s="149">
        <f>IFERROR(up_RadSpec!$J$24*AO24,".")*$B$69</f>
        <v>7.5624999999999998E-3</v>
      </c>
    </row>
    <row r="70" spans="1:41" x14ac:dyDescent="0.25">
      <c r="A70" s="148" t="s">
        <v>1079</v>
      </c>
      <c r="B70" s="141">
        <v>0.99979000004200003</v>
      </c>
      <c r="C70" s="136">
        <f>IFERROR(C20/$B56,0)</f>
        <v>0.33064794845198192</v>
      </c>
      <c r="D70" s="136">
        <f>IFERROR(D20/$B56,0)</f>
        <v>3090.6408189752756</v>
      </c>
      <c r="E70" s="136">
        <f>IFERROR(E20/$B56,0)</f>
        <v>199.70533568187113</v>
      </c>
      <c r="F70" s="136">
        <f>IFERROR(F20/$B56,0)</f>
        <v>4.3967680389878262E-5</v>
      </c>
      <c r="G70" s="136">
        <f>IFERROR(G20/$B56,0)</f>
        <v>2.2043196563465461E-4</v>
      </c>
      <c r="H70" s="136">
        <f t="shared" si="173"/>
        <v>4.3961824292785587E-5</v>
      </c>
      <c r="I70" s="149">
        <f>IFERROR(up_RadSpec!$I$20*I20,".")*$B$70</f>
        <v>75.609118753176247</v>
      </c>
      <c r="J70" s="149">
        <f>IFERROR(up_RadSpec!$L$20*$J$20,".")*B70</f>
        <v>8.0889373642223927E-3</v>
      </c>
      <c r="K70" s="149">
        <f>IFERROR(up_RadSpec!$K$20*$K$20,".")*B70</f>
        <v>0.12518443693374715</v>
      </c>
      <c r="L70" s="149">
        <f>up_b2s!AB70</f>
        <v>568599.47530357365</v>
      </c>
      <c r="M70" s="150">
        <f t="shared" si="39"/>
        <v>568675.21769570117</v>
      </c>
      <c r="N70" s="136">
        <f>IFERROR(N20/$B56,0)</f>
        <v>199.70533568187113</v>
      </c>
      <c r="O70" s="136">
        <f>IFERROR(O20/$B56,0)</f>
        <v>393.83783600255742</v>
      </c>
      <c r="P70" s="136">
        <f>IFERROR(P20/$B56,0)</f>
        <v>275.5601431207574</v>
      </c>
      <c r="Q70" s="136">
        <f>IFERROR(Q20/$B56,0)</f>
        <v>231.38152732631076</v>
      </c>
      <c r="R70" s="136">
        <f>IFERROR(R20/$B56,0)</f>
        <v>671.0845986812086</v>
      </c>
      <c r="S70" s="149">
        <f>IFERROR(up_RadSpec!$K$20*$S$20,".")*$B$70</f>
        <v>0.12518443693374715</v>
      </c>
      <c r="T70" s="149">
        <f>IFERROR(up_RadSpec!$R$20*$T$20,".")*$B$70</f>
        <v>6.3477903123146495E-2</v>
      </c>
      <c r="U70" s="149">
        <f>IFERROR(up_RadSpec!$S$20*$U$20,".")*$B$70</f>
        <v>9.0724296035237476E-2</v>
      </c>
      <c r="V70" s="149">
        <f>IFERROR(up_RadSpec!$T$20*$V$20,".")*$B$70</f>
        <v>0.10804665475625121</v>
      </c>
      <c r="W70" s="149">
        <f>IFERROR(up_RadSpec!$P$20*$W$20,".")*$B$70</f>
        <v>3.7253127324228724E-2</v>
      </c>
      <c r="X70" s="136">
        <f t="shared" ref="X70:Y70" si="193">IFERROR(X20/$B56,0)</f>
        <v>9.976120959008369E-3</v>
      </c>
      <c r="Y70" s="136">
        <f t="shared" si="193"/>
        <v>15.930618156416489</v>
      </c>
      <c r="Z70" s="136">
        <f t="shared" si="175"/>
        <v>9.9698775914364313E-3</v>
      </c>
      <c r="AA70" s="149">
        <f>IFERROR(up_RadSpec!$L$20*AA20,".")*$B$70</f>
        <v>2505.9840495844396</v>
      </c>
      <c r="AB70" s="149">
        <f>IFERROR(up_RadSpec!$O$20*$AB$20,".")*$B$70</f>
        <v>1.5693050799746007</v>
      </c>
      <c r="AC70" s="150">
        <f t="shared" si="42"/>
        <v>2507.5533546644142</v>
      </c>
      <c r="AD70" s="136">
        <f t="shared" ref="AD70:AF70" si="194">IFERROR(AD20/$B56,0)</f>
        <v>3.6371274329718012E-3</v>
      </c>
      <c r="AE70" s="136">
        <f t="shared" si="194"/>
        <v>0</v>
      </c>
      <c r="AF70" s="136">
        <f t="shared" si="194"/>
        <v>39.826545391041222</v>
      </c>
      <c r="AG70" s="136">
        <f>IFERROR(AG20/$B56,0)</f>
        <v>2.1929155503118674E-4</v>
      </c>
      <c r="AH70" s="136">
        <f>IFERROR(AH20/$B56,0)</f>
        <v>2.0682067772818171E-4</v>
      </c>
      <c r="AI70" s="149">
        <f>IFERROR(up_RadSpec!$M$20*AI20,".")*$B$70</f>
        <v>6873.5562502887506</v>
      </c>
      <c r="AJ70" s="149">
        <f>IFERROR(up_RadSpec!$L$20*AJ20,".")*$B$70</f>
        <v>1252.9920247922198</v>
      </c>
      <c r="AK70" s="149">
        <f>IFERROR(up_RadSpec!$Q$20*AK20,".")*$B$70</f>
        <v>0.62772203198984022</v>
      </c>
      <c r="AL70" s="149">
        <f>up_b2w!AB70</f>
        <v>114003.47813870266</v>
      </c>
      <c r="AM70" s="150">
        <f t="shared" si="46"/>
        <v>122130.65413581562</v>
      </c>
      <c r="AN70" s="136">
        <f t="shared" ref="AN70" si="195">IFERROR(AN20/$B56,0)</f>
        <v>6.6129589690396386E-4</v>
      </c>
      <c r="AO70" s="149">
        <f>IFERROR(up_RadSpec!$J$20*AO20,".")*$B$70</f>
        <v>37804.559376588128</v>
      </c>
    </row>
    <row r="71" spans="1:41" x14ac:dyDescent="0.25">
      <c r="A71" s="148" t="s">
        <v>1080</v>
      </c>
      <c r="B71" s="141">
        <v>2.0999995799999999E-4</v>
      </c>
      <c r="C71" s="136">
        <f>IFERROR(C29/$B57,0)</f>
        <v>1574.1837072019521</v>
      </c>
      <c r="D71" s="136">
        <f>IFERROR(D29/$B57,0)</f>
        <v>14714249.535864661</v>
      </c>
      <c r="E71" s="136">
        <f>IFERROR(E29/$B57,0)</f>
        <v>748310.73403830535</v>
      </c>
      <c r="F71" s="136">
        <f>IFERROR(F29/$B57,0)</f>
        <v>0.20932598081206774</v>
      </c>
      <c r="G71" s="136">
        <f>IFERROR(G29/$B57,0)</f>
        <v>1.0494558048013014</v>
      </c>
      <c r="H71" s="136">
        <f t="shared" si="173"/>
        <v>0.2092980880200245</v>
      </c>
      <c r="I71" s="149">
        <f>IFERROR(up_RadSpec!$I$29*I29,".")*$B$71</f>
        <v>1.588124682375E-2</v>
      </c>
      <c r="J71" s="149">
        <f>IFERROR(up_RadSpec!$L$29*$J$29,".")*B71</f>
        <v>1.699033303673745E-6</v>
      </c>
      <c r="K71" s="149">
        <f>IFERROR(up_RadSpec!$K$29*$K$29,".")*B71</f>
        <v>3.3408581305637499E-5</v>
      </c>
      <c r="L71" s="149">
        <f>up_b2s!AB71</f>
        <v>119.43094642630592</v>
      </c>
      <c r="M71" s="150">
        <f t="shared" si="39"/>
        <v>119.44686278074428</v>
      </c>
      <c r="N71" s="136">
        <f>IFERROR(N29/$B57,0)</f>
        <v>748310.73403830535</v>
      </c>
      <c r="O71" s="136">
        <f>IFERROR(O29/$B57,0)</f>
        <v>1493228.318189472</v>
      </c>
      <c r="P71" s="136">
        <f>IFERROR(P29/$B57,0)</f>
        <v>1063769.5031241761</v>
      </c>
      <c r="Q71" s="136">
        <f>IFERROR(Q29/$B57,0)</f>
        <v>902351.16282121441</v>
      </c>
      <c r="R71" s="136">
        <f>IFERROR(R29/$B57,0)</f>
        <v>2681359.5812673252</v>
      </c>
      <c r="S71" s="149">
        <f>IFERROR(up_RadSpec!$K$29*$S$29,".")*$B$71</f>
        <v>3.3408581305637499E-5</v>
      </c>
      <c r="T71" s="149">
        <f>IFERROR(up_RadSpec!$R$29*$T$29,".")*$B$71</f>
        <v>1.6742248787722103E-5</v>
      </c>
      <c r="U71" s="149">
        <f>IFERROR(up_RadSpec!$S$29*$U$29,".")*$B$71</f>
        <v>2.3501331751453393E-5</v>
      </c>
      <c r="V71" s="149">
        <f>IFERROR(up_RadSpec!$T$29*$V$29,".")*$B$71</f>
        <v>2.7705400103699236E-5</v>
      </c>
      <c r="W71" s="149">
        <f>IFERROR(up_RadSpec!$P$29*$W$29,".")*$B$71</f>
        <v>9.3236282722602721E-6</v>
      </c>
      <c r="X71" s="136">
        <f t="shared" ref="X71:Y71" si="196">IFERROR(X29/$B57,0)</f>
        <v>47.49537128015033</v>
      </c>
      <c r="Y71" s="136">
        <f t="shared" si="196"/>
        <v>75844.17101299006</v>
      </c>
      <c r="Z71" s="136">
        <f t="shared" si="175"/>
        <v>47.465647195800706</v>
      </c>
      <c r="AA71" s="149">
        <f>IFERROR(up_RadSpec!$L$29*AA29,".")*$B$71</f>
        <v>0.52636708222656237</v>
      </c>
      <c r="AB71" s="149">
        <f>IFERROR(up_RadSpec!$O$29*$AB$29,".")*$B$71</f>
        <v>3.2962322174657534E-4</v>
      </c>
      <c r="AC71" s="150">
        <f t="shared" si="42"/>
        <v>0.52669670544830893</v>
      </c>
      <c r="AD71" s="136">
        <f t="shared" ref="AD71:AF71" si="197">IFERROR(AD29/$B57,0)</f>
        <v>17.316020779221471</v>
      </c>
      <c r="AE71" s="136">
        <f t="shared" si="197"/>
        <v>0</v>
      </c>
      <c r="AF71" s="136">
        <f t="shared" si="197"/>
        <v>189610.42753247515</v>
      </c>
      <c r="AG71" s="136">
        <f>IFERROR(AG29/$B57,0)</f>
        <v>1.044026417442619</v>
      </c>
      <c r="AH71" s="136">
        <f>IFERROR(AH29/$B57,0)</f>
        <v>0.98465374642858394</v>
      </c>
      <c r="AI71" s="149">
        <f>IFERROR(up_RadSpec!$M$29*AI29,".")*$B$71</f>
        <v>1.44374971125</v>
      </c>
      <c r="AJ71" s="149">
        <f>IFERROR(up_RadSpec!$L$29*AJ29,".")*$B$71</f>
        <v>0.26318354111328118</v>
      </c>
      <c r="AK71" s="149">
        <f>IFERROR(up_RadSpec!$Q$29*AK29,".")*$B$71</f>
        <v>1.3184928869863012E-4</v>
      </c>
      <c r="AL71" s="149">
        <f>up_b2w!AB71</f>
        <v>23.945754228363704</v>
      </c>
      <c r="AM71" s="150">
        <f t="shared" si="46"/>
        <v>25.652819330015685</v>
      </c>
      <c r="AN71" s="136">
        <f t="shared" ref="AN71" si="198">IFERROR(AN29/$B57,0)</f>
        <v>3.1483674144039044</v>
      </c>
      <c r="AO71" s="149">
        <f>IFERROR(up_RadSpec!$J$29*AO29,".")*$B$71</f>
        <v>7.9406234118749994</v>
      </c>
    </row>
    <row r="72" spans="1:41" x14ac:dyDescent="0.25">
      <c r="A72" s="148" t="s">
        <v>1081</v>
      </c>
      <c r="B72" s="141">
        <v>1</v>
      </c>
      <c r="C72" s="136">
        <f>IFERROR(C16/$B58,0)</f>
        <v>0.33057851239669422</v>
      </c>
      <c r="D72" s="136">
        <f>IFERROR(D16/$B58,0)</f>
        <v>3089.9917845330979</v>
      </c>
      <c r="E72" s="136">
        <f>IFERROR(E16/$B58,0)</f>
        <v>4249701.1279172543</v>
      </c>
      <c r="F72" s="136">
        <f>IFERROR(F16/$B58,0)</f>
        <v>4.3958447178843029E-5</v>
      </c>
      <c r="G72" s="136">
        <f>IFERROR(G16/$B58,0)</f>
        <v>2.2038567493112948E-4</v>
      </c>
      <c r="H72" s="136">
        <f t="shared" si="173"/>
        <v>4.3952601986513774E-5</v>
      </c>
      <c r="I72" s="149">
        <f>IFERROR(up_RadSpec!$I$16*I16,".")*$B$72</f>
        <v>75.625</v>
      </c>
      <c r="J72" s="149">
        <f>IFERROR(up_RadSpec!$L$16*$J$16,".")*B72</f>
        <v>8.0906363975260659E-3</v>
      </c>
      <c r="K72" s="149">
        <f>IFERROR(up_RadSpec!$K$16*$K$16,".")*B72</f>
        <v>5.8827666340508767E-6</v>
      </c>
      <c r="L72" s="149">
        <f>up_b2s!AB72</f>
        <v>568718.90625</v>
      </c>
      <c r="M72" s="150">
        <f t="shared" si="39"/>
        <v>568794.53934651916</v>
      </c>
      <c r="N72" s="136">
        <f>IFERROR(N16/$B58,0)</f>
        <v>4249701.1279172543</v>
      </c>
      <c r="O72" s="136">
        <f>IFERROR(O16/$B58,0)</f>
        <v>7568571.8978401944</v>
      </c>
      <c r="P72" s="136">
        <f>IFERROR(P16/$B58,0)</f>
        <v>4546743.3645543214</v>
      </c>
      <c r="Q72" s="136">
        <f>IFERROR(Q16/$B58,0)</f>
        <v>4570236.0766923204</v>
      </c>
      <c r="R72" s="136">
        <f>IFERROR(R16/$B58,0)</f>
        <v>176969696.96969697</v>
      </c>
      <c r="S72" s="149">
        <f>IFERROR(up_RadSpec!$K$16*$S$16,".")*$B$72</f>
        <v>5.8827666340508767E-6</v>
      </c>
      <c r="T72" s="149">
        <f>IFERROR(up_RadSpec!$R$16*$T$16,".")*$B$72</f>
        <v>3.3031330530313289E-6</v>
      </c>
      <c r="U72" s="149">
        <f>IFERROR(up_RadSpec!$S$16*$U$16,".")*$B$72</f>
        <v>5.4984409709366871E-6</v>
      </c>
      <c r="V72" s="149">
        <f>IFERROR(up_RadSpec!$T$16*$V$16,".")*$B$72</f>
        <v>5.4701769406392654E-6</v>
      </c>
      <c r="W72" s="149">
        <f>IFERROR(up_RadSpec!$P$16*$W$16,".")*$B$72</f>
        <v>1.4126712328767122E-7</v>
      </c>
      <c r="X72" s="136">
        <f t="shared" ref="X72:Y72" si="199">IFERROR(X16/$B58,0)</f>
        <v>9.9740259740259754E-3</v>
      </c>
      <c r="Y72" s="136">
        <f t="shared" si="199"/>
        <v>15.927272727272728</v>
      </c>
      <c r="Z72" s="136">
        <f t="shared" si="175"/>
        <v>9.9677839175609673E-3</v>
      </c>
      <c r="AA72" s="149">
        <f>IFERROR(up_RadSpec!$L$16*AA16,".")*$B$72</f>
        <v>2506.5104166666661</v>
      </c>
      <c r="AB72" s="149">
        <f>IFERROR(up_RadSpec!$O$16*$AB$16,".")*$B$72</f>
        <v>1.5696347031963471</v>
      </c>
      <c r="AC72" s="150">
        <f t="shared" si="42"/>
        <v>2508.0800513698623</v>
      </c>
      <c r="AD72" s="136">
        <f t="shared" ref="AD72:AF72" si="200">IFERROR(AD16/$B58,0)</f>
        <v>3.6363636363636364E-3</v>
      </c>
      <c r="AE72" s="136">
        <f t="shared" si="200"/>
        <v>0</v>
      </c>
      <c r="AF72" s="136">
        <f t="shared" si="200"/>
        <v>39.81818181818182</v>
      </c>
      <c r="AG72" s="136">
        <f>IFERROR(AG16/$B58,0)</f>
        <v>2.1924550381384044E-4</v>
      </c>
      <c r="AH72" s="136">
        <f>IFERROR(AH16/$B58,0)</f>
        <v>2.0677724539454526E-4</v>
      </c>
      <c r="AI72" s="149">
        <f>IFERROR(up_RadSpec!$M$16*AI16,".")*$B$72</f>
        <v>6875</v>
      </c>
      <c r="AJ72" s="149">
        <f>IFERROR(up_RadSpec!$L$16*AJ16,".")*$B$72</f>
        <v>1253.255208333333</v>
      </c>
      <c r="AK72" s="149">
        <f>IFERROR(up_RadSpec!$Q$16*AK16,".")*$B$72</f>
        <v>0.62785388127853881</v>
      </c>
      <c r="AL72" s="149">
        <f>up_b2w!AB72</f>
        <v>114027.42389293101</v>
      </c>
      <c r="AM72" s="150">
        <f t="shared" si="46"/>
        <v>122156.30695514561</v>
      </c>
      <c r="AN72" s="136">
        <f t="shared" ref="AN72" si="201">IFERROR(AN16/$B58,0)</f>
        <v>6.6115702479338848E-4</v>
      </c>
      <c r="AO72" s="149">
        <f>IFERROR(up_RadSpec!$J$16*AO16,".")*$B$72</f>
        <v>37812.5</v>
      </c>
    </row>
    <row r="73" spans="1:41" x14ac:dyDescent="0.25">
      <c r="A73" s="148" t="s">
        <v>1082</v>
      </c>
      <c r="B73" s="141">
        <v>1</v>
      </c>
      <c r="C73" s="136">
        <f>IFERROR(C7/$B59,0)</f>
        <v>0.33057851239669422</v>
      </c>
      <c r="D73" s="136">
        <f>IFERROR(D7/$B59,0)</f>
        <v>3089.9917845330979</v>
      </c>
      <c r="E73" s="136">
        <f>IFERROR(E7/$B59,0)</f>
        <v>510.24109710241078</v>
      </c>
      <c r="F73" s="136">
        <f>IFERROR(F7/$B59,0)</f>
        <v>4.3958447178843029E-5</v>
      </c>
      <c r="G73" s="136">
        <f>IFERROR(G7/$B59,0)</f>
        <v>2.2038567493112948E-4</v>
      </c>
      <c r="H73" s="136">
        <f t="shared" si="173"/>
        <v>4.3952598200854169E-5</v>
      </c>
      <c r="I73" s="149">
        <f>IFERROR(up_RadSpec!$I$7*I7,".")*$B$73</f>
        <v>75.625</v>
      </c>
      <c r="J73" s="149">
        <f>IFERROR(up_RadSpec!$L$7*$J$7,".")*B73</f>
        <v>8.0906363975260659E-3</v>
      </c>
      <c r="K73" s="149">
        <f>IFERROR(up_RadSpec!$K$7*$K$7,".")*B73</f>
        <v>4.8996445292179662E-2</v>
      </c>
      <c r="L73" s="149">
        <f>up_b2s!AB73</f>
        <v>568718.90625</v>
      </c>
      <c r="M73" s="150">
        <f t="shared" si="39"/>
        <v>568794.58833708172</v>
      </c>
      <c r="N73" s="136">
        <f>IFERROR(N7/$B59,0)</f>
        <v>510.24109710241078</v>
      </c>
      <c r="O73" s="136">
        <f>IFERROR(O7/$B59,0)</f>
        <v>811.73075290722397</v>
      </c>
      <c r="P73" s="136">
        <f>IFERROR(P7/$B59,0)</f>
        <v>594.69696969696975</v>
      </c>
      <c r="Q73" s="136">
        <f>IFERROR(Q7/$B59,0)</f>
        <v>547.06310932241604</v>
      </c>
      <c r="R73" s="136">
        <f>IFERROR(R7/$B59,0)</f>
        <v>1389.1242447392176</v>
      </c>
      <c r="S73" s="149">
        <f>IFERROR(up_RadSpec!$K$7*$S$7,".")*$B$73</f>
        <v>4.8996445292179662E-2</v>
      </c>
      <c r="T73" s="149">
        <f>IFERROR(up_RadSpec!$R$7*$T$7,".")*$B$73</f>
        <v>3.0798389626686167E-2</v>
      </c>
      <c r="U73" s="149">
        <f>IFERROR(up_RadSpec!$S$7*$U$7,".")*$B$73</f>
        <v>4.2038216560509545E-2</v>
      </c>
      <c r="V73" s="149">
        <f>IFERROR(up_RadSpec!$T$7*$V$7,".")*$B$73</f>
        <v>4.5698566717402342E-2</v>
      </c>
      <c r="W73" s="149">
        <f>IFERROR(up_RadSpec!$P$7*$W$7,".")*$B$73</f>
        <v>1.7996950304969506E-2</v>
      </c>
      <c r="X73" s="136">
        <f t="shared" ref="X73:Y73" si="202">IFERROR(X7/$B59,0)</f>
        <v>9.9740259740259754E-3</v>
      </c>
      <c r="Y73" s="136">
        <f t="shared" si="202"/>
        <v>15.927272727272728</v>
      </c>
      <c r="Z73" s="136">
        <f t="shared" si="175"/>
        <v>9.9677839175609673E-3</v>
      </c>
      <c r="AA73" s="149">
        <f>IFERROR(up_RadSpec!$L$7*AA7,".")*$B$73</f>
        <v>2506.5104166666661</v>
      </c>
      <c r="AB73" s="149">
        <f>IFERROR(up_RadSpec!$O$7*$AB$7,".")*$B$73</f>
        <v>1.5696347031963471</v>
      </c>
      <c r="AC73" s="150">
        <f t="shared" si="42"/>
        <v>2508.0800513698623</v>
      </c>
      <c r="AD73" s="136">
        <f t="shared" ref="AD73:AF73" si="203">IFERROR(AD7/$B59,0)</f>
        <v>3.6363636363636364E-3</v>
      </c>
      <c r="AE73" s="136">
        <f t="shared" si="203"/>
        <v>0</v>
      </c>
      <c r="AF73" s="136">
        <f t="shared" si="203"/>
        <v>39.81818181818182</v>
      </c>
      <c r="AG73" s="136">
        <f>IFERROR(AG7/$B59,0)</f>
        <v>2.1924550381384044E-4</v>
      </c>
      <c r="AH73" s="136">
        <f>IFERROR(AH7/$B59,0)</f>
        <v>2.0677724539454526E-4</v>
      </c>
      <c r="AI73" s="149">
        <f>IFERROR(up_RadSpec!$M$7*AI7,".")*$B$73</f>
        <v>6875</v>
      </c>
      <c r="AJ73" s="149">
        <f>IFERROR(up_RadSpec!$L$7*AJ7,".")*$B$73</f>
        <v>1253.255208333333</v>
      </c>
      <c r="AK73" s="149">
        <f>IFERROR(up_RadSpec!$Q$7*AK7,".")*$B$73</f>
        <v>0.62785388127853881</v>
      </c>
      <c r="AL73" s="149">
        <f>up_b2w!AB73</f>
        <v>114027.42389293101</v>
      </c>
      <c r="AM73" s="150">
        <f t="shared" si="46"/>
        <v>122156.30695514561</v>
      </c>
      <c r="AN73" s="136">
        <f t="shared" ref="AN73" si="204">IFERROR(AN7/$B59,0)</f>
        <v>6.6115702479338848E-4</v>
      </c>
      <c r="AO73" s="149">
        <f>IFERROR(up_RadSpec!$J$7*AO7,".")*$B$73</f>
        <v>37812.5</v>
      </c>
    </row>
    <row r="74" spans="1:41" x14ac:dyDescent="0.25">
      <c r="A74" s="148" t="s">
        <v>1083</v>
      </c>
      <c r="B74" s="141">
        <v>1.9000000000000001E-8</v>
      </c>
      <c r="C74" s="136">
        <f>IFERROR(C12/$B60,0)</f>
        <v>17398869.073510222</v>
      </c>
      <c r="D74" s="136">
        <f>IFERROR(D12/$B60,0)</f>
        <v>162631146554.37357</v>
      </c>
      <c r="E74" s="136">
        <f>IFERROR(E12/$B60,0)</f>
        <v>20842707110.830246</v>
      </c>
      <c r="F74" s="136">
        <f>IFERROR(F12/$B60,0)</f>
        <v>2313.6024830970014</v>
      </c>
      <c r="G74" s="136">
        <f>IFERROR(G12/$B60,0)</f>
        <v>11599.246049006813</v>
      </c>
      <c r="H74" s="136">
        <f t="shared" si="173"/>
        <v>2313.2945846709517</v>
      </c>
      <c r="I74" s="149">
        <f>IFERROR(up_RadSpec!$I$12*I12,".")*$B$74</f>
        <v>1.4368750000000001E-6</v>
      </c>
      <c r="J74" s="149">
        <f>IFERROR(up_RadSpec!$L$12*$J$12,".")*B74</f>
        <v>1.5372209155299527E-10</v>
      </c>
      <c r="K74" s="149">
        <f>IFERROR(up_RadSpec!$K$12*$K$12,".")*B74</f>
        <v>1.1994603132435494E-9</v>
      </c>
      <c r="L74" s="149">
        <f>up_b2s!AB74</f>
        <v>1.0805659218750001E-2</v>
      </c>
      <c r="M74" s="150">
        <f t="shared" si="39"/>
        <v>1.0807097446932406E-2</v>
      </c>
      <c r="N74" s="136">
        <f>IFERROR(N12/$B60,0)</f>
        <v>20842707110.830246</v>
      </c>
      <c r="O74" s="136">
        <f>IFERROR(O12/$B60,0)</f>
        <v>37393153339.235344</v>
      </c>
      <c r="P74" s="136">
        <f>IFERROR(P12/$B60,0)</f>
        <v>27113313130.457554</v>
      </c>
      <c r="Q74" s="136">
        <f>IFERROR(Q12/$B60,0)</f>
        <v>23944837028.216114</v>
      </c>
      <c r="R74" s="136">
        <f>IFERROR(R12/$B60,0)</f>
        <v>64549902895.767548</v>
      </c>
      <c r="S74" s="149">
        <f>IFERROR(up_RadSpec!$K$12*$S$12,".")*$B$74</f>
        <v>1.1994603132435494E-9</v>
      </c>
      <c r="T74" s="149">
        <f>IFERROR(up_RadSpec!$R$12*$T$12,".")*$B$74</f>
        <v>6.6857159045124879E-10</v>
      </c>
      <c r="U74" s="149">
        <f>IFERROR(up_RadSpec!$S$12*$U$12,".")*$B$74</f>
        <v>9.220562562646179E-10</v>
      </c>
      <c r="V74" s="149">
        <f>IFERROR(up_RadSpec!$T$12*$V$12,".")*$B$74</f>
        <v>1.0440664085765337E-9</v>
      </c>
      <c r="W74" s="149">
        <f>IFERROR(up_RadSpec!$P$12*$W$12,".")*$B$74</f>
        <v>3.872972518699051E-10</v>
      </c>
      <c r="X74" s="136">
        <f t="shared" ref="X74:Y74" si="205">IFERROR(X12/$B60,0)</f>
        <v>524948.73547505133</v>
      </c>
      <c r="Y74" s="136">
        <f t="shared" si="205"/>
        <v>838277511.96172249</v>
      </c>
      <c r="Z74" s="136">
        <f t="shared" si="175"/>
        <v>524620.20618741936</v>
      </c>
      <c r="AA74" s="149">
        <f>IFERROR(up_RadSpec!$L$12*AA12,".")*$B$74</f>
        <v>4.762369791666666E-5</v>
      </c>
      <c r="AB74" s="149">
        <f>IFERROR(up_RadSpec!$O$12*$AB$12,".")*$B$74</f>
        <v>2.9823059360730597E-8</v>
      </c>
      <c r="AC74" s="150">
        <f t="shared" si="42"/>
        <v>4.7653520976027393E-5</v>
      </c>
      <c r="AD74" s="136">
        <f t="shared" ref="AD74:AF74" si="206">IFERROR(AD12/$B60,0)</f>
        <v>191387.55980861242</v>
      </c>
      <c r="AE74" s="136">
        <f t="shared" si="206"/>
        <v>0</v>
      </c>
      <c r="AF74" s="136">
        <f t="shared" si="206"/>
        <v>2095693779.9043062</v>
      </c>
      <c r="AG74" s="136">
        <f>IFERROR(AG12/$B60,0)</f>
        <v>11539.237042833707</v>
      </c>
      <c r="AH74" s="136">
        <f>IFERROR(AH12/$B60,0)</f>
        <v>10883.012915502381</v>
      </c>
      <c r="AI74" s="149">
        <f>IFERROR(up_RadSpec!$M$12*AI12,".")*$B$74</f>
        <v>1.3062500000000002E-4</v>
      </c>
      <c r="AJ74" s="149">
        <f>IFERROR(up_RadSpec!$L$12*AJ12,".")*$B$74</f>
        <v>2.381184895833333E-5</v>
      </c>
      <c r="AK74" s="149">
        <f>IFERROR(up_RadSpec!$Q$12*AK12,".")*$B$74</f>
        <v>1.1929223744292239E-8</v>
      </c>
      <c r="AL74" s="149">
        <f>up_b2w!AB74</f>
        <v>2.1665210539656894E-3</v>
      </c>
      <c r="AM74" s="150">
        <f t="shared" si="46"/>
        <v>2.3209698321477669E-3</v>
      </c>
      <c r="AN74" s="136">
        <f t="shared" ref="AN74" si="207">IFERROR(AN12/$B60,0)</f>
        <v>34797.738147020442</v>
      </c>
      <c r="AO74" s="149">
        <f>IFERROR(up_RadSpec!$J$12*AO12,".")*$B$74</f>
        <v>7.184375E-4</v>
      </c>
    </row>
    <row r="75" spans="1:41" x14ac:dyDescent="0.25">
      <c r="A75" s="148" t="s">
        <v>1084</v>
      </c>
      <c r="B75" s="141">
        <v>1</v>
      </c>
      <c r="C75" s="136">
        <f>IFERROR(C18/$B61,0)</f>
        <v>0.33057851239669422</v>
      </c>
      <c r="D75" s="136">
        <f>IFERROR(D18/$B61,0)</f>
        <v>3089.9917845330979</v>
      </c>
      <c r="E75" s="136">
        <f>IFERROR(E18/$B61,0)</f>
        <v>198.99502767614223</v>
      </c>
      <c r="F75" s="136">
        <f>IFERROR(F18/$B61,0)</f>
        <v>4.3958447178843029E-5</v>
      </c>
      <c r="G75" s="136">
        <f>IFERROR(G18/$B61,0)</f>
        <v>2.2038567493112948E-4</v>
      </c>
      <c r="H75" s="136">
        <f t="shared" si="173"/>
        <v>4.3952592279033349E-5</v>
      </c>
      <c r="I75" s="149">
        <f>IFERROR(up_RadSpec!$I$18*I18,".")*$B$75</f>
        <v>75.625</v>
      </c>
      <c r="J75" s="149">
        <f>IFERROR(up_RadSpec!$L$18*$J$18,".")*B75</f>
        <v>8.0906363975260659E-3</v>
      </c>
      <c r="K75" s="149">
        <f>IFERROR(up_RadSpec!$K$18*$K$18,".")*B75</f>
        <v>0.1256312797960292</v>
      </c>
      <c r="L75" s="149">
        <f>up_b2s!AB75</f>
        <v>568718.90625</v>
      </c>
      <c r="M75" s="150">
        <f t="shared" si="39"/>
        <v>568794.66497191624</v>
      </c>
      <c r="N75" s="136">
        <f>IFERROR(N18/$B61,0)</f>
        <v>198.99502767614223</v>
      </c>
      <c r="O75" s="136">
        <f>IFERROR(O18/$B61,0)</f>
        <v>393.75339800268989</v>
      </c>
      <c r="P75" s="136">
        <f>IFERROR(P18/$B61,0)</f>
        <v>275.74376135306943</v>
      </c>
      <c r="Q75" s="136">
        <f>IFERROR(Q18/$B61,0)</f>
        <v>228.45868626050287</v>
      </c>
      <c r="R75" s="136">
        <f>IFERROR(R18/$B61,0)</f>
        <v>669.30846930846917</v>
      </c>
      <c r="S75" s="149">
        <f>IFERROR(up_RadSpec!$K$18*$S$18,".")*$B$75</f>
        <v>0.1256312797960292</v>
      </c>
      <c r="T75" s="149">
        <f>IFERROR(up_RadSpec!$R$18*$T$18,".")*$B$75</f>
        <v>6.3491515569928395E-2</v>
      </c>
      <c r="U75" s="149">
        <f>IFERROR(up_RadSpec!$S$18*$U$18,".")*$B$75</f>
        <v>9.0663882574624613E-2</v>
      </c>
      <c r="V75" s="149">
        <f>IFERROR(up_RadSpec!$T$18*$V$18,".")*$B$75</f>
        <v>0.10942897558070276</v>
      </c>
      <c r="W75" s="149">
        <f>IFERROR(up_RadSpec!$P$18*$W$18,".")*$B$75</f>
        <v>3.7351985140469016E-2</v>
      </c>
      <c r="X75" s="136">
        <f t="shared" ref="X75:Y75" si="208">IFERROR(X18/$B61,0)</f>
        <v>9.9740259740259754E-3</v>
      </c>
      <c r="Y75" s="136">
        <f t="shared" si="208"/>
        <v>15.927272727272728</v>
      </c>
      <c r="Z75" s="136">
        <f t="shared" si="175"/>
        <v>9.9677839175609673E-3</v>
      </c>
      <c r="AA75" s="149">
        <f>IFERROR(up_RadSpec!$L$18*AA18,".")*$B$75</f>
        <v>2506.5104166666661</v>
      </c>
      <c r="AB75" s="149">
        <f>IFERROR(up_RadSpec!$O$18*$AB$18,".")*$B$75</f>
        <v>1.5696347031963471</v>
      </c>
      <c r="AC75" s="150">
        <f t="shared" si="42"/>
        <v>2508.0800513698623</v>
      </c>
      <c r="AD75" s="136">
        <f t="shared" ref="AD75:AF75" si="209">IFERROR(AD18/$B61,0)</f>
        <v>3.6363636363636364E-3</v>
      </c>
      <c r="AE75" s="136">
        <f t="shared" si="209"/>
        <v>0</v>
      </c>
      <c r="AF75" s="136">
        <f t="shared" si="209"/>
        <v>39.81818181818182</v>
      </c>
      <c r="AG75" s="136">
        <f>IFERROR(AG18/$B61,0)</f>
        <v>2.1924550381384044E-4</v>
      </c>
      <c r="AH75" s="136">
        <f>IFERROR(AH18/$B61,0)</f>
        <v>2.0677724539454526E-4</v>
      </c>
      <c r="AI75" s="149">
        <f>IFERROR(up_RadSpec!$M$18*AI18,".")*$B$75</f>
        <v>6875</v>
      </c>
      <c r="AJ75" s="149">
        <f>IFERROR(up_RadSpec!$L$18*AJ18,".")*$B$75</f>
        <v>1253.255208333333</v>
      </c>
      <c r="AK75" s="149">
        <f>IFERROR(up_RadSpec!$Q$18*AK18,".")*$B$75</f>
        <v>0.62785388127853881</v>
      </c>
      <c r="AL75" s="149">
        <f>up_b2w!AB75</f>
        <v>114027.42389293101</v>
      </c>
      <c r="AM75" s="150">
        <f t="shared" si="46"/>
        <v>122156.30695514561</v>
      </c>
      <c r="AN75" s="136">
        <f t="shared" ref="AN75" si="210">IFERROR(AN18/$B61,0)</f>
        <v>6.6115702479338848E-4</v>
      </c>
      <c r="AO75" s="149">
        <f>IFERROR(up_RadSpec!$J$18*AO18,".")*$B$75</f>
        <v>37812.5</v>
      </c>
    </row>
    <row r="76" spans="1:41" x14ac:dyDescent="0.25">
      <c r="A76" s="148" t="s">
        <v>1085</v>
      </c>
      <c r="B76" s="141">
        <v>1.339E-6</v>
      </c>
      <c r="C76" s="136">
        <f>IFERROR(C27/$B62,0)</f>
        <v>246884.62464278881</v>
      </c>
      <c r="D76" s="136">
        <f>IFERROR(D27/$B62,0)</f>
        <v>2307686172.1681089</v>
      </c>
      <c r="E76" s="136">
        <f>IFERROR(E27/$B62,0)</f>
        <v>243894464.06009656</v>
      </c>
      <c r="F76" s="136">
        <f>IFERROR(F27/$B62,0)</f>
        <v>32.829310813176271</v>
      </c>
      <c r="G76" s="136">
        <f>IFERROR(G27/$B62,0)</f>
        <v>164.5897497618592</v>
      </c>
      <c r="H76" s="136">
        <f t="shared" si="173"/>
        <v>32.824941054170651</v>
      </c>
      <c r="I76" s="149">
        <f>IFERROR(up_RadSpec!$I$27*I27,".")*$B$76</f>
        <v>1.0126187500000001E-4</v>
      </c>
      <c r="J76" s="149">
        <f>IFERROR(up_RadSpec!$L$27*$J$27,".")*B76</f>
        <v>1.0833362136287402E-8</v>
      </c>
      <c r="K76" s="149">
        <f>IFERROR(up_RadSpec!$K$27*$K$27,".")*B76</f>
        <v>1.0250335158833248E-7</v>
      </c>
      <c r="L76" s="149">
        <f>up_b2s!AB76</f>
        <v>0.76151461546874999</v>
      </c>
      <c r="M76" s="150">
        <f t="shared" si="39"/>
        <v>0.76161599068046371</v>
      </c>
      <c r="N76" s="136">
        <f>IFERROR(N27/$B62,0)</f>
        <v>243894464.06009656</v>
      </c>
      <c r="O76" s="136">
        <f>IFERROR(O27/$B62,0)</f>
        <v>723432588.53223121</v>
      </c>
      <c r="P76" s="136">
        <f>IFERROR(P27/$B62,0)</f>
        <v>443518576.30272853</v>
      </c>
      <c r="Q76" s="136">
        <f>IFERROR(Q27/$B62,0)</f>
        <v>322642630.06237364</v>
      </c>
      <c r="R76" s="136">
        <f>IFERROR(R27/$B62,0)</f>
        <v>2262884433.0162129</v>
      </c>
      <c r="S76" s="149">
        <f>IFERROR(up_RadSpec!$K$27*$S$27,".")*$B$76</f>
        <v>1.0250335158833248E-7</v>
      </c>
      <c r="T76" s="149">
        <f>IFERROR(up_RadSpec!$R$27*$T$27,".")*$B$76</f>
        <v>3.4557470034246562E-8</v>
      </c>
      <c r="U76" s="149">
        <f>IFERROR(up_RadSpec!$S$27*$U$27,".")*$B$76</f>
        <v>5.6367424806432396E-8</v>
      </c>
      <c r="V76" s="149">
        <f>IFERROR(up_RadSpec!$T$27*$V$27,".")*$B$76</f>
        <v>7.7485110988485845E-8</v>
      </c>
      <c r="W76" s="149">
        <f>IFERROR(up_RadSpec!$P$27*$W$27,".")*$B$76</f>
        <v>1.1047846560452647E-8</v>
      </c>
      <c r="X76" s="136">
        <f t="shared" ref="X76:Y76" si="211">IFERROR(X27/$B62,0)</f>
        <v>7448.8618177938579</v>
      </c>
      <c r="Y76" s="136">
        <f t="shared" si="211"/>
        <v>11894901.215289565</v>
      </c>
      <c r="Z76" s="136">
        <f t="shared" si="175"/>
        <v>7444.2000877975861</v>
      </c>
      <c r="AA76" s="149">
        <f>IFERROR(up_RadSpec!$L$27*AA27,".")*$B$76</f>
        <v>3.3562174479166659E-3</v>
      </c>
      <c r="AB76" s="149">
        <f>IFERROR(up_RadSpec!$O$27*$AB$27,".")*$B$76</f>
        <v>2.1017408675799087E-6</v>
      </c>
      <c r="AC76" s="150">
        <f t="shared" si="42"/>
        <v>3.3583191887842458E-3</v>
      </c>
      <c r="AD76" s="136">
        <f t="shared" ref="AD76:AF76" si="212">IFERROR(AD27/$B62,0)</f>
        <v>2715.730871070677</v>
      </c>
      <c r="AE76" s="136">
        <f t="shared" si="212"/>
        <v>0</v>
      </c>
      <c r="AF76" s="136">
        <f t="shared" si="212"/>
        <v>29737253.038223915</v>
      </c>
      <c r="AG76" s="136">
        <f>IFERROR(AG27/$B62,0)</f>
        <v>163.73824033893985</v>
      </c>
      <c r="AH76" s="136">
        <f>IFERROR(AH27/$B62,0)</f>
        <v>154.42662090705397</v>
      </c>
      <c r="AI76" s="149">
        <f>IFERROR(up_RadSpec!$M$27*AI27,".")*$B$76</f>
        <v>9.2056250000000003E-3</v>
      </c>
      <c r="AJ76" s="149">
        <f>IFERROR(up_RadSpec!$L$27*AJ27,".")*$B$76</f>
        <v>1.6781087239583329E-3</v>
      </c>
      <c r="AK76" s="149">
        <f>IFERROR(up_RadSpec!$Q$27*AK27,".")*$B$76</f>
        <v>8.4069634703196346E-7</v>
      </c>
      <c r="AL76" s="149">
        <f>up_b2w!AB76</f>
        <v>0.15268272059263463</v>
      </c>
      <c r="AM76" s="150">
        <f t="shared" si="46"/>
        <v>0.16356729501293998</v>
      </c>
      <c r="AN76" s="136">
        <f t="shared" ref="AN76" si="213">IFERROR(AN27/$B62,0)</f>
        <v>493.76924928557764</v>
      </c>
      <c r="AO76" s="149">
        <f>IFERROR(up_RadSpec!$J$27*AO27,".")*$B$76</f>
        <v>5.0630937500000001E-2</v>
      </c>
    </row>
  </sheetData>
  <sheetProtection algorithmName="SHA-512" hashValue="UCUJDswgnUhvJkdn9X4iLPO2Ib5B/LdStuAxDUwrTH41CRrpn3QJNQLNJ6/EjJ9b5xJly/OuwdeGPqwZ5GatXw==" saltValue="q6bqcuMjilQ0b756ZY0Q7Q==" spinCount="100000" sheet="1" objects="1" scenarios="1" formatColumns="0" formatRows="0" autoFilter="0"/>
  <autoFilter ref="A1:AO1299" xr:uid="{00000000-0009-0000-0000-00001E000000}"/>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9" tint="-0.499984740745262"/>
  </sheetPr>
  <dimension ref="A1:DN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15.5703125" defaultRowHeight="15" x14ac:dyDescent="0.25"/>
  <cols>
    <col min="1" max="1" width="15.42578125" style="4" bestFit="1" customWidth="1"/>
    <col min="2" max="2" width="13.28515625" style="4" bestFit="1" customWidth="1"/>
    <col min="3" max="3" width="14.5703125" style="3" bestFit="1" customWidth="1"/>
    <col min="4" max="4" width="13.85546875" style="3" bestFit="1" customWidth="1"/>
    <col min="5" max="5" width="10.28515625" style="3" bestFit="1" customWidth="1"/>
    <col min="6" max="6" width="11.28515625" style="3" bestFit="1" customWidth="1"/>
    <col min="7" max="7" width="12" style="3" bestFit="1" customWidth="1"/>
    <col min="8" max="8" width="12.5703125" style="3" bestFit="1" customWidth="1"/>
    <col min="9" max="9" width="10.7109375" style="3" bestFit="1" customWidth="1"/>
    <col min="10" max="10" width="11.28515625" style="3" bestFit="1" customWidth="1"/>
    <col min="11" max="11" width="12.5703125" style="3" bestFit="1" customWidth="1"/>
    <col min="12" max="12" width="13.5703125" style="3" bestFit="1" customWidth="1"/>
    <col min="13" max="13" width="14.7109375" style="3" bestFit="1" customWidth="1"/>
    <col min="14" max="14" width="14.42578125" style="3" bestFit="1" customWidth="1"/>
    <col min="15" max="15" width="13.5703125" style="3" bestFit="1" customWidth="1"/>
    <col min="16" max="16" width="10.7109375" style="3" bestFit="1" customWidth="1"/>
    <col min="17" max="17" width="11.28515625" style="3" bestFit="1" customWidth="1"/>
    <col min="18" max="18" width="11.85546875" style="3" bestFit="1" customWidth="1"/>
    <col min="19" max="19" width="12.42578125" style="3" bestFit="1" customWidth="1"/>
    <col min="20" max="20" width="10.5703125" style="3" bestFit="1" customWidth="1"/>
    <col min="21" max="21" width="11.5703125" style="3" bestFit="1" customWidth="1"/>
    <col min="22" max="22" width="12.5703125" style="3" bestFit="1" customWidth="1"/>
    <col min="23" max="23" width="13.5703125" style="3" bestFit="1" customWidth="1"/>
    <col min="24" max="25" width="14.42578125" style="3" bestFit="1" customWidth="1"/>
    <col min="26" max="26" width="14.5703125" style="3" bestFit="1" customWidth="1"/>
    <col min="27" max="27" width="14.28515625" style="2" bestFit="1" customWidth="1"/>
    <col min="28" max="28" width="19" style="3" bestFit="1" customWidth="1"/>
    <col min="29" max="29" width="15" style="3" bestFit="1" customWidth="1"/>
    <col min="30" max="30" width="15.5703125" style="3" bestFit="1" customWidth="1"/>
    <col min="31" max="31" width="16.28515625" style="3" bestFit="1" customWidth="1"/>
    <col min="32" max="32" width="16.85546875" style="3" bestFit="1" customWidth="1"/>
    <col min="33" max="33" width="18.28515625" style="3" bestFit="1" customWidth="1"/>
    <col min="34" max="34" width="14.5703125" style="3" bestFit="1" customWidth="1"/>
    <col min="35" max="35" width="15.5703125" style="3" bestFit="1" customWidth="1"/>
    <col min="36" max="36" width="18.140625" style="3" bestFit="1" customWidth="1"/>
    <col min="37" max="37" width="16.85546875" style="3" bestFit="1" customWidth="1"/>
    <col min="38" max="38" width="19.140625" style="3" bestFit="1" customWidth="1"/>
    <col min="39" max="40" width="10" style="3" bestFit="1" customWidth="1"/>
    <col min="41" max="41" width="9.85546875" style="3" bestFit="1" customWidth="1"/>
    <col min="42" max="42" width="13.5703125" style="3" bestFit="1" customWidth="1"/>
    <col min="43" max="43" width="10.140625" style="3" bestFit="1" customWidth="1"/>
    <col min="44" max="44" width="10.5703125" style="3" bestFit="1" customWidth="1"/>
    <col min="45" max="45" width="11.42578125" style="3" bestFit="1" customWidth="1"/>
    <col min="46" max="46" width="11.7109375" style="3" bestFit="1" customWidth="1"/>
    <col min="47" max="47" width="13" style="3" bestFit="1" customWidth="1"/>
    <col min="48" max="48" width="10.28515625" style="3" bestFit="1" customWidth="1"/>
    <col min="49" max="49" width="11.140625" style="3" bestFit="1" customWidth="1"/>
    <col min="50" max="50" width="12.85546875" style="3" bestFit="1" customWidth="1"/>
    <col min="51" max="51" width="11.7109375" style="3" bestFit="1" customWidth="1"/>
    <col min="52" max="52" width="13.42578125" style="3" bestFit="1" customWidth="1"/>
    <col min="53" max="55" width="14.140625" style="3" bestFit="1" customWidth="1"/>
    <col min="56" max="56" width="14" style="3" bestFit="1" customWidth="1"/>
    <col min="57" max="57" width="18.42578125" style="3" bestFit="1" customWidth="1"/>
    <col min="58" max="58" width="14.42578125" style="3" bestFit="1" customWidth="1"/>
    <col min="59" max="59" width="15" style="3" bestFit="1" customWidth="1"/>
    <col min="60" max="60" width="15.7109375" style="3" bestFit="1" customWidth="1"/>
    <col min="61" max="61" width="16.28515625" style="3" bestFit="1" customWidth="1"/>
    <col min="62" max="62" width="17.5703125" style="3" bestFit="1" customWidth="1"/>
    <col min="63" max="63" width="14.5703125" style="3" bestFit="1" customWidth="1"/>
    <col min="64" max="64" width="15.42578125" style="3" bestFit="1" customWidth="1"/>
    <col min="65" max="65" width="17.5703125" style="3" bestFit="1" customWidth="1"/>
    <col min="66" max="66" width="16.42578125" style="3" bestFit="1" customWidth="1"/>
    <col min="67" max="67" width="18.42578125" style="3" bestFit="1" customWidth="1"/>
    <col min="68" max="68" width="14.28515625" style="3" bestFit="1" customWidth="1"/>
    <col min="69" max="69" width="16.140625" style="3" customWidth="1"/>
    <col min="70" max="70" width="16.28515625" style="3" customWidth="1"/>
    <col min="71" max="71" width="17.42578125" style="3" customWidth="1"/>
    <col min="72" max="72" width="20.85546875" style="3" customWidth="1"/>
    <col min="73" max="73" width="16.7109375" style="3" customWidth="1"/>
    <col min="74" max="74" width="17.5703125" style="3" customWidth="1"/>
    <col min="75" max="75" width="18.140625" style="3" customWidth="1"/>
    <col min="76" max="76" width="18.7109375" style="3" customWidth="1"/>
    <col min="77" max="77" width="20" style="3" customWidth="1"/>
    <col min="78" max="78" width="16.5703125" style="3" customWidth="1"/>
    <col min="79" max="79" width="17.28515625" style="3" customWidth="1"/>
    <col min="80" max="80" width="19.7109375" style="3" customWidth="1"/>
    <col min="81" max="81" width="18.85546875" style="3" customWidth="1"/>
    <col min="82" max="82" width="20.7109375" style="3" customWidth="1"/>
    <col min="83" max="84" width="11.7109375" style="2" customWidth="1"/>
    <col min="85" max="85" width="12.7109375" style="2" customWidth="1"/>
    <col min="86" max="86" width="15.42578125" style="2" customWidth="1"/>
    <col min="87" max="87" width="11.85546875" style="2" customWidth="1"/>
    <col min="88" max="88" width="12.42578125" style="2" customWidth="1"/>
    <col min="89" max="89" width="13.140625" style="2" customWidth="1"/>
    <col min="90" max="90" width="13.42578125" style="2" customWidth="1"/>
    <col min="91" max="91" width="14.7109375" style="2" customWidth="1"/>
    <col min="92" max="92" width="12" style="2" customWidth="1"/>
    <col min="93" max="93" width="12.85546875" style="2" customWidth="1"/>
    <col min="94" max="94" width="14.5703125" style="2" customWidth="1"/>
    <col min="95" max="95" width="13.42578125" style="2" customWidth="1"/>
    <col min="96" max="96" width="15.28515625" style="2" customWidth="1"/>
    <col min="97" max="97" width="16" style="3" customWidth="1"/>
    <col min="98" max="99" width="16.28515625" style="3" bestFit="1" customWidth="1"/>
    <col min="100" max="100" width="17.42578125" style="3" bestFit="1" customWidth="1"/>
    <col min="101" max="101" width="20.85546875" style="3" bestFit="1" customWidth="1"/>
    <col min="102" max="102" width="16.7109375" style="3" bestFit="1" customWidth="1"/>
    <col min="103" max="103" width="17.42578125" style="3" bestFit="1" customWidth="1"/>
    <col min="104" max="104" width="18" style="3" bestFit="1" customWidth="1"/>
    <col min="105" max="105" width="18.5703125" style="3" bestFit="1" customWidth="1"/>
    <col min="106" max="106" width="20" style="3" bestFit="1" customWidth="1"/>
    <col min="107" max="107" width="16.85546875" style="3" bestFit="1" customWidth="1"/>
    <col min="108" max="108" width="17.7109375" style="3" bestFit="1" customWidth="1"/>
    <col min="109" max="109" width="20" style="3" bestFit="1" customWidth="1"/>
    <col min="110" max="110" width="18.7109375" style="3" bestFit="1" customWidth="1"/>
    <col min="111" max="111" width="20.85546875" style="3" bestFit="1" customWidth="1"/>
    <col min="112" max="112" width="16.7109375" style="3" bestFit="1" customWidth="1"/>
    <col min="113" max="113" width="13.85546875" style="3" bestFit="1" customWidth="1"/>
    <col min="114" max="114" width="14.140625" style="3" bestFit="1" customWidth="1"/>
    <col min="115" max="115" width="13.28515625" style="3" bestFit="1" customWidth="1"/>
    <col min="116" max="116" width="13.42578125" style="3" bestFit="1" customWidth="1"/>
    <col min="117" max="117" width="13.85546875" style="3" bestFit="1" customWidth="1"/>
    <col min="118" max="118" width="13.7109375" style="3" bestFit="1" customWidth="1"/>
    <col min="119" max="16384" width="15.5703125" style="3"/>
  </cols>
  <sheetData>
    <row r="1" spans="1:118" s="9" customFormat="1" x14ac:dyDescent="0.2">
      <c r="A1" s="125" t="s">
        <v>39</v>
      </c>
      <c r="B1" s="126" t="s">
        <v>335</v>
      </c>
      <c r="C1" s="153" t="s">
        <v>1223</v>
      </c>
      <c r="D1" s="153" t="s">
        <v>1224</v>
      </c>
      <c r="E1" s="153" t="s">
        <v>1225</v>
      </c>
      <c r="F1" s="153" t="s">
        <v>1226</v>
      </c>
      <c r="G1" s="153" t="s">
        <v>1227</v>
      </c>
      <c r="H1" s="153" t="s">
        <v>1228</v>
      </c>
      <c r="I1" s="153" t="s">
        <v>1229</v>
      </c>
      <c r="J1" s="153" t="s">
        <v>1230</v>
      </c>
      <c r="K1" s="153" t="s">
        <v>1231</v>
      </c>
      <c r="L1" s="153" t="s">
        <v>1232</v>
      </c>
      <c r="M1" s="153" t="s">
        <v>1233</v>
      </c>
      <c r="N1" s="154" t="s">
        <v>1261</v>
      </c>
      <c r="O1" s="154" t="s">
        <v>1262</v>
      </c>
      <c r="P1" s="154" t="s">
        <v>1263</v>
      </c>
      <c r="Q1" s="154" t="s">
        <v>1264</v>
      </c>
      <c r="R1" s="154" t="s">
        <v>1265</v>
      </c>
      <c r="S1" s="154" t="s">
        <v>1266</v>
      </c>
      <c r="T1" s="154" t="s">
        <v>1267</v>
      </c>
      <c r="U1" s="154" t="s">
        <v>1268</v>
      </c>
      <c r="V1" s="154" t="s">
        <v>1269</v>
      </c>
      <c r="W1" s="154" t="s">
        <v>1270</v>
      </c>
      <c r="X1" s="154" t="s">
        <v>1271</v>
      </c>
      <c r="Y1" s="153" t="s">
        <v>1146</v>
      </c>
      <c r="Z1" s="153" t="s">
        <v>1147</v>
      </c>
      <c r="AA1" s="155" t="s">
        <v>1148</v>
      </c>
      <c r="AB1" s="153" t="s">
        <v>1152</v>
      </c>
      <c r="AC1" s="153" t="s">
        <v>1158</v>
      </c>
      <c r="AD1" s="153" t="s">
        <v>1155</v>
      </c>
      <c r="AE1" s="153" t="s">
        <v>1156</v>
      </c>
      <c r="AF1" s="153" t="s">
        <v>1157</v>
      </c>
      <c r="AG1" s="153" t="s">
        <v>1153</v>
      </c>
      <c r="AH1" s="153" t="s">
        <v>1154</v>
      </c>
      <c r="AI1" s="153" t="s">
        <v>1234</v>
      </c>
      <c r="AJ1" s="153" t="s">
        <v>1236</v>
      </c>
      <c r="AK1" s="153" t="s">
        <v>1235</v>
      </c>
      <c r="AL1" s="153" t="s">
        <v>1237</v>
      </c>
      <c r="AM1" s="156" t="s">
        <v>1159</v>
      </c>
      <c r="AN1" s="156" t="s">
        <v>1160</v>
      </c>
      <c r="AO1" s="156" t="s">
        <v>1161</v>
      </c>
      <c r="AP1" s="156" t="s">
        <v>1162</v>
      </c>
      <c r="AQ1" s="156" t="s">
        <v>1168</v>
      </c>
      <c r="AR1" s="156" t="s">
        <v>1165</v>
      </c>
      <c r="AS1" s="156" t="s">
        <v>1166</v>
      </c>
      <c r="AT1" s="156" t="s">
        <v>1167</v>
      </c>
      <c r="AU1" s="156" t="s">
        <v>1163</v>
      </c>
      <c r="AV1" s="156" t="s">
        <v>1164</v>
      </c>
      <c r="AW1" s="156" t="s">
        <v>1238</v>
      </c>
      <c r="AX1" s="156" t="s">
        <v>1240</v>
      </c>
      <c r="AY1" s="156" t="s">
        <v>1239</v>
      </c>
      <c r="AZ1" s="156" t="s">
        <v>1241</v>
      </c>
      <c r="BA1" s="153" t="s">
        <v>1149</v>
      </c>
      <c r="BB1" s="154" t="s">
        <v>1202</v>
      </c>
      <c r="BC1" s="154" t="s">
        <v>1203</v>
      </c>
      <c r="BD1" s="154" t="s">
        <v>1204</v>
      </c>
      <c r="BE1" s="154" t="s">
        <v>1205</v>
      </c>
      <c r="BF1" s="154" t="s">
        <v>1277</v>
      </c>
      <c r="BG1" s="154" t="s">
        <v>1274</v>
      </c>
      <c r="BH1" s="154" t="s">
        <v>1275</v>
      </c>
      <c r="BI1" s="154" t="s">
        <v>1276</v>
      </c>
      <c r="BJ1" s="154" t="s">
        <v>1272</v>
      </c>
      <c r="BK1" s="154" t="s">
        <v>1273</v>
      </c>
      <c r="BL1" s="154" t="s">
        <v>1278</v>
      </c>
      <c r="BM1" s="154" t="s">
        <v>1280</v>
      </c>
      <c r="BN1" s="154" t="s">
        <v>1279</v>
      </c>
      <c r="BO1" s="154" t="s">
        <v>1281</v>
      </c>
      <c r="BP1" s="157" t="s">
        <v>1206</v>
      </c>
      <c r="BQ1" s="153" t="s">
        <v>1242</v>
      </c>
      <c r="BR1" s="153" t="s">
        <v>1243</v>
      </c>
      <c r="BS1" s="153" t="s">
        <v>1244</v>
      </c>
      <c r="BT1" s="153" t="s">
        <v>1245</v>
      </c>
      <c r="BU1" s="153" t="s">
        <v>1251</v>
      </c>
      <c r="BV1" s="153" t="s">
        <v>1248</v>
      </c>
      <c r="BW1" s="153" t="s">
        <v>1249</v>
      </c>
      <c r="BX1" s="153" t="s">
        <v>1250</v>
      </c>
      <c r="BY1" s="153" t="s">
        <v>1246</v>
      </c>
      <c r="BZ1" s="153" t="s">
        <v>1247</v>
      </c>
      <c r="CA1" s="153" t="s">
        <v>1252</v>
      </c>
      <c r="CB1" s="153" t="s">
        <v>1254</v>
      </c>
      <c r="CC1" s="153" t="s">
        <v>1253</v>
      </c>
      <c r="CD1" s="153" t="s">
        <v>1255</v>
      </c>
      <c r="CE1" s="156" t="s">
        <v>1169</v>
      </c>
      <c r="CF1" s="156" t="s">
        <v>1170</v>
      </c>
      <c r="CG1" s="156" t="s">
        <v>1171</v>
      </c>
      <c r="CH1" s="156" t="s">
        <v>1172</v>
      </c>
      <c r="CI1" s="156" t="s">
        <v>1178</v>
      </c>
      <c r="CJ1" s="156" t="s">
        <v>1175</v>
      </c>
      <c r="CK1" s="156" t="s">
        <v>1176</v>
      </c>
      <c r="CL1" s="156" t="s">
        <v>1177</v>
      </c>
      <c r="CM1" s="156" t="s">
        <v>1173</v>
      </c>
      <c r="CN1" s="156" t="s">
        <v>1174</v>
      </c>
      <c r="CO1" s="156" t="s">
        <v>1256</v>
      </c>
      <c r="CP1" s="156" t="s">
        <v>1258</v>
      </c>
      <c r="CQ1" s="156" t="s">
        <v>1257</v>
      </c>
      <c r="CR1" s="156" t="s">
        <v>1259</v>
      </c>
      <c r="CS1" s="153" t="s">
        <v>1260</v>
      </c>
      <c r="CT1" s="154" t="s">
        <v>1282</v>
      </c>
      <c r="CU1" s="154" t="s">
        <v>1283</v>
      </c>
      <c r="CV1" s="154" t="s">
        <v>1284</v>
      </c>
      <c r="CW1" s="154" t="s">
        <v>1285</v>
      </c>
      <c r="CX1" s="154" t="s">
        <v>1286</v>
      </c>
      <c r="CY1" s="154" t="s">
        <v>1287</v>
      </c>
      <c r="CZ1" s="154" t="s">
        <v>1288</v>
      </c>
      <c r="DA1" s="154" t="s">
        <v>1289</v>
      </c>
      <c r="DB1" s="154" t="s">
        <v>1290</v>
      </c>
      <c r="DC1" s="154" t="s">
        <v>1291</v>
      </c>
      <c r="DD1" s="154" t="s">
        <v>1292</v>
      </c>
      <c r="DE1" s="154" t="s">
        <v>1293</v>
      </c>
      <c r="DF1" s="154" t="s">
        <v>1294</v>
      </c>
      <c r="DG1" s="154" t="s">
        <v>1295</v>
      </c>
      <c r="DH1" s="157" t="s">
        <v>1296</v>
      </c>
      <c r="DI1" s="153" t="s">
        <v>1186</v>
      </c>
      <c r="DJ1" s="153" t="s">
        <v>1187</v>
      </c>
      <c r="DK1" s="153" t="s">
        <v>1188</v>
      </c>
      <c r="DL1" s="154" t="s">
        <v>1212</v>
      </c>
      <c r="DM1" s="154" t="s">
        <v>1213</v>
      </c>
      <c r="DN1" s="157" t="s">
        <v>1214</v>
      </c>
    </row>
    <row r="2" spans="1:118" customFormat="1" x14ac:dyDescent="0.25">
      <c r="A2" s="128" t="s">
        <v>0</v>
      </c>
      <c r="B2" s="129" t="s">
        <v>1059</v>
      </c>
      <c r="C2" s="141">
        <f>up_dir!AB2</f>
        <v>2.2038567493112948E-4</v>
      </c>
      <c r="D2" s="141">
        <f>IFERROR(s_DL/(up_RadSpec!J2*s_IFP_far_adj*s_CF_far_poultry),".")</f>
        <v>6.6115702479338848E-4</v>
      </c>
      <c r="E2" s="141">
        <f>IFERROR(s_DL/(up_RadSpec!J2*s_IFE_far_adj*s_CF_far_egg),".")</f>
        <v>6.6115702479338848E-4</v>
      </c>
      <c r="F2" s="141">
        <f>IFERROR(s_DL/(up_RadSpec!J2*s_IFB_far_adj*s_CF_far_beef),".")</f>
        <v>6.6115702479338848E-4</v>
      </c>
      <c r="G2" s="141">
        <f>IFERROR(s_DL/(up_RadSpec!J2*s_IFD_far_adj*s_CF_far_dairy),".")</f>
        <v>6.6115702479338848E-4</v>
      </c>
      <c r="H2" s="141">
        <f>IFERROR(s_DL/(up_RadSpec!J2*s_IFSW_far_adj*s_CF_far_swine),".")</f>
        <v>6.6115702479338848E-4</v>
      </c>
      <c r="I2" s="141">
        <f>IFERROR(s_DL/(up_RadSpec!J2*s_IFFI_far_adj*s_CF_far_fish),".")</f>
        <v>6.6115702479338848E-4</v>
      </c>
      <c r="J2" s="141">
        <f>IFERROR(s_DL/(up_RadSpec!J2*s_IFGO_far_adj*s_CF_far_goat),".")</f>
        <v>6.6115702479338848E-4</v>
      </c>
      <c r="K2" s="141">
        <f>IFERROR(s_DL/(up_RadSpec!J2*s_IFSH_far_adj*s_CF_far_sheep),".")</f>
        <v>6.6115702479338848E-4</v>
      </c>
      <c r="L2" s="141">
        <f>IFERROR(s_DL/(up_RadSpec!J2*s_IFGM_far_adj*s_CF_far_goat_milk),".")</f>
        <v>6.6115702479338848E-4</v>
      </c>
      <c r="M2" s="141">
        <f>IFERROR(s_DL/(up_RadSpec!J2*s_IFSM_far_adj*s_CF_far_sheep_milk),".")</f>
        <v>6.6115702479338848E-4</v>
      </c>
      <c r="N2" s="142">
        <f>up_dir!BA2</f>
        <v>22687.5</v>
      </c>
      <c r="O2" s="142">
        <f t="shared" ref="O2:O30" si="0">IFERROR(s_C*s_IFP_far_adj*s_CF_far_poultry,".")</f>
        <v>7562.5</v>
      </c>
      <c r="P2" s="142">
        <f t="shared" ref="P2:P30" si="1">IFERROR(s_C*s_IFE_far_adj*s_CF_far_egg,".")</f>
        <v>7562.5</v>
      </c>
      <c r="Q2" s="142">
        <f t="shared" ref="Q2:Q30" si="2">IFERROR(s_C*s_IFB_far_adj*s_CF_far_beef,".")</f>
        <v>7562.5</v>
      </c>
      <c r="R2" s="142">
        <f t="shared" ref="R2:R30" si="3">IFERROR(s_C*s_IFD_far_adj*s_CF_far_dairy,".")</f>
        <v>7562.5</v>
      </c>
      <c r="S2" s="142">
        <f t="shared" ref="S2:S30" si="4">IFERROR(s_C*s_IFS_far_adj*s_CF_far_swine,".")</f>
        <v>7562.5</v>
      </c>
      <c r="T2" s="142">
        <f t="shared" ref="T2:T30" si="5">IFERROR(s_C*s_IFFI_far_adj*s_CF_far_fish,".")</f>
        <v>7562.5</v>
      </c>
      <c r="U2" s="142">
        <f t="shared" ref="U2:U30" si="6">IFERROR(s_C*s_IFGO_far_adj*s_CF_far_goat,".")</f>
        <v>7562.5</v>
      </c>
      <c r="V2" s="142">
        <f t="shared" ref="V2:V30" si="7">IFERROR(s_C*s_IFSH_far_adj*s_CF_far_sheep,".")</f>
        <v>7562.5</v>
      </c>
      <c r="W2" s="142">
        <f t="shared" ref="W2:W30" si="8">IFERROR(s_C*s_IFGM_far_adj*s_CF_far_goat_milk,".")</f>
        <v>7562.5</v>
      </c>
      <c r="X2" s="142">
        <f t="shared" ref="X2:X30" si="9">IFERROR(s_C*s_IFSM_far_adj*s_CF_far_sheep_milk,".")</f>
        <v>7562.5</v>
      </c>
      <c r="Y2" s="141">
        <f>IFERROR((s_DL/(up_RadSpec!I2*s_IFS_far_adj*(1/1000)))*1,".")</f>
        <v>0.33057851239669422</v>
      </c>
      <c r="Z2" s="141">
        <f>IFERROR(IF(A2="H-3",(s_DL/(up_RadSpec!L2*s_IFA_far_adj*(1/17)*1000))*1,(s_DL/(up_RadSpec!L2*s_IFA_far_adj*(1/s_PEF_wind)*1000))*1),".")</f>
        <v>3089.9917845330979</v>
      </c>
      <c r="AA2" s="141">
        <f>IFERROR((s_DL/(up_RadSpec!K2*s_EF_far*(1/365)*s_ED_far*up_RadSpec!V2*((s_ET_far_o*(1/24)*up_RadSpec!AA2)+(s_ET_far_i*(1/24)*up_RadSpec!AF2))))*1,".")</f>
        <v>704.55228981544781</v>
      </c>
      <c r="AB2" s="141">
        <f>up_b2s!BA2</f>
        <v>4.3958447178843029E-5</v>
      </c>
      <c r="AC2" s="141">
        <f>IFERROR(((I2*up_RadSpec!AX2)/up_RadSpec!AN2)*1,".")</f>
        <v>6.6115702479338848E-4</v>
      </c>
      <c r="AD2" s="141">
        <f>IFERROR((F2/(up_RadSpec!AM2*((s_Q_p_beef*s_f_p_beef*s_f_s_beef*(up_RadSpec!BG2+s_R_es_past))+(s_Q_s_beef*s_f_p_beef))))*1,".")</f>
        <v>1.8558793678410905E-7</v>
      </c>
      <c r="AE2" s="141">
        <f>IFERROR(((G2*s_D_milk)/(up_RadSpec!AL2*((s_Q_p_dairy*s_f_p_dairy*s_f_s_dairy*(up_RadSpec!BG2+s_R_es_past))+(s_Q_s_dairy*s_f_p_dairy))))*1,".")</f>
        <v>1.9115557488763231E-7</v>
      </c>
      <c r="AF2" s="141">
        <f>IFERROR((H2/(up_RadSpec!AQ2*((s_Q_p_swine*s_f_p_swine*s_f_s_swine*(up_RadSpec!BG2+s_R_es_past))+(s_Q_s_swine*s_f_p_swine))))*1,".")</f>
        <v>1.8558793678410905E-7</v>
      </c>
      <c r="AG2" s="141">
        <f>IFERROR((D2/(up_RadSpec!AO2*((s_Q_p_poultry*s_f_p_poultry*s_f_s_poultry*(up_RadSpec!BG2+s_R_es_past))+(s_Q_s_poultry*s_f_p_poultry))))*1,".")</f>
        <v>1.8558793678410905E-7</v>
      </c>
      <c r="AH2" s="141">
        <f>IFERROR((E2/(up_RadSpec!AP2*((s_Q_p_poultry*s_f_p_poultry*s_f_s_poultry*(up_RadSpec!BG2+s_R_es_past))+(s_Q_s_poultry*s_f_p_poultry))))*1,".")</f>
        <v>1.8558793678410905E-7</v>
      </c>
      <c r="AI2" s="141">
        <f>IFERROR((J2/(up_RadSpec!AT2*((s_Q_p_goat*s_f_p_goat*s_f_s_goat*(up_RadSpec!BG2+s_R_es_past))+(s_Q_s_goat*s_f_p_goat))))*1,".")</f>
        <v>1.8558793678410905E-7</v>
      </c>
      <c r="AJ2" s="141">
        <f>IFERROR((L2*s_D_milk/(up_RadSpec!AU2*((s_Q_p_goat_milk*s_f_p_goat_milk*s_f_s_goat_milk*(up_RadSpec!BG2+s_R_es_past))+(s_Q_s_goat_milk*s_f_p_goat_milk))))*1,".")</f>
        <v>1.9115557488763231E-7</v>
      </c>
      <c r="AK2" s="141">
        <f>IFERROR((K2/(up_RadSpec!AR2*((s_Q_p_sheep*s_f_p_sheep*s_f_s_sheep*(up_RadSpec!BG2+s_R_es_past))+(s_Q_s_sheep*s_f_p_sheep))))*1,".")</f>
        <v>1.8558793678410905E-7</v>
      </c>
      <c r="AL2" s="141">
        <f>IFERROR((M2*s_D_milk/(up_RadSpec!AS2*((s_Q_p_sheep_milk*s_f_p_sheep_milk*s_f_s_sheep_milk*(up_RadSpec!BG2+s_R_es_past))+(s_Q_s_sheep_milk*s_f_p_sheep_milk))))*1,".")</f>
        <v>1.9115557488763231E-7</v>
      </c>
      <c r="AM2" s="158">
        <f t="shared" ref="AM2:AM30" si="10">IFERROR(1/Y2,".")</f>
        <v>3.0249999999999999</v>
      </c>
      <c r="AN2" s="158">
        <f t="shared" ref="AN2:AN30" si="11">IFERROR(1/Z2,".")</f>
        <v>3.2362545590104258E-4</v>
      </c>
      <c r="AO2" s="158">
        <f t="shared" ref="AO2:AO30" si="12">IFERROR(1/AA2,".")</f>
        <v>1.4193410687259884E-3</v>
      </c>
      <c r="AP2" s="158">
        <f t="shared" ref="AP2:AP30" si="13">IFERROR(1/AB2,".")</f>
        <v>22748.756249999995</v>
      </c>
      <c r="AQ2" s="158">
        <f t="shared" ref="AQ2:AQ30" si="14">IFERROR(1/AC2,".")</f>
        <v>1512.5</v>
      </c>
      <c r="AR2" s="158">
        <f t="shared" ref="AR2:AR30" si="15">IFERROR(1/AD2,".")</f>
        <v>5388281.2499999991</v>
      </c>
      <c r="AS2" s="158">
        <f t="shared" ref="AS2:AS30" si="16">IFERROR(1/AE2,".")</f>
        <v>5231341.0194174759</v>
      </c>
      <c r="AT2" s="158">
        <f t="shared" ref="AT2:AT30" si="17">IFERROR(1/AF2,".")</f>
        <v>5388281.2499999991</v>
      </c>
      <c r="AU2" s="158">
        <f t="shared" ref="AU2:AU30" si="18">IFERROR(1/AG2,".")</f>
        <v>5388281.2499999991</v>
      </c>
      <c r="AV2" s="158">
        <f t="shared" ref="AV2:AV30" si="19">IFERROR(1/AH2,".")</f>
        <v>5388281.2499999991</v>
      </c>
      <c r="AW2" s="158">
        <f t="shared" ref="AW2:AW30" si="20">IFERROR(1/AI2,".")</f>
        <v>5388281.2499999991</v>
      </c>
      <c r="AX2" s="158">
        <f t="shared" ref="AX2:AX30" si="21">IFERROR(1/AJ2,".")</f>
        <v>5231341.0194174759</v>
      </c>
      <c r="AY2" s="158">
        <f t="shared" ref="AY2:AY30" si="22">IFERROR(1/AK2,".")</f>
        <v>5388281.2499999991</v>
      </c>
      <c r="AZ2" s="158">
        <f t="shared" ref="AZ2:AZ30" si="23">IFERROR(1/AL2,".")</f>
        <v>5231341.0194174759</v>
      </c>
      <c r="BA2" s="141">
        <f t="shared" ref="BA2:BA30" si="24">IFERROR(1/(SUMIF(AM2:AZ2,"&lt;&gt;0")),".")</f>
        <v>2.081253171031839E-8</v>
      </c>
      <c r="BB2" s="142">
        <f t="shared" ref="BB2:BB30" si="25">IFERROR(s_C*s_IFS_far_adj*(1/1000),".")</f>
        <v>15.125</v>
      </c>
      <c r="BC2" s="142">
        <f t="shared" ref="BC2:BC30" si="26">IFERROR(s_C*s_IFA_far_adj*(1/s_PEF_wind)*1000,".")</f>
        <v>1.618127279505213E-3</v>
      </c>
      <c r="BD2" s="142">
        <f>IFERROR((s_C*s_EF_far*(1/365)*s_ED_far*up_RadSpec!V2*((s_ET_far_o*(1/24)*up_RadSpec!AA2)+(s_ET_far_i*(1/24)*up_RadSpec!AF2))),".")</f>
        <v>7.0967053436299422E-3</v>
      </c>
      <c r="BE2" s="142">
        <f>up_b2s!BZ2</f>
        <v>113743.78125</v>
      </c>
      <c r="BF2" s="142">
        <f>IFERROR(((s_C*up_RadSpec!AN2)/up_RadSpec!AX2)*s_IFFI_far_adj*s_CF_far_fish,0)</f>
        <v>7562.5</v>
      </c>
      <c r="BG2" s="142">
        <f>(s_C*s_IFB_far_adj*s_CF_far_beef*up_RadSpec!AM2*((s_Q_p_beef*s_f_p_beef*s_f_s_beef*(up_RadSpec!$AW2+s_R_es_past))+(s_Q_s_beef*s_f_p_beef)))</f>
        <v>26941406.25</v>
      </c>
      <c r="BH2" s="142">
        <f>(s_C*s_IFD_far_adj*s_CF_far_dairy*up_RadSpec!AL2*1/s_D_milk*((s_Q_p_dairy*s_f_p_dairy*s_f_s_dairy*(up_RadSpec!$AW2+s_R_es_past))+(s_Q_s_dairy*s_f_p_dairy)))</f>
        <v>26156705.09708738</v>
      </c>
      <c r="BI2" s="142">
        <f>(s_C*s_IFSW_far_adj*s_CF_far_swine*up_RadSpec!AQ2*((s_Q_p_swine*s_f_p_swine*s_f_s_swine*(up_RadSpec!$AW2+s_R_es_past))+(s_Q_s_swine*s_f_p_swine)))</f>
        <v>26941406.25</v>
      </c>
      <c r="BJ2" s="142">
        <f>(s_C*s_IFP_far_adj*s_CF_far_poultry*up_RadSpec!AO2*((s_Q_p_poultry*s_f_p_poultry*s_f_s_poultry*(up_RadSpec!AW2+s_R_es_past))+(s_Q_s_poultry*s_f_p_poultry)))</f>
        <v>26941406.25</v>
      </c>
      <c r="BK2" s="142">
        <f>(s_C*s_IFE_far_adj*s_CF_far_egg*up_RadSpec!AP2*((s_Q_p_egg*s_f_p_egg*s_f_s_egg*(up_RadSpec!$AW2+s_R_es_past))+(s_Q_s_egg*s_f_p_egg)))</f>
        <v>26941406.25</v>
      </c>
      <c r="BL2" s="142">
        <f>(s_C*s_IFGO_far_adj*s_CF_far_goat*up_RadSpec!AT2*((s_Q_p_goat*s_f_p_goat*s_f_s_goat*(up_RadSpec!$AW2+s_R_es_past))+(s_Q_s_goat*s_f_p_goat)))</f>
        <v>26941406.25</v>
      </c>
      <c r="BM2" s="142">
        <f>(s_C*s_IFGM_far_adj*s_CF_far_goat_milk*up_RadSpec!AU2*1/s_D_milk*((s_Q_p_goat_milk*s_f_p_goat_milk*s_f_s_goat_milk*(up_RadSpec!$AW2+s_R_es_past))+(s_Q_s_goat_milk*s_f_p_goat_milk)))</f>
        <v>26156705.09708738</v>
      </c>
      <c r="BN2" s="142">
        <f>(s_C*s_IFSH_far_adj*s_CF_far_sheep*up_RadSpec!AR2*((s_Q_p_sheep*s_f_p_sheep*s_f_s_sheep*(up_RadSpec!$AW2+s_R_es_past))+(s_Q_s_sheep*s_f_p_sheep)))</f>
        <v>26941406.25</v>
      </c>
      <c r="BO2" s="142">
        <f>(s_C*s_IFSM_far_adj*s_CF_far_sheep_milk*up_RadSpec!AS2*1/s_D_milk*((s_Q_p_sheep_milk*s_f_p_sheep_milk*s_f_s_sheep_milk*(up_RadSpec!$AW2+s_R_es_past))+(s_Q_s_sheep_milk*s_f_p_sheep_milk)))</f>
        <v>26156705.09708738</v>
      </c>
      <c r="BP2" s="141"/>
      <c r="BQ2" s="141">
        <f>IFERROR(s_DL/(up_RadSpec!M2*s_IFW_far_adj),".")</f>
        <v>3.6363636363636364E-3</v>
      </c>
      <c r="BR2" s="141" t="str">
        <f>IFERROR(IF(up_RadSpec!C2=1,s_DL/(up_RadSpec!L2*s_IFA_far_adj*s_K),"."),".")</f>
        <v>.</v>
      </c>
      <c r="BS2" s="141">
        <f>IFERROR((s_DL/(up_RadSpec!Q2*(1/8760)*s_DFA_far_adj)),".")</f>
        <v>39.81818181818182</v>
      </c>
      <c r="BT2" s="141">
        <f>up_b2w!BA2</f>
        <v>2.1924550381384044E-4</v>
      </c>
      <c r="BU2" s="141">
        <f>IFERROR(I2/(up_RadSpec!AN2*(1/1000)),".")</f>
        <v>0.13223140495867769</v>
      </c>
      <c r="BV2" s="141">
        <f>IFERROR(F2/(up_RadSpec!AM2*s_Q_w_beef*(1/1000)),".")</f>
        <v>2.6446280991735537E-2</v>
      </c>
      <c r="BW2" s="141">
        <f>IFERROR((G2*s_D_milk)/(up_RadSpec!AL2*s_Q_w_dairy*(1/1000)),".")</f>
        <v>2.7239669421487603E-2</v>
      </c>
      <c r="BX2" s="141">
        <f>IFERROR(H2/(up_RadSpec!AQ2*s_Q_w_swine*(1/1000)),".")</f>
        <v>2.6446280991735537E-2</v>
      </c>
      <c r="BY2" s="141">
        <f>IFERROR(D2/(up_RadSpec!AO2*s_Q_w_poultry*(1/1000)),".")</f>
        <v>2.6446280991735537E-2</v>
      </c>
      <c r="BZ2" s="141">
        <f>IFERROR(E2/(up_RadSpec!AP2*s_Q_w_poultry*(1/1000)),".")</f>
        <v>2.6446280991735537E-2</v>
      </c>
      <c r="CA2" s="141">
        <f>IFERROR(J2/(up_RadSpec!AT2*s_Q_w_goat*(1/1000)),".")</f>
        <v>2.6446280991735537E-2</v>
      </c>
      <c r="CB2" s="141">
        <f>IFERROR(L2*s_D_milk/(up_RadSpec!AU2*s_Q_w_goat_milk*(1/1000)),".")</f>
        <v>2.7239669421487603E-2</v>
      </c>
      <c r="CC2" s="141">
        <f>IFERROR(K2/(up_RadSpec!AR2*s_Q_w_sheep*(1/1000)),".")</f>
        <v>2.6446280991735537E-2</v>
      </c>
      <c r="CD2" s="141">
        <f>IFERROR(M2*s_D_milk/(up_RadSpec!AS2*s_Q_w_sheep_milk*(1/1000)),".")</f>
        <v>2.7239669421487603E-2</v>
      </c>
      <c r="CE2" s="158">
        <f t="shared" ref="CE2:CE30" si="27">IFERROR(1/BQ2,".")</f>
        <v>275</v>
      </c>
      <c r="CF2" s="158" t="str">
        <f t="shared" ref="CF2:CF30" si="28">IFERROR(1/BR2,".")</f>
        <v>.</v>
      </c>
      <c r="CG2" s="158">
        <f t="shared" ref="CG2:CG30" si="29">IFERROR(1/BS2,".")</f>
        <v>2.5114155251141551E-2</v>
      </c>
      <c r="CH2" s="158">
        <f t="shared" ref="CH2:CH30" si="30">IFERROR(1/BT2,".")</f>
        <v>4561.0969557172393</v>
      </c>
      <c r="CI2" s="158">
        <f t="shared" ref="CI2:CI30" si="31">IFERROR(1/BU2,".")</f>
        <v>7.5625</v>
      </c>
      <c r="CJ2" s="158">
        <f t="shared" ref="CJ2:CJ30" si="32">IFERROR(1/BV2,".")</f>
        <v>37.8125</v>
      </c>
      <c r="CK2" s="158">
        <f t="shared" ref="CK2:CK30" si="33">IFERROR(1/BW2,".")</f>
        <v>36.711165048543691</v>
      </c>
      <c r="CL2" s="158">
        <f t="shared" ref="CL2:CL30" si="34">IFERROR(1/BX2,".")</f>
        <v>37.8125</v>
      </c>
      <c r="CM2" s="158">
        <f t="shared" ref="CM2:CM30" si="35">IFERROR(1/BY2,".")</f>
        <v>37.8125</v>
      </c>
      <c r="CN2" s="158">
        <f t="shared" ref="CN2:CN30" si="36">IFERROR(1/BZ2,".")</f>
        <v>37.8125</v>
      </c>
      <c r="CO2" s="158">
        <f t="shared" ref="CO2:CO30" si="37">IFERROR(1/CA2,".")</f>
        <v>37.8125</v>
      </c>
      <c r="CP2" s="158">
        <f t="shared" ref="CP2:CP30" si="38">IFERROR(1/CB2,".")</f>
        <v>36.711165048543691</v>
      </c>
      <c r="CQ2" s="158">
        <f t="shared" ref="CQ2:CQ30" si="39">IFERROR(1/CC2,".")</f>
        <v>37.8125</v>
      </c>
      <c r="CR2" s="158">
        <f t="shared" ref="CR2:CR30" si="40">IFERROR(1/CD2,".")</f>
        <v>36.711165048543691</v>
      </c>
      <c r="CS2" s="141">
        <f t="shared" ref="CS2:CS30" si="41">IFERROR(1/(SUMIF(CE2:CR2,"&lt;&gt;0")),".")</f>
        <v>1.9302436709720458E-4</v>
      </c>
      <c r="CT2" s="142">
        <f t="shared" ref="CT2:CT30" si="42">IFERROR(s_C*s_IFW_far_adj,".")</f>
        <v>1375</v>
      </c>
      <c r="CU2" s="142">
        <f t="shared" ref="CU2:CU30" si="43">IFERROR(s_C*s_IFA_far_adj*s_K,".")</f>
        <v>250.65104166666663</v>
      </c>
      <c r="CV2" s="142">
        <f t="shared" ref="CV2:CV30" si="44">IFERROR((s_C*s_DFA_far_adj*(1/8760)),".")</f>
        <v>0.12557077625570776</v>
      </c>
      <c r="CW2" s="142">
        <f>up_b2w!BZ2</f>
        <v>22805.4847785862</v>
      </c>
      <c r="CX2" s="142">
        <f>IFERROR(s_C*up_RadSpec!AN2*(1/1000)*s_IFFI_far_adj*s_CF_far_fish,0)</f>
        <v>37.8125</v>
      </c>
      <c r="CY2" s="142">
        <f>(s_C*s_IFB_far_adj*s_CF_far_beef*up_RadSpec!AM2*s_Q_w_beef*(1/1000))</f>
        <v>189.0625</v>
      </c>
      <c r="CZ2" s="142">
        <f>(s_C*s_IFD_far_adj*s_CF_far_dairy*up_RadSpec!AL2*(1/s_D_milk)*s_Q_w_dairy*(1/1000))</f>
        <v>183.55582524271844</v>
      </c>
      <c r="DA2" s="142">
        <f>(s_C*s_IFSW_far_adj*s_CF_far_swine*up_RadSpec!AQ2*s_Q_w_swine*(1/1000))</f>
        <v>189.0625</v>
      </c>
      <c r="DB2" s="142">
        <f>(s_C*s_IFP_far_adj*s_CF_far_poultry*up_RadSpec!AO2*s_Q_w_poultry*(1/1000))</f>
        <v>189.0625</v>
      </c>
      <c r="DC2" s="142">
        <f>(s_C*s_IFE_far_adj*s_CF_far_egg*up_RadSpec!AP2*s_Q_w_egg*(1/1000))</f>
        <v>189.0625</v>
      </c>
      <c r="DD2" s="142">
        <f>(s_C*s_IFGO_far_adj*s_CF_far_goat*up_RadSpec!AT2*s_Q_p_goat*(1/1000))</f>
        <v>189.0625</v>
      </c>
      <c r="DE2" s="142">
        <f>(s_C*s_IFGM_far_adj*s_CF_far_goat_milk*up_RadSpec!AU2*(1/s_D_milk)*s_Q_p_goat_milk*(1/1000))</f>
        <v>183.55582524271844</v>
      </c>
      <c r="DF2" s="142">
        <f>(s_C*s_IFSH_far_adj*s_CF_far_sheep*up_RadSpec!AR2*s_Q_p_sheep*(1/1000))</f>
        <v>189.0625</v>
      </c>
      <c r="DG2" s="142">
        <f>(s_C*s_IFSM_far_adj*s_CF_far_sheep_milk*up_RadSpec!AS2*(1/s_D_milk)*s_Q_p_sheep_milk*(1/1000))</f>
        <v>183.55582524271844</v>
      </c>
      <c r="DH2" s="141"/>
      <c r="DI2" s="141">
        <f>IFERROR((s_DL/(up_RadSpec!L2*s_IFA_far_adj)),".")</f>
        <v>9.9740259740259754E-3</v>
      </c>
      <c r="DJ2" s="141">
        <f>IFERROR((s_DL/(up_RadSpec!O2*s_EF_far*(1/365)*s_ED_far*s_ET_far*(1/24)*s_GSF_a)),".")</f>
        <v>15.927272727272728</v>
      </c>
      <c r="DK2" s="141">
        <f t="shared" ref="DK2" si="45">IFERROR(IF(AND(ISNUMBER(DI2),ISNUMBER(DJ2)),1/((1/DI2)+(1/DJ2)),IF(AND(ISNUMBER(DI2),NOT(ISNUMBER(DJ2))),1/((1/DI2)),IF(AND(NOT(ISNUMBER(DI2)),ISNUMBER(DJ2)),1/((1/DJ2)),IF(AND(NOT(ISNUMBER(DI2)),NOT(ISNUMBER(DJ2))),".")))),".")</f>
        <v>9.9677839175609673E-3</v>
      </c>
      <c r="DL2" s="142">
        <f t="shared" ref="DL2:DL30" si="46">s_C*s_IFA_far_adj</f>
        <v>501.30208333333326</v>
      </c>
      <c r="DM2" s="142">
        <f t="shared" ref="DM2:DM30" si="47">s_C*s_EF_far*(1/365)*s_ED_far*s_ET_far*(1/24)*s_GSF_a</f>
        <v>0.3139269406392694</v>
      </c>
      <c r="DN2" s="127"/>
    </row>
    <row r="3" spans="1:118" x14ac:dyDescent="0.25">
      <c r="A3" s="131" t="s">
        <v>1</v>
      </c>
      <c r="B3" s="129" t="s">
        <v>336</v>
      </c>
      <c r="C3" s="141">
        <f>up_dir!AB3</f>
        <v>2.2038567493112948E-4</v>
      </c>
      <c r="D3" s="141">
        <f>IFERROR(s_DL/(up_RadSpec!J3*s_IFP_far_adj*s_CF_far_poultry),".")</f>
        <v>6.6115702479338848E-4</v>
      </c>
      <c r="E3" s="141">
        <f>IFERROR(s_DL/(up_RadSpec!J3*s_IFE_far_adj*s_CF_far_egg),".")</f>
        <v>6.6115702479338848E-4</v>
      </c>
      <c r="F3" s="141">
        <f>IFERROR(s_DL/(up_RadSpec!J3*s_IFB_far_adj*s_CF_far_beef),".")</f>
        <v>6.6115702479338848E-4</v>
      </c>
      <c r="G3" s="141">
        <f>IFERROR(s_DL/(up_RadSpec!J3*s_IFD_far_adj*s_CF_far_dairy),".")</f>
        <v>6.6115702479338848E-4</v>
      </c>
      <c r="H3" s="141">
        <f>IFERROR(s_DL/(up_RadSpec!J3*s_IFSW_far_adj*s_CF_far_swine),".")</f>
        <v>6.6115702479338848E-4</v>
      </c>
      <c r="I3" s="141">
        <f>IFERROR(s_DL/(up_RadSpec!J3*s_IFFI_far_adj*s_CF_far_fish),".")</f>
        <v>6.6115702479338848E-4</v>
      </c>
      <c r="J3" s="141">
        <f>IFERROR(s_DL/(up_RadSpec!J3*s_IFGO_far_adj*s_CF_far_goat),".")</f>
        <v>6.6115702479338848E-4</v>
      </c>
      <c r="K3" s="141">
        <f>IFERROR(s_DL/(up_RadSpec!J3*s_IFSH_far_adj*s_CF_far_sheep),".")</f>
        <v>6.6115702479338848E-4</v>
      </c>
      <c r="L3" s="141">
        <f>IFERROR(s_DL/(up_RadSpec!J3*s_IFGM_far_adj*s_CF_far_goat_milk),".")</f>
        <v>6.6115702479338848E-4</v>
      </c>
      <c r="M3" s="141">
        <f>IFERROR(s_DL/(up_RadSpec!J3*s_IFSM_far_adj*s_CF_far_sheep_milk),".")</f>
        <v>6.6115702479338848E-4</v>
      </c>
      <c r="N3" s="142">
        <f>up_dir!BA3</f>
        <v>22687.5</v>
      </c>
      <c r="O3" s="142">
        <f t="shared" si="0"/>
        <v>7562.5</v>
      </c>
      <c r="P3" s="142">
        <f t="shared" si="1"/>
        <v>7562.5</v>
      </c>
      <c r="Q3" s="142">
        <f t="shared" si="2"/>
        <v>7562.5</v>
      </c>
      <c r="R3" s="142">
        <f t="shared" si="3"/>
        <v>7562.5</v>
      </c>
      <c r="S3" s="142">
        <f t="shared" si="4"/>
        <v>7562.5</v>
      </c>
      <c r="T3" s="142">
        <f t="shared" si="5"/>
        <v>7562.5</v>
      </c>
      <c r="U3" s="142">
        <f t="shared" si="6"/>
        <v>7562.5</v>
      </c>
      <c r="V3" s="142">
        <f t="shared" si="7"/>
        <v>7562.5</v>
      </c>
      <c r="W3" s="142">
        <f t="shared" si="8"/>
        <v>7562.5</v>
      </c>
      <c r="X3" s="142">
        <f t="shared" si="9"/>
        <v>7562.5</v>
      </c>
      <c r="Y3" s="141">
        <f>IFERROR((s_DL/(up_RadSpec!I3*s_IFS_far_adj*(1/1000)))*1,".")</f>
        <v>0.33057851239669422</v>
      </c>
      <c r="Z3" s="141">
        <f>IFERROR(IF(A3="H-3",(s_DL/(up_RadSpec!L3*s_IFA_far_adj*(1/17)*1000))*1,(s_DL/(up_RadSpec!L3*s_IFA_far_adj*(1/s_PEF_wind)*1000))*1),".")</f>
        <v>3089.9917845330979</v>
      </c>
      <c r="AA3" s="141">
        <f>IFERROR((s_DL/(up_RadSpec!K3*s_EF_far*(1/365)*s_ED_far*up_RadSpec!V3*((s_ET_far_o*(1/24)*up_RadSpec!AA3)+(s_ET_far_i*(1/24)*up_RadSpec!AF3))))*1,".")</f>
        <v>92435.064935064976</v>
      </c>
      <c r="AB3" s="141">
        <f>up_b2s!BA3</f>
        <v>4.3958447178843029E-5</v>
      </c>
      <c r="AC3" s="141">
        <f>IFERROR(((I3*up_RadSpec!AX3)/up_RadSpec!AN3)*1,".")</f>
        <v>6.6115702479338848E-4</v>
      </c>
      <c r="AD3" s="141">
        <f>IFERROR((F3/(up_RadSpec!AM3*((s_Q_p_beef*s_f_p_beef*s_f_s_beef*(up_RadSpec!AW3+s_R_es_past))+(s_Q_s_beef*s_f_p_beef))))*1,".")</f>
        <v>1.8558793678410905E-7</v>
      </c>
      <c r="AE3" s="141">
        <f>IFERROR(((G3*s_D_milk)/(up_RadSpec!AL3*((s_Q_p_dairy*s_f_p_dairy*s_f_s_dairy*(up_RadSpec!AW3+s_R_es_past))+(s_Q_s_dairy*s_f_p_dairy))))*1,".")</f>
        <v>1.9115557488763231E-7</v>
      </c>
      <c r="AF3" s="141">
        <f>IFERROR((H3/(up_RadSpec!AQ3*((s_Q_p_swine*s_f_p_swine*s_f_s_swine*(up_RadSpec!AW3+s_R_es_past))+(s_Q_s_swine*s_f_p_swine))))*1,".")</f>
        <v>1.8558793678410905E-7</v>
      </c>
      <c r="AG3" s="141">
        <f>IFERROR((D3/(up_RadSpec!AO3*((s_Q_p_poultry*s_f_p_poultry*s_f_s_poultry*(up_RadSpec!BG3+s_R_es_past))+(s_Q_s_poultry*s_f_p_poultry))))*1,".")</f>
        <v>1.8558793678410905E-7</v>
      </c>
      <c r="AH3" s="141">
        <f>IFERROR((E3/(up_RadSpec!AP3*((s_Q_p_poultry*s_f_p_poultry*s_f_s_poultry*(up_RadSpec!AW3+s_R_es_past))+(s_Q_s_poultry*s_f_p_poultry))))*1,".")</f>
        <v>1.8558793678410905E-7</v>
      </c>
      <c r="AI3" s="141">
        <f>IFERROR((J3/(up_RadSpec!AT3*((s_Q_p_goat*s_f_p_goat*s_f_s_goat*(up_RadSpec!AW3+s_R_es_past))+(s_Q_s_goat*s_f_p_goat))))*1,".")</f>
        <v>1.8558793678410905E-7</v>
      </c>
      <c r="AJ3" s="141">
        <f>IFERROR((L3*s_D_milk/(up_RadSpec!AU3*((s_Q_p_goat_milk*s_f_p_goat_milk*s_f_s_goat_milk*(up_RadSpec!AW3+s_R_es_past))+(s_Q_s_goat_milk*s_f_p_goat_milk))))*1,".")</f>
        <v>1.9115557488763231E-7</v>
      </c>
      <c r="AK3" s="141">
        <f>IFERROR((K3/(up_RadSpec!AR3*((s_Q_p_sheep*s_f_p_sheep*s_f_s_sheep*(up_RadSpec!AW3+s_R_es_past))+(s_Q_s_sheep*s_f_p_sheep))))*1,".")</f>
        <v>1.8558793678410905E-7</v>
      </c>
      <c r="AL3" s="141">
        <f>IFERROR((M3*s_D_milk/(up_RadSpec!AS3*((s_Q_p_sheep_milk*s_f_p_sheep_milk*s_f_s_sheep_milk*(up_RadSpec!AW3+s_R_es_past))+(s_Q_s_sheep_milk*s_f_p_sheep_milk))))*1,".")</f>
        <v>1.9115557488763231E-7</v>
      </c>
      <c r="AM3" s="158">
        <f t="shared" si="10"/>
        <v>3.0249999999999999</v>
      </c>
      <c r="AN3" s="158">
        <f t="shared" si="11"/>
        <v>3.2362545590104258E-4</v>
      </c>
      <c r="AO3" s="158">
        <f t="shared" si="12"/>
        <v>1.081840533895328E-5</v>
      </c>
      <c r="AP3" s="158">
        <f t="shared" si="13"/>
        <v>22748.756249999995</v>
      </c>
      <c r="AQ3" s="158">
        <f t="shared" si="14"/>
        <v>1512.5</v>
      </c>
      <c r="AR3" s="158">
        <f t="shared" si="15"/>
        <v>5388281.2499999991</v>
      </c>
      <c r="AS3" s="158">
        <f t="shared" si="16"/>
        <v>5231341.0194174759</v>
      </c>
      <c r="AT3" s="158">
        <f t="shared" si="17"/>
        <v>5388281.2499999991</v>
      </c>
      <c r="AU3" s="158">
        <f t="shared" si="18"/>
        <v>5388281.2499999991</v>
      </c>
      <c r="AV3" s="158">
        <f t="shared" si="19"/>
        <v>5388281.2499999991</v>
      </c>
      <c r="AW3" s="158">
        <f t="shared" si="20"/>
        <v>5388281.2499999991</v>
      </c>
      <c r="AX3" s="158">
        <f t="shared" si="21"/>
        <v>5231341.0194174759</v>
      </c>
      <c r="AY3" s="158">
        <f t="shared" si="22"/>
        <v>5388281.2499999991</v>
      </c>
      <c r="AZ3" s="158">
        <f t="shared" si="23"/>
        <v>5231341.0194174759</v>
      </c>
      <c r="BA3" s="141">
        <f t="shared" si="24"/>
        <v>2.0812531710928512E-8</v>
      </c>
      <c r="BB3" s="142">
        <f t="shared" si="25"/>
        <v>15.125</v>
      </c>
      <c r="BC3" s="142">
        <f t="shared" si="26"/>
        <v>1.618127279505213E-3</v>
      </c>
      <c r="BD3" s="142">
        <f>IFERROR((s_C*s_EF_far*(1/365)*s_ED_far*up_RadSpec!V3*((s_ET_far_o*(1/24)*up_RadSpec!AA3)+(s_ET_far_i*(1/24)*up_RadSpec!AF3))),".")</f>
        <v>5.4092026694766396E-5</v>
      </c>
      <c r="BE3" s="142">
        <f>up_b2s!BZ3</f>
        <v>113743.78125</v>
      </c>
      <c r="BF3" s="142">
        <f>IFERROR(((s_C*up_RadSpec!AN3)/up_RadSpec!AX3)*s_IFFI_far_adj*s_CF_far_fish,0)</f>
        <v>7562.5</v>
      </c>
      <c r="BG3" s="142">
        <f>(s_C*s_IFB_far_adj*s_CF_far_beef*up_RadSpec!AM3*((s_Q_p_beef*s_f_p_beef*s_f_s_beef*(up_RadSpec!$AW3+s_R_es_past))+(s_Q_s_beef*s_f_p_beef)))</f>
        <v>26941406.25</v>
      </c>
      <c r="BH3" s="142">
        <f>(s_C*s_IFD_far_adj*s_CF_far_dairy*up_RadSpec!AL3*1/s_D_milk*((s_Q_p_dairy*s_f_p_dairy*s_f_s_dairy*(up_RadSpec!$AW3+s_R_es_past))+(s_Q_s_dairy*s_f_p_dairy)))</f>
        <v>26156705.09708738</v>
      </c>
      <c r="BI3" s="142">
        <f>(s_C*s_IFSW_far_adj*s_CF_far_swine*up_RadSpec!AQ3*((s_Q_p_swine*s_f_p_swine*s_f_s_swine*(up_RadSpec!$AW3+s_R_es_past))+(s_Q_s_swine*s_f_p_swine)))</f>
        <v>26941406.25</v>
      </c>
      <c r="BJ3" s="142">
        <f>(s_C*s_IFP_far_adj*s_CF_far_poultry*up_RadSpec!AO3*((s_Q_p_poultry*s_f_p_poultry*s_f_s_poultry*(up_RadSpec!AW3+s_R_es_past))+(s_Q_s_poultry*s_f_p_poultry)))</f>
        <v>26941406.25</v>
      </c>
      <c r="BK3" s="142">
        <f>(s_C*s_IFE_far_adj*s_CF_far_egg*up_RadSpec!AP3*((s_Q_p_egg*s_f_p_egg*s_f_s_egg*(up_RadSpec!$AW3+s_R_es_past))+(s_Q_s_egg*s_f_p_egg)))</f>
        <v>26941406.25</v>
      </c>
      <c r="BL3" s="142">
        <f>(s_C*s_IFGO_far_adj*s_CF_far_goat*up_RadSpec!AT3*((s_Q_p_goat*s_f_p_goat*s_f_s_goat*(up_RadSpec!$AW3+s_R_es_past))+(s_Q_s_goat*s_f_p_goat)))</f>
        <v>26941406.25</v>
      </c>
      <c r="BM3" s="142">
        <f>(s_C*s_IFGM_far_adj*s_CF_far_goat_milk*up_RadSpec!AU3*1/s_D_milk*((s_Q_p_goat_milk*s_f_p_goat_milk*s_f_s_goat_milk*(up_RadSpec!$AW3+s_R_es_past))+(s_Q_s_goat_milk*s_f_p_goat_milk)))</f>
        <v>26156705.09708738</v>
      </c>
      <c r="BN3" s="142">
        <f>(s_C*s_IFSH_far_adj*s_CF_far_sheep*up_RadSpec!AR3*((s_Q_p_sheep*s_f_p_sheep*s_f_s_sheep*(up_RadSpec!$AW3+s_R_es_past))+(s_Q_s_sheep*s_f_p_sheep)))</f>
        <v>26941406.25</v>
      </c>
      <c r="BO3" s="142">
        <f>(s_C*s_IFSM_far_adj*s_CF_far_sheep_milk*up_RadSpec!AS3*1/s_D_milk*((s_Q_p_sheep_milk*s_f_p_sheep_milk*s_f_s_sheep_milk*(up_RadSpec!$AW3+s_R_es_past))+(s_Q_s_sheep_milk*s_f_p_sheep_milk)))</f>
        <v>26156705.09708738</v>
      </c>
      <c r="BP3" s="141"/>
      <c r="BQ3" s="141">
        <f>IFERROR(s_DL/(up_RadSpec!M3*s_IFW_far_adj),".")</f>
        <v>3.6363636363636364E-3</v>
      </c>
      <c r="BR3" s="141" t="str">
        <f>IFERROR(IF(up_RadSpec!C3=1,s_DL/(up_RadSpec!L3*s_IFA_far_adj*s_K),"."),".")</f>
        <v>.</v>
      </c>
      <c r="BS3" s="141">
        <f>IFERROR((s_DL/(up_RadSpec!Q3*(1/8760)*s_DFA_far_adj)),".")</f>
        <v>39.81818181818182</v>
      </c>
      <c r="BT3" s="141">
        <f>up_b2w!BA3</f>
        <v>2.1924550381384044E-4</v>
      </c>
      <c r="BU3" s="141">
        <f>IFERROR(I3/(up_RadSpec!AN3*(1/1000)),".")</f>
        <v>0.13223140495867769</v>
      </c>
      <c r="BV3" s="141">
        <f>IFERROR(F3/(up_RadSpec!AM3*s_Q_w_beef*(1/1000)),".")</f>
        <v>2.6446280991735537E-2</v>
      </c>
      <c r="BW3" s="141">
        <f>IFERROR((G3*s_D_milk)/(up_RadSpec!AL3*s_Q_w_dairy*(1/1000)),".")</f>
        <v>2.7239669421487603E-2</v>
      </c>
      <c r="BX3" s="141">
        <f>IFERROR(H3/(up_RadSpec!AQ3*s_Q_w_swine*(1/1000)),".")</f>
        <v>2.6446280991735537E-2</v>
      </c>
      <c r="BY3" s="141">
        <f>IFERROR(D3/(up_RadSpec!AO3*s_Q_w_poultry*(1/1000)),".")</f>
        <v>2.6446280991735537E-2</v>
      </c>
      <c r="BZ3" s="141">
        <f>IFERROR(E3/(up_RadSpec!AP3*s_Q_w_poultry*(1/1000)),".")</f>
        <v>2.6446280991735537E-2</v>
      </c>
      <c r="CA3" s="141">
        <f>IFERROR(J3/(up_RadSpec!AT3*s_Q_w_goat*(1/1000)),".")</f>
        <v>2.6446280991735537E-2</v>
      </c>
      <c r="CB3" s="141">
        <f>IFERROR(L3*s_D_milk/(up_RadSpec!AU3*s_Q_w_goat_milk*(1/1000)),".")</f>
        <v>2.7239669421487603E-2</v>
      </c>
      <c r="CC3" s="141">
        <f>IFERROR(K3/(up_RadSpec!AR3*s_Q_w_sheep*(1/1000)),".")</f>
        <v>2.6446280991735537E-2</v>
      </c>
      <c r="CD3" s="141">
        <f>IFERROR(M3*s_D_milk/(up_RadSpec!AS3*s_Q_w_sheep_milk*(1/1000)),".")</f>
        <v>2.7239669421487603E-2</v>
      </c>
      <c r="CE3" s="158">
        <f t="shared" si="27"/>
        <v>275</v>
      </c>
      <c r="CF3" s="158" t="str">
        <f t="shared" si="28"/>
        <v>.</v>
      </c>
      <c r="CG3" s="158">
        <f t="shared" si="29"/>
        <v>2.5114155251141551E-2</v>
      </c>
      <c r="CH3" s="158">
        <f t="shared" si="30"/>
        <v>4561.0969557172393</v>
      </c>
      <c r="CI3" s="158">
        <f t="shared" si="31"/>
        <v>7.5625</v>
      </c>
      <c r="CJ3" s="158">
        <f t="shared" si="32"/>
        <v>37.8125</v>
      </c>
      <c r="CK3" s="158">
        <f t="shared" si="33"/>
        <v>36.711165048543691</v>
      </c>
      <c r="CL3" s="158">
        <f t="shared" si="34"/>
        <v>37.8125</v>
      </c>
      <c r="CM3" s="158">
        <f t="shared" si="35"/>
        <v>37.8125</v>
      </c>
      <c r="CN3" s="158">
        <f t="shared" si="36"/>
        <v>37.8125</v>
      </c>
      <c r="CO3" s="158">
        <f t="shared" si="37"/>
        <v>37.8125</v>
      </c>
      <c r="CP3" s="158">
        <f t="shared" si="38"/>
        <v>36.711165048543691</v>
      </c>
      <c r="CQ3" s="158">
        <f t="shared" si="39"/>
        <v>37.8125</v>
      </c>
      <c r="CR3" s="158">
        <f t="shared" si="40"/>
        <v>36.711165048543691</v>
      </c>
      <c r="CS3" s="141">
        <f t="shared" si="41"/>
        <v>1.9302436709720458E-4</v>
      </c>
      <c r="CT3" s="142">
        <f t="shared" si="42"/>
        <v>1375</v>
      </c>
      <c r="CU3" s="142">
        <f t="shared" si="43"/>
        <v>250.65104166666663</v>
      </c>
      <c r="CV3" s="142">
        <f t="shared" si="44"/>
        <v>0.12557077625570776</v>
      </c>
      <c r="CW3" s="142">
        <f>up_b2w!BZ3</f>
        <v>22805.4847785862</v>
      </c>
      <c r="CX3" s="142">
        <f>IFERROR(s_C*up_RadSpec!AN3*(1/1000)*s_IFFI_far_adj*s_CF_far_fish,0)</f>
        <v>37.8125</v>
      </c>
      <c r="CY3" s="142">
        <f>(s_C*s_IFB_far_adj*s_CF_far_beef*up_RadSpec!AM3*s_Q_w_beef*(1/1000))</f>
        <v>189.0625</v>
      </c>
      <c r="CZ3" s="142">
        <f>(s_C*s_IFD_far_adj*s_CF_far_dairy*up_RadSpec!AL3*(1/s_D_milk)*s_Q_w_dairy*(1/1000))</f>
        <v>183.55582524271844</v>
      </c>
      <c r="DA3" s="142">
        <f>(s_C*s_IFSW_far_adj*s_CF_far_swine*up_RadSpec!AQ3*s_Q_w_swine*(1/1000))</f>
        <v>189.0625</v>
      </c>
      <c r="DB3" s="142">
        <f>(s_C*s_IFP_far_adj*s_CF_far_poultry*up_RadSpec!AO3*s_Q_w_poultry*(1/1000))</f>
        <v>189.0625</v>
      </c>
      <c r="DC3" s="142">
        <f>(s_C*s_IFE_far_adj*s_CF_far_egg*up_RadSpec!AP3*s_Q_w_egg*(1/1000))</f>
        <v>189.0625</v>
      </c>
      <c r="DD3" s="142">
        <f>(s_C*s_IFGO_far_adj*s_CF_far_goat*up_RadSpec!AT3*s_Q_p_goat*(1/1000))</f>
        <v>189.0625</v>
      </c>
      <c r="DE3" s="142">
        <f>(s_C*s_IFGM_far_adj*s_CF_far_goat_milk*up_RadSpec!AU3*(1/s_D_milk)*s_Q_p_goat_milk*(1/1000))</f>
        <v>183.55582524271844</v>
      </c>
      <c r="DF3" s="142">
        <f>(s_C*s_IFSH_far_adj*s_CF_far_sheep*up_RadSpec!AR3*s_Q_p_sheep*(1/1000))</f>
        <v>189.0625</v>
      </c>
      <c r="DG3" s="142">
        <f>(s_C*s_IFSM_far_adj*s_CF_far_sheep_milk*up_RadSpec!AS3*(1/s_D_milk)*s_Q_p_sheep_milk*(1/1000))</f>
        <v>183.55582524271844</v>
      </c>
      <c r="DH3" s="141"/>
      <c r="DI3" s="141">
        <f>IFERROR((s_DL/(up_RadSpec!L3*s_IFA_far_adj)),".")</f>
        <v>9.9740259740259754E-3</v>
      </c>
      <c r="DJ3" s="141">
        <f>IFERROR((s_DL/(up_RadSpec!O3*s_EF_far*(1/365)*s_ED_far*s_ET_far*(1/24)*s_GSF_a)),".")</f>
        <v>15.927272727272728</v>
      </c>
      <c r="DK3" s="141">
        <f>IFERROR(IF(AND(ISNUMBER(DI3),ISNUMBER(DJ3)),1/((1/DI3)+(1/DJ3)),IF(AND(ISNUMBER(DI3),NOT(ISNUMBER(DJ3))),1/((1/DI3)),IF(AND(NOT(ISNUMBER(DI3)),ISNUMBER(DJ3)),1/((1/DJ3)),IF(AND(NOT(ISNUMBER(DI3)),NOT(ISNUMBER(DJ3))),".")))),".")</f>
        <v>9.9677839175609673E-3</v>
      </c>
      <c r="DL3" s="142">
        <f t="shared" si="46"/>
        <v>501.30208333333326</v>
      </c>
      <c r="DM3" s="142">
        <f t="shared" si="47"/>
        <v>0.3139269406392694</v>
      </c>
      <c r="DN3" s="129"/>
    </row>
    <row r="4" spans="1:118" customFormat="1" x14ac:dyDescent="0.25">
      <c r="A4" s="128" t="s">
        <v>2</v>
      </c>
      <c r="B4" s="129" t="s">
        <v>1059</v>
      </c>
      <c r="C4" s="141">
        <f>up_dir!AB4</f>
        <v>2.2038567493112948E-4</v>
      </c>
      <c r="D4" s="141">
        <f>IFERROR(s_DL/(up_RadSpec!J4*s_IFP_far_adj*s_CF_far_poultry),".")</f>
        <v>6.6115702479338848E-4</v>
      </c>
      <c r="E4" s="141">
        <f>IFERROR(s_DL/(up_RadSpec!J4*s_IFE_far_adj*s_CF_far_egg),".")</f>
        <v>6.6115702479338848E-4</v>
      </c>
      <c r="F4" s="141">
        <f>IFERROR(s_DL/(up_RadSpec!J4*s_IFB_far_adj*s_CF_far_beef),".")</f>
        <v>6.6115702479338848E-4</v>
      </c>
      <c r="G4" s="141">
        <f>IFERROR(s_DL/(up_RadSpec!J4*s_IFD_far_adj*s_CF_far_dairy),".")</f>
        <v>6.6115702479338848E-4</v>
      </c>
      <c r="H4" s="141">
        <f>IFERROR(s_DL/(up_RadSpec!J4*s_IFSW_far_adj*s_CF_far_swine),".")</f>
        <v>6.6115702479338848E-4</v>
      </c>
      <c r="I4" s="141">
        <f>IFERROR(s_DL/(up_RadSpec!J4*s_IFFI_far_adj*s_CF_far_fish),".")</f>
        <v>6.6115702479338848E-4</v>
      </c>
      <c r="J4" s="141">
        <f>IFERROR(s_DL/(up_RadSpec!J4*s_IFGO_far_adj*s_CF_far_goat),".")</f>
        <v>6.6115702479338848E-4</v>
      </c>
      <c r="K4" s="141">
        <f>IFERROR(s_DL/(up_RadSpec!J4*s_IFSH_far_adj*s_CF_far_sheep),".")</f>
        <v>6.6115702479338848E-4</v>
      </c>
      <c r="L4" s="141">
        <f>IFERROR(s_DL/(up_RadSpec!J4*s_IFGM_far_adj*s_CF_far_goat_milk),".")</f>
        <v>6.6115702479338848E-4</v>
      </c>
      <c r="M4" s="141">
        <f>IFERROR(s_DL/(up_RadSpec!J4*s_IFSM_far_adj*s_CF_far_sheep_milk),".")</f>
        <v>6.6115702479338848E-4</v>
      </c>
      <c r="N4" s="142">
        <f>up_dir!BA4</f>
        <v>22687.5</v>
      </c>
      <c r="O4" s="142">
        <f t="shared" si="0"/>
        <v>7562.5</v>
      </c>
      <c r="P4" s="142">
        <f t="shared" si="1"/>
        <v>7562.5</v>
      </c>
      <c r="Q4" s="142">
        <f t="shared" si="2"/>
        <v>7562.5</v>
      </c>
      <c r="R4" s="142">
        <f t="shared" si="3"/>
        <v>7562.5</v>
      </c>
      <c r="S4" s="142">
        <f t="shared" si="4"/>
        <v>7562.5</v>
      </c>
      <c r="T4" s="142">
        <f t="shared" si="5"/>
        <v>7562.5</v>
      </c>
      <c r="U4" s="142">
        <f t="shared" si="6"/>
        <v>7562.5</v>
      </c>
      <c r="V4" s="142">
        <f t="shared" si="7"/>
        <v>7562.5</v>
      </c>
      <c r="W4" s="142">
        <f t="shared" si="8"/>
        <v>7562.5</v>
      </c>
      <c r="X4" s="142">
        <f t="shared" si="9"/>
        <v>7562.5</v>
      </c>
      <c r="Y4" s="141">
        <f>IFERROR((s_DL/(up_RadSpec!I4*s_IFS_far_adj*(1/1000)))*1,".")</f>
        <v>0.33057851239669422</v>
      </c>
      <c r="Z4" s="141">
        <f>IFERROR(IF(A4="H-3",(s_DL/(up_RadSpec!L4*s_IFA_far_adj*(1/17)*1000))*1,(s_DL/(up_RadSpec!L4*s_IFA_far_adj*(1/s_PEF_wind)*1000))*1),".")</f>
        <v>3089.9917845330979</v>
      </c>
      <c r="AA4" s="141">
        <f>IFERROR((s_DL/(up_RadSpec!K4*s_EF_far*(1/365)*s_ED_far*up_RadSpec!V4*((s_ET_far_o*(1/24)*up_RadSpec!AA4)+(s_ET_far_i*(1/24)*up_RadSpec!AF4))))*1,".")</f>
        <v>344.10774410774422</v>
      </c>
      <c r="AB4" s="141">
        <f>up_b2s!BA4</f>
        <v>4.3958447178843029E-5</v>
      </c>
      <c r="AC4" s="141">
        <f>IFERROR(((I4*up_RadSpec!AX4)/up_RadSpec!AN4)*1,".")</f>
        <v>6.6115702479338848E-4</v>
      </c>
      <c r="AD4" s="141">
        <f>IFERROR((F4/(up_RadSpec!AM4*((s_Q_p_beef*s_f_p_beef*s_f_s_beef*(up_RadSpec!BG4+s_R_es_past))+(s_Q_s_beef*s_f_p_beef))))*1,".")</f>
        <v>1.8558793678410905E-7</v>
      </c>
      <c r="AE4" s="141">
        <f>IFERROR(((G4*s_D_milk)/(up_RadSpec!AL4*((s_Q_p_dairy*s_f_p_dairy*s_f_s_dairy*(up_RadSpec!BG4+s_R_es_past))+(s_Q_s_dairy*s_f_p_dairy))))*1,".")</f>
        <v>1.9115557488763231E-7</v>
      </c>
      <c r="AF4" s="141">
        <f>IFERROR((H4/(up_RadSpec!AQ4*((s_Q_p_swine*s_f_p_swine*s_f_s_swine*(up_RadSpec!BG4+s_R_es_past))+(s_Q_s_swine*s_f_p_swine))))*1,".")</f>
        <v>1.8558793678410905E-7</v>
      </c>
      <c r="AG4" s="141">
        <f>IFERROR((D4/(up_RadSpec!AO4*((s_Q_p_poultry*s_f_p_poultry*s_f_s_poultry*(up_RadSpec!BG4+s_R_es_past))+(s_Q_s_poultry*s_f_p_poultry))))*1,".")</f>
        <v>1.8558793678410905E-7</v>
      </c>
      <c r="AH4" s="141">
        <f>IFERROR((E4/(up_RadSpec!AP4*((s_Q_p_poultry*s_f_p_poultry*s_f_s_poultry*(up_RadSpec!BG4+s_R_es_past))+(s_Q_s_poultry*s_f_p_poultry))))*1,".")</f>
        <v>1.8558793678410905E-7</v>
      </c>
      <c r="AI4" s="141">
        <f>IFERROR((J4/(up_RadSpec!AT4*((s_Q_p_goat*s_f_p_goat*s_f_s_goat*(up_RadSpec!BG4+s_R_es_past))+(s_Q_s_goat*s_f_p_goat))))*1,".")</f>
        <v>1.8558793678410905E-7</v>
      </c>
      <c r="AJ4" s="141">
        <f>IFERROR((L4*s_D_milk/(up_RadSpec!AU4*((s_Q_p_goat_milk*s_f_p_goat_milk*s_f_s_goat_milk*(up_RadSpec!BG4+s_R_es_past))+(s_Q_s_goat_milk*s_f_p_goat_milk))))*1,".")</f>
        <v>1.9115557488763231E-7</v>
      </c>
      <c r="AK4" s="141">
        <f>IFERROR((K4/(up_RadSpec!AR4*((s_Q_p_sheep*s_f_p_sheep*s_f_s_sheep*(up_RadSpec!BG4+s_R_es_past))+(s_Q_s_sheep*s_f_p_sheep))))*1,".")</f>
        <v>1.8558793678410905E-7</v>
      </c>
      <c r="AL4" s="141">
        <f>IFERROR((M4*s_D_milk/(up_RadSpec!AS4*((s_Q_p_sheep_milk*s_f_p_sheep_milk*s_f_s_sheep_milk*(up_RadSpec!BG4+s_R_es_past))+(s_Q_s_sheep_milk*s_f_p_sheep_milk))))*1,".")</f>
        <v>1.9115557488763231E-7</v>
      </c>
      <c r="AM4" s="158">
        <f t="shared" si="10"/>
        <v>3.0249999999999999</v>
      </c>
      <c r="AN4" s="158">
        <f t="shared" si="11"/>
        <v>3.2362545590104258E-4</v>
      </c>
      <c r="AO4" s="158">
        <f t="shared" si="12"/>
        <v>2.9060665362035214E-3</v>
      </c>
      <c r="AP4" s="158">
        <f t="shared" si="13"/>
        <v>22748.756249999995</v>
      </c>
      <c r="AQ4" s="158">
        <f t="shared" si="14"/>
        <v>1512.5</v>
      </c>
      <c r="AR4" s="158">
        <f t="shared" si="15"/>
        <v>5388281.2499999991</v>
      </c>
      <c r="AS4" s="158">
        <f t="shared" si="16"/>
        <v>5231341.0194174759</v>
      </c>
      <c r="AT4" s="158">
        <f t="shared" si="17"/>
        <v>5388281.2499999991</v>
      </c>
      <c r="AU4" s="158">
        <f t="shared" si="18"/>
        <v>5388281.2499999991</v>
      </c>
      <c r="AV4" s="158">
        <f t="shared" si="19"/>
        <v>5388281.2499999991</v>
      </c>
      <c r="AW4" s="158">
        <f t="shared" si="20"/>
        <v>5388281.2499999991</v>
      </c>
      <c r="AX4" s="158">
        <f t="shared" si="21"/>
        <v>5231341.0194174759</v>
      </c>
      <c r="AY4" s="158">
        <f t="shared" si="22"/>
        <v>5388281.2499999991</v>
      </c>
      <c r="AZ4" s="158">
        <f t="shared" si="23"/>
        <v>5231341.0194174759</v>
      </c>
      <c r="BA4" s="141">
        <f t="shared" si="24"/>
        <v>2.08125317096744E-8</v>
      </c>
      <c r="BB4" s="142">
        <f t="shared" si="25"/>
        <v>15.125</v>
      </c>
      <c r="BC4" s="142">
        <f t="shared" si="26"/>
        <v>1.618127279505213E-3</v>
      </c>
      <c r="BD4" s="142">
        <f>IFERROR((s_C*s_EF_far*(1/365)*s_ED_far*up_RadSpec!V4*((s_ET_far_o*(1/24)*up_RadSpec!AA4)+(s_ET_far_i*(1/24)*up_RadSpec!AF4))),".")</f>
        <v>1.4530332681017609E-2</v>
      </c>
      <c r="BE4" s="142">
        <f>up_b2s!BZ4</f>
        <v>113743.78125</v>
      </c>
      <c r="BF4" s="142">
        <f>IFERROR(((s_C*up_RadSpec!AN4)/up_RadSpec!AX4)*s_IFFI_far_adj*s_CF_far_fish,0)</f>
        <v>7562.5</v>
      </c>
      <c r="BG4" s="142">
        <f>(s_C*s_IFB_far_adj*s_CF_far_beef*up_RadSpec!AM4*((s_Q_p_beef*s_f_p_beef*s_f_s_beef*(up_RadSpec!$AW4+s_R_es_past))+(s_Q_s_beef*s_f_p_beef)))</f>
        <v>26941406.25</v>
      </c>
      <c r="BH4" s="142">
        <f>(s_C*s_IFD_far_adj*s_CF_far_dairy*up_RadSpec!AL4*1/s_D_milk*((s_Q_p_dairy*s_f_p_dairy*s_f_s_dairy*(up_RadSpec!$AW4+s_R_es_past))+(s_Q_s_dairy*s_f_p_dairy)))</f>
        <v>26156705.09708738</v>
      </c>
      <c r="BI4" s="142">
        <f>(s_C*s_IFSW_far_adj*s_CF_far_swine*up_RadSpec!AQ4*((s_Q_p_swine*s_f_p_swine*s_f_s_swine*(up_RadSpec!$AW4+s_R_es_past))+(s_Q_s_swine*s_f_p_swine)))</f>
        <v>26941406.25</v>
      </c>
      <c r="BJ4" s="142">
        <f>(s_C*s_IFP_far_adj*s_CF_far_poultry*up_RadSpec!AO4*((s_Q_p_poultry*s_f_p_poultry*s_f_s_poultry*(up_RadSpec!AW4+s_R_es_past))+(s_Q_s_poultry*s_f_p_poultry)))</f>
        <v>26941406.25</v>
      </c>
      <c r="BK4" s="142">
        <f>(s_C*s_IFE_far_adj*s_CF_far_egg*up_RadSpec!AP4*((s_Q_p_egg*s_f_p_egg*s_f_s_egg*(up_RadSpec!$AW4+s_R_es_past))+(s_Q_s_egg*s_f_p_egg)))</f>
        <v>26941406.25</v>
      </c>
      <c r="BL4" s="142">
        <f>(s_C*s_IFGO_far_adj*s_CF_far_goat*up_RadSpec!AT4*((s_Q_p_goat*s_f_p_goat*s_f_s_goat*(up_RadSpec!$AW4+s_R_es_past))+(s_Q_s_goat*s_f_p_goat)))</f>
        <v>26941406.25</v>
      </c>
      <c r="BM4" s="142">
        <f>(s_C*s_IFGM_far_adj*s_CF_far_goat_milk*up_RadSpec!AU4*1/s_D_milk*((s_Q_p_goat_milk*s_f_p_goat_milk*s_f_s_goat_milk*(up_RadSpec!$AW4+s_R_es_past))+(s_Q_s_goat_milk*s_f_p_goat_milk)))</f>
        <v>26156705.09708738</v>
      </c>
      <c r="BN4" s="142">
        <f>(s_C*s_IFSH_far_adj*s_CF_far_sheep*up_RadSpec!AR4*((s_Q_p_sheep*s_f_p_sheep*s_f_s_sheep*(up_RadSpec!$AW4+s_R_es_past))+(s_Q_s_sheep*s_f_p_sheep)))</f>
        <v>26941406.25</v>
      </c>
      <c r="BO4" s="142">
        <f>(s_C*s_IFSM_far_adj*s_CF_far_sheep_milk*up_RadSpec!AS4*1/s_D_milk*((s_Q_p_sheep_milk*s_f_p_sheep_milk*s_f_s_sheep_milk*(up_RadSpec!$AW4+s_R_es_past))+(s_Q_s_sheep_milk*s_f_p_sheep_milk)))</f>
        <v>26156705.09708738</v>
      </c>
      <c r="BP4" s="141"/>
      <c r="BQ4" s="141">
        <f>IFERROR(s_DL/(up_RadSpec!M4*s_IFW_far_adj),".")</f>
        <v>3.6363636363636364E-3</v>
      </c>
      <c r="BR4" s="141" t="str">
        <f>IFERROR(IF(up_RadSpec!C4=1,s_DL/(up_RadSpec!L4*s_IFA_far_adj*s_K),"."),".")</f>
        <v>.</v>
      </c>
      <c r="BS4" s="141">
        <f>IFERROR((s_DL/(up_RadSpec!Q4*(1/8760)*s_DFA_far_adj)),".")</f>
        <v>39.81818181818182</v>
      </c>
      <c r="BT4" s="141">
        <f>up_b2w!BA4</f>
        <v>2.1924550381384044E-4</v>
      </c>
      <c r="BU4" s="141">
        <f>IFERROR(I4/(up_RadSpec!AN4*(1/1000)),".")</f>
        <v>0.13223140495867769</v>
      </c>
      <c r="BV4" s="141">
        <f>IFERROR(F4/(up_RadSpec!AM4*s_Q_w_beef*(1/1000)),".")</f>
        <v>2.6446280991735537E-2</v>
      </c>
      <c r="BW4" s="141">
        <f>IFERROR((G4*s_D_milk)/(up_RadSpec!AL4*s_Q_w_dairy*(1/1000)),".")</f>
        <v>2.7239669421487603E-2</v>
      </c>
      <c r="BX4" s="141">
        <f>IFERROR(H4/(up_RadSpec!AQ4*s_Q_w_swine*(1/1000)),".")</f>
        <v>2.6446280991735537E-2</v>
      </c>
      <c r="BY4" s="141">
        <f>IFERROR(D4/(up_RadSpec!AO4*s_Q_w_poultry*(1/1000)),".")</f>
        <v>2.6446280991735537E-2</v>
      </c>
      <c r="BZ4" s="141">
        <f>IFERROR(E4/(up_RadSpec!AP4*s_Q_w_poultry*(1/1000)),".")</f>
        <v>2.6446280991735537E-2</v>
      </c>
      <c r="CA4" s="141">
        <f>IFERROR(J4/(up_RadSpec!AT4*s_Q_w_goat*(1/1000)),".")</f>
        <v>2.6446280991735537E-2</v>
      </c>
      <c r="CB4" s="141">
        <f>IFERROR(L4*s_D_milk/(up_RadSpec!AU4*s_Q_w_goat_milk*(1/1000)),".")</f>
        <v>2.7239669421487603E-2</v>
      </c>
      <c r="CC4" s="141">
        <f>IFERROR(K4/(up_RadSpec!AR4*s_Q_w_sheep*(1/1000)),".")</f>
        <v>2.6446280991735537E-2</v>
      </c>
      <c r="CD4" s="141">
        <f>IFERROR(M4*s_D_milk/(up_RadSpec!AS4*s_Q_w_sheep_milk*(1/1000)),".")</f>
        <v>2.7239669421487603E-2</v>
      </c>
      <c r="CE4" s="158">
        <f t="shared" si="27"/>
        <v>275</v>
      </c>
      <c r="CF4" s="158" t="str">
        <f t="shared" si="28"/>
        <v>.</v>
      </c>
      <c r="CG4" s="158">
        <f t="shared" si="29"/>
        <v>2.5114155251141551E-2</v>
      </c>
      <c r="CH4" s="158">
        <f t="shared" si="30"/>
        <v>4561.0969557172393</v>
      </c>
      <c r="CI4" s="158">
        <f t="shared" si="31"/>
        <v>7.5625</v>
      </c>
      <c r="CJ4" s="158">
        <f t="shared" si="32"/>
        <v>37.8125</v>
      </c>
      <c r="CK4" s="158">
        <f t="shared" si="33"/>
        <v>36.711165048543691</v>
      </c>
      <c r="CL4" s="158">
        <f t="shared" si="34"/>
        <v>37.8125</v>
      </c>
      <c r="CM4" s="158">
        <f t="shared" si="35"/>
        <v>37.8125</v>
      </c>
      <c r="CN4" s="158">
        <f t="shared" si="36"/>
        <v>37.8125</v>
      </c>
      <c r="CO4" s="158">
        <f t="shared" si="37"/>
        <v>37.8125</v>
      </c>
      <c r="CP4" s="158">
        <f t="shared" si="38"/>
        <v>36.711165048543691</v>
      </c>
      <c r="CQ4" s="158">
        <f t="shared" si="39"/>
        <v>37.8125</v>
      </c>
      <c r="CR4" s="158">
        <f t="shared" si="40"/>
        <v>36.711165048543691</v>
      </c>
      <c r="CS4" s="141">
        <f t="shared" si="41"/>
        <v>1.9302436709720458E-4</v>
      </c>
      <c r="CT4" s="142">
        <f t="shared" si="42"/>
        <v>1375</v>
      </c>
      <c r="CU4" s="142">
        <f t="shared" si="43"/>
        <v>250.65104166666663</v>
      </c>
      <c r="CV4" s="142">
        <f t="shared" si="44"/>
        <v>0.12557077625570776</v>
      </c>
      <c r="CW4" s="142">
        <f>up_b2w!BZ4</f>
        <v>22805.4847785862</v>
      </c>
      <c r="CX4" s="142">
        <f>IFERROR(s_C*up_RadSpec!AN4*(1/1000)*s_IFFI_far_adj*s_CF_far_fish,0)</f>
        <v>37.8125</v>
      </c>
      <c r="CY4" s="142">
        <f>(s_C*s_IFB_far_adj*s_CF_far_beef*up_RadSpec!AM4*s_Q_w_beef*(1/1000))</f>
        <v>189.0625</v>
      </c>
      <c r="CZ4" s="142">
        <f>(s_C*s_IFD_far_adj*s_CF_far_dairy*up_RadSpec!AL4*(1/s_D_milk)*s_Q_w_dairy*(1/1000))</f>
        <v>183.55582524271844</v>
      </c>
      <c r="DA4" s="142">
        <f>(s_C*s_IFSW_far_adj*s_CF_far_swine*up_RadSpec!AQ4*s_Q_w_swine*(1/1000))</f>
        <v>189.0625</v>
      </c>
      <c r="DB4" s="142">
        <f>(s_C*s_IFP_far_adj*s_CF_far_poultry*up_RadSpec!AO4*s_Q_w_poultry*(1/1000))</f>
        <v>189.0625</v>
      </c>
      <c r="DC4" s="142">
        <f>(s_C*s_IFE_far_adj*s_CF_far_egg*up_RadSpec!AP4*s_Q_w_egg*(1/1000))</f>
        <v>189.0625</v>
      </c>
      <c r="DD4" s="142">
        <f>(s_C*s_IFGO_far_adj*s_CF_far_goat*up_RadSpec!AT4*s_Q_p_goat*(1/1000))</f>
        <v>189.0625</v>
      </c>
      <c r="DE4" s="142">
        <f>(s_C*s_IFGM_far_adj*s_CF_far_goat_milk*up_RadSpec!AU4*(1/s_D_milk)*s_Q_p_goat_milk*(1/1000))</f>
        <v>183.55582524271844</v>
      </c>
      <c r="DF4" s="142">
        <f>(s_C*s_IFSH_far_adj*s_CF_far_sheep*up_RadSpec!AR4*s_Q_p_sheep*(1/1000))</f>
        <v>189.0625</v>
      </c>
      <c r="DG4" s="142">
        <f>(s_C*s_IFSM_far_adj*s_CF_far_sheep_milk*up_RadSpec!AS4*(1/s_D_milk)*s_Q_p_sheep_milk*(1/1000))</f>
        <v>183.55582524271844</v>
      </c>
      <c r="DH4" s="141"/>
      <c r="DI4" s="141">
        <f>IFERROR((s_DL/(up_RadSpec!L4*s_IFA_far_adj)),".")</f>
        <v>9.9740259740259754E-3</v>
      </c>
      <c r="DJ4" s="141">
        <f>IFERROR((s_DL/(up_RadSpec!O4*s_EF_far*(1/365)*s_ED_far*s_ET_far*(1/24)*s_GSF_a)),".")</f>
        <v>15.927272727272728</v>
      </c>
      <c r="DK4" s="141">
        <f t="shared" ref="DK4:DK30" si="48">IFERROR(IF(AND(ISNUMBER(DI4),ISNUMBER(DJ4)),1/((1/DI4)+(1/DJ4)),IF(AND(ISNUMBER(DI4),NOT(ISNUMBER(DJ4))),1/((1/DI4)),IF(AND(NOT(ISNUMBER(DI4)),ISNUMBER(DJ4)),1/((1/DJ4)),IF(AND(NOT(ISNUMBER(DI4)),NOT(ISNUMBER(DJ4))),".")))),".")</f>
        <v>9.9677839175609673E-3</v>
      </c>
      <c r="DL4" s="142">
        <f t="shared" si="46"/>
        <v>501.30208333333326</v>
      </c>
      <c r="DM4" s="142">
        <f t="shared" si="47"/>
        <v>0.3139269406392694</v>
      </c>
      <c r="DN4" s="127"/>
    </row>
    <row r="5" spans="1:118" customFormat="1" x14ac:dyDescent="0.25">
      <c r="A5" s="128" t="s">
        <v>3</v>
      </c>
      <c r="B5" s="129" t="s">
        <v>1059</v>
      </c>
      <c r="C5" s="141">
        <f>up_dir!AB5</f>
        <v>2.2038567493112948E-4</v>
      </c>
      <c r="D5" s="141">
        <f>IFERROR(s_DL/(up_RadSpec!J5*s_IFP_far_adj*s_CF_far_poultry),".")</f>
        <v>6.6115702479338848E-4</v>
      </c>
      <c r="E5" s="141">
        <f>IFERROR(s_DL/(up_RadSpec!J5*s_IFE_far_adj*s_CF_far_egg),".")</f>
        <v>6.6115702479338848E-4</v>
      </c>
      <c r="F5" s="141">
        <f>IFERROR(s_DL/(up_RadSpec!J5*s_IFB_far_adj*s_CF_far_beef),".")</f>
        <v>6.6115702479338848E-4</v>
      </c>
      <c r="G5" s="141">
        <f>IFERROR(s_DL/(up_RadSpec!J5*s_IFD_far_adj*s_CF_far_dairy),".")</f>
        <v>6.6115702479338848E-4</v>
      </c>
      <c r="H5" s="141">
        <f>IFERROR(s_DL/(up_RadSpec!J5*s_IFSW_far_adj*s_CF_far_swine),".")</f>
        <v>6.6115702479338848E-4</v>
      </c>
      <c r="I5" s="141">
        <f>IFERROR(s_DL/(up_RadSpec!J5*s_IFFI_far_adj*s_CF_far_fish),".")</f>
        <v>6.6115702479338848E-4</v>
      </c>
      <c r="J5" s="141">
        <f>IFERROR(s_DL/(up_RadSpec!J5*s_IFGO_far_adj*s_CF_far_goat),".")</f>
        <v>6.6115702479338848E-4</v>
      </c>
      <c r="K5" s="141">
        <f>IFERROR(s_DL/(up_RadSpec!J5*s_IFSH_far_adj*s_CF_far_sheep),".")</f>
        <v>6.6115702479338848E-4</v>
      </c>
      <c r="L5" s="141">
        <f>IFERROR(s_DL/(up_RadSpec!J5*s_IFGM_far_adj*s_CF_far_goat_milk),".")</f>
        <v>6.6115702479338848E-4</v>
      </c>
      <c r="M5" s="141">
        <f>IFERROR(s_DL/(up_RadSpec!J5*s_IFSM_far_adj*s_CF_far_sheep_milk),".")</f>
        <v>6.6115702479338848E-4</v>
      </c>
      <c r="N5" s="142">
        <f>up_dir!BA5</f>
        <v>22687.5</v>
      </c>
      <c r="O5" s="142">
        <f t="shared" si="0"/>
        <v>7562.5</v>
      </c>
      <c r="P5" s="142">
        <f t="shared" si="1"/>
        <v>7562.5</v>
      </c>
      <c r="Q5" s="142">
        <f t="shared" si="2"/>
        <v>7562.5</v>
      </c>
      <c r="R5" s="142">
        <f t="shared" si="3"/>
        <v>7562.5</v>
      </c>
      <c r="S5" s="142">
        <f t="shared" si="4"/>
        <v>7562.5</v>
      </c>
      <c r="T5" s="142">
        <f t="shared" si="5"/>
        <v>7562.5</v>
      </c>
      <c r="U5" s="142">
        <f t="shared" si="6"/>
        <v>7562.5</v>
      </c>
      <c r="V5" s="142">
        <f t="shared" si="7"/>
        <v>7562.5</v>
      </c>
      <c r="W5" s="142">
        <f t="shared" si="8"/>
        <v>7562.5</v>
      </c>
      <c r="X5" s="142">
        <f t="shared" si="9"/>
        <v>7562.5</v>
      </c>
      <c r="Y5" s="141">
        <f>IFERROR((s_DL/(up_RadSpec!I5*s_IFS_far_adj*(1/1000)))*1,".")</f>
        <v>0.33057851239669422</v>
      </c>
      <c r="Z5" s="141">
        <f>IFERROR(IF(A5="H-3",(s_DL/(up_RadSpec!L5*s_IFA_far_adj*(1/17)*1000))*1,(s_DL/(up_RadSpec!L5*s_IFA_far_adj*(1/s_PEF_wind)*1000))*1),".")</f>
        <v>3089.9917845330979</v>
      </c>
      <c r="AA5" s="141" t="str">
        <f>IFERROR((s_DL/(up_RadSpec!K5*s_EF_far*(1/365)*s_ED_far*up_RadSpec!V5*((s_ET_far_o*(1/24)*up_RadSpec!AA5)+(s_ET_far_i*(1/24)*up_RadSpec!AF5))))*1,".")</f>
        <v>.</v>
      </c>
      <c r="AB5" s="141">
        <f>up_b2s!BA5</f>
        <v>4.3958447178843029E-5</v>
      </c>
      <c r="AC5" s="141">
        <f>IFERROR(((I5*up_RadSpec!AX5)/up_RadSpec!AN5)*1,".")</f>
        <v>6.6115702479338848E-4</v>
      </c>
      <c r="AD5" s="141">
        <f>IFERROR((F5/(up_RadSpec!AM5*((s_Q_p_beef*s_f_p_beef*s_f_s_beef*(up_RadSpec!BG5+s_R_es_past))+(s_Q_s_beef*s_f_p_beef))))*1,".")</f>
        <v>1.8558793678410905E-7</v>
      </c>
      <c r="AE5" s="141">
        <f>IFERROR(((G5*s_D_milk)/(up_RadSpec!AL5*((s_Q_p_dairy*s_f_p_dairy*s_f_s_dairy*(up_RadSpec!BG5+s_R_es_past))+(s_Q_s_dairy*s_f_p_dairy))))*1,".")</f>
        <v>1.9115557488763231E-7</v>
      </c>
      <c r="AF5" s="141">
        <f>IFERROR((H5/(up_RadSpec!AQ5*((s_Q_p_swine*s_f_p_swine*s_f_s_swine*(up_RadSpec!BG5+s_R_es_past))+(s_Q_s_swine*s_f_p_swine))))*1,".")</f>
        <v>1.8558793678410905E-7</v>
      </c>
      <c r="AG5" s="141">
        <f>IFERROR((D5/(up_RadSpec!AO5*((s_Q_p_poultry*s_f_p_poultry*s_f_s_poultry*(up_RadSpec!BG5+s_R_es_past))+(s_Q_s_poultry*s_f_p_poultry))))*1,".")</f>
        <v>1.8558793678410905E-7</v>
      </c>
      <c r="AH5" s="141">
        <f>IFERROR((E5/(up_RadSpec!AP5*((s_Q_p_poultry*s_f_p_poultry*s_f_s_poultry*(up_RadSpec!BG5+s_R_es_past))+(s_Q_s_poultry*s_f_p_poultry))))*1,".")</f>
        <v>1.8558793678410905E-7</v>
      </c>
      <c r="AI5" s="141">
        <f>IFERROR((J5/(up_RadSpec!AT5*((s_Q_p_goat*s_f_p_goat*s_f_s_goat*(up_RadSpec!BG5+s_R_es_past))+(s_Q_s_goat*s_f_p_goat))))*1,".")</f>
        <v>1.8558793678410905E-7</v>
      </c>
      <c r="AJ5" s="141">
        <f>IFERROR((L5*s_D_milk/(up_RadSpec!AU5*((s_Q_p_goat_milk*s_f_p_goat_milk*s_f_s_goat_milk*(up_RadSpec!BG5+s_R_es_past))+(s_Q_s_goat_milk*s_f_p_goat_milk))))*1,".")</f>
        <v>1.9115557488763231E-7</v>
      </c>
      <c r="AK5" s="141">
        <f>IFERROR((K5/(up_RadSpec!AR5*((s_Q_p_sheep*s_f_p_sheep*s_f_s_sheep*(up_RadSpec!BG5+s_R_es_past))+(s_Q_s_sheep*s_f_p_sheep))))*1,".")</f>
        <v>1.8558793678410905E-7</v>
      </c>
      <c r="AL5" s="141">
        <f>IFERROR((M5*s_D_milk/(up_RadSpec!AS5*((s_Q_p_sheep_milk*s_f_p_sheep_milk*s_f_s_sheep_milk*(up_RadSpec!BG5+s_R_es_past))+(s_Q_s_sheep_milk*s_f_p_sheep_milk))))*1,".")</f>
        <v>1.9115557488763231E-7</v>
      </c>
      <c r="AM5" s="158">
        <f t="shared" si="10"/>
        <v>3.0249999999999999</v>
      </c>
      <c r="AN5" s="158">
        <f t="shared" si="11"/>
        <v>3.2362545590104258E-4</v>
      </c>
      <c r="AO5" s="158" t="str">
        <f t="shared" si="12"/>
        <v>.</v>
      </c>
      <c r="AP5" s="158">
        <f t="shared" si="13"/>
        <v>22748.756249999995</v>
      </c>
      <c r="AQ5" s="158">
        <f t="shared" si="14"/>
        <v>1512.5</v>
      </c>
      <c r="AR5" s="158">
        <f t="shared" si="15"/>
        <v>5388281.2499999991</v>
      </c>
      <c r="AS5" s="158">
        <f t="shared" si="16"/>
        <v>5231341.0194174759</v>
      </c>
      <c r="AT5" s="158">
        <f t="shared" si="17"/>
        <v>5388281.2499999991</v>
      </c>
      <c r="AU5" s="158">
        <f t="shared" si="18"/>
        <v>5388281.2499999991</v>
      </c>
      <c r="AV5" s="158">
        <f t="shared" si="19"/>
        <v>5388281.2499999991</v>
      </c>
      <c r="AW5" s="158">
        <f t="shared" si="20"/>
        <v>5388281.2499999991</v>
      </c>
      <c r="AX5" s="158">
        <f t="shared" si="21"/>
        <v>5231341.0194174759</v>
      </c>
      <c r="AY5" s="158">
        <f t="shared" si="22"/>
        <v>5388281.2499999991</v>
      </c>
      <c r="AZ5" s="158">
        <f t="shared" si="23"/>
        <v>5231341.0194174759</v>
      </c>
      <c r="BA5" s="141">
        <f t="shared" si="24"/>
        <v>2.0812531710933197E-8</v>
      </c>
      <c r="BB5" s="142">
        <f t="shared" si="25"/>
        <v>15.125</v>
      </c>
      <c r="BC5" s="142">
        <f t="shared" si="26"/>
        <v>1.618127279505213E-3</v>
      </c>
      <c r="BD5" s="142">
        <f>IFERROR((s_C*s_EF_far*(1/365)*s_ED_far*up_RadSpec!V5*((s_ET_far_o*(1/24)*up_RadSpec!AA5)+(s_ET_far_i*(1/24)*up_RadSpec!AF5))),".")</f>
        <v>0</v>
      </c>
      <c r="BE5" s="142">
        <f>up_b2s!BZ5</f>
        <v>113743.78125</v>
      </c>
      <c r="BF5" s="142">
        <f>IFERROR(((s_C*up_RadSpec!AN5)/up_RadSpec!AX5)*s_IFFI_far_adj*s_CF_far_fish,0)</f>
        <v>7562.5</v>
      </c>
      <c r="BG5" s="142">
        <f>(s_C*s_IFB_far_adj*s_CF_far_beef*up_RadSpec!AM5*((s_Q_p_beef*s_f_p_beef*s_f_s_beef*(up_RadSpec!$AW5+s_R_es_past))+(s_Q_s_beef*s_f_p_beef)))</f>
        <v>26941406.25</v>
      </c>
      <c r="BH5" s="142">
        <f>(s_C*s_IFD_far_adj*s_CF_far_dairy*up_RadSpec!AL5*1/s_D_milk*((s_Q_p_dairy*s_f_p_dairy*s_f_s_dairy*(up_RadSpec!$AW5+s_R_es_past))+(s_Q_s_dairy*s_f_p_dairy)))</f>
        <v>26156705.09708738</v>
      </c>
      <c r="BI5" s="142">
        <f>(s_C*s_IFSW_far_adj*s_CF_far_swine*up_RadSpec!AQ5*((s_Q_p_swine*s_f_p_swine*s_f_s_swine*(up_RadSpec!$AW5+s_R_es_past))+(s_Q_s_swine*s_f_p_swine)))</f>
        <v>26941406.25</v>
      </c>
      <c r="BJ5" s="142">
        <f>(s_C*s_IFP_far_adj*s_CF_far_poultry*up_RadSpec!AO5*((s_Q_p_poultry*s_f_p_poultry*s_f_s_poultry*(up_RadSpec!AW5+s_R_es_past))+(s_Q_s_poultry*s_f_p_poultry)))</f>
        <v>26941406.25</v>
      </c>
      <c r="BK5" s="142">
        <f>(s_C*s_IFE_far_adj*s_CF_far_egg*up_RadSpec!AP5*((s_Q_p_egg*s_f_p_egg*s_f_s_egg*(up_RadSpec!$AW5+s_R_es_past))+(s_Q_s_egg*s_f_p_egg)))</f>
        <v>26941406.25</v>
      </c>
      <c r="BL5" s="142">
        <f>(s_C*s_IFGO_far_adj*s_CF_far_goat*up_RadSpec!AT5*((s_Q_p_goat*s_f_p_goat*s_f_s_goat*(up_RadSpec!$AW5+s_R_es_past))+(s_Q_s_goat*s_f_p_goat)))</f>
        <v>26941406.25</v>
      </c>
      <c r="BM5" s="142">
        <f>(s_C*s_IFGM_far_adj*s_CF_far_goat_milk*up_RadSpec!AU5*1/s_D_milk*((s_Q_p_goat_milk*s_f_p_goat_milk*s_f_s_goat_milk*(up_RadSpec!$AW5+s_R_es_past))+(s_Q_s_goat_milk*s_f_p_goat_milk)))</f>
        <v>26156705.09708738</v>
      </c>
      <c r="BN5" s="142">
        <f>(s_C*s_IFSH_far_adj*s_CF_far_sheep*up_RadSpec!AR5*((s_Q_p_sheep*s_f_p_sheep*s_f_s_sheep*(up_RadSpec!$AW5+s_R_es_past))+(s_Q_s_sheep*s_f_p_sheep)))</f>
        <v>26941406.25</v>
      </c>
      <c r="BO5" s="142">
        <f>(s_C*s_IFSM_far_adj*s_CF_far_sheep_milk*up_RadSpec!AS5*1/s_D_milk*((s_Q_p_sheep_milk*s_f_p_sheep_milk*s_f_s_sheep_milk*(up_RadSpec!$AW5+s_R_es_past))+(s_Q_s_sheep_milk*s_f_p_sheep_milk)))</f>
        <v>26156705.09708738</v>
      </c>
      <c r="BP5" s="141"/>
      <c r="BQ5" s="141">
        <f>IFERROR(s_DL/(up_RadSpec!M5*s_IFW_far_adj),".")</f>
        <v>3.6363636363636364E-3</v>
      </c>
      <c r="BR5" s="141" t="str">
        <f>IFERROR(IF(up_RadSpec!C5=1,s_DL/(up_RadSpec!L5*s_IFA_far_adj*s_K),"."),".")</f>
        <v>.</v>
      </c>
      <c r="BS5" s="141">
        <f>IFERROR((s_DL/(up_RadSpec!Q5*(1/8760)*s_DFA_far_adj)),".")</f>
        <v>39.81818181818182</v>
      </c>
      <c r="BT5" s="141">
        <f>up_b2w!BA5</f>
        <v>2.1924550381384044E-4</v>
      </c>
      <c r="BU5" s="141">
        <f>IFERROR(I5/(up_RadSpec!AN5*(1/1000)),".")</f>
        <v>0.13223140495867769</v>
      </c>
      <c r="BV5" s="141">
        <f>IFERROR(F5/(up_RadSpec!AM5*s_Q_w_beef*(1/1000)),".")</f>
        <v>2.6446280991735537E-2</v>
      </c>
      <c r="BW5" s="141">
        <f>IFERROR((G5*s_D_milk)/(up_RadSpec!AL5*s_Q_w_dairy*(1/1000)),".")</f>
        <v>2.7239669421487603E-2</v>
      </c>
      <c r="BX5" s="141">
        <f>IFERROR(H5/(up_RadSpec!AQ5*s_Q_w_swine*(1/1000)),".")</f>
        <v>2.6446280991735537E-2</v>
      </c>
      <c r="BY5" s="141">
        <f>IFERROR(D5/(up_RadSpec!AO5*s_Q_w_poultry*(1/1000)),".")</f>
        <v>2.6446280991735537E-2</v>
      </c>
      <c r="BZ5" s="141">
        <f>IFERROR(E5/(up_RadSpec!AP5*s_Q_w_poultry*(1/1000)),".")</f>
        <v>2.6446280991735537E-2</v>
      </c>
      <c r="CA5" s="141">
        <f>IFERROR(J5/(up_RadSpec!AT5*s_Q_w_goat*(1/1000)),".")</f>
        <v>2.6446280991735537E-2</v>
      </c>
      <c r="CB5" s="141">
        <f>IFERROR(L5*s_D_milk/(up_RadSpec!AU5*s_Q_w_goat_milk*(1/1000)),".")</f>
        <v>2.7239669421487603E-2</v>
      </c>
      <c r="CC5" s="141">
        <f>IFERROR(K5/(up_RadSpec!AR5*s_Q_w_sheep*(1/1000)),".")</f>
        <v>2.6446280991735537E-2</v>
      </c>
      <c r="CD5" s="141">
        <f>IFERROR(M5*s_D_milk/(up_RadSpec!AS5*s_Q_w_sheep_milk*(1/1000)),".")</f>
        <v>2.7239669421487603E-2</v>
      </c>
      <c r="CE5" s="158">
        <f t="shared" si="27"/>
        <v>275</v>
      </c>
      <c r="CF5" s="158" t="str">
        <f t="shared" si="28"/>
        <v>.</v>
      </c>
      <c r="CG5" s="158">
        <f t="shared" si="29"/>
        <v>2.5114155251141551E-2</v>
      </c>
      <c r="CH5" s="158">
        <f t="shared" si="30"/>
        <v>4561.0969557172393</v>
      </c>
      <c r="CI5" s="158">
        <f t="shared" si="31"/>
        <v>7.5625</v>
      </c>
      <c r="CJ5" s="158">
        <f t="shared" si="32"/>
        <v>37.8125</v>
      </c>
      <c r="CK5" s="158">
        <f t="shared" si="33"/>
        <v>36.711165048543691</v>
      </c>
      <c r="CL5" s="158">
        <f t="shared" si="34"/>
        <v>37.8125</v>
      </c>
      <c r="CM5" s="158">
        <f t="shared" si="35"/>
        <v>37.8125</v>
      </c>
      <c r="CN5" s="158">
        <f t="shared" si="36"/>
        <v>37.8125</v>
      </c>
      <c r="CO5" s="158">
        <f t="shared" si="37"/>
        <v>37.8125</v>
      </c>
      <c r="CP5" s="158">
        <f t="shared" si="38"/>
        <v>36.711165048543691</v>
      </c>
      <c r="CQ5" s="158">
        <f t="shared" si="39"/>
        <v>37.8125</v>
      </c>
      <c r="CR5" s="158">
        <f t="shared" si="40"/>
        <v>36.711165048543691</v>
      </c>
      <c r="CS5" s="141">
        <f t="shared" si="41"/>
        <v>1.9302436709720458E-4</v>
      </c>
      <c r="CT5" s="142">
        <f t="shared" si="42"/>
        <v>1375</v>
      </c>
      <c r="CU5" s="142">
        <f t="shared" si="43"/>
        <v>250.65104166666663</v>
      </c>
      <c r="CV5" s="142">
        <f t="shared" si="44"/>
        <v>0.12557077625570776</v>
      </c>
      <c r="CW5" s="142">
        <f>up_b2w!BZ5</f>
        <v>22805.4847785862</v>
      </c>
      <c r="CX5" s="142">
        <f>IFERROR(s_C*up_RadSpec!AN5*(1/1000)*s_IFFI_far_adj*s_CF_far_fish,0)</f>
        <v>37.8125</v>
      </c>
      <c r="CY5" s="142">
        <f>(s_C*s_IFB_far_adj*s_CF_far_beef*up_RadSpec!AM5*s_Q_w_beef*(1/1000))</f>
        <v>189.0625</v>
      </c>
      <c r="CZ5" s="142">
        <f>(s_C*s_IFD_far_adj*s_CF_far_dairy*up_RadSpec!AL5*(1/s_D_milk)*s_Q_w_dairy*(1/1000))</f>
        <v>183.55582524271844</v>
      </c>
      <c r="DA5" s="142">
        <f>(s_C*s_IFSW_far_adj*s_CF_far_swine*up_RadSpec!AQ5*s_Q_w_swine*(1/1000))</f>
        <v>189.0625</v>
      </c>
      <c r="DB5" s="142">
        <f>(s_C*s_IFP_far_adj*s_CF_far_poultry*up_RadSpec!AO5*s_Q_w_poultry*(1/1000))</f>
        <v>189.0625</v>
      </c>
      <c r="DC5" s="142">
        <f>(s_C*s_IFE_far_adj*s_CF_far_egg*up_RadSpec!AP5*s_Q_w_egg*(1/1000))</f>
        <v>189.0625</v>
      </c>
      <c r="DD5" s="142">
        <f>(s_C*s_IFGO_far_adj*s_CF_far_goat*up_RadSpec!AT5*s_Q_p_goat*(1/1000))</f>
        <v>189.0625</v>
      </c>
      <c r="DE5" s="142">
        <f>(s_C*s_IFGM_far_adj*s_CF_far_goat_milk*up_RadSpec!AU5*(1/s_D_milk)*s_Q_p_goat_milk*(1/1000))</f>
        <v>183.55582524271844</v>
      </c>
      <c r="DF5" s="142">
        <f>(s_C*s_IFSH_far_adj*s_CF_far_sheep*up_RadSpec!AR5*s_Q_p_sheep*(1/1000))</f>
        <v>189.0625</v>
      </c>
      <c r="DG5" s="142">
        <f>(s_C*s_IFSM_far_adj*s_CF_far_sheep_milk*up_RadSpec!AS5*(1/s_D_milk)*s_Q_p_sheep_milk*(1/1000))</f>
        <v>183.55582524271844</v>
      </c>
      <c r="DH5" s="141"/>
      <c r="DI5" s="141">
        <f>IFERROR((s_DL/(up_RadSpec!L5*s_IFA_far_adj)),".")</f>
        <v>9.9740259740259754E-3</v>
      </c>
      <c r="DJ5" s="141">
        <f>IFERROR((s_DL/(up_RadSpec!O5*s_EF_far*(1/365)*s_ED_far*s_ET_far*(1/24)*s_GSF_a)),".")</f>
        <v>15.927272727272728</v>
      </c>
      <c r="DK5" s="141">
        <f t="shared" si="48"/>
        <v>9.9677839175609673E-3</v>
      </c>
      <c r="DL5" s="142">
        <f t="shared" si="46"/>
        <v>501.30208333333326</v>
      </c>
      <c r="DM5" s="142">
        <f t="shared" si="47"/>
        <v>0.3139269406392694</v>
      </c>
      <c r="DN5" s="127"/>
    </row>
    <row r="6" spans="1:118" customFormat="1" x14ac:dyDescent="0.25">
      <c r="A6" s="128" t="s">
        <v>4</v>
      </c>
      <c r="B6" s="129" t="s">
        <v>1059</v>
      </c>
      <c r="C6" s="141">
        <f>up_dir!AB6</f>
        <v>2.2038567493112948E-4</v>
      </c>
      <c r="D6" s="141">
        <f>IFERROR(s_DL/(up_RadSpec!J6*s_IFP_far_adj*s_CF_far_poultry),".")</f>
        <v>6.6115702479338848E-4</v>
      </c>
      <c r="E6" s="141">
        <f>IFERROR(s_DL/(up_RadSpec!J6*s_IFE_far_adj*s_CF_far_egg),".")</f>
        <v>6.6115702479338848E-4</v>
      </c>
      <c r="F6" s="141">
        <f>IFERROR(s_DL/(up_RadSpec!J6*s_IFB_far_adj*s_CF_far_beef),".")</f>
        <v>6.6115702479338848E-4</v>
      </c>
      <c r="G6" s="141">
        <f>IFERROR(s_DL/(up_RadSpec!J6*s_IFD_far_adj*s_CF_far_dairy),".")</f>
        <v>6.6115702479338848E-4</v>
      </c>
      <c r="H6" s="141">
        <f>IFERROR(s_DL/(up_RadSpec!J6*s_IFSW_far_adj*s_CF_far_swine),".")</f>
        <v>6.6115702479338848E-4</v>
      </c>
      <c r="I6" s="141">
        <f>IFERROR(s_DL/(up_RadSpec!J6*s_IFFI_far_adj*s_CF_far_fish),".")</f>
        <v>6.6115702479338848E-4</v>
      </c>
      <c r="J6" s="141">
        <f>IFERROR(s_DL/(up_RadSpec!J6*s_IFGO_far_adj*s_CF_far_goat),".")</f>
        <v>6.6115702479338848E-4</v>
      </c>
      <c r="K6" s="141">
        <f>IFERROR(s_DL/(up_RadSpec!J6*s_IFSH_far_adj*s_CF_far_sheep),".")</f>
        <v>6.6115702479338848E-4</v>
      </c>
      <c r="L6" s="141">
        <f>IFERROR(s_DL/(up_RadSpec!J6*s_IFGM_far_adj*s_CF_far_goat_milk),".")</f>
        <v>6.6115702479338848E-4</v>
      </c>
      <c r="M6" s="141">
        <f>IFERROR(s_DL/(up_RadSpec!J6*s_IFSM_far_adj*s_CF_far_sheep_milk),".")</f>
        <v>6.6115702479338848E-4</v>
      </c>
      <c r="N6" s="142">
        <f>up_dir!BA6</f>
        <v>22687.5</v>
      </c>
      <c r="O6" s="142">
        <f t="shared" si="0"/>
        <v>7562.5</v>
      </c>
      <c r="P6" s="142">
        <f t="shared" si="1"/>
        <v>7562.5</v>
      </c>
      <c r="Q6" s="142">
        <f t="shared" si="2"/>
        <v>7562.5</v>
      </c>
      <c r="R6" s="142">
        <f t="shared" si="3"/>
        <v>7562.5</v>
      </c>
      <c r="S6" s="142">
        <f t="shared" si="4"/>
        <v>7562.5</v>
      </c>
      <c r="T6" s="142">
        <f t="shared" si="5"/>
        <v>7562.5</v>
      </c>
      <c r="U6" s="142">
        <f t="shared" si="6"/>
        <v>7562.5</v>
      </c>
      <c r="V6" s="142">
        <f t="shared" si="7"/>
        <v>7562.5</v>
      </c>
      <c r="W6" s="142">
        <f t="shared" si="8"/>
        <v>7562.5</v>
      </c>
      <c r="X6" s="142">
        <f t="shared" si="9"/>
        <v>7562.5</v>
      </c>
      <c r="Y6" s="141">
        <f>IFERROR((s_DL/(up_RadSpec!I6*s_IFS_far_adj*(1/1000)))*1,".")</f>
        <v>0.33057851239669422</v>
      </c>
      <c r="Z6" s="141">
        <f>IFERROR(IF(A6="H-3",(s_DL/(up_RadSpec!L6*s_IFA_far_adj*(1/17)*1000))*1,(s_DL/(up_RadSpec!L6*s_IFA_far_adj*(1/s_PEF_wind)*1000))*1),".")</f>
        <v>3089.9917845330979</v>
      </c>
      <c r="AA6" s="141">
        <f>IFERROR((s_DL/(up_RadSpec!K6*s_EF_far*(1/365)*s_ED_far*up_RadSpec!V6*((s_ET_far_o*(1/24)*up_RadSpec!AA6)+(s_ET_far_i*(1/24)*up_RadSpec!AF6))))*1,".")</f>
        <v>176.86137198332315</v>
      </c>
      <c r="AB6" s="141">
        <f>up_b2s!BA6</f>
        <v>4.3958447178843029E-5</v>
      </c>
      <c r="AC6" s="141">
        <f>IFERROR(((I6*up_RadSpec!AX6)/up_RadSpec!AN6)*1,".")</f>
        <v>6.6115702479338848E-4</v>
      </c>
      <c r="AD6" s="141">
        <f>IFERROR((F6/(up_RadSpec!AM6*((s_Q_p_beef*s_f_p_beef*s_f_s_beef*(up_RadSpec!BG6+s_R_es_past))+(s_Q_s_beef*s_f_p_beef))))*1,".")</f>
        <v>1.8558793678410905E-7</v>
      </c>
      <c r="AE6" s="141">
        <f>IFERROR(((G6*s_D_milk)/(up_RadSpec!AL6*((s_Q_p_dairy*s_f_p_dairy*s_f_s_dairy*(up_RadSpec!BG6+s_R_es_past))+(s_Q_s_dairy*s_f_p_dairy))))*1,".")</f>
        <v>1.9115557488763231E-7</v>
      </c>
      <c r="AF6" s="141">
        <f>IFERROR((H6/(up_RadSpec!AQ6*((s_Q_p_swine*s_f_p_swine*s_f_s_swine*(up_RadSpec!BG6+s_R_es_past))+(s_Q_s_swine*s_f_p_swine))))*1,".")</f>
        <v>1.8558793678410905E-7</v>
      </c>
      <c r="AG6" s="141">
        <f>IFERROR((D6/(up_RadSpec!AO6*((s_Q_p_poultry*s_f_p_poultry*s_f_s_poultry*(up_RadSpec!BG6+s_R_es_past))+(s_Q_s_poultry*s_f_p_poultry))))*1,".")</f>
        <v>1.8558793678410905E-7</v>
      </c>
      <c r="AH6" s="141">
        <f>IFERROR((E6/(up_RadSpec!AP6*((s_Q_p_poultry*s_f_p_poultry*s_f_s_poultry*(up_RadSpec!BG6+s_R_es_past))+(s_Q_s_poultry*s_f_p_poultry))))*1,".")</f>
        <v>1.8558793678410905E-7</v>
      </c>
      <c r="AI6" s="141">
        <f>IFERROR((J6/(up_RadSpec!AT6*((s_Q_p_goat*s_f_p_goat*s_f_s_goat*(up_RadSpec!BG6+s_R_es_past))+(s_Q_s_goat*s_f_p_goat))))*1,".")</f>
        <v>1.8558793678410905E-7</v>
      </c>
      <c r="AJ6" s="141">
        <f>IFERROR((L6*s_D_milk/(up_RadSpec!AU6*((s_Q_p_goat_milk*s_f_p_goat_milk*s_f_s_goat_milk*(up_RadSpec!BG6+s_R_es_past))+(s_Q_s_goat_milk*s_f_p_goat_milk))))*1,".")</f>
        <v>1.9115557488763231E-7</v>
      </c>
      <c r="AK6" s="141">
        <f>IFERROR((K6/(up_RadSpec!AR6*((s_Q_p_sheep*s_f_p_sheep*s_f_s_sheep*(up_RadSpec!BG6+s_R_es_past))+(s_Q_s_sheep*s_f_p_sheep))))*1,".")</f>
        <v>1.8558793678410905E-7</v>
      </c>
      <c r="AL6" s="141">
        <f>IFERROR((M6*s_D_milk/(up_RadSpec!AS6*((s_Q_p_sheep_milk*s_f_p_sheep_milk*s_f_s_sheep_milk*(up_RadSpec!BG6+s_R_es_past))+(s_Q_s_sheep_milk*s_f_p_sheep_milk))))*1,".")</f>
        <v>1.9115557488763231E-7</v>
      </c>
      <c r="AM6" s="158">
        <f t="shared" si="10"/>
        <v>3.0249999999999999</v>
      </c>
      <c r="AN6" s="158">
        <f t="shared" si="11"/>
        <v>3.2362545590104258E-4</v>
      </c>
      <c r="AO6" s="158">
        <f t="shared" si="12"/>
        <v>5.6541458928312128E-3</v>
      </c>
      <c r="AP6" s="158">
        <f t="shared" si="13"/>
        <v>22748.756249999995</v>
      </c>
      <c r="AQ6" s="158">
        <f t="shared" si="14"/>
        <v>1512.5</v>
      </c>
      <c r="AR6" s="158">
        <f t="shared" si="15"/>
        <v>5388281.2499999991</v>
      </c>
      <c r="AS6" s="158">
        <f t="shared" si="16"/>
        <v>5231341.0194174759</v>
      </c>
      <c r="AT6" s="158">
        <f t="shared" si="17"/>
        <v>5388281.2499999991</v>
      </c>
      <c r="AU6" s="158">
        <f t="shared" si="18"/>
        <v>5388281.2499999991</v>
      </c>
      <c r="AV6" s="158">
        <f t="shared" si="19"/>
        <v>5388281.2499999991</v>
      </c>
      <c r="AW6" s="158">
        <f t="shared" si="20"/>
        <v>5388281.2499999991</v>
      </c>
      <c r="AX6" s="158">
        <f t="shared" si="21"/>
        <v>5231341.0194174759</v>
      </c>
      <c r="AY6" s="158">
        <f t="shared" si="22"/>
        <v>5388281.2499999991</v>
      </c>
      <c r="AZ6" s="158">
        <f t="shared" si="23"/>
        <v>5231341.0194174759</v>
      </c>
      <c r="BA6" s="141">
        <f t="shared" si="24"/>
        <v>2.0812531708484035E-8</v>
      </c>
      <c r="BB6" s="142">
        <f t="shared" si="25"/>
        <v>15.125</v>
      </c>
      <c r="BC6" s="142">
        <f t="shared" si="26"/>
        <v>1.618127279505213E-3</v>
      </c>
      <c r="BD6" s="142">
        <f>IFERROR((s_C*s_EF_far*(1/365)*s_ED_far*up_RadSpec!V6*((s_ET_far_o*(1/24)*up_RadSpec!AA6)+(s_ET_far_i*(1/24)*up_RadSpec!AF6))),".")</f>
        <v>2.8270729464156066E-2</v>
      </c>
      <c r="BE6" s="142">
        <f>up_b2s!BZ6</f>
        <v>113743.78125</v>
      </c>
      <c r="BF6" s="142">
        <f>IFERROR(((s_C*up_RadSpec!AN6)/up_RadSpec!AX6)*s_IFFI_far_adj*s_CF_far_fish,0)</f>
        <v>7562.5</v>
      </c>
      <c r="BG6" s="142">
        <f>(s_C*s_IFB_far_adj*s_CF_far_beef*up_RadSpec!AM6*((s_Q_p_beef*s_f_p_beef*s_f_s_beef*(up_RadSpec!$AW6+s_R_es_past))+(s_Q_s_beef*s_f_p_beef)))</f>
        <v>26941406.25</v>
      </c>
      <c r="BH6" s="142">
        <f>(s_C*s_IFD_far_adj*s_CF_far_dairy*up_RadSpec!AL6*1/s_D_milk*((s_Q_p_dairy*s_f_p_dairy*s_f_s_dairy*(up_RadSpec!$AW6+s_R_es_past))+(s_Q_s_dairy*s_f_p_dairy)))</f>
        <v>26156705.09708738</v>
      </c>
      <c r="BI6" s="142">
        <f>(s_C*s_IFSW_far_adj*s_CF_far_swine*up_RadSpec!AQ6*((s_Q_p_swine*s_f_p_swine*s_f_s_swine*(up_RadSpec!$AW6+s_R_es_past))+(s_Q_s_swine*s_f_p_swine)))</f>
        <v>26941406.25</v>
      </c>
      <c r="BJ6" s="142">
        <f>(s_C*s_IFP_far_adj*s_CF_far_poultry*up_RadSpec!AO6*((s_Q_p_poultry*s_f_p_poultry*s_f_s_poultry*(up_RadSpec!AW6+s_R_es_past))+(s_Q_s_poultry*s_f_p_poultry)))</f>
        <v>26941406.25</v>
      </c>
      <c r="BK6" s="142">
        <f>(s_C*s_IFE_far_adj*s_CF_far_egg*up_RadSpec!AP6*((s_Q_p_egg*s_f_p_egg*s_f_s_egg*(up_RadSpec!$AW6+s_R_es_past))+(s_Q_s_egg*s_f_p_egg)))</f>
        <v>26941406.25</v>
      </c>
      <c r="BL6" s="142">
        <f>(s_C*s_IFGO_far_adj*s_CF_far_goat*up_RadSpec!AT6*((s_Q_p_goat*s_f_p_goat*s_f_s_goat*(up_RadSpec!$AW6+s_R_es_past))+(s_Q_s_goat*s_f_p_goat)))</f>
        <v>26941406.25</v>
      </c>
      <c r="BM6" s="142">
        <f>(s_C*s_IFGM_far_adj*s_CF_far_goat_milk*up_RadSpec!AU6*1/s_D_milk*((s_Q_p_goat_milk*s_f_p_goat_milk*s_f_s_goat_milk*(up_RadSpec!$AW6+s_R_es_past))+(s_Q_s_goat_milk*s_f_p_goat_milk)))</f>
        <v>26156705.09708738</v>
      </c>
      <c r="BN6" s="142">
        <f>(s_C*s_IFSH_far_adj*s_CF_far_sheep*up_RadSpec!AR6*((s_Q_p_sheep*s_f_p_sheep*s_f_s_sheep*(up_RadSpec!$AW6+s_R_es_past))+(s_Q_s_sheep*s_f_p_sheep)))</f>
        <v>26941406.25</v>
      </c>
      <c r="BO6" s="142">
        <f>(s_C*s_IFSM_far_adj*s_CF_far_sheep_milk*up_RadSpec!AS6*1/s_D_milk*((s_Q_p_sheep_milk*s_f_p_sheep_milk*s_f_s_sheep_milk*(up_RadSpec!$AW6+s_R_es_past))+(s_Q_s_sheep_milk*s_f_p_sheep_milk)))</f>
        <v>26156705.09708738</v>
      </c>
      <c r="BP6" s="141"/>
      <c r="BQ6" s="141">
        <f>IFERROR(s_DL/(up_RadSpec!M6*s_IFW_far_adj),".")</f>
        <v>3.6363636363636364E-3</v>
      </c>
      <c r="BR6" s="141" t="str">
        <f>IFERROR(IF(up_RadSpec!C6=1,s_DL/(up_RadSpec!L6*s_IFA_far_adj*s_K),"."),".")</f>
        <v>.</v>
      </c>
      <c r="BS6" s="141">
        <f>IFERROR((s_DL/(up_RadSpec!Q6*(1/8760)*s_DFA_far_adj)),".")</f>
        <v>39.81818181818182</v>
      </c>
      <c r="BT6" s="141">
        <f>up_b2w!BA6</f>
        <v>2.1924550381384044E-4</v>
      </c>
      <c r="BU6" s="141">
        <f>IFERROR(I6/(up_RadSpec!AN6*(1/1000)),".")</f>
        <v>0.13223140495867769</v>
      </c>
      <c r="BV6" s="141">
        <f>IFERROR(F6/(up_RadSpec!AM6*s_Q_w_beef*(1/1000)),".")</f>
        <v>2.6446280991735537E-2</v>
      </c>
      <c r="BW6" s="141">
        <f>IFERROR((G6*s_D_milk)/(up_RadSpec!AL6*s_Q_w_dairy*(1/1000)),".")</f>
        <v>2.7239669421487603E-2</v>
      </c>
      <c r="BX6" s="141">
        <f>IFERROR(H6/(up_RadSpec!AQ6*s_Q_w_swine*(1/1000)),".")</f>
        <v>2.6446280991735537E-2</v>
      </c>
      <c r="BY6" s="141">
        <f>IFERROR(D6/(up_RadSpec!AO6*s_Q_w_poultry*(1/1000)),".")</f>
        <v>2.6446280991735537E-2</v>
      </c>
      <c r="BZ6" s="141">
        <f>IFERROR(E6/(up_RadSpec!AP6*s_Q_w_poultry*(1/1000)),".")</f>
        <v>2.6446280991735537E-2</v>
      </c>
      <c r="CA6" s="141">
        <f>IFERROR(J6/(up_RadSpec!AT6*s_Q_w_goat*(1/1000)),".")</f>
        <v>2.6446280991735537E-2</v>
      </c>
      <c r="CB6" s="141">
        <f>IFERROR(L6*s_D_milk/(up_RadSpec!AU6*s_Q_w_goat_milk*(1/1000)),".")</f>
        <v>2.7239669421487603E-2</v>
      </c>
      <c r="CC6" s="141">
        <f>IFERROR(K6/(up_RadSpec!AR6*s_Q_w_sheep*(1/1000)),".")</f>
        <v>2.6446280991735537E-2</v>
      </c>
      <c r="CD6" s="141">
        <f>IFERROR(M6*s_D_milk/(up_RadSpec!AS6*s_Q_w_sheep_milk*(1/1000)),".")</f>
        <v>2.7239669421487603E-2</v>
      </c>
      <c r="CE6" s="158">
        <f t="shared" si="27"/>
        <v>275</v>
      </c>
      <c r="CF6" s="158" t="str">
        <f t="shared" si="28"/>
        <v>.</v>
      </c>
      <c r="CG6" s="158">
        <f t="shared" si="29"/>
        <v>2.5114155251141551E-2</v>
      </c>
      <c r="CH6" s="158">
        <f t="shared" si="30"/>
        <v>4561.0969557172393</v>
      </c>
      <c r="CI6" s="158">
        <f t="shared" si="31"/>
        <v>7.5625</v>
      </c>
      <c r="CJ6" s="158">
        <f t="shared" si="32"/>
        <v>37.8125</v>
      </c>
      <c r="CK6" s="158">
        <f t="shared" si="33"/>
        <v>36.711165048543691</v>
      </c>
      <c r="CL6" s="158">
        <f t="shared" si="34"/>
        <v>37.8125</v>
      </c>
      <c r="CM6" s="158">
        <f t="shared" si="35"/>
        <v>37.8125</v>
      </c>
      <c r="CN6" s="158">
        <f t="shared" si="36"/>
        <v>37.8125</v>
      </c>
      <c r="CO6" s="158">
        <f t="shared" si="37"/>
        <v>37.8125</v>
      </c>
      <c r="CP6" s="158">
        <f t="shared" si="38"/>
        <v>36.711165048543691</v>
      </c>
      <c r="CQ6" s="158">
        <f t="shared" si="39"/>
        <v>37.8125</v>
      </c>
      <c r="CR6" s="158">
        <f t="shared" si="40"/>
        <v>36.711165048543691</v>
      </c>
      <c r="CS6" s="141">
        <f t="shared" si="41"/>
        <v>1.9302436709720458E-4</v>
      </c>
      <c r="CT6" s="142">
        <f t="shared" si="42"/>
        <v>1375</v>
      </c>
      <c r="CU6" s="142">
        <f t="shared" si="43"/>
        <v>250.65104166666663</v>
      </c>
      <c r="CV6" s="142">
        <f t="shared" si="44"/>
        <v>0.12557077625570776</v>
      </c>
      <c r="CW6" s="142">
        <f>up_b2w!BZ6</f>
        <v>22805.4847785862</v>
      </c>
      <c r="CX6" s="142">
        <f>IFERROR(s_C*up_RadSpec!AN6*(1/1000)*s_IFFI_far_adj*s_CF_far_fish,0)</f>
        <v>37.8125</v>
      </c>
      <c r="CY6" s="142">
        <f>(s_C*s_IFB_far_adj*s_CF_far_beef*up_RadSpec!AM6*s_Q_w_beef*(1/1000))</f>
        <v>189.0625</v>
      </c>
      <c r="CZ6" s="142">
        <f>(s_C*s_IFD_far_adj*s_CF_far_dairy*up_RadSpec!AL6*(1/s_D_milk)*s_Q_w_dairy*(1/1000))</f>
        <v>183.55582524271844</v>
      </c>
      <c r="DA6" s="142">
        <f>(s_C*s_IFSW_far_adj*s_CF_far_swine*up_RadSpec!AQ6*s_Q_w_swine*(1/1000))</f>
        <v>189.0625</v>
      </c>
      <c r="DB6" s="142">
        <f>(s_C*s_IFP_far_adj*s_CF_far_poultry*up_RadSpec!AO6*s_Q_w_poultry*(1/1000))</f>
        <v>189.0625</v>
      </c>
      <c r="DC6" s="142">
        <f>(s_C*s_IFE_far_adj*s_CF_far_egg*up_RadSpec!AP6*s_Q_w_egg*(1/1000))</f>
        <v>189.0625</v>
      </c>
      <c r="DD6" s="142">
        <f>(s_C*s_IFGO_far_adj*s_CF_far_goat*up_RadSpec!AT6*s_Q_p_goat*(1/1000))</f>
        <v>189.0625</v>
      </c>
      <c r="DE6" s="142">
        <f>(s_C*s_IFGM_far_adj*s_CF_far_goat_milk*up_RadSpec!AU6*(1/s_D_milk)*s_Q_p_goat_milk*(1/1000))</f>
        <v>183.55582524271844</v>
      </c>
      <c r="DF6" s="142">
        <f>(s_C*s_IFSH_far_adj*s_CF_far_sheep*up_RadSpec!AR6*s_Q_p_sheep*(1/1000))</f>
        <v>189.0625</v>
      </c>
      <c r="DG6" s="142">
        <f>(s_C*s_IFSM_far_adj*s_CF_far_sheep_milk*up_RadSpec!AS6*(1/s_D_milk)*s_Q_p_sheep_milk*(1/1000))</f>
        <v>183.55582524271844</v>
      </c>
      <c r="DH6" s="141"/>
      <c r="DI6" s="141">
        <f>IFERROR((s_DL/(up_RadSpec!L6*s_IFA_far_adj)),".")</f>
        <v>9.9740259740259754E-3</v>
      </c>
      <c r="DJ6" s="141">
        <f>IFERROR((s_DL/(up_RadSpec!O6*s_EF_far*(1/365)*s_ED_far*s_ET_far*(1/24)*s_GSF_a)),".")</f>
        <v>15.927272727272728</v>
      </c>
      <c r="DK6" s="141">
        <f t="shared" si="48"/>
        <v>9.9677839175609673E-3</v>
      </c>
      <c r="DL6" s="142">
        <f t="shared" si="46"/>
        <v>501.30208333333326</v>
      </c>
      <c r="DM6" s="142">
        <f t="shared" si="47"/>
        <v>0.3139269406392694</v>
      </c>
      <c r="DN6" s="127"/>
    </row>
    <row r="7" spans="1:118" customFormat="1" x14ac:dyDescent="0.25">
      <c r="A7" s="128" t="s">
        <v>5</v>
      </c>
      <c r="B7" s="129" t="s">
        <v>1059</v>
      </c>
      <c r="C7" s="141">
        <f>up_dir!AB7</f>
        <v>2.2038567493112948E-4</v>
      </c>
      <c r="D7" s="141">
        <f>IFERROR(s_DL/(up_RadSpec!J7*s_IFP_far_adj*s_CF_far_poultry),".")</f>
        <v>6.6115702479338848E-4</v>
      </c>
      <c r="E7" s="141">
        <f>IFERROR(s_DL/(up_RadSpec!J7*s_IFE_far_adj*s_CF_far_egg),".")</f>
        <v>6.6115702479338848E-4</v>
      </c>
      <c r="F7" s="141">
        <f>IFERROR(s_DL/(up_RadSpec!J7*s_IFB_far_adj*s_CF_far_beef),".")</f>
        <v>6.6115702479338848E-4</v>
      </c>
      <c r="G7" s="141">
        <f>IFERROR(s_DL/(up_RadSpec!J7*s_IFD_far_adj*s_CF_far_dairy),".")</f>
        <v>6.6115702479338848E-4</v>
      </c>
      <c r="H7" s="141">
        <f>IFERROR(s_DL/(up_RadSpec!J7*s_IFSW_far_adj*s_CF_far_swine),".")</f>
        <v>6.6115702479338848E-4</v>
      </c>
      <c r="I7" s="141">
        <f>IFERROR(s_DL/(up_RadSpec!J7*s_IFFI_far_adj*s_CF_far_fish),".")</f>
        <v>6.6115702479338848E-4</v>
      </c>
      <c r="J7" s="141">
        <f>IFERROR(s_DL/(up_RadSpec!J7*s_IFGO_far_adj*s_CF_far_goat),".")</f>
        <v>6.6115702479338848E-4</v>
      </c>
      <c r="K7" s="141">
        <f>IFERROR(s_DL/(up_RadSpec!J7*s_IFSH_far_adj*s_CF_far_sheep),".")</f>
        <v>6.6115702479338848E-4</v>
      </c>
      <c r="L7" s="141">
        <f>IFERROR(s_DL/(up_RadSpec!J7*s_IFGM_far_adj*s_CF_far_goat_milk),".")</f>
        <v>6.6115702479338848E-4</v>
      </c>
      <c r="M7" s="141">
        <f>IFERROR(s_DL/(up_RadSpec!J7*s_IFSM_far_adj*s_CF_far_sheep_milk),".")</f>
        <v>6.6115702479338848E-4</v>
      </c>
      <c r="N7" s="142">
        <f>up_dir!BA7</f>
        <v>22687.5</v>
      </c>
      <c r="O7" s="142">
        <f t="shared" si="0"/>
        <v>7562.5</v>
      </c>
      <c r="P7" s="142">
        <f t="shared" si="1"/>
        <v>7562.5</v>
      </c>
      <c r="Q7" s="142">
        <f t="shared" si="2"/>
        <v>7562.5</v>
      </c>
      <c r="R7" s="142">
        <f t="shared" si="3"/>
        <v>7562.5</v>
      </c>
      <c r="S7" s="142">
        <f t="shared" si="4"/>
        <v>7562.5</v>
      </c>
      <c r="T7" s="142">
        <f t="shared" si="5"/>
        <v>7562.5</v>
      </c>
      <c r="U7" s="142">
        <f t="shared" si="6"/>
        <v>7562.5</v>
      </c>
      <c r="V7" s="142">
        <f t="shared" si="7"/>
        <v>7562.5</v>
      </c>
      <c r="W7" s="142">
        <f t="shared" si="8"/>
        <v>7562.5</v>
      </c>
      <c r="X7" s="142">
        <f t="shared" si="9"/>
        <v>7562.5</v>
      </c>
      <c r="Y7" s="141">
        <f>IFERROR((s_DL/(up_RadSpec!I7*s_IFS_far_adj*(1/1000)))*1,".")</f>
        <v>0.33057851239669422</v>
      </c>
      <c r="Z7" s="141">
        <f>IFERROR(IF(A7="H-3",(s_DL/(up_RadSpec!L7*s_IFA_far_adj*(1/17)*1000))*1,(s_DL/(up_RadSpec!L7*s_IFA_far_adj*(1/s_PEF_wind)*1000))*1),".")</f>
        <v>3089.9917845330979</v>
      </c>
      <c r="AA7" s="141">
        <f>IFERROR((s_DL/(up_RadSpec!K7*s_EF_far*(1/365)*s_ED_far*up_RadSpec!V7*((s_ET_far_o*(1/24)*up_RadSpec!AA7)+(s_ET_far_i*(1/24)*up_RadSpec!AF7))))*1,".")</f>
        <v>382.68082282680808</v>
      </c>
      <c r="AB7" s="141">
        <f>up_b2s!BA7</f>
        <v>4.3958447178843029E-5</v>
      </c>
      <c r="AC7" s="141">
        <f>IFERROR(((I7*up_RadSpec!AX7)/up_RadSpec!AN7)*1,".")</f>
        <v>6.6115702479338848E-4</v>
      </c>
      <c r="AD7" s="141">
        <f>IFERROR((F7/(up_RadSpec!AM7*((s_Q_p_beef*s_f_p_beef*s_f_s_beef*(up_RadSpec!BG7+s_R_es_past))+(s_Q_s_beef*s_f_p_beef))))*1,".")</f>
        <v>1.8558793678410905E-7</v>
      </c>
      <c r="AE7" s="141">
        <f>IFERROR(((G7*s_D_milk)/(up_RadSpec!AL7*((s_Q_p_dairy*s_f_p_dairy*s_f_s_dairy*(up_RadSpec!BG7+s_R_es_past))+(s_Q_s_dairy*s_f_p_dairy))))*1,".")</f>
        <v>1.9115557488763231E-7</v>
      </c>
      <c r="AF7" s="141">
        <f>IFERROR((H7/(up_RadSpec!AQ7*((s_Q_p_swine*s_f_p_swine*s_f_s_swine*(up_RadSpec!BG7+s_R_es_past))+(s_Q_s_swine*s_f_p_swine))))*1,".")</f>
        <v>1.8558793678410905E-7</v>
      </c>
      <c r="AG7" s="141">
        <f>IFERROR((D7/(up_RadSpec!AO7*((s_Q_p_poultry*s_f_p_poultry*s_f_s_poultry*(up_RadSpec!BG7+s_R_es_past))+(s_Q_s_poultry*s_f_p_poultry))))*1,".")</f>
        <v>1.8558793678410905E-7</v>
      </c>
      <c r="AH7" s="141">
        <f>IFERROR((E7/(up_RadSpec!AP7*((s_Q_p_poultry*s_f_p_poultry*s_f_s_poultry*(up_RadSpec!BG7+s_R_es_past))+(s_Q_s_poultry*s_f_p_poultry))))*1,".")</f>
        <v>1.8558793678410905E-7</v>
      </c>
      <c r="AI7" s="141">
        <f>IFERROR((J7/(up_RadSpec!AT7*((s_Q_p_goat*s_f_p_goat*s_f_s_goat*(up_RadSpec!BG7+s_R_es_past))+(s_Q_s_goat*s_f_p_goat))))*1,".")</f>
        <v>1.8558793678410905E-7</v>
      </c>
      <c r="AJ7" s="141">
        <f>IFERROR((L7*s_D_milk/(up_RadSpec!AU7*((s_Q_p_goat_milk*s_f_p_goat_milk*s_f_s_goat_milk*(up_RadSpec!BG7+s_R_es_past))+(s_Q_s_goat_milk*s_f_p_goat_milk))))*1,".")</f>
        <v>1.9115557488763231E-7</v>
      </c>
      <c r="AK7" s="141">
        <f>IFERROR((K7/(up_RadSpec!AR7*((s_Q_p_sheep*s_f_p_sheep*s_f_s_sheep*(up_RadSpec!BG7+s_R_es_past))+(s_Q_s_sheep*s_f_p_sheep))))*1,".")</f>
        <v>1.8558793678410905E-7</v>
      </c>
      <c r="AL7" s="141">
        <f>IFERROR((M7*s_D_milk/(up_RadSpec!AS7*((s_Q_p_sheep_milk*s_f_p_sheep_milk*s_f_s_sheep_milk*(up_RadSpec!BG7+s_R_es_past))+(s_Q_s_sheep_milk*s_f_p_sheep_milk))))*1,".")</f>
        <v>1.9115557488763231E-7</v>
      </c>
      <c r="AM7" s="158">
        <f t="shared" si="10"/>
        <v>3.0249999999999999</v>
      </c>
      <c r="AN7" s="158">
        <f t="shared" si="11"/>
        <v>3.2362545590104258E-4</v>
      </c>
      <c r="AO7" s="158">
        <f t="shared" si="12"/>
        <v>2.6131437489162485E-3</v>
      </c>
      <c r="AP7" s="158">
        <f t="shared" si="13"/>
        <v>22748.756249999995</v>
      </c>
      <c r="AQ7" s="158">
        <f t="shared" si="14"/>
        <v>1512.5</v>
      </c>
      <c r="AR7" s="158">
        <f t="shared" si="15"/>
        <v>5388281.2499999991</v>
      </c>
      <c r="AS7" s="158">
        <f t="shared" si="16"/>
        <v>5231341.0194174759</v>
      </c>
      <c r="AT7" s="158">
        <f t="shared" si="17"/>
        <v>5388281.2499999991</v>
      </c>
      <c r="AU7" s="158">
        <f t="shared" si="18"/>
        <v>5388281.2499999991</v>
      </c>
      <c r="AV7" s="158">
        <f t="shared" si="19"/>
        <v>5388281.2499999991</v>
      </c>
      <c r="AW7" s="158">
        <f t="shared" si="20"/>
        <v>5388281.2499999991</v>
      </c>
      <c r="AX7" s="158">
        <f t="shared" si="21"/>
        <v>5231341.0194174759</v>
      </c>
      <c r="AY7" s="158">
        <f t="shared" si="22"/>
        <v>5388281.2499999991</v>
      </c>
      <c r="AZ7" s="158">
        <f t="shared" si="23"/>
        <v>5231341.0194174759</v>
      </c>
      <c r="BA7" s="141">
        <f t="shared" si="24"/>
        <v>2.0812531709801277E-8</v>
      </c>
      <c r="BB7" s="142">
        <f t="shared" si="25"/>
        <v>15.125</v>
      </c>
      <c r="BC7" s="142">
        <f t="shared" si="26"/>
        <v>1.618127279505213E-3</v>
      </c>
      <c r="BD7" s="142">
        <f>IFERROR((s_C*s_EF_far*(1/365)*s_ED_far*up_RadSpec!V7*((s_ET_far_o*(1/24)*up_RadSpec!AA7)+(s_ET_far_i*(1/24)*up_RadSpec!AF7))),".")</f>
        <v>1.3065718744581243E-2</v>
      </c>
      <c r="BE7" s="142">
        <f>up_b2s!BZ7</f>
        <v>113743.78125</v>
      </c>
      <c r="BF7" s="142">
        <f>IFERROR(((s_C*up_RadSpec!AN7)/up_RadSpec!AX7)*s_IFFI_far_adj*s_CF_far_fish,0)</f>
        <v>7562.5</v>
      </c>
      <c r="BG7" s="142">
        <f>(s_C*s_IFB_far_adj*s_CF_far_beef*up_RadSpec!AM7*((s_Q_p_beef*s_f_p_beef*s_f_s_beef*(up_RadSpec!$AW7+s_R_es_past))+(s_Q_s_beef*s_f_p_beef)))</f>
        <v>26941406.25</v>
      </c>
      <c r="BH7" s="142">
        <f>(s_C*s_IFD_far_adj*s_CF_far_dairy*up_RadSpec!AL7*1/s_D_milk*((s_Q_p_dairy*s_f_p_dairy*s_f_s_dairy*(up_RadSpec!$AW7+s_R_es_past))+(s_Q_s_dairy*s_f_p_dairy)))</f>
        <v>26156705.09708738</v>
      </c>
      <c r="BI7" s="142">
        <f>(s_C*s_IFSW_far_adj*s_CF_far_swine*up_RadSpec!AQ7*((s_Q_p_swine*s_f_p_swine*s_f_s_swine*(up_RadSpec!$AW7+s_R_es_past))+(s_Q_s_swine*s_f_p_swine)))</f>
        <v>26941406.25</v>
      </c>
      <c r="BJ7" s="142">
        <f>(s_C*s_IFP_far_adj*s_CF_far_poultry*up_RadSpec!AO7*((s_Q_p_poultry*s_f_p_poultry*s_f_s_poultry*(up_RadSpec!AW7+s_R_es_past))+(s_Q_s_poultry*s_f_p_poultry)))</f>
        <v>26941406.25</v>
      </c>
      <c r="BK7" s="142">
        <f>(s_C*s_IFE_far_adj*s_CF_far_egg*up_RadSpec!AP7*((s_Q_p_egg*s_f_p_egg*s_f_s_egg*(up_RadSpec!$AW7+s_R_es_past))+(s_Q_s_egg*s_f_p_egg)))</f>
        <v>26941406.25</v>
      </c>
      <c r="BL7" s="142">
        <f>(s_C*s_IFGO_far_adj*s_CF_far_goat*up_RadSpec!AT7*((s_Q_p_goat*s_f_p_goat*s_f_s_goat*(up_RadSpec!$AW7+s_R_es_past))+(s_Q_s_goat*s_f_p_goat)))</f>
        <v>26941406.25</v>
      </c>
      <c r="BM7" s="142">
        <f>(s_C*s_IFGM_far_adj*s_CF_far_goat_milk*up_RadSpec!AU7*1/s_D_milk*((s_Q_p_goat_milk*s_f_p_goat_milk*s_f_s_goat_milk*(up_RadSpec!$AW7+s_R_es_past))+(s_Q_s_goat_milk*s_f_p_goat_milk)))</f>
        <v>26156705.09708738</v>
      </c>
      <c r="BN7" s="142">
        <f>(s_C*s_IFSH_far_adj*s_CF_far_sheep*up_RadSpec!AR7*((s_Q_p_sheep*s_f_p_sheep*s_f_s_sheep*(up_RadSpec!$AW7+s_R_es_past))+(s_Q_s_sheep*s_f_p_sheep)))</f>
        <v>26941406.25</v>
      </c>
      <c r="BO7" s="142">
        <f>(s_C*s_IFSM_far_adj*s_CF_far_sheep_milk*up_RadSpec!AS7*1/s_D_milk*((s_Q_p_sheep_milk*s_f_p_sheep_milk*s_f_s_sheep_milk*(up_RadSpec!$AW7+s_R_es_past))+(s_Q_s_sheep_milk*s_f_p_sheep_milk)))</f>
        <v>26156705.09708738</v>
      </c>
      <c r="BP7" s="141"/>
      <c r="BQ7" s="141">
        <f>IFERROR(s_DL/(up_RadSpec!M7*s_IFW_far_adj),".")</f>
        <v>3.6363636363636364E-3</v>
      </c>
      <c r="BR7" s="141" t="str">
        <f>IFERROR(IF(up_RadSpec!C7=1,s_DL/(up_RadSpec!L7*s_IFA_far_adj*s_K),"."),".")</f>
        <v>.</v>
      </c>
      <c r="BS7" s="141">
        <f>IFERROR((s_DL/(up_RadSpec!Q7*(1/8760)*s_DFA_far_adj)),".")</f>
        <v>39.81818181818182</v>
      </c>
      <c r="BT7" s="141">
        <f>up_b2w!BA7</f>
        <v>2.1924550381384044E-4</v>
      </c>
      <c r="BU7" s="141">
        <f>IFERROR(I7/(up_RadSpec!AN7*(1/1000)),".")</f>
        <v>0.13223140495867769</v>
      </c>
      <c r="BV7" s="141">
        <f>IFERROR(F7/(up_RadSpec!AM7*s_Q_w_beef*(1/1000)),".")</f>
        <v>2.6446280991735537E-2</v>
      </c>
      <c r="BW7" s="141">
        <f>IFERROR((G7*s_D_milk)/(up_RadSpec!AL7*s_Q_w_dairy*(1/1000)),".")</f>
        <v>2.7239669421487603E-2</v>
      </c>
      <c r="BX7" s="141">
        <f>IFERROR(H7/(up_RadSpec!AQ7*s_Q_w_swine*(1/1000)),".")</f>
        <v>2.6446280991735537E-2</v>
      </c>
      <c r="BY7" s="141">
        <f>IFERROR(D7/(up_RadSpec!AO7*s_Q_w_poultry*(1/1000)),".")</f>
        <v>2.6446280991735537E-2</v>
      </c>
      <c r="BZ7" s="141">
        <f>IFERROR(E7/(up_RadSpec!AP7*s_Q_w_poultry*(1/1000)),".")</f>
        <v>2.6446280991735537E-2</v>
      </c>
      <c r="CA7" s="141">
        <f>IFERROR(J7/(up_RadSpec!AT7*s_Q_w_goat*(1/1000)),".")</f>
        <v>2.6446280991735537E-2</v>
      </c>
      <c r="CB7" s="141">
        <f>IFERROR(L7*s_D_milk/(up_RadSpec!AU7*s_Q_w_goat_milk*(1/1000)),".")</f>
        <v>2.7239669421487603E-2</v>
      </c>
      <c r="CC7" s="141">
        <f>IFERROR(K7/(up_RadSpec!AR7*s_Q_w_sheep*(1/1000)),".")</f>
        <v>2.6446280991735537E-2</v>
      </c>
      <c r="CD7" s="141">
        <f>IFERROR(M7*s_D_milk/(up_RadSpec!AS7*s_Q_w_sheep_milk*(1/1000)),".")</f>
        <v>2.7239669421487603E-2</v>
      </c>
      <c r="CE7" s="158">
        <f t="shared" si="27"/>
        <v>275</v>
      </c>
      <c r="CF7" s="158" t="str">
        <f t="shared" si="28"/>
        <v>.</v>
      </c>
      <c r="CG7" s="158">
        <f t="shared" si="29"/>
        <v>2.5114155251141551E-2</v>
      </c>
      <c r="CH7" s="158">
        <f t="shared" si="30"/>
        <v>4561.0969557172393</v>
      </c>
      <c r="CI7" s="158">
        <f t="shared" si="31"/>
        <v>7.5625</v>
      </c>
      <c r="CJ7" s="158">
        <f t="shared" si="32"/>
        <v>37.8125</v>
      </c>
      <c r="CK7" s="158">
        <f t="shared" si="33"/>
        <v>36.711165048543691</v>
      </c>
      <c r="CL7" s="158">
        <f t="shared" si="34"/>
        <v>37.8125</v>
      </c>
      <c r="CM7" s="158">
        <f t="shared" si="35"/>
        <v>37.8125</v>
      </c>
      <c r="CN7" s="158">
        <f t="shared" si="36"/>
        <v>37.8125</v>
      </c>
      <c r="CO7" s="158">
        <f t="shared" si="37"/>
        <v>37.8125</v>
      </c>
      <c r="CP7" s="158">
        <f t="shared" si="38"/>
        <v>36.711165048543691</v>
      </c>
      <c r="CQ7" s="158">
        <f t="shared" si="39"/>
        <v>37.8125</v>
      </c>
      <c r="CR7" s="158">
        <f t="shared" si="40"/>
        <v>36.711165048543691</v>
      </c>
      <c r="CS7" s="141">
        <f t="shared" si="41"/>
        <v>1.9302436709720458E-4</v>
      </c>
      <c r="CT7" s="142">
        <f t="shared" si="42"/>
        <v>1375</v>
      </c>
      <c r="CU7" s="142">
        <f t="shared" si="43"/>
        <v>250.65104166666663</v>
      </c>
      <c r="CV7" s="142">
        <f t="shared" si="44"/>
        <v>0.12557077625570776</v>
      </c>
      <c r="CW7" s="142">
        <f>up_b2w!BZ7</f>
        <v>22805.4847785862</v>
      </c>
      <c r="CX7" s="142">
        <f>IFERROR(s_C*up_RadSpec!AN7*(1/1000)*s_IFFI_far_adj*s_CF_far_fish,0)</f>
        <v>37.8125</v>
      </c>
      <c r="CY7" s="142">
        <f>(s_C*s_IFB_far_adj*s_CF_far_beef*up_RadSpec!AM7*s_Q_w_beef*(1/1000))</f>
        <v>189.0625</v>
      </c>
      <c r="CZ7" s="142">
        <f>(s_C*s_IFD_far_adj*s_CF_far_dairy*up_RadSpec!AL7*(1/s_D_milk)*s_Q_w_dairy*(1/1000))</f>
        <v>183.55582524271844</v>
      </c>
      <c r="DA7" s="142">
        <f>(s_C*s_IFSW_far_adj*s_CF_far_swine*up_RadSpec!AQ7*s_Q_w_swine*(1/1000))</f>
        <v>189.0625</v>
      </c>
      <c r="DB7" s="142">
        <f>(s_C*s_IFP_far_adj*s_CF_far_poultry*up_RadSpec!AO7*s_Q_w_poultry*(1/1000))</f>
        <v>189.0625</v>
      </c>
      <c r="DC7" s="142">
        <f>(s_C*s_IFE_far_adj*s_CF_far_egg*up_RadSpec!AP7*s_Q_w_egg*(1/1000))</f>
        <v>189.0625</v>
      </c>
      <c r="DD7" s="142">
        <f>(s_C*s_IFGO_far_adj*s_CF_far_goat*up_RadSpec!AT7*s_Q_p_goat*(1/1000))</f>
        <v>189.0625</v>
      </c>
      <c r="DE7" s="142">
        <f>(s_C*s_IFGM_far_adj*s_CF_far_goat_milk*up_RadSpec!AU7*(1/s_D_milk)*s_Q_p_goat_milk*(1/1000))</f>
        <v>183.55582524271844</v>
      </c>
      <c r="DF7" s="142">
        <f>(s_C*s_IFSH_far_adj*s_CF_far_sheep*up_RadSpec!AR7*s_Q_p_sheep*(1/1000))</f>
        <v>189.0625</v>
      </c>
      <c r="DG7" s="142">
        <f>(s_C*s_IFSM_far_adj*s_CF_far_sheep_milk*up_RadSpec!AS7*(1/s_D_milk)*s_Q_p_sheep_milk*(1/1000))</f>
        <v>183.55582524271844</v>
      </c>
      <c r="DH7" s="141"/>
      <c r="DI7" s="141">
        <f>IFERROR((s_DL/(up_RadSpec!L7*s_IFA_far_adj)),".")</f>
        <v>9.9740259740259754E-3</v>
      </c>
      <c r="DJ7" s="141">
        <f>IFERROR((s_DL/(up_RadSpec!O7*s_EF_far*(1/365)*s_ED_far*s_ET_far*(1/24)*s_GSF_a)),".")</f>
        <v>15.927272727272728</v>
      </c>
      <c r="DK7" s="141">
        <f t="shared" si="48"/>
        <v>9.9677839175609673E-3</v>
      </c>
      <c r="DL7" s="142">
        <f t="shared" si="46"/>
        <v>501.30208333333326</v>
      </c>
      <c r="DM7" s="142">
        <f t="shared" si="47"/>
        <v>0.3139269406392694</v>
      </c>
      <c r="DN7" s="127"/>
    </row>
    <row r="8" spans="1:118" customFormat="1" x14ac:dyDescent="0.25">
      <c r="A8" s="128" t="s">
        <v>6</v>
      </c>
      <c r="B8" s="129" t="s">
        <v>1059</v>
      </c>
      <c r="C8" s="141">
        <f>up_dir!AB8</f>
        <v>2.2038567493112948E-4</v>
      </c>
      <c r="D8" s="141">
        <f>IFERROR(s_DL/(up_RadSpec!J8*s_IFP_far_adj*s_CF_far_poultry),".")</f>
        <v>6.6115702479338848E-4</v>
      </c>
      <c r="E8" s="141">
        <f>IFERROR(s_DL/(up_RadSpec!J8*s_IFE_far_adj*s_CF_far_egg),".")</f>
        <v>6.6115702479338848E-4</v>
      </c>
      <c r="F8" s="141">
        <f>IFERROR(s_DL/(up_RadSpec!J8*s_IFB_far_adj*s_CF_far_beef),".")</f>
        <v>6.6115702479338848E-4</v>
      </c>
      <c r="G8" s="141">
        <f>IFERROR(s_DL/(up_RadSpec!J8*s_IFD_far_adj*s_CF_far_dairy),".")</f>
        <v>6.6115702479338848E-4</v>
      </c>
      <c r="H8" s="141">
        <f>IFERROR(s_DL/(up_RadSpec!J8*s_IFSW_far_adj*s_CF_far_swine),".")</f>
        <v>6.6115702479338848E-4</v>
      </c>
      <c r="I8" s="141">
        <f>IFERROR(s_DL/(up_RadSpec!J8*s_IFFI_far_adj*s_CF_far_fish),".")</f>
        <v>6.6115702479338848E-4</v>
      </c>
      <c r="J8" s="141">
        <f>IFERROR(s_DL/(up_RadSpec!J8*s_IFGO_far_adj*s_CF_far_goat),".")</f>
        <v>6.6115702479338848E-4</v>
      </c>
      <c r="K8" s="141">
        <f>IFERROR(s_DL/(up_RadSpec!J8*s_IFSH_far_adj*s_CF_far_sheep),".")</f>
        <v>6.6115702479338848E-4</v>
      </c>
      <c r="L8" s="141">
        <f>IFERROR(s_DL/(up_RadSpec!J8*s_IFGM_far_adj*s_CF_far_goat_milk),".")</f>
        <v>6.6115702479338848E-4</v>
      </c>
      <c r="M8" s="141">
        <f>IFERROR(s_DL/(up_RadSpec!J8*s_IFSM_far_adj*s_CF_far_sheep_milk),".")</f>
        <v>6.6115702479338848E-4</v>
      </c>
      <c r="N8" s="142">
        <f>up_dir!BA8</f>
        <v>22687.5</v>
      </c>
      <c r="O8" s="142">
        <f t="shared" si="0"/>
        <v>7562.5</v>
      </c>
      <c r="P8" s="142">
        <f t="shared" si="1"/>
        <v>7562.5</v>
      </c>
      <c r="Q8" s="142">
        <f t="shared" si="2"/>
        <v>7562.5</v>
      </c>
      <c r="R8" s="142">
        <f t="shared" si="3"/>
        <v>7562.5</v>
      </c>
      <c r="S8" s="142">
        <f t="shared" si="4"/>
        <v>7562.5</v>
      </c>
      <c r="T8" s="142">
        <f t="shared" si="5"/>
        <v>7562.5</v>
      </c>
      <c r="U8" s="142">
        <f t="shared" si="6"/>
        <v>7562.5</v>
      </c>
      <c r="V8" s="142">
        <f t="shared" si="7"/>
        <v>7562.5</v>
      </c>
      <c r="W8" s="142">
        <f t="shared" si="8"/>
        <v>7562.5</v>
      </c>
      <c r="X8" s="142">
        <f t="shared" si="9"/>
        <v>7562.5</v>
      </c>
      <c r="Y8" s="141">
        <f>IFERROR((s_DL/(up_RadSpec!I8*s_IFS_far_adj*(1/1000)))*1,".")</f>
        <v>0.33057851239669422</v>
      </c>
      <c r="Z8" s="141">
        <f>IFERROR(IF(A8="H-3",(s_DL/(up_RadSpec!L8*s_IFA_far_adj*(1/17)*1000))*1,(s_DL/(up_RadSpec!L8*s_IFA_far_adj*(1/s_PEF_wind)*1000))*1),".")</f>
        <v>3089.9917845330979</v>
      </c>
      <c r="AA8" s="141">
        <f>IFERROR((s_DL/(up_RadSpec!K8*s_EF_far*(1/365)*s_ED_far*up_RadSpec!V8*((s_ET_far_o*(1/24)*up_RadSpec!AA8)+(s_ET_far_i*(1/24)*up_RadSpec!AF8))))*1,".")</f>
        <v>219.98995479658473</v>
      </c>
      <c r="AB8" s="141">
        <f>up_b2s!BA8</f>
        <v>4.3958447178843029E-5</v>
      </c>
      <c r="AC8" s="141">
        <f>IFERROR(((I8*up_RadSpec!AX8)/up_RadSpec!AN8)*1,".")</f>
        <v>6.6115702479338848E-4</v>
      </c>
      <c r="AD8" s="141">
        <f>IFERROR((F8/(up_RadSpec!AM8*((s_Q_p_beef*s_f_p_beef*s_f_s_beef*(up_RadSpec!BG8+s_R_es_past))+(s_Q_s_beef*s_f_p_beef))))*1,".")</f>
        <v>1.8558793678410905E-7</v>
      </c>
      <c r="AE8" s="141">
        <f>IFERROR(((G8*s_D_milk)/(up_RadSpec!AL8*((s_Q_p_dairy*s_f_p_dairy*s_f_s_dairy*(up_RadSpec!BG8+s_R_es_past))+(s_Q_s_dairy*s_f_p_dairy))))*1,".")</f>
        <v>1.9115557488763231E-7</v>
      </c>
      <c r="AF8" s="141">
        <f>IFERROR((H8/(up_RadSpec!AQ8*((s_Q_p_swine*s_f_p_swine*s_f_s_swine*(up_RadSpec!BG8+s_R_es_past))+(s_Q_s_swine*s_f_p_swine))))*1,".")</f>
        <v>1.8558793678410905E-7</v>
      </c>
      <c r="AG8" s="141">
        <f>IFERROR((D8/(up_RadSpec!AO8*((s_Q_p_poultry*s_f_p_poultry*s_f_s_poultry*(up_RadSpec!BG8+s_R_es_past))+(s_Q_s_poultry*s_f_p_poultry))))*1,".")</f>
        <v>1.8558793678410905E-7</v>
      </c>
      <c r="AH8" s="141">
        <f>IFERROR((E8/(up_RadSpec!AP8*((s_Q_p_poultry*s_f_p_poultry*s_f_s_poultry*(up_RadSpec!BG8+s_R_es_past))+(s_Q_s_poultry*s_f_p_poultry))))*1,".")</f>
        <v>1.8558793678410905E-7</v>
      </c>
      <c r="AI8" s="141">
        <f>IFERROR((J8/(up_RadSpec!AT8*((s_Q_p_goat*s_f_p_goat*s_f_s_goat*(up_RadSpec!BG8+s_R_es_past))+(s_Q_s_goat*s_f_p_goat))))*1,".")</f>
        <v>1.8558793678410905E-7</v>
      </c>
      <c r="AJ8" s="141">
        <f>IFERROR((L8*s_D_milk/(up_RadSpec!AU8*((s_Q_p_goat_milk*s_f_p_goat_milk*s_f_s_goat_milk*(up_RadSpec!BG8+s_R_es_past))+(s_Q_s_goat_milk*s_f_p_goat_milk))))*1,".")</f>
        <v>1.9115557488763231E-7</v>
      </c>
      <c r="AK8" s="141">
        <f>IFERROR((K8/(up_RadSpec!AR8*((s_Q_p_sheep*s_f_p_sheep*s_f_s_sheep*(up_RadSpec!BG8+s_R_es_past))+(s_Q_s_sheep*s_f_p_sheep))))*1,".")</f>
        <v>1.8558793678410905E-7</v>
      </c>
      <c r="AL8" s="141">
        <f>IFERROR((M8*s_D_milk/(up_RadSpec!AS8*((s_Q_p_sheep_milk*s_f_p_sheep_milk*s_f_s_sheep_milk*(up_RadSpec!BG8+s_R_es_past))+(s_Q_s_sheep_milk*s_f_p_sheep_milk))))*1,".")</f>
        <v>1.9115557488763231E-7</v>
      </c>
      <c r="AM8" s="158">
        <f t="shared" si="10"/>
        <v>3.0249999999999999</v>
      </c>
      <c r="AN8" s="158">
        <f t="shared" si="11"/>
        <v>3.2362545590104258E-4</v>
      </c>
      <c r="AO8" s="158">
        <f t="shared" si="12"/>
        <v>4.5456621004566194E-3</v>
      </c>
      <c r="AP8" s="158">
        <f t="shared" si="13"/>
        <v>22748.756249999995</v>
      </c>
      <c r="AQ8" s="158">
        <f t="shared" si="14"/>
        <v>1512.5</v>
      </c>
      <c r="AR8" s="158">
        <f t="shared" si="15"/>
        <v>5388281.2499999991</v>
      </c>
      <c r="AS8" s="158">
        <f t="shared" si="16"/>
        <v>5231341.0194174759</v>
      </c>
      <c r="AT8" s="158">
        <f t="shared" si="17"/>
        <v>5388281.2499999991</v>
      </c>
      <c r="AU8" s="158">
        <f t="shared" si="18"/>
        <v>5388281.2499999991</v>
      </c>
      <c r="AV8" s="158">
        <f t="shared" si="19"/>
        <v>5388281.2499999991</v>
      </c>
      <c r="AW8" s="158">
        <f t="shared" si="20"/>
        <v>5388281.2499999991</v>
      </c>
      <c r="AX8" s="158">
        <f t="shared" si="21"/>
        <v>5231341.0194174759</v>
      </c>
      <c r="AY8" s="158">
        <f t="shared" si="22"/>
        <v>5388281.2499999991</v>
      </c>
      <c r="AZ8" s="158">
        <f t="shared" si="23"/>
        <v>5231341.0194174759</v>
      </c>
      <c r="BA8" s="141">
        <f t="shared" si="24"/>
        <v>2.0812531708964187E-8</v>
      </c>
      <c r="BB8" s="142">
        <f t="shared" si="25"/>
        <v>15.125</v>
      </c>
      <c r="BC8" s="142">
        <f t="shared" si="26"/>
        <v>1.618127279505213E-3</v>
      </c>
      <c r="BD8" s="142">
        <f>IFERROR((s_C*s_EF_far*(1/365)*s_ED_far*up_RadSpec!V8*((s_ET_far_o*(1/24)*up_RadSpec!AA8)+(s_ET_far_i*(1/24)*up_RadSpec!AF8))),".")</f>
        <v>2.2728310502283095E-2</v>
      </c>
      <c r="BE8" s="142">
        <f>up_b2s!BZ8</f>
        <v>113743.78125</v>
      </c>
      <c r="BF8" s="142">
        <f>IFERROR(((s_C*up_RadSpec!AN8)/up_RadSpec!AX8)*s_IFFI_far_adj*s_CF_far_fish,0)</f>
        <v>7562.5</v>
      </c>
      <c r="BG8" s="142">
        <f>(s_C*s_IFB_far_adj*s_CF_far_beef*up_RadSpec!AM8*((s_Q_p_beef*s_f_p_beef*s_f_s_beef*(up_RadSpec!$AW8+s_R_es_past))+(s_Q_s_beef*s_f_p_beef)))</f>
        <v>26941406.25</v>
      </c>
      <c r="BH8" s="142">
        <f>(s_C*s_IFD_far_adj*s_CF_far_dairy*up_RadSpec!AL8*1/s_D_milk*((s_Q_p_dairy*s_f_p_dairy*s_f_s_dairy*(up_RadSpec!$AW8+s_R_es_past))+(s_Q_s_dairy*s_f_p_dairy)))</f>
        <v>26156705.09708738</v>
      </c>
      <c r="BI8" s="142">
        <f>(s_C*s_IFSW_far_adj*s_CF_far_swine*up_RadSpec!AQ8*((s_Q_p_swine*s_f_p_swine*s_f_s_swine*(up_RadSpec!$AW8+s_R_es_past))+(s_Q_s_swine*s_f_p_swine)))</f>
        <v>26941406.25</v>
      </c>
      <c r="BJ8" s="142">
        <f>(s_C*s_IFP_far_adj*s_CF_far_poultry*up_RadSpec!AO8*((s_Q_p_poultry*s_f_p_poultry*s_f_s_poultry*(up_RadSpec!AW8+s_R_es_past))+(s_Q_s_poultry*s_f_p_poultry)))</f>
        <v>26941406.25</v>
      </c>
      <c r="BK8" s="142">
        <f>(s_C*s_IFE_far_adj*s_CF_far_egg*up_RadSpec!AP8*((s_Q_p_egg*s_f_p_egg*s_f_s_egg*(up_RadSpec!$AW8+s_R_es_past))+(s_Q_s_egg*s_f_p_egg)))</f>
        <v>26941406.25</v>
      </c>
      <c r="BL8" s="142">
        <f>(s_C*s_IFGO_far_adj*s_CF_far_goat*up_RadSpec!AT8*((s_Q_p_goat*s_f_p_goat*s_f_s_goat*(up_RadSpec!$AW8+s_R_es_past))+(s_Q_s_goat*s_f_p_goat)))</f>
        <v>26941406.25</v>
      </c>
      <c r="BM8" s="142">
        <f>(s_C*s_IFGM_far_adj*s_CF_far_goat_milk*up_RadSpec!AU8*1/s_D_milk*((s_Q_p_goat_milk*s_f_p_goat_milk*s_f_s_goat_milk*(up_RadSpec!$AW8+s_R_es_past))+(s_Q_s_goat_milk*s_f_p_goat_milk)))</f>
        <v>26156705.09708738</v>
      </c>
      <c r="BN8" s="142">
        <f>(s_C*s_IFSH_far_adj*s_CF_far_sheep*up_RadSpec!AR8*((s_Q_p_sheep*s_f_p_sheep*s_f_s_sheep*(up_RadSpec!$AW8+s_R_es_past))+(s_Q_s_sheep*s_f_p_sheep)))</f>
        <v>26941406.25</v>
      </c>
      <c r="BO8" s="142">
        <f>(s_C*s_IFSM_far_adj*s_CF_far_sheep_milk*up_RadSpec!AS8*1/s_D_milk*((s_Q_p_sheep_milk*s_f_p_sheep_milk*s_f_s_sheep_milk*(up_RadSpec!$AW8+s_R_es_past))+(s_Q_s_sheep_milk*s_f_p_sheep_milk)))</f>
        <v>26156705.09708738</v>
      </c>
      <c r="BP8" s="141"/>
      <c r="BQ8" s="141">
        <f>IFERROR(s_DL/(up_RadSpec!M8*s_IFW_far_adj),".")</f>
        <v>3.6363636363636364E-3</v>
      </c>
      <c r="BR8" s="141" t="str">
        <f>IFERROR(IF(up_RadSpec!C8=1,s_DL/(up_RadSpec!L8*s_IFA_far_adj*s_K),"."),".")</f>
        <v>.</v>
      </c>
      <c r="BS8" s="141">
        <f>IFERROR((s_DL/(up_RadSpec!Q8*(1/8760)*s_DFA_far_adj)),".")</f>
        <v>39.81818181818182</v>
      </c>
      <c r="BT8" s="141">
        <f>up_b2w!BA8</f>
        <v>2.1924550381384044E-4</v>
      </c>
      <c r="BU8" s="141">
        <f>IFERROR(I8/(up_RadSpec!AN8*(1/1000)),".")</f>
        <v>0.13223140495867769</v>
      </c>
      <c r="BV8" s="141">
        <f>IFERROR(F8/(up_RadSpec!AM8*s_Q_w_beef*(1/1000)),".")</f>
        <v>2.6446280991735537E-2</v>
      </c>
      <c r="BW8" s="141">
        <f>IFERROR((G8*s_D_milk)/(up_RadSpec!AL8*s_Q_w_dairy*(1/1000)),".")</f>
        <v>2.7239669421487603E-2</v>
      </c>
      <c r="BX8" s="141">
        <f>IFERROR(H8/(up_RadSpec!AQ8*s_Q_w_swine*(1/1000)),".")</f>
        <v>2.6446280991735537E-2</v>
      </c>
      <c r="BY8" s="141">
        <f>IFERROR(D8/(up_RadSpec!AO8*s_Q_w_poultry*(1/1000)),".")</f>
        <v>2.6446280991735537E-2</v>
      </c>
      <c r="BZ8" s="141">
        <f>IFERROR(E8/(up_RadSpec!AP8*s_Q_w_poultry*(1/1000)),".")</f>
        <v>2.6446280991735537E-2</v>
      </c>
      <c r="CA8" s="141">
        <f>IFERROR(J8/(up_RadSpec!AT8*s_Q_w_goat*(1/1000)),".")</f>
        <v>2.6446280991735537E-2</v>
      </c>
      <c r="CB8" s="141">
        <f>IFERROR(L8*s_D_milk/(up_RadSpec!AU8*s_Q_w_goat_milk*(1/1000)),".")</f>
        <v>2.7239669421487603E-2</v>
      </c>
      <c r="CC8" s="141">
        <f>IFERROR(K8/(up_RadSpec!AR8*s_Q_w_sheep*(1/1000)),".")</f>
        <v>2.6446280991735537E-2</v>
      </c>
      <c r="CD8" s="141">
        <f>IFERROR(M8*s_D_milk/(up_RadSpec!AS8*s_Q_w_sheep_milk*(1/1000)),".")</f>
        <v>2.7239669421487603E-2</v>
      </c>
      <c r="CE8" s="158">
        <f t="shared" si="27"/>
        <v>275</v>
      </c>
      <c r="CF8" s="158" t="str">
        <f t="shared" si="28"/>
        <v>.</v>
      </c>
      <c r="CG8" s="158">
        <f t="shared" si="29"/>
        <v>2.5114155251141551E-2</v>
      </c>
      <c r="CH8" s="158">
        <f t="shared" si="30"/>
        <v>4561.0969557172393</v>
      </c>
      <c r="CI8" s="158">
        <f t="shared" si="31"/>
        <v>7.5625</v>
      </c>
      <c r="CJ8" s="158">
        <f t="shared" si="32"/>
        <v>37.8125</v>
      </c>
      <c r="CK8" s="158">
        <f t="shared" si="33"/>
        <v>36.711165048543691</v>
      </c>
      <c r="CL8" s="158">
        <f t="shared" si="34"/>
        <v>37.8125</v>
      </c>
      <c r="CM8" s="158">
        <f t="shared" si="35"/>
        <v>37.8125</v>
      </c>
      <c r="CN8" s="158">
        <f t="shared" si="36"/>
        <v>37.8125</v>
      </c>
      <c r="CO8" s="158">
        <f t="shared" si="37"/>
        <v>37.8125</v>
      </c>
      <c r="CP8" s="158">
        <f t="shared" si="38"/>
        <v>36.711165048543691</v>
      </c>
      <c r="CQ8" s="158">
        <f t="shared" si="39"/>
        <v>37.8125</v>
      </c>
      <c r="CR8" s="158">
        <f t="shared" si="40"/>
        <v>36.711165048543691</v>
      </c>
      <c r="CS8" s="141">
        <f t="shared" si="41"/>
        <v>1.9302436709720458E-4</v>
      </c>
      <c r="CT8" s="142">
        <f t="shared" si="42"/>
        <v>1375</v>
      </c>
      <c r="CU8" s="142">
        <f t="shared" si="43"/>
        <v>250.65104166666663</v>
      </c>
      <c r="CV8" s="142">
        <f t="shared" si="44"/>
        <v>0.12557077625570776</v>
      </c>
      <c r="CW8" s="142">
        <f>up_b2w!BZ8</f>
        <v>22805.4847785862</v>
      </c>
      <c r="CX8" s="142">
        <f>IFERROR(s_C*up_RadSpec!AN8*(1/1000)*s_IFFI_far_adj*s_CF_far_fish,0)</f>
        <v>37.8125</v>
      </c>
      <c r="CY8" s="142">
        <f>(s_C*s_IFB_far_adj*s_CF_far_beef*up_RadSpec!AM8*s_Q_w_beef*(1/1000))</f>
        <v>189.0625</v>
      </c>
      <c r="CZ8" s="142">
        <f>(s_C*s_IFD_far_adj*s_CF_far_dairy*up_RadSpec!AL8*(1/s_D_milk)*s_Q_w_dairy*(1/1000))</f>
        <v>183.55582524271844</v>
      </c>
      <c r="DA8" s="142">
        <f>(s_C*s_IFSW_far_adj*s_CF_far_swine*up_RadSpec!AQ8*s_Q_w_swine*(1/1000))</f>
        <v>189.0625</v>
      </c>
      <c r="DB8" s="142">
        <f>(s_C*s_IFP_far_adj*s_CF_far_poultry*up_RadSpec!AO8*s_Q_w_poultry*(1/1000))</f>
        <v>189.0625</v>
      </c>
      <c r="DC8" s="142">
        <f>(s_C*s_IFE_far_adj*s_CF_far_egg*up_RadSpec!AP8*s_Q_w_egg*(1/1000))</f>
        <v>189.0625</v>
      </c>
      <c r="DD8" s="142">
        <f>(s_C*s_IFGO_far_adj*s_CF_far_goat*up_RadSpec!AT8*s_Q_p_goat*(1/1000))</f>
        <v>189.0625</v>
      </c>
      <c r="DE8" s="142">
        <f>(s_C*s_IFGM_far_adj*s_CF_far_goat_milk*up_RadSpec!AU8*(1/s_D_milk)*s_Q_p_goat_milk*(1/1000))</f>
        <v>183.55582524271844</v>
      </c>
      <c r="DF8" s="142">
        <f>(s_C*s_IFSH_far_adj*s_CF_far_sheep*up_RadSpec!AR8*s_Q_p_sheep*(1/1000))</f>
        <v>189.0625</v>
      </c>
      <c r="DG8" s="142">
        <f>(s_C*s_IFSM_far_adj*s_CF_far_sheep_milk*up_RadSpec!AS8*(1/s_D_milk)*s_Q_p_sheep_milk*(1/1000))</f>
        <v>183.55582524271844</v>
      </c>
      <c r="DH8" s="141"/>
      <c r="DI8" s="141">
        <f>IFERROR((s_DL/(up_RadSpec!L8*s_IFA_far_adj)),".")</f>
        <v>9.9740259740259754E-3</v>
      </c>
      <c r="DJ8" s="141">
        <f>IFERROR((s_DL/(up_RadSpec!O8*s_EF_far*(1/365)*s_ED_far*s_ET_far*(1/24)*s_GSF_a)),".")</f>
        <v>15.927272727272728</v>
      </c>
      <c r="DK8" s="141">
        <f t="shared" si="48"/>
        <v>9.9677839175609673E-3</v>
      </c>
      <c r="DL8" s="142">
        <f t="shared" si="46"/>
        <v>501.30208333333326</v>
      </c>
      <c r="DM8" s="142">
        <f t="shared" si="47"/>
        <v>0.3139269406392694</v>
      </c>
      <c r="DN8" s="127"/>
    </row>
    <row r="9" spans="1:118" customFormat="1" x14ac:dyDescent="0.25">
      <c r="A9" s="128" t="s">
        <v>7</v>
      </c>
      <c r="B9" s="129" t="s">
        <v>1059</v>
      </c>
      <c r="C9" s="141">
        <f>up_dir!AB9</f>
        <v>2.2038567493112948E-4</v>
      </c>
      <c r="D9" s="141">
        <f>IFERROR(s_DL/(up_RadSpec!J9*s_IFP_far_adj*s_CF_far_poultry),".")</f>
        <v>6.6115702479338848E-4</v>
      </c>
      <c r="E9" s="141">
        <f>IFERROR(s_DL/(up_RadSpec!J9*s_IFE_far_adj*s_CF_far_egg),".")</f>
        <v>6.6115702479338848E-4</v>
      </c>
      <c r="F9" s="141">
        <f>IFERROR(s_DL/(up_RadSpec!J9*s_IFB_far_adj*s_CF_far_beef),".")</f>
        <v>6.6115702479338848E-4</v>
      </c>
      <c r="G9" s="141">
        <f>IFERROR(s_DL/(up_RadSpec!J9*s_IFD_far_adj*s_CF_far_dairy),".")</f>
        <v>6.6115702479338848E-4</v>
      </c>
      <c r="H9" s="141">
        <f>IFERROR(s_DL/(up_RadSpec!J9*s_IFSW_far_adj*s_CF_far_swine),".")</f>
        <v>6.6115702479338848E-4</v>
      </c>
      <c r="I9" s="141">
        <f>IFERROR(s_DL/(up_RadSpec!J9*s_IFFI_far_adj*s_CF_far_fish),".")</f>
        <v>6.6115702479338848E-4</v>
      </c>
      <c r="J9" s="141">
        <f>IFERROR(s_DL/(up_RadSpec!J9*s_IFGO_far_adj*s_CF_far_goat),".")</f>
        <v>6.6115702479338848E-4</v>
      </c>
      <c r="K9" s="141">
        <f>IFERROR(s_DL/(up_RadSpec!J9*s_IFSH_far_adj*s_CF_far_sheep),".")</f>
        <v>6.6115702479338848E-4</v>
      </c>
      <c r="L9" s="141">
        <f>IFERROR(s_DL/(up_RadSpec!J9*s_IFGM_far_adj*s_CF_far_goat_milk),".")</f>
        <v>6.6115702479338848E-4</v>
      </c>
      <c r="M9" s="141">
        <f>IFERROR(s_DL/(up_RadSpec!J9*s_IFSM_far_adj*s_CF_far_sheep_milk),".")</f>
        <v>6.6115702479338848E-4</v>
      </c>
      <c r="N9" s="142">
        <f>up_dir!BA9</f>
        <v>22687.5</v>
      </c>
      <c r="O9" s="142">
        <f t="shared" si="0"/>
        <v>7562.5</v>
      </c>
      <c r="P9" s="142">
        <f t="shared" si="1"/>
        <v>7562.5</v>
      </c>
      <c r="Q9" s="142">
        <f t="shared" si="2"/>
        <v>7562.5</v>
      </c>
      <c r="R9" s="142">
        <f t="shared" si="3"/>
        <v>7562.5</v>
      </c>
      <c r="S9" s="142">
        <f t="shared" si="4"/>
        <v>7562.5</v>
      </c>
      <c r="T9" s="142">
        <f t="shared" si="5"/>
        <v>7562.5</v>
      </c>
      <c r="U9" s="142">
        <f t="shared" si="6"/>
        <v>7562.5</v>
      </c>
      <c r="V9" s="142">
        <f t="shared" si="7"/>
        <v>7562.5</v>
      </c>
      <c r="W9" s="142">
        <f t="shared" si="8"/>
        <v>7562.5</v>
      </c>
      <c r="X9" s="142">
        <f t="shared" si="9"/>
        <v>7562.5</v>
      </c>
      <c r="Y9" s="141">
        <f>IFERROR((s_DL/(up_RadSpec!I9*s_IFS_far_adj*(1/1000)))*1,".")</f>
        <v>0.33057851239669422</v>
      </c>
      <c r="Z9" s="141">
        <f>IFERROR(IF(A9="H-3",(s_DL/(up_RadSpec!L9*s_IFA_far_adj*(1/17)*1000))*1,(s_DL/(up_RadSpec!L9*s_IFA_far_adj*(1/s_PEF_wind)*1000))*1),".")</f>
        <v>3089.9917845330979</v>
      </c>
      <c r="AA9" s="141">
        <f>IFERROR((s_DL/(up_RadSpec!K9*s_EF_far*(1/365)*s_ED_far*up_RadSpec!V9*((s_ET_far_o*(1/24)*up_RadSpec!AA9)+(s_ET_far_i*(1/24)*up_RadSpec!AF9))))*1,".")</f>
        <v>108.34242210388996</v>
      </c>
      <c r="AB9" s="141">
        <f>up_b2s!BA9</f>
        <v>4.3958447178843029E-5</v>
      </c>
      <c r="AC9" s="141">
        <f>IFERROR(((I9*up_RadSpec!AX9)/up_RadSpec!AN9)*1,".")</f>
        <v>6.6115702479338848E-4</v>
      </c>
      <c r="AD9" s="141">
        <f>IFERROR((F9/(up_RadSpec!AM9*((s_Q_p_beef*s_f_p_beef*s_f_s_beef*(up_RadSpec!BG9+s_R_es_past))+(s_Q_s_beef*s_f_p_beef))))*1,".")</f>
        <v>1.8558793678410905E-7</v>
      </c>
      <c r="AE9" s="141">
        <f>IFERROR(((G9*s_D_milk)/(up_RadSpec!AL9*((s_Q_p_dairy*s_f_p_dairy*s_f_s_dairy*(up_RadSpec!BG9+s_R_es_past))+(s_Q_s_dairy*s_f_p_dairy))))*1,".")</f>
        <v>1.9115557488763231E-7</v>
      </c>
      <c r="AF9" s="141">
        <f>IFERROR((H9/(up_RadSpec!AQ9*((s_Q_p_swine*s_f_p_swine*s_f_s_swine*(up_RadSpec!BG9+s_R_es_past))+(s_Q_s_swine*s_f_p_swine))))*1,".")</f>
        <v>1.8558793678410905E-7</v>
      </c>
      <c r="AG9" s="141">
        <f>IFERROR((D9/(up_RadSpec!AO9*((s_Q_p_poultry*s_f_p_poultry*s_f_s_poultry*(up_RadSpec!BG9+s_R_es_past))+(s_Q_s_poultry*s_f_p_poultry))))*1,".")</f>
        <v>1.8558793678410905E-7</v>
      </c>
      <c r="AH9" s="141">
        <f>IFERROR((E9/(up_RadSpec!AP9*((s_Q_p_poultry*s_f_p_poultry*s_f_s_poultry*(up_RadSpec!BG9+s_R_es_past))+(s_Q_s_poultry*s_f_p_poultry))))*1,".")</f>
        <v>1.8558793678410905E-7</v>
      </c>
      <c r="AI9" s="141">
        <f>IFERROR((J9/(up_RadSpec!AT9*((s_Q_p_goat*s_f_p_goat*s_f_s_goat*(up_RadSpec!BG9+s_R_es_past))+(s_Q_s_goat*s_f_p_goat))))*1,".")</f>
        <v>1.8558793678410905E-7</v>
      </c>
      <c r="AJ9" s="141">
        <f>IFERROR((L9*s_D_milk/(up_RadSpec!AU9*((s_Q_p_goat_milk*s_f_p_goat_milk*s_f_s_goat_milk*(up_RadSpec!BG9+s_R_es_past))+(s_Q_s_goat_milk*s_f_p_goat_milk))))*1,".")</f>
        <v>1.9115557488763231E-7</v>
      </c>
      <c r="AK9" s="141">
        <f>IFERROR((K9/(up_RadSpec!AR9*((s_Q_p_sheep*s_f_p_sheep*s_f_s_sheep*(up_RadSpec!BG9+s_R_es_past))+(s_Q_s_sheep*s_f_p_sheep))))*1,".")</f>
        <v>1.8558793678410905E-7</v>
      </c>
      <c r="AL9" s="141">
        <f>IFERROR((M9*s_D_milk/(up_RadSpec!AS9*((s_Q_p_sheep_milk*s_f_p_sheep_milk*s_f_s_sheep_milk*(up_RadSpec!BG9+s_R_es_past))+(s_Q_s_sheep_milk*s_f_p_sheep_milk))))*1,".")</f>
        <v>1.9115557488763231E-7</v>
      </c>
      <c r="AM9" s="158">
        <f t="shared" si="10"/>
        <v>3.0249999999999999</v>
      </c>
      <c r="AN9" s="158">
        <f t="shared" si="11"/>
        <v>3.2362545590104258E-4</v>
      </c>
      <c r="AO9" s="158">
        <f t="shared" si="12"/>
        <v>9.229994867948366E-3</v>
      </c>
      <c r="AP9" s="158">
        <f t="shared" si="13"/>
        <v>22748.756249999995</v>
      </c>
      <c r="AQ9" s="158">
        <f t="shared" si="14"/>
        <v>1512.5</v>
      </c>
      <c r="AR9" s="158">
        <f t="shared" si="15"/>
        <v>5388281.2499999991</v>
      </c>
      <c r="AS9" s="158">
        <f t="shared" si="16"/>
        <v>5231341.0194174759</v>
      </c>
      <c r="AT9" s="158">
        <f t="shared" si="17"/>
        <v>5388281.2499999991</v>
      </c>
      <c r="AU9" s="158">
        <f t="shared" si="18"/>
        <v>5388281.2499999991</v>
      </c>
      <c r="AV9" s="158">
        <f t="shared" si="19"/>
        <v>5388281.2499999991</v>
      </c>
      <c r="AW9" s="158">
        <f t="shared" si="20"/>
        <v>5388281.2499999991</v>
      </c>
      <c r="AX9" s="158">
        <f t="shared" si="21"/>
        <v>5231341.0194174759</v>
      </c>
      <c r="AY9" s="158">
        <f t="shared" si="22"/>
        <v>5388281.2499999991</v>
      </c>
      <c r="AZ9" s="158">
        <f t="shared" si="23"/>
        <v>5231341.0194174759</v>
      </c>
      <c r="BA9" s="141">
        <f t="shared" si="24"/>
        <v>2.0812531706935116E-8</v>
      </c>
      <c r="BB9" s="142">
        <f t="shared" si="25"/>
        <v>15.125</v>
      </c>
      <c r="BC9" s="142">
        <f t="shared" si="26"/>
        <v>1.618127279505213E-3</v>
      </c>
      <c r="BD9" s="142">
        <f>IFERROR((s_C*s_EF_far*(1/365)*s_ED_far*up_RadSpec!V9*((s_ET_far_o*(1/24)*up_RadSpec!AA9)+(s_ET_far_i*(1/24)*up_RadSpec!AF9))),".")</f>
        <v>4.6149974339741835E-2</v>
      </c>
      <c r="BE9" s="142">
        <f>up_b2s!BZ9</f>
        <v>113743.78125</v>
      </c>
      <c r="BF9" s="142">
        <f>IFERROR(((s_C*up_RadSpec!AN9)/up_RadSpec!AX9)*s_IFFI_far_adj*s_CF_far_fish,0)</f>
        <v>7562.5</v>
      </c>
      <c r="BG9" s="142">
        <f>(s_C*s_IFB_far_adj*s_CF_far_beef*up_RadSpec!AM9*((s_Q_p_beef*s_f_p_beef*s_f_s_beef*(up_RadSpec!$AW9+s_R_es_past))+(s_Q_s_beef*s_f_p_beef)))</f>
        <v>26941406.25</v>
      </c>
      <c r="BH9" s="142">
        <f>(s_C*s_IFD_far_adj*s_CF_far_dairy*up_RadSpec!AL9*1/s_D_milk*((s_Q_p_dairy*s_f_p_dairy*s_f_s_dairy*(up_RadSpec!$AW9+s_R_es_past))+(s_Q_s_dairy*s_f_p_dairy)))</f>
        <v>26156705.09708738</v>
      </c>
      <c r="BI9" s="142">
        <f>(s_C*s_IFSW_far_adj*s_CF_far_swine*up_RadSpec!AQ9*((s_Q_p_swine*s_f_p_swine*s_f_s_swine*(up_RadSpec!$AW9+s_R_es_past))+(s_Q_s_swine*s_f_p_swine)))</f>
        <v>26941406.25</v>
      </c>
      <c r="BJ9" s="142">
        <f>(s_C*s_IFP_far_adj*s_CF_far_poultry*up_RadSpec!AO9*((s_Q_p_poultry*s_f_p_poultry*s_f_s_poultry*(up_RadSpec!AW9+s_R_es_past))+(s_Q_s_poultry*s_f_p_poultry)))</f>
        <v>26941406.25</v>
      </c>
      <c r="BK9" s="142">
        <f>(s_C*s_IFE_far_adj*s_CF_far_egg*up_RadSpec!AP9*((s_Q_p_egg*s_f_p_egg*s_f_s_egg*(up_RadSpec!$AW9+s_R_es_past))+(s_Q_s_egg*s_f_p_egg)))</f>
        <v>26941406.25</v>
      </c>
      <c r="BL9" s="142">
        <f>(s_C*s_IFGO_far_adj*s_CF_far_goat*up_RadSpec!AT9*((s_Q_p_goat*s_f_p_goat*s_f_s_goat*(up_RadSpec!$AW9+s_R_es_past))+(s_Q_s_goat*s_f_p_goat)))</f>
        <v>26941406.25</v>
      </c>
      <c r="BM9" s="142">
        <f>(s_C*s_IFGM_far_adj*s_CF_far_goat_milk*up_RadSpec!AU9*1/s_D_milk*((s_Q_p_goat_milk*s_f_p_goat_milk*s_f_s_goat_milk*(up_RadSpec!$AW9+s_R_es_past))+(s_Q_s_goat_milk*s_f_p_goat_milk)))</f>
        <v>26156705.09708738</v>
      </c>
      <c r="BN9" s="142">
        <f>(s_C*s_IFSH_far_adj*s_CF_far_sheep*up_RadSpec!AR9*((s_Q_p_sheep*s_f_p_sheep*s_f_s_sheep*(up_RadSpec!$AW9+s_R_es_past))+(s_Q_s_sheep*s_f_p_sheep)))</f>
        <v>26941406.25</v>
      </c>
      <c r="BO9" s="142">
        <f>(s_C*s_IFSM_far_adj*s_CF_far_sheep_milk*up_RadSpec!AS9*1/s_D_milk*((s_Q_p_sheep_milk*s_f_p_sheep_milk*s_f_s_sheep_milk*(up_RadSpec!$AW9+s_R_es_past))+(s_Q_s_sheep_milk*s_f_p_sheep_milk)))</f>
        <v>26156705.09708738</v>
      </c>
      <c r="BP9" s="141"/>
      <c r="BQ9" s="141">
        <f>IFERROR(s_DL/(up_RadSpec!M9*s_IFW_far_adj),".")</f>
        <v>3.6363636363636364E-3</v>
      </c>
      <c r="BR9" s="141" t="str">
        <f>IFERROR(IF(up_RadSpec!C9=1,s_DL/(up_RadSpec!L9*s_IFA_far_adj*s_K),"."),".")</f>
        <v>.</v>
      </c>
      <c r="BS9" s="141">
        <f>IFERROR((s_DL/(up_RadSpec!Q9*(1/8760)*s_DFA_far_adj)),".")</f>
        <v>39.81818181818182</v>
      </c>
      <c r="BT9" s="141">
        <f>up_b2w!BA9</f>
        <v>2.1924550381384044E-4</v>
      </c>
      <c r="BU9" s="141">
        <f>IFERROR(I9/(up_RadSpec!AN9*(1/1000)),".")</f>
        <v>0.13223140495867769</v>
      </c>
      <c r="BV9" s="141">
        <f>IFERROR(F9/(up_RadSpec!AM9*s_Q_w_beef*(1/1000)),".")</f>
        <v>2.6446280991735537E-2</v>
      </c>
      <c r="BW9" s="141">
        <f>IFERROR((G9*s_D_milk)/(up_RadSpec!AL9*s_Q_w_dairy*(1/1000)),".")</f>
        <v>2.7239669421487603E-2</v>
      </c>
      <c r="BX9" s="141">
        <f>IFERROR(H9/(up_RadSpec!AQ9*s_Q_w_swine*(1/1000)),".")</f>
        <v>2.6446280991735537E-2</v>
      </c>
      <c r="BY9" s="141">
        <f>IFERROR(D9/(up_RadSpec!AO9*s_Q_w_poultry*(1/1000)),".")</f>
        <v>2.6446280991735537E-2</v>
      </c>
      <c r="BZ9" s="141">
        <f>IFERROR(E9/(up_RadSpec!AP9*s_Q_w_poultry*(1/1000)),".")</f>
        <v>2.6446280991735537E-2</v>
      </c>
      <c r="CA9" s="141">
        <f>IFERROR(J9/(up_RadSpec!AT9*s_Q_w_goat*(1/1000)),".")</f>
        <v>2.6446280991735537E-2</v>
      </c>
      <c r="CB9" s="141">
        <f>IFERROR(L9*s_D_milk/(up_RadSpec!AU9*s_Q_w_goat_milk*(1/1000)),".")</f>
        <v>2.7239669421487603E-2</v>
      </c>
      <c r="CC9" s="141">
        <f>IFERROR(K9/(up_RadSpec!AR9*s_Q_w_sheep*(1/1000)),".")</f>
        <v>2.6446280991735537E-2</v>
      </c>
      <c r="CD9" s="141">
        <f>IFERROR(M9*s_D_milk/(up_RadSpec!AS9*s_Q_w_sheep_milk*(1/1000)),".")</f>
        <v>2.7239669421487603E-2</v>
      </c>
      <c r="CE9" s="158">
        <f t="shared" si="27"/>
        <v>275</v>
      </c>
      <c r="CF9" s="158" t="str">
        <f t="shared" si="28"/>
        <v>.</v>
      </c>
      <c r="CG9" s="158">
        <f t="shared" si="29"/>
        <v>2.5114155251141551E-2</v>
      </c>
      <c r="CH9" s="158">
        <f t="shared" si="30"/>
        <v>4561.0969557172393</v>
      </c>
      <c r="CI9" s="158">
        <f t="shared" si="31"/>
        <v>7.5625</v>
      </c>
      <c r="CJ9" s="158">
        <f t="shared" si="32"/>
        <v>37.8125</v>
      </c>
      <c r="CK9" s="158">
        <f t="shared" si="33"/>
        <v>36.711165048543691</v>
      </c>
      <c r="CL9" s="158">
        <f t="shared" si="34"/>
        <v>37.8125</v>
      </c>
      <c r="CM9" s="158">
        <f t="shared" si="35"/>
        <v>37.8125</v>
      </c>
      <c r="CN9" s="158">
        <f t="shared" si="36"/>
        <v>37.8125</v>
      </c>
      <c r="CO9" s="158">
        <f t="shared" si="37"/>
        <v>37.8125</v>
      </c>
      <c r="CP9" s="158">
        <f t="shared" si="38"/>
        <v>36.711165048543691</v>
      </c>
      <c r="CQ9" s="158">
        <f t="shared" si="39"/>
        <v>37.8125</v>
      </c>
      <c r="CR9" s="158">
        <f t="shared" si="40"/>
        <v>36.711165048543691</v>
      </c>
      <c r="CS9" s="141">
        <f t="shared" si="41"/>
        <v>1.9302436709720458E-4</v>
      </c>
      <c r="CT9" s="142">
        <f t="shared" si="42"/>
        <v>1375</v>
      </c>
      <c r="CU9" s="142">
        <f t="shared" si="43"/>
        <v>250.65104166666663</v>
      </c>
      <c r="CV9" s="142">
        <f t="shared" si="44"/>
        <v>0.12557077625570776</v>
      </c>
      <c r="CW9" s="142">
        <f>up_b2w!BZ9</f>
        <v>22805.4847785862</v>
      </c>
      <c r="CX9" s="142">
        <f>IFERROR(s_C*up_RadSpec!AN9*(1/1000)*s_IFFI_far_adj*s_CF_far_fish,0)</f>
        <v>37.8125</v>
      </c>
      <c r="CY9" s="142">
        <f>(s_C*s_IFB_far_adj*s_CF_far_beef*up_RadSpec!AM9*s_Q_w_beef*(1/1000))</f>
        <v>189.0625</v>
      </c>
      <c r="CZ9" s="142">
        <f>(s_C*s_IFD_far_adj*s_CF_far_dairy*up_RadSpec!AL9*(1/s_D_milk)*s_Q_w_dairy*(1/1000))</f>
        <v>183.55582524271844</v>
      </c>
      <c r="DA9" s="142">
        <f>(s_C*s_IFSW_far_adj*s_CF_far_swine*up_RadSpec!AQ9*s_Q_w_swine*(1/1000))</f>
        <v>189.0625</v>
      </c>
      <c r="DB9" s="142">
        <f>(s_C*s_IFP_far_adj*s_CF_far_poultry*up_RadSpec!AO9*s_Q_w_poultry*(1/1000))</f>
        <v>189.0625</v>
      </c>
      <c r="DC9" s="142">
        <f>(s_C*s_IFE_far_adj*s_CF_far_egg*up_RadSpec!AP9*s_Q_w_egg*(1/1000))</f>
        <v>189.0625</v>
      </c>
      <c r="DD9" s="142">
        <f>(s_C*s_IFGO_far_adj*s_CF_far_goat*up_RadSpec!AT9*s_Q_p_goat*(1/1000))</f>
        <v>189.0625</v>
      </c>
      <c r="DE9" s="142">
        <f>(s_C*s_IFGM_far_adj*s_CF_far_goat_milk*up_RadSpec!AU9*(1/s_D_milk)*s_Q_p_goat_milk*(1/1000))</f>
        <v>183.55582524271844</v>
      </c>
      <c r="DF9" s="142">
        <f>(s_C*s_IFSH_far_adj*s_CF_far_sheep*up_RadSpec!AR9*s_Q_p_sheep*(1/1000))</f>
        <v>189.0625</v>
      </c>
      <c r="DG9" s="142">
        <f>(s_C*s_IFSM_far_adj*s_CF_far_sheep_milk*up_RadSpec!AS9*(1/s_D_milk)*s_Q_p_sheep_milk*(1/1000))</f>
        <v>183.55582524271844</v>
      </c>
      <c r="DH9" s="141"/>
      <c r="DI9" s="141">
        <f>IFERROR((s_DL/(up_RadSpec!L9*s_IFA_far_adj)),".")</f>
        <v>9.9740259740259754E-3</v>
      </c>
      <c r="DJ9" s="141">
        <f>IFERROR((s_DL/(up_RadSpec!O9*s_EF_far*(1/365)*s_ED_far*s_ET_far*(1/24)*s_GSF_a)),".")</f>
        <v>15.927272727272728</v>
      </c>
      <c r="DK9" s="141">
        <f t="shared" si="48"/>
        <v>9.9677839175609673E-3</v>
      </c>
      <c r="DL9" s="142">
        <f t="shared" si="46"/>
        <v>501.30208333333326</v>
      </c>
      <c r="DM9" s="142">
        <f t="shared" si="47"/>
        <v>0.3139269406392694</v>
      </c>
      <c r="DN9" s="127"/>
    </row>
    <row r="10" spans="1:118" customFormat="1" x14ac:dyDescent="0.25">
      <c r="A10" s="131" t="s">
        <v>8</v>
      </c>
      <c r="B10" s="129" t="s">
        <v>336</v>
      </c>
      <c r="C10" s="141">
        <f>up_dir!AB10</f>
        <v>2.2038567493112948E-4</v>
      </c>
      <c r="D10" s="141">
        <f>IFERROR(s_DL/(up_RadSpec!J10*s_IFP_far_adj*s_CF_far_poultry),".")</f>
        <v>6.6115702479338848E-4</v>
      </c>
      <c r="E10" s="141">
        <f>IFERROR(s_DL/(up_RadSpec!J10*s_IFE_far_adj*s_CF_far_egg),".")</f>
        <v>6.6115702479338848E-4</v>
      </c>
      <c r="F10" s="141">
        <f>IFERROR(s_DL/(up_RadSpec!J10*s_IFB_far_adj*s_CF_far_beef),".")</f>
        <v>6.6115702479338848E-4</v>
      </c>
      <c r="G10" s="141">
        <f>IFERROR(s_DL/(up_RadSpec!J10*s_IFD_far_adj*s_CF_far_dairy),".")</f>
        <v>6.6115702479338848E-4</v>
      </c>
      <c r="H10" s="141">
        <f>IFERROR(s_DL/(up_RadSpec!J10*s_IFSW_far_adj*s_CF_far_swine),".")</f>
        <v>6.6115702479338848E-4</v>
      </c>
      <c r="I10" s="141">
        <f>IFERROR(s_DL/(up_RadSpec!J10*s_IFFI_far_adj*s_CF_far_fish),".")</f>
        <v>6.6115702479338848E-4</v>
      </c>
      <c r="J10" s="141">
        <f>IFERROR(s_DL/(up_RadSpec!J10*s_IFGO_far_adj*s_CF_far_goat),".")</f>
        <v>6.6115702479338848E-4</v>
      </c>
      <c r="K10" s="141">
        <f>IFERROR(s_DL/(up_RadSpec!J10*s_IFSH_far_adj*s_CF_far_sheep),".")</f>
        <v>6.6115702479338848E-4</v>
      </c>
      <c r="L10" s="141">
        <f>IFERROR(s_DL/(up_RadSpec!J10*s_IFGM_far_adj*s_CF_far_goat_milk),".")</f>
        <v>6.6115702479338848E-4</v>
      </c>
      <c r="M10" s="141">
        <f>IFERROR(s_DL/(up_RadSpec!J10*s_IFSM_far_adj*s_CF_far_sheep_milk),".")</f>
        <v>6.6115702479338848E-4</v>
      </c>
      <c r="N10" s="142">
        <f>up_dir!BA10</f>
        <v>22687.5</v>
      </c>
      <c r="O10" s="142">
        <f t="shared" si="0"/>
        <v>7562.5</v>
      </c>
      <c r="P10" s="142">
        <f t="shared" si="1"/>
        <v>7562.5</v>
      </c>
      <c r="Q10" s="142">
        <f t="shared" si="2"/>
        <v>7562.5</v>
      </c>
      <c r="R10" s="142">
        <f t="shared" si="3"/>
        <v>7562.5</v>
      </c>
      <c r="S10" s="142">
        <f t="shared" si="4"/>
        <v>7562.5</v>
      </c>
      <c r="T10" s="142">
        <f t="shared" si="5"/>
        <v>7562.5</v>
      </c>
      <c r="U10" s="142">
        <f t="shared" si="6"/>
        <v>7562.5</v>
      </c>
      <c r="V10" s="142">
        <f t="shared" si="7"/>
        <v>7562.5</v>
      </c>
      <c r="W10" s="142">
        <f t="shared" si="8"/>
        <v>7562.5</v>
      </c>
      <c r="X10" s="142">
        <f t="shared" si="9"/>
        <v>7562.5</v>
      </c>
      <c r="Y10" s="141">
        <f>IFERROR((s_DL/(up_RadSpec!I10*s_IFS_far_adj*(1/1000)))*1,".")</f>
        <v>0.33057851239669422</v>
      </c>
      <c r="Z10" s="141">
        <f>IFERROR(IF(A10="H-3",(s_DL/(up_RadSpec!L10*s_IFA_far_adj*(1/17)*1000))*1,(s_DL/(up_RadSpec!L10*s_IFA_far_adj*(1/s_PEF_wind)*1000))*1),".")</f>
        <v>3089.9917845330979</v>
      </c>
      <c r="AA10" s="141">
        <f>IFERROR((s_DL/(up_RadSpec!K10*s_EF_far*(1/365)*s_ED_far*up_RadSpec!V10*((s_ET_far_o*(1/24)*up_RadSpec!AA10)+(s_ET_far_i*(1/24)*up_RadSpec!AF10))))*1,".")</f>
        <v>207.30735930735929</v>
      </c>
      <c r="AB10" s="141">
        <f>up_b2s!BA10</f>
        <v>4.3958447178843029E-5</v>
      </c>
      <c r="AC10" s="141">
        <f>IFERROR(((I10*up_RadSpec!AX10)/up_RadSpec!AN10)*1,".")</f>
        <v>6.6115702479338848E-4</v>
      </c>
      <c r="AD10" s="141">
        <f>IFERROR((F10/(up_RadSpec!AM10*((s_Q_p_beef*s_f_p_beef*s_f_s_beef*(up_RadSpec!BG10+s_R_es_past))+(s_Q_s_beef*s_f_p_beef))))*1,".")</f>
        <v>1.8558793678410905E-7</v>
      </c>
      <c r="AE10" s="141">
        <f>IFERROR(((G10*s_D_milk)/(up_RadSpec!AL10*((s_Q_p_dairy*s_f_p_dairy*s_f_s_dairy*(up_RadSpec!BG10+s_R_es_past))+(s_Q_s_dairy*s_f_p_dairy))))*1,".")</f>
        <v>1.9115557488763231E-7</v>
      </c>
      <c r="AF10" s="141">
        <f>IFERROR((H10/(up_RadSpec!AQ10*((s_Q_p_swine*s_f_p_swine*s_f_s_swine*(up_RadSpec!BG10+s_R_es_past))+(s_Q_s_swine*s_f_p_swine))))*1,".")</f>
        <v>1.8558793678410905E-7</v>
      </c>
      <c r="AG10" s="141">
        <f>IFERROR((D10/(up_RadSpec!AO10*((s_Q_p_poultry*s_f_p_poultry*s_f_s_poultry*(up_RadSpec!BG10+s_R_es_past))+(s_Q_s_poultry*s_f_p_poultry))))*1,".")</f>
        <v>1.8558793678410905E-7</v>
      </c>
      <c r="AH10" s="141">
        <f>IFERROR((E10/(up_RadSpec!AP10*((s_Q_p_poultry*s_f_p_poultry*s_f_s_poultry*(up_RadSpec!BG10+s_R_es_past))+(s_Q_s_poultry*s_f_p_poultry))))*1,".")</f>
        <v>1.8558793678410905E-7</v>
      </c>
      <c r="AI10" s="141">
        <f>IFERROR((J10/(up_RadSpec!AT10*((s_Q_p_goat*s_f_p_goat*s_f_s_goat*(up_RadSpec!BG10+s_R_es_past))+(s_Q_s_goat*s_f_p_goat))))*1,".")</f>
        <v>1.8558793678410905E-7</v>
      </c>
      <c r="AJ10" s="141">
        <f>IFERROR((L10*s_D_milk/(up_RadSpec!AU10*((s_Q_p_goat_milk*s_f_p_goat_milk*s_f_s_goat_milk*(up_RadSpec!BG10+s_R_es_past))+(s_Q_s_goat_milk*s_f_p_goat_milk))))*1,".")</f>
        <v>1.9115557488763231E-7</v>
      </c>
      <c r="AK10" s="141">
        <f>IFERROR((K10/(up_RadSpec!AR10*((s_Q_p_sheep*s_f_p_sheep*s_f_s_sheep*(up_RadSpec!BG10+s_R_es_past))+(s_Q_s_sheep*s_f_p_sheep))))*1,".")</f>
        <v>1.8558793678410905E-7</v>
      </c>
      <c r="AL10" s="141">
        <f>IFERROR((M10*s_D_milk/(up_RadSpec!AS10*((s_Q_p_sheep_milk*s_f_p_sheep_milk*s_f_s_sheep_milk*(up_RadSpec!BG10+s_R_es_past))+(s_Q_s_sheep_milk*s_f_p_sheep_milk))))*1,".")</f>
        <v>1.9115557488763231E-7</v>
      </c>
      <c r="AM10" s="158">
        <f t="shared" si="10"/>
        <v>3.0249999999999999</v>
      </c>
      <c r="AN10" s="158">
        <f t="shared" si="11"/>
        <v>3.2362545590104258E-4</v>
      </c>
      <c r="AO10" s="158">
        <f t="shared" si="12"/>
        <v>4.823755429335116E-3</v>
      </c>
      <c r="AP10" s="158">
        <f t="shared" si="13"/>
        <v>22748.756249999995</v>
      </c>
      <c r="AQ10" s="158">
        <f t="shared" si="14"/>
        <v>1512.5</v>
      </c>
      <c r="AR10" s="158">
        <f t="shared" si="15"/>
        <v>5388281.2499999991</v>
      </c>
      <c r="AS10" s="158">
        <f t="shared" si="16"/>
        <v>5231341.0194174759</v>
      </c>
      <c r="AT10" s="158">
        <f t="shared" si="17"/>
        <v>5388281.2499999991</v>
      </c>
      <c r="AU10" s="158">
        <f t="shared" si="18"/>
        <v>5388281.2499999991</v>
      </c>
      <c r="AV10" s="158">
        <f t="shared" si="19"/>
        <v>5388281.2499999991</v>
      </c>
      <c r="AW10" s="158">
        <f t="shared" si="20"/>
        <v>5388281.2499999991</v>
      </c>
      <c r="AX10" s="158">
        <f t="shared" si="21"/>
        <v>5231341.0194174759</v>
      </c>
      <c r="AY10" s="158">
        <f t="shared" si="22"/>
        <v>5388281.2499999991</v>
      </c>
      <c r="AZ10" s="158">
        <f t="shared" si="23"/>
        <v>5231341.0194174759</v>
      </c>
      <c r="BA10" s="141">
        <f t="shared" si="24"/>
        <v>2.0812531708843729E-8</v>
      </c>
      <c r="BB10" s="142">
        <f t="shared" si="25"/>
        <v>15.125</v>
      </c>
      <c r="BC10" s="142">
        <f t="shared" si="26"/>
        <v>1.618127279505213E-3</v>
      </c>
      <c r="BD10" s="142">
        <f>IFERROR((s_C*s_EF_far*(1/365)*s_ED_far*up_RadSpec!V10*((s_ET_far_o*(1/24)*up_RadSpec!AA10)+(s_ET_far_i*(1/24)*up_RadSpec!AF10))),".")</f>
        <v>2.4118777146675579E-2</v>
      </c>
      <c r="BE10" s="142">
        <f>up_b2s!BZ10</f>
        <v>113743.78125</v>
      </c>
      <c r="BF10" s="142">
        <f>IFERROR(((s_C*up_RadSpec!AN10)/up_RadSpec!AX10)*s_IFFI_far_adj*s_CF_far_fish,0)</f>
        <v>7562.5</v>
      </c>
      <c r="BG10" s="142">
        <f>(s_C*s_IFB_far_adj*s_CF_far_beef*up_RadSpec!AM10*((s_Q_p_beef*s_f_p_beef*s_f_s_beef*(up_RadSpec!$AW10+s_R_es_past))+(s_Q_s_beef*s_f_p_beef)))</f>
        <v>26941406.25</v>
      </c>
      <c r="BH10" s="142">
        <f>(s_C*s_IFD_far_adj*s_CF_far_dairy*up_RadSpec!AL10*1/s_D_milk*((s_Q_p_dairy*s_f_p_dairy*s_f_s_dairy*(up_RadSpec!$AW10+s_R_es_past))+(s_Q_s_dairy*s_f_p_dairy)))</f>
        <v>26156705.09708738</v>
      </c>
      <c r="BI10" s="142">
        <f>(s_C*s_IFSW_far_adj*s_CF_far_swine*up_RadSpec!AQ10*((s_Q_p_swine*s_f_p_swine*s_f_s_swine*(up_RadSpec!$AW10+s_R_es_past))+(s_Q_s_swine*s_f_p_swine)))</f>
        <v>26941406.25</v>
      </c>
      <c r="BJ10" s="142">
        <f>(s_C*s_IFP_far_adj*s_CF_far_poultry*up_RadSpec!AO10*((s_Q_p_poultry*s_f_p_poultry*s_f_s_poultry*(up_RadSpec!AW10+s_R_es_past))+(s_Q_s_poultry*s_f_p_poultry)))</f>
        <v>26941406.25</v>
      </c>
      <c r="BK10" s="142">
        <f>(s_C*s_IFE_far_adj*s_CF_far_egg*up_RadSpec!AP10*((s_Q_p_egg*s_f_p_egg*s_f_s_egg*(up_RadSpec!$AW10+s_R_es_past))+(s_Q_s_egg*s_f_p_egg)))</f>
        <v>26941406.25</v>
      </c>
      <c r="BL10" s="142">
        <f>(s_C*s_IFGO_far_adj*s_CF_far_goat*up_RadSpec!AT10*((s_Q_p_goat*s_f_p_goat*s_f_s_goat*(up_RadSpec!$AW10+s_R_es_past))+(s_Q_s_goat*s_f_p_goat)))</f>
        <v>26941406.25</v>
      </c>
      <c r="BM10" s="142">
        <f>(s_C*s_IFGM_far_adj*s_CF_far_goat_milk*up_RadSpec!AU10*1/s_D_milk*((s_Q_p_goat_milk*s_f_p_goat_milk*s_f_s_goat_milk*(up_RadSpec!$AW10+s_R_es_past))+(s_Q_s_goat_milk*s_f_p_goat_milk)))</f>
        <v>26156705.09708738</v>
      </c>
      <c r="BN10" s="142">
        <f>(s_C*s_IFSH_far_adj*s_CF_far_sheep*up_RadSpec!AR10*((s_Q_p_sheep*s_f_p_sheep*s_f_s_sheep*(up_RadSpec!$AW10+s_R_es_past))+(s_Q_s_sheep*s_f_p_sheep)))</f>
        <v>26941406.25</v>
      </c>
      <c r="BO10" s="142">
        <f>(s_C*s_IFSM_far_adj*s_CF_far_sheep_milk*up_RadSpec!AS10*1/s_D_milk*((s_Q_p_sheep_milk*s_f_p_sheep_milk*s_f_s_sheep_milk*(up_RadSpec!$AW10+s_R_es_past))+(s_Q_s_sheep_milk*s_f_p_sheep_milk)))</f>
        <v>26156705.09708738</v>
      </c>
      <c r="BP10" s="141"/>
      <c r="BQ10" s="141">
        <f>IFERROR(s_DL/(up_RadSpec!M10*s_IFW_far_adj),".")</f>
        <v>3.6363636363636364E-3</v>
      </c>
      <c r="BR10" s="141" t="str">
        <f>IFERROR(IF(up_RadSpec!C10=1,s_DL/(up_RadSpec!L10*s_IFA_far_adj*s_K),"."),".")</f>
        <v>.</v>
      </c>
      <c r="BS10" s="141">
        <f>IFERROR((s_DL/(up_RadSpec!Q10*(1/8760)*s_DFA_far_adj)),".")</f>
        <v>39.81818181818182</v>
      </c>
      <c r="BT10" s="141">
        <f>up_b2w!BA10</f>
        <v>2.1924550381384044E-4</v>
      </c>
      <c r="BU10" s="141">
        <f>IFERROR(I10/(up_RadSpec!AN10*(1/1000)),".")</f>
        <v>0.13223140495867769</v>
      </c>
      <c r="BV10" s="141">
        <f>IFERROR(F10/(up_RadSpec!AM10*s_Q_w_beef*(1/1000)),".")</f>
        <v>2.6446280991735537E-2</v>
      </c>
      <c r="BW10" s="141">
        <f>IFERROR((G10*s_D_milk)/(up_RadSpec!AL10*s_Q_w_dairy*(1/1000)),".")</f>
        <v>2.7239669421487603E-2</v>
      </c>
      <c r="BX10" s="141">
        <f>IFERROR(H10/(up_RadSpec!AQ10*s_Q_w_swine*(1/1000)),".")</f>
        <v>2.6446280991735537E-2</v>
      </c>
      <c r="BY10" s="141">
        <f>IFERROR(D10/(up_RadSpec!AO10*s_Q_w_poultry*(1/1000)),".")</f>
        <v>2.6446280991735537E-2</v>
      </c>
      <c r="BZ10" s="141">
        <f>IFERROR(E10/(up_RadSpec!AP10*s_Q_w_poultry*(1/1000)),".")</f>
        <v>2.6446280991735537E-2</v>
      </c>
      <c r="CA10" s="141">
        <f>IFERROR(J10/(up_RadSpec!AT10*s_Q_w_goat*(1/1000)),".")</f>
        <v>2.6446280991735537E-2</v>
      </c>
      <c r="CB10" s="141">
        <f>IFERROR(L10*s_D_milk/(up_RadSpec!AU10*s_Q_w_goat_milk*(1/1000)),".")</f>
        <v>2.7239669421487603E-2</v>
      </c>
      <c r="CC10" s="141">
        <f>IFERROR(K10/(up_RadSpec!AR10*s_Q_w_sheep*(1/1000)),".")</f>
        <v>2.6446280991735537E-2</v>
      </c>
      <c r="CD10" s="141">
        <f>IFERROR(M10*s_D_milk/(up_RadSpec!AS10*s_Q_w_sheep_milk*(1/1000)),".")</f>
        <v>2.7239669421487603E-2</v>
      </c>
      <c r="CE10" s="158">
        <f t="shared" si="27"/>
        <v>275</v>
      </c>
      <c r="CF10" s="158" t="str">
        <f t="shared" si="28"/>
        <v>.</v>
      </c>
      <c r="CG10" s="158">
        <f t="shared" si="29"/>
        <v>2.5114155251141551E-2</v>
      </c>
      <c r="CH10" s="158">
        <f t="shared" si="30"/>
        <v>4561.0969557172393</v>
      </c>
      <c r="CI10" s="158">
        <f t="shared" si="31"/>
        <v>7.5625</v>
      </c>
      <c r="CJ10" s="158">
        <f t="shared" si="32"/>
        <v>37.8125</v>
      </c>
      <c r="CK10" s="158">
        <f t="shared" si="33"/>
        <v>36.711165048543691</v>
      </c>
      <c r="CL10" s="158">
        <f t="shared" si="34"/>
        <v>37.8125</v>
      </c>
      <c r="CM10" s="158">
        <f t="shared" si="35"/>
        <v>37.8125</v>
      </c>
      <c r="CN10" s="158">
        <f t="shared" si="36"/>
        <v>37.8125</v>
      </c>
      <c r="CO10" s="158">
        <f t="shared" si="37"/>
        <v>37.8125</v>
      </c>
      <c r="CP10" s="158">
        <f t="shared" si="38"/>
        <v>36.711165048543691</v>
      </c>
      <c r="CQ10" s="158">
        <f t="shared" si="39"/>
        <v>37.8125</v>
      </c>
      <c r="CR10" s="158">
        <f t="shared" si="40"/>
        <v>36.711165048543691</v>
      </c>
      <c r="CS10" s="141">
        <f t="shared" si="41"/>
        <v>1.9302436709720458E-4</v>
      </c>
      <c r="CT10" s="142">
        <f t="shared" si="42"/>
        <v>1375</v>
      </c>
      <c r="CU10" s="142">
        <f t="shared" si="43"/>
        <v>250.65104166666663</v>
      </c>
      <c r="CV10" s="142">
        <f t="shared" si="44"/>
        <v>0.12557077625570776</v>
      </c>
      <c r="CW10" s="142">
        <f>up_b2w!BZ10</f>
        <v>22805.4847785862</v>
      </c>
      <c r="CX10" s="142">
        <f>IFERROR(s_C*up_RadSpec!AN10*(1/1000)*s_IFFI_far_adj*s_CF_far_fish,0)</f>
        <v>37.8125</v>
      </c>
      <c r="CY10" s="142">
        <f>(s_C*s_IFB_far_adj*s_CF_far_beef*up_RadSpec!AM10*s_Q_w_beef*(1/1000))</f>
        <v>189.0625</v>
      </c>
      <c r="CZ10" s="142">
        <f>(s_C*s_IFD_far_adj*s_CF_far_dairy*up_RadSpec!AL10*(1/s_D_milk)*s_Q_w_dairy*(1/1000))</f>
        <v>183.55582524271844</v>
      </c>
      <c r="DA10" s="142">
        <f>(s_C*s_IFSW_far_adj*s_CF_far_swine*up_RadSpec!AQ10*s_Q_w_swine*(1/1000))</f>
        <v>189.0625</v>
      </c>
      <c r="DB10" s="142">
        <f>(s_C*s_IFP_far_adj*s_CF_far_poultry*up_RadSpec!AO10*s_Q_w_poultry*(1/1000))</f>
        <v>189.0625</v>
      </c>
      <c r="DC10" s="142">
        <f>(s_C*s_IFE_far_adj*s_CF_far_egg*up_RadSpec!AP10*s_Q_w_egg*(1/1000))</f>
        <v>189.0625</v>
      </c>
      <c r="DD10" s="142">
        <f>(s_C*s_IFGO_far_adj*s_CF_far_goat*up_RadSpec!AT10*s_Q_p_goat*(1/1000))</f>
        <v>189.0625</v>
      </c>
      <c r="DE10" s="142">
        <f>(s_C*s_IFGM_far_adj*s_CF_far_goat_milk*up_RadSpec!AU10*(1/s_D_milk)*s_Q_p_goat_milk*(1/1000))</f>
        <v>183.55582524271844</v>
      </c>
      <c r="DF10" s="142">
        <f>(s_C*s_IFSH_far_adj*s_CF_far_sheep*up_RadSpec!AR10*s_Q_p_sheep*(1/1000))</f>
        <v>189.0625</v>
      </c>
      <c r="DG10" s="142">
        <f>(s_C*s_IFSM_far_adj*s_CF_far_sheep_milk*up_RadSpec!AS10*(1/s_D_milk)*s_Q_p_sheep_milk*(1/1000))</f>
        <v>183.55582524271844</v>
      </c>
      <c r="DH10" s="141"/>
      <c r="DI10" s="141">
        <f>IFERROR((s_DL/(up_RadSpec!L10*s_IFA_far_adj)),".")</f>
        <v>9.9740259740259754E-3</v>
      </c>
      <c r="DJ10" s="141">
        <f>IFERROR((s_DL/(up_RadSpec!O10*s_EF_far*(1/365)*s_ED_far*s_ET_far*(1/24)*s_GSF_a)),".")</f>
        <v>15.927272727272728</v>
      </c>
      <c r="DK10" s="141">
        <f t="shared" si="48"/>
        <v>9.9677839175609673E-3</v>
      </c>
      <c r="DL10" s="142">
        <f t="shared" si="46"/>
        <v>501.30208333333326</v>
      </c>
      <c r="DM10" s="142">
        <f t="shared" si="47"/>
        <v>0.3139269406392694</v>
      </c>
      <c r="DN10" s="127"/>
    </row>
    <row r="11" spans="1:118" customFormat="1" x14ac:dyDescent="0.25">
      <c r="A11" s="128" t="s">
        <v>9</v>
      </c>
      <c r="B11" s="129" t="s">
        <v>1059</v>
      </c>
      <c r="C11" s="141">
        <f>up_dir!AB11</f>
        <v>2.2038567493112948E-4</v>
      </c>
      <c r="D11" s="141">
        <f>IFERROR(s_DL/(up_RadSpec!J11*s_IFP_far_adj*s_CF_far_poultry),".")</f>
        <v>6.6115702479338848E-4</v>
      </c>
      <c r="E11" s="141">
        <f>IFERROR(s_DL/(up_RadSpec!J11*s_IFE_far_adj*s_CF_far_egg),".")</f>
        <v>6.6115702479338848E-4</v>
      </c>
      <c r="F11" s="141">
        <f>IFERROR(s_DL/(up_RadSpec!J11*s_IFB_far_adj*s_CF_far_beef),".")</f>
        <v>6.6115702479338848E-4</v>
      </c>
      <c r="G11" s="141">
        <f>IFERROR(s_DL/(up_RadSpec!J11*s_IFD_far_adj*s_CF_far_dairy),".")</f>
        <v>6.6115702479338848E-4</v>
      </c>
      <c r="H11" s="141">
        <f>IFERROR(s_DL/(up_RadSpec!J11*s_IFSW_far_adj*s_CF_far_swine),".")</f>
        <v>6.6115702479338848E-4</v>
      </c>
      <c r="I11" s="141">
        <f>IFERROR(s_DL/(up_RadSpec!J11*s_IFFI_far_adj*s_CF_far_fish),".")</f>
        <v>6.6115702479338848E-4</v>
      </c>
      <c r="J11" s="141">
        <f>IFERROR(s_DL/(up_RadSpec!J11*s_IFGO_far_adj*s_CF_far_goat),".")</f>
        <v>6.6115702479338848E-4</v>
      </c>
      <c r="K11" s="141">
        <f>IFERROR(s_DL/(up_RadSpec!J11*s_IFSH_far_adj*s_CF_far_sheep),".")</f>
        <v>6.6115702479338848E-4</v>
      </c>
      <c r="L11" s="141">
        <f>IFERROR(s_DL/(up_RadSpec!J11*s_IFGM_far_adj*s_CF_far_goat_milk),".")</f>
        <v>6.6115702479338848E-4</v>
      </c>
      <c r="M11" s="141">
        <f>IFERROR(s_DL/(up_RadSpec!J11*s_IFSM_far_adj*s_CF_far_sheep_milk),".")</f>
        <v>6.6115702479338848E-4</v>
      </c>
      <c r="N11" s="142">
        <f>up_dir!BA11</f>
        <v>22687.5</v>
      </c>
      <c r="O11" s="142">
        <f t="shared" si="0"/>
        <v>7562.5</v>
      </c>
      <c r="P11" s="142">
        <f t="shared" si="1"/>
        <v>7562.5</v>
      </c>
      <c r="Q11" s="142">
        <f t="shared" si="2"/>
        <v>7562.5</v>
      </c>
      <c r="R11" s="142">
        <f t="shared" si="3"/>
        <v>7562.5</v>
      </c>
      <c r="S11" s="142">
        <f t="shared" si="4"/>
        <v>7562.5</v>
      </c>
      <c r="T11" s="142">
        <f t="shared" si="5"/>
        <v>7562.5</v>
      </c>
      <c r="U11" s="142">
        <f t="shared" si="6"/>
        <v>7562.5</v>
      </c>
      <c r="V11" s="142">
        <f t="shared" si="7"/>
        <v>7562.5</v>
      </c>
      <c r="W11" s="142">
        <f t="shared" si="8"/>
        <v>7562.5</v>
      </c>
      <c r="X11" s="142">
        <f t="shared" si="9"/>
        <v>7562.5</v>
      </c>
      <c r="Y11" s="141">
        <f>IFERROR((s_DL/(up_RadSpec!I11*s_IFS_far_adj*(1/1000)))*1,".")</f>
        <v>0.33057851239669422</v>
      </c>
      <c r="Z11" s="141">
        <f>IFERROR(IF(A11="H-3",(s_DL/(up_RadSpec!L11*s_IFA_far_adj*(1/17)*1000))*1,(s_DL/(up_RadSpec!L11*s_IFA_far_adj*(1/s_PEF_wind)*1000))*1),".")</f>
        <v>3089.9917845330979</v>
      </c>
      <c r="AA11" s="141">
        <f>IFERROR((s_DL/(up_RadSpec!K11*s_EF_far*(1/365)*s_ED_far*up_RadSpec!V11*((s_ET_far_o*(1/24)*up_RadSpec!AA11)+(s_ET_far_i*(1/24)*up_RadSpec!AF11))))*1,".")</f>
        <v>619.88011988011999</v>
      </c>
      <c r="AB11" s="141">
        <f>up_b2s!BA11</f>
        <v>4.3958447178843029E-5</v>
      </c>
      <c r="AC11" s="141">
        <f>IFERROR(((I11*up_RadSpec!AX11)/up_RadSpec!AN11)*1,".")</f>
        <v>6.6115702479338848E-4</v>
      </c>
      <c r="AD11" s="141">
        <f>IFERROR((F11/(up_RadSpec!AM11*((s_Q_p_beef*s_f_p_beef*s_f_s_beef*(up_RadSpec!BG11+s_R_es_past))+(s_Q_s_beef*s_f_p_beef))))*1,".")</f>
        <v>1.8558793678410905E-7</v>
      </c>
      <c r="AE11" s="141">
        <f>IFERROR(((G11*s_D_milk)/(up_RadSpec!AL11*((s_Q_p_dairy*s_f_p_dairy*s_f_s_dairy*(up_RadSpec!BG11+s_R_es_past))+(s_Q_s_dairy*s_f_p_dairy))))*1,".")</f>
        <v>1.9115557488763231E-7</v>
      </c>
      <c r="AF11" s="141">
        <f>IFERROR((H11/(up_RadSpec!AQ11*((s_Q_p_swine*s_f_p_swine*s_f_s_swine*(up_RadSpec!BG11+s_R_es_past))+(s_Q_s_swine*s_f_p_swine))))*1,".")</f>
        <v>1.8558793678410905E-7</v>
      </c>
      <c r="AG11" s="141">
        <f>IFERROR((D11/(up_RadSpec!AO11*((s_Q_p_poultry*s_f_p_poultry*s_f_s_poultry*(up_RadSpec!BG11+s_R_es_past))+(s_Q_s_poultry*s_f_p_poultry))))*1,".")</f>
        <v>1.8558793678410905E-7</v>
      </c>
      <c r="AH11" s="141">
        <f>IFERROR((E11/(up_RadSpec!AP11*((s_Q_p_poultry*s_f_p_poultry*s_f_s_poultry*(up_RadSpec!BG11+s_R_es_past))+(s_Q_s_poultry*s_f_p_poultry))))*1,".")</f>
        <v>1.8558793678410905E-7</v>
      </c>
      <c r="AI11" s="141">
        <f>IFERROR((J11/(up_RadSpec!AT11*((s_Q_p_goat*s_f_p_goat*s_f_s_goat*(up_RadSpec!BG11+s_R_es_past))+(s_Q_s_goat*s_f_p_goat))))*1,".")</f>
        <v>1.8558793678410905E-7</v>
      </c>
      <c r="AJ11" s="141">
        <f>IFERROR((L11*s_D_milk/(up_RadSpec!AU11*((s_Q_p_goat_milk*s_f_p_goat_milk*s_f_s_goat_milk*(up_RadSpec!BG11+s_R_es_past))+(s_Q_s_goat_milk*s_f_p_goat_milk))))*1,".")</f>
        <v>1.9115557488763231E-7</v>
      </c>
      <c r="AK11" s="141">
        <f>IFERROR((K11/(up_RadSpec!AR11*((s_Q_p_sheep*s_f_p_sheep*s_f_s_sheep*(up_RadSpec!BG11+s_R_es_past))+(s_Q_s_sheep*s_f_p_sheep))))*1,".")</f>
        <v>1.8558793678410905E-7</v>
      </c>
      <c r="AL11" s="141">
        <f>IFERROR((M11*s_D_milk/(up_RadSpec!AS11*((s_Q_p_sheep_milk*s_f_p_sheep_milk*s_f_s_sheep_milk*(up_RadSpec!BG11+s_R_es_past))+(s_Q_s_sheep_milk*s_f_p_sheep_milk))))*1,".")</f>
        <v>1.9115557488763231E-7</v>
      </c>
      <c r="AM11" s="158">
        <f t="shared" si="10"/>
        <v>3.0249999999999999</v>
      </c>
      <c r="AN11" s="158">
        <f t="shared" si="11"/>
        <v>3.2362545590104258E-4</v>
      </c>
      <c r="AO11" s="158">
        <f t="shared" si="12"/>
        <v>1.6132151490733278E-3</v>
      </c>
      <c r="AP11" s="158">
        <f t="shared" si="13"/>
        <v>22748.756249999995</v>
      </c>
      <c r="AQ11" s="158">
        <f t="shared" si="14"/>
        <v>1512.5</v>
      </c>
      <c r="AR11" s="158">
        <f t="shared" si="15"/>
        <v>5388281.2499999991</v>
      </c>
      <c r="AS11" s="158">
        <f t="shared" si="16"/>
        <v>5231341.0194174759</v>
      </c>
      <c r="AT11" s="158">
        <f t="shared" si="17"/>
        <v>5388281.2499999991</v>
      </c>
      <c r="AU11" s="158">
        <f t="shared" si="18"/>
        <v>5388281.2499999991</v>
      </c>
      <c r="AV11" s="158">
        <f t="shared" si="19"/>
        <v>5388281.2499999991</v>
      </c>
      <c r="AW11" s="158">
        <f t="shared" si="20"/>
        <v>5388281.2499999991</v>
      </c>
      <c r="AX11" s="158">
        <f t="shared" si="21"/>
        <v>5231341.0194174759</v>
      </c>
      <c r="AY11" s="158">
        <f t="shared" si="22"/>
        <v>5388281.2499999991</v>
      </c>
      <c r="AZ11" s="158">
        <f t="shared" si="23"/>
        <v>5231341.0194174759</v>
      </c>
      <c r="BA11" s="141">
        <f t="shared" si="24"/>
        <v>2.0812531710234415E-8</v>
      </c>
      <c r="BB11" s="142">
        <f t="shared" si="25"/>
        <v>15.125</v>
      </c>
      <c r="BC11" s="142">
        <f t="shared" si="26"/>
        <v>1.618127279505213E-3</v>
      </c>
      <c r="BD11" s="142">
        <f>IFERROR((s_C*s_EF_far*(1/365)*s_ED_far*up_RadSpec!V11*((s_ET_far_o*(1/24)*up_RadSpec!AA11)+(s_ET_far_i*(1/24)*up_RadSpec!AF11))),".")</f>
        <v>8.0660757453666389E-3</v>
      </c>
      <c r="BE11" s="142">
        <f>up_b2s!BZ11</f>
        <v>113743.78125</v>
      </c>
      <c r="BF11" s="142">
        <f>IFERROR(((s_C*up_RadSpec!AN11)/up_RadSpec!AX11)*s_IFFI_far_adj*s_CF_far_fish,0)</f>
        <v>7562.5</v>
      </c>
      <c r="BG11" s="142">
        <f>(s_C*s_IFB_far_adj*s_CF_far_beef*up_RadSpec!AM11*((s_Q_p_beef*s_f_p_beef*s_f_s_beef*(up_RadSpec!$AW11+s_R_es_past))+(s_Q_s_beef*s_f_p_beef)))</f>
        <v>26941406.25</v>
      </c>
      <c r="BH11" s="142">
        <f>(s_C*s_IFD_far_adj*s_CF_far_dairy*up_RadSpec!AL11*1/s_D_milk*((s_Q_p_dairy*s_f_p_dairy*s_f_s_dairy*(up_RadSpec!$AW11+s_R_es_past))+(s_Q_s_dairy*s_f_p_dairy)))</f>
        <v>26156705.09708738</v>
      </c>
      <c r="BI11" s="142">
        <f>(s_C*s_IFSW_far_adj*s_CF_far_swine*up_RadSpec!AQ11*((s_Q_p_swine*s_f_p_swine*s_f_s_swine*(up_RadSpec!$AW11+s_R_es_past))+(s_Q_s_swine*s_f_p_swine)))</f>
        <v>26941406.25</v>
      </c>
      <c r="BJ11" s="142">
        <f>(s_C*s_IFP_far_adj*s_CF_far_poultry*up_RadSpec!AO11*((s_Q_p_poultry*s_f_p_poultry*s_f_s_poultry*(up_RadSpec!AW11+s_R_es_past))+(s_Q_s_poultry*s_f_p_poultry)))</f>
        <v>26941406.25</v>
      </c>
      <c r="BK11" s="142">
        <f>(s_C*s_IFE_far_adj*s_CF_far_egg*up_RadSpec!AP11*((s_Q_p_egg*s_f_p_egg*s_f_s_egg*(up_RadSpec!$AW11+s_R_es_past))+(s_Q_s_egg*s_f_p_egg)))</f>
        <v>26941406.25</v>
      </c>
      <c r="BL11" s="142">
        <f>(s_C*s_IFGO_far_adj*s_CF_far_goat*up_RadSpec!AT11*((s_Q_p_goat*s_f_p_goat*s_f_s_goat*(up_RadSpec!$AW11+s_R_es_past))+(s_Q_s_goat*s_f_p_goat)))</f>
        <v>26941406.25</v>
      </c>
      <c r="BM11" s="142">
        <f>(s_C*s_IFGM_far_adj*s_CF_far_goat_milk*up_RadSpec!AU11*1/s_D_milk*((s_Q_p_goat_milk*s_f_p_goat_milk*s_f_s_goat_milk*(up_RadSpec!$AW11+s_R_es_past))+(s_Q_s_goat_milk*s_f_p_goat_milk)))</f>
        <v>26156705.09708738</v>
      </c>
      <c r="BN11" s="142">
        <f>(s_C*s_IFSH_far_adj*s_CF_far_sheep*up_RadSpec!AR11*((s_Q_p_sheep*s_f_p_sheep*s_f_s_sheep*(up_RadSpec!$AW11+s_R_es_past))+(s_Q_s_sheep*s_f_p_sheep)))</f>
        <v>26941406.25</v>
      </c>
      <c r="BO11" s="142">
        <f>(s_C*s_IFSM_far_adj*s_CF_far_sheep_milk*up_RadSpec!AS11*1/s_D_milk*((s_Q_p_sheep_milk*s_f_p_sheep_milk*s_f_s_sheep_milk*(up_RadSpec!$AW11+s_R_es_past))+(s_Q_s_sheep_milk*s_f_p_sheep_milk)))</f>
        <v>26156705.09708738</v>
      </c>
      <c r="BP11" s="141"/>
      <c r="BQ11" s="141">
        <f>IFERROR(s_DL/(up_RadSpec!M11*s_IFW_far_adj),".")</f>
        <v>3.6363636363636364E-3</v>
      </c>
      <c r="BR11" s="141" t="str">
        <f>IFERROR(IF(up_RadSpec!C11=1,s_DL/(up_RadSpec!L11*s_IFA_far_adj*s_K),"."),".")</f>
        <v>.</v>
      </c>
      <c r="BS11" s="141">
        <f>IFERROR((s_DL/(up_RadSpec!Q11*(1/8760)*s_DFA_far_adj)),".")</f>
        <v>39.81818181818182</v>
      </c>
      <c r="BT11" s="141">
        <f>up_b2w!BA11</f>
        <v>2.1924550381384044E-4</v>
      </c>
      <c r="BU11" s="141">
        <f>IFERROR(I11/(up_RadSpec!AN11*(1/1000)),".")</f>
        <v>0.13223140495867769</v>
      </c>
      <c r="BV11" s="141">
        <f>IFERROR(F11/(up_RadSpec!AM11*s_Q_w_beef*(1/1000)),".")</f>
        <v>2.6446280991735537E-2</v>
      </c>
      <c r="BW11" s="141">
        <f>IFERROR((G11*s_D_milk)/(up_RadSpec!AL11*s_Q_w_dairy*(1/1000)),".")</f>
        <v>2.7239669421487603E-2</v>
      </c>
      <c r="BX11" s="141">
        <f>IFERROR(H11/(up_RadSpec!AQ11*s_Q_w_swine*(1/1000)),".")</f>
        <v>2.6446280991735537E-2</v>
      </c>
      <c r="BY11" s="141">
        <f>IFERROR(D11/(up_RadSpec!AO11*s_Q_w_poultry*(1/1000)),".")</f>
        <v>2.6446280991735537E-2</v>
      </c>
      <c r="BZ11" s="141">
        <f>IFERROR(E11/(up_RadSpec!AP11*s_Q_w_poultry*(1/1000)),".")</f>
        <v>2.6446280991735537E-2</v>
      </c>
      <c r="CA11" s="141">
        <f>IFERROR(J11/(up_RadSpec!AT11*s_Q_w_goat*(1/1000)),".")</f>
        <v>2.6446280991735537E-2</v>
      </c>
      <c r="CB11" s="141">
        <f>IFERROR(L11*s_D_milk/(up_RadSpec!AU11*s_Q_w_goat_milk*(1/1000)),".")</f>
        <v>2.7239669421487603E-2</v>
      </c>
      <c r="CC11" s="141">
        <f>IFERROR(K11/(up_RadSpec!AR11*s_Q_w_sheep*(1/1000)),".")</f>
        <v>2.6446280991735537E-2</v>
      </c>
      <c r="CD11" s="141">
        <f>IFERROR(M11*s_D_milk/(up_RadSpec!AS11*s_Q_w_sheep_milk*(1/1000)),".")</f>
        <v>2.7239669421487603E-2</v>
      </c>
      <c r="CE11" s="158">
        <f t="shared" si="27"/>
        <v>275</v>
      </c>
      <c r="CF11" s="158" t="str">
        <f t="shared" si="28"/>
        <v>.</v>
      </c>
      <c r="CG11" s="158">
        <f t="shared" si="29"/>
        <v>2.5114155251141551E-2</v>
      </c>
      <c r="CH11" s="158">
        <f t="shared" si="30"/>
        <v>4561.0969557172393</v>
      </c>
      <c r="CI11" s="158">
        <f t="shared" si="31"/>
        <v>7.5625</v>
      </c>
      <c r="CJ11" s="158">
        <f t="shared" si="32"/>
        <v>37.8125</v>
      </c>
      <c r="CK11" s="158">
        <f t="shared" si="33"/>
        <v>36.711165048543691</v>
      </c>
      <c r="CL11" s="158">
        <f t="shared" si="34"/>
        <v>37.8125</v>
      </c>
      <c r="CM11" s="158">
        <f t="shared" si="35"/>
        <v>37.8125</v>
      </c>
      <c r="CN11" s="158">
        <f t="shared" si="36"/>
        <v>37.8125</v>
      </c>
      <c r="CO11" s="158">
        <f t="shared" si="37"/>
        <v>37.8125</v>
      </c>
      <c r="CP11" s="158">
        <f t="shared" si="38"/>
        <v>36.711165048543691</v>
      </c>
      <c r="CQ11" s="158">
        <f t="shared" si="39"/>
        <v>37.8125</v>
      </c>
      <c r="CR11" s="158">
        <f t="shared" si="40"/>
        <v>36.711165048543691</v>
      </c>
      <c r="CS11" s="141">
        <f t="shared" si="41"/>
        <v>1.9302436709720458E-4</v>
      </c>
      <c r="CT11" s="142">
        <f t="shared" si="42"/>
        <v>1375</v>
      </c>
      <c r="CU11" s="142">
        <f t="shared" si="43"/>
        <v>250.65104166666663</v>
      </c>
      <c r="CV11" s="142">
        <f t="shared" si="44"/>
        <v>0.12557077625570776</v>
      </c>
      <c r="CW11" s="142">
        <f>up_b2w!BZ11</f>
        <v>22805.4847785862</v>
      </c>
      <c r="CX11" s="142">
        <f>IFERROR(s_C*up_RadSpec!AN11*(1/1000)*s_IFFI_far_adj*s_CF_far_fish,0)</f>
        <v>37.8125</v>
      </c>
      <c r="CY11" s="142">
        <f>(s_C*s_IFB_far_adj*s_CF_far_beef*up_RadSpec!AM11*s_Q_w_beef*(1/1000))</f>
        <v>189.0625</v>
      </c>
      <c r="CZ11" s="142">
        <f>(s_C*s_IFD_far_adj*s_CF_far_dairy*up_RadSpec!AL11*(1/s_D_milk)*s_Q_w_dairy*(1/1000))</f>
        <v>183.55582524271844</v>
      </c>
      <c r="DA11" s="142">
        <f>(s_C*s_IFSW_far_adj*s_CF_far_swine*up_RadSpec!AQ11*s_Q_w_swine*(1/1000))</f>
        <v>189.0625</v>
      </c>
      <c r="DB11" s="142">
        <f>(s_C*s_IFP_far_adj*s_CF_far_poultry*up_RadSpec!AO11*s_Q_w_poultry*(1/1000))</f>
        <v>189.0625</v>
      </c>
      <c r="DC11" s="142">
        <f>(s_C*s_IFE_far_adj*s_CF_far_egg*up_RadSpec!AP11*s_Q_w_egg*(1/1000))</f>
        <v>189.0625</v>
      </c>
      <c r="DD11" s="142">
        <f>(s_C*s_IFGO_far_adj*s_CF_far_goat*up_RadSpec!AT11*s_Q_p_goat*(1/1000))</f>
        <v>189.0625</v>
      </c>
      <c r="DE11" s="142">
        <f>(s_C*s_IFGM_far_adj*s_CF_far_goat_milk*up_RadSpec!AU11*(1/s_D_milk)*s_Q_p_goat_milk*(1/1000))</f>
        <v>183.55582524271844</v>
      </c>
      <c r="DF11" s="142">
        <f>(s_C*s_IFSH_far_adj*s_CF_far_sheep*up_RadSpec!AR11*s_Q_p_sheep*(1/1000))</f>
        <v>189.0625</v>
      </c>
      <c r="DG11" s="142">
        <f>(s_C*s_IFSM_far_adj*s_CF_far_sheep_milk*up_RadSpec!AS11*(1/s_D_milk)*s_Q_p_sheep_milk*(1/1000))</f>
        <v>183.55582524271844</v>
      </c>
      <c r="DH11" s="141"/>
      <c r="DI11" s="141">
        <f>IFERROR((s_DL/(up_RadSpec!L11*s_IFA_far_adj)),".")</f>
        <v>9.9740259740259754E-3</v>
      </c>
      <c r="DJ11" s="141">
        <f>IFERROR((s_DL/(up_RadSpec!O11*s_EF_far*(1/365)*s_ED_far*s_ET_far*(1/24)*s_GSF_a)),".")</f>
        <v>15.927272727272728</v>
      </c>
      <c r="DK11" s="141">
        <f t="shared" si="48"/>
        <v>9.9677839175609673E-3</v>
      </c>
      <c r="DL11" s="142">
        <f t="shared" si="46"/>
        <v>501.30208333333326</v>
      </c>
      <c r="DM11" s="142">
        <f t="shared" si="47"/>
        <v>0.3139269406392694</v>
      </c>
      <c r="DN11" s="127"/>
    </row>
    <row r="12" spans="1:118" customFormat="1" x14ac:dyDescent="0.25">
      <c r="A12" s="128" t="s">
        <v>10</v>
      </c>
      <c r="B12" s="129" t="s">
        <v>1059</v>
      </c>
      <c r="C12" s="141">
        <f>up_dir!AB12</f>
        <v>2.2038567493112948E-4</v>
      </c>
      <c r="D12" s="141">
        <f>IFERROR(s_DL/(up_RadSpec!J12*s_IFP_far_adj*s_CF_far_poultry),".")</f>
        <v>6.6115702479338848E-4</v>
      </c>
      <c r="E12" s="141">
        <f>IFERROR(s_DL/(up_RadSpec!J12*s_IFE_far_adj*s_CF_far_egg),".")</f>
        <v>6.6115702479338848E-4</v>
      </c>
      <c r="F12" s="141">
        <f>IFERROR(s_DL/(up_RadSpec!J12*s_IFB_far_adj*s_CF_far_beef),".")</f>
        <v>6.6115702479338848E-4</v>
      </c>
      <c r="G12" s="141">
        <f>IFERROR(s_DL/(up_RadSpec!J12*s_IFD_far_adj*s_CF_far_dairy),".")</f>
        <v>6.6115702479338848E-4</v>
      </c>
      <c r="H12" s="141">
        <f>IFERROR(s_DL/(up_RadSpec!J12*s_IFSW_far_adj*s_CF_far_swine),".")</f>
        <v>6.6115702479338848E-4</v>
      </c>
      <c r="I12" s="141">
        <f>IFERROR(s_DL/(up_RadSpec!J12*s_IFFI_far_adj*s_CF_far_fish),".")</f>
        <v>6.6115702479338848E-4</v>
      </c>
      <c r="J12" s="141">
        <f>IFERROR(s_DL/(up_RadSpec!J12*s_IFGO_far_adj*s_CF_far_goat),".")</f>
        <v>6.6115702479338848E-4</v>
      </c>
      <c r="K12" s="141">
        <f>IFERROR(s_DL/(up_RadSpec!J12*s_IFSH_far_adj*s_CF_far_sheep),".")</f>
        <v>6.6115702479338848E-4</v>
      </c>
      <c r="L12" s="141">
        <f>IFERROR(s_DL/(up_RadSpec!J12*s_IFGM_far_adj*s_CF_far_goat_milk),".")</f>
        <v>6.6115702479338848E-4</v>
      </c>
      <c r="M12" s="141">
        <f>IFERROR(s_DL/(up_RadSpec!J12*s_IFSM_far_adj*s_CF_far_sheep_milk),".")</f>
        <v>6.6115702479338848E-4</v>
      </c>
      <c r="N12" s="142">
        <f>up_dir!BA12</f>
        <v>22687.5</v>
      </c>
      <c r="O12" s="142">
        <f t="shared" si="0"/>
        <v>7562.5</v>
      </c>
      <c r="P12" s="142">
        <f t="shared" si="1"/>
        <v>7562.5</v>
      </c>
      <c r="Q12" s="142">
        <f t="shared" si="2"/>
        <v>7562.5</v>
      </c>
      <c r="R12" s="142">
        <f t="shared" si="3"/>
        <v>7562.5</v>
      </c>
      <c r="S12" s="142">
        <f t="shared" si="4"/>
        <v>7562.5</v>
      </c>
      <c r="T12" s="142">
        <f t="shared" si="5"/>
        <v>7562.5</v>
      </c>
      <c r="U12" s="142">
        <f t="shared" si="6"/>
        <v>7562.5</v>
      </c>
      <c r="V12" s="142">
        <f t="shared" si="7"/>
        <v>7562.5</v>
      </c>
      <c r="W12" s="142">
        <f t="shared" si="8"/>
        <v>7562.5</v>
      </c>
      <c r="X12" s="142">
        <f t="shared" si="9"/>
        <v>7562.5</v>
      </c>
      <c r="Y12" s="141">
        <f>IFERROR((s_DL/(up_RadSpec!I12*s_IFS_far_adj*(1/1000)))*1,".")</f>
        <v>0.33057851239669422</v>
      </c>
      <c r="Z12" s="141">
        <f>IFERROR(IF(A12="H-3",(s_DL/(up_RadSpec!L12*s_IFA_far_adj*(1/17)*1000))*1,(s_DL/(up_RadSpec!L12*s_IFA_far_adj*(1/s_PEF_wind)*1000))*1),".")</f>
        <v>3089.9917845330979</v>
      </c>
      <c r="AA12" s="141">
        <f>IFERROR((s_DL/(up_RadSpec!K12*s_EF_far*(1/365)*s_ED_far*up_RadSpec!V12*((s_ET_far_o*(1/24)*up_RadSpec!AA12)+(s_ET_far_i*(1/24)*up_RadSpec!AF12))))*1,".")</f>
        <v>297.00857632933105</v>
      </c>
      <c r="AB12" s="141">
        <f>up_b2s!BA12</f>
        <v>4.3958447178843029E-5</v>
      </c>
      <c r="AC12" s="141">
        <f>IFERROR(((I12*up_RadSpec!AX12)/up_RadSpec!AN12)*1,".")</f>
        <v>6.6115702479338848E-4</v>
      </c>
      <c r="AD12" s="141">
        <f>IFERROR((F12/(up_RadSpec!AM12*((s_Q_p_beef*s_f_p_beef*s_f_s_beef*(up_RadSpec!BG12+s_R_es_past))+(s_Q_s_beef*s_f_p_beef))))*1,".")</f>
        <v>1.8558793678410905E-7</v>
      </c>
      <c r="AE12" s="141">
        <f>IFERROR(((G12*s_D_milk)/(up_RadSpec!AL12*((s_Q_p_dairy*s_f_p_dairy*s_f_s_dairy*(up_RadSpec!BG12+s_R_es_past))+(s_Q_s_dairy*s_f_p_dairy))))*1,".")</f>
        <v>1.9115557488763231E-7</v>
      </c>
      <c r="AF12" s="141">
        <f>IFERROR((H12/(up_RadSpec!AQ12*((s_Q_p_swine*s_f_p_swine*s_f_s_swine*(up_RadSpec!BG12+s_R_es_past))+(s_Q_s_swine*s_f_p_swine))))*1,".")</f>
        <v>1.8558793678410905E-7</v>
      </c>
      <c r="AG12" s="141">
        <f>IFERROR((D12/(up_RadSpec!AO12*((s_Q_p_poultry*s_f_p_poultry*s_f_s_poultry*(up_RadSpec!BG12+s_R_es_past))+(s_Q_s_poultry*s_f_p_poultry))))*1,".")</f>
        <v>1.8558793678410905E-7</v>
      </c>
      <c r="AH12" s="141">
        <f>IFERROR((E12/(up_RadSpec!AP12*((s_Q_p_poultry*s_f_p_poultry*s_f_s_poultry*(up_RadSpec!BG12+s_R_es_past))+(s_Q_s_poultry*s_f_p_poultry))))*1,".")</f>
        <v>1.8558793678410905E-7</v>
      </c>
      <c r="AI12" s="141">
        <f>IFERROR((J12/(up_RadSpec!AT12*((s_Q_p_goat*s_f_p_goat*s_f_s_goat*(up_RadSpec!BG12+s_R_es_past))+(s_Q_s_goat*s_f_p_goat))))*1,".")</f>
        <v>1.8558793678410905E-7</v>
      </c>
      <c r="AJ12" s="141">
        <f>IFERROR((L12*s_D_milk/(up_RadSpec!AU12*((s_Q_p_goat_milk*s_f_p_goat_milk*s_f_s_goat_milk*(up_RadSpec!BG12+s_R_es_past))+(s_Q_s_goat_milk*s_f_p_goat_milk))))*1,".")</f>
        <v>1.9115557488763231E-7</v>
      </c>
      <c r="AK12" s="141">
        <f>IFERROR((K12/(up_RadSpec!AR12*((s_Q_p_sheep*s_f_p_sheep*s_f_s_sheep*(up_RadSpec!BG12+s_R_es_past))+(s_Q_s_sheep*s_f_p_sheep))))*1,".")</f>
        <v>1.8558793678410905E-7</v>
      </c>
      <c r="AL12" s="141">
        <f>IFERROR((M12*s_D_milk/(up_RadSpec!AS12*((s_Q_p_sheep_milk*s_f_p_sheep_milk*s_f_s_sheep_milk*(up_RadSpec!BG12+s_R_es_past))+(s_Q_s_sheep_milk*s_f_p_sheep_milk))))*1,".")</f>
        <v>1.9115557488763231E-7</v>
      </c>
      <c r="AM12" s="158">
        <f t="shared" si="10"/>
        <v>3.0249999999999999</v>
      </c>
      <c r="AN12" s="158">
        <f t="shared" si="11"/>
        <v>3.2362545590104258E-4</v>
      </c>
      <c r="AO12" s="158">
        <f t="shared" si="12"/>
        <v>3.3669061424380325E-3</v>
      </c>
      <c r="AP12" s="158">
        <f t="shared" si="13"/>
        <v>22748.756249999995</v>
      </c>
      <c r="AQ12" s="158">
        <f t="shared" si="14"/>
        <v>1512.5</v>
      </c>
      <c r="AR12" s="158">
        <f t="shared" si="15"/>
        <v>5388281.2499999991</v>
      </c>
      <c r="AS12" s="158">
        <f t="shared" si="16"/>
        <v>5231341.0194174759</v>
      </c>
      <c r="AT12" s="158">
        <f t="shared" si="17"/>
        <v>5388281.2499999991</v>
      </c>
      <c r="AU12" s="158">
        <f t="shared" si="18"/>
        <v>5388281.2499999991</v>
      </c>
      <c r="AV12" s="158">
        <f t="shared" si="19"/>
        <v>5388281.2499999991</v>
      </c>
      <c r="AW12" s="158">
        <f t="shared" si="20"/>
        <v>5388281.2499999991</v>
      </c>
      <c r="AX12" s="158">
        <f t="shared" si="21"/>
        <v>5231341.0194174759</v>
      </c>
      <c r="AY12" s="158">
        <f t="shared" si="22"/>
        <v>5388281.2499999991</v>
      </c>
      <c r="AZ12" s="158">
        <f t="shared" si="23"/>
        <v>5231341.0194174759</v>
      </c>
      <c r="BA12" s="141">
        <f t="shared" si="24"/>
        <v>2.0812531709474779E-8</v>
      </c>
      <c r="BB12" s="142">
        <f t="shared" si="25"/>
        <v>15.125</v>
      </c>
      <c r="BC12" s="142">
        <f t="shared" si="26"/>
        <v>1.618127279505213E-3</v>
      </c>
      <c r="BD12" s="142">
        <f>IFERROR((s_C*s_EF_far*(1/365)*s_ED_far*up_RadSpec!V12*((s_ET_far_o*(1/24)*up_RadSpec!AA12)+(s_ET_far_i*(1/24)*up_RadSpec!AF12))),".")</f>
        <v>1.6834530712190165E-2</v>
      </c>
      <c r="BE12" s="142">
        <f>up_b2s!BZ12</f>
        <v>113743.78125</v>
      </c>
      <c r="BF12" s="142">
        <f>IFERROR(((s_C*up_RadSpec!AN12)/up_RadSpec!AX12)*s_IFFI_far_adj*s_CF_far_fish,0)</f>
        <v>7562.5</v>
      </c>
      <c r="BG12" s="142">
        <f>(s_C*s_IFB_far_adj*s_CF_far_beef*up_RadSpec!AM12*((s_Q_p_beef*s_f_p_beef*s_f_s_beef*(up_RadSpec!$AW12+s_R_es_past))+(s_Q_s_beef*s_f_p_beef)))</f>
        <v>26941406.25</v>
      </c>
      <c r="BH12" s="142">
        <f>(s_C*s_IFD_far_adj*s_CF_far_dairy*up_RadSpec!AL12*1/s_D_milk*((s_Q_p_dairy*s_f_p_dairy*s_f_s_dairy*(up_RadSpec!$AW12+s_R_es_past))+(s_Q_s_dairy*s_f_p_dairy)))</f>
        <v>26156705.09708738</v>
      </c>
      <c r="BI12" s="142">
        <f>(s_C*s_IFSW_far_adj*s_CF_far_swine*up_RadSpec!AQ12*((s_Q_p_swine*s_f_p_swine*s_f_s_swine*(up_RadSpec!$AW12+s_R_es_past))+(s_Q_s_swine*s_f_p_swine)))</f>
        <v>26941406.25</v>
      </c>
      <c r="BJ12" s="142">
        <f>(s_C*s_IFP_far_adj*s_CF_far_poultry*up_RadSpec!AO12*((s_Q_p_poultry*s_f_p_poultry*s_f_s_poultry*(up_RadSpec!AW12+s_R_es_past))+(s_Q_s_poultry*s_f_p_poultry)))</f>
        <v>26941406.25</v>
      </c>
      <c r="BK12" s="142">
        <f>(s_C*s_IFE_far_adj*s_CF_far_egg*up_RadSpec!AP12*((s_Q_p_egg*s_f_p_egg*s_f_s_egg*(up_RadSpec!$AW12+s_R_es_past))+(s_Q_s_egg*s_f_p_egg)))</f>
        <v>26941406.25</v>
      </c>
      <c r="BL12" s="142">
        <f>(s_C*s_IFGO_far_adj*s_CF_far_goat*up_RadSpec!AT12*((s_Q_p_goat*s_f_p_goat*s_f_s_goat*(up_RadSpec!$AW12+s_R_es_past))+(s_Q_s_goat*s_f_p_goat)))</f>
        <v>26941406.25</v>
      </c>
      <c r="BM12" s="142">
        <f>(s_C*s_IFGM_far_adj*s_CF_far_goat_milk*up_RadSpec!AU12*1/s_D_milk*((s_Q_p_goat_milk*s_f_p_goat_milk*s_f_s_goat_milk*(up_RadSpec!$AW12+s_R_es_past))+(s_Q_s_goat_milk*s_f_p_goat_milk)))</f>
        <v>26156705.09708738</v>
      </c>
      <c r="BN12" s="142">
        <f>(s_C*s_IFSH_far_adj*s_CF_far_sheep*up_RadSpec!AR12*((s_Q_p_sheep*s_f_p_sheep*s_f_s_sheep*(up_RadSpec!$AW12+s_R_es_past))+(s_Q_s_sheep*s_f_p_sheep)))</f>
        <v>26941406.25</v>
      </c>
      <c r="BO12" s="142">
        <f>(s_C*s_IFSM_far_adj*s_CF_far_sheep_milk*up_RadSpec!AS12*1/s_D_milk*((s_Q_p_sheep_milk*s_f_p_sheep_milk*s_f_s_sheep_milk*(up_RadSpec!$AW12+s_R_es_past))+(s_Q_s_sheep_milk*s_f_p_sheep_milk)))</f>
        <v>26156705.09708738</v>
      </c>
      <c r="BP12" s="141"/>
      <c r="BQ12" s="141">
        <f>IFERROR(s_DL/(up_RadSpec!M12*s_IFW_far_adj),".")</f>
        <v>3.6363636363636364E-3</v>
      </c>
      <c r="BR12" s="141" t="str">
        <f>IFERROR(IF(up_RadSpec!C12=1,s_DL/(up_RadSpec!L12*s_IFA_far_adj*s_K),"."),".")</f>
        <v>.</v>
      </c>
      <c r="BS12" s="141">
        <f>IFERROR((s_DL/(up_RadSpec!Q12*(1/8760)*s_DFA_far_adj)),".")</f>
        <v>39.81818181818182</v>
      </c>
      <c r="BT12" s="141">
        <f>up_b2w!BA12</f>
        <v>2.1924550381384044E-4</v>
      </c>
      <c r="BU12" s="141">
        <f>IFERROR(I12/(up_RadSpec!AN12*(1/1000)),".")</f>
        <v>0.13223140495867769</v>
      </c>
      <c r="BV12" s="141">
        <f>IFERROR(F12/(up_RadSpec!AM12*s_Q_w_beef*(1/1000)),".")</f>
        <v>2.6446280991735537E-2</v>
      </c>
      <c r="BW12" s="141">
        <f>IFERROR((G12*s_D_milk)/(up_RadSpec!AL12*s_Q_w_dairy*(1/1000)),".")</f>
        <v>2.7239669421487603E-2</v>
      </c>
      <c r="BX12" s="141">
        <f>IFERROR(H12/(up_RadSpec!AQ12*s_Q_w_swine*(1/1000)),".")</f>
        <v>2.6446280991735537E-2</v>
      </c>
      <c r="BY12" s="141">
        <f>IFERROR(D12/(up_RadSpec!AO12*s_Q_w_poultry*(1/1000)),".")</f>
        <v>2.6446280991735537E-2</v>
      </c>
      <c r="BZ12" s="141">
        <f>IFERROR(E12/(up_RadSpec!AP12*s_Q_w_poultry*(1/1000)),".")</f>
        <v>2.6446280991735537E-2</v>
      </c>
      <c r="CA12" s="141">
        <f>IFERROR(J12/(up_RadSpec!AT12*s_Q_w_goat*(1/1000)),".")</f>
        <v>2.6446280991735537E-2</v>
      </c>
      <c r="CB12" s="141">
        <f>IFERROR(L12*s_D_milk/(up_RadSpec!AU12*s_Q_w_goat_milk*(1/1000)),".")</f>
        <v>2.7239669421487603E-2</v>
      </c>
      <c r="CC12" s="141">
        <f>IFERROR(K12/(up_RadSpec!AR12*s_Q_w_sheep*(1/1000)),".")</f>
        <v>2.6446280991735537E-2</v>
      </c>
      <c r="CD12" s="141">
        <f>IFERROR(M12*s_D_milk/(up_RadSpec!AS12*s_Q_w_sheep_milk*(1/1000)),".")</f>
        <v>2.7239669421487603E-2</v>
      </c>
      <c r="CE12" s="158">
        <f t="shared" si="27"/>
        <v>275</v>
      </c>
      <c r="CF12" s="158" t="str">
        <f t="shared" si="28"/>
        <v>.</v>
      </c>
      <c r="CG12" s="158">
        <f t="shared" si="29"/>
        <v>2.5114155251141551E-2</v>
      </c>
      <c r="CH12" s="158">
        <f t="shared" si="30"/>
        <v>4561.0969557172393</v>
      </c>
      <c r="CI12" s="158">
        <f t="shared" si="31"/>
        <v>7.5625</v>
      </c>
      <c r="CJ12" s="158">
        <f t="shared" si="32"/>
        <v>37.8125</v>
      </c>
      <c r="CK12" s="158">
        <f t="shared" si="33"/>
        <v>36.711165048543691</v>
      </c>
      <c r="CL12" s="158">
        <f t="shared" si="34"/>
        <v>37.8125</v>
      </c>
      <c r="CM12" s="158">
        <f t="shared" si="35"/>
        <v>37.8125</v>
      </c>
      <c r="CN12" s="158">
        <f t="shared" si="36"/>
        <v>37.8125</v>
      </c>
      <c r="CO12" s="158">
        <f t="shared" si="37"/>
        <v>37.8125</v>
      </c>
      <c r="CP12" s="158">
        <f t="shared" si="38"/>
        <v>36.711165048543691</v>
      </c>
      <c r="CQ12" s="158">
        <f t="shared" si="39"/>
        <v>37.8125</v>
      </c>
      <c r="CR12" s="158">
        <f t="shared" si="40"/>
        <v>36.711165048543691</v>
      </c>
      <c r="CS12" s="141">
        <f t="shared" si="41"/>
        <v>1.9302436709720458E-4</v>
      </c>
      <c r="CT12" s="142">
        <f t="shared" si="42"/>
        <v>1375</v>
      </c>
      <c r="CU12" s="142">
        <f t="shared" si="43"/>
        <v>250.65104166666663</v>
      </c>
      <c r="CV12" s="142">
        <f t="shared" si="44"/>
        <v>0.12557077625570776</v>
      </c>
      <c r="CW12" s="142">
        <f>up_b2w!BZ12</f>
        <v>22805.4847785862</v>
      </c>
      <c r="CX12" s="142">
        <f>IFERROR(s_C*up_RadSpec!AN12*(1/1000)*s_IFFI_far_adj*s_CF_far_fish,0)</f>
        <v>37.8125</v>
      </c>
      <c r="CY12" s="142">
        <f>(s_C*s_IFB_far_adj*s_CF_far_beef*up_RadSpec!AM12*s_Q_w_beef*(1/1000))</f>
        <v>189.0625</v>
      </c>
      <c r="CZ12" s="142">
        <f>(s_C*s_IFD_far_adj*s_CF_far_dairy*up_RadSpec!AL12*(1/s_D_milk)*s_Q_w_dairy*(1/1000))</f>
        <v>183.55582524271844</v>
      </c>
      <c r="DA12" s="142">
        <f>(s_C*s_IFSW_far_adj*s_CF_far_swine*up_RadSpec!AQ12*s_Q_w_swine*(1/1000))</f>
        <v>189.0625</v>
      </c>
      <c r="DB12" s="142">
        <f>(s_C*s_IFP_far_adj*s_CF_far_poultry*up_RadSpec!AO12*s_Q_w_poultry*(1/1000))</f>
        <v>189.0625</v>
      </c>
      <c r="DC12" s="142">
        <f>(s_C*s_IFE_far_adj*s_CF_far_egg*up_RadSpec!AP12*s_Q_w_egg*(1/1000))</f>
        <v>189.0625</v>
      </c>
      <c r="DD12" s="142">
        <f>(s_C*s_IFGO_far_adj*s_CF_far_goat*up_RadSpec!AT12*s_Q_p_goat*(1/1000))</f>
        <v>189.0625</v>
      </c>
      <c r="DE12" s="142">
        <f>(s_C*s_IFGM_far_adj*s_CF_far_goat_milk*up_RadSpec!AU12*(1/s_D_milk)*s_Q_p_goat_milk*(1/1000))</f>
        <v>183.55582524271844</v>
      </c>
      <c r="DF12" s="142">
        <f>(s_C*s_IFSH_far_adj*s_CF_far_sheep*up_RadSpec!AR12*s_Q_p_sheep*(1/1000))</f>
        <v>189.0625</v>
      </c>
      <c r="DG12" s="142">
        <f>(s_C*s_IFSM_far_adj*s_CF_far_sheep_milk*up_RadSpec!AS12*(1/s_D_milk)*s_Q_p_sheep_milk*(1/1000))</f>
        <v>183.55582524271844</v>
      </c>
      <c r="DH12" s="141"/>
      <c r="DI12" s="141">
        <f>IFERROR((s_DL/(up_RadSpec!L12*s_IFA_far_adj)),".")</f>
        <v>9.9740259740259754E-3</v>
      </c>
      <c r="DJ12" s="141">
        <f>IFERROR((s_DL/(up_RadSpec!O12*s_EF_far*(1/365)*s_ED_far*s_ET_far*(1/24)*s_GSF_a)),".")</f>
        <v>15.927272727272728</v>
      </c>
      <c r="DK12" s="141">
        <f t="shared" si="48"/>
        <v>9.9677839175609673E-3</v>
      </c>
      <c r="DL12" s="142">
        <f t="shared" si="46"/>
        <v>501.30208333333326</v>
      </c>
      <c r="DM12" s="142">
        <f t="shared" si="47"/>
        <v>0.3139269406392694</v>
      </c>
      <c r="DN12" s="127"/>
    </row>
    <row r="13" spans="1:118" customFormat="1" x14ac:dyDescent="0.25">
      <c r="A13" s="128" t="s">
        <v>11</v>
      </c>
      <c r="B13" s="129" t="s">
        <v>1059</v>
      </c>
      <c r="C13" s="141">
        <f>up_dir!AB13</f>
        <v>2.2038567493112948E-4</v>
      </c>
      <c r="D13" s="141">
        <f>IFERROR(s_DL/(up_RadSpec!J13*s_IFP_far_adj*s_CF_far_poultry),".")</f>
        <v>6.6115702479338848E-4</v>
      </c>
      <c r="E13" s="141">
        <f>IFERROR(s_DL/(up_RadSpec!J13*s_IFE_far_adj*s_CF_far_egg),".")</f>
        <v>6.6115702479338848E-4</v>
      </c>
      <c r="F13" s="141">
        <f>IFERROR(s_DL/(up_RadSpec!J13*s_IFB_far_adj*s_CF_far_beef),".")</f>
        <v>6.6115702479338848E-4</v>
      </c>
      <c r="G13" s="141">
        <f>IFERROR(s_DL/(up_RadSpec!J13*s_IFD_far_adj*s_CF_far_dairy),".")</f>
        <v>6.6115702479338848E-4</v>
      </c>
      <c r="H13" s="141">
        <f>IFERROR(s_DL/(up_RadSpec!J13*s_IFSW_far_adj*s_CF_far_swine),".")</f>
        <v>6.6115702479338848E-4</v>
      </c>
      <c r="I13" s="141">
        <f>IFERROR(s_DL/(up_RadSpec!J13*s_IFFI_far_adj*s_CF_far_fish),".")</f>
        <v>6.6115702479338848E-4</v>
      </c>
      <c r="J13" s="141">
        <f>IFERROR(s_DL/(up_RadSpec!J13*s_IFGO_far_adj*s_CF_far_goat),".")</f>
        <v>6.6115702479338848E-4</v>
      </c>
      <c r="K13" s="141">
        <f>IFERROR(s_DL/(up_RadSpec!J13*s_IFSH_far_adj*s_CF_far_sheep),".")</f>
        <v>6.6115702479338848E-4</v>
      </c>
      <c r="L13" s="141">
        <f>IFERROR(s_DL/(up_RadSpec!J13*s_IFGM_far_adj*s_CF_far_goat_milk),".")</f>
        <v>6.6115702479338848E-4</v>
      </c>
      <c r="M13" s="141">
        <f>IFERROR(s_DL/(up_RadSpec!J13*s_IFSM_far_adj*s_CF_far_sheep_milk),".")</f>
        <v>6.6115702479338848E-4</v>
      </c>
      <c r="N13" s="142">
        <f>up_dir!BA13</f>
        <v>22687.5</v>
      </c>
      <c r="O13" s="142">
        <f t="shared" si="0"/>
        <v>7562.5</v>
      </c>
      <c r="P13" s="142">
        <f t="shared" si="1"/>
        <v>7562.5</v>
      </c>
      <c r="Q13" s="142">
        <f t="shared" si="2"/>
        <v>7562.5</v>
      </c>
      <c r="R13" s="142">
        <f t="shared" si="3"/>
        <v>7562.5</v>
      </c>
      <c r="S13" s="142">
        <f t="shared" si="4"/>
        <v>7562.5</v>
      </c>
      <c r="T13" s="142">
        <f t="shared" si="5"/>
        <v>7562.5</v>
      </c>
      <c r="U13" s="142">
        <f t="shared" si="6"/>
        <v>7562.5</v>
      </c>
      <c r="V13" s="142">
        <f t="shared" si="7"/>
        <v>7562.5</v>
      </c>
      <c r="W13" s="142">
        <f t="shared" si="8"/>
        <v>7562.5</v>
      </c>
      <c r="X13" s="142">
        <f t="shared" si="9"/>
        <v>7562.5</v>
      </c>
      <c r="Y13" s="141">
        <f>IFERROR((s_DL/(up_RadSpec!I13*s_IFS_far_adj*(1/1000)))*1,".")</f>
        <v>0.33057851239669422</v>
      </c>
      <c r="Z13" s="141">
        <f>IFERROR(IF(A13="H-3",(s_DL/(up_RadSpec!L13*s_IFA_far_adj*(1/17)*1000))*1,(s_DL/(up_RadSpec!L13*s_IFA_far_adj*(1/s_PEF_wind)*1000))*1),".")</f>
        <v>3089.9917845330979</v>
      </c>
      <c r="AA13" s="141">
        <f>IFERROR((s_DL/(up_RadSpec!K13*s_EF_far*(1/365)*s_ED_far*up_RadSpec!V13*((s_ET_far_o*(1/24)*up_RadSpec!AA13)+(s_ET_far_i*(1/24)*up_RadSpec!AF13))))*1,".")</f>
        <v>2282.9424185356402</v>
      </c>
      <c r="AB13" s="141">
        <f>up_b2s!BA13</f>
        <v>4.3958447178843029E-5</v>
      </c>
      <c r="AC13" s="141">
        <f>IFERROR(((I13*up_RadSpec!AX13)/up_RadSpec!AN13)*1,".")</f>
        <v>6.6115702479338848E-4</v>
      </c>
      <c r="AD13" s="141">
        <f>IFERROR((F13/(up_RadSpec!AM13*((s_Q_p_beef*s_f_p_beef*s_f_s_beef*(up_RadSpec!BG13+s_R_es_past))+(s_Q_s_beef*s_f_p_beef))))*1,".")</f>
        <v>1.8558793678410905E-7</v>
      </c>
      <c r="AE13" s="141">
        <f>IFERROR(((G13*s_D_milk)/(up_RadSpec!AL13*((s_Q_p_dairy*s_f_p_dairy*s_f_s_dairy*(up_RadSpec!BG13+s_R_es_past))+(s_Q_s_dairy*s_f_p_dairy))))*1,".")</f>
        <v>1.9115557488763231E-7</v>
      </c>
      <c r="AF13" s="141">
        <f>IFERROR((H13/(up_RadSpec!AQ13*((s_Q_p_swine*s_f_p_swine*s_f_s_swine*(up_RadSpec!BG13+s_R_es_past))+(s_Q_s_swine*s_f_p_swine))))*1,".")</f>
        <v>1.8558793678410905E-7</v>
      </c>
      <c r="AG13" s="141">
        <f>IFERROR((D13/(up_RadSpec!AO13*((s_Q_p_poultry*s_f_p_poultry*s_f_s_poultry*(up_RadSpec!BG13+s_R_es_past))+(s_Q_s_poultry*s_f_p_poultry))))*1,".")</f>
        <v>1.8558793678410905E-7</v>
      </c>
      <c r="AH13" s="141">
        <f>IFERROR((E13/(up_RadSpec!AP13*((s_Q_p_poultry*s_f_p_poultry*s_f_s_poultry*(up_RadSpec!BG13+s_R_es_past))+(s_Q_s_poultry*s_f_p_poultry))))*1,".")</f>
        <v>1.8558793678410905E-7</v>
      </c>
      <c r="AI13" s="141">
        <f>IFERROR((J13/(up_RadSpec!AT13*((s_Q_p_goat*s_f_p_goat*s_f_s_goat*(up_RadSpec!BG13+s_R_es_past))+(s_Q_s_goat*s_f_p_goat))))*1,".")</f>
        <v>1.8558793678410905E-7</v>
      </c>
      <c r="AJ13" s="141">
        <f>IFERROR((L13*s_D_milk/(up_RadSpec!AU13*((s_Q_p_goat_milk*s_f_p_goat_milk*s_f_s_goat_milk*(up_RadSpec!BG13+s_R_es_past))+(s_Q_s_goat_milk*s_f_p_goat_milk))))*1,".")</f>
        <v>1.9115557488763231E-7</v>
      </c>
      <c r="AK13" s="141">
        <f>IFERROR((K13/(up_RadSpec!AR13*((s_Q_p_sheep*s_f_p_sheep*s_f_s_sheep*(up_RadSpec!BG13+s_R_es_past))+(s_Q_s_sheep*s_f_p_sheep))))*1,".")</f>
        <v>1.8558793678410905E-7</v>
      </c>
      <c r="AL13" s="141">
        <f>IFERROR((M13*s_D_milk/(up_RadSpec!AS13*((s_Q_p_sheep_milk*s_f_p_sheep_milk*s_f_s_sheep_milk*(up_RadSpec!BG13+s_R_es_past))+(s_Q_s_sheep_milk*s_f_p_sheep_milk))))*1,".")</f>
        <v>1.9115557488763231E-7</v>
      </c>
      <c r="AM13" s="158">
        <f t="shared" si="10"/>
        <v>3.0249999999999999</v>
      </c>
      <c r="AN13" s="158">
        <f t="shared" si="11"/>
        <v>3.2362545590104258E-4</v>
      </c>
      <c r="AO13" s="158">
        <f t="shared" si="12"/>
        <v>4.3803119688031172E-4</v>
      </c>
      <c r="AP13" s="158">
        <f t="shared" si="13"/>
        <v>22748.756249999995</v>
      </c>
      <c r="AQ13" s="158">
        <f t="shared" si="14"/>
        <v>1512.5</v>
      </c>
      <c r="AR13" s="158">
        <f t="shared" si="15"/>
        <v>5388281.2499999991</v>
      </c>
      <c r="AS13" s="158">
        <f t="shared" si="16"/>
        <v>5231341.0194174759</v>
      </c>
      <c r="AT13" s="158">
        <f t="shared" si="17"/>
        <v>5388281.2499999991</v>
      </c>
      <c r="AU13" s="158">
        <f t="shared" si="18"/>
        <v>5388281.2499999991</v>
      </c>
      <c r="AV13" s="158">
        <f t="shared" si="19"/>
        <v>5388281.2499999991</v>
      </c>
      <c r="AW13" s="158">
        <f t="shared" si="20"/>
        <v>5388281.2499999991</v>
      </c>
      <c r="AX13" s="158">
        <f t="shared" si="21"/>
        <v>5231341.0194174759</v>
      </c>
      <c r="AY13" s="158">
        <f t="shared" si="22"/>
        <v>5388281.2499999991</v>
      </c>
      <c r="AZ13" s="158">
        <f t="shared" si="23"/>
        <v>5231341.0194174759</v>
      </c>
      <c r="BA13" s="141">
        <f t="shared" si="24"/>
        <v>2.0812531710743459E-8</v>
      </c>
      <c r="BB13" s="142">
        <f t="shared" si="25"/>
        <v>15.125</v>
      </c>
      <c r="BC13" s="142">
        <f t="shared" si="26"/>
        <v>1.618127279505213E-3</v>
      </c>
      <c r="BD13" s="142">
        <f>IFERROR((s_C*s_EF_far*(1/365)*s_ED_far*up_RadSpec!V13*((s_ET_far_o*(1/24)*up_RadSpec!AA13)+(s_ET_far_i*(1/24)*up_RadSpec!AF13))),".")</f>
        <v>2.1901559844015586E-3</v>
      </c>
      <c r="BE13" s="142">
        <f>up_b2s!BZ13</f>
        <v>113743.78125</v>
      </c>
      <c r="BF13" s="142">
        <f>IFERROR(((s_C*up_RadSpec!AN13)/up_RadSpec!AX13)*s_IFFI_far_adj*s_CF_far_fish,0)</f>
        <v>7562.5</v>
      </c>
      <c r="BG13" s="142">
        <f>(s_C*s_IFB_far_adj*s_CF_far_beef*up_RadSpec!AM13*((s_Q_p_beef*s_f_p_beef*s_f_s_beef*(up_RadSpec!$AW13+s_R_es_past))+(s_Q_s_beef*s_f_p_beef)))</f>
        <v>26941406.25</v>
      </c>
      <c r="BH13" s="142">
        <f>(s_C*s_IFD_far_adj*s_CF_far_dairy*up_RadSpec!AL13*1/s_D_milk*((s_Q_p_dairy*s_f_p_dairy*s_f_s_dairy*(up_RadSpec!$AW13+s_R_es_past))+(s_Q_s_dairy*s_f_p_dairy)))</f>
        <v>26156705.09708738</v>
      </c>
      <c r="BI13" s="142">
        <f>(s_C*s_IFSW_far_adj*s_CF_far_swine*up_RadSpec!AQ13*((s_Q_p_swine*s_f_p_swine*s_f_s_swine*(up_RadSpec!$AW13+s_R_es_past))+(s_Q_s_swine*s_f_p_swine)))</f>
        <v>26941406.25</v>
      </c>
      <c r="BJ13" s="142">
        <f>(s_C*s_IFP_far_adj*s_CF_far_poultry*up_RadSpec!AO13*((s_Q_p_poultry*s_f_p_poultry*s_f_s_poultry*(up_RadSpec!AW13+s_R_es_past))+(s_Q_s_poultry*s_f_p_poultry)))</f>
        <v>26941406.25</v>
      </c>
      <c r="BK13" s="142">
        <f>(s_C*s_IFE_far_adj*s_CF_far_egg*up_RadSpec!AP13*((s_Q_p_egg*s_f_p_egg*s_f_s_egg*(up_RadSpec!$AW13+s_R_es_past))+(s_Q_s_egg*s_f_p_egg)))</f>
        <v>26941406.25</v>
      </c>
      <c r="BL13" s="142">
        <f>(s_C*s_IFGO_far_adj*s_CF_far_goat*up_RadSpec!AT13*((s_Q_p_goat*s_f_p_goat*s_f_s_goat*(up_RadSpec!$AW13+s_R_es_past))+(s_Q_s_goat*s_f_p_goat)))</f>
        <v>26941406.25</v>
      </c>
      <c r="BM13" s="142">
        <f>(s_C*s_IFGM_far_adj*s_CF_far_goat_milk*up_RadSpec!AU13*1/s_D_milk*((s_Q_p_goat_milk*s_f_p_goat_milk*s_f_s_goat_milk*(up_RadSpec!$AW13+s_R_es_past))+(s_Q_s_goat_milk*s_f_p_goat_milk)))</f>
        <v>26156705.09708738</v>
      </c>
      <c r="BN13" s="142">
        <f>(s_C*s_IFSH_far_adj*s_CF_far_sheep*up_RadSpec!AR13*((s_Q_p_sheep*s_f_p_sheep*s_f_s_sheep*(up_RadSpec!$AW13+s_R_es_past))+(s_Q_s_sheep*s_f_p_sheep)))</f>
        <v>26941406.25</v>
      </c>
      <c r="BO13" s="142">
        <f>(s_C*s_IFSM_far_adj*s_CF_far_sheep_milk*up_RadSpec!AS13*1/s_D_milk*((s_Q_p_sheep_milk*s_f_p_sheep_milk*s_f_s_sheep_milk*(up_RadSpec!$AW13+s_R_es_past))+(s_Q_s_sheep_milk*s_f_p_sheep_milk)))</f>
        <v>26156705.09708738</v>
      </c>
      <c r="BP13" s="141"/>
      <c r="BQ13" s="141">
        <f>IFERROR(s_DL/(up_RadSpec!M13*s_IFW_far_adj),".")</f>
        <v>3.6363636363636364E-3</v>
      </c>
      <c r="BR13" s="141" t="str">
        <f>IFERROR(IF(up_RadSpec!C13=1,s_DL/(up_RadSpec!L13*s_IFA_far_adj*s_K),"."),".")</f>
        <v>.</v>
      </c>
      <c r="BS13" s="141">
        <f>IFERROR((s_DL/(up_RadSpec!Q13*(1/8760)*s_DFA_far_adj)),".")</f>
        <v>39.81818181818182</v>
      </c>
      <c r="BT13" s="141">
        <f>up_b2w!BA13</f>
        <v>2.1924550381384044E-4</v>
      </c>
      <c r="BU13" s="141">
        <f>IFERROR(I13/(up_RadSpec!AN13*(1/1000)),".")</f>
        <v>0.13223140495867769</v>
      </c>
      <c r="BV13" s="141">
        <f>IFERROR(F13/(up_RadSpec!AM13*s_Q_w_beef*(1/1000)),".")</f>
        <v>2.6446280991735537E-2</v>
      </c>
      <c r="BW13" s="141">
        <f>IFERROR((G13*s_D_milk)/(up_RadSpec!AL13*s_Q_w_dairy*(1/1000)),".")</f>
        <v>2.7239669421487603E-2</v>
      </c>
      <c r="BX13" s="141">
        <f>IFERROR(H13/(up_RadSpec!AQ13*s_Q_w_swine*(1/1000)),".")</f>
        <v>2.6446280991735537E-2</v>
      </c>
      <c r="BY13" s="141">
        <f>IFERROR(D13/(up_RadSpec!AO13*s_Q_w_poultry*(1/1000)),".")</f>
        <v>2.6446280991735537E-2</v>
      </c>
      <c r="BZ13" s="141">
        <f>IFERROR(E13/(up_RadSpec!AP13*s_Q_w_poultry*(1/1000)),".")</f>
        <v>2.6446280991735537E-2</v>
      </c>
      <c r="CA13" s="141">
        <f>IFERROR(J13/(up_RadSpec!AT13*s_Q_w_goat*(1/1000)),".")</f>
        <v>2.6446280991735537E-2</v>
      </c>
      <c r="CB13" s="141">
        <f>IFERROR(L13*s_D_milk/(up_RadSpec!AU13*s_Q_w_goat_milk*(1/1000)),".")</f>
        <v>2.7239669421487603E-2</v>
      </c>
      <c r="CC13" s="141">
        <f>IFERROR(K13/(up_RadSpec!AR13*s_Q_w_sheep*(1/1000)),".")</f>
        <v>2.6446280991735537E-2</v>
      </c>
      <c r="CD13" s="141">
        <f>IFERROR(M13*s_D_milk/(up_RadSpec!AS13*s_Q_w_sheep_milk*(1/1000)),".")</f>
        <v>2.7239669421487603E-2</v>
      </c>
      <c r="CE13" s="158">
        <f t="shared" si="27"/>
        <v>275</v>
      </c>
      <c r="CF13" s="158" t="str">
        <f t="shared" si="28"/>
        <v>.</v>
      </c>
      <c r="CG13" s="158">
        <f t="shared" si="29"/>
        <v>2.5114155251141551E-2</v>
      </c>
      <c r="CH13" s="158">
        <f t="shared" si="30"/>
        <v>4561.0969557172393</v>
      </c>
      <c r="CI13" s="158">
        <f t="shared" si="31"/>
        <v>7.5625</v>
      </c>
      <c r="CJ13" s="158">
        <f t="shared" si="32"/>
        <v>37.8125</v>
      </c>
      <c r="CK13" s="158">
        <f t="shared" si="33"/>
        <v>36.711165048543691</v>
      </c>
      <c r="CL13" s="158">
        <f t="shared" si="34"/>
        <v>37.8125</v>
      </c>
      <c r="CM13" s="158">
        <f t="shared" si="35"/>
        <v>37.8125</v>
      </c>
      <c r="CN13" s="158">
        <f t="shared" si="36"/>
        <v>37.8125</v>
      </c>
      <c r="CO13" s="158">
        <f t="shared" si="37"/>
        <v>37.8125</v>
      </c>
      <c r="CP13" s="158">
        <f t="shared" si="38"/>
        <v>36.711165048543691</v>
      </c>
      <c r="CQ13" s="158">
        <f t="shared" si="39"/>
        <v>37.8125</v>
      </c>
      <c r="CR13" s="158">
        <f t="shared" si="40"/>
        <v>36.711165048543691</v>
      </c>
      <c r="CS13" s="141">
        <f t="shared" si="41"/>
        <v>1.9302436709720458E-4</v>
      </c>
      <c r="CT13" s="142">
        <f t="shared" si="42"/>
        <v>1375</v>
      </c>
      <c r="CU13" s="142">
        <f t="shared" si="43"/>
        <v>250.65104166666663</v>
      </c>
      <c r="CV13" s="142">
        <f t="shared" si="44"/>
        <v>0.12557077625570776</v>
      </c>
      <c r="CW13" s="142">
        <f>up_b2w!BZ13</f>
        <v>22805.4847785862</v>
      </c>
      <c r="CX13" s="142">
        <f>IFERROR(s_C*up_RadSpec!AN13*(1/1000)*s_IFFI_far_adj*s_CF_far_fish,0)</f>
        <v>37.8125</v>
      </c>
      <c r="CY13" s="142">
        <f>(s_C*s_IFB_far_adj*s_CF_far_beef*up_RadSpec!AM13*s_Q_w_beef*(1/1000))</f>
        <v>189.0625</v>
      </c>
      <c r="CZ13" s="142">
        <f>(s_C*s_IFD_far_adj*s_CF_far_dairy*up_RadSpec!AL13*(1/s_D_milk)*s_Q_w_dairy*(1/1000))</f>
        <v>183.55582524271844</v>
      </c>
      <c r="DA13" s="142">
        <f>(s_C*s_IFSW_far_adj*s_CF_far_swine*up_RadSpec!AQ13*s_Q_w_swine*(1/1000))</f>
        <v>189.0625</v>
      </c>
      <c r="DB13" s="142">
        <f>(s_C*s_IFP_far_adj*s_CF_far_poultry*up_RadSpec!AO13*s_Q_w_poultry*(1/1000))</f>
        <v>189.0625</v>
      </c>
      <c r="DC13" s="142">
        <f>(s_C*s_IFE_far_adj*s_CF_far_egg*up_RadSpec!AP13*s_Q_w_egg*(1/1000))</f>
        <v>189.0625</v>
      </c>
      <c r="DD13" s="142">
        <f>(s_C*s_IFGO_far_adj*s_CF_far_goat*up_RadSpec!AT13*s_Q_p_goat*(1/1000))</f>
        <v>189.0625</v>
      </c>
      <c r="DE13" s="142">
        <f>(s_C*s_IFGM_far_adj*s_CF_far_goat_milk*up_RadSpec!AU13*(1/s_D_milk)*s_Q_p_goat_milk*(1/1000))</f>
        <v>183.55582524271844</v>
      </c>
      <c r="DF13" s="142">
        <f>(s_C*s_IFSH_far_adj*s_CF_far_sheep*up_RadSpec!AR13*s_Q_p_sheep*(1/1000))</f>
        <v>189.0625</v>
      </c>
      <c r="DG13" s="142">
        <f>(s_C*s_IFSM_far_adj*s_CF_far_sheep_milk*up_RadSpec!AS13*(1/s_D_milk)*s_Q_p_sheep_milk*(1/1000))</f>
        <v>183.55582524271844</v>
      </c>
      <c r="DH13" s="141"/>
      <c r="DI13" s="141">
        <f>IFERROR((s_DL/(up_RadSpec!L13*s_IFA_far_adj)),".")</f>
        <v>9.9740259740259754E-3</v>
      </c>
      <c r="DJ13" s="141">
        <f>IFERROR((s_DL/(up_RadSpec!O13*s_EF_far*(1/365)*s_ED_far*s_ET_far*(1/24)*s_GSF_a)),".")</f>
        <v>15.927272727272728</v>
      </c>
      <c r="DK13" s="141">
        <f t="shared" si="48"/>
        <v>9.9677839175609673E-3</v>
      </c>
      <c r="DL13" s="142">
        <f t="shared" si="46"/>
        <v>501.30208333333326</v>
      </c>
      <c r="DM13" s="142">
        <f t="shared" si="47"/>
        <v>0.3139269406392694</v>
      </c>
      <c r="DN13" s="127"/>
    </row>
    <row r="14" spans="1:118" customFormat="1" x14ac:dyDescent="0.25">
      <c r="A14" s="128" t="s">
        <v>12</v>
      </c>
      <c r="B14" s="129" t="s">
        <v>1059</v>
      </c>
      <c r="C14" s="141">
        <f>up_dir!AB14</f>
        <v>2.2038567493112948E-4</v>
      </c>
      <c r="D14" s="141">
        <f>IFERROR(s_DL/(up_RadSpec!J14*s_IFP_far_adj*s_CF_far_poultry),".")</f>
        <v>6.6115702479338848E-4</v>
      </c>
      <c r="E14" s="141">
        <f>IFERROR(s_DL/(up_RadSpec!J14*s_IFE_far_adj*s_CF_far_egg),".")</f>
        <v>6.6115702479338848E-4</v>
      </c>
      <c r="F14" s="141">
        <f>IFERROR(s_DL/(up_RadSpec!J14*s_IFB_far_adj*s_CF_far_beef),".")</f>
        <v>6.6115702479338848E-4</v>
      </c>
      <c r="G14" s="141">
        <f>IFERROR(s_DL/(up_RadSpec!J14*s_IFD_far_adj*s_CF_far_dairy),".")</f>
        <v>6.6115702479338848E-4</v>
      </c>
      <c r="H14" s="141">
        <f>IFERROR(s_DL/(up_RadSpec!J14*s_IFSW_far_adj*s_CF_far_swine),".")</f>
        <v>6.6115702479338848E-4</v>
      </c>
      <c r="I14" s="141">
        <f>IFERROR(s_DL/(up_RadSpec!J14*s_IFFI_far_adj*s_CF_far_fish),".")</f>
        <v>6.6115702479338848E-4</v>
      </c>
      <c r="J14" s="141">
        <f>IFERROR(s_DL/(up_RadSpec!J14*s_IFGO_far_adj*s_CF_far_goat),".")</f>
        <v>6.6115702479338848E-4</v>
      </c>
      <c r="K14" s="141">
        <f>IFERROR(s_DL/(up_RadSpec!J14*s_IFSH_far_adj*s_CF_far_sheep),".")</f>
        <v>6.6115702479338848E-4</v>
      </c>
      <c r="L14" s="141">
        <f>IFERROR(s_DL/(up_RadSpec!J14*s_IFGM_far_adj*s_CF_far_goat_milk),".")</f>
        <v>6.6115702479338848E-4</v>
      </c>
      <c r="M14" s="141">
        <f>IFERROR(s_DL/(up_RadSpec!J14*s_IFSM_far_adj*s_CF_far_sheep_milk),".")</f>
        <v>6.6115702479338848E-4</v>
      </c>
      <c r="N14" s="142">
        <f>up_dir!BA14</f>
        <v>22687.5</v>
      </c>
      <c r="O14" s="142">
        <f t="shared" si="0"/>
        <v>7562.5</v>
      </c>
      <c r="P14" s="142">
        <f t="shared" si="1"/>
        <v>7562.5</v>
      </c>
      <c r="Q14" s="142">
        <f t="shared" si="2"/>
        <v>7562.5</v>
      </c>
      <c r="R14" s="142">
        <f t="shared" si="3"/>
        <v>7562.5</v>
      </c>
      <c r="S14" s="142">
        <f t="shared" si="4"/>
        <v>7562.5</v>
      </c>
      <c r="T14" s="142">
        <f t="shared" si="5"/>
        <v>7562.5</v>
      </c>
      <c r="U14" s="142">
        <f t="shared" si="6"/>
        <v>7562.5</v>
      </c>
      <c r="V14" s="142">
        <f t="shared" si="7"/>
        <v>7562.5</v>
      </c>
      <c r="W14" s="142">
        <f t="shared" si="8"/>
        <v>7562.5</v>
      </c>
      <c r="X14" s="142">
        <f t="shared" si="9"/>
        <v>7562.5</v>
      </c>
      <c r="Y14" s="141">
        <f>IFERROR((s_DL/(up_RadSpec!I14*s_IFS_far_adj*(1/1000)))*1,".")</f>
        <v>0.33057851239669422</v>
      </c>
      <c r="Z14" s="141">
        <f>IFERROR(IF(A14="H-3",(s_DL/(up_RadSpec!L14*s_IFA_far_adj*(1/17)*1000))*1,(s_DL/(up_RadSpec!L14*s_IFA_far_adj*(1/s_PEF_wind)*1000))*1),".")</f>
        <v>3089.9917845330979</v>
      </c>
      <c r="AA14" s="141">
        <f>IFERROR((s_DL/(up_RadSpec!K14*s_EF_far*(1/365)*s_ED_far*up_RadSpec!V14*((s_ET_far_o*(1/24)*up_RadSpec!AA14)+(s_ET_far_i*(1/24)*up_RadSpec!AF14))))*1,".")</f>
        <v>342.70908097811116</v>
      </c>
      <c r="AB14" s="141">
        <f>up_b2s!BA14</f>
        <v>4.3958447178843029E-5</v>
      </c>
      <c r="AC14" s="141">
        <f>IFERROR(((I14*up_RadSpec!AX14)/up_RadSpec!AN14)*1,".")</f>
        <v>6.6115702479338848E-4</v>
      </c>
      <c r="AD14" s="141">
        <f>IFERROR((F14/(up_RadSpec!AM14*((s_Q_p_beef*s_f_p_beef*s_f_s_beef*(up_RadSpec!BG14+s_R_es_past))+(s_Q_s_beef*s_f_p_beef))))*1,".")</f>
        <v>1.8558793678410905E-7</v>
      </c>
      <c r="AE14" s="141">
        <f>IFERROR(((G14*s_D_milk)/(up_RadSpec!AL14*((s_Q_p_dairy*s_f_p_dairy*s_f_s_dairy*(up_RadSpec!BG14+s_R_es_past))+(s_Q_s_dairy*s_f_p_dairy))))*1,".")</f>
        <v>1.9115557488763231E-7</v>
      </c>
      <c r="AF14" s="141">
        <f>IFERROR((H14/(up_RadSpec!AQ14*((s_Q_p_swine*s_f_p_swine*s_f_s_swine*(up_RadSpec!BG14+s_R_es_past))+(s_Q_s_swine*s_f_p_swine))))*1,".")</f>
        <v>1.8558793678410905E-7</v>
      </c>
      <c r="AG14" s="141">
        <f>IFERROR((D14/(up_RadSpec!AO14*((s_Q_p_poultry*s_f_p_poultry*s_f_s_poultry*(up_RadSpec!BG14+s_R_es_past))+(s_Q_s_poultry*s_f_p_poultry))))*1,".")</f>
        <v>1.8558793678410905E-7</v>
      </c>
      <c r="AH14" s="141">
        <f>IFERROR((E14/(up_RadSpec!AP14*((s_Q_p_poultry*s_f_p_poultry*s_f_s_poultry*(up_RadSpec!BG14+s_R_es_past))+(s_Q_s_poultry*s_f_p_poultry))))*1,".")</f>
        <v>1.8558793678410905E-7</v>
      </c>
      <c r="AI14" s="141">
        <f>IFERROR((J14/(up_RadSpec!AT14*((s_Q_p_goat*s_f_p_goat*s_f_s_goat*(up_RadSpec!BG14+s_R_es_past))+(s_Q_s_goat*s_f_p_goat))))*1,".")</f>
        <v>1.8558793678410905E-7</v>
      </c>
      <c r="AJ14" s="141">
        <f>IFERROR((L14*s_D_milk/(up_RadSpec!AU14*((s_Q_p_goat_milk*s_f_p_goat_milk*s_f_s_goat_milk*(up_RadSpec!BG14+s_R_es_past))+(s_Q_s_goat_milk*s_f_p_goat_milk))))*1,".")</f>
        <v>1.9115557488763231E-7</v>
      </c>
      <c r="AK14" s="141">
        <f>IFERROR((K14/(up_RadSpec!AR14*((s_Q_p_sheep*s_f_p_sheep*s_f_s_sheep*(up_RadSpec!BG14+s_R_es_past))+(s_Q_s_sheep*s_f_p_sheep))))*1,".")</f>
        <v>1.8558793678410905E-7</v>
      </c>
      <c r="AL14" s="141">
        <f>IFERROR((M14*s_D_milk/(up_RadSpec!AS14*((s_Q_p_sheep_milk*s_f_p_sheep_milk*s_f_s_sheep_milk*(up_RadSpec!BG14+s_R_es_past))+(s_Q_s_sheep_milk*s_f_p_sheep_milk))))*1,".")</f>
        <v>1.9115557488763231E-7</v>
      </c>
      <c r="AM14" s="158">
        <f t="shared" si="10"/>
        <v>3.0249999999999999</v>
      </c>
      <c r="AN14" s="158">
        <f t="shared" si="11"/>
        <v>3.2362545590104258E-4</v>
      </c>
      <c r="AO14" s="158">
        <f t="shared" si="12"/>
        <v>2.9179267650158067E-3</v>
      </c>
      <c r="AP14" s="158">
        <f t="shared" si="13"/>
        <v>22748.756249999995</v>
      </c>
      <c r="AQ14" s="158">
        <f t="shared" si="14"/>
        <v>1512.5</v>
      </c>
      <c r="AR14" s="158">
        <f t="shared" si="15"/>
        <v>5388281.2499999991</v>
      </c>
      <c r="AS14" s="158">
        <f t="shared" si="16"/>
        <v>5231341.0194174759</v>
      </c>
      <c r="AT14" s="158">
        <f t="shared" si="17"/>
        <v>5388281.2499999991</v>
      </c>
      <c r="AU14" s="158">
        <f t="shared" si="18"/>
        <v>5388281.2499999991</v>
      </c>
      <c r="AV14" s="158">
        <f t="shared" si="19"/>
        <v>5388281.2499999991</v>
      </c>
      <c r="AW14" s="158">
        <f t="shared" si="20"/>
        <v>5388281.2499999991</v>
      </c>
      <c r="AX14" s="158">
        <f t="shared" si="21"/>
        <v>5231341.0194174759</v>
      </c>
      <c r="AY14" s="158">
        <f t="shared" si="22"/>
        <v>5388281.2499999991</v>
      </c>
      <c r="AZ14" s="158">
        <f t="shared" si="23"/>
        <v>5231341.0194174759</v>
      </c>
      <c r="BA14" s="141">
        <f t="shared" si="24"/>
        <v>2.0812531709669262E-8</v>
      </c>
      <c r="BB14" s="142">
        <f t="shared" si="25"/>
        <v>15.125</v>
      </c>
      <c r="BC14" s="142">
        <f t="shared" si="26"/>
        <v>1.618127279505213E-3</v>
      </c>
      <c r="BD14" s="142">
        <f>IFERROR((s_C*s_EF_far*(1/365)*s_ED_far*up_RadSpec!V14*((s_ET_far_o*(1/24)*up_RadSpec!AA14)+(s_ET_far_i*(1/24)*up_RadSpec!AF14))),".")</f>
        <v>1.4589633825079034E-2</v>
      </c>
      <c r="BE14" s="142">
        <f>up_b2s!BZ14</f>
        <v>113743.78125</v>
      </c>
      <c r="BF14" s="142">
        <f>IFERROR(((s_C*up_RadSpec!AN14)/up_RadSpec!AX14)*s_IFFI_far_adj*s_CF_far_fish,0)</f>
        <v>7562.5</v>
      </c>
      <c r="BG14" s="142">
        <f>(s_C*s_IFB_far_adj*s_CF_far_beef*up_RadSpec!AM14*((s_Q_p_beef*s_f_p_beef*s_f_s_beef*(up_RadSpec!$AW14+s_R_es_past))+(s_Q_s_beef*s_f_p_beef)))</f>
        <v>26941406.25</v>
      </c>
      <c r="BH14" s="142">
        <f>(s_C*s_IFD_far_adj*s_CF_far_dairy*up_RadSpec!AL14*1/s_D_milk*((s_Q_p_dairy*s_f_p_dairy*s_f_s_dairy*(up_RadSpec!$AW14+s_R_es_past))+(s_Q_s_dairy*s_f_p_dairy)))</f>
        <v>26156705.09708738</v>
      </c>
      <c r="BI14" s="142">
        <f>(s_C*s_IFSW_far_adj*s_CF_far_swine*up_RadSpec!AQ14*((s_Q_p_swine*s_f_p_swine*s_f_s_swine*(up_RadSpec!$AW14+s_R_es_past))+(s_Q_s_swine*s_f_p_swine)))</f>
        <v>26941406.25</v>
      </c>
      <c r="BJ14" s="142">
        <f>(s_C*s_IFP_far_adj*s_CF_far_poultry*up_RadSpec!AO14*((s_Q_p_poultry*s_f_p_poultry*s_f_s_poultry*(up_RadSpec!AW14+s_R_es_past))+(s_Q_s_poultry*s_f_p_poultry)))</f>
        <v>26941406.25</v>
      </c>
      <c r="BK14" s="142">
        <f>(s_C*s_IFE_far_adj*s_CF_far_egg*up_RadSpec!AP14*((s_Q_p_egg*s_f_p_egg*s_f_s_egg*(up_RadSpec!$AW14+s_R_es_past))+(s_Q_s_egg*s_f_p_egg)))</f>
        <v>26941406.25</v>
      </c>
      <c r="BL14" s="142">
        <f>(s_C*s_IFGO_far_adj*s_CF_far_goat*up_RadSpec!AT14*((s_Q_p_goat*s_f_p_goat*s_f_s_goat*(up_RadSpec!$AW14+s_R_es_past))+(s_Q_s_goat*s_f_p_goat)))</f>
        <v>26941406.25</v>
      </c>
      <c r="BM14" s="142">
        <f>(s_C*s_IFGM_far_adj*s_CF_far_goat_milk*up_RadSpec!AU14*1/s_D_milk*((s_Q_p_goat_milk*s_f_p_goat_milk*s_f_s_goat_milk*(up_RadSpec!$AW14+s_R_es_past))+(s_Q_s_goat_milk*s_f_p_goat_milk)))</f>
        <v>26156705.09708738</v>
      </c>
      <c r="BN14" s="142">
        <f>(s_C*s_IFSH_far_adj*s_CF_far_sheep*up_RadSpec!AR14*((s_Q_p_sheep*s_f_p_sheep*s_f_s_sheep*(up_RadSpec!$AW14+s_R_es_past))+(s_Q_s_sheep*s_f_p_sheep)))</f>
        <v>26941406.25</v>
      </c>
      <c r="BO14" s="142">
        <f>(s_C*s_IFSM_far_adj*s_CF_far_sheep_milk*up_RadSpec!AS14*1/s_D_milk*((s_Q_p_sheep_milk*s_f_p_sheep_milk*s_f_s_sheep_milk*(up_RadSpec!$AW14+s_R_es_past))+(s_Q_s_sheep_milk*s_f_p_sheep_milk)))</f>
        <v>26156705.09708738</v>
      </c>
      <c r="BP14" s="141"/>
      <c r="BQ14" s="141">
        <f>IFERROR(s_DL/(up_RadSpec!M14*s_IFW_far_adj),".")</f>
        <v>3.6363636363636364E-3</v>
      </c>
      <c r="BR14" s="141" t="str">
        <f>IFERROR(IF(up_RadSpec!C14=1,s_DL/(up_RadSpec!L14*s_IFA_far_adj*s_K),"."),".")</f>
        <v>.</v>
      </c>
      <c r="BS14" s="141">
        <f>IFERROR((s_DL/(up_RadSpec!Q14*(1/8760)*s_DFA_far_adj)),".")</f>
        <v>39.81818181818182</v>
      </c>
      <c r="BT14" s="141">
        <f>up_b2w!BA14</f>
        <v>2.1924550381384044E-4</v>
      </c>
      <c r="BU14" s="141">
        <f>IFERROR(I14/(up_RadSpec!AN14*(1/1000)),".")</f>
        <v>0.13223140495867769</v>
      </c>
      <c r="BV14" s="141">
        <f>IFERROR(F14/(up_RadSpec!AM14*s_Q_w_beef*(1/1000)),".")</f>
        <v>2.6446280991735537E-2</v>
      </c>
      <c r="BW14" s="141">
        <f>IFERROR((G14*s_D_milk)/(up_RadSpec!AL14*s_Q_w_dairy*(1/1000)),".")</f>
        <v>2.7239669421487603E-2</v>
      </c>
      <c r="BX14" s="141">
        <f>IFERROR(H14/(up_RadSpec!AQ14*s_Q_w_swine*(1/1000)),".")</f>
        <v>2.6446280991735537E-2</v>
      </c>
      <c r="BY14" s="141">
        <f>IFERROR(D14/(up_RadSpec!AO14*s_Q_w_poultry*(1/1000)),".")</f>
        <v>2.6446280991735537E-2</v>
      </c>
      <c r="BZ14" s="141">
        <f>IFERROR(E14/(up_RadSpec!AP14*s_Q_w_poultry*(1/1000)),".")</f>
        <v>2.6446280991735537E-2</v>
      </c>
      <c r="CA14" s="141">
        <f>IFERROR(J14/(up_RadSpec!AT14*s_Q_w_goat*(1/1000)),".")</f>
        <v>2.6446280991735537E-2</v>
      </c>
      <c r="CB14" s="141">
        <f>IFERROR(L14*s_D_milk/(up_RadSpec!AU14*s_Q_w_goat_milk*(1/1000)),".")</f>
        <v>2.7239669421487603E-2</v>
      </c>
      <c r="CC14" s="141">
        <f>IFERROR(K14/(up_RadSpec!AR14*s_Q_w_sheep*(1/1000)),".")</f>
        <v>2.6446280991735537E-2</v>
      </c>
      <c r="CD14" s="141">
        <f>IFERROR(M14*s_D_milk/(up_RadSpec!AS14*s_Q_w_sheep_milk*(1/1000)),".")</f>
        <v>2.7239669421487603E-2</v>
      </c>
      <c r="CE14" s="158">
        <f t="shared" si="27"/>
        <v>275</v>
      </c>
      <c r="CF14" s="158" t="str">
        <f t="shared" si="28"/>
        <v>.</v>
      </c>
      <c r="CG14" s="158">
        <f t="shared" si="29"/>
        <v>2.5114155251141551E-2</v>
      </c>
      <c r="CH14" s="158">
        <f t="shared" si="30"/>
        <v>4561.0969557172393</v>
      </c>
      <c r="CI14" s="158">
        <f t="shared" si="31"/>
        <v>7.5625</v>
      </c>
      <c r="CJ14" s="158">
        <f t="shared" si="32"/>
        <v>37.8125</v>
      </c>
      <c r="CK14" s="158">
        <f t="shared" si="33"/>
        <v>36.711165048543691</v>
      </c>
      <c r="CL14" s="158">
        <f t="shared" si="34"/>
        <v>37.8125</v>
      </c>
      <c r="CM14" s="158">
        <f t="shared" si="35"/>
        <v>37.8125</v>
      </c>
      <c r="CN14" s="158">
        <f t="shared" si="36"/>
        <v>37.8125</v>
      </c>
      <c r="CO14" s="158">
        <f t="shared" si="37"/>
        <v>37.8125</v>
      </c>
      <c r="CP14" s="158">
        <f t="shared" si="38"/>
        <v>36.711165048543691</v>
      </c>
      <c r="CQ14" s="158">
        <f t="shared" si="39"/>
        <v>37.8125</v>
      </c>
      <c r="CR14" s="158">
        <f t="shared" si="40"/>
        <v>36.711165048543691</v>
      </c>
      <c r="CS14" s="141">
        <f t="shared" si="41"/>
        <v>1.9302436709720458E-4</v>
      </c>
      <c r="CT14" s="142">
        <f t="shared" si="42"/>
        <v>1375</v>
      </c>
      <c r="CU14" s="142">
        <f t="shared" si="43"/>
        <v>250.65104166666663</v>
      </c>
      <c r="CV14" s="142">
        <f t="shared" si="44"/>
        <v>0.12557077625570776</v>
      </c>
      <c r="CW14" s="142">
        <f>up_b2w!BZ14</f>
        <v>22805.4847785862</v>
      </c>
      <c r="CX14" s="142">
        <f>IFERROR(s_C*up_RadSpec!AN14*(1/1000)*s_IFFI_far_adj*s_CF_far_fish,0)</f>
        <v>37.8125</v>
      </c>
      <c r="CY14" s="142">
        <f>(s_C*s_IFB_far_adj*s_CF_far_beef*up_RadSpec!AM14*s_Q_w_beef*(1/1000))</f>
        <v>189.0625</v>
      </c>
      <c r="CZ14" s="142">
        <f>(s_C*s_IFD_far_adj*s_CF_far_dairy*up_RadSpec!AL14*(1/s_D_milk)*s_Q_w_dairy*(1/1000))</f>
        <v>183.55582524271844</v>
      </c>
      <c r="DA14" s="142">
        <f>(s_C*s_IFSW_far_adj*s_CF_far_swine*up_RadSpec!AQ14*s_Q_w_swine*(1/1000))</f>
        <v>189.0625</v>
      </c>
      <c r="DB14" s="142">
        <f>(s_C*s_IFP_far_adj*s_CF_far_poultry*up_RadSpec!AO14*s_Q_w_poultry*(1/1000))</f>
        <v>189.0625</v>
      </c>
      <c r="DC14" s="142">
        <f>(s_C*s_IFE_far_adj*s_CF_far_egg*up_RadSpec!AP14*s_Q_w_egg*(1/1000))</f>
        <v>189.0625</v>
      </c>
      <c r="DD14" s="142">
        <f>(s_C*s_IFGO_far_adj*s_CF_far_goat*up_RadSpec!AT14*s_Q_p_goat*(1/1000))</f>
        <v>189.0625</v>
      </c>
      <c r="DE14" s="142">
        <f>(s_C*s_IFGM_far_adj*s_CF_far_goat_milk*up_RadSpec!AU14*(1/s_D_milk)*s_Q_p_goat_milk*(1/1000))</f>
        <v>183.55582524271844</v>
      </c>
      <c r="DF14" s="142">
        <f>(s_C*s_IFSH_far_adj*s_CF_far_sheep*up_RadSpec!AR14*s_Q_p_sheep*(1/1000))</f>
        <v>189.0625</v>
      </c>
      <c r="DG14" s="142">
        <f>(s_C*s_IFSM_far_adj*s_CF_far_sheep_milk*up_RadSpec!AS14*(1/s_D_milk)*s_Q_p_sheep_milk*(1/1000))</f>
        <v>183.55582524271844</v>
      </c>
      <c r="DH14" s="141"/>
      <c r="DI14" s="141">
        <f>IFERROR((s_DL/(up_RadSpec!L14*s_IFA_far_adj)),".")</f>
        <v>9.9740259740259754E-3</v>
      </c>
      <c r="DJ14" s="141">
        <f>IFERROR((s_DL/(up_RadSpec!O14*s_EF_far*(1/365)*s_ED_far*s_ET_far*(1/24)*s_GSF_a)),".")</f>
        <v>15.927272727272728</v>
      </c>
      <c r="DK14" s="141">
        <f t="shared" si="48"/>
        <v>9.9677839175609673E-3</v>
      </c>
      <c r="DL14" s="142">
        <f t="shared" si="46"/>
        <v>501.30208333333326</v>
      </c>
      <c r="DM14" s="142">
        <f t="shared" si="47"/>
        <v>0.3139269406392694</v>
      </c>
      <c r="DN14" s="127"/>
    </row>
    <row r="15" spans="1:118" customFormat="1" x14ac:dyDescent="0.25">
      <c r="A15" s="128" t="s">
        <v>13</v>
      </c>
      <c r="B15" s="129" t="s">
        <v>1059</v>
      </c>
      <c r="C15" s="141">
        <f>up_dir!AB15</f>
        <v>2.2038567493112948E-4</v>
      </c>
      <c r="D15" s="141">
        <f>IFERROR(s_DL/(up_RadSpec!J15*s_IFP_far_adj*s_CF_far_poultry),".")</f>
        <v>6.6115702479338848E-4</v>
      </c>
      <c r="E15" s="141">
        <f>IFERROR(s_DL/(up_RadSpec!J15*s_IFE_far_adj*s_CF_far_egg),".")</f>
        <v>6.6115702479338848E-4</v>
      </c>
      <c r="F15" s="141">
        <f>IFERROR(s_DL/(up_RadSpec!J15*s_IFB_far_adj*s_CF_far_beef),".")</f>
        <v>6.6115702479338848E-4</v>
      </c>
      <c r="G15" s="141">
        <f>IFERROR(s_DL/(up_RadSpec!J15*s_IFD_far_adj*s_CF_far_dairy),".")</f>
        <v>6.6115702479338848E-4</v>
      </c>
      <c r="H15" s="141">
        <f>IFERROR(s_DL/(up_RadSpec!J15*s_IFSW_far_adj*s_CF_far_swine),".")</f>
        <v>6.6115702479338848E-4</v>
      </c>
      <c r="I15" s="141">
        <f>IFERROR(s_DL/(up_RadSpec!J15*s_IFFI_far_adj*s_CF_far_fish),".")</f>
        <v>6.6115702479338848E-4</v>
      </c>
      <c r="J15" s="141">
        <f>IFERROR(s_DL/(up_RadSpec!J15*s_IFGO_far_adj*s_CF_far_goat),".")</f>
        <v>6.6115702479338848E-4</v>
      </c>
      <c r="K15" s="141">
        <f>IFERROR(s_DL/(up_RadSpec!J15*s_IFSH_far_adj*s_CF_far_sheep),".")</f>
        <v>6.6115702479338848E-4</v>
      </c>
      <c r="L15" s="141">
        <f>IFERROR(s_DL/(up_RadSpec!J15*s_IFGM_far_adj*s_CF_far_goat_milk),".")</f>
        <v>6.6115702479338848E-4</v>
      </c>
      <c r="M15" s="141">
        <f>IFERROR(s_DL/(up_RadSpec!J15*s_IFSM_far_adj*s_CF_far_sheep_milk),".")</f>
        <v>6.6115702479338848E-4</v>
      </c>
      <c r="N15" s="142">
        <f>up_dir!BA15</f>
        <v>22687.5</v>
      </c>
      <c r="O15" s="142">
        <f t="shared" si="0"/>
        <v>7562.5</v>
      </c>
      <c r="P15" s="142">
        <f t="shared" si="1"/>
        <v>7562.5</v>
      </c>
      <c r="Q15" s="142">
        <f t="shared" si="2"/>
        <v>7562.5</v>
      </c>
      <c r="R15" s="142">
        <f t="shared" si="3"/>
        <v>7562.5</v>
      </c>
      <c r="S15" s="142">
        <f t="shared" si="4"/>
        <v>7562.5</v>
      </c>
      <c r="T15" s="142">
        <f t="shared" si="5"/>
        <v>7562.5</v>
      </c>
      <c r="U15" s="142">
        <f t="shared" si="6"/>
        <v>7562.5</v>
      </c>
      <c r="V15" s="142">
        <f t="shared" si="7"/>
        <v>7562.5</v>
      </c>
      <c r="W15" s="142">
        <f t="shared" si="8"/>
        <v>7562.5</v>
      </c>
      <c r="X15" s="142">
        <f t="shared" si="9"/>
        <v>7562.5</v>
      </c>
      <c r="Y15" s="141">
        <f>IFERROR((s_DL/(up_RadSpec!I15*s_IFS_far_adj*(1/1000)))*1,".")</f>
        <v>0.33057851239669422</v>
      </c>
      <c r="Z15" s="141">
        <f>IFERROR(IF(A15="H-3",(s_DL/(up_RadSpec!L15*s_IFA_far_adj*(1/17)*1000))*1,(s_DL/(up_RadSpec!L15*s_IFA_far_adj*(1/s_PEF_wind)*1000))*1),".")</f>
        <v>3089.9917845330979</v>
      </c>
      <c r="AA15" s="141" t="str">
        <f>IFERROR((s_DL/(up_RadSpec!K15*s_EF_far*(1/365)*s_ED_far*up_RadSpec!V15*((s_ET_far_o*(1/24)*up_RadSpec!AA15)+(s_ET_far_i*(1/24)*up_RadSpec!AF15))))*1,".")</f>
        <v>.</v>
      </c>
      <c r="AB15" s="141">
        <f>up_b2s!BA15</f>
        <v>4.3958447178843029E-5</v>
      </c>
      <c r="AC15" s="141">
        <f>IFERROR(((I15*up_RadSpec!AX15)/up_RadSpec!AN15)*1,".")</f>
        <v>6.6115702479338848E-4</v>
      </c>
      <c r="AD15" s="141">
        <f>IFERROR((F15/(up_RadSpec!AM15*((s_Q_p_beef*s_f_p_beef*s_f_s_beef*(up_RadSpec!BG15+s_R_es_past))+(s_Q_s_beef*s_f_p_beef))))*1,".")</f>
        <v>1.8558793678410905E-7</v>
      </c>
      <c r="AE15" s="141">
        <f>IFERROR(((G15*s_D_milk)/(up_RadSpec!AL15*((s_Q_p_dairy*s_f_p_dairy*s_f_s_dairy*(up_RadSpec!BG15+s_R_es_past))+(s_Q_s_dairy*s_f_p_dairy))))*1,".")</f>
        <v>1.9115557488763231E-7</v>
      </c>
      <c r="AF15" s="141">
        <f>IFERROR((H15/(up_RadSpec!AQ15*((s_Q_p_swine*s_f_p_swine*s_f_s_swine*(up_RadSpec!BG15+s_R_es_past))+(s_Q_s_swine*s_f_p_swine))))*1,".")</f>
        <v>1.8558793678410905E-7</v>
      </c>
      <c r="AG15" s="141">
        <f>IFERROR((D15/(up_RadSpec!AO15*((s_Q_p_poultry*s_f_p_poultry*s_f_s_poultry*(up_RadSpec!BG15+s_R_es_past))+(s_Q_s_poultry*s_f_p_poultry))))*1,".")</f>
        <v>1.8558793678410905E-7</v>
      </c>
      <c r="AH15" s="141">
        <f>IFERROR((E15/(up_RadSpec!AP15*((s_Q_p_poultry*s_f_p_poultry*s_f_s_poultry*(up_RadSpec!BG15+s_R_es_past))+(s_Q_s_poultry*s_f_p_poultry))))*1,".")</f>
        <v>1.8558793678410905E-7</v>
      </c>
      <c r="AI15" s="141">
        <f>IFERROR((J15/(up_RadSpec!AT15*((s_Q_p_goat*s_f_p_goat*s_f_s_goat*(up_RadSpec!BG15+s_R_es_past))+(s_Q_s_goat*s_f_p_goat))))*1,".")</f>
        <v>1.8558793678410905E-7</v>
      </c>
      <c r="AJ15" s="141">
        <f>IFERROR((L15*s_D_milk/(up_RadSpec!AU15*((s_Q_p_goat_milk*s_f_p_goat_milk*s_f_s_goat_milk*(up_RadSpec!BG15+s_R_es_past))+(s_Q_s_goat_milk*s_f_p_goat_milk))))*1,".")</f>
        <v>1.9115557488763231E-7</v>
      </c>
      <c r="AK15" s="141">
        <f>IFERROR((K15/(up_RadSpec!AR15*((s_Q_p_sheep*s_f_p_sheep*s_f_s_sheep*(up_RadSpec!BG15+s_R_es_past))+(s_Q_s_sheep*s_f_p_sheep))))*1,".")</f>
        <v>1.8558793678410905E-7</v>
      </c>
      <c r="AL15" s="141">
        <f>IFERROR((M15*s_D_milk/(up_RadSpec!AS15*((s_Q_p_sheep_milk*s_f_p_sheep_milk*s_f_s_sheep_milk*(up_RadSpec!BG15+s_R_es_past))+(s_Q_s_sheep_milk*s_f_p_sheep_milk))))*1,".")</f>
        <v>1.9115557488763231E-7</v>
      </c>
      <c r="AM15" s="158">
        <f t="shared" si="10"/>
        <v>3.0249999999999999</v>
      </c>
      <c r="AN15" s="158">
        <f t="shared" si="11"/>
        <v>3.2362545590104258E-4</v>
      </c>
      <c r="AO15" s="158" t="str">
        <f t="shared" si="12"/>
        <v>.</v>
      </c>
      <c r="AP15" s="158">
        <f t="shared" si="13"/>
        <v>22748.756249999995</v>
      </c>
      <c r="AQ15" s="158">
        <f t="shared" si="14"/>
        <v>1512.5</v>
      </c>
      <c r="AR15" s="158">
        <f t="shared" si="15"/>
        <v>5388281.2499999991</v>
      </c>
      <c r="AS15" s="158">
        <f t="shared" si="16"/>
        <v>5231341.0194174759</v>
      </c>
      <c r="AT15" s="158">
        <f t="shared" si="17"/>
        <v>5388281.2499999991</v>
      </c>
      <c r="AU15" s="158">
        <f t="shared" si="18"/>
        <v>5388281.2499999991</v>
      </c>
      <c r="AV15" s="158">
        <f t="shared" si="19"/>
        <v>5388281.2499999991</v>
      </c>
      <c r="AW15" s="158">
        <f t="shared" si="20"/>
        <v>5388281.2499999991</v>
      </c>
      <c r="AX15" s="158">
        <f t="shared" si="21"/>
        <v>5231341.0194174759</v>
      </c>
      <c r="AY15" s="158">
        <f t="shared" si="22"/>
        <v>5388281.2499999991</v>
      </c>
      <c r="AZ15" s="158">
        <f t="shared" si="23"/>
        <v>5231341.0194174759</v>
      </c>
      <c r="BA15" s="141">
        <f t="shared" si="24"/>
        <v>2.0812531710933197E-8</v>
      </c>
      <c r="BB15" s="142">
        <f t="shared" si="25"/>
        <v>15.125</v>
      </c>
      <c r="BC15" s="142">
        <f t="shared" si="26"/>
        <v>1.618127279505213E-3</v>
      </c>
      <c r="BD15" s="142">
        <f>IFERROR((s_C*s_EF_far*(1/365)*s_ED_far*up_RadSpec!V15*((s_ET_far_o*(1/24)*up_RadSpec!AA15)+(s_ET_far_i*(1/24)*up_RadSpec!AF15))),".")</f>
        <v>0</v>
      </c>
      <c r="BE15" s="142">
        <f>up_b2s!BZ15</f>
        <v>113743.78125</v>
      </c>
      <c r="BF15" s="142">
        <f>IFERROR(((s_C*up_RadSpec!AN15)/up_RadSpec!AX15)*s_IFFI_far_adj*s_CF_far_fish,0)</f>
        <v>7562.5</v>
      </c>
      <c r="BG15" s="142">
        <f>(s_C*s_IFB_far_adj*s_CF_far_beef*up_RadSpec!AM15*((s_Q_p_beef*s_f_p_beef*s_f_s_beef*(up_RadSpec!$AW15+s_R_es_past))+(s_Q_s_beef*s_f_p_beef)))</f>
        <v>26941406.25</v>
      </c>
      <c r="BH15" s="142">
        <f>(s_C*s_IFD_far_adj*s_CF_far_dairy*up_RadSpec!AL15*1/s_D_milk*((s_Q_p_dairy*s_f_p_dairy*s_f_s_dairy*(up_RadSpec!$AW15+s_R_es_past))+(s_Q_s_dairy*s_f_p_dairy)))</f>
        <v>26156705.09708738</v>
      </c>
      <c r="BI15" s="142">
        <f>(s_C*s_IFSW_far_adj*s_CF_far_swine*up_RadSpec!AQ15*((s_Q_p_swine*s_f_p_swine*s_f_s_swine*(up_RadSpec!$AW15+s_R_es_past))+(s_Q_s_swine*s_f_p_swine)))</f>
        <v>26941406.25</v>
      </c>
      <c r="BJ15" s="142">
        <f>(s_C*s_IFP_far_adj*s_CF_far_poultry*up_RadSpec!AO15*((s_Q_p_poultry*s_f_p_poultry*s_f_s_poultry*(up_RadSpec!AW15+s_R_es_past))+(s_Q_s_poultry*s_f_p_poultry)))</f>
        <v>26941406.25</v>
      </c>
      <c r="BK15" s="142">
        <f>(s_C*s_IFE_far_adj*s_CF_far_egg*up_RadSpec!AP15*((s_Q_p_egg*s_f_p_egg*s_f_s_egg*(up_RadSpec!$AW15+s_R_es_past))+(s_Q_s_egg*s_f_p_egg)))</f>
        <v>26941406.25</v>
      </c>
      <c r="BL15" s="142">
        <f>(s_C*s_IFGO_far_adj*s_CF_far_goat*up_RadSpec!AT15*((s_Q_p_goat*s_f_p_goat*s_f_s_goat*(up_RadSpec!$AW15+s_R_es_past))+(s_Q_s_goat*s_f_p_goat)))</f>
        <v>26941406.25</v>
      </c>
      <c r="BM15" s="142">
        <f>(s_C*s_IFGM_far_adj*s_CF_far_goat_milk*up_RadSpec!AU15*1/s_D_milk*((s_Q_p_goat_milk*s_f_p_goat_milk*s_f_s_goat_milk*(up_RadSpec!$AW15+s_R_es_past))+(s_Q_s_goat_milk*s_f_p_goat_milk)))</f>
        <v>26156705.09708738</v>
      </c>
      <c r="BN15" s="142">
        <f>(s_C*s_IFSH_far_adj*s_CF_far_sheep*up_RadSpec!AR15*((s_Q_p_sheep*s_f_p_sheep*s_f_s_sheep*(up_RadSpec!$AW15+s_R_es_past))+(s_Q_s_sheep*s_f_p_sheep)))</f>
        <v>26941406.25</v>
      </c>
      <c r="BO15" s="142">
        <f>(s_C*s_IFSM_far_adj*s_CF_far_sheep_milk*up_RadSpec!AS15*1/s_D_milk*((s_Q_p_sheep_milk*s_f_p_sheep_milk*s_f_s_sheep_milk*(up_RadSpec!$AW15+s_R_es_past))+(s_Q_s_sheep_milk*s_f_p_sheep_milk)))</f>
        <v>26156705.09708738</v>
      </c>
      <c r="BP15" s="141"/>
      <c r="BQ15" s="141">
        <f>IFERROR(s_DL/(up_RadSpec!M15*s_IFW_far_adj),".")</f>
        <v>3.6363636363636364E-3</v>
      </c>
      <c r="BR15" s="141" t="str">
        <f>IFERROR(IF(up_RadSpec!C15=1,s_DL/(up_RadSpec!L15*s_IFA_far_adj*s_K),"."),".")</f>
        <v>.</v>
      </c>
      <c r="BS15" s="141">
        <f>IFERROR((s_DL/(up_RadSpec!Q15*(1/8760)*s_DFA_far_adj)),".")</f>
        <v>39.81818181818182</v>
      </c>
      <c r="BT15" s="141">
        <f>up_b2w!BA15</f>
        <v>2.1924550381384044E-4</v>
      </c>
      <c r="BU15" s="141">
        <f>IFERROR(I15/(up_RadSpec!AN15*(1/1000)),".")</f>
        <v>0.13223140495867769</v>
      </c>
      <c r="BV15" s="141">
        <f>IFERROR(F15/(up_RadSpec!AM15*s_Q_w_beef*(1/1000)),".")</f>
        <v>2.6446280991735537E-2</v>
      </c>
      <c r="BW15" s="141">
        <f>IFERROR((G15*s_D_milk)/(up_RadSpec!AL15*s_Q_w_dairy*(1/1000)),".")</f>
        <v>2.7239669421487603E-2</v>
      </c>
      <c r="BX15" s="141">
        <f>IFERROR(H15/(up_RadSpec!AQ15*s_Q_w_swine*(1/1000)),".")</f>
        <v>2.6446280991735537E-2</v>
      </c>
      <c r="BY15" s="141">
        <f>IFERROR(D15/(up_RadSpec!AO15*s_Q_w_poultry*(1/1000)),".")</f>
        <v>2.6446280991735537E-2</v>
      </c>
      <c r="BZ15" s="141">
        <f>IFERROR(E15/(up_RadSpec!AP15*s_Q_w_poultry*(1/1000)),".")</f>
        <v>2.6446280991735537E-2</v>
      </c>
      <c r="CA15" s="141">
        <f>IFERROR(J15/(up_RadSpec!AT15*s_Q_w_goat*(1/1000)),".")</f>
        <v>2.6446280991735537E-2</v>
      </c>
      <c r="CB15" s="141">
        <f>IFERROR(L15*s_D_milk/(up_RadSpec!AU15*s_Q_w_goat_milk*(1/1000)),".")</f>
        <v>2.7239669421487603E-2</v>
      </c>
      <c r="CC15" s="141">
        <f>IFERROR(K15/(up_RadSpec!AR15*s_Q_w_sheep*(1/1000)),".")</f>
        <v>2.6446280991735537E-2</v>
      </c>
      <c r="CD15" s="141">
        <f>IFERROR(M15*s_D_milk/(up_RadSpec!AS15*s_Q_w_sheep_milk*(1/1000)),".")</f>
        <v>2.7239669421487603E-2</v>
      </c>
      <c r="CE15" s="158">
        <f t="shared" si="27"/>
        <v>275</v>
      </c>
      <c r="CF15" s="158" t="str">
        <f t="shared" si="28"/>
        <v>.</v>
      </c>
      <c r="CG15" s="158">
        <f t="shared" si="29"/>
        <v>2.5114155251141551E-2</v>
      </c>
      <c r="CH15" s="158">
        <f t="shared" si="30"/>
        <v>4561.0969557172393</v>
      </c>
      <c r="CI15" s="158">
        <f t="shared" si="31"/>
        <v>7.5625</v>
      </c>
      <c r="CJ15" s="158">
        <f t="shared" si="32"/>
        <v>37.8125</v>
      </c>
      <c r="CK15" s="158">
        <f t="shared" si="33"/>
        <v>36.711165048543691</v>
      </c>
      <c r="CL15" s="158">
        <f t="shared" si="34"/>
        <v>37.8125</v>
      </c>
      <c r="CM15" s="158">
        <f t="shared" si="35"/>
        <v>37.8125</v>
      </c>
      <c r="CN15" s="158">
        <f t="shared" si="36"/>
        <v>37.8125</v>
      </c>
      <c r="CO15" s="158">
        <f t="shared" si="37"/>
        <v>37.8125</v>
      </c>
      <c r="CP15" s="158">
        <f t="shared" si="38"/>
        <v>36.711165048543691</v>
      </c>
      <c r="CQ15" s="158">
        <f t="shared" si="39"/>
        <v>37.8125</v>
      </c>
      <c r="CR15" s="158">
        <f t="shared" si="40"/>
        <v>36.711165048543691</v>
      </c>
      <c r="CS15" s="141">
        <f t="shared" si="41"/>
        <v>1.9302436709720458E-4</v>
      </c>
      <c r="CT15" s="142">
        <f t="shared" si="42"/>
        <v>1375</v>
      </c>
      <c r="CU15" s="142">
        <f t="shared" si="43"/>
        <v>250.65104166666663</v>
      </c>
      <c r="CV15" s="142">
        <f t="shared" si="44"/>
        <v>0.12557077625570776</v>
      </c>
      <c r="CW15" s="142">
        <f>up_b2w!BZ15</f>
        <v>22805.4847785862</v>
      </c>
      <c r="CX15" s="142">
        <f>IFERROR(s_C*up_RadSpec!AN15*(1/1000)*s_IFFI_far_adj*s_CF_far_fish,0)</f>
        <v>37.8125</v>
      </c>
      <c r="CY15" s="142">
        <f>(s_C*s_IFB_far_adj*s_CF_far_beef*up_RadSpec!AM15*s_Q_w_beef*(1/1000))</f>
        <v>189.0625</v>
      </c>
      <c r="CZ15" s="142">
        <f>(s_C*s_IFD_far_adj*s_CF_far_dairy*up_RadSpec!AL15*(1/s_D_milk)*s_Q_w_dairy*(1/1000))</f>
        <v>183.55582524271844</v>
      </c>
      <c r="DA15" s="142">
        <f>(s_C*s_IFSW_far_adj*s_CF_far_swine*up_RadSpec!AQ15*s_Q_w_swine*(1/1000))</f>
        <v>189.0625</v>
      </c>
      <c r="DB15" s="142">
        <f>(s_C*s_IFP_far_adj*s_CF_far_poultry*up_RadSpec!AO15*s_Q_w_poultry*(1/1000))</f>
        <v>189.0625</v>
      </c>
      <c r="DC15" s="142">
        <f>(s_C*s_IFE_far_adj*s_CF_far_egg*up_RadSpec!AP15*s_Q_w_egg*(1/1000))</f>
        <v>189.0625</v>
      </c>
      <c r="DD15" s="142">
        <f>(s_C*s_IFGO_far_adj*s_CF_far_goat*up_RadSpec!AT15*s_Q_p_goat*(1/1000))</f>
        <v>189.0625</v>
      </c>
      <c r="DE15" s="142">
        <f>(s_C*s_IFGM_far_adj*s_CF_far_goat_milk*up_RadSpec!AU15*(1/s_D_milk)*s_Q_p_goat_milk*(1/1000))</f>
        <v>183.55582524271844</v>
      </c>
      <c r="DF15" s="142">
        <f>(s_C*s_IFSH_far_adj*s_CF_far_sheep*up_RadSpec!AR15*s_Q_p_sheep*(1/1000))</f>
        <v>189.0625</v>
      </c>
      <c r="DG15" s="142">
        <f>(s_C*s_IFSM_far_adj*s_CF_far_sheep_milk*up_RadSpec!AS15*(1/s_D_milk)*s_Q_p_sheep_milk*(1/1000))</f>
        <v>183.55582524271844</v>
      </c>
      <c r="DH15" s="141"/>
      <c r="DI15" s="141">
        <f>IFERROR((s_DL/(up_RadSpec!L15*s_IFA_far_adj)),".")</f>
        <v>9.9740259740259754E-3</v>
      </c>
      <c r="DJ15" s="141">
        <f>IFERROR((s_DL/(up_RadSpec!O15*s_EF_far*(1/365)*s_ED_far*s_ET_far*(1/24)*s_GSF_a)),".")</f>
        <v>15.927272727272728</v>
      </c>
      <c r="DK15" s="141">
        <f t="shared" si="48"/>
        <v>9.9677839175609673E-3</v>
      </c>
      <c r="DL15" s="142">
        <f t="shared" si="46"/>
        <v>501.30208333333326</v>
      </c>
      <c r="DM15" s="142">
        <f t="shared" si="47"/>
        <v>0.3139269406392694</v>
      </c>
      <c r="DN15" s="127"/>
    </row>
    <row r="16" spans="1:118" customFormat="1" x14ac:dyDescent="0.25">
      <c r="A16" s="128" t="s">
        <v>14</v>
      </c>
      <c r="B16" s="129" t="s">
        <v>1059</v>
      </c>
      <c r="C16" s="141">
        <f>up_dir!AB16</f>
        <v>2.2038567493112948E-4</v>
      </c>
      <c r="D16" s="141">
        <f>IFERROR(s_DL/(up_RadSpec!J16*s_IFP_far_adj*s_CF_far_poultry),".")</f>
        <v>6.6115702479338848E-4</v>
      </c>
      <c r="E16" s="141">
        <f>IFERROR(s_DL/(up_RadSpec!J16*s_IFE_far_adj*s_CF_far_egg),".")</f>
        <v>6.6115702479338848E-4</v>
      </c>
      <c r="F16" s="141">
        <f>IFERROR(s_DL/(up_RadSpec!J16*s_IFB_far_adj*s_CF_far_beef),".")</f>
        <v>6.6115702479338848E-4</v>
      </c>
      <c r="G16" s="141">
        <f>IFERROR(s_DL/(up_RadSpec!J16*s_IFD_far_adj*s_CF_far_dairy),".")</f>
        <v>6.6115702479338848E-4</v>
      </c>
      <c r="H16" s="141">
        <f>IFERROR(s_DL/(up_RadSpec!J16*s_IFSW_far_adj*s_CF_far_swine),".")</f>
        <v>6.6115702479338848E-4</v>
      </c>
      <c r="I16" s="141">
        <f>IFERROR(s_DL/(up_RadSpec!J16*s_IFFI_far_adj*s_CF_far_fish),".")</f>
        <v>6.6115702479338848E-4</v>
      </c>
      <c r="J16" s="141">
        <f>IFERROR(s_DL/(up_RadSpec!J16*s_IFGO_far_adj*s_CF_far_goat),".")</f>
        <v>6.6115702479338848E-4</v>
      </c>
      <c r="K16" s="141">
        <f>IFERROR(s_DL/(up_RadSpec!J16*s_IFSH_far_adj*s_CF_far_sheep),".")</f>
        <v>6.6115702479338848E-4</v>
      </c>
      <c r="L16" s="141">
        <f>IFERROR(s_DL/(up_RadSpec!J16*s_IFGM_far_adj*s_CF_far_goat_milk),".")</f>
        <v>6.6115702479338848E-4</v>
      </c>
      <c r="M16" s="141">
        <f>IFERROR(s_DL/(up_RadSpec!J16*s_IFSM_far_adj*s_CF_far_sheep_milk),".")</f>
        <v>6.6115702479338848E-4</v>
      </c>
      <c r="N16" s="142">
        <f>up_dir!BA16</f>
        <v>22687.5</v>
      </c>
      <c r="O16" s="142">
        <f t="shared" si="0"/>
        <v>7562.5</v>
      </c>
      <c r="P16" s="142">
        <f t="shared" si="1"/>
        <v>7562.5</v>
      </c>
      <c r="Q16" s="142">
        <f t="shared" si="2"/>
        <v>7562.5</v>
      </c>
      <c r="R16" s="142">
        <f t="shared" si="3"/>
        <v>7562.5</v>
      </c>
      <c r="S16" s="142">
        <f t="shared" si="4"/>
        <v>7562.5</v>
      </c>
      <c r="T16" s="142">
        <f t="shared" si="5"/>
        <v>7562.5</v>
      </c>
      <c r="U16" s="142">
        <f t="shared" si="6"/>
        <v>7562.5</v>
      </c>
      <c r="V16" s="142">
        <f t="shared" si="7"/>
        <v>7562.5</v>
      </c>
      <c r="W16" s="142">
        <f t="shared" si="8"/>
        <v>7562.5</v>
      </c>
      <c r="X16" s="142">
        <f t="shared" si="9"/>
        <v>7562.5</v>
      </c>
      <c r="Y16" s="141">
        <f>IFERROR((s_DL/(up_RadSpec!I16*s_IFS_far_adj*(1/1000)))*1,".")</f>
        <v>0.33057851239669422</v>
      </c>
      <c r="Z16" s="141">
        <f>IFERROR(IF(A16="H-3",(s_DL/(up_RadSpec!L16*s_IFA_far_adj*(1/17)*1000))*1,(s_DL/(up_RadSpec!L16*s_IFA_far_adj*(1/s_PEF_wind)*1000))*1),".")</f>
        <v>3089.9917845330979</v>
      </c>
      <c r="AA16" s="141">
        <f>IFERROR((s_DL/(up_RadSpec!K16*s_EF_far*(1/365)*s_ED_far*up_RadSpec!V16*((s_ET_far_o*(1/24)*up_RadSpec!AA16)+(s_ET_far_i*(1/24)*up_RadSpec!AF16))))*1,".")</f>
        <v>3187275.8459379398</v>
      </c>
      <c r="AB16" s="141">
        <f>up_b2s!BA16</f>
        <v>4.3958447178843029E-5</v>
      </c>
      <c r="AC16" s="141">
        <f>IFERROR(((I16*up_RadSpec!AX16)/up_RadSpec!AN16)*1,".")</f>
        <v>6.6115702479338848E-4</v>
      </c>
      <c r="AD16" s="141">
        <f>IFERROR((F16/(up_RadSpec!AM16*((s_Q_p_beef*s_f_p_beef*s_f_s_beef*(up_RadSpec!BG16+s_R_es_past))+(s_Q_s_beef*s_f_p_beef))))*1,".")</f>
        <v>1.8558793678410905E-7</v>
      </c>
      <c r="AE16" s="141">
        <f>IFERROR(((G16*s_D_milk)/(up_RadSpec!AL16*((s_Q_p_dairy*s_f_p_dairy*s_f_s_dairy*(up_RadSpec!BG16+s_R_es_past))+(s_Q_s_dairy*s_f_p_dairy))))*1,".")</f>
        <v>1.9115557488763231E-7</v>
      </c>
      <c r="AF16" s="141">
        <f>IFERROR((H16/(up_RadSpec!AQ16*((s_Q_p_swine*s_f_p_swine*s_f_s_swine*(up_RadSpec!BG16+s_R_es_past))+(s_Q_s_swine*s_f_p_swine))))*1,".")</f>
        <v>1.8558793678410905E-7</v>
      </c>
      <c r="AG16" s="141">
        <f>IFERROR((D16/(up_RadSpec!AO16*((s_Q_p_poultry*s_f_p_poultry*s_f_s_poultry*(up_RadSpec!BG16+s_R_es_past))+(s_Q_s_poultry*s_f_p_poultry))))*1,".")</f>
        <v>1.8558793678410905E-7</v>
      </c>
      <c r="AH16" s="141">
        <f>IFERROR((E16/(up_RadSpec!AP16*((s_Q_p_poultry*s_f_p_poultry*s_f_s_poultry*(up_RadSpec!BG16+s_R_es_past))+(s_Q_s_poultry*s_f_p_poultry))))*1,".")</f>
        <v>1.8558793678410905E-7</v>
      </c>
      <c r="AI16" s="141">
        <f>IFERROR((J16/(up_RadSpec!AT16*((s_Q_p_goat*s_f_p_goat*s_f_s_goat*(up_RadSpec!BG16+s_R_es_past))+(s_Q_s_goat*s_f_p_goat))))*1,".")</f>
        <v>1.8558793678410905E-7</v>
      </c>
      <c r="AJ16" s="141">
        <f>IFERROR((L16*s_D_milk/(up_RadSpec!AU16*((s_Q_p_goat_milk*s_f_p_goat_milk*s_f_s_goat_milk*(up_RadSpec!BG16+s_R_es_past))+(s_Q_s_goat_milk*s_f_p_goat_milk))))*1,".")</f>
        <v>1.9115557488763231E-7</v>
      </c>
      <c r="AK16" s="141">
        <f>IFERROR((K16/(up_RadSpec!AR16*((s_Q_p_sheep*s_f_p_sheep*s_f_s_sheep*(up_RadSpec!BG16+s_R_es_past))+(s_Q_s_sheep*s_f_p_sheep))))*1,".")</f>
        <v>1.8558793678410905E-7</v>
      </c>
      <c r="AL16" s="141">
        <f>IFERROR((M16*s_D_milk/(up_RadSpec!AS16*((s_Q_p_sheep_milk*s_f_p_sheep_milk*s_f_s_sheep_milk*(up_RadSpec!BG16+s_R_es_past))+(s_Q_s_sheep_milk*s_f_p_sheep_milk))))*1,".")</f>
        <v>1.9115557488763231E-7</v>
      </c>
      <c r="AM16" s="158">
        <f t="shared" si="10"/>
        <v>3.0249999999999999</v>
      </c>
      <c r="AN16" s="158">
        <f t="shared" si="11"/>
        <v>3.2362545590104258E-4</v>
      </c>
      <c r="AO16" s="158">
        <f t="shared" si="12"/>
        <v>3.1374755381604682E-7</v>
      </c>
      <c r="AP16" s="158">
        <f t="shared" si="13"/>
        <v>22748.756249999995</v>
      </c>
      <c r="AQ16" s="158">
        <f t="shared" si="14"/>
        <v>1512.5</v>
      </c>
      <c r="AR16" s="158">
        <f t="shared" si="15"/>
        <v>5388281.2499999991</v>
      </c>
      <c r="AS16" s="158">
        <f t="shared" si="16"/>
        <v>5231341.0194174759</v>
      </c>
      <c r="AT16" s="158">
        <f t="shared" si="17"/>
        <v>5388281.2499999991</v>
      </c>
      <c r="AU16" s="158">
        <f t="shared" si="18"/>
        <v>5388281.2499999991</v>
      </c>
      <c r="AV16" s="158">
        <f t="shared" si="19"/>
        <v>5388281.2499999991</v>
      </c>
      <c r="AW16" s="158">
        <f t="shared" si="20"/>
        <v>5388281.2499999991</v>
      </c>
      <c r="AX16" s="158">
        <f t="shared" si="21"/>
        <v>5231341.0194174759</v>
      </c>
      <c r="AY16" s="158">
        <f t="shared" si="22"/>
        <v>5388281.2499999991</v>
      </c>
      <c r="AZ16" s="158">
        <f t="shared" si="23"/>
        <v>5231341.0194174759</v>
      </c>
      <c r="BA16" s="141">
        <f t="shared" si="24"/>
        <v>2.0812531710933062E-8</v>
      </c>
      <c r="BB16" s="142">
        <f t="shared" si="25"/>
        <v>15.125</v>
      </c>
      <c r="BC16" s="142">
        <f t="shared" si="26"/>
        <v>1.618127279505213E-3</v>
      </c>
      <c r="BD16" s="142">
        <f>IFERROR((s_C*s_EF_far*(1/365)*s_ED_far*up_RadSpec!V16*((s_ET_far_o*(1/24)*up_RadSpec!AA16)+(s_ET_far_i*(1/24)*up_RadSpec!AF16))),".")</f>
        <v>1.5687377690802341E-6</v>
      </c>
      <c r="BE16" s="142">
        <f>up_b2s!BZ16</f>
        <v>113743.78125</v>
      </c>
      <c r="BF16" s="142">
        <f>IFERROR(((s_C*up_RadSpec!AN16)/up_RadSpec!AX16)*s_IFFI_far_adj*s_CF_far_fish,0)</f>
        <v>7562.5</v>
      </c>
      <c r="BG16" s="142">
        <f>(s_C*s_IFB_far_adj*s_CF_far_beef*up_RadSpec!AM16*((s_Q_p_beef*s_f_p_beef*s_f_s_beef*(up_RadSpec!$AW16+s_R_es_past))+(s_Q_s_beef*s_f_p_beef)))</f>
        <v>26941406.25</v>
      </c>
      <c r="BH16" s="142">
        <f>(s_C*s_IFD_far_adj*s_CF_far_dairy*up_RadSpec!AL16*1/s_D_milk*((s_Q_p_dairy*s_f_p_dairy*s_f_s_dairy*(up_RadSpec!$AW16+s_R_es_past))+(s_Q_s_dairy*s_f_p_dairy)))</f>
        <v>26156705.09708738</v>
      </c>
      <c r="BI16" s="142">
        <f>(s_C*s_IFSW_far_adj*s_CF_far_swine*up_RadSpec!AQ16*((s_Q_p_swine*s_f_p_swine*s_f_s_swine*(up_RadSpec!$AW16+s_R_es_past))+(s_Q_s_swine*s_f_p_swine)))</f>
        <v>26941406.25</v>
      </c>
      <c r="BJ16" s="142">
        <f>(s_C*s_IFP_far_adj*s_CF_far_poultry*up_RadSpec!AO16*((s_Q_p_poultry*s_f_p_poultry*s_f_s_poultry*(up_RadSpec!AW16+s_R_es_past))+(s_Q_s_poultry*s_f_p_poultry)))</f>
        <v>26941406.25</v>
      </c>
      <c r="BK16" s="142">
        <f>(s_C*s_IFE_far_adj*s_CF_far_egg*up_RadSpec!AP16*((s_Q_p_egg*s_f_p_egg*s_f_s_egg*(up_RadSpec!$AW16+s_R_es_past))+(s_Q_s_egg*s_f_p_egg)))</f>
        <v>26941406.25</v>
      </c>
      <c r="BL16" s="142">
        <f>(s_C*s_IFGO_far_adj*s_CF_far_goat*up_RadSpec!AT16*((s_Q_p_goat*s_f_p_goat*s_f_s_goat*(up_RadSpec!$AW16+s_R_es_past))+(s_Q_s_goat*s_f_p_goat)))</f>
        <v>26941406.25</v>
      </c>
      <c r="BM16" s="142">
        <f>(s_C*s_IFGM_far_adj*s_CF_far_goat_milk*up_RadSpec!AU16*1/s_D_milk*((s_Q_p_goat_milk*s_f_p_goat_milk*s_f_s_goat_milk*(up_RadSpec!$AW16+s_R_es_past))+(s_Q_s_goat_milk*s_f_p_goat_milk)))</f>
        <v>26156705.09708738</v>
      </c>
      <c r="BN16" s="142">
        <f>(s_C*s_IFSH_far_adj*s_CF_far_sheep*up_RadSpec!AR16*((s_Q_p_sheep*s_f_p_sheep*s_f_s_sheep*(up_RadSpec!$AW16+s_R_es_past))+(s_Q_s_sheep*s_f_p_sheep)))</f>
        <v>26941406.25</v>
      </c>
      <c r="BO16" s="142">
        <f>(s_C*s_IFSM_far_adj*s_CF_far_sheep_milk*up_RadSpec!AS16*1/s_D_milk*((s_Q_p_sheep_milk*s_f_p_sheep_milk*s_f_s_sheep_milk*(up_RadSpec!$AW16+s_R_es_past))+(s_Q_s_sheep_milk*s_f_p_sheep_milk)))</f>
        <v>26156705.09708738</v>
      </c>
      <c r="BP16" s="141"/>
      <c r="BQ16" s="141">
        <f>IFERROR(s_DL/(up_RadSpec!M16*s_IFW_far_adj),".")</f>
        <v>3.6363636363636364E-3</v>
      </c>
      <c r="BR16" s="141" t="str">
        <f>IFERROR(IF(up_RadSpec!C16=1,s_DL/(up_RadSpec!L16*s_IFA_far_adj*s_K),"."),".")</f>
        <v>.</v>
      </c>
      <c r="BS16" s="141">
        <f>IFERROR((s_DL/(up_RadSpec!Q16*(1/8760)*s_DFA_far_adj)),".")</f>
        <v>39.81818181818182</v>
      </c>
      <c r="BT16" s="141">
        <f>up_b2w!BA16</f>
        <v>2.1924550381384044E-4</v>
      </c>
      <c r="BU16" s="141">
        <f>IFERROR(I16/(up_RadSpec!AN16*(1/1000)),".")</f>
        <v>0.13223140495867769</v>
      </c>
      <c r="BV16" s="141">
        <f>IFERROR(F16/(up_RadSpec!AM16*s_Q_w_beef*(1/1000)),".")</f>
        <v>2.6446280991735537E-2</v>
      </c>
      <c r="BW16" s="141">
        <f>IFERROR((G16*s_D_milk)/(up_RadSpec!AL16*s_Q_w_dairy*(1/1000)),".")</f>
        <v>2.7239669421487603E-2</v>
      </c>
      <c r="BX16" s="141">
        <f>IFERROR(H16/(up_RadSpec!AQ16*s_Q_w_swine*(1/1000)),".")</f>
        <v>2.6446280991735537E-2</v>
      </c>
      <c r="BY16" s="141">
        <f>IFERROR(D16/(up_RadSpec!AO16*s_Q_w_poultry*(1/1000)),".")</f>
        <v>2.6446280991735537E-2</v>
      </c>
      <c r="BZ16" s="141">
        <f>IFERROR(E16/(up_RadSpec!AP16*s_Q_w_poultry*(1/1000)),".")</f>
        <v>2.6446280991735537E-2</v>
      </c>
      <c r="CA16" s="141">
        <f>IFERROR(J16/(up_RadSpec!AT16*s_Q_w_goat*(1/1000)),".")</f>
        <v>2.6446280991735537E-2</v>
      </c>
      <c r="CB16" s="141">
        <f>IFERROR(L16*s_D_milk/(up_RadSpec!AU16*s_Q_w_goat_milk*(1/1000)),".")</f>
        <v>2.7239669421487603E-2</v>
      </c>
      <c r="CC16" s="141">
        <f>IFERROR(K16/(up_RadSpec!AR16*s_Q_w_sheep*(1/1000)),".")</f>
        <v>2.6446280991735537E-2</v>
      </c>
      <c r="CD16" s="141">
        <f>IFERROR(M16*s_D_milk/(up_RadSpec!AS16*s_Q_w_sheep_milk*(1/1000)),".")</f>
        <v>2.7239669421487603E-2</v>
      </c>
      <c r="CE16" s="158">
        <f t="shared" si="27"/>
        <v>275</v>
      </c>
      <c r="CF16" s="158" t="str">
        <f t="shared" si="28"/>
        <v>.</v>
      </c>
      <c r="CG16" s="158">
        <f t="shared" si="29"/>
        <v>2.5114155251141551E-2</v>
      </c>
      <c r="CH16" s="158">
        <f t="shared" si="30"/>
        <v>4561.0969557172393</v>
      </c>
      <c r="CI16" s="158">
        <f t="shared" si="31"/>
        <v>7.5625</v>
      </c>
      <c r="CJ16" s="158">
        <f t="shared" si="32"/>
        <v>37.8125</v>
      </c>
      <c r="CK16" s="158">
        <f t="shared" si="33"/>
        <v>36.711165048543691</v>
      </c>
      <c r="CL16" s="158">
        <f t="shared" si="34"/>
        <v>37.8125</v>
      </c>
      <c r="CM16" s="158">
        <f t="shared" si="35"/>
        <v>37.8125</v>
      </c>
      <c r="CN16" s="158">
        <f t="shared" si="36"/>
        <v>37.8125</v>
      </c>
      <c r="CO16" s="158">
        <f t="shared" si="37"/>
        <v>37.8125</v>
      </c>
      <c r="CP16" s="158">
        <f t="shared" si="38"/>
        <v>36.711165048543691</v>
      </c>
      <c r="CQ16" s="158">
        <f t="shared" si="39"/>
        <v>37.8125</v>
      </c>
      <c r="CR16" s="158">
        <f t="shared" si="40"/>
        <v>36.711165048543691</v>
      </c>
      <c r="CS16" s="141">
        <f t="shared" si="41"/>
        <v>1.9302436709720458E-4</v>
      </c>
      <c r="CT16" s="142">
        <f t="shared" si="42"/>
        <v>1375</v>
      </c>
      <c r="CU16" s="142">
        <f t="shared" si="43"/>
        <v>250.65104166666663</v>
      </c>
      <c r="CV16" s="142">
        <f t="shared" si="44"/>
        <v>0.12557077625570776</v>
      </c>
      <c r="CW16" s="142">
        <f>up_b2w!BZ16</f>
        <v>22805.4847785862</v>
      </c>
      <c r="CX16" s="142">
        <f>IFERROR(s_C*up_RadSpec!AN16*(1/1000)*s_IFFI_far_adj*s_CF_far_fish,0)</f>
        <v>37.8125</v>
      </c>
      <c r="CY16" s="142">
        <f>(s_C*s_IFB_far_adj*s_CF_far_beef*up_RadSpec!AM16*s_Q_w_beef*(1/1000))</f>
        <v>189.0625</v>
      </c>
      <c r="CZ16" s="142">
        <f>(s_C*s_IFD_far_adj*s_CF_far_dairy*up_RadSpec!AL16*(1/s_D_milk)*s_Q_w_dairy*(1/1000))</f>
        <v>183.55582524271844</v>
      </c>
      <c r="DA16" s="142">
        <f>(s_C*s_IFSW_far_adj*s_CF_far_swine*up_RadSpec!AQ16*s_Q_w_swine*(1/1000))</f>
        <v>189.0625</v>
      </c>
      <c r="DB16" s="142">
        <f>(s_C*s_IFP_far_adj*s_CF_far_poultry*up_RadSpec!AO16*s_Q_w_poultry*(1/1000))</f>
        <v>189.0625</v>
      </c>
      <c r="DC16" s="142">
        <f>(s_C*s_IFE_far_adj*s_CF_far_egg*up_RadSpec!AP16*s_Q_w_egg*(1/1000))</f>
        <v>189.0625</v>
      </c>
      <c r="DD16" s="142">
        <f>(s_C*s_IFGO_far_adj*s_CF_far_goat*up_RadSpec!AT16*s_Q_p_goat*(1/1000))</f>
        <v>189.0625</v>
      </c>
      <c r="DE16" s="142">
        <f>(s_C*s_IFGM_far_adj*s_CF_far_goat_milk*up_RadSpec!AU16*(1/s_D_milk)*s_Q_p_goat_milk*(1/1000))</f>
        <v>183.55582524271844</v>
      </c>
      <c r="DF16" s="142">
        <f>(s_C*s_IFSH_far_adj*s_CF_far_sheep*up_RadSpec!AR16*s_Q_p_sheep*(1/1000))</f>
        <v>189.0625</v>
      </c>
      <c r="DG16" s="142">
        <f>(s_C*s_IFSM_far_adj*s_CF_far_sheep_milk*up_RadSpec!AS16*(1/s_D_milk)*s_Q_p_sheep_milk*(1/1000))</f>
        <v>183.55582524271844</v>
      </c>
      <c r="DH16" s="141"/>
      <c r="DI16" s="141">
        <f>IFERROR((s_DL/(up_RadSpec!L16*s_IFA_far_adj)),".")</f>
        <v>9.9740259740259754E-3</v>
      </c>
      <c r="DJ16" s="141">
        <f>IFERROR((s_DL/(up_RadSpec!O16*s_EF_far*(1/365)*s_ED_far*s_ET_far*(1/24)*s_GSF_a)),".")</f>
        <v>15.927272727272728</v>
      </c>
      <c r="DK16" s="141">
        <f t="shared" si="48"/>
        <v>9.9677839175609673E-3</v>
      </c>
      <c r="DL16" s="142">
        <f t="shared" si="46"/>
        <v>501.30208333333326</v>
      </c>
      <c r="DM16" s="142">
        <f t="shared" si="47"/>
        <v>0.3139269406392694</v>
      </c>
      <c r="DN16" s="127"/>
    </row>
    <row r="17" spans="1:118" customFormat="1" x14ac:dyDescent="0.25">
      <c r="A17" s="128" t="s">
        <v>15</v>
      </c>
      <c r="B17" s="129" t="s">
        <v>1059</v>
      </c>
      <c r="C17" s="141">
        <f>up_dir!AB17</f>
        <v>2.2038567493112948E-4</v>
      </c>
      <c r="D17" s="141">
        <f>IFERROR(s_DL/(up_RadSpec!J17*s_IFP_far_adj*s_CF_far_poultry),".")</f>
        <v>6.6115702479338848E-4</v>
      </c>
      <c r="E17" s="141">
        <f>IFERROR(s_DL/(up_RadSpec!J17*s_IFE_far_adj*s_CF_far_egg),".")</f>
        <v>6.6115702479338848E-4</v>
      </c>
      <c r="F17" s="141">
        <f>IFERROR(s_DL/(up_RadSpec!J17*s_IFB_far_adj*s_CF_far_beef),".")</f>
        <v>6.6115702479338848E-4</v>
      </c>
      <c r="G17" s="141">
        <f>IFERROR(s_DL/(up_RadSpec!J17*s_IFD_far_adj*s_CF_far_dairy),".")</f>
        <v>6.6115702479338848E-4</v>
      </c>
      <c r="H17" s="141">
        <f>IFERROR(s_DL/(up_RadSpec!J17*s_IFSW_far_adj*s_CF_far_swine),".")</f>
        <v>6.6115702479338848E-4</v>
      </c>
      <c r="I17" s="141">
        <f>IFERROR(s_DL/(up_RadSpec!J17*s_IFFI_far_adj*s_CF_far_fish),".")</f>
        <v>6.6115702479338848E-4</v>
      </c>
      <c r="J17" s="141">
        <f>IFERROR(s_DL/(up_RadSpec!J17*s_IFGO_far_adj*s_CF_far_goat),".")</f>
        <v>6.6115702479338848E-4</v>
      </c>
      <c r="K17" s="141">
        <f>IFERROR(s_DL/(up_RadSpec!J17*s_IFSH_far_adj*s_CF_far_sheep),".")</f>
        <v>6.6115702479338848E-4</v>
      </c>
      <c r="L17" s="141">
        <f>IFERROR(s_DL/(up_RadSpec!J17*s_IFGM_far_adj*s_CF_far_goat_milk),".")</f>
        <v>6.6115702479338848E-4</v>
      </c>
      <c r="M17" s="141">
        <f>IFERROR(s_DL/(up_RadSpec!J17*s_IFSM_far_adj*s_CF_far_sheep_milk),".")</f>
        <v>6.6115702479338848E-4</v>
      </c>
      <c r="N17" s="142">
        <f>up_dir!BA17</f>
        <v>22687.5</v>
      </c>
      <c r="O17" s="142">
        <f t="shared" si="0"/>
        <v>7562.5</v>
      </c>
      <c r="P17" s="142">
        <f t="shared" si="1"/>
        <v>7562.5</v>
      </c>
      <c r="Q17" s="142">
        <f t="shared" si="2"/>
        <v>7562.5</v>
      </c>
      <c r="R17" s="142">
        <f t="shared" si="3"/>
        <v>7562.5</v>
      </c>
      <c r="S17" s="142">
        <f t="shared" si="4"/>
        <v>7562.5</v>
      </c>
      <c r="T17" s="142">
        <f t="shared" si="5"/>
        <v>7562.5</v>
      </c>
      <c r="U17" s="142">
        <f t="shared" si="6"/>
        <v>7562.5</v>
      </c>
      <c r="V17" s="142">
        <f t="shared" si="7"/>
        <v>7562.5</v>
      </c>
      <c r="W17" s="142">
        <f t="shared" si="8"/>
        <v>7562.5</v>
      </c>
      <c r="X17" s="142">
        <f t="shared" si="9"/>
        <v>7562.5</v>
      </c>
      <c r="Y17" s="141">
        <f>IFERROR((s_DL/(up_RadSpec!I17*s_IFS_far_adj*(1/1000)))*1,".")</f>
        <v>0.33057851239669422</v>
      </c>
      <c r="Z17" s="141">
        <f>IFERROR(IF(A17="H-3",(s_DL/(up_RadSpec!L17*s_IFA_far_adj*(1/17)*1000))*1,(s_DL/(up_RadSpec!L17*s_IFA_far_adj*(1/s_PEF_wind)*1000))*1),".")</f>
        <v>3089.9917845330979</v>
      </c>
      <c r="AA17" s="141">
        <f>IFERROR((s_DL/(up_RadSpec!K17*s_EF_far*(1/365)*s_ED_far*up_RadSpec!V17*((s_ET_far_o*(1/24)*up_RadSpec!AA17)+(s_ET_far_i*(1/24)*up_RadSpec!AF17))))*1,".")</f>
        <v>293.03423848878384</v>
      </c>
      <c r="AB17" s="141">
        <f>up_b2s!BA17</f>
        <v>4.3958447178843029E-5</v>
      </c>
      <c r="AC17" s="141">
        <f>IFERROR(((I17*up_RadSpec!AX17)/up_RadSpec!AN17)*1,".")</f>
        <v>6.6115702479338848E-4</v>
      </c>
      <c r="AD17" s="141">
        <f>IFERROR((F17/(up_RadSpec!AM17*((s_Q_p_beef*s_f_p_beef*s_f_s_beef*(up_RadSpec!BG17+s_R_es_past))+(s_Q_s_beef*s_f_p_beef))))*1,".")</f>
        <v>1.8558793678410905E-7</v>
      </c>
      <c r="AE17" s="141">
        <f>IFERROR(((G17*s_D_milk)/(up_RadSpec!AL17*((s_Q_p_dairy*s_f_p_dairy*s_f_s_dairy*(up_RadSpec!BG17+s_R_es_past))+(s_Q_s_dairy*s_f_p_dairy))))*1,".")</f>
        <v>1.9115557488763231E-7</v>
      </c>
      <c r="AF17" s="141">
        <f>IFERROR((H17/(up_RadSpec!AQ17*((s_Q_p_swine*s_f_p_swine*s_f_s_swine*(up_RadSpec!BG17+s_R_es_past))+(s_Q_s_swine*s_f_p_swine))))*1,".")</f>
        <v>1.8558793678410905E-7</v>
      </c>
      <c r="AG17" s="141">
        <f>IFERROR((D17/(up_RadSpec!AO17*((s_Q_p_poultry*s_f_p_poultry*s_f_s_poultry*(up_RadSpec!BG17+s_R_es_past))+(s_Q_s_poultry*s_f_p_poultry))))*1,".")</f>
        <v>1.8558793678410905E-7</v>
      </c>
      <c r="AH17" s="141">
        <f>IFERROR((E17/(up_RadSpec!AP17*((s_Q_p_poultry*s_f_p_poultry*s_f_s_poultry*(up_RadSpec!BG17+s_R_es_past))+(s_Q_s_poultry*s_f_p_poultry))))*1,".")</f>
        <v>1.8558793678410905E-7</v>
      </c>
      <c r="AI17" s="141">
        <f>IFERROR((J17/(up_RadSpec!AT17*((s_Q_p_goat*s_f_p_goat*s_f_s_goat*(up_RadSpec!BG17+s_R_es_past))+(s_Q_s_goat*s_f_p_goat))))*1,".")</f>
        <v>1.8558793678410905E-7</v>
      </c>
      <c r="AJ17" s="141">
        <f>IFERROR((L17*s_D_milk/(up_RadSpec!AU17*((s_Q_p_goat_milk*s_f_p_goat_milk*s_f_s_goat_milk*(up_RadSpec!BG17+s_R_es_past))+(s_Q_s_goat_milk*s_f_p_goat_milk))))*1,".")</f>
        <v>1.9115557488763231E-7</v>
      </c>
      <c r="AK17" s="141">
        <f>IFERROR((K17/(up_RadSpec!AR17*((s_Q_p_sheep*s_f_p_sheep*s_f_s_sheep*(up_RadSpec!BG17+s_R_es_past))+(s_Q_s_sheep*s_f_p_sheep))))*1,".")</f>
        <v>1.8558793678410905E-7</v>
      </c>
      <c r="AL17" s="141">
        <f>IFERROR((M17*s_D_milk/(up_RadSpec!AS17*((s_Q_p_sheep_milk*s_f_p_sheep_milk*s_f_s_sheep_milk*(up_RadSpec!BG17+s_R_es_past))+(s_Q_s_sheep_milk*s_f_p_sheep_milk))))*1,".")</f>
        <v>1.9115557488763231E-7</v>
      </c>
      <c r="AM17" s="158">
        <f t="shared" si="10"/>
        <v>3.0249999999999999</v>
      </c>
      <c r="AN17" s="158">
        <f t="shared" si="11"/>
        <v>3.2362545590104258E-4</v>
      </c>
      <c r="AO17" s="158">
        <f t="shared" si="12"/>
        <v>3.4125705076551182E-3</v>
      </c>
      <c r="AP17" s="158">
        <f t="shared" si="13"/>
        <v>22748.756249999995</v>
      </c>
      <c r="AQ17" s="158">
        <f t="shared" si="14"/>
        <v>1512.5</v>
      </c>
      <c r="AR17" s="158">
        <f t="shared" si="15"/>
        <v>5388281.2499999991</v>
      </c>
      <c r="AS17" s="158">
        <f t="shared" si="16"/>
        <v>5231341.0194174759</v>
      </c>
      <c r="AT17" s="158">
        <f t="shared" si="17"/>
        <v>5388281.2499999991</v>
      </c>
      <c r="AU17" s="158">
        <f t="shared" si="18"/>
        <v>5388281.2499999991</v>
      </c>
      <c r="AV17" s="158">
        <f t="shared" si="19"/>
        <v>5388281.2499999991</v>
      </c>
      <c r="AW17" s="158">
        <f t="shared" si="20"/>
        <v>5388281.2499999991</v>
      </c>
      <c r="AX17" s="158">
        <f t="shared" si="21"/>
        <v>5231341.0194174759</v>
      </c>
      <c r="AY17" s="158">
        <f t="shared" si="22"/>
        <v>5388281.2499999991</v>
      </c>
      <c r="AZ17" s="158">
        <f t="shared" si="23"/>
        <v>5231341.0194174759</v>
      </c>
      <c r="BA17" s="141">
        <f t="shared" si="24"/>
        <v>2.0812531709455002E-8</v>
      </c>
      <c r="BB17" s="142">
        <f t="shared" si="25"/>
        <v>15.125</v>
      </c>
      <c r="BC17" s="142">
        <f t="shared" si="26"/>
        <v>1.618127279505213E-3</v>
      </c>
      <c r="BD17" s="142">
        <f>IFERROR((s_C*s_EF_far*(1/365)*s_ED_far*up_RadSpec!V17*((s_ET_far_o*(1/24)*up_RadSpec!AA17)+(s_ET_far_i*(1/24)*up_RadSpec!AF17))),".")</f>
        <v>1.7062852538275591E-2</v>
      </c>
      <c r="BE17" s="142">
        <f>up_b2s!BZ17</f>
        <v>113743.78125</v>
      </c>
      <c r="BF17" s="142">
        <f>IFERROR(((s_C*up_RadSpec!AN17)/up_RadSpec!AX17)*s_IFFI_far_adj*s_CF_far_fish,0)</f>
        <v>7562.5</v>
      </c>
      <c r="BG17" s="142">
        <f>(s_C*s_IFB_far_adj*s_CF_far_beef*up_RadSpec!AM17*((s_Q_p_beef*s_f_p_beef*s_f_s_beef*(up_RadSpec!$AW17+s_R_es_past))+(s_Q_s_beef*s_f_p_beef)))</f>
        <v>26941406.25</v>
      </c>
      <c r="BH17" s="142">
        <f>(s_C*s_IFD_far_adj*s_CF_far_dairy*up_RadSpec!AL17*1/s_D_milk*((s_Q_p_dairy*s_f_p_dairy*s_f_s_dairy*(up_RadSpec!$AW17+s_R_es_past))+(s_Q_s_dairy*s_f_p_dairy)))</f>
        <v>26156705.09708738</v>
      </c>
      <c r="BI17" s="142">
        <f>(s_C*s_IFSW_far_adj*s_CF_far_swine*up_RadSpec!AQ17*((s_Q_p_swine*s_f_p_swine*s_f_s_swine*(up_RadSpec!$AW17+s_R_es_past))+(s_Q_s_swine*s_f_p_swine)))</f>
        <v>26941406.25</v>
      </c>
      <c r="BJ17" s="142">
        <f>(s_C*s_IFP_far_adj*s_CF_far_poultry*up_RadSpec!AO17*((s_Q_p_poultry*s_f_p_poultry*s_f_s_poultry*(up_RadSpec!AW17+s_R_es_past))+(s_Q_s_poultry*s_f_p_poultry)))</f>
        <v>26941406.25</v>
      </c>
      <c r="BK17" s="142">
        <f>(s_C*s_IFE_far_adj*s_CF_far_egg*up_RadSpec!AP17*((s_Q_p_egg*s_f_p_egg*s_f_s_egg*(up_RadSpec!$AW17+s_R_es_past))+(s_Q_s_egg*s_f_p_egg)))</f>
        <v>26941406.25</v>
      </c>
      <c r="BL17" s="142">
        <f>(s_C*s_IFGO_far_adj*s_CF_far_goat*up_RadSpec!AT17*((s_Q_p_goat*s_f_p_goat*s_f_s_goat*(up_RadSpec!$AW17+s_R_es_past))+(s_Q_s_goat*s_f_p_goat)))</f>
        <v>26941406.25</v>
      </c>
      <c r="BM17" s="142">
        <f>(s_C*s_IFGM_far_adj*s_CF_far_goat_milk*up_RadSpec!AU17*1/s_D_milk*((s_Q_p_goat_milk*s_f_p_goat_milk*s_f_s_goat_milk*(up_RadSpec!$AW17+s_R_es_past))+(s_Q_s_goat_milk*s_f_p_goat_milk)))</f>
        <v>26156705.09708738</v>
      </c>
      <c r="BN17" s="142">
        <f>(s_C*s_IFSH_far_adj*s_CF_far_sheep*up_RadSpec!AR17*((s_Q_p_sheep*s_f_p_sheep*s_f_s_sheep*(up_RadSpec!$AW17+s_R_es_past))+(s_Q_s_sheep*s_f_p_sheep)))</f>
        <v>26941406.25</v>
      </c>
      <c r="BO17" s="142">
        <f>(s_C*s_IFSM_far_adj*s_CF_far_sheep_milk*up_RadSpec!AS17*1/s_D_milk*((s_Q_p_sheep_milk*s_f_p_sheep_milk*s_f_s_sheep_milk*(up_RadSpec!$AW17+s_R_es_past))+(s_Q_s_sheep_milk*s_f_p_sheep_milk)))</f>
        <v>26156705.09708738</v>
      </c>
      <c r="BP17" s="141"/>
      <c r="BQ17" s="141">
        <f>IFERROR(s_DL/(up_RadSpec!M17*s_IFW_far_adj),".")</f>
        <v>3.6363636363636364E-3</v>
      </c>
      <c r="BR17" s="141" t="str">
        <f>IFERROR(IF(up_RadSpec!C17=1,s_DL/(up_RadSpec!L17*s_IFA_far_adj*s_K),"."),".")</f>
        <v>.</v>
      </c>
      <c r="BS17" s="141">
        <f>IFERROR((s_DL/(up_RadSpec!Q17*(1/8760)*s_DFA_far_adj)),".")</f>
        <v>39.81818181818182</v>
      </c>
      <c r="BT17" s="141">
        <f>up_b2w!BA17</f>
        <v>2.1924550381384044E-4</v>
      </c>
      <c r="BU17" s="141">
        <f>IFERROR(I17/(up_RadSpec!AN17*(1/1000)),".")</f>
        <v>0.13223140495867769</v>
      </c>
      <c r="BV17" s="141">
        <f>IFERROR(F17/(up_RadSpec!AM17*s_Q_w_beef*(1/1000)),".")</f>
        <v>2.6446280991735537E-2</v>
      </c>
      <c r="BW17" s="141">
        <f>IFERROR((G17*s_D_milk)/(up_RadSpec!AL17*s_Q_w_dairy*(1/1000)),".")</f>
        <v>2.7239669421487603E-2</v>
      </c>
      <c r="BX17" s="141">
        <f>IFERROR(H17/(up_RadSpec!AQ17*s_Q_w_swine*(1/1000)),".")</f>
        <v>2.6446280991735537E-2</v>
      </c>
      <c r="BY17" s="141">
        <f>IFERROR(D17/(up_RadSpec!AO17*s_Q_w_poultry*(1/1000)),".")</f>
        <v>2.6446280991735537E-2</v>
      </c>
      <c r="BZ17" s="141">
        <f>IFERROR(E17/(up_RadSpec!AP17*s_Q_w_poultry*(1/1000)),".")</f>
        <v>2.6446280991735537E-2</v>
      </c>
      <c r="CA17" s="141">
        <f>IFERROR(J17/(up_RadSpec!AT17*s_Q_w_goat*(1/1000)),".")</f>
        <v>2.6446280991735537E-2</v>
      </c>
      <c r="CB17" s="141">
        <f>IFERROR(L17*s_D_milk/(up_RadSpec!AU17*s_Q_w_goat_milk*(1/1000)),".")</f>
        <v>2.7239669421487603E-2</v>
      </c>
      <c r="CC17" s="141">
        <f>IFERROR(K17/(up_RadSpec!AR17*s_Q_w_sheep*(1/1000)),".")</f>
        <v>2.6446280991735537E-2</v>
      </c>
      <c r="CD17" s="141">
        <f>IFERROR(M17*s_D_milk/(up_RadSpec!AS17*s_Q_w_sheep_milk*(1/1000)),".")</f>
        <v>2.7239669421487603E-2</v>
      </c>
      <c r="CE17" s="158">
        <f t="shared" si="27"/>
        <v>275</v>
      </c>
      <c r="CF17" s="158" t="str">
        <f t="shared" si="28"/>
        <v>.</v>
      </c>
      <c r="CG17" s="158">
        <f t="shared" si="29"/>
        <v>2.5114155251141551E-2</v>
      </c>
      <c r="CH17" s="158">
        <f t="shared" si="30"/>
        <v>4561.0969557172393</v>
      </c>
      <c r="CI17" s="158">
        <f t="shared" si="31"/>
        <v>7.5625</v>
      </c>
      <c r="CJ17" s="158">
        <f t="shared" si="32"/>
        <v>37.8125</v>
      </c>
      <c r="CK17" s="158">
        <f t="shared" si="33"/>
        <v>36.711165048543691</v>
      </c>
      <c r="CL17" s="158">
        <f t="shared" si="34"/>
        <v>37.8125</v>
      </c>
      <c r="CM17" s="158">
        <f t="shared" si="35"/>
        <v>37.8125</v>
      </c>
      <c r="CN17" s="158">
        <f t="shared" si="36"/>
        <v>37.8125</v>
      </c>
      <c r="CO17" s="158">
        <f t="shared" si="37"/>
        <v>37.8125</v>
      </c>
      <c r="CP17" s="158">
        <f t="shared" si="38"/>
        <v>36.711165048543691</v>
      </c>
      <c r="CQ17" s="158">
        <f t="shared" si="39"/>
        <v>37.8125</v>
      </c>
      <c r="CR17" s="158">
        <f t="shared" si="40"/>
        <v>36.711165048543691</v>
      </c>
      <c r="CS17" s="141">
        <f t="shared" si="41"/>
        <v>1.9302436709720458E-4</v>
      </c>
      <c r="CT17" s="142">
        <f t="shared" si="42"/>
        <v>1375</v>
      </c>
      <c r="CU17" s="142">
        <f t="shared" si="43"/>
        <v>250.65104166666663</v>
      </c>
      <c r="CV17" s="142">
        <f t="shared" si="44"/>
        <v>0.12557077625570776</v>
      </c>
      <c r="CW17" s="142">
        <f>up_b2w!BZ17</f>
        <v>22805.4847785862</v>
      </c>
      <c r="CX17" s="142">
        <f>IFERROR(s_C*up_RadSpec!AN17*(1/1000)*s_IFFI_far_adj*s_CF_far_fish,0)</f>
        <v>37.8125</v>
      </c>
      <c r="CY17" s="142">
        <f>(s_C*s_IFB_far_adj*s_CF_far_beef*up_RadSpec!AM17*s_Q_w_beef*(1/1000))</f>
        <v>189.0625</v>
      </c>
      <c r="CZ17" s="142">
        <f>(s_C*s_IFD_far_adj*s_CF_far_dairy*up_RadSpec!AL17*(1/s_D_milk)*s_Q_w_dairy*(1/1000))</f>
        <v>183.55582524271844</v>
      </c>
      <c r="DA17" s="142">
        <f>(s_C*s_IFSW_far_adj*s_CF_far_swine*up_RadSpec!AQ17*s_Q_w_swine*(1/1000))</f>
        <v>189.0625</v>
      </c>
      <c r="DB17" s="142">
        <f>(s_C*s_IFP_far_adj*s_CF_far_poultry*up_RadSpec!AO17*s_Q_w_poultry*(1/1000))</f>
        <v>189.0625</v>
      </c>
      <c r="DC17" s="142">
        <f>(s_C*s_IFE_far_adj*s_CF_far_egg*up_RadSpec!AP17*s_Q_w_egg*(1/1000))</f>
        <v>189.0625</v>
      </c>
      <c r="DD17" s="142">
        <f>(s_C*s_IFGO_far_adj*s_CF_far_goat*up_RadSpec!AT17*s_Q_p_goat*(1/1000))</f>
        <v>189.0625</v>
      </c>
      <c r="DE17" s="142">
        <f>(s_C*s_IFGM_far_adj*s_CF_far_goat_milk*up_RadSpec!AU17*(1/s_D_milk)*s_Q_p_goat_milk*(1/1000))</f>
        <v>183.55582524271844</v>
      </c>
      <c r="DF17" s="142">
        <f>(s_C*s_IFSH_far_adj*s_CF_far_sheep*up_RadSpec!AR17*s_Q_p_sheep*(1/1000))</f>
        <v>189.0625</v>
      </c>
      <c r="DG17" s="142">
        <f>(s_C*s_IFSM_far_adj*s_CF_far_sheep_milk*up_RadSpec!AS17*(1/s_D_milk)*s_Q_p_sheep_milk*(1/1000))</f>
        <v>183.55582524271844</v>
      </c>
      <c r="DH17" s="141"/>
      <c r="DI17" s="141">
        <f>IFERROR((s_DL/(up_RadSpec!L17*s_IFA_far_adj)),".")</f>
        <v>9.9740259740259754E-3</v>
      </c>
      <c r="DJ17" s="141">
        <f>IFERROR((s_DL/(up_RadSpec!O17*s_EF_far*(1/365)*s_ED_far*s_ET_far*(1/24)*s_GSF_a)),".")</f>
        <v>15.927272727272728</v>
      </c>
      <c r="DK17" s="141">
        <f t="shared" si="48"/>
        <v>9.9677839175609673E-3</v>
      </c>
      <c r="DL17" s="142">
        <f t="shared" si="46"/>
        <v>501.30208333333326</v>
      </c>
      <c r="DM17" s="142">
        <f t="shared" si="47"/>
        <v>0.3139269406392694</v>
      </c>
      <c r="DN17" s="127"/>
    </row>
    <row r="18" spans="1:118" customFormat="1" x14ac:dyDescent="0.25">
      <c r="A18" s="128" t="s">
        <v>16</v>
      </c>
      <c r="B18" s="129" t="s">
        <v>1059</v>
      </c>
      <c r="C18" s="141">
        <f>up_dir!AB18</f>
        <v>2.2038567493112948E-4</v>
      </c>
      <c r="D18" s="141">
        <f>IFERROR(s_DL/(up_RadSpec!J18*s_IFP_far_adj*s_CF_far_poultry),".")</f>
        <v>6.6115702479338848E-4</v>
      </c>
      <c r="E18" s="141">
        <f>IFERROR(s_DL/(up_RadSpec!J18*s_IFE_far_adj*s_CF_far_egg),".")</f>
        <v>6.6115702479338848E-4</v>
      </c>
      <c r="F18" s="141">
        <f>IFERROR(s_DL/(up_RadSpec!J18*s_IFB_far_adj*s_CF_far_beef),".")</f>
        <v>6.6115702479338848E-4</v>
      </c>
      <c r="G18" s="141">
        <f>IFERROR(s_DL/(up_RadSpec!J18*s_IFD_far_adj*s_CF_far_dairy),".")</f>
        <v>6.6115702479338848E-4</v>
      </c>
      <c r="H18" s="141">
        <f>IFERROR(s_DL/(up_RadSpec!J18*s_IFSW_far_adj*s_CF_far_swine),".")</f>
        <v>6.6115702479338848E-4</v>
      </c>
      <c r="I18" s="141">
        <f>IFERROR(s_DL/(up_RadSpec!J18*s_IFFI_far_adj*s_CF_far_fish),".")</f>
        <v>6.6115702479338848E-4</v>
      </c>
      <c r="J18" s="141">
        <f>IFERROR(s_DL/(up_RadSpec!J18*s_IFGO_far_adj*s_CF_far_goat),".")</f>
        <v>6.6115702479338848E-4</v>
      </c>
      <c r="K18" s="141">
        <f>IFERROR(s_DL/(up_RadSpec!J18*s_IFSH_far_adj*s_CF_far_sheep),".")</f>
        <v>6.6115702479338848E-4</v>
      </c>
      <c r="L18" s="141">
        <f>IFERROR(s_DL/(up_RadSpec!J18*s_IFGM_far_adj*s_CF_far_goat_milk),".")</f>
        <v>6.6115702479338848E-4</v>
      </c>
      <c r="M18" s="141">
        <f>IFERROR(s_DL/(up_RadSpec!J18*s_IFSM_far_adj*s_CF_far_sheep_milk),".")</f>
        <v>6.6115702479338848E-4</v>
      </c>
      <c r="N18" s="142">
        <f>up_dir!BA18</f>
        <v>22687.5</v>
      </c>
      <c r="O18" s="142">
        <f t="shared" si="0"/>
        <v>7562.5</v>
      </c>
      <c r="P18" s="142">
        <f t="shared" si="1"/>
        <v>7562.5</v>
      </c>
      <c r="Q18" s="142">
        <f t="shared" si="2"/>
        <v>7562.5</v>
      </c>
      <c r="R18" s="142">
        <f t="shared" si="3"/>
        <v>7562.5</v>
      </c>
      <c r="S18" s="142">
        <f t="shared" si="4"/>
        <v>7562.5</v>
      </c>
      <c r="T18" s="142">
        <f t="shared" si="5"/>
        <v>7562.5</v>
      </c>
      <c r="U18" s="142">
        <f t="shared" si="6"/>
        <v>7562.5</v>
      </c>
      <c r="V18" s="142">
        <f t="shared" si="7"/>
        <v>7562.5</v>
      </c>
      <c r="W18" s="142">
        <f t="shared" si="8"/>
        <v>7562.5</v>
      </c>
      <c r="X18" s="142">
        <f t="shared" si="9"/>
        <v>7562.5</v>
      </c>
      <c r="Y18" s="141">
        <f>IFERROR((s_DL/(up_RadSpec!I18*s_IFS_far_adj*(1/1000)))*1,".")</f>
        <v>0.33057851239669422</v>
      </c>
      <c r="Z18" s="141">
        <f>IFERROR(IF(A18="H-3",(s_DL/(up_RadSpec!L18*s_IFA_far_adj*(1/17)*1000))*1,(s_DL/(up_RadSpec!L18*s_IFA_far_adj*(1/s_PEF_wind)*1000))*1),".")</f>
        <v>3089.9917845330979</v>
      </c>
      <c r="AA18" s="141">
        <f>IFERROR((s_DL/(up_RadSpec!K18*s_EF_far*(1/365)*s_ED_far*up_RadSpec!V18*((s_ET_far_o*(1/24)*up_RadSpec!AA18)+(s_ET_far_i*(1/24)*up_RadSpec!AF18))))*1,".")</f>
        <v>149.24627075710671</v>
      </c>
      <c r="AB18" s="141">
        <f>up_b2s!BA18</f>
        <v>4.3958447178843029E-5</v>
      </c>
      <c r="AC18" s="141">
        <f>IFERROR(((I18*up_RadSpec!AX18)/up_RadSpec!AN18)*1,".")</f>
        <v>6.6115702479338848E-4</v>
      </c>
      <c r="AD18" s="141">
        <f>IFERROR((F18/(up_RadSpec!AM18*((s_Q_p_beef*s_f_p_beef*s_f_s_beef*(up_RadSpec!BG18+s_R_es_past))+(s_Q_s_beef*s_f_p_beef))))*1,".")</f>
        <v>1.8558793678410905E-7</v>
      </c>
      <c r="AE18" s="141">
        <f>IFERROR(((G18*s_D_milk)/(up_RadSpec!AL18*((s_Q_p_dairy*s_f_p_dairy*s_f_s_dairy*(up_RadSpec!BG18+s_R_es_past))+(s_Q_s_dairy*s_f_p_dairy))))*1,".")</f>
        <v>1.9115557488763231E-7</v>
      </c>
      <c r="AF18" s="141">
        <f>IFERROR((H18/(up_RadSpec!AQ18*((s_Q_p_swine*s_f_p_swine*s_f_s_swine*(up_RadSpec!BG18+s_R_es_past))+(s_Q_s_swine*s_f_p_swine))))*1,".")</f>
        <v>1.8558793678410905E-7</v>
      </c>
      <c r="AG18" s="141">
        <f>IFERROR((D18/(up_RadSpec!AO18*((s_Q_p_poultry*s_f_p_poultry*s_f_s_poultry*(up_RadSpec!BG18+s_R_es_past))+(s_Q_s_poultry*s_f_p_poultry))))*1,".")</f>
        <v>1.8558793678410905E-7</v>
      </c>
      <c r="AH18" s="141">
        <f>IFERROR((E18/(up_RadSpec!AP18*((s_Q_p_poultry*s_f_p_poultry*s_f_s_poultry*(up_RadSpec!BG18+s_R_es_past))+(s_Q_s_poultry*s_f_p_poultry))))*1,".")</f>
        <v>1.8558793678410905E-7</v>
      </c>
      <c r="AI18" s="141">
        <f>IFERROR((J18/(up_RadSpec!AT18*((s_Q_p_goat*s_f_p_goat*s_f_s_goat*(up_RadSpec!BG18+s_R_es_past))+(s_Q_s_goat*s_f_p_goat))))*1,".")</f>
        <v>1.8558793678410905E-7</v>
      </c>
      <c r="AJ18" s="141">
        <f>IFERROR((L18*s_D_milk/(up_RadSpec!AU18*((s_Q_p_goat_milk*s_f_p_goat_milk*s_f_s_goat_milk*(up_RadSpec!BG18+s_R_es_past))+(s_Q_s_goat_milk*s_f_p_goat_milk))))*1,".")</f>
        <v>1.9115557488763231E-7</v>
      </c>
      <c r="AK18" s="141">
        <f>IFERROR((K18/(up_RadSpec!AR18*((s_Q_p_sheep*s_f_p_sheep*s_f_s_sheep*(up_RadSpec!BG18+s_R_es_past))+(s_Q_s_sheep*s_f_p_sheep))))*1,".")</f>
        <v>1.8558793678410905E-7</v>
      </c>
      <c r="AL18" s="141">
        <f>IFERROR((M18*s_D_milk/(up_RadSpec!AS18*((s_Q_p_sheep_milk*s_f_p_sheep_milk*s_f_s_sheep_milk*(up_RadSpec!BG18+s_R_es_past))+(s_Q_s_sheep_milk*s_f_p_sheep_milk))))*1,".")</f>
        <v>1.9115557488763231E-7</v>
      </c>
      <c r="AM18" s="158">
        <f t="shared" si="10"/>
        <v>3.0249999999999999</v>
      </c>
      <c r="AN18" s="158">
        <f t="shared" si="11"/>
        <v>3.2362545590104258E-4</v>
      </c>
      <c r="AO18" s="158">
        <f t="shared" si="12"/>
        <v>6.700334922454889E-3</v>
      </c>
      <c r="AP18" s="158">
        <f t="shared" si="13"/>
        <v>22748.756249999995</v>
      </c>
      <c r="AQ18" s="158">
        <f t="shared" si="14"/>
        <v>1512.5</v>
      </c>
      <c r="AR18" s="158">
        <f t="shared" si="15"/>
        <v>5388281.2499999991</v>
      </c>
      <c r="AS18" s="158">
        <f t="shared" si="16"/>
        <v>5231341.0194174759</v>
      </c>
      <c r="AT18" s="158">
        <f t="shared" si="17"/>
        <v>5388281.2499999991</v>
      </c>
      <c r="AU18" s="158">
        <f t="shared" si="18"/>
        <v>5388281.2499999991</v>
      </c>
      <c r="AV18" s="158">
        <f t="shared" si="19"/>
        <v>5388281.2499999991</v>
      </c>
      <c r="AW18" s="158">
        <f t="shared" si="20"/>
        <v>5388281.2499999991</v>
      </c>
      <c r="AX18" s="158">
        <f t="shared" si="21"/>
        <v>5231341.0194174759</v>
      </c>
      <c r="AY18" s="158">
        <f t="shared" si="22"/>
        <v>5388281.2499999991</v>
      </c>
      <c r="AZ18" s="158">
        <f t="shared" si="23"/>
        <v>5231341.0194174759</v>
      </c>
      <c r="BA18" s="141">
        <f t="shared" si="24"/>
        <v>2.0812531708030869E-8</v>
      </c>
      <c r="BB18" s="142">
        <f t="shared" si="25"/>
        <v>15.125</v>
      </c>
      <c r="BC18" s="142">
        <f t="shared" si="26"/>
        <v>1.618127279505213E-3</v>
      </c>
      <c r="BD18" s="142">
        <f>IFERROR((s_C*s_EF_far*(1/365)*s_ED_far*up_RadSpec!V18*((s_ET_far_o*(1/24)*up_RadSpec!AA18)+(s_ET_far_i*(1/24)*up_RadSpec!AF18))),".")</f>
        <v>3.3501674612274449E-2</v>
      </c>
      <c r="BE18" s="142">
        <f>up_b2s!BZ18</f>
        <v>113743.78125</v>
      </c>
      <c r="BF18" s="142">
        <f>IFERROR(((s_C*up_RadSpec!AN18)/up_RadSpec!AX18)*s_IFFI_far_adj*s_CF_far_fish,0)</f>
        <v>7562.5</v>
      </c>
      <c r="BG18" s="142">
        <f>(s_C*s_IFB_far_adj*s_CF_far_beef*up_RadSpec!AM18*((s_Q_p_beef*s_f_p_beef*s_f_s_beef*(up_RadSpec!$AW18+s_R_es_past))+(s_Q_s_beef*s_f_p_beef)))</f>
        <v>26941406.25</v>
      </c>
      <c r="BH18" s="142">
        <f>(s_C*s_IFD_far_adj*s_CF_far_dairy*up_RadSpec!AL18*1/s_D_milk*((s_Q_p_dairy*s_f_p_dairy*s_f_s_dairy*(up_RadSpec!$AW18+s_R_es_past))+(s_Q_s_dairy*s_f_p_dairy)))</f>
        <v>26156705.09708738</v>
      </c>
      <c r="BI18" s="142">
        <f>(s_C*s_IFSW_far_adj*s_CF_far_swine*up_RadSpec!AQ18*((s_Q_p_swine*s_f_p_swine*s_f_s_swine*(up_RadSpec!$AW18+s_R_es_past))+(s_Q_s_swine*s_f_p_swine)))</f>
        <v>26941406.25</v>
      </c>
      <c r="BJ18" s="142">
        <f>(s_C*s_IFP_far_adj*s_CF_far_poultry*up_RadSpec!AO18*((s_Q_p_poultry*s_f_p_poultry*s_f_s_poultry*(up_RadSpec!AW18+s_R_es_past))+(s_Q_s_poultry*s_f_p_poultry)))</f>
        <v>26941406.25</v>
      </c>
      <c r="BK18" s="142">
        <f>(s_C*s_IFE_far_adj*s_CF_far_egg*up_RadSpec!AP18*((s_Q_p_egg*s_f_p_egg*s_f_s_egg*(up_RadSpec!$AW18+s_R_es_past))+(s_Q_s_egg*s_f_p_egg)))</f>
        <v>26941406.25</v>
      </c>
      <c r="BL18" s="142">
        <f>(s_C*s_IFGO_far_adj*s_CF_far_goat*up_RadSpec!AT18*((s_Q_p_goat*s_f_p_goat*s_f_s_goat*(up_RadSpec!$AW18+s_R_es_past))+(s_Q_s_goat*s_f_p_goat)))</f>
        <v>26941406.25</v>
      </c>
      <c r="BM18" s="142">
        <f>(s_C*s_IFGM_far_adj*s_CF_far_goat_milk*up_RadSpec!AU18*1/s_D_milk*((s_Q_p_goat_milk*s_f_p_goat_milk*s_f_s_goat_milk*(up_RadSpec!$AW18+s_R_es_past))+(s_Q_s_goat_milk*s_f_p_goat_milk)))</f>
        <v>26156705.09708738</v>
      </c>
      <c r="BN18" s="142">
        <f>(s_C*s_IFSH_far_adj*s_CF_far_sheep*up_RadSpec!AR18*((s_Q_p_sheep*s_f_p_sheep*s_f_s_sheep*(up_RadSpec!$AW18+s_R_es_past))+(s_Q_s_sheep*s_f_p_sheep)))</f>
        <v>26941406.25</v>
      </c>
      <c r="BO18" s="142">
        <f>(s_C*s_IFSM_far_adj*s_CF_far_sheep_milk*up_RadSpec!AS18*1/s_D_milk*((s_Q_p_sheep_milk*s_f_p_sheep_milk*s_f_s_sheep_milk*(up_RadSpec!$AW18+s_R_es_past))+(s_Q_s_sheep_milk*s_f_p_sheep_milk)))</f>
        <v>26156705.09708738</v>
      </c>
      <c r="BP18" s="141"/>
      <c r="BQ18" s="141">
        <f>IFERROR(s_DL/(up_RadSpec!M18*s_IFW_far_adj),".")</f>
        <v>3.6363636363636364E-3</v>
      </c>
      <c r="BR18" s="141" t="str">
        <f>IFERROR(IF(up_RadSpec!C18=1,s_DL/(up_RadSpec!L18*s_IFA_far_adj*s_K),"."),".")</f>
        <v>.</v>
      </c>
      <c r="BS18" s="141">
        <f>IFERROR((s_DL/(up_RadSpec!Q18*(1/8760)*s_DFA_far_adj)),".")</f>
        <v>39.81818181818182</v>
      </c>
      <c r="BT18" s="141">
        <f>up_b2w!BA18</f>
        <v>2.1924550381384044E-4</v>
      </c>
      <c r="BU18" s="141">
        <f>IFERROR(I18/(up_RadSpec!AN18*(1/1000)),".")</f>
        <v>0.13223140495867769</v>
      </c>
      <c r="BV18" s="141">
        <f>IFERROR(F18/(up_RadSpec!AM18*s_Q_w_beef*(1/1000)),".")</f>
        <v>2.6446280991735537E-2</v>
      </c>
      <c r="BW18" s="141">
        <f>IFERROR((G18*s_D_milk)/(up_RadSpec!AL18*s_Q_w_dairy*(1/1000)),".")</f>
        <v>2.7239669421487603E-2</v>
      </c>
      <c r="BX18" s="141">
        <f>IFERROR(H18/(up_RadSpec!AQ18*s_Q_w_swine*(1/1000)),".")</f>
        <v>2.6446280991735537E-2</v>
      </c>
      <c r="BY18" s="141">
        <f>IFERROR(D18/(up_RadSpec!AO18*s_Q_w_poultry*(1/1000)),".")</f>
        <v>2.6446280991735537E-2</v>
      </c>
      <c r="BZ18" s="141">
        <f>IFERROR(E18/(up_RadSpec!AP18*s_Q_w_poultry*(1/1000)),".")</f>
        <v>2.6446280991735537E-2</v>
      </c>
      <c r="CA18" s="141">
        <f>IFERROR(J18/(up_RadSpec!AT18*s_Q_w_goat*(1/1000)),".")</f>
        <v>2.6446280991735537E-2</v>
      </c>
      <c r="CB18" s="141">
        <f>IFERROR(L18*s_D_milk/(up_RadSpec!AU18*s_Q_w_goat_milk*(1/1000)),".")</f>
        <v>2.7239669421487603E-2</v>
      </c>
      <c r="CC18" s="141">
        <f>IFERROR(K18/(up_RadSpec!AR18*s_Q_w_sheep*(1/1000)),".")</f>
        <v>2.6446280991735537E-2</v>
      </c>
      <c r="CD18" s="141">
        <f>IFERROR(M18*s_D_milk/(up_RadSpec!AS18*s_Q_w_sheep_milk*(1/1000)),".")</f>
        <v>2.7239669421487603E-2</v>
      </c>
      <c r="CE18" s="158">
        <f t="shared" si="27"/>
        <v>275</v>
      </c>
      <c r="CF18" s="158" t="str">
        <f t="shared" si="28"/>
        <v>.</v>
      </c>
      <c r="CG18" s="158">
        <f t="shared" si="29"/>
        <v>2.5114155251141551E-2</v>
      </c>
      <c r="CH18" s="158">
        <f t="shared" si="30"/>
        <v>4561.0969557172393</v>
      </c>
      <c r="CI18" s="158">
        <f t="shared" si="31"/>
        <v>7.5625</v>
      </c>
      <c r="CJ18" s="158">
        <f t="shared" si="32"/>
        <v>37.8125</v>
      </c>
      <c r="CK18" s="158">
        <f t="shared" si="33"/>
        <v>36.711165048543691</v>
      </c>
      <c r="CL18" s="158">
        <f t="shared" si="34"/>
        <v>37.8125</v>
      </c>
      <c r="CM18" s="158">
        <f t="shared" si="35"/>
        <v>37.8125</v>
      </c>
      <c r="CN18" s="158">
        <f t="shared" si="36"/>
        <v>37.8125</v>
      </c>
      <c r="CO18" s="158">
        <f t="shared" si="37"/>
        <v>37.8125</v>
      </c>
      <c r="CP18" s="158">
        <f t="shared" si="38"/>
        <v>36.711165048543691</v>
      </c>
      <c r="CQ18" s="158">
        <f t="shared" si="39"/>
        <v>37.8125</v>
      </c>
      <c r="CR18" s="158">
        <f t="shared" si="40"/>
        <v>36.711165048543691</v>
      </c>
      <c r="CS18" s="141">
        <f t="shared" si="41"/>
        <v>1.9302436709720458E-4</v>
      </c>
      <c r="CT18" s="142">
        <f t="shared" si="42"/>
        <v>1375</v>
      </c>
      <c r="CU18" s="142">
        <f t="shared" si="43"/>
        <v>250.65104166666663</v>
      </c>
      <c r="CV18" s="142">
        <f t="shared" si="44"/>
        <v>0.12557077625570776</v>
      </c>
      <c r="CW18" s="142">
        <f>up_b2w!BZ18</f>
        <v>22805.4847785862</v>
      </c>
      <c r="CX18" s="142">
        <f>IFERROR(s_C*up_RadSpec!AN18*(1/1000)*s_IFFI_far_adj*s_CF_far_fish,0)</f>
        <v>37.8125</v>
      </c>
      <c r="CY18" s="142">
        <f>(s_C*s_IFB_far_adj*s_CF_far_beef*up_RadSpec!AM18*s_Q_w_beef*(1/1000))</f>
        <v>189.0625</v>
      </c>
      <c r="CZ18" s="142">
        <f>(s_C*s_IFD_far_adj*s_CF_far_dairy*up_RadSpec!AL18*(1/s_D_milk)*s_Q_w_dairy*(1/1000))</f>
        <v>183.55582524271844</v>
      </c>
      <c r="DA18" s="142">
        <f>(s_C*s_IFSW_far_adj*s_CF_far_swine*up_RadSpec!AQ18*s_Q_w_swine*(1/1000))</f>
        <v>189.0625</v>
      </c>
      <c r="DB18" s="142">
        <f>(s_C*s_IFP_far_adj*s_CF_far_poultry*up_RadSpec!AO18*s_Q_w_poultry*(1/1000))</f>
        <v>189.0625</v>
      </c>
      <c r="DC18" s="142">
        <f>(s_C*s_IFE_far_adj*s_CF_far_egg*up_RadSpec!AP18*s_Q_w_egg*(1/1000))</f>
        <v>189.0625</v>
      </c>
      <c r="DD18" s="142">
        <f>(s_C*s_IFGO_far_adj*s_CF_far_goat*up_RadSpec!AT18*s_Q_p_goat*(1/1000))</f>
        <v>189.0625</v>
      </c>
      <c r="DE18" s="142">
        <f>(s_C*s_IFGM_far_adj*s_CF_far_goat_milk*up_RadSpec!AU18*(1/s_D_milk)*s_Q_p_goat_milk*(1/1000))</f>
        <v>183.55582524271844</v>
      </c>
      <c r="DF18" s="142">
        <f>(s_C*s_IFSH_far_adj*s_CF_far_sheep*up_RadSpec!AR18*s_Q_p_sheep*(1/1000))</f>
        <v>189.0625</v>
      </c>
      <c r="DG18" s="142">
        <f>(s_C*s_IFSM_far_adj*s_CF_far_sheep_milk*up_RadSpec!AS18*(1/s_D_milk)*s_Q_p_sheep_milk*(1/1000))</f>
        <v>183.55582524271844</v>
      </c>
      <c r="DH18" s="141"/>
      <c r="DI18" s="141">
        <f>IFERROR((s_DL/(up_RadSpec!L18*s_IFA_far_adj)),".")</f>
        <v>9.9740259740259754E-3</v>
      </c>
      <c r="DJ18" s="141">
        <f>IFERROR((s_DL/(up_RadSpec!O18*s_EF_far*(1/365)*s_ED_far*s_ET_far*(1/24)*s_GSF_a)),".")</f>
        <v>15.927272727272728</v>
      </c>
      <c r="DK18" s="141">
        <f t="shared" si="48"/>
        <v>9.9677839175609673E-3</v>
      </c>
      <c r="DL18" s="142">
        <f t="shared" si="46"/>
        <v>501.30208333333326</v>
      </c>
      <c r="DM18" s="142">
        <f t="shared" si="47"/>
        <v>0.3139269406392694</v>
      </c>
      <c r="DN18" s="127"/>
    </row>
    <row r="19" spans="1:118" customFormat="1" x14ac:dyDescent="0.25">
      <c r="A19" s="128" t="s">
        <v>17</v>
      </c>
      <c r="B19" s="129" t="s">
        <v>1059</v>
      </c>
      <c r="C19" s="141">
        <f>up_dir!AB19</f>
        <v>2.2038567493112948E-4</v>
      </c>
      <c r="D19" s="141">
        <f>IFERROR(s_DL/(up_RadSpec!J19*s_IFP_far_adj*s_CF_far_poultry),".")</f>
        <v>6.6115702479338848E-4</v>
      </c>
      <c r="E19" s="141">
        <f>IFERROR(s_DL/(up_RadSpec!J19*s_IFE_far_adj*s_CF_far_egg),".")</f>
        <v>6.6115702479338848E-4</v>
      </c>
      <c r="F19" s="141">
        <f>IFERROR(s_DL/(up_RadSpec!J19*s_IFB_far_adj*s_CF_far_beef),".")</f>
        <v>6.6115702479338848E-4</v>
      </c>
      <c r="G19" s="141">
        <f>IFERROR(s_DL/(up_RadSpec!J19*s_IFD_far_adj*s_CF_far_dairy),".")</f>
        <v>6.6115702479338848E-4</v>
      </c>
      <c r="H19" s="141">
        <f>IFERROR(s_DL/(up_RadSpec!J19*s_IFSW_far_adj*s_CF_far_swine),".")</f>
        <v>6.6115702479338848E-4</v>
      </c>
      <c r="I19" s="141">
        <f>IFERROR(s_DL/(up_RadSpec!J19*s_IFFI_far_adj*s_CF_far_fish),".")</f>
        <v>6.6115702479338848E-4</v>
      </c>
      <c r="J19" s="141">
        <f>IFERROR(s_DL/(up_RadSpec!J19*s_IFGO_far_adj*s_CF_far_goat),".")</f>
        <v>6.6115702479338848E-4</v>
      </c>
      <c r="K19" s="141">
        <f>IFERROR(s_DL/(up_RadSpec!J19*s_IFSH_far_adj*s_CF_far_sheep),".")</f>
        <v>6.6115702479338848E-4</v>
      </c>
      <c r="L19" s="141">
        <f>IFERROR(s_DL/(up_RadSpec!J19*s_IFGM_far_adj*s_CF_far_goat_milk),".")</f>
        <v>6.6115702479338848E-4</v>
      </c>
      <c r="M19" s="141">
        <f>IFERROR(s_DL/(up_RadSpec!J19*s_IFSM_far_adj*s_CF_far_sheep_milk),".")</f>
        <v>6.6115702479338848E-4</v>
      </c>
      <c r="N19" s="142">
        <f>up_dir!BA19</f>
        <v>22687.5</v>
      </c>
      <c r="O19" s="142">
        <f t="shared" si="0"/>
        <v>7562.5</v>
      </c>
      <c r="P19" s="142">
        <f t="shared" si="1"/>
        <v>7562.5</v>
      </c>
      <c r="Q19" s="142">
        <f t="shared" si="2"/>
        <v>7562.5</v>
      </c>
      <c r="R19" s="142">
        <f t="shared" si="3"/>
        <v>7562.5</v>
      </c>
      <c r="S19" s="142">
        <f t="shared" si="4"/>
        <v>7562.5</v>
      </c>
      <c r="T19" s="142">
        <f t="shared" si="5"/>
        <v>7562.5</v>
      </c>
      <c r="U19" s="142">
        <f t="shared" si="6"/>
        <v>7562.5</v>
      </c>
      <c r="V19" s="142">
        <f t="shared" si="7"/>
        <v>7562.5</v>
      </c>
      <c r="W19" s="142">
        <f t="shared" si="8"/>
        <v>7562.5</v>
      </c>
      <c r="X19" s="142">
        <f t="shared" si="9"/>
        <v>7562.5</v>
      </c>
      <c r="Y19" s="141">
        <f>IFERROR((s_DL/(up_RadSpec!I19*s_IFS_far_adj*(1/1000)))*1,".")</f>
        <v>0.33057851239669422</v>
      </c>
      <c r="Z19" s="141">
        <f>IFERROR(IF(A19="H-3",(s_DL/(up_RadSpec!L19*s_IFA_far_adj*(1/17)*1000))*1,(s_DL/(up_RadSpec!L19*s_IFA_far_adj*(1/s_PEF_wind)*1000))*1),".")</f>
        <v>3089.9917845330979</v>
      </c>
      <c r="AA19" s="141">
        <f>IFERROR((s_DL/(up_RadSpec!K19*s_EF_far*(1/365)*s_ED_far*up_RadSpec!V19*((s_ET_far_o*(1/24)*up_RadSpec!AA19)+(s_ET_far_i*(1/24)*up_RadSpec!AF19))))*1,".")</f>
        <v>152.29001263619676</v>
      </c>
      <c r="AB19" s="141">
        <f>up_b2s!BA19</f>
        <v>4.3958447178843029E-5</v>
      </c>
      <c r="AC19" s="141">
        <f>IFERROR(((I19*up_RadSpec!AX19)/up_RadSpec!AN19)*1,".")</f>
        <v>6.6115702479338848E-4</v>
      </c>
      <c r="AD19" s="141">
        <f>IFERROR((F19/(up_RadSpec!AM19*((s_Q_p_beef*s_f_p_beef*s_f_s_beef*(up_RadSpec!BG19+s_R_es_past))+(s_Q_s_beef*s_f_p_beef))))*1,".")</f>
        <v>1.8558793678410905E-7</v>
      </c>
      <c r="AE19" s="141">
        <f>IFERROR(((G19*s_D_milk)/(up_RadSpec!AL19*((s_Q_p_dairy*s_f_p_dairy*s_f_s_dairy*(up_RadSpec!BG19+s_R_es_past))+(s_Q_s_dairy*s_f_p_dairy))))*1,".")</f>
        <v>1.9115557488763231E-7</v>
      </c>
      <c r="AF19" s="141">
        <f>IFERROR((H19/(up_RadSpec!AQ19*((s_Q_p_swine*s_f_p_swine*s_f_s_swine*(up_RadSpec!BG19+s_R_es_past))+(s_Q_s_swine*s_f_p_swine))))*1,".")</f>
        <v>1.8558793678410905E-7</v>
      </c>
      <c r="AG19" s="141">
        <f>IFERROR((D19/(up_RadSpec!AO19*((s_Q_p_poultry*s_f_p_poultry*s_f_s_poultry*(up_RadSpec!BG19+s_R_es_past))+(s_Q_s_poultry*s_f_p_poultry))))*1,".")</f>
        <v>1.8558793678410905E-7</v>
      </c>
      <c r="AH19" s="141">
        <f>IFERROR((E19/(up_RadSpec!AP19*((s_Q_p_poultry*s_f_p_poultry*s_f_s_poultry*(up_RadSpec!BG19+s_R_es_past))+(s_Q_s_poultry*s_f_p_poultry))))*1,".")</f>
        <v>1.8558793678410905E-7</v>
      </c>
      <c r="AI19" s="141">
        <f>IFERROR((J19/(up_RadSpec!AT19*((s_Q_p_goat*s_f_p_goat*s_f_s_goat*(up_RadSpec!BG19+s_R_es_past))+(s_Q_s_goat*s_f_p_goat))))*1,".")</f>
        <v>1.8558793678410905E-7</v>
      </c>
      <c r="AJ19" s="141">
        <f>IFERROR((L19*s_D_milk/(up_RadSpec!AU19*((s_Q_p_goat_milk*s_f_p_goat_milk*s_f_s_goat_milk*(up_RadSpec!BG19+s_R_es_past))+(s_Q_s_goat_milk*s_f_p_goat_milk))))*1,".")</f>
        <v>1.9115557488763231E-7</v>
      </c>
      <c r="AK19" s="141">
        <f>IFERROR((K19/(up_RadSpec!AR19*((s_Q_p_sheep*s_f_p_sheep*s_f_s_sheep*(up_RadSpec!BG19+s_R_es_past))+(s_Q_s_sheep*s_f_p_sheep))))*1,".")</f>
        <v>1.8558793678410905E-7</v>
      </c>
      <c r="AL19" s="141">
        <f>IFERROR((M19*s_D_milk/(up_RadSpec!AS19*((s_Q_p_sheep_milk*s_f_p_sheep_milk*s_f_s_sheep_milk*(up_RadSpec!BG19+s_R_es_past))+(s_Q_s_sheep_milk*s_f_p_sheep_milk))))*1,".")</f>
        <v>1.9115557488763231E-7</v>
      </c>
      <c r="AM19" s="158">
        <f t="shared" si="10"/>
        <v>3.0249999999999999</v>
      </c>
      <c r="AN19" s="158">
        <f t="shared" si="11"/>
        <v>3.2362545590104258E-4</v>
      </c>
      <c r="AO19" s="158">
        <f t="shared" si="12"/>
        <v>6.5664187866927588E-3</v>
      </c>
      <c r="AP19" s="158">
        <f t="shared" si="13"/>
        <v>22748.756249999995</v>
      </c>
      <c r="AQ19" s="158">
        <f t="shared" si="14"/>
        <v>1512.5</v>
      </c>
      <c r="AR19" s="158">
        <f t="shared" si="15"/>
        <v>5388281.2499999991</v>
      </c>
      <c r="AS19" s="158">
        <f t="shared" si="16"/>
        <v>5231341.0194174759</v>
      </c>
      <c r="AT19" s="158">
        <f t="shared" si="17"/>
        <v>5388281.2499999991</v>
      </c>
      <c r="AU19" s="158">
        <f t="shared" si="18"/>
        <v>5388281.2499999991</v>
      </c>
      <c r="AV19" s="158">
        <f t="shared" si="19"/>
        <v>5388281.2499999991</v>
      </c>
      <c r="AW19" s="158">
        <f t="shared" si="20"/>
        <v>5388281.2499999991</v>
      </c>
      <c r="AX19" s="158">
        <f t="shared" si="21"/>
        <v>5231341.0194174759</v>
      </c>
      <c r="AY19" s="158">
        <f t="shared" si="22"/>
        <v>5388281.2499999991</v>
      </c>
      <c r="AZ19" s="158">
        <f t="shared" si="23"/>
        <v>5231341.0194174759</v>
      </c>
      <c r="BA19" s="141">
        <f t="shared" si="24"/>
        <v>2.0812531708088877E-8</v>
      </c>
      <c r="BB19" s="142">
        <f t="shared" si="25"/>
        <v>15.125</v>
      </c>
      <c r="BC19" s="142">
        <f t="shared" si="26"/>
        <v>1.618127279505213E-3</v>
      </c>
      <c r="BD19" s="142">
        <f>IFERROR((s_C*s_EF_far*(1/365)*s_ED_far*up_RadSpec!V19*((s_ET_far_o*(1/24)*up_RadSpec!AA19)+(s_ET_far_i*(1/24)*up_RadSpec!AF19))),".")</f>
        <v>3.2832093933463792E-2</v>
      </c>
      <c r="BE19" s="142">
        <f>up_b2s!BZ19</f>
        <v>113743.78125</v>
      </c>
      <c r="BF19" s="142">
        <f>IFERROR(((s_C*up_RadSpec!AN19)/up_RadSpec!AX19)*s_IFFI_far_adj*s_CF_far_fish,0)</f>
        <v>7562.5</v>
      </c>
      <c r="BG19" s="142">
        <f>(s_C*s_IFB_far_adj*s_CF_far_beef*up_RadSpec!AM19*((s_Q_p_beef*s_f_p_beef*s_f_s_beef*(up_RadSpec!$AW19+s_R_es_past))+(s_Q_s_beef*s_f_p_beef)))</f>
        <v>26941406.25</v>
      </c>
      <c r="BH19" s="142">
        <f>(s_C*s_IFD_far_adj*s_CF_far_dairy*up_RadSpec!AL19*1/s_D_milk*((s_Q_p_dairy*s_f_p_dairy*s_f_s_dairy*(up_RadSpec!$AW19+s_R_es_past))+(s_Q_s_dairy*s_f_p_dairy)))</f>
        <v>26156705.09708738</v>
      </c>
      <c r="BI19" s="142">
        <f>(s_C*s_IFSW_far_adj*s_CF_far_swine*up_RadSpec!AQ19*((s_Q_p_swine*s_f_p_swine*s_f_s_swine*(up_RadSpec!$AW19+s_R_es_past))+(s_Q_s_swine*s_f_p_swine)))</f>
        <v>26941406.25</v>
      </c>
      <c r="BJ19" s="142">
        <f>(s_C*s_IFP_far_adj*s_CF_far_poultry*up_RadSpec!AO19*((s_Q_p_poultry*s_f_p_poultry*s_f_s_poultry*(up_RadSpec!AW19+s_R_es_past))+(s_Q_s_poultry*s_f_p_poultry)))</f>
        <v>26941406.25</v>
      </c>
      <c r="BK19" s="142">
        <f>(s_C*s_IFE_far_adj*s_CF_far_egg*up_RadSpec!AP19*((s_Q_p_egg*s_f_p_egg*s_f_s_egg*(up_RadSpec!$AW19+s_R_es_past))+(s_Q_s_egg*s_f_p_egg)))</f>
        <v>26941406.25</v>
      </c>
      <c r="BL19" s="142">
        <f>(s_C*s_IFGO_far_adj*s_CF_far_goat*up_RadSpec!AT19*((s_Q_p_goat*s_f_p_goat*s_f_s_goat*(up_RadSpec!$AW19+s_R_es_past))+(s_Q_s_goat*s_f_p_goat)))</f>
        <v>26941406.25</v>
      </c>
      <c r="BM19" s="142">
        <f>(s_C*s_IFGM_far_adj*s_CF_far_goat_milk*up_RadSpec!AU19*1/s_D_milk*((s_Q_p_goat_milk*s_f_p_goat_milk*s_f_s_goat_milk*(up_RadSpec!$AW19+s_R_es_past))+(s_Q_s_goat_milk*s_f_p_goat_milk)))</f>
        <v>26156705.09708738</v>
      </c>
      <c r="BN19" s="142">
        <f>(s_C*s_IFSH_far_adj*s_CF_far_sheep*up_RadSpec!AR19*((s_Q_p_sheep*s_f_p_sheep*s_f_s_sheep*(up_RadSpec!$AW19+s_R_es_past))+(s_Q_s_sheep*s_f_p_sheep)))</f>
        <v>26941406.25</v>
      </c>
      <c r="BO19" s="142">
        <f>(s_C*s_IFSM_far_adj*s_CF_far_sheep_milk*up_RadSpec!AS19*1/s_D_milk*((s_Q_p_sheep_milk*s_f_p_sheep_milk*s_f_s_sheep_milk*(up_RadSpec!$AW19+s_R_es_past))+(s_Q_s_sheep_milk*s_f_p_sheep_milk)))</f>
        <v>26156705.09708738</v>
      </c>
      <c r="BP19" s="141"/>
      <c r="BQ19" s="141">
        <f>IFERROR(s_DL/(up_RadSpec!M19*s_IFW_far_adj),".")</f>
        <v>3.6363636363636364E-3</v>
      </c>
      <c r="BR19" s="141" t="str">
        <f>IFERROR(IF(up_RadSpec!C19=1,s_DL/(up_RadSpec!L19*s_IFA_far_adj*s_K),"."),".")</f>
        <v>.</v>
      </c>
      <c r="BS19" s="141">
        <f>IFERROR((s_DL/(up_RadSpec!Q19*(1/8760)*s_DFA_far_adj)),".")</f>
        <v>39.81818181818182</v>
      </c>
      <c r="BT19" s="141">
        <f>up_b2w!BA19</f>
        <v>2.1924550381384044E-4</v>
      </c>
      <c r="BU19" s="141">
        <f>IFERROR(I19/(up_RadSpec!AN19*(1/1000)),".")</f>
        <v>0.13223140495867769</v>
      </c>
      <c r="BV19" s="141">
        <f>IFERROR(F19/(up_RadSpec!AM19*s_Q_w_beef*(1/1000)),".")</f>
        <v>2.6446280991735537E-2</v>
      </c>
      <c r="BW19" s="141">
        <f>IFERROR((G19*s_D_milk)/(up_RadSpec!AL19*s_Q_w_dairy*(1/1000)),".")</f>
        <v>2.7239669421487603E-2</v>
      </c>
      <c r="BX19" s="141">
        <f>IFERROR(H19/(up_RadSpec!AQ19*s_Q_w_swine*(1/1000)),".")</f>
        <v>2.6446280991735537E-2</v>
      </c>
      <c r="BY19" s="141">
        <f>IFERROR(D19/(up_RadSpec!AO19*s_Q_w_poultry*(1/1000)),".")</f>
        <v>2.6446280991735537E-2</v>
      </c>
      <c r="BZ19" s="141">
        <f>IFERROR(E19/(up_RadSpec!AP19*s_Q_w_poultry*(1/1000)),".")</f>
        <v>2.6446280991735537E-2</v>
      </c>
      <c r="CA19" s="141">
        <f>IFERROR(J19/(up_RadSpec!AT19*s_Q_w_goat*(1/1000)),".")</f>
        <v>2.6446280991735537E-2</v>
      </c>
      <c r="CB19" s="141">
        <f>IFERROR(L19*s_D_milk/(up_RadSpec!AU19*s_Q_w_goat_milk*(1/1000)),".")</f>
        <v>2.7239669421487603E-2</v>
      </c>
      <c r="CC19" s="141">
        <f>IFERROR(K19/(up_RadSpec!AR19*s_Q_w_sheep*(1/1000)),".")</f>
        <v>2.6446280991735537E-2</v>
      </c>
      <c r="CD19" s="141">
        <f>IFERROR(M19*s_D_milk/(up_RadSpec!AS19*s_Q_w_sheep_milk*(1/1000)),".")</f>
        <v>2.7239669421487603E-2</v>
      </c>
      <c r="CE19" s="158">
        <f t="shared" si="27"/>
        <v>275</v>
      </c>
      <c r="CF19" s="158" t="str">
        <f t="shared" si="28"/>
        <v>.</v>
      </c>
      <c r="CG19" s="158">
        <f t="shared" si="29"/>
        <v>2.5114155251141551E-2</v>
      </c>
      <c r="CH19" s="158">
        <f t="shared" si="30"/>
        <v>4561.0969557172393</v>
      </c>
      <c r="CI19" s="158">
        <f t="shared" si="31"/>
        <v>7.5625</v>
      </c>
      <c r="CJ19" s="158">
        <f t="shared" si="32"/>
        <v>37.8125</v>
      </c>
      <c r="CK19" s="158">
        <f t="shared" si="33"/>
        <v>36.711165048543691</v>
      </c>
      <c r="CL19" s="158">
        <f t="shared" si="34"/>
        <v>37.8125</v>
      </c>
      <c r="CM19" s="158">
        <f t="shared" si="35"/>
        <v>37.8125</v>
      </c>
      <c r="CN19" s="158">
        <f t="shared" si="36"/>
        <v>37.8125</v>
      </c>
      <c r="CO19" s="158">
        <f t="shared" si="37"/>
        <v>37.8125</v>
      </c>
      <c r="CP19" s="158">
        <f t="shared" si="38"/>
        <v>36.711165048543691</v>
      </c>
      <c r="CQ19" s="158">
        <f t="shared" si="39"/>
        <v>37.8125</v>
      </c>
      <c r="CR19" s="158">
        <f t="shared" si="40"/>
        <v>36.711165048543691</v>
      </c>
      <c r="CS19" s="141">
        <f t="shared" si="41"/>
        <v>1.9302436709720458E-4</v>
      </c>
      <c r="CT19" s="142">
        <f t="shared" si="42"/>
        <v>1375</v>
      </c>
      <c r="CU19" s="142">
        <f t="shared" si="43"/>
        <v>250.65104166666663</v>
      </c>
      <c r="CV19" s="142">
        <f t="shared" si="44"/>
        <v>0.12557077625570776</v>
      </c>
      <c r="CW19" s="142">
        <f>up_b2w!BZ19</f>
        <v>22805.4847785862</v>
      </c>
      <c r="CX19" s="142">
        <f>IFERROR(s_C*up_RadSpec!AN19*(1/1000)*s_IFFI_far_adj*s_CF_far_fish,0)</f>
        <v>37.8125</v>
      </c>
      <c r="CY19" s="142">
        <f>(s_C*s_IFB_far_adj*s_CF_far_beef*up_RadSpec!AM19*s_Q_w_beef*(1/1000))</f>
        <v>189.0625</v>
      </c>
      <c r="CZ19" s="142">
        <f>(s_C*s_IFD_far_adj*s_CF_far_dairy*up_RadSpec!AL19*(1/s_D_milk)*s_Q_w_dairy*(1/1000))</f>
        <v>183.55582524271844</v>
      </c>
      <c r="DA19" s="142">
        <f>(s_C*s_IFSW_far_adj*s_CF_far_swine*up_RadSpec!AQ19*s_Q_w_swine*(1/1000))</f>
        <v>189.0625</v>
      </c>
      <c r="DB19" s="142">
        <f>(s_C*s_IFP_far_adj*s_CF_far_poultry*up_RadSpec!AO19*s_Q_w_poultry*(1/1000))</f>
        <v>189.0625</v>
      </c>
      <c r="DC19" s="142">
        <f>(s_C*s_IFE_far_adj*s_CF_far_egg*up_RadSpec!AP19*s_Q_w_egg*(1/1000))</f>
        <v>189.0625</v>
      </c>
      <c r="DD19" s="142">
        <f>(s_C*s_IFGO_far_adj*s_CF_far_goat*up_RadSpec!AT19*s_Q_p_goat*(1/1000))</f>
        <v>189.0625</v>
      </c>
      <c r="DE19" s="142">
        <f>(s_C*s_IFGM_far_adj*s_CF_far_goat_milk*up_RadSpec!AU19*(1/s_D_milk)*s_Q_p_goat_milk*(1/1000))</f>
        <v>183.55582524271844</v>
      </c>
      <c r="DF19" s="142">
        <f>(s_C*s_IFSH_far_adj*s_CF_far_sheep*up_RadSpec!AR19*s_Q_p_sheep*(1/1000))</f>
        <v>189.0625</v>
      </c>
      <c r="DG19" s="142">
        <f>(s_C*s_IFSM_far_adj*s_CF_far_sheep_milk*up_RadSpec!AS19*(1/s_D_milk)*s_Q_p_sheep_milk*(1/1000))</f>
        <v>183.55582524271844</v>
      </c>
      <c r="DH19" s="141"/>
      <c r="DI19" s="141">
        <f>IFERROR((s_DL/(up_RadSpec!L19*s_IFA_far_adj)),".")</f>
        <v>9.9740259740259754E-3</v>
      </c>
      <c r="DJ19" s="141">
        <f>IFERROR((s_DL/(up_RadSpec!O19*s_EF_far*(1/365)*s_ED_far*s_ET_far*(1/24)*s_GSF_a)),".")</f>
        <v>15.927272727272728</v>
      </c>
      <c r="DK19" s="141">
        <f t="shared" si="48"/>
        <v>9.9677839175609673E-3</v>
      </c>
      <c r="DL19" s="142">
        <f t="shared" si="46"/>
        <v>501.30208333333326</v>
      </c>
      <c r="DM19" s="142">
        <f t="shared" si="47"/>
        <v>0.3139269406392694</v>
      </c>
      <c r="DN19" s="127"/>
    </row>
    <row r="20" spans="1:118" customFormat="1" x14ac:dyDescent="0.25">
      <c r="A20" s="128" t="s">
        <v>18</v>
      </c>
      <c r="B20" s="129" t="s">
        <v>1059</v>
      </c>
      <c r="C20" s="141">
        <f>up_dir!AB20</f>
        <v>2.2038567493112948E-4</v>
      </c>
      <c r="D20" s="141">
        <f>IFERROR(s_DL/(up_RadSpec!J20*s_IFP_far_adj*s_CF_far_poultry),".")</f>
        <v>6.6115702479338848E-4</v>
      </c>
      <c r="E20" s="141">
        <f>IFERROR(s_DL/(up_RadSpec!J20*s_IFE_far_adj*s_CF_far_egg),".")</f>
        <v>6.6115702479338848E-4</v>
      </c>
      <c r="F20" s="141">
        <f>IFERROR(s_DL/(up_RadSpec!J20*s_IFB_far_adj*s_CF_far_beef),".")</f>
        <v>6.6115702479338848E-4</v>
      </c>
      <c r="G20" s="141">
        <f>IFERROR(s_DL/(up_RadSpec!J20*s_IFD_far_adj*s_CF_far_dairy),".")</f>
        <v>6.6115702479338848E-4</v>
      </c>
      <c r="H20" s="141">
        <f>IFERROR(s_DL/(up_RadSpec!J20*s_IFSW_far_adj*s_CF_far_swine),".")</f>
        <v>6.6115702479338848E-4</v>
      </c>
      <c r="I20" s="141">
        <f>IFERROR(s_DL/(up_RadSpec!J20*s_IFFI_far_adj*s_CF_far_fish),".")</f>
        <v>6.6115702479338848E-4</v>
      </c>
      <c r="J20" s="141">
        <f>IFERROR(s_DL/(up_RadSpec!J20*s_IFGO_far_adj*s_CF_far_goat),".")</f>
        <v>6.6115702479338848E-4</v>
      </c>
      <c r="K20" s="141">
        <f>IFERROR(s_DL/(up_RadSpec!J20*s_IFSH_far_adj*s_CF_far_sheep),".")</f>
        <v>6.6115702479338848E-4</v>
      </c>
      <c r="L20" s="141">
        <f>IFERROR(s_DL/(up_RadSpec!J20*s_IFGM_far_adj*s_CF_far_goat_milk),".")</f>
        <v>6.6115702479338848E-4</v>
      </c>
      <c r="M20" s="141">
        <f>IFERROR(s_DL/(up_RadSpec!J20*s_IFSM_far_adj*s_CF_far_sheep_milk),".")</f>
        <v>6.6115702479338848E-4</v>
      </c>
      <c r="N20" s="142">
        <f>up_dir!BA20</f>
        <v>22687.5</v>
      </c>
      <c r="O20" s="142">
        <f t="shared" si="0"/>
        <v>7562.5</v>
      </c>
      <c r="P20" s="142">
        <f t="shared" si="1"/>
        <v>7562.5</v>
      </c>
      <c r="Q20" s="142">
        <f t="shared" si="2"/>
        <v>7562.5</v>
      </c>
      <c r="R20" s="142">
        <f t="shared" si="3"/>
        <v>7562.5</v>
      </c>
      <c r="S20" s="142">
        <f t="shared" si="4"/>
        <v>7562.5</v>
      </c>
      <c r="T20" s="142">
        <f t="shared" si="5"/>
        <v>7562.5</v>
      </c>
      <c r="U20" s="142">
        <f t="shared" si="6"/>
        <v>7562.5</v>
      </c>
      <c r="V20" s="142">
        <f t="shared" si="7"/>
        <v>7562.5</v>
      </c>
      <c r="W20" s="142">
        <f t="shared" si="8"/>
        <v>7562.5</v>
      </c>
      <c r="X20" s="142">
        <f t="shared" si="9"/>
        <v>7562.5</v>
      </c>
      <c r="Y20" s="141">
        <f>IFERROR((s_DL/(up_RadSpec!I20*s_IFS_far_adj*(1/1000)))*1,".")</f>
        <v>0.33057851239669422</v>
      </c>
      <c r="Z20" s="141">
        <f>IFERROR(IF(A20="H-3",(s_DL/(up_RadSpec!L20*s_IFA_far_adj*(1/17)*1000))*1,(s_DL/(up_RadSpec!L20*s_IFA_far_adj*(1/s_PEF_wind)*1000))*1),".")</f>
        <v>3089.9917845330979</v>
      </c>
      <c r="AA20" s="141">
        <f>IFERROR((s_DL/(up_RadSpec!K20*s_EF_far*(1/365)*s_ED_far*up_RadSpec!V20*((s_ET_far_o*(1/24)*up_RadSpec!AA20)+(s_ET_far_i*(1/24)*up_RadSpec!AF20))))*1,".")</f>
        <v>149.74754817732423</v>
      </c>
      <c r="AB20" s="141">
        <f>up_b2s!BA20</f>
        <v>4.3958447178843029E-5</v>
      </c>
      <c r="AC20" s="141">
        <f>IFERROR(((I20*up_RadSpec!AX20)/up_RadSpec!AN20)*1,".")</f>
        <v>6.6115702479338848E-4</v>
      </c>
      <c r="AD20" s="141">
        <f>IFERROR((F20/(up_RadSpec!AM20*((s_Q_p_beef*s_f_p_beef*s_f_s_beef*(up_RadSpec!BG20+s_R_es_past))+(s_Q_s_beef*s_f_p_beef))))*1,".")</f>
        <v>1.8558793678410905E-7</v>
      </c>
      <c r="AE20" s="141">
        <f>IFERROR(((G20*s_D_milk)/(up_RadSpec!AL20*((s_Q_p_dairy*s_f_p_dairy*s_f_s_dairy*(up_RadSpec!BG20+s_R_es_past))+(s_Q_s_dairy*s_f_p_dairy))))*1,".")</f>
        <v>1.9115557488763231E-7</v>
      </c>
      <c r="AF20" s="141">
        <f>IFERROR((H20/(up_RadSpec!AQ20*((s_Q_p_swine*s_f_p_swine*s_f_s_swine*(up_RadSpec!BG20+s_R_es_past))+(s_Q_s_swine*s_f_p_swine))))*1,".")</f>
        <v>1.8558793678410905E-7</v>
      </c>
      <c r="AG20" s="141">
        <f>IFERROR((D20/(up_RadSpec!AO20*((s_Q_p_poultry*s_f_p_poultry*s_f_s_poultry*(up_RadSpec!BG20+s_R_es_past))+(s_Q_s_poultry*s_f_p_poultry))))*1,".")</f>
        <v>1.8558793678410905E-7</v>
      </c>
      <c r="AH20" s="141">
        <f>IFERROR((E20/(up_RadSpec!AP20*((s_Q_p_poultry*s_f_p_poultry*s_f_s_poultry*(up_RadSpec!BG20+s_R_es_past))+(s_Q_s_poultry*s_f_p_poultry))))*1,".")</f>
        <v>1.8558793678410905E-7</v>
      </c>
      <c r="AI20" s="141">
        <f>IFERROR((J20/(up_RadSpec!AT20*((s_Q_p_goat*s_f_p_goat*s_f_s_goat*(up_RadSpec!BG20+s_R_es_past))+(s_Q_s_goat*s_f_p_goat))))*1,".")</f>
        <v>1.8558793678410905E-7</v>
      </c>
      <c r="AJ20" s="141">
        <f>IFERROR((L20*s_D_milk/(up_RadSpec!AU20*((s_Q_p_goat_milk*s_f_p_goat_milk*s_f_s_goat_milk*(up_RadSpec!BG20+s_R_es_past))+(s_Q_s_goat_milk*s_f_p_goat_milk))))*1,".")</f>
        <v>1.9115557488763231E-7</v>
      </c>
      <c r="AK20" s="141">
        <f>IFERROR((K20/(up_RadSpec!AR20*((s_Q_p_sheep*s_f_p_sheep*s_f_s_sheep*(up_RadSpec!BG20+s_R_es_past))+(s_Q_s_sheep*s_f_p_sheep))))*1,".")</f>
        <v>1.8558793678410905E-7</v>
      </c>
      <c r="AL20" s="141">
        <f>IFERROR((M20*s_D_milk/(up_RadSpec!AS20*((s_Q_p_sheep_milk*s_f_p_sheep_milk*s_f_s_sheep_milk*(up_RadSpec!BG20+s_R_es_past))+(s_Q_s_sheep_milk*s_f_p_sheep_milk))))*1,".")</f>
        <v>1.9115557488763231E-7</v>
      </c>
      <c r="AM20" s="158">
        <f t="shared" si="10"/>
        <v>3.0249999999999999</v>
      </c>
      <c r="AN20" s="158">
        <f t="shared" si="11"/>
        <v>3.2362545590104258E-4</v>
      </c>
      <c r="AO20" s="158">
        <f t="shared" si="12"/>
        <v>6.6779056630419447E-3</v>
      </c>
      <c r="AP20" s="158">
        <f t="shared" si="13"/>
        <v>22748.756249999995</v>
      </c>
      <c r="AQ20" s="158">
        <f t="shared" si="14"/>
        <v>1512.5</v>
      </c>
      <c r="AR20" s="158">
        <f t="shared" si="15"/>
        <v>5388281.2499999991</v>
      </c>
      <c r="AS20" s="158">
        <f t="shared" si="16"/>
        <v>5231341.0194174759</v>
      </c>
      <c r="AT20" s="158">
        <f t="shared" si="17"/>
        <v>5388281.2499999991</v>
      </c>
      <c r="AU20" s="158">
        <f t="shared" si="18"/>
        <v>5388281.2499999991</v>
      </c>
      <c r="AV20" s="158">
        <f t="shared" si="19"/>
        <v>5388281.2499999991</v>
      </c>
      <c r="AW20" s="158">
        <f t="shared" si="20"/>
        <v>5388281.2499999991</v>
      </c>
      <c r="AX20" s="158">
        <f t="shared" si="21"/>
        <v>5231341.0194174759</v>
      </c>
      <c r="AY20" s="158">
        <f t="shared" si="22"/>
        <v>5388281.2499999991</v>
      </c>
      <c r="AZ20" s="158">
        <f t="shared" si="23"/>
        <v>5231341.0194174759</v>
      </c>
      <c r="BA20" s="141">
        <f t="shared" si="24"/>
        <v>2.0812531708040583E-8</v>
      </c>
      <c r="BB20" s="142">
        <f t="shared" si="25"/>
        <v>15.125</v>
      </c>
      <c r="BC20" s="142">
        <f t="shared" si="26"/>
        <v>1.618127279505213E-3</v>
      </c>
      <c r="BD20" s="142">
        <f>IFERROR((s_C*s_EF_far*(1/365)*s_ED_far*up_RadSpec!V20*((s_ET_far_o*(1/24)*up_RadSpec!AA20)+(s_ET_far_i*(1/24)*up_RadSpec!AF20))),".")</f>
        <v>3.3389528315209728E-2</v>
      </c>
      <c r="BE20" s="142">
        <f>up_b2s!BZ20</f>
        <v>113743.78125</v>
      </c>
      <c r="BF20" s="142">
        <f>IFERROR(((s_C*up_RadSpec!AN20)/up_RadSpec!AX20)*s_IFFI_far_adj*s_CF_far_fish,0)</f>
        <v>7562.5</v>
      </c>
      <c r="BG20" s="142">
        <f>(s_C*s_IFB_far_adj*s_CF_far_beef*up_RadSpec!AM20*((s_Q_p_beef*s_f_p_beef*s_f_s_beef*(up_RadSpec!$AW20+s_R_es_past))+(s_Q_s_beef*s_f_p_beef)))</f>
        <v>26941406.25</v>
      </c>
      <c r="BH20" s="142">
        <f>(s_C*s_IFD_far_adj*s_CF_far_dairy*up_RadSpec!AL20*1/s_D_milk*((s_Q_p_dairy*s_f_p_dairy*s_f_s_dairy*(up_RadSpec!$AW20+s_R_es_past))+(s_Q_s_dairy*s_f_p_dairy)))</f>
        <v>26156705.09708738</v>
      </c>
      <c r="BI20" s="142">
        <f>(s_C*s_IFSW_far_adj*s_CF_far_swine*up_RadSpec!AQ20*((s_Q_p_swine*s_f_p_swine*s_f_s_swine*(up_RadSpec!$AW20+s_R_es_past))+(s_Q_s_swine*s_f_p_swine)))</f>
        <v>26941406.25</v>
      </c>
      <c r="BJ20" s="142">
        <f>(s_C*s_IFP_far_adj*s_CF_far_poultry*up_RadSpec!AO20*((s_Q_p_poultry*s_f_p_poultry*s_f_s_poultry*(up_RadSpec!AW20+s_R_es_past))+(s_Q_s_poultry*s_f_p_poultry)))</f>
        <v>26941406.25</v>
      </c>
      <c r="BK20" s="142">
        <f>(s_C*s_IFE_far_adj*s_CF_far_egg*up_RadSpec!AP20*((s_Q_p_egg*s_f_p_egg*s_f_s_egg*(up_RadSpec!$AW20+s_R_es_past))+(s_Q_s_egg*s_f_p_egg)))</f>
        <v>26941406.25</v>
      </c>
      <c r="BL20" s="142">
        <f>(s_C*s_IFGO_far_adj*s_CF_far_goat*up_RadSpec!AT20*((s_Q_p_goat*s_f_p_goat*s_f_s_goat*(up_RadSpec!$AW20+s_R_es_past))+(s_Q_s_goat*s_f_p_goat)))</f>
        <v>26941406.25</v>
      </c>
      <c r="BM20" s="142">
        <f>(s_C*s_IFGM_far_adj*s_CF_far_goat_milk*up_RadSpec!AU20*1/s_D_milk*((s_Q_p_goat_milk*s_f_p_goat_milk*s_f_s_goat_milk*(up_RadSpec!$AW20+s_R_es_past))+(s_Q_s_goat_milk*s_f_p_goat_milk)))</f>
        <v>26156705.09708738</v>
      </c>
      <c r="BN20" s="142">
        <f>(s_C*s_IFSH_far_adj*s_CF_far_sheep*up_RadSpec!AR20*((s_Q_p_sheep*s_f_p_sheep*s_f_s_sheep*(up_RadSpec!$AW20+s_R_es_past))+(s_Q_s_sheep*s_f_p_sheep)))</f>
        <v>26941406.25</v>
      </c>
      <c r="BO20" s="142">
        <f>(s_C*s_IFSM_far_adj*s_CF_far_sheep_milk*up_RadSpec!AS20*1/s_D_milk*((s_Q_p_sheep_milk*s_f_p_sheep_milk*s_f_s_sheep_milk*(up_RadSpec!$AW20+s_R_es_past))+(s_Q_s_sheep_milk*s_f_p_sheep_milk)))</f>
        <v>26156705.09708738</v>
      </c>
      <c r="BP20" s="141"/>
      <c r="BQ20" s="141">
        <f>IFERROR(s_DL/(up_RadSpec!M20*s_IFW_far_adj),".")</f>
        <v>3.6363636363636364E-3</v>
      </c>
      <c r="BR20" s="141" t="str">
        <f>IFERROR(IF(up_RadSpec!C20=1,s_DL/(up_RadSpec!L20*s_IFA_far_adj*s_K),"."),".")</f>
        <v>.</v>
      </c>
      <c r="BS20" s="141">
        <f>IFERROR((s_DL/(up_RadSpec!Q20*(1/8760)*s_DFA_far_adj)),".")</f>
        <v>39.81818181818182</v>
      </c>
      <c r="BT20" s="141">
        <f>up_b2w!BA20</f>
        <v>2.1924550381384044E-4</v>
      </c>
      <c r="BU20" s="141">
        <f>IFERROR(I20/(up_RadSpec!AN20*(1/1000)),".")</f>
        <v>0.13223140495867769</v>
      </c>
      <c r="BV20" s="141">
        <f>IFERROR(F20/(up_RadSpec!AM20*s_Q_w_beef*(1/1000)),".")</f>
        <v>2.6446280991735537E-2</v>
      </c>
      <c r="BW20" s="141">
        <f>IFERROR((G20*s_D_milk)/(up_RadSpec!AL20*s_Q_w_dairy*(1/1000)),".")</f>
        <v>2.7239669421487603E-2</v>
      </c>
      <c r="BX20" s="141">
        <f>IFERROR(H20/(up_RadSpec!AQ20*s_Q_w_swine*(1/1000)),".")</f>
        <v>2.6446280991735537E-2</v>
      </c>
      <c r="BY20" s="141">
        <f>IFERROR(D20/(up_RadSpec!AO20*s_Q_w_poultry*(1/1000)),".")</f>
        <v>2.6446280991735537E-2</v>
      </c>
      <c r="BZ20" s="141">
        <f>IFERROR(E20/(up_RadSpec!AP20*s_Q_w_poultry*(1/1000)),".")</f>
        <v>2.6446280991735537E-2</v>
      </c>
      <c r="CA20" s="141">
        <f>IFERROR(J20/(up_RadSpec!AT20*s_Q_w_goat*(1/1000)),".")</f>
        <v>2.6446280991735537E-2</v>
      </c>
      <c r="CB20" s="141">
        <f>IFERROR(L20*s_D_milk/(up_RadSpec!AU20*s_Q_w_goat_milk*(1/1000)),".")</f>
        <v>2.7239669421487603E-2</v>
      </c>
      <c r="CC20" s="141">
        <f>IFERROR(K20/(up_RadSpec!AR20*s_Q_w_sheep*(1/1000)),".")</f>
        <v>2.6446280991735537E-2</v>
      </c>
      <c r="CD20" s="141">
        <f>IFERROR(M20*s_D_milk/(up_RadSpec!AS20*s_Q_w_sheep_milk*(1/1000)),".")</f>
        <v>2.7239669421487603E-2</v>
      </c>
      <c r="CE20" s="158">
        <f t="shared" si="27"/>
        <v>275</v>
      </c>
      <c r="CF20" s="158" t="str">
        <f t="shared" si="28"/>
        <v>.</v>
      </c>
      <c r="CG20" s="158">
        <f t="shared" si="29"/>
        <v>2.5114155251141551E-2</v>
      </c>
      <c r="CH20" s="158">
        <f t="shared" si="30"/>
        <v>4561.0969557172393</v>
      </c>
      <c r="CI20" s="158">
        <f t="shared" si="31"/>
        <v>7.5625</v>
      </c>
      <c r="CJ20" s="158">
        <f t="shared" si="32"/>
        <v>37.8125</v>
      </c>
      <c r="CK20" s="158">
        <f t="shared" si="33"/>
        <v>36.711165048543691</v>
      </c>
      <c r="CL20" s="158">
        <f t="shared" si="34"/>
        <v>37.8125</v>
      </c>
      <c r="CM20" s="158">
        <f t="shared" si="35"/>
        <v>37.8125</v>
      </c>
      <c r="CN20" s="158">
        <f t="shared" si="36"/>
        <v>37.8125</v>
      </c>
      <c r="CO20" s="158">
        <f t="shared" si="37"/>
        <v>37.8125</v>
      </c>
      <c r="CP20" s="158">
        <f t="shared" si="38"/>
        <v>36.711165048543691</v>
      </c>
      <c r="CQ20" s="158">
        <f t="shared" si="39"/>
        <v>37.8125</v>
      </c>
      <c r="CR20" s="158">
        <f t="shared" si="40"/>
        <v>36.711165048543691</v>
      </c>
      <c r="CS20" s="141">
        <f t="shared" si="41"/>
        <v>1.9302436709720458E-4</v>
      </c>
      <c r="CT20" s="142">
        <f t="shared" si="42"/>
        <v>1375</v>
      </c>
      <c r="CU20" s="142">
        <f t="shared" si="43"/>
        <v>250.65104166666663</v>
      </c>
      <c r="CV20" s="142">
        <f t="shared" si="44"/>
        <v>0.12557077625570776</v>
      </c>
      <c r="CW20" s="142">
        <f>up_b2w!BZ20</f>
        <v>22805.4847785862</v>
      </c>
      <c r="CX20" s="142">
        <f>IFERROR(s_C*up_RadSpec!AN20*(1/1000)*s_IFFI_far_adj*s_CF_far_fish,0)</f>
        <v>37.8125</v>
      </c>
      <c r="CY20" s="142">
        <f>(s_C*s_IFB_far_adj*s_CF_far_beef*up_RadSpec!AM20*s_Q_w_beef*(1/1000))</f>
        <v>189.0625</v>
      </c>
      <c r="CZ20" s="142">
        <f>(s_C*s_IFD_far_adj*s_CF_far_dairy*up_RadSpec!AL20*(1/s_D_milk)*s_Q_w_dairy*(1/1000))</f>
        <v>183.55582524271844</v>
      </c>
      <c r="DA20" s="142">
        <f>(s_C*s_IFSW_far_adj*s_CF_far_swine*up_RadSpec!AQ20*s_Q_w_swine*(1/1000))</f>
        <v>189.0625</v>
      </c>
      <c r="DB20" s="142">
        <f>(s_C*s_IFP_far_adj*s_CF_far_poultry*up_RadSpec!AO20*s_Q_w_poultry*(1/1000))</f>
        <v>189.0625</v>
      </c>
      <c r="DC20" s="142">
        <f>(s_C*s_IFE_far_adj*s_CF_far_egg*up_RadSpec!AP20*s_Q_w_egg*(1/1000))</f>
        <v>189.0625</v>
      </c>
      <c r="DD20" s="142">
        <f>(s_C*s_IFGO_far_adj*s_CF_far_goat*up_RadSpec!AT20*s_Q_p_goat*(1/1000))</f>
        <v>189.0625</v>
      </c>
      <c r="DE20" s="142">
        <f>(s_C*s_IFGM_far_adj*s_CF_far_goat_milk*up_RadSpec!AU20*(1/s_D_milk)*s_Q_p_goat_milk*(1/1000))</f>
        <v>183.55582524271844</v>
      </c>
      <c r="DF20" s="142">
        <f>(s_C*s_IFSH_far_adj*s_CF_far_sheep*up_RadSpec!AR20*s_Q_p_sheep*(1/1000))</f>
        <v>189.0625</v>
      </c>
      <c r="DG20" s="142">
        <f>(s_C*s_IFSM_far_adj*s_CF_far_sheep_milk*up_RadSpec!AS20*(1/s_D_milk)*s_Q_p_sheep_milk*(1/1000))</f>
        <v>183.55582524271844</v>
      </c>
      <c r="DH20" s="141"/>
      <c r="DI20" s="141">
        <f>IFERROR((s_DL/(up_RadSpec!L20*s_IFA_far_adj)),".")</f>
        <v>9.9740259740259754E-3</v>
      </c>
      <c r="DJ20" s="141">
        <f>IFERROR((s_DL/(up_RadSpec!O20*s_EF_far*(1/365)*s_ED_far*s_ET_far*(1/24)*s_GSF_a)),".")</f>
        <v>15.927272727272728</v>
      </c>
      <c r="DK20" s="141">
        <f t="shared" si="48"/>
        <v>9.9677839175609673E-3</v>
      </c>
      <c r="DL20" s="142">
        <f t="shared" si="46"/>
        <v>501.30208333333326</v>
      </c>
      <c r="DM20" s="142">
        <f t="shared" si="47"/>
        <v>0.3139269406392694</v>
      </c>
      <c r="DN20" s="127"/>
    </row>
    <row r="21" spans="1:118" customFormat="1" x14ac:dyDescent="0.25">
      <c r="A21" s="128" t="s">
        <v>19</v>
      </c>
      <c r="B21" s="129" t="s">
        <v>1059</v>
      </c>
      <c r="C21" s="141">
        <f>up_dir!AB21</f>
        <v>2.2038567493112948E-4</v>
      </c>
      <c r="D21" s="141">
        <f>IFERROR(s_DL/(up_RadSpec!J21*s_IFP_far_adj*s_CF_far_poultry),".")</f>
        <v>6.6115702479338848E-4</v>
      </c>
      <c r="E21" s="141">
        <f>IFERROR(s_DL/(up_RadSpec!J21*s_IFE_far_adj*s_CF_far_egg),".")</f>
        <v>6.6115702479338848E-4</v>
      </c>
      <c r="F21" s="141">
        <f>IFERROR(s_DL/(up_RadSpec!J21*s_IFB_far_adj*s_CF_far_beef),".")</f>
        <v>6.6115702479338848E-4</v>
      </c>
      <c r="G21" s="141">
        <f>IFERROR(s_DL/(up_RadSpec!J21*s_IFD_far_adj*s_CF_far_dairy),".")</f>
        <v>6.6115702479338848E-4</v>
      </c>
      <c r="H21" s="141">
        <f>IFERROR(s_DL/(up_RadSpec!J21*s_IFSW_far_adj*s_CF_far_swine),".")</f>
        <v>6.6115702479338848E-4</v>
      </c>
      <c r="I21" s="141">
        <f>IFERROR(s_DL/(up_RadSpec!J21*s_IFFI_far_adj*s_CF_far_fish),".")</f>
        <v>6.6115702479338848E-4</v>
      </c>
      <c r="J21" s="141">
        <f>IFERROR(s_DL/(up_RadSpec!J21*s_IFGO_far_adj*s_CF_far_goat),".")</f>
        <v>6.6115702479338848E-4</v>
      </c>
      <c r="K21" s="141">
        <f>IFERROR(s_DL/(up_RadSpec!J21*s_IFSH_far_adj*s_CF_far_sheep),".")</f>
        <v>6.6115702479338848E-4</v>
      </c>
      <c r="L21" s="141">
        <f>IFERROR(s_DL/(up_RadSpec!J21*s_IFGM_far_adj*s_CF_far_goat_milk),".")</f>
        <v>6.6115702479338848E-4</v>
      </c>
      <c r="M21" s="141">
        <f>IFERROR(s_DL/(up_RadSpec!J21*s_IFSM_far_adj*s_CF_far_sheep_milk),".")</f>
        <v>6.6115702479338848E-4</v>
      </c>
      <c r="N21" s="142">
        <f>up_dir!BA21</f>
        <v>22687.5</v>
      </c>
      <c r="O21" s="142">
        <f t="shared" si="0"/>
        <v>7562.5</v>
      </c>
      <c r="P21" s="142">
        <f t="shared" si="1"/>
        <v>7562.5</v>
      </c>
      <c r="Q21" s="142">
        <f t="shared" si="2"/>
        <v>7562.5</v>
      </c>
      <c r="R21" s="142">
        <f t="shared" si="3"/>
        <v>7562.5</v>
      </c>
      <c r="S21" s="142">
        <f t="shared" si="4"/>
        <v>7562.5</v>
      </c>
      <c r="T21" s="142">
        <f t="shared" si="5"/>
        <v>7562.5</v>
      </c>
      <c r="U21" s="142">
        <f t="shared" si="6"/>
        <v>7562.5</v>
      </c>
      <c r="V21" s="142">
        <f t="shared" si="7"/>
        <v>7562.5</v>
      </c>
      <c r="W21" s="142">
        <f t="shared" si="8"/>
        <v>7562.5</v>
      </c>
      <c r="X21" s="142">
        <f t="shared" si="9"/>
        <v>7562.5</v>
      </c>
      <c r="Y21" s="141">
        <f>IFERROR((s_DL/(up_RadSpec!I21*s_IFS_far_adj*(1/1000)))*1,".")</f>
        <v>0.33057851239669422</v>
      </c>
      <c r="Z21" s="141">
        <f>IFERROR(IF(A21="H-3",(s_DL/(up_RadSpec!L21*s_IFA_far_adj*(1/17)*1000))*1,(s_DL/(up_RadSpec!L21*s_IFA_far_adj*(1/s_PEF_wind)*1000))*1),".")</f>
        <v>3089.9917845330979</v>
      </c>
      <c r="AA21" s="141" t="str">
        <f>IFERROR((s_DL/(up_RadSpec!K21*s_EF_far*(1/365)*s_ED_far*up_RadSpec!V21*((s_ET_far_o*(1/24)*up_RadSpec!AA21)+(s_ET_far_i*(1/24)*up_RadSpec!AF21))))*1,".")</f>
        <v>.</v>
      </c>
      <c r="AB21" s="141">
        <f>up_b2s!BA21</f>
        <v>4.3958447178843029E-5</v>
      </c>
      <c r="AC21" s="141">
        <f>IFERROR(((I21*up_RadSpec!AX21)/up_RadSpec!AN21)*1,".")</f>
        <v>6.6115702479338848E-4</v>
      </c>
      <c r="AD21" s="141">
        <f>IFERROR((F21/(up_RadSpec!AM21*((s_Q_p_beef*s_f_p_beef*s_f_s_beef*(up_RadSpec!BG21+s_R_es_past))+(s_Q_s_beef*s_f_p_beef))))*1,".")</f>
        <v>1.8558793678410905E-7</v>
      </c>
      <c r="AE21" s="141">
        <f>IFERROR(((G21*s_D_milk)/(up_RadSpec!AL21*((s_Q_p_dairy*s_f_p_dairy*s_f_s_dairy*(up_RadSpec!BG21+s_R_es_past))+(s_Q_s_dairy*s_f_p_dairy))))*1,".")</f>
        <v>1.9115557488763231E-7</v>
      </c>
      <c r="AF21" s="141">
        <f>IFERROR((H21/(up_RadSpec!AQ21*((s_Q_p_swine*s_f_p_swine*s_f_s_swine*(up_RadSpec!BG21+s_R_es_past))+(s_Q_s_swine*s_f_p_swine))))*1,".")</f>
        <v>1.8558793678410905E-7</v>
      </c>
      <c r="AG21" s="141">
        <f>IFERROR((D21/(up_RadSpec!AO21*((s_Q_p_poultry*s_f_p_poultry*s_f_s_poultry*(up_RadSpec!BG21+s_R_es_past))+(s_Q_s_poultry*s_f_p_poultry))))*1,".")</f>
        <v>1.8558793678410905E-7</v>
      </c>
      <c r="AH21" s="141">
        <f>IFERROR((E21/(up_RadSpec!AP21*((s_Q_p_poultry*s_f_p_poultry*s_f_s_poultry*(up_RadSpec!BG21+s_R_es_past))+(s_Q_s_poultry*s_f_p_poultry))))*1,".")</f>
        <v>1.8558793678410905E-7</v>
      </c>
      <c r="AI21" s="141">
        <f>IFERROR((J21/(up_RadSpec!AT21*((s_Q_p_goat*s_f_p_goat*s_f_s_goat*(up_RadSpec!BG21+s_R_es_past))+(s_Q_s_goat*s_f_p_goat))))*1,".")</f>
        <v>1.8558793678410905E-7</v>
      </c>
      <c r="AJ21" s="141">
        <f>IFERROR((L21*s_D_milk/(up_RadSpec!AU21*((s_Q_p_goat_milk*s_f_p_goat_milk*s_f_s_goat_milk*(up_RadSpec!BG21+s_R_es_past))+(s_Q_s_goat_milk*s_f_p_goat_milk))))*1,".")</f>
        <v>1.9115557488763231E-7</v>
      </c>
      <c r="AK21" s="141">
        <f>IFERROR((K21/(up_RadSpec!AR21*((s_Q_p_sheep*s_f_p_sheep*s_f_s_sheep*(up_RadSpec!BG21+s_R_es_past))+(s_Q_s_sheep*s_f_p_sheep))))*1,".")</f>
        <v>1.8558793678410905E-7</v>
      </c>
      <c r="AL21" s="141">
        <f>IFERROR((M21*s_D_milk/(up_RadSpec!AS21*((s_Q_p_sheep_milk*s_f_p_sheep_milk*s_f_s_sheep_milk*(up_RadSpec!BG21+s_R_es_past))+(s_Q_s_sheep_milk*s_f_p_sheep_milk))))*1,".")</f>
        <v>1.9115557488763231E-7</v>
      </c>
      <c r="AM21" s="158">
        <f t="shared" si="10"/>
        <v>3.0249999999999999</v>
      </c>
      <c r="AN21" s="158">
        <f t="shared" si="11"/>
        <v>3.2362545590104258E-4</v>
      </c>
      <c r="AO21" s="158" t="str">
        <f t="shared" si="12"/>
        <v>.</v>
      </c>
      <c r="AP21" s="158">
        <f t="shared" si="13"/>
        <v>22748.756249999995</v>
      </c>
      <c r="AQ21" s="158">
        <f t="shared" si="14"/>
        <v>1512.5</v>
      </c>
      <c r="AR21" s="158">
        <f t="shared" si="15"/>
        <v>5388281.2499999991</v>
      </c>
      <c r="AS21" s="158">
        <f t="shared" si="16"/>
        <v>5231341.0194174759</v>
      </c>
      <c r="AT21" s="158">
        <f t="shared" si="17"/>
        <v>5388281.2499999991</v>
      </c>
      <c r="AU21" s="158">
        <f t="shared" si="18"/>
        <v>5388281.2499999991</v>
      </c>
      <c r="AV21" s="158">
        <f t="shared" si="19"/>
        <v>5388281.2499999991</v>
      </c>
      <c r="AW21" s="158">
        <f t="shared" si="20"/>
        <v>5388281.2499999991</v>
      </c>
      <c r="AX21" s="158">
        <f t="shared" si="21"/>
        <v>5231341.0194174759</v>
      </c>
      <c r="AY21" s="158">
        <f t="shared" si="22"/>
        <v>5388281.2499999991</v>
      </c>
      <c r="AZ21" s="158">
        <f t="shared" si="23"/>
        <v>5231341.0194174759</v>
      </c>
      <c r="BA21" s="141">
        <f t="shared" si="24"/>
        <v>2.0812531710933197E-8</v>
      </c>
      <c r="BB21" s="142">
        <f t="shared" si="25"/>
        <v>15.125</v>
      </c>
      <c r="BC21" s="142">
        <f t="shared" si="26"/>
        <v>1.618127279505213E-3</v>
      </c>
      <c r="BD21" s="142">
        <f>IFERROR((s_C*s_EF_far*(1/365)*s_ED_far*up_RadSpec!V21*((s_ET_far_o*(1/24)*up_RadSpec!AA21)+(s_ET_far_i*(1/24)*up_RadSpec!AF21))),".")</f>
        <v>0</v>
      </c>
      <c r="BE21" s="142">
        <f>up_b2s!BZ21</f>
        <v>113743.78125</v>
      </c>
      <c r="BF21" s="142">
        <f>IFERROR(((s_C*up_RadSpec!AN21)/up_RadSpec!AX21)*s_IFFI_far_adj*s_CF_far_fish,0)</f>
        <v>7562.5</v>
      </c>
      <c r="BG21" s="142">
        <f>(s_C*s_IFB_far_adj*s_CF_far_beef*up_RadSpec!AM21*((s_Q_p_beef*s_f_p_beef*s_f_s_beef*(up_RadSpec!$AW21+s_R_es_past))+(s_Q_s_beef*s_f_p_beef)))</f>
        <v>26941406.25</v>
      </c>
      <c r="BH21" s="142">
        <f>(s_C*s_IFD_far_adj*s_CF_far_dairy*up_RadSpec!AL21*1/s_D_milk*((s_Q_p_dairy*s_f_p_dairy*s_f_s_dairy*(up_RadSpec!$AW21+s_R_es_past))+(s_Q_s_dairy*s_f_p_dairy)))</f>
        <v>26156705.09708738</v>
      </c>
      <c r="BI21" s="142">
        <f>(s_C*s_IFSW_far_adj*s_CF_far_swine*up_RadSpec!AQ21*((s_Q_p_swine*s_f_p_swine*s_f_s_swine*(up_RadSpec!$AW21+s_R_es_past))+(s_Q_s_swine*s_f_p_swine)))</f>
        <v>26941406.25</v>
      </c>
      <c r="BJ21" s="142">
        <f>(s_C*s_IFP_far_adj*s_CF_far_poultry*up_RadSpec!AO21*((s_Q_p_poultry*s_f_p_poultry*s_f_s_poultry*(up_RadSpec!AW21+s_R_es_past))+(s_Q_s_poultry*s_f_p_poultry)))</f>
        <v>26941406.25</v>
      </c>
      <c r="BK21" s="142">
        <f>(s_C*s_IFE_far_adj*s_CF_far_egg*up_RadSpec!AP21*((s_Q_p_egg*s_f_p_egg*s_f_s_egg*(up_RadSpec!$AW21+s_R_es_past))+(s_Q_s_egg*s_f_p_egg)))</f>
        <v>26941406.25</v>
      </c>
      <c r="BL21" s="142">
        <f>(s_C*s_IFGO_far_adj*s_CF_far_goat*up_RadSpec!AT21*((s_Q_p_goat*s_f_p_goat*s_f_s_goat*(up_RadSpec!$AW21+s_R_es_past))+(s_Q_s_goat*s_f_p_goat)))</f>
        <v>26941406.25</v>
      </c>
      <c r="BM21" s="142">
        <f>(s_C*s_IFGM_far_adj*s_CF_far_goat_milk*up_RadSpec!AU21*1/s_D_milk*((s_Q_p_goat_milk*s_f_p_goat_milk*s_f_s_goat_milk*(up_RadSpec!$AW21+s_R_es_past))+(s_Q_s_goat_milk*s_f_p_goat_milk)))</f>
        <v>26156705.09708738</v>
      </c>
      <c r="BN21" s="142">
        <f>(s_C*s_IFSH_far_adj*s_CF_far_sheep*up_RadSpec!AR21*((s_Q_p_sheep*s_f_p_sheep*s_f_s_sheep*(up_RadSpec!$AW21+s_R_es_past))+(s_Q_s_sheep*s_f_p_sheep)))</f>
        <v>26941406.25</v>
      </c>
      <c r="BO21" s="142">
        <f>(s_C*s_IFSM_far_adj*s_CF_far_sheep_milk*up_RadSpec!AS21*1/s_D_milk*((s_Q_p_sheep_milk*s_f_p_sheep_milk*s_f_s_sheep_milk*(up_RadSpec!$AW21+s_R_es_past))+(s_Q_s_sheep_milk*s_f_p_sheep_milk)))</f>
        <v>26156705.09708738</v>
      </c>
      <c r="BP21" s="141"/>
      <c r="BQ21" s="141">
        <f>IFERROR(s_DL/(up_RadSpec!M21*s_IFW_far_adj),".")</f>
        <v>3.6363636363636364E-3</v>
      </c>
      <c r="BR21" s="141" t="str">
        <f>IFERROR(IF(up_RadSpec!C21=1,s_DL/(up_RadSpec!L21*s_IFA_far_adj*s_K),"."),".")</f>
        <v>.</v>
      </c>
      <c r="BS21" s="141">
        <f>IFERROR((s_DL/(up_RadSpec!Q21*(1/8760)*s_DFA_far_adj)),".")</f>
        <v>39.81818181818182</v>
      </c>
      <c r="BT21" s="141">
        <f>up_b2w!BA21</f>
        <v>2.1924550381384044E-4</v>
      </c>
      <c r="BU21" s="141">
        <f>IFERROR(I21/(up_RadSpec!AN21*(1/1000)),".")</f>
        <v>0.13223140495867769</v>
      </c>
      <c r="BV21" s="141">
        <f>IFERROR(F21/(up_RadSpec!AM21*s_Q_w_beef*(1/1000)),".")</f>
        <v>2.6446280991735537E-2</v>
      </c>
      <c r="BW21" s="141">
        <f>IFERROR((G21*s_D_milk)/(up_RadSpec!AL21*s_Q_w_dairy*(1/1000)),".")</f>
        <v>2.7239669421487603E-2</v>
      </c>
      <c r="BX21" s="141">
        <f>IFERROR(H21/(up_RadSpec!AQ21*s_Q_w_swine*(1/1000)),".")</f>
        <v>2.6446280991735537E-2</v>
      </c>
      <c r="BY21" s="141">
        <f>IFERROR(D21/(up_RadSpec!AO21*s_Q_w_poultry*(1/1000)),".")</f>
        <v>2.6446280991735537E-2</v>
      </c>
      <c r="BZ21" s="141">
        <f>IFERROR(E21/(up_RadSpec!AP21*s_Q_w_poultry*(1/1000)),".")</f>
        <v>2.6446280991735537E-2</v>
      </c>
      <c r="CA21" s="141">
        <f>IFERROR(J21/(up_RadSpec!AT21*s_Q_w_goat*(1/1000)),".")</f>
        <v>2.6446280991735537E-2</v>
      </c>
      <c r="CB21" s="141">
        <f>IFERROR(L21*s_D_milk/(up_RadSpec!AU21*s_Q_w_goat_milk*(1/1000)),".")</f>
        <v>2.7239669421487603E-2</v>
      </c>
      <c r="CC21" s="141">
        <f>IFERROR(K21/(up_RadSpec!AR21*s_Q_w_sheep*(1/1000)),".")</f>
        <v>2.6446280991735537E-2</v>
      </c>
      <c r="CD21" s="141">
        <f>IFERROR(M21*s_D_milk/(up_RadSpec!AS21*s_Q_w_sheep_milk*(1/1000)),".")</f>
        <v>2.7239669421487603E-2</v>
      </c>
      <c r="CE21" s="158">
        <f t="shared" si="27"/>
        <v>275</v>
      </c>
      <c r="CF21" s="158" t="str">
        <f t="shared" si="28"/>
        <v>.</v>
      </c>
      <c r="CG21" s="158">
        <f t="shared" si="29"/>
        <v>2.5114155251141551E-2</v>
      </c>
      <c r="CH21" s="158">
        <f t="shared" si="30"/>
        <v>4561.0969557172393</v>
      </c>
      <c r="CI21" s="158">
        <f t="shared" si="31"/>
        <v>7.5625</v>
      </c>
      <c r="CJ21" s="158">
        <f t="shared" si="32"/>
        <v>37.8125</v>
      </c>
      <c r="CK21" s="158">
        <f t="shared" si="33"/>
        <v>36.711165048543691</v>
      </c>
      <c r="CL21" s="158">
        <f t="shared" si="34"/>
        <v>37.8125</v>
      </c>
      <c r="CM21" s="158">
        <f t="shared" si="35"/>
        <v>37.8125</v>
      </c>
      <c r="CN21" s="158">
        <f t="shared" si="36"/>
        <v>37.8125</v>
      </c>
      <c r="CO21" s="158">
        <f t="shared" si="37"/>
        <v>37.8125</v>
      </c>
      <c r="CP21" s="158">
        <f t="shared" si="38"/>
        <v>36.711165048543691</v>
      </c>
      <c r="CQ21" s="158">
        <f t="shared" si="39"/>
        <v>37.8125</v>
      </c>
      <c r="CR21" s="158">
        <f t="shared" si="40"/>
        <v>36.711165048543691</v>
      </c>
      <c r="CS21" s="141">
        <f t="shared" si="41"/>
        <v>1.9302436709720458E-4</v>
      </c>
      <c r="CT21" s="142">
        <f t="shared" si="42"/>
        <v>1375</v>
      </c>
      <c r="CU21" s="142">
        <f t="shared" si="43"/>
        <v>250.65104166666663</v>
      </c>
      <c r="CV21" s="142">
        <f t="shared" si="44"/>
        <v>0.12557077625570776</v>
      </c>
      <c r="CW21" s="142">
        <f>up_b2w!BZ21</f>
        <v>22805.4847785862</v>
      </c>
      <c r="CX21" s="142">
        <f>IFERROR(s_C*up_RadSpec!AN21*(1/1000)*s_IFFI_far_adj*s_CF_far_fish,0)</f>
        <v>37.8125</v>
      </c>
      <c r="CY21" s="142">
        <f>(s_C*s_IFB_far_adj*s_CF_far_beef*up_RadSpec!AM21*s_Q_w_beef*(1/1000))</f>
        <v>189.0625</v>
      </c>
      <c r="CZ21" s="142">
        <f>(s_C*s_IFD_far_adj*s_CF_far_dairy*up_RadSpec!AL21*(1/s_D_milk)*s_Q_w_dairy*(1/1000))</f>
        <v>183.55582524271844</v>
      </c>
      <c r="DA21" s="142">
        <f>(s_C*s_IFSW_far_adj*s_CF_far_swine*up_RadSpec!AQ21*s_Q_w_swine*(1/1000))</f>
        <v>189.0625</v>
      </c>
      <c r="DB21" s="142">
        <f>(s_C*s_IFP_far_adj*s_CF_far_poultry*up_RadSpec!AO21*s_Q_w_poultry*(1/1000))</f>
        <v>189.0625</v>
      </c>
      <c r="DC21" s="142">
        <f>(s_C*s_IFE_far_adj*s_CF_far_egg*up_RadSpec!AP21*s_Q_w_egg*(1/1000))</f>
        <v>189.0625</v>
      </c>
      <c r="DD21" s="142">
        <f>(s_C*s_IFGO_far_adj*s_CF_far_goat*up_RadSpec!AT21*s_Q_p_goat*(1/1000))</f>
        <v>189.0625</v>
      </c>
      <c r="DE21" s="142">
        <f>(s_C*s_IFGM_far_adj*s_CF_far_goat_milk*up_RadSpec!AU21*(1/s_D_milk)*s_Q_p_goat_milk*(1/1000))</f>
        <v>183.55582524271844</v>
      </c>
      <c r="DF21" s="142">
        <f>(s_C*s_IFSH_far_adj*s_CF_far_sheep*up_RadSpec!AR21*s_Q_p_sheep*(1/1000))</f>
        <v>189.0625</v>
      </c>
      <c r="DG21" s="142">
        <f>(s_C*s_IFSM_far_adj*s_CF_far_sheep_milk*up_RadSpec!AS21*(1/s_D_milk)*s_Q_p_sheep_milk*(1/1000))</f>
        <v>183.55582524271844</v>
      </c>
      <c r="DH21" s="141"/>
      <c r="DI21" s="141">
        <f>IFERROR((s_DL/(up_RadSpec!L21*s_IFA_far_adj)),".")</f>
        <v>9.9740259740259754E-3</v>
      </c>
      <c r="DJ21" s="141">
        <f>IFERROR((s_DL/(up_RadSpec!O21*s_EF_far*(1/365)*s_ED_far*s_ET_far*(1/24)*s_GSF_a)),".")</f>
        <v>15.927272727272728</v>
      </c>
      <c r="DK21" s="141">
        <f t="shared" si="48"/>
        <v>9.9677839175609673E-3</v>
      </c>
      <c r="DL21" s="142">
        <f t="shared" si="46"/>
        <v>501.30208333333326</v>
      </c>
      <c r="DM21" s="142">
        <f t="shared" si="47"/>
        <v>0.3139269406392694</v>
      </c>
      <c r="DN21" s="127"/>
    </row>
    <row r="22" spans="1:118" customFormat="1" x14ac:dyDescent="0.25">
      <c r="A22" s="128" t="s">
        <v>20</v>
      </c>
      <c r="B22" s="129" t="s">
        <v>1059</v>
      </c>
      <c r="C22" s="141">
        <f>up_dir!AB22</f>
        <v>2.2038567493112948E-4</v>
      </c>
      <c r="D22" s="141">
        <f>IFERROR(s_DL/(up_RadSpec!J22*s_IFP_far_adj*s_CF_far_poultry),".")</f>
        <v>6.6115702479338848E-4</v>
      </c>
      <c r="E22" s="141">
        <f>IFERROR(s_DL/(up_RadSpec!J22*s_IFE_far_adj*s_CF_far_egg),".")</f>
        <v>6.6115702479338848E-4</v>
      </c>
      <c r="F22" s="141">
        <f>IFERROR(s_DL/(up_RadSpec!J22*s_IFB_far_adj*s_CF_far_beef),".")</f>
        <v>6.6115702479338848E-4</v>
      </c>
      <c r="G22" s="141">
        <f>IFERROR(s_DL/(up_RadSpec!J22*s_IFD_far_adj*s_CF_far_dairy),".")</f>
        <v>6.6115702479338848E-4</v>
      </c>
      <c r="H22" s="141">
        <f>IFERROR(s_DL/(up_RadSpec!J22*s_IFSW_far_adj*s_CF_far_swine),".")</f>
        <v>6.6115702479338848E-4</v>
      </c>
      <c r="I22" s="141">
        <f>IFERROR(s_DL/(up_RadSpec!J22*s_IFFI_far_adj*s_CF_far_fish),".")</f>
        <v>6.6115702479338848E-4</v>
      </c>
      <c r="J22" s="141">
        <f>IFERROR(s_DL/(up_RadSpec!J22*s_IFGO_far_adj*s_CF_far_goat),".")</f>
        <v>6.6115702479338848E-4</v>
      </c>
      <c r="K22" s="141">
        <f>IFERROR(s_DL/(up_RadSpec!J22*s_IFSH_far_adj*s_CF_far_sheep),".")</f>
        <v>6.6115702479338848E-4</v>
      </c>
      <c r="L22" s="141">
        <f>IFERROR(s_DL/(up_RadSpec!J22*s_IFGM_far_adj*s_CF_far_goat_milk),".")</f>
        <v>6.6115702479338848E-4</v>
      </c>
      <c r="M22" s="141">
        <f>IFERROR(s_DL/(up_RadSpec!J22*s_IFSM_far_adj*s_CF_far_sheep_milk),".")</f>
        <v>6.6115702479338848E-4</v>
      </c>
      <c r="N22" s="142">
        <f>up_dir!BA22</f>
        <v>22687.5</v>
      </c>
      <c r="O22" s="142">
        <f t="shared" si="0"/>
        <v>7562.5</v>
      </c>
      <c r="P22" s="142">
        <f t="shared" si="1"/>
        <v>7562.5</v>
      </c>
      <c r="Q22" s="142">
        <f t="shared" si="2"/>
        <v>7562.5</v>
      </c>
      <c r="R22" s="142">
        <f t="shared" si="3"/>
        <v>7562.5</v>
      </c>
      <c r="S22" s="142">
        <f t="shared" si="4"/>
        <v>7562.5</v>
      </c>
      <c r="T22" s="142">
        <f t="shared" si="5"/>
        <v>7562.5</v>
      </c>
      <c r="U22" s="142">
        <f t="shared" si="6"/>
        <v>7562.5</v>
      </c>
      <c r="V22" s="142">
        <f t="shared" si="7"/>
        <v>7562.5</v>
      </c>
      <c r="W22" s="142">
        <f t="shared" si="8"/>
        <v>7562.5</v>
      </c>
      <c r="X22" s="142">
        <f t="shared" si="9"/>
        <v>7562.5</v>
      </c>
      <c r="Y22" s="141">
        <f>IFERROR((s_DL/(up_RadSpec!I22*s_IFS_far_adj*(1/1000)))*1,".")</f>
        <v>0.33057851239669422</v>
      </c>
      <c r="Z22" s="141">
        <f>IFERROR(IF(A22="H-3",(s_DL/(up_RadSpec!L22*s_IFA_far_adj*(1/17)*1000))*1,(s_DL/(up_RadSpec!L22*s_IFA_far_adj*(1/s_PEF_wind)*1000))*1),".")</f>
        <v>3089.9917845330979</v>
      </c>
      <c r="AA22" s="141">
        <f>IFERROR((s_DL/(up_RadSpec!K22*s_EF_far*(1/365)*s_ED_far*up_RadSpec!V22*((s_ET_far_o*(1/24)*up_RadSpec!AA22)+(s_ET_far_i*(1/24)*up_RadSpec!AF22))))*1,".")</f>
        <v>636876832.84457493</v>
      </c>
      <c r="AB22" s="141">
        <f>up_b2s!BA22</f>
        <v>4.3958447178843029E-5</v>
      </c>
      <c r="AC22" s="141">
        <f>IFERROR(((I22*up_RadSpec!AX22)/up_RadSpec!AN22)*1,".")</f>
        <v>6.6115702479338848E-4</v>
      </c>
      <c r="AD22" s="141">
        <f>IFERROR((F22/(up_RadSpec!AM22*((s_Q_p_beef*s_f_p_beef*s_f_s_beef*(up_RadSpec!BG22+s_R_es_past))+(s_Q_s_beef*s_f_p_beef))))*1,".")</f>
        <v>1.8558793678410905E-7</v>
      </c>
      <c r="AE22" s="141">
        <f>IFERROR(((G22*s_D_milk)/(up_RadSpec!AL22*((s_Q_p_dairy*s_f_p_dairy*s_f_s_dairy*(up_RadSpec!BG22+s_R_es_past))+(s_Q_s_dairy*s_f_p_dairy))))*1,".")</f>
        <v>1.9115557488763231E-7</v>
      </c>
      <c r="AF22" s="141">
        <f>IFERROR((H22/(up_RadSpec!AQ22*((s_Q_p_swine*s_f_p_swine*s_f_s_swine*(up_RadSpec!BG22+s_R_es_past))+(s_Q_s_swine*s_f_p_swine))))*1,".")</f>
        <v>1.8558793678410905E-7</v>
      </c>
      <c r="AG22" s="141">
        <f>IFERROR((D22/(up_RadSpec!AO22*((s_Q_p_poultry*s_f_p_poultry*s_f_s_poultry*(up_RadSpec!BG22+s_R_es_past))+(s_Q_s_poultry*s_f_p_poultry))))*1,".")</f>
        <v>1.8558793678410905E-7</v>
      </c>
      <c r="AH22" s="141">
        <f>IFERROR((E22/(up_RadSpec!AP22*((s_Q_p_poultry*s_f_p_poultry*s_f_s_poultry*(up_RadSpec!BG22+s_R_es_past))+(s_Q_s_poultry*s_f_p_poultry))))*1,".")</f>
        <v>1.8558793678410905E-7</v>
      </c>
      <c r="AI22" s="141">
        <f>IFERROR((J22/(up_RadSpec!AT22*((s_Q_p_goat*s_f_p_goat*s_f_s_goat*(up_RadSpec!BG22+s_R_es_past))+(s_Q_s_goat*s_f_p_goat))))*1,".")</f>
        <v>1.8558793678410905E-7</v>
      </c>
      <c r="AJ22" s="141">
        <f>IFERROR((L22*s_D_milk/(up_RadSpec!AU22*((s_Q_p_goat_milk*s_f_p_goat_milk*s_f_s_goat_milk*(up_RadSpec!BG22+s_R_es_past))+(s_Q_s_goat_milk*s_f_p_goat_milk))))*1,".")</f>
        <v>1.9115557488763231E-7</v>
      </c>
      <c r="AK22" s="141">
        <f>IFERROR((K22/(up_RadSpec!AR22*((s_Q_p_sheep*s_f_p_sheep*s_f_s_sheep*(up_RadSpec!BG22+s_R_es_past))+(s_Q_s_sheep*s_f_p_sheep))))*1,".")</f>
        <v>1.8558793678410905E-7</v>
      </c>
      <c r="AL22" s="141">
        <f>IFERROR((M22*s_D_milk/(up_RadSpec!AS22*((s_Q_p_sheep_milk*s_f_p_sheep_milk*s_f_s_sheep_milk*(up_RadSpec!BG22+s_R_es_past))+(s_Q_s_sheep_milk*s_f_p_sheep_milk))))*1,".")</f>
        <v>1.9115557488763231E-7</v>
      </c>
      <c r="AM22" s="158">
        <f t="shared" si="10"/>
        <v>3.0249999999999999</v>
      </c>
      <c r="AN22" s="158">
        <f t="shared" si="11"/>
        <v>3.2362545590104258E-4</v>
      </c>
      <c r="AO22" s="158">
        <f t="shared" si="12"/>
        <v>1.5701623114999422E-9</v>
      </c>
      <c r="AP22" s="158">
        <f t="shared" si="13"/>
        <v>22748.756249999995</v>
      </c>
      <c r="AQ22" s="158">
        <f t="shared" si="14"/>
        <v>1512.5</v>
      </c>
      <c r="AR22" s="158">
        <f t="shared" si="15"/>
        <v>5388281.2499999991</v>
      </c>
      <c r="AS22" s="158">
        <f t="shared" si="16"/>
        <v>5231341.0194174759</v>
      </c>
      <c r="AT22" s="158">
        <f t="shared" si="17"/>
        <v>5388281.2499999991</v>
      </c>
      <c r="AU22" s="158">
        <f t="shared" si="18"/>
        <v>5388281.2499999991</v>
      </c>
      <c r="AV22" s="158">
        <f t="shared" si="19"/>
        <v>5388281.2499999991</v>
      </c>
      <c r="AW22" s="158">
        <f t="shared" si="20"/>
        <v>5388281.2499999991</v>
      </c>
      <c r="AX22" s="158">
        <f t="shared" si="21"/>
        <v>5231341.0194174759</v>
      </c>
      <c r="AY22" s="158">
        <f t="shared" si="22"/>
        <v>5388281.2499999991</v>
      </c>
      <c r="AZ22" s="158">
        <f t="shared" si="23"/>
        <v>5231341.0194174759</v>
      </c>
      <c r="BA22" s="141">
        <f t="shared" si="24"/>
        <v>2.0812531710933191E-8</v>
      </c>
      <c r="BB22" s="142">
        <f t="shared" si="25"/>
        <v>15.125</v>
      </c>
      <c r="BC22" s="142">
        <f t="shared" si="26"/>
        <v>1.618127279505213E-3</v>
      </c>
      <c r="BD22" s="142">
        <f>IFERROR((s_C*s_EF_far*(1/365)*s_ED_far*up_RadSpec!V22*((s_ET_far_o*(1/24)*up_RadSpec!AA22)+(s_ET_far_i*(1/24)*up_RadSpec!AF22))),".")</f>
        <v>7.8508115574997097E-9</v>
      </c>
      <c r="BE22" s="142">
        <f>up_b2s!BZ22</f>
        <v>113743.78125</v>
      </c>
      <c r="BF22" s="142">
        <f>IFERROR(((s_C*up_RadSpec!AN22)/up_RadSpec!AX22)*s_IFFI_far_adj*s_CF_far_fish,0)</f>
        <v>7562.5</v>
      </c>
      <c r="BG22" s="142">
        <f>(s_C*s_IFB_far_adj*s_CF_far_beef*up_RadSpec!AM22*((s_Q_p_beef*s_f_p_beef*s_f_s_beef*(up_RadSpec!$AW22+s_R_es_past))+(s_Q_s_beef*s_f_p_beef)))</f>
        <v>26941406.25</v>
      </c>
      <c r="BH22" s="142">
        <f>(s_C*s_IFD_far_adj*s_CF_far_dairy*up_RadSpec!AL22*1/s_D_milk*((s_Q_p_dairy*s_f_p_dairy*s_f_s_dairy*(up_RadSpec!$AW22+s_R_es_past))+(s_Q_s_dairy*s_f_p_dairy)))</f>
        <v>26156705.09708738</v>
      </c>
      <c r="BI22" s="142">
        <f>(s_C*s_IFSW_far_adj*s_CF_far_swine*up_RadSpec!AQ22*((s_Q_p_swine*s_f_p_swine*s_f_s_swine*(up_RadSpec!$AW22+s_R_es_past))+(s_Q_s_swine*s_f_p_swine)))</f>
        <v>26941406.25</v>
      </c>
      <c r="BJ22" s="142">
        <f>(s_C*s_IFP_far_adj*s_CF_far_poultry*up_RadSpec!AO22*((s_Q_p_poultry*s_f_p_poultry*s_f_s_poultry*(up_RadSpec!AW22+s_R_es_past))+(s_Q_s_poultry*s_f_p_poultry)))</f>
        <v>26941406.25</v>
      </c>
      <c r="BK22" s="142">
        <f>(s_C*s_IFE_far_adj*s_CF_far_egg*up_RadSpec!AP22*((s_Q_p_egg*s_f_p_egg*s_f_s_egg*(up_RadSpec!$AW22+s_R_es_past))+(s_Q_s_egg*s_f_p_egg)))</f>
        <v>26941406.25</v>
      </c>
      <c r="BL22" s="142">
        <f>(s_C*s_IFGO_far_adj*s_CF_far_goat*up_RadSpec!AT22*((s_Q_p_goat*s_f_p_goat*s_f_s_goat*(up_RadSpec!$AW22+s_R_es_past))+(s_Q_s_goat*s_f_p_goat)))</f>
        <v>26941406.25</v>
      </c>
      <c r="BM22" s="142">
        <f>(s_C*s_IFGM_far_adj*s_CF_far_goat_milk*up_RadSpec!AU22*1/s_D_milk*((s_Q_p_goat_milk*s_f_p_goat_milk*s_f_s_goat_milk*(up_RadSpec!$AW22+s_R_es_past))+(s_Q_s_goat_milk*s_f_p_goat_milk)))</f>
        <v>26156705.09708738</v>
      </c>
      <c r="BN22" s="142">
        <f>(s_C*s_IFSH_far_adj*s_CF_far_sheep*up_RadSpec!AR22*((s_Q_p_sheep*s_f_p_sheep*s_f_s_sheep*(up_RadSpec!$AW22+s_R_es_past))+(s_Q_s_sheep*s_f_p_sheep)))</f>
        <v>26941406.25</v>
      </c>
      <c r="BO22" s="142">
        <f>(s_C*s_IFSM_far_adj*s_CF_far_sheep_milk*up_RadSpec!AS22*1/s_D_milk*((s_Q_p_sheep_milk*s_f_p_sheep_milk*s_f_s_sheep_milk*(up_RadSpec!$AW22+s_R_es_past))+(s_Q_s_sheep_milk*s_f_p_sheep_milk)))</f>
        <v>26156705.09708738</v>
      </c>
      <c r="BP22" s="141"/>
      <c r="BQ22" s="141">
        <f>IFERROR(s_DL/(up_RadSpec!M22*s_IFW_far_adj),".")</f>
        <v>3.6363636363636364E-3</v>
      </c>
      <c r="BR22" s="141" t="str">
        <f>IFERROR(IF(up_RadSpec!C22=1,s_DL/(up_RadSpec!L22*s_IFA_far_adj*s_K),"."),".")</f>
        <v>.</v>
      </c>
      <c r="BS22" s="141">
        <f>IFERROR((s_DL/(up_RadSpec!Q22*(1/8760)*s_DFA_far_adj)),".")</f>
        <v>39.81818181818182</v>
      </c>
      <c r="BT22" s="141">
        <f>up_b2w!BA22</f>
        <v>2.1924550381384044E-4</v>
      </c>
      <c r="BU22" s="141">
        <f>IFERROR(I22/(up_RadSpec!AN22*(1/1000)),".")</f>
        <v>0.13223140495867769</v>
      </c>
      <c r="BV22" s="141">
        <f>IFERROR(F22/(up_RadSpec!AM22*s_Q_w_beef*(1/1000)),".")</f>
        <v>2.6446280991735537E-2</v>
      </c>
      <c r="BW22" s="141">
        <f>IFERROR((G22*s_D_milk)/(up_RadSpec!AL22*s_Q_w_dairy*(1/1000)),".")</f>
        <v>2.7239669421487603E-2</v>
      </c>
      <c r="BX22" s="141">
        <f>IFERROR(H22/(up_RadSpec!AQ22*s_Q_w_swine*(1/1000)),".")</f>
        <v>2.6446280991735537E-2</v>
      </c>
      <c r="BY22" s="141">
        <f>IFERROR(D22/(up_RadSpec!AO22*s_Q_w_poultry*(1/1000)),".")</f>
        <v>2.6446280991735537E-2</v>
      </c>
      <c r="BZ22" s="141">
        <f>IFERROR(E22/(up_RadSpec!AP22*s_Q_w_poultry*(1/1000)),".")</f>
        <v>2.6446280991735537E-2</v>
      </c>
      <c r="CA22" s="141">
        <f>IFERROR(J22/(up_RadSpec!AT22*s_Q_w_goat*(1/1000)),".")</f>
        <v>2.6446280991735537E-2</v>
      </c>
      <c r="CB22" s="141">
        <f>IFERROR(L22*s_D_milk/(up_RadSpec!AU22*s_Q_w_goat_milk*(1/1000)),".")</f>
        <v>2.7239669421487603E-2</v>
      </c>
      <c r="CC22" s="141">
        <f>IFERROR(K22/(up_RadSpec!AR22*s_Q_w_sheep*(1/1000)),".")</f>
        <v>2.6446280991735537E-2</v>
      </c>
      <c r="CD22" s="141">
        <f>IFERROR(M22*s_D_milk/(up_RadSpec!AS22*s_Q_w_sheep_milk*(1/1000)),".")</f>
        <v>2.7239669421487603E-2</v>
      </c>
      <c r="CE22" s="158">
        <f t="shared" si="27"/>
        <v>275</v>
      </c>
      <c r="CF22" s="158" t="str">
        <f t="shared" si="28"/>
        <v>.</v>
      </c>
      <c r="CG22" s="158">
        <f t="shared" si="29"/>
        <v>2.5114155251141551E-2</v>
      </c>
      <c r="CH22" s="158">
        <f t="shared" si="30"/>
        <v>4561.0969557172393</v>
      </c>
      <c r="CI22" s="158">
        <f t="shared" si="31"/>
        <v>7.5625</v>
      </c>
      <c r="CJ22" s="158">
        <f t="shared" si="32"/>
        <v>37.8125</v>
      </c>
      <c r="CK22" s="158">
        <f t="shared" si="33"/>
        <v>36.711165048543691</v>
      </c>
      <c r="CL22" s="158">
        <f t="shared" si="34"/>
        <v>37.8125</v>
      </c>
      <c r="CM22" s="158">
        <f t="shared" si="35"/>
        <v>37.8125</v>
      </c>
      <c r="CN22" s="158">
        <f t="shared" si="36"/>
        <v>37.8125</v>
      </c>
      <c r="CO22" s="158">
        <f t="shared" si="37"/>
        <v>37.8125</v>
      </c>
      <c r="CP22" s="158">
        <f t="shared" si="38"/>
        <v>36.711165048543691</v>
      </c>
      <c r="CQ22" s="158">
        <f t="shared" si="39"/>
        <v>37.8125</v>
      </c>
      <c r="CR22" s="158">
        <f t="shared" si="40"/>
        <v>36.711165048543691</v>
      </c>
      <c r="CS22" s="141">
        <f t="shared" si="41"/>
        <v>1.9302436709720458E-4</v>
      </c>
      <c r="CT22" s="142">
        <f t="shared" si="42"/>
        <v>1375</v>
      </c>
      <c r="CU22" s="142">
        <f t="shared" si="43"/>
        <v>250.65104166666663</v>
      </c>
      <c r="CV22" s="142">
        <f t="shared" si="44"/>
        <v>0.12557077625570776</v>
      </c>
      <c r="CW22" s="142">
        <f>up_b2w!BZ22</f>
        <v>22805.4847785862</v>
      </c>
      <c r="CX22" s="142">
        <f>IFERROR(s_C*up_RadSpec!AN22*(1/1000)*s_IFFI_far_adj*s_CF_far_fish,0)</f>
        <v>37.8125</v>
      </c>
      <c r="CY22" s="142">
        <f>(s_C*s_IFB_far_adj*s_CF_far_beef*up_RadSpec!AM22*s_Q_w_beef*(1/1000))</f>
        <v>189.0625</v>
      </c>
      <c r="CZ22" s="142">
        <f>(s_C*s_IFD_far_adj*s_CF_far_dairy*up_RadSpec!AL22*(1/s_D_milk)*s_Q_w_dairy*(1/1000))</f>
        <v>183.55582524271844</v>
      </c>
      <c r="DA22" s="142">
        <f>(s_C*s_IFSW_far_adj*s_CF_far_swine*up_RadSpec!AQ22*s_Q_w_swine*(1/1000))</f>
        <v>189.0625</v>
      </c>
      <c r="DB22" s="142">
        <f>(s_C*s_IFP_far_adj*s_CF_far_poultry*up_RadSpec!AO22*s_Q_w_poultry*(1/1000))</f>
        <v>189.0625</v>
      </c>
      <c r="DC22" s="142">
        <f>(s_C*s_IFE_far_adj*s_CF_far_egg*up_RadSpec!AP22*s_Q_w_egg*(1/1000))</f>
        <v>189.0625</v>
      </c>
      <c r="DD22" s="142">
        <f>(s_C*s_IFGO_far_adj*s_CF_far_goat*up_RadSpec!AT22*s_Q_p_goat*(1/1000))</f>
        <v>189.0625</v>
      </c>
      <c r="DE22" s="142">
        <f>(s_C*s_IFGM_far_adj*s_CF_far_goat_milk*up_RadSpec!AU22*(1/s_D_milk)*s_Q_p_goat_milk*(1/1000))</f>
        <v>183.55582524271844</v>
      </c>
      <c r="DF22" s="142">
        <f>(s_C*s_IFSH_far_adj*s_CF_far_sheep*up_RadSpec!AR22*s_Q_p_sheep*(1/1000))</f>
        <v>189.0625</v>
      </c>
      <c r="DG22" s="142">
        <f>(s_C*s_IFSM_far_adj*s_CF_far_sheep_milk*up_RadSpec!AS22*(1/s_D_milk)*s_Q_p_sheep_milk*(1/1000))</f>
        <v>183.55582524271844</v>
      </c>
      <c r="DH22" s="141"/>
      <c r="DI22" s="141">
        <f>IFERROR((s_DL/(up_RadSpec!L22*s_IFA_far_adj)),".")</f>
        <v>9.9740259740259754E-3</v>
      </c>
      <c r="DJ22" s="141">
        <f>IFERROR((s_DL/(up_RadSpec!O22*s_EF_far*(1/365)*s_ED_far*s_ET_far*(1/24)*s_GSF_a)),".")</f>
        <v>15.927272727272728</v>
      </c>
      <c r="DK22" s="141">
        <f t="shared" si="48"/>
        <v>9.9677839175609673E-3</v>
      </c>
      <c r="DL22" s="142">
        <f t="shared" si="46"/>
        <v>501.30208333333326</v>
      </c>
      <c r="DM22" s="142">
        <f t="shared" si="47"/>
        <v>0.3139269406392694</v>
      </c>
      <c r="DN22" s="127"/>
    </row>
    <row r="23" spans="1:118" customFormat="1" x14ac:dyDescent="0.25">
      <c r="A23" s="131" t="s">
        <v>21</v>
      </c>
      <c r="B23" s="129" t="s">
        <v>336</v>
      </c>
      <c r="C23" s="141">
        <f>up_dir!AB23</f>
        <v>2.2038567493112948E-4</v>
      </c>
      <c r="D23" s="141">
        <f>IFERROR(s_DL/(up_RadSpec!J23*s_IFP_far_adj*s_CF_far_poultry),".")</f>
        <v>6.6115702479338848E-4</v>
      </c>
      <c r="E23" s="141">
        <f>IFERROR(s_DL/(up_RadSpec!J23*s_IFE_far_adj*s_CF_far_egg),".")</f>
        <v>6.6115702479338848E-4</v>
      </c>
      <c r="F23" s="141">
        <f>IFERROR(s_DL/(up_RadSpec!J23*s_IFB_far_adj*s_CF_far_beef),".")</f>
        <v>6.6115702479338848E-4</v>
      </c>
      <c r="G23" s="141">
        <f>IFERROR(s_DL/(up_RadSpec!J23*s_IFD_far_adj*s_CF_far_dairy),".")</f>
        <v>6.6115702479338848E-4</v>
      </c>
      <c r="H23" s="141">
        <f>IFERROR(s_DL/(up_RadSpec!J23*s_IFSW_far_adj*s_CF_far_swine),".")</f>
        <v>6.6115702479338848E-4</v>
      </c>
      <c r="I23" s="141">
        <f>IFERROR(s_DL/(up_RadSpec!J23*s_IFFI_far_adj*s_CF_far_fish),".")</f>
        <v>6.6115702479338848E-4</v>
      </c>
      <c r="J23" s="141">
        <f>IFERROR(s_DL/(up_RadSpec!J23*s_IFGO_far_adj*s_CF_far_goat),".")</f>
        <v>6.6115702479338848E-4</v>
      </c>
      <c r="K23" s="141">
        <f>IFERROR(s_DL/(up_RadSpec!J23*s_IFSH_far_adj*s_CF_far_sheep),".")</f>
        <v>6.6115702479338848E-4</v>
      </c>
      <c r="L23" s="141">
        <f>IFERROR(s_DL/(up_RadSpec!J23*s_IFGM_far_adj*s_CF_far_goat_milk),".")</f>
        <v>6.6115702479338848E-4</v>
      </c>
      <c r="M23" s="141">
        <f>IFERROR(s_DL/(up_RadSpec!J23*s_IFSM_far_adj*s_CF_far_sheep_milk),".")</f>
        <v>6.6115702479338848E-4</v>
      </c>
      <c r="N23" s="142">
        <f>up_dir!BA23</f>
        <v>22687.5</v>
      </c>
      <c r="O23" s="142">
        <f t="shared" si="0"/>
        <v>7562.5</v>
      </c>
      <c r="P23" s="142">
        <f t="shared" si="1"/>
        <v>7562.5</v>
      </c>
      <c r="Q23" s="142">
        <f t="shared" si="2"/>
        <v>7562.5</v>
      </c>
      <c r="R23" s="142">
        <f t="shared" si="3"/>
        <v>7562.5</v>
      </c>
      <c r="S23" s="142">
        <f t="shared" si="4"/>
        <v>7562.5</v>
      </c>
      <c r="T23" s="142">
        <f t="shared" si="5"/>
        <v>7562.5</v>
      </c>
      <c r="U23" s="142">
        <f t="shared" si="6"/>
        <v>7562.5</v>
      </c>
      <c r="V23" s="142">
        <f t="shared" si="7"/>
        <v>7562.5</v>
      </c>
      <c r="W23" s="142">
        <f t="shared" si="8"/>
        <v>7562.5</v>
      </c>
      <c r="X23" s="142">
        <f t="shared" si="9"/>
        <v>7562.5</v>
      </c>
      <c r="Y23" s="141">
        <f>IFERROR((s_DL/(up_RadSpec!I23*s_IFS_far_adj*(1/1000)))*1,".")</f>
        <v>0.33057851239669422</v>
      </c>
      <c r="Z23" s="141">
        <f>IFERROR(IF(A23="H-3",(s_DL/(up_RadSpec!L23*s_IFA_far_adj*(1/17)*1000))*1,(s_DL/(up_RadSpec!L23*s_IFA_far_adj*(1/s_PEF_wind)*1000))*1),".")</f>
        <v>3089.9917845330979</v>
      </c>
      <c r="AA23" s="141">
        <f>IFERROR((s_DL/(up_RadSpec!K23*s_EF_far*(1/365)*s_ED_far*up_RadSpec!V23*((s_ET_far_o*(1/24)*up_RadSpec!AA23)+(s_ET_far_i*(1/24)*up_RadSpec!AF23))))*1,".")</f>
        <v>145.84968138687145</v>
      </c>
      <c r="AB23" s="141">
        <f>up_b2s!BA23</f>
        <v>4.3958447178843029E-5</v>
      </c>
      <c r="AC23" s="141">
        <f>IFERROR(((I23*up_RadSpec!AX23)/up_RadSpec!AN23)*1,".")</f>
        <v>6.6115702479338848E-4</v>
      </c>
      <c r="AD23" s="141">
        <f>IFERROR((F23/(up_RadSpec!AM23*((s_Q_p_beef*s_f_p_beef*s_f_s_beef*(up_RadSpec!BG23+s_R_es_past))+(s_Q_s_beef*s_f_p_beef))))*1,".")</f>
        <v>1.8558793678410905E-7</v>
      </c>
      <c r="AE23" s="141">
        <f>IFERROR(((G23*s_D_milk)/(up_RadSpec!AL23*((s_Q_p_dairy*s_f_p_dairy*s_f_s_dairy*(up_RadSpec!BG23+s_R_es_past))+(s_Q_s_dairy*s_f_p_dairy))))*1,".")</f>
        <v>1.9115557488763231E-7</v>
      </c>
      <c r="AF23" s="141">
        <f>IFERROR((H23/(up_RadSpec!AQ23*((s_Q_p_swine*s_f_p_swine*s_f_s_swine*(up_RadSpec!BG23+s_R_es_past))+(s_Q_s_swine*s_f_p_swine))))*1,".")</f>
        <v>1.8558793678410905E-7</v>
      </c>
      <c r="AG23" s="141">
        <f>IFERROR((D23/(up_RadSpec!AO23*((s_Q_p_poultry*s_f_p_poultry*s_f_s_poultry*(up_RadSpec!BG23+s_R_es_past))+(s_Q_s_poultry*s_f_p_poultry))))*1,".")</f>
        <v>1.8558793678410905E-7</v>
      </c>
      <c r="AH23" s="141">
        <f>IFERROR((E23/(up_RadSpec!AP23*((s_Q_p_poultry*s_f_p_poultry*s_f_s_poultry*(up_RadSpec!BG23+s_R_es_past))+(s_Q_s_poultry*s_f_p_poultry))))*1,".")</f>
        <v>1.8558793678410905E-7</v>
      </c>
      <c r="AI23" s="141">
        <f>IFERROR((J23/(up_RadSpec!AT23*((s_Q_p_goat*s_f_p_goat*s_f_s_goat*(up_RadSpec!BG23+s_R_es_past))+(s_Q_s_goat*s_f_p_goat))))*1,".")</f>
        <v>1.8558793678410905E-7</v>
      </c>
      <c r="AJ23" s="141">
        <f>IFERROR((L23*s_D_milk/(up_RadSpec!AU23*((s_Q_p_goat_milk*s_f_p_goat_milk*s_f_s_goat_milk*(up_RadSpec!BG23+s_R_es_past))+(s_Q_s_goat_milk*s_f_p_goat_milk))))*1,".")</f>
        <v>1.9115557488763231E-7</v>
      </c>
      <c r="AK23" s="141">
        <f>IFERROR((K23/(up_RadSpec!AR23*((s_Q_p_sheep*s_f_p_sheep*s_f_s_sheep*(up_RadSpec!BG23+s_R_es_past))+(s_Q_s_sheep*s_f_p_sheep))))*1,".")</f>
        <v>1.8558793678410905E-7</v>
      </c>
      <c r="AL23" s="141">
        <f>IFERROR((M23*s_D_milk/(up_RadSpec!AS23*((s_Q_p_sheep_milk*s_f_p_sheep_milk*s_f_s_sheep_milk*(up_RadSpec!BG23+s_R_es_past))+(s_Q_s_sheep_milk*s_f_p_sheep_milk))))*1,".")</f>
        <v>1.9115557488763231E-7</v>
      </c>
      <c r="AM23" s="158">
        <f t="shared" si="10"/>
        <v>3.0249999999999999</v>
      </c>
      <c r="AN23" s="158">
        <f t="shared" si="11"/>
        <v>3.2362545590104258E-4</v>
      </c>
      <c r="AO23" s="158">
        <f t="shared" si="12"/>
        <v>6.8563742511542729E-3</v>
      </c>
      <c r="AP23" s="158">
        <f t="shared" si="13"/>
        <v>22748.756249999995</v>
      </c>
      <c r="AQ23" s="158">
        <f t="shared" si="14"/>
        <v>1512.5</v>
      </c>
      <c r="AR23" s="158">
        <f t="shared" si="15"/>
        <v>5388281.2499999991</v>
      </c>
      <c r="AS23" s="158">
        <f t="shared" si="16"/>
        <v>5231341.0194174759</v>
      </c>
      <c r="AT23" s="158">
        <f t="shared" si="17"/>
        <v>5388281.2499999991</v>
      </c>
      <c r="AU23" s="158">
        <f t="shared" si="18"/>
        <v>5388281.2499999991</v>
      </c>
      <c r="AV23" s="158">
        <f t="shared" si="19"/>
        <v>5388281.2499999991</v>
      </c>
      <c r="AW23" s="158">
        <f t="shared" si="20"/>
        <v>5388281.2499999991</v>
      </c>
      <c r="AX23" s="158">
        <f t="shared" si="21"/>
        <v>5231341.0194174759</v>
      </c>
      <c r="AY23" s="158">
        <f t="shared" si="22"/>
        <v>5388281.2499999991</v>
      </c>
      <c r="AZ23" s="158">
        <f t="shared" si="23"/>
        <v>5231341.0194174759</v>
      </c>
      <c r="BA23" s="141">
        <f t="shared" si="24"/>
        <v>2.0812531707963275E-8</v>
      </c>
      <c r="BB23" s="142">
        <f t="shared" si="25"/>
        <v>15.125</v>
      </c>
      <c r="BC23" s="142">
        <f t="shared" si="26"/>
        <v>1.618127279505213E-3</v>
      </c>
      <c r="BD23" s="142">
        <f>IFERROR((s_C*s_EF_far*(1/365)*s_ED_far*up_RadSpec!V23*((s_ET_far_o*(1/24)*up_RadSpec!AA23)+(s_ET_far_i*(1/24)*up_RadSpec!AF23))),".")</f>
        <v>3.4281871255771361E-2</v>
      </c>
      <c r="BE23" s="142">
        <f>up_b2s!BZ23</f>
        <v>113743.78125</v>
      </c>
      <c r="BF23" s="142">
        <f>IFERROR(((s_C*up_RadSpec!AN23)/up_RadSpec!AX23)*s_IFFI_far_adj*s_CF_far_fish,0)</f>
        <v>7562.5</v>
      </c>
      <c r="BG23" s="142">
        <f>(s_C*s_IFB_far_adj*s_CF_far_beef*up_RadSpec!AM23*((s_Q_p_beef*s_f_p_beef*s_f_s_beef*(up_RadSpec!$AW23+s_R_es_past))+(s_Q_s_beef*s_f_p_beef)))</f>
        <v>26941406.25</v>
      </c>
      <c r="BH23" s="142">
        <f>(s_C*s_IFD_far_adj*s_CF_far_dairy*up_RadSpec!AL23*1/s_D_milk*((s_Q_p_dairy*s_f_p_dairy*s_f_s_dairy*(up_RadSpec!$AW23+s_R_es_past))+(s_Q_s_dairy*s_f_p_dairy)))</f>
        <v>26156705.09708738</v>
      </c>
      <c r="BI23" s="142">
        <f>(s_C*s_IFSW_far_adj*s_CF_far_swine*up_RadSpec!AQ23*((s_Q_p_swine*s_f_p_swine*s_f_s_swine*(up_RadSpec!$AW23+s_R_es_past))+(s_Q_s_swine*s_f_p_swine)))</f>
        <v>26941406.25</v>
      </c>
      <c r="BJ23" s="142">
        <f>(s_C*s_IFP_far_adj*s_CF_far_poultry*up_RadSpec!AO23*((s_Q_p_poultry*s_f_p_poultry*s_f_s_poultry*(up_RadSpec!AW23+s_R_es_past))+(s_Q_s_poultry*s_f_p_poultry)))</f>
        <v>26941406.25</v>
      </c>
      <c r="BK23" s="142">
        <f>(s_C*s_IFE_far_adj*s_CF_far_egg*up_RadSpec!AP23*((s_Q_p_egg*s_f_p_egg*s_f_s_egg*(up_RadSpec!$AW23+s_R_es_past))+(s_Q_s_egg*s_f_p_egg)))</f>
        <v>26941406.25</v>
      </c>
      <c r="BL23" s="142">
        <f>(s_C*s_IFGO_far_adj*s_CF_far_goat*up_RadSpec!AT23*((s_Q_p_goat*s_f_p_goat*s_f_s_goat*(up_RadSpec!$AW23+s_R_es_past))+(s_Q_s_goat*s_f_p_goat)))</f>
        <v>26941406.25</v>
      </c>
      <c r="BM23" s="142">
        <f>(s_C*s_IFGM_far_adj*s_CF_far_goat_milk*up_RadSpec!AU23*1/s_D_milk*((s_Q_p_goat_milk*s_f_p_goat_milk*s_f_s_goat_milk*(up_RadSpec!$AW23+s_R_es_past))+(s_Q_s_goat_milk*s_f_p_goat_milk)))</f>
        <v>26156705.09708738</v>
      </c>
      <c r="BN23" s="142">
        <f>(s_C*s_IFSH_far_adj*s_CF_far_sheep*up_RadSpec!AR23*((s_Q_p_sheep*s_f_p_sheep*s_f_s_sheep*(up_RadSpec!$AW23+s_R_es_past))+(s_Q_s_sheep*s_f_p_sheep)))</f>
        <v>26941406.25</v>
      </c>
      <c r="BO23" s="142">
        <f>(s_C*s_IFSM_far_adj*s_CF_far_sheep_milk*up_RadSpec!AS23*1/s_D_milk*((s_Q_p_sheep_milk*s_f_p_sheep_milk*s_f_s_sheep_milk*(up_RadSpec!$AW23+s_R_es_past))+(s_Q_s_sheep_milk*s_f_p_sheep_milk)))</f>
        <v>26156705.09708738</v>
      </c>
      <c r="BP23" s="141"/>
      <c r="BQ23" s="141">
        <f>IFERROR(s_DL/(up_RadSpec!M23*s_IFW_far_adj),".")</f>
        <v>3.6363636363636364E-3</v>
      </c>
      <c r="BR23" s="141">
        <f>IFERROR(IF(up_RadSpec!C23=1,s_DL/(up_RadSpec!L23*s_IFA_far_adj*s_K),"."),".")</f>
        <v>1.9948051948051951E-2</v>
      </c>
      <c r="BS23" s="141">
        <f>IFERROR((s_DL/(up_RadSpec!Q23*(1/8760)*s_DFA_far_adj)),".")</f>
        <v>39.81818181818182</v>
      </c>
      <c r="BT23" s="141">
        <f>up_b2w!BA23</f>
        <v>2.1924550381384044E-4</v>
      </c>
      <c r="BU23" s="141">
        <f>IFERROR(I23/(up_RadSpec!AN23*(1/1000)),".")</f>
        <v>0.13223140495867769</v>
      </c>
      <c r="BV23" s="141">
        <f>IFERROR(F23/(up_RadSpec!AM23*s_Q_w_beef*(1/1000)),".")</f>
        <v>2.6446280991735537E-2</v>
      </c>
      <c r="BW23" s="141">
        <f>IFERROR((G23*s_D_milk)/(up_RadSpec!AL23*s_Q_w_dairy*(1/1000)),".")</f>
        <v>2.7239669421487603E-2</v>
      </c>
      <c r="BX23" s="141">
        <f>IFERROR(H23/(up_RadSpec!AQ23*s_Q_w_swine*(1/1000)),".")</f>
        <v>2.6446280991735537E-2</v>
      </c>
      <c r="BY23" s="141">
        <f>IFERROR(D23/(up_RadSpec!AO23*s_Q_w_poultry*(1/1000)),".")</f>
        <v>2.6446280991735537E-2</v>
      </c>
      <c r="BZ23" s="141">
        <f>IFERROR(E23/(up_RadSpec!AP23*s_Q_w_poultry*(1/1000)),".")</f>
        <v>2.6446280991735537E-2</v>
      </c>
      <c r="CA23" s="141">
        <f>IFERROR(J23/(up_RadSpec!AT23*s_Q_w_goat*(1/1000)),".")</f>
        <v>2.6446280991735537E-2</v>
      </c>
      <c r="CB23" s="141">
        <f>IFERROR(L23*s_D_milk/(up_RadSpec!AU23*s_Q_w_goat_milk*(1/1000)),".")</f>
        <v>2.7239669421487603E-2</v>
      </c>
      <c r="CC23" s="141">
        <f>IFERROR(K23/(up_RadSpec!AR23*s_Q_w_sheep*(1/1000)),".")</f>
        <v>2.6446280991735537E-2</v>
      </c>
      <c r="CD23" s="141">
        <f>IFERROR(M23*s_D_milk/(up_RadSpec!AS23*s_Q_w_sheep_milk*(1/1000)),".")</f>
        <v>2.7239669421487603E-2</v>
      </c>
      <c r="CE23" s="158">
        <f t="shared" si="27"/>
        <v>275</v>
      </c>
      <c r="CF23" s="158">
        <f t="shared" si="28"/>
        <v>50.130208333333329</v>
      </c>
      <c r="CG23" s="158">
        <f t="shared" si="29"/>
        <v>2.5114155251141551E-2</v>
      </c>
      <c r="CH23" s="158">
        <f t="shared" si="30"/>
        <v>4561.0969557172393</v>
      </c>
      <c r="CI23" s="158">
        <f t="shared" si="31"/>
        <v>7.5625</v>
      </c>
      <c r="CJ23" s="158">
        <f t="shared" si="32"/>
        <v>37.8125</v>
      </c>
      <c r="CK23" s="158">
        <f t="shared" si="33"/>
        <v>36.711165048543691</v>
      </c>
      <c r="CL23" s="158">
        <f t="shared" si="34"/>
        <v>37.8125</v>
      </c>
      <c r="CM23" s="158">
        <f t="shared" si="35"/>
        <v>37.8125</v>
      </c>
      <c r="CN23" s="158">
        <f t="shared" si="36"/>
        <v>37.8125</v>
      </c>
      <c r="CO23" s="158">
        <f t="shared" si="37"/>
        <v>37.8125</v>
      </c>
      <c r="CP23" s="158">
        <f t="shared" si="38"/>
        <v>36.711165048543691</v>
      </c>
      <c r="CQ23" s="158">
        <f t="shared" si="39"/>
        <v>37.8125</v>
      </c>
      <c r="CR23" s="158">
        <f t="shared" si="40"/>
        <v>36.711165048543691</v>
      </c>
      <c r="CS23" s="141">
        <f t="shared" si="41"/>
        <v>1.9117449543641093E-4</v>
      </c>
      <c r="CT23" s="142">
        <f t="shared" si="42"/>
        <v>1375</v>
      </c>
      <c r="CU23" s="142">
        <f t="shared" si="43"/>
        <v>250.65104166666663</v>
      </c>
      <c r="CV23" s="142">
        <f t="shared" si="44"/>
        <v>0.12557077625570776</v>
      </c>
      <c r="CW23" s="142">
        <f>up_b2w!BZ23</f>
        <v>22805.4847785862</v>
      </c>
      <c r="CX23" s="142">
        <f>IFERROR(s_C*up_RadSpec!AN23*(1/1000)*s_IFFI_far_adj*s_CF_far_fish,0)</f>
        <v>37.8125</v>
      </c>
      <c r="CY23" s="142">
        <f>(s_C*s_IFB_far_adj*s_CF_far_beef*up_RadSpec!AM23*s_Q_w_beef*(1/1000))</f>
        <v>189.0625</v>
      </c>
      <c r="CZ23" s="142">
        <f>(s_C*s_IFD_far_adj*s_CF_far_dairy*up_RadSpec!AL23*(1/s_D_milk)*s_Q_w_dairy*(1/1000))</f>
        <v>183.55582524271844</v>
      </c>
      <c r="DA23" s="142">
        <f>(s_C*s_IFSW_far_adj*s_CF_far_swine*up_RadSpec!AQ23*s_Q_w_swine*(1/1000))</f>
        <v>189.0625</v>
      </c>
      <c r="DB23" s="142">
        <f>(s_C*s_IFP_far_adj*s_CF_far_poultry*up_RadSpec!AO23*s_Q_w_poultry*(1/1000))</f>
        <v>189.0625</v>
      </c>
      <c r="DC23" s="142">
        <f>(s_C*s_IFE_far_adj*s_CF_far_egg*up_RadSpec!AP23*s_Q_w_egg*(1/1000))</f>
        <v>189.0625</v>
      </c>
      <c r="DD23" s="142">
        <f>(s_C*s_IFGO_far_adj*s_CF_far_goat*up_RadSpec!AT23*s_Q_p_goat*(1/1000))</f>
        <v>189.0625</v>
      </c>
      <c r="DE23" s="142">
        <f>(s_C*s_IFGM_far_adj*s_CF_far_goat_milk*up_RadSpec!AU23*(1/s_D_milk)*s_Q_p_goat_milk*(1/1000))</f>
        <v>183.55582524271844</v>
      </c>
      <c r="DF23" s="142">
        <f>(s_C*s_IFSH_far_adj*s_CF_far_sheep*up_RadSpec!AR23*s_Q_p_sheep*(1/1000))</f>
        <v>189.0625</v>
      </c>
      <c r="DG23" s="142">
        <f>(s_C*s_IFSM_far_adj*s_CF_far_sheep_milk*up_RadSpec!AS23*(1/s_D_milk)*s_Q_p_sheep_milk*(1/1000))</f>
        <v>183.55582524271844</v>
      </c>
      <c r="DH23" s="141"/>
      <c r="DI23" s="141">
        <f>IFERROR((s_DL/(up_RadSpec!L23*s_IFA_far_adj)),".")</f>
        <v>9.9740259740259754E-3</v>
      </c>
      <c r="DJ23" s="141">
        <f>IFERROR((s_DL/(up_RadSpec!O23*s_EF_far*(1/365)*s_ED_far*s_ET_far*(1/24)*s_GSF_a)),".")</f>
        <v>15.927272727272728</v>
      </c>
      <c r="DK23" s="141">
        <f t="shared" si="48"/>
        <v>9.9677839175609673E-3</v>
      </c>
      <c r="DL23" s="142">
        <f t="shared" si="46"/>
        <v>501.30208333333326</v>
      </c>
      <c r="DM23" s="142">
        <f t="shared" si="47"/>
        <v>0.3139269406392694</v>
      </c>
      <c r="DN23" s="127"/>
    </row>
    <row r="24" spans="1:118" customFormat="1" x14ac:dyDescent="0.25">
      <c r="A24" s="128" t="s">
        <v>22</v>
      </c>
      <c r="B24" s="129" t="s">
        <v>1059</v>
      </c>
      <c r="C24" s="141">
        <f>up_dir!AB24</f>
        <v>2.2038567493112948E-4</v>
      </c>
      <c r="D24" s="141">
        <f>IFERROR(s_DL/(up_RadSpec!J24*s_IFP_far_adj*s_CF_far_poultry),".")</f>
        <v>6.6115702479338848E-4</v>
      </c>
      <c r="E24" s="141">
        <f>IFERROR(s_DL/(up_RadSpec!J24*s_IFE_far_adj*s_CF_far_egg),".")</f>
        <v>6.6115702479338848E-4</v>
      </c>
      <c r="F24" s="141">
        <f>IFERROR(s_DL/(up_RadSpec!J24*s_IFB_far_adj*s_CF_far_beef),".")</f>
        <v>6.6115702479338848E-4</v>
      </c>
      <c r="G24" s="141">
        <f>IFERROR(s_DL/(up_RadSpec!J24*s_IFD_far_adj*s_CF_far_dairy),".")</f>
        <v>6.6115702479338848E-4</v>
      </c>
      <c r="H24" s="141">
        <f>IFERROR(s_DL/(up_RadSpec!J24*s_IFSW_far_adj*s_CF_far_swine),".")</f>
        <v>6.6115702479338848E-4</v>
      </c>
      <c r="I24" s="141">
        <f>IFERROR(s_DL/(up_RadSpec!J24*s_IFFI_far_adj*s_CF_far_fish),".")</f>
        <v>6.6115702479338848E-4</v>
      </c>
      <c r="J24" s="141">
        <f>IFERROR(s_DL/(up_RadSpec!J24*s_IFGO_far_adj*s_CF_far_goat),".")</f>
        <v>6.6115702479338848E-4</v>
      </c>
      <c r="K24" s="141">
        <f>IFERROR(s_DL/(up_RadSpec!J24*s_IFSH_far_adj*s_CF_far_sheep),".")</f>
        <v>6.6115702479338848E-4</v>
      </c>
      <c r="L24" s="141">
        <f>IFERROR(s_DL/(up_RadSpec!J24*s_IFGM_far_adj*s_CF_far_goat_milk),".")</f>
        <v>6.6115702479338848E-4</v>
      </c>
      <c r="M24" s="141">
        <f>IFERROR(s_DL/(up_RadSpec!J24*s_IFSM_far_adj*s_CF_far_sheep_milk),".")</f>
        <v>6.6115702479338848E-4</v>
      </c>
      <c r="N24" s="142">
        <f>up_dir!BA24</f>
        <v>22687.5</v>
      </c>
      <c r="O24" s="142">
        <f t="shared" si="0"/>
        <v>7562.5</v>
      </c>
      <c r="P24" s="142">
        <f t="shared" si="1"/>
        <v>7562.5</v>
      </c>
      <c r="Q24" s="142">
        <f t="shared" si="2"/>
        <v>7562.5</v>
      </c>
      <c r="R24" s="142">
        <f t="shared" si="3"/>
        <v>7562.5</v>
      </c>
      <c r="S24" s="142">
        <f t="shared" si="4"/>
        <v>7562.5</v>
      </c>
      <c r="T24" s="142">
        <f t="shared" si="5"/>
        <v>7562.5</v>
      </c>
      <c r="U24" s="142">
        <f t="shared" si="6"/>
        <v>7562.5</v>
      </c>
      <c r="V24" s="142">
        <f t="shared" si="7"/>
        <v>7562.5</v>
      </c>
      <c r="W24" s="142">
        <f t="shared" si="8"/>
        <v>7562.5</v>
      </c>
      <c r="X24" s="142">
        <f t="shared" si="9"/>
        <v>7562.5</v>
      </c>
      <c r="Y24" s="141">
        <f>IFERROR((s_DL/(up_RadSpec!I24*s_IFS_far_adj*(1/1000)))*1,".")</f>
        <v>0.33057851239669422</v>
      </c>
      <c r="Z24" s="141">
        <f>IFERROR(IF(A24="H-3",(s_DL/(up_RadSpec!L24*s_IFA_far_adj*(1/17)*1000))*1,(s_DL/(up_RadSpec!L24*s_IFA_far_adj*(1/s_PEF_wind)*1000))*1),".")</f>
        <v>3089.9917845330979</v>
      </c>
      <c r="AA24" s="141">
        <f>IFERROR((s_DL/(up_RadSpec!K24*s_EF_far*(1/365)*s_ED_far*up_RadSpec!V24*((s_ET_far_o*(1/24)*up_RadSpec!AA24)+(s_ET_far_i*(1/24)*up_RadSpec!AF24))))*1,".")</f>
        <v>191.19734281491895</v>
      </c>
      <c r="AB24" s="141">
        <f>up_b2s!BA24</f>
        <v>4.3958447178843029E-5</v>
      </c>
      <c r="AC24" s="141">
        <f>IFERROR(((I24*up_RadSpec!AX24)/up_RadSpec!AN24)*1,".")</f>
        <v>6.6115702479338848E-4</v>
      </c>
      <c r="AD24" s="141">
        <f>IFERROR((F24/(up_RadSpec!AM24*((s_Q_p_beef*s_f_p_beef*s_f_s_beef*(up_RadSpec!BG24+s_R_es_past))+(s_Q_s_beef*s_f_p_beef))))*1,".")</f>
        <v>1.8558793678410905E-7</v>
      </c>
      <c r="AE24" s="141">
        <f>IFERROR(((G24*s_D_milk)/(up_RadSpec!AL24*((s_Q_p_dairy*s_f_p_dairy*s_f_s_dairy*(up_RadSpec!BG24+s_R_es_past))+(s_Q_s_dairy*s_f_p_dairy))))*1,".")</f>
        <v>1.9115557488763231E-7</v>
      </c>
      <c r="AF24" s="141">
        <f>IFERROR((H24/(up_RadSpec!AQ24*((s_Q_p_swine*s_f_p_swine*s_f_s_swine*(up_RadSpec!BG24+s_R_es_past))+(s_Q_s_swine*s_f_p_swine))))*1,".")</f>
        <v>1.8558793678410905E-7</v>
      </c>
      <c r="AG24" s="141">
        <f>IFERROR((D24/(up_RadSpec!AO24*((s_Q_p_poultry*s_f_p_poultry*s_f_s_poultry*(up_RadSpec!BG24+s_R_es_past))+(s_Q_s_poultry*s_f_p_poultry))))*1,".")</f>
        <v>1.8558793678410905E-7</v>
      </c>
      <c r="AH24" s="141">
        <f>IFERROR((E24/(up_RadSpec!AP24*((s_Q_p_poultry*s_f_p_poultry*s_f_s_poultry*(up_RadSpec!BG24+s_R_es_past))+(s_Q_s_poultry*s_f_p_poultry))))*1,".")</f>
        <v>1.8558793678410905E-7</v>
      </c>
      <c r="AI24" s="141">
        <f>IFERROR((J24/(up_RadSpec!AT24*((s_Q_p_goat*s_f_p_goat*s_f_s_goat*(up_RadSpec!BG24+s_R_es_past))+(s_Q_s_goat*s_f_p_goat))))*1,".")</f>
        <v>1.8558793678410905E-7</v>
      </c>
      <c r="AJ24" s="141">
        <f>IFERROR((L24*s_D_milk/(up_RadSpec!AU24*((s_Q_p_goat_milk*s_f_p_goat_milk*s_f_s_goat_milk*(up_RadSpec!BG24+s_R_es_past))+(s_Q_s_goat_milk*s_f_p_goat_milk))))*1,".")</f>
        <v>1.9115557488763231E-7</v>
      </c>
      <c r="AK24" s="141">
        <f>IFERROR((K24/(up_RadSpec!AR24*((s_Q_p_sheep*s_f_p_sheep*s_f_s_sheep*(up_RadSpec!BG24+s_R_es_past))+(s_Q_s_sheep*s_f_p_sheep))))*1,".")</f>
        <v>1.8558793678410905E-7</v>
      </c>
      <c r="AL24" s="141">
        <f>IFERROR((M24*s_D_milk/(up_RadSpec!AS24*((s_Q_p_sheep_milk*s_f_p_sheep_milk*s_f_s_sheep_milk*(up_RadSpec!BG24+s_R_es_past))+(s_Q_s_sheep_milk*s_f_p_sheep_milk))))*1,".")</f>
        <v>1.9115557488763231E-7</v>
      </c>
      <c r="AM24" s="158">
        <f t="shared" si="10"/>
        <v>3.0249999999999999</v>
      </c>
      <c r="AN24" s="158">
        <f t="shared" si="11"/>
        <v>3.2362545590104258E-4</v>
      </c>
      <c r="AO24" s="158">
        <f t="shared" si="12"/>
        <v>5.2301982092293536E-3</v>
      </c>
      <c r="AP24" s="158">
        <f t="shared" si="13"/>
        <v>22748.756249999995</v>
      </c>
      <c r="AQ24" s="158">
        <f t="shared" si="14"/>
        <v>1512.5</v>
      </c>
      <c r="AR24" s="158">
        <f t="shared" si="15"/>
        <v>5388281.2499999991</v>
      </c>
      <c r="AS24" s="158">
        <f t="shared" si="16"/>
        <v>5231341.0194174759</v>
      </c>
      <c r="AT24" s="158">
        <f t="shared" si="17"/>
        <v>5388281.2499999991</v>
      </c>
      <c r="AU24" s="158">
        <f t="shared" si="18"/>
        <v>5388281.2499999991</v>
      </c>
      <c r="AV24" s="158">
        <f t="shared" si="19"/>
        <v>5388281.2499999991</v>
      </c>
      <c r="AW24" s="158">
        <f t="shared" si="20"/>
        <v>5388281.2499999991</v>
      </c>
      <c r="AX24" s="158">
        <f t="shared" si="21"/>
        <v>5231341.0194174759</v>
      </c>
      <c r="AY24" s="158">
        <f t="shared" si="22"/>
        <v>5388281.2499999991</v>
      </c>
      <c r="AZ24" s="158">
        <f t="shared" si="23"/>
        <v>5231341.0194174759</v>
      </c>
      <c r="BA24" s="141">
        <f t="shared" si="24"/>
        <v>2.0812531708667675E-8</v>
      </c>
      <c r="BB24" s="142">
        <f t="shared" si="25"/>
        <v>15.125</v>
      </c>
      <c r="BC24" s="142">
        <f t="shared" si="26"/>
        <v>1.618127279505213E-3</v>
      </c>
      <c r="BD24" s="142">
        <f>IFERROR((s_C*s_EF_far*(1/365)*s_ED_far*up_RadSpec!V24*((s_ET_far_o*(1/24)*up_RadSpec!AA24)+(s_ET_far_i*(1/24)*up_RadSpec!AF24))),".")</f>
        <v>2.6150991046146769E-2</v>
      </c>
      <c r="BE24" s="142">
        <f>up_b2s!BZ24</f>
        <v>113743.78125</v>
      </c>
      <c r="BF24" s="142">
        <f>IFERROR(((s_C*up_RadSpec!AN24)/up_RadSpec!AX24)*s_IFFI_far_adj*s_CF_far_fish,0)</f>
        <v>7562.5</v>
      </c>
      <c r="BG24" s="142">
        <f>(s_C*s_IFB_far_adj*s_CF_far_beef*up_RadSpec!AM24*((s_Q_p_beef*s_f_p_beef*s_f_s_beef*(up_RadSpec!$AW24+s_R_es_past))+(s_Q_s_beef*s_f_p_beef)))</f>
        <v>26941406.25</v>
      </c>
      <c r="BH24" s="142">
        <f>(s_C*s_IFD_far_adj*s_CF_far_dairy*up_RadSpec!AL24*1/s_D_milk*((s_Q_p_dairy*s_f_p_dairy*s_f_s_dairy*(up_RadSpec!$AW24+s_R_es_past))+(s_Q_s_dairy*s_f_p_dairy)))</f>
        <v>26156705.09708738</v>
      </c>
      <c r="BI24" s="142">
        <f>(s_C*s_IFSW_far_adj*s_CF_far_swine*up_RadSpec!AQ24*((s_Q_p_swine*s_f_p_swine*s_f_s_swine*(up_RadSpec!$AW24+s_R_es_past))+(s_Q_s_swine*s_f_p_swine)))</f>
        <v>26941406.25</v>
      </c>
      <c r="BJ24" s="142">
        <f>(s_C*s_IFP_far_adj*s_CF_far_poultry*up_RadSpec!AO24*((s_Q_p_poultry*s_f_p_poultry*s_f_s_poultry*(up_RadSpec!AW24+s_R_es_past))+(s_Q_s_poultry*s_f_p_poultry)))</f>
        <v>26941406.25</v>
      </c>
      <c r="BK24" s="142">
        <f>(s_C*s_IFE_far_adj*s_CF_far_egg*up_RadSpec!AP24*((s_Q_p_egg*s_f_p_egg*s_f_s_egg*(up_RadSpec!$AW24+s_R_es_past))+(s_Q_s_egg*s_f_p_egg)))</f>
        <v>26941406.25</v>
      </c>
      <c r="BL24" s="142">
        <f>(s_C*s_IFGO_far_adj*s_CF_far_goat*up_RadSpec!AT24*((s_Q_p_goat*s_f_p_goat*s_f_s_goat*(up_RadSpec!$AW24+s_R_es_past))+(s_Q_s_goat*s_f_p_goat)))</f>
        <v>26941406.25</v>
      </c>
      <c r="BM24" s="142">
        <f>(s_C*s_IFGM_far_adj*s_CF_far_goat_milk*up_RadSpec!AU24*1/s_D_milk*((s_Q_p_goat_milk*s_f_p_goat_milk*s_f_s_goat_milk*(up_RadSpec!$AW24+s_R_es_past))+(s_Q_s_goat_milk*s_f_p_goat_milk)))</f>
        <v>26156705.09708738</v>
      </c>
      <c r="BN24" s="142">
        <f>(s_C*s_IFSH_far_adj*s_CF_far_sheep*up_RadSpec!AR24*((s_Q_p_sheep*s_f_p_sheep*s_f_s_sheep*(up_RadSpec!$AW24+s_R_es_past))+(s_Q_s_sheep*s_f_p_sheep)))</f>
        <v>26941406.25</v>
      </c>
      <c r="BO24" s="142">
        <f>(s_C*s_IFSM_far_adj*s_CF_far_sheep_milk*up_RadSpec!AS24*1/s_D_milk*((s_Q_p_sheep_milk*s_f_p_sheep_milk*s_f_s_sheep_milk*(up_RadSpec!$AW24+s_R_es_past))+(s_Q_s_sheep_milk*s_f_p_sheep_milk)))</f>
        <v>26156705.09708738</v>
      </c>
      <c r="BP24" s="141"/>
      <c r="BQ24" s="141">
        <f>IFERROR(s_DL/(up_RadSpec!M24*s_IFW_far_adj),".")</f>
        <v>3.6363636363636364E-3</v>
      </c>
      <c r="BR24" s="141" t="str">
        <f>IFERROR(IF(up_RadSpec!C24=1,s_DL/(up_RadSpec!L24*s_IFA_far_adj*s_K),"."),".")</f>
        <v>.</v>
      </c>
      <c r="BS24" s="141">
        <f>IFERROR((s_DL/(up_RadSpec!Q24*(1/8760)*s_DFA_far_adj)),".")</f>
        <v>39.81818181818182</v>
      </c>
      <c r="BT24" s="141">
        <f>up_b2w!BA24</f>
        <v>2.1924550381384044E-4</v>
      </c>
      <c r="BU24" s="141">
        <f>IFERROR(I24/(up_RadSpec!AN24*(1/1000)),".")</f>
        <v>0.13223140495867769</v>
      </c>
      <c r="BV24" s="141">
        <f>IFERROR(F24/(up_RadSpec!AM24*s_Q_w_beef*(1/1000)),".")</f>
        <v>2.6446280991735537E-2</v>
      </c>
      <c r="BW24" s="141">
        <f>IFERROR((G24*s_D_milk)/(up_RadSpec!AL24*s_Q_w_dairy*(1/1000)),".")</f>
        <v>2.7239669421487603E-2</v>
      </c>
      <c r="BX24" s="141">
        <f>IFERROR(H24/(up_RadSpec!AQ24*s_Q_w_swine*(1/1000)),".")</f>
        <v>2.6446280991735537E-2</v>
      </c>
      <c r="BY24" s="141">
        <f>IFERROR(D24/(up_RadSpec!AO24*s_Q_w_poultry*(1/1000)),".")</f>
        <v>2.6446280991735537E-2</v>
      </c>
      <c r="BZ24" s="141">
        <f>IFERROR(E24/(up_RadSpec!AP24*s_Q_w_poultry*(1/1000)),".")</f>
        <v>2.6446280991735537E-2</v>
      </c>
      <c r="CA24" s="141">
        <f>IFERROR(J24/(up_RadSpec!AT24*s_Q_w_goat*(1/1000)),".")</f>
        <v>2.6446280991735537E-2</v>
      </c>
      <c r="CB24" s="141">
        <f>IFERROR(L24*s_D_milk/(up_RadSpec!AU24*s_Q_w_goat_milk*(1/1000)),".")</f>
        <v>2.7239669421487603E-2</v>
      </c>
      <c r="CC24" s="141">
        <f>IFERROR(K24/(up_RadSpec!AR24*s_Q_w_sheep*(1/1000)),".")</f>
        <v>2.6446280991735537E-2</v>
      </c>
      <c r="CD24" s="141">
        <f>IFERROR(M24*s_D_milk/(up_RadSpec!AS24*s_Q_w_sheep_milk*(1/1000)),".")</f>
        <v>2.7239669421487603E-2</v>
      </c>
      <c r="CE24" s="158">
        <f t="shared" si="27"/>
        <v>275</v>
      </c>
      <c r="CF24" s="158" t="str">
        <f t="shared" si="28"/>
        <v>.</v>
      </c>
      <c r="CG24" s="158">
        <f t="shared" si="29"/>
        <v>2.5114155251141551E-2</v>
      </c>
      <c r="CH24" s="158">
        <f t="shared" si="30"/>
        <v>4561.0969557172393</v>
      </c>
      <c r="CI24" s="158">
        <f t="shared" si="31"/>
        <v>7.5625</v>
      </c>
      <c r="CJ24" s="158">
        <f t="shared" si="32"/>
        <v>37.8125</v>
      </c>
      <c r="CK24" s="158">
        <f t="shared" si="33"/>
        <v>36.711165048543691</v>
      </c>
      <c r="CL24" s="158">
        <f t="shared" si="34"/>
        <v>37.8125</v>
      </c>
      <c r="CM24" s="158">
        <f t="shared" si="35"/>
        <v>37.8125</v>
      </c>
      <c r="CN24" s="158">
        <f t="shared" si="36"/>
        <v>37.8125</v>
      </c>
      <c r="CO24" s="158">
        <f t="shared" si="37"/>
        <v>37.8125</v>
      </c>
      <c r="CP24" s="158">
        <f t="shared" si="38"/>
        <v>36.711165048543691</v>
      </c>
      <c r="CQ24" s="158">
        <f t="shared" si="39"/>
        <v>37.8125</v>
      </c>
      <c r="CR24" s="158">
        <f t="shared" si="40"/>
        <v>36.711165048543691</v>
      </c>
      <c r="CS24" s="141">
        <f t="shared" si="41"/>
        <v>1.9302436709720458E-4</v>
      </c>
      <c r="CT24" s="142">
        <f t="shared" si="42"/>
        <v>1375</v>
      </c>
      <c r="CU24" s="142">
        <f t="shared" si="43"/>
        <v>250.65104166666663</v>
      </c>
      <c r="CV24" s="142">
        <f t="shared" si="44"/>
        <v>0.12557077625570776</v>
      </c>
      <c r="CW24" s="142">
        <f>up_b2w!BZ24</f>
        <v>22805.4847785862</v>
      </c>
      <c r="CX24" s="142">
        <f>IFERROR(s_C*up_RadSpec!AN24*(1/1000)*s_IFFI_far_adj*s_CF_far_fish,0)</f>
        <v>37.8125</v>
      </c>
      <c r="CY24" s="142">
        <f>(s_C*s_IFB_far_adj*s_CF_far_beef*up_RadSpec!AM24*s_Q_w_beef*(1/1000))</f>
        <v>189.0625</v>
      </c>
      <c r="CZ24" s="142">
        <f>(s_C*s_IFD_far_adj*s_CF_far_dairy*up_RadSpec!AL24*(1/s_D_milk)*s_Q_w_dairy*(1/1000))</f>
        <v>183.55582524271844</v>
      </c>
      <c r="DA24" s="142">
        <f>(s_C*s_IFSW_far_adj*s_CF_far_swine*up_RadSpec!AQ24*s_Q_w_swine*(1/1000))</f>
        <v>189.0625</v>
      </c>
      <c r="DB24" s="142">
        <f>(s_C*s_IFP_far_adj*s_CF_far_poultry*up_RadSpec!AO24*s_Q_w_poultry*(1/1000))</f>
        <v>189.0625</v>
      </c>
      <c r="DC24" s="142">
        <f>(s_C*s_IFE_far_adj*s_CF_far_egg*up_RadSpec!AP24*s_Q_w_egg*(1/1000))</f>
        <v>189.0625</v>
      </c>
      <c r="DD24" s="142">
        <f>(s_C*s_IFGO_far_adj*s_CF_far_goat*up_RadSpec!AT24*s_Q_p_goat*(1/1000))</f>
        <v>189.0625</v>
      </c>
      <c r="DE24" s="142">
        <f>(s_C*s_IFGM_far_adj*s_CF_far_goat_milk*up_RadSpec!AU24*(1/s_D_milk)*s_Q_p_goat_milk*(1/1000))</f>
        <v>183.55582524271844</v>
      </c>
      <c r="DF24" s="142">
        <f>(s_C*s_IFSH_far_adj*s_CF_far_sheep*up_RadSpec!AR24*s_Q_p_sheep*(1/1000))</f>
        <v>189.0625</v>
      </c>
      <c r="DG24" s="142">
        <f>(s_C*s_IFSM_far_adj*s_CF_far_sheep_milk*up_RadSpec!AS24*(1/s_D_milk)*s_Q_p_sheep_milk*(1/1000))</f>
        <v>183.55582524271844</v>
      </c>
      <c r="DH24" s="141"/>
      <c r="DI24" s="141">
        <f>IFERROR((s_DL/(up_RadSpec!L24*s_IFA_far_adj)),".")</f>
        <v>9.9740259740259754E-3</v>
      </c>
      <c r="DJ24" s="141">
        <f>IFERROR((s_DL/(up_RadSpec!O24*s_EF_far*(1/365)*s_ED_far*s_ET_far*(1/24)*s_GSF_a)),".")</f>
        <v>15.927272727272728</v>
      </c>
      <c r="DK24" s="141">
        <f t="shared" si="48"/>
        <v>9.9677839175609673E-3</v>
      </c>
      <c r="DL24" s="142">
        <f t="shared" si="46"/>
        <v>501.30208333333326</v>
      </c>
      <c r="DM24" s="142">
        <f t="shared" si="47"/>
        <v>0.3139269406392694</v>
      </c>
      <c r="DN24" s="127"/>
    </row>
    <row r="25" spans="1:118" customFormat="1" x14ac:dyDescent="0.25">
      <c r="A25" s="131" t="s">
        <v>23</v>
      </c>
      <c r="B25" s="129" t="s">
        <v>336</v>
      </c>
      <c r="C25" s="141">
        <f>up_dir!AB25</f>
        <v>2.2038567493112948E-4</v>
      </c>
      <c r="D25" s="141">
        <f>IFERROR(s_DL/(up_RadSpec!J25*s_IFP_far_adj*s_CF_far_poultry),".")</f>
        <v>6.6115702479338848E-4</v>
      </c>
      <c r="E25" s="141">
        <f>IFERROR(s_DL/(up_RadSpec!J25*s_IFE_far_adj*s_CF_far_egg),".")</f>
        <v>6.6115702479338848E-4</v>
      </c>
      <c r="F25" s="141">
        <f>IFERROR(s_DL/(up_RadSpec!J25*s_IFB_far_adj*s_CF_far_beef),".")</f>
        <v>6.6115702479338848E-4</v>
      </c>
      <c r="G25" s="141">
        <f>IFERROR(s_DL/(up_RadSpec!J25*s_IFD_far_adj*s_CF_far_dairy),".")</f>
        <v>6.6115702479338848E-4</v>
      </c>
      <c r="H25" s="141">
        <f>IFERROR(s_DL/(up_RadSpec!J25*s_IFSW_far_adj*s_CF_far_swine),".")</f>
        <v>6.6115702479338848E-4</v>
      </c>
      <c r="I25" s="141">
        <f>IFERROR(s_DL/(up_RadSpec!J25*s_IFFI_far_adj*s_CF_far_fish),".")</f>
        <v>6.6115702479338848E-4</v>
      </c>
      <c r="J25" s="141">
        <f>IFERROR(s_DL/(up_RadSpec!J25*s_IFGO_far_adj*s_CF_far_goat),".")</f>
        <v>6.6115702479338848E-4</v>
      </c>
      <c r="K25" s="141">
        <f>IFERROR(s_DL/(up_RadSpec!J25*s_IFSH_far_adj*s_CF_far_sheep),".")</f>
        <v>6.6115702479338848E-4</v>
      </c>
      <c r="L25" s="141">
        <f>IFERROR(s_DL/(up_RadSpec!J25*s_IFGM_far_adj*s_CF_far_goat_milk),".")</f>
        <v>6.6115702479338848E-4</v>
      </c>
      <c r="M25" s="141">
        <f>IFERROR(s_DL/(up_RadSpec!J25*s_IFSM_far_adj*s_CF_far_sheep_milk),".")</f>
        <v>6.6115702479338848E-4</v>
      </c>
      <c r="N25" s="142">
        <f>up_dir!BA25</f>
        <v>22687.5</v>
      </c>
      <c r="O25" s="142">
        <f t="shared" si="0"/>
        <v>7562.5</v>
      </c>
      <c r="P25" s="142">
        <f t="shared" si="1"/>
        <v>7562.5</v>
      </c>
      <c r="Q25" s="142">
        <f t="shared" si="2"/>
        <v>7562.5</v>
      </c>
      <c r="R25" s="142">
        <f t="shared" si="3"/>
        <v>7562.5</v>
      </c>
      <c r="S25" s="142">
        <f t="shared" si="4"/>
        <v>7562.5</v>
      </c>
      <c r="T25" s="142">
        <f t="shared" si="5"/>
        <v>7562.5</v>
      </c>
      <c r="U25" s="142">
        <f t="shared" si="6"/>
        <v>7562.5</v>
      </c>
      <c r="V25" s="142">
        <f t="shared" si="7"/>
        <v>7562.5</v>
      </c>
      <c r="W25" s="142">
        <f t="shared" si="8"/>
        <v>7562.5</v>
      </c>
      <c r="X25" s="142">
        <f t="shared" si="9"/>
        <v>7562.5</v>
      </c>
      <c r="Y25" s="141">
        <f>IFERROR((s_DL/(up_RadSpec!I25*s_IFS_far_adj*(1/1000)))*1,".")</f>
        <v>0.33057851239669422</v>
      </c>
      <c r="Z25" s="141">
        <f>IFERROR(IF(A25="H-3",(s_DL/(up_RadSpec!L25*s_IFA_far_adj*(1/17)*1000))*1,(s_DL/(up_RadSpec!L25*s_IFA_far_adj*(1/s_PEF_wind)*1000))*1),".")</f>
        <v>3089.9917845330979</v>
      </c>
      <c r="AA25" s="141">
        <f>IFERROR((s_DL/(up_RadSpec!K25*s_EF_far*(1/365)*s_ED_far*up_RadSpec!V25*((s_ET_far_o*(1/24)*up_RadSpec!AA25)+(s_ET_far_i*(1/24)*up_RadSpec!AF25))))*1,".")</f>
        <v>213.21650237312892</v>
      </c>
      <c r="AB25" s="141">
        <f>up_b2s!BA25</f>
        <v>4.3958447178843029E-5</v>
      </c>
      <c r="AC25" s="141">
        <f>IFERROR(((I25*up_RadSpec!AX25)/up_RadSpec!AN25)*1,".")</f>
        <v>6.6115702479338848E-4</v>
      </c>
      <c r="AD25" s="141">
        <f>IFERROR((F25/(up_RadSpec!AM25*((s_Q_p_beef*s_f_p_beef*s_f_s_beef*(up_RadSpec!BG25+s_R_es_past))+(s_Q_s_beef*s_f_p_beef))))*1,".")</f>
        <v>1.8558793678410905E-7</v>
      </c>
      <c r="AE25" s="141">
        <f>IFERROR(((G25*s_D_milk)/(up_RadSpec!AL25*((s_Q_p_dairy*s_f_p_dairy*s_f_s_dairy*(up_RadSpec!BG25+s_R_es_past))+(s_Q_s_dairy*s_f_p_dairy))))*1,".")</f>
        <v>1.9115557488763231E-7</v>
      </c>
      <c r="AF25" s="141">
        <f>IFERROR((H25/(up_RadSpec!AQ25*((s_Q_p_swine*s_f_p_swine*s_f_s_swine*(up_RadSpec!BG25+s_R_es_past))+(s_Q_s_swine*s_f_p_swine))))*1,".")</f>
        <v>1.8558793678410905E-7</v>
      </c>
      <c r="AG25" s="141">
        <f>IFERROR((D25/(up_RadSpec!AO25*((s_Q_p_poultry*s_f_p_poultry*s_f_s_poultry*(up_RadSpec!BG25+s_R_es_past))+(s_Q_s_poultry*s_f_p_poultry))))*1,".")</f>
        <v>1.8558793678410905E-7</v>
      </c>
      <c r="AH25" s="141">
        <f>IFERROR((E25/(up_RadSpec!AP25*((s_Q_p_poultry*s_f_p_poultry*s_f_s_poultry*(up_RadSpec!BG25+s_R_es_past))+(s_Q_s_poultry*s_f_p_poultry))))*1,".")</f>
        <v>1.8558793678410905E-7</v>
      </c>
      <c r="AI25" s="141">
        <f>IFERROR((J25/(up_RadSpec!AT25*((s_Q_p_goat*s_f_p_goat*s_f_s_goat*(up_RadSpec!BG25+s_R_es_past))+(s_Q_s_goat*s_f_p_goat))))*1,".")</f>
        <v>1.8558793678410905E-7</v>
      </c>
      <c r="AJ25" s="141">
        <f>IFERROR((L25*s_D_milk/(up_RadSpec!AU25*((s_Q_p_goat_milk*s_f_p_goat_milk*s_f_s_goat_milk*(up_RadSpec!BG25+s_R_es_past))+(s_Q_s_goat_milk*s_f_p_goat_milk))))*1,".")</f>
        <v>1.9115557488763231E-7</v>
      </c>
      <c r="AK25" s="141">
        <f>IFERROR((K25/(up_RadSpec!AR25*((s_Q_p_sheep*s_f_p_sheep*s_f_s_sheep*(up_RadSpec!BG25+s_R_es_past))+(s_Q_s_sheep*s_f_p_sheep))))*1,".")</f>
        <v>1.8558793678410905E-7</v>
      </c>
      <c r="AL25" s="141">
        <f>IFERROR((M25*s_D_milk/(up_RadSpec!AS25*((s_Q_p_sheep_milk*s_f_p_sheep_milk*s_f_s_sheep_milk*(up_RadSpec!BG25+s_R_es_past))+(s_Q_s_sheep_milk*s_f_p_sheep_milk))))*1,".")</f>
        <v>1.9115557488763231E-7</v>
      </c>
      <c r="AM25" s="158">
        <f t="shared" si="10"/>
        <v>3.0249999999999999</v>
      </c>
      <c r="AN25" s="158">
        <f t="shared" si="11"/>
        <v>3.2362545590104258E-4</v>
      </c>
      <c r="AO25" s="158">
        <f t="shared" si="12"/>
        <v>4.6900684931506838E-3</v>
      </c>
      <c r="AP25" s="158">
        <f t="shared" si="13"/>
        <v>22748.756249999995</v>
      </c>
      <c r="AQ25" s="158">
        <f t="shared" si="14"/>
        <v>1512.5</v>
      </c>
      <c r="AR25" s="158">
        <f t="shared" si="15"/>
        <v>5388281.2499999991</v>
      </c>
      <c r="AS25" s="158">
        <f t="shared" si="16"/>
        <v>5231341.0194174759</v>
      </c>
      <c r="AT25" s="158">
        <f t="shared" si="17"/>
        <v>5388281.2499999991</v>
      </c>
      <c r="AU25" s="158">
        <f t="shared" si="18"/>
        <v>5388281.2499999991</v>
      </c>
      <c r="AV25" s="158">
        <f t="shared" si="19"/>
        <v>5388281.2499999991</v>
      </c>
      <c r="AW25" s="158">
        <f t="shared" si="20"/>
        <v>5388281.2499999991</v>
      </c>
      <c r="AX25" s="158">
        <f t="shared" si="21"/>
        <v>5231341.0194174759</v>
      </c>
      <c r="AY25" s="158">
        <f t="shared" si="22"/>
        <v>5388281.2499999991</v>
      </c>
      <c r="AZ25" s="158">
        <f t="shared" si="23"/>
        <v>5231341.0194174759</v>
      </c>
      <c r="BA25" s="141">
        <f t="shared" si="24"/>
        <v>2.0812531708901635E-8</v>
      </c>
      <c r="BB25" s="142">
        <f t="shared" si="25"/>
        <v>15.125</v>
      </c>
      <c r="BC25" s="142">
        <f t="shared" si="26"/>
        <v>1.618127279505213E-3</v>
      </c>
      <c r="BD25" s="142">
        <f>IFERROR((s_C*s_EF_far*(1/365)*s_ED_far*up_RadSpec!V25*((s_ET_far_o*(1/24)*up_RadSpec!AA25)+(s_ET_far_i*(1/24)*up_RadSpec!AF25))),".")</f>
        <v>2.3450342465753421E-2</v>
      </c>
      <c r="BE25" s="142">
        <f>up_b2s!BZ25</f>
        <v>113743.78125</v>
      </c>
      <c r="BF25" s="142">
        <f>IFERROR(((s_C*up_RadSpec!AN25)/up_RadSpec!AX25)*s_IFFI_far_adj*s_CF_far_fish,0)</f>
        <v>7562.5</v>
      </c>
      <c r="BG25" s="142">
        <f>(s_C*s_IFB_far_adj*s_CF_far_beef*up_RadSpec!AM25*((s_Q_p_beef*s_f_p_beef*s_f_s_beef*(up_RadSpec!$AW25+s_R_es_past))+(s_Q_s_beef*s_f_p_beef)))</f>
        <v>26941406.25</v>
      </c>
      <c r="BH25" s="142">
        <f>(s_C*s_IFD_far_adj*s_CF_far_dairy*up_RadSpec!AL25*1/s_D_milk*((s_Q_p_dairy*s_f_p_dairy*s_f_s_dairy*(up_RadSpec!$AW25+s_R_es_past))+(s_Q_s_dairy*s_f_p_dairy)))</f>
        <v>26156705.09708738</v>
      </c>
      <c r="BI25" s="142">
        <f>(s_C*s_IFSW_far_adj*s_CF_far_swine*up_RadSpec!AQ25*((s_Q_p_swine*s_f_p_swine*s_f_s_swine*(up_RadSpec!$AW25+s_R_es_past))+(s_Q_s_swine*s_f_p_swine)))</f>
        <v>26941406.25</v>
      </c>
      <c r="BJ25" s="142">
        <f>(s_C*s_IFP_far_adj*s_CF_far_poultry*up_RadSpec!AO25*((s_Q_p_poultry*s_f_p_poultry*s_f_s_poultry*(up_RadSpec!AW25+s_R_es_past))+(s_Q_s_poultry*s_f_p_poultry)))</f>
        <v>26941406.25</v>
      </c>
      <c r="BK25" s="142">
        <f>(s_C*s_IFE_far_adj*s_CF_far_egg*up_RadSpec!AP25*((s_Q_p_egg*s_f_p_egg*s_f_s_egg*(up_RadSpec!$AW25+s_R_es_past))+(s_Q_s_egg*s_f_p_egg)))</f>
        <v>26941406.25</v>
      </c>
      <c r="BL25" s="142">
        <f>(s_C*s_IFGO_far_adj*s_CF_far_goat*up_RadSpec!AT25*((s_Q_p_goat*s_f_p_goat*s_f_s_goat*(up_RadSpec!$AW25+s_R_es_past))+(s_Q_s_goat*s_f_p_goat)))</f>
        <v>26941406.25</v>
      </c>
      <c r="BM25" s="142">
        <f>(s_C*s_IFGM_far_adj*s_CF_far_goat_milk*up_RadSpec!AU25*1/s_D_milk*((s_Q_p_goat_milk*s_f_p_goat_milk*s_f_s_goat_milk*(up_RadSpec!$AW25+s_R_es_past))+(s_Q_s_goat_milk*s_f_p_goat_milk)))</f>
        <v>26156705.09708738</v>
      </c>
      <c r="BN25" s="142">
        <f>(s_C*s_IFSH_far_adj*s_CF_far_sheep*up_RadSpec!AR25*((s_Q_p_sheep*s_f_p_sheep*s_f_s_sheep*(up_RadSpec!$AW25+s_R_es_past))+(s_Q_s_sheep*s_f_p_sheep)))</f>
        <v>26941406.25</v>
      </c>
      <c r="BO25" s="142">
        <f>(s_C*s_IFSM_far_adj*s_CF_far_sheep_milk*up_RadSpec!AS25*1/s_D_milk*((s_Q_p_sheep_milk*s_f_p_sheep_milk*s_f_s_sheep_milk*(up_RadSpec!$AW25+s_R_es_past))+(s_Q_s_sheep_milk*s_f_p_sheep_milk)))</f>
        <v>26156705.09708738</v>
      </c>
      <c r="BP25" s="141"/>
      <c r="BQ25" s="141">
        <f>IFERROR(s_DL/(up_RadSpec!M25*s_IFW_far_adj),".")</f>
        <v>3.6363636363636364E-3</v>
      </c>
      <c r="BR25" s="141">
        <f>IFERROR(IF(up_RadSpec!C25=1,s_DL/(up_RadSpec!L25*s_IFA_far_adj*s_K),"."),".")</f>
        <v>1.9948051948051951E-2</v>
      </c>
      <c r="BS25" s="141">
        <f>IFERROR((s_DL/(up_RadSpec!Q25*(1/8760)*s_DFA_far_adj)),".")</f>
        <v>39.81818181818182</v>
      </c>
      <c r="BT25" s="141">
        <f>up_b2w!BA25</f>
        <v>2.1924550381384044E-4</v>
      </c>
      <c r="BU25" s="141">
        <f>IFERROR(I25/(up_RadSpec!AN25*(1/1000)),".")</f>
        <v>0.13223140495867769</v>
      </c>
      <c r="BV25" s="141">
        <f>IFERROR(F25/(up_RadSpec!AM25*s_Q_w_beef*(1/1000)),".")</f>
        <v>2.6446280991735537E-2</v>
      </c>
      <c r="BW25" s="141">
        <f>IFERROR((G25*s_D_milk)/(up_RadSpec!AL25*s_Q_w_dairy*(1/1000)),".")</f>
        <v>2.7239669421487603E-2</v>
      </c>
      <c r="BX25" s="141">
        <f>IFERROR(H25/(up_RadSpec!AQ25*s_Q_w_swine*(1/1000)),".")</f>
        <v>2.6446280991735537E-2</v>
      </c>
      <c r="BY25" s="141">
        <f>IFERROR(D25/(up_RadSpec!AO25*s_Q_w_poultry*(1/1000)),".")</f>
        <v>2.6446280991735537E-2</v>
      </c>
      <c r="BZ25" s="141">
        <f>IFERROR(E25/(up_RadSpec!AP25*s_Q_w_poultry*(1/1000)),".")</f>
        <v>2.6446280991735537E-2</v>
      </c>
      <c r="CA25" s="141">
        <f>IFERROR(J25/(up_RadSpec!AT25*s_Q_w_goat*(1/1000)),".")</f>
        <v>2.6446280991735537E-2</v>
      </c>
      <c r="CB25" s="141">
        <f>IFERROR(L25*s_D_milk/(up_RadSpec!AU25*s_Q_w_goat_milk*(1/1000)),".")</f>
        <v>2.7239669421487603E-2</v>
      </c>
      <c r="CC25" s="141">
        <f>IFERROR(K25/(up_RadSpec!AR25*s_Q_w_sheep*(1/1000)),".")</f>
        <v>2.6446280991735537E-2</v>
      </c>
      <c r="CD25" s="141">
        <f>IFERROR(M25*s_D_milk/(up_RadSpec!AS25*s_Q_w_sheep_milk*(1/1000)),".")</f>
        <v>2.7239669421487603E-2</v>
      </c>
      <c r="CE25" s="158">
        <f t="shared" si="27"/>
        <v>275</v>
      </c>
      <c r="CF25" s="158">
        <f t="shared" si="28"/>
        <v>50.130208333333329</v>
      </c>
      <c r="CG25" s="158">
        <f t="shared" si="29"/>
        <v>2.5114155251141551E-2</v>
      </c>
      <c r="CH25" s="158">
        <f t="shared" si="30"/>
        <v>4561.0969557172393</v>
      </c>
      <c r="CI25" s="158">
        <f t="shared" si="31"/>
        <v>7.5625</v>
      </c>
      <c r="CJ25" s="158">
        <f t="shared" si="32"/>
        <v>37.8125</v>
      </c>
      <c r="CK25" s="158">
        <f t="shared" si="33"/>
        <v>36.711165048543691</v>
      </c>
      <c r="CL25" s="158">
        <f t="shared" si="34"/>
        <v>37.8125</v>
      </c>
      <c r="CM25" s="158">
        <f t="shared" si="35"/>
        <v>37.8125</v>
      </c>
      <c r="CN25" s="158">
        <f t="shared" si="36"/>
        <v>37.8125</v>
      </c>
      <c r="CO25" s="158">
        <f t="shared" si="37"/>
        <v>37.8125</v>
      </c>
      <c r="CP25" s="158">
        <f t="shared" si="38"/>
        <v>36.711165048543691</v>
      </c>
      <c r="CQ25" s="158">
        <f t="shared" si="39"/>
        <v>37.8125</v>
      </c>
      <c r="CR25" s="158">
        <f t="shared" si="40"/>
        <v>36.711165048543691</v>
      </c>
      <c r="CS25" s="141">
        <f t="shared" si="41"/>
        <v>1.9117449543641093E-4</v>
      </c>
      <c r="CT25" s="142">
        <f t="shared" si="42"/>
        <v>1375</v>
      </c>
      <c r="CU25" s="142">
        <f t="shared" si="43"/>
        <v>250.65104166666663</v>
      </c>
      <c r="CV25" s="142">
        <f t="shared" si="44"/>
        <v>0.12557077625570776</v>
      </c>
      <c r="CW25" s="142">
        <f>up_b2w!BZ25</f>
        <v>22805.4847785862</v>
      </c>
      <c r="CX25" s="142">
        <f>IFERROR(s_C*up_RadSpec!AN25*(1/1000)*s_IFFI_far_adj*s_CF_far_fish,0)</f>
        <v>37.8125</v>
      </c>
      <c r="CY25" s="142">
        <f>(s_C*s_IFB_far_adj*s_CF_far_beef*up_RadSpec!AM25*s_Q_w_beef*(1/1000))</f>
        <v>189.0625</v>
      </c>
      <c r="CZ25" s="142">
        <f>(s_C*s_IFD_far_adj*s_CF_far_dairy*up_RadSpec!AL25*(1/s_D_milk)*s_Q_w_dairy*(1/1000))</f>
        <v>183.55582524271844</v>
      </c>
      <c r="DA25" s="142">
        <f>(s_C*s_IFSW_far_adj*s_CF_far_swine*up_RadSpec!AQ25*s_Q_w_swine*(1/1000))</f>
        <v>189.0625</v>
      </c>
      <c r="DB25" s="142">
        <f>(s_C*s_IFP_far_adj*s_CF_far_poultry*up_RadSpec!AO25*s_Q_w_poultry*(1/1000))</f>
        <v>189.0625</v>
      </c>
      <c r="DC25" s="142">
        <f>(s_C*s_IFE_far_adj*s_CF_far_egg*up_RadSpec!AP25*s_Q_w_egg*(1/1000))</f>
        <v>189.0625</v>
      </c>
      <c r="DD25" s="142">
        <f>(s_C*s_IFGO_far_adj*s_CF_far_goat*up_RadSpec!AT25*s_Q_p_goat*(1/1000))</f>
        <v>189.0625</v>
      </c>
      <c r="DE25" s="142">
        <f>(s_C*s_IFGM_far_adj*s_CF_far_goat_milk*up_RadSpec!AU25*(1/s_D_milk)*s_Q_p_goat_milk*(1/1000))</f>
        <v>183.55582524271844</v>
      </c>
      <c r="DF25" s="142">
        <f>(s_C*s_IFSH_far_adj*s_CF_far_sheep*up_RadSpec!AR25*s_Q_p_sheep*(1/1000))</f>
        <v>189.0625</v>
      </c>
      <c r="DG25" s="142">
        <f>(s_C*s_IFSM_far_adj*s_CF_far_sheep_milk*up_RadSpec!AS25*(1/s_D_milk)*s_Q_p_sheep_milk*(1/1000))</f>
        <v>183.55582524271844</v>
      </c>
      <c r="DH25" s="141"/>
      <c r="DI25" s="141">
        <f>IFERROR((s_DL/(up_RadSpec!L25*s_IFA_far_adj)),".")</f>
        <v>9.9740259740259754E-3</v>
      </c>
      <c r="DJ25" s="141">
        <f>IFERROR((s_DL/(up_RadSpec!O25*s_EF_far*(1/365)*s_ED_far*s_ET_far*(1/24)*s_GSF_a)),".")</f>
        <v>15.927272727272728</v>
      </c>
      <c r="DK25" s="141">
        <f t="shared" si="48"/>
        <v>9.9677839175609673E-3</v>
      </c>
      <c r="DL25" s="142">
        <f t="shared" si="46"/>
        <v>501.30208333333326</v>
      </c>
      <c r="DM25" s="142">
        <f t="shared" si="47"/>
        <v>0.3139269406392694</v>
      </c>
      <c r="DN25" s="127"/>
    </row>
    <row r="26" spans="1:118" customFormat="1" x14ac:dyDescent="0.25">
      <c r="A26" s="128" t="s">
        <v>24</v>
      </c>
      <c r="B26" s="129" t="s">
        <v>1059</v>
      </c>
      <c r="C26" s="141">
        <f>up_dir!AB26</f>
        <v>2.2038567493112948E-4</v>
      </c>
      <c r="D26" s="141">
        <f>IFERROR(s_DL/(up_RadSpec!J26*s_IFP_far_adj*s_CF_far_poultry),".")</f>
        <v>6.6115702479338848E-4</v>
      </c>
      <c r="E26" s="141">
        <f>IFERROR(s_DL/(up_RadSpec!J26*s_IFE_far_adj*s_CF_far_egg),".")</f>
        <v>6.6115702479338848E-4</v>
      </c>
      <c r="F26" s="141">
        <f>IFERROR(s_DL/(up_RadSpec!J26*s_IFB_far_adj*s_CF_far_beef),".")</f>
        <v>6.6115702479338848E-4</v>
      </c>
      <c r="G26" s="141">
        <f>IFERROR(s_DL/(up_RadSpec!J26*s_IFD_far_adj*s_CF_far_dairy),".")</f>
        <v>6.6115702479338848E-4</v>
      </c>
      <c r="H26" s="141">
        <f>IFERROR(s_DL/(up_RadSpec!J26*s_IFSW_far_adj*s_CF_far_swine),".")</f>
        <v>6.6115702479338848E-4</v>
      </c>
      <c r="I26" s="141">
        <f>IFERROR(s_DL/(up_RadSpec!J26*s_IFFI_far_adj*s_CF_far_fish),".")</f>
        <v>6.6115702479338848E-4</v>
      </c>
      <c r="J26" s="141">
        <f>IFERROR(s_DL/(up_RadSpec!J26*s_IFGO_far_adj*s_CF_far_goat),".")</f>
        <v>6.6115702479338848E-4</v>
      </c>
      <c r="K26" s="141">
        <f>IFERROR(s_DL/(up_RadSpec!J26*s_IFSH_far_adj*s_CF_far_sheep),".")</f>
        <v>6.6115702479338848E-4</v>
      </c>
      <c r="L26" s="141">
        <f>IFERROR(s_DL/(up_RadSpec!J26*s_IFGM_far_adj*s_CF_far_goat_milk),".")</f>
        <v>6.6115702479338848E-4</v>
      </c>
      <c r="M26" s="141">
        <f>IFERROR(s_DL/(up_RadSpec!J26*s_IFSM_far_adj*s_CF_far_sheep_milk),".")</f>
        <v>6.6115702479338848E-4</v>
      </c>
      <c r="N26" s="142">
        <f>up_dir!BA26</f>
        <v>22687.5</v>
      </c>
      <c r="O26" s="142">
        <f t="shared" si="0"/>
        <v>7562.5</v>
      </c>
      <c r="P26" s="142">
        <f t="shared" si="1"/>
        <v>7562.5</v>
      </c>
      <c r="Q26" s="142">
        <f t="shared" si="2"/>
        <v>7562.5</v>
      </c>
      <c r="R26" s="142">
        <f t="shared" si="3"/>
        <v>7562.5</v>
      </c>
      <c r="S26" s="142">
        <f t="shared" si="4"/>
        <v>7562.5</v>
      </c>
      <c r="T26" s="142">
        <f t="shared" si="5"/>
        <v>7562.5</v>
      </c>
      <c r="U26" s="142">
        <f t="shared" si="6"/>
        <v>7562.5</v>
      </c>
      <c r="V26" s="142">
        <f t="shared" si="7"/>
        <v>7562.5</v>
      </c>
      <c r="W26" s="142">
        <f t="shared" si="8"/>
        <v>7562.5</v>
      </c>
      <c r="X26" s="142">
        <f t="shared" si="9"/>
        <v>7562.5</v>
      </c>
      <c r="Y26" s="141">
        <f>IFERROR((s_DL/(up_RadSpec!I26*s_IFS_far_adj*(1/1000)))*1,".")</f>
        <v>0.33057851239669422</v>
      </c>
      <c r="Z26" s="141">
        <f>IFERROR(IF(A26="H-3",(s_DL/(up_RadSpec!L26*s_IFA_far_adj*(1/17)*1000))*1,(s_DL/(up_RadSpec!L26*s_IFA_far_adj*(1/s_PEF_wind)*1000))*1),".")</f>
        <v>3089.9917845330979</v>
      </c>
      <c r="AA26" s="141">
        <f>IFERROR((s_DL/(up_RadSpec!K26*s_EF_far*(1/365)*s_ED_far*up_RadSpec!V26*((s_ET_far_o*(1/24)*up_RadSpec!AA26)+(s_ET_far_i*(1/24)*up_RadSpec!AF26))))*1,".")</f>
        <v>1162.4922696351264</v>
      </c>
      <c r="AB26" s="141">
        <f>up_b2s!BA26</f>
        <v>4.3958447178843029E-5</v>
      </c>
      <c r="AC26" s="141">
        <f>IFERROR(((I26*up_RadSpec!AX26)/up_RadSpec!AN26)*1,".")</f>
        <v>6.6115702479338848E-4</v>
      </c>
      <c r="AD26" s="141">
        <f>IFERROR((F26/(up_RadSpec!AM26*((s_Q_p_beef*s_f_p_beef*s_f_s_beef*(up_RadSpec!BG26+s_R_es_past))+(s_Q_s_beef*s_f_p_beef))))*1,".")</f>
        <v>1.8558793678410905E-7</v>
      </c>
      <c r="AE26" s="141">
        <f>IFERROR(((G26*s_D_milk)/(up_RadSpec!AL26*((s_Q_p_dairy*s_f_p_dairy*s_f_s_dairy*(up_RadSpec!BG26+s_R_es_past))+(s_Q_s_dairy*s_f_p_dairy))))*1,".")</f>
        <v>1.9115557488763231E-7</v>
      </c>
      <c r="AF26" s="141">
        <f>IFERROR((H26/(up_RadSpec!AQ26*((s_Q_p_swine*s_f_p_swine*s_f_s_swine*(up_RadSpec!BG26+s_R_es_past))+(s_Q_s_swine*s_f_p_swine))))*1,".")</f>
        <v>1.8558793678410905E-7</v>
      </c>
      <c r="AG26" s="141">
        <f>IFERROR((D26/(up_RadSpec!AO26*((s_Q_p_poultry*s_f_p_poultry*s_f_s_poultry*(up_RadSpec!BG26+s_R_es_past))+(s_Q_s_poultry*s_f_p_poultry))))*1,".")</f>
        <v>1.8558793678410905E-7</v>
      </c>
      <c r="AH26" s="141">
        <f>IFERROR((E26/(up_RadSpec!AP26*((s_Q_p_poultry*s_f_p_poultry*s_f_s_poultry*(up_RadSpec!BG26+s_R_es_past))+(s_Q_s_poultry*s_f_p_poultry))))*1,".")</f>
        <v>1.8558793678410905E-7</v>
      </c>
      <c r="AI26" s="141">
        <f>IFERROR((J26/(up_RadSpec!AT26*((s_Q_p_goat*s_f_p_goat*s_f_s_goat*(up_RadSpec!BG26+s_R_es_past))+(s_Q_s_goat*s_f_p_goat))))*1,".")</f>
        <v>1.8558793678410905E-7</v>
      </c>
      <c r="AJ26" s="141">
        <f>IFERROR((L26*s_D_milk/(up_RadSpec!AU26*((s_Q_p_goat_milk*s_f_p_goat_milk*s_f_s_goat_milk*(up_RadSpec!BG26+s_R_es_past))+(s_Q_s_goat_milk*s_f_p_goat_milk))))*1,".")</f>
        <v>1.9115557488763231E-7</v>
      </c>
      <c r="AK26" s="141">
        <f>IFERROR((K26/(up_RadSpec!AR26*((s_Q_p_sheep*s_f_p_sheep*s_f_s_sheep*(up_RadSpec!BG26+s_R_es_past))+(s_Q_s_sheep*s_f_p_sheep))))*1,".")</f>
        <v>1.8558793678410905E-7</v>
      </c>
      <c r="AL26" s="141">
        <f>IFERROR((M26*s_D_milk/(up_RadSpec!AS26*((s_Q_p_sheep_milk*s_f_p_sheep_milk*s_f_s_sheep_milk*(up_RadSpec!BG26+s_R_es_past))+(s_Q_s_sheep_milk*s_f_p_sheep_milk))))*1,".")</f>
        <v>1.9115557488763231E-7</v>
      </c>
      <c r="AM26" s="158">
        <f t="shared" si="10"/>
        <v>3.0249999999999999</v>
      </c>
      <c r="AN26" s="158">
        <f t="shared" si="11"/>
        <v>3.2362545590104258E-4</v>
      </c>
      <c r="AO26" s="158">
        <f t="shared" si="12"/>
        <v>8.6022077403910123E-4</v>
      </c>
      <c r="AP26" s="158">
        <f t="shared" si="13"/>
        <v>22748.756249999995</v>
      </c>
      <c r="AQ26" s="158">
        <f t="shared" si="14"/>
        <v>1512.5</v>
      </c>
      <c r="AR26" s="158">
        <f t="shared" si="15"/>
        <v>5388281.2499999991</v>
      </c>
      <c r="AS26" s="158">
        <f t="shared" si="16"/>
        <v>5231341.0194174759</v>
      </c>
      <c r="AT26" s="158">
        <f t="shared" si="17"/>
        <v>5388281.2499999991</v>
      </c>
      <c r="AU26" s="158">
        <f t="shared" si="18"/>
        <v>5388281.2499999991</v>
      </c>
      <c r="AV26" s="158">
        <f t="shared" si="19"/>
        <v>5388281.2499999991</v>
      </c>
      <c r="AW26" s="158">
        <f t="shared" si="20"/>
        <v>5388281.2499999991</v>
      </c>
      <c r="AX26" s="158">
        <f t="shared" si="21"/>
        <v>5231341.0194174759</v>
      </c>
      <c r="AY26" s="158">
        <f t="shared" si="22"/>
        <v>5388281.2499999991</v>
      </c>
      <c r="AZ26" s="158">
        <f t="shared" si="23"/>
        <v>5231341.0194174759</v>
      </c>
      <c r="BA26" s="141">
        <f t="shared" si="24"/>
        <v>2.0812531710560579E-8</v>
      </c>
      <c r="BB26" s="142">
        <f t="shared" si="25"/>
        <v>15.125</v>
      </c>
      <c r="BC26" s="142">
        <f t="shared" si="26"/>
        <v>1.618127279505213E-3</v>
      </c>
      <c r="BD26" s="142">
        <f>IFERROR((s_C*s_EF_far*(1/365)*s_ED_far*up_RadSpec!V26*((s_ET_far_o*(1/24)*up_RadSpec!AA26)+(s_ET_far_i*(1/24)*up_RadSpec!AF26))),".")</f>
        <v>4.3011038701955065E-3</v>
      </c>
      <c r="BE26" s="142">
        <f>up_b2s!BZ26</f>
        <v>113743.78125</v>
      </c>
      <c r="BF26" s="142">
        <f>IFERROR(((s_C*up_RadSpec!AN26)/up_RadSpec!AX26)*s_IFFI_far_adj*s_CF_far_fish,0)</f>
        <v>7562.5</v>
      </c>
      <c r="BG26" s="142">
        <f>(s_C*s_IFB_far_adj*s_CF_far_beef*up_RadSpec!AM26*((s_Q_p_beef*s_f_p_beef*s_f_s_beef*(up_RadSpec!$AW26+s_R_es_past))+(s_Q_s_beef*s_f_p_beef)))</f>
        <v>26941406.25</v>
      </c>
      <c r="BH26" s="142">
        <f>(s_C*s_IFD_far_adj*s_CF_far_dairy*up_RadSpec!AL26*1/s_D_milk*((s_Q_p_dairy*s_f_p_dairy*s_f_s_dairy*(up_RadSpec!$AW26+s_R_es_past))+(s_Q_s_dairy*s_f_p_dairy)))</f>
        <v>26156705.09708738</v>
      </c>
      <c r="BI26" s="142">
        <f>(s_C*s_IFSW_far_adj*s_CF_far_swine*up_RadSpec!AQ26*((s_Q_p_swine*s_f_p_swine*s_f_s_swine*(up_RadSpec!$AW26+s_R_es_past))+(s_Q_s_swine*s_f_p_swine)))</f>
        <v>26941406.25</v>
      </c>
      <c r="BJ26" s="142">
        <f>(s_C*s_IFP_far_adj*s_CF_far_poultry*up_RadSpec!AO26*((s_Q_p_poultry*s_f_p_poultry*s_f_s_poultry*(up_RadSpec!AW26+s_R_es_past))+(s_Q_s_poultry*s_f_p_poultry)))</f>
        <v>26941406.25</v>
      </c>
      <c r="BK26" s="142">
        <f>(s_C*s_IFE_far_adj*s_CF_far_egg*up_RadSpec!AP26*((s_Q_p_egg*s_f_p_egg*s_f_s_egg*(up_RadSpec!$AW26+s_R_es_past))+(s_Q_s_egg*s_f_p_egg)))</f>
        <v>26941406.25</v>
      </c>
      <c r="BL26" s="142">
        <f>(s_C*s_IFGO_far_adj*s_CF_far_goat*up_RadSpec!AT26*((s_Q_p_goat*s_f_p_goat*s_f_s_goat*(up_RadSpec!$AW26+s_R_es_past))+(s_Q_s_goat*s_f_p_goat)))</f>
        <v>26941406.25</v>
      </c>
      <c r="BM26" s="142">
        <f>(s_C*s_IFGM_far_adj*s_CF_far_goat_milk*up_RadSpec!AU26*1/s_D_milk*((s_Q_p_goat_milk*s_f_p_goat_milk*s_f_s_goat_milk*(up_RadSpec!$AW26+s_R_es_past))+(s_Q_s_goat_milk*s_f_p_goat_milk)))</f>
        <v>26156705.09708738</v>
      </c>
      <c r="BN26" s="142">
        <f>(s_C*s_IFSH_far_adj*s_CF_far_sheep*up_RadSpec!AR26*((s_Q_p_sheep*s_f_p_sheep*s_f_s_sheep*(up_RadSpec!$AW26+s_R_es_past))+(s_Q_s_sheep*s_f_p_sheep)))</f>
        <v>26941406.25</v>
      </c>
      <c r="BO26" s="142">
        <f>(s_C*s_IFSM_far_adj*s_CF_far_sheep_milk*up_RadSpec!AS26*1/s_D_milk*((s_Q_p_sheep_milk*s_f_p_sheep_milk*s_f_s_sheep_milk*(up_RadSpec!$AW26+s_R_es_past))+(s_Q_s_sheep_milk*s_f_p_sheep_milk)))</f>
        <v>26156705.09708738</v>
      </c>
      <c r="BP26" s="141"/>
      <c r="BQ26" s="141">
        <f>IFERROR(s_DL/(up_RadSpec!M26*s_IFW_far_adj),".")</f>
        <v>3.6363636363636364E-3</v>
      </c>
      <c r="BR26" s="141" t="str">
        <f>IFERROR(IF(up_RadSpec!C26=1,s_DL/(up_RadSpec!L26*s_IFA_far_adj*s_K),"."),".")</f>
        <v>.</v>
      </c>
      <c r="BS26" s="141">
        <f>IFERROR((s_DL/(up_RadSpec!Q26*(1/8760)*s_DFA_far_adj)),".")</f>
        <v>39.81818181818182</v>
      </c>
      <c r="BT26" s="141">
        <f>up_b2w!BA26</f>
        <v>2.1924550381384044E-4</v>
      </c>
      <c r="BU26" s="141">
        <f>IFERROR(I26/(up_RadSpec!AN26*(1/1000)),".")</f>
        <v>0.13223140495867769</v>
      </c>
      <c r="BV26" s="141">
        <f>IFERROR(F26/(up_RadSpec!AM26*s_Q_w_beef*(1/1000)),".")</f>
        <v>2.6446280991735537E-2</v>
      </c>
      <c r="BW26" s="141">
        <f>IFERROR((G26*s_D_milk)/(up_RadSpec!AL26*s_Q_w_dairy*(1/1000)),".")</f>
        <v>2.7239669421487603E-2</v>
      </c>
      <c r="BX26" s="141">
        <f>IFERROR(H26/(up_RadSpec!AQ26*s_Q_w_swine*(1/1000)),".")</f>
        <v>2.6446280991735537E-2</v>
      </c>
      <c r="BY26" s="141">
        <f>IFERROR(D26/(up_RadSpec!AO26*s_Q_w_poultry*(1/1000)),".")</f>
        <v>2.6446280991735537E-2</v>
      </c>
      <c r="BZ26" s="141">
        <f>IFERROR(E26/(up_RadSpec!AP26*s_Q_w_poultry*(1/1000)),".")</f>
        <v>2.6446280991735537E-2</v>
      </c>
      <c r="CA26" s="141">
        <f>IFERROR(J26/(up_RadSpec!AT26*s_Q_w_goat*(1/1000)),".")</f>
        <v>2.6446280991735537E-2</v>
      </c>
      <c r="CB26" s="141">
        <f>IFERROR(L26*s_D_milk/(up_RadSpec!AU26*s_Q_w_goat_milk*(1/1000)),".")</f>
        <v>2.7239669421487603E-2</v>
      </c>
      <c r="CC26" s="141">
        <f>IFERROR(K26/(up_RadSpec!AR26*s_Q_w_sheep*(1/1000)),".")</f>
        <v>2.6446280991735537E-2</v>
      </c>
      <c r="CD26" s="141">
        <f>IFERROR(M26*s_D_milk/(up_RadSpec!AS26*s_Q_w_sheep_milk*(1/1000)),".")</f>
        <v>2.7239669421487603E-2</v>
      </c>
      <c r="CE26" s="158">
        <f t="shared" si="27"/>
        <v>275</v>
      </c>
      <c r="CF26" s="158" t="str">
        <f t="shared" si="28"/>
        <v>.</v>
      </c>
      <c r="CG26" s="158">
        <f t="shared" si="29"/>
        <v>2.5114155251141551E-2</v>
      </c>
      <c r="CH26" s="158">
        <f t="shared" si="30"/>
        <v>4561.0969557172393</v>
      </c>
      <c r="CI26" s="158">
        <f t="shared" si="31"/>
        <v>7.5625</v>
      </c>
      <c r="CJ26" s="158">
        <f t="shared" si="32"/>
        <v>37.8125</v>
      </c>
      <c r="CK26" s="158">
        <f t="shared" si="33"/>
        <v>36.711165048543691</v>
      </c>
      <c r="CL26" s="158">
        <f t="shared" si="34"/>
        <v>37.8125</v>
      </c>
      <c r="CM26" s="158">
        <f t="shared" si="35"/>
        <v>37.8125</v>
      </c>
      <c r="CN26" s="158">
        <f t="shared" si="36"/>
        <v>37.8125</v>
      </c>
      <c r="CO26" s="158">
        <f t="shared" si="37"/>
        <v>37.8125</v>
      </c>
      <c r="CP26" s="158">
        <f t="shared" si="38"/>
        <v>36.711165048543691</v>
      </c>
      <c r="CQ26" s="158">
        <f t="shared" si="39"/>
        <v>37.8125</v>
      </c>
      <c r="CR26" s="158">
        <f t="shared" si="40"/>
        <v>36.711165048543691</v>
      </c>
      <c r="CS26" s="141">
        <f t="shared" si="41"/>
        <v>1.9302436709720458E-4</v>
      </c>
      <c r="CT26" s="142">
        <f t="shared" si="42"/>
        <v>1375</v>
      </c>
      <c r="CU26" s="142">
        <f t="shared" si="43"/>
        <v>250.65104166666663</v>
      </c>
      <c r="CV26" s="142">
        <f t="shared" si="44"/>
        <v>0.12557077625570776</v>
      </c>
      <c r="CW26" s="142">
        <f>up_b2w!BZ26</f>
        <v>22805.4847785862</v>
      </c>
      <c r="CX26" s="142">
        <f>IFERROR(s_C*up_RadSpec!AN26*(1/1000)*s_IFFI_far_adj*s_CF_far_fish,0)</f>
        <v>37.8125</v>
      </c>
      <c r="CY26" s="142">
        <f>(s_C*s_IFB_far_adj*s_CF_far_beef*up_RadSpec!AM26*s_Q_w_beef*(1/1000))</f>
        <v>189.0625</v>
      </c>
      <c r="CZ26" s="142">
        <f>(s_C*s_IFD_far_adj*s_CF_far_dairy*up_RadSpec!AL26*(1/s_D_milk)*s_Q_w_dairy*(1/1000))</f>
        <v>183.55582524271844</v>
      </c>
      <c r="DA26" s="142">
        <f>(s_C*s_IFSW_far_adj*s_CF_far_swine*up_RadSpec!AQ26*s_Q_w_swine*(1/1000))</f>
        <v>189.0625</v>
      </c>
      <c r="DB26" s="142">
        <f>(s_C*s_IFP_far_adj*s_CF_far_poultry*up_RadSpec!AO26*s_Q_w_poultry*(1/1000))</f>
        <v>189.0625</v>
      </c>
      <c r="DC26" s="142">
        <f>(s_C*s_IFE_far_adj*s_CF_far_egg*up_RadSpec!AP26*s_Q_w_egg*(1/1000))</f>
        <v>189.0625</v>
      </c>
      <c r="DD26" s="142">
        <f>(s_C*s_IFGO_far_adj*s_CF_far_goat*up_RadSpec!AT26*s_Q_p_goat*(1/1000))</f>
        <v>189.0625</v>
      </c>
      <c r="DE26" s="142">
        <f>(s_C*s_IFGM_far_adj*s_CF_far_goat_milk*up_RadSpec!AU26*(1/s_D_milk)*s_Q_p_goat_milk*(1/1000))</f>
        <v>183.55582524271844</v>
      </c>
      <c r="DF26" s="142">
        <f>(s_C*s_IFSH_far_adj*s_CF_far_sheep*up_RadSpec!AR26*s_Q_p_sheep*(1/1000))</f>
        <v>189.0625</v>
      </c>
      <c r="DG26" s="142">
        <f>(s_C*s_IFSM_far_adj*s_CF_far_sheep_milk*up_RadSpec!AS26*(1/s_D_milk)*s_Q_p_sheep_milk*(1/1000))</f>
        <v>183.55582524271844</v>
      </c>
      <c r="DH26" s="141"/>
      <c r="DI26" s="141">
        <f>IFERROR((s_DL/(up_RadSpec!L26*s_IFA_far_adj)),".")</f>
        <v>9.9740259740259754E-3</v>
      </c>
      <c r="DJ26" s="141">
        <f>IFERROR((s_DL/(up_RadSpec!O26*s_EF_far*(1/365)*s_ED_far*s_ET_far*(1/24)*s_GSF_a)),".")</f>
        <v>15.927272727272728</v>
      </c>
      <c r="DK26" s="141">
        <f t="shared" si="48"/>
        <v>9.9677839175609673E-3</v>
      </c>
      <c r="DL26" s="142">
        <f t="shared" si="46"/>
        <v>501.30208333333326</v>
      </c>
      <c r="DM26" s="142">
        <f t="shared" si="47"/>
        <v>0.3139269406392694</v>
      </c>
      <c r="DN26" s="127"/>
    </row>
    <row r="27" spans="1:118" customFormat="1" x14ac:dyDescent="0.25">
      <c r="A27" s="128" t="s">
        <v>25</v>
      </c>
      <c r="B27" s="129" t="s">
        <v>1059</v>
      </c>
      <c r="C27" s="141">
        <f>up_dir!AB27</f>
        <v>2.2038567493112948E-4</v>
      </c>
      <c r="D27" s="141">
        <f>IFERROR(s_DL/(up_RadSpec!J27*s_IFP_far_adj*s_CF_far_poultry),".")</f>
        <v>6.6115702479338848E-4</v>
      </c>
      <c r="E27" s="141">
        <f>IFERROR(s_DL/(up_RadSpec!J27*s_IFE_far_adj*s_CF_far_egg),".")</f>
        <v>6.6115702479338848E-4</v>
      </c>
      <c r="F27" s="141">
        <f>IFERROR(s_DL/(up_RadSpec!J27*s_IFB_far_adj*s_CF_far_beef),".")</f>
        <v>6.6115702479338848E-4</v>
      </c>
      <c r="G27" s="141">
        <f>IFERROR(s_DL/(up_RadSpec!J27*s_IFD_far_adj*s_CF_far_dairy),".")</f>
        <v>6.6115702479338848E-4</v>
      </c>
      <c r="H27" s="141">
        <f>IFERROR(s_DL/(up_RadSpec!J27*s_IFSW_far_adj*s_CF_far_swine),".")</f>
        <v>6.6115702479338848E-4</v>
      </c>
      <c r="I27" s="141">
        <f>IFERROR(s_DL/(up_RadSpec!J27*s_IFFI_far_adj*s_CF_far_fish),".")</f>
        <v>6.6115702479338848E-4</v>
      </c>
      <c r="J27" s="141">
        <f>IFERROR(s_DL/(up_RadSpec!J27*s_IFGO_far_adj*s_CF_far_goat),".")</f>
        <v>6.6115702479338848E-4</v>
      </c>
      <c r="K27" s="141">
        <f>IFERROR(s_DL/(up_RadSpec!J27*s_IFSH_far_adj*s_CF_far_sheep),".")</f>
        <v>6.6115702479338848E-4</v>
      </c>
      <c r="L27" s="141">
        <f>IFERROR(s_DL/(up_RadSpec!J27*s_IFGM_far_adj*s_CF_far_goat_milk),".")</f>
        <v>6.6115702479338848E-4</v>
      </c>
      <c r="M27" s="141">
        <f>IFERROR(s_DL/(up_RadSpec!J27*s_IFSM_far_adj*s_CF_far_sheep_milk),".")</f>
        <v>6.6115702479338848E-4</v>
      </c>
      <c r="N27" s="142">
        <f>up_dir!BA27</f>
        <v>22687.5</v>
      </c>
      <c r="O27" s="142">
        <f t="shared" si="0"/>
        <v>7562.5</v>
      </c>
      <c r="P27" s="142">
        <f t="shared" si="1"/>
        <v>7562.5</v>
      </c>
      <c r="Q27" s="142">
        <f t="shared" si="2"/>
        <v>7562.5</v>
      </c>
      <c r="R27" s="142">
        <f t="shared" si="3"/>
        <v>7562.5</v>
      </c>
      <c r="S27" s="142">
        <f t="shared" si="4"/>
        <v>7562.5</v>
      </c>
      <c r="T27" s="142">
        <f t="shared" si="5"/>
        <v>7562.5</v>
      </c>
      <c r="U27" s="142">
        <f t="shared" si="6"/>
        <v>7562.5</v>
      </c>
      <c r="V27" s="142">
        <f t="shared" si="7"/>
        <v>7562.5</v>
      </c>
      <c r="W27" s="142">
        <f t="shared" si="8"/>
        <v>7562.5</v>
      </c>
      <c r="X27" s="142">
        <f t="shared" si="9"/>
        <v>7562.5</v>
      </c>
      <c r="Y27" s="141">
        <f>IFERROR((s_DL/(up_RadSpec!I27*s_IFS_far_adj*(1/1000)))*1,".")</f>
        <v>0.33057851239669422</v>
      </c>
      <c r="Z27" s="141">
        <f>IFERROR(IF(A27="H-3",(s_DL/(up_RadSpec!L27*s_IFA_far_adj*(1/17)*1000))*1,(s_DL/(up_RadSpec!L27*s_IFA_far_adj*(1/s_PEF_wind)*1000))*1),".")</f>
        <v>3089.9917845330979</v>
      </c>
      <c r="AA27" s="141">
        <f>IFERROR((s_DL/(up_RadSpec!K27*s_EF_far*(1/365)*s_ED_far*up_RadSpec!V27*((s_ET_far_o*(1/24)*up_RadSpec!AA27)+(s_ET_far_i*(1/24)*up_RadSpec!AF27))))*1,".")</f>
        <v>244.93101553235198</v>
      </c>
      <c r="AB27" s="141">
        <f>up_b2s!BA27</f>
        <v>4.3958447178843029E-5</v>
      </c>
      <c r="AC27" s="141">
        <f>IFERROR(((I27*up_RadSpec!AX27)/up_RadSpec!AN27)*1,".")</f>
        <v>6.6115702479338848E-4</v>
      </c>
      <c r="AD27" s="141">
        <f>IFERROR((F27/(up_RadSpec!AM27*((s_Q_p_beef*s_f_p_beef*s_f_s_beef*(up_RadSpec!BG27+s_R_es_past))+(s_Q_s_beef*s_f_p_beef))))*1,".")</f>
        <v>1.8558793678410905E-7</v>
      </c>
      <c r="AE27" s="141">
        <f>IFERROR(((G27*s_D_milk)/(up_RadSpec!AL27*((s_Q_p_dairy*s_f_p_dairy*s_f_s_dairy*(up_RadSpec!BG27+s_R_es_past))+(s_Q_s_dairy*s_f_p_dairy))))*1,".")</f>
        <v>1.9115557488763231E-7</v>
      </c>
      <c r="AF27" s="141">
        <f>IFERROR((H27/(up_RadSpec!AQ27*((s_Q_p_swine*s_f_p_swine*s_f_s_swine*(up_RadSpec!BG27+s_R_es_past))+(s_Q_s_swine*s_f_p_swine))))*1,".")</f>
        <v>1.8558793678410905E-7</v>
      </c>
      <c r="AG27" s="141">
        <f>IFERROR((D27/(up_RadSpec!AO27*((s_Q_p_poultry*s_f_p_poultry*s_f_s_poultry*(up_RadSpec!BG27+s_R_es_past))+(s_Q_s_poultry*s_f_p_poultry))))*1,".")</f>
        <v>1.8558793678410905E-7</v>
      </c>
      <c r="AH27" s="141">
        <f>IFERROR((E27/(up_RadSpec!AP27*((s_Q_p_poultry*s_f_p_poultry*s_f_s_poultry*(up_RadSpec!BG27+s_R_es_past))+(s_Q_s_poultry*s_f_p_poultry))))*1,".")</f>
        <v>1.8558793678410905E-7</v>
      </c>
      <c r="AI27" s="141">
        <f>IFERROR((J27/(up_RadSpec!AT27*((s_Q_p_goat*s_f_p_goat*s_f_s_goat*(up_RadSpec!BG27+s_R_es_past))+(s_Q_s_goat*s_f_p_goat))))*1,".")</f>
        <v>1.8558793678410905E-7</v>
      </c>
      <c r="AJ27" s="141">
        <f>IFERROR((L27*s_D_milk/(up_RadSpec!AU27*((s_Q_p_goat_milk*s_f_p_goat_milk*s_f_s_goat_milk*(up_RadSpec!BG27+s_R_es_past))+(s_Q_s_goat_milk*s_f_p_goat_milk))))*1,".")</f>
        <v>1.9115557488763231E-7</v>
      </c>
      <c r="AK27" s="141">
        <f>IFERROR((K27/(up_RadSpec!AR27*((s_Q_p_sheep*s_f_p_sheep*s_f_s_sheep*(up_RadSpec!BG27+s_R_es_past))+(s_Q_s_sheep*s_f_p_sheep))))*1,".")</f>
        <v>1.8558793678410905E-7</v>
      </c>
      <c r="AL27" s="141">
        <f>IFERROR((M27*s_D_milk/(up_RadSpec!AS27*((s_Q_p_sheep_milk*s_f_p_sheep_milk*s_f_s_sheep_milk*(up_RadSpec!BG27+s_R_es_past))+(s_Q_s_sheep_milk*s_f_p_sheep_milk))))*1,".")</f>
        <v>1.9115557488763231E-7</v>
      </c>
      <c r="AM27" s="158">
        <f t="shared" si="10"/>
        <v>3.0249999999999999</v>
      </c>
      <c r="AN27" s="158">
        <f t="shared" si="11"/>
        <v>3.2362545590104258E-4</v>
      </c>
      <c r="AO27" s="158">
        <f t="shared" si="12"/>
        <v>4.0827822390174752E-3</v>
      </c>
      <c r="AP27" s="158">
        <f t="shared" si="13"/>
        <v>22748.756249999995</v>
      </c>
      <c r="AQ27" s="158">
        <f t="shared" si="14"/>
        <v>1512.5</v>
      </c>
      <c r="AR27" s="158">
        <f t="shared" si="15"/>
        <v>5388281.2499999991</v>
      </c>
      <c r="AS27" s="158">
        <f t="shared" si="16"/>
        <v>5231341.0194174759</v>
      </c>
      <c r="AT27" s="158">
        <f t="shared" si="17"/>
        <v>5388281.2499999991</v>
      </c>
      <c r="AU27" s="158">
        <f t="shared" si="18"/>
        <v>5388281.2499999991</v>
      </c>
      <c r="AV27" s="158">
        <f t="shared" si="19"/>
        <v>5388281.2499999991</v>
      </c>
      <c r="AW27" s="158">
        <f t="shared" si="20"/>
        <v>5388281.2499999991</v>
      </c>
      <c r="AX27" s="158">
        <f t="shared" si="21"/>
        <v>5231341.0194174759</v>
      </c>
      <c r="AY27" s="158">
        <f t="shared" si="22"/>
        <v>5388281.2499999991</v>
      </c>
      <c r="AZ27" s="158">
        <f t="shared" si="23"/>
        <v>5231341.0194174759</v>
      </c>
      <c r="BA27" s="141">
        <f t="shared" si="24"/>
        <v>2.0812531709164692E-8</v>
      </c>
      <c r="BB27" s="142">
        <f t="shared" si="25"/>
        <v>15.125</v>
      </c>
      <c r="BC27" s="142">
        <f t="shared" si="26"/>
        <v>1.618127279505213E-3</v>
      </c>
      <c r="BD27" s="142">
        <f>IFERROR((s_C*s_EF_far*(1/365)*s_ED_far*up_RadSpec!V27*((s_ET_far_o*(1/24)*up_RadSpec!AA27)+(s_ET_far_i*(1/24)*up_RadSpec!AF27))),".")</f>
        <v>2.0413911195087377E-2</v>
      </c>
      <c r="BE27" s="142">
        <f>up_b2s!BZ27</f>
        <v>113743.78125</v>
      </c>
      <c r="BF27" s="142">
        <f>IFERROR(((s_C*up_RadSpec!AN27)/up_RadSpec!AX27)*s_IFFI_far_adj*s_CF_far_fish,0)</f>
        <v>7562.5</v>
      </c>
      <c r="BG27" s="142">
        <f>(s_C*s_IFB_far_adj*s_CF_far_beef*up_RadSpec!AM27*((s_Q_p_beef*s_f_p_beef*s_f_s_beef*(up_RadSpec!$AW27+s_R_es_past))+(s_Q_s_beef*s_f_p_beef)))</f>
        <v>26941406.25</v>
      </c>
      <c r="BH27" s="142">
        <f>(s_C*s_IFD_far_adj*s_CF_far_dairy*up_RadSpec!AL27*1/s_D_milk*((s_Q_p_dairy*s_f_p_dairy*s_f_s_dairy*(up_RadSpec!$AW27+s_R_es_past))+(s_Q_s_dairy*s_f_p_dairy)))</f>
        <v>26156705.09708738</v>
      </c>
      <c r="BI27" s="142">
        <f>(s_C*s_IFSW_far_adj*s_CF_far_swine*up_RadSpec!AQ27*((s_Q_p_swine*s_f_p_swine*s_f_s_swine*(up_RadSpec!$AW27+s_R_es_past))+(s_Q_s_swine*s_f_p_swine)))</f>
        <v>26941406.25</v>
      </c>
      <c r="BJ27" s="142">
        <f>(s_C*s_IFP_far_adj*s_CF_far_poultry*up_RadSpec!AO27*((s_Q_p_poultry*s_f_p_poultry*s_f_s_poultry*(up_RadSpec!AW27+s_R_es_past))+(s_Q_s_poultry*s_f_p_poultry)))</f>
        <v>26941406.25</v>
      </c>
      <c r="BK27" s="142">
        <f>(s_C*s_IFE_far_adj*s_CF_far_egg*up_RadSpec!AP27*((s_Q_p_egg*s_f_p_egg*s_f_s_egg*(up_RadSpec!$AW27+s_R_es_past))+(s_Q_s_egg*s_f_p_egg)))</f>
        <v>26941406.25</v>
      </c>
      <c r="BL27" s="142">
        <f>(s_C*s_IFGO_far_adj*s_CF_far_goat*up_RadSpec!AT27*((s_Q_p_goat*s_f_p_goat*s_f_s_goat*(up_RadSpec!$AW27+s_R_es_past))+(s_Q_s_goat*s_f_p_goat)))</f>
        <v>26941406.25</v>
      </c>
      <c r="BM27" s="142">
        <f>(s_C*s_IFGM_far_adj*s_CF_far_goat_milk*up_RadSpec!AU27*1/s_D_milk*((s_Q_p_goat_milk*s_f_p_goat_milk*s_f_s_goat_milk*(up_RadSpec!$AW27+s_R_es_past))+(s_Q_s_goat_milk*s_f_p_goat_milk)))</f>
        <v>26156705.09708738</v>
      </c>
      <c r="BN27" s="142">
        <f>(s_C*s_IFSH_far_adj*s_CF_far_sheep*up_RadSpec!AR27*((s_Q_p_sheep*s_f_p_sheep*s_f_s_sheep*(up_RadSpec!$AW27+s_R_es_past))+(s_Q_s_sheep*s_f_p_sheep)))</f>
        <v>26941406.25</v>
      </c>
      <c r="BO27" s="142">
        <f>(s_C*s_IFSM_far_adj*s_CF_far_sheep_milk*up_RadSpec!AS27*1/s_D_milk*((s_Q_p_sheep_milk*s_f_p_sheep_milk*s_f_s_sheep_milk*(up_RadSpec!$AW27+s_R_es_past))+(s_Q_s_sheep_milk*s_f_p_sheep_milk)))</f>
        <v>26156705.09708738</v>
      </c>
      <c r="BP27" s="141"/>
      <c r="BQ27" s="141">
        <f>IFERROR(s_DL/(up_RadSpec!M27*s_IFW_far_adj),".")</f>
        <v>3.6363636363636364E-3</v>
      </c>
      <c r="BR27" s="141" t="str">
        <f>IFERROR(IF(up_RadSpec!C27=1,s_DL/(up_RadSpec!L27*s_IFA_far_adj*s_K),"."),".")</f>
        <v>.</v>
      </c>
      <c r="BS27" s="141">
        <f>IFERROR((s_DL/(up_RadSpec!Q27*(1/8760)*s_DFA_far_adj)),".")</f>
        <v>39.81818181818182</v>
      </c>
      <c r="BT27" s="141">
        <f>up_b2w!BA27</f>
        <v>2.1924550381384044E-4</v>
      </c>
      <c r="BU27" s="141">
        <f>IFERROR(I27/(up_RadSpec!AN27*(1/1000)),".")</f>
        <v>0.13223140495867769</v>
      </c>
      <c r="BV27" s="141">
        <f>IFERROR(F27/(up_RadSpec!AM27*s_Q_w_beef*(1/1000)),".")</f>
        <v>2.6446280991735537E-2</v>
      </c>
      <c r="BW27" s="141">
        <f>IFERROR((G27*s_D_milk)/(up_RadSpec!AL27*s_Q_w_dairy*(1/1000)),".")</f>
        <v>2.7239669421487603E-2</v>
      </c>
      <c r="BX27" s="141">
        <f>IFERROR(H27/(up_RadSpec!AQ27*s_Q_w_swine*(1/1000)),".")</f>
        <v>2.6446280991735537E-2</v>
      </c>
      <c r="BY27" s="141">
        <f>IFERROR(D27/(up_RadSpec!AO27*s_Q_w_poultry*(1/1000)),".")</f>
        <v>2.6446280991735537E-2</v>
      </c>
      <c r="BZ27" s="141">
        <f>IFERROR(E27/(up_RadSpec!AP27*s_Q_w_poultry*(1/1000)),".")</f>
        <v>2.6446280991735537E-2</v>
      </c>
      <c r="CA27" s="141">
        <f>IFERROR(J27/(up_RadSpec!AT27*s_Q_w_goat*(1/1000)),".")</f>
        <v>2.6446280991735537E-2</v>
      </c>
      <c r="CB27" s="141">
        <f>IFERROR(L27*s_D_milk/(up_RadSpec!AU27*s_Q_w_goat_milk*(1/1000)),".")</f>
        <v>2.7239669421487603E-2</v>
      </c>
      <c r="CC27" s="141">
        <f>IFERROR(K27/(up_RadSpec!AR27*s_Q_w_sheep*(1/1000)),".")</f>
        <v>2.6446280991735537E-2</v>
      </c>
      <c r="CD27" s="141">
        <f>IFERROR(M27*s_D_milk/(up_RadSpec!AS27*s_Q_w_sheep_milk*(1/1000)),".")</f>
        <v>2.7239669421487603E-2</v>
      </c>
      <c r="CE27" s="158">
        <f t="shared" si="27"/>
        <v>275</v>
      </c>
      <c r="CF27" s="158" t="str">
        <f t="shared" si="28"/>
        <v>.</v>
      </c>
      <c r="CG27" s="158">
        <f t="shared" si="29"/>
        <v>2.5114155251141551E-2</v>
      </c>
      <c r="CH27" s="158">
        <f t="shared" si="30"/>
        <v>4561.0969557172393</v>
      </c>
      <c r="CI27" s="158">
        <f t="shared" si="31"/>
        <v>7.5625</v>
      </c>
      <c r="CJ27" s="158">
        <f t="shared" si="32"/>
        <v>37.8125</v>
      </c>
      <c r="CK27" s="158">
        <f t="shared" si="33"/>
        <v>36.711165048543691</v>
      </c>
      <c r="CL27" s="158">
        <f t="shared" si="34"/>
        <v>37.8125</v>
      </c>
      <c r="CM27" s="158">
        <f t="shared" si="35"/>
        <v>37.8125</v>
      </c>
      <c r="CN27" s="158">
        <f t="shared" si="36"/>
        <v>37.8125</v>
      </c>
      <c r="CO27" s="158">
        <f t="shared" si="37"/>
        <v>37.8125</v>
      </c>
      <c r="CP27" s="158">
        <f t="shared" si="38"/>
        <v>36.711165048543691</v>
      </c>
      <c r="CQ27" s="158">
        <f t="shared" si="39"/>
        <v>37.8125</v>
      </c>
      <c r="CR27" s="158">
        <f t="shared" si="40"/>
        <v>36.711165048543691</v>
      </c>
      <c r="CS27" s="141">
        <f t="shared" si="41"/>
        <v>1.9302436709720458E-4</v>
      </c>
      <c r="CT27" s="142">
        <f t="shared" si="42"/>
        <v>1375</v>
      </c>
      <c r="CU27" s="142">
        <f t="shared" si="43"/>
        <v>250.65104166666663</v>
      </c>
      <c r="CV27" s="142">
        <f t="shared" si="44"/>
        <v>0.12557077625570776</v>
      </c>
      <c r="CW27" s="142">
        <f>up_b2w!BZ27</f>
        <v>22805.4847785862</v>
      </c>
      <c r="CX27" s="142">
        <f>IFERROR(s_C*up_RadSpec!AN27*(1/1000)*s_IFFI_far_adj*s_CF_far_fish,0)</f>
        <v>37.8125</v>
      </c>
      <c r="CY27" s="142">
        <f>(s_C*s_IFB_far_adj*s_CF_far_beef*up_RadSpec!AM27*s_Q_w_beef*(1/1000))</f>
        <v>189.0625</v>
      </c>
      <c r="CZ27" s="142">
        <f>(s_C*s_IFD_far_adj*s_CF_far_dairy*up_RadSpec!AL27*(1/s_D_milk)*s_Q_w_dairy*(1/1000))</f>
        <v>183.55582524271844</v>
      </c>
      <c r="DA27" s="142">
        <f>(s_C*s_IFSW_far_adj*s_CF_far_swine*up_RadSpec!AQ27*s_Q_w_swine*(1/1000))</f>
        <v>189.0625</v>
      </c>
      <c r="DB27" s="142">
        <f>(s_C*s_IFP_far_adj*s_CF_far_poultry*up_RadSpec!AO27*s_Q_w_poultry*(1/1000))</f>
        <v>189.0625</v>
      </c>
      <c r="DC27" s="142">
        <f>(s_C*s_IFE_far_adj*s_CF_far_egg*up_RadSpec!AP27*s_Q_w_egg*(1/1000))</f>
        <v>189.0625</v>
      </c>
      <c r="DD27" s="142">
        <f>(s_C*s_IFGO_far_adj*s_CF_far_goat*up_RadSpec!AT27*s_Q_p_goat*(1/1000))</f>
        <v>189.0625</v>
      </c>
      <c r="DE27" s="142">
        <f>(s_C*s_IFGM_far_adj*s_CF_far_goat_milk*up_RadSpec!AU27*(1/s_D_milk)*s_Q_p_goat_milk*(1/1000))</f>
        <v>183.55582524271844</v>
      </c>
      <c r="DF27" s="142">
        <f>(s_C*s_IFSH_far_adj*s_CF_far_sheep*up_RadSpec!AR27*s_Q_p_sheep*(1/1000))</f>
        <v>189.0625</v>
      </c>
      <c r="DG27" s="142">
        <f>(s_C*s_IFSM_far_adj*s_CF_far_sheep_milk*up_RadSpec!AS27*(1/s_D_milk)*s_Q_p_sheep_milk*(1/1000))</f>
        <v>183.55582524271844</v>
      </c>
      <c r="DH27" s="141"/>
      <c r="DI27" s="141">
        <f>IFERROR((s_DL/(up_RadSpec!L27*s_IFA_far_adj)),".")</f>
        <v>9.9740259740259754E-3</v>
      </c>
      <c r="DJ27" s="141">
        <f>IFERROR((s_DL/(up_RadSpec!O27*s_EF_far*(1/365)*s_ED_far*s_ET_far*(1/24)*s_GSF_a)),".")</f>
        <v>15.927272727272728</v>
      </c>
      <c r="DK27" s="141">
        <f t="shared" si="48"/>
        <v>9.9677839175609673E-3</v>
      </c>
      <c r="DL27" s="142">
        <f t="shared" si="46"/>
        <v>501.30208333333326</v>
      </c>
      <c r="DM27" s="142">
        <f t="shared" si="47"/>
        <v>0.3139269406392694</v>
      </c>
      <c r="DN27" s="127"/>
    </row>
    <row r="28" spans="1:118" customFormat="1" x14ac:dyDescent="0.25">
      <c r="A28" s="128" t="s">
        <v>26</v>
      </c>
      <c r="B28" s="129" t="s">
        <v>1059</v>
      </c>
      <c r="C28" s="141">
        <f>up_dir!AB28</f>
        <v>2.2038567493112948E-4</v>
      </c>
      <c r="D28" s="141">
        <f>IFERROR(s_DL/(up_RadSpec!J28*s_IFP_far_adj*s_CF_far_poultry),".")</f>
        <v>6.6115702479338848E-4</v>
      </c>
      <c r="E28" s="141">
        <f>IFERROR(s_DL/(up_RadSpec!J28*s_IFE_far_adj*s_CF_far_egg),".")</f>
        <v>6.6115702479338848E-4</v>
      </c>
      <c r="F28" s="141">
        <f>IFERROR(s_DL/(up_RadSpec!J28*s_IFB_far_adj*s_CF_far_beef),".")</f>
        <v>6.6115702479338848E-4</v>
      </c>
      <c r="G28" s="141">
        <f>IFERROR(s_DL/(up_RadSpec!J28*s_IFD_far_adj*s_CF_far_dairy),".")</f>
        <v>6.6115702479338848E-4</v>
      </c>
      <c r="H28" s="141">
        <f>IFERROR(s_DL/(up_RadSpec!J28*s_IFSW_far_adj*s_CF_far_swine),".")</f>
        <v>6.6115702479338848E-4</v>
      </c>
      <c r="I28" s="141">
        <f>IFERROR(s_DL/(up_RadSpec!J28*s_IFFI_far_adj*s_CF_far_fish),".")</f>
        <v>6.6115702479338848E-4</v>
      </c>
      <c r="J28" s="141">
        <f>IFERROR(s_DL/(up_RadSpec!J28*s_IFGO_far_adj*s_CF_far_goat),".")</f>
        <v>6.6115702479338848E-4</v>
      </c>
      <c r="K28" s="141">
        <f>IFERROR(s_DL/(up_RadSpec!J28*s_IFSH_far_adj*s_CF_far_sheep),".")</f>
        <v>6.6115702479338848E-4</v>
      </c>
      <c r="L28" s="141">
        <f>IFERROR(s_DL/(up_RadSpec!J28*s_IFGM_far_adj*s_CF_far_goat_milk),".")</f>
        <v>6.6115702479338848E-4</v>
      </c>
      <c r="M28" s="141">
        <f>IFERROR(s_DL/(up_RadSpec!J28*s_IFSM_far_adj*s_CF_far_sheep_milk),".")</f>
        <v>6.6115702479338848E-4</v>
      </c>
      <c r="N28" s="142">
        <f>up_dir!BA28</f>
        <v>22687.5</v>
      </c>
      <c r="O28" s="142">
        <f t="shared" si="0"/>
        <v>7562.5</v>
      </c>
      <c r="P28" s="142">
        <f t="shared" si="1"/>
        <v>7562.5</v>
      </c>
      <c r="Q28" s="142">
        <f t="shared" si="2"/>
        <v>7562.5</v>
      </c>
      <c r="R28" s="142">
        <f t="shared" si="3"/>
        <v>7562.5</v>
      </c>
      <c r="S28" s="142">
        <f t="shared" si="4"/>
        <v>7562.5</v>
      </c>
      <c r="T28" s="142">
        <f t="shared" si="5"/>
        <v>7562.5</v>
      </c>
      <c r="U28" s="142">
        <f t="shared" si="6"/>
        <v>7562.5</v>
      </c>
      <c r="V28" s="142">
        <f t="shared" si="7"/>
        <v>7562.5</v>
      </c>
      <c r="W28" s="142">
        <f t="shared" si="8"/>
        <v>7562.5</v>
      </c>
      <c r="X28" s="142">
        <f t="shared" si="9"/>
        <v>7562.5</v>
      </c>
      <c r="Y28" s="141">
        <f>IFERROR((s_DL/(up_RadSpec!I28*s_IFS_far_adj*(1/1000)))*1,".")</f>
        <v>0.33057851239669422</v>
      </c>
      <c r="Z28" s="141">
        <f>IFERROR(IF(A28="H-3",(s_DL/(up_RadSpec!L28*s_IFA_far_adj*(1/17)*1000))*1,(s_DL/(up_RadSpec!L28*s_IFA_far_adj*(1/s_PEF_wind)*1000))*1),".")</f>
        <v>3089.9917845330979</v>
      </c>
      <c r="AA28" s="141">
        <f>IFERROR((s_DL/(up_RadSpec!K28*s_EF_far*(1/365)*s_ED_far*up_RadSpec!V28*((s_ET_far_o*(1/24)*up_RadSpec!AA28)+(s_ET_far_i*(1/24)*up_RadSpec!AF28))))*1,".")</f>
        <v>108.38418481730584</v>
      </c>
      <c r="AB28" s="141">
        <f>up_b2s!BA28</f>
        <v>4.3958447178843029E-5</v>
      </c>
      <c r="AC28" s="141">
        <f>IFERROR(((I28*up_RadSpec!AX28)/up_RadSpec!AN28)*1,".")</f>
        <v>6.6115702479338848E-4</v>
      </c>
      <c r="AD28" s="141">
        <f>IFERROR((F28/(up_RadSpec!AM28*((s_Q_p_beef*s_f_p_beef*s_f_s_beef*(up_RadSpec!BG28+s_R_es_past))+(s_Q_s_beef*s_f_p_beef))))*1,".")</f>
        <v>1.8558793678410905E-7</v>
      </c>
      <c r="AE28" s="141">
        <f>IFERROR(((G28*s_D_milk)/(up_RadSpec!AL28*((s_Q_p_dairy*s_f_p_dairy*s_f_s_dairy*(up_RadSpec!BG28+s_R_es_past))+(s_Q_s_dairy*s_f_p_dairy))))*1,".")</f>
        <v>1.9115557488763231E-7</v>
      </c>
      <c r="AF28" s="141">
        <f>IFERROR((H28/(up_RadSpec!AQ28*((s_Q_p_swine*s_f_p_swine*s_f_s_swine*(up_RadSpec!BG28+s_R_es_past))+(s_Q_s_swine*s_f_p_swine))))*1,".")</f>
        <v>1.8558793678410905E-7</v>
      </c>
      <c r="AG28" s="141">
        <f>IFERROR((D28/(up_RadSpec!AO28*((s_Q_p_poultry*s_f_p_poultry*s_f_s_poultry*(up_RadSpec!BG28+s_R_es_past))+(s_Q_s_poultry*s_f_p_poultry))))*1,".")</f>
        <v>1.8558793678410905E-7</v>
      </c>
      <c r="AH28" s="141">
        <f>IFERROR((E28/(up_RadSpec!AP28*((s_Q_p_poultry*s_f_p_poultry*s_f_s_poultry*(up_RadSpec!BG28+s_R_es_past))+(s_Q_s_poultry*s_f_p_poultry))))*1,".")</f>
        <v>1.8558793678410905E-7</v>
      </c>
      <c r="AI28" s="141">
        <f>IFERROR((J28/(up_RadSpec!AT28*((s_Q_p_goat*s_f_p_goat*s_f_s_goat*(up_RadSpec!BG28+s_R_es_past))+(s_Q_s_goat*s_f_p_goat))))*1,".")</f>
        <v>1.8558793678410905E-7</v>
      </c>
      <c r="AJ28" s="141">
        <f>IFERROR((L28*s_D_milk/(up_RadSpec!AU28*((s_Q_p_goat_milk*s_f_p_goat_milk*s_f_s_goat_milk*(up_RadSpec!BG28+s_R_es_past))+(s_Q_s_goat_milk*s_f_p_goat_milk))))*1,".")</f>
        <v>1.9115557488763231E-7</v>
      </c>
      <c r="AK28" s="141">
        <f>IFERROR((K28/(up_RadSpec!AR28*((s_Q_p_sheep*s_f_p_sheep*s_f_s_sheep*(up_RadSpec!BG28+s_R_es_past))+(s_Q_s_sheep*s_f_p_sheep))))*1,".")</f>
        <v>1.8558793678410905E-7</v>
      </c>
      <c r="AL28" s="141">
        <f>IFERROR((M28*s_D_milk/(up_RadSpec!AS28*((s_Q_p_sheep_milk*s_f_p_sheep_milk*s_f_s_sheep_milk*(up_RadSpec!BG28+s_R_es_past))+(s_Q_s_sheep_milk*s_f_p_sheep_milk))))*1,".")</f>
        <v>1.9115557488763231E-7</v>
      </c>
      <c r="AM28" s="158">
        <f t="shared" si="10"/>
        <v>3.0249999999999999</v>
      </c>
      <c r="AN28" s="158">
        <f t="shared" si="11"/>
        <v>3.2362545590104258E-4</v>
      </c>
      <c r="AO28" s="158">
        <f t="shared" si="12"/>
        <v>9.2264383561643827E-3</v>
      </c>
      <c r="AP28" s="158">
        <f t="shared" si="13"/>
        <v>22748.756249999995</v>
      </c>
      <c r="AQ28" s="158">
        <f t="shared" si="14"/>
        <v>1512.5</v>
      </c>
      <c r="AR28" s="158">
        <f t="shared" si="15"/>
        <v>5388281.2499999991</v>
      </c>
      <c r="AS28" s="158">
        <f t="shared" si="16"/>
        <v>5231341.0194174759</v>
      </c>
      <c r="AT28" s="158">
        <f t="shared" si="17"/>
        <v>5388281.2499999991</v>
      </c>
      <c r="AU28" s="158">
        <f t="shared" si="18"/>
        <v>5388281.2499999991</v>
      </c>
      <c r="AV28" s="158">
        <f t="shared" si="19"/>
        <v>5388281.2499999991</v>
      </c>
      <c r="AW28" s="158">
        <f t="shared" si="20"/>
        <v>5388281.2499999991</v>
      </c>
      <c r="AX28" s="158">
        <f t="shared" si="21"/>
        <v>5231341.0194174759</v>
      </c>
      <c r="AY28" s="158">
        <f t="shared" si="22"/>
        <v>5388281.2499999991</v>
      </c>
      <c r="AZ28" s="158">
        <f t="shared" si="23"/>
        <v>5231341.0194174759</v>
      </c>
      <c r="BA28" s="141">
        <f t="shared" si="24"/>
        <v>2.0812531706936658E-8</v>
      </c>
      <c r="BB28" s="142">
        <f t="shared" si="25"/>
        <v>15.125</v>
      </c>
      <c r="BC28" s="142">
        <f t="shared" si="26"/>
        <v>1.618127279505213E-3</v>
      </c>
      <c r="BD28" s="142">
        <f>IFERROR((s_C*s_EF_far*(1/365)*s_ED_far*up_RadSpec!V28*((s_ET_far_o*(1/24)*up_RadSpec!AA28)+(s_ET_far_i*(1/24)*up_RadSpec!AF28))),".")</f>
        <v>4.6132191780821917E-2</v>
      </c>
      <c r="BE28" s="142">
        <f>up_b2s!BZ28</f>
        <v>113743.78125</v>
      </c>
      <c r="BF28" s="142">
        <f>IFERROR(((s_C*up_RadSpec!AN28)/up_RadSpec!AX28)*s_IFFI_far_adj*s_CF_far_fish,0)</f>
        <v>7562.5</v>
      </c>
      <c r="BG28" s="142">
        <f>(s_C*s_IFB_far_adj*s_CF_far_beef*up_RadSpec!AM28*((s_Q_p_beef*s_f_p_beef*s_f_s_beef*(up_RadSpec!$AW28+s_R_es_past))+(s_Q_s_beef*s_f_p_beef)))</f>
        <v>26941406.25</v>
      </c>
      <c r="BH28" s="142">
        <f>(s_C*s_IFD_far_adj*s_CF_far_dairy*up_RadSpec!AL28*1/s_D_milk*((s_Q_p_dairy*s_f_p_dairy*s_f_s_dairy*(up_RadSpec!$AW28+s_R_es_past))+(s_Q_s_dairy*s_f_p_dairy)))</f>
        <v>26156705.09708738</v>
      </c>
      <c r="BI28" s="142">
        <f>(s_C*s_IFSW_far_adj*s_CF_far_swine*up_RadSpec!AQ28*((s_Q_p_swine*s_f_p_swine*s_f_s_swine*(up_RadSpec!$AW28+s_R_es_past))+(s_Q_s_swine*s_f_p_swine)))</f>
        <v>26941406.25</v>
      </c>
      <c r="BJ28" s="142">
        <f>(s_C*s_IFP_far_adj*s_CF_far_poultry*up_RadSpec!AO28*((s_Q_p_poultry*s_f_p_poultry*s_f_s_poultry*(up_RadSpec!AW28+s_R_es_past))+(s_Q_s_poultry*s_f_p_poultry)))</f>
        <v>26941406.25</v>
      </c>
      <c r="BK28" s="142">
        <f>(s_C*s_IFE_far_adj*s_CF_far_egg*up_RadSpec!AP28*((s_Q_p_egg*s_f_p_egg*s_f_s_egg*(up_RadSpec!$AW28+s_R_es_past))+(s_Q_s_egg*s_f_p_egg)))</f>
        <v>26941406.25</v>
      </c>
      <c r="BL28" s="142">
        <f>(s_C*s_IFGO_far_adj*s_CF_far_goat*up_RadSpec!AT28*((s_Q_p_goat*s_f_p_goat*s_f_s_goat*(up_RadSpec!$AW28+s_R_es_past))+(s_Q_s_goat*s_f_p_goat)))</f>
        <v>26941406.25</v>
      </c>
      <c r="BM28" s="142">
        <f>(s_C*s_IFGM_far_adj*s_CF_far_goat_milk*up_RadSpec!AU28*1/s_D_milk*((s_Q_p_goat_milk*s_f_p_goat_milk*s_f_s_goat_milk*(up_RadSpec!$AW28+s_R_es_past))+(s_Q_s_goat_milk*s_f_p_goat_milk)))</f>
        <v>26156705.09708738</v>
      </c>
      <c r="BN28" s="142">
        <f>(s_C*s_IFSH_far_adj*s_CF_far_sheep*up_RadSpec!AR28*((s_Q_p_sheep*s_f_p_sheep*s_f_s_sheep*(up_RadSpec!$AW28+s_R_es_past))+(s_Q_s_sheep*s_f_p_sheep)))</f>
        <v>26941406.25</v>
      </c>
      <c r="BO28" s="142">
        <f>(s_C*s_IFSM_far_adj*s_CF_far_sheep_milk*up_RadSpec!AS28*1/s_D_milk*((s_Q_p_sheep_milk*s_f_p_sheep_milk*s_f_s_sheep_milk*(up_RadSpec!$AW28+s_R_es_past))+(s_Q_s_sheep_milk*s_f_p_sheep_milk)))</f>
        <v>26156705.09708738</v>
      </c>
      <c r="BP28" s="141"/>
      <c r="BQ28" s="141">
        <f>IFERROR(s_DL/(up_RadSpec!M28*s_IFW_far_adj),".")</f>
        <v>3.6363636363636364E-3</v>
      </c>
      <c r="BR28" s="141" t="str">
        <f>IFERROR(IF(up_RadSpec!C28=1,s_DL/(up_RadSpec!L28*s_IFA_far_adj*s_K),"."),".")</f>
        <v>.</v>
      </c>
      <c r="BS28" s="141">
        <f>IFERROR((s_DL/(up_RadSpec!Q28*(1/8760)*s_DFA_far_adj)),".")</f>
        <v>39.81818181818182</v>
      </c>
      <c r="BT28" s="141">
        <f>up_b2w!BA28</f>
        <v>2.1924550381384044E-4</v>
      </c>
      <c r="BU28" s="141">
        <f>IFERROR(I28/(up_RadSpec!AN28*(1/1000)),".")</f>
        <v>0.13223140495867769</v>
      </c>
      <c r="BV28" s="141">
        <f>IFERROR(F28/(up_RadSpec!AM28*s_Q_w_beef*(1/1000)),".")</f>
        <v>2.6446280991735537E-2</v>
      </c>
      <c r="BW28" s="141">
        <f>IFERROR((G28*s_D_milk)/(up_RadSpec!AL28*s_Q_w_dairy*(1/1000)),".")</f>
        <v>2.7239669421487603E-2</v>
      </c>
      <c r="BX28" s="141">
        <f>IFERROR(H28/(up_RadSpec!AQ28*s_Q_w_swine*(1/1000)),".")</f>
        <v>2.6446280991735537E-2</v>
      </c>
      <c r="BY28" s="141">
        <f>IFERROR(D28/(up_RadSpec!AO28*s_Q_w_poultry*(1/1000)),".")</f>
        <v>2.6446280991735537E-2</v>
      </c>
      <c r="BZ28" s="141">
        <f>IFERROR(E28/(up_RadSpec!AP28*s_Q_w_poultry*(1/1000)),".")</f>
        <v>2.6446280991735537E-2</v>
      </c>
      <c r="CA28" s="141">
        <f>IFERROR(J28/(up_RadSpec!AT28*s_Q_w_goat*(1/1000)),".")</f>
        <v>2.6446280991735537E-2</v>
      </c>
      <c r="CB28" s="141">
        <f>IFERROR(L28*s_D_milk/(up_RadSpec!AU28*s_Q_w_goat_milk*(1/1000)),".")</f>
        <v>2.7239669421487603E-2</v>
      </c>
      <c r="CC28" s="141">
        <f>IFERROR(K28/(up_RadSpec!AR28*s_Q_w_sheep*(1/1000)),".")</f>
        <v>2.6446280991735537E-2</v>
      </c>
      <c r="CD28" s="141">
        <f>IFERROR(M28*s_D_milk/(up_RadSpec!AS28*s_Q_w_sheep_milk*(1/1000)),".")</f>
        <v>2.7239669421487603E-2</v>
      </c>
      <c r="CE28" s="158">
        <f t="shared" si="27"/>
        <v>275</v>
      </c>
      <c r="CF28" s="158" t="str">
        <f t="shared" si="28"/>
        <v>.</v>
      </c>
      <c r="CG28" s="158">
        <f t="shared" si="29"/>
        <v>2.5114155251141551E-2</v>
      </c>
      <c r="CH28" s="158">
        <f t="shared" si="30"/>
        <v>4561.0969557172393</v>
      </c>
      <c r="CI28" s="158">
        <f t="shared" si="31"/>
        <v>7.5625</v>
      </c>
      <c r="CJ28" s="158">
        <f t="shared" si="32"/>
        <v>37.8125</v>
      </c>
      <c r="CK28" s="158">
        <f t="shared" si="33"/>
        <v>36.711165048543691</v>
      </c>
      <c r="CL28" s="158">
        <f t="shared" si="34"/>
        <v>37.8125</v>
      </c>
      <c r="CM28" s="158">
        <f t="shared" si="35"/>
        <v>37.8125</v>
      </c>
      <c r="CN28" s="158">
        <f t="shared" si="36"/>
        <v>37.8125</v>
      </c>
      <c r="CO28" s="158">
        <f t="shared" si="37"/>
        <v>37.8125</v>
      </c>
      <c r="CP28" s="158">
        <f t="shared" si="38"/>
        <v>36.711165048543691</v>
      </c>
      <c r="CQ28" s="158">
        <f t="shared" si="39"/>
        <v>37.8125</v>
      </c>
      <c r="CR28" s="158">
        <f t="shared" si="40"/>
        <v>36.711165048543691</v>
      </c>
      <c r="CS28" s="141">
        <f t="shared" si="41"/>
        <v>1.9302436709720458E-4</v>
      </c>
      <c r="CT28" s="142">
        <f t="shared" si="42"/>
        <v>1375</v>
      </c>
      <c r="CU28" s="142">
        <f t="shared" si="43"/>
        <v>250.65104166666663</v>
      </c>
      <c r="CV28" s="142">
        <f t="shared" si="44"/>
        <v>0.12557077625570776</v>
      </c>
      <c r="CW28" s="142">
        <f>up_b2w!BZ28</f>
        <v>22805.4847785862</v>
      </c>
      <c r="CX28" s="142">
        <f>IFERROR(s_C*up_RadSpec!AN28*(1/1000)*s_IFFI_far_adj*s_CF_far_fish,0)</f>
        <v>37.8125</v>
      </c>
      <c r="CY28" s="142">
        <f>(s_C*s_IFB_far_adj*s_CF_far_beef*up_RadSpec!AM28*s_Q_w_beef*(1/1000))</f>
        <v>189.0625</v>
      </c>
      <c r="CZ28" s="142">
        <f>(s_C*s_IFD_far_adj*s_CF_far_dairy*up_RadSpec!AL28*(1/s_D_milk)*s_Q_w_dairy*(1/1000))</f>
        <v>183.55582524271844</v>
      </c>
      <c r="DA28" s="142">
        <f>(s_C*s_IFSW_far_adj*s_CF_far_swine*up_RadSpec!AQ28*s_Q_w_swine*(1/1000))</f>
        <v>189.0625</v>
      </c>
      <c r="DB28" s="142">
        <f>(s_C*s_IFP_far_adj*s_CF_far_poultry*up_RadSpec!AO28*s_Q_w_poultry*(1/1000))</f>
        <v>189.0625</v>
      </c>
      <c r="DC28" s="142">
        <f>(s_C*s_IFE_far_adj*s_CF_far_egg*up_RadSpec!AP28*s_Q_w_egg*(1/1000))</f>
        <v>189.0625</v>
      </c>
      <c r="DD28" s="142">
        <f>(s_C*s_IFGO_far_adj*s_CF_far_goat*up_RadSpec!AT28*s_Q_p_goat*(1/1000))</f>
        <v>189.0625</v>
      </c>
      <c r="DE28" s="142">
        <f>(s_C*s_IFGM_far_adj*s_CF_far_goat_milk*up_RadSpec!AU28*(1/s_D_milk)*s_Q_p_goat_milk*(1/1000))</f>
        <v>183.55582524271844</v>
      </c>
      <c r="DF28" s="142">
        <f>(s_C*s_IFSH_far_adj*s_CF_far_sheep*up_RadSpec!AR28*s_Q_p_sheep*(1/1000))</f>
        <v>189.0625</v>
      </c>
      <c r="DG28" s="142">
        <f>(s_C*s_IFSM_far_adj*s_CF_far_sheep_milk*up_RadSpec!AS28*(1/s_D_milk)*s_Q_p_sheep_milk*(1/1000))</f>
        <v>183.55582524271844</v>
      </c>
      <c r="DH28" s="141"/>
      <c r="DI28" s="141">
        <f>IFERROR((s_DL/(up_RadSpec!L28*s_IFA_far_adj)),".")</f>
        <v>9.9740259740259754E-3</v>
      </c>
      <c r="DJ28" s="141">
        <f>IFERROR((s_DL/(up_RadSpec!O28*s_EF_far*(1/365)*s_ED_far*s_ET_far*(1/24)*s_GSF_a)),".")</f>
        <v>15.927272727272728</v>
      </c>
      <c r="DK28" s="141">
        <f t="shared" si="48"/>
        <v>9.9677839175609673E-3</v>
      </c>
      <c r="DL28" s="142">
        <f t="shared" si="46"/>
        <v>501.30208333333326</v>
      </c>
      <c r="DM28" s="142">
        <f t="shared" si="47"/>
        <v>0.3139269406392694</v>
      </c>
      <c r="DN28" s="127"/>
    </row>
    <row r="29" spans="1:118" customFormat="1" x14ac:dyDescent="0.25">
      <c r="A29" s="128" t="s">
        <v>27</v>
      </c>
      <c r="B29" s="129" t="s">
        <v>1059</v>
      </c>
      <c r="C29" s="141">
        <f>up_dir!AB29</f>
        <v>2.2038567493112948E-4</v>
      </c>
      <c r="D29" s="141">
        <f>IFERROR(s_DL/(up_RadSpec!J29*s_IFP_far_adj*s_CF_far_poultry),".")</f>
        <v>6.6115702479338848E-4</v>
      </c>
      <c r="E29" s="141">
        <f>IFERROR(s_DL/(up_RadSpec!J29*s_IFE_far_adj*s_CF_far_egg),".")</f>
        <v>6.6115702479338848E-4</v>
      </c>
      <c r="F29" s="141">
        <f>IFERROR(s_DL/(up_RadSpec!J29*s_IFB_far_adj*s_CF_far_beef),".")</f>
        <v>6.6115702479338848E-4</v>
      </c>
      <c r="G29" s="141">
        <f>IFERROR(s_DL/(up_RadSpec!J29*s_IFD_far_adj*s_CF_far_dairy),".")</f>
        <v>6.6115702479338848E-4</v>
      </c>
      <c r="H29" s="141">
        <f>IFERROR(s_DL/(up_RadSpec!J29*s_IFSW_far_adj*s_CF_far_swine),".")</f>
        <v>6.6115702479338848E-4</v>
      </c>
      <c r="I29" s="141">
        <f>IFERROR(s_DL/(up_RadSpec!J29*s_IFFI_far_adj*s_CF_far_fish),".")</f>
        <v>6.6115702479338848E-4</v>
      </c>
      <c r="J29" s="141">
        <f>IFERROR(s_DL/(up_RadSpec!J29*s_IFGO_far_adj*s_CF_far_goat),".")</f>
        <v>6.6115702479338848E-4</v>
      </c>
      <c r="K29" s="141">
        <f>IFERROR(s_DL/(up_RadSpec!J29*s_IFSH_far_adj*s_CF_far_sheep),".")</f>
        <v>6.6115702479338848E-4</v>
      </c>
      <c r="L29" s="141">
        <f>IFERROR(s_DL/(up_RadSpec!J29*s_IFGM_far_adj*s_CF_far_goat_milk),".")</f>
        <v>6.6115702479338848E-4</v>
      </c>
      <c r="M29" s="141">
        <f>IFERROR(s_DL/(up_RadSpec!J29*s_IFSM_far_adj*s_CF_far_sheep_milk),".")</f>
        <v>6.6115702479338848E-4</v>
      </c>
      <c r="N29" s="142">
        <f>up_dir!BA29</f>
        <v>22687.5</v>
      </c>
      <c r="O29" s="142">
        <f t="shared" si="0"/>
        <v>7562.5</v>
      </c>
      <c r="P29" s="142">
        <f t="shared" si="1"/>
        <v>7562.5</v>
      </c>
      <c r="Q29" s="142">
        <f t="shared" si="2"/>
        <v>7562.5</v>
      </c>
      <c r="R29" s="142">
        <f t="shared" si="3"/>
        <v>7562.5</v>
      </c>
      <c r="S29" s="142">
        <f t="shared" si="4"/>
        <v>7562.5</v>
      </c>
      <c r="T29" s="142">
        <f t="shared" si="5"/>
        <v>7562.5</v>
      </c>
      <c r="U29" s="142">
        <f t="shared" si="6"/>
        <v>7562.5</v>
      </c>
      <c r="V29" s="142">
        <f t="shared" si="7"/>
        <v>7562.5</v>
      </c>
      <c r="W29" s="142">
        <f t="shared" si="8"/>
        <v>7562.5</v>
      </c>
      <c r="X29" s="142">
        <f t="shared" si="9"/>
        <v>7562.5</v>
      </c>
      <c r="Y29" s="141">
        <f>IFERROR((s_DL/(up_RadSpec!I29*s_IFS_far_adj*(1/1000)))*1,".")</f>
        <v>0.33057851239669422</v>
      </c>
      <c r="Z29" s="141">
        <f>IFERROR(IF(A29="H-3",(s_DL/(up_RadSpec!L29*s_IFA_far_adj*(1/17)*1000))*1,(s_DL/(up_RadSpec!L29*s_IFA_far_adj*(1/s_PEF_wind)*1000))*1),".")</f>
        <v>3089.9917845330979</v>
      </c>
      <c r="AA29" s="141">
        <f>IFERROR((s_DL/(up_RadSpec!K29*s_EF_far*(1/365)*s_ED_far*up_RadSpec!V29*((s_ET_far_o*(1/24)*up_RadSpec!AA29)+(s_ET_far_i*(1/24)*up_RadSpec!AF29))))*1,".")</f>
        <v>117.85891703924496</v>
      </c>
      <c r="AB29" s="141">
        <f>up_b2s!BA29</f>
        <v>4.3958447178843029E-5</v>
      </c>
      <c r="AC29" s="141">
        <f>IFERROR(((I29*up_RadSpec!AX29)/up_RadSpec!AN29)*1,".")</f>
        <v>6.6115702479338848E-4</v>
      </c>
      <c r="AD29" s="141">
        <f>IFERROR((F29/(up_RadSpec!AM29*((s_Q_p_beef*s_f_p_beef*s_f_s_beef*(up_RadSpec!BG29+s_R_es_past))+(s_Q_s_beef*s_f_p_beef))))*1,".")</f>
        <v>1.8558793678410905E-7</v>
      </c>
      <c r="AE29" s="141">
        <f>IFERROR(((G29*s_D_milk)/(up_RadSpec!AL29*((s_Q_p_dairy*s_f_p_dairy*s_f_s_dairy*(up_RadSpec!BG29+s_R_es_past))+(s_Q_s_dairy*s_f_p_dairy))))*1,".")</f>
        <v>1.9115557488763231E-7</v>
      </c>
      <c r="AF29" s="141">
        <f>IFERROR((H29/(up_RadSpec!AQ29*((s_Q_p_swine*s_f_p_swine*s_f_s_swine*(up_RadSpec!BG29+s_R_es_past))+(s_Q_s_swine*s_f_p_swine))))*1,".")</f>
        <v>1.8558793678410905E-7</v>
      </c>
      <c r="AG29" s="141">
        <f>IFERROR((D29/(up_RadSpec!AO29*((s_Q_p_poultry*s_f_p_poultry*s_f_s_poultry*(up_RadSpec!BG29+s_R_es_past))+(s_Q_s_poultry*s_f_p_poultry))))*1,".")</f>
        <v>1.8558793678410905E-7</v>
      </c>
      <c r="AH29" s="141">
        <f>IFERROR((E29/(up_RadSpec!AP29*((s_Q_p_poultry*s_f_p_poultry*s_f_s_poultry*(up_RadSpec!BG29+s_R_es_past))+(s_Q_s_poultry*s_f_p_poultry))))*1,".")</f>
        <v>1.8558793678410905E-7</v>
      </c>
      <c r="AI29" s="141">
        <f>IFERROR((J29/(up_RadSpec!AT29*((s_Q_p_goat*s_f_p_goat*s_f_s_goat*(up_RadSpec!BG29+s_R_es_past))+(s_Q_s_goat*s_f_p_goat))))*1,".")</f>
        <v>1.8558793678410905E-7</v>
      </c>
      <c r="AJ29" s="141">
        <f>IFERROR((L29*s_D_milk/(up_RadSpec!AU29*((s_Q_p_goat_milk*s_f_p_goat_milk*s_f_s_goat_milk*(up_RadSpec!BG29+s_R_es_past))+(s_Q_s_goat_milk*s_f_p_goat_milk))))*1,".")</f>
        <v>1.9115557488763231E-7</v>
      </c>
      <c r="AK29" s="141">
        <f>IFERROR((K29/(up_RadSpec!AR29*((s_Q_p_sheep*s_f_p_sheep*s_f_s_sheep*(up_RadSpec!BG29+s_R_es_past))+(s_Q_s_sheep*s_f_p_sheep))))*1,".")</f>
        <v>1.8558793678410905E-7</v>
      </c>
      <c r="AL29" s="141">
        <f>IFERROR((M29*s_D_milk/(up_RadSpec!AS29*((s_Q_p_sheep_milk*s_f_p_sheep_milk*s_f_s_sheep_milk*(up_RadSpec!BG29+s_R_es_past))+(s_Q_s_sheep_milk*s_f_p_sheep_milk))))*1,".")</f>
        <v>1.9115557488763231E-7</v>
      </c>
      <c r="AM29" s="158">
        <f t="shared" si="10"/>
        <v>3.0249999999999999</v>
      </c>
      <c r="AN29" s="158">
        <f t="shared" si="11"/>
        <v>3.2362545590104258E-4</v>
      </c>
      <c r="AO29" s="158">
        <f t="shared" si="12"/>
        <v>8.4847207586933576E-3</v>
      </c>
      <c r="AP29" s="158">
        <f t="shared" si="13"/>
        <v>22748.756249999995</v>
      </c>
      <c r="AQ29" s="158">
        <f t="shared" si="14"/>
        <v>1512.5</v>
      </c>
      <c r="AR29" s="158">
        <f t="shared" si="15"/>
        <v>5388281.2499999991</v>
      </c>
      <c r="AS29" s="158">
        <f t="shared" si="16"/>
        <v>5231341.0194174759</v>
      </c>
      <c r="AT29" s="158">
        <f t="shared" si="17"/>
        <v>5388281.2499999991</v>
      </c>
      <c r="AU29" s="158">
        <f t="shared" si="18"/>
        <v>5388281.2499999991</v>
      </c>
      <c r="AV29" s="158">
        <f t="shared" si="19"/>
        <v>5388281.2499999991</v>
      </c>
      <c r="AW29" s="158">
        <f t="shared" si="20"/>
        <v>5388281.2499999991</v>
      </c>
      <c r="AX29" s="158">
        <f t="shared" si="21"/>
        <v>5231341.0194174759</v>
      </c>
      <c r="AY29" s="158">
        <f t="shared" si="22"/>
        <v>5388281.2499999991</v>
      </c>
      <c r="AZ29" s="158">
        <f t="shared" si="23"/>
        <v>5231341.0194174759</v>
      </c>
      <c r="BA29" s="141">
        <f t="shared" si="24"/>
        <v>2.0812531707257941E-8</v>
      </c>
      <c r="BB29" s="142">
        <f t="shared" si="25"/>
        <v>15.125</v>
      </c>
      <c r="BC29" s="142">
        <f t="shared" si="26"/>
        <v>1.618127279505213E-3</v>
      </c>
      <c r="BD29" s="142">
        <f>IFERROR((s_C*s_EF_far*(1/365)*s_ED_far*up_RadSpec!V29*((s_ET_far_o*(1/24)*up_RadSpec!AA29)+(s_ET_far_i*(1/24)*up_RadSpec!AF29))),".")</f>
        <v>4.242360379346679E-2</v>
      </c>
      <c r="BE29" s="142">
        <f>up_b2s!BZ29</f>
        <v>113743.78125</v>
      </c>
      <c r="BF29" s="142">
        <f>IFERROR(((s_C*up_RadSpec!AN29)/up_RadSpec!AX29)*s_IFFI_far_adj*s_CF_far_fish,0)</f>
        <v>7562.5</v>
      </c>
      <c r="BG29" s="142">
        <f>(s_C*s_IFB_far_adj*s_CF_far_beef*up_RadSpec!AM29*((s_Q_p_beef*s_f_p_beef*s_f_s_beef*(up_RadSpec!$AW29+s_R_es_past))+(s_Q_s_beef*s_f_p_beef)))</f>
        <v>26941406.25</v>
      </c>
      <c r="BH29" s="142">
        <f>(s_C*s_IFD_far_adj*s_CF_far_dairy*up_RadSpec!AL29*1/s_D_milk*((s_Q_p_dairy*s_f_p_dairy*s_f_s_dairy*(up_RadSpec!$AW29+s_R_es_past))+(s_Q_s_dairy*s_f_p_dairy)))</f>
        <v>26156705.09708738</v>
      </c>
      <c r="BI29" s="142">
        <f>(s_C*s_IFSW_far_adj*s_CF_far_swine*up_RadSpec!AQ29*((s_Q_p_swine*s_f_p_swine*s_f_s_swine*(up_RadSpec!$AW29+s_R_es_past))+(s_Q_s_swine*s_f_p_swine)))</f>
        <v>26941406.25</v>
      </c>
      <c r="BJ29" s="142">
        <f>(s_C*s_IFP_far_adj*s_CF_far_poultry*up_RadSpec!AO29*((s_Q_p_poultry*s_f_p_poultry*s_f_s_poultry*(up_RadSpec!AW29+s_R_es_past))+(s_Q_s_poultry*s_f_p_poultry)))</f>
        <v>26941406.25</v>
      </c>
      <c r="BK29" s="142">
        <f>(s_C*s_IFE_far_adj*s_CF_far_egg*up_RadSpec!AP29*((s_Q_p_egg*s_f_p_egg*s_f_s_egg*(up_RadSpec!$AW29+s_R_es_past))+(s_Q_s_egg*s_f_p_egg)))</f>
        <v>26941406.25</v>
      </c>
      <c r="BL29" s="142">
        <f>(s_C*s_IFGO_far_adj*s_CF_far_goat*up_RadSpec!AT29*((s_Q_p_goat*s_f_p_goat*s_f_s_goat*(up_RadSpec!$AW29+s_R_es_past))+(s_Q_s_goat*s_f_p_goat)))</f>
        <v>26941406.25</v>
      </c>
      <c r="BM29" s="142">
        <f>(s_C*s_IFGM_far_adj*s_CF_far_goat_milk*up_RadSpec!AU29*1/s_D_milk*((s_Q_p_goat_milk*s_f_p_goat_milk*s_f_s_goat_milk*(up_RadSpec!$AW29+s_R_es_past))+(s_Q_s_goat_milk*s_f_p_goat_milk)))</f>
        <v>26156705.09708738</v>
      </c>
      <c r="BN29" s="142">
        <f>(s_C*s_IFSH_far_adj*s_CF_far_sheep*up_RadSpec!AR29*((s_Q_p_sheep*s_f_p_sheep*s_f_s_sheep*(up_RadSpec!$AW29+s_R_es_past))+(s_Q_s_sheep*s_f_p_sheep)))</f>
        <v>26941406.25</v>
      </c>
      <c r="BO29" s="142">
        <f>(s_C*s_IFSM_far_adj*s_CF_far_sheep_milk*up_RadSpec!AS29*1/s_D_milk*((s_Q_p_sheep_milk*s_f_p_sheep_milk*s_f_s_sheep_milk*(up_RadSpec!$AW29+s_R_es_past))+(s_Q_s_sheep_milk*s_f_p_sheep_milk)))</f>
        <v>26156705.09708738</v>
      </c>
      <c r="BP29" s="141"/>
      <c r="BQ29" s="141">
        <f>IFERROR(s_DL/(up_RadSpec!M29*s_IFW_far_adj),".")</f>
        <v>3.6363636363636364E-3</v>
      </c>
      <c r="BR29" s="141" t="str">
        <f>IFERROR(IF(up_RadSpec!C29=1,s_DL/(up_RadSpec!L29*s_IFA_far_adj*s_K),"."),".")</f>
        <v>.</v>
      </c>
      <c r="BS29" s="141">
        <f>IFERROR((s_DL/(up_RadSpec!Q29*(1/8760)*s_DFA_far_adj)),".")</f>
        <v>39.81818181818182</v>
      </c>
      <c r="BT29" s="141">
        <f>up_b2w!BA29</f>
        <v>2.1924550381384044E-4</v>
      </c>
      <c r="BU29" s="141">
        <f>IFERROR(I29/(up_RadSpec!AN29*(1/1000)),".")</f>
        <v>0.13223140495867769</v>
      </c>
      <c r="BV29" s="141">
        <f>IFERROR(F29/(up_RadSpec!AM29*s_Q_w_beef*(1/1000)),".")</f>
        <v>2.6446280991735537E-2</v>
      </c>
      <c r="BW29" s="141">
        <f>IFERROR((G29*s_D_milk)/(up_RadSpec!AL29*s_Q_w_dairy*(1/1000)),".")</f>
        <v>2.7239669421487603E-2</v>
      </c>
      <c r="BX29" s="141">
        <f>IFERROR(H29/(up_RadSpec!AQ29*s_Q_w_swine*(1/1000)),".")</f>
        <v>2.6446280991735537E-2</v>
      </c>
      <c r="BY29" s="141">
        <f>IFERROR(D29/(up_RadSpec!AO29*s_Q_w_poultry*(1/1000)),".")</f>
        <v>2.6446280991735537E-2</v>
      </c>
      <c r="BZ29" s="141">
        <f>IFERROR(E29/(up_RadSpec!AP29*s_Q_w_poultry*(1/1000)),".")</f>
        <v>2.6446280991735537E-2</v>
      </c>
      <c r="CA29" s="141">
        <f>IFERROR(J29/(up_RadSpec!AT29*s_Q_w_goat*(1/1000)),".")</f>
        <v>2.6446280991735537E-2</v>
      </c>
      <c r="CB29" s="141">
        <f>IFERROR(L29*s_D_milk/(up_RadSpec!AU29*s_Q_w_goat_milk*(1/1000)),".")</f>
        <v>2.7239669421487603E-2</v>
      </c>
      <c r="CC29" s="141">
        <f>IFERROR(K29/(up_RadSpec!AR29*s_Q_w_sheep*(1/1000)),".")</f>
        <v>2.6446280991735537E-2</v>
      </c>
      <c r="CD29" s="141">
        <f>IFERROR(M29*s_D_milk/(up_RadSpec!AS29*s_Q_w_sheep_milk*(1/1000)),".")</f>
        <v>2.7239669421487603E-2</v>
      </c>
      <c r="CE29" s="158">
        <f t="shared" si="27"/>
        <v>275</v>
      </c>
      <c r="CF29" s="158" t="str">
        <f t="shared" si="28"/>
        <v>.</v>
      </c>
      <c r="CG29" s="158">
        <f t="shared" si="29"/>
        <v>2.5114155251141551E-2</v>
      </c>
      <c r="CH29" s="158">
        <f t="shared" si="30"/>
        <v>4561.0969557172393</v>
      </c>
      <c r="CI29" s="158">
        <f t="shared" si="31"/>
        <v>7.5625</v>
      </c>
      <c r="CJ29" s="158">
        <f t="shared" si="32"/>
        <v>37.8125</v>
      </c>
      <c r="CK29" s="158">
        <f t="shared" si="33"/>
        <v>36.711165048543691</v>
      </c>
      <c r="CL29" s="158">
        <f t="shared" si="34"/>
        <v>37.8125</v>
      </c>
      <c r="CM29" s="158">
        <f t="shared" si="35"/>
        <v>37.8125</v>
      </c>
      <c r="CN29" s="158">
        <f t="shared" si="36"/>
        <v>37.8125</v>
      </c>
      <c r="CO29" s="158">
        <f t="shared" si="37"/>
        <v>37.8125</v>
      </c>
      <c r="CP29" s="158">
        <f t="shared" si="38"/>
        <v>36.711165048543691</v>
      </c>
      <c r="CQ29" s="158">
        <f t="shared" si="39"/>
        <v>37.8125</v>
      </c>
      <c r="CR29" s="158">
        <f t="shared" si="40"/>
        <v>36.711165048543691</v>
      </c>
      <c r="CS29" s="141">
        <f t="shared" si="41"/>
        <v>1.9302436709720458E-4</v>
      </c>
      <c r="CT29" s="142">
        <f t="shared" si="42"/>
        <v>1375</v>
      </c>
      <c r="CU29" s="142">
        <f t="shared" si="43"/>
        <v>250.65104166666663</v>
      </c>
      <c r="CV29" s="142">
        <f t="shared" si="44"/>
        <v>0.12557077625570776</v>
      </c>
      <c r="CW29" s="142">
        <f>up_b2w!BZ29</f>
        <v>22805.4847785862</v>
      </c>
      <c r="CX29" s="142">
        <f>IFERROR(s_C*up_RadSpec!AN29*(1/1000)*s_IFFI_far_adj*s_CF_far_fish,0)</f>
        <v>37.8125</v>
      </c>
      <c r="CY29" s="142">
        <f>(s_C*s_IFB_far_adj*s_CF_far_beef*up_RadSpec!AM29*s_Q_w_beef*(1/1000))</f>
        <v>189.0625</v>
      </c>
      <c r="CZ29" s="142">
        <f>(s_C*s_IFD_far_adj*s_CF_far_dairy*up_RadSpec!AL29*(1/s_D_milk)*s_Q_w_dairy*(1/1000))</f>
        <v>183.55582524271844</v>
      </c>
      <c r="DA29" s="142">
        <f>(s_C*s_IFSW_far_adj*s_CF_far_swine*up_RadSpec!AQ29*s_Q_w_swine*(1/1000))</f>
        <v>189.0625</v>
      </c>
      <c r="DB29" s="142">
        <f>(s_C*s_IFP_far_adj*s_CF_far_poultry*up_RadSpec!AO29*s_Q_w_poultry*(1/1000))</f>
        <v>189.0625</v>
      </c>
      <c r="DC29" s="142">
        <f>(s_C*s_IFE_far_adj*s_CF_far_egg*up_RadSpec!AP29*s_Q_w_egg*(1/1000))</f>
        <v>189.0625</v>
      </c>
      <c r="DD29" s="142">
        <f>(s_C*s_IFGO_far_adj*s_CF_far_goat*up_RadSpec!AT29*s_Q_p_goat*(1/1000))</f>
        <v>189.0625</v>
      </c>
      <c r="DE29" s="142">
        <f>(s_C*s_IFGM_far_adj*s_CF_far_goat_milk*up_RadSpec!AU29*(1/s_D_milk)*s_Q_p_goat_milk*(1/1000))</f>
        <v>183.55582524271844</v>
      </c>
      <c r="DF29" s="142">
        <f>(s_C*s_IFSH_far_adj*s_CF_far_sheep*up_RadSpec!AR29*s_Q_p_sheep*(1/1000))</f>
        <v>189.0625</v>
      </c>
      <c r="DG29" s="142">
        <f>(s_C*s_IFSM_far_adj*s_CF_far_sheep_milk*up_RadSpec!AS29*(1/s_D_milk)*s_Q_p_sheep_milk*(1/1000))</f>
        <v>183.55582524271844</v>
      </c>
      <c r="DH29" s="141"/>
      <c r="DI29" s="141">
        <f>IFERROR((s_DL/(up_RadSpec!L29*s_IFA_far_adj)),".")</f>
        <v>9.9740259740259754E-3</v>
      </c>
      <c r="DJ29" s="141">
        <f>IFERROR((s_DL/(up_RadSpec!O29*s_EF_far*(1/365)*s_ED_far*s_ET_far*(1/24)*s_GSF_a)),".")</f>
        <v>15.927272727272728</v>
      </c>
      <c r="DK29" s="141">
        <f t="shared" si="48"/>
        <v>9.9677839175609673E-3</v>
      </c>
      <c r="DL29" s="142">
        <f t="shared" si="46"/>
        <v>501.30208333333326</v>
      </c>
      <c r="DM29" s="142">
        <f t="shared" si="47"/>
        <v>0.3139269406392694</v>
      </c>
      <c r="DN29" s="127"/>
    </row>
    <row r="30" spans="1:118" customFormat="1" x14ac:dyDescent="0.25">
      <c r="A30" s="128" t="s">
        <v>28</v>
      </c>
      <c r="B30" s="129" t="s">
        <v>1059</v>
      </c>
      <c r="C30" s="141">
        <f>up_dir!AB30</f>
        <v>2.2038567493112948E-4</v>
      </c>
      <c r="D30" s="141">
        <f>IFERROR(s_DL/(up_RadSpec!J30*s_IFP_far_adj*s_CF_far_poultry),".")</f>
        <v>6.6115702479338848E-4</v>
      </c>
      <c r="E30" s="141">
        <f>IFERROR(s_DL/(up_RadSpec!J30*s_IFE_far_adj*s_CF_far_egg),".")</f>
        <v>6.6115702479338848E-4</v>
      </c>
      <c r="F30" s="141">
        <f>IFERROR(s_DL/(up_RadSpec!J30*s_IFB_far_adj*s_CF_far_beef),".")</f>
        <v>6.6115702479338848E-4</v>
      </c>
      <c r="G30" s="141">
        <f>IFERROR(s_DL/(up_RadSpec!J30*s_IFD_far_adj*s_CF_far_dairy),".")</f>
        <v>6.6115702479338848E-4</v>
      </c>
      <c r="H30" s="141">
        <f>IFERROR(s_DL/(up_RadSpec!J30*s_IFSW_far_adj*s_CF_far_swine),".")</f>
        <v>6.6115702479338848E-4</v>
      </c>
      <c r="I30" s="141">
        <f>IFERROR(s_DL/(up_RadSpec!J30*s_IFFI_far_adj*s_CF_far_fish),".")</f>
        <v>6.6115702479338848E-4</v>
      </c>
      <c r="J30" s="141">
        <f>IFERROR(s_DL/(up_RadSpec!J30*s_IFGO_far_adj*s_CF_far_goat),".")</f>
        <v>6.6115702479338848E-4</v>
      </c>
      <c r="K30" s="141">
        <f>IFERROR(s_DL/(up_RadSpec!J30*s_IFSH_far_adj*s_CF_far_sheep),".")</f>
        <v>6.6115702479338848E-4</v>
      </c>
      <c r="L30" s="141">
        <f>IFERROR(s_DL/(up_RadSpec!J30*s_IFGM_far_adj*s_CF_far_goat_milk),".")</f>
        <v>6.6115702479338848E-4</v>
      </c>
      <c r="M30" s="141">
        <f>IFERROR(s_DL/(up_RadSpec!J30*s_IFSM_far_adj*s_CF_far_sheep_milk),".")</f>
        <v>6.6115702479338848E-4</v>
      </c>
      <c r="N30" s="142">
        <f>up_dir!BA30</f>
        <v>22687.5</v>
      </c>
      <c r="O30" s="142">
        <f t="shared" si="0"/>
        <v>7562.5</v>
      </c>
      <c r="P30" s="142">
        <f t="shared" si="1"/>
        <v>7562.5</v>
      </c>
      <c r="Q30" s="142">
        <f t="shared" si="2"/>
        <v>7562.5</v>
      </c>
      <c r="R30" s="142">
        <f t="shared" si="3"/>
        <v>7562.5</v>
      </c>
      <c r="S30" s="142">
        <f t="shared" si="4"/>
        <v>7562.5</v>
      </c>
      <c r="T30" s="142">
        <f t="shared" si="5"/>
        <v>7562.5</v>
      </c>
      <c r="U30" s="142">
        <f t="shared" si="6"/>
        <v>7562.5</v>
      </c>
      <c r="V30" s="142">
        <f t="shared" si="7"/>
        <v>7562.5</v>
      </c>
      <c r="W30" s="142">
        <f t="shared" si="8"/>
        <v>7562.5</v>
      </c>
      <c r="X30" s="142">
        <f t="shared" si="9"/>
        <v>7562.5</v>
      </c>
      <c r="Y30" s="141">
        <f>IFERROR((s_DL/(up_RadSpec!I30*s_IFS_far_adj*(1/1000)))*1,".")</f>
        <v>0.33057851239669422</v>
      </c>
      <c r="Z30" s="141">
        <f>IFERROR(IF(A30="H-3",(s_DL/(up_RadSpec!L30*s_IFA_far_adj*(1/17)*1000))*1,(s_DL/(up_RadSpec!L30*s_IFA_far_adj*(1/s_PEF_wind)*1000))*1),".")</f>
        <v>3089.9917845330979</v>
      </c>
      <c r="AA30" s="141">
        <f>IFERROR((s_DL/(up_RadSpec!K30*s_EF_far*(1/365)*s_ED_far*up_RadSpec!V30*((s_ET_far_o*(1/24)*up_RadSpec!AA30)+(s_ET_far_i*(1/24)*up_RadSpec!AF30))))*1,".")</f>
        <v>1106.0606060606062</v>
      </c>
      <c r="AB30" s="141">
        <f>up_b2s!BA30</f>
        <v>4.3958447178843029E-5</v>
      </c>
      <c r="AC30" s="141">
        <f>IFERROR(((I30*up_RadSpec!AX30)/up_RadSpec!AN30)*1,".")</f>
        <v>6.6115702479338848E-4</v>
      </c>
      <c r="AD30" s="141">
        <f>IFERROR((F30/(up_RadSpec!AM30*((s_Q_p_beef*s_f_p_beef*s_f_s_beef*(up_RadSpec!BG30+s_R_es_past))+(s_Q_s_beef*s_f_p_beef))))*1,".")</f>
        <v>1.8558793678410905E-7</v>
      </c>
      <c r="AE30" s="141">
        <f>IFERROR(((G30*s_D_milk)/(up_RadSpec!AL30*((s_Q_p_dairy*s_f_p_dairy*s_f_s_dairy*(up_RadSpec!BG30+s_R_es_past))+(s_Q_s_dairy*s_f_p_dairy))))*1,".")</f>
        <v>1.9115557488763231E-7</v>
      </c>
      <c r="AF30" s="141">
        <f>IFERROR((H30/(up_RadSpec!AQ30*((s_Q_p_swine*s_f_p_swine*s_f_s_swine*(up_RadSpec!BG30+s_R_es_past))+(s_Q_s_swine*s_f_p_swine))))*1,".")</f>
        <v>1.8558793678410905E-7</v>
      </c>
      <c r="AG30" s="141">
        <f>IFERROR((D30/(up_RadSpec!AO30*((s_Q_p_poultry*s_f_p_poultry*s_f_s_poultry*(up_RadSpec!BG30+s_R_es_past))+(s_Q_s_poultry*s_f_p_poultry))))*1,".")</f>
        <v>1.8558793678410905E-7</v>
      </c>
      <c r="AH30" s="141">
        <f>IFERROR((E30/(up_RadSpec!AP30*((s_Q_p_poultry*s_f_p_poultry*s_f_s_poultry*(up_RadSpec!BG30+s_R_es_past))+(s_Q_s_poultry*s_f_p_poultry))))*1,".")</f>
        <v>1.8558793678410905E-7</v>
      </c>
      <c r="AI30" s="141">
        <f>IFERROR((J30/(up_RadSpec!AT30*((s_Q_p_goat*s_f_p_goat*s_f_s_goat*(up_RadSpec!BG30+s_R_es_past))+(s_Q_s_goat*s_f_p_goat))))*1,".")</f>
        <v>1.8558793678410905E-7</v>
      </c>
      <c r="AJ30" s="141">
        <f>IFERROR((L30*s_D_milk/(up_RadSpec!AU30*((s_Q_p_goat_milk*s_f_p_goat_milk*s_f_s_goat_milk*(up_RadSpec!BG30+s_R_es_past))+(s_Q_s_goat_milk*s_f_p_goat_milk))))*1,".")</f>
        <v>1.9115557488763231E-7</v>
      </c>
      <c r="AK30" s="141">
        <f>IFERROR((K30/(up_RadSpec!AR30*((s_Q_p_sheep*s_f_p_sheep*s_f_s_sheep*(up_RadSpec!BG30+s_R_es_past))+(s_Q_s_sheep*s_f_p_sheep))))*1,".")</f>
        <v>1.8558793678410905E-7</v>
      </c>
      <c r="AL30" s="141">
        <f>IFERROR((M30*s_D_milk/(up_RadSpec!AS30*((s_Q_p_sheep_milk*s_f_p_sheep_milk*s_f_s_sheep_milk*(up_RadSpec!BG30+s_R_es_past))+(s_Q_s_sheep_milk*s_f_p_sheep_milk))))*1,".")</f>
        <v>1.9115557488763231E-7</v>
      </c>
      <c r="AM30" s="158">
        <f t="shared" si="10"/>
        <v>3.0249999999999999</v>
      </c>
      <c r="AN30" s="158">
        <f t="shared" si="11"/>
        <v>3.2362545590104258E-4</v>
      </c>
      <c r="AO30" s="158">
        <f t="shared" si="12"/>
        <v>9.0410958904109579E-4</v>
      </c>
      <c r="AP30" s="158">
        <f t="shared" si="13"/>
        <v>22748.756249999995</v>
      </c>
      <c r="AQ30" s="158">
        <f t="shared" si="14"/>
        <v>1512.5</v>
      </c>
      <c r="AR30" s="158">
        <f t="shared" si="15"/>
        <v>5388281.2499999991</v>
      </c>
      <c r="AS30" s="158">
        <f t="shared" si="16"/>
        <v>5231341.0194174759</v>
      </c>
      <c r="AT30" s="158">
        <f t="shared" si="17"/>
        <v>5388281.2499999991</v>
      </c>
      <c r="AU30" s="158">
        <f t="shared" si="18"/>
        <v>5388281.2499999991</v>
      </c>
      <c r="AV30" s="158">
        <f t="shared" si="19"/>
        <v>5388281.2499999991</v>
      </c>
      <c r="AW30" s="158">
        <f t="shared" si="20"/>
        <v>5388281.2499999991</v>
      </c>
      <c r="AX30" s="158">
        <f t="shared" si="21"/>
        <v>5231341.0194174759</v>
      </c>
      <c r="AY30" s="158">
        <f t="shared" si="22"/>
        <v>5388281.2499999991</v>
      </c>
      <c r="AZ30" s="158">
        <f t="shared" si="23"/>
        <v>5231341.0194174759</v>
      </c>
      <c r="BA30" s="141">
        <f t="shared" si="24"/>
        <v>2.081253171054157E-8</v>
      </c>
      <c r="BB30" s="142">
        <f t="shared" si="25"/>
        <v>15.125</v>
      </c>
      <c r="BC30" s="142">
        <f t="shared" si="26"/>
        <v>1.618127279505213E-3</v>
      </c>
      <c r="BD30" s="142">
        <f>IFERROR((s_C*s_EF_far*(1/365)*s_ED_far*up_RadSpec!V30*((s_ET_far_o*(1/24)*up_RadSpec!AA30)+(s_ET_far_i*(1/24)*up_RadSpec!AF30))),".")</f>
        <v>4.5205479452054788E-3</v>
      </c>
      <c r="BE30" s="142">
        <f>up_b2s!BZ30</f>
        <v>113743.78125</v>
      </c>
      <c r="BF30" s="142">
        <f>IFERROR(((s_C*up_RadSpec!AN30)/up_RadSpec!AX30)*s_IFFI_far_adj*s_CF_far_fish,0)</f>
        <v>7562.5</v>
      </c>
      <c r="BG30" s="142">
        <f>(s_C*s_IFB_far_adj*s_CF_far_beef*up_RadSpec!AM30*((s_Q_p_beef*s_f_p_beef*s_f_s_beef*(up_RadSpec!$AW30+s_R_es_past))+(s_Q_s_beef*s_f_p_beef)))</f>
        <v>26941406.25</v>
      </c>
      <c r="BH30" s="142">
        <f>(s_C*s_IFD_far_adj*s_CF_far_dairy*up_RadSpec!AL30*1/s_D_milk*((s_Q_p_dairy*s_f_p_dairy*s_f_s_dairy*(up_RadSpec!$AW30+s_R_es_past))+(s_Q_s_dairy*s_f_p_dairy)))</f>
        <v>26156705.09708738</v>
      </c>
      <c r="BI30" s="142">
        <f>(s_C*s_IFSW_far_adj*s_CF_far_swine*up_RadSpec!AQ30*((s_Q_p_swine*s_f_p_swine*s_f_s_swine*(up_RadSpec!$AW30+s_R_es_past))+(s_Q_s_swine*s_f_p_swine)))</f>
        <v>26941406.25</v>
      </c>
      <c r="BJ30" s="142">
        <f>(s_C*s_IFP_far_adj*s_CF_far_poultry*up_RadSpec!AO30*((s_Q_p_poultry*s_f_p_poultry*s_f_s_poultry*(up_RadSpec!AW30+s_R_es_past))+(s_Q_s_poultry*s_f_p_poultry)))</f>
        <v>26941406.25</v>
      </c>
      <c r="BK30" s="142">
        <f>(s_C*s_IFE_far_adj*s_CF_far_egg*up_RadSpec!AP30*((s_Q_p_egg*s_f_p_egg*s_f_s_egg*(up_RadSpec!$AW30+s_R_es_past))+(s_Q_s_egg*s_f_p_egg)))</f>
        <v>26941406.25</v>
      </c>
      <c r="BL30" s="142">
        <f>(s_C*s_IFGO_far_adj*s_CF_far_goat*up_RadSpec!AT30*((s_Q_p_goat*s_f_p_goat*s_f_s_goat*(up_RadSpec!$AW30+s_R_es_past))+(s_Q_s_goat*s_f_p_goat)))</f>
        <v>26941406.25</v>
      </c>
      <c r="BM30" s="142">
        <f>(s_C*s_IFGM_far_adj*s_CF_far_goat_milk*up_RadSpec!AU30*1/s_D_milk*((s_Q_p_goat_milk*s_f_p_goat_milk*s_f_s_goat_milk*(up_RadSpec!$AW30+s_R_es_past))+(s_Q_s_goat_milk*s_f_p_goat_milk)))</f>
        <v>26156705.09708738</v>
      </c>
      <c r="BN30" s="142">
        <f>(s_C*s_IFSH_far_adj*s_CF_far_sheep*up_RadSpec!AR30*((s_Q_p_sheep*s_f_p_sheep*s_f_s_sheep*(up_RadSpec!$AW30+s_R_es_past))+(s_Q_s_sheep*s_f_p_sheep)))</f>
        <v>26941406.25</v>
      </c>
      <c r="BO30" s="142">
        <f>(s_C*s_IFSM_far_adj*s_CF_far_sheep_milk*up_RadSpec!AS30*1/s_D_milk*((s_Q_p_sheep_milk*s_f_p_sheep_milk*s_f_s_sheep_milk*(up_RadSpec!$AW30+s_R_es_past))+(s_Q_s_sheep_milk*s_f_p_sheep_milk)))</f>
        <v>26156705.09708738</v>
      </c>
      <c r="BP30" s="141"/>
      <c r="BQ30" s="141">
        <f>IFERROR(s_DL/(up_RadSpec!M30*s_IFW_far_adj),".")</f>
        <v>3.6363636363636364E-3</v>
      </c>
      <c r="BR30" s="141" t="str">
        <f>IFERROR(IF(up_RadSpec!C30=1,s_DL/(up_RadSpec!L30*s_IFA_far_adj*s_K),"."),".")</f>
        <v>.</v>
      </c>
      <c r="BS30" s="141">
        <f>IFERROR((s_DL/(up_RadSpec!Q30*(1/8760)*s_DFA_far_adj)),".")</f>
        <v>39.81818181818182</v>
      </c>
      <c r="BT30" s="141">
        <f>up_b2w!BA30</f>
        <v>2.1924550381384044E-4</v>
      </c>
      <c r="BU30" s="141">
        <f>IFERROR(I30/(up_RadSpec!AN30*(1/1000)),".")</f>
        <v>0.13223140495867769</v>
      </c>
      <c r="BV30" s="141">
        <f>IFERROR(F30/(up_RadSpec!AM30*s_Q_w_beef*(1/1000)),".")</f>
        <v>2.6446280991735537E-2</v>
      </c>
      <c r="BW30" s="141">
        <f>IFERROR((G30*s_D_milk)/(up_RadSpec!AL30*s_Q_w_dairy*(1/1000)),".")</f>
        <v>2.7239669421487603E-2</v>
      </c>
      <c r="BX30" s="141">
        <f>IFERROR(H30/(up_RadSpec!AQ30*s_Q_w_swine*(1/1000)),".")</f>
        <v>2.6446280991735537E-2</v>
      </c>
      <c r="BY30" s="141">
        <f>IFERROR(D30/(up_RadSpec!AO30*s_Q_w_poultry*(1/1000)),".")</f>
        <v>2.6446280991735537E-2</v>
      </c>
      <c r="BZ30" s="141">
        <f>IFERROR(E30/(up_RadSpec!AP30*s_Q_w_poultry*(1/1000)),".")</f>
        <v>2.6446280991735537E-2</v>
      </c>
      <c r="CA30" s="141">
        <f>IFERROR(J30/(up_RadSpec!AT30*s_Q_w_goat*(1/1000)),".")</f>
        <v>2.6446280991735537E-2</v>
      </c>
      <c r="CB30" s="141">
        <f>IFERROR(L30*s_D_milk/(up_RadSpec!AU30*s_Q_w_goat_milk*(1/1000)),".")</f>
        <v>2.7239669421487603E-2</v>
      </c>
      <c r="CC30" s="141">
        <f>IFERROR(K30/(up_RadSpec!AR30*s_Q_w_sheep*(1/1000)),".")</f>
        <v>2.6446280991735537E-2</v>
      </c>
      <c r="CD30" s="141">
        <f>IFERROR(M30*s_D_milk/(up_RadSpec!AS30*s_Q_w_sheep_milk*(1/1000)),".")</f>
        <v>2.7239669421487603E-2</v>
      </c>
      <c r="CE30" s="158">
        <f t="shared" si="27"/>
        <v>275</v>
      </c>
      <c r="CF30" s="158" t="str">
        <f t="shared" si="28"/>
        <v>.</v>
      </c>
      <c r="CG30" s="158">
        <f t="shared" si="29"/>
        <v>2.5114155251141551E-2</v>
      </c>
      <c r="CH30" s="158">
        <f t="shared" si="30"/>
        <v>4561.0969557172393</v>
      </c>
      <c r="CI30" s="158">
        <f t="shared" si="31"/>
        <v>7.5625</v>
      </c>
      <c r="CJ30" s="158">
        <f t="shared" si="32"/>
        <v>37.8125</v>
      </c>
      <c r="CK30" s="158">
        <f t="shared" si="33"/>
        <v>36.711165048543691</v>
      </c>
      <c r="CL30" s="158">
        <f t="shared" si="34"/>
        <v>37.8125</v>
      </c>
      <c r="CM30" s="158">
        <f t="shared" si="35"/>
        <v>37.8125</v>
      </c>
      <c r="CN30" s="158">
        <f t="shared" si="36"/>
        <v>37.8125</v>
      </c>
      <c r="CO30" s="158">
        <f t="shared" si="37"/>
        <v>37.8125</v>
      </c>
      <c r="CP30" s="158">
        <f t="shared" si="38"/>
        <v>36.711165048543691</v>
      </c>
      <c r="CQ30" s="158">
        <f t="shared" si="39"/>
        <v>37.8125</v>
      </c>
      <c r="CR30" s="158">
        <f t="shared" si="40"/>
        <v>36.711165048543691</v>
      </c>
      <c r="CS30" s="141">
        <f t="shared" si="41"/>
        <v>1.9302436709720458E-4</v>
      </c>
      <c r="CT30" s="142">
        <f t="shared" si="42"/>
        <v>1375</v>
      </c>
      <c r="CU30" s="142">
        <f t="shared" si="43"/>
        <v>250.65104166666663</v>
      </c>
      <c r="CV30" s="142">
        <f t="shared" si="44"/>
        <v>0.12557077625570776</v>
      </c>
      <c r="CW30" s="142">
        <f>up_b2w!BZ30</f>
        <v>22805.4847785862</v>
      </c>
      <c r="CX30" s="142">
        <f>IFERROR(s_C*up_RadSpec!AN30*(1/1000)*s_IFFI_far_adj*s_CF_far_fish,0)</f>
        <v>37.8125</v>
      </c>
      <c r="CY30" s="142">
        <f>(s_C*s_IFB_far_adj*s_CF_far_beef*up_RadSpec!AM30*s_Q_w_beef*(1/1000))</f>
        <v>189.0625</v>
      </c>
      <c r="CZ30" s="142">
        <f>(s_C*s_IFD_far_adj*s_CF_far_dairy*up_RadSpec!AL30*(1/s_D_milk)*s_Q_w_dairy*(1/1000))</f>
        <v>183.55582524271844</v>
      </c>
      <c r="DA30" s="142">
        <f>(s_C*s_IFSW_far_adj*s_CF_far_swine*up_RadSpec!AQ30*s_Q_w_swine*(1/1000))</f>
        <v>189.0625</v>
      </c>
      <c r="DB30" s="142">
        <f>(s_C*s_IFP_far_adj*s_CF_far_poultry*up_RadSpec!AO30*s_Q_w_poultry*(1/1000))</f>
        <v>189.0625</v>
      </c>
      <c r="DC30" s="142">
        <f>(s_C*s_IFE_far_adj*s_CF_far_egg*up_RadSpec!AP30*s_Q_w_egg*(1/1000))</f>
        <v>189.0625</v>
      </c>
      <c r="DD30" s="142">
        <f>(s_C*s_IFGO_far_adj*s_CF_far_goat*up_RadSpec!AT30*s_Q_p_goat*(1/1000))</f>
        <v>189.0625</v>
      </c>
      <c r="DE30" s="142">
        <f>(s_C*s_IFGM_far_adj*s_CF_far_goat_milk*up_RadSpec!AU30*(1/s_D_milk)*s_Q_p_goat_milk*(1/1000))</f>
        <v>183.55582524271844</v>
      </c>
      <c r="DF30" s="142">
        <f>(s_C*s_IFSH_far_adj*s_CF_far_sheep*up_RadSpec!AR30*s_Q_p_sheep*(1/1000))</f>
        <v>189.0625</v>
      </c>
      <c r="DG30" s="142">
        <f>(s_C*s_IFSM_far_adj*s_CF_far_sheep_milk*up_RadSpec!AS30*(1/s_D_milk)*s_Q_p_sheep_milk*(1/1000))</f>
        <v>183.55582524271844</v>
      </c>
      <c r="DH30" s="141"/>
      <c r="DI30" s="141">
        <f>IFERROR((s_DL/(up_RadSpec!L30*s_IFA_far_adj)),".")</f>
        <v>9.9740259740259754E-3</v>
      </c>
      <c r="DJ30" s="141">
        <f>IFERROR((s_DL/(up_RadSpec!O30*s_EF_far*(1/365)*s_ED_far*s_ET_far*(1/24)*s_GSF_a)),".")</f>
        <v>15.927272727272728</v>
      </c>
      <c r="DK30" s="141">
        <f t="shared" si="48"/>
        <v>9.9677839175609673E-3</v>
      </c>
      <c r="DL30" s="142">
        <f t="shared" si="46"/>
        <v>501.30208333333326</v>
      </c>
      <c r="DM30" s="142">
        <f t="shared" si="47"/>
        <v>0.3139269406392694</v>
      </c>
      <c r="DN30" s="127"/>
    </row>
    <row r="31" spans="1:118" x14ac:dyDescent="0.25">
      <c r="A31" s="132" t="s">
        <v>1</v>
      </c>
      <c r="B31" s="132" t="s">
        <v>1059</v>
      </c>
      <c r="C31" s="134">
        <f t="shared" ref="C31:M31" si="49">1/SUM(1/C32,1/C33,1/C34,1/C35,1/C36,1/C37,1/C38,1/C39,1/C40,1/C41,1/C42,1/C43,1/C44)</f>
        <v>1.8366023891644204E-5</v>
      </c>
      <c r="D31" s="134">
        <f t="shared" si="49"/>
        <v>5.5098071674932618E-5</v>
      </c>
      <c r="E31" s="134">
        <f t="shared" si="49"/>
        <v>5.5098071674932618E-5</v>
      </c>
      <c r="F31" s="134">
        <f t="shared" si="49"/>
        <v>5.5098071674932618E-5</v>
      </c>
      <c r="G31" s="134">
        <f t="shared" si="49"/>
        <v>5.5098071674932618E-5</v>
      </c>
      <c r="H31" s="134">
        <f t="shared" si="49"/>
        <v>5.5098071674932618E-5</v>
      </c>
      <c r="I31" s="134">
        <f t="shared" si="49"/>
        <v>5.5098071674932618E-5</v>
      </c>
      <c r="J31" s="134">
        <f t="shared" si="49"/>
        <v>5.5098071674932618E-5</v>
      </c>
      <c r="K31" s="134">
        <f t="shared" si="49"/>
        <v>5.5098071674932618E-5</v>
      </c>
      <c r="L31" s="134">
        <f t="shared" si="49"/>
        <v>5.5098071674932618E-5</v>
      </c>
      <c r="M31" s="134">
        <f t="shared" si="49"/>
        <v>5.5098071674932618E-5</v>
      </c>
      <c r="N31" s="146">
        <f>up_dir!BA31</f>
        <v>1361209.1625000001</v>
      </c>
      <c r="O31" s="146">
        <f t="shared" ref="O31:X31" si="50">SUM(O32:O44)</f>
        <v>453736.38750000007</v>
      </c>
      <c r="P31" s="146">
        <f t="shared" si="50"/>
        <v>453736.38750000007</v>
      </c>
      <c r="Q31" s="146">
        <f t="shared" si="50"/>
        <v>453736.38750000007</v>
      </c>
      <c r="R31" s="146">
        <f t="shared" si="50"/>
        <v>453736.38750000007</v>
      </c>
      <c r="S31" s="146">
        <f t="shared" si="50"/>
        <v>453736.38750000007</v>
      </c>
      <c r="T31" s="146">
        <f t="shared" si="50"/>
        <v>453736.38750000007</v>
      </c>
      <c r="U31" s="146">
        <f t="shared" si="50"/>
        <v>453736.38750000007</v>
      </c>
      <c r="V31" s="146">
        <f t="shared" si="50"/>
        <v>453736.38750000007</v>
      </c>
      <c r="W31" s="146">
        <f t="shared" si="50"/>
        <v>453736.38750000007</v>
      </c>
      <c r="X31" s="146">
        <f t="shared" si="50"/>
        <v>453736.38750000007</v>
      </c>
      <c r="Y31" s="134">
        <f>1/SUM(1/Y32,1/Y33,1/Y34,1/Y35,1/Y36,1/Y37,1/Y38,1/Y39,1/Y40,1/Y41,1/Y42,1/Y43,1/Y44)</f>
        <v>2.7549035837466318E-2</v>
      </c>
      <c r="Z31" s="134">
        <f>1/SUM(1/Z32,1/Z33,1/Z34,1/Z35,1/Z36,1/Z37,1/Z38,1/Z39,1/Z40,1/Z41,1/Z42,1/Z43,1/Z44)</f>
        <v>257.50704058897583</v>
      </c>
      <c r="AA31" s="134">
        <f>1/SUM(1/AA32,1/AA33,1/AA34,1/AA35,1/AA36,1/AA37,1/AA38,1/AA39,1/AA40,1/AA41,1/AA42,1/AA43)</f>
        <v>44.971983338896493</v>
      </c>
      <c r="AB31" s="134">
        <f t="shared" ref="AB31:AL31" si="51">1/SUM(1/AB32,1/AB33,1/AB34,1/AB35,1/AB36,1/AB37,1/AB38,1/AB39,1/AB40,1/AB41,1/AB42,1/AB43,1/AB44)</f>
        <v>3.6633138309851812E-6</v>
      </c>
      <c r="AC31" s="134">
        <f t="shared" si="51"/>
        <v>5.5098071674932618E-5</v>
      </c>
      <c r="AD31" s="134">
        <f t="shared" si="51"/>
        <v>1.5466125382437226E-8</v>
      </c>
      <c r="AE31" s="134">
        <f t="shared" si="51"/>
        <v>1.5930109143910341E-8</v>
      </c>
      <c r="AF31" s="134">
        <f t="shared" si="51"/>
        <v>1.5466125382437226E-8</v>
      </c>
      <c r="AG31" s="134">
        <f t="shared" si="51"/>
        <v>1.5466125382437226E-8</v>
      </c>
      <c r="AH31" s="134">
        <f t="shared" si="51"/>
        <v>1.5466125382437226E-8</v>
      </c>
      <c r="AI31" s="134">
        <f t="shared" si="51"/>
        <v>1.5466125382437226E-8</v>
      </c>
      <c r="AJ31" s="134">
        <f t="shared" si="51"/>
        <v>1.5930109143910341E-8</v>
      </c>
      <c r="AK31" s="134">
        <f t="shared" si="51"/>
        <v>1.5466125382437226E-8</v>
      </c>
      <c r="AL31" s="134">
        <f t="shared" si="51"/>
        <v>1.5930109143910341E-8</v>
      </c>
      <c r="AM31" s="129"/>
      <c r="AN31" s="129"/>
      <c r="AO31" s="129"/>
      <c r="AP31" s="129"/>
      <c r="AQ31" s="129"/>
      <c r="AR31" s="129"/>
      <c r="AS31" s="129"/>
      <c r="AT31" s="129"/>
      <c r="AU31" s="129"/>
      <c r="AV31" s="129"/>
      <c r="AW31" s="129"/>
      <c r="AX31" s="129"/>
      <c r="AY31" s="129"/>
      <c r="AZ31" s="129"/>
      <c r="BA31" s="134">
        <f>1/SUM(1/BA32,1/BA33,1/BA34,1/BA35,1/BA36,1/BA37,1/BA38,1/BA39,1/BA40,1/BA41,1/BA42,1/BA43,1/BA44)</f>
        <v>1.7344296754011386E-9</v>
      </c>
      <c r="BB31" s="146">
        <f t="shared" ref="BB31" si="52">SUM(BB32:BB44)</f>
        <v>907.47277499999996</v>
      </c>
      <c r="BC31" s="146">
        <f t="shared" ref="BC31" si="53">SUM(BC32:BC44)</f>
        <v>9.708472414120968E-2</v>
      </c>
      <c r="BD31" s="146">
        <f t="shared" ref="BD31" si="54">SUM(BD32:BD44)</f>
        <v>0.55590165573990535</v>
      </c>
      <c r="BE31" s="146">
        <f>up_b2s!BZ31</f>
        <v>6824422.1361937504</v>
      </c>
      <c r="BF31" s="146">
        <f t="shared" ref="BF31" si="55">SUM(BF32:BF44)</f>
        <v>453736.38750000007</v>
      </c>
      <c r="BG31" s="146">
        <f t="shared" ref="BG31" si="56">SUM(BG32:BG44)</f>
        <v>1616435880.46875</v>
      </c>
      <c r="BH31" s="146">
        <f t="shared" ref="BH31" si="57">SUM(BH32:BH44)</f>
        <v>1569355223.756068</v>
      </c>
      <c r="BI31" s="146">
        <f t="shared" ref="BI31" si="58">SUM(BI32:BI44)</f>
        <v>1616435880.46875</v>
      </c>
      <c r="BJ31" s="146">
        <f t="shared" ref="BJ31" si="59">SUM(BJ32:BJ44)</f>
        <v>1616435880.46875</v>
      </c>
      <c r="BK31" s="146">
        <f t="shared" ref="BK31" si="60">SUM(BK32:BK44)</f>
        <v>1616435880.46875</v>
      </c>
      <c r="BL31" s="146">
        <f t="shared" ref="BL31" si="61">SUM(BL32:BL44)</f>
        <v>1616435880.46875</v>
      </c>
      <c r="BM31" s="146">
        <f t="shared" ref="BM31" si="62">SUM(BM32:BM44)</f>
        <v>1569355223.756068</v>
      </c>
      <c r="BN31" s="146">
        <f t="shared" ref="BN31" si="63">SUM(BN32:BN44)</f>
        <v>1616435880.46875</v>
      </c>
      <c r="BO31" s="146">
        <f t="shared" ref="BO31" si="64">SUM(BO32:BO44)</f>
        <v>1569355223.756068</v>
      </c>
      <c r="BP31" s="147">
        <f t="shared" ref="BP31" si="65">SUM(BB31:BO31)</f>
        <v>14413960020.730158</v>
      </c>
      <c r="BQ31" s="134">
        <f>1/SUM(1/BQ32,1/BQ33,1/BQ34,1/BQ35,1/BQ36,1/BQ37,1/BQ38,1/BQ39,1/BQ40,1/BQ41,1/BQ42,1/BQ43,1/BQ44)</f>
        <v>3.0303939421212937E-4</v>
      </c>
      <c r="BR31" s="134" t="str">
        <f>IFERROR(1/SUM(1/BR32,1/BR33,1/BR34,1/BR35,1/BR36,1/BR37,1/BR38,1/BR39,1/BR40,1/BR41,1/BR42,1/BR43,1/BR44),".")</f>
        <v>.</v>
      </c>
      <c r="BS31" s="134">
        <f t="shared" ref="BS31:CD31" si="66">1/SUM(1/BS32,1/BS33,1/BS34,1/BS35,1/BS36,1/BS37,1/BS38,1/BS39,1/BS40,1/BS41,1/BS42,1/BS43,1/BS44)</f>
        <v>3.3182813666228168</v>
      </c>
      <c r="BT31" s="134">
        <f t="shared" si="66"/>
        <v>1.8271006781356809E-5</v>
      </c>
      <c r="BU31" s="134">
        <f t="shared" si="66"/>
        <v>1.1019614334986522E-2</v>
      </c>
      <c r="BV31" s="134">
        <f t="shared" si="66"/>
        <v>2.2039228669973048E-3</v>
      </c>
      <c r="BW31" s="134">
        <f t="shared" si="66"/>
        <v>2.2700405530072234E-3</v>
      </c>
      <c r="BX31" s="134">
        <f t="shared" si="66"/>
        <v>2.2039228669973048E-3</v>
      </c>
      <c r="BY31" s="134">
        <f t="shared" si="66"/>
        <v>2.2039228669973048E-3</v>
      </c>
      <c r="BZ31" s="134">
        <f t="shared" si="66"/>
        <v>2.2039228669973048E-3</v>
      </c>
      <c r="CA31" s="134">
        <f t="shared" si="66"/>
        <v>2.2039228669973048E-3</v>
      </c>
      <c r="CB31" s="134">
        <f t="shared" si="66"/>
        <v>2.2700405530072234E-3</v>
      </c>
      <c r="CC31" s="134">
        <f t="shared" si="66"/>
        <v>2.2039228669973048E-3</v>
      </c>
      <c r="CD31" s="134">
        <f t="shared" si="66"/>
        <v>2.2700405530072234E-3</v>
      </c>
      <c r="CE31" s="141"/>
      <c r="CF31" s="141"/>
      <c r="CG31" s="141"/>
      <c r="CH31" s="141"/>
      <c r="CI31" s="141"/>
      <c r="CJ31" s="141"/>
      <c r="CK31" s="141"/>
      <c r="CL31" s="141"/>
      <c r="CM31" s="141"/>
      <c r="CN31" s="141"/>
      <c r="CO31" s="141"/>
      <c r="CP31" s="141"/>
      <c r="CQ31" s="141"/>
      <c r="CR31" s="141"/>
      <c r="CS31" s="134">
        <f>1/SUM(1/CS32,1/CS33,1/CS34,1/CS35,1/CS36,1/CS37,1/CS38,1/CS39,1/CS40,1/CS41,1/CS42,1/CS43,1/CS44)</f>
        <v>1.6085846500162053E-5</v>
      </c>
      <c r="CT31" s="146">
        <f t="shared" ref="CT31" si="67">SUM(CT32:CT44)</f>
        <v>82497.524999999994</v>
      </c>
      <c r="CU31" s="146">
        <f t="shared" ref="CU31" si="68">SUM(CU32:CU44)</f>
        <v>15038.611328124993</v>
      </c>
      <c r="CV31" s="146">
        <f t="shared" ref="CV31" si="69">SUM(CV32:CV44)</f>
        <v>7.5340205479452074</v>
      </c>
      <c r="CW31" s="146">
        <f>up_b2w!BZ31</f>
        <v>1368288.0368425706</v>
      </c>
      <c r="CX31" s="146">
        <f t="shared" ref="CX31" si="70">SUM(CX32:CX44)</f>
        <v>2268.6819375</v>
      </c>
      <c r="CY31" s="146">
        <f t="shared" ref="CY31" si="71">SUM(CY32:CY44)</f>
        <v>11343.4096875</v>
      </c>
      <c r="CZ31" s="146">
        <f t="shared" ref="CZ31" si="72">SUM(CZ32:CZ44)</f>
        <v>11013.019114077671</v>
      </c>
      <c r="DA31" s="146">
        <f t="shared" ref="DA31" si="73">SUM(DA32:DA44)</f>
        <v>11343.4096875</v>
      </c>
      <c r="DB31" s="146">
        <f t="shared" ref="DB31" si="74">SUM(DB32:DB44)</f>
        <v>11343.4096875</v>
      </c>
      <c r="DC31" s="146">
        <f t="shared" ref="DC31" si="75">SUM(DC32:DC44)</f>
        <v>11343.4096875</v>
      </c>
      <c r="DD31" s="146">
        <f t="shared" ref="DD31" si="76">SUM(DD32:DD44)</f>
        <v>11343.4096875</v>
      </c>
      <c r="DE31" s="146">
        <f t="shared" ref="DE31" si="77">SUM(DE32:DE44)</f>
        <v>11013.019114077671</v>
      </c>
      <c r="DF31" s="146">
        <f t="shared" ref="DF31" si="78">SUM(DF32:DF44)</f>
        <v>11343.4096875</v>
      </c>
      <c r="DG31" s="146">
        <f t="shared" ref="DG31:DH46" si="79">SUM(DG32:DG44)</f>
        <v>11013.019114077671</v>
      </c>
      <c r="DH31" s="146">
        <f t="shared" si="79"/>
        <v>0</v>
      </c>
      <c r="DI31" s="134">
        <f>1/SUM(1/DI32,1/DI33,1/DI34,1/DI35,1/DI36,1/DI37,1/DI38,1/DI39,1/DI40,1/DI41,1/DI42,1/DI43,1/DI44)</f>
        <v>8.311937669818407E-4</v>
      </c>
      <c r="DJ31" s="134">
        <f>1/SUM(1/DJ32,1/DJ33,1/DJ34,1/DJ35,1/DJ36,1/DJ37,1/DJ38,1/DJ39,1/DJ40,1/DJ41,1/DJ42,1/DJ43,1/DJ44)</f>
        <v>1.3273125466491269</v>
      </c>
      <c r="DK31" s="134">
        <f>1/SUM(1/DK32,1/DK33,1/DK34,1/DK35,1/DK36,1/DK37,1/DK38,1/DK39,1/DK40,1/DK41,1/DK42,1/DK43,1/DK44)</f>
        <v>8.3067358000414745E-4</v>
      </c>
      <c r="DL31" s="146">
        <f t="shared" ref="DL31" si="80">SUM(DL32:DL44)</f>
        <v>30077.222656249985</v>
      </c>
      <c r="DM31" s="146">
        <f t="shared" ref="DM31" si="81">SUM(DM32:DM44)</f>
        <v>18.835051369863013</v>
      </c>
      <c r="DN31" s="146">
        <f t="shared" ref="DN31" si="82">SUM(DL31:DM31)</f>
        <v>30096.05770761985</v>
      </c>
    </row>
    <row r="32" spans="1:118" x14ac:dyDescent="0.25">
      <c r="A32" s="135" t="s">
        <v>1087</v>
      </c>
      <c r="B32" s="129">
        <v>1</v>
      </c>
      <c r="C32" s="136">
        <f t="shared" ref="C32:M32" si="83">IFERROR(C3/$B32,0)</f>
        <v>2.2038567493112948E-4</v>
      </c>
      <c r="D32" s="136">
        <f t="shared" si="83"/>
        <v>6.6115702479338848E-4</v>
      </c>
      <c r="E32" s="136">
        <f t="shared" si="83"/>
        <v>6.6115702479338848E-4</v>
      </c>
      <c r="F32" s="136">
        <f t="shared" si="83"/>
        <v>6.6115702479338848E-4</v>
      </c>
      <c r="G32" s="136">
        <f t="shared" si="83"/>
        <v>6.6115702479338848E-4</v>
      </c>
      <c r="H32" s="136">
        <f t="shared" si="83"/>
        <v>6.6115702479338848E-4</v>
      </c>
      <c r="I32" s="136">
        <f t="shared" si="83"/>
        <v>6.6115702479338848E-4</v>
      </c>
      <c r="J32" s="136">
        <f t="shared" si="83"/>
        <v>6.6115702479338848E-4</v>
      </c>
      <c r="K32" s="136">
        <f t="shared" si="83"/>
        <v>6.6115702479338848E-4</v>
      </c>
      <c r="L32" s="136">
        <f t="shared" si="83"/>
        <v>6.6115702479338848E-4</v>
      </c>
      <c r="M32" s="136">
        <f t="shared" si="83"/>
        <v>6.6115702479338848E-4</v>
      </c>
      <c r="N32" s="149">
        <f>up_dir!BA32</f>
        <v>113437.5</v>
      </c>
      <c r="O32" s="149">
        <f>IFERROR(up_RadSpec!$J$3*O3,".")*$B$32</f>
        <v>37812.5</v>
      </c>
      <c r="P32" s="149">
        <f>IFERROR(up_RadSpec!$J$3*P3,".")*$B$32</f>
        <v>37812.5</v>
      </c>
      <c r="Q32" s="149">
        <f>IFERROR(up_RadSpec!$J$3*Q3,".")*$B$32</f>
        <v>37812.5</v>
      </c>
      <c r="R32" s="149">
        <f>IFERROR(up_RadSpec!$J$3*R3,".")*$B$32</f>
        <v>37812.5</v>
      </c>
      <c r="S32" s="149">
        <f>IFERROR(up_RadSpec!$J$3*S3,".")*$B$32</f>
        <v>37812.5</v>
      </c>
      <c r="T32" s="149">
        <f>IFERROR(up_RadSpec!$J$3*T3,".")*$B$32</f>
        <v>37812.5</v>
      </c>
      <c r="U32" s="149">
        <f>IFERROR(up_RadSpec!$J$3*U3,".")*$B$32</f>
        <v>37812.5</v>
      </c>
      <c r="V32" s="149">
        <f>IFERROR(up_RadSpec!$J$3*V3,".")*$B$32</f>
        <v>37812.5</v>
      </c>
      <c r="W32" s="149">
        <f>IFERROR(up_RadSpec!$J$3*W3,".")*$B$32</f>
        <v>37812.5</v>
      </c>
      <c r="X32" s="149">
        <f>IFERROR(up_RadSpec!$J$3*X3,".")*$B$32</f>
        <v>37812.5</v>
      </c>
      <c r="Y32" s="136">
        <f t="shared" ref="Y32:AL32" si="84">IFERROR(Y3/$B32,0)</f>
        <v>0.33057851239669422</v>
      </c>
      <c r="Z32" s="136">
        <f t="shared" si="84"/>
        <v>3089.9917845330979</v>
      </c>
      <c r="AA32" s="136">
        <f t="shared" si="84"/>
        <v>92435.064935064976</v>
      </c>
      <c r="AB32" s="136">
        <f t="shared" si="84"/>
        <v>4.3958447178843029E-5</v>
      </c>
      <c r="AC32" s="136">
        <f t="shared" si="84"/>
        <v>6.6115702479338848E-4</v>
      </c>
      <c r="AD32" s="136">
        <f t="shared" si="84"/>
        <v>1.8558793678410905E-7</v>
      </c>
      <c r="AE32" s="136">
        <f t="shared" si="84"/>
        <v>1.9115557488763231E-7</v>
      </c>
      <c r="AF32" s="136">
        <f t="shared" si="84"/>
        <v>1.8558793678410905E-7</v>
      </c>
      <c r="AG32" s="136">
        <f t="shared" si="84"/>
        <v>1.8558793678410905E-7</v>
      </c>
      <c r="AH32" s="136">
        <f t="shared" si="84"/>
        <v>1.8558793678410905E-7</v>
      </c>
      <c r="AI32" s="136">
        <f t="shared" si="84"/>
        <v>1.8558793678410905E-7</v>
      </c>
      <c r="AJ32" s="136">
        <f t="shared" si="84"/>
        <v>1.9115557488763231E-7</v>
      </c>
      <c r="AK32" s="136">
        <f t="shared" si="84"/>
        <v>1.8558793678410905E-7</v>
      </c>
      <c r="AL32" s="136">
        <f t="shared" si="84"/>
        <v>1.9115557488763231E-7</v>
      </c>
      <c r="AM32" s="129"/>
      <c r="AN32" s="129"/>
      <c r="AO32" s="129"/>
      <c r="AP32" s="129"/>
      <c r="AQ32" s="129"/>
      <c r="AR32" s="129"/>
      <c r="AS32" s="129"/>
      <c r="AT32" s="129"/>
      <c r="AU32" s="129"/>
      <c r="AV32" s="129"/>
      <c r="AW32" s="129"/>
      <c r="AX32" s="129"/>
      <c r="AY32" s="129"/>
      <c r="AZ32" s="129"/>
      <c r="BA32" s="136">
        <f>IFERROR(BA3/$B32,0)</f>
        <v>2.0812531710928512E-8</v>
      </c>
      <c r="BB32" s="149">
        <f>IFERROR(up_RadSpec!$I$3*BB3,".")*$B$32</f>
        <v>75.625</v>
      </c>
      <c r="BC32" s="149">
        <f>IFERROR(up_RadSpec!$L$3*BC3,".")*$B$32</f>
        <v>8.0906363975260659E-3</v>
      </c>
      <c r="BD32" s="149">
        <f>IFERROR(up_RadSpec!$K$3*BD3,".")*$B$32</f>
        <v>2.7046013347383196E-4</v>
      </c>
      <c r="BE32" s="149">
        <f>up_b2s!BZ32</f>
        <v>568718.90625</v>
      </c>
      <c r="BF32" s="149">
        <f>IFERROR(up_RadSpec!$J$3*BF3,".")*$B$32</f>
        <v>37812.5</v>
      </c>
      <c r="BG32" s="149">
        <f>IFERROR(up_RadSpec!$J$3*BG3,".")*$B$32</f>
        <v>134707031.25</v>
      </c>
      <c r="BH32" s="149">
        <f>IFERROR(up_RadSpec!$J$3*BH3,".")*$B$32</f>
        <v>130783525.4854369</v>
      </c>
      <c r="BI32" s="149">
        <f>IFERROR(up_RadSpec!$J$3*BI3,".")*$B$32</f>
        <v>134707031.25</v>
      </c>
      <c r="BJ32" s="149">
        <f>IFERROR(up_RadSpec!$J$3*BJ3,".")*$B$32</f>
        <v>134707031.25</v>
      </c>
      <c r="BK32" s="149">
        <f>IFERROR(up_RadSpec!$J$3*BK3,".")*$B$32</f>
        <v>134707031.25</v>
      </c>
      <c r="BL32" s="149">
        <f>IFERROR(up_RadSpec!$J$3*BL3,".")*$B$32</f>
        <v>134707031.25</v>
      </c>
      <c r="BM32" s="149">
        <f>IFERROR(up_RadSpec!$J$3*BM3,".")*$B$32</f>
        <v>130783525.4854369</v>
      </c>
      <c r="BN32" s="149">
        <f>IFERROR(up_RadSpec!$J$3*BN3,".")*$B$32</f>
        <v>134707031.25</v>
      </c>
      <c r="BO32" s="149">
        <f>IFERROR(up_RadSpec!$J$3*BO3,".")*$B$32</f>
        <v>130783525.4854369</v>
      </c>
      <c r="BP32" s="150">
        <f>SUM(BB32:BO32)</f>
        <v>1201199370.9959219</v>
      </c>
      <c r="BQ32" s="136">
        <f t="shared" ref="BQ32:CD32" si="85">IFERROR(BQ3/$B32,0)</f>
        <v>3.6363636363636364E-3</v>
      </c>
      <c r="BR32" s="136">
        <f t="shared" si="85"/>
        <v>0</v>
      </c>
      <c r="BS32" s="136">
        <f t="shared" si="85"/>
        <v>39.81818181818182</v>
      </c>
      <c r="BT32" s="136">
        <f t="shared" si="85"/>
        <v>2.1924550381384044E-4</v>
      </c>
      <c r="BU32" s="136">
        <f t="shared" si="85"/>
        <v>0.13223140495867769</v>
      </c>
      <c r="BV32" s="136">
        <f t="shared" si="85"/>
        <v>2.6446280991735537E-2</v>
      </c>
      <c r="BW32" s="136">
        <f t="shared" si="85"/>
        <v>2.7239669421487603E-2</v>
      </c>
      <c r="BX32" s="136">
        <f t="shared" si="85"/>
        <v>2.6446280991735537E-2</v>
      </c>
      <c r="BY32" s="136">
        <f t="shared" si="85"/>
        <v>2.6446280991735537E-2</v>
      </c>
      <c r="BZ32" s="136">
        <f t="shared" si="85"/>
        <v>2.6446280991735537E-2</v>
      </c>
      <c r="CA32" s="136">
        <f t="shared" si="85"/>
        <v>2.6446280991735537E-2</v>
      </c>
      <c r="CB32" s="136">
        <f t="shared" si="85"/>
        <v>2.7239669421487603E-2</v>
      </c>
      <c r="CC32" s="136">
        <f t="shared" si="85"/>
        <v>2.6446280991735537E-2</v>
      </c>
      <c r="CD32" s="136">
        <f t="shared" si="85"/>
        <v>2.7239669421487603E-2</v>
      </c>
      <c r="CE32" s="141"/>
      <c r="CF32" s="141"/>
      <c r="CG32" s="141"/>
      <c r="CH32" s="141"/>
      <c r="CI32" s="141"/>
      <c r="CJ32" s="141"/>
      <c r="CK32" s="141"/>
      <c r="CL32" s="141"/>
      <c r="CM32" s="141"/>
      <c r="CN32" s="141"/>
      <c r="CO32" s="141"/>
      <c r="CP32" s="141"/>
      <c r="CQ32" s="141"/>
      <c r="CR32" s="141"/>
      <c r="CS32" s="136">
        <f>IFERROR(CS3/$B32,0)</f>
        <v>1.9302436709720458E-4</v>
      </c>
      <c r="CT32" s="149">
        <f>IFERROR(up_RadSpec!$M$3*CT3,".")*$B$32</f>
        <v>6875</v>
      </c>
      <c r="CU32" s="149">
        <f>IFERROR(up_RadSpec!$L$3*CU3,".")*$B$32</f>
        <v>1253.255208333333</v>
      </c>
      <c r="CV32" s="149">
        <f>IFERROR(up_RadSpec!$Q$3*CV3,".")*$B$32</f>
        <v>0.62785388127853881</v>
      </c>
      <c r="CW32" s="149">
        <f>up_b2w!BZ32</f>
        <v>114027.42389293101</v>
      </c>
      <c r="CX32" s="149">
        <f>IFERROR(up_RadSpec!$J$3*CX3,".")*$B$32</f>
        <v>189.0625</v>
      </c>
      <c r="CY32" s="149">
        <f>IFERROR(up_RadSpec!$J$3*CY3,".")*$B$32</f>
        <v>945.3125</v>
      </c>
      <c r="CZ32" s="149">
        <f>IFERROR(up_RadSpec!$J$3*CZ3,".")*$B$32</f>
        <v>917.77912621359224</v>
      </c>
      <c r="DA32" s="149">
        <f>IFERROR(up_RadSpec!$J$3*DA3,".")*$B$32</f>
        <v>945.3125</v>
      </c>
      <c r="DB32" s="149">
        <f>IFERROR(up_RadSpec!$J$3*DB3,".")*$B$32</f>
        <v>945.3125</v>
      </c>
      <c r="DC32" s="149">
        <f>IFERROR(up_RadSpec!$J$3*DC3,".")*$B$32</f>
        <v>945.3125</v>
      </c>
      <c r="DD32" s="149">
        <f>IFERROR(up_RadSpec!$J$3*DD3,".")*$B$32</f>
        <v>945.3125</v>
      </c>
      <c r="DE32" s="149">
        <f>IFERROR(up_RadSpec!$J$3*DE3,".")*$B$32</f>
        <v>917.77912621359224</v>
      </c>
      <c r="DF32" s="149">
        <f>IFERROR(up_RadSpec!$J$3*DF3,".")*$B$32</f>
        <v>945.3125</v>
      </c>
      <c r="DG32" s="149">
        <f>IFERROR(up_RadSpec!$J$3*DG3,".")*$B$32</f>
        <v>917.77912621359224</v>
      </c>
      <c r="DH32" s="150">
        <f t="shared" si="79"/>
        <v>0</v>
      </c>
      <c r="DI32" s="136">
        <f>IFERROR(DI3/$B32,0)</f>
        <v>9.9740259740259754E-3</v>
      </c>
      <c r="DJ32" s="136">
        <f>IFERROR(DJ3/$B32,0)</f>
        <v>15.927272727272728</v>
      </c>
      <c r="DK32" s="136">
        <f>IFERROR(DK3/$B32,0)</f>
        <v>9.9677839175609673E-3</v>
      </c>
      <c r="DL32" s="149">
        <f>IFERROR(up_RadSpec!$L$3*DL3,".")*$B$32</f>
        <v>2506.5104166666661</v>
      </c>
      <c r="DM32" s="149">
        <f>IFERROR(up_RadSpec!$O$3*DM3,".")*$B$32</f>
        <v>1.5696347031963471</v>
      </c>
      <c r="DN32" s="150">
        <f>SUM(DL32:DM32)</f>
        <v>2508.0800513698623</v>
      </c>
    </row>
    <row r="33" spans="1:118" x14ac:dyDescent="0.25">
      <c r="A33" s="135" t="s">
        <v>1063</v>
      </c>
      <c r="B33" s="129">
        <v>1</v>
      </c>
      <c r="C33" s="136">
        <f t="shared" ref="C33:M34" si="86">IFERROR(C13/$B33,0)</f>
        <v>2.2038567493112948E-4</v>
      </c>
      <c r="D33" s="136">
        <f t="shared" si="86"/>
        <v>6.6115702479338848E-4</v>
      </c>
      <c r="E33" s="136">
        <f t="shared" si="86"/>
        <v>6.6115702479338848E-4</v>
      </c>
      <c r="F33" s="136">
        <f t="shared" si="86"/>
        <v>6.6115702479338848E-4</v>
      </c>
      <c r="G33" s="136">
        <f t="shared" si="86"/>
        <v>6.6115702479338848E-4</v>
      </c>
      <c r="H33" s="136">
        <f t="shared" si="86"/>
        <v>6.6115702479338848E-4</v>
      </c>
      <c r="I33" s="136">
        <f t="shared" si="86"/>
        <v>6.6115702479338848E-4</v>
      </c>
      <c r="J33" s="136">
        <f t="shared" si="86"/>
        <v>6.6115702479338848E-4</v>
      </c>
      <c r="K33" s="136">
        <f t="shared" si="86"/>
        <v>6.6115702479338848E-4</v>
      </c>
      <c r="L33" s="136">
        <f t="shared" si="86"/>
        <v>6.6115702479338848E-4</v>
      </c>
      <c r="M33" s="136">
        <f t="shared" si="86"/>
        <v>6.6115702479338848E-4</v>
      </c>
      <c r="N33" s="149">
        <f>up_dir!BA33</f>
        <v>113437.5</v>
      </c>
      <c r="O33" s="149">
        <f>IFERROR(up_RadSpec!$J$13*O13,".")*$B$33</f>
        <v>37812.5</v>
      </c>
      <c r="P33" s="149">
        <f>IFERROR(up_RadSpec!$J$13*P13,".")*$B$33</f>
        <v>37812.5</v>
      </c>
      <c r="Q33" s="149">
        <f>IFERROR(up_RadSpec!$J$13*Q13,".")*$B$33</f>
        <v>37812.5</v>
      </c>
      <c r="R33" s="149">
        <f>IFERROR(up_RadSpec!$J$13*R13,".")*$B$33</f>
        <v>37812.5</v>
      </c>
      <c r="S33" s="149">
        <f>IFERROR(up_RadSpec!$J$13*S13,".")*$B$33</f>
        <v>37812.5</v>
      </c>
      <c r="T33" s="149">
        <f>IFERROR(up_RadSpec!$J$13*T13,".")*$B$33</f>
        <v>37812.5</v>
      </c>
      <c r="U33" s="149">
        <f>IFERROR(up_RadSpec!$J$13*U13,".")*$B$33</f>
        <v>37812.5</v>
      </c>
      <c r="V33" s="149">
        <f>IFERROR(up_RadSpec!$J$13*V13,".")*$B$33</f>
        <v>37812.5</v>
      </c>
      <c r="W33" s="149">
        <f>IFERROR(up_RadSpec!$J$13*W13,".")*$B$33</f>
        <v>37812.5</v>
      </c>
      <c r="X33" s="149">
        <f>IFERROR(up_RadSpec!$J$13*X13,".")*$B$33</f>
        <v>37812.5</v>
      </c>
      <c r="Y33" s="136">
        <f t="shared" ref="Y33:AL34" si="87">IFERROR(Y13/$B33,0)</f>
        <v>0.33057851239669422</v>
      </c>
      <c r="Z33" s="136">
        <f t="shared" si="87"/>
        <v>3089.9917845330979</v>
      </c>
      <c r="AA33" s="136">
        <f t="shared" si="87"/>
        <v>2282.9424185356402</v>
      </c>
      <c r="AB33" s="136">
        <f t="shared" si="87"/>
        <v>4.3958447178843029E-5</v>
      </c>
      <c r="AC33" s="136">
        <f t="shared" si="87"/>
        <v>6.6115702479338848E-4</v>
      </c>
      <c r="AD33" s="136">
        <f t="shared" si="87"/>
        <v>1.8558793678410905E-7</v>
      </c>
      <c r="AE33" s="136">
        <f t="shared" si="87"/>
        <v>1.9115557488763231E-7</v>
      </c>
      <c r="AF33" s="136">
        <f t="shared" si="87"/>
        <v>1.8558793678410905E-7</v>
      </c>
      <c r="AG33" s="136">
        <f t="shared" si="87"/>
        <v>1.8558793678410905E-7</v>
      </c>
      <c r="AH33" s="136">
        <f t="shared" si="87"/>
        <v>1.8558793678410905E-7</v>
      </c>
      <c r="AI33" s="136">
        <f t="shared" si="87"/>
        <v>1.8558793678410905E-7</v>
      </c>
      <c r="AJ33" s="136">
        <f t="shared" si="87"/>
        <v>1.9115557488763231E-7</v>
      </c>
      <c r="AK33" s="136">
        <f t="shared" si="87"/>
        <v>1.8558793678410905E-7</v>
      </c>
      <c r="AL33" s="136">
        <f t="shared" si="87"/>
        <v>1.9115557488763231E-7</v>
      </c>
      <c r="AM33" s="129"/>
      <c r="AN33" s="129"/>
      <c r="AO33" s="129"/>
      <c r="AP33" s="129"/>
      <c r="AQ33" s="129"/>
      <c r="AR33" s="129"/>
      <c r="AS33" s="129"/>
      <c r="AT33" s="129"/>
      <c r="AU33" s="129"/>
      <c r="AV33" s="129"/>
      <c r="AW33" s="129"/>
      <c r="AX33" s="129"/>
      <c r="AY33" s="129"/>
      <c r="AZ33" s="129"/>
      <c r="BA33" s="136">
        <f t="shared" ref="BA33:BA34" si="88">IFERROR(BA13/$B33,0)</f>
        <v>2.0812531710743459E-8</v>
      </c>
      <c r="BB33" s="149">
        <f>IFERROR(up_RadSpec!$I$13*BB13,".")*$B$33</f>
        <v>75.625</v>
      </c>
      <c r="BC33" s="149">
        <f>IFERROR(up_RadSpec!$L$13*BC13,".")*$B$33</f>
        <v>8.0906363975260659E-3</v>
      </c>
      <c r="BD33" s="149">
        <f>IFERROR(up_RadSpec!$K$13*BD13,".")*$B$33</f>
        <v>1.0950779922007794E-2</v>
      </c>
      <c r="BE33" s="149">
        <f>up_b2s!BZ33</f>
        <v>568718.90625</v>
      </c>
      <c r="BF33" s="149">
        <f>IFERROR(up_RadSpec!$J$13*BF13,".")*$B$33</f>
        <v>37812.5</v>
      </c>
      <c r="BG33" s="149">
        <f>IFERROR(up_RadSpec!$J$13*BG13,".")*$B$33</f>
        <v>134707031.25</v>
      </c>
      <c r="BH33" s="149">
        <f>IFERROR(up_RadSpec!$J$13*BH13,".")*$B$33</f>
        <v>130783525.4854369</v>
      </c>
      <c r="BI33" s="149">
        <f>IFERROR(up_RadSpec!$J$13*BI13,".")*$B$33</f>
        <v>134707031.25</v>
      </c>
      <c r="BJ33" s="149">
        <f>IFERROR(up_RadSpec!$J$13*BJ13,".")*$B$33</f>
        <v>134707031.25</v>
      </c>
      <c r="BK33" s="149">
        <f>IFERROR(up_RadSpec!$J$13*BK13,".")*$B$33</f>
        <v>134707031.25</v>
      </c>
      <c r="BL33" s="149">
        <f>IFERROR(up_RadSpec!$J$13*BL13,".")*$B$33</f>
        <v>134707031.25</v>
      </c>
      <c r="BM33" s="149">
        <f>IFERROR(up_RadSpec!$J$13*BM13,".")*$B$33</f>
        <v>130783525.4854369</v>
      </c>
      <c r="BN33" s="149">
        <f>IFERROR(up_RadSpec!$J$13*BN13,".")*$B$33</f>
        <v>134707031.25</v>
      </c>
      <c r="BO33" s="149">
        <f>IFERROR(up_RadSpec!$J$13*BO13,".")*$B$33</f>
        <v>130783525.4854369</v>
      </c>
      <c r="BP33" s="150">
        <f t="shared" ref="BP33:BP76" si="89">SUM(BB33:BO33)</f>
        <v>1201199371.006602</v>
      </c>
      <c r="BQ33" s="136">
        <f t="shared" ref="BQ33:CD34" si="90">IFERROR(BQ13/$B33,0)</f>
        <v>3.6363636363636364E-3</v>
      </c>
      <c r="BR33" s="136">
        <f t="shared" si="90"/>
        <v>0</v>
      </c>
      <c r="BS33" s="136">
        <f t="shared" si="90"/>
        <v>39.81818181818182</v>
      </c>
      <c r="BT33" s="136">
        <f t="shared" si="90"/>
        <v>2.1924550381384044E-4</v>
      </c>
      <c r="BU33" s="136">
        <f t="shared" si="90"/>
        <v>0.13223140495867769</v>
      </c>
      <c r="BV33" s="136">
        <f t="shared" si="90"/>
        <v>2.6446280991735537E-2</v>
      </c>
      <c r="BW33" s="136">
        <f t="shared" si="90"/>
        <v>2.7239669421487603E-2</v>
      </c>
      <c r="BX33" s="136">
        <f t="shared" si="90"/>
        <v>2.6446280991735537E-2</v>
      </c>
      <c r="BY33" s="136">
        <f t="shared" si="90"/>
        <v>2.6446280991735537E-2</v>
      </c>
      <c r="BZ33" s="136">
        <f t="shared" si="90"/>
        <v>2.6446280991735537E-2</v>
      </c>
      <c r="CA33" s="136">
        <f t="shared" si="90"/>
        <v>2.6446280991735537E-2</v>
      </c>
      <c r="CB33" s="136">
        <f t="shared" si="90"/>
        <v>2.7239669421487603E-2</v>
      </c>
      <c r="CC33" s="136">
        <f t="shared" si="90"/>
        <v>2.6446280991735537E-2</v>
      </c>
      <c r="CD33" s="136">
        <f t="shared" si="90"/>
        <v>2.7239669421487603E-2</v>
      </c>
      <c r="CE33" s="141"/>
      <c r="CF33" s="141"/>
      <c r="CG33" s="141"/>
      <c r="CH33" s="141"/>
      <c r="CI33" s="141"/>
      <c r="CJ33" s="141"/>
      <c r="CK33" s="141"/>
      <c r="CL33" s="141"/>
      <c r="CM33" s="141"/>
      <c r="CN33" s="141"/>
      <c r="CO33" s="141"/>
      <c r="CP33" s="141"/>
      <c r="CQ33" s="141"/>
      <c r="CR33" s="141"/>
      <c r="CS33" s="136">
        <f t="shared" ref="CS33:CS34" si="91">IFERROR(CS13/$B33,0)</f>
        <v>1.9302436709720458E-4</v>
      </c>
      <c r="CT33" s="149">
        <f>IFERROR(up_RadSpec!$M$13*CT13,".")*$B$33</f>
        <v>6875</v>
      </c>
      <c r="CU33" s="149">
        <f>IFERROR(up_RadSpec!$L$13*CU13,".")*$B$33</f>
        <v>1253.255208333333</v>
      </c>
      <c r="CV33" s="149">
        <f>IFERROR(up_RadSpec!$Q$13*CV13,".")*$B$33</f>
        <v>0.62785388127853881</v>
      </c>
      <c r="CW33" s="149">
        <f>up_b2w!BZ33</f>
        <v>114027.42389293101</v>
      </c>
      <c r="CX33" s="149">
        <f>IFERROR(up_RadSpec!$J$13*CX13,".")*$B$33</f>
        <v>189.0625</v>
      </c>
      <c r="CY33" s="149">
        <f>IFERROR(up_RadSpec!$J$13*CY13,".")*$B$33</f>
        <v>945.3125</v>
      </c>
      <c r="CZ33" s="149">
        <f>IFERROR(up_RadSpec!$J$13*CZ13,".")*$B$33</f>
        <v>917.77912621359224</v>
      </c>
      <c r="DA33" s="149">
        <f>IFERROR(up_RadSpec!$J$13*DA13,".")*$B$33</f>
        <v>945.3125</v>
      </c>
      <c r="DB33" s="149">
        <f>IFERROR(up_RadSpec!$J$13*DB13,".")*$B$33</f>
        <v>945.3125</v>
      </c>
      <c r="DC33" s="149">
        <f>IFERROR(up_RadSpec!$J$13*DC13,".")*$B$33</f>
        <v>945.3125</v>
      </c>
      <c r="DD33" s="149">
        <f>IFERROR(up_RadSpec!$J$13*DD13,".")*$B$33</f>
        <v>945.3125</v>
      </c>
      <c r="DE33" s="149">
        <f>IFERROR(up_RadSpec!$J$13*DE13,".")*$B$33</f>
        <v>917.77912621359224</v>
      </c>
      <c r="DF33" s="149">
        <f>IFERROR(up_RadSpec!$J$13*DF13,".")*$B$33</f>
        <v>945.3125</v>
      </c>
      <c r="DG33" s="149">
        <f>IFERROR(up_RadSpec!$J$13*DG13,".")*$B$33</f>
        <v>917.77912621359224</v>
      </c>
      <c r="DH33" s="150">
        <f t="shared" si="79"/>
        <v>0</v>
      </c>
      <c r="DI33" s="136">
        <f t="shared" ref="DI33:DK34" si="92">IFERROR(DI13/$B33,0)</f>
        <v>9.9740259740259754E-3</v>
      </c>
      <c r="DJ33" s="136">
        <f t="shared" si="92"/>
        <v>15.927272727272728</v>
      </c>
      <c r="DK33" s="136">
        <f t="shared" si="92"/>
        <v>9.9677839175609673E-3</v>
      </c>
      <c r="DL33" s="149">
        <f>IFERROR(up_RadSpec!$L$13*DL13,".")*$B$33</f>
        <v>2506.5104166666661</v>
      </c>
      <c r="DM33" s="149">
        <f>IFERROR(up_RadSpec!$O$13*DM13,".")*$B$33</f>
        <v>1.5696347031963471</v>
      </c>
      <c r="DN33" s="150">
        <f t="shared" ref="DN33:DN76" si="93">SUM(DL33:DM33)</f>
        <v>2508.0800513698623</v>
      </c>
    </row>
    <row r="34" spans="1:118" x14ac:dyDescent="0.25">
      <c r="A34" s="135" t="s">
        <v>1064</v>
      </c>
      <c r="B34" s="129">
        <v>1</v>
      </c>
      <c r="C34" s="136">
        <f t="shared" si="86"/>
        <v>2.2038567493112948E-4</v>
      </c>
      <c r="D34" s="136">
        <f t="shared" si="86"/>
        <v>6.6115702479338848E-4</v>
      </c>
      <c r="E34" s="136">
        <f t="shared" si="86"/>
        <v>6.6115702479338848E-4</v>
      </c>
      <c r="F34" s="136">
        <f t="shared" si="86"/>
        <v>6.6115702479338848E-4</v>
      </c>
      <c r="G34" s="136">
        <f t="shared" si="86"/>
        <v>6.6115702479338848E-4</v>
      </c>
      <c r="H34" s="136">
        <f t="shared" si="86"/>
        <v>6.6115702479338848E-4</v>
      </c>
      <c r="I34" s="136">
        <f t="shared" si="86"/>
        <v>6.6115702479338848E-4</v>
      </c>
      <c r="J34" s="136">
        <f t="shared" si="86"/>
        <v>6.6115702479338848E-4</v>
      </c>
      <c r="K34" s="136">
        <f t="shared" si="86"/>
        <v>6.6115702479338848E-4</v>
      </c>
      <c r="L34" s="136">
        <f t="shared" si="86"/>
        <v>6.6115702479338848E-4</v>
      </c>
      <c r="M34" s="136">
        <f t="shared" si="86"/>
        <v>6.6115702479338848E-4</v>
      </c>
      <c r="N34" s="149">
        <f>up_dir!BA34</f>
        <v>113437.5</v>
      </c>
      <c r="O34" s="149">
        <f>IFERROR(up_RadSpec!$J$14*O14,".")*$B$34</f>
        <v>37812.5</v>
      </c>
      <c r="P34" s="149">
        <f>IFERROR(up_RadSpec!$J$14*P14,".")*$B$34</f>
        <v>37812.5</v>
      </c>
      <c r="Q34" s="149">
        <f>IFERROR(up_RadSpec!$J$14*Q14,".")*$B$34</f>
        <v>37812.5</v>
      </c>
      <c r="R34" s="149">
        <f>IFERROR(up_RadSpec!$J$14*R14,".")*$B$34</f>
        <v>37812.5</v>
      </c>
      <c r="S34" s="149">
        <f>IFERROR(up_RadSpec!$J$14*S14,".")*$B$34</f>
        <v>37812.5</v>
      </c>
      <c r="T34" s="149">
        <f>IFERROR(up_RadSpec!$J$14*T14,".")*$B$34</f>
        <v>37812.5</v>
      </c>
      <c r="U34" s="149">
        <f>IFERROR(up_RadSpec!$J$14*U14,".")*$B$34</f>
        <v>37812.5</v>
      </c>
      <c r="V34" s="149">
        <f>IFERROR(up_RadSpec!$J$14*V14,".")*$B$34</f>
        <v>37812.5</v>
      </c>
      <c r="W34" s="149">
        <f>IFERROR(up_RadSpec!$J$14*W14,".")*$B$34</f>
        <v>37812.5</v>
      </c>
      <c r="X34" s="149">
        <f>IFERROR(up_RadSpec!$J$14*X14,".")*$B$34</f>
        <v>37812.5</v>
      </c>
      <c r="Y34" s="136">
        <f t="shared" si="87"/>
        <v>0.33057851239669422</v>
      </c>
      <c r="Z34" s="136">
        <f t="shared" si="87"/>
        <v>3089.9917845330979</v>
      </c>
      <c r="AA34" s="136">
        <f t="shared" si="87"/>
        <v>342.70908097811116</v>
      </c>
      <c r="AB34" s="136">
        <f t="shared" si="87"/>
        <v>4.3958447178843029E-5</v>
      </c>
      <c r="AC34" s="136">
        <f t="shared" si="87"/>
        <v>6.6115702479338848E-4</v>
      </c>
      <c r="AD34" s="136">
        <f t="shared" si="87"/>
        <v>1.8558793678410905E-7</v>
      </c>
      <c r="AE34" s="136">
        <f t="shared" si="87"/>
        <v>1.9115557488763231E-7</v>
      </c>
      <c r="AF34" s="136">
        <f t="shared" si="87"/>
        <v>1.8558793678410905E-7</v>
      </c>
      <c r="AG34" s="136">
        <f t="shared" si="87"/>
        <v>1.8558793678410905E-7</v>
      </c>
      <c r="AH34" s="136">
        <f t="shared" si="87"/>
        <v>1.8558793678410905E-7</v>
      </c>
      <c r="AI34" s="136">
        <f t="shared" si="87"/>
        <v>1.8558793678410905E-7</v>
      </c>
      <c r="AJ34" s="136">
        <f t="shared" si="87"/>
        <v>1.9115557488763231E-7</v>
      </c>
      <c r="AK34" s="136">
        <f t="shared" si="87"/>
        <v>1.8558793678410905E-7</v>
      </c>
      <c r="AL34" s="136">
        <f t="shared" si="87"/>
        <v>1.9115557488763231E-7</v>
      </c>
      <c r="AM34" s="129"/>
      <c r="AN34" s="129"/>
      <c r="AO34" s="129"/>
      <c r="AP34" s="129"/>
      <c r="AQ34" s="129"/>
      <c r="AR34" s="129"/>
      <c r="AS34" s="129"/>
      <c r="AT34" s="129"/>
      <c r="AU34" s="129"/>
      <c r="AV34" s="129"/>
      <c r="AW34" s="129"/>
      <c r="AX34" s="129"/>
      <c r="AY34" s="129"/>
      <c r="AZ34" s="129"/>
      <c r="BA34" s="136">
        <f t="shared" si="88"/>
        <v>2.0812531709669262E-8</v>
      </c>
      <c r="BB34" s="149">
        <f>IFERROR(up_RadSpec!$I$14*BB14,".")*$B$34</f>
        <v>75.625</v>
      </c>
      <c r="BC34" s="149">
        <f>IFERROR(up_RadSpec!$L$14*BC14,".")*$B$34</f>
        <v>8.0906363975260659E-3</v>
      </c>
      <c r="BD34" s="149">
        <f>IFERROR(up_RadSpec!$K$14*BD14,".")*$B$34</f>
        <v>7.2948169125395174E-2</v>
      </c>
      <c r="BE34" s="149">
        <f>up_b2s!BZ34</f>
        <v>568718.90625</v>
      </c>
      <c r="BF34" s="149">
        <f>IFERROR(up_RadSpec!$J$14*BF14,".")*$B$34</f>
        <v>37812.5</v>
      </c>
      <c r="BG34" s="149">
        <f>IFERROR(up_RadSpec!$J$14*BG14,".")*$B$34</f>
        <v>134707031.25</v>
      </c>
      <c r="BH34" s="149">
        <f>IFERROR(up_RadSpec!$J$14*BH14,".")*$B$34</f>
        <v>130783525.4854369</v>
      </c>
      <c r="BI34" s="149">
        <f>IFERROR(up_RadSpec!$J$14*BI14,".")*$B$34</f>
        <v>134707031.25</v>
      </c>
      <c r="BJ34" s="149">
        <f>IFERROR(up_RadSpec!$J$14*BJ14,".")*$B$34</f>
        <v>134707031.25</v>
      </c>
      <c r="BK34" s="149">
        <f>IFERROR(up_RadSpec!$J$14*BK14,".")*$B$34</f>
        <v>134707031.25</v>
      </c>
      <c r="BL34" s="149">
        <f>IFERROR(up_RadSpec!$J$14*BL14,".")*$B$34</f>
        <v>134707031.25</v>
      </c>
      <c r="BM34" s="149">
        <f>IFERROR(up_RadSpec!$J$14*BM14,".")*$B$34</f>
        <v>130783525.4854369</v>
      </c>
      <c r="BN34" s="149">
        <f>IFERROR(up_RadSpec!$J$14*BN14,".")*$B$34</f>
        <v>134707031.25</v>
      </c>
      <c r="BO34" s="149">
        <f>IFERROR(up_RadSpec!$J$14*BO14,".")*$B$34</f>
        <v>130783525.4854369</v>
      </c>
      <c r="BP34" s="150">
        <f t="shared" si="89"/>
        <v>1201199371.0685995</v>
      </c>
      <c r="BQ34" s="136">
        <f t="shared" si="90"/>
        <v>3.6363636363636364E-3</v>
      </c>
      <c r="BR34" s="136">
        <f t="shared" si="90"/>
        <v>0</v>
      </c>
      <c r="BS34" s="136">
        <f t="shared" si="90"/>
        <v>39.81818181818182</v>
      </c>
      <c r="BT34" s="136">
        <f t="shared" si="90"/>
        <v>2.1924550381384044E-4</v>
      </c>
      <c r="BU34" s="136">
        <f t="shared" si="90"/>
        <v>0.13223140495867769</v>
      </c>
      <c r="BV34" s="136">
        <f t="shared" si="90"/>
        <v>2.6446280991735537E-2</v>
      </c>
      <c r="BW34" s="136">
        <f t="shared" si="90"/>
        <v>2.7239669421487603E-2</v>
      </c>
      <c r="BX34" s="136">
        <f t="shared" si="90"/>
        <v>2.6446280991735537E-2</v>
      </c>
      <c r="BY34" s="136">
        <f t="shared" si="90"/>
        <v>2.6446280991735537E-2</v>
      </c>
      <c r="BZ34" s="136">
        <f t="shared" si="90"/>
        <v>2.6446280991735537E-2</v>
      </c>
      <c r="CA34" s="136">
        <f t="shared" si="90"/>
        <v>2.6446280991735537E-2</v>
      </c>
      <c r="CB34" s="136">
        <f t="shared" si="90"/>
        <v>2.7239669421487603E-2</v>
      </c>
      <c r="CC34" s="136">
        <f t="shared" si="90"/>
        <v>2.6446280991735537E-2</v>
      </c>
      <c r="CD34" s="136">
        <f t="shared" si="90"/>
        <v>2.7239669421487603E-2</v>
      </c>
      <c r="CE34" s="141"/>
      <c r="CF34" s="141"/>
      <c r="CG34" s="141"/>
      <c r="CH34" s="141"/>
      <c r="CI34" s="141"/>
      <c r="CJ34" s="141"/>
      <c r="CK34" s="141"/>
      <c r="CL34" s="141"/>
      <c r="CM34" s="141"/>
      <c r="CN34" s="141"/>
      <c r="CO34" s="141"/>
      <c r="CP34" s="141"/>
      <c r="CQ34" s="141"/>
      <c r="CR34" s="141"/>
      <c r="CS34" s="136">
        <f t="shared" si="91"/>
        <v>1.9302436709720458E-4</v>
      </c>
      <c r="CT34" s="149">
        <f>IFERROR(up_RadSpec!$M$14*CT14,".")*$B$34</f>
        <v>6875</v>
      </c>
      <c r="CU34" s="149">
        <f>IFERROR(up_RadSpec!$L$14*CU14,".")*$B$34</f>
        <v>1253.255208333333</v>
      </c>
      <c r="CV34" s="149">
        <f>IFERROR(up_RadSpec!$Q$14*CV14,".")*$B$34</f>
        <v>0.62785388127853881</v>
      </c>
      <c r="CW34" s="149">
        <f>up_b2w!BZ34</f>
        <v>114027.42389293101</v>
      </c>
      <c r="CX34" s="149">
        <f>IFERROR(up_RadSpec!$J$14*CX14,".")*$B$34</f>
        <v>189.0625</v>
      </c>
      <c r="CY34" s="149">
        <f>IFERROR(up_RadSpec!$J$14*CY14,".")*$B$34</f>
        <v>945.3125</v>
      </c>
      <c r="CZ34" s="149">
        <f>IFERROR(up_RadSpec!$J$14*CZ14,".")*$B$34</f>
        <v>917.77912621359224</v>
      </c>
      <c r="DA34" s="149">
        <f>IFERROR(up_RadSpec!$J$14*DA14,".")*$B$34</f>
        <v>945.3125</v>
      </c>
      <c r="DB34" s="149">
        <f>IFERROR(up_RadSpec!$J$14*DB14,".")*$B$34</f>
        <v>945.3125</v>
      </c>
      <c r="DC34" s="149">
        <f>IFERROR(up_RadSpec!$J$14*DC14,".")*$B$34</f>
        <v>945.3125</v>
      </c>
      <c r="DD34" s="149">
        <f>IFERROR(up_RadSpec!$J$14*DD14,".")*$B$34</f>
        <v>945.3125</v>
      </c>
      <c r="DE34" s="149">
        <f>IFERROR(up_RadSpec!$J$14*DE14,".")*$B$34</f>
        <v>917.77912621359224</v>
      </c>
      <c r="DF34" s="149">
        <f>IFERROR(up_RadSpec!$J$14*DF14,".")*$B$34</f>
        <v>945.3125</v>
      </c>
      <c r="DG34" s="149">
        <f>IFERROR(up_RadSpec!$J$14*DG14,".")*$B$34</f>
        <v>917.77912621359224</v>
      </c>
      <c r="DH34" s="150">
        <f t="shared" si="79"/>
        <v>0</v>
      </c>
      <c r="DI34" s="136">
        <f t="shared" si="92"/>
        <v>9.9740259740259754E-3</v>
      </c>
      <c r="DJ34" s="136">
        <f t="shared" si="92"/>
        <v>15.927272727272728</v>
      </c>
      <c r="DK34" s="136">
        <f t="shared" si="92"/>
        <v>9.9677839175609673E-3</v>
      </c>
      <c r="DL34" s="149">
        <f>IFERROR(up_RadSpec!$L$14*DL14,".")*$B$34</f>
        <v>2506.5104166666661</v>
      </c>
      <c r="DM34" s="149">
        <f>IFERROR(up_RadSpec!$O$14*DM14,".")*$B$34</f>
        <v>1.5696347031963471</v>
      </c>
      <c r="DN34" s="150">
        <f t="shared" si="93"/>
        <v>2508.0800513698623</v>
      </c>
    </row>
    <row r="35" spans="1:118" x14ac:dyDescent="0.25">
      <c r="A35" s="135" t="s">
        <v>1065</v>
      </c>
      <c r="B35" s="129">
        <v>1</v>
      </c>
      <c r="C35" s="136">
        <f t="shared" ref="C35:M35" si="94">IFERROR(C30/$B35,0)</f>
        <v>2.2038567493112948E-4</v>
      </c>
      <c r="D35" s="136">
        <f t="shared" si="94"/>
        <v>6.6115702479338848E-4</v>
      </c>
      <c r="E35" s="136">
        <f t="shared" si="94"/>
        <v>6.6115702479338848E-4</v>
      </c>
      <c r="F35" s="136">
        <f t="shared" si="94"/>
        <v>6.6115702479338848E-4</v>
      </c>
      <c r="G35" s="136">
        <f t="shared" si="94"/>
        <v>6.6115702479338848E-4</v>
      </c>
      <c r="H35" s="136">
        <f t="shared" si="94"/>
        <v>6.6115702479338848E-4</v>
      </c>
      <c r="I35" s="136">
        <f t="shared" si="94"/>
        <v>6.6115702479338848E-4</v>
      </c>
      <c r="J35" s="136">
        <f t="shared" si="94"/>
        <v>6.6115702479338848E-4</v>
      </c>
      <c r="K35" s="136">
        <f t="shared" si="94"/>
        <v>6.6115702479338848E-4</v>
      </c>
      <c r="L35" s="136">
        <f t="shared" si="94"/>
        <v>6.6115702479338848E-4</v>
      </c>
      <c r="M35" s="136">
        <f t="shared" si="94"/>
        <v>6.6115702479338848E-4</v>
      </c>
      <c r="N35" s="149">
        <f>up_dir!BA35</f>
        <v>113437.5</v>
      </c>
      <c r="O35" s="149">
        <f>IFERROR(up_RadSpec!$J$30*O30,".")*$B$35</f>
        <v>37812.5</v>
      </c>
      <c r="P35" s="149">
        <f>IFERROR(up_RadSpec!$J$30*P30,".")*$B$35</f>
        <v>37812.5</v>
      </c>
      <c r="Q35" s="149">
        <f>IFERROR(up_RadSpec!$J$30*Q30,".")*$B$35</f>
        <v>37812.5</v>
      </c>
      <c r="R35" s="149">
        <f>IFERROR(up_RadSpec!$J$30*R30,".")*$B$35</f>
        <v>37812.5</v>
      </c>
      <c r="S35" s="149">
        <f>IFERROR(up_RadSpec!$J$30*S30,".")*$B$35</f>
        <v>37812.5</v>
      </c>
      <c r="T35" s="149">
        <f>IFERROR(up_RadSpec!$J$30*T30,".")*$B$35</f>
        <v>37812.5</v>
      </c>
      <c r="U35" s="149">
        <f>IFERROR(up_RadSpec!$J$30*U30,".")*$B$35</f>
        <v>37812.5</v>
      </c>
      <c r="V35" s="149">
        <f>IFERROR(up_RadSpec!$J$30*V30,".")*$B$35</f>
        <v>37812.5</v>
      </c>
      <c r="W35" s="149">
        <f>IFERROR(up_RadSpec!$J$30*W30,".")*$B$35</f>
        <v>37812.5</v>
      </c>
      <c r="X35" s="149">
        <f>IFERROR(up_RadSpec!$J$30*X30,".")*$B$35</f>
        <v>37812.5</v>
      </c>
      <c r="Y35" s="136">
        <f t="shared" ref="Y35:AL35" si="95">IFERROR(Y30/$B35,0)</f>
        <v>0.33057851239669422</v>
      </c>
      <c r="Z35" s="136">
        <f t="shared" si="95"/>
        <v>3089.9917845330979</v>
      </c>
      <c r="AA35" s="136">
        <f t="shared" si="95"/>
        <v>1106.0606060606062</v>
      </c>
      <c r="AB35" s="136">
        <f t="shared" si="95"/>
        <v>4.3958447178843029E-5</v>
      </c>
      <c r="AC35" s="136">
        <f t="shared" si="95"/>
        <v>6.6115702479338848E-4</v>
      </c>
      <c r="AD35" s="136">
        <f t="shared" si="95"/>
        <v>1.8558793678410905E-7</v>
      </c>
      <c r="AE35" s="136">
        <f t="shared" si="95"/>
        <v>1.9115557488763231E-7</v>
      </c>
      <c r="AF35" s="136">
        <f t="shared" si="95"/>
        <v>1.8558793678410905E-7</v>
      </c>
      <c r="AG35" s="136">
        <f t="shared" si="95"/>
        <v>1.8558793678410905E-7</v>
      </c>
      <c r="AH35" s="136">
        <f t="shared" si="95"/>
        <v>1.8558793678410905E-7</v>
      </c>
      <c r="AI35" s="136">
        <f t="shared" si="95"/>
        <v>1.8558793678410905E-7</v>
      </c>
      <c r="AJ35" s="136">
        <f t="shared" si="95"/>
        <v>1.9115557488763231E-7</v>
      </c>
      <c r="AK35" s="136">
        <f t="shared" si="95"/>
        <v>1.8558793678410905E-7</v>
      </c>
      <c r="AL35" s="136">
        <f t="shared" si="95"/>
        <v>1.9115557488763231E-7</v>
      </c>
      <c r="AM35" s="129"/>
      <c r="AN35" s="129"/>
      <c r="AO35" s="129"/>
      <c r="AP35" s="129"/>
      <c r="AQ35" s="129"/>
      <c r="AR35" s="129"/>
      <c r="AS35" s="129"/>
      <c r="AT35" s="129"/>
      <c r="AU35" s="129"/>
      <c r="AV35" s="129"/>
      <c r="AW35" s="129"/>
      <c r="AX35" s="129"/>
      <c r="AY35" s="129"/>
      <c r="AZ35" s="129"/>
      <c r="BA35" s="136">
        <f t="shared" ref="BA35" si="96">IFERROR(BA30/$B35,0)</f>
        <v>2.081253171054157E-8</v>
      </c>
      <c r="BB35" s="149">
        <f>IFERROR(up_RadSpec!$I$30*BB30,".")*$B$35</f>
        <v>75.625</v>
      </c>
      <c r="BC35" s="149">
        <f>IFERROR(up_RadSpec!$L$30*BC30,".")*$B$35</f>
        <v>8.0906363975260659E-3</v>
      </c>
      <c r="BD35" s="149">
        <f>IFERROR(up_RadSpec!$K$30*BD30,".")*$B$35</f>
        <v>2.2602739726027395E-2</v>
      </c>
      <c r="BE35" s="149">
        <f>up_b2s!BZ35</f>
        <v>568718.90625</v>
      </c>
      <c r="BF35" s="149">
        <f>IFERROR(up_RadSpec!$J$30*BF30,".")*$B$35</f>
        <v>37812.5</v>
      </c>
      <c r="BG35" s="149">
        <f>IFERROR(up_RadSpec!$J$30*BG30,".")*$B$35</f>
        <v>134707031.25</v>
      </c>
      <c r="BH35" s="149">
        <f>IFERROR(up_RadSpec!$J$30*BH30,".")*$B$35</f>
        <v>130783525.4854369</v>
      </c>
      <c r="BI35" s="149">
        <f>IFERROR(up_RadSpec!$J$30*BI30,".")*$B$35</f>
        <v>134707031.25</v>
      </c>
      <c r="BJ35" s="149">
        <f>IFERROR(up_RadSpec!$J$30*BJ30,".")*$B$35</f>
        <v>134707031.25</v>
      </c>
      <c r="BK35" s="149">
        <f>IFERROR(up_RadSpec!$J$30*BK30,".")*$B$35</f>
        <v>134707031.25</v>
      </c>
      <c r="BL35" s="149">
        <f>IFERROR(up_RadSpec!$J$30*BL30,".")*$B$35</f>
        <v>134707031.25</v>
      </c>
      <c r="BM35" s="149">
        <f>IFERROR(up_RadSpec!$J$30*BM30,".")*$B$35</f>
        <v>130783525.4854369</v>
      </c>
      <c r="BN35" s="149">
        <f>IFERROR(up_RadSpec!$J$30*BN30,".")*$B$35</f>
        <v>134707031.25</v>
      </c>
      <c r="BO35" s="149">
        <f>IFERROR(up_RadSpec!$J$30*BO30,".")*$B$35</f>
        <v>130783525.4854369</v>
      </c>
      <c r="BP35" s="150">
        <f t="shared" si="89"/>
        <v>1201199371.018254</v>
      </c>
      <c r="BQ35" s="136">
        <f t="shared" ref="BQ35:CD35" si="97">IFERROR(BQ30/$B35,0)</f>
        <v>3.6363636363636364E-3</v>
      </c>
      <c r="BR35" s="136">
        <f t="shared" si="97"/>
        <v>0</v>
      </c>
      <c r="BS35" s="136">
        <f t="shared" si="97"/>
        <v>39.81818181818182</v>
      </c>
      <c r="BT35" s="136">
        <f t="shared" si="97"/>
        <v>2.1924550381384044E-4</v>
      </c>
      <c r="BU35" s="136">
        <f t="shared" si="97"/>
        <v>0.13223140495867769</v>
      </c>
      <c r="BV35" s="136">
        <f t="shared" si="97"/>
        <v>2.6446280991735537E-2</v>
      </c>
      <c r="BW35" s="136">
        <f t="shared" si="97"/>
        <v>2.7239669421487603E-2</v>
      </c>
      <c r="BX35" s="136">
        <f t="shared" si="97"/>
        <v>2.6446280991735537E-2</v>
      </c>
      <c r="BY35" s="136">
        <f t="shared" si="97"/>
        <v>2.6446280991735537E-2</v>
      </c>
      <c r="BZ35" s="136">
        <f t="shared" si="97"/>
        <v>2.6446280991735537E-2</v>
      </c>
      <c r="CA35" s="136">
        <f t="shared" si="97"/>
        <v>2.6446280991735537E-2</v>
      </c>
      <c r="CB35" s="136">
        <f t="shared" si="97"/>
        <v>2.7239669421487603E-2</v>
      </c>
      <c r="CC35" s="136">
        <f t="shared" si="97"/>
        <v>2.6446280991735537E-2</v>
      </c>
      <c r="CD35" s="136">
        <f t="shared" si="97"/>
        <v>2.7239669421487603E-2</v>
      </c>
      <c r="CE35" s="141"/>
      <c r="CF35" s="141"/>
      <c r="CG35" s="141"/>
      <c r="CH35" s="141"/>
      <c r="CI35" s="141"/>
      <c r="CJ35" s="141"/>
      <c r="CK35" s="141"/>
      <c r="CL35" s="141"/>
      <c r="CM35" s="141"/>
      <c r="CN35" s="141"/>
      <c r="CO35" s="141"/>
      <c r="CP35" s="141"/>
      <c r="CQ35" s="141"/>
      <c r="CR35" s="141"/>
      <c r="CS35" s="136">
        <f t="shared" ref="CS35" si="98">IFERROR(CS30/$B35,0)</f>
        <v>1.9302436709720458E-4</v>
      </c>
      <c r="CT35" s="149">
        <f>IFERROR(up_RadSpec!$M$30*CT30,".")*$B$35</f>
        <v>6875</v>
      </c>
      <c r="CU35" s="149">
        <f>IFERROR(up_RadSpec!$L$30*CU30,".")*$B$35</f>
        <v>1253.255208333333</v>
      </c>
      <c r="CV35" s="149">
        <f>IFERROR(up_RadSpec!$Q$30*CV30,".")*$B$35</f>
        <v>0.62785388127853881</v>
      </c>
      <c r="CW35" s="149">
        <f>up_b2w!BZ35</f>
        <v>114027.42389293101</v>
      </c>
      <c r="CX35" s="149">
        <f>IFERROR(up_RadSpec!$J$30*CX30,".")*$B$35</f>
        <v>189.0625</v>
      </c>
      <c r="CY35" s="149">
        <f>IFERROR(up_RadSpec!$J$30*CY30,".")*$B$35</f>
        <v>945.3125</v>
      </c>
      <c r="CZ35" s="149">
        <f>IFERROR(up_RadSpec!$J$30*CZ30,".")*$B$35</f>
        <v>917.77912621359224</v>
      </c>
      <c r="DA35" s="149">
        <f>IFERROR(up_RadSpec!$J$30*DA30,".")*$B$35</f>
        <v>945.3125</v>
      </c>
      <c r="DB35" s="149">
        <f>IFERROR(up_RadSpec!$J$30*DB30,".")*$B$35</f>
        <v>945.3125</v>
      </c>
      <c r="DC35" s="149">
        <f>IFERROR(up_RadSpec!$J$30*DC30,".")*$B$35</f>
        <v>945.3125</v>
      </c>
      <c r="DD35" s="149">
        <f>IFERROR(up_RadSpec!$J$30*DD30,".")*$B$35</f>
        <v>945.3125</v>
      </c>
      <c r="DE35" s="149">
        <f>IFERROR(up_RadSpec!$J$30*DE30,".")*$B$35</f>
        <v>917.77912621359224</v>
      </c>
      <c r="DF35" s="149">
        <f>IFERROR(up_RadSpec!$J$30*DF30,".")*$B$35</f>
        <v>945.3125</v>
      </c>
      <c r="DG35" s="149">
        <f>IFERROR(up_RadSpec!$J$30*DG30,".")*$B$35</f>
        <v>917.77912621359224</v>
      </c>
      <c r="DH35" s="150">
        <f t="shared" si="79"/>
        <v>0</v>
      </c>
      <c r="DI35" s="136">
        <f t="shared" ref="DI35:DK35" si="99">IFERROR(DI30/$B35,0)</f>
        <v>9.9740259740259754E-3</v>
      </c>
      <c r="DJ35" s="136">
        <f t="shared" si="99"/>
        <v>15.927272727272728</v>
      </c>
      <c r="DK35" s="136">
        <f t="shared" si="99"/>
        <v>9.9677839175609673E-3</v>
      </c>
      <c r="DL35" s="149">
        <f>IFERROR(up_RadSpec!$L$30*DL30,".")*$B$35</f>
        <v>2506.5104166666661</v>
      </c>
      <c r="DM35" s="149">
        <f>IFERROR(up_RadSpec!$O$30*DM30,".")*$B$35</f>
        <v>1.5696347031963471</v>
      </c>
      <c r="DN35" s="150">
        <f t="shared" si="93"/>
        <v>2508.0800513698623</v>
      </c>
    </row>
    <row r="36" spans="1:118" x14ac:dyDescent="0.25">
      <c r="A36" s="135" t="s">
        <v>1066</v>
      </c>
      <c r="B36" s="129">
        <v>1</v>
      </c>
      <c r="C36" s="136">
        <f t="shared" ref="C36:M36" si="100">IFERROR(C26/$B36,0)</f>
        <v>2.2038567493112948E-4</v>
      </c>
      <c r="D36" s="136">
        <f t="shared" si="100"/>
        <v>6.6115702479338848E-4</v>
      </c>
      <c r="E36" s="136">
        <f t="shared" si="100"/>
        <v>6.6115702479338848E-4</v>
      </c>
      <c r="F36" s="136">
        <f t="shared" si="100"/>
        <v>6.6115702479338848E-4</v>
      </c>
      <c r="G36" s="136">
        <f t="shared" si="100"/>
        <v>6.6115702479338848E-4</v>
      </c>
      <c r="H36" s="136">
        <f t="shared" si="100"/>
        <v>6.6115702479338848E-4</v>
      </c>
      <c r="I36" s="136">
        <f t="shared" si="100"/>
        <v>6.6115702479338848E-4</v>
      </c>
      <c r="J36" s="136">
        <f t="shared" si="100"/>
        <v>6.6115702479338848E-4</v>
      </c>
      <c r="K36" s="136">
        <f t="shared" si="100"/>
        <v>6.6115702479338848E-4</v>
      </c>
      <c r="L36" s="136">
        <f t="shared" si="100"/>
        <v>6.6115702479338848E-4</v>
      </c>
      <c r="M36" s="136">
        <f t="shared" si="100"/>
        <v>6.6115702479338848E-4</v>
      </c>
      <c r="N36" s="149">
        <f>up_dir!BA36</f>
        <v>113437.5</v>
      </c>
      <c r="O36" s="149">
        <f>IFERROR(up_RadSpec!$J$26*O26,".")*$B$37</f>
        <v>37812.5</v>
      </c>
      <c r="P36" s="149">
        <f>IFERROR(up_RadSpec!$J$26*P26,".")*$B$37</f>
        <v>37812.5</v>
      </c>
      <c r="Q36" s="149">
        <f>IFERROR(up_RadSpec!$J$26*Q26,".")*$B$37</f>
        <v>37812.5</v>
      </c>
      <c r="R36" s="149">
        <f>IFERROR(up_RadSpec!$J$26*R26,".")*$B$37</f>
        <v>37812.5</v>
      </c>
      <c r="S36" s="149">
        <f>IFERROR(up_RadSpec!$J$26*S26,".")*$B$37</f>
        <v>37812.5</v>
      </c>
      <c r="T36" s="149">
        <f>IFERROR(up_RadSpec!$J$26*T26,".")*$B$37</f>
        <v>37812.5</v>
      </c>
      <c r="U36" s="149">
        <f>IFERROR(up_RadSpec!$J$26*U26,".")*$B$37</f>
        <v>37812.5</v>
      </c>
      <c r="V36" s="149">
        <f>IFERROR(up_RadSpec!$J$26*V26,".")*$B$37</f>
        <v>37812.5</v>
      </c>
      <c r="W36" s="149">
        <f>IFERROR(up_RadSpec!$J$26*W26,".")*$B$37</f>
        <v>37812.5</v>
      </c>
      <c r="X36" s="149">
        <f>IFERROR(up_RadSpec!$J$26*X26,".")*$B$37</f>
        <v>37812.5</v>
      </c>
      <c r="Y36" s="136">
        <f t="shared" ref="Y36:AL36" si="101">IFERROR(Y26/$B36,0)</f>
        <v>0.33057851239669422</v>
      </c>
      <c r="Z36" s="136">
        <f t="shared" si="101"/>
        <v>3089.9917845330979</v>
      </c>
      <c r="AA36" s="136">
        <f t="shared" si="101"/>
        <v>1162.4922696351264</v>
      </c>
      <c r="AB36" s="136">
        <f t="shared" si="101"/>
        <v>4.3958447178843029E-5</v>
      </c>
      <c r="AC36" s="136">
        <f t="shared" si="101"/>
        <v>6.6115702479338848E-4</v>
      </c>
      <c r="AD36" s="136">
        <f t="shared" si="101"/>
        <v>1.8558793678410905E-7</v>
      </c>
      <c r="AE36" s="136">
        <f t="shared" si="101"/>
        <v>1.9115557488763231E-7</v>
      </c>
      <c r="AF36" s="136">
        <f t="shared" si="101"/>
        <v>1.8558793678410905E-7</v>
      </c>
      <c r="AG36" s="136">
        <f t="shared" si="101"/>
        <v>1.8558793678410905E-7</v>
      </c>
      <c r="AH36" s="136">
        <f t="shared" si="101"/>
        <v>1.8558793678410905E-7</v>
      </c>
      <c r="AI36" s="136">
        <f t="shared" si="101"/>
        <v>1.8558793678410905E-7</v>
      </c>
      <c r="AJ36" s="136">
        <f t="shared" si="101"/>
        <v>1.9115557488763231E-7</v>
      </c>
      <c r="AK36" s="136">
        <f t="shared" si="101"/>
        <v>1.8558793678410905E-7</v>
      </c>
      <c r="AL36" s="136">
        <f t="shared" si="101"/>
        <v>1.9115557488763231E-7</v>
      </c>
      <c r="AM36" s="129"/>
      <c r="AN36" s="129"/>
      <c r="AO36" s="129"/>
      <c r="AP36" s="129"/>
      <c r="AQ36" s="129"/>
      <c r="AR36" s="129"/>
      <c r="AS36" s="129"/>
      <c r="AT36" s="129"/>
      <c r="AU36" s="129"/>
      <c r="AV36" s="129"/>
      <c r="AW36" s="129"/>
      <c r="AX36" s="129"/>
      <c r="AY36" s="129"/>
      <c r="AZ36" s="129"/>
      <c r="BA36" s="136">
        <f t="shared" ref="BA36" si="102">IFERROR(BA26/$B36,0)</f>
        <v>2.0812531710560579E-8</v>
      </c>
      <c r="BB36" s="149">
        <f>IFERROR(up_RadSpec!$I$26*BB26,".")*$B$37</f>
        <v>75.625</v>
      </c>
      <c r="BC36" s="149">
        <f>IFERROR(up_RadSpec!$L$26*BC26,".")*$B$37</f>
        <v>8.0906363975260659E-3</v>
      </c>
      <c r="BD36" s="149">
        <f>IFERROR(up_RadSpec!$K$26*BD26,".")*$B$37</f>
        <v>2.1505519350977532E-2</v>
      </c>
      <c r="BE36" s="149">
        <f>up_b2s!BZ36</f>
        <v>568718.90625</v>
      </c>
      <c r="BF36" s="149">
        <f>IFERROR(up_RadSpec!$J$26*BF26,".")*$B$37</f>
        <v>37812.5</v>
      </c>
      <c r="BG36" s="149">
        <f>IFERROR(up_RadSpec!$J$26*BG26,".")*$B$37</f>
        <v>134707031.25</v>
      </c>
      <c r="BH36" s="149">
        <f>IFERROR(up_RadSpec!$J$26*BH26,".")*$B$37</f>
        <v>130783525.4854369</v>
      </c>
      <c r="BI36" s="149">
        <f>IFERROR(up_RadSpec!$J$26*BI26,".")*$B$37</f>
        <v>134707031.25</v>
      </c>
      <c r="BJ36" s="149">
        <f>IFERROR(up_RadSpec!$J$26*BJ26,".")*$B$37</f>
        <v>134707031.25</v>
      </c>
      <c r="BK36" s="149">
        <f>IFERROR(up_RadSpec!$J$26*BK26,".")*$B$37</f>
        <v>134707031.25</v>
      </c>
      <c r="BL36" s="149">
        <f>IFERROR(up_RadSpec!$J$26*BL26,".")*$B$37</f>
        <v>134707031.25</v>
      </c>
      <c r="BM36" s="149">
        <f>IFERROR(up_RadSpec!$J$26*BM26,".")*$B$37</f>
        <v>130783525.4854369</v>
      </c>
      <c r="BN36" s="149">
        <f>IFERROR(up_RadSpec!$J$26*BN26,".")*$B$37</f>
        <v>134707031.25</v>
      </c>
      <c r="BO36" s="149">
        <f>IFERROR(up_RadSpec!$J$26*BO26,".")*$B$37</f>
        <v>130783525.4854369</v>
      </c>
      <c r="BP36" s="150">
        <f t="shared" si="89"/>
        <v>1201199371.0171568</v>
      </c>
      <c r="BQ36" s="136">
        <f t="shared" ref="BQ36:CD36" si="103">IFERROR(BQ26/$B36,0)</f>
        <v>3.6363636363636364E-3</v>
      </c>
      <c r="BR36" s="136">
        <f t="shared" si="103"/>
        <v>0</v>
      </c>
      <c r="BS36" s="136">
        <f t="shared" si="103"/>
        <v>39.81818181818182</v>
      </c>
      <c r="BT36" s="136">
        <f t="shared" si="103"/>
        <v>2.1924550381384044E-4</v>
      </c>
      <c r="BU36" s="136">
        <f t="shared" si="103"/>
        <v>0.13223140495867769</v>
      </c>
      <c r="BV36" s="136">
        <f t="shared" si="103"/>
        <v>2.6446280991735537E-2</v>
      </c>
      <c r="BW36" s="136">
        <f t="shared" si="103"/>
        <v>2.7239669421487603E-2</v>
      </c>
      <c r="BX36" s="136">
        <f t="shared" si="103"/>
        <v>2.6446280991735537E-2</v>
      </c>
      <c r="BY36" s="136">
        <f t="shared" si="103"/>
        <v>2.6446280991735537E-2</v>
      </c>
      <c r="BZ36" s="136">
        <f t="shared" si="103"/>
        <v>2.6446280991735537E-2</v>
      </c>
      <c r="CA36" s="136">
        <f t="shared" si="103"/>
        <v>2.6446280991735537E-2</v>
      </c>
      <c r="CB36" s="136">
        <f t="shared" si="103"/>
        <v>2.7239669421487603E-2</v>
      </c>
      <c r="CC36" s="136">
        <f t="shared" si="103"/>
        <v>2.6446280991735537E-2</v>
      </c>
      <c r="CD36" s="136">
        <f t="shared" si="103"/>
        <v>2.7239669421487603E-2</v>
      </c>
      <c r="CE36" s="141"/>
      <c r="CF36" s="141"/>
      <c r="CG36" s="141"/>
      <c r="CH36" s="141"/>
      <c r="CI36" s="141"/>
      <c r="CJ36" s="141"/>
      <c r="CK36" s="141"/>
      <c r="CL36" s="141"/>
      <c r="CM36" s="141"/>
      <c r="CN36" s="141"/>
      <c r="CO36" s="141"/>
      <c r="CP36" s="141"/>
      <c r="CQ36" s="141"/>
      <c r="CR36" s="141"/>
      <c r="CS36" s="136">
        <f t="shared" ref="CS36" si="104">IFERROR(CS26/$B36,0)</f>
        <v>1.9302436709720458E-4</v>
      </c>
      <c r="CT36" s="149">
        <f>IFERROR(up_RadSpec!$M$26*CT26,".")*$B$37</f>
        <v>6875</v>
      </c>
      <c r="CU36" s="149">
        <f>IFERROR(up_RadSpec!$L$26*CU26,".")*$B$37</f>
        <v>1253.255208333333</v>
      </c>
      <c r="CV36" s="149">
        <f>IFERROR(up_RadSpec!$Q$26*CV26,".")*$B$37</f>
        <v>0.62785388127853881</v>
      </c>
      <c r="CW36" s="149">
        <f>up_b2w!BZ36</f>
        <v>114027.42389293101</v>
      </c>
      <c r="CX36" s="149">
        <f>IFERROR(up_RadSpec!$J$26*CX26,".")*$B$37</f>
        <v>189.0625</v>
      </c>
      <c r="CY36" s="149">
        <f>IFERROR(up_RadSpec!$J$26*CY26,".")*$B$37</f>
        <v>945.3125</v>
      </c>
      <c r="CZ36" s="149">
        <f>IFERROR(up_RadSpec!$J$26*CZ26,".")*$B$37</f>
        <v>917.77912621359224</v>
      </c>
      <c r="DA36" s="149">
        <f>IFERROR(up_RadSpec!$J$26*DA26,".")*$B$37</f>
        <v>945.3125</v>
      </c>
      <c r="DB36" s="149">
        <f>IFERROR(up_RadSpec!$J$26*DB26,".")*$B$37</f>
        <v>945.3125</v>
      </c>
      <c r="DC36" s="149">
        <f>IFERROR(up_RadSpec!$J$26*DC26,".")*$B$37</f>
        <v>945.3125</v>
      </c>
      <c r="DD36" s="149">
        <f>IFERROR(up_RadSpec!$J$26*DD26,".")*$B$37</f>
        <v>945.3125</v>
      </c>
      <c r="DE36" s="149">
        <f>IFERROR(up_RadSpec!$J$26*DE26,".")*$B$37</f>
        <v>917.77912621359224</v>
      </c>
      <c r="DF36" s="149">
        <f>IFERROR(up_RadSpec!$J$26*DF26,".")*$B$37</f>
        <v>945.3125</v>
      </c>
      <c r="DG36" s="149">
        <f>IFERROR(up_RadSpec!$J$26*DG26,".")*$B$37</f>
        <v>917.77912621359224</v>
      </c>
      <c r="DH36" s="150">
        <f t="shared" si="79"/>
        <v>0</v>
      </c>
      <c r="DI36" s="136">
        <f t="shared" ref="DI36:DK36" si="105">IFERROR(DI26/$B36,0)</f>
        <v>9.9740259740259754E-3</v>
      </c>
      <c r="DJ36" s="136">
        <f t="shared" si="105"/>
        <v>15.927272727272728</v>
      </c>
      <c r="DK36" s="136">
        <f t="shared" si="105"/>
        <v>9.9677839175609673E-3</v>
      </c>
      <c r="DL36" s="149">
        <f>IFERROR(up_RadSpec!$L$26*DL26,".")*$B$37</f>
        <v>2506.5104166666661</v>
      </c>
      <c r="DM36" s="149">
        <f>IFERROR(up_RadSpec!$O$26*DM26,".")*$B$37</f>
        <v>1.5696347031963471</v>
      </c>
      <c r="DN36" s="150">
        <f t="shared" si="93"/>
        <v>2508.0800513698623</v>
      </c>
    </row>
    <row r="37" spans="1:118" x14ac:dyDescent="0.25">
      <c r="A37" s="135" t="s">
        <v>1067</v>
      </c>
      <c r="B37" s="129">
        <v>1</v>
      </c>
      <c r="C37" s="136">
        <f t="shared" ref="C37:M37" si="106">IFERROR(C22/$B37,0)</f>
        <v>2.2038567493112948E-4</v>
      </c>
      <c r="D37" s="136">
        <f t="shared" si="106"/>
        <v>6.6115702479338848E-4</v>
      </c>
      <c r="E37" s="136">
        <f t="shared" si="106"/>
        <v>6.6115702479338848E-4</v>
      </c>
      <c r="F37" s="136">
        <f t="shared" si="106"/>
        <v>6.6115702479338848E-4</v>
      </c>
      <c r="G37" s="136">
        <f t="shared" si="106"/>
        <v>6.6115702479338848E-4</v>
      </c>
      <c r="H37" s="136">
        <f t="shared" si="106"/>
        <v>6.6115702479338848E-4</v>
      </c>
      <c r="I37" s="136">
        <f t="shared" si="106"/>
        <v>6.6115702479338848E-4</v>
      </c>
      <c r="J37" s="136">
        <f t="shared" si="106"/>
        <v>6.6115702479338848E-4</v>
      </c>
      <c r="K37" s="136">
        <f t="shared" si="106"/>
        <v>6.6115702479338848E-4</v>
      </c>
      <c r="L37" s="136">
        <f t="shared" si="106"/>
        <v>6.6115702479338848E-4</v>
      </c>
      <c r="M37" s="136">
        <f t="shared" si="106"/>
        <v>6.6115702479338848E-4</v>
      </c>
      <c r="N37" s="149">
        <f>up_dir!BA37</f>
        <v>113437.5</v>
      </c>
      <c r="O37" s="149">
        <f>IFERROR(up_RadSpec!$J$22*O22,".")*$B$37</f>
        <v>37812.5</v>
      </c>
      <c r="P37" s="149">
        <f>IFERROR(up_RadSpec!$J$22*P22,".")*$B$37</f>
        <v>37812.5</v>
      </c>
      <c r="Q37" s="149">
        <f>IFERROR(up_RadSpec!$J$22*Q22,".")*$B$37</f>
        <v>37812.5</v>
      </c>
      <c r="R37" s="149">
        <f>IFERROR(up_RadSpec!$J$22*R22,".")*$B$37</f>
        <v>37812.5</v>
      </c>
      <c r="S37" s="149">
        <f>IFERROR(up_RadSpec!$J$22*S22,".")*$B$37</f>
        <v>37812.5</v>
      </c>
      <c r="T37" s="149">
        <f>IFERROR(up_RadSpec!$J$22*T22,".")*$B$37</f>
        <v>37812.5</v>
      </c>
      <c r="U37" s="149">
        <f>IFERROR(up_RadSpec!$J$22*U22,".")*$B$37</f>
        <v>37812.5</v>
      </c>
      <c r="V37" s="149">
        <f>IFERROR(up_RadSpec!$J$22*V22,".")*$B$37</f>
        <v>37812.5</v>
      </c>
      <c r="W37" s="149">
        <f>IFERROR(up_RadSpec!$J$22*W22,".")*$B$37</f>
        <v>37812.5</v>
      </c>
      <c r="X37" s="149">
        <f>IFERROR(up_RadSpec!$J$22*X22,".")*$B$37</f>
        <v>37812.5</v>
      </c>
      <c r="Y37" s="136">
        <f t="shared" ref="Y37:AL37" si="107">IFERROR(Y22/$B37,0)</f>
        <v>0.33057851239669422</v>
      </c>
      <c r="Z37" s="136">
        <f t="shared" si="107"/>
        <v>3089.9917845330979</v>
      </c>
      <c r="AA37" s="136">
        <f t="shared" si="107"/>
        <v>636876832.84457493</v>
      </c>
      <c r="AB37" s="136">
        <f t="shared" si="107"/>
        <v>4.3958447178843029E-5</v>
      </c>
      <c r="AC37" s="136">
        <f t="shared" si="107"/>
        <v>6.6115702479338848E-4</v>
      </c>
      <c r="AD37" s="136">
        <f t="shared" si="107"/>
        <v>1.8558793678410905E-7</v>
      </c>
      <c r="AE37" s="136">
        <f t="shared" si="107"/>
        <v>1.9115557488763231E-7</v>
      </c>
      <c r="AF37" s="136">
        <f t="shared" si="107"/>
        <v>1.8558793678410905E-7</v>
      </c>
      <c r="AG37" s="136">
        <f t="shared" si="107"/>
        <v>1.8558793678410905E-7</v>
      </c>
      <c r="AH37" s="136">
        <f t="shared" si="107"/>
        <v>1.8558793678410905E-7</v>
      </c>
      <c r="AI37" s="136">
        <f t="shared" si="107"/>
        <v>1.8558793678410905E-7</v>
      </c>
      <c r="AJ37" s="136">
        <f t="shared" si="107"/>
        <v>1.9115557488763231E-7</v>
      </c>
      <c r="AK37" s="136">
        <f t="shared" si="107"/>
        <v>1.8558793678410905E-7</v>
      </c>
      <c r="AL37" s="136">
        <f t="shared" si="107"/>
        <v>1.9115557488763231E-7</v>
      </c>
      <c r="AM37" s="129"/>
      <c r="AN37" s="129"/>
      <c r="AO37" s="129"/>
      <c r="AP37" s="129"/>
      <c r="AQ37" s="129"/>
      <c r="AR37" s="129"/>
      <c r="AS37" s="129"/>
      <c r="AT37" s="129"/>
      <c r="AU37" s="129"/>
      <c r="AV37" s="129"/>
      <c r="AW37" s="129"/>
      <c r="AX37" s="129"/>
      <c r="AY37" s="129"/>
      <c r="AZ37" s="129"/>
      <c r="BA37" s="136">
        <f t="shared" ref="BA37" si="108">IFERROR(BA22/$B37,0)</f>
        <v>2.0812531710933191E-8</v>
      </c>
      <c r="BB37" s="149">
        <f>IFERROR(up_RadSpec!$I$22*BB22,".")*$B$37</f>
        <v>75.625</v>
      </c>
      <c r="BC37" s="149">
        <f>IFERROR(up_RadSpec!$L$22*BC22,".")*$B$37</f>
        <v>8.0906363975260659E-3</v>
      </c>
      <c r="BD37" s="149">
        <f>IFERROR(up_RadSpec!$K$22*BD22,".")*$B$37</f>
        <v>3.9254057787498545E-8</v>
      </c>
      <c r="BE37" s="149">
        <f>up_b2s!BZ37</f>
        <v>568718.90625</v>
      </c>
      <c r="BF37" s="149">
        <f>IFERROR(up_RadSpec!$J$22*BF22,".")*$B$37</f>
        <v>37812.5</v>
      </c>
      <c r="BG37" s="149">
        <f>IFERROR(up_RadSpec!$J$22*BG22,".")*$B$37</f>
        <v>134707031.25</v>
      </c>
      <c r="BH37" s="149">
        <f>IFERROR(up_RadSpec!$J$22*BH22,".")*$B$37</f>
        <v>130783525.4854369</v>
      </c>
      <c r="BI37" s="149">
        <f>IFERROR(up_RadSpec!$J$22*BI22,".")*$B$37</f>
        <v>134707031.25</v>
      </c>
      <c r="BJ37" s="149">
        <f>IFERROR(up_RadSpec!$J$22*BJ22,".")*$B$37</f>
        <v>134707031.25</v>
      </c>
      <c r="BK37" s="149">
        <f>IFERROR(up_RadSpec!$J$22*BK22,".")*$B$37</f>
        <v>134707031.25</v>
      </c>
      <c r="BL37" s="149">
        <f>IFERROR(up_RadSpec!$J$22*BL22,".")*$B$37</f>
        <v>134707031.25</v>
      </c>
      <c r="BM37" s="149">
        <f>IFERROR(up_RadSpec!$J$22*BM22,".")*$B$37</f>
        <v>130783525.4854369</v>
      </c>
      <c r="BN37" s="149">
        <f>IFERROR(up_RadSpec!$J$22*BN22,".")*$B$37</f>
        <v>134707031.25</v>
      </c>
      <c r="BO37" s="149">
        <f>IFERROR(up_RadSpec!$J$22*BO22,".")*$B$37</f>
        <v>130783525.4854369</v>
      </c>
      <c r="BP37" s="150">
        <f t="shared" si="89"/>
        <v>1201199370.9956515</v>
      </c>
      <c r="BQ37" s="136">
        <f t="shared" ref="BQ37:CD37" si="109">IFERROR(BQ22/$B37,0)</f>
        <v>3.6363636363636364E-3</v>
      </c>
      <c r="BR37" s="136">
        <f t="shared" si="109"/>
        <v>0</v>
      </c>
      <c r="BS37" s="136">
        <f t="shared" si="109"/>
        <v>39.81818181818182</v>
      </c>
      <c r="BT37" s="136">
        <f t="shared" si="109"/>
        <v>2.1924550381384044E-4</v>
      </c>
      <c r="BU37" s="136">
        <f t="shared" si="109"/>
        <v>0.13223140495867769</v>
      </c>
      <c r="BV37" s="136">
        <f t="shared" si="109"/>
        <v>2.6446280991735537E-2</v>
      </c>
      <c r="BW37" s="136">
        <f t="shared" si="109"/>
        <v>2.7239669421487603E-2</v>
      </c>
      <c r="BX37" s="136">
        <f t="shared" si="109"/>
        <v>2.6446280991735537E-2</v>
      </c>
      <c r="BY37" s="136">
        <f t="shared" si="109"/>
        <v>2.6446280991735537E-2</v>
      </c>
      <c r="BZ37" s="136">
        <f t="shared" si="109"/>
        <v>2.6446280991735537E-2</v>
      </c>
      <c r="CA37" s="136">
        <f t="shared" si="109"/>
        <v>2.6446280991735537E-2</v>
      </c>
      <c r="CB37" s="136">
        <f t="shared" si="109"/>
        <v>2.7239669421487603E-2</v>
      </c>
      <c r="CC37" s="136">
        <f t="shared" si="109"/>
        <v>2.6446280991735537E-2</v>
      </c>
      <c r="CD37" s="136">
        <f t="shared" si="109"/>
        <v>2.7239669421487603E-2</v>
      </c>
      <c r="CE37" s="141"/>
      <c r="CF37" s="141"/>
      <c r="CG37" s="141"/>
      <c r="CH37" s="141"/>
      <c r="CI37" s="141"/>
      <c r="CJ37" s="141"/>
      <c r="CK37" s="141"/>
      <c r="CL37" s="141"/>
      <c r="CM37" s="141"/>
      <c r="CN37" s="141"/>
      <c r="CO37" s="141"/>
      <c r="CP37" s="141"/>
      <c r="CQ37" s="141"/>
      <c r="CR37" s="141"/>
      <c r="CS37" s="136">
        <f t="shared" ref="CS37" si="110">IFERROR(CS22/$B37,0)</f>
        <v>1.9302436709720458E-4</v>
      </c>
      <c r="CT37" s="149">
        <f>IFERROR(up_RadSpec!$M$22*CT22,".")*$B$37</f>
        <v>6875</v>
      </c>
      <c r="CU37" s="149">
        <f>IFERROR(up_RadSpec!$L$22*CU22,".")*$B$37</f>
        <v>1253.255208333333</v>
      </c>
      <c r="CV37" s="149">
        <f>IFERROR(up_RadSpec!$Q$22*CV22,".")*$B$37</f>
        <v>0.62785388127853881</v>
      </c>
      <c r="CW37" s="149">
        <f>up_b2w!BZ37</f>
        <v>114027.42389293101</v>
      </c>
      <c r="CX37" s="149">
        <f>IFERROR(up_RadSpec!$J$22*CX22,".")*$B$37</f>
        <v>189.0625</v>
      </c>
      <c r="CY37" s="149">
        <f>IFERROR(up_RadSpec!$J$22*CY22,".")*$B$37</f>
        <v>945.3125</v>
      </c>
      <c r="CZ37" s="149">
        <f>IFERROR(up_RadSpec!$J$22*CZ22,".")*$B$37</f>
        <v>917.77912621359224</v>
      </c>
      <c r="DA37" s="149">
        <f>IFERROR(up_RadSpec!$J$22*DA22,".")*$B$37</f>
        <v>945.3125</v>
      </c>
      <c r="DB37" s="149">
        <f>IFERROR(up_RadSpec!$J$22*DB22,".")*$B$37</f>
        <v>945.3125</v>
      </c>
      <c r="DC37" s="149">
        <f>IFERROR(up_RadSpec!$J$22*DC22,".")*$B$37</f>
        <v>945.3125</v>
      </c>
      <c r="DD37" s="149">
        <f>IFERROR(up_RadSpec!$J$22*DD22,".")*$B$37</f>
        <v>945.3125</v>
      </c>
      <c r="DE37" s="149">
        <f>IFERROR(up_RadSpec!$J$22*DE22,".")*$B$37</f>
        <v>917.77912621359224</v>
      </c>
      <c r="DF37" s="149">
        <f>IFERROR(up_RadSpec!$J$22*DF22,".")*$B$37</f>
        <v>945.3125</v>
      </c>
      <c r="DG37" s="149">
        <f>IFERROR(up_RadSpec!$J$22*DG22,".")*$B$37</f>
        <v>917.77912621359224</v>
      </c>
      <c r="DH37" s="150">
        <f t="shared" si="79"/>
        <v>0</v>
      </c>
      <c r="DI37" s="136">
        <f t="shared" ref="DI37:DK37" si="111">IFERROR(DI22/$B37,0)</f>
        <v>9.9740259740259754E-3</v>
      </c>
      <c r="DJ37" s="136">
        <f t="shared" si="111"/>
        <v>15.927272727272728</v>
      </c>
      <c r="DK37" s="136">
        <f t="shared" si="111"/>
        <v>9.9677839175609673E-3</v>
      </c>
      <c r="DL37" s="149">
        <f>IFERROR(up_RadSpec!$L$22*DL22,".")*$B$37</f>
        <v>2506.5104166666661</v>
      </c>
      <c r="DM37" s="149">
        <f>IFERROR(up_RadSpec!$O$22*DM22,".")*$B$37</f>
        <v>1.5696347031963471</v>
      </c>
      <c r="DN37" s="150">
        <f t="shared" si="93"/>
        <v>2508.0800513698623</v>
      </c>
    </row>
    <row r="38" spans="1:118" x14ac:dyDescent="0.25">
      <c r="A38" s="135" t="s">
        <v>1068</v>
      </c>
      <c r="B38" s="129">
        <v>1</v>
      </c>
      <c r="C38" s="136">
        <f t="shared" ref="C38:M38" si="112">IFERROR(C2/$B38,0)</f>
        <v>2.2038567493112948E-4</v>
      </c>
      <c r="D38" s="136">
        <f t="shared" si="112"/>
        <v>6.6115702479338848E-4</v>
      </c>
      <c r="E38" s="136">
        <f t="shared" si="112"/>
        <v>6.6115702479338848E-4</v>
      </c>
      <c r="F38" s="136">
        <f t="shared" si="112"/>
        <v>6.6115702479338848E-4</v>
      </c>
      <c r="G38" s="136">
        <f t="shared" si="112"/>
        <v>6.6115702479338848E-4</v>
      </c>
      <c r="H38" s="136">
        <f t="shared" si="112"/>
        <v>6.6115702479338848E-4</v>
      </c>
      <c r="I38" s="136">
        <f t="shared" si="112"/>
        <v>6.6115702479338848E-4</v>
      </c>
      <c r="J38" s="136">
        <f t="shared" si="112"/>
        <v>6.6115702479338848E-4</v>
      </c>
      <c r="K38" s="136">
        <f t="shared" si="112"/>
        <v>6.6115702479338848E-4</v>
      </c>
      <c r="L38" s="136">
        <f t="shared" si="112"/>
        <v>6.6115702479338848E-4</v>
      </c>
      <c r="M38" s="136">
        <f t="shared" si="112"/>
        <v>6.6115702479338848E-4</v>
      </c>
      <c r="N38" s="149">
        <f>up_dir!BA38</f>
        <v>113437.5</v>
      </c>
      <c r="O38" s="149">
        <f>IFERROR(up_RadSpec!$J$2*O2,".")*$B$38</f>
        <v>37812.5</v>
      </c>
      <c r="P38" s="149">
        <f>IFERROR(up_RadSpec!$J$2*P2,".")*$B$38</f>
        <v>37812.5</v>
      </c>
      <c r="Q38" s="149">
        <f>IFERROR(up_RadSpec!$J$2*Q2,".")*$B$38</f>
        <v>37812.5</v>
      </c>
      <c r="R38" s="149">
        <f>IFERROR(up_RadSpec!$J$2*R2,".")*$B$38</f>
        <v>37812.5</v>
      </c>
      <c r="S38" s="149">
        <f>IFERROR(up_RadSpec!$J$2*S2,".")*$B$38</f>
        <v>37812.5</v>
      </c>
      <c r="T38" s="149">
        <f>IFERROR(up_RadSpec!$J$2*T2,".")*$B$38</f>
        <v>37812.5</v>
      </c>
      <c r="U38" s="149">
        <f>IFERROR(up_RadSpec!$J$2*U2,".")*$B$38</f>
        <v>37812.5</v>
      </c>
      <c r="V38" s="149">
        <f>IFERROR(up_RadSpec!$J$2*V2,".")*$B$38</f>
        <v>37812.5</v>
      </c>
      <c r="W38" s="149">
        <f>IFERROR(up_RadSpec!$J$2*W2,".")*$B$38</f>
        <v>37812.5</v>
      </c>
      <c r="X38" s="149">
        <f>IFERROR(up_RadSpec!$J$2*X2,".")*$B$38</f>
        <v>37812.5</v>
      </c>
      <c r="Y38" s="136">
        <f t="shared" ref="Y38:AL38" si="113">IFERROR(Y2/$B38,0)</f>
        <v>0.33057851239669422</v>
      </c>
      <c r="Z38" s="136">
        <f t="shared" si="113"/>
        <v>3089.9917845330979</v>
      </c>
      <c r="AA38" s="136">
        <f t="shared" si="113"/>
        <v>704.55228981544781</v>
      </c>
      <c r="AB38" s="136">
        <f t="shared" si="113"/>
        <v>4.3958447178843029E-5</v>
      </c>
      <c r="AC38" s="136">
        <f t="shared" si="113"/>
        <v>6.6115702479338848E-4</v>
      </c>
      <c r="AD38" s="136">
        <f t="shared" si="113"/>
        <v>1.8558793678410905E-7</v>
      </c>
      <c r="AE38" s="136">
        <f t="shared" si="113"/>
        <v>1.9115557488763231E-7</v>
      </c>
      <c r="AF38" s="136">
        <f t="shared" si="113"/>
        <v>1.8558793678410905E-7</v>
      </c>
      <c r="AG38" s="136">
        <f t="shared" si="113"/>
        <v>1.8558793678410905E-7</v>
      </c>
      <c r="AH38" s="136">
        <f t="shared" si="113"/>
        <v>1.8558793678410905E-7</v>
      </c>
      <c r="AI38" s="136">
        <f t="shared" si="113"/>
        <v>1.8558793678410905E-7</v>
      </c>
      <c r="AJ38" s="136">
        <f t="shared" si="113"/>
        <v>1.9115557488763231E-7</v>
      </c>
      <c r="AK38" s="136">
        <f t="shared" si="113"/>
        <v>1.8558793678410905E-7</v>
      </c>
      <c r="AL38" s="136">
        <f t="shared" si="113"/>
        <v>1.9115557488763231E-7</v>
      </c>
      <c r="AM38" s="129"/>
      <c r="AN38" s="129"/>
      <c r="AO38" s="129"/>
      <c r="AP38" s="129"/>
      <c r="AQ38" s="129"/>
      <c r="AR38" s="129"/>
      <c r="AS38" s="129"/>
      <c r="AT38" s="129"/>
      <c r="AU38" s="129"/>
      <c r="AV38" s="129"/>
      <c r="AW38" s="129"/>
      <c r="AX38" s="129"/>
      <c r="AY38" s="129"/>
      <c r="AZ38" s="129"/>
      <c r="BA38" s="136">
        <f t="shared" ref="BA38" si="114">IFERROR(BA2/$B38,0)</f>
        <v>2.081253171031839E-8</v>
      </c>
      <c r="BB38" s="149">
        <f>IFERROR(up_RadSpec!$I$2*BB2,".")*$B$38</f>
        <v>75.625</v>
      </c>
      <c r="BC38" s="149">
        <f>IFERROR(up_RadSpec!$L$2*BC2,".")*$B$38</f>
        <v>8.0906363975260659E-3</v>
      </c>
      <c r="BD38" s="149">
        <f>IFERROR(up_RadSpec!$K$2*BD2,".")*$B$38</f>
        <v>3.5483526718149708E-2</v>
      </c>
      <c r="BE38" s="149">
        <f>up_b2s!BZ38</f>
        <v>568718.90625</v>
      </c>
      <c r="BF38" s="149">
        <f>IFERROR(up_RadSpec!$J$2*BF2,".")*$B$38</f>
        <v>37812.5</v>
      </c>
      <c r="BG38" s="149">
        <f>IFERROR(up_RadSpec!$J$2*BG2,".")*$B$38</f>
        <v>134707031.25</v>
      </c>
      <c r="BH38" s="149">
        <f>IFERROR(up_RadSpec!$J$2*BH2,".")*$B$38</f>
        <v>130783525.4854369</v>
      </c>
      <c r="BI38" s="149">
        <f>IFERROR(up_RadSpec!$J$2*BI2,".")*$B$38</f>
        <v>134707031.25</v>
      </c>
      <c r="BJ38" s="149">
        <f>IFERROR(up_RadSpec!$J$2*BJ2,".")*$B$38</f>
        <v>134707031.25</v>
      </c>
      <c r="BK38" s="149">
        <f>IFERROR(up_RadSpec!$J$2*BK2,".")*$B$38</f>
        <v>134707031.25</v>
      </c>
      <c r="BL38" s="149">
        <f>IFERROR(up_RadSpec!$J$2*BL2,".")*$B$38</f>
        <v>134707031.25</v>
      </c>
      <c r="BM38" s="149">
        <f>IFERROR(up_RadSpec!$J$2*BM2,".")*$B$38</f>
        <v>130783525.4854369</v>
      </c>
      <c r="BN38" s="149">
        <f>IFERROR(up_RadSpec!$J$2*BN2,".")*$B$38</f>
        <v>134707031.25</v>
      </c>
      <c r="BO38" s="149">
        <f>IFERROR(up_RadSpec!$J$2*BO2,".")*$B$38</f>
        <v>130783525.4854369</v>
      </c>
      <c r="BP38" s="150">
        <f t="shared" si="89"/>
        <v>1201199371.0311348</v>
      </c>
      <c r="BQ38" s="136">
        <f t="shared" ref="BQ38:CD38" si="115">IFERROR(BQ2/$B38,0)</f>
        <v>3.6363636363636364E-3</v>
      </c>
      <c r="BR38" s="136">
        <f t="shared" si="115"/>
        <v>0</v>
      </c>
      <c r="BS38" s="136">
        <f t="shared" si="115"/>
        <v>39.81818181818182</v>
      </c>
      <c r="BT38" s="136">
        <f t="shared" si="115"/>
        <v>2.1924550381384044E-4</v>
      </c>
      <c r="BU38" s="136">
        <f t="shared" si="115"/>
        <v>0.13223140495867769</v>
      </c>
      <c r="BV38" s="136">
        <f t="shared" si="115"/>
        <v>2.6446280991735537E-2</v>
      </c>
      <c r="BW38" s="136">
        <f t="shared" si="115"/>
        <v>2.7239669421487603E-2</v>
      </c>
      <c r="BX38" s="136">
        <f t="shared" si="115"/>
        <v>2.6446280991735537E-2</v>
      </c>
      <c r="BY38" s="136">
        <f t="shared" si="115"/>
        <v>2.6446280991735537E-2</v>
      </c>
      <c r="BZ38" s="136">
        <f t="shared" si="115"/>
        <v>2.6446280991735537E-2</v>
      </c>
      <c r="CA38" s="136">
        <f t="shared" si="115"/>
        <v>2.6446280991735537E-2</v>
      </c>
      <c r="CB38" s="136">
        <f t="shared" si="115"/>
        <v>2.7239669421487603E-2</v>
      </c>
      <c r="CC38" s="136">
        <f t="shared" si="115"/>
        <v>2.6446280991735537E-2</v>
      </c>
      <c r="CD38" s="136">
        <f t="shared" si="115"/>
        <v>2.7239669421487603E-2</v>
      </c>
      <c r="CE38" s="141"/>
      <c r="CF38" s="141"/>
      <c r="CG38" s="141"/>
      <c r="CH38" s="141"/>
      <c r="CI38" s="141"/>
      <c r="CJ38" s="141"/>
      <c r="CK38" s="141"/>
      <c r="CL38" s="141"/>
      <c r="CM38" s="141"/>
      <c r="CN38" s="141"/>
      <c r="CO38" s="141"/>
      <c r="CP38" s="141"/>
      <c r="CQ38" s="141"/>
      <c r="CR38" s="141"/>
      <c r="CS38" s="136">
        <f t="shared" ref="CS38" si="116">IFERROR(CS2/$B38,0)</f>
        <v>1.9302436709720458E-4</v>
      </c>
      <c r="CT38" s="149">
        <f>IFERROR(up_RadSpec!$M$2*CT2,".")*$B$38</f>
        <v>6875</v>
      </c>
      <c r="CU38" s="149">
        <f>IFERROR(up_RadSpec!$L$2*CU2,".")*$B$38</f>
        <v>1253.255208333333</v>
      </c>
      <c r="CV38" s="149">
        <f>IFERROR(up_RadSpec!$Q$2*CV2,".")*$B$38</f>
        <v>0.62785388127853881</v>
      </c>
      <c r="CW38" s="149">
        <f>up_b2w!BZ38</f>
        <v>114027.42389293101</v>
      </c>
      <c r="CX38" s="149">
        <f>IFERROR(up_RadSpec!$J$2*CX2,".")*$B$38</f>
        <v>189.0625</v>
      </c>
      <c r="CY38" s="149">
        <f>IFERROR(up_RadSpec!$J$2*CY2,".")*$B$38</f>
        <v>945.3125</v>
      </c>
      <c r="CZ38" s="149">
        <f>IFERROR(up_RadSpec!$J$2*CZ2,".")*$B$38</f>
        <v>917.77912621359224</v>
      </c>
      <c r="DA38" s="149">
        <f>IFERROR(up_RadSpec!$J$2*DA2,".")*$B$38</f>
        <v>945.3125</v>
      </c>
      <c r="DB38" s="149">
        <f>IFERROR(up_RadSpec!$J$2*DB2,".")*$B$38</f>
        <v>945.3125</v>
      </c>
      <c r="DC38" s="149">
        <f>IFERROR(up_RadSpec!$J$2*DC2,".")*$B$38</f>
        <v>945.3125</v>
      </c>
      <c r="DD38" s="149">
        <f>IFERROR(up_RadSpec!$J$2*DD2,".")*$B$38</f>
        <v>945.3125</v>
      </c>
      <c r="DE38" s="149">
        <f>IFERROR(up_RadSpec!$J$2*DE2,".")*$B$38</f>
        <v>917.77912621359224</v>
      </c>
      <c r="DF38" s="149">
        <f>IFERROR(up_RadSpec!$J$2*DF2,".")*$B$38</f>
        <v>945.3125</v>
      </c>
      <c r="DG38" s="149">
        <f>IFERROR(up_RadSpec!$J$2*DG2,".")*$B$38</f>
        <v>917.77912621359224</v>
      </c>
      <c r="DH38" s="150">
        <f t="shared" si="79"/>
        <v>0</v>
      </c>
      <c r="DI38" s="136">
        <f t="shared" ref="DI38:DK38" si="117">IFERROR(DI2/$B38,0)</f>
        <v>9.9740259740259754E-3</v>
      </c>
      <c r="DJ38" s="136">
        <f t="shared" si="117"/>
        <v>15.927272727272728</v>
      </c>
      <c r="DK38" s="136">
        <f t="shared" si="117"/>
        <v>9.9677839175609673E-3</v>
      </c>
      <c r="DL38" s="149">
        <f>IFERROR(up_RadSpec!$L$2*DL2,".")*$B$38</f>
        <v>2506.5104166666661</v>
      </c>
      <c r="DM38" s="149">
        <f>IFERROR(up_RadSpec!$O$2*DM2,".")*$B$38</f>
        <v>1.5696347031963471</v>
      </c>
      <c r="DN38" s="150">
        <f t="shared" si="93"/>
        <v>2508.0800513698623</v>
      </c>
    </row>
    <row r="39" spans="1:118" x14ac:dyDescent="0.25">
      <c r="A39" s="135" t="s">
        <v>1069</v>
      </c>
      <c r="B39" s="129">
        <v>1</v>
      </c>
      <c r="C39" s="136">
        <f t="shared" ref="C39:M39" si="118">IFERROR(C11/$B39,0)</f>
        <v>2.2038567493112948E-4</v>
      </c>
      <c r="D39" s="136">
        <f t="shared" si="118"/>
        <v>6.6115702479338848E-4</v>
      </c>
      <c r="E39" s="136">
        <f t="shared" si="118"/>
        <v>6.6115702479338848E-4</v>
      </c>
      <c r="F39" s="136">
        <f t="shared" si="118"/>
        <v>6.6115702479338848E-4</v>
      </c>
      <c r="G39" s="136">
        <f t="shared" si="118"/>
        <v>6.6115702479338848E-4</v>
      </c>
      <c r="H39" s="136">
        <f t="shared" si="118"/>
        <v>6.6115702479338848E-4</v>
      </c>
      <c r="I39" s="136">
        <f t="shared" si="118"/>
        <v>6.6115702479338848E-4</v>
      </c>
      <c r="J39" s="136">
        <f t="shared" si="118"/>
        <v>6.6115702479338848E-4</v>
      </c>
      <c r="K39" s="136">
        <f t="shared" si="118"/>
        <v>6.6115702479338848E-4</v>
      </c>
      <c r="L39" s="136">
        <f t="shared" si="118"/>
        <v>6.6115702479338848E-4</v>
      </c>
      <c r="M39" s="136">
        <f t="shared" si="118"/>
        <v>6.6115702479338848E-4</v>
      </c>
      <c r="N39" s="149">
        <f>up_dir!BA39</f>
        <v>113437.5</v>
      </c>
      <c r="O39" s="149">
        <f>IFERROR(up_RadSpec!$J$11*O11,".")*$B$39</f>
        <v>37812.5</v>
      </c>
      <c r="P39" s="149">
        <f>IFERROR(up_RadSpec!$J$11*P11,".")*$B$39</f>
        <v>37812.5</v>
      </c>
      <c r="Q39" s="149">
        <f>IFERROR(up_RadSpec!$J$11*Q11,".")*$B$39</f>
        <v>37812.5</v>
      </c>
      <c r="R39" s="149">
        <f>IFERROR(up_RadSpec!$J$11*R11,".")*$B$39</f>
        <v>37812.5</v>
      </c>
      <c r="S39" s="149">
        <f>IFERROR(up_RadSpec!$J$11*S11,".")*$B$39</f>
        <v>37812.5</v>
      </c>
      <c r="T39" s="149">
        <f>IFERROR(up_RadSpec!$J$11*T11,".")*$B$39</f>
        <v>37812.5</v>
      </c>
      <c r="U39" s="149">
        <f>IFERROR(up_RadSpec!$J$11*U11,".")*$B$39</f>
        <v>37812.5</v>
      </c>
      <c r="V39" s="149">
        <f>IFERROR(up_RadSpec!$J$11*V11,".")*$B$39</f>
        <v>37812.5</v>
      </c>
      <c r="W39" s="149">
        <f>IFERROR(up_RadSpec!$J$11*W11,".")*$B$39</f>
        <v>37812.5</v>
      </c>
      <c r="X39" s="149">
        <f>IFERROR(up_RadSpec!$J$11*X11,".")*$B$39</f>
        <v>37812.5</v>
      </c>
      <c r="Y39" s="136">
        <f t="shared" ref="Y39:AL39" si="119">IFERROR(Y11/$B39,0)</f>
        <v>0.33057851239669422</v>
      </c>
      <c r="Z39" s="136">
        <f t="shared" si="119"/>
        <v>3089.9917845330979</v>
      </c>
      <c r="AA39" s="136">
        <f t="shared" si="119"/>
        <v>619.88011988011999</v>
      </c>
      <c r="AB39" s="136">
        <f t="shared" si="119"/>
        <v>4.3958447178843029E-5</v>
      </c>
      <c r="AC39" s="136">
        <f t="shared" si="119"/>
        <v>6.6115702479338848E-4</v>
      </c>
      <c r="AD39" s="136">
        <f t="shared" si="119"/>
        <v>1.8558793678410905E-7</v>
      </c>
      <c r="AE39" s="136">
        <f t="shared" si="119"/>
        <v>1.9115557488763231E-7</v>
      </c>
      <c r="AF39" s="136">
        <f t="shared" si="119"/>
        <v>1.8558793678410905E-7</v>
      </c>
      <c r="AG39" s="136">
        <f t="shared" si="119"/>
        <v>1.8558793678410905E-7</v>
      </c>
      <c r="AH39" s="136">
        <f t="shared" si="119"/>
        <v>1.8558793678410905E-7</v>
      </c>
      <c r="AI39" s="136">
        <f t="shared" si="119"/>
        <v>1.8558793678410905E-7</v>
      </c>
      <c r="AJ39" s="136">
        <f t="shared" si="119"/>
        <v>1.9115557488763231E-7</v>
      </c>
      <c r="AK39" s="136">
        <f t="shared" si="119"/>
        <v>1.8558793678410905E-7</v>
      </c>
      <c r="AL39" s="136">
        <f t="shared" si="119"/>
        <v>1.9115557488763231E-7</v>
      </c>
      <c r="AM39" s="129"/>
      <c r="AN39" s="129"/>
      <c r="AO39" s="129"/>
      <c r="AP39" s="129"/>
      <c r="AQ39" s="129"/>
      <c r="AR39" s="129"/>
      <c r="AS39" s="129"/>
      <c r="AT39" s="129"/>
      <c r="AU39" s="129"/>
      <c r="AV39" s="129"/>
      <c r="AW39" s="129"/>
      <c r="AX39" s="129"/>
      <c r="AY39" s="129"/>
      <c r="AZ39" s="129"/>
      <c r="BA39" s="136">
        <f t="shared" ref="BA39" si="120">IFERROR(BA11/$B39,0)</f>
        <v>2.0812531710234415E-8</v>
      </c>
      <c r="BB39" s="149">
        <f>IFERROR(up_RadSpec!$I$11*BB11,".")*$B$39</f>
        <v>75.625</v>
      </c>
      <c r="BC39" s="149">
        <f>IFERROR(up_RadSpec!$L$11*BC11,".")*$B$39</f>
        <v>8.0906363975260659E-3</v>
      </c>
      <c r="BD39" s="149">
        <f>IFERROR(up_RadSpec!$K$11*BD11,".")*$B$39</f>
        <v>4.0330378726833191E-2</v>
      </c>
      <c r="BE39" s="149">
        <f>up_b2s!BZ39</f>
        <v>568718.90625</v>
      </c>
      <c r="BF39" s="149">
        <f>IFERROR(up_RadSpec!$J$11*BF11,".")*$B$39</f>
        <v>37812.5</v>
      </c>
      <c r="BG39" s="149">
        <f>IFERROR(up_RadSpec!$J$11*BG11,".")*$B$39</f>
        <v>134707031.25</v>
      </c>
      <c r="BH39" s="149">
        <f>IFERROR(up_RadSpec!$J$11*BH11,".")*$B$39</f>
        <v>130783525.4854369</v>
      </c>
      <c r="BI39" s="149">
        <f>IFERROR(up_RadSpec!$J$11*BI11,".")*$B$39</f>
        <v>134707031.25</v>
      </c>
      <c r="BJ39" s="149">
        <f>IFERROR(up_RadSpec!$J$11*BJ11,".")*$B$39</f>
        <v>134707031.25</v>
      </c>
      <c r="BK39" s="149">
        <f>IFERROR(up_RadSpec!$J$11*BK11,".")*$B$39</f>
        <v>134707031.25</v>
      </c>
      <c r="BL39" s="149">
        <f>IFERROR(up_RadSpec!$J$11*BL11,".")*$B$39</f>
        <v>134707031.25</v>
      </c>
      <c r="BM39" s="149">
        <f>IFERROR(up_RadSpec!$J$11*BM11,".")*$B$39</f>
        <v>130783525.4854369</v>
      </c>
      <c r="BN39" s="149">
        <f>IFERROR(up_RadSpec!$J$11*BN11,".")*$B$39</f>
        <v>134707031.25</v>
      </c>
      <c r="BO39" s="149">
        <f>IFERROR(up_RadSpec!$J$11*BO11,".")*$B$39</f>
        <v>130783525.4854369</v>
      </c>
      <c r="BP39" s="150">
        <f t="shared" si="89"/>
        <v>1201199371.0359817</v>
      </c>
      <c r="BQ39" s="136">
        <f t="shared" ref="BQ39:CD39" si="121">IFERROR(BQ11/$B39,0)</f>
        <v>3.6363636363636364E-3</v>
      </c>
      <c r="BR39" s="136">
        <f t="shared" si="121"/>
        <v>0</v>
      </c>
      <c r="BS39" s="136">
        <f t="shared" si="121"/>
        <v>39.81818181818182</v>
      </c>
      <c r="BT39" s="136">
        <f t="shared" si="121"/>
        <v>2.1924550381384044E-4</v>
      </c>
      <c r="BU39" s="136">
        <f t="shared" si="121"/>
        <v>0.13223140495867769</v>
      </c>
      <c r="BV39" s="136">
        <f t="shared" si="121"/>
        <v>2.6446280991735537E-2</v>
      </c>
      <c r="BW39" s="136">
        <f t="shared" si="121"/>
        <v>2.7239669421487603E-2</v>
      </c>
      <c r="BX39" s="136">
        <f t="shared" si="121"/>
        <v>2.6446280991735537E-2</v>
      </c>
      <c r="BY39" s="136">
        <f t="shared" si="121"/>
        <v>2.6446280991735537E-2</v>
      </c>
      <c r="BZ39" s="136">
        <f t="shared" si="121"/>
        <v>2.6446280991735537E-2</v>
      </c>
      <c r="CA39" s="136">
        <f t="shared" si="121"/>
        <v>2.6446280991735537E-2</v>
      </c>
      <c r="CB39" s="136">
        <f t="shared" si="121"/>
        <v>2.7239669421487603E-2</v>
      </c>
      <c r="CC39" s="136">
        <f t="shared" si="121"/>
        <v>2.6446280991735537E-2</v>
      </c>
      <c r="CD39" s="136">
        <f t="shared" si="121"/>
        <v>2.7239669421487603E-2</v>
      </c>
      <c r="CE39" s="141"/>
      <c r="CF39" s="141"/>
      <c r="CG39" s="141"/>
      <c r="CH39" s="141"/>
      <c r="CI39" s="141"/>
      <c r="CJ39" s="141"/>
      <c r="CK39" s="141"/>
      <c r="CL39" s="141"/>
      <c r="CM39" s="141"/>
      <c r="CN39" s="141"/>
      <c r="CO39" s="141"/>
      <c r="CP39" s="141"/>
      <c r="CQ39" s="141"/>
      <c r="CR39" s="141"/>
      <c r="CS39" s="136">
        <f t="shared" ref="CS39" si="122">IFERROR(CS11/$B39,0)</f>
        <v>1.9302436709720458E-4</v>
      </c>
      <c r="CT39" s="149">
        <f>IFERROR(up_RadSpec!$M$11*CT11,".")*$B$39</f>
        <v>6875</v>
      </c>
      <c r="CU39" s="149">
        <f>IFERROR(up_RadSpec!$L$11*CU11,".")*$B$39</f>
        <v>1253.255208333333</v>
      </c>
      <c r="CV39" s="149">
        <f>IFERROR(up_RadSpec!$Q$11*CV11,".")*$B$39</f>
        <v>0.62785388127853881</v>
      </c>
      <c r="CW39" s="149">
        <f>up_b2w!BZ39</f>
        <v>114027.42389293101</v>
      </c>
      <c r="CX39" s="149">
        <f>IFERROR(up_RadSpec!$J$11*CX11,".")*$B$39</f>
        <v>189.0625</v>
      </c>
      <c r="CY39" s="149">
        <f>IFERROR(up_RadSpec!$J$11*CY11,".")*$B$39</f>
        <v>945.3125</v>
      </c>
      <c r="CZ39" s="149">
        <f>IFERROR(up_RadSpec!$J$11*CZ11,".")*$B$39</f>
        <v>917.77912621359224</v>
      </c>
      <c r="DA39" s="149">
        <f>IFERROR(up_RadSpec!$J$11*DA11,".")*$B$39</f>
        <v>945.3125</v>
      </c>
      <c r="DB39" s="149">
        <f>IFERROR(up_RadSpec!$J$11*DB11,".")*$B$39</f>
        <v>945.3125</v>
      </c>
      <c r="DC39" s="149">
        <f>IFERROR(up_RadSpec!$J$11*DC11,".")*$B$39</f>
        <v>945.3125</v>
      </c>
      <c r="DD39" s="149">
        <f>IFERROR(up_RadSpec!$J$11*DD11,".")*$B$39</f>
        <v>945.3125</v>
      </c>
      <c r="DE39" s="149">
        <f>IFERROR(up_RadSpec!$J$11*DE11,".")*$B$39</f>
        <v>917.77912621359224</v>
      </c>
      <c r="DF39" s="149">
        <f>IFERROR(up_RadSpec!$J$11*DF11,".")*$B$39</f>
        <v>945.3125</v>
      </c>
      <c r="DG39" s="149">
        <f>IFERROR(up_RadSpec!$J$11*DG11,".")*$B$39</f>
        <v>917.77912621359224</v>
      </c>
      <c r="DH39" s="150">
        <f t="shared" si="79"/>
        <v>0</v>
      </c>
      <c r="DI39" s="136">
        <f t="shared" ref="DI39:DK39" si="123">IFERROR(DI11/$B39,0)</f>
        <v>9.9740259740259754E-3</v>
      </c>
      <c r="DJ39" s="136">
        <f t="shared" si="123"/>
        <v>15.927272727272728</v>
      </c>
      <c r="DK39" s="136">
        <f t="shared" si="123"/>
        <v>9.9677839175609673E-3</v>
      </c>
      <c r="DL39" s="149">
        <f>IFERROR(up_RadSpec!$L$11*DL11,".")*$B$39</f>
        <v>2506.5104166666661</v>
      </c>
      <c r="DM39" s="149">
        <f>IFERROR(up_RadSpec!$O$11*DM11,".")*$B$39</f>
        <v>1.5696347031963471</v>
      </c>
      <c r="DN39" s="150">
        <f t="shared" si="93"/>
        <v>2508.0800513698623</v>
      </c>
    </row>
    <row r="40" spans="1:118" x14ac:dyDescent="0.25">
      <c r="A40" s="135" t="s">
        <v>1070</v>
      </c>
      <c r="B40" s="129">
        <v>1</v>
      </c>
      <c r="C40" s="136">
        <f t="shared" ref="C40:M40" si="124">IFERROR(C4/$B40,0)</f>
        <v>2.2038567493112948E-4</v>
      </c>
      <c r="D40" s="136">
        <f t="shared" si="124"/>
        <v>6.6115702479338848E-4</v>
      </c>
      <c r="E40" s="136">
        <f t="shared" si="124"/>
        <v>6.6115702479338848E-4</v>
      </c>
      <c r="F40" s="136">
        <f t="shared" si="124"/>
        <v>6.6115702479338848E-4</v>
      </c>
      <c r="G40" s="136">
        <f t="shared" si="124"/>
        <v>6.6115702479338848E-4</v>
      </c>
      <c r="H40" s="136">
        <f t="shared" si="124"/>
        <v>6.6115702479338848E-4</v>
      </c>
      <c r="I40" s="136">
        <f t="shared" si="124"/>
        <v>6.6115702479338848E-4</v>
      </c>
      <c r="J40" s="136">
        <f t="shared" si="124"/>
        <v>6.6115702479338848E-4</v>
      </c>
      <c r="K40" s="136">
        <f t="shared" si="124"/>
        <v>6.6115702479338848E-4</v>
      </c>
      <c r="L40" s="136">
        <f t="shared" si="124"/>
        <v>6.6115702479338848E-4</v>
      </c>
      <c r="M40" s="136">
        <f t="shared" si="124"/>
        <v>6.6115702479338848E-4</v>
      </c>
      <c r="N40" s="149">
        <f>up_dir!BA40</f>
        <v>113437.5</v>
      </c>
      <c r="O40" s="149">
        <f>IFERROR(up_RadSpec!$J$4*O4,".")*$B$40</f>
        <v>37812.5</v>
      </c>
      <c r="P40" s="149">
        <f>IFERROR(up_RadSpec!$J$4*P4,".")*$B$40</f>
        <v>37812.5</v>
      </c>
      <c r="Q40" s="149">
        <f>IFERROR(up_RadSpec!$J$4*Q4,".")*$B$40</f>
        <v>37812.5</v>
      </c>
      <c r="R40" s="149">
        <f>IFERROR(up_RadSpec!$J$4*R4,".")*$B$40</f>
        <v>37812.5</v>
      </c>
      <c r="S40" s="149">
        <f>IFERROR(up_RadSpec!$J$4*S4,".")*$B$40</f>
        <v>37812.5</v>
      </c>
      <c r="T40" s="149">
        <f>IFERROR(up_RadSpec!$J$4*T4,".")*$B$40</f>
        <v>37812.5</v>
      </c>
      <c r="U40" s="149">
        <f>IFERROR(up_RadSpec!$J$4*U4,".")*$B$40</f>
        <v>37812.5</v>
      </c>
      <c r="V40" s="149">
        <f>IFERROR(up_RadSpec!$J$4*V4,".")*$B$40</f>
        <v>37812.5</v>
      </c>
      <c r="W40" s="149">
        <f>IFERROR(up_RadSpec!$J$4*W4,".")*$B$40</f>
        <v>37812.5</v>
      </c>
      <c r="X40" s="149">
        <f>IFERROR(up_RadSpec!$J$4*X4,".")*$B$40</f>
        <v>37812.5</v>
      </c>
      <c r="Y40" s="136">
        <f t="shared" ref="Y40:AL40" si="125">IFERROR(Y4/$B40,0)</f>
        <v>0.33057851239669422</v>
      </c>
      <c r="Z40" s="136">
        <f t="shared" si="125"/>
        <v>3089.9917845330979</v>
      </c>
      <c r="AA40" s="136">
        <f t="shared" si="125"/>
        <v>344.10774410774422</v>
      </c>
      <c r="AB40" s="136">
        <f t="shared" si="125"/>
        <v>4.3958447178843029E-5</v>
      </c>
      <c r="AC40" s="136">
        <f t="shared" si="125"/>
        <v>6.6115702479338848E-4</v>
      </c>
      <c r="AD40" s="136">
        <f t="shared" si="125"/>
        <v>1.8558793678410905E-7</v>
      </c>
      <c r="AE40" s="136">
        <f t="shared" si="125"/>
        <v>1.9115557488763231E-7</v>
      </c>
      <c r="AF40" s="136">
        <f t="shared" si="125"/>
        <v>1.8558793678410905E-7</v>
      </c>
      <c r="AG40" s="136">
        <f t="shared" si="125"/>
        <v>1.8558793678410905E-7</v>
      </c>
      <c r="AH40" s="136">
        <f t="shared" si="125"/>
        <v>1.8558793678410905E-7</v>
      </c>
      <c r="AI40" s="136">
        <f t="shared" si="125"/>
        <v>1.8558793678410905E-7</v>
      </c>
      <c r="AJ40" s="136">
        <f t="shared" si="125"/>
        <v>1.9115557488763231E-7</v>
      </c>
      <c r="AK40" s="136">
        <f t="shared" si="125"/>
        <v>1.8558793678410905E-7</v>
      </c>
      <c r="AL40" s="136">
        <f t="shared" si="125"/>
        <v>1.9115557488763231E-7</v>
      </c>
      <c r="AM40" s="129"/>
      <c r="AN40" s="129"/>
      <c r="AO40" s="129"/>
      <c r="AP40" s="129"/>
      <c r="AQ40" s="129"/>
      <c r="AR40" s="129"/>
      <c r="AS40" s="129"/>
      <c r="AT40" s="129"/>
      <c r="AU40" s="129"/>
      <c r="AV40" s="129"/>
      <c r="AW40" s="129"/>
      <c r="AX40" s="129"/>
      <c r="AY40" s="129"/>
      <c r="AZ40" s="129"/>
      <c r="BA40" s="136">
        <f t="shared" ref="BA40" si="126">IFERROR(BA4/$B40,0)</f>
        <v>2.08125317096744E-8</v>
      </c>
      <c r="BB40" s="149">
        <f>IFERROR(up_RadSpec!$I$4*BB4,".")*$B$40</f>
        <v>75.625</v>
      </c>
      <c r="BC40" s="149">
        <f>IFERROR(up_RadSpec!$L$4*BC4,".")*$B$40</f>
        <v>8.0906363975260659E-3</v>
      </c>
      <c r="BD40" s="149">
        <f>IFERROR(up_RadSpec!$K$4*BD4,".")*$B$40</f>
        <v>7.2651663405088038E-2</v>
      </c>
      <c r="BE40" s="149">
        <f>up_b2s!BZ40</f>
        <v>568718.90625</v>
      </c>
      <c r="BF40" s="149">
        <f>IFERROR(up_RadSpec!$J$4*BF4,".")*$B$40</f>
        <v>37812.5</v>
      </c>
      <c r="BG40" s="149">
        <f>IFERROR(up_RadSpec!$J$4*BG4,".")*$B$40</f>
        <v>134707031.25</v>
      </c>
      <c r="BH40" s="149">
        <f>IFERROR(up_RadSpec!$J$4*BH4,".")*$B$40</f>
        <v>130783525.4854369</v>
      </c>
      <c r="BI40" s="149">
        <f>IFERROR(up_RadSpec!$J$4*BI4,".")*$B$40</f>
        <v>134707031.25</v>
      </c>
      <c r="BJ40" s="149">
        <f>IFERROR(up_RadSpec!$J$4*BJ4,".")*$B$40</f>
        <v>134707031.25</v>
      </c>
      <c r="BK40" s="149">
        <f>IFERROR(up_RadSpec!$J$4*BK4,".")*$B$40</f>
        <v>134707031.25</v>
      </c>
      <c r="BL40" s="149">
        <f>IFERROR(up_RadSpec!$J$4*BL4,".")*$B$40</f>
        <v>134707031.25</v>
      </c>
      <c r="BM40" s="149">
        <f>IFERROR(up_RadSpec!$J$4*BM4,".")*$B$40</f>
        <v>130783525.4854369</v>
      </c>
      <c r="BN40" s="149">
        <f>IFERROR(up_RadSpec!$J$4*BN4,".")*$B$40</f>
        <v>134707031.25</v>
      </c>
      <c r="BO40" s="149">
        <f>IFERROR(up_RadSpec!$J$4*BO4,".")*$B$40</f>
        <v>130783525.4854369</v>
      </c>
      <c r="BP40" s="150">
        <f t="shared" si="89"/>
        <v>1201199371.0683031</v>
      </c>
      <c r="BQ40" s="136">
        <f t="shared" ref="BQ40:CD40" si="127">IFERROR(BQ4/$B40,0)</f>
        <v>3.6363636363636364E-3</v>
      </c>
      <c r="BR40" s="136">
        <f t="shared" si="127"/>
        <v>0</v>
      </c>
      <c r="BS40" s="136">
        <f t="shared" si="127"/>
        <v>39.81818181818182</v>
      </c>
      <c r="BT40" s="136">
        <f t="shared" si="127"/>
        <v>2.1924550381384044E-4</v>
      </c>
      <c r="BU40" s="136">
        <f t="shared" si="127"/>
        <v>0.13223140495867769</v>
      </c>
      <c r="BV40" s="136">
        <f t="shared" si="127"/>
        <v>2.6446280991735537E-2</v>
      </c>
      <c r="BW40" s="136">
        <f t="shared" si="127"/>
        <v>2.7239669421487603E-2</v>
      </c>
      <c r="BX40" s="136">
        <f t="shared" si="127"/>
        <v>2.6446280991735537E-2</v>
      </c>
      <c r="BY40" s="136">
        <f t="shared" si="127"/>
        <v>2.6446280991735537E-2</v>
      </c>
      <c r="BZ40" s="136">
        <f t="shared" si="127"/>
        <v>2.6446280991735537E-2</v>
      </c>
      <c r="CA40" s="136">
        <f t="shared" si="127"/>
        <v>2.6446280991735537E-2</v>
      </c>
      <c r="CB40" s="136">
        <f t="shared" si="127"/>
        <v>2.7239669421487603E-2</v>
      </c>
      <c r="CC40" s="136">
        <f t="shared" si="127"/>
        <v>2.6446280991735537E-2</v>
      </c>
      <c r="CD40" s="136">
        <f t="shared" si="127"/>
        <v>2.7239669421487603E-2</v>
      </c>
      <c r="CE40" s="141"/>
      <c r="CF40" s="141"/>
      <c r="CG40" s="141"/>
      <c r="CH40" s="141"/>
      <c r="CI40" s="141"/>
      <c r="CJ40" s="141"/>
      <c r="CK40" s="141"/>
      <c r="CL40" s="141"/>
      <c r="CM40" s="141"/>
      <c r="CN40" s="141"/>
      <c r="CO40" s="141"/>
      <c r="CP40" s="141"/>
      <c r="CQ40" s="141"/>
      <c r="CR40" s="141"/>
      <c r="CS40" s="136">
        <f t="shared" ref="CS40" si="128">IFERROR(CS4/$B40,0)</f>
        <v>1.9302436709720458E-4</v>
      </c>
      <c r="CT40" s="149">
        <f>IFERROR(up_RadSpec!$M$4*CT4,".")*$B$40</f>
        <v>6875</v>
      </c>
      <c r="CU40" s="149">
        <f>IFERROR(up_RadSpec!$L$4*CU4,".")*$B$40</f>
        <v>1253.255208333333</v>
      </c>
      <c r="CV40" s="149">
        <f>IFERROR(up_RadSpec!$Q$4*CV4,".")*$B$40</f>
        <v>0.62785388127853881</v>
      </c>
      <c r="CW40" s="149">
        <f>up_b2w!BZ40</f>
        <v>114027.42389293101</v>
      </c>
      <c r="CX40" s="149">
        <f>IFERROR(up_RadSpec!$J$4*CX4,".")*$B$40</f>
        <v>189.0625</v>
      </c>
      <c r="CY40" s="149">
        <f>IFERROR(up_RadSpec!$J$4*CY4,".")*$B$40</f>
        <v>945.3125</v>
      </c>
      <c r="CZ40" s="149">
        <f>IFERROR(up_RadSpec!$J$4*CZ4,".")*$B$40</f>
        <v>917.77912621359224</v>
      </c>
      <c r="DA40" s="149">
        <f>IFERROR(up_RadSpec!$J$4*DA4,".")*$B$40</f>
        <v>945.3125</v>
      </c>
      <c r="DB40" s="149">
        <f>IFERROR(up_RadSpec!$J$4*DB4,".")*$B$40</f>
        <v>945.3125</v>
      </c>
      <c r="DC40" s="149">
        <f>IFERROR(up_RadSpec!$J$4*DC4,".")*$B$40</f>
        <v>945.3125</v>
      </c>
      <c r="DD40" s="149">
        <f>IFERROR(up_RadSpec!$J$4*DD4,".")*$B$40</f>
        <v>945.3125</v>
      </c>
      <c r="DE40" s="149">
        <f>IFERROR(up_RadSpec!$J$4*DE4,".")*$B$40</f>
        <v>917.77912621359224</v>
      </c>
      <c r="DF40" s="149">
        <f>IFERROR(up_RadSpec!$J$4*DF4,".")*$B$40</f>
        <v>945.3125</v>
      </c>
      <c r="DG40" s="149">
        <f>IFERROR(up_RadSpec!$J$4*DG4,".")*$B$40</f>
        <v>917.77912621359224</v>
      </c>
      <c r="DH40" s="150">
        <f t="shared" si="79"/>
        <v>0</v>
      </c>
      <c r="DI40" s="136">
        <f t="shared" ref="DI40:DK40" si="129">IFERROR(DI4/$B40,0)</f>
        <v>9.9740259740259754E-3</v>
      </c>
      <c r="DJ40" s="136">
        <f t="shared" si="129"/>
        <v>15.927272727272728</v>
      </c>
      <c r="DK40" s="136">
        <f t="shared" si="129"/>
        <v>9.9677839175609673E-3</v>
      </c>
      <c r="DL40" s="149">
        <f>IFERROR(up_RadSpec!$L$4*DL4,".")*$B$40</f>
        <v>2506.5104166666661</v>
      </c>
      <c r="DM40" s="149">
        <f>IFERROR(up_RadSpec!$O$4*DM4,".")*$B$40</f>
        <v>1.5696347031963471</v>
      </c>
      <c r="DN40" s="150">
        <f t="shared" si="93"/>
        <v>2508.0800513698623</v>
      </c>
    </row>
    <row r="41" spans="1:118" x14ac:dyDescent="0.25">
      <c r="A41" s="135" t="s">
        <v>1071</v>
      </c>
      <c r="B41" s="138">
        <v>0.99987999999999999</v>
      </c>
      <c r="C41" s="136">
        <f t="shared" ref="C41:M41" si="130">IFERROR(C8/$B41,0)</f>
        <v>2.2041212438605581E-4</v>
      </c>
      <c r="D41" s="136">
        <f t="shared" si="130"/>
        <v>6.612363731581675E-4</v>
      </c>
      <c r="E41" s="136">
        <f t="shared" si="130"/>
        <v>6.612363731581675E-4</v>
      </c>
      <c r="F41" s="136">
        <f t="shared" si="130"/>
        <v>6.612363731581675E-4</v>
      </c>
      <c r="G41" s="136">
        <f t="shared" si="130"/>
        <v>6.612363731581675E-4</v>
      </c>
      <c r="H41" s="136">
        <f t="shared" si="130"/>
        <v>6.612363731581675E-4</v>
      </c>
      <c r="I41" s="136">
        <f t="shared" si="130"/>
        <v>6.612363731581675E-4</v>
      </c>
      <c r="J41" s="136">
        <f t="shared" si="130"/>
        <v>6.612363731581675E-4</v>
      </c>
      <c r="K41" s="136">
        <f t="shared" si="130"/>
        <v>6.612363731581675E-4</v>
      </c>
      <c r="L41" s="136">
        <f t="shared" si="130"/>
        <v>6.612363731581675E-4</v>
      </c>
      <c r="M41" s="136">
        <f t="shared" si="130"/>
        <v>6.612363731581675E-4</v>
      </c>
      <c r="N41" s="149">
        <f>up_dir!BA41</f>
        <v>113423.88750000001</v>
      </c>
      <c r="O41" s="149">
        <f>IFERROR(up_RadSpec!$J$8*O8,".")*$B$41</f>
        <v>37807.962500000001</v>
      </c>
      <c r="P41" s="149">
        <f>IFERROR(up_RadSpec!$J$8*P8,".")*$B$41</f>
        <v>37807.962500000001</v>
      </c>
      <c r="Q41" s="149">
        <f>IFERROR(up_RadSpec!$J$8*Q8,".")*$B$41</f>
        <v>37807.962500000001</v>
      </c>
      <c r="R41" s="149">
        <f>IFERROR(up_RadSpec!$J$8*R8,".")*$B$41</f>
        <v>37807.962500000001</v>
      </c>
      <c r="S41" s="149">
        <f>IFERROR(up_RadSpec!$J$8*S8,".")*$B$41</f>
        <v>37807.962500000001</v>
      </c>
      <c r="T41" s="149">
        <f>IFERROR(up_RadSpec!$J$8*T8,".")*$B$41</f>
        <v>37807.962500000001</v>
      </c>
      <c r="U41" s="149">
        <f>IFERROR(up_RadSpec!$J$8*U8,".")*$B$41</f>
        <v>37807.962500000001</v>
      </c>
      <c r="V41" s="149">
        <f>IFERROR(up_RadSpec!$J$8*V8,".")*$B$41</f>
        <v>37807.962500000001</v>
      </c>
      <c r="W41" s="149">
        <f>IFERROR(up_RadSpec!$J$8*W8,".")*$B$41</f>
        <v>37807.962500000001</v>
      </c>
      <c r="X41" s="149">
        <f>IFERROR(up_RadSpec!$J$8*X8,".")*$B$41</f>
        <v>37807.962500000001</v>
      </c>
      <c r="Y41" s="136">
        <f t="shared" ref="Y41:AL41" si="131">IFERROR(Y8/$B41,0)</f>
        <v>0.33061818657908371</v>
      </c>
      <c r="Z41" s="136">
        <f t="shared" si="131"/>
        <v>3090.3626280484636</v>
      </c>
      <c r="AA41" s="136">
        <f t="shared" si="131"/>
        <v>220.01635675939585</v>
      </c>
      <c r="AB41" s="136">
        <f t="shared" si="131"/>
        <v>4.3963722825582096E-5</v>
      </c>
      <c r="AC41" s="136">
        <f t="shared" si="131"/>
        <v>6.612363731581675E-4</v>
      </c>
      <c r="AD41" s="136">
        <f t="shared" si="131"/>
        <v>1.8561021000931016E-7</v>
      </c>
      <c r="AE41" s="136">
        <f t="shared" si="131"/>
        <v>1.9117851630958947E-7</v>
      </c>
      <c r="AF41" s="136">
        <f t="shared" si="131"/>
        <v>1.8561021000931016E-7</v>
      </c>
      <c r="AG41" s="136">
        <f t="shared" si="131"/>
        <v>1.8561021000931016E-7</v>
      </c>
      <c r="AH41" s="136">
        <f t="shared" si="131"/>
        <v>1.8561021000931016E-7</v>
      </c>
      <c r="AI41" s="136">
        <f t="shared" si="131"/>
        <v>1.8561021000931016E-7</v>
      </c>
      <c r="AJ41" s="136">
        <f t="shared" si="131"/>
        <v>1.9117851630958947E-7</v>
      </c>
      <c r="AK41" s="136">
        <f t="shared" si="131"/>
        <v>1.8561021000931016E-7</v>
      </c>
      <c r="AL41" s="136">
        <f t="shared" si="131"/>
        <v>1.9117851630958947E-7</v>
      </c>
      <c r="AM41" s="129"/>
      <c r="AN41" s="129"/>
      <c r="AO41" s="129"/>
      <c r="AP41" s="129"/>
      <c r="AQ41" s="129"/>
      <c r="AR41" s="129"/>
      <c r="AS41" s="129"/>
      <c r="AT41" s="129"/>
      <c r="AU41" s="129"/>
      <c r="AV41" s="129"/>
      <c r="AW41" s="129"/>
      <c r="AX41" s="129"/>
      <c r="AY41" s="129"/>
      <c r="AZ41" s="129"/>
      <c r="BA41" s="136">
        <f t="shared" ref="BA41" si="132">IFERROR(BA8/$B41,0)</f>
        <v>2.0815029512505686E-8</v>
      </c>
      <c r="BB41" s="149">
        <f>IFERROR(up_RadSpec!$I$8*BB8,".")*$B$41</f>
        <v>75.615925000000004</v>
      </c>
      <c r="BC41" s="149">
        <f>IFERROR(up_RadSpec!$L$8*BC8,".")*$B$41</f>
        <v>8.0896655211583623E-3</v>
      </c>
      <c r="BD41" s="149">
        <f>IFERROR(up_RadSpec!$K$8*BD8,".")*$B$41</f>
        <v>0.1136279155251141</v>
      </c>
      <c r="BE41" s="149">
        <f>up_b2s!BZ41</f>
        <v>568650.65998124995</v>
      </c>
      <c r="BF41" s="149">
        <f>IFERROR(up_RadSpec!$J$8*BF8,".")*$B$41</f>
        <v>37807.962500000001</v>
      </c>
      <c r="BG41" s="149">
        <f>IFERROR(up_RadSpec!$J$8*BG8,".")*$B$41</f>
        <v>134690866.40625</v>
      </c>
      <c r="BH41" s="149">
        <f>IFERROR(up_RadSpec!$J$8*BH8,".")*$B$41</f>
        <v>130767831.46237865</v>
      </c>
      <c r="BI41" s="149">
        <f>IFERROR(up_RadSpec!$J$8*BI8,".")*$B$41</f>
        <v>134690866.40625</v>
      </c>
      <c r="BJ41" s="149">
        <f>IFERROR(up_RadSpec!$J$8*BJ8,".")*$B$41</f>
        <v>134690866.40625</v>
      </c>
      <c r="BK41" s="149">
        <f>IFERROR(up_RadSpec!$J$8*BK8,".")*$B$41</f>
        <v>134690866.40625</v>
      </c>
      <c r="BL41" s="149">
        <f>IFERROR(up_RadSpec!$J$8*BL8,".")*$B$41</f>
        <v>134690866.40625</v>
      </c>
      <c r="BM41" s="149">
        <f>IFERROR(up_RadSpec!$J$8*BM8,".")*$B$41</f>
        <v>130767831.46237865</v>
      </c>
      <c r="BN41" s="149">
        <f>IFERROR(up_RadSpec!$J$8*BN8,".")*$B$41</f>
        <v>134690866.40625</v>
      </c>
      <c r="BO41" s="149">
        <f>IFERROR(up_RadSpec!$J$8*BO8,".")*$B$41</f>
        <v>130767831.46237865</v>
      </c>
      <c r="BP41" s="150">
        <f t="shared" si="89"/>
        <v>1201055227.1847599</v>
      </c>
      <c r="BQ41" s="136">
        <f t="shared" ref="BQ41:CD41" si="133">IFERROR(BQ8/$B41,0)</f>
        <v>3.6368000523699208E-3</v>
      </c>
      <c r="BR41" s="136">
        <f t="shared" si="133"/>
        <v>0</v>
      </c>
      <c r="BS41" s="136">
        <f t="shared" si="133"/>
        <v>39.822960573450636</v>
      </c>
      <c r="BT41" s="136">
        <f t="shared" si="133"/>
        <v>2.1927181643181226E-4</v>
      </c>
      <c r="BU41" s="136">
        <f t="shared" si="133"/>
        <v>0.13224727463163349</v>
      </c>
      <c r="BV41" s="136">
        <f t="shared" si="133"/>
        <v>2.6449454926326697E-2</v>
      </c>
      <c r="BW41" s="136">
        <f t="shared" si="133"/>
        <v>2.7242938574116499E-2</v>
      </c>
      <c r="BX41" s="136">
        <f t="shared" si="133"/>
        <v>2.6449454926326697E-2</v>
      </c>
      <c r="BY41" s="136">
        <f t="shared" si="133"/>
        <v>2.6449454926326697E-2</v>
      </c>
      <c r="BZ41" s="136">
        <f t="shared" si="133"/>
        <v>2.6449454926326697E-2</v>
      </c>
      <c r="CA41" s="136">
        <f t="shared" si="133"/>
        <v>2.6449454926326697E-2</v>
      </c>
      <c r="CB41" s="136">
        <f t="shared" si="133"/>
        <v>2.7242938574116499E-2</v>
      </c>
      <c r="CC41" s="136">
        <f t="shared" si="133"/>
        <v>2.6449454926326697E-2</v>
      </c>
      <c r="CD41" s="136">
        <f t="shared" si="133"/>
        <v>2.7242938574116499E-2</v>
      </c>
      <c r="CE41" s="141"/>
      <c r="CF41" s="141"/>
      <c r="CG41" s="141"/>
      <c r="CH41" s="141"/>
      <c r="CI41" s="141"/>
      <c r="CJ41" s="141"/>
      <c r="CK41" s="141"/>
      <c r="CL41" s="141"/>
      <c r="CM41" s="141"/>
      <c r="CN41" s="141"/>
      <c r="CO41" s="141"/>
      <c r="CP41" s="141"/>
      <c r="CQ41" s="141"/>
      <c r="CR41" s="141"/>
      <c r="CS41" s="136">
        <f t="shared" ref="CS41" si="134">IFERROR(CS8/$B41,0)</f>
        <v>1.9304753280114073E-4</v>
      </c>
      <c r="CT41" s="149">
        <f>IFERROR(up_RadSpec!$M$8*CT8,".")*$B$41</f>
        <v>6874.1750000000002</v>
      </c>
      <c r="CU41" s="149">
        <f>IFERROR(up_RadSpec!$L$8*CU8,".")*$B$41</f>
        <v>1253.104817708333</v>
      </c>
      <c r="CV41" s="149">
        <f>IFERROR(up_RadSpec!$Q$8*CV8,".")*$B$41</f>
        <v>0.62777853881278534</v>
      </c>
      <c r="CW41" s="149">
        <f>up_b2w!BZ41</f>
        <v>114013.74060206386</v>
      </c>
      <c r="CX41" s="149">
        <f>IFERROR(up_RadSpec!$J$8*CX8,".")*$B$41</f>
        <v>189.03981250000001</v>
      </c>
      <c r="CY41" s="149">
        <f>IFERROR(up_RadSpec!$J$8*CY8,".")*$B$41</f>
        <v>945.19906249999997</v>
      </c>
      <c r="CZ41" s="149">
        <f>IFERROR(up_RadSpec!$J$8*CZ8,".")*$B$41</f>
        <v>917.66899271844659</v>
      </c>
      <c r="DA41" s="149">
        <f>IFERROR(up_RadSpec!$J$8*DA8,".")*$B$41</f>
        <v>945.19906249999997</v>
      </c>
      <c r="DB41" s="149">
        <f>IFERROR(up_RadSpec!$J$8*DB8,".")*$B$41</f>
        <v>945.19906249999997</v>
      </c>
      <c r="DC41" s="149">
        <f>IFERROR(up_RadSpec!$J$8*DC8,".")*$B$41</f>
        <v>945.19906249999997</v>
      </c>
      <c r="DD41" s="149">
        <f>IFERROR(up_RadSpec!$J$8*DD8,".")*$B$41</f>
        <v>945.19906249999997</v>
      </c>
      <c r="DE41" s="149">
        <f>IFERROR(up_RadSpec!$J$8*DE8,".")*$B$41</f>
        <v>917.66899271844659</v>
      </c>
      <c r="DF41" s="149">
        <f>IFERROR(up_RadSpec!$J$8*DF8,".")*$B$41</f>
        <v>945.19906249999997</v>
      </c>
      <c r="DG41" s="149">
        <f>IFERROR(up_RadSpec!$J$8*DG8,".")*$B$41</f>
        <v>917.66899271844659</v>
      </c>
      <c r="DH41" s="150">
        <f t="shared" si="79"/>
        <v>0</v>
      </c>
      <c r="DI41" s="136">
        <f t="shared" ref="DI41:DK41" si="135">IFERROR(DI8/$B41,0)</f>
        <v>9.9752230007860692E-3</v>
      </c>
      <c r="DJ41" s="136">
        <f t="shared" si="135"/>
        <v>15.929184229380253</v>
      </c>
      <c r="DK41" s="136">
        <f t="shared" si="135"/>
        <v>9.96898019518439E-3</v>
      </c>
      <c r="DL41" s="149">
        <f>IFERROR(up_RadSpec!$L$8*DL8,".")*$B$41</f>
        <v>2506.2096354166661</v>
      </c>
      <c r="DM41" s="149">
        <f>IFERROR(up_RadSpec!$O$8*DM8,".")*$B$41</f>
        <v>1.5694463470319635</v>
      </c>
      <c r="DN41" s="150">
        <f t="shared" si="93"/>
        <v>2507.7790817636978</v>
      </c>
    </row>
    <row r="42" spans="1:118" x14ac:dyDescent="0.25">
      <c r="A42" s="135" t="s">
        <v>1072</v>
      </c>
      <c r="B42" s="129">
        <v>0.97898250799999997</v>
      </c>
      <c r="C42" s="136">
        <f t="shared" ref="C42:M42" si="136">IFERROR(C19/$B42,0)</f>
        <v>2.2511707117358373E-4</v>
      </c>
      <c r="D42" s="136">
        <f t="shared" si="136"/>
        <v>6.7535121352075113E-4</v>
      </c>
      <c r="E42" s="136">
        <f t="shared" si="136"/>
        <v>6.7535121352075113E-4</v>
      </c>
      <c r="F42" s="136">
        <f t="shared" si="136"/>
        <v>6.7535121352075113E-4</v>
      </c>
      <c r="G42" s="136">
        <f t="shared" si="136"/>
        <v>6.7535121352075113E-4</v>
      </c>
      <c r="H42" s="136">
        <f t="shared" si="136"/>
        <v>6.7535121352075113E-4</v>
      </c>
      <c r="I42" s="136">
        <f t="shared" si="136"/>
        <v>6.7535121352075113E-4</v>
      </c>
      <c r="J42" s="136">
        <f t="shared" si="136"/>
        <v>6.7535121352075113E-4</v>
      </c>
      <c r="K42" s="136">
        <f t="shared" si="136"/>
        <v>6.7535121352075113E-4</v>
      </c>
      <c r="L42" s="136">
        <f t="shared" si="136"/>
        <v>6.7535121352075113E-4</v>
      </c>
      <c r="M42" s="136">
        <f t="shared" si="136"/>
        <v>6.7535121352075113E-4</v>
      </c>
      <c r="N42" s="149">
        <f>up_dir!BA42</f>
        <v>111053.32825125</v>
      </c>
      <c r="O42" s="152">
        <f>IFERROR(up_RadSpec!$J$19*O19,".")*$B$42</f>
        <v>37017.776083749995</v>
      </c>
      <c r="P42" s="152">
        <f>IFERROR(up_RadSpec!$J$19*P19,".")*$B$42</f>
        <v>37017.776083749995</v>
      </c>
      <c r="Q42" s="152">
        <f>IFERROR(up_RadSpec!$J$19*Q19,".")*$B$42</f>
        <v>37017.776083749995</v>
      </c>
      <c r="R42" s="152">
        <f>IFERROR(up_RadSpec!$J$19*R19,".")*$B$42</f>
        <v>37017.776083749995</v>
      </c>
      <c r="S42" s="152">
        <f>IFERROR(up_RadSpec!$J$19*S19,".")*$B$42</f>
        <v>37017.776083749995</v>
      </c>
      <c r="T42" s="152">
        <f>IFERROR(up_RadSpec!$J$19*T19,".")*$B$42</f>
        <v>37017.776083749995</v>
      </c>
      <c r="U42" s="152">
        <f>IFERROR(up_RadSpec!$J$19*U19,".")*$B$42</f>
        <v>37017.776083749995</v>
      </c>
      <c r="V42" s="152">
        <f>IFERROR(up_RadSpec!$J$19*V19,".")*$B$42</f>
        <v>37017.776083749995</v>
      </c>
      <c r="W42" s="152">
        <f>IFERROR(up_RadSpec!$J$19*W19,".")*$B$42</f>
        <v>37017.776083749995</v>
      </c>
      <c r="X42" s="152">
        <f>IFERROR(up_RadSpec!$J$19*X19,".")*$B$42</f>
        <v>37017.776083749995</v>
      </c>
      <c r="Y42" s="136">
        <f t="shared" ref="Y42:AL42" si="137">IFERROR(Y19/$B42,0)</f>
        <v>0.33767560676037556</v>
      </c>
      <c r="Z42" s="136">
        <f t="shared" si="137"/>
        <v>3156.329923448538</v>
      </c>
      <c r="AA42" s="136">
        <f t="shared" si="137"/>
        <v>155.55948282193083</v>
      </c>
      <c r="AB42" s="136">
        <f t="shared" si="137"/>
        <v>4.490217835316321E-5</v>
      </c>
      <c r="AC42" s="136">
        <f t="shared" si="137"/>
        <v>6.7535121352075113E-4</v>
      </c>
      <c r="AD42" s="136">
        <f t="shared" si="137"/>
        <v>1.8957227046196526E-7</v>
      </c>
      <c r="AE42" s="136">
        <f t="shared" si="137"/>
        <v>1.9525943857582418E-7</v>
      </c>
      <c r="AF42" s="136">
        <f t="shared" si="137"/>
        <v>1.8957227046196526E-7</v>
      </c>
      <c r="AG42" s="136">
        <f t="shared" si="137"/>
        <v>1.8957227046196526E-7</v>
      </c>
      <c r="AH42" s="136">
        <f t="shared" si="137"/>
        <v>1.8957227046196526E-7</v>
      </c>
      <c r="AI42" s="136">
        <f t="shared" si="137"/>
        <v>1.8957227046196526E-7</v>
      </c>
      <c r="AJ42" s="136">
        <f t="shared" si="137"/>
        <v>1.9525943857582418E-7</v>
      </c>
      <c r="AK42" s="136">
        <f t="shared" si="137"/>
        <v>1.8957227046196526E-7</v>
      </c>
      <c r="AL42" s="136">
        <f t="shared" si="137"/>
        <v>1.9525943857582418E-7</v>
      </c>
      <c r="AM42" s="129"/>
      <c r="AN42" s="129"/>
      <c r="AO42" s="129"/>
      <c r="AP42" s="129"/>
      <c r="AQ42" s="129"/>
      <c r="AR42" s="129"/>
      <c r="AS42" s="129"/>
      <c r="AT42" s="129"/>
      <c r="AU42" s="129"/>
      <c r="AV42" s="129"/>
      <c r="AW42" s="129"/>
      <c r="AX42" s="129"/>
      <c r="AY42" s="129"/>
      <c r="AZ42" s="129"/>
      <c r="BA42" s="136">
        <f t="shared" ref="BA42" si="138">IFERROR(BA19/$B42,0)</f>
        <v>2.1259349925064115E-8</v>
      </c>
      <c r="BB42" s="152">
        <f>IFERROR(up_RadSpec!$I$19*BB19,".")*$B$42</f>
        <v>74.035552167500001</v>
      </c>
      <c r="BC42" s="152">
        <f>IFERROR(up_RadSpec!$L$19*BC19,".")*$B$42</f>
        <v>7.9205915117661532E-3</v>
      </c>
      <c r="BD42" s="152">
        <f>IFERROR(up_RadSpec!$K$19*BD19,".")*$B$42</f>
        <v>0.16071022830936982</v>
      </c>
      <c r="BE42" s="149">
        <f>up_b2s!BZ42</f>
        <v>556765.86118764174</v>
      </c>
      <c r="BF42" s="152">
        <f>IFERROR(up_RadSpec!$J$19*BF19,".")*$B$42</f>
        <v>37017.776083749995</v>
      </c>
      <c r="BG42" s="152">
        <f>IFERROR(up_RadSpec!$J$19*BG19,".")*$B$42</f>
        <v>131875827.29835936</v>
      </c>
      <c r="BH42" s="152">
        <f>IFERROR(up_RadSpec!$J$19*BH19,".")*$B$42</f>
        <v>128034783.78481494</v>
      </c>
      <c r="BI42" s="152">
        <f>IFERROR(up_RadSpec!$J$19*BI19,".")*$B$42</f>
        <v>131875827.29835936</v>
      </c>
      <c r="BJ42" s="152">
        <f>IFERROR(up_RadSpec!$J$19*BJ19,".")*$B$42</f>
        <v>131875827.29835936</v>
      </c>
      <c r="BK42" s="152">
        <f>IFERROR(up_RadSpec!$J$19*BK19,".")*$B$42</f>
        <v>131875827.29835936</v>
      </c>
      <c r="BL42" s="152">
        <f>IFERROR(up_RadSpec!$J$19*BL19,".")*$B$42</f>
        <v>131875827.29835936</v>
      </c>
      <c r="BM42" s="152">
        <f>IFERROR(up_RadSpec!$J$19*BM19,".")*$B$42</f>
        <v>128034783.78481494</v>
      </c>
      <c r="BN42" s="152">
        <f>IFERROR(up_RadSpec!$J$19*BN19,".")*$B$42</f>
        <v>131875827.29835936</v>
      </c>
      <c r="BO42" s="152">
        <f>IFERROR(up_RadSpec!$J$19*BO19,".")*$B$42</f>
        <v>128034783.78481494</v>
      </c>
      <c r="BP42" s="150">
        <f t="shared" si="89"/>
        <v>1175953172.9860554</v>
      </c>
      <c r="BQ42" s="136">
        <f t="shared" ref="BQ42:CD42" si="139">IFERROR(BQ19/$B42,0)</f>
        <v>3.7144316743641312E-3</v>
      </c>
      <c r="BR42" s="136">
        <f t="shared" si="139"/>
        <v>0</v>
      </c>
      <c r="BS42" s="136">
        <f t="shared" si="139"/>
        <v>40.673026834287242</v>
      </c>
      <c r="BT42" s="136">
        <f t="shared" si="139"/>
        <v>2.2395242205271399E-4</v>
      </c>
      <c r="BU42" s="136">
        <f t="shared" si="139"/>
        <v>0.13507024270415022</v>
      </c>
      <c r="BV42" s="136">
        <f t="shared" si="139"/>
        <v>2.7014048540830043E-2</v>
      </c>
      <c r="BW42" s="136">
        <f t="shared" si="139"/>
        <v>2.7824469997054947E-2</v>
      </c>
      <c r="BX42" s="136">
        <f t="shared" si="139"/>
        <v>2.7014048540830043E-2</v>
      </c>
      <c r="BY42" s="136">
        <f t="shared" si="139"/>
        <v>2.7014048540830043E-2</v>
      </c>
      <c r="BZ42" s="136">
        <f t="shared" si="139"/>
        <v>2.7014048540830043E-2</v>
      </c>
      <c r="CA42" s="136">
        <f t="shared" si="139"/>
        <v>2.7014048540830043E-2</v>
      </c>
      <c r="CB42" s="136">
        <f t="shared" si="139"/>
        <v>2.7824469997054947E-2</v>
      </c>
      <c r="CC42" s="136">
        <f t="shared" si="139"/>
        <v>2.7014048540830043E-2</v>
      </c>
      <c r="CD42" s="136">
        <f t="shared" si="139"/>
        <v>2.7824469997054947E-2</v>
      </c>
      <c r="CE42" s="141"/>
      <c r="CF42" s="141"/>
      <c r="CG42" s="141"/>
      <c r="CH42" s="141"/>
      <c r="CI42" s="141"/>
      <c r="CJ42" s="141"/>
      <c r="CK42" s="141"/>
      <c r="CL42" s="141"/>
      <c r="CM42" s="141"/>
      <c r="CN42" s="141"/>
      <c r="CO42" s="141"/>
      <c r="CP42" s="141"/>
      <c r="CQ42" s="141"/>
      <c r="CR42" s="141"/>
      <c r="CS42" s="136">
        <f t="shared" ref="CS42" si="140">IFERROR(CS19/$B42,0)</f>
        <v>1.9716835134423523E-4</v>
      </c>
      <c r="CT42" s="152">
        <f>IFERROR(up_RadSpec!$M$19*CT19,".")*$B$42</f>
        <v>6730.5047425000002</v>
      </c>
      <c r="CU42" s="152">
        <f>IFERROR(up_RadSpec!$L$19*CU19,".")*$B$42</f>
        <v>1226.9149270182288</v>
      </c>
      <c r="CV42" s="152">
        <f>IFERROR(up_RadSpec!$Q$19*CV19,".")*$B$42</f>
        <v>0.61465796735159817</v>
      </c>
      <c r="CW42" s="149">
        <f>up_b2w!BZ42</f>
        <v>111630.85342348072</v>
      </c>
      <c r="CX42" s="152">
        <f>IFERROR(up_RadSpec!$J$19*CX19,".")*$B$42</f>
        <v>185.08888041874999</v>
      </c>
      <c r="CY42" s="152">
        <f>IFERROR(up_RadSpec!$J$19*CY19,".")*$B$42</f>
        <v>925.44440209375</v>
      </c>
      <c r="CZ42" s="152">
        <f>IFERROR(up_RadSpec!$J$19*CZ19,".")*$B$42</f>
        <v>898.48971077063106</v>
      </c>
      <c r="DA42" s="152">
        <f>IFERROR(up_RadSpec!$J$19*DA19,".")*$B$42</f>
        <v>925.44440209375</v>
      </c>
      <c r="DB42" s="152">
        <f>IFERROR(up_RadSpec!$J$19*DB19,".")*$B$42</f>
        <v>925.44440209375</v>
      </c>
      <c r="DC42" s="152">
        <f>IFERROR(up_RadSpec!$J$19*DC19,".")*$B$42</f>
        <v>925.44440209375</v>
      </c>
      <c r="DD42" s="152">
        <f>IFERROR(up_RadSpec!$J$19*DD19,".")*$B$42</f>
        <v>925.44440209375</v>
      </c>
      <c r="DE42" s="152">
        <f>IFERROR(up_RadSpec!$J$19*DE19,".")*$B$42</f>
        <v>898.48971077063106</v>
      </c>
      <c r="DF42" s="152">
        <f>IFERROR(up_RadSpec!$J$19*DF19,".")*$B$42</f>
        <v>925.44440209375</v>
      </c>
      <c r="DG42" s="152">
        <f>IFERROR(up_RadSpec!$J$19*DG19,".")*$B$42</f>
        <v>898.48971077063106</v>
      </c>
      <c r="DH42" s="150">
        <f t="shared" si="79"/>
        <v>0</v>
      </c>
      <c r="DI42" s="136">
        <f t="shared" ref="DI42:DK42" si="141">IFERROR(DI19/$B42,0)</f>
        <v>1.0188155449684476E-2</v>
      </c>
      <c r="DJ42" s="136">
        <f t="shared" si="141"/>
        <v>16.269210733714896</v>
      </c>
      <c r="DK42" s="136">
        <f t="shared" si="141"/>
        <v>1.0181779384316606E-2</v>
      </c>
      <c r="DL42" s="152">
        <f>IFERROR(up_RadSpec!$L$19*DL19,".")*$B$42</f>
        <v>2453.8298540364576</v>
      </c>
      <c r="DM42" s="152">
        <f>IFERROR(up_RadSpec!$O$19*DM19,".")*$B$42</f>
        <v>1.5366449183789954</v>
      </c>
      <c r="DN42" s="150">
        <f t="shared" si="93"/>
        <v>2455.3664989548365</v>
      </c>
    </row>
    <row r="43" spans="1:118" x14ac:dyDescent="0.25">
      <c r="A43" s="135" t="s">
        <v>1073</v>
      </c>
      <c r="B43" s="129">
        <v>2.0897492E-2</v>
      </c>
      <c r="C43" s="136">
        <f t="shared" ref="C43:M43" si="142">IFERROR(C28/$B43,0)</f>
        <v>1.0546034659619894E-2</v>
      </c>
      <c r="D43" s="136">
        <f t="shared" si="142"/>
        <v>3.1638103978859689E-2</v>
      </c>
      <c r="E43" s="136">
        <f t="shared" si="142"/>
        <v>3.1638103978859689E-2</v>
      </c>
      <c r="F43" s="136">
        <f t="shared" si="142"/>
        <v>3.1638103978859689E-2</v>
      </c>
      <c r="G43" s="136">
        <f t="shared" si="142"/>
        <v>3.1638103978859689E-2</v>
      </c>
      <c r="H43" s="136">
        <f t="shared" si="142"/>
        <v>3.1638103978859689E-2</v>
      </c>
      <c r="I43" s="136">
        <f t="shared" si="142"/>
        <v>3.1638103978859689E-2</v>
      </c>
      <c r="J43" s="136">
        <f t="shared" si="142"/>
        <v>3.1638103978859689E-2</v>
      </c>
      <c r="K43" s="136">
        <f t="shared" si="142"/>
        <v>3.1638103978859689E-2</v>
      </c>
      <c r="L43" s="136">
        <f t="shared" si="142"/>
        <v>3.1638103978859689E-2</v>
      </c>
      <c r="M43" s="136">
        <f t="shared" si="142"/>
        <v>3.1638103978859689E-2</v>
      </c>
      <c r="N43" s="149">
        <f>up_dir!BA43</f>
        <v>2370.5592487499998</v>
      </c>
      <c r="O43" s="152">
        <f>IFERROR(up_RadSpec!$J$28*O28,".")*$B$43</f>
        <v>790.18641624999998</v>
      </c>
      <c r="P43" s="152">
        <f>IFERROR(up_RadSpec!$J$28*P28,".")*$B$43</f>
        <v>790.18641624999998</v>
      </c>
      <c r="Q43" s="152">
        <f>IFERROR(up_RadSpec!$J$28*Q28,".")*$B$43</f>
        <v>790.18641624999998</v>
      </c>
      <c r="R43" s="152">
        <f>IFERROR(up_RadSpec!$J$28*R28,".")*$B$43</f>
        <v>790.18641624999998</v>
      </c>
      <c r="S43" s="152">
        <f>IFERROR(up_RadSpec!$J$28*S28,".")*$B$43</f>
        <v>790.18641624999998</v>
      </c>
      <c r="T43" s="152">
        <f>IFERROR(up_RadSpec!$J$28*T28,".")*$B$43</f>
        <v>790.18641624999998</v>
      </c>
      <c r="U43" s="152">
        <f>IFERROR(up_RadSpec!$J$28*U28,".")*$B$43</f>
        <v>790.18641624999998</v>
      </c>
      <c r="V43" s="152">
        <f>IFERROR(up_RadSpec!$J$28*V28,".")*$B$43</f>
        <v>790.18641624999998</v>
      </c>
      <c r="W43" s="152">
        <f>IFERROR(up_RadSpec!$J$28*W28,".")*$B$43</f>
        <v>790.18641624999998</v>
      </c>
      <c r="X43" s="152">
        <f>IFERROR(up_RadSpec!$J$28*X28,".")*$B$43</f>
        <v>790.18641624999998</v>
      </c>
      <c r="Y43" s="136">
        <f t="shared" ref="Y43:AL43" si="143">IFERROR(Y28/$B43,0)</f>
        <v>15.819051989429843</v>
      </c>
      <c r="Z43" s="136">
        <f t="shared" si="143"/>
        <v>147864.2405764815</v>
      </c>
      <c r="AA43" s="136">
        <f t="shared" si="143"/>
        <v>5186.4685397322237</v>
      </c>
      <c r="AB43" s="136">
        <f t="shared" si="143"/>
        <v>2.1035274079225885E-3</v>
      </c>
      <c r="AC43" s="136">
        <f t="shared" si="143"/>
        <v>3.1638103978859689E-2</v>
      </c>
      <c r="AD43" s="136">
        <f t="shared" si="143"/>
        <v>8.8808712923114909E-6</v>
      </c>
      <c r="AE43" s="136">
        <f t="shared" si="143"/>
        <v>9.1472974310808351E-6</v>
      </c>
      <c r="AF43" s="136">
        <f t="shared" si="143"/>
        <v>8.8808712923114909E-6</v>
      </c>
      <c r="AG43" s="136">
        <f t="shared" si="143"/>
        <v>8.8808712923114909E-6</v>
      </c>
      <c r="AH43" s="136">
        <f t="shared" si="143"/>
        <v>8.8808712923114909E-6</v>
      </c>
      <c r="AI43" s="136">
        <f t="shared" si="143"/>
        <v>8.8808712923114909E-6</v>
      </c>
      <c r="AJ43" s="136">
        <f t="shared" si="143"/>
        <v>9.1472974310808351E-6</v>
      </c>
      <c r="AK43" s="136">
        <f t="shared" si="143"/>
        <v>8.8808712923114909E-6</v>
      </c>
      <c r="AL43" s="136">
        <f t="shared" si="143"/>
        <v>9.1472974310808351E-6</v>
      </c>
      <c r="AM43" s="129"/>
      <c r="AN43" s="129"/>
      <c r="AO43" s="129"/>
      <c r="AP43" s="129"/>
      <c r="AQ43" s="129"/>
      <c r="AR43" s="129"/>
      <c r="AS43" s="129"/>
      <c r="AT43" s="129"/>
      <c r="AU43" s="129"/>
      <c r="AV43" s="129"/>
      <c r="AW43" s="129"/>
      <c r="AX43" s="129"/>
      <c r="AY43" s="129"/>
      <c r="AZ43" s="129"/>
      <c r="BA43" s="136">
        <f t="shared" ref="BA43" si="144">IFERROR(BA28/$B43,0)</f>
        <v>9.9593442633865628E-7</v>
      </c>
      <c r="BB43" s="152">
        <f>IFERROR(up_RadSpec!$I$28*BB28,".")*$B$43</f>
        <v>1.5803728324999999</v>
      </c>
      <c r="BC43" s="152">
        <f>IFERROR(up_RadSpec!$L$28*BC28,".")*$B$43</f>
        <v>1.6907400939220979E-4</v>
      </c>
      <c r="BD43" s="152">
        <f>IFERROR(up_RadSpec!$K$28*BD28,".")*$B$43</f>
        <v>4.8202355434109594E-3</v>
      </c>
      <c r="BE43" s="149">
        <f>up_b2s!BZ43</f>
        <v>11884.798793608126</v>
      </c>
      <c r="BF43" s="152">
        <f>IFERROR(up_RadSpec!$J$28*BF28,".")*$B$43</f>
        <v>790.18641624999998</v>
      </c>
      <c r="BG43" s="152">
        <f>IFERROR(up_RadSpec!$J$28*BG28,".")*$B$43</f>
        <v>2815039.107890625</v>
      </c>
      <c r="BH43" s="152">
        <f>IFERROR(up_RadSpec!$J$28*BH28,".")*$B$43</f>
        <v>2733047.6775637139</v>
      </c>
      <c r="BI43" s="152">
        <f>IFERROR(up_RadSpec!$J$28*BI28,".")*$B$43</f>
        <v>2815039.107890625</v>
      </c>
      <c r="BJ43" s="152">
        <f>IFERROR(up_RadSpec!$J$28*BJ28,".")*$B$43</f>
        <v>2815039.107890625</v>
      </c>
      <c r="BK43" s="152">
        <f>IFERROR(up_RadSpec!$J$28*BK28,".")*$B$43</f>
        <v>2815039.107890625</v>
      </c>
      <c r="BL43" s="152">
        <f>IFERROR(up_RadSpec!$J$28*BL28,".")*$B$43</f>
        <v>2815039.107890625</v>
      </c>
      <c r="BM43" s="152">
        <f>IFERROR(up_RadSpec!$J$28*BM28,".")*$B$43</f>
        <v>2733047.6775637139</v>
      </c>
      <c r="BN43" s="152">
        <f>IFERROR(up_RadSpec!$J$28*BN28,".")*$B$43</f>
        <v>2815039.107890625</v>
      </c>
      <c r="BO43" s="152">
        <f>IFERROR(up_RadSpec!$J$28*BO28,".")*$B$43</f>
        <v>2733047.6775637139</v>
      </c>
      <c r="BP43" s="150">
        <f t="shared" si="89"/>
        <v>25102054.250606894</v>
      </c>
      <c r="BQ43" s="136">
        <f t="shared" ref="BQ43:CD43" si="145">IFERROR(BQ28/$B43,0)</f>
        <v>0.17400957188372826</v>
      </c>
      <c r="BR43" s="136">
        <f t="shared" si="145"/>
        <v>0</v>
      </c>
      <c r="BS43" s="136">
        <f t="shared" si="145"/>
        <v>1905.4048121268245</v>
      </c>
      <c r="BT43" s="136">
        <f t="shared" si="145"/>
        <v>1.049147447042164E-2</v>
      </c>
      <c r="BU43" s="136">
        <f t="shared" si="145"/>
        <v>6.3276207957719368</v>
      </c>
      <c r="BV43" s="136">
        <f t="shared" si="145"/>
        <v>1.2655241591543873</v>
      </c>
      <c r="BW43" s="136">
        <f t="shared" si="145"/>
        <v>1.303489883929019</v>
      </c>
      <c r="BX43" s="136">
        <f t="shared" si="145"/>
        <v>1.2655241591543873</v>
      </c>
      <c r="BY43" s="136">
        <f t="shared" si="145"/>
        <v>1.2655241591543873</v>
      </c>
      <c r="BZ43" s="136">
        <f t="shared" si="145"/>
        <v>1.2655241591543873</v>
      </c>
      <c r="CA43" s="136">
        <f t="shared" si="145"/>
        <v>1.2655241591543873</v>
      </c>
      <c r="CB43" s="136">
        <f t="shared" si="145"/>
        <v>1.303489883929019</v>
      </c>
      <c r="CC43" s="136">
        <f t="shared" si="145"/>
        <v>1.2655241591543873</v>
      </c>
      <c r="CD43" s="136">
        <f t="shared" si="145"/>
        <v>1.303489883929019</v>
      </c>
      <c r="CE43" s="141"/>
      <c r="CF43" s="141"/>
      <c r="CG43" s="141"/>
      <c r="CH43" s="141"/>
      <c r="CI43" s="141"/>
      <c r="CJ43" s="141"/>
      <c r="CK43" s="141"/>
      <c r="CL43" s="141"/>
      <c r="CM43" s="141"/>
      <c r="CN43" s="141"/>
      <c r="CO43" s="141"/>
      <c r="CP43" s="141"/>
      <c r="CQ43" s="141"/>
      <c r="CR43" s="141"/>
      <c r="CS43" s="136">
        <f t="shared" ref="CS43" si="146">IFERROR(CS28/$B43,0)</f>
        <v>9.2367240574708475E-3</v>
      </c>
      <c r="CT43" s="152">
        <f>IFERROR(up_RadSpec!$M$28*CT28,".")*$B$43</f>
        <v>143.67025749999999</v>
      </c>
      <c r="CU43" s="152">
        <f>IFERROR(up_RadSpec!$L$28*CU28,".")*$B$43</f>
        <v>26.189890690104161</v>
      </c>
      <c r="CV43" s="152">
        <f>IFERROR(up_RadSpec!$Q$28*CV28,".")*$B$43</f>
        <v>1.3120571461187214E-2</v>
      </c>
      <c r="CW43" s="149">
        <f>up_b2w!BZ43</f>
        <v>2382.8871785831343</v>
      </c>
      <c r="CX43" s="152">
        <f>IFERROR(up_RadSpec!$J$28*CX28,".")*$B$43</f>
        <v>3.9509320812499999</v>
      </c>
      <c r="CY43" s="152">
        <f>IFERROR(up_RadSpec!$J$28*CY28,".")*$B$43</f>
        <v>19.75466040625</v>
      </c>
      <c r="CZ43" s="152">
        <f>IFERROR(up_RadSpec!$J$28*CZ28,".")*$B$43</f>
        <v>19.179281947815536</v>
      </c>
      <c r="DA43" s="152">
        <f>IFERROR(up_RadSpec!$J$28*DA28,".")*$B$43</f>
        <v>19.75466040625</v>
      </c>
      <c r="DB43" s="152">
        <f>IFERROR(up_RadSpec!$J$28*DB28,".")*$B$43</f>
        <v>19.75466040625</v>
      </c>
      <c r="DC43" s="152">
        <f>IFERROR(up_RadSpec!$J$28*DC28,".")*$B$43</f>
        <v>19.75466040625</v>
      </c>
      <c r="DD43" s="152">
        <f>IFERROR(up_RadSpec!$J$28*DD28,".")*$B$43</f>
        <v>19.75466040625</v>
      </c>
      <c r="DE43" s="152">
        <f>IFERROR(up_RadSpec!$J$28*DE28,".")*$B$43</f>
        <v>19.179281947815536</v>
      </c>
      <c r="DF43" s="152">
        <f>IFERROR(up_RadSpec!$J$28*DF28,".")*$B$43</f>
        <v>19.75466040625</v>
      </c>
      <c r="DG43" s="152">
        <f>IFERROR(up_RadSpec!$J$28*DG28,".")*$B$43</f>
        <v>19.179281947815536</v>
      </c>
      <c r="DH43" s="150">
        <f t="shared" si="79"/>
        <v>0</v>
      </c>
      <c r="DI43" s="136">
        <f t="shared" ref="DI43:DK43" si="147">IFERROR(DI28/$B43,0)</f>
        <v>0.47728339716679757</v>
      </c>
      <c r="DJ43" s="136">
        <f t="shared" si="147"/>
        <v>762.16192485072986</v>
      </c>
      <c r="DK43" s="136">
        <f t="shared" si="147"/>
        <v>0.47698469833418133</v>
      </c>
      <c r="DL43" s="152">
        <f>IFERROR(up_RadSpec!$L$28*DL28,".")*$B$43</f>
        <v>52.379781380208321</v>
      </c>
      <c r="DM43" s="152">
        <f>IFERROR(up_RadSpec!$O$28*DM28,".")*$B$43</f>
        <v>3.2801428652968041E-2</v>
      </c>
      <c r="DN43" s="150">
        <f t="shared" si="93"/>
        <v>52.412582808861288</v>
      </c>
    </row>
    <row r="44" spans="1:118" x14ac:dyDescent="0.25">
      <c r="A44" s="135" t="s">
        <v>1074</v>
      </c>
      <c r="B44" s="129">
        <v>0.99987999999999999</v>
      </c>
      <c r="C44" s="136">
        <f t="shared" ref="C44:M44" si="148">IFERROR(C15/$B44,0)</f>
        <v>2.2041212438605581E-4</v>
      </c>
      <c r="D44" s="136">
        <f t="shared" si="148"/>
        <v>6.612363731581675E-4</v>
      </c>
      <c r="E44" s="136">
        <f t="shared" si="148"/>
        <v>6.612363731581675E-4</v>
      </c>
      <c r="F44" s="136">
        <f t="shared" si="148"/>
        <v>6.612363731581675E-4</v>
      </c>
      <c r="G44" s="136">
        <f t="shared" si="148"/>
        <v>6.612363731581675E-4</v>
      </c>
      <c r="H44" s="136">
        <f t="shared" si="148"/>
        <v>6.612363731581675E-4</v>
      </c>
      <c r="I44" s="136">
        <f t="shared" si="148"/>
        <v>6.612363731581675E-4</v>
      </c>
      <c r="J44" s="136">
        <f t="shared" si="148"/>
        <v>6.612363731581675E-4</v>
      </c>
      <c r="K44" s="136">
        <f t="shared" si="148"/>
        <v>6.612363731581675E-4</v>
      </c>
      <c r="L44" s="136">
        <f t="shared" si="148"/>
        <v>6.612363731581675E-4</v>
      </c>
      <c r="M44" s="136">
        <f t="shared" si="148"/>
        <v>6.612363731581675E-4</v>
      </c>
      <c r="N44" s="149">
        <f>up_dir!BA44</f>
        <v>113423.88750000001</v>
      </c>
      <c r="O44" s="149">
        <f>IFERROR(up_RadSpec!$J$15*O15,".")*$B$44</f>
        <v>37807.962500000001</v>
      </c>
      <c r="P44" s="149">
        <f>IFERROR(up_RadSpec!$J$15*P15,".")*$B$44</f>
        <v>37807.962500000001</v>
      </c>
      <c r="Q44" s="149">
        <f>IFERROR(up_RadSpec!$J$15*Q15,".")*$B$44</f>
        <v>37807.962500000001</v>
      </c>
      <c r="R44" s="149">
        <f>IFERROR(up_RadSpec!$J$15*R15,".")*$B$44</f>
        <v>37807.962500000001</v>
      </c>
      <c r="S44" s="149">
        <f>IFERROR(up_RadSpec!$J$15*S15,".")*$B$44</f>
        <v>37807.962500000001</v>
      </c>
      <c r="T44" s="149">
        <f>IFERROR(up_RadSpec!$J$15*T15,".")*$B$44</f>
        <v>37807.962500000001</v>
      </c>
      <c r="U44" s="149">
        <f>IFERROR(up_RadSpec!$J$15*U15,".")*$B$44</f>
        <v>37807.962500000001</v>
      </c>
      <c r="V44" s="149">
        <f>IFERROR(up_RadSpec!$J$15*V15,".")*$B$44</f>
        <v>37807.962500000001</v>
      </c>
      <c r="W44" s="149">
        <f>IFERROR(up_RadSpec!$J$15*W15,".")*$B$44</f>
        <v>37807.962500000001</v>
      </c>
      <c r="X44" s="149">
        <f>IFERROR(up_RadSpec!$J$15*X15,".")*$B$44</f>
        <v>37807.962500000001</v>
      </c>
      <c r="Y44" s="136">
        <f t="shared" ref="Y44:AL44" si="149">IFERROR(Y15/$B44,0)</f>
        <v>0.33061818657908371</v>
      </c>
      <c r="Z44" s="136">
        <f t="shared" si="149"/>
        <v>3090.3626280484636</v>
      </c>
      <c r="AA44" s="136">
        <f t="shared" si="149"/>
        <v>0</v>
      </c>
      <c r="AB44" s="136">
        <f t="shared" si="149"/>
        <v>4.3963722825582096E-5</v>
      </c>
      <c r="AC44" s="136">
        <f t="shared" si="149"/>
        <v>6.612363731581675E-4</v>
      </c>
      <c r="AD44" s="136">
        <f t="shared" si="149"/>
        <v>1.8561021000931016E-7</v>
      </c>
      <c r="AE44" s="136">
        <f t="shared" si="149"/>
        <v>1.9117851630958947E-7</v>
      </c>
      <c r="AF44" s="136">
        <f t="shared" si="149"/>
        <v>1.8561021000931016E-7</v>
      </c>
      <c r="AG44" s="136">
        <f t="shared" si="149"/>
        <v>1.8561021000931016E-7</v>
      </c>
      <c r="AH44" s="136">
        <f t="shared" si="149"/>
        <v>1.8561021000931016E-7</v>
      </c>
      <c r="AI44" s="136">
        <f t="shared" si="149"/>
        <v>1.8561021000931016E-7</v>
      </c>
      <c r="AJ44" s="136">
        <f t="shared" si="149"/>
        <v>1.9117851630958947E-7</v>
      </c>
      <c r="AK44" s="136">
        <f t="shared" si="149"/>
        <v>1.8561021000931016E-7</v>
      </c>
      <c r="AL44" s="136">
        <f t="shared" si="149"/>
        <v>1.9117851630958947E-7</v>
      </c>
      <c r="AM44" s="129"/>
      <c r="AN44" s="129"/>
      <c r="AO44" s="129"/>
      <c r="AP44" s="129"/>
      <c r="AQ44" s="129"/>
      <c r="AR44" s="129"/>
      <c r="AS44" s="129"/>
      <c r="AT44" s="129"/>
      <c r="AU44" s="129"/>
      <c r="AV44" s="129"/>
      <c r="AW44" s="129"/>
      <c r="AX44" s="129"/>
      <c r="AY44" s="129"/>
      <c r="AZ44" s="129"/>
      <c r="BA44" s="136">
        <f t="shared" ref="BA44" si="150">IFERROR(BA15/$B44,0)</f>
        <v>2.0815029514474935E-8</v>
      </c>
      <c r="BB44" s="149">
        <f>IFERROR(up_RadSpec!$I$15*BB15,".")*$B$44</f>
        <v>75.615925000000004</v>
      </c>
      <c r="BC44" s="149">
        <f>IFERROR(up_RadSpec!$L$15*BC15,".")*$B$44</f>
        <v>8.0896655211583623E-3</v>
      </c>
      <c r="BD44" s="149">
        <f>IFERROR(up_RadSpec!$K$15*BD15,".")*$B$44</f>
        <v>0</v>
      </c>
      <c r="BE44" s="149">
        <f>up_b2s!BZ44</f>
        <v>568650.65998124995</v>
      </c>
      <c r="BF44" s="149">
        <f>IFERROR(up_RadSpec!$J$15*BF15,".")*$B$44</f>
        <v>37807.962500000001</v>
      </c>
      <c r="BG44" s="149">
        <f>IFERROR(up_RadSpec!$J$15*BG15,".")*$B$44</f>
        <v>134690866.40625</v>
      </c>
      <c r="BH44" s="149">
        <f>IFERROR(up_RadSpec!$J$15*BH15,".")*$B$44</f>
        <v>130767831.46237865</v>
      </c>
      <c r="BI44" s="149">
        <f>IFERROR(up_RadSpec!$J$15*BI15,".")*$B$44</f>
        <v>134690866.40625</v>
      </c>
      <c r="BJ44" s="149">
        <f>IFERROR(up_RadSpec!$J$15*BJ15,".")*$B$44</f>
        <v>134690866.40625</v>
      </c>
      <c r="BK44" s="149">
        <f>IFERROR(up_RadSpec!$J$15*BK15,".")*$B$44</f>
        <v>134690866.40625</v>
      </c>
      <c r="BL44" s="149">
        <f>IFERROR(up_RadSpec!$J$15*BL15,".")*$B$44</f>
        <v>134690866.40625</v>
      </c>
      <c r="BM44" s="149">
        <f>IFERROR(up_RadSpec!$J$15*BM15,".")*$B$44</f>
        <v>130767831.46237865</v>
      </c>
      <c r="BN44" s="149">
        <f>IFERROR(up_RadSpec!$J$15*BN15,".")*$B$44</f>
        <v>134690866.40625</v>
      </c>
      <c r="BO44" s="149">
        <f>IFERROR(up_RadSpec!$J$15*BO15,".")*$B$44</f>
        <v>130767831.46237865</v>
      </c>
      <c r="BP44" s="150">
        <f t="shared" si="89"/>
        <v>1201055227.0711319</v>
      </c>
      <c r="BQ44" s="136">
        <f t="shared" ref="BQ44:CD44" si="151">IFERROR(BQ15/$B44,0)</f>
        <v>3.6368000523699208E-3</v>
      </c>
      <c r="BR44" s="136">
        <f t="shared" si="151"/>
        <v>0</v>
      </c>
      <c r="BS44" s="136">
        <f t="shared" si="151"/>
        <v>39.822960573450636</v>
      </c>
      <c r="BT44" s="136">
        <f t="shared" si="151"/>
        <v>2.1927181643181226E-4</v>
      </c>
      <c r="BU44" s="136">
        <f t="shared" si="151"/>
        <v>0.13224727463163349</v>
      </c>
      <c r="BV44" s="136">
        <f t="shared" si="151"/>
        <v>2.6449454926326697E-2</v>
      </c>
      <c r="BW44" s="136">
        <f t="shared" si="151"/>
        <v>2.7242938574116499E-2</v>
      </c>
      <c r="BX44" s="136">
        <f t="shared" si="151"/>
        <v>2.6449454926326697E-2</v>
      </c>
      <c r="BY44" s="136">
        <f t="shared" si="151"/>
        <v>2.6449454926326697E-2</v>
      </c>
      <c r="BZ44" s="136">
        <f t="shared" si="151"/>
        <v>2.6449454926326697E-2</v>
      </c>
      <c r="CA44" s="136">
        <f t="shared" si="151"/>
        <v>2.6449454926326697E-2</v>
      </c>
      <c r="CB44" s="136">
        <f t="shared" si="151"/>
        <v>2.7242938574116499E-2</v>
      </c>
      <c r="CC44" s="136">
        <f t="shared" si="151"/>
        <v>2.6449454926326697E-2</v>
      </c>
      <c r="CD44" s="136">
        <f t="shared" si="151"/>
        <v>2.7242938574116499E-2</v>
      </c>
      <c r="CE44" s="141"/>
      <c r="CF44" s="141"/>
      <c r="CG44" s="141"/>
      <c r="CH44" s="141"/>
      <c r="CI44" s="141"/>
      <c r="CJ44" s="141"/>
      <c r="CK44" s="141"/>
      <c r="CL44" s="141"/>
      <c r="CM44" s="141"/>
      <c r="CN44" s="141"/>
      <c r="CO44" s="141"/>
      <c r="CP44" s="141"/>
      <c r="CQ44" s="141"/>
      <c r="CR44" s="141"/>
      <c r="CS44" s="136">
        <f t="shared" ref="CS44" si="152">IFERROR(CS15/$B44,0)</f>
        <v>1.9304753280114073E-4</v>
      </c>
      <c r="CT44" s="149">
        <f>IFERROR(up_RadSpec!$M$15*CT15,".")*$B$44</f>
        <v>6874.1750000000002</v>
      </c>
      <c r="CU44" s="149">
        <f>IFERROR(up_RadSpec!$L$15*CU15,".")*$B$44</f>
        <v>1253.104817708333</v>
      </c>
      <c r="CV44" s="149">
        <f>IFERROR(up_RadSpec!$Q$15*CV15,".")*$B$44</f>
        <v>0.62777853881278534</v>
      </c>
      <c r="CW44" s="149">
        <f>up_b2w!BZ44</f>
        <v>114013.74060206386</v>
      </c>
      <c r="CX44" s="149">
        <f>IFERROR(up_RadSpec!$J$15*CX15,".")*$B$44</f>
        <v>189.03981250000001</v>
      </c>
      <c r="CY44" s="149">
        <f>IFERROR(up_RadSpec!$J$15*CY15,".")*$B$44</f>
        <v>945.19906249999997</v>
      </c>
      <c r="CZ44" s="149">
        <f>IFERROR(up_RadSpec!$J$15*CZ15,".")*$B$44</f>
        <v>917.66899271844659</v>
      </c>
      <c r="DA44" s="149">
        <f>IFERROR(up_RadSpec!$J$15*DA15,".")*$B$44</f>
        <v>945.19906249999997</v>
      </c>
      <c r="DB44" s="149">
        <f>IFERROR(up_RadSpec!$J$15*DB15,".")*$B$44</f>
        <v>945.19906249999997</v>
      </c>
      <c r="DC44" s="149">
        <f>IFERROR(up_RadSpec!$J$15*DC15,".")*$B$44</f>
        <v>945.19906249999997</v>
      </c>
      <c r="DD44" s="149">
        <f>IFERROR(up_RadSpec!$J$15*DD15,".")*$B$44</f>
        <v>945.19906249999997</v>
      </c>
      <c r="DE44" s="149">
        <f>IFERROR(up_RadSpec!$J$15*DE15,".")*$B$44</f>
        <v>917.66899271844659</v>
      </c>
      <c r="DF44" s="149">
        <f>IFERROR(up_RadSpec!$J$15*DF15,".")*$B$44</f>
        <v>945.19906249999997</v>
      </c>
      <c r="DG44" s="149">
        <f>IFERROR(up_RadSpec!$J$15*DG15,".")*$B$44</f>
        <v>917.66899271844659</v>
      </c>
      <c r="DH44" s="150">
        <f t="shared" si="79"/>
        <v>0</v>
      </c>
      <c r="DI44" s="136">
        <f t="shared" ref="DI44:DK44" si="153">IFERROR(DI15/$B44,0)</f>
        <v>9.9752230007860692E-3</v>
      </c>
      <c r="DJ44" s="136">
        <f t="shared" si="153"/>
        <v>15.929184229380253</v>
      </c>
      <c r="DK44" s="136">
        <f t="shared" si="153"/>
        <v>9.96898019518439E-3</v>
      </c>
      <c r="DL44" s="149">
        <f>IFERROR(up_RadSpec!$L$15*DL15,".")*$B$44</f>
        <v>2506.2096354166661</v>
      </c>
      <c r="DM44" s="149">
        <f>IFERROR(up_RadSpec!$O$15*DM15,".")*$B$44</f>
        <v>1.5694463470319635</v>
      </c>
      <c r="DN44" s="150">
        <f t="shared" si="93"/>
        <v>2507.7790817636978</v>
      </c>
    </row>
    <row r="45" spans="1:118" x14ac:dyDescent="0.25">
      <c r="A45" s="132" t="s">
        <v>8</v>
      </c>
      <c r="B45" s="132" t="s">
        <v>1059</v>
      </c>
      <c r="C45" s="134">
        <f t="shared" ref="C45:M45" si="154">IFERROR(IF(AND(C46&lt;&gt;0,C47&lt;&gt;0),1/SUM(1/C46,1/C47),IF(AND(C46&lt;&gt;0,C47=0),1/(1/C46),IF(AND(C46=0,C47&lt;&gt;0),1/(1/C47),IF(AND(C46=0,C47=0),".")))),".")</f>
        <v>1.1336769990130067E-4</v>
      </c>
      <c r="D45" s="134">
        <f t="shared" si="154"/>
        <v>3.40103099703902E-4</v>
      </c>
      <c r="E45" s="134">
        <f t="shared" si="154"/>
        <v>3.40103099703902E-4</v>
      </c>
      <c r="F45" s="134">
        <f t="shared" si="154"/>
        <v>3.40103099703902E-4</v>
      </c>
      <c r="G45" s="134">
        <f t="shared" si="154"/>
        <v>3.40103099703902E-4</v>
      </c>
      <c r="H45" s="134">
        <f t="shared" si="154"/>
        <v>3.40103099703902E-4</v>
      </c>
      <c r="I45" s="134">
        <f t="shared" si="154"/>
        <v>3.40103099703902E-4</v>
      </c>
      <c r="J45" s="134">
        <f t="shared" si="154"/>
        <v>3.40103099703902E-4</v>
      </c>
      <c r="K45" s="134">
        <f t="shared" si="154"/>
        <v>3.40103099703902E-4</v>
      </c>
      <c r="L45" s="134">
        <f t="shared" si="154"/>
        <v>3.40103099703902E-4</v>
      </c>
      <c r="M45" s="134">
        <f t="shared" si="154"/>
        <v>3.40103099703902E-4</v>
      </c>
      <c r="N45" s="146">
        <f>up_dir!BA45</f>
        <v>220521.36562499998</v>
      </c>
      <c r="O45" s="146">
        <f>SUM(O46:O47)</f>
        <v>73507.121874999997</v>
      </c>
      <c r="P45" s="146">
        <f t="shared" ref="P45:X45" si="155">SUM(P46:P47)</f>
        <v>73507.121874999997</v>
      </c>
      <c r="Q45" s="146">
        <f t="shared" si="155"/>
        <v>73507.121874999997</v>
      </c>
      <c r="R45" s="146">
        <f t="shared" si="155"/>
        <v>73507.121874999997</v>
      </c>
      <c r="S45" s="146">
        <f t="shared" si="155"/>
        <v>73507.121874999997</v>
      </c>
      <c r="T45" s="146">
        <f t="shared" si="155"/>
        <v>73507.121874999997</v>
      </c>
      <c r="U45" s="146">
        <f t="shared" si="155"/>
        <v>73507.121874999997</v>
      </c>
      <c r="V45" s="146">
        <f t="shared" si="155"/>
        <v>73507.121874999997</v>
      </c>
      <c r="W45" s="146">
        <f t="shared" si="155"/>
        <v>73507.121874999997</v>
      </c>
      <c r="X45" s="146">
        <f t="shared" si="155"/>
        <v>73507.121874999997</v>
      </c>
      <c r="Y45" s="134">
        <f t="shared" ref="Y45:AL45" si="156">IFERROR(IF(AND(Y46&lt;&gt;0,Y47&lt;&gt;0),1/SUM(1/Y46,1/Y47),IF(AND(Y46&lt;&gt;0,Y47=0),1/(1/Y46),IF(AND(Y46=0,Y47&lt;&gt;0),1/(1/Y47),IF(AND(Y46=0,Y47=0),".")))),".")</f>
        <v>0.17005154985195101</v>
      </c>
      <c r="Z45" s="134">
        <f t="shared" si="156"/>
        <v>1589.5101232686889</v>
      </c>
      <c r="AA45" s="134">
        <f t="shared" si="156"/>
        <v>98.413451062534094</v>
      </c>
      <c r="AB45" s="134">
        <f t="shared" si="156"/>
        <v>2.2612486267338325E-5</v>
      </c>
      <c r="AC45" s="134">
        <f t="shared" si="156"/>
        <v>3.40103099703902E-4</v>
      </c>
      <c r="AD45" s="134">
        <f t="shared" si="156"/>
        <v>9.5467536758990056E-8</v>
      </c>
      <c r="AE45" s="134">
        <f t="shared" si="156"/>
        <v>9.8331562861759723E-8</v>
      </c>
      <c r="AF45" s="134">
        <f t="shared" si="156"/>
        <v>9.5467536758990056E-8</v>
      </c>
      <c r="AG45" s="134">
        <f t="shared" si="156"/>
        <v>9.5467536758990056E-8</v>
      </c>
      <c r="AH45" s="134">
        <f t="shared" si="156"/>
        <v>9.5467536758990056E-8</v>
      </c>
      <c r="AI45" s="134">
        <f t="shared" si="156"/>
        <v>9.5467536758990056E-8</v>
      </c>
      <c r="AJ45" s="134">
        <f t="shared" si="156"/>
        <v>9.8331562861759723E-8</v>
      </c>
      <c r="AK45" s="134">
        <f t="shared" si="156"/>
        <v>9.5467536758990056E-8</v>
      </c>
      <c r="AL45" s="134">
        <f t="shared" si="156"/>
        <v>9.8331562861759723E-8</v>
      </c>
      <c r="AM45" s="129"/>
      <c r="AN45" s="129"/>
      <c r="AO45" s="129"/>
      <c r="AP45" s="129"/>
      <c r="AQ45" s="129"/>
      <c r="AR45" s="129"/>
      <c r="AS45" s="129"/>
      <c r="AT45" s="129"/>
      <c r="AU45" s="129"/>
      <c r="AV45" s="129"/>
      <c r="AW45" s="129"/>
      <c r="AX45" s="129"/>
      <c r="AY45" s="129"/>
      <c r="AZ45" s="129"/>
      <c r="BA45" s="134">
        <f t="shared" ref="BA45" si="157">IFERROR(IF(AND(BA46&lt;&gt;0,BA47&lt;&gt;0),1/SUM(1/BA46,1/BA47),IF(AND(BA46&lt;&gt;0,BA47=0),1/(1/BA46),IF(AND(BA46=0,BA47&lt;&gt;0),1/(1/BA47),IF(AND(BA46=0,BA47=0),".")))),".")</f>
        <v>1.0706089902041196E-8</v>
      </c>
      <c r="BB45" s="146">
        <f t="shared" ref="BB45" si="158">SUM(BB46:BB47)</f>
        <v>147.01424374999999</v>
      </c>
      <c r="BC45" s="146">
        <f t="shared" ref="BC45" si="159">SUM(BC46:BC47)</f>
        <v>1.5728116250426697E-2</v>
      </c>
      <c r="BD45" s="146">
        <f t="shared" ref="BD45" si="160">SUM(BD46:BD47)</f>
        <v>0.2540303152677213</v>
      </c>
      <c r="BE45" s="146">
        <f>up_b2s!BZ45</f>
        <v>1105583.8665609376</v>
      </c>
      <c r="BF45" s="146">
        <f t="shared" ref="BF45" si="161">SUM(BF46:BF47)</f>
        <v>73507.121874999997</v>
      </c>
      <c r="BG45" s="146">
        <f t="shared" ref="BG45" si="162">SUM(BG46:BG47)</f>
        <v>261869121.6796875</v>
      </c>
      <c r="BH45" s="146">
        <f t="shared" ref="BH45" si="163">SUM(BH46:BH47)</f>
        <v>254241865.70843446</v>
      </c>
      <c r="BI45" s="146">
        <f t="shared" ref="BI45" si="164">SUM(BI46:BI47)</f>
        <v>261869121.6796875</v>
      </c>
      <c r="BJ45" s="146">
        <f t="shared" ref="BJ45" si="165">SUM(BJ46:BJ47)</f>
        <v>261869121.6796875</v>
      </c>
      <c r="BK45" s="146">
        <f t="shared" ref="BK45" si="166">SUM(BK46:BK47)</f>
        <v>261869121.6796875</v>
      </c>
      <c r="BL45" s="146">
        <f t="shared" ref="BL45" si="167">SUM(BL46:BL47)</f>
        <v>261869121.6796875</v>
      </c>
      <c r="BM45" s="146">
        <f t="shared" ref="BM45" si="168">SUM(BM46:BM47)</f>
        <v>254241865.70843446</v>
      </c>
      <c r="BN45" s="146">
        <f t="shared" ref="BN45" si="169">SUM(BN46:BN47)</f>
        <v>261869121.6796875</v>
      </c>
      <c r="BO45" s="146">
        <f t="shared" ref="BO45" si="170">SUM(BO46:BO47)</f>
        <v>254241865.70843446</v>
      </c>
      <c r="BP45" s="147">
        <f t="shared" si="89"/>
        <v>2335119565.4758668</v>
      </c>
      <c r="BQ45" s="134">
        <f t="shared" ref="BQ45:CD45" si="171">IFERROR(IF(AND(BQ46&lt;&gt;0,BQ47&lt;&gt;0),1/SUM(1/BQ46,1/BQ47),IF(AND(BQ46&lt;&gt;0,BQ47=0),1/(1/BQ46),IF(AND(BQ46=0,BQ47&lt;&gt;0),1/(1/BQ47),IF(AND(BQ46=0,BQ47=0),".")))),".")</f>
        <v>1.8705670483714608E-3</v>
      </c>
      <c r="BR45" s="134" t="str">
        <f t="shared" si="171"/>
        <v>.</v>
      </c>
      <c r="BS45" s="134">
        <f t="shared" si="171"/>
        <v>20.482709179667498</v>
      </c>
      <c r="BT45" s="134">
        <f t="shared" si="171"/>
        <v>1.1278118910788658E-4</v>
      </c>
      <c r="BU45" s="134">
        <f t="shared" si="171"/>
        <v>6.8020619940780402E-2</v>
      </c>
      <c r="BV45" s="134">
        <f t="shared" si="171"/>
        <v>1.360412398815608E-2</v>
      </c>
      <c r="BW45" s="134">
        <f t="shared" si="171"/>
        <v>1.4012247707800761E-2</v>
      </c>
      <c r="BX45" s="134">
        <f t="shared" si="171"/>
        <v>1.360412398815608E-2</v>
      </c>
      <c r="BY45" s="134">
        <f t="shared" si="171"/>
        <v>1.360412398815608E-2</v>
      </c>
      <c r="BZ45" s="134">
        <f t="shared" si="171"/>
        <v>1.360412398815608E-2</v>
      </c>
      <c r="CA45" s="134">
        <f t="shared" si="171"/>
        <v>1.360412398815608E-2</v>
      </c>
      <c r="CB45" s="134">
        <f t="shared" si="171"/>
        <v>1.4012247707800761E-2</v>
      </c>
      <c r="CC45" s="134">
        <f t="shared" si="171"/>
        <v>1.360412398815608E-2</v>
      </c>
      <c r="CD45" s="134">
        <f t="shared" si="171"/>
        <v>1.4012247707800761E-2</v>
      </c>
      <c r="CE45" s="141"/>
      <c r="CF45" s="141"/>
      <c r="CG45" s="141"/>
      <c r="CH45" s="141"/>
      <c r="CI45" s="141"/>
      <c r="CJ45" s="141"/>
      <c r="CK45" s="141"/>
      <c r="CL45" s="141"/>
      <c r="CM45" s="141"/>
      <c r="CN45" s="141"/>
      <c r="CO45" s="141"/>
      <c r="CP45" s="141"/>
      <c r="CQ45" s="141"/>
      <c r="CR45" s="141"/>
      <c r="CS45" s="134">
        <f t="shared" ref="CS45" si="172">IFERROR(IF(AND(CS46&lt;&gt;0,CS47&lt;&gt;0),1/SUM(1/CS46,1/CS47),IF(AND(CS46&lt;&gt;0,CS47=0),1/(1/CS46),IF(AND(CS46=0,CS47&lt;&gt;0),1/(1/CS47),IF(AND(CS46=0,CS47=0),".")))),".")</f>
        <v>9.9292880671816516E-5</v>
      </c>
      <c r="CT45" s="146">
        <f t="shared" ref="CT45" si="173">SUM(CT46:CT47)</f>
        <v>13364.93125</v>
      </c>
      <c r="CU45" s="146">
        <f t="shared" ref="CU45" si="174">SUM(CU46:CU47)</f>
        <v>2436.3155924479161</v>
      </c>
      <c r="CV45" s="146">
        <f t="shared" ref="CV45" si="175">SUM(CV46:CV47)</f>
        <v>1.2205416666666666</v>
      </c>
      <c r="CW45" s="146">
        <f>up_b2w!BZ45</f>
        <v>221668.17177361896</v>
      </c>
      <c r="CX45" s="146">
        <f t="shared" ref="CX45" si="176">SUM(CX46:CX47)</f>
        <v>367.53560937500004</v>
      </c>
      <c r="CY45" s="146">
        <f t="shared" ref="CY45" si="177">SUM(CY46:CY47)</f>
        <v>1837.6780468749998</v>
      </c>
      <c r="CZ45" s="146">
        <f t="shared" ref="CZ45" si="178">SUM(CZ46:CZ47)</f>
        <v>1784.1534435679612</v>
      </c>
      <c r="DA45" s="146">
        <f t="shared" ref="DA45" si="179">SUM(DA46:DA47)</f>
        <v>1837.6780468749998</v>
      </c>
      <c r="DB45" s="146">
        <f t="shared" ref="DB45" si="180">SUM(DB46:DB47)</f>
        <v>1837.6780468749998</v>
      </c>
      <c r="DC45" s="146">
        <f t="shared" ref="DC45" si="181">SUM(DC46:DC47)</f>
        <v>1837.6780468749998</v>
      </c>
      <c r="DD45" s="146">
        <f t="shared" ref="DD45" si="182">SUM(DD46:DD47)</f>
        <v>1837.6780468749998</v>
      </c>
      <c r="DE45" s="146">
        <f t="shared" ref="DE45" si="183">SUM(DE46:DE47)</f>
        <v>1784.1534435679612</v>
      </c>
      <c r="DF45" s="146">
        <f t="shared" ref="DF45" si="184">SUM(DF46:DF47)</f>
        <v>1837.6780468749998</v>
      </c>
      <c r="DG45" s="146">
        <f t="shared" ref="DG45" si="185">SUM(DG46:DG47)</f>
        <v>1784.1534435679612</v>
      </c>
      <c r="DH45" s="147">
        <f t="shared" si="79"/>
        <v>0</v>
      </c>
      <c r="DI45" s="134">
        <f t="shared" ref="DI45:DK45" si="186">IFERROR(IF(AND(DI46&lt;&gt;0,DI47&lt;&gt;0),1/SUM(1/DI46,1/DI47),IF(AND(DI46&lt;&gt;0,DI47=0),1/(1/DI46),IF(AND(DI46=0,DI47&lt;&gt;0),1/(1/DI47),IF(AND(DI46=0,DI47=0),".")))),".")</f>
        <v>5.130698189818865E-3</v>
      </c>
      <c r="DJ45" s="134">
        <f t="shared" si="186"/>
        <v>8.193083671866999</v>
      </c>
      <c r="DK45" s="134">
        <f t="shared" si="186"/>
        <v>5.1274872389060477E-3</v>
      </c>
      <c r="DL45" s="146">
        <f t="shared" ref="DL45" si="187">SUM(DL46:DL47)</f>
        <v>4872.6311848958321</v>
      </c>
      <c r="DM45" s="146">
        <f t="shared" ref="DM45" si="188">SUM(DM46:DM47)</f>
        <v>3.051354166666667</v>
      </c>
      <c r="DN45" s="147">
        <f t="shared" si="93"/>
        <v>4875.682539062499</v>
      </c>
    </row>
    <row r="46" spans="1:118" x14ac:dyDescent="0.25">
      <c r="A46" s="135" t="s">
        <v>1086</v>
      </c>
      <c r="B46" s="129">
        <v>1</v>
      </c>
      <c r="C46" s="136">
        <f t="shared" ref="C46:M46" si="189">IFERROR(C10/$B46,0)</f>
        <v>2.2038567493112948E-4</v>
      </c>
      <c r="D46" s="136">
        <f t="shared" si="189"/>
        <v>6.6115702479338848E-4</v>
      </c>
      <c r="E46" s="136">
        <f t="shared" si="189"/>
        <v>6.6115702479338848E-4</v>
      </c>
      <c r="F46" s="136">
        <f t="shared" si="189"/>
        <v>6.6115702479338848E-4</v>
      </c>
      <c r="G46" s="136">
        <f t="shared" si="189"/>
        <v>6.6115702479338848E-4</v>
      </c>
      <c r="H46" s="136">
        <f t="shared" si="189"/>
        <v>6.6115702479338848E-4</v>
      </c>
      <c r="I46" s="136">
        <f t="shared" si="189"/>
        <v>6.6115702479338848E-4</v>
      </c>
      <c r="J46" s="136">
        <f t="shared" si="189"/>
        <v>6.6115702479338848E-4</v>
      </c>
      <c r="K46" s="136">
        <f t="shared" si="189"/>
        <v>6.6115702479338848E-4</v>
      </c>
      <c r="L46" s="136">
        <f t="shared" si="189"/>
        <v>6.6115702479338848E-4</v>
      </c>
      <c r="M46" s="136">
        <f t="shared" si="189"/>
        <v>6.6115702479338848E-4</v>
      </c>
      <c r="N46" s="149">
        <f>up_dir!BA46</f>
        <v>113437.5</v>
      </c>
      <c r="O46" s="149">
        <f>IFERROR(up_RadSpec!$J$10*O10,".")*$B$46</f>
        <v>37812.5</v>
      </c>
      <c r="P46" s="149">
        <f>IFERROR(up_RadSpec!$J$10*P10,".")*$B$46</f>
        <v>37812.5</v>
      </c>
      <c r="Q46" s="149">
        <f>IFERROR(up_RadSpec!$J$10*Q10,".")*$B$46</f>
        <v>37812.5</v>
      </c>
      <c r="R46" s="149">
        <f>IFERROR(up_RadSpec!$J$10*R10,".")*$B$46</f>
        <v>37812.5</v>
      </c>
      <c r="S46" s="149">
        <f>IFERROR(up_RadSpec!$J$10*S10,".")*$B$46</f>
        <v>37812.5</v>
      </c>
      <c r="T46" s="149">
        <f>IFERROR(up_RadSpec!$J$10*T10,".")*$B$46</f>
        <v>37812.5</v>
      </c>
      <c r="U46" s="149">
        <f>IFERROR(up_RadSpec!$J$10*U10,".")*$B$46</f>
        <v>37812.5</v>
      </c>
      <c r="V46" s="149">
        <f>IFERROR(up_RadSpec!$J$10*V10,".")*$B$46</f>
        <v>37812.5</v>
      </c>
      <c r="W46" s="149">
        <f>IFERROR(up_RadSpec!$J$10*W10,".")*$B$46</f>
        <v>37812.5</v>
      </c>
      <c r="X46" s="149">
        <f>IFERROR(up_RadSpec!$J$10*X10,".")*$B$46</f>
        <v>37812.5</v>
      </c>
      <c r="Y46" s="136">
        <f t="shared" ref="Y46:AL46" si="190">IFERROR(Y10/$B46,0)</f>
        <v>0.33057851239669422</v>
      </c>
      <c r="Z46" s="136">
        <f t="shared" si="190"/>
        <v>3089.9917845330979</v>
      </c>
      <c r="AA46" s="136">
        <f t="shared" si="190"/>
        <v>207.30735930735929</v>
      </c>
      <c r="AB46" s="136">
        <f t="shared" si="190"/>
        <v>4.3958447178843029E-5</v>
      </c>
      <c r="AC46" s="136">
        <f t="shared" si="190"/>
        <v>6.6115702479338848E-4</v>
      </c>
      <c r="AD46" s="136">
        <f t="shared" si="190"/>
        <v>1.8558793678410905E-7</v>
      </c>
      <c r="AE46" s="136">
        <f t="shared" si="190"/>
        <v>1.9115557488763231E-7</v>
      </c>
      <c r="AF46" s="136">
        <f t="shared" si="190"/>
        <v>1.8558793678410905E-7</v>
      </c>
      <c r="AG46" s="136">
        <f t="shared" si="190"/>
        <v>1.8558793678410905E-7</v>
      </c>
      <c r="AH46" s="136">
        <f t="shared" si="190"/>
        <v>1.8558793678410905E-7</v>
      </c>
      <c r="AI46" s="136">
        <f t="shared" si="190"/>
        <v>1.8558793678410905E-7</v>
      </c>
      <c r="AJ46" s="136">
        <f t="shared" si="190"/>
        <v>1.9115557488763231E-7</v>
      </c>
      <c r="AK46" s="136">
        <f t="shared" si="190"/>
        <v>1.8558793678410905E-7</v>
      </c>
      <c r="AL46" s="136">
        <f t="shared" si="190"/>
        <v>1.9115557488763231E-7</v>
      </c>
      <c r="AM46" s="129"/>
      <c r="AN46" s="129"/>
      <c r="AO46" s="129"/>
      <c r="AP46" s="129"/>
      <c r="AQ46" s="129"/>
      <c r="AR46" s="129"/>
      <c r="AS46" s="129"/>
      <c r="AT46" s="129"/>
      <c r="AU46" s="129"/>
      <c r="AV46" s="129"/>
      <c r="AW46" s="129"/>
      <c r="AX46" s="129"/>
      <c r="AY46" s="129"/>
      <c r="AZ46" s="129"/>
      <c r="BA46" s="136">
        <f t="shared" ref="BA46" si="191">IFERROR(BA10/$B46,0)</f>
        <v>2.0812531708843729E-8</v>
      </c>
      <c r="BB46" s="149">
        <f>IFERROR(up_RadSpec!$I$10*BB10,".")*$B$46</f>
        <v>75.625</v>
      </c>
      <c r="BC46" s="149">
        <f>IFERROR(up_RadSpec!$L$10*BC10,".")*$B$46</f>
        <v>8.0906363975260659E-3</v>
      </c>
      <c r="BD46" s="149">
        <f>IFERROR(up_RadSpec!$K$10*BD10,".")*$B$46</f>
        <v>0.1205938857333779</v>
      </c>
      <c r="BE46" s="149">
        <f>up_b2s!BZ46</f>
        <v>568718.90625</v>
      </c>
      <c r="BF46" s="149">
        <f>IFERROR(up_RadSpec!$J$10*BF10,".")*$B$46</f>
        <v>37812.5</v>
      </c>
      <c r="BG46" s="149">
        <f>IFERROR(up_RadSpec!$J$10*BG10,".")*$B$46</f>
        <v>134707031.25</v>
      </c>
      <c r="BH46" s="149">
        <f>IFERROR(up_RadSpec!$J$10*BH10,".")*$B$46</f>
        <v>130783525.4854369</v>
      </c>
      <c r="BI46" s="149">
        <f>IFERROR(up_RadSpec!$J$10*BI10,".")*$B$46</f>
        <v>134707031.25</v>
      </c>
      <c r="BJ46" s="149">
        <f>IFERROR(up_RadSpec!$J$10*BJ10,".")*$B$46</f>
        <v>134707031.25</v>
      </c>
      <c r="BK46" s="149">
        <f>IFERROR(up_RadSpec!$J$10*BK10,".")*$B$46</f>
        <v>134707031.25</v>
      </c>
      <c r="BL46" s="149">
        <f>IFERROR(up_RadSpec!$J$10*BL10,".")*$B$46</f>
        <v>134707031.25</v>
      </c>
      <c r="BM46" s="149">
        <f>IFERROR(up_RadSpec!$J$10*BM10,".")*$B$46</f>
        <v>130783525.4854369</v>
      </c>
      <c r="BN46" s="149">
        <f>IFERROR(up_RadSpec!$J$10*BN10,".")*$B$46</f>
        <v>134707031.25</v>
      </c>
      <c r="BO46" s="149">
        <f>IFERROR(up_RadSpec!$J$10*BO10,".")*$B$46</f>
        <v>130783525.4854369</v>
      </c>
      <c r="BP46" s="150">
        <f t="shared" si="89"/>
        <v>1201199371.1162453</v>
      </c>
      <c r="BQ46" s="136">
        <f t="shared" ref="BQ46:CD46" si="192">IFERROR(BQ10/$B46,0)</f>
        <v>3.6363636363636364E-3</v>
      </c>
      <c r="BR46" s="136">
        <f t="shared" si="192"/>
        <v>0</v>
      </c>
      <c r="BS46" s="136">
        <f t="shared" si="192"/>
        <v>39.81818181818182</v>
      </c>
      <c r="BT46" s="136">
        <f t="shared" si="192"/>
        <v>2.1924550381384044E-4</v>
      </c>
      <c r="BU46" s="136">
        <f t="shared" si="192"/>
        <v>0.13223140495867769</v>
      </c>
      <c r="BV46" s="136">
        <f t="shared" si="192"/>
        <v>2.6446280991735537E-2</v>
      </c>
      <c r="BW46" s="136">
        <f t="shared" si="192"/>
        <v>2.7239669421487603E-2</v>
      </c>
      <c r="BX46" s="136">
        <f t="shared" si="192"/>
        <v>2.6446280991735537E-2</v>
      </c>
      <c r="BY46" s="136">
        <f t="shared" si="192"/>
        <v>2.6446280991735537E-2</v>
      </c>
      <c r="BZ46" s="136">
        <f t="shared" si="192"/>
        <v>2.6446280991735537E-2</v>
      </c>
      <c r="CA46" s="136">
        <f t="shared" si="192"/>
        <v>2.6446280991735537E-2</v>
      </c>
      <c r="CB46" s="136">
        <f t="shared" si="192"/>
        <v>2.7239669421487603E-2</v>
      </c>
      <c r="CC46" s="136">
        <f t="shared" si="192"/>
        <v>2.6446280991735537E-2</v>
      </c>
      <c r="CD46" s="136">
        <f t="shared" si="192"/>
        <v>2.7239669421487603E-2</v>
      </c>
      <c r="CE46" s="141"/>
      <c r="CF46" s="141"/>
      <c r="CG46" s="141"/>
      <c r="CH46" s="141"/>
      <c r="CI46" s="141"/>
      <c r="CJ46" s="141"/>
      <c r="CK46" s="141"/>
      <c r="CL46" s="141"/>
      <c r="CM46" s="141"/>
      <c r="CN46" s="141"/>
      <c r="CO46" s="141"/>
      <c r="CP46" s="141"/>
      <c r="CQ46" s="141"/>
      <c r="CR46" s="141"/>
      <c r="CS46" s="136">
        <f t="shared" ref="CS46" si="193">IFERROR(CS10/$B46,0)</f>
        <v>1.9302436709720458E-4</v>
      </c>
      <c r="CT46" s="149">
        <f>IFERROR(up_RadSpec!$M$10*CT10,".")*$B$46</f>
        <v>6875</v>
      </c>
      <c r="CU46" s="149">
        <f>IFERROR(up_RadSpec!$L$10*CU10,".")*$B$46</f>
        <v>1253.255208333333</v>
      </c>
      <c r="CV46" s="149">
        <f>IFERROR(up_RadSpec!$Q$10*CV10,".")*$B$46</f>
        <v>0.62785388127853881</v>
      </c>
      <c r="CW46" s="149">
        <f>up_b2w!BZ46</f>
        <v>114027.42389293101</v>
      </c>
      <c r="CX46" s="149">
        <f>IFERROR(up_RadSpec!$J$10*CX10,".")*$B$46</f>
        <v>189.0625</v>
      </c>
      <c r="CY46" s="149">
        <f>IFERROR(up_RadSpec!$J$10*CY10,".")*$B$46</f>
        <v>945.3125</v>
      </c>
      <c r="CZ46" s="149">
        <f>IFERROR(up_RadSpec!$J$10*CZ10,".")*$B$46</f>
        <v>917.77912621359224</v>
      </c>
      <c r="DA46" s="149">
        <f>IFERROR(up_RadSpec!$J$10*DA10,".")*$B$46</f>
        <v>945.3125</v>
      </c>
      <c r="DB46" s="149">
        <f>IFERROR(up_RadSpec!$J$10*DB10,".")*$B$46</f>
        <v>945.3125</v>
      </c>
      <c r="DC46" s="149">
        <f>IFERROR(up_RadSpec!$J$10*DC10,".")*$B$46</f>
        <v>945.3125</v>
      </c>
      <c r="DD46" s="149">
        <f>IFERROR(up_RadSpec!$J$10*DD10,".")*$B$46</f>
        <v>945.3125</v>
      </c>
      <c r="DE46" s="149">
        <f>IFERROR(up_RadSpec!$J$10*DE10,".")*$B$46</f>
        <v>917.77912621359224</v>
      </c>
      <c r="DF46" s="149">
        <f>IFERROR(up_RadSpec!$J$10*DF10,".")*$B$46</f>
        <v>945.3125</v>
      </c>
      <c r="DG46" s="149">
        <f>IFERROR(up_RadSpec!$J$10*DG10,".")*$B$46</f>
        <v>917.77912621359224</v>
      </c>
      <c r="DH46" s="150">
        <f t="shared" si="79"/>
        <v>0</v>
      </c>
      <c r="DI46" s="136">
        <f t="shared" ref="DI46:DK46" si="194">IFERROR(DI10/$B46,0)</f>
        <v>9.9740259740259754E-3</v>
      </c>
      <c r="DJ46" s="136">
        <f t="shared" si="194"/>
        <v>15.927272727272728</v>
      </c>
      <c r="DK46" s="136">
        <f t="shared" si="194"/>
        <v>9.9677839175609673E-3</v>
      </c>
      <c r="DL46" s="149">
        <f>IFERROR(up_RadSpec!$L$10*DL10,".")*$B$46</f>
        <v>2506.5104166666661</v>
      </c>
      <c r="DM46" s="149">
        <f>IFERROR(up_RadSpec!$O$10*DM10,".")*$B$46</f>
        <v>1.5696347031963471</v>
      </c>
      <c r="DN46" s="150">
        <f t="shared" si="93"/>
        <v>2508.0800513698623</v>
      </c>
    </row>
    <row r="47" spans="1:118" x14ac:dyDescent="0.25">
      <c r="A47" s="135" t="s">
        <v>1060</v>
      </c>
      <c r="B47" s="129">
        <v>0.94399</v>
      </c>
      <c r="C47" s="136">
        <f t="shared" ref="C47:M47" si="195">IFERROR(C6/$B$47,0)</f>
        <v>2.3346187452317238E-4</v>
      </c>
      <c r="D47" s="136">
        <f t="shared" si="195"/>
        <v>7.0038562356951719E-4</v>
      </c>
      <c r="E47" s="136">
        <f t="shared" si="195"/>
        <v>7.0038562356951719E-4</v>
      </c>
      <c r="F47" s="136">
        <f t="shared" si="195"/>
        <v>7.0038562356951719E-4</v>
      </c>
      <c r="G47" s="136">
        <f t="shared" si="195"/>
        <v>7.0038562356951719E-4</v>
      </c>
      <c r="H47" s="136">
        <f t="shared" si="195"/>
        <v>7.0038562356951719E-4</v>
      </c>
      <c r="I47" s="136">
        <f t="shared" si="195"/>
        <v>7.0038562356951719E-4</v>
      </c>
      <c r="J47" s="136">
        <f t="shared" si="195"/>
        <v>7.0038562356951719E-4</v>
      </c>
      <c r="K47" s="136">
        <f t="shared" si="195"/>
        <v>7.0038562356951719E-4</v>
      </c>
      <c r="L47" s="136">
        <f t="shared" si="195"/>
        <v>7.0038562356951719E-4</v>
      </c>
      <c r="M47" s="136">
        <f t="shared" si="195"/>
        <v>7.0038562356951719E-4</v>
      </c>
      <c r="N47" s="149">
        <f>up_dir!BA47</f>
        <v>107083.86562499999</v>
      </c>
      <c r="O47" s="149">
        <f>IFERROR(up_RadSpec!$J$6*O6,".")*$B$47</f>
        <v>35694.621874999997</v>
      </c>
      <c r="P47" s="149">
        <f>IFERROR(up_RadSpec!$J$6*P6,".")*$B$47</f>
        <v>35694.621874999997</v>
      </c>
      <c r="Q47" s="149">
        <f>IFERROR(up_RadSpec!$J$6*Q6,".")*$B$47</f>
        <v>35694.621874999997</v>
      </c>
      <c r="R47" s="149">
        <f>IFERROR(up_RadSpec!$J$6*R6,".")*$B$47</f>
        <v>35694.621874999997</v>
      </c>
      <c r="S47" s="149">
        <f>IFERROR(up_RadSpec!$J$6*S6,".")*$B$47</f>
        <v>35694.621874999997</v>
      </c>
      <c r="T47" s="149">
        <f>IFERROR(up_RadSpec!$J$6*T6,".")*$B$47</f>
        <v>35694.621874999997</v>
      </c>
      <c r="U47" s="149">
        <f>IFERROR(up_RadSpec!$J$6*U6,".")*$B$47</f>
        <v>35694.621874999997</v>
      </c>
      <c r="V47" s="149">
        <f>IFERROR(up_RadSpec!$J$6*V6,".")*$B$47</f>
        <v>35694.621874999997</v>
      </c>
      <c r="W47" s="149">
        <f>IFERROR(up_RadSpec!$J$6*W6,".")*$B$47</f>
        <v>35694.621874999997</v>
      </c>
      <c r="X47" s="149">
        <f>IFERROR(up_RadSpec!$J$6*X6,".")*$B$47</f>
        <v>35694.621874999997</v>
      </c>
      <c r="Y47" s="136">
        <f t="shared" ref="Y47:AL47" si="196">IFERROR(Y6/$B$47,0)</f>
        <v>0.35019281178475853</v>
      </c>
      <c r="Z47" s="136">
        <f t="shared" si="196"/>
        <v>3273.3310570377844</v>
      </c>
      <c r="AA47" s="136">
        <f t="shared" si="196"/>
        <v>187.35513298162391</v>
      </c>
      <c r="AB47" s="136">
        <f t="shared" si="196"/>
        <v>4.6566644963233754E-5</v>
      </c>
      <c r="AC47" s="136">
        <f t="shared" si="196"/>
        <v>7.0038562356951719E-4</v>
      </c>
      <c r="AD47" s="136">
        <f t="shared" si="196"/>
        <v>1.9659947328267149E-7</v>
      </c>
      <c r="AE47" s="136">
        <f t="shared" si="196"/>
        <v>2.0249745748115162E-7</v>
      </c>
      <c r="AF47" s="136">
        <f t="shared" si="196"/>
        <v>1.9659947328267149E-7</v>
      </c>
      <c r="AG47" s="136">
        <f t="shared" si="196"/>
        <v>1.9659947328267149E-7</v>
      </c>
      <c r="AH47" s="136">
        <f t="shared" si="196"/>
        <v>1.9659947328267149E-7</v>
      </c>
      <c r="AI47" s="136">
        <f t="shared" si="196"/>
        <v>1.9659947328267149E-7</v>
      </c>
      <c r="AJ47" s="136">
        <f t="shared" si="196"/>
        <v>2.0249745748115162E-7</v>
      </c>
      <c r="AK47" s="136">
        <f t="shared" si="196"/>
        <v>1.9659947328267149E-7</v>
      </c>
      <c r="AL47" s="136">
        <f t="shared" si="196"/>
        <v>2.0249745748115162E-7</v>
      </c>
      <c r="AM47" s="129"/>
      <c r="AN47" s="129"/>
      <c r="AO47" s="129"/>
      <c r="AP47" s="129"/>
      <c r="AQ47" s="129"/>
      <c r="AR47" s="129"/>
      <c r="AS47" s="129"/>
      <c r="AT47" s="129"/>
      <c r="AU47" s="129"/>
      <c r="AV47" s="129"/>
      <c r="AW47" s="129"/>
      <c r="AX47" s="129"/>
      <c r="AY47" s="129"/>
      <c r="AZ47" s="129"/>
      <c r="BA47" s="136">
        <f t="shared" ref="BA47" si="197">IFERROR(BA6/$B$47,0)</f>
        <v>2.2047406973044241E-8</v>
      </c>
      <c r="BB47" s="149">
        <f>IFERROR(up_RadSpec!$I$6*BB6,".")*$B$47</f>
        <v>71.389243750000006</v>
      </c>
      <c r="BC47" s="149">
        <f>IFERROR(up_RadSpec!$L$6*BC6,".")*$B$47</f>
        <v>7.6374798529006312E-3</v>
      </c>
      <c r="BD47" s="149">
        <f>IFERROR(up_RadSpec!$K$6*BD6,".")*$B$47</f>
        <v>0.1334364295343434</v>
      </c>
      <c r="BE47" s="149">
        <f>up_b2s!BZ47</f>
        <v>536864.96031093749</v>
      </c>
      <c r="BF47" s="149">
        <f>IFERROR(up_RadSpec!$J$6*BF6,".")*$B$47</f>
        <v>35694.621874999997</v>
      </c>
      <c r="BG47" s="149">
        <f>IFERROR(up_RadSpec!$J$6*BG6,".")*$B$47</f>
        <v>127162090.4296875</v>
      </c>
      <c r="BH47" s="149">
        <f>IFERROR(up_RadSpec!$J$6*BH6,".")*$B$47</f>
        <v>123458340.22299758</v>
      </c>
      <c r="BI47" s="149">
        <f>IFERROR(up_RadSpec!$J$6*BI6,".")*$B$47</f>
        <v>127162090.4296875</v>
      </c>
      <c r="BJ47" s="149">
        <f>IFERROR(up_RadSpec!$J$6*BJ6,".")*$B$47</f>
        <v>127162090.4296875</v>
      </c>
      <c r="BK47" s="149">
        <f>IFERROR(up_RadSpec!$J$6*BK6,".")*$B$47</f>
        <v>127162090.4296875</v>
      </c>
      <c r="BL47" s="149">
        <f>IFERROR(up_RadSpec!$J$6*BL6,".")*$B$47</f>
        <v>127162090.4296875</v>
      </c>
      <c r="BM47" s="149">
        <f>IFERROR(up_RadSpec!$J$6*BM6,".")*$B$47</f>
        <v>123458340.22299758</v>
      </c>
      <c r="BN47" s="149">
        <f>IFERROR(up_RadSpec!$J$6*BN6,".")*$B$47</f>
        <v>127162090.4296875</v>
      </c>
      <c r="BO47" s="149">
        <f>IFERROR(up_RadSpec!$J$6*BO6,".")*$B$47</f>
        <v>123458340.22299758</v>
      </c>
      <c r="BP47" s="150">
        <f t="shared" si="89"/>
        <v>1133920194.3596213</v>
      </c>
      <c r="BQ47" s="136">
        <f t="shared" ref="BQ47:CD47" si="198">IFERROR(BQ6/$B$47,0)</f>
        <v>3.8521209296323439E-3</v>
      </c>
      <c r="BR47" s="136">
        <f t="shared" si="198"/>
        <v>0</v>
      </c>
      <c r="BS47" s="136">
        <f t="shared" si="198"/>
        <v>42.180724179474169</v>
      </c>
      <c r="BT47" s="136">
        <f t="shared" si="198"/>
        <v>2.3225405334149774E-4</v>
      </c>
      <c r="BU47" s="136">
        <f t="shared" si="198"/>
        <v>0.14007712471390343</v>
      </c>
      <c r="BV47" s="136">
        <f t="shared" si="198"/>
        <v>2.8015424942780684E-2</v>
      </c>
      <c r="BW47" s="136">
        <f t="shared" si="198"/>
        <v>2.8855887691064102E-2</v>
      </c>
      <c r="BX47" s="136">
        <f t="shared" si="198"/>
        <v>2.8015424942780684E-2</v>
      </c>
      <c r="BY47" s="136">
        <f t="shared" si="198"/>
        <v>2.8015424942780684E-2</v>
      </c>
      <c r="BZ47" s="136">
        <f t="shared" si="198"/>
        <v>2.8015424942780684E-2</v>
      </c>
      <c r="CA47" s="136">
        <f t="shared" si="198"/>
        <v>2.8015424942780684E-2</v>
      </c>
      <c r="CB47" s="136">
        <f t="shared" si="198"/>
        <v>2.8855887691064102E-2</v>
      </c>
      <c r="CC47" s="136">
        <f t="shared" si="198"/>
        <v>2.8015424942780684E-2</v>
      </c>
      <c r="CD47" s="136">
        <f t="shared" si="198"/>
        <v>2.8855887691064102E-2</v>
      </c>
      <c r="CE47" s="141"/>
      <c r="CF47" s="141"/>
      <c r="CG47" s="141"/>
      <c r="CH47" s="141"/>
      <c r="CI47" s="141"/>
      <c r="CJ47" s="141"/>
      <c r="CK47" s="141"/>
      <c r="CL47" s="141"/>
      <c r="CM47" s="141"/>
      <c r="CN47" s="141"/>
      <c r="CO47" s="141"/>
      <c r="CP47" s="141"/>
      <c r="CQ47" s="141"/>
      <c r="CR47" s="141"/>
      <c r="CS47" s="136">
        <f t="shared" ref="CS47" si="199">IFERROR(CS6/$B$47,0)</f>
        <v>2.0447713121664909E-4</v>
      </c>
      <c r="CT47" s="149">
        <f>IFERROR(up_RadSpec!$M$6*CT6,".")*$B$47</f>
        <v>6489.9312499999996</v>
      </c>
      <c r="CU47" s="149">
        <f>IFERROR(up_RadSpec!$L$6*CU6,".")*$B$47</f>
        <v>1183.060384114583</v>
      </c>
      <c r="CV47" s="149">
        <f>IFERROR(up_RadSpec!$Q$6*CV6,".")*$B$47</f>
        <v>0.59268778538812783</v>
      </c>
      <c r="CW47" s="149">
        <f>up_b2w!BZ47</f>
        <v>107640.74788068795</v>
      </c>
      <c r="CX47" s="149">
        <f>IFERROR(up_RadSpec!$J$6*CX6,".")*$B$47</f>
        <v>178.47310937500001</v>
      </c>
      <c r="CY47" s="149">
        <f>IFERROR(up_RadSpec!$J$6*CY6,".")*$B$47</f>
        <v>892.36554687499995</v>
      </c>
      <c r="CZ47" s="149">
        <f>IFERROR(up_RadSpec!$J$6*CZ6,".")*$B$47</f>
        <v>866.37431735436894</v>
      </c>
      <c r="DA47" s="149">
        <f>IFERROR(up_RadSpec!$J$6*DA6,".")*$B$47</f>
        <v>892.36554687499995</v>
      </c>
      <c r="DB47" s="149">
        <f>IFERROR(up_RadSpec!$J$6*DB6,".")*$B$47</f>
        <v>892.36554687499995</v>
      </c>
      <c r="DC47" s="149">
        <f>IFERROR(up_RadSpec!$J$6*DC6,".")*$B$47</f>
        <v>892.36554687499995</v>
      </c>
      <c r="DD47" s="149">
        <f>IFERROR(up_RadSpec!$J$6*DD6,".")*$B$47</f>
        <v>892.36554687499995</v>
      </c>
      <c r="DE47" s="149">
        <f>IFERROR(up_RadSpec!$J$6*DE6,".")*$B$47</f>
        <v>866.37431735436894</v>
      </c>
      <c r="DF47" s="149">
        <f>IFERROR(up_RadSpec!$J$6*DF6,".")*$B$47</f>
        <v>892.36554687499995</v>
      </c>
      <c r="DG47" s="149">
        <f>IFERROR(up_RadSpec!$J$6*DG6,".")*$B$47</f>
        <v>866.37431735436894</v>
      </c>
      <c r="DH47" s="150">
        <f t="shared" ref="DH47:DH76" si="200">SUM(DH48:DH60)</f>
        <v>0</v>
      </c>
      <c r="DI47" s="136">
        <f t="shared" ref="DI47:DK47" si="201">IFERROR(DI6/$B$47,0)</f>
        <v>1.0565817406991574E-2</v>
      </c>
      <c r="DJ47" s="136">
        <f t="shared" si="201"/>
        <v>16.872289671789666</v>
      </c>
      <c r="DK47" s="136">
        <f t="shared" si="201"/>
        <v>1.0559204988994552E-2</v>
      </c>
      <c r="DL47" s="149">
        <f>IFERROR(up_RadSpec!$L$6*DL6,".")*$B$47</f>
        <v>2366.1207682291661</v>
      </c>
      <c r="DM47" s="149">
        <f>IFERROR(up_RadSpec!$O$6*DM6,".")*$B$47</f>
        <v>1.4817194634703197</v>
      </c>
      <c r="DN47" s="150">
        <f t="shared" si="93"/>
        <v>2367.6024876926363</v>
      </c>
    </row>
    <row r="48" spans="1:118" x14ac:dyDescent="0.25">
      <c r="A48" s="132" t="s">
        <v>21</v>
      </c>
      <c r="B48" s="132" t="s">
        <v>1059</v>
      </c>
      <c r="C48" s="134">
        <f t="shared" ref="C48:M48" si="202">1/SUM(1/C49,1/C50,1/C51,1/C52,1/C53,1/C54,1/C55,1/C56,1/C57,1/C58,1/C59,1/C60,1/C61,1/C62)</f>
        <v>2.4487293519709427E-5</v>
      </c>
      <c r="D48" s="134">
        <f t="shared" si="202"/>
        <v>7.3461880559128306E-5</v>
      </c>
      <c r="E48" s="134">
        <f t="shared" si="202"/>
        <v>7.3461880559128306E-5</v>
      </c>
      <c r="F48" s="134">
        <f t="shared" si="202"/>
        <v>7.3461880559128306E-5</v>
      </c>
      <c r="G48" s="134">
        <f t="shared" si="202"/>
        <v>7.3461880559128306E-5</v>
      </c>
      <c r="H48" s="134">
        <f t="shared" si="202"/>
        <v>7.3461880559128306E-5</v>
      </c>
      <c r="I48" s="134">
        <f t="shared" si="202"/>
        <v>7.3461880559128306E-5</v>
      </c>
      <c r="J48" s="134">
        <f t="shared" si="202"/>
        <v>7.3461880559128306E-5</v>
      </c>
      <c r="K48" s="134">
        <f t="shared" si="202"/>
        <v>7.3461880559128306E-5</v>
      </c>
      <c r="L48" s="134">
        <f t="shared" si="202"/>
        <v>7.3461880559128306E-5</v>
      </c>
      <c r="M48" s="134">
        <f t="shared" si="202"/>
        <v>7.3461880559128306E-5</v>
      </c>
      <c r="N48" s="146">
        <f>up_dir!BA48</f>
        <v>1020937.654048125</v>
      </c>
      <c r="O48" s="146">
        <f>SUM(O49:O62)</f>
        <v>340312.55134937499</v>
      </c>
      <c r="P48" s="146">
        <f t="shared" ref="P48:X48" si="203">SUM(P49:P62)</f>
        <v>340312.55134937499</v>
      </c>
      <c r="Q48" s="146">
        <f t="shared" si="203"/>
        <v>340312.55134937499</v>
      </c>
      <c r="R48" s="146">
        <f t="shared" si="203"/>
        <v>340312.55134937499</v>
      </c>
      <c r="S48" s="146">
        <f t="shared" si="203"/>
        <v>340312.55134937499</v>
      </c>
      <c r="T48" s="146">
        <f t="shared" si="203"/>
        <v>340312.55134937499</v>
      </c>
      <c r="U48" s="146">
        <f t="shared" si="203"/>
        <v>340312.55134937499</v>
      </c>
      <c r="V48" s="146">
        <f t="shared" si="203"/>
        <v>340312.55134937499</v>
      </c>
      <c r="W48" s="146">
        <f t="shared" si="203"/>
        <v>340312.55134937499</v>
      </c>
      <c r="X48" s="146">
        <f t="shared" si="203"/>
        <v>340312.55134937499</v>
      </c>
      <c r="Y48" s="134">
        <f>1/SUM(1/Y49,1/Y50,1/Y51,1/Y52,1/Y53,1/Y54,1/Y55,1/Y56,1/Y57,1/Y58,1/Y59,1/Y60,1/Y61,1/Y62)</f>
        <v>3.6730940279564153E-2</v>
      </c>
      <c r="Z48" s="134">
        <f>1/SUM(1/Z49,1/Z50,1/Z51,1/Z52,1/Z53,1/Z54,1/Z55,1/Z56,1/Z57,1/Z58,1/Z59,1/Z60,1/Z61,1/Z62)</f>
        <v>343.33236869863788</v>
      </c>
      <c r="AA48" s="134">
        <f>1/SUM(1/AA49,1/AA50,1/AA52,1/AA54,1/AA55,1/AA56,1/AA57,1/AA58,1/AA59,1/AA60,1/AA61,1/AA62)</f>
        <v>24.887751357328153</v>
      </c>
      <c r="AB48" s="134">
        <f t="shared" ref="AB48:AL48" si="204">1/SUM(1/AB49,1/AB50,1/AB51,1/AB52,1/AB53,1/AB54,1/AB55,1/AB56,1/AB57,1/AB58,1/AB59,1/AB60,1/AB61,1/AB62)</f>
        <v>4.8842711717780858E-6</v>
      </c>
      <c r="AC48" s="134">
        <f t="shared" si="204"/>
        <v>7.3461880559128306E-5</v>
      </c>
      <c r="AD48" s="134">
        <f t="shared" si="204"/>
        <v>2.0620878753439526E-8</v>
      </c>
      <c r="AE48" s="134">
        <f t="shared" si="204"/>
        <v>2.1239505116042711E-8</v>
      </c>
      <c r="AF48" s="134">
        <f t="shared" si="204"/>
        <v>2.0620878753439526E-8</v>
      </c>
      <c r="AG48" s="134">
        <f t="shared" si="204"/>
        <v>2.0620878753439526E-8</v>
      </c>
      <c r="AH48" s="134">
        <f t="shared" si="204"/>
        <v>2.0620878753439526E-8</v>
      </c>
      <c r="AI48" s="134">
        <f t="shared" si="204"/>
        <v>2.0620878753439526E-8</v>
      </c>
      <c r="AJ48" s="134">
        <f t="shared" si="204"/>
        <v>2.1239505116042711E-8</v>
      </c>
      <c r="AK48" s="134">
        <f t="shared" si="204"/>
        <v>2.0620878753439526E-8</v>
      </c>
      <c r="AL48" s="134">
        <f t="shared" si="204"/>
        <v>2.1239505116042711E-8</v>
      </c>
      <c r="AM48" s="129"/>
      <c r="AN48" s="129"/>
      <c r="AO48" s="129"/>
      <c r="AP48" s="129"/>
      <c r="AQ48" s="129"/>
      <c r="AR48" s="129"/>
      <c r="AS48" s="129"/>
      <c r="AT48" s="129"/>
      <c r="AU48" s="129"/>
      <c r="AV48" s="129"/>
      <c r="AW48" s="129"/>
      <c r="AX48" s="129"/>
      <c r="AY48" s="129"/>
      <c r="AZ48" s="129"/>
      <c r="BA48" s="134">
        <f>1/SUM(1/BA49,1/BA50,1/BA51,1/BA52,1/BA53,1/BA54,1/BA55,1/BA56,1/BA57,1/BA58,1/BA59,1/BA60,1/BA61,1/BA62)</f>
        <v>2.3125031742911151E-9</v>
      </c>
      <c r="BB48" s="146">
        <f>SUM(BB49:BB62)</f>
        <v>680.62510269874997</v>
      </c>
      <c r="BC48" s="146">
        <f t="shared" ref="BC48:BO48" si="205">SUM(BC49:BC62)</f>
        <v>7.2815738564818822E-2</v>
      </c>
      <c r="BD48" s="146">
        <f t="shared" si="205"/>
        <v>1.0045101962431329</v>
      </c>
      <c r="BE48" s="146">
        <f>up_b2s!BZ48</f>
        <v>5118470.9285702743</v>
      </c>
      <c r="BF48" s="146">
        <f t="shared" si="205"/>
        <v>340312.55134937499</v>
      </c>
      <c r="BG48" s="146">
        <f t="shared" si="205"/>
        <v>1212363464.1821485</v>
      </c>
      <c r="BH48" s="146">
        <f t="shared" si="205"/>
        <v>1177051906.9729598</v>
      </c>
      <c r="BI48" s="146">
        <f t="shared" si="205"/>
        <v>1212363464.1821485</v>
      </c>
      <c r="BJ48" s="146">
        <f t="shared" si="205"/>
        <v>1212363464.1821485</v>
      </c>
      <c r="BK48" s="146">
        <f t="shared" si="205"/>
        <v>1212363464.1821485</v>
      </c>
      <c r="BL48" s="146">
        <f t="shared" si="205"/>
        <v>1212363464.1821485</v>
      </c>
      <c r="BM48" s="146">
        <f t="shared" si="205"/>
        <v>1177051906.9729598</v>
      </c>
      <c r="BN48" s="146">
        <f t="shared" si="205"/>
        <v>1212363464.1821485</v>
      </c>
      <c r="BO48" s="146">
        <f t="shared" si="205"/>
        <v>1177051906.9729598</v>
      </c>
      <c r="BP48" s="147">
        <f t="shared" si="89"/>
        <v>10810795971.194117</v>
      </c>
      <c r="BQ48" s="134">
        <f>1/SUM(1/BQ49,1/BQ50,1/BQ51,1/BQ52,1/BQ53,1/BQ54,1/BQ55,1/BQ56,1/BQ57,1/BQ58,1/BQ59,1/BQ60,1/BQ61,1/BQ62)</f>
        <v>4.040403430752056E-4</v>
      </c>
      <c r="BR48" s="134">
        <f>1/SUM(1/BR49,1/BR50)</f>
        <v>9.9740259740259754E-3</v>
      </c>
      <c r="BS48" s="134">
        <f t="shared" ref="BS48:CD48" si="206">1/SUM(1/BS49,1/BS50,1/BS51,1/BS52,1/BS53,1/BS54,1/BS55,1/BS56,1/BS57,1/BS58,1/BS59,1/BS60,1/BS61,1/BS62)</f>
        <v>4.4242417566735019</v>
      </c>
      <c r="BT48" s="134">
        <f t="shared" si="206"/>
        <v>2.4360607859126109E-5</v>
      </c>
      <c r="BU48" s="134">
        <f t="shared" si="206"/>
        <v>1.4692376111825655E-2</v>
      </c>
      <c r="BV48" s="134">
        <f t="shared" si="206"/>
        <v>2.9384752223651318E-3</v>
      </c>
      <c r="BW48" s="134">
        <f t="shared" si="206"/>
        <v>3.0266294790360858E-3</v>
      </c>
      <c r="BX48" s="134">
        <f t="shared" si="206"/>
        <v>2.9384752223651318E-3</v>
      </c>
      <c r="BY48" s="134">
        <f t="shared" si="206"/>
        <v>2.9384752223651318E-3</v>
      </c>
      <c r="BZ48" s="134">
        <f t="shared" si="206"/>
        <v>2.9384752223651318E-3</v>
      </c>
      <c r="CA48" s="134">
        <f t="shared" si="206"/>
        <v>2.9384752223651318E-3</v>
      </c>
      <c r="CB48" s="134">
        <f t="shared" si="206"/>
        <v>3.0266294790360858E-3</v>
      </c>
      <c r="CC48" s="134">
        <f t="shared" si="206"/>
        <v>2.9384752223651318E-3</v>
      </c>
      <c r="CD48" s="134">
        <f t="shared" si="206"/>
        <v>3.0266294790360858E-3</v>
      </c>
      <c r="CE48" s="141"/>
      <c r="CF48" s="141"/>
      <c r="CG48" s="141"/>
      <c r="CH48" s="141"/>
      <c r="CI48" s="141"/>
      <c r="CJ48" s="141"/>
      <c r="CK48" s="141"/>
      <c r="CL48" s="141"/>
      <c r="CM48" s="141"/>
      <c r="CN48" s="141"/>
      <c r="CO48" s="141"/>
      <c r="CP48" s="141"/>
      <c r="CQ48" s="141"/>
      <c r="CR48" s="141"/>
      <c r="CS48" s="134">
        <f>1/SUM(1/CS49,1/CS50,1/CS51,1/CS52,1/CS53,1/CS54,1/CS55,1/CS56,1/CS57,1/CS58,1/CS59,1/CS60,1/CS61,1/CS62)</f>
        <v>2.140112981280418E-5</v>
      </c>
      <c r="CT48" s="146">
        <f t="shared" ref="CT48" si="207">SUM(CT49:CT62)</f>
        <v>61875.009336249997</v>
      </c>
      <c r="CU48" s="146">
        <f t="shared" ref="CU48" si="208">SUM(CU49:CU62)</f>
        <v>11279.298576920568</v>
      </c>
      <c r="CV48" s="146">
        <f t="shared" ref="CV48" si="209">SUM(CV49:CV62)</f>
        <v>5.6506857841324214</v>
      </c>
      <c r="CW48" s="146">
        <f>up_b2w!BZ48</f>
        <v>1026246.9698856205</v>
      </c>
      <c r="CX48" s="146">
        <f t="shared" ref="CX48" si="210">SUM(CX49:CX62)</f>
        <v>1701.562756746875</v>
      </c>
      <c r="CY48" s="146">
        <f t="shared" ref="CY48" si="211">SUM(CY49:CY62)</f>
        <v>8507.8137837343747</v>
      </c>
      <c r="CZ48" s="146">
        <f t="shared" ref="CZ48" si="212">SUM(CZ49:CZ62)</f>
        <v>8260.0133822663847</v>
      </c>
      <c r="DA48" s="146">
        <f t="shared" ref="DA48" si="213">SUM(DA49:DA62)</f>
        <v>8507.8137837343747</v>
      </c>
      <c r="DB48" s="146">
        <f t="shared" ref="DB48" si="214">SUM(DB49:DB62)</f>
        <v>8507.8137837343747</v>
      </c>
      <c r="DC48" s="146">
        <f t="shared" ref="DC48" si="215">SUM(DC49:DC62)</f>
        <v>8507.8137837343747</v>
      </c>
      <c r="DD48" s="146">
        <f t="shared" ref="DD48" si="216">SUM(DD49:DD62)</f>
        <v>8507.8137837343747</v>
      </c>
      <c r="DE48" s="146">
        <f t="shared" ref="DE48" si="217">SUM(DE49:DE62)</f>
        <v>8260.0133822663847</v>
      </c>
      <c r="DF48" s="146">
        <f t="shared" ref="DF48" si="218">SUM(DF49:DF62)</f>
        <v>8507.8137837343747</v>
      </c>
      <c r="DG48" s="146">
        <f t="shared" ref="DG48" si="219">SUM(DG49:DG62)</f>
        <v>8260.0133822663847</v>
      </c>
      <c r="DH48" s="147">
        <f t="shared" si="200"/>
        <v>0</v>
      </c>
      <c r="DI48" s="134">
        <f>1/SUM(1/DI49,1/DI50,1/DI51,1/DI52,1/DI53,1/DI54,1/DI55,1/DI56,1/DI57,1/DI58,1/DI59,1/DI60,1/DI61,1/DI62)</f>
        <v>1.1082249410062784E-3</v>
      </c>
      <c r="DJ48" s="134">
        <f>1/SUM(1/DJ49,1/DJ50,1/DJ51,1/DJ52,1/DJ53,1/DJ54,1/DJ55,1/DJ56,1/DJ57,1/DJ58,1/DJ59,1/DJ60,1/DJ61,1/DJ62)</f>
        <v>1.7696967026694006</v>
      </c>
      <c r="DK48" s="134">
        <f>1/SUM(1/DK49,1/DK50,1/DK51,1/DK52,1/DK53,1/DK54,1/DK55,1/DK56,1/DK57,1/DK58,1/DK59,1/DK60,1/DK61,1/DK62)</f>
        <v>1.1075313792814837E-3</v>
      </c>
      <c r="DL48" s="146">
        <f t="shared" ref="DL48" si="220">SUM(DL49:DL62)</f>
        <v>22558.597153841136</v>
      </c>
      <c r="DM48" s="146">
        <f t="shared" ref="DM48" si="221">SUM(DM49:DM62)</f>
        <v>14.126714460331051</v>
      </c>
      <c r="DN48" s="147">
        <f t="shared" si="93"/>
        <v>22572.723868301466</v>
      </c>
    </row>
    <row r="49" spans="1:118" x14ac:dyDescent="0.25">
      <c r="A49" s="135" t="s">
        <v>1088</v>
      </c>
      <c r="B49" s="129">
        <v>1</v>
      </c>
      <c r="C49" s="136">
        <f t="shared" ref="C49:M49" si="222">IFERROR(C23/$B49,0)</f>
        <v>2.2038567493112948E-4</v>
      </c>
      <c r="D49" s="136">
        <f t="shared" si="222"/>
        <v>6.6115702479338848E-4</v>
      </c>
      <c r="E49" s="136">
        <f t="shared" si="222"/>
        <v>6.6115702479338848E-4</v>
      </c>
      <c r="F49" s="136">
        <f t="shared" si="222"/>
        <v>6.6115702479338848E-4</v>
      </c>
      <c r="G49" s="136">
        <f t="shared" si="222"/>
        <v>6.6115702479338848E-4</v>
      </c>
      <c r="H49" s="136">
        <f t="shared" si="222"/>
        <v>6.6115702479338848E-4</v>
      </c>
      <c r="I49" s="136">
        <f t="shared" si="222"/>
        <v>6.6115702479338848E-4</v>
      </c>
      <c r="J49" s="136">
        <f t="shared" si="222"/>
        <v>6.6115702479338848E-4</v>
      </c>
      <c r="K49" s="136">
        <f t="shared" si="222"/>
        <v>6.6115702479338848E-4</v>
      </c>
      <c r="L49" s="136">
        <f t="shared" si="222"/>
        <v>6.6115702479338848E-4</v>
      </c>
      <c r="M49" s="136">
        <f t="shared" si="222"/>
        <v>6.6115702479338848E-4</v>
      </c>
      <c r="N49" s="149">
        <f>up_dir!BA49</f>
        <v>113437.5</v>
      </c>
      <c r="O49" s="149">
        <f>IFERROR(up_RadSpec!$J$23*O23,".")*$B$49</f>
        <v>37812.5</v>
      </c>
      <c r="P49" s="149">
        <f>IFERROR(up_RadSpec!$J$23*P23,".")*$B$49</f>
        <v>37812.5</v>
      </c>
      <c r="Q49" s="149">
        <f>IFERROR(up_RadSpec!$J$23*Q23,".")*$B$49</f>
        <v>37812.5</v>
      </c>
      <c r="R49" s="149">
        <f>IFERROR(up_RadSpec!$J$23*R23,".")*$B$49</f>
        <v>37812.5</v>
      </c>
      <c r="S49" s="149">
        <f>IFERROR(up_RadSpec!$J$23*S23,".")*$B$49</f>
        <v>37812.5</v>
      </c>
      <c r="T49" s="149">
        <f>IFERROR(up_RadSpec!$J$23*T23,".")*$B$49</f>
        <v>37812.5</v>
      </c>
      <c r="U49" s="149">
        <f>IFERROR(up_RadSpec!$J$23*U23,".")*$B$49</f>
        <v>37812.5</v>
      </c>
      <c r="V49" s="149">
        <f>IFERROR(up_RadSpec!$J$23*V23,".")*$B$49</f>
        <v>37812.5</v>
      </c>
      <c r="W49" s="149">
        <f>IFERROR(up_RadSpec!$J$23*W23,".")*$B$49</f>
        <v>37812.5</v>
      </c>
      <c r="X49" s="149">
        <f>IFERROR(up_RadSpec!$J$23*X23,".")*$B$49</f>
        <v>37812.5</v>
      </c>
      <c r="Y49" s="136">
        <f t="shared" ref="Y49:AL49" si="223">IFERROR(Y23/$B49,0)</f>
        <v>0.33057851239669422</v>
      </c>
      <c r="Z49" s="136">
        <f t="shared" si="223"/>
        <v>3089.9917845330979</v>
      </c>
      <c r="AA49" s="136">
        <f t="shared" si="223"/>
        <v>145.84968138687145</v>
      </c>
      <c r="AB49" s="136">
        <f t="shared" si="223"/>
        <v>4.3958447178843029E-5</v>
      </c>
      <c r="AC49" s="136">
        <f t="shared" si="223"/>
        <v>6.6115702479338848E-4</v>
      </c>
      <c r="AD49" s="136">
        <f t="shared" si="223"/>
        <v>1.8558793678410905E-7</v>
      </c>
      <c r="AE49" s="136">
        <f t="shared" si="223"/>
        <v>1.9115557488763231E-7</v>
      </c>
      <c r="AF49" s="136">
        <f t="shared" si="223"/>
        <v>1.8558793678410905E-7</v>
      </c>
      <c r="AG49" s="136">
        <f t="shared" si="223"/>
        <v>1.8558793678410905E-7</v>
      </c>
      <c r="AH49" s="136">
        <f t="shared" si="223"/>
        <v>1.8558793678410905E-7</v>
      </c>
      <c r="AI49" s="136">
        <f t="shared" si="223"/>
        <v>1.8558793678410905E-7</v>
      </c>
      <c r="AJ49" s="136">
        <f t="shared" si="223"/>
        <v>1.9115557488763231E-7</v>
      </c>
      <c r="AK49" s="136">
        <f t="shared" si="223"/>
        <v>1.8558793678410905E-7</v>
      </c>
      <c r="AL49" s="136">
        <f t="shared" si="223"/>
        <v>1.9115557488763231E-7</v>
      </c>
      <c r="AM49" s="129"/>
      <c r="AN49" s="129"/>
      <c r="AO49" s="129"/>
      <c r="AP49" s="129"/>
      <c r="AQ49" s="129"/>
      <c r="AR49" s="129"/>
      <c r="AS49" s="129"/>
      <c r="AT49" s="129"/>
      <c r="AU49" s="129"/>
      <c r="AV49" s="129"/>
      <c r="AW49" s="129"/>
      <c r="AX49" s="129"/>
      <c r="AY49" s="129"/>
      <c r="AZ49" s="129"/>
      <c r="BA49" s="136">
        <f t="shared" ref="BA49" si="224">IFERROR(BA23/$B49,0)</f>
        <v>2.0812531707963275E-8</v>
      </c>
      <c r="BB49" s="149">
        <f>IFERROR(up_RadSpec!$I$23*BB23,".")*$B$49</f>
        <v>75.625</v>
      </c>
      <c r="BC49" s="149">
        <f>IFERROR(up_RadSpec!$L$23*BC23,".")*$B$49</f>
        <v>8.0906363975260659E-3</v>
      </c>
      <c r="BD49" s="149">
        <f>IFERROR(up_RadSpec!$K$23*BD23,".")*$B$49</f>
        <v>0.17140935627885681</v>
      </c>
      <c r="BE49" s="149">
        <f>up_b2s!BZ49</f>
        <v>568718.90625</v>
      </c>
      <c r="BF49" s="149">
        <f>IFERROR(up_RadSpec!$J$23*BF23,".")*$B$49</f>
        <v>37812.5</v>
      </c>
      <c r="BG49" s="149">
        <f>IFERROR(up_RadSpec!$J$23*BG23,".")*$B$49</f>
        <v>134707031.25</v>
      </c>
      <c r="BH49" s="149">
        <f>IFERROR(up_RadSpec!$J$23*BH23,".")*$B$49</f>
        <v>130783525.4854369</v>
      </c>
      <c r="BI49" s="149">
        <f>IFERROR(up_RadSpec!$J$23*BI23,".")*$B$49</f>
        <v>134707031.25</v>
      </c>
      <c r="BJ49" s="149">
        <f>IFERROR(up_RadSpec!$J$23*BJ23,".")*$B$49</f>
        <v>134707031.25</v>
      </c>
      <c r="BK49" s="149">
        <f>IFERROR(up_RadSpec!$J$23*BK23,".")*$B$49</f>
        <v>134707031.25</v>
      </c>
      <c r="BL49" s="149">
        <f>IFERROR(up_RadSpec!$J$23*BL23,".")*$B$49</f>
        <v>134707031.25</v>
      </c>
      <c r="BM49" s="149">
        <f>IFERROR(up_RadSpec!$J$23*BM23,".")*$B$49</f>
        <v>130783525.4854369</v>
      </c>
      <c r="BN49" s="149">
        <f>IFERROR(up_RadSpec!$J$23*BN23,".")*$B$49</f>
        <v>134707031.25</v>
      </c>
      <c r="BO49" s="149">
        <f>IFERROR(up_RadSpec!$J$23*BO23,".")*$B$49</f>
        <v>130783525.4854369</v>
      </c>
      <c r="BP49" s="150">
        <f t="shared" si="89"/>
        <v>1201199371.1670606</v>
      </c>
      <c r="BQ49" s="136">
        <f t="shared" ref="BQ49:CD49" si="225">IFERROR(BQ23/$B49,0)</f>
        <v>3.6363636363636364E-3</v>
      </c>
      <c r="BR49" s="136">
        <f t="shared" si="225"/>
        <v>1.9948051948051951E-2</v>
      </c>
      <c r="BS49" s="136">
        <f t="shared" si="225"/>
        <v>39.81818181818182</v>
      </c>
      <c r="BT49" s="136">
        <f t="shared" si="225"/>
        <v>2.1924550381384044E-4</v>
      </c>
      <c r="BU49" s="136">
        <f t="shared" si="225"/>
        <v>0.13223140495867769</v>
      </c>
      <c r="BV49" s="136">
        <f t="shared" si="225"/>
        <v>2.6446280991735537E-2</v>
      </c>
      <c r="BW49" s="136">
        <f t="shared" si="225"/>
        <v>2.7239669421487603E-2</v>
      </c>
      <c r="BX49" s="136">
        <f t="shared" si="225"/>
        <v>2.6446280991735537E-2</v>
      </c>
      <c r="BY49" s="136">
        <f t="shared" si="225"/>
        <v>2.6446280991735537E-2</v>
      </c>
      <c r="BZ49" s="136">
        <f t="shared" si="225"/>
        <v>2.6446280991735537E-2</v>
      </c>
      <c r="CA49" s="136">
        <f t="shared" si="225"/>
        <v>2.6446280991735537E-2</v>
      </c>
      <c r="CB49" s="136">
        <f t="shared" si="225"/>
        <v>2.7239669421487603E-2</v>
      </c>
      <c r="CC49" s="136">
        <f t="shared" si="225"/>
        <v>2.6446280991735537E-2</v>
      </c>
      <c r="CD49" s="136">
        <f t="shared" si="225"/>
        <v>2.7239669421487603E-2</v>
      </c>
      <c r="CE49" s="141"/>
      <c r="CF49" s="141"/>
      <c r="CG49" s="141"/>
      <c r="CH49" s="141"/>
      <c r="CI49" s="141"/>
      <c r="CJ49" s="141"/>
      <c r="CK49" s="141"/>
      <c r="CL49" s="141"/>
      <c r="CM49" s="141"/>
      <c r="CN49" s="141"/>
      <c r="CO49" s="141"/>
      <c r="CP49" s="141"/>
      <c r="CQ49" s="141"/>
      <c r="CR49" s="141"/>
      <c r="CS49" s="136">
        <f t="shared" ref="CS49" si="226">IFERROR(CS23/$B49,0)</f>
        <v>1.9117449543641093E-4</v>
      </c>
      <c r="CT49" s="149">
        <f>IFERROR(up_RadSpec!$M$23*CT23,".")*$B$49</f>
        <v>6875</v>
      </c>
      <c r="CU49" s="149">
        <f>IFERROR(up_RadSpec!$L$23*CU23,".")*$B$49</f>
        <v>1253.255208333333</v>
      </c>
      <c r="CV49" s="149">
        <f>IFERROR(up_RadSpec!$Q$23*CV23,".")*$B$49</f>
        <v>0.62785388127853881</v>
      </c>
      <c r="CW49" s="149">
        <f>up_b2w!BZ49</f>
        <v>114027.42389293101</v>
      </c>
      <c r="CX49" s="149">
        <f>IFERROR(up_RadSpec!$J$23*CX23,".")*$B$49</f>
        <v>189.0625</v>
      </c>
      <c r="CY49" s="149">
        <f>IFERROR(up_RadSpec!$J$23*CY23,".")*$B$49</f>
        <v>945.3125</v>
      </c>
      <c r="CZ49" s="149">
        <f>IFERROR(up_RadSpec!$J$23*CZ23,".")*$B$49</f>
        <v>917.77912621359224</v>
      </c>
      <c r="DA49" s="149">
        <f>IFERROR(up_RadSpec!$J$23*DA23,".")*$B$49</f>
        <v>945.3125</v>
      </c>
      <c r="DB49" s="149">
        <f>IFERROR(up_RadSpec!$J$23*DB23,".")*$B$49</f>
        <v>945.3125</v>
      </c>
      <c r="DC49" s="149">
        <f>IFERROR(up_RadSpec!$J$23*DC23,".")*$B$49</f>
        <v>945.3125</v>
      </c>
      <c r="DD49" s="149">
        <f>IFERROR(up_RadSpec!$J$23*DD23,".")*$B$49</f>
        <v>945.3125</v>
      </c>
      <c r="DE49" s="149">
        <f>IFERROR(up_RadSpec!$J$23*DE23,".")*$B$49</f>
        <v>917.77912621359224</v>
      </c>
      <c r="DF49" s="149">
        <f>IFERROR(up_RadSpec!$J$23*DF23,".")*$B$49</f>
        <v>945.3125</v>
      </c>
      <c r="DG49" s="149">
        <f>IFERROR(up_RadSpec!$J$23*DG23,".")*$B$49</f>
        <v>917.77912621359224</v>
      </c>
      <c r="DH49" s="150">
        <f t="shared" si="200"/>
        <v>0</v>
      </c>
      <c r="DI49" s="136">
        <f t="shared" ref="DI49:DK49" si="227">IFERROR(DI23/$B49,0)</f>
        <v>9.9740259740259754E-3</v>
      </c>
      <c r="DJ49" s="136">
        <f t="shared" si="227"/>
        <v>15.927272727272728</v>
      </c>
      <c r="DK49" s="136">
        <f t="shared" si="227"/>
        <v>9.9677839175609673E-3</v>
      </c>
      <c r="DL49" s="149">
        <f>IFERROR(up_RadSpec!$L$23*DL23,".")*$B$49</f>
        <v>2506.5104166666661</v>
      </c>
      <c r="DM49" s="149">
        <f>IFERROR(up_RadSpec!$O$23*DM23,".")*$B$49</f>
        <v>1.5696347031963471</v>
      </c>
      <c r="DN49" s="150">
        <f t="shared" si="93"/>
        <v>2508.0800513698623</v>
      </c>
    </row>
    <row r="50" spans="1:118" x14ac:dyDescent="0.25">
      <c r="A50" s="135" t="s">
        <v>1075</v>
      </c>
      <c r="B50" s="129">
        <v>1</v>
      </c>
      <c r="C50" s="136">
        <f t="shared" ref="C50:M50" si="228">IFERROR(C25/$B50,0)</f>
        <v>2.2038567493112948E-4</v>
      </c>
      <c r="D50" s="136">
        <f t="shared" si="228"/>
        <v>6.6115702479338848E-4</v>
      </c>
      <c r="E50" s="136">
        <f t="shared" si="228"/>
        <v>6.6115702479338848E-4</v>
      </c>
      <c r="F50" s="136">
        <f t="shared" si="228"/>
        <v>6.6115702479338848E-4</v>
      </c>
      <c r="G50" s="136">
        <f t="shared" si="228"/>
        <v>6.6115702479338848E-4</v>
      </c>
      <c r="H50" s="136">
        <f t="shared" si="228"/>
        <v>6.6115702479338848E-4</v>
      </c>
      <c r="I50" s="136">
        <f t="shared" si="228"/>
        <v>6.6115702479338848E-4</v>
      </c>
      <c r="J50" s="136">
        <f t="shared" si="228"/>
        <v>6.6115702479338848E-4</v>
      </c>
      <c r="K50" s="136">
        <f t="shared" si="228"/>
        <v>6.6115702479338848E-4</v>
      </c>
      <c r="L50" s="136">
        <f t="shared" si="228"/>
        <v>6.6115702479338848E-4</v>
      </c>
      <c r="M50" s="136">
        <f t="shared" si="228"/>
        <v>6.6115702479338848E-4</v>
      </c>
      <c r="N50" s="149">
        <f>up_dir!BA50</f>
        <v>113437.5</v>
      </c>
      <c r="O50" s="149">
        <f>IFERROR(up_RadSpec!$J$25*O25,".")*$B$50</f>
        <v>37812.5</v>
      </c>
      <c r="P50" s="149">
        <f>IFERROR(up_RadSpec!$J$25*P25,".")*$B$50</f>
        <v>37812.5</v>
      </c>
      <c r="Q50" s="149">
        <f>IFERROR(up_RadSpec!$J$25*Q25,".")*$B$50</f>
        <v>37812.5</v>
      </c>
      <c r="R50" s="149">
        <f>IFERROR(up_RadSpec!$J$25*R25,".")*$B$50</f>
        <v>37812.5</v>
      </c>
      <c r="S50" s="149">
        <f>IFERROR(up_RadSpec!$J$25*S25,".")*$B$50</f>
        <v>37812.5</v>
      </c>
      <c r="T50" s="149">
        <f>IFERROR(up_RadSpec!$J$25*T25,".")*$B$50</f>
        <v>37812.5</v>
      </c>
      <c r="U50" s="149">
        <f>IFERROR(up_RadSpec!$J$25*U25,".")*$B$50</f>
        <v>37812.5</v>
      </c>
      <c r="V50" s="149">
        <f>IFERROR(up_RadSpec!$J$25*V25,".")*$B$50</f>
        <v>37812.5</v>
      </c>
      <c r="W50" s="149">
        <f>IFERROR(up_RadSpec!$J$25*W25,".")*$B$50</f>
        <v>37812.5</v>
      </c>
      <c r="X50" s="149">
        <f>IFERROR(up_RadSpec!$J$25*X25,".")*$B$50</f>
        <v>37812.5</v>
      </c>
      <c r="Y50" s="136">
        <f t="shared" ref="Y50:AL50" si="229">IFERROR(Y25/$B50,0)</f>
        <v>0.33057851239669422</v>
      </c>
      <c r="Z50" s="136">
        <f t="shared" si="229"/>
        <v>3089.9917845330979</v>
      </c>
      <c r="AA50" s="136">
        <f t="shared" si="229"/>
        <v>213.21650237312892</v>
      </c>
      <c r="AB50" s="136">
        <f t="shared" si="229"/>
        <v>4.3958447178843029E-5</v>
      </c>
      <c r="AC50" s="136">
        <f t="shared" si="229"/>
        <v>6.6115702479338848E-4</v>
      </c>
      <c r="AD50" s="136">
        <f t="shared" si="229"/>
        <v>1.8558793678410905E-7</v>
      </c>
      <c r="AE50" s="136">
        <f t="shared" si="229"/>
        <v>1.9115557488763231E-7</v>
      </c>
      <c r="AF50" s="136">
        <f t="shared" si="229"/>
        <v>1.8558793678410905E-7</v>
      </c>
      <c r="AG50" s="136">
        <f t="shared" si="229"/>
        <v>1.8558793678410905E-7</v>
      </c>
      <c r="AH50" s="136">
        <f t="shared" si="229"/>
        <v>1.8558793678410905E-7</v>
      </c>
      <c r="AI50" s="136">
        <f t="shared" si="229"/>
        <v>1.8558793678410905E-7</v>
      </c>
      <c r="AJ50" s="136">
        <f t="shared" si="229"/>
        <v>1.9115557488763231E-7</v>
      </c>
      <c r="AK50" s="136">
        <f t="shared" si="229"/>
        <v>1.8558793678410905E-7</v>
      </c>
      <c r="AL50" s="136">
        <f t="shared" si="229"/>
        <v>1.9115557488763231E-7</v>
      </c>
      <c r="AM50" s="129"/>
      <c r="AN50" s="129"/>
      <c r="AO50" s="129"/>
      <c r="AP50" s="129"/>
      <c r="AQ50" s="129"/>
      <c r="AR50" s="129"/>
      <c r="AS50" s="129"/>
      <c r="AT50" s="129"/>
      <c r="AU50" s="129"/>
      <c r="AV50" s="129"/>
      <c r="AW50" s="129"/>
      <c r="AX50" s="129"/>
      <c r="AY50" s="129"/>
      <c r="AZ50" s="129"/>
      <c r="BA50" s="136">
        <f t="shared" ref="BA50" si="230">IFERROR(BA25/$B50,0)</f>
        <v>2.0812531708901635E-8</v>
      </c>
      <c r="BB50" s="149">
        <f>IFERROR(up_RadSpec!$I$25*BB25,".")*$B$50</f>
        <v>75.625</v>
      </c>
      <c r="BC50" s="149">
        <f>IFERROR(up_RadSpec!$L$25*BC25,".")*$B$50</f>
        <v>8.0906363975260659E-3</v>
      </c>
      <c r="BD50" s="149">
        <f>IFERROR(up_RadSpec!$K$25*BD25,".")*$B$50</f>
        <v>0.1172517123287671</v>
      </c>
      <c r="BE50" s="149">
        <f>up_b2s!BZ50</f>
        <v>568718.90625</v>
      </c>
      <c r="BF50" s="149">
        <f>IFERROR(up_RadSpec!$J$25*BF25,".")*$B$50</f>
        <v>37812.5</v>
      </c>
      <c r="BG50" s="149">
        <f>IFERROR(up_RadSpec!$J$25*BG25,".")*$B$50</f>
        <v>134707031.25</v>
      </c>
      <c r="BH50" s="149">
        <f>IFERROR(up_RadSpec!$J$25*BH25,".")*$B$50</f>
        <v>130783525.4854369</v>
      </c>
      <c r="BI50" s="149">
        <f>IFERROR(up_RadSpec!$J$25*BI25,".")*$B$50</f>
        <v>134707031.25</v>
      </c>
      <c r="BJ50" s="149">
        <f>IFERROR(up_RadSpec!$J$25*BJ25,".")*$B$50</f>
        <v>134707031.25</v>
      </c>
      <c r="BK50" s="149">
        <f>IFERROR(up_RadSpec!$J$25*BK25,".")*$B$50</f>
        <v>134707031.25</v>
      </c>
      <c r="BL50" s="149">
        <f>IFERROR(up_RadSpec!$J$25*BL25,".")*$B$50</f>
        <v>134707031.25</v>
      </c>
      <c r="BM50" s="149">
        <f>IFERROR(up_RadSpec!$J$25*BM25,".")*$B$50</f>
        <v>130783525.4854369</v>
      </c>
      <c r="BN50" s="149">
        <f>IFERROR(up_RadSpec!$J$25*BN25,".")*$B$50</f>
        <v>134707031.25</v>
      </c>
      <c r="BO50" s="149">
        <f>IFERROR(up_RadSpec!$J$25*BO25,".")*$B$50</f>
        <v>130783525.4854369</v>
      </c>
      <c r="BP50" s="150">
        <f t="shared" si="89"/>
        <v>1201199371.1129031</v>
      </c>
      <c r="BQ50" s="136">
        <f t="shared" ref="BQ50:CD50" si="231">IFERROR(BQ25/$B50,0)</f>
        <v>3.6363636363636364E-3</v>
      </c>
      <c r="BR50" s="136">
        <f t="shared" si="231"/>
        <v>1.9948051948051951E-2</v>
      </c>
      <c r="BS50" s="136">
        <f t="shared" si="231"/>
        <v>39.81818181818182</v>
      </c>
      <c r="BT50" s="136">
        <f t="shared" si="231"/>
        <v>2.1924550381384044E-4</v>
      </c>
      <c r="BU50" s="136">
        <f t="shared" si="231"/>
        <v>0.13223140495867769</v>
      </c>
      <c r="BV50" s="136">
        <f t="shared" si="231"/>
        <v>2.6446280991735537E-2</v>
      </c>
      <c r="BW50" s="136">
        <f t="shared" si="231"/>
        <v>2.7239669421487603E-2</v>
      </c>
      <c r="BX50" s="136">
        <f t="shared" si="231"/>
        <v>2.6446280991735537E-2</v>
      </c>
      <c r="BY50" s="136">
        <f t="shared" si="231"/>
        <v>2.6446280991735537E-2</v>
      </c>
      <c r="BZ50" s="136">
        <f t="shared" si="231"/>
        <v>2.6446280991735537E-2</v>
      </c>
      <c r="CA50" s="136">
        <f t="shared" si="231"/>
        <v>2.6446280991735537E-2</v>
      </c>
      <c r="CB50" s="136">
        <f t="shared" si="231"/>
        <v>2.7239669421487603E-2</v>
      </c>
      <c r="CC50" s="136">
        <f t="shared" si="231"/>
        <v>2.6446280991735537E-2</v>
      </c>
      <c r="CD50" s="136">
        <f t="shared" si="231"/>
        <v>2.7239669421487603E-2</v>
      </c>
      <c r="CE50" s="141"/>
      <c r="CF50" s="141"/>
      <c r="CG50" s="141"/>
      <c r="CH50" s="141"/>
      <c r="CI50" s="141"/>
      <c r="CJ50" s="141"/>
      <c r="CK50" s="141"/>
      <c r="CL50" s="141"/>
      <c r="CM50" s="141"/>
      <c r="CN50" s="141"/>
      <c r="CO50" s="141"/>
      <c r="CP50" s="141"/>
      <c r="CQ50" s="141"/>
      <c r="CR50" s="141"/>
      <c r="CS50" s="136">
        <f t="shared" ref="CS50" si="232">IFERROR(CS25/$B50,0)</f>
        <v>1.9117449543641093E-4</v>
      </c>
      <c r="CT50" s="149">
        <f>IFERROR(up_RadSpec!$M$25*CT25,".")*$B$50</f>
        <v>6875</v>
      </c>
      <c r="CU50" s="149">
        <f>IFERROR(up_RadSpec!$L$25*CU25,".")*$B$50</f>
        <v>1253.255208333333</v>
      </c>
      <c r="CV50" s="149">
        <f>IFERROR(up_RadSpec!$Q$25*CV25,".")*$B$50</f>
        <v>0.62785388127853881</v>
      </c>
      <c r="CW50" s="149">
        <f>up_b2w!BZ50</f>
        <v>114027.42389293101</v>
      </c>
      <c r="CX50" s="149">
        <f>IFERROR(up_RadSpec!$J$25*CX25,".")*$B$50</f>
        <v>189.0625</v>
      </c>
      <c r="CY50" s="149">
        <f>IFERROR(up_RadSpec!$J$25*CY25,".")*$B$50</f>
        <v>945.3125</v>
      </c>
      <c r="CZ50" s="149">
        <f>IFERROR(up_RadSpec!$J$25*CZ25,".")*$B$50</f>
        <v>917.77912621359224</v>
      </c>
      <c r="DA50" s="149">
        <f>IFERROR(up_RadSpec!$J$25*DA25,".")*$B$50</f>
        <v>945.3125</v>
      </c>
      <c r="DB50" s="149">
        <f>IFERROR(up_RadSpec!$J$25*DB25,".")*$B$50</f>
        <v>945.3125</v>
      </c>
      <c r="DC50" s="149">
        <f>IFERROR(up_RadSpec!$J$25*DC25,".")*$B$50</f>
        <v>945.3125</v>
      </c>
      <c r="DD50" s="149">
        <f>IFERROR(up_RadSpec!$J$25*DD25,".")*$B$50</f>
        <v>945.3125</v>
      </c>
      <c r="DE50" s="149">
        <f>IFERROR(up_RadSpec!$J$25*DE25,".")*$B$50</f>
        <v>917.77912621359224</v>
      </c>
      <c r="DF50" s="149">
        <f>IFERROR(up_RadSpec!$J$25*DF25,".")*$B$50</f>
        <v>945.3125</v>
      </c>
      <c r="DG50" s="149">
        <f>IFERROR(up_RadSpec!$J$25*DG25,".")*$B$50</f>
        <v>917.77912621359224</v>
      </c>
      <c r="DH50" s="150">
        <f t="shared" si="200"/>
        <v>0</v>
      </c>
      <c r="DI50" s="136">
        <f t="shared" ref="DI50:DK50" si="233">IFERROR(DI25/$B50,0)</f>
        <v>9.9740259740259754E-3</v>
      </c>
      <c r="DJ50" s="136">
        <f t="shared" si="233"/>
        <v>15.927272727272728</v>
      </c>
      <c r="DK50" s="136">
        <f t="shared" si="233"/>
        <v>9.9677839175609673E-3</v>
      </c>
      <c r="DL50" s="149">
        <f>IFERROR(up_RadSpec!$L$25*DL25,".")*$B$50</f>
        <v>2506.5104166666661</v>
      </c>
      <c r="DM50" s="149">
        <f>IFERROR(up_RadSpec!$O$25*DM25,".")*$B$50</f>
        <v>1.5696347031963471</v>
      </c>
      <c r="DN50" s="150">
        <f t="shared" si="93"/>
        <v>2508.0800513698623</v>
      </c>
    </row>
    <row r="51" spans="1:118" x14ac:dyDescent="0.25">
      <c r="A51" s="135" t="s">
        <v>1061</v>
      </c>
      <c r="B51" s="129">
        <v>1</v>
      </c>
      <c r="C51" s="136">
        <f t="shared" ref="C51:M51" si="234">IFERROR(C21/$B51,0)</f>
        <v>2.2038567493112948E-4</v>
      </c>
      <c r="D51" s="136">
        <f t="shared" si="234"/>
        <v>6.6115702479338848E-4</v>
      </c>
      <c r="E51" s="136">
        <f t="shared" si="234"/>
        <v>6.6115702479338848E-4</v>
      </c>
      <c r="F51" s="136">
        <f t="shared" si="234"/>
        <v>6.6115702479338848E-4</v>
      </c>
      <c r="G51" s="136">
        <f t="shared" si="234"/>
        <v>6.6115702479338848E-4</v>
      </c>
      <c r="H51" s="136">
        <f t="shared" si="234"/>
        <v>6.6115702479338848E-4</v>
      </c>
      <c r="I51" s="136">
        <f t="shared" si="234"/>
        <v>6.6115702479338848E-4</v>
      </c>
      <c r="J51" s="136">
        <f t="shared" si="234"/>
        <v>6.6115702479338848E-4</v>
      </c>
      <c r="K51" s="136">
        <f t="shared" si="234"/>
        <v>6.6115702479338848E-4</v>
      </c>
      <c r="L51" s="136">
        <f t="shared" si="234"/>
        <v>6.6115702479338848E-4</v>
      </c>
      <c r="M51" s="136">
        <f t="shared" si="234"/>
        <v>6.6115702479338848E-4</v>
      </c>
      <c r="N51" s="149">
        <f>up_dir!BA51</f>
        <v>113437.5</v>
      </c>
      <c r="O51" s="149">
        <f>IFERROR(up_RadSpec!$J$21*O21,".")*$B$51</f>
        <v>37812.5</v>
      </c>
      <c r="P51" s="149">
        <f>IFERROR(up_RadSpec!$J$21*P21,".")*$B$51</f>
        <v>37812.5</v>
      </c>
      <c r="Q51" s="149">
        <f>IFERROR(up_RadSpec!$J$21*Q21,".")*$B$51</f>
        <v>37812.5</v>
      </c>
      <c r="R51" s="149">
        <f>IFERROR(up_RadSpec!$J$21*R21,".")*$B$51</f>
        <v>37812.5</v>
      </c>
      <c r="S51" s="149">
        <f>IFERROR(up_RadSpec!$J$21*S21,".")*$B$51</f>
        <v>37812.5</v>
      </c>
      <c r="T51" s="149">
        <f>IFERROR(up_RadSpec!$J$21*T21,".")*$B$51</f>
        <v>37812.5</v>
      </c>
      <c r="U51" s="149">
        <f>IFERROR(up_RadSpec!$J$21*U21,".")*$B$51</f>
        <v>37812.5</v>
      </c>
      <c r="V51" s="149">
        <f>IFERROR(up_RadSpec!$J$21*V21,".")*$B$51</f>
        <v>37812.5</v>
      </c>
      <c r="W51" s="149">
        <f>IFERROR(up_RadSpec!$J$21*W21,".")*$B$51</f>
        <v>37812.5</v>
      </c>
      <c r="X51" s="149">
        <f>IFERROR(up_RadSpec!$J$21*X21,".")*$B$51</f>
        <v>37812.5</v>
      </c>
      <c r="Y51" s="136">
        <f t="shared" ref="Y51:AL51" si="235">IFERROR(Y21/$B51,0)</f>
        <v>0.33057851239669422</v>
      </c>
      <c r="Z51" s="136">
        <f t="shared" si="235"/>
        <v>3089.9917845330979</v>
      </c>
      <c r="AA51" s="136">
        <f t="shared" si="235"/>
        <v>0</v>
      </c>
      <c r="AB51" s="136">
        <f t="shared" si="235"/>
        <v>4.3958447178843029E-5</v>
      </c>
      <c r="AC51" s="136">
        <f t="shared" si="235"/>
        <v>6.6115702479338848E-4</v>
      </c>
      <c r="AD51" s="136">
        <f t="shared" si="235"/>
        <v>1.8558793678410905E-7</v>
      </c>
      <c r="AE51" s="136">
        <f t="shared" si="235"/>
        <v>1.9115557488763231E-7</v>
      </c>
      <c r="AF51" s="136">
        <f t="shared" si="235"/>
        <v>1.8558793678410905E-7</v>
      </c>
      <c r="AG51" s="136">
        <f t="shared" si="235"/>
        <v>1.8558793678410905E-7</v>
      </c>
      <c r="AH51" s="136">
        <f t="shared" si="235"/>
        <v>1.8558793678410905E-7</v>
      </c>
      <c r="AI51" s="136">
        <f t="shared" si="235"/>
        <v>1.8558793678410905E-7</v>
      </c>
      <c r="AJ51" s="136">
        <f t="shared" si="235"/>
        <v>1.9115557488763231E-7</v>
      </c>
      <c r="AK51" s="136">
        <f t="shared" si="235"/>
        <v>1.8558793678410905E-7</v>
      </c>
      <c r="AL51" s="136">
        <f t="shared" si="235"/>
        <v>1.9115557488763231E-7</v>
      </c>
      <c r="AM51" s="129"/>
      <c r="AN51" s="129"/>
      <c r="AO51" s="129"/>
      <c r="AP51" s="129"/>
      <c r="AQ51" s="129"/>
      <c r="AR51" s="129"/>
      <c r="AS51" s="129"/>
      <c r="AT51" s="129"/>
      <c r="AU51" s="129"/>
      <c r="AV51" s="129"/>
      <c r="AW51" s="129"/>
      <c r="AX51" s="129"/>
      <c r="AY51" s="129"/>
      <c r="AZ51" s="129"/>
      <c r="BA51" s="136">
        <f t="shared" ref="BA51" si="236">IFERROR(BA21/$B51,0)</f>
        <v>2.0812531710933197E-8</v>
      </c>
      <c r="BB51" s="149">
        <f>IFERROR(up_RadSpec!$I$21*BB21,".")*$B$51</f>
        <v>75.625</v>
      </c>
      <c r="BC51" s="149">
        <f>IFERROR(up_RadSpec!$L$21*BC21,".")*$B$51</f>
        <v>8.0906363975260659E-3</v>
      </c>
      <c r="BD51" s="149">
        <f>IFERROR(up_RadSpec!$K$21*BD21,".")*$B$51</f>
        <v>0</v>
      </c>
      <c r="BE51" s="149">
        <f>up_b2s!BZ51</f>
        <v>568718.90625</v>
      </c>
      <c r="BF51" s="149">
        <f>IFERROR(up_RadSpec!$J$21*BF21,".")*$B$51</f>
        <v>37812.5</v>
      </c>
      <c r="BG51" s="149">
        <f>IFERROR(up_RadSpec!$J$21*BG21,".")*$B$51</f>
        <v>134707031.25</v>
      </c>
      <c r="BH51" s="149">
        <f>IFERROR(up_RadSpec!$J$21*BH21,".")*$B$51</f>
        <v>130783525.4854369</v>
      </c>
      <c r="BI51" s="149">
        <f>IFERROR(up_RadSpec!$J$21*BI21,".")*$B$51</f>
        <v>134707031.25</v>
      </c>
      <c r="BJ51" s="149">
        <f>IFERROR(up_RadSpec!$J$21*BJ21,".")*$B$51</f>
        <v>134707031.25</v>
      </c>
      <c r="BK51" s="149">
        <f>IFERROR(up_RadSpec!$J$21*BK21,".")*$B$51</f>
        <v>134707031.25</v>
      </c>
      <c r="BL51" s="149">
        <f>IFERROR(up_RadSpec!$J$21*BL21,".")*$B$51</f>
        <v>134707031.25</v>
      </c>
      <c r="BM51" s="149">
        <f>IFERROR(up_RadSpec!$J$21*BM21,".")*$B$51</f>
        <v>130783525.4854369</v>
      </c>
      <c r="BN51" s="149">
        <f>IFERROR(up_RadSpec!$J$21*BN21,".")*$B$51</f>
        <v>134707031.25</v>
      </c>
      <c r="BO51" s="149">
        <f>IFERROR(up_RadSpec!$J$21*BO21,".")*$B$51</f>
        <v>130783525.4854369</v>
      </c>
      <c r="BP51" s="150">
        <f t="shared" si="89"/>
        <v>1201199370.9956512</v>
      </c>
      <c r="BQ51" s="136">
        <f t="shared" ref="BQ51:CD51" si="237">IFERROR(BQ21/$B51,0)</f>
        <v>3.6363636363636364E-3</v>
      </c>
      <c r="BR51" s="136">
        <f t="shared" si="237"/>
        <v>0</v>
      </c>
      <c r="BS51" s="136">
        <f t="shared" si="237"/>
        <v>39.81818181818182</v>
      </c>
      <c r="BT51" s="136">
        <f t="shared" si="237"/>
        <v>2.1924550381384044E-4</v>
      </c>
      <c r="BU51" s="136">
        <f t="shared" si="237"/>
        <v>0.13223140495867769</v>
      </c>
      <c r="BV51" s="136">
        <f t="shared" si="237"/>
        <v>2.6446280991735537E-2</v>
      </c>
      <c r="BW51" s="136">
        <f t="shared" si="237"/>
        <v>2.7239669421487603E-2</v>
      </c>
      <c r="BX51" s="136">
        <f t="shared" si="237"/>
        <v>2.6446280991735537E-2</v>
      </c>
      <c r="BY51" s="136">
        <f t="shared" si="237"/>
        <v>2.6446280991735537E-2</v>
      </c>
      <c r="BZ51" s="136">
        <f t="shared" si="237"/>
        <v>2.6446280991735537E-2</v>
      </c>
      <c r="CA51" s="136">
        <f t="shared" si="237"/>
        <v>2.6446280991735537E-2</v>
      </c>
      <c r="CB51" s="136">
        <f t="shared" si="237"/>
        <v>2.7239669421487603E-2</v>
      </c>
      <c r="CC51" s="136">
        <f t="shared" si="237"/>
        <v>2.6446280991735537E-2</v>
      </c>
      <c r="CD51" s="136">
        <f t="shared" si="237"/>
        <v>2.7239669421487603E-2</v>
      </c>
      <c r="CE51" s="141"/>
      <c r="CF51" s="141"/>
      <c r="CG51" s="141"/>
      <c r="CH51" s="141"/>
      <c r="CI51" s="141"/>
      <c r="CJ51" s="141"/>
      <c r="CK51" s="141"/>
      <c r="CL51" s="141"/>
      <c r="CM51" s="141"/>
      <c r="CN51" s="141"/>
      <c r="CO51" s="141"/>
      <c r="CP51" s="141"/>
      <c r="CQ51" s="141"/>
      <c r="CR51" s="141"/>
      <c r="CS51" s="136">
        <f t="shared" ref="CS51" si="238">IFERROR(CS21/$B51,0)</f>
        <v>1.9302436709720458E-4</v>
      </c>
      <c r="CT51" s="149">
        <f>IFERROR(up_RadSpec!$M$21*CT21,".")*$B$51</f>
        <v>6875</v>
      </c>
      <c r="CU51" s="149">
        <f>IFERROR(up_RadSpec!$L$21*CU21,".")*$B$51</f>
        <v>1253.255208333333</v>
      </c>
      <c r="CV51" s="149">
        <f>IFERROR(up_RadSpec!$Q$21*CV21,".")*$B$51</f>
        <v>0.62785388127853881</v>
      </c>
      <c r="CW51" s="149">
        <f>up_b2w!BZ51</f>
        <v>114027.42389293101</v>
      </c>
      <c r="CX51" s="149">
        <f>IFERROR(up_RadSpec!$J$21*CX21,".")*$B$51</f>
        <v>189.0625</v>
      </c>
      <c r="CY51" s="149">
        <f>IFERROR(up_RadSpec!$J$21*CY21,".")*$B$51</f>
        <v>945.3125</v>
      </c>
      <c r="CZ51" s="149">
        <f>IFERROR(up_RadSpec!$J$21*CZ21,".")*$B$51</f>
        <v>917.77912621359224</v>
      </c>
      <c r="DA51" s="149">
        <f>IFERROR(up_RadSpec!$J$21*DA21,".")*$B$51</f>
        <v>945.3125</v>
      </c>
      <c r="DB51" s="149">
        <f>IFERROR(up_RadSpec!$J$21*DB21,".")*$B$51</f>
        <v>945.3125</v>
      </c>
      <c r="DC51" s="149">
        <f>IFERROR(up_RadSpec!$J$21*DC21,".")*$B$51</f>
        <v>945.3125</v>
      </c>
      <c r="DD51" s="149">
        <f>IFERROR(up_RadSpec!$J$21*DD21,".")*$B$51</f>
        <v>945.3125</v>
      </c>
      <c r="DE51" s="149">
        <f>IFERROR(up_RadSpec!$J$21*DE21,".")*$B$51</f>
        <v>917.77912621359224</v>
      </c>
      <c r="DF51" s="149">
        <f>IFERROR(up_RadSpec!$J$21*DF21,".")*$B$51</f>
        <v>945.3125</v>
      </c>
      <c r="DG51" s="149">
        <f>IFERROR(up_RadSpec!$J$21*DG21,".")*$B$51</f>
        <v>917.77912621359224</v>
      </c>
      <c r="DH51" s="150">
        <f t="shared" si="200"/>
        <v>0</v>
      </c>
      <c r="DI51" s="136">
        <f t="shared" ref="DI51:DK51" si="239">IFERROR(DI21/$B51,0)</f>
        <v>9.9740259740259754E-3</v>
      </c>
      <c r="DJ51" s="136">
        <f t="shared" si="239"/>
        <v>15.927272727272728</v>
      </c>
      <c r="DK51" s="136">
        <f t="shared" si="239"/>
        <v>9.9677839175609673E-3</v>
      </c>
      <c r="DL51" s="149">
        <f>IFERROR(up_RadSpec!$L$21*DL21,".")*$B$51</f>
        <v>2506.5104166666661</v>
      </c>
      <c r="DM51" s="149">
        <f>IFERROR(up_RadSpec!$O$21*DM21,".")*$B$51</f>
        <v>1.5696347031963471</v>
      </c>
      <c r="DN51" s="150">
        <f t="shared" si="93"/>
        <v>2508.0800513698623</v>
      </c>
    </row>
    <row r="52" spans="1:118" x14ac:dyDescent="0.25">
      <c r="A52" s="135" t="s">
        <v>1062</v>
      </c>
      <c r="B52" s="129">
        <v>0.99980000000000002</v>
      </c>
      <c r="C52" s="136">
        <f t="shared" ref="C52:M52" si="240">IFERROR(C17/$B52,0)</f>
        <v>2.2042976088330614E-4</v>
      </c>
      <c r="D52" s="136">
        <f t="shared" si="240"/>
        <v>6.6128928264991846E-4</v>
      </c>
      <c r="E52" s="136">
        <f t="shared" si="240"/>
        <v>6.6128928264991846E-4</v>
      </c>
      <c r="F52" s="136">
        <f t="shared" si="240"/>
        <v>6.6128928264991846E-4</v>
      </c>
      <c r="G52" s="136">
        <f t="shared" si="240"/>
        <v>6.6128928264991846E-4</v>
      </c>
      <c r="H52" s="136">
        <f t="shared" si="240"/>
        <v>6.6128928264991846E-4</v>
      </c>
      <c r="I52" s="136">
        <f t="shared" si="240"/>
        <v>6.6128928264991846E-4</v>
      </c>
      <c r="J52" s="136">
        <f t="shared" si="240"/>
        <v>6.6128928264991846E-4</v>
      </c>
      <c r="K52" s="136">
        <f t="shared" si="240"/>
        <v>6.6128928264991846E-4</v>
      </c>
      <c r="L52" s="136">
        <f t="shared" si="240"/>
        <v>6.6128928264991846E-4</v>
      </c>
      <c r="M52" s="136">
        <f t="shared" si="240"/>
        <v>6.6128928264991846E-4</v>
      </c>
      <c r="N52" s="149">
        <f>up_dir!BA52</f>
        <v>113414.8125</v>
      </c>
      <c r="O52" s="149">
        <f>IFERROR(up_RadSpec!$J$17*O17,".")*$B$52</f>
        <v>37804.9375</v>
      </c>
      <c r="P52" s="149">
        <f>IFERROR(up_RadSpec!$J$17*P17,".")*$B$52</f>
        <v>37804.9375</v>
      </c>
      <c r="Q52" s="149">
        <f>IFERROR(up_RadSpec!$J$17*Q17,".")*$B$52</f>
        <v>37804.9375</v>
      </c>
      <c r="R52" s="149">
        <f>IFERROR(up_RadSpec!$J$17*R17,".")*$B$52</f>
        <v>37804.9375</v>
      </c>
      <c r="S52" s="149">
        <f>IFERROR(up_RadSpec!$J$17*S17,".")*$B$52</f>
        <v>37804.9375</v>
      </c>
      <c r="T52" s="149">
        <f>IFERROR(up_RadSpec!$J$17*T17,".")*$B$52</f>
        <v>37804.9375</v>
      </c>
      <c r="U52" s="149">
        <f>IFERROR(up_RadSpec!$J$17*U17,".")*$B$52</f>
        <v>37804.9375</v>
      </c>
      <c r="V52" s="149">
        <f>IFERROR(up_RadSpec!$J$17*V17,".")*$B$52</f>
        <v>37804.9375</v>
      </c>
      <c r="W52" s="149">
        <f>IFERROR(up_RadSpec!$J$17*W17,".")*$B$52</f>
        <v>37804.9375</v>
      </c>
      <c r="X52" s="149">
        <f>IFERROR(up_RadSpec!$J$17*X17,".")*$B$52</f>
        <v>37804.9375</v>
      </c>
      <c r="Y52" s="136">
        <f t="shared" ref="Y52:AL52" si="241">IFERROR(Y17/$B52,0)</f>
        <v>0.33064464132495919</v>
      </c>
      <c r="Z52" s="136">
        <f t="shared" si="241"/>
        <v>3090.6099065144008</v>
      </c>
      <c r="AA52" s="136">
        <f t="shared" si="241"/>
        <v>293.09285706019585</v>
      </c>
      <c r="AB52" s="136">
        <f t="shared" si="241"/>
        <v>4.3967240626968418E-5</v>
      </c>
      <c r="AC52" s="136">
        <f t="shared" si="241"/>
        <v>6.6128928264991846E-4</v>
      </c>
      <c r="AD52" s="136">
        <f t="shared" si="241"/>
        <v>1.8562506179646834E-7</v>
      </c>
      <c r="AE52" s="136">
        <f t="shared" si="241"/>
        <v>1.9119381365036237E-7</v>
      </c>
      <c r="AF52" s="136">
        <f t="shared" si="241"/>
        <v>1.8562506179646834E-7</v>
      </c>
      <c r="AG52" s="136">
        <f t="shared" si="241"/>
        <v>1.8562506179646834E-7</v>
      </c>
      <c r="AH52" s="136">
        <f t="shared" si="241"/>
        <v>1.8562506179646834E-7</v>
      </c>
      <c r="AI52" s="136">
        <f t="shared" si="241"/>
        <v>1.8562506179646834E-7</v>
      </c>
      <c r="AJ52" s="136">
        <f t="shared" si="241"/>
        <v>1.9119381365036237E-7</v>
      </c>
      <c r="AK52" s="136">
        <f t="shared" si="241"/>
        <v>1.8562506179646834E-7</v>
      </c>
      <c r="AL52" s="136">
        <f t="shared" si="241"/>
        <v>1.9119381365036237E-7</v>
      </c>
      <c r="AM52" s="129"/>
      <c r="AN52" s="129"/>
      <c r="AO52" s="129"/>
      <c r="AP52" s="129"/>
      <c r="AQ52" s="129"/>
      <c r="AR52" s="129"/>
      <c r="AS52" s="129"/>
      <c r="AT52" s="129"/>
      <c r="AU52" s="129"/>
      <c r="AV52" s="129"/>
      <c r="AW52" s="129"/>
      <c r="AX52" s="129"/>
      <c r="AY52" s="129"/>
      <c r="AZ52" s="129"/>
      <c r="BA52" s="136">
        <f t="shared" ref="BA52" si="242">IFERROR(BA17/$B52,0)</f>
        <v>2.0816695048464696E-8</v>
      </c>
      <c r="BB52" s="149">
        <f>IFERROR(up_RadSpec!$I$17*BB17,".")*$B$52</f>
        <v>75.609875000000002</v>
      </c>
      <c r="BC52" s="149">
        <f>IFERROR(up_RadSpec!$L$17*BC17,".")*$B$52</f>
        <v>8.0890182702465611E-3</v>
      </c>
      <c r="BD52" s="149">
        <f>IFERROR(up_RadSpec!$K$17*BD17,".")*$B$52</f>
        <v>8.5297199838839682E-2</v>
      </c>
      <c r="BE52" s="149">
        <f>up_b2s!BZ52</f>
        <v>568605.16246875003</v>
      </c>
      <c r="BF52" s="149">
        <f>IFERROR(up_RadSpec!$J$17*BF17,".")*$B$52</f>
        <v>37804.9375</v>
      </c>
      <c r="BG52" s="149">
        <f>IFERROR(up_RadSpec!$J$17*BG17,".")*$B$52</f>
        <v>134680089.84375</v>
      </c>
      <c r="BH52" s="149">
        <f>IFERROR(up_RadSpec!$J$17*BH17,".")*$B$52</f>
        <v>130757368.78033982</v>
      </c>
      <c r="BI52" s="149">
        <f>IFERROR(up_RadSpec!$J$17*BI17,".")*$B$52</f>
        <v>134680089.84375</v>
      </c>
      <c r="BJ52" s="149">
        <f>IFERROR(up_RadSpec!$J$17*BJ17,".")*$B$52</f>
        <v>134680089.84375</v>
      </c>
      <c r="BK52" s="149">
        <f>IFERROR(up_RadSpec!$J$17*BK17,".")*$B$52</f>
        <v>134680089.84375</v>
      </c>
      <c r="BL52" s="149">
        <f>IFERROR(up_RadSpec!$J$17*BL17,".")*$B$52</f>
        <v>134680089.84375</v>
      </c>
      <c r="BM52" s="149">
        <f>IFERROR(up_RadSpec!$J$17*BM17,".")*$B$52</f>
        <v>130757368.78033982</v>
      </c>
      <c r="BN52" s="149">
        <f>IFERROR(up_RadSpec!$J$17*BN17,".")*$B$52</f>
        <v>134680089.84375</v>
      </c>
      <c r="BO52" s="149">
        <f>IFERROR(up_RadSpec!$J$17*BO17,".")*$B$52</f>
        <v>130757368.78033982</v>
      </c>
      <c r="BP52" s="150">
        <f t="shared" si="89"/>
        <v>1200959131.2067494</v>
      </c>
      <c r="BQ52" s="136">
        <f t="shared" ref="BQ52:CD52" si="243">IFERROR(BQ17/$B52,0)</f>
        <v>3.6370910545745513E-3</v>
      </c>
      <c r="BR52" s="136">
        <f t="shared" si="243"/>
        <v>0</v>
      </c>
      <c r="BS52" s="136">
        <f t="shared" si="243"/>
        <v>39.826147047591334</v>
      </c>
      <c r="BT52" s="136">
        <f t="shared" si="243"/>
        <v>2.1928936168617768E-4</v>
      </c>
      <c r="BU52" s="136">
        <f t="shared" si="243"/>
        <v>0.13225785652998368</v>
      </c>
      <c r="BV52" s="136">
        <f t="shared" si="243"/>
        <v>2.6451571305996735E-2</v>
      </c>
      <c r="BW52" s="136">
        <f t="shared" si="243"/>
        <v>2.7245118445176637E-2</v>
      </c>
      <c r="BX52" s="136">
        <f t="shared" si="243"/>
        <v>2.6451571305996735E-2</v>
      </c>
      <c r="BY52" s="136">
        <f t="shared" si="243"/>
        <v>2.6451571305996735E-2</v>
      </c>
      <c r="BZ52" s="136">
        <f t="shared" si="243"/>
        <v>2.6451571305996735E-2</v>
      </c>
      <c r="CA52" s="136">
        <f t="shared" si="243"/>
        <v>2.6451571305996735E-2</v>
      </c>
      <c r="CB52" s="136">
        <f t="shared" si="243"/>
        <v>2.7245118445176637E-2</v>
      </c>
      <c r="CC52" s="136">
        <f t="shared" si="243"/>
        <v>2.6451571305996735E-2</v>
      </c>
      <c r="CD52" s="136">
        <f t="shared" si="243"/>
        <v>2.7245118445176637E-2</v>
      </c>
      <c r="CE52" s="141"/>
      <c r="CF52" s="141"/>
      <c r="CG52" s="141"/>
      <c r="CH52" s="141"/>
      <c r="CI52" s="141"/>
      <c r="CJ52" s="141"/>
      <c r="CK52" s="141"/>
      <c r="CL52" s="141"/>
      <c r="CM52" s="141"/>
      <c r="CN52" s="141"/>
      <c r="CO52" s="141"/>
      <c r="CP52" s="141"/>
      <c r="CQ52" s="141"/>
      <c r="CR52" s="141"/>
      <c r="CS52" s="136">
        <f t="shared" ref="CS52" si="244">IFERROR(CS17/$B52,0)</f>
        <v>1.9306297969314321E-4</v>
      </c>
      <c r="CT52" s="149">
        <f>IFERROR(up_RadSpec!$M$17*CT17,".")*$B$52</f>
        <v>6873.625</v>
      </c>
      <c r="CU52" s="149">
        <f>IFERROR(up_RadSpec!$L$17*CU17,".")*$B$52</f>
        <v>1253.0045572916663</v>
      </c>
      <c r="CV52" s="149">
        <f>IFERROR(up_RadSpec!$Q$17*CV17,".")*$B$52</f>
        <v>0.62772831050228306</v>
      </c>
      <c r="CW52" s="149">
        <f>up_b2w!BZ52</f>
        <v>114004.61840815243</v>
      </c>
      <c r="CX52" s="149">
        <f>IFERROR(up_RadSpec!$J$17*CX17,".")*$B$52</f>
        <v>189.0246875</v>
      </c>
      <c r="CY52" s="149">
        <f>IFERROR(up_RadSpec!$J$17*CY17,".")*$B$52</f>
        <v>945.12343750000002</v>
      </c>
      <c r="CZ52" s="149">
        <f>IFERROR(up_RadSpec!$J$17*CZ17,".")*$B$52</f>
        <v>917.59557038834953</v>
      </c>
      <c r="DA52" s="149">
        <f>IFERROR(up_RadSpec!$J$17*DA17,".")*$B$52</f>
        <v>945.12343750000002</v>
      </c>
      <c r="DB52" s="149">
        <f>IFERROR(up_RadSpec!$J$17*DB17,".")*$B$52</f>
        <v>945.12343750000002</v>
      </c>
      <c r="DC52" s="149">
        <f>IFERROR(up_RadSpec!$J$17*DC17,".")*$B$52</f>
        <v>945.12343750000002</v>
      </c>
      <c r="DD52" s="149">
        <f>IFERROR(up_RadSpec!$J$17*DD17,".")*$B$52</f>
        <v>945.12343750000002</v>
      </c>
      <c r="DE52" s="149">
        <f>IFERROR(up_RadSpec!$J$17*DE17,".")*$B$52</f>
        <v>917.59557038834953</v>
      </c>
      <c r="DF52" s="149">
        <f>IFERROR(up_RadSpec!$J$17*DF17,".")*$B$52</f>
        <v>945.12343750000002</v>
      </c>
      <c r="DG52" s="149">
        <f>IFERROR(up_RadSpec!$J$17*DG17,".")*$B$52</f>
        <v>917.59557038834953</v>
      </c>
      <c r="DH52" s="150">
        <f t="shared" si="200"/>
        <v>0</v>
      </c>
      <c r="DI52" s="136">
        <f t="shared" ref="DI52:DK52" si="245">IFERROR(DI17/$B52,0)</f>
        <v>9.9760211782616275E-3</v>
      </c>
      <c r="DJ52" s="136">
        <f t="shared" si="245"/>
        <v>15.930458819036534</v>
      </c>
      <c r="DK52" s="136">
        <f t="shared" si="245"/>
        <v>9.9697778731355942E-3</v>
      </c>
      <c r="DL52" s="149">
        <f>IFERROR(up_RadSpec!$L$17*DL17,".")*$B$52</f>
        <v>2506.0091145833326</v>
      </c>
      <c r="DM52" s="149">
        <f>IFERROR(up_RadSpec!$O$17*DM17,".")*$B$52</f>
        <v>1.569320776255708</v>
      </c>
      <c r="DN52" s="150">
        <f t="shared" si="93"/>
        <v>2507.5784353595882</v>
      </c>
    </row>
    <row r="53" spans="1:118" x14ac:dyDescent="0.25">
      <c r="A53" s="135" t="s">
        <v>1076</v>
      </c>
      <c r="B53" s="129">
        <v>2.0000000000000001E-4</v>
      </c>
      <c r="C53" s="136">
        <f t="shared" ref="C53:M53" si="246">IFERROR(C5/$B53,0)</f>
        <v>1.1019283746556474</v>
      </c>
      <c r="D53" s="136">
        <f t="shared" si="246"/>
        <v>3.3057851239669422</v>
      </c>
      <c r="E53" s="136">
        <f t="shared" si="246"/>
        <v>3.3057851239669422</v>
      </c>
      <c r="F53" s="136">
        <f t="shared" si="246"/>
        <v>3.3057851239669422</v>
      </c>
      <c r="G53" s="136">
        <f t="shared" si="246"/>
        <v>3.3057851239669422</v>
      </c>
      <c r="H53" s="136">
        <f t="shared" si="246"/>
        <v>3.3057851239669422</v>
      </c>
      <c r="I53" s="136">
        <f t="shared" si="246"/>
        <v>3.3057851239669422</v>
      </c>
      <c r="J53" s="136">
        <f t="shared" si="246"/>
        <v>3.3057851239669422</v>
      </c>
      <c r="K53" s="136">
        <f t="shared" si="246"/>
        <v>3.3057851239669422</v>
      </c>
      <c r="L53" s="136">
        <f t="shared" si="246"/>
        <v>3.3057851239669422</v>
      </c>
      <c r="M53" s="136">
        <f t="shared" si="246"/>
        <v>3.3057851239669422</v>
      </c>
      <c r="N53" s="149">
        <f>up_dir!BA53</f>
        <v>22.687500000000004</v>
      </c>
      <c r="O53" s="149">
        <f>IFERROR(up_RadSpec!$J$5*O5,".")*$B$53</f>
        <v>7.5625</v>
      </c>
      <c r="P53" s="149">
        <f>IFERROR(up_RadSpec!$J$5*P5,".")*$B$53</f>
        <v>7.5625</v>
      </c>
      <c r="Q53" s="149">
        <f>IFERROR(up_RadSpec!$J$5*Q5,".")*$B$53</f>
        <v>7.5625</v>
      </c>
      <c r="R53" s="149">
        <f>IFERROR(up_RadSpec!$J$5*R5,".")*$B$53</f>
        <v>7.5625</v>
      </c>
      <c r="S53" s="149">
        <f>IFERROR(up_RadSpec!$J$5*S5,".")*$B$53</f>
        <v>7.5625</v>
      </c>
      <c r="T53" s="149">
        <f>IFERROR(up_RadSpec!$J$5*T5,".")*$B$53</f>
        <v>7.5625</v>
      </c>
      <c r="U53" s="149">
        <f>IFERROR(up_RadSpec!$J$5*U5,".")*$B$53</f>
        <v>7.5625</v>
      </c>
      <c r="V53" s="149">
        <f>IFERROR(up_RadSpec!$J$5*V5,".")*$B$53</f>
        <v>7.5625</v>
      </c>
      <c r="W53" s="149">
        <f>IFERROR(up_RadSpec!$J$5*W5,".")*$B$53</f>
        <v>7.5625</v>
      </c>
      <c r="X53" s="149">
        <f>IFERROR(up_RadSpec!$J$5*X5,".")*$B$53</f>
        <v>7.5625</v>
      </c>
      <c r="Y53" s="136">
        <f t="shared" ref="Y53:AL53" si="247">IFERROR(Y5/$B53,0)</f>
        <v>1652.8925619834711</v>
      </c>
      <c r="Z53" s="136">
        <f t="shared" si="247"/>
        <v>15449958.922665488</v>
      </c>
      <c r="AA53" s="136">
        <f t="shared" si="247"/>
        <v>0</v>
      </c>
      <c r="AB53" s="136">
        <f t="shared" si="247"/>
        <v>0.21979223589421512</v>
      </c>
      <c r="AC53" s="136">
        <f t="shared" si="247"/>
        <v>3.3057851239669422</v>
      </c>
      <c r="AD53" s="136">
        <f t="shared" si="247"/>
        <v>9.2793968392054522E-4</v>
      </c>
      <c r="AE53" s="136">
        <f t="shared" si="247"/>
        <v>9.5577787443816152E-4</v>
      </c>
      <c r="AF53" s="136">
        <f t="shared" si="247"/>
        <v>9.2793968392054522E-4</v>
      </c>
      <c r="AG53" s="136">
        <f t="shared" si="247"/>
        <v>9.2793968392054522E-4</v>
      </c>
      <c r="AH53" s="136">
        <f t="shared" si="247"/>
        <v>9.2793968392054522E-4</v>
      </c>
      <c r="AI53" s="136">
        <f t="shared" si="247"/>
        <v>9.2793968392054522E-4</v>
      </c>
      <c r="AJ53" s="136">
        <f t="shared" si="247"/>
        <v>9.5577787443816152E-4</v>
      </c>
      <c r="AK53" s="136">
        <f t="shared" si="247"/>
        <v>9.2793968392054522E-4</v>
      </c>
      <c r="AL53" s="136">
        <f t="shared" si="247"/>
        <v>9.5577787443816152E-4</v>
      </c>
      <c r="AM53" s="129"/>
      <c r="AN53" s="129"/>
      <c r="AO53" s="129"/>
      <c r="AP53" s="129"/>
      <c r="AQ53" s="129"/>
      <c r="AR53" s="129"/>
      <c r="AS53" s="129"/>
      <c r="AT53" s="129"/>
      <c r="AU53" s="129"/>
      <c r="AV53" s="129"/>
      <c r="AW53" s="129"/>
      <c r="AX53" s="129"/>
      <c r="AY53" s="129"/>
      <c r="AZ53" s="129"/>
      <c r="BA53" s="136">
        <f t="shared" ref="BA53" si="248">IFERROR(BA5/$B53,0)</f>
        <v>1.0406265855466598E-4</v>
      </c>
      <c r="BB53" s="149">
        <f>IFERROR(up_RadSpec!$I$5*BB5,".")*$B$53</f>
        <v>1.5125000000000001E-2</v>
      </c>
      <c r="BC53" s="149">
        <f>IFERROR(up_RadSpec!$L$5*BC5,".")*$B$53</f>
        <v>1.6181272795052132E-6</v>
      </c>
      <c r="BD53" s="149">
        <f>IFERROR(up_RadSpec!$K$5*BD5,".")*$B$53</f>
        <v>0</v>
      </c>
      <c r="BE53" s="149">
        <f>up_b2s!BZ53</f>
        <v>113.74378125000001</v>
      </c>
      <c r="BF53" s="149">
        <f>IFERROR(up_RadSpec!$J$5*BF5,".")*$B$53</f>
        <v>7.5625</v>
      </c>
      <c r="BG53" s="149">
        <f>IFERROR(up_RadSpec!$J$5*BG5,".")*$B$53</f>
        <v>26941.40625</v>
      </c>
      <c r="BH53" s="149">
        <f>IFERROR(up_RadSpec!$J$5*BH5,".")*$B$53</f>
        <v>26156.705097087382</v>
      </c>
      <c r="BI53" s="149">
        <f>IFERROR(up_RadSpec!$J$5*BI5,".")*$B$53</f>
        <v>26941.40625</v>
      </c>
      <c r="BJ53" s="149">
        <f>IFERROR(up_RadSpec!$J$5*BJ5,".")*$B$53</f>
        <v>26941.40625</v>
      </c>
      <c r="BK53" s="149">
        <f>IFERROR(up_RadSpec!$J$5*BK5,".")*$B$53</f>
        <v>26941.40625</v>
      </c>
      <c r="BL53" s="149">
        <f>IFERROR(up_RadSpec!$J$5*BL5,".")*$B$53</f>
        <v>26941.40625</v>
      </c>
      <c r="BM53" s="149">
        <f>IFERROR(up_RadSpec!$J$5*BM5,".")*$B$53</f>
        <v>26156.705097087382</v>
      </c>
      <c r="BN53" s="149">
        <f>IFERROR(up_RadSpec!$J$5*BN5,".")*$B$53</f>
        <v>26941.40625</v>
      </c>
      <c r="BO53" s="149">
        <f>IFERROR(up_RadSpec!$J$5*BO5,".")*$B$53</f>
        <v>26156.705097087382</v>
      </c>
      <c r="BP53" s="150">
        <f t="shared" si="89"/>
        <v>240239.87419913028</v>
      </c>
      <c r="BQ53" s="136">
        <f t="shared" ref="BQ53:CD53" si="249">IFERROR(BQ5/$B53,0)</f>
        <v>18.18181818181818</v>
      </c>
      <c r="BR53" s="136">
        <f t="shared" si="249"/>
        <v>0</v>
      </c>
      <c r="BS53" s="136">
        <f t="shared" si="249"/>
        <v>199090.90909090909</v>
      </c>
      <c r="BT53" s="136">
        <f t="shared" si="249"/>
        <v>1.0962275190692021</v>
      </c>
      <c r="BU53" s="136">
        <f t="shared" si="249"/>
        <v>661.15702479338847</v>
      </c>
      <c r="BV53" s="136">
        <f t="shared" si="249"/>
        <v>132.23140495867767</v>
      </c>
      <c r="BW53" s="136">
        <f t="shared" si="249"/>
        <v>136.198347107438</v>
      </c>
      <c r="BX53" s="136">
        <f t="shared" si="249"/>
        <v>132.23140495867767</v>
      </c>
      <c r="BY53" s="136">
        <f t="shared" si="249"/>
        <v>132.23140495867767</v>
      </c>
      <c r="BZ53" s="136">
        <f t="shared" si="249"/>
        <v>132.23140495867767</v>
      </c>
      <c r="CA53" s="136">
        <f t="shared" si="249"/>
        <v>132.23140495867767</v>
      </c>
      <c r="CB53" s="136">
        <f t="shared" si="249"/>
        <v>136.198347107438</v>
      </c>
      <c r="CC53" s="136">
        <f t="shared" si="249"/>
        <v>132.23140495867767</v>
      </c>
      <c r="CD53" s="136">
        <f t="shared" si="249"/>
        <v>136.198347107438</v>
      </c>
      <c r="CE53" s="141"/>
      <c r="CF53" s="141"/>
      <c r="CG53" s="141"/>
      <c r="CH53" s="141"/>
      <c r="CI53" s="141"/>
      <c r="CJ53" s="141"/>
      <c r="CK53" s="141"/>
      <c r="CL53" s="141"/>
      <c r="CM53" s="141"/>
      <c r="CN53" s="141"/>
      <c r="CO53" s="141"/>
      <c r="CP53" s="141"/>
      <c r="CQ53" s="141"/>
      <c r="CR53" s="141"/>
      <c r="CS53" s="136">
        <f t="shared" ref="CS53" si="250">IFERROR(CS5/$B53,0)</f>
        <v>0.96512183548602282</v>
      </c>
      <c r="CT53" s="149">
        <f>IFERROR(up_RadSpec!$M$5*CT5,".")*$B$53</f>
        <v>1.375</v>
      </c>
      <c r="CU53" s="149">
        <f>IFERROR(up_RadSpec!$L$5*CU5,".")*$B$53</f>
        <v>0.25065104166666663</v>
      </c>
      <c r="CV53" s="149">
        <f>IFERROR(up_RadSpec!$Q$5*CV5,".")*$B$53</f>
        <v>1.2557077625570778E-4</v>
      </c>
      <c r="CW53" s="149">
        <f>up_b2w!BZ53</f>
        <v>22.805484778586205</v>
      </c>
      <c r="CX53" s="149">
        <f>IFERROR(up_RadSpec!$J$5*CX5,".")*$B$53</f>
        <v>3.7812499999999999E-2</v>
      </c>
      <c r="CY53" s="149">
        <f>IFERROR(up_RadSpec!$J$5*CY5,".")*$B$53</f>
        <v>0.18906250000000002</v>
      </c>
      <c r="CZ53" s="149">
        <f>IFERROR(up_RadSpec!$J$5*CZ5,".")*$B$53</f>
        <v>0.18355582524271846</v>
      </c>
      <c r="DA53" s="149">
        <f>IFERROR(up_RadSpec!$J$5*DA5,".")*$B$53</f>
        <v>0.18906250000000002</v>
      </c>
      <c r="DB53" s="149">
        <f>IFERROR(up_RadSpec!$J$5*DB5,".")*$B$53</f>
        <v>0.18906250000000002</v>
      </c>
      <c r="DC53" s="149">
        <f>IFERROR(up_RadSpec!$J$5*DC5,".")*$B$53</f>
        <v>0.18906250000000002</v>
      </c>
      <c r="DD53" s="149">
        <f>IFERROR(up_RadSpec!$J$5*DD5,".")*$B$53</f>
        <v>0.18906250000000002</v>
      </c>
      <c r="DE53" s="149">
        <f>IFERROR(up_RadSpec!$J$5*DE5,".")*$B$53</f>
        <v>0.18355582524271846</v>
      </c>
      <c r="DF53" s="149">
        <f>IFERROR(up_RadSpec!$J$5*DF5,".")*$B$53</f>
        <v>0.18906250000000002</v>
      </c>
      <c r="DG53" s="149">
        <f>IFERROR(up_RadSpec!$J$5*DG5,".")*$B$53</f>
        <v>0.18355582524271846</v>
      </c>
      <c r="DH53" s="150">
        <f t="shared" si="200"/>
        <v>0</v>
      </c>
      <c r="DI53" s="136">
        <f t="shared" ref="DI53:DK53" si="251">IFERROR(DI5/$B53,0)</f>
        <v>49.870129870129873</v>
      </c>
      <c r="DJ53" s="136">
        <f t="shared" si="251"/>
        <v>79636.363636363632</v>
      </c>
      <c r="DK53" s="136">
        <f t="shared" si="251"/>
        <v>49.838919587804831</v>
      </c>
      <c r="DL53" s="149">
        <f>IFERROR(up_RadSpec!$L$5*DL5,".")*$B$53</f>
        <v>0.50130208333333326</v>
      </c>
      <c r="DM53" s="149">
        <f>IFERROR(up_RadSpec!$O$5*DM5,".")*$B$53</f>
        <v>3.1392694063926945E-4</v>
      </c>
      <c r="DN53" s="150">
        <f t="shared" si="93"/>
        <v>0.50161601027397251</v>
      </c>
    </row>
    <row r="54" spans="1:118" x14ac:dyDescent="0.25">
      <c r="A54" s="135" t="s">
        <v>1077</v>
      </c>
      <c r="B54" s="129">
        <v>0.99999979999999999</v>
      </c>
      <c r="C54" s="136">
        <f t="shared" ref="C54:M54" si="252">IFERROR(C9/$B54,0)</f>
        <v>2.2038571900827327E-4</v>
      </c>
      <c r="D54" s="136">
        <f t="shared" si="252"/>
        <v>6.611571570248199E-4</v>
      </c>
      <c r="E54" s="136">
        <f t="shared" si="252"/>
        <v>6.611571570248199E-4</v>
      </c>
      <c r="F54" s="136">
        <f t="shared" si="252"/>
        <v>6.611571570248199E-4</v>
      </c>
      <c r="G54" s="136">
        <f t="shared" si="252"/>
        <v>6.611571570248199E-4</v>
      </c>
      <c r="H54" s="136">
        <f t="shared" si="252"/>
        <v>6.611571570248199E-4</v>
      </c>
      <c r="I54" s="136">
        <f t="shared" si="252"/>
        <v>6.611571570248199E-4</v>
      </c>
      <c r="J54" s="136">
        <f t="shared" si="252"/>
        <v>6.611571570248199E-4</v>
      </c>
      <c r="K54" s="136">
        <f t="shared" si="252"/>
        <v>6.611571570248199E-4</v>
      </c>
      <c r="L54" s="136">
        <f t="shared" si="252"/>
        <v>6.611571570248199E-4</v>
      </c>
      <c r="M54" s="136">
        <f t="shared" si="252"/>
        <v>6.611571570248199E-4</v>
      </c>
      <c r="N54" s="149">
        <f>up_dir!BA54</f>
        <v>113437.47731249999</v>
      </c>
      <c r="O54" s="149">
        <f>IFERROR(up_RadSpec!$J$9*O9,".")*$B$54</f>
        <v>37812.492437499997</v>
      </c>
      <c r="P54" s="149">
        <f>IFERROR(up_RadSpec!$J$9*P9,".")*$B$54</f>
        <v>37812.492437499997</v>
      </c>
      <c r="Q54" s="149">
        <f>IFERROR(up_RadSpec!$J$9*Q9,".")*$B$54</f>
        <v>37812.492437499997</v>
      </c>
      <c r="R54" s="149">
        <f>IFERROR(up_RadSpec!$J$9*R9,".")*$B$54</f>
        <v>37812.492437499997</v>
      </c>
      <c r="S54" s="149">
        <f>IFERROR(up_RadSpec!$J$9*S9,".")*$B$54</f>
        <v>37812.492437499997</v>
      </c>
      <c r="T54" s="149">
        <f>IFERROR(up_RadSpec!$J$9*T9,".")*$B$54</f>
        <v>37812.492437499997</v>
      </c>
      <c r="U54" s="149">
        <f>IFERROR(up_RadSpec!$J$9*U9,".")*$B$54</f>
        <v>37812.492437499997</v>
      </c>
      <c r="V54" s="149">
        <f>IFERROR(up_RadSpec!$J$9*V9,".")*$B$54</f>
        <v>37812.492437499997</v>
      </c>
      <c r="W54" s="149">
        <f>IFERROR(up_RadSpec!$J$9*W9,".")*$B$54</f>
        <v>37812.492437499997</v>
      </c>
      <c r="X54" s="149">
        <f>IFERROR(up_RadSpec!$J$9*X9,".")*$B$54</f>
        <v>37812.492437499997</v>
      </c>
      <c r="Y54" s="136">
        <f t="shared" ref="Y54:AL54" si="253">IFERROR(Y9/$B54,0)</f>
        <v>0.3305785785124099</v>
      </c>
      <c r="Z54" s="136">
        <f t="shared" si="253"/>
        <v>3089.9924025315786</v>
      </c>
      <c r="AA54" s="136">
        <f t="shared" si="253"/>
        <v>108.34244377237872</v>
      </c>
      <c r="AB54" s="136">
        <f t="shared" si="253"/>
        <v>4.395845597053422E-5</v>
      </c>
      <c r="AC54" s="136">
        <f t="shared" si="253"/>
        <v>6.611571570248199E-4</v>
      </c>
      <c r="AD54" s="136">
        <f t="shared" si="253"/>
        <v>1.8558797390170383E-7</v>
      </c>
      <c r="AE54" s="136">
        <f t="shared" si="253"/>
        <v>1.9115561311875494E-7</v>
      </c>
      <c r="AF54" s="136">
        <f t="shared" si="253"/>
        <v>1.8558797390170383E-7</v>
      </c>
      <c r="AG54" s="136">
        <f t="shared" si="253"/>
        <v>1.8558797390170383E-7</v>
      </c>
      <c r="AH54" s="136">
        <f t="shared" si="253"/>
        <v>1.8558797390170383E-7</v>
      </c>
      <c r="AI54" s="136">
        <f t="shared" si="253"/>
        <v>1.8558797390170383E-7</v>
      </c>
      <c r="AJ54" s="136">
        <f t="shared" si="253"/>
        <v>1.9115561311875494E-7</v>
      </c>
      <c r="AK54" s="136">
        <f t="shared" si="253"/>
        <v>1.8558797390170383E-7</v>
      </c>
      <c r="AL54" s="136">
        <f t="shared" si="253"/>
        <v>1.9115561311875494E-7</v>
      </c>
      <c r="AM54" s="129"/>
      <c r="AN54" s="129"/>
      <c r="AO54" s="129"/>
      <c r="AP54" s="129"/>
      <c r="AQ54" s="129"/>
      <c r="AR54" s="129"/>
      <c r="AS54" s="129"/>
      <c r="AT54" s="129"/>
      <c r="AU54" s="129"/>
      <c r="AV54" s="129"/>
      <c r="AW54" s="129"/>
      <c r="AX54" s="129"/>
      <c r="AY54" s="129"/>
      <c r="AZ54" s="129"/>
      <c r="BA54" s="136">
        <f t="shared" ref="BA54" si="254">IFERROR(BA9/$B54,0)</f>
        <v>2.0812535869442289E-8</v>
      </c>
      <c r="BB54" s="149">
        <f>IFERROR(up_RadSpec!$I$9*BB9,".")*$B$54</f>
        <v>75.624984874999996</v>
      </c>
      <c r="BC54" s="149">
        <f>IFERROR(up_RadSpec!$L$9*BC9,".")*$B$54</f>
        <v>8.0906347793987862E-3</v>
      </c>
      <c r="BD54" s="149">
        <f>IFERROR(up_RadSpec!$K$9*BD9,".")*$B$54</f>
        <v>0.23074982554873483</v>
      </c>
      <c r="BE54" s="149">
        <f>up_b2s!BZ54</f>
        <v>568718.79250621877</v>
      </c>
      <c r="BF54" s="149">
        <f>IFERROR(up_RadSpec!$J$9*BF9,".")*$B$54</f>
        <v>37812.492437499997</v>
      </c>
      <c r="BG54" s="149">
        <f>IFERROR(up_RadSpec!$J$9*BG9,".")*$B$54</f>
        <v>134707004.30859375</v>
      </c>
      <c r="BH54" s="149">
        <f>IFERROR(up_RadSpec!$J$9*BH9,".")*$B$54</f>
        <v>130783499.32873181</v>
      </c>
      <c r="BI54" s="149">
        <f>IFERROR(up_RadSpec!$J$9*BI9,".")*$B$54</f>
        <v>134707004.30859375</v>
      </c>
      <c r="BJ54" s="149">
        <f>IFERROR(up_RadSpec!$J$9*BJ9,".")*$B$54</f>
        <v>134707004.30859375</v>
      </c>
      <c r="BK54" s="149">
        <f>IFERROR(up_RadSpec!$J$9*BK9,".")*$B$54</f>
        <v>134707004.30859375</v>
      </c>
      <c r="BL54" s="149">
        <f>IFERROR(up_RadSpec!$J$9*BL9,".")*$B$54</f>
        <v>134707004.30859375</v>
      </c>
      <c r="BM54" s="149">
        <f>IFERROR(up_RadSpec!$J$9*BM9,".")*$B$54</f>
        <v>130783499.32873181</v>
      </c>
      <c r="BN54" s="149">
        <f>IFERROR(up_RadSpec!$J$9*BN9,".")*$B$54</f>
        <v>134707004.30859375</v>
      </c>
      <c r="BO54" s="149">
        <f>IFERROR(up_RadSpec!$J$9*BO9,".")*$B$54</f>
        <v>130783499.32873181</v>
      </c>
      <c r="BP54" s="150">
        <f t="shared" si="89"/>
        <v>1201199130.986527</v>
      </c>
      <c r="BQ54" s="136">
        <f t="shared" ref="BQ54:CD54" si="255">IFERROR(BQ9/$B54,0)</f>
        <v>3.6363643636365089E-3</v>
      </c>
      <c r="BR54" s="136">
        <f t="shared" si="255"/>
        <v>0</v>
      </c>
      <c r="BS54" s="136">
        <f t="shared" si="255"/>
        <v>39.818189781819775</v>
      </c>
      <c r="BT54" s="136">
        <f t="shared" si="255"/>
        <v>2.1924554766294998E-4</v>
      </c>
      <c r="BU54" s="136">
        <f t="shared" si="255"/>
        <v>0.13223143140496396</v>
      </c>
      <c r="BV54" s="136">
        <f t="shared" si="255"/>
        <v>2.6446286280992794E-2</v>
      </c>
      <c r="BW54" s="136">
        <f t="shared" si="255"/>
        <v>2.7239674869422578E-2</v>
      </c>
      <c r="BX54" s="136">
        <f t="shared" si="255"/>
        <v>2.6446286280992794E-2</v>
      </c>
      <c r="BY54" s="136">
        <f t="shared" si="255"/>
        <v>2.6446286280992794E-2</v>
      </c>
      <c r="BZ54" s="136">
        <f t="shared" si="255"/>
        <v>2.6446286280992794E-2</v>
      </c>
      <c r="CA54" s="136">
        <f t="shared" si="255"/>
        <v>2.6446286280992794E-2</v>
      </c>
      <c r="CB54" s="136">
        <f t="shared" si="255"/>
        <v>2.7239674869422578E-2</v>
      </c>
      <c r="CC54" s="136">
        <f t="shared" si="255"/>
        <v>2.6446286280992794E-2</v>
      </c>
      <c r="CD54" s="136">
        <f t="shared" si="255"/>
        <v>2.7239674869422578E-2</v>
      </c>
      <c r="CE54" s="141"/>
      <c r="CF54" s="141"/>
      <c r="CG54" s="141"/>
      <c r="CH54" s="141"/>
      <c r="CI54" s="141"/>
      <c r="CJ54" s="141"/>
      <c r="CK54" s="141"/>
      <c r="CL54" s="141"/>
      <c r="CM54" s="141"/>
      <c r="CN54" s="141"/>
      <c r="CO54" s="141"/>
      <c r="CP54" s="141"/>
      <c r="CQ54" s="141"/>
      <c r="CR54" s="141"/>
      <c r="CS54" s="136">
        <f t="shared" ref="CS54" si="256">IFERROR(CS9/$B54,0)</f>
        <v>1.9302440570208572E-4</v>
      </c>
      <c r="CT54" s="149">
        <f>IFERROR(up_RadSpec!$M$9*CT9,".")*$B$54</f>
        <v>6874.9986250000002</v>
      </c>
      <c r="CU54" s="149">
        <f>IFERROR(up_RadSpec!$L$9*CU9,".")*$B$54</f>
        <v>1253.2549576822914</v>
      </c>
      <c r="CV54" s="149">
        <f>IFERROR(up_RadSpec!$Q$9*CV9,".")*$B$54</f>
        <v>0.62785375570776258</v>
      </c>
      <c r="CW54" s="149">
        <f>up_b2w!BZ54</f>
        <v>114027.40108744623</v>
      </c>
      <c r="CX54" s="149">
        <f>IFERROR(up_RadSpec!$J$9*CX9,".")*$B$54</f>
        <v>189.06246218749999</v>
      </c>
      <c r="CY54" s="149">
        <f>IFERROR(up_RadSpec!$J$9*CY9,".")*$B$54</f>
        <v>945.3123109375</v>
      </c>
      <c r="CZ54" s="149">
        <f>IFERROR(up_RadSpec!$J$9*CZ9,".")*$B$54</f>
        <v>917.77894265776695</v>
      </c>
      <c r="DA54" s="149">
        <f>IFERROR(up_RadSpec!$J$9*DA9,".")*$B$54</f>
        <v>945.3123109375</v>
      </c>
      <c r="DB54" s="149">
        <f>IFERROR(up_RadSpec!$J$9*DB9,".")*$B$54</f>
        <v>945.3123109375</v>
      </c>
      <c r="DC54" s="149">
        <f>IFERROR(up_RadSpec!$J$9*DC9,".")*$B$54</f>
        <v>945.3123109375</v>
      </c>
      <c r="DD54" s="149">
        <f>IFERROR(up_RadSpec!$J$9*DD9,".")*$B$54</f>
        <v>945.3123109375</v>
      </c>
      <c r="DE54" s="149">
        <f>IFERROR(up_RadSpec!$J$9*DE9,".")*$B$54</f>
        <v>917.77894265776695</v>
      </c>
      <c r="DF54" s="149">
        <f>IFERROR(up_RadSpec!$J$9*DF9,".")*$B$54</f>
        <v>945.3123109375</v>
      </c>
      <c r="DG54" s="149">
        <f>IFERROR(up_RadSpec!$J$9*DG9,".")*$B$54</f>
        <v>917.77894265776695</v>
      </c>
      <c r="DH54" s="150">
        <f t="shared" si="200"/>
        <v>0</v>
      </c>
      <c r="DI54" s="136">
        <f t="shared" ref="DI54:DK54" si="257">IFERROR(DI9/$B54,0)</f>
        <v>9.9740279688315687E-3</v>
      </c>
      <c r="DJ54" s="136">
        <f t="shared" si="257"/>
        <v>15.927275912727911</v>
      </c>
      <c r="DK54" s="136">
        <f t="shared" si="257"/>
        <v>9.9677859111181495E-3</v>
      </c>
      <c r="DL54" s="149">
        <f>IFERROR(up_RadSpec!$L$9*DL9,".")*$B$54</f>
        <v>2506.5099153645829</v>
      </c>
      <c r="DM54" s="149">
        <f>IFERROR(up_RadSpec!$O$9*DM9,".")*$B$54</f>
        <v>1.5696343892694065</v>
      </c>
      <c r="DN54" s="150">
        <f t="shared" si="93"/>
        <v>2508.0795497538525</v>
      </c>
    </row>
    <row r="55" spans="1:118" x14ac:dyDescent="0.25">
      <c r="A55" s="135" t="s">
        <v>1078</v>
      </c>
      <c r="B55" s="129">
        <v>1.9999999999999999E-7</v>
      </c>
      <c r="C55" s="136">
        <f t="shared" ref="C55:M55" si="258">IFERROR(C24/$B55,0)</f>
        <v>1101.9283746556475</v>
      </c>
      <c r="D55" s="136">
        <f t="shared" si="258"/>
        <v>3305.7851239669426</v>
      </c>
      <c r="E55" s="136">
        <f t="shared" si="258"/>
        <v>3305.7851239669426</v>
      </c>
      <c r="F55" s="136">
        <f t="shared" si="258"/>
        <v>3305.7851239669426</v>
      </c>
      <c r="G55" s="136">
        <f t="shared" si="258"/>
        <v>3305.7851239669426</v>
      </c>
      <c r="H55" s="136">
        <f t="shared" si="258"/>
        <v>3305.7851239669426</v>
      </c>
      <c r="I55" s="136">
        <f t="shared" si="258"/>
        <v>3305.7851239669426</v>
      </c>
      <c r="J55" s="136">
        <f t="shared" si="258"/>
        <v>3305.7851239669426</v>
      </c>
      <c r="K55" s="136">
        <f t="shared" si="258"/>
        <v>3305.7851239669426</v>
      </c>
      <c r="L55" s="136">
        <f t="shared" si="258"/>
        <v>3305.7851239669426</v>
      </c>
      <c r="M55" s="136">
        <f t="shared" si="258"/>
        <v>3305.7851239669426</v>
      </c>
      <c r="N55" s="149">
        <f>up_dir!BA55</f>
        <v>2.2687499999999999E-2</v>
      </c>
      <c r="O55" s="149">
        <f>IFERROR(up_RadSpec!$J$24*O24,".")*$B$55</f>
        <v>7.5624999999999998E-3</v>
      </c>
      <c r="P55" s="149">
        <f>IFERROR(up_RadSpec!$J$24*P24,".")*$B$55</f>
        <v>7.5624999999999998E-3</v>
      </c>
      <c r="Q55" s="149">
        <f>IFERROR(up_RadSpec!$J$24*Q24,".")*$B$55</f>
        <v>7.5624999999999998E-3</v>
      </c>
      <c r="R55" s="149">
        <f>IFERROR(up_RadSpec!$J$24*R24,".")*$B$55</f>
        <v>7.5624999999999998E-3</v>
      </c>
      <c r="S55" s="149">
        <f>IFERROR(up_RadSpec!$J$24*S24,".")*$B$55</f>
        <v>7.5624999999999998E-3</v>
      </c>
      <c r="T55" s="149">
        <f>IFERROR(up_RadSpec!$J$24*T24,".")*$B$55</f>
        <v>7.5624999999999998E-3</v>
      </c>
      <c r="U55" s="149">
        <f>IFERROR(up_RadSpec!$J$24*U24,".")*$B$55</f>
        <v>7.5624999999999998E-3</v>
      </c>
      <c r="V55" s="149">
        <f>IFERROR(up_RadSpec!$J$24*V24,".")*$B$55</f>
        <v>7.5624999999999998E-3</v>
      </c>
      <c r="W55" s="149">
        <f>IFERROR(up_RadSpec!$J$24*W24,".")*$B$55</f>
        <v>7.5624999999999998E-3</v>
      </c>
      <c r="X55" s="149">
        <f>IFERROR(up_RadSpec!$J$24*X24,".")*$B$55</f>
        <v>7.5624999999999998E-3</v>
      </c>
      <c r="Y55" s="136">
        <f t="shared" ref="Y55:AL55" si="259">IFERROR(Y24/$B55,0)</f>
        <v>1652892.5619834713</v>
      </c>
      <c r="Z55" s="136">
        <f t="shared" si="259"/>
        <v>15449958922.665489</v>
      </c>
      <c r="AA55" s="136">
        <f t="shared" si="259"/>
        <v>955986714.07459486</v>
      </c>
      <c r="AB55" s="136">
        <f t="shared" si="259"/>
        <v>219.79223589421517</v>
      </c>
      <c r="AC55" s="136">
        <f t="shared" si="259"/>
        <v>3305.7851239669426</v>
      </c>
      <c r="AD55" s="136">
        <f t="shared" si="259"/>
        <v>0.92793968392054527</v>
      </c>
      <c r="AE55" s="136">
        <f t="shared" si="259"/>
        <v>0.95577787443816153</v>
      </c>
      <c r="AF55" s="136">
        <f t="shared" si="259"/>
        <v>0.92793968392054527</v>
      </c>
      <c r="AG55" s="136">
        <f t="shared" si="259"/>
        <v>0.92793968392054527</v>
      </c>
      <c r="AH55" s="136">
        <f t="shared" si="259"/>
        <v>0.92793968392054527</v>
      </c>
      <c r="AI55" s="136">
        <f t="shared" si="259"/>
        <v>0.92793968392054527</v>
      </c>
      <c r="AJ55" s="136">
        <f t="shared" si="259"/>
        <v>0.95577787443816153</v>
      </c>
      <c r="AK55" s="136">
        <f t="shared" si="259"/>
        <v>0.92793968392054527</v>
      </c>
      <c r="AL55" s="136">
        <f t="shared" si="259"/>
        <v>0.95577787443816153</v>
      </c>
      <c r="AM55" s="129"/>
      <c r="AN55" s="129"/>
      <c r="AO55" s="129"/>
      <c r="AP55" s="129"/>
      <c r="AQ55" s="129"/>
      <c r="AR55" s="129"/>
      <c r="AS55" s="129"/>
      <c r="AT55" s="129"/>
      <c r="AU55" s="129"/>
      <c r="AV55" s="129"/>
      <c r="AW55" s="129"/>
      <c r="AX55" s="129"/>
      <c r="AY55" s="129"/>
      <c r="AZ55" s="129"/>
      <c r="BA55" s="136">
        <f t="shared" ref="BA55" si="260">IFERROR(BA24/$B55,0)</f>
        <v>0.10406265854333838</v>
      </c>
      <c r="BB55" s="149">
        <f>IFERROR(up_RadSpec!$I$24*BB24,".")*$B$55</f>
        <v>1.5125E-5</v>
      </c>
      <c r="BC55" s="149">
        <f>IFERROR(up_RadSpec!$L$24*BC24,".")*$B$55</f>
        <v>1.6181272795052132E-9</v>
      </c>
      <c r="BD55" s="149">
        <f>IFERROR(up_RadSpec!$K$24*BD24,".")*$B$55</f>
        <v>2.6150991046146769E-8</v>
      </c>
      <c r="BE55" s="149">
        <f>up_b2s!BZ55</f>
        <v>0.11374378124999998</v>
      </c>
      <c r="BF55" s="149">
        <f>IFERROR(up_RadSpec!$J$24*BF24,".")*$B$55</f>
        <v>7.5624999999999998E-3</v>
      </c>
      <c r="BG55" s="149">
        <f>IFERROR(up_RadSpec!$J$24*BG24,".")*$B$55</f>
        <v>26.94140625</v>
      </c>
      <c r="BH55" s="149">
        <f>IFERROR(up_RadSpec!$J$24*BH24,".")*$B$55</f>
        <v>26.156705097087379</v>
      </c>
      <c r="BI55" s="149">
        <f>IFERROR(up_RadSpec!$J$24*BI24,".")*$B$55</f>
        <v>26.94140625</v>
      </c>
      <c r="BJ55" s="149">
        <f>IFERROR(up_RadSpec!$J$24*BJ24,".")*$B$55</f>
        <v>26.94140625</v>
      </c>
      <c r="BK55" s="149">
        <f>IFERROR(up_RadSpec!$J$24*BK24,".")*$B$55</f>
        <v>26.94140625</v>
      </c>
      <c r="BL55" s="149">
        <f>IFERROR(up_RadSpec!$J$24*BL24,".")*$B$55</f>
        <v>26.94140625</v>
      </c>
      <c r="BM55" s="149">
        <f>IFERROR(up_RadSpec!$J$24*BM24,".")*$B$55</f>
        <v>26.156705097087379</v>
      </c>
      <c r="BN55" s="149">
        <f>IFERROR(up_RadSpec!$J$24*BN24,".")*$B$55</f>
        <v>26.94140625</v>
      </c>
      <c r="BO55" s="149">
        <f>IFERROR(up_RadSpec!$J$24*BO24,".")*$B$55</f>
        <v>26.156705097087379</v>
      </c>
      <c r="BP55" s="150">
        <f t="shared" si="89"/>
        <v>240.23987422528126</v>
      </c>
      <c r="BQ55" s="136">
        <f t="shared" ref="BQ55:CD55" si="261">IFERROR(BQ24/$B55,0)</f>
        <v>18181.818181818184</v>
      </c>
      <c r="BR55" s="136">
        <f t="shared" si="261"/>
        <v>0</v>
      </c>
      <c r="BS55" s="136">
        <f t="shared" si="261"/>
        <v>199090909.09090912</v>
      </c>
      <c r="BT55" s="136">
        <f t="shared" si="261"/>
        <v>1096.2275190692023</v>
      </c>
      <c r="BU55" s="136">
        <f t="shared" si="261"/>
        <v>661157.02479338844</v>
      </c>
      <c r="BV55" s="136">
        <f t="shared" si="261"/>
        <v>132231.40495867768</v>
      </c>
      <c r="BW55" s="136">
        <f t="shared" si="261"/>
        <v>136198.34710743802</v>
      </c>
      <c r="BX55" s="136">
        <f t="shared" si="261"/>
        <v>132231.40495867768</v>
      </c>
      <c r="BY55" s="136">
        <f t="shared" si="261"/>
        <v>132231.40495867768</v>
      </c>
      <c r="BZ55" s="136">
        <f t="shared" si="261"/>
        <v>132231.40495867768</v>
      </c>
      <c r="CA55" s="136">
        <f t="shared" si="261"/>
        <v>132231.40495867768</v>
      </c>
      <c r="CB55" s="136">
        <f t="shared" si="261"/>
        <v>136198.34710743802</v>
      </c>
      <c r="CC55" s="136">
        <f t="shared" si="261"/>
        <v>132231.40495867768</v>
      </c>
      <c r="CD55" s="136">
        <f t="shared" si="261"/>
        <v>136198.34710743802</v>
      </c>
      <c r="CE55" s="141"/>
      <c r="CF55" s="141"/>
      <c r="CG55" s="141"/>
      <c r="CH55" s="141"/>
      <c r="CI55" s="141"/>
      <c r="CJ55" s="141"/>
      <c r="CK55" s="141"/>
      <c r="CL55" s="141"/>
      <c r="CM55" s="141"/>
      <c r="CN55" s="141"/>
      <c r="CO55" s="141"/>
      <c r="CP55" s="141"/>
      <c r="CQ55" s="141"/>
      <c r="CR55" s="141"/>
      <c r="CS55" s="136">
        <f t="shared" ref="CS55" si="262">IFERROR(CS24/$B55,0)</f>
        <v>965.12183548602297</v>
      </c>
      <c r="CT55" s="149">
        <f>IFERROR(up_RadSpec!$M$24*CT24,".")*$B$55</f>
        <v>1.3749999999999999E-3</v>
      </c>
      <c r="CU55" s="149">
        <f>IFERROR(up_RadSpec!$L$24*CU24,".")*$B$55</f>
        <v>2.506510416666666E-4</v>
      </c>
      <c r="CV55" s="149">
        <f>IFERROR(up_RadSpec!$Q$24*CV24,".")*$B$55</f>
        <v>1.2557077625570775E-7</v>
      </c>
      <c r="CW55" s="149">
        <f>up_b2w!BZ55</f>
        <v>2.28054847785862E-2</v>
      </c>
      <c r="CX55" s="149">
        <f>IFERROR(up_RadSpec!$J$24*CX24,".")*$B$55</f>
        <v>3.7812499999999998E-5</v>
      </c>
      <c r="CY55" s="149">
        <f>IFERROR(up_RadSpec!$J$24*CY24,".")*$B$55</f>
        <v>1.8906249999999999E-4</v>
      </c>
      <c r="CZ55" s="149">
        <f>IFERROR(up_RadSpec!$J$24*CZ24,".")*$B$55</f>
        <v>1.8355582524271844E-4</v>
      </c>
      <c r="DA55" s="149">
        <f>IFERROR(up_RadSpec!$J$24*DA24,".")*$B$55</f>
        <v>1.8906249999999999E-4</v>
      </c>
      <c r="DB55" s="149">
        <f>IFERROR(up_RadSpec!$J$24*DB24,".")*$B$55</f>
        <v>1.8906249999999999E-4</v>
      </c>
      <c r="DC55" s="149">
        <f>IFERROR(up_RadSpec!$J$24*DC24,".")*$B$55</f>
        <v>1.8906249999999999E-4</v>
      </c>
      <c r="DD55" s="149">
        <f>IFERROR(up_RadSpec!$J$24*DD24,".")*$B$55</f>
        <v>1.8906249999999999E-4</v>
      </c>
      <c r="DE55" s="149">
        <f>IFERROR(up_RadSpec!$J$24*DE24,".")*$B$55</f>
        <v>1.8355582524271844E-4</v>
      </c>
      <c r="DF55" s="149">
        <f>IFERROR(up_RadSpec!$J$24*DF24,".")*$B$55</f>
        <v>1.8906249999999999E-4</v>
      </c>
      <c r="DG55" s="149">
        <f>IFERROR(up_RadSpec!$J$24*DG24,".")*$B$55</f>
        <v>1.8355582524271844E-4</v>
      </c>
      <c r="DH55" s="150">
        <f t="shared" si="200"/>
        <v>0</v>
      </c>
      <c r="DI55" s="136">
        <f t="shared" ref="DI55:DK55" si="263">IFERROR(DI24/$B55,0)</f>
        <v>49870.12987012988</v>
      </c>
      <c r="DJ55" s="136">
        <f t="shared" si="263"/>
        <v>79636363.63636364</v>
      </c>
      <c r="DK55" s="136">
        <f t="shared" si="263"/>
        <v>49838.919587804841</v>
      </c>
      <c r="DL55" s="149">
        <f>IFERROR(up_RadSpec!$L$24*DL24,".")*$B$55</f>
        <v>5.013020833333332E-4</v>
      </c>
      <c r="DM55" s="149">
        <f>IFERROR(up_RadSpec!$O$24*DM24,".")*$B$55</f>
        <v>3.1392694063926939E-7</v>
      </c>
      <c r="DN55" s="150">
        <f t="shared" si="93"/>
        <v>5.0161601027397251E-4</v>
      </c>
    </row>
    <row r="56" spans="1:118" x14ac:dyDescent="0.25">
      <c r="A56" s="135" t="s">
        <v>1079</v>
      </c>
      <c r="B56" s="129">
        <v>0.99979000004200003</v>
      </c>
      <c r="C56" s="136">
        <f t="shared" ref="C56:M56" si="264">IFERROR(C20/$B56,0)</f>
        <v>2.2043196563465461E-4</v>
      </c>
      <c r="D56" s="136">
        <f t="shared" si="264"/>
        <v>6.6129589690396386E-4</v>
      </c>
      <c r="E56" s="136">
        <f t="shared" si="264"/>
        <v>6.6129589690396386E-4</v>
      </c>
      <c r="F56" s="136">
        <f t="shared" si="264"/>
        <v>6.6129589690396386E-4</v>
      </c>
      <c r="G56" s="136">
        <f t="shared" si="264"/>
        <v>6.6129589690396386E-4</v>
      </c>
      <c r="H56" s="136">
        <f t="shared" si="264"/>
        <v>6.6129589690396386E-4</v>
      </c>
      <c r="I56" s="136">
        <f t="shared" si="264"/>
        <v>6.6129589690396386E-4</v>
      </c>
      <c r="J56" s="136">
        <f t="shared" si="264"/>
        <v>6.6129589690396386E-4</v>
      </c>
      <c r="K56" s="136">
        <f t="shared" si="264"/>
        <v>6.6129589690396386E-4</v>
      </c>
      <c r="L56" s="136">
        <f t="shared" si="264"/>
        <v>6.6129589690396386E-4</v>
      </c>
      <c r="M56" s="136">
        <f t="shared" si="264"/>
        <v>6.6129589690396386E-4</v>
      </c>
      <c r="N56" s="149">
        <f>up_dir!BA56</f>
        <v>113413.67812976439</v>
      </c>
      <c r="O56" s="149">
        <f>IFERROR(up_RadSpec!$J$20*O20,".")*$B$56</f>
        <v>37804.559376588128</v>
      </c>
      <c r="P56" s="149">
        <f>IFERROR(up_RadSpec!$J$20*P20,".")*$B$56</f>
        <v>37804.559376588128</v>
      </c>
      <c r="Q56" s="149">
        <f>IFERROR(up_RadSpec!$J$20*Q20,".")*$B$56</f>
        <v>37804.559376588128</v>
      </c>
      <c r="R56" s="149">
        <f>IFERROR(up_RadSpec!$J$20*R20,".")*$B$56</f>
        <v>37804.559376588128</v>
      </c>
      <c r="S56" s="149">
        <f>IFERROR(up_RadSpec!$J$20*S20,".")*$B$56</f>
        <v>37804.559376588128</v>
      </c>
      <c r="T56" s="149">
        <f>IFERROR(up_RadSpec!$J$20*T20,".")*$B$56</f>
        <v>37804.559376588128</v>
      </c>
      <c r="U56" s="149">
        <f>IFERROR(up_RadSpec!$J$20*U20,".")*$B$56</f>
        <v>37804.559376588128</v>
      </c>
      <c r="V56" s="149">
        <f>IFERROR(up_RadSpec!$J$20*V20,".")*$B$56</f>
        <v>37804.559376588128</v>
      </c>
      <c r="W56" s="149">
        <f>IFERROR(up_RadSpec!$J$20*W20,".")*$B$56</f>
        <v>37804.559376588128</v>
      </c>
      <c r="X56" s="149">
        <f>IFERROR(up_RadSpec!$J$20*X20,".")*$B$56</f>
        <v>37804.559376588128</v>
      </c>
      <c r="Y56" s="136">
        <f t="shared" ref="Y56:AL56" si="265">IFERROR(Y20/$B56,0)</f>
        <v>0.33064794845198192</v>
      </c>
      <c r="Z56" s="136">
        <f t="shared" si="265"/>
        <v>3090.6408189752756</v>
      </c>
      <c r="AA56" s="136">
        <f t="shared" si="265"/>
        <v>149.77900176140341</v>
      </c>
      <c r="AB56" s="136">
        <f t="shared" si="265"/>
        <v>4.3967680389878262E-5</v>
      </c>
      <c r="AC56" s="136">
        <f t="shared" si="265"/>
        <v>6.6129589690396386E-4</v>
      </c>
      <c r="AD56" s="136">
        <f t="shared" si="265"/>
        <v>1.8562691842918285E-7</v>
      </c>
      <c r="AE56" s="136">
        <f t="shared" si="265"/>
        <v>1.9119572598205831E-7</v>
      </c>
      <c r="AF56" s="136">
        <f t="shared" si="265"/>
        <v>1.8562691842918285E-7</v>
      </c>
      <c r="AG56" s="136">
        <f t="shared" si="265"/>
        <v>1.8562691842918285E-7</v>
      </c>
      <c r="AH56" s="136">
        <f t="shared" si="265"/>
        <v>1.8562691842918285E-7</v>
      </c>
      <c r="AI56" s="136">
        <f t="shared" si="265"/>
        <v>1.8562691842918285E-7</v>
      </c>
      <c r="AJ56" s="136">
        <f t="shared" si="265"/>
        <v>1.9119572598205831E-7</v>
      </c>
      <c r="AK56" s="136">
        <f t="shared" si="265"/>
        <v>1.8562691842918285E-7</v>
      </c>
      <c r="AL56" s="136">
        <f t="shared" si="265"/>
        <v>1.9119572598205831E-7</v>
      </c>
      <c r="AM56" s="129"/>
      <c r="AN56" s="129"/>
      <c r="AO56" s="129"/>
      <c r="AP56" s="129"/>
      <c r="AQ56" s="129"/>
      <c r="AR56" s="129"/>
      <c r="AS56" s="129"/>
      <c r="AT56" s="129"/>
      <c r="AU56" s="129"/>
      <c r="AV56" s="129"/>
      <c r="AW56" s="129"/>
      <c r="AX56" s="129"/>
      <c r="AY56" s="129"/>
      <c r="AZ56" s="129"/>
      <c r="BA56" s="136">
        <f t="shared" ref="BA56" si="266">IFERROR(BA20/$B56,0)</f>
        <v>2.081690325685021E-8</v>
      </c>
      <c r="BB56" s="149">
        <f>IFERROR(up_RadSpec!$I$20*BB20,".")*$B$56</f>
        <v>75.609118753176247</v>
      </c>
      <c r="BC56" s="149">
        <f>IFERROR(up_RadSpec!$L$20*BC20,".")*$B$56</f>
        <v>8.0889373642223927E-3</v>
      </c>
      <c r="BD56" s="149">
        <f>IFERROR(up_RadSpec!$K$20*BD20,".")*$B$56</f>
        <v>0.16691258257832947</v>
      </c>
      <c r="BE56" s="149">
        <f>up_b2s!BZ56</f>
        <v>568599.47530357365</v>
      </c>
      <c r="BF56" s="149">
        <f>IFERROR(up_RadSpec!$J$20*BF20,".")*$B$56</f>
        <v>37804.559376588128</v>
      </c>
      <c r="BG56" s="149">
        <f>IFERROR(up_RadSpec!$J$20*BG20,".")*$B$56</f>
        <v>134678742.7790952</v>
      </c>
      <c r="BH56" s="149">
        <f>IFERROR(up_RadSpec!$J$20*BH20,".")*$B$56</f>
        <v>130756060.95057787</v>
      </c>
      <c r="BI56" s="149">
        <f>IFERROR(up_RadSpec!$J$20*BI20,".")*$B$56</f>
        <v>134678742.7790952</v>
      </c>
      <c r="BJ56" s="149">
        <f>IFERROR(up_RadSpec!$J$20*BJ20,".")*$B$56</f>
        <v>134678742.7790952</v>
      </c>
      <c r="BK56" s="149">
        <f>IFERROR(up_RadSpec!$J$20*BK20,".")*$B$56</f>
        <v>134678742.7790952</v>
      </c>
      <c r="BL56" s="149">
        <f>IFERROR(up_RadSpec!$J$20*BL20,".")*$B$56</f>
        <v>134678742.7790952</v>
      </c>
      <c r="BM56" s="149">
        <f>IFERROR(up_RadSpec!$J$20*BM20,".")*$B$56</f>
        <v>130756060.95057787</v>
      </c>
      <c r="BN56" s="149">
        <f>IFERROR(up_RadSpec!$J$20*BN20,".")*$B$56</f>
        <v>134678742.7790952</v>
      </c>
      <c r="BO56" s="149">
        <f>IFERROR(up_RadSpec!$J$20*BO20,".")*$B$56</f>
        <v>130756060.95057787</v>
      </c>
      <c r="BP56" s="150">
        <f t="shared" si="89"/>
        <v>1200947119.3451052</v>
      </c>
      <c r="BQ56" s="136">
        <f t="shared" ref="BQ56:CD56" si="267">IFERROR(BQ20/$B56,0)</f>
        <v>3.6371274329718012E-3</v>
      </c>
      <c r="BR56" s="136">
        <f t="shared" si="267"/>
        <v>0</v>
      </c>
      <c r="BS56" s="136">
        <f t="shared" si="267"/>
        <v>39.826545391041222</v>
      </c>
      <c r="BT56" s="136">
        <f t="shared" si="267"/>
        <v>2.1929155503118674E-4</v>
      </c>
      <c r="BU56" s="136">
        <f t="shared" si="267"/>
        <v>0.13225917938079276</v>
      </c>
      <c r="BV56" s="136">
        <f t="shared" si="267"/>
        <v>2.6451835876158552E-2</v>
      </c>
      <c r="BW56" s="136">
        <f t="shared" si="267"/>
        <v>2.724539095244331E-2</v>
      </c>
      <c r="BX56" s="136">
        <f t="shared" si="267"/>
        <v>2.6451835876158552E-2</v>
      </c>
      <c r="BY56" s="136">
        <f t="shared" si="267"/>
        <v>2.6451835876158552E-2</v>
      </c>
      <c r="BZ56" s="136">
        <f t="shared" si="267"/>
        <v>2.6451835876158552E-2</v>
      </c>
      <c r="CA56" s="136">
        <f t="shared" si="267"/>
        <v>2.6451835876158552E-2</v>
      </c>
      <c r="CB56" s="136">
        <f t="shared" si="267"/>
        <v>2.724539095244331E-2</v>
      </c>
      <c r="CC56" s="136">
        <f t="shared" si="267"/>
        <v>2.6451835876158552E-2</v>
      </c>
      <c r="CD56" s="136">
        <f t="shared" si="267"/>
        <v>2.724539095244331E-2</v>
      </c>
      <c r="CE56" s="141"/>
      <c r="CF56" s="141"/>
      <c r="CG56" s="141"/>
      <c r="CH56" s="141"/>
      <c r="CI56" s="141"/>
      <c r="CJ56" s="141"/>
      <c r="CK56" s="141"/>
      <c r="CL56" s="141"/>
      <c r="CM56" s="141"/>
      <c r="CN56" s="141"/>
      <c r="CO56" s="141"/>
      <c r="CP56" s="141"/>
      <c r="CQ56" s="141"/>
      <c r="CR56" s="141"/>
      <c r="CS56" s="136">
        <f t="shared" ref="CS56" si="268">IFERROR(CS20/$B56,0)</f>
        <v>1.9306491072034712E-4</v>
      </c>
      <c r="CT56" s="149">
        <f>IFERROR(up_RadSpec!$M$20*CT20,".")*$B$56</f>
        <v>6873.5562502887506</v>
      </c>
      <c r="CU56" s="149">
        <f>IFERROR(up_RadSpec!$L$20*CU20,".")*$B$56</f>
        <v>1252.9920247922198</v>
      </c>
      <c r="CV56" s="149">
        <f>IFERROR(up_RadSpec!$Q$20*CV20,".")*$B$56</f>
        <v>0.62772203198984022</v>
      </c>
      <c r="CW56" s="149">
        <f>up_b2w!BZ56</f>
        <v>114003.47813870266</v>
      </c>
      <c r="CX56" s="149">
        <f>IFERROR(up_RadSpec!$J$20*CX20,".")*$B$56</f>
        <v>189.02279688294064</v>
      </c>
      <c r="CY56" s="149">
        <f>IFERROR(up_RadSpec!$J$20*CY20,".")*$B$56</f>
        <v>945.11398441470317</v>
      </c>
      <c r="CZ56" s="149">
        <f>IFERROR(up_RadSpec!$J$20*CZ20,".")*$B$56</f>
        <v>917.58639263563418</v>
      </c>
      <c r="DA56" s="149">
        <f>IFERROR(up_RadSpec!$J$20*DA20,".")*$B$56</f>
        <v>945.11398441470317</v>
      </c>
      <c r="DB56" s="149">
        <f>IFERROR(up_RadSpec!$J$20*DB20,".")*$B$56</f>
        <v>945.11398441470317</v>
      </c>
      <c r="DC56" s="149">
        <f>IFERROR(up_RadSpec!$J$20*DC20,".")*$B$56</f>
        <v>945.11398441470317</v>
      </c>
      <c r="DD56" s="149">
        <f>IFERROR(up_RadSpec!$J$20*DD20,".")*$B$56</f>
        <v>945.11398441470317</v>
      </c>
      <c r="DE56" s="149">
        <f>IFERROR(up_RadSpec!$J$20*DE20,".")*$B$56</f>
        <v>917.58639263563418</v>
      </c>
      <c r="DF56" s="149">
        <f>IFERROR(up_RadSpec!$J$20*DF20,".")*$B$56</f>
        <v>945.11398441470317</v>
      </c>
      <c r="DG56" s="149">
        <f>IFERROR(up_RadSpec!$J$20*DG20,".")*$B$56</f>
        <v>917.58639263563418</v>
      </c>
      <c r="DH56" s="150">
        <f t="shared" si="200"/>
        <v>0</v>
      </c>
      <c r="DI56" s="136">
        <f t="shared" ref="DI56:DK56" si="269">IFERROR(DI20/$B56,0)</f>
        <v>9.976120959008369E-3</v>
      </c>
      <c r="DJ56" s="136">
        <f t="shared" si="269"/>
        <v>15.930618156416489</v>
      </c>
      <c r="DK56" s="136">
        <f t="shared" si="269"/>
        <v>9.9698775914364331E-3</v>
      </c>
      <c r="DL56" s="149">
        <f>IFERROR(up_RadSpec!$L$20*DL20,".")*$B$56</f>
        <v>2505.9840495844396</v>
      </c>
      <c r="DM56" s="149">
        <f>IFERROR(up_RadSpec!$O$20*DM20,".")*$B$56</f>
        <v>1.5693050799746007</v>
      </c>
      <c r="DN56" s="150">
        <f t="shared" si="93"/>
        <v>2507.5533546644142</v>
      </c>
    </row>
    <row r="57" spans="1:118" x14ac:dyDescent="0.25">
      <c r="A57" s="135" t="s">
        <v>1080</v>
      </c>
      <c r="B57" s="129">
        <v>2.0999995799999999E-4</v>
      </c>
      <c r="C57" s="136">
        <f t="shared" ref="C57:M57" si="270">IFERROR(C29/$B57,0)</f>
        <v>1.0494558048013014</v>
      </c>
      <c r="D57" s="136">
        <f t="shared" si="270"/>
        <v>3.1483674144039044</v>
      </c>
      <c r="E57" s="136">
        <f t="shared" si="270"/>
        <v>3.1483674144039044</v>
      </c>
      <c r="F57" s="136">
        <f t="shared" si="270"/>
        <v>3.1483674144039044</v>
      </c>
      <c r="G57" s="136">
        <f t="shared" si="270"/>
        <v>3.1483674144039044</v>
      </c>
      <c r="H57" s="136">
        <f t="shared" si="270"/>
        <v>3.1483674144039044</v>
      </c>
      <c r="I57" s="136">
        <f t="shared" si="270"/>
        <v>3.1483674144039044</v>
      </c>
      <c r="J57" s="136">
        <f t="shared" si="270"/>
        <v>3.1483674144039044</v>
      </c>
      <c r="K57" s="136">
        <f t="shared" si="270"/>
        <v>3.1483674144039044</v>
      </c>
      <c r="L57" s="136">
        <f t="shared" si="270"/>
        <v>3.1483674144039044</v>
      </c>
      <c r="M57" s="136">
        <f t="shared" si="270"/>
        <v>3.1483674144039044</v>
      </c>
      <c r="N57" s="149">
        <f>up_dir!BA57</f>
        <v>23.821870235624999</v>
      </c>
      <c r="O57" s="149">
        <f>IFERROR(up_RadSpec!$J$29*O29,".")*$B$57</f>
        <v>7.9406234118749994</v>
      </c>
      <c r="P57" s="149">
        <f>IFERROR(up_RadSpec!$J$29*P29,".")*$B$57</f>
        <v>7.9406234118749994</v>
      </c>
      <c r="Q57" s="149">
        <f>IFERROR(up_RadSpec!$J$29*Q29,".")*$B$57</f>
        <v>7.9406234118749994</v>
      </c>
      <c r="R57" s="149">
        <f>IFERROR(up_RadSpec!$J$29*R29,".")*$B$57</f>
        <v>7.9406234118749994</v>
      </c>
      <c r="S57" s="149">
        <f>IFERROR(up_RadSpec!$J$29*S29,".")*$B$57</f>
        <v>7.9406234118749994</v>
      </c>
      <c r="T57" s="149">
        <f>IFERROR(up_RadSpec!$J$29*T29,".")*$B$57</f>
        <v>7.9406234118749994</v>
      </c>
      <c r="U57" s="149">
        <f>IFERROR(up_RadSpec!$J$29*U29,".")*$B$57</f>
        <v>7.9406234118749994</v>
      </c>
      <c r="V57" s="149">
        <f>IFERROR(up_RadSpec!$J$29*V29,".")*$B$57</f>
        <v>7.9406234118749994</v>
      </c>
      <c r="W57" s="149">
        <f>IFERROR(up_RadSpec!$J$29*W29,".")*$B$57</f>
        <v>7.9406234118749994</v>
      </c>
      <c r="X57" s="149">
        <f>IFERROR(up_RadSpec!$J$29*X29,".")*$B$57</f>
        <v>7.9406234118749994</v>
      </c>
      <c r="Y57" s="136">
        <f t="shared" ref="Y57:AL57" si="271">IFERROR(Y29/$B57,0)</f>
        <v>1574.1837072019521</v>
      </c>
      <c r="Z57" s="136">
        <f t="shared" si="271"/>
        <v>14714249.535864661</v>
      </c>
      <c r="AA57" s="136">
        <f t="shared" si="271"/>
        <v>561233.05052872899</v>
      </c>
      <c r="AB57" s="136">
        <f t="shared" si="271"/>
        <v>0.20932598081206774</v>
      </c>
      <c r="AC57" s="136">
        <f t="shared" si="271"/>
        <v>3.1483674144039044</v>
      </c>
      <c r="AD57" s="136">
        <f t="shared" si="271"/>
        <v>8.8375225667478019E-4</v>
      </c>
      <c r="AE57" s="136">
        <f t="shared" si="271"/>
        <v>9.1026482437502358E-4</v>
      </c>
      <c r="AF57" s="136">
        <f t="shared" si="271"/>
        <v>8.8375225667478019E-4</v>
      </c>
      <c r="AG57" s="136">
        <f t="shared" si="271"/>
        <v>8.8375225667478019E-4</v>
      </c>
      <c r="AH57" s="136">
        <f t="shared" si="271"/>
        <v>8.8375225667478019E-4</v>
      </c>
      <c r="AI57" s="136">
        <f t="shared" si="271"/>
        <v>8.8375225667478019E-4</v>
      </c>
      <c r="AJ57" s="136">
        <f t="shared" si="271"/>
        <v>9.1026482437502358E-4</v>
      </c>
      <c r="AK57" s="136">
        <f t="shared" si="271"/>
        <v>8.8375225667478019E-4</v>
      </c>
      <c r="AL57" s="136">
        <f t="shared" si="271"/>
        <v>9.1026482437502358E-4</v>
      </c>
      <c r="AM57" s="129"/>
      <c r="AN57" s="129"/>
      <c r="AO57" s="129"/>
      <c r="AP57" s="129"/>
      <c r="AQ57" s="129"/>
      <c r="AR57" s="129"/>
      <c r="AS57" s="129"/>
      <c r="AT57" s="129"/>
      <c r="AU57" s="129"/>
      <c r="AV57" s="129"/>
      <c r="AW57" s="129"/>
      <c r="AX57" s="129"/>
      <c r="AY57" s="129"/>
      <c r="AZ57" s="129"/>
      <c r="BA57" s="136">
        <f t="shared" ref="BA57" si="272">IFERROR(BA29/$B57,0)</f>
        <v>9.9107313665548177E-5</v>
      </c>
      <c r="BB57" s="149">
        <f>IFERROR(up_RadSpec!$I$29*BB29,".")*$B$57</f>
        <v>1.588124682375E-2</v>
      </c>
      <c r="BC57" s="149">
        <f>IFERROR(up_RadSpec!$L$29*BC29,".")*$B$57</f>
        <v>1.699033303673745E-6</v>
      </c>
      <c r="BD57" s="149">
        <f>IFERROR(up_RadSpec!$K$29*BD29,".")*$B$57</f>
        <v>4.4544775074183334E-5</v>
      </c>
      <c r="BE57" s="149">
        <f>up_b2s!BZ57</f>
        <v>119.43094642630592</v>
      </c>
      <c r="BF57" s="149">
        <f>IFERROR(up_RadSpec!$J$29*BF29,".")*$B$57</f>
        <v>7.9406234118749994</v>
      </c>
      <c r="BG57" s="149">
        <f>IFERROR(up_RadSpec!$J$29*BG29,".")*$B$57</f>
        <v>28288.470904804686</v>
      </c>
      <c r="BH57" s="149">
        <f>IFERROR(up_RadSpec!$J$29*BH29,".")*$B$57</f>
        <v>27464.534859033676</v>
      </c>
      <c r="BI57" s="149">
        <f>IFERROR(up_RadSpec!$J$29*BI29,".")*$B$57</f>
        <v>28288.470904804686</v>
      </c>
      <c r="BJ57" s="149">
        <f>IFERROR(up_RadSpec!$J$29*BJ29,".")*$B$57</f>
        <v>28288.470904804686</v>
      </c>
      <c r="BK57" s="149">
        <f>IFERROR(up_RadSpec!$J$29*BK29,".")*$B$57</f>
        <v>28288.470904804686</v>
      </c>
      <c r="BL57" s="149">
        <f>IFERROR(up_RadSpec!$J$29*BL29,".")*$B$57</f>
        <v>28288.470904804686</v>
      </c>
      <c r="BM57" s="149">
        <f>IFERROR(up_RadSpec!$J$29*BM29,".")*$B$57</f>
        <v>27464.534859033676</v>
      </c>
      <c r="BN57" s="149">
        <f>IFERROR(up_RadSpec!$J$29*BN29,".")*$B$57</f>
        <v>28288.470904804686</v>
      </c>
      <c r="BO57" s="149">
        <f>IFERROR(up_RadSpec!$J$29*BO29,".")*$B$57</f>
        <v>27464.534859033676</v>
      </c>
      <c r="BP57" s="150">
        <f t="shared" si="89"/>
        <v>252251.81750325795</v>
      </c>
      <c r="BQ57" s="136">
        <f t="shared" ref="BQ57:CD57" si="273">IFERROR(BQ29/$B57,0)</f>
        <v>17.316020779221471</v>
      </c>
      <c r="BR57" s="136">
        <f t="shared" si="273"/>
        <v>0</v>
      </c>
      <c r="BS57" s="136">
        <f t="shared" si="273"/>
        <v>189610.42753247515</v>
      </c>
      <c r="BT57" s="136">
        <f t="shared" si="273"/>
        <v>1.044026417442619</v>
      </c>
      <c r="BU57" s="136">
        <f t="shared" si="273"/>
        <v>629.67348288078085</v>
      </c>
      <c r="BV57" s="136">
        <f t="shared" si="273"/>
        <v>125.93469657615617</v>
      </c>
      <c r="BW57" s="136">
        <f t="shared" si="273"/>
        <v>129.71273747344085</v>
      </c>
      <c r="BX57" s="136">
        <f t="shared" si="273"/>
        <v>125.93469657615617</v>
      </c>
      <c r="BY57" s="136">
        <f t="shared" si="273"/>
        <v>125.93469657615617</v>
      </c>
      <c r="BZ57" s="136">
        <f t="shared" si="273"/>
        <v>125.93469657615617</v>
      </c>
      <c r="CA57" s="136">
        <f t="shared" si="273"/>
        <v>125.93469657615617</v>
      </c>
      <c r="CB57" s="136">
        <f t="shared" si="273"/>
        <v>129.71273747344085</v>
      </c>
      <c r="CC57" s="136">
        <f t="shared" si="273"/>
        <v>125.93469657615617</v>
      </c>
      <c r="CD57" s="136">
        <f t="shared" si="273"/>
        <v>129.71273747344085</v>
      </c>
      <c r="CE57" s="141"/>
      <c r="CF57" s="141"/>
      <c r="CG57" s="141"/>
      <c r="CH57" s="141"/>
      <c r="CI57" s="141"/>
      <c r="CJ57" s="141"/>
      <c r="CK57" s="141"/>
      <c r="CL57" s="141"/>
      <c r="CM57" s="141"/>
      <c r="CN57" s="141"/>
      <c r="CO57" s="141"/>
      <c r="CP57" s="141"/>
      <c r="CQ57" s="141"/>
      <c r="CR57" s="141"/>
      <c r="CS57" s="136">
        <f t="shared" ref="CS57" si="274">IFERROR(CS29/$B57,0)</f>
        <v>0.91916383667659873</v>
      </c>
      <c r="CT57" s="149">
        <f>IFERROR(up_RadSpec!$M$29*CT29,".")*$B$57</f>
        <v>1.44374971125</v>
      </c>
      <c r="CU57" s="149">
        <f>IFERROR(up_RadSpec!$L$29*CU29,".")*$B$57</f>
        <v>0.26318354111328118</v>
      </c>
      <c r="CV57" s="149">
        <f>IFERROR(up_RadSpec!$Q$29*CV29,".")*$B$57</f>
        <v>1.3184928869863012E-4</v>
      </c>
      <c r="CW57" s="149">
        <f>up_b2w!BZ57</f>
        <v>23.945754228363704</v>
      </c>
      <c r="CX57" s="149">
        <f>IFERROR(up_RadSpec!$J$29*CX29,".")*$B$57</f>
        <v>3.9703117059374994E-2</v>
      </c>
      <c r="CY57" s="149">
        <f>IFERROR(up_RadSpec!$J$29*CY29,".")*$B$57</f>
        <v>0.19851558529687499</v>
      </c>
      <c r="CZ57" s="149">
        <f>IFERROR(up_RadSpec!$J$29*CZ29,".")*$B$57</f>
        <v>0.19273357795813106</v>
      </c>
      <c r="DA57" s="149">
        <f>IFERROR(up_RadSpec!$J$29*DA29,".")*$B$57</f>
        <v>0.19851558529687499</v>
      </c>
      <c r="DB57" s="149">
        <f>IFERROR(up_RadSpec!$J$29*DB29,".")*$B$57</f>
        <v>0.19851558529687499</v>
      </c>
      <c r="DC57" s="149">
        <f>IFERROR(up_RadSpec!$J$29*DC29,".")*$B$57</f>
        <v>0.19851558529687499</v>
      </c>
      <c r="DD57" s="149">
        <f>IFERROR(up_RadSpec!$J$29*DD29,".")*$B$57</f>
        <v>0.19851558529687499</v>
      </c>
      <c r="DE57" s="149">
        <f>IFERROR(up_RadSpec!$J$29*DE29,".")*$B$57</f>
        <v>0.19273357795813106</v>
      </c>
      <c r="DF57" s="149">
        <f>IFERROR(up_RadSpec!$J$29*DF29,".")*$B$57</f>
        <v>0.19851558529687499</v>
      </c>
      <c r="DG57" s="149">
        <f>IFERROR(up_RadSpec!$J$29*DG29,".")*$B$57</f>
        <v>0.19273357795813106</v>
      </c>
      <c r="DH57" s="150">
        <f t="shared" si="200"/>
        <v>0</v>
      </c>
      <c r="DI57" s="136">
        <f t="shared" ref="DI57:DK57" si="275">IFERROR(DI29/$B57,0)</f>
        <v>47.49537128015033</v>
      </c>
      <c r="DJ57" s="136">
        <f t="shared" si="275"/>
        <v>75844.17101299006</v>
      </c>
      <c r="DK57" s="136">
        <f t="shared" si="275"/>
        <v>47.465647195800713</v>
      </c>
      <c r="DL57" s="149">
        <f>IFERROR(up_RadSpec!$L$29*DL29,".")*$B$57</f>
        <v>0.52636708222656237</v>
      </c>
      <c r="DM57" s="149">
        <f>IFERROR(up_RadSpec!$O$29*DM29,".")*$B$57</f>
        <v>3.2962322174657534E-4</v>
      </c>
      <c r="DN57" s="150">
        <f t="shared" si="93"/>
        <v>0.52669670544830893</v>
      </c>
    </row>
    <row r="58" spans="1:118" x14ac:dyDescent="0.25">
      <c r="A58" s="135" t="s">
        <v>1081</v>
      </c>
      <c r="B58" s="129">
        <v>1</v>
      </c>
      <c r="C58" s="136">
        <f t="shared" ref="C58:M58" si="276">IFERROR(C16/$B58,0)</f>
        <v>2.2038567493112948E-4</v>
      </c>
      <c r="D58" s="136">
        <f t="shared" si="276"/>
        <v>6.6115702479338848E-4</v>
      </c>
      <c r="E58" s="136">
        <f t="shared" si="276"/>
        <v>6.6115702479338848E-4</v>
      </c>
      <c r="F58" s="136">
        <f t="shared" si="276"/>
        <v>6.6115702479338848E-4</v>
      </c>
      <c r="G58" s="136">
        <f t="shared" si="276"/>
        <v>6.6115702479338848E-4</v>
      </c>
      <c r="H58" s="136">
        <f t="shared" si="276"/>
        <v>6.6115702479338848E-4</v>
      </c>
      <c r="I58" s="136">
        <f t="shared" si="276"/>
        <v>6.6115702479338848E-4</v>
      </c>
      <c r="J58" s="136">
        <f t="shared" si="276"/>
        <v>6.6115702479338848E-4</v>
      </c>
      <c r="K58" s="136">
        <f t="shared" si="276"/>
        <v>6.6115702479338848E-4</v>
      </c>
      <c r="L58" s="136">
        <f t="shared" si="276"/>
        <v>6.6115702479338848E-4</v>
      </c>
      <c r="M58" s="136">
        <f t="shared" si="276"/>
        <v>6.6115702479338848E-4</v>
      </c>
      <c r="N58" s="149">
        <f>up_dir!BA58</f>
        <v>113437.5</v>
      </c>
      <c r="O58" s="149">
        <f>IFERROR(up_RadSpec!$J$16*O16,".")*$B$58</f>
        <v>37812.5</v>
      </c>
      <c r="P58" s="149">
        <f>IFERROR(up_RadSpec!$J$16*P16,".")*$B$58</f>
        <v>37812.5</v>
      </c>
      <c r="Q58" s="149">
        <f>IFERROR(up_RadSpec!$J$16*Q16,".")*$B$58</f>
        <v>37812.5</v>
      </c>
      <c r="R58" s="149">
        <f>IFERROR(up_RadSpec!$J$16*R16,".")*$B$58</f>
        <v>37812.5</v>
      </c>
      <c r="S58" s="149">
        <f>IFERROR(up_RadSpec!$J$16*S16,".")*$B$58</f>
        <v>37812.5</v>
      </c>
      <c r="T58" s="149">
        <f>IFERROR(up_RadSpec!$J$16*T16,".")*$B$58</f>
        <v>37812.5</v>
      </c>
      <c r="U58" s="149">
        <f>IFERROR(up_RadSpec!$J$16*U16,".")*$B$58</f>
        <v>37812.5</v>
      </c>
      <c r="V58" s="149">
        <f>IFERROR(up_RadSpec!$J$16*V16,".")*$B$58</f>
        <v>37812.5</v>
      </c>
      <c r="W58" s="149">
        <f>IFERROR(up_RadSpec!$J$16*W16,".")*$B$58</f>
        <v>37812.5</v>
      </c>
      <c r="X58" s="149">
        <f>IFERROR(up_RadSpec!$J$16*X16,".")*$B$58</f>
        <v>37812.5</v>
      </c>
      <c r="Y58" s="136">
        <f t="shared" ref="Y58:AL58" si="277">IFERROR(Y16/$B58,0)</f>
        <v>0.33057851239669422</v>
      </c>
      <c r="Z58" s="136">
        <f t="shared" si="277"/>
        <v>3089.9917845330979</v>
      </c>
      <c r="AA58" s="136">
        <f t="shared" si="277"/>
        <v>3187275.8459379398</v>
      </c>
      <c r="AB58" s="136">
        <f t="shared" si="277"/>
        <v>4.3958447178843029E-5</v>
      </c>
      <c r="AC58" s="136">
        <f t="shared" si="277"/>
        <v>6.6115702479338848E-4</v>
      </c>
      <c r="AD58" s="136">
        <f t="shared" si="277"/>
        <v>1.8558793678410905E-7</v>
      </c>
      <c r="AE58" s="136">
        <f t="shared" si="277"/>
        <v>1.9115557488763231E-7</v>
      </c>
      <c r="AF58" s="136">
        <f t="shared" si="277"/>
        <v>1.8558793678410905E-7</v>
      </c>
      <c r="AG58" s="136">
        <f t="shared" si="277"/>
        <v>1.8558793678410905E-7</v>
      </c>
      <c r="AH58" s="136">
        <f t="shared" si="277"/>
        <v>1.8558793678410905E-7</v>
      </c>
      <c r="AI58" s="136">
        <f t="shared" si="277"/>
        <v>1.8558793678410905E-7</v>
      </c>
      <c r="AJ58" s="136">
        <f t="shared" si="277"/>
        <v>1.9115557488763231E-7</v>
      </c>
      <c r="AK58" s="136">
        <f t="shared" si="277"/>
        <v>1.8558793678410905E-7</v>
      </c>
      <c r="AL58" s="136">
        <f t="shared" si="277"/>
        <v>1.9115557488763231E-7</v>
      </c>
      <c r="AM58" s="129"/>
      <c r="AN58" s="129"/>
      <c r="AO58" s="129"/>
      <c r="AP58" s="129"/>
      <c r="AQ58" s="129"/>
      <c r="AR58" s="129"/>
      <c r="AS58" s="129"/>
      <c r="AT58" s="129"/>
      <c r="AU58" s="129"/>
      <c r="AV58" s="129"/>
      <c r="AW58" s="129"/>
      <c r="AX58" s="129"/>
      <c r="AY58" s="129"/>
      <c r="AZ58" s="129"/>
      <c r="BA58" s="136">
        <f t="shared" ref="BA58" si="278">IFERROR(BA16/$B58,0)</f>
        <v>2.0812531710933062E-8</v>
      </c>
      <c r="BB58" s="149">
        <f>IFERROR(up_RadSpec!$I$16*BB16,".")*$B$58</f>
        <v>75.625</v>
      </c>
      <c r="BC58" s="149">
        <f>IFERROR(up_RadSpec!$L$16*BC16,".")*$B$58</f>
        <v>8.0906363975260659E-3</v>
      </c>
      <c r="BD58" s="149">
        <f>IFERROR(up_RadSpec!$K$16*BD16,".")*$B$58</f>
        <v>7.8436888454011701E-6</v>
      </c>
      <c r="BE58" s="149">
        <f>up_b2s!BZ58</f>
        <v>568718.90625</v>
      </c>
      <c r="BF58" s="149">
        <f>IFERROR(up_RadSpec!$J$16*BF16,".")*$B$58</f>
        <v>37812.5</v>
      </c>
      <c r="BG58" s="149">
        <f>IFERROR(up_RadSpec!$J$16*BG16,".")*$B$58</f>
        <v>134707031.25</v>
      </c>
      <c r="BH58" s="149">
        <f>IFERROR(up_RadSpec!$J$16*BH16,".")*$B$58</f>
        <v>130783525.4854369</v>
      </c>
      <c r="BI58" s="149">
        <f>IFERROR(up_RadSpec!$J$16*BI16,".")*$B$58</f>
        <v>134707031.25</v>
      </c>
      <c r="BJ58" s="149">
        <f>IFERROR(up_RadSpec!$J$16*BJ16,".")*$B$58</f>
        <v>134707031.25</v>
      </c>
      <c r="BK58" s="149">
        <f>IFERROR(up_RadSpec!$J$16*BK16,".")*$B$58</f>
        <v>134707031.25</v>
      </c>
      <c r="BL58" s="149">
        <f>IFERROR(up_RadSpec!$J$16*BL16,".")*$B$58</f>
        <v>134707031.25</v>
      </c>
      <c r="BM58" s="149">
        <f>IFERROR(up_RadSpec!$J$16*BM16,".")*$B$58</f>
        <v>130783525.4854369</v>
      </c>
      <c r="BN58" s="149">
        <f>IFERROR(up_RadSpec!$J$16*BN16,".")*$B$58</f>
        <v>134707031.25</v>
      </c>
      <c r="BO58" s="149">
        <f>IFERROR(up_RadSpec!$J$16*BO16,".")*$B$58</f>
        <v>130783525.4854369</v>
      </c>
      <c r="BP58" s="150">
        <f t="shared" si="89"/>
        <v>1201199370.9956591</v>
      </c>
      <c r="BQ58" s="136">
        <f t="shared" ref="BQ58:CD58" si="279">IFERROR(BQ16/$B58,0)</f>
        <v>3.6363636363636364E-3</v>
      </c>
      <c r="BR58" s="136">
        <f t="shared" si="279"/>
        <v>0</v>
      </c>
      <c r="BS58" s="136">
        <f t="shared" si="279"/>
        <v>39.81818181818182</v>
      </c>
      <c r="BT58" s="136">
        <f t="shared" si="279"/>
        <v>2.1924550381384044E-4</v>
      </c>
      <c r="BU58" s="136">
        <f t="shared" si="279"/>
        <v>0.13223140495867769</v>
      </c>
      <c r="BV58" s="136">
        <f t="shared" si="279"/>
        <v>2.6446280991735537E-2</v>
      </c>
      <c r="BW58" s="136">
        <f t="shared" si="279"/>
        <v>2.7239669421487603E-2</v>
      </c>
      <c r="BX58" s="136">
        <f t="shared" si="279"/>
        <v>2.6446280991735537E-2</v>
      </c>
      <c r="BY58" s="136">
        <f t="shared" si="279"/>
        <v>2.6446280991735537E-2</v>
      </c>
      <c r="BZ58" s="136">
        <f t="shared" si="279"/>
        <v>2.6446280991735537E-2</v>
      </c>
      <c r="CA58" s="136">
        <f t="shared" si="279"/>
        <v>2.6446280991735537E-2</v>
      </c>
      <c r="CB58" s="136">
        <f t="shared" si="279"/>
        <v>2.7239669421487603E-2</v>
      </c>
      <c r="CC58" s="136">
        <f t="shared" si="279"/>
        <v>2.6446280991735537E-2</v>
      </c>
      <c r="CD58" s="136">
        <f t="shared" si="279"/>
        <v>2.7239669421487603E-2</v>
      </c>
      <c r="CE58" s="141"/>
      <c r="CF58" s="141"/>
      <c r="CG58" s="141"/>
      <c r="CH58" s="141"/>
      <c r="CI58" s="141"/>
      <c r="CJ58" s="141"/>
      <c r="CK58" s="141"/>
      <c r="CL58" s="141"/>
      <c r="CM58" s="141"/>
      <c r="CN58" s="141"/>
      <c r="CO58" s="141"/>
      <c r="CP58" s="141"/>
      <c r="CQ58" s="141"/>
      <c r="CR58" s="141"/>
      <c r="CS58" s="136">
        <f t="shared" ref="CS58" si="280">IFERROR(CS16/$B58,0)</f>
        <v>1.9302436709720458E-4</v>
      </c>
      <c r="CT58" s="149">
        <f>IFERROR(up_RadSpec!$M$16*CT16,".")*$B$58</f>
        <v>6875</v>
      </c>
      <c r="CU58" s="149">
        <f>IFERROR(up_RadSpec!$L$16*CU16,".")*$B$58</f>
        <v>1253.255208333333</v>
      </c>
      <c r="CV58" s="149">
        <f>IFERROR(up_RadSpec!$Q$16*CV16,".")*$B$58</f>
        <v>0.62785388127853881</v>
      </c>
      <c r="CW58" s="149">
        <f>up_b2w!BZ58</f>
        <v>114027.42389293101</v>
      </c>
      <c r="CX58" s="149">
        <f>IFERROR(up_RadSpec!$J$16*CX16,".")*$B$58</f>
        <v>189.0625</v>
      </c>
      <c r="CY58" s="149">
        <f>IFERROR(up_RadSpec!$J$16*CY16,".")*$B$58</f>
        <v>945.3125</v>
      </c>
      <c r="CZ58" s="149">
        <f>IFERROR(up_RadSpec!$J$16*CZ16,".")*$B$58</f>
        <v>917.77912621359224</v>
      </c>
      <c r="DA58" s="149">
        <f>IFERROR(up_RadSpec!$J$16*DA16,".")*$B$58</f>
        <v>945.3125</v>
      </c>
      <c r="DB58" s="149">
        <f>IFERROR(up_RadSpec!$J$16*DB16,".")*$B$58</f>
        <v>945.3125</v>
      </c>
      <c r="DC58" s="149">
        <f>IFERROR(up_RadSpec!$J$16*DC16,".")*$B$58</f>
        <v>945.3125</v>
      </c>
      <c r="DD58" s="149">
        <f>IFERROR(up_RadSpec!$J$16*DD16,".")*$B$58</f>
        <v>945.3125</v>
      </c>
      <c r="DE58" s="149">
        <f>IFERROR(up_RadSpec!$J$16*DE16,".")*$B$58</f>
        <v>917.77912621359224</v>
      </c>
      <c r="DF58" s="149">
        <f>IFERROR(up_RadSpec!$J$16*DF16,".")*$B$58</f>
        <v>945.3125</v>
      </c>
      <c r="DG58" s="149">
        <f>IFERROR(up_RadSpec!$J$16*DG16,".")*$B$58</f>
        <v>917.77912621359224</v>
      </c>
      <c r="DH58" s="150">
        <f t="shared" si="200"/>
        <v>0</v>
      </c>
      <c r="DI58" s="136">
        <f t="shared" ref="DI58:DK58" si="281">IFERROR(DI16/$B58,0)</f>
        <v>9.9740259740259754E-3</v>
      </c>
      <c r="DJ58" s="136">
        <f t="shared" si="281"/>
        <v>15.927272727272728</v>
      </c>
      <c r="DK58" s="136">
        <f t="shared" si="281"/>
        <v>9.9677839175609673E-3</v>
      </c>
      <c r="DL58" s="149">
        <f>IFERROR(up_RadSpec!$L$16*DL16,".")*$B$58</f>
        <v>2506.5104166666661</v>
      </c>
      <c r="DM58" s="149">
        <f>IFERROR(up_RadSpec!$O$16*DM16,".")*$B$58</f>
        <v>1.5696347031963471</v>
      </c>
      <c r="DN58" s="150">
        <f t="shared" si="93"/>
        <v>2508.0800513698623</v>
      </c>
    </row>
    <row r="59" spans="1:118" x14ac:dyDescent="0.25">
      <c r="A59" s="135" t="s">
        <v>1082</v>
      </c>
      <c r="B59" s="129">
        <v>1</v>
      </c>
      <c r="C59" s="136">
        <f t="shared" ref="C59:M59" si="282">IFERROR(C7/$B59,0)</f>
        <v>2.2038567493112948E-4</v>
      </c>
      <c r="D59" s="136">
        <f t="shared" si="282"/>
        <v>6.6115702479338848E-4</v>
      </c>
      <c r="E59" s="136">
        <f t="shared" si="282"/>
        <v>6.6115702479338848E-4</v>
      </c>
      <c r="F59" s="136">
        <f t="shared" si="282"/>
        <v>6.6115702479338848E-4</v>
      </c>
      <c r="G59" s="136">
        <f t="shared" si="282"/>
        <v>6.6115702479338848E-4</v>
      </c>
      <c r="H59" s="136">
        <f t="shared" si="282"/>
        <v>6.6115702479338848E-4</v>
      </c>
      <c r="I59" s="136">
        <f t="shared" si="282"/>
        <v>6.6115702479338848E-4</v>
      </c>
      <c r="J59" s="136">
        <f t="shared" si="282"/>
        <v>6.6115702479338848E-4</v>
      </c>
      <c r="K59" s="136">
        <f t="shared" si="282"/>
        <v>6.6115702479338848E-4</v>
      </c>
      <c r="L59" s="136">
        <f t="shared" si="282"/>
        <v>6.6115702479338848E-4</v>
      </c>
      <c r="M59" s="136">
        <f t="shared" si="282"/>
        <v>6.6115702479338848E-4</v>
      </c>
      <c r="N59" s="149">
        <f>up_dir!BA59</f>
        <v>113437.5</v>
      </c>
      <c r="O59" s="149">
        <f>IFERROR(up_RadSpec!$J$7*O7,".")*$B$59</f>
        <v>37812.5</v>
      </c>
      <c r="P59" s="149">
        <f>IFERROR(up_RadSpec!$J$7*P7,".")*$B$59</f>
        <v>37812.5</v>
      </c>
      <c r="Q59" s="149">
        <f>IFERROR(up_RadSpec!$J$7*Q7,".")*$B$59</f>
        <v>37812.5</v>
      </c>
      <c r="R59" s="149">
        <f>IFERROR(up_RadSpec!$J$7*R7,".")*$B$59</f>
        <v>37812.5</v>
      </c>
      <c r="S59" s="149">
        <f>IFERROR(up_RadSpec!$J$7*S7,".")*$B$59</f>
        <v>37812.5</v>
      </c>
      <c r="T59" s="149">
        <f>IFERROR(up_RadSpec!$J$7*T7,".")*$B$59</f>
        <v>37812.5</v>
      </c>
      <c r="U59" s="149">
        <f>IFERROR(up_RadSpec!$J$7*U7,".")*$B$59</f>
        <v>37812.5</v>
      </c>
      <c r="V59" s="149">
        <f>IFERROR(up_RadSpec!$J$7*V7,".")*$B$59</f>
        <v>37812.5</v>
      </c>
      <c r="W59" s="149">
        <f>IFERROR(up_RadSpec!$J$7*W7,".")*$B$59</f>
        <v>37812.5</v>
      </c>
      <c r="X59" s="149">
        <f>IFERROR(up_RadSpec!$J$7*X7,".")*$B$59</f>
        <v>37812.5</v>
      </c>
      <c r="Y59" s="136">
        <f t="shared" ref="Y59:AL59" si="283">IFERROR(Y7/$B59,0)</f>
        <v>0.33057851239669422</v>
      </c>
      <c r="Z59" s="136">
        <f t="shared" si="283"/>
        <v>3089.9917845330979</v>
      </c>
      <c r="AA59" s="136">
        <f t="shared" si="283"/>
        <v>382.68082282680808</v>
      </c>
      <c r="AB59" s="136">
        <f t="shared" si="283"/>
        <v>4.3958447178843029E-5</v>
      </c>
      <c r="AC59" s="136">
        <f t="shared" si="283"/>
        <v>6.6115702479338848E-4</v>
      </c>
      <c r="AD59" s="136">
        <f t="shared" si="283"/>
        <v>1.8558793678410905E-7</v>
      </c>
      <c r="AE59" s="136">
        <f t="shared" si="283"/>
        <v>1.9115557488763231E-7</v>
      </c>
      <c r="AF59" s="136">
        <f t="shared" si="283"/>
        <v>1.8558793678410905E-7</v>
      </c>
      <c r="AG59" s="136">
        <f t="shared" si="283"/>
        <v>1.8558793678410905E-7</v>
      </c>
      <c r="AH59" s="136">
        <f t="shared" si="283"/>
        <v>1.8558793678410905E-7</v>
      </c>
      <c r="AI59" s="136">
        <f t="shared" si="283"/>
        <v>1.8558793678410905E-7</v>
      </c>
      <c r="AJ59" s="136">
        <f t="shared" si="283"/>
        <v>1.9115557488763231E-7</v>
      </c>
      <c r="AK59" s="136">
        <f t="shared" si="283"/>
        <v>1.8558793678410905E-7</v>
      </c>
      <c r="AL59" s="136">
        <f t="shared" si="283"/>
        <v>1.9115557488763231E-7</v>
      </c>
      <c r="AM59" s="129"/>
      <c r="AN59" s="129"/>
      <c r="AO59" s="129"/>
      <c r="AP59" s="129"/>
      <c r="AQ59" s="129"/>
      <c r="AR59" s="129"/>
      <c r="AS59" s="129"/>
      <c r="AT59" s="129"/>
      <c r="AU59" s="129"/>
      <c r="AV59" s="129"/>
      <c r="AW59" s="129"/>
      <c r="AX59" s="129"/>
      <c r="AY59" s="129"/>
      <c r="AZ59" s="129"/>
      <c r="BA59" s="136">
        <f t="shared" ref="BA59" si="284">IFERROR(BA7/$B59,0)</f>
        <v>2.0812531709801277E-8</v>
      </c>
      <c r="BB59" s="149">
        <f>IFERROR(up_RadSpec!$I$7*BB7,".")*$B$59</f>
        <v>75.625</v>
      </c>
      <c r="BC59" s="149">
        <f>IFERROR(up_RadSpec!$L$7*BC7,".")*$B$59</f>
        <v>8.0906363975260659E-3</v>
      </c>
      <c r="BD59" s="149">
        <f>IFERROR(up_RadSpec!$K$7*BD7,".")*$B$59</f>
        <v>6.5328593722906211E-2</v>
      </c>
      <c r="BE59" s="149">
        <f>up_b2s!BZ59</f>
        <v>568718.90625</v>
      </c>
      <c r="BF59" s="149">
        <f>IFERROR(up_RadSpec!$J$7*BF7,".")*$B$59</f>
        <v>37812.5</v>
      </c>
      <c r="BG59" s="149">
        <f>IFERROR(up_RadSpec!$J$7*BG7,".")*$B$59</f>
        <v>134707031.25</v>
      </c>
      <c r="BH59" s="149">
        <f>IFERROR(up_RadSpec!$J$7*BH7,".")*$B$59</f>
        <v>130783525.4854369</v>
      </c>
      <c r="BI59" s="149">
        <f>IFERROR(up_RadSpec!$J$7*BI7,".")*$B$59</f>
        <v>134707031.25</v>
      </c>
      <c r="BJ59" s="149">
        <f>IFERROR(up_RadSpec!$J$7*BJ7,".")*$B$59</f>
        <v>134707031.25</v>
      </c>
      <c r="BK59" s="149">
        <f>IFERROR(up_RadSpec!$J$7*BK7,".")*$B$59</f>
        <v>134707031.25</v>
      </c>
      <c r="BL59" s="149">
        <f>IFERROR(up_RadSpec!$J$7*BL7,".")*$B$59</f>
        <v>134707031.25</v>
      </c>
      <c r="BM59" s="149">
        <f>IFERROR(up_RadSpec!$J$7*BM7,".")*$B$59</f>
        <v>130783525.4854369</v>
      </c>
      <c r="BN59" s="149">
        <f>IFERROR(up_RadSpec!$J$7*BN7,".")*$B$59</f>
        <v>134707031.25</v>
      </c>
      <c r="BO59" s="149">
        <f>IFERROR(up_RadSpec!$J$7*BO7,".")*$B$59</f>
        <v>130783525.4854369</v>
      </c>
      <c r="BP59" s="150">
        <f t="shared" si="89"/>
        <v>1201199371.0609798</v>
      </c>
      <c r="BQ59" s="136">
        <f t="shared" ref="BQ59:CD59" si="285">IFERROR(BQ7/$B59,0)</f>
        <v>3.6363636363636364E-3</v>
      </c>
      <c r="BR59" s="136">
        <f t="shared" si="285"/>
        <v>0</v>
      </c>
      <c r="BS59" s="136">
        <f t="shared" si="285"/>
        <v>39.81818181818182</v>
      </c>
      <c r="BT59" s="136">
        <f t="shared" si="285"/>
        <v>2.1924550381384044E-4</v>
      </c>
      <c r="BU59" s="136">
        <f t="shared" si="285"/>
        <v>0.13223140495867769</v>
      </c>
      <c r="BV59" s="136">
        <f t="shared" si="285"/>
        <v>2.6446280991735537E-2</v>
      </c>
      <c r="BW59" s="136">
        <f t="shared" si="285"/>
        <v>2.7239669421487603E-2</v>
      </c>
      <c r="BX59" s="136">
        <f t="shared" si="285"/>
        <v>2.6446280991735537E-2</v>
      </c>
      <c r="BY59" s="136">
        <f t="shared" si="285"/>
        <v>2.6446280991735537E-2</v>
      </c>
      <c r="BZ59" s="136">
        <f t="shared" si="285"/>
        <v>2.6446280991735537E-2</v>
      </c>
      <c r="CA59" s="136">
        <f t="shared" si="285"/>
        <v>2.6446280991735537E-2</v>
      </c>
      <c r="CB59" s="136">
        <f t="shared" si="285"/>
        <v>2.7239669421487603E-2</v>
      </c>
      <c r="CC59" s="136">
        <f t="shared" si="285"/>
        <v>2.6446280991735537E-2</v>
      </c>
      <c r="CD59" s="136">
        <f t="shared" si="285"/>
        <v>2.7239669421487603E-2</v>
      </c>
      <c r="CE59" s="141"/>
      <c r="CF59" s="141"/>
      <c r="CG59" s="141"/>
      <c r="CH59" s="141"/>
      <c r="CI59" s="141"/>
      <c r="CJ59" s="141"/>
      <c r="CK59" s="141"/>
      <c r="CL59" s="141"/>
      <c r="CM59" s="141"/>
      <c r="CN59" s="141"/>
      <c r="CO59" s="141"/>
      <c r="CP59" s="141"/>
      <c r="CQ59" s="141"/>
      <c r="CR59" s="141"/>
      <c r="CS59" s="136">
        <f t="shared" ref="CS59" si="286">IFERROR(CS7/$B59,0)</f>
        <v>1.9302436709720458E-4</v>
      </c>
      <c r="CT59" s="149">
        <f>IFERROR(up_RadSpec!$M$7*CT7,".")*$B$59</f>
        <v>6875</v>
      </c>
      <c r="CU59" s="149">
        <f>IFERROR(up_RadSpec!$L$7*CU7,".")*$B$59</f>
        <v>1253.255208333333</v>
      </c>
      <c r="CV59" s="149">
        <f>IFERROR(up_RadSpec!$Q$7*CV7,".")*$B$59</f>
        <v>0.62785388127853881</v>
      </c>
      <c r="CW59" s="149">
        <f>up_b2w!BZ59</f>
        <v>114027.42389293101</v>
      </c>
      <c r="CX59" s="149">
        <f>IFERROR(up_RadSpec!$J$7*CX7,".")*$B$59</f>
        <v>189.0625</v>
      </c>
      <c r="CY59" s="149">
        <f>IFERROR(up_RadSpec!$J$7*CY7,".")*$B$59</f>
        <v>945.3125</v>
      </c>
      <c r="CZ59" s="149">
        <f>IFERROR(up_RadSpec!$J$7*CZ7,".")*$B$59</f>
        <v>917.77912621359224</v>
      </c>
      <c r="DA59" s="149">
        <f>IFERROR(up_RadSpec!$J$7*DA7,".")*$B$59</f>
        <v>945.3125</v>
      </c>
      <c r="DB59" s="149">
        <f>IFERROR(up_RadSpec!$J$7*DB7,".")*$B$59</f>
        <v>945.3125</v>
      </c>
      <c r="DC59" s="149">
        <f>IFERROR(up_RadSpec!$J$7*DC7,".")*$B$59</f>
        <v>945.3125</v>
      </c>
      <c r="DD59" s="149">
        <f>IFERROR(up_RadSpec!$J$7*DD7,".")*$B$59</f>
        <v>945.3125</v>
      </c>
      <c r="DE59" s="149">
        <f>IFERROR(up_RadSpec!$J$7*DE7,".")*$B$59</f>
        <v>917.77912621359224</v>
      </c>
      <c r="DF59" s="149">
        <f>IFERROR(up_RadSpec!$J$7*DF7,".")*$B$59</f>
        <v>945.3125</v>
      </c>
      <c r="DG59" s="149">
        <f>IFERROR(up_RadSpec!$J$7*DG7,".")*$B$59</f>
        <v>917.77912621359224</v>
      </c>
      <c r="DH59" s="150">
        <f t="shared" si="200"/>
        <v>0</v>
      </c>
      <c r="DI59" s="136">
        <f t="shared" ref="DI59:DK59" si="287">IFERROR(DI7/$B59,0)</f>
        <v>9.9740259740259754E-3</v>
      </c>
      <c r="DJ59" s="136">
        <f t="shared" si="287"/>
        <v>15.927272727272728</v>
      </c>
      <c r="DK59" s="136">
        <f t="shared" si="287"/>
        <v>9.9677839175609673E-3</v>
      </c>
      <c r="DL59" s="149">
        <f>IFERROR(up_RadSpec!$L$7*DL7,".")*$B$59</f>
        <v>2506.5104166666661</v>
      </c>
      <c r="DM59" s="149">
        <f>IFERROR(up_RadSpec!$O$7*DM7,".")*$B$59</f>
        <v>1.5696347031963471</v>
      </c>
      <c r="DN59" s="150">
        <f t="shared" si="93"/>
        <v>2508.0800513698623</v>
      </c>
    </row>
    <row r="60" spans="1:118" x14ac:dyDescent="0.25">
      <c r="A60" s="135" t="s">
        <v>1083</v>
      </c>
      <c r="B60" s="129">
        <v>1.9000000000000001E-8</v>
      </c>
      <c r="C60" s="136">
        <f t="shared" ref="C60:M60" si="288">IFERROR(C12/$B60,0)</f>
        <v>11599.246049006813</v>
      </c>
      <c r="D60" s="136">
        <f t="shared" si="288"/>
        <v>34797.738147020442</v>
      </c>
      <c r="E60" s="136">
        <f t="shared" si="288"/>
        <v>34797.738147020442</v>
      </c>
      <c r="F60" s="136">
        <f t="shared" si="288"/>
        <v>34797.738147020442</v>
      </c>
      <c r="G60" s="136">
        <f t="shared" si="288"/>
        <v>34797.738147020442</v>
      </c>
      <c r="H60" s="136">
        <f t="shared" si="288"/>
        <v>34797.738147020442</v>
      </c>
      <c r="I60" s="136">
        <f t="shared" si="288"/>
        <v>34797.738147020442</v>
      </c>
      <c r="J60" s="136">
        <f t="shared" si="288"/>
        <v>34797.738147020442</v>
      </c>
      <c r="K60" s="136">
        <f t="shared" si="288"/>
        <v>34797.738147020442</v>
      </c>
      <c r="L60" s="136">
        <f t="shared" si="288"/>
        <v>34797.738147020442</v>
      </c>
      <c r="M60" s="136">
        <f t="shared" si="288"/>
        <v>34797.738147020442</v>
      </c>
      <c r="N60" s="149">
        <f>up_dir!BA60</f>
        <v>2.1553125000000001E-3</v>
      </c>
      <c r="O60" s="149">
        <f>IFERROR(up_RadSpec!$J$12*O12,".")*$B$60</f>
        <v>7.184375E-4</v>
      </c>
      <c r="P60" s="149">
        <f>IFERROR(up_RadSpec!$J$12*P12,".")*$B$60</f>
        <v>7.184375E-4</v>
      </c>
      <c r="Q60" s="149">
        <f>IFERROR(up_RadSpec!$J$12*Q12,".")*$B$60</f>
        <v>7.184375E-4</v>
      </c>
      <c r="R60" s="149">
        <f>IFERROR(up_RadSpec!$J$12*R12,".")*$B$60</f>
        <v>7.184375E-4</v>
      </c>
      <c r="S60" s="149">
        <f>IFERROR(up_RadSpec!$J$12*S12,".")*$B$60</f>
        <v>7.184375E-4</v>
      </c>
      <c r="T60" s="149">
        <f>IFERROR(up_RadSpec!$J$12*T12,".")*$B$60</f>
        <v>7.184375E-4</v>
      </c>
      <c r="U60" s="149">
        <f>IFERROR(up_RadSpec!$J$12*U12,".")*$B$60</f>
        <v>7.184375E-4</v>
      </c>
      <c r="V60" s="149">
        <f>IFERROR(up_RadSpec!$J$12*V12,".")*$B$60</f>
        <v>7.184375E-4</v>
      </c>
      <c r="W60" s="149">
        <f>IFERROR(up_RadSpec!$J$12*W12,".")*$B$60</f>
        <v>7.184375E-4</v>
      </c>
      <c r="X60" s="149">
        <f>IFERROR(up_RadSpec!$J$12*X12,".")*$B$60</f>
        <v>7.184375E-4</v>
      </c>
      <c r="Y60" s="136">
        <f t="shared" ref="Y60:AL60" si="289">IFERROR(Y12/$B60,0)</f>
        <v>17398869.073510222</v>
      </c>
      <c r="Z60" s="136">
        <f t="shared" si="289"/>
        <v>162631146554.37357</v>
      </c>
      <c r="AA60" s="136">
        <f t="shared" si="289"/>
        <v>15632030333.122686</v>
      </c>
      <c r="AB60" s="136">
        <f t="shared" si="289"/>
        <v>2313.6024830970014</v>
      </c>
      <c r="AC60" s="136">
        <f t="shared" si="289"/>
        <v>34797.738147020442</v>
      </c>
      <c r="AD60" s="136">
        <f t="shared" si="289"/>
        <v>9.767786146532055</v>
      </c>
      <c r="AE60" s="136">
        <f t="shared" si="289"/>
        <v>10.060819730928015</v>
      </c>
      <c r="AF60" s="136">
        <f t="shared" si="289"/>
        <v>9.767786146532055</v>
      </c>
      <c r="AG60" s="136">
        <f t="shared" si="289"/>
        <v>9.767786146532055</v>
      </c>
      <c r="AH60" s="136">
        <f t="shared" si="289"/>
        <v>9.767786146532055</v>
      </c>
      <c r="AI60" s="136">
        <f t="shared" si="289"/>
        <v>9.767786146532055</v>
      </c>
      <c r="AJ60" s="136">
        <f t="shared" si="289"/>
        <v>10.060819730928015</v>
      </c>
      <c r="AK60" s="136">
        <f t="shared" si="289"/>
        <v>9.767786146532055</v>
      </c>
      <c r="AL60" s="136">
        <f t="shared" si="289"/>
        <v>10.060819730928015</v>
      </c>
      <c r="AM60" s="129"/>
      <c r="AN60" s="129"/>
      <c r="AO60" s="129"/>
      <c r="AP60" s="129"/>
      <c r="AQ60" s="129"/>
      <c r="AR60" s="129"/>
      <c r="AS60" s="129"/>
      <c r="AT60" s="129"/>
      <c r="AU60" s="129"/>
      <c r="AV60" s="129"/>
      <c r="AW60" s="129"/>
      <c r="AX60" s="129"/>
      <c r="AY60" s="129"/>
      <c r="AZ60" s="129"/>
      <c r="BA60" s="136">
        <f t="shared" ref="BA60" si="290">IFERROR(BA12/$B60,0)</f>
        <v>1.0953964057618304</v>
      </c>
      <c r="BB60" s="149">
        <f>IFERROR(up_RadSpec!$I$12*BB12,".")*$B$60</f>
        <v>1.4368750000000001E-6</v>
      </c>
      <c r="BC60" s="149">
        <f>IFERROR(up_RadSpec!$L$12*BC12,".")*$B$60</f>
        <v>1.5372209155299527E-10</v>
      </c>
      <c r="BD60" s="149">
        <f>IFERROR(up_RadSpec!$K$12*BD12,".")*$B$60</f>
        <v>1.5992804176580659E-9</v>
      </c>
      <c r="BE60" s="149">
        <f>up_b2s!BZ60</f>
        <v>1.0805659218750001E-2</v>
      </c>
      <c r="BF60" s="149">
        <f>IFERROR(up_RadSpec!$J$12*BF12,".")*$B$60</f>
        <v>7.184375E-4</v>
      </c>
      <c r="BG60" s="149">
        <f>IFERROR(up_RadSpec!$J$12*BG12,".")*$B$60</f>
        <v>2.5594335937500001</v>
      </c>
      <c r="BH60" s="149">
        <f>IFERROR(up_RadSpec!$J$12*BH12,".")*$B$60</f>
        <v>2.4848869842233015</v>
      </c>
      <c r="BI60" s="149">
        <f>IFERROR(up_RadSpec!$J$12*BI12,".")*$B$60</f>
        <v>2.5594335937500001</v>
      </c>
      <c r="BJ60" s="149">
        <f>IFERROR(up_RadSpec!$J$12*BJ12,".")*$B$60</f>
        <v>2.5594335937500001</v>
      </c>
      <c r="BK60" s="149">
        <f>IFERROR(up_RadSpec!$J$12*BK12,".")*$B$60</f>
        <v>2.5594335937500001</v>
      </c>
      <c r="BL60" s="149">
        <f>IFERROR(up_RadSpec!$J$12*BL12,".")*$B$60</f>
        <v>2.5594335937500001</v>
      </c>
      <c r="BM60" s="149">
        <f>IFERROR(up_RadSpec!$J$12*BM12,".")*$B$60</f>
        <v>2.4848869842233015</v>
      </c>
      <c r="BN60" s="149">
        <f>IFERROR(up_RadSpec!$J$12*BN12,".")*$B$60</f>
        <v>2.5594335937500001</v>
      </c>
      <c r="BO60" s="149">
        <f>IFERROR(up_RadSpec!$J$12*BO12,".")*$B$60</f>
        <v>2.4848869842233015</v>
      </c>
      <c r="BP60" s="150">
        <f t="shared" si="89"/>
        <v>22.82278805051666</v>
      </c>
      <c r="BQ60" s="136">
        <f t="shared" ref="BQ60:CD60" si="291">IFERROR(BQ12/$B60,0)</f>
        <v>191387.55980861242</v>
      </c>
      <c r="BR60" s="136">
        <f t="shared" si="291"/>
        <v>0</v>
      </c>
      <c r="BS60" s="136">
        <f t="shared" si="291"/>
        <v>2095693779.9043062</v>
      </c>
      <c r="BT60" s="136">
        <f t="shared" si="291"/>
        <v>11539.237042833707</v>
      </c>
      <c r="BU60" s="136">
        <f t="shared" si="291"/>
        <v>6959547.6294040885</v>
      </c>
      <c r="BV60" s="136">
        <f t="shared" si="291"/>
        <v>1391909.5258808176</v>
      </c>
      <c r="BW60" s="136">
        <f t="shared" si="291"/>
        <v>1433666.8116572422</v>
      </c>
      <c r="BX60" s="136">
        <f t="shared" si="291"/>
        <v>1391909.5258808176</v>
      </c>
      <c r="BY60" s="136">
        <f t="shared" si="291"/>
        <v>1391909.5258808176</v>
      </c>
      <c r="BZ60" s="136">
        <f t="shared" si="291"/>
        <v>1391909.5258808176</v>
      </c>
      <c r="CA60" s="136">
        <f t="shared" si="291"/>
        <v>1391909.5258808176</v>
      </c>
      <c r="CB60" s="136">
        <f t="shared" si="291"/>
        <v>1433666.8116572422</v>
      </c>
      <c r="CC60" s="136">
        <f t="shared" si="291"/>
        <v>1391909.5258808176</v>
      </c>
      <c r="CD60" s="136">
        <f t="shared" si="291"/>
        <v>1433666.8116572422</v>
      </c>
      <c r="CE60" s="141"/>
      <c r="CF60" s="141"/>
      <c r="CG60" s="141"/>
      <c r="CH60" s="141"/>
      <c r="CI60" s="141"/>
      <c r="CJ60" s="141"/>
      <c r="CK60" s="141"/>
      <c r="CL60" s="141"/>
      <c r="CM60" s="141"/>
      <c r="CN60" s="141"/>
      <c r="CO60" s="141"/>
      <c r="CP60" s="141"/>
      <c r="CQ60" s="141"/>
      <c r="CR60" s="141"/>
      <c r="CS60" s="136">
        <f t="shared" ref="CS60" si="292">IFERROR(CS12/$B60,0)</f>
        <v>10159.177215642345</v>
      </c>
      <c r="CT60" s="149">
        <f>IFERROR(up_RadSpec!$M$12*CT12,".")*$B$60</f>
        <v>1.3062500000000002E-4</v>
      </c>
      <c r="CU60" s="149">
        <f>IFERROR(up_RadSpec!$L$12*CU12,".")*$B$60</f>
        <v>2.381184895833333E-5</v>
      </c>
      <c r="CV60" s="149">
        <f>IFERROR(up_RadSpec!$Q$12*CV12,".")*$B$60</f>
        <v>1.1929223744292239E-8</v>
      </c>
      <c r="CW60" s="149">
        <f>up_b2w!BZ60</f>
        <v>2.1665210539656894E-3</v>
      </c>
      <c r="CX60" s="149">
        <f>IFERROR(up_RadSpec!$J$12*CX12,".")*$B$60</f>
        <v>3.5921875000000001E-6</v>
      </c>
      <c r="CY60" s="149">
        <f>IFERROR(up_RadSpec!$J$12*CY12,".")*$B$60</f>
        <v>1.7960937500000002E-5</v>
      </c>
      <c r="CZ60" s="149">
        <f>IFERROR(up_RadSpec!$J$12*CZ12,".")*$B$60</f>
        <v>1.7437803398058254E-5</v>
      </c>
      <c r="DA60" s="149">
        <f>IFERROR(up_RadSpec!$J$12*DA12,".")*$B$60</f>
        <v>1.7960937500000002E-5</v>
      </c>
      <c r="DB60" s="149">
        <f>IFERROR(up_RadSpec!$J$12*DB12,".")*$B$60</f>
        <v>1.7960937500000002E-5</v>
      </c>
      <c r="DC60" s="149">
        <f>IFERROR(up_RadSpec!$J$12*DC12,".")*$B$60</f>
        <v>1.7960937500000002E-5</v>
      </c>
      <c r="DD60" s="149">
        <f>IFERROR(up_RadSpec!$J$12*DD12,".")*$B$60</f>
        <v>1.7960937500000002E-5</v>
      </c>
      <c r="DE60" s="149">
        <f>IFERROR(up_RadSpec!$J$12*DE12,".")*$B$60</f>
        <v>1.7437803398058254E-5</v>
      </c>
      <c r="DF60" s="149">
        <f>IFERROR(up_RadSpec!$J$12*DF12,".")*$B$60</f>
        <v>1.7960937500000002E-5</v>
      </c>
      <c r="DG60" s="149">
        <f>IFERROR(up_RadSpec!$J$12*DG12,".")*$B$60</f>
        <v>1.7437803398058254E-5</v>
      </c>
      <c r="DH60" s="150">
        <f t="shared" si="200"/>
        <v>0</v>
      </c>
      <c r="DI60" s="136">
        <f t="shared" ref="DI60:DK60" si="293">IFERROR(DI12/$B60,0)</f>
        <v>524948.73547505133</v>
      </c>
      <c r="DJ60" s="136">
        <f t="shared" si="293"/>
        <v>838277511.96172249</v>
      </c>
      <c r="DK60" s="136">
        <f t="shared" si="293"/>
        <v>524620.20618741924</v>
      </c>
      <c r="DL60" s="149">
        <f>IFERROR(up_RadSpec!$L$12*DL12,".")*$B$60</f>
        <v>4.762369791666666E-5</v>
      </c>
      <c r="DM60" s="149">
        <f>IFERROR(up_RadSpec!$O$12*DM12,".")*$B$60</f>
        <v>2.9823059360730597E-8</v>
      </c>
      <c r="DN60" s="150">
        <f t="shared" si="93"/>
        <v>4.7653520976027393E-5</v>
      </c>
    </row>
    <row r="61" spans="1:118" x14ac:dyDescent="0.25">
      <c r="A61" s="135" t="s">
        <v>1084</v>
      </c>
      <c r="B61" s="129">
        <v>1</v>
      </c>
      <c r="C61" s="136">
        <f t="shared" ref="C61:M61" si="294">IFERROR(C18/$B61,0)</f>
        <v>2.2038567493112948E-4</v>
      </c>
      <c r="D61" s="136">
        <f t="shared" si="294"/>
        <v>6.6115702479338848E-4</v>
      </c>
      <c r="E61" s="136">
        <f t="shared" si="294"/>
        <v>6.6115702479338848E-4</v>
      </c>
      <c r="F61" s="136">
        <f t="shared" si="294"/>
        <v>6.6115702479338848E-4</v>
      </c>
      <c r="G61" s="136">
        <f t="shared" si="294"/>
        <v>6.6115702479338848E-4</v>
      </c>
      <c r="H61" s="136">
        <f t="shared" si="294"/>
        <v>6.6115702479338848E-4</v>
      </c>
      <c r="I61" s="136">
        <f t="shared" si="294"/>
        <v>6.6115702479338848E-4</v>
      </c>
      <c r="J61" s="136">
        <f t="shared" si="294"/>
        <v>6.6115702479338848E-4</v>
      </c>
      <c r="K61" s="136">
        <f t="shared" si="294"/>
        <v>6.6115702479338848E-4</v>
      </c>
      <c r="L61" s="136">
        <f t="shared" si="294"/>
        <v>6.6115702479338848E-4</v>
      </c>
      <c r="M61" s="136">
        <f t="shared" si="294"/>
        <v>6.6115702479338848E-4</v>
      </c>
      <c r="N61" s="149">
        <f>up_dir!BA61</f>
        <v>113437.5</v>
      </c>
      <c r="O61" s="149">
        <f>IFERROR(up_RadSpec!$J$18*O18,".")*$B$61</f>
        <v>37812.5</v>
      </c>
      <c r="P61" s="149">
        <f>IFERROR(up_RadSpec!$J$18*P18,".")*$B$61</f>
        <v>37812.5</v>
      </c>
      <c r="Q61" s="149">
        <f>IFERROR(up_RadSpec!$J$18*Q18,".")*$B$61</f>
        <v>37812.5</v>
      </c>
      <c r="R61" s="149">
        <f>IFERROR(up_RadSpec!$J$18*R18,".")*$B$61</f>
        <v>37812.5</v>
      </c>
      <c r="S61" s="149">
        <f>IFERROR(up_RadSpec!$J$18*S18,".")*$B$61</f>
        <v>37812.5</v>
      </c>
      <c r="T61" s="149">
        <f>IFERROR(up_RadSpec!$J$18*T18,".")*$B$61</f>
        <v>37812.5</v>
      </c>
      <c r="U61" s="149">
        <f>IFERROR(up_RadSpec!$J$18*U18,".")*$B$61</f>
        <v>37812.5</v>
      </c>
      <c r="V61" s="149">
        <f>IFERROR(up_RadSpec!$J$18*V18,".")*$B$61</f>
        <v>37812.5</v>
      </c>
      <c r="W61" s="149">
        <f>IFERROR(up_RadSpec!$J$18*W18,".")*$B$61</f>
        <v>37812.5</v>
      </c>
      <c r="X61" s="149">
        <f>IFERROR(up_RadSpec!$J$18*X18,".")*$B$61</f>
        <v>37812.5</v>
      </c>
      <c r="Y61" s="136">
        <f t="shared" ref="Y61:AL61" si="295">IFERROR(Y18/$B61,0)</f>
        <v>0.33057851239669422</v>
      </c>
      <c r="Z61" s="136">
        <f t="shared" si="295"/>
        <v>3089.9917845330979</v>
      </c>
      <c r="AA61" s="136">
        <f t="shared" si="295"/>
        <v>149.24627075710671</v>
      </c>
      <c r="AB61" s="136">
        <f t="shared" si="295"/>
        <v>4.3958447178843029E-5</v>
      </c>
      <c r="AC61" s="136">
        <f t="shared" si="295"/>
        <v>6.6115702479338848E-4</v>
      </c>
      <c r="AD61" s="136">
        <f t="shared" si="295"/>
        <v>1.8558793678410905E-7</v>
      </c>
      <c r="AE61" s="136">
        <f t="shared" si="295"/>
        <v>1.9115557488763231E-7</v>
      </c>
      <c r="AF61" s="136">
        <f t="shared" si="295"/>
        <v>1.8558793678410905E-7</v>
      </c>
      <c r="AG61" s="136">
        <f t="shared" si="295"/>
        <v>1.8558793678410905E-7</v>
      </c>
      <c r="AH61" s="136">
        <f t="shared" si="295"/>
        <v>1.8558793678410905E-7</v>
      </c>
      <c r="AI61" s="136">
        <f t="shared" si="295"/>
        <v>1.8558793678410905E-7</v>
      </c>
      <c r="AJ61" s="136">
        <f t="shared" si="295"/>
        <v>1.9115557488763231E-7</v>
      </c>
      <c r="AK61" s="136">
        <f t="shared" si="295"/>
        <v>1.8558793678410905E-7</v>
      </c>
      <c r="AL61" s="136">
        <f t="shared" si="295"/>
        <v>1.9115557488763231E-7</v>
      </c>
      <c r="AM61" s="129"/>
      <c r="AN61" s="129"/>
      <c r="AO61" s="129"/>
      <c r="AP61" s="129"/>
      <c r="AQ61" s="129"/>
      <c r="AR61" s="129"/>
      <c r="AS61" s="129"/>
      <c r="AT61" s="129"/>
      <c r="AU61" s="129"/>
      <c r="AV61" s="129"/>
      <c r="AW61" s="129"/>
      <c r="AX61" s="129"/>
      <c r="AY61" s="129"/>
      <c r="AZ61" s="129"/>
      <c r="BA61" s="136">
        <f t="shared" ref="BA61" si="296">IFERROR(BA18/$B61,0)</f>
        <v>2.0812531708030869E-8</v>
      </c>
      <c r="BB61" s="149">
        <f>IFERROR(up_RadSpec!$I$18*BB18,".")*$B$61</f>
        <v>75.625</v>
      </c>
      <c r="BC61" s="149">
        <f>IFERROR(up_RadSpec!$L$18*BC18,".")*$B$61</f>
        <v>8.0906363975260659E-3</v>
      </c>
      <c r="BD61" s="149">
        <f>IFERROR(up_RadSpec!$K$18*BD18,".")*$B$61</f>
        <v>0.16750837306137223</v>
      </c>
      <c r="BE61" s="149">
        <f>up_b2s!BZ61</f>
        <v>568718.90625</v>
      </c>
      <c r="BF61" s="149">
        <f>IFERROR(up_RadSpec!$J$18*BF18,".")*$B$61</f>
        <v>37812.5</v>
      </c>
      <c r="BG61" s="149">
        <f>IFERROR(up_RadSpec!$J$18*BG18,".")*$B$61</f>
        <v>134707031.25</v>
      </c>
      <c r="BH61" s="149">
        <f>IFERROR(up_RadSpec!$J$18*BH18,".")*$B$61</f>
        <v>130783525.4854369</v>
      </c>
      <c r="BI61" s="149">
        <f>IFERROR(up_RadSpec!$J$18*BI18,".")*$B$61</f>
        <v>134707031.25</v>
      </c>
      <c r="BJ61" s="149">
        <f>IFERROR(up_RadSpec!$J$18*BJ18,".")*$B$61</f>
        <v>134707031.25</v>
      </c>
      <c r="BK61" s="149">
        <f>IFERROR(up_RadSpec!$J$18*BK18,".")*$B$61</f>
        <v>134707031.25</v>
      </c>
      <c r="BL61" s="149">
        <f>IFERROR(up_RadSpec!$J$18*BL18,".")*$B$61</f>
        <v>134707031.25</v>
      </c>
      <c r="BM61" s="149">
        <f>IFERROR(up_RadSpec!$J$18*BM18,".")*$B$61</f>
        <v>130783525.4854369</v>
      </c>
      <c r="BN61" s="149">
        <f>IFERROR(up_RadSpec!$J$18*BN18,".")*$B$61</f>
        <v>134707031.25</v>
      </c>
      <c r="BO61" s="149">
        <f>IFERROR(up_RadSpec!$J$18*BO18,".")*$B$61</f>
        <v>130783525.4854369</v>
      </c>
      <c r="BP61" s="150">
        <f t="shared" si="89"/>
        <v>1201199371.1631596</v>
      </c>
      <c r="BQ61" s="136">
        <f t="shared" ref="BQ61:CD61" si="297">IFERROR(BQ18/$B61,0)</f>
        <v>3.6363636363636364E-3</v>
      </c>
      <c r="BR61" s="136">
        <f t="shared" si="297"/>
        <v>0</v>
      </c>
      <c r="BS61" s="136">
        <f t="shared" si="297"/>
        <v>39.81818181818182</v>
      </c>
      <c r="BT61" s="136">
        <f t="shared" si="297"/>
        <v>2.1924550381384044E-4</v>
      </c>
      <c r="BU61" s="136">
        <f t="shared" si="297"/>
        <v>0.13223140495867769</v>
      </c>
      <c r="BV61" s="136">
        <f t="shared" si="297"/>
        <v>2.6446280991735537E-2</v>
      </c>
      <c r="BW61" s="136">
        <f t="shared" si="297"/>
        <v>2.7239669421487603E-2</v>
      </c>
      <c r="BX61" s="136">
        <f t="shared" si="297"/>
        <v>2.6446280991735537E-2</v>
      </c>
      <c r="BY61" s="136">
        <f t="shared" si="297"/>
        <v>2.6446280991735537E-2</v>
      </c>
      <c r="BZ61" s="136">
        <f t="shared" si="297"/>
        <v>2.6446280991735537E-2</v>
      </c>
      <c r="CA61" s="136">
        <f t="shared" si="297"/>
        <v>2.6446280991735537E-2</v>
      </c>
      <c r="CB61" s="136">
        <f t="shared" si="297"/>
        <v>2.7239669421487603E-2</v>
      </c>
      <c r="CC61" s="136">
        <f t="shared" si="297"/>
        <v>2.6446280991735537E-2</v>
      </c>
      <c r="CD61" s="136">
        <f t="shared" si="297"/>
        <v>2.7239669421487603E-2</v>
      </c>
      <c r="CE61" s="141"/>
      <c r="CF61" s="141"/>
      <c r="CG61" s="141"/>
      <c r="CH61" s="141"/>
      <c r="CI61" s="141"/>
      <c r="CJ61" s="141"/>
      <c r="CK61" s="141"/>
      <c r="CL61" s="141"/>
      <c r="CM61" s="141"/>
      <c r="CN61" s="141"/>
      <c r="CO61" s="141"/>
      <c r="CP61" s="141"/>
      <c r="CQ61" s="141"/>
      <c r="CR61" s="141"/>
      <c r="CS61" s="136">
        <f t="shared" ref="CS61" si="298">IFERROR(CS18/$B61,0)</f>
        <v>1.9302436709720458E-4</v>
      </c>
      <c r="CT61" s="149">
        <f>IFERROR(up_RadSpec!$M$18*CT18,".")*$B$61</f>
        <v>6875</v>
      </c>
      <c r="CU61" s="149">
        <f>IFERROR(up_RadSpec!$L$18*CU18,".")*$B$61</f>
        <v>1253.255208333333</v>
      </c>
      <c r="CV61" s="149">
        <f>IFERROR(up_RadSpec!$Q$18*CV18,".")*$B$61</f>
        <v>0.62785388127853881</v>
      </c>
      <c r="CW61" s="149">
        <f>up_b2w!BZ61</f>
        <v>114027.42389293101</v>
      </c>
      <c r="CX61" s="149">
        <f>IFERROR(up_RadSpec!$J$18*CX18,".")*$B$61</f>
        <v>189.0625</v>
      </c>
      <c r="CY61" s="149">
        <f>IFERROR(up_RadSpec!$J$18*CY18,".")*$B$61</f>
        <v>945.3125</v>
      </c>
      <c r="CZ61" s="149">
        <f>IFERROR(up_RadSpec!$J$18*CZ18,".")*$B$61</f>
        <v>917.77912621359224</v>
      </c>
      <c r="DA61" s="149">
        <f>IFERROR(up_RadSpec!$J$18*DA18,".")*$B$61</f>
        <v>945.3125</v>
      </c>
      <c r="DB61" s="149">
        <f>IFERROR(up_RadSpec!$J$18*DB18,".")*$B$61</f>
        <v>945.3125</v>
      </c>
      <c r="DC61" s="149">
        <f>IFERROR(up_RadSpec!$J$18*DC18,".")*$B$61</f>
        <v>945.3125</v>
      </c>
      <c r="DD61" s="149">
        <f>IFERROR(up_RadSpec!$J$18*DD18,".")*$B$61</f>
        <v>945.3125</v>
      </c>
      <c r="DE61" s="149">
        <f>IFERROR(up_RadSpec!$J$18*DE18,".")*$B$61</f>
        <v>917.77912621359224</v>
      </c>
      <c r="DF61" s="149">
        <f>IFERROR(up_RadSpec!$J$18*DF18,".")*$B$61</f>
        <v>945.3125</v>
      </c>
      <c r="DG61" s="149">
        <f>IFERROR(up_RadSpec!$J$18*DG18,".")*$B$61</f>
        <v>917.77912621359224</v>
      </c>
      <c r="DH61" s="150">
        <f t="shared" si="200"/>
        <v>0</v>
      </c>
      <c r="DI61" s="136">
        <f t="shared" ref="DI61:DK61" si="299">IFERROR(DI18/$B61,0)</f>
        <v>9.9740259740259754E-3</v>
      </c>
      <c r="DJ61" s="136">
        <f t="shared" si="299"/>
        <v>15.927272727272728</v>
      </c>
      <c r="DK61" s="136">
        <f t="shared" si="299"/>
        <v>9.9677839175609673E-3</v>
      </c>
      <c r="DL61" s="149">
        <f>IFERROR(up_RadSpec!$L$18*DL18,".")*$B$61</f>
        <v>2506.5104166666661</v>
      </c>
      <c r="DM61" s="149">
        <f>IFERROR(up_RadSpec!$O$18*DM18,".")*$B$61</f>
        <v>1.5696347031963471</v>
      </c>
      <c r="DN61" s="150">
        <f t="shared" si="93"/>
        <v>2508.0800513698623</v>
      </c>
    </row>
    <row r="62" spans="1:118" x14ac:dyDescent="0.25">
      <c r="A62" s="135" t="s">
        <v>1085</v>
      </c>
      <c r="B62" s="129">
        <v>1.339E-6</v>
      </c>
      <c r="C62" s="136">
        <f t="shared" ref="C62:M62" si="300">IFERROR(C27/$B62,0)</f>
        <v>164.5897497618592</v>
      </c>
      <c r="D62" s="136">
        <f t="shared" si="300"/>
        <v>493.76924928557764</v>
      </c>
      <c r="E62" s="136">
        <f t="shared" si="300"/>
        <v>493.76924928557764</v>
      </c>
      <c r="F62" s="136">
        <f t="shared" si="300"/>
        <v>493.76924928557764</v>
      </c>
      <c r="G62" s="136">
        <f t="shared" si="300"/>
        <v>493.76924928557764</v>
      </c>
      <c r="H62" s="136">
        <f t="shared" si="300"/>
        <v>493.76924928557764</v>
      </c>
      <c r="I62" s="136">
        <f t="shared" si="300"/>
        <v>493.76924928557764</v>
      </c>
      <c r="J62" s="136">
        <f t="shared" si="300"/>
        <v>493.76924928557764</v>
      </c>
      <c r="K62" s="136">
        <f t="shared" si="300"/>
        <v>493.76924928557764</v>
      </c>
      <c r="L62" s="136">
        <f t="shared" si="300"/>
        <v>493.76924928557764</v>
      </c>
      <c r="M62" s="136">
        <f t="shared" si="300"/>
        <v>493.76924928557764</v>
      </c>
      <c r="N62" s="149">
        <f>up_dir!BA62</f>
        <v>0.1518928125</v>
      </c>
      <c r="O62" s="149">
        <f>IFERROR(up_RadSpec!$J$27*O27,".")*$B$62</f>
        <v>5.0630937500000001E-2</v>
      </c>
      <c r="P62" s="149">
        <f>IFERROR(up_RadSpec!$J$27*P27,".")*$B$62</f>
        <v>5.0630937500000001E-2</v>
      </c>
      <c r="Q62" s="149">
        <f>IFERROR(up_RadSpec!$J$27*Q27,".")*$B$62</f>
        <v>5.0630937500000001E-2</v>
      </c>
      <c r="R62" s="149">
        <f>IFERROR(up_RadSpec!$J$27*R27,".")*$B$62</f>
        <v>5.0630937500000001E-2</v>
      </c>
      <c r="S62" s="149">
        <f>IFERROR(up_RadSpec!$J$27*S27,".")*$B$62</f>
        <v>5.0630937500000001E-2</v>
      </c>
      <c r="T62" s="149">
        <f>IFERROR(up_RadSpec!$J$27*T27,".")*$B$62</f>
        <v>5.0630937500000001E-2</v>
      </c>
      <c r="U62" s="149">
        <f>IFERROR(up_RadSpec!$J$27*U27,".")*$B$62</f>
        <v>5.0630937500000001E-2</v>
      </c>
      <c r="V62" s="149">
        <f>IFERROR(up_RadSpec!$J$27*V27,".")*$B$62</f>
        <v>5.0630937500000001E-2</v>
      </c>
      <c r="W62" s="149">
        <f>IFERROR(up_RadSpec!$J$27*W27,".")*$B$62</f>
        <v>5.0630937500000001E-2</v>
      </c>
      <c r="X62" s="149">
        <f>IFERROR(up_RadSpec!$J$27*X27,".")*$B$62</f>
        <v>5.0630937500000001E-2</v>
      </c>
      <c r="Y62" s="136">
        <f t="shared" ref="Y62:AL62" si="301">IFERROR(Y27/$B62,0)</f>
        <v>246884.62464278881</v>
      </c>
      <c r="Z62" s="136">
        <f t="shared" si="301"/>
        <v>2307686172.1681089</v>
      </c>
      <c r="AA62" s="136">
        <f t="shared" si="301"/>
        <v>182920848.04507244</v>
      </c>
      <c r="AB62" s="136">
        <f t="shared" si="301"/>
        <v>32.829310813176271</v>
      </c>
      <c r="AC62" s="136">
        <f t="shared" si="301"/>
        <v>493.76924928557764</v>
      </c>
      <c r="AD62" s="136">
        <f t="shared" si="301"/>
        <v>0.13860189453630251</v>
      </c>
      <c r="AE62" s="136">
        <f t="shared" si="301"/>
        <v>0.14275995137239156</v>
      </c>
      <c r="AF62" s="136">
        <f t="shared" si="301"/>
        <v>0.13860189453630251</v>
      </c>
      <c r="AG62" s="136">
        <f t="shared" si="301"/>
        <v>0.13860189453630251</v>
      </c>
      <c r="AH62" s="136">
        <f t="shared" si="301"/>
        <v>0.13860189453630251</v>
      </c>
      <c r="AI62" s="136">
        <f t="shared" si="301"/>
        <v>0.13860189453630251</v>
      </c>
      <c r="AJ62" s="136">
        <f t="shared" si="301"/>
        <v>0.14275995137239156</v>
      </c>
      <c r="AK62" s="136">
        <f t="shared" si="301"/>
        <v>0.13860189453630251</v>
      </c>
      <c r="AL62" s="136">
        <f t="shared" si="301"/>
        <v>0.14275995137239156</v>
      </c>
      <c r="AM62" s="129"/>
      <c r="AN62" s="129"/>
      <c r="AO62" s="129"/>
      <c r="AP62" s="129"/>
      <c r="AQ62" s="129"/>
      <c r="AR62" s="129"/>
      <c r="AS62" s="129"/>
      <c r="AT62" s="129"/>
      <c r="AU62" s="129"/>
      <c r="AV62" s="129"/>
      <c r="AW62" s="129"/>
      <c r="AX62" s="129"/>
      <c r="AY62" s="129"/>
      <c r="AZ62" s="129"/>
      <c r="BA62" s="136">
        <f t="shared" ref="BA62" si="302">IFERROR(BA27/$B62,0)</f>
        <v>1.5543339588621875E-2</v>
      </c>
      <c r="BB62" s="149">
        <f>IFERROR(up_RadSpec!$I$27*BB27,".")*$B$62</f>
        <v>1.0126187500000001E-4</v>
      </c>
      <c r="BC62" s="149">
        <f>IFERROR(up_RadSpec!$L$27*BC27,".")*$B$62</f>
        <v>1.0833362136287402E-8</v>
      </c>
      <c r="BD62" s="149">
        <f>IFERROR(up_RadSpec!$K$27*BD27,".")*$B$62</f>
        <v>1.3667113545110998E-7</v>
      </c>
      <c r="BE62" s="149">
        <f>up_b2s!BZ62</f>
        <v>0.76151461546874999</v>
      </c>
      <c r="BF62" s="149">
        <f>IFERROR(up_RadSpec!$J$27*BF27,".")*$B$62</f>
        <v>5.0630937500000001E-2</v>
      </c>
      <c r="BG62" s="149">
        <f>IFERROR(up_RadSpec!$J$27*BG27,".")*$B$62</f>
        <v>180.37271484375</v>
      </c>
      <c r="BH62" s="149">
        <f>IFERROR(up_RadSpec!$J$27*BH27,".")*$B$62</f>
        <v>175.119140625</v>
      </c>
      <c r="BI62" s="149">
        <f>IFERROR(up_RadSpec!$J$27*BI27,".")*$B$62</f>
        <v>180.37271484375</v>
      </c>
      <c r="BJ62" s="149">
        <f>IFERROR(up_RadSpec!$J$27*BJ27,".")*$B$62</f>
        <v>180.37271484375</v>
      </c>
      <c r="BK62" s="149">
        <f>IFERROR(up_RadSpec!$J$27*BK27,".")*$B$62</f>
        <v>180.37271484375</v>
      </c>
      <c r="BL62" s="149">
        <f>IFERROR(up_RadSpec!$J$27*BL27,".")*$B$62</f>
        <v>180.37271484375</v>
      </c>
      <c r="BM62" s="149">
        <f>IFERROR(up_RadSpec!$J$27*BM27,".")*$B$62</f>
        <v>175.119140625</v>
      </c>
      <c r="BN62" s="149">
        <f>IFERROR(up_RadSpec!$J$27*BN27,".")*$B$62</f>
        <v>180.37271484375</v>
      </c>
      <c r="BO62" s="149">
        <f>IFERROR(up_RadSpec!$J$27*BO27,".")*$B$62</f>
        <v>175.119140625</v>
      </c>
      <c r="BP62" s="150">
        <f t="shared" si="89"/>
        <v>1608.4059578998483</v>
      </c>
      <c r="BQ62" s="136">
        <f t="shared" ref="BQ62:CD62" si="303">IFERROR(BQ27/$B62,0)</f>
        <v>2715.730871070677</v>
      </c>
      <c r="BR62" s="136">
        <f t="shared" si="303"/>
        <v>0</v>
      </c>
      <c r="BS62" s="136">
        <f t="shared" si="303"/>
        <v>29737253.038223915</v>
      </c>
      <c r="BT62" s="136">
        <f t="shared" si="303"/>
        <v>163.73824033893985</v>
      </c>
      <c r="BU62" s="136">
        <f t="shared" si="303"/>
        <v>98753.849857115521</v>
      </c>
      <c r="BV62" s="136">
        <f t="shared" si="303"/>
        <v>19750.769971423106</v>
      </c>
      <c r="BW62" s="136">
        <f t="shared" si="303"/>
        <v>20343.293070565796</v>
      </c>
      <c r="BX62" s="136">
        <f t="shared" si="303"/>
        <v>19750.769971423106</v>
      </c>
      <c r="BY62" s="136">
        <f t="shared" si="303"/>
        <v>19750.769971423106</v>
      </c>
      <c r="BZ62" s="136">
        <f t="shared" si="303"/>
        <v>19750.769971423106</v>
      </c>
      <c r="CA62" s="136">
        <f t="shared" si="303"/>
        <v>19750.769971423106</v>
      </c>
      <c r="CB62" s="136">
        <f t="shared" si="303"/>
        <v>20343.293070565796</v>
      </c>
      <c r="CC62" s="136">
        <f t="shared" si="303"/>
        <v>19750.769971423106</v>
      </c>
      <c r="CD62" s="136">
        <f t="shared" si="303"/>
        <v>20343.293070565796</v>
      </c>
      <c r="CE62" s="141"/>
      <c r="CF62" s="141"/>
      <c r="CG62" s="141"/>
      <c r="CH62" s="141"/>
      <c r="CI62" s="141"/>
      <c r="CJ62" s="141"/>
      <c r="CK62" s="141"/>
      <c r="CL62" s="141"/>
      <c r="CM62" s="141"/>
      <c r="CN62" s="141"/>
      <c r="CO62" s="141"/>
      <c r="CP62" s="141"/>
      <c r="CQ62" s="141"/>
      <c r="CR62" s="141"/>
      <c r="CS62" s="136">
        <f t="shared" ref="CS62" si="304">IFERROR(CS27/$B62,0)</f>
        <v>144.1556139635583</v>
      </c>
      <c r="CT62" s="149">
        <f>IFERROR(up_RadSpec!$M$27*CT27,".")*$B$62</f>
        <v>9.2056250000000003E-3</v>
      </c>
      <c r="CU62" s="149">
        <f>IFERROR(up_RadSpec!$L$27*CU27,".")*$B$62</f>
        <v>1.6781087239583329E-3</v>
      </c>
      <c r="CV62" s="149">
        <f>IFERROR(up_RadSpec!$Q$27*CV27,".")*$B$62</f>
        <v>8.4069634703196346E-7</v>
      </c>
      <c r="CW62" s="149">
        <f>up_b2w!BZ62</f>
        <v>0.15268272059263463</v>
      </c>
      <c r="CX62" s="149">
        <f>IFERROR(up_RadSpec!$J$27*CX27,".")*$B$62</f>
        <v>2.5315468750000003E-4</v>
      </c>
      <c r="CY62" s="149">
        <f>IFERROR(up_RadSpec!$J$27*CY27,".")*$B$62</f>
        <v>1.2657734375E-3</v>
      </c>
      <c r="CZ62" s="149">
        <f>IFERROR(up_RadSpec!$J$27*CZ27,".")*$B$62</f>
        <v>1.22890625E-3</v>
      </c>
      <c r="DA62" s="149">
        <f>IFERROR(up_RadSpec!$J$27*DA27,".")*$B$62</f>
        <v>1.2657734375E-3</v>
      </c>
      <c r="DB62" s="149">
        <f>IFERROR(up_RadSpec!$J$27*DB27,".")*$B$62</f>
        <v>1.2657734375E-3</v>
      </c>
      <c r="DC62" s="149">
        <f>IFERROR(up_RadSpec!$J$27*DC27,".")*$B$62</f>
        <v>1.2657734375E-3</v>
      </c>
      <c r="DD62" s="149">
        <f>IFERROR(up_RadSpec!$J$27*DD27,".")*$B$62</f>
        <v>1.2657734375E-3</v>
      </c>
      <c r="DE62" s="149">
        <f>IFERROR(up_RadSpec!$J$27*DE27,".")*$B$62</f>
        <v>1.22890625E-3</v>
      </c>
      <c r="DF62" s="149">
        <f>IFERROR(up_RadSpec!$J$27*DF27,".")*$B$62</f>
        <v>1.2657734375E-3</v>
      </c>
      <c r="DG62" s="149">
        <f>IFERROR(up_RadSpec!$J$27*DG27,".")*$B$62</f>
        <v>1.22890625E-3</v>
      </c>
      <c r="DH62" s="150">
        <f t="shared" si="200"/>
        <v>0</v>
      </c>
      <c r="DI62" s="136">
        <f t="shared" ref="DI62:DK62" si="305">IFERROR(DI27/$B62,0)</f>
        <v>7448.8618177938579</v>
      </c>
      <c r="DJ62" s="136">
        <f t="shared" si="305"/>
        <v>11894901.215289565</v>
      </c>
      <c r="DK62" s="136">
        <f t="shared" si="305"/>
        <v>7444.2000877975861</v>
      </c>
      <c r="DL62" s="149">
        <f>IFERROR(up_RadSpec!$L$27*DL27,".")*$B$62</f>
        <v>3.3562174479166659E-3</v>
      </c>
      <c r="DM62" s="149">
        <f>IFERROR(up_RadSpec!$O$27*DM27,".")*$B$62</f>
        <v>2.1017408675799087E-6</v>
      </c>
      <c r="DN62" s="150">
        <f t="shared" si="93"/>
        <v>3.3583191887842458E-3</v>
      </c>
    </row>
    <row r="63" spans="1:118" x14ac:dyDescent="0.25">
      <c r="A63" s="132" t="s">
        <v>23</v>
      </c>
      <c r="B63" s="132" t="s">
        <v>1059</v>
      </c>
      <c r="C63" s="134">
        <f t="shared" ref="C63:M63" si="306">1/SUM(1/C64,1/C65,1/C66,1/C67,1/C68,1/C69,1/C70,1/C71,1/C72,1/C73,1/C74,1/C75,1/C76)</f>
        <v>2.7548204690083433E-5</v>
      </c>
      <c r="D63" s="134">
        <f t="shared" si="306"/>
        <v>8.2644614070250314E-5</v>
      </c>
      <c r="E63" s="134">
        <f t="shared" si="306"/>
        <v>8.2644614070250314E-5</v>
      </c>
      <c r="F63" s="134">
        <f t="shared" si="306"/>
        <v>8.2644614070250314E-5</v>
      </c>
      <c r="G63" s="134">
        <f t="shared" si="306"/>
        <v>8.2644614070250314E-5</v>
      </c>
      <c r="H63" s="134">
        <f t="shared" si="306"/>
        <v>8.2644614070250314E-5</v>
      </c>
      <c r="I63" s="134">
        <f t="shared" si="306"/>
        <v>8.2644614070250314E-5</v>
      </c>
      <c r="J63" s="134">
        <f t="shared" si="306"/>
        <v>8.2644614070250314E-5</v>
      </c>
      <c r="K63" s="134">
        <f t="shared" si="306"/>
        <v>8.2644614070250314E-5</v>
      </c>
      <c r="L63" s="134">
        <f t="shared" si="306"/>
        <v>8.2644614070250314E-5</v>
      </c>
      <c r="M63" s="134">
        <f t="shared" si="306"/>
        <v>8.2644614070250314E-5</v>
      </c>
      <c r="N63" s="146">
        <f>up_dir!BA63</f>
        <v>907500.15404812503</v>
      </c>
      <c r="O63" s="146">
        <f>SUM(O64:O76)</f>
        <v>302500.05134937499</v>
      </c>
      <c r="P63" s="146">
        <f t="shared" ref="P63:X63" si="307">SUM(P64:P76)</f>
        <v>302500.05134937499</v>
      </c>
      <c r="Q63" s="146">
        <f t="shared" si="307"/>
        <v>302500.05134937499</v>
      </c>
      <c r="R63" s="146">
        <f t="shared" si="307"/>
        <v>302500.05134937499</v>
      </c>
      <c r="S63" s="146">
        <f t="shared" si="307"/>
        <v>302500.05134937499</v>
      </c>
      <c r="T63" s="146">
        <f t="shared" si="307"/>
        <v>302500.05134937499</v>
      </c>
      <c r="U63" s="146">
        <f t="shared" si="307"/>
        <v>302500.05134937499</v>
      </c>
      <c r="V63" s="146">
        <f t="shared" si="307"/>
        <v>302500.05134937499</v>
      </c>
      <c r="W63" s="146">
        <f t="shared" si="307"/>
        <v>302500.05134937499</v>
      </c>
      <c r="X63" s="146">
        <f t="shared" si="307"/>
        <v>302500.05134937499</v>
      </c>
      <c r="Y63" s="134">
        <f>1/SUM(1/Y64,1/Y65,1/Y66,1/Y67,1/Y68,1/Y69,1/Y70,1/Y71,1/Y72,1/Y73,1/Y74,1/Y75,1/Y76)</f>
        <v>4.1322307035125169E-2</v>
      </c>
      <c r="Z63" s="134">
        <f>1/SUM(1/Z64,1/Z65,1/Z66,1/Z67,1/Z68,1/Z69,1/Z70,1/Z71,1/Z72,1/Z73,1/Z74,1/Z75,1/Z76)</f>
        <v>386.2489075008852</v>
      </c>
      <c r="AA63" s="134">
        <f>1/SUM(1/AA64,1/AA66,1/AA68,1/AA69,1/AA70,1/AA71,1/AA72,1/AA73,1/AA74,1/AA75,1/AA76)</f>
        <v>30.008372097034517</v>
      </c>
      <c r="AB63" s="134">
        <f t="shared" ref="AB63:AL63" si="308">1/SUM(1/AB64,1/AB65,1/AB66,1/AB67,1/AB68,1/AB69,1/AB70,1/AB71,1/AB72,1/AB73,1/AB74,1/AB75,1/AB76)</f>
        <v>5.4948049646122347E-6</v>
      </c>
      <c r="AC63" s="134">
        <f t="shared" si="308"/>
        <v>8.2644614070250314E-5</v>
      </c>
      <c r="AD63" s="134">
        <f t="shared" si="308"/>
        <v>2.3198488160070272E-8</v>
      </c>
      <c r="AE63" s="134">
        <f t="shared" si="308"/>
        <v>2.3894442804872379E-8</v>
      </c>
      <c r="AF63" s="134">
        <f t="shared" si="308"/>
        <v>2.3198488160070272E-8</v>
      </c>
      <c r="AG63" s="134">
        <f t="shared" si="308"/>
        <v>2.3198488160070272E-8</v>
      </c>
      <c r="AH63" s="134">
        <f t="shared" si="308"/>
        <v>2.3198488160070272E-8</v>
      </c>
      <c r="AI63" s="134">
        <f t="shared" si="308"/>
        <v>2.3198488160070272E-8</v>
      </c>
      <c r="AJ63" s="134">
        <f t="shared" si="308"/>
        <v>2.3894442804872379E-8</v>
      </c>
      <c r="AK63" s="134">
        <f t="shared" si="308"/>
        <v>2.3198488160070272E-8</v>
      </c>
      <c r="AL63" s="134">
        <f t="shared" si="308"/>
        <v>2.3894442804872379E-8</v>
      </c>
      <c r="AM63" s="129"/>
      <c r="AN63" s="129"/>
      <c r="AO63" s="129"/>
      <c r="AP63" s="129"/>
      <c r="AQ63" s="129"/>
      <c r="AR63" s="129"/>
      <c r="AS63" s="129"/>
      <c r="AT63" s="129"/>
      <c r="AU63" s="129"/>
      <c r="AV63" s="129"/>
      <c r="AW63" s="129"/>
      <c r="AX63" s="129"/>
      <c r="AY63" s="129"/>
      <c r="AZ63" s="129"/>
      <c r="BA63" s="134">
        <f>1/SUM(1/BA64,1/BA65,1/BA66,1/BA67,1/BA68,1/BA69,1/BA70,1/BA71,1/BA72,1/BA73,1/BA74,1/BA75,1/BA76)</f>
        <v>2.6015660220252746E-9</v>
      </c>
      <c r="BB63" s="146">
        <f t="shared" ref="BB63" si="309">SUM(BB64:BB76)</f>
        <v>605.00010269874997</v>
      </c>
      <c r="BC63" s="146">
        <f t="shared" ref="BC63" si="310">SUM(BC64:BC76)</f>
        <v>6.4725102167292756E-2</v>
      </c>
      <c r="BD63" s="146">
        <f t="shared" ref="BD63" si="311">SUM(BD64:BD76)</f>
        <v>0.83310083996427609</v>
      </c>
      <c r="BE63" s="146">
        <f>up_b2s!BZ63</f>
        <v>4549752.0223202743</v>
      </c>
      <c r="BF63" s="146">
        <f t="shared" ref="BF63" si="312">SUM(BF64:BF76)</f>
        <v>302500.05134937499</v>
      </c>
      <c r="BG63" s="146">
        <f t="shared" ref="BG63" si="313">SUM(BG64:BG76)</f>
        <v>1077656432.9321482</v>
      </c>
      <c r="BH63" s="146">
        <f t="shared" ref="BH63" si="314">SUM(BH64:BH76)</f>
        <v>1046268381.487523</v>
      </c>
      <c r="BI63" s="146">
        <f t="shared" ref="BI63" si="315">SUM(BI64:BI76)</f>
        <v>1077656432.9321482</v>
      </c>
      <c r="BJ63" s="146">
        <f t="shared" ref="BJ63" si="316">SUM(BJ64:BJ76)</f>
        <v>1077656432.9321482</v>
      </c>
      <c r="BK63" s="146">
        <f t="shared" ref="BK63" si="317">SUM(BK64:BK76)</f>
        <v>1077656432.9321482</v>
      </c>
      <c r="BL63" s="146">
        <f t="shared" ref="BL63" si="318">SUM(BL64:BL76)</f>
        <v>1077656432.9321482</v>
      </c>
      <c r="BM63" s="146">
        <f t="shared" ref="BM63" si="319">SUM(BM64:BM76)</f>
        <v>1046268381.487523</v>
      </c>
      <c r="BN63" s="146">
        <f t="shared" ref="BN63" si="320">SUM(BN64:BN76)</f>
        <v>1077656432.9321482</v>
      </c>
      <c r="BO63" s="146">
        <f t="shared" ref="BO63" si="321">SUM(BO64:BO76)</f>
        <v>1046268381.487523</v>
      </c>
      <c r="BP63" s="147">
        <f t="shared" si="89"/>
        <v>9609596600.0270557</v>
      </c>
      <c r="BQ63" s="134">
        <f>1/SUM(1/BQ64,1/BQ65,1/BQ66,1/BQ67,1/BQ68,1/BQ69,1/BQ70,1/BQ71,1/BQ72,1/BQ73,1/BQ74,1/BQ75,1/BQ76)</f>
        <v>4.5454537738637681E-4</v>
      </c>
      <c r="BR63" s="134">
        <f>1/SUM(1/BR64)</f>
        <v>1.9948051948051951E-2</v>
      </c>
      <c r="BS63" s="134">
        <f t="shared" ref="BS63:CD63" si="322">1/SUM(1/BS64,1/BS65,1/BS66,1/BS67,1/BS68,1/BS69,1/BS70,1/BS71,1/BS72,1/BS73,1/BS74,1/BS75,1/BS76)</f>
        <v>4.9772718823808253</v>
      </c>
      <c r="BT63" s="134">
        <f t="shared" si="322"/>
        <v>2.7405683324615309E-5</v>
      </c>
      <c r="BU63" s="134">
        <f t="shared" si="322"/>
        <v>1.6528922814050061E-2</v>
      </c>
      <c r="BV63" s="134">
        <f t="shared" si="322"/>
        <v>3.305784562810013E-3</v>
      </c>
      <c r="BW63" s="134">
        <f t="shared" si="322"/>
        <v>3.4049580996943123E-3</v>
      </c>
      <c r="BX63" s="134">
        <f t="shared" si="322"/>
        <v>3.305784562810013E-3</v>
      </c>
      <c r="BY63" s="134">
        <f t="shared" si="322"/>
        <v>3.305784562810013E-3</v>
      </c>
      <c r="BZ63" s="134">
        <f t="shared" si="322"/>
        <v>3.305784562810013E-3</v>
      </c>
      <c r="CA63" s="134">
        <f t="shared" si="322"/>
        <v>3.305784562810013E-3</v>
      </c>
      <c r="CB63" s="134">
        <f t="shared" si="322"/>
        <v>3.4049580996943123E-3</v>
      </c>
      <c r="CC63" s="134">
        <f t="shared" si="322"/>
        <v>3.305784562810013E-3</v>
      </c>
      <c r="CD63" s="134">
        <f t="shared" si="322"/>
        <v>3.4049580996943123E-3</v>
      </c>
      <c r="CE63" s="141"/>
      <c r="CF63" s="141"/>
      <c r="CG63" s="141"/>
      <c r="CH63" s="141"/>
      <c r="CI63" s="141"/>
      <c r="CJ63" s="141"/>
      <c r="CK63" s="141"/>
      <c r="CL63" s="141"/>
      <c r="CM63" s="141"/>
      <c r="CN63" s="141"/>
      <c r="CO63" s="141"/>
      <c r="CP63" s="141"/>
      <c r="CQ63" s="141"/>
      <c r="CR63" s="141"/>
      <c r="CS63" s="134">
        <f>1/SUM(1/CS64,1/CS65,1/CS66,1/CS67,1/CS68,1/CS69,1/CS70,1/CS71,1/CS72,1/CS73,1/CS74,1/CS75,1/CS76)</f>
        <v>2.409889312557207E-5</v>
      </c>
      <c r="CT63" s="146">
        <f t="shared" ref="CT63" si="323">SUM(CT64:CT76)</f>
        <v>55000.009336249997</v>
      </c>
      <c r="CU63" s="146">
        <f t="shared" ref="CU63" si="324">SUM(CU64:CU76)</f>
        <v>10026.043368587236</v>
      </c>
      <c r="CV63" s="146">
        <f t="shared" ref="CV63" si="325">SUM(CV64:CV76)</f>
        <v>5.0228319028538824</v>
      </c>
      <c r="CW63" s="146">
        <f>up_b2w!BZ63</f>
        <v>912219.54599268944</v>
      </c>
      <c r="CX63" s="146">
        <f t="shared" ref="CX63" si="326">SUM(CX64:CX76)</f>
        <v>1512.500256746875</v>
      </c>
      <c r="CY63" s="146">
        <f t="shared" ref="CY63" si="327">SUM(CY64:CY76)</f>
        <v>7562.5012837343756</v>
      </c>
      <c r="CZ63" s="146">
        <f t="shared" ref="CZ63" si="328">SUM(CZ64:CZ76)</f>
        <v>7342.2342560527923</v>
      </c>
      <c r="DA63" s="146">
        <f t="shared" ref="DA63" si="329">SUM(DA64:DA76)</f>
        <v>7562.5012837343756</v>
      </c>
      <c r="DB63" s="146">
        <f t="shared" ref="DB63" si="330">SUM(DB64:DB76)</f>
        <v>7562.5012837343756</v>
      </c>
      <c r="DC63" s="146">
        <f t="shared" ref="DC63" si="331">SUM(DC64:DC76)</f>
        <v>7562.5012837343756</v>
      </c>
      <c r="DD63" s="146">
        <f t="shared" ref="DD63" si="332">SUM(DD64:DD76)</f>
        <v>7562.5012837343756</v>
      </c>
      <c r="DE63" s="146">
        <f t="shared" ref="DE63" si="333">SUM(DE64:DE76)</f>
        <v>7342.2342560527923</v>
      </c>
      <c r="DF63" s="146">
        <f t="shared" ref="DF63" si="334">SUM(DF64:DF76)</f>
        <v>7562.5012837343756</v>
      </c>
      <c r="DG63" s="146">
        <f t="shared" ref="DG63" si="335">SUM(DG64:DG76)</f>
        <v>7342.2342560527923</v>
      </c>
      <c r="DH63" s="147">
        <f t="shared" si="200"/>
        <v>0</v>
      </c>
      <c r="DI63" s="134">
        <f>1/SUM(1/DI64,1/DI65,1/DI66,1/DI67,1/DI68,1/DI69,1/DI70,1/DI71,1/DI72,1/DI73,1/DI74,1/DI75,1/DI76)</f>
        <v>1.2467530351169193E-3</v>
      </c>
      <c r="DJ63" s="134">
        <f>1/SUM(1/DJ64,1/DJ65,1/DJ66,1/DJ67,1/DJ68,1/DJ69,1/DJ70,1/DJ71,1/DJ72,1/DJ73,1/DJ74,1/DJ75,1/DJ76)</f>
        <v>1.9909087529523299</v>
      </c>
      <c r="DK63" s="134">
        <f>1/SUM(1/DK64,1/DK65,1/DK66,1/DK67,1/DK68,1/DK69,1/DK70,1/DK71,1/DK72,1/DK73,1/DK74,1/DK75,1/DK76)</f>
        <v>1.2459727781912421E-3</v>
      </c>
      <c r="DL63" s="146">
        <f t="shared" ref="DL63" si="336">SUM(DL64:DL76)</f>
        <v>20052.086737174472</v>
      </c>
      <c r="DM63" s="146">
        <f t="shared" ref="DM63" si="337">SUM(DM64:DM76)</f>
        <v>12.557079757134705</v>
      </c>
      <c r="DN63" s="147">
        <f t="shared" si="93"/>
        <v>20064.643816931606</v>
      </c>
    </row>
    <row r="64" spans="1:118" x14ac:dyDescent="0.25">
      <c r="A64" s="135" t="s">
        <v>1075</v>
      </c>
      <c r="B64" s="129">
        <v>1</v>
      </c>
      <c r="C64" s="136">
        <f t="shared" ref="C64:M64" si="338">IFERROR(C25/$B50,0)</f>
        <v>2.2038567493112948E-4</v>
      </c>
      <c r="D64" s="136">
        <f t="shared" si="338"/>
        <v>6.6115702479338848E-4</v>
      </c>
      <c r="E64" s="136">
        <f t="shared" si="338"/>
        <v>6.6115702479338848E-4</v>
      </c>
      <c r="F64" s="136">
        <f t="shared" si="338"/>
        <v>6.6115702479338848E-4</v>
      </c>
      <c r="G64" s="136">
        <f t="shared" si="338"/>
        <v>6.6115702479338848E-4</v>
      </c>
      <c r="H64" s="136">
        <f t="shared" si="338"/>
        <v>6.6115702479338848E-4</v>
      </c>
      <c r="I64" s="136">
        <f t="shared" si="338"/>
        <v>6.6115702479338848E-4</v>
      </c>
      <c r="J64" s="136">
        <f t="shared" si="338"/>
        <v>6.6115702479338848E-4</v>
      </c>
      <c r="K64" s="136">
        <f t="shared" si="338"/>
        <v>6.6115702479338848E-4</v>
      </c>
      <c r="L64" s="136">
        <f t="shared" si="338"/>
        <v>6.6115702479338848E-4</v>
      </c>
      <c r="M64" s="136">
        <f t="shared" si="338"/>
        <v>6.6115702479338848E-4</v>
      </c>
      <c r="N64" s="149">
        <f>up_dir!BA64</f>
        <v>113437.5</v>
      </c>
      <c r="O64" s="149">
        <f>IFERROR(up_RadSpec!$J$25*O25,".")*$B$64</f>
        <v>37812.5</v>
      </c>
      <c r="P64" s="149">
        <f>IFERROR(up_RadSpec!$J$25*P25,".")*$B$64</f>
        <v>37812.5</v>
      </c>
      <c r="Q64" s="149">
        <f>IFERROR(up_RadSpec!$J$25*Q25,".")*$B$64</f>
        <v>37812.5</v>
      </c>
      <c r="R64" s="149">
        <f>IFERROR(up_RadSpec!$J$25*R25,".")*$B$64</f>
        <v>37812.5</v>
      </c>
      <c r="S64" s="149">
        <f>IFERROR(up_RadSpec!$J$25*S25,".")*$B$64</f>
        <v>37812.5</v>
      </c>
      <c r="T64" s="149">
        <f>IFERROR(up_RadSpec!$J$25*T25,".")*$B$64</f>
        <v>37812.5</v>
      </c>
      <c r="U64" s="149">
        <f>IFERROR(up_RadSpec!$J$25*U25,".")*$B$64</f>
        <v>37812.5</v>
      </c>
      <c r="V64" s="149">
        <f>IFERROR(up_RadSpec!$J$25*V25,".")*$B$64</f>
        <v>37812.5</v>
      </c>
      <c r="W64" s="149">
        <f>IFERROR(up_RadSpec!$J$25*W25,".")*$B$64</f>
        <v>37812.5</v>
      </c>
      <c r="X64" s="149">
        <f>IFERROR(up_RadSpec!$J$25*X25,".")*$B$64</f>
        <v>37812.5</v>
      </c>
      <c r="Y64" s="136">
        <f t="shared" ref="Y64:AL64" si="339">IFERROR(Y25/$B50,0)</f>
        <v>0.33057851239669422</v>
      </c>
      <c r="Z64" s="136">
        <f t="shared" si="339"/>
        <v>3089.9917845330979</v>
      </c>
      <c r="AA64" s="136">
        <f t="shared" si="339"/>
        <v>213.21650237312892</v>
      </c>
      <c r="AB64" s="136">
        <f t="shared" si="339"/>
        <v>4.3958447178843029E-5</v>
      </c>
      <c r="AC64" s="136">
        <f t="shared" si="339"/>
        <v>6.6115702479338848E-4</v>
      </c>
      <c r="AD64" s="136">
        <f t="shared" si="339"/>
        <v>1.8558793678410905E-7</v>
      </c>
      <c r="AE64" s="136">
        <f t="shared" si="339"/>
        <v>1.9115557488763231E-7</v>
      </c>
      <c r="AF64" s="136">
        <f t="shared" si="339"/>
        <v>1.8558793678410905E-7</v>
      </c>
      <c r="AG64" s="136">
        <f t="shared" si="339"/>
        <v>1.8558793678410905E-7</v>
      </c>
      <c r="AH64" s="136">
        <f t="shared" si="339"/>
        <v>1.8558793678410905E-7</v>
      </c>
      <c r="AI64" s="136">
        <f t="shared" si="339"/>
        <v>1.8558793678410905E-7</v>
      </c>
      <c r="AJ64" s="136">
        <f t="shared" si="339"/>
        <v>1.9115557488763231E-7</v>
      </c>
      <c r="AK64" s="136">
        <f t="shared" si="339"/>
        <v>1.8558793678410905E-7</v>
      </c>
      <c r="AL64" s="136">
        <f t="shared" si="339"/>
        <v>1.9115557488763231E-7</v>
      </c>
      <c r="AM64" s="129"/>
      <c r="AN64" s="129"/>
      <c r="AO64" s="129"/>
      <c r="AP64" s="129"/>
      <c r="AQ64" s="129"/>
      <c r="AR64" s="129"/>
      <c r="AS64" s="129"/>
      <c r="AT64" s="129"/>
      <c r="AU64" s="129"/>
      <c r="AV64" s="129"/>
      <c r="AW64" s="129"/>
      <c r="AX64" s="129"/>
      <c r="AY64" s="129"/>
      <c r="AZ64" s="129"/>
      <c r="BA64" s="136">
        <f t="shared" ref="BA64" si="340">IFERROR(BA25/$B50,0)</f>
        <v>2.0812531708901635E-8</v>
      </c>
      <c r="BB64" s="149">
        <f>IFERROR(up_RadSpec!$I$25*BB25,".")*$B$64</f>
        <v>75.625</v>
      </c>
      <c r="BC64" s="149">
        <f>IFERROR(up_RadSpec!$L$25*BC25,".")*$B$64</f>
        <v>8.0906363975260659E-3</v>
      </c>
      <c r="BD64" s="149">
        <f>IFERROR(up_RadSpec!$K$25*BD25,".")*$B$64</f>
        <v>0.1172517123287671</v>
      </c>
      <c r="BE64" s="149">
        <f>up_b2s!BZ64</f>
        <v>568718.90625</v>
      </c>
      <c r="BF64" s="149">
        <f>IFERROR(up_RadSpec!$J$25*BF25,".")*$B$64</f>
        <v>37812.5</v>
      </c>
      <c r="BG64" s="149">
        <f>IFERROR(up_RadSpec!$J$25*BG25,".")*$B$64</f>
        <v>134707031.25</v>
      </c>
      <c r="BH64" s="149">
        <f>IFERROR(up_RadSpec!$J$25*BH25,".")*$B$64</f>
        <v>130783525.4854369</v>
      </c>
      <c r="BI64" s="149">
        <f>IFERROR(up_RadSpec!$J$25*BI25,".")*$B$64</f>
        <v>134707031.25</v>
      </c>
      <c r="BJ64" s="149">
        <f>IFERROR(up_RadSpec!$J$25*BJ25,".")*$B$64</f>
        <v>134707031.25</v>
      </c>
      <c r="BK64" s="149">
        <f>IFERROR(up_RadSpec!$J$25*BK25,".")*$B$64</f>
        <v>134707031.25</v>
      </c>
      <c r="BL64" s="149">
        <f>IFERROR(up_RadSpec!$J$25*BL25,".")*$B$64</f>
        <v>134707031.25</v>
      </c>
      <c r="BM64" s="149">
        <f>IFERROR(up_RadSpec!$J$25*BM25,".")*$B$64</f>
        <v>130783525.4854369</v>
      </c>
      <c r="BN64" s="149">
        <f>IFERROR(up_RadSpec!$J$25*BN25,".")*$B$64</f>
        <v>134707031.25</v>
      </c>
      <c r="BO64" s="149">
        <f>IFERROR(up_RadSpec!$J$25*BO25,".")*$B$64</f>
        <v>130783525.4854369</v>
      </c>
      <c r="BP64" s="150">
        <f t="shared" si="89"/>
        <v>1201199371.1129031</v>
      </c>
      <c r="BQ64" s="136">
        <f t="shared" ref="BQ64:CD64" si="341">IFERROR(BQ25/$B50,0)</f>
        <v>3.6363636363636364E-3</v>
      </c>
      <c r="BR64" s="136">
        <f t="shared" si="341"/>
        <v>1.9948051948051951E-2</v>
      </c>
      <c r="BS64" s="136">
        <f t="shared" si="341"/>
        <v>39.81818181818182</v>
      </c>
      <c r="BT64" s="136">
        <f t="shared" si="341"/>
        <v>2.1924550381384044E-4</v>
      </c>
      <c r="BU64" s="136">
        <f t="shared" si="341"/>
        <v>0.13223140495867769</v>
      </c>
      <c r="BV64" s="136">
        <f t="shared" si="341"/>
        <v>2.6446280991735537E-2</v>
      </c>
      <c r="BW64" s="136">
        <f t="shared" si="341"/>
        <v>2.7239669421487603E-2</v>
      </c>
      <c r="BX64" s="136">
        <f t="shared" si="341"/>
        <v>2.6446280991735537E-2</v>
      </c>
      <c r="BY64" s="136">
        <f t="shared" si="341"/>
        <v>2.6446280991735537E-2</v>
      </c>
      <c r="BZ64" s="136">
        <f t="shared" si="341"/>
        <v>2.6446280991735537E-2</v>
      </c>
      <c r="CA64" s="136">
        <f t="shared" si="341"/>
        <v>2.6446280991735537E-2</v>
      </c>
      <c r="CB64" s="136">
        <f t="shared" si="341"/>
        <v>2.7239669421487603E-2</v>
      </c>
      <c r="CC64" s="136">
        <f t="shared" si="341"/>
        <v>2.6446280991735537E-2</v>
      </c>
      <c r="CD64" s="136">
        <f t="shared" si="341"/>
        <v>2.7239669421487603E-2</v>
      </c>
      <c r="CE64" s="141"/>
      <c r="CF64" s="141"/>
      <c r="CG64" s="141"/>
      <c r="CH64" s="141"/>
      <c r="CI64" s="141"/>
      <c r="CJ64" s="141"/>
      <c r="CK64" s="141"/>
      <c r="CL64" s="141"/>
      <c r="CM64" s="141"/>
      <c r="CN64" s="141"/>
      <c r="CO64" s="141"/>
      <c r="CP64" s="141"/>
      <c r="CQ64" s="141"/>
      <c r="CR64" s="141"/>
      <c r="CS64" s="136">
        <f t="shared" ref="CS64" si="342">IFERROR(CS25/$B50,0)</f>
        <v>1.9117449543641093E-4</v>
      </c>
      <c r="CT64" s="149">
        <f>IFERROR(up_RadSpec!$M$25*CT25,".")*$B$64</f>
        <v>6875</v>
      </c>
      <c r="CU64" s="149">
        <f>IFERROR(up_RadSpec!$L$25*CU25,".")*$B$64</f>
        <v>1253.255208333333</v>
      </c>
      <c r="CV64" s="149">
        <f>IFERROR(up_RadSpec!$Q$25*CV25,".")*$B$64</f>
        <v>0.62785388127853881</v>
      </c>
      <c r="CW64" s="149">
        <f>up_b2w!BZ64</f>
        <v>114027.42389293101</v>
      </c>
      <c r="CX64" s="149">
        <f>IFERROR(up_RadSpec!$J$25*CX25,".")*$B$64</f>
        <v>189.0625</v>
      </c>
      <c r="CY64" s="149">
        <f>IFERROR(up_RadSpec!$J$25*CY25,".")*$B$64</f>
        <v>945.3125</v>
      </c>
      <c r="CZ64" s="149">
        <f>IFERROR(up_RadSpec!$J$25*CZ25,".")*$B$64</f>
        <v>917.77912621359224</v>
      </c>
      <c r="DA64" s="149">
        <f>IFERROR(up_RadSpec!$J$25*DA25,".")*$B$64</f>
        <v>945.3125</v>
      </c>
      <c r="DB64" s="149">
        <f>IFERROR(up_RadSpec!$J$25*DB25,".")*$B$64</f>
        <v>945.3125</v>
      </c>
      <c r="DC64" s="149">
        <f>IFERROR(up_RadSpec!$J$25*DC25,".")*$B$64</f>
        <v>945.3125</v>
      </c>
      <c r="DD64" s="149">
        <f>IFERROR(up_RadSpec!$J$25*DD25,".")*$B$64</f>
        <v>945.3125</v>
      </c>
      <c r="DE64" s="149">
        <f>IFERROR(up_RadSpec!$J$25*DE25,".")*$B$64</f>
        <v>917.77912621359224</v>
      </c>
      <c r="DF64" s="149">
        <f>IFERROR(up_RadSpec!$J$25*DF25,".")*$B$64</f>
        <v>945.3125</v>
      </c>
      <c r="DG64" s="149">
        <f>IFERROR(up_RadSpec!$J$25*DG25,".")*$B$64</f>
        <v>917.77912621359224</v>
      </c>
      <c r="DH64" s="150">
        <f t="shared" si="200"/>
        <v>0</v>
      </c>
      <c r="DI64" s="136">
        <f t="shared" ref="DI64:DK64" si="343">IFERROR(DI25/$B50,0)</f>
        <v>9.9740259740259754E-3</v>
      </c>
      <c r="DJ64" s="136">
        <f t="shared" si="343"/>
        <v>15.927272727272728</v>
      </c>
      <c r="DK64" s="136">
        <f t="shared" si="343"/>
        <v>9.9677839175609673E-3</v>
      </c>
      <c r="DL64" s="149">
        <f>IFERROR(up_RadSpec!$L$25*DL25,".")*$B$64</f>
        <v>2506.5104166666661</v>
      </c>
      <c r="DM64" s="149">
        <f>IFERROR(up_RadSpec!$O$25*DM25,".")*$B$64</f>
        <v>1.5696347031963471</v>
      </c>
      <c r="DN64" s="150">
        <f t="shared" si="93"/>
        <v>2508.0800513698623</v>
      </c>
    </row>
    <row r="65" spans="1:118" x14ac:dyDescent="0.25">
      <c r="A65" s="135" t="s">
        <v>1061</v>
      </c>
      <c r="B65" s="129">
        <v>1</v>
      </c>
      <c r="C65" s="136">
        <f t="shared" ref="C65:M65" si="344">IFERROR(C21/$B51,0)</f>
        <v>2.2038567493112948E-4</v>
      </c>
      <c r="D65" s="136">
        <f t="shared" si="344"/>
        <v>6.6115702479338848E-4</v>
      </c>
      <c r="E65" s="136">
        <f t="shared" si="344"/>
        <v>6.6115702479338848E-4</v>
      </c>
      <c r="F65" s="136">
        <f t="shared" si="344"/>
        <v>6.6115702479338848E-4</v>
      </c>
      <c r="G65" s="136">
        <f t="shared" si="344"/>
        <v>6.6115702479338848E-4</v>
      </c>
      <c r="H65" s="136">
        <f t="shared" si="344"/>
        <v>6.6115702479338848E-4</v>
      </c>
      <c r="I65" s="136">
        <f t="shared" si="344"/>
        <v>6.6115702479338848E-4</v>
      </c>
      <c r="J65" s="136">
        <f t="shared" si="344"/>
        <v>6.6115702479338848E-4</v>
      </c>
      <c r="K65" s="136">
        <f t="shared" si="344"/>
        <v>6.6115702479338848E-4</v>
      </c>
      <c r="L65" s="136">
        <f t="shared" si="344"/>
        <v>6.6115702479338848E-4</v>
      </c>
      <c r="M65" s="136">
        <f t="shared" si="344"/>
        <v>6.6115702479338848E-4</v>
      </c>
      <c r="N65" s="149">
        <f>up_dir!BA65</f>
        <v>113437.5</v>
      </c>
      <c r="O65" s="149">
        <f>IFERROR(up_RadSpec!$J$21*O21,".")*$B$65</f>
        <v>37812.5</v>
      </c>
      <c r="P65" s="149">
        <f>IFERROR(up_RadSpec!$J$21*P21,".")*$B$65</f>
        <v>37812.5</v>
      </c>
      <c r="Q65" s="149">
        <f>IFERROR(up_RadSpec!$J$21*Q21,".")*$B$65</f>
        <v>37812.5</v>
      </c>
      <c r="R65" s="149">
        <f>IFERROR(up_RadSpec!$J$21*R21,".")*$B$65</f>
        <v>37812.5</v>
      </c>
      <c r="S65" s="149">
        <f>IFERROR(up_RadSpec!$J$21*S21,".")*$B$65</f>
        <v>37812.5</v>
      </c>
      <c r="T65" s="149">
        <f>IFERROR(up_RadSpec!$J$21*T21,".")*$B$65</f>
        <v>37812.5</v>
      </c>
      <c r="U65" s="149">
        <f>IFERROR(up_RadSpec!$J$21*U21,".")*$B$65</f>
        <v>37812.5</v>
      </c>
      <c r="V65" s="149">
        <f>IFERROR(up_RadSpec!$J$21*V21,".")*$B$65</f>
        <v>37812.5</v>
      </c>
      <c r="W65" s="149">
        <f>IFERROR(up_RadSpec!$J$21*W21,".")*$B$65</f>
        <v>37812.5</v>
      </c>
      <c r="X65" s="149">
        <f>IFERROR(up_RadSpec!$J$21*X21,".")*$B$65</f>
        <v>37812.5</v>
      </c>
      <c r="Y65" s="136">
        <f t="shared" ref="Y65:AL65" si="345">IFERROR(Y21/$B51,0)</f>
        <v>0.33057851239669422</v>
      </c>
      <c r="Z65" s="136">
        <f t="shared" si="345"/>
        <v>3089.9917845330979</v>
      </c>
      <c r="AA65" s="136">
        <f t="shared" si="345"/>
        <v>0</v>
      </c>
      <c r="AB65" s="136">
        <f t="shared" si="345"/>
        <v>4.3958447178843029E-5</v>
      </c>
      <c r="AC65" s="136">
        <f t="shared" si="345"/>
        <v>6.6115702479338848E-4</v>
      </c>
      <c r="AD65" s="136">
        <f t="shared" si="345"/>
        <v>1.8558793678410905E-7</v>
      </c>
      <c r="AE65" s="136">
        <f t="shared" si="345"/>
        <v>1.9115557488763231E-7</v>
      </c>
      <c r="AF65" s="136">
        <f t="shared" si="345"/>
        <v>1.8558793678410905E-7</v>
      </c>
      <c r="AG65" s="136">
        <f t="shared" si="345"/>
        <v>1.8558793678410905E-7</v>
      </c>
      <c r="AH65" s="136">
        <f t="shared" si="345"/>
        <v>1.8558793678410905E-7</v>
      </c>
      <c r="AI65" s="136">
        <f t="shared" si="345"/>
        <v>1.8558793678410905E-7</v>
      </c>
      <c r="AJ65" s="136">
        <f t="shared" si="345"/>
        <v>1.9115557488763231E-7</v>
      </c>
      <c r="AK65" s="136">
        <f t="shared" si="345"/>
        <v>1.8558793678410905E-7</v>
      </c>
      <c r="AL65" s="136">
        <f t="shared" si="345"/>
        <v>1.9115557488763231E-7</v>
      </c>
      <c r="AM65" s="129"/>
      <c r="AN65" s="129"/>
      <c r="AO65" s="129"/>
      <c r="AP65" s="129"/>
      <c r="AQ65" s="129"/>
      <c r="AR65" s="129"/>
      <c r="AS65" s="129"/>
      <c r="AT65" s="129"/>
      <c r="AU65" s="129"/>
      <c r="AV65" s="129"/>
      <c r="AW65" s="129"/>
      <c r="AX65" s="129"/>
      <c r="AY65" s="129"/>
      <c r="AZ65" s="129"/>
      <c r="BA65" s="136">
        <f t="shared" ref="BA65" si="346">IFERROR(BA21/$B51,0)</f>
        <v>2.0812531710933197E-8</v>
      </c>
      <c r="BB65" s="149">
        <f>IFERROR(up_RadSpec!$I$21*BB21,".")*$B$65</f>
        <v>75.625</v>
      </c>
      <c r="BC65" s="149">
        <f>IFERROR(up_RadSpec!$L$21*BC21,".")*$B$65</f>
        <v>8.0906363975260659E-3</v>
      </c>
      <c r="BD65" s="149">
        <f>IFERROR(up_RadSpec!$K$21*BD21,".")*$B$65</f>
        <v>0</v>
      </c>
      <c r="BE65" s="149">
        <f>up_b2s!BZ65</f>
        <v>568718.90625</v>
      </c>
      <c r="BF65" s="149">
        <f>IFERROR(up_RadSpec!$J$21*BF21,".")*$B$65</f>
        <v>37812.5</v>
      </c>
      <c r="BG65" s="149">
        <f>IFERROR(up_RadSpec!$J$21*BG21,".")*$B$65</f>
        <v>134707031.25</v>
      </c>
      <c r="BH65" s="149">
        <f>IFERROR(up_RadSpec!$J$21*BH21,".")*$B$65</f>
        <v>130783525.4854369</v>
      </c>
      <c r="BI65" s="149">
        <f>IFERROR(up_RadSpec!$J$21*BI21,".")*$B$65</f>
        <v>134707031.25</v>
      </c>
      <c r="BJ65" s="149">
        <f>IFERROR(up_RadSpec!$J$21*BJ21,".")*$B$65</f>
        <v>134707031.25</v>
      </c>
      <c r="BK65" s="149">
        <f>IFERROR(up_RadSpec!$J$21*BK21,".")*$B$65</f>
        <v>134707031.25</v>
      </c>
      <c r="BL65" s="149">
        <f>IFERROR(up_RadSpec!$J$21*BL21,".")*$B$65</f>
        <v>134707031.25</v>
      </c>
      <c r="BM65" s="149">
        <f>IFERROR(up_RadSpec!$J$21*BM21,".")*$B$65</f>
        <v>130783525.4854369</v>
      </c>
      <c r="BN65" s="149">
        <f>IFERROR(up_RadSpec!$J$21*BN21,".")*$B$65</f>
        <v>134707031.25</v>
      </c>
      <c r="BO65" s="149">
        <f>IFERROR(up_RadSpec!$J$21*BO21,".")*$B$65</f>
        <v>130783525.4854369</v>
      </c>
      <c r="BP65" s="150">
        <f t="shared" si="89"/>
        <v>1201199370.9956512</v>
      </c>
      <c r="BQ65" s="136">
        <f t="shared" ref="BQ65:CD65" si="347">IFERROR(BQ21/$B51,0)</f>
        <v>3.6363636363636364E-3</v>
      </c>
      <c r="BR65" s="136">
        <f t="shared" si="347"/>
        <v>0</v>
      </c>
      <c r="BS65" s="136">
        <f t="shared" si="347"/>
        <v>39.81818181818182</v>
      </c>
      <c r="BT65" s="136">
        <f t="shared" si="347"/>
        <v>2.1924550381384044E-4</v>
      </c>
      <c r="BU65" s="136">
        <f t="shared" si="347"/>
        <v>0.13223140495867769</v>
      </c>
      <c r="BV65" s="136">
        <f t="shared" si="347"/>
        <v>2.6446280991735537E-2</v>
      </c>
      <c r="BW65" s="136">
        <f t="shared" si="347"/>
        <v>2.7239669421487603E-2</v>
      </c>
      <c r="BX65" s="136">
        <f t="shared" si="347"/>
        <v>2.6446280991735537E-2</v>
      </c>
      <c r="BY65" s="136">
        <f t="shared" si="347"/>
        <v>2.6446280991735537E-2</v>
      </c>
      <c r="BZ65" s="136">
        <f t="shared" si="347"/>
        <v>2.6446280991735537E-2</v>
      </c>
      <c r="CA65" s="136">
        <f t="shared" si="347"/>
        <v>2.6446280991735537E-2</v>
      </c>
      <c r="CB65" s="136">
        <f t="shared" si="347"/>
        <v>2.7239669421487603E-2</v>
      </c>
      <c r="CC65" s="136">
        <f t="shared" si="347"/>
        <v>2.6446280991735537E-2</v>
      </c>
      <c r="CD65" s="136">
        <f t="shared" si="347"/>
        <v>2.7239669421487603E-2</v>
      </c>
      <c r="CE65" s="141"/>
      <c r="CF65" s="141"/>
      <c r="CG65" s="141"/>
      <c r="CH65" s="141"/>
      <c r="CI65" s="141"/>
      <c r="CJ65" s="141"/>
      <c r="CK65" s="141"/>
      <c r="CL65" s="141"/>
      <c r="CM65" s="141"/>
      <c r="CN65" s="141"/>
      <c r="CO65" s="141"/>
      <c r="CP65" s="141"/>
      <c r="CQ65" s="141"/>
      <c r="CR65" s="141"/>
      <c r="CS65" s="136">
        <f t="shared" ref="CS65" si="348">IFERROR(CS21/$B51,0)</f>
        <v>1.9302436709720458E-4</v>
      </c>
      <c r="CT65" s="149">
        <f>IFERROR(up_RadSpec!$M$21*CT21,".")*$B$65</f>
        <v>6875</v>
      </c>
      <c r="CU65" s="149">
        <f>IFERROR(up_RadSpec!$L$21*CU21,".")*$B$65</f>
        <v>1253.255208333333</v>
      </c>
      <c r="CV65" s="149">
        <f>IFERROR(up_RadSpec!$Q$21*CV21,".")*$B$65</f>
        <v>0.62785388127853881</v>
      </c>
      <c r="CW65" s="149">
        <f>up_b2w!BZ65</f>
        <v>114027.42389293101</v>
      </c>
      <c r="CX65" s="149">
        <f>IFERROR(up_RadSpec!$J$21*CX21,".")*$B$65</f>
        <v>189.0625</v>
      </c>
      <c r="CY65" s="149">
        <f>IFERROR(up_RadSpec!$J$21*CY21,".")*$B$65</f>
        <v>945.3125</v>
      </c>
      <c r="CZ65" s="149">
        <f>IFERROR(up_RadSpec!$J$21*CZ21,".")*$B$65</f>
        <v>917.77912621359224</v>
      </c>
      <c r="DA65" s="149">
        <f>IFERROR(up_RadSpec!$J$21*DA21,".")*$B$65</f>
        <v>945.3125</v>
      </c>
      <c r="DB65" s="149">
        <f>IFERROR(up_RadSpec!$J$21*DB21,".")*$B$65</f>
        <v>945.3125</v>
      </c>
      <c r="DC65" s="149">
        <f>IFERROR(up_RadSpec!$J$21*DC21,".")*$B$65</f>
        <v>945.3125</v>
      </c>
      <c r="DD65" s="149">
        <f>IFERROR(up_RadSpec!$J$21*DD21,".")*$B$65</f>
        <v>945.3125</v>
      </c>
      <c r="DE65" s="149">
        <f>IFERROR(up_RadSpec!$J$21*DE21,".")*$B$65</f>
        <v>917.77912621359224</v>
      </c>
      <c r="DF65" s="149">
        <f>IFERROR(up_RadSpec!$J$21*DF21,".")*$B$65</f>
        <v>945.3125</v>
      </c>
      <c r="DG65" s="149">
        <f>IFERROR(up_RadSpec!$J$21*DG21,".")*$B$65</f>
        <v>917.77912621359224</v>
      </c>
      <c r="DH65" s="150">
        <f t="shared" si="200"/>
        <v>0</v>
      </c>
      <c r="DI65" s="136">
        <f t="shared" ref="DI65:DK65" si="349">IFERROR(DI21/$B51,0)</f>
        <v>9.9740259740259754E-3</v>
      </c>
      <c r="DJ65" s="136">
        <f t="shared" si="349"/>
        <v>15.927272727272728</v>
      </c>
      <c r="DK65" s="136">
        <f t="shared" si="349"/>
        <v>9.9677839175609673E-3</v>
      </c>
      <c r="DL65" s="149">
        <f>IFERROR(up_RadSpec!$L$21*DL21,".")*$B$65</f>
        <v>2506.5104166666661</v>
      </c>
      <c r="DM65" s="149">
        <f>IFERROR(up_RadSpec!$O$21*DM21,".")*$B$65</f>
        <v>1.5696347031963471</v>
      </c>
      <c r="DN65" s="150">
        <f t="shared" si="93"/>
        <v>2508.0800513698623</v>
      </c>
    </row>
    <row r="66" spans="1:118" x14ac:dyDescent="0.25">
      <c r="A66" s="135" t="s">
        <v>1062</v>
      </c>
      <c r="B66" s="129">
        <v>0.99980000000000002</v>
      </c>
      <c r="C66" s="136">
        <f t="shared" ref="C66:M66" si="350">IFERROR(C17/$B52,0)</f>
        <v>2.2042976088330614E-4</v>
      </c>
      <c r="D66" s="136">
        <f t="shared" si="350"/>
        <v>6.6128928264991846E-4</v>
      </c>
      <c r="E66" s="136">
        <f t="shared" si="350"/>
        <v>6.6128928264991846E-4</v>
      </c>
      <c r="F66" s="136">
        <f t="shared" si="350"/>
        <v>6.6128928264991846E-4</v>
      </c>
      <c r="G66" s="136">
        <f t="shared" si="350"/>
        <v>6.6128928264991846E-4</v>
      </c>
      <c r="H66" s="136">
        <f t="shared" si="350"/>
        <v>6.6128928264991846E-4</v>
      </c>
      <c r="I66" s="136">
        <f t="shared" si="350"/>
        <v>6.6128928264991846E-4</v>
      </c>
      <c r="J66" s="136">
        <f t="shared" si="350"/>
        <v>6.6128928264991846E-4</v>
      </c>
      <c r="K66" s="136">
        <f t="shared" si="350"/>
        <v>6.6128928264991846E-4</v>
      </c>
      <c r="L66" s="136">
        <f t="shared" si="350"/>
        <v>6.6128928264991846E-4</v>
      </c>
      <c r="M66" s="136">
        <f t="shared" si="350"/>
        <v>6.6128928264991846E-4</v>
      </c>
      <c r="N66" s="149">
        <f>up_dir!BA66</f>
        <v>113414.8125</v>
      </c>
      <c r="O66" s="149">
        <f>IFERROR(up_RadSpec!$J$17*O17,".")*$B$66</f>
        <v>37804.9375</v>
      </c>
      <c r="P66" s="149">
        <f>IFERROR(up_RadSpec!$J$17*P17,".")*$B$66</f>
        <v>37804.9375</v>
      </c>
      <c r="Q66" s="149">
        <f>IFERROR(up_RadSpec!$J$17*Q17,".")*$B$66</f>
        <v>37804.9375</v>
      </c>
      <c r="R66" s="149">
        <f>IFERROR(up_RadSpec!$J$17*R17,".")*$B$66</f>
        <v>37804.9375</v>
      </c>
      <c r="S66" s="149">
        <f>IFERROR(up_RadSpec!$J$17*S17,".")*$B$66</f>
        <v>37804.9375</v>
      </c>
      <c r="T66" s="149">
        <f>IFERROR(up_RadSpec!$J$17*T17,".")*$B$66</f>
        <v>37804.9375</v>
      </c>
      <c r="U66" s="149">
        <f>IFERROR(up_RadSpec!$J$17*U17,".")*$B$66</f>
        <v>37804.9375</v>
      </c>
      <c r="V66" s="149">
        <f>IFERROR(up_RadSpec!$J$17*V17,".")*$B$66</f>
        <v>37804.9375</v>
      </c>
      <c r="W66" s="149">
        <f>IFERROR(up_RadSpec!$J$17*W17,".")*$B$66</f>
        <v>37804.9375</v>
      </c>
      <c r="X66" s="149">
        <f>IFERROR(up_RadSpec!$J$17*X17,".")*$B$66</f>
        <v>37804.9375</v>
      </c>
      <c r="Y66" s="136">
        <f t="shared" ref="Y66:AL66" si="351">IFERROR(Y17/$B52,0)</f>
        <v>0.33064464132495919</v>
      </c>
      <c r="Z66" s="136">
        <f t="shared" si="351"/>
        <v>3090.6099065144008</v>
      </c>
      <c r="AA66" s="136">
        <f t="shared" si="351"/>
        <v>293.09285706019585</v>
      </c>
      <c r="AB66" s="136">
        <f t="shared" si="351"/>
        <v>4.3967240626968418E-5</v>
      </c>
      <c r="AC66" s="136">
        <f t="shared" si="351"/>
        <v>6.6128928264991846E-4</v>
      </c>
      <c r="AD66" s="136">
        <f t="shared" si="351"/>
        <v>1.8562506179646834E-7</v>
      </c>
      <c r="AE66" s="136">
        <f t="shared" si="351"/>
        <v>1.9119381365036237E-7</v>
      </c>
      <c r="AF66" s="136">
        <f t="shared" si="351"/>
        <v>1.8562506179646834E-7</v>
      </c>
      <c r="AG66" s="136">
        <f t="shared" si="351"/>
        <v>1.8562506179646834E-7</v>
      </c>
      <c r="AH66" s="136">
        <f t="shared" si="351"/>
        <v>1.8562506179646834E-7</v>
      </c>
      <c r="AI66" s="136">
        <f t="shared" si="351"/>
        <v>1.8562506179646834E-7</v>
      </c>
      <c r="AJ66" s="136">
        <f t="shared" si="351"/>
        <v>1.9119381365036237E-7</v>
      </c>
      <c r="AK66" s="136">
        <f t="shared" si="351"/>
        <v>1.8562506179646834E-7</v>
      </c>
      <c r="AL66" s="136">
        <f t="shared" si="351"/>
        <v>1.9119381365036237E-7</v>
      </c>
      <c r="AM66" s="129"/>
      <c r="AN66" s="129"/>
      <c r="AO66" s="129"/>
      <c r="AP66" s="129"/>
      <c r="AQ66" s="129"/>
      <c r="AR66" s="129"/>
      <c r="AS66" s="129"/>
      <c r="AT66" s="129"/>
      <c r="AU66" s="129"/>
      <c r="AV66" s="129"/>
      <c r="AW66" s="129"/>
      <c r="AX66" s="129"/>
      <c r="AY66" s="129"/>
      <c r="AZ66" s="129"/>
      <c r="BA66" s="136">
        <f t="shared" ref="BA66" si="352">IFERROR(BA17/$B52,0)</f>
        <v>2.0816695048464696E-8</v>
      </c>
      <c r="BB66" s="149">
        <f>IFERROR(up_RadSpec!$I$17*BB17,".")*$B$66</f>
        <v>75.609875000000002</v>
      </c>
      <c r="BC66" s="149">
        <f>IFERROR(up_RadSpec!$L$17*BC17,".")*$B$66</f>
        <v>8.0890182702465611E-3</v>
      </c>
      <c r="BD66" s="149">
        <f>IFERROR(up_RadSpec!$K$17*BD17,".")*$B$66</f>
        <v>8.5297199838839682E-2</v>
      </c>
      <c r="BE66" s="149">
        <f>up_b2s!BZ66</f>
        <v>568605.16246875003</v>
      </c>
      <c r="BF66" s="149">
        <f>IFERROR(up_RadSpec!$J$17*BF17,".")*$B$66</f>
        <v>37804.9375</v>
      </c>
      <c r="BG66" s="149">
        <f>IFERROR(up_RadSpec!$J$17*BG17,".")*$B$66</f>
        <v>134680089.84375</v>
      </c>
      <c r="BH66" s="149">
        <f>IFERROR(up_RadSpec!$J$17*BH17,".")*$B$66</f>
        <v>130757368.78033982</v>
      </c>
      <c r="BI66" s="149">
        <f>IFERROR(up_RadSpec!$J$17*BI17,".")*$B$66</f>
        <v>134680089.84375</v>
      </c>
      <c r="BJ66" s="149">
        <f>IFERROR(up_RadSpec!$J$17*BJ17,".")*$B$66</f>
        <v>134680089.84375</v>
      </c>
      <c r="BK66" s="149">
        <f>IFERROR(up_RadSpec!$J$17*BK17,".")*$B$66</f>
        <v>134680089.84375</v>
      </c>
      <c r="BL66" s="149">
        <f>IFERROR(up_RadSpec!$J$17*BL17,".")*$B$66</f>
        <v>134680089.84375</v>
      </c>
      <c r="BM66" s="149">
        <f>IFERROR(up_RadSpec!$J$17*BM17,".")*$B$66</f>
        <v>130757368.78033982</v>
      </c>
      <c r="BN66" s="149">
        <f>IFERROR(up_RadSpec!$J$17*BN17,".")*$B$66</f>
        <v>134680089.84375</v>
      </c>
      <c r="BO66" s="149">
        <f>IFERROR(up_RadSpec!$J$17*BO17,".")*$B$66</f>
        <v>130757368.78033982</v>
      </c>
      <c r="BP66" s="150">
        <f t="shared" si="89"/>
        <v>1200959131.2067494</v>
      </c>
      <c r="BQ66" s="136">
        <f t="shared" ref="BQ66:CD66" si="353">IFERROR(BQ17/$B52,0)</f>
        <v>3.6370910545745513E-3</v>
      </c>
      <c r="BR66" s="136">
        <f t="shared" si="353"/>
        <v>0</v>
      </c>
      <c r="BS66" s="136">
        <f t="shared" si="353"/>
        <v>39.826147047591334</v>
      </c>
      <c r="BT66" s="136">
        <f t="shared" si="353"/>
        <v>2.1928936168617768E-4</v>
      </c>
      <c r="BU66" s="136">
        <f t="shared" si="353"/>
        <v>0.13225785652998368</v>
      </c>
      <c r="BV66" s="136">
        <f t="shared" si="353"/>
        <v>2.6451571305996735E-2</v>
      </c>
      <c r="BW66" s="136">
        <f t="shared" si="353"/>
        <v>2.7245118445176637E-2</v>
      </c>
      <c r="BX66" s="136">
        <f t="shared" si="353"/>
        <v>2.6451571305996735E-2</v>
      </c>
      <c r="BY66" s="136">
        <f t="shared" si="353"/>
        <v>2.6451571305996735E-2</v>
      </c>
      <c r="BZ66" s="136">
        <f t="shared" si="353"/>
        <v>2.6451571305996735E-2</v>
      </c>
      <c r="CA66" s="136">
        <f t="shared" si="353"/>
        <v>2.6451571305996735E-2</v>
      </c>
      <c r="CB66" s="136">
        <f t="shared" si="353"/>
        <v>2.7245118445176637E-2</v>
      </c>
      <c r="CC66" s="136">
        <f t="shared" si="353"/>
        <v>2.6451571305996735E-2</v>
      </c>
      <c r="CD66" s="136">
        <f t="shared" si="353"/>
        <v>2.7245118445176637E-2</v>
      </c>
      <c r="CE66" s="141"/>
      <c r="CF66" s="141"/>
      <c r="CG66" s="141"/>
      <c r="CH66" s="141"/>
      <c r="CI66" s="141"/>
      <c r="CJ66" s="141"/>
      <c r="CK66" s="141"/>
      <c r="CL66" s="141"/>
      <c r="CM66" s="141"/>
      <c r="CN66" s="141"/>
      <c r="CO66" s="141"/>
      <c r="CP66" s="141"/>
      <c r="CQ66" s="141"/>
      <c r="CR66" s="141"/>
      <c r="CS66" s="136">
        <f t="shared" ref="CS66" si="354">IFERROR(CS17/$B52,0)</f>
        <v>1.9306297969314321E-4</v>
      </c>
      <c r="CT66" s="149">
        <f>IFERROR(up_RadSpec!$M$17*CT17,".")*$B$66</f>
        <v>6873.625</v>
      </c>
      <c r="CU66" s="149">
        <f>IFERROR(up_RadSpec!$L$17*CU17,".")*$B$66</f>
        <v>1253.0045572916663</v>
      </c>
      <c r="CV66" s="149">
        <f>IFERROR(up_RadSpec!$Q$17*CV17,".")*$B$66</f>
        <v>0.62772831050228306</v>
      </c>
      <c r="CW66" s="149">
        <f>up_b2w!BZ66</f>
        <v>114004.61840815243</v>
      </c>
      <c r="CX66" s="149">
        <f>IFERROR(up_RadSpec!$J$17*CX17,".")*$B$66</f>
        <v>189.0246875</v>
      </c>
      <c r="CY66" s="149">
        <f>IFERROR(up_RadSpec!$J$17*CY17,".")*$B$66</f>
        <v>945.12343750000002</v>
      </c>
      <c r="CZ66" s="149">
        <f>IFERROR(up_RadSpec!$J$17*CZ17,".")*$B$66</f>
        <v>917.59557038834953</v>
      </c>
      <c r="DA66" s="149">
        <f>IFERROR(up_RadSpec!$J$17*DA17,".")*$B$66</f>
        <v>945.12343750000002</v>
      </c>
      <c r="DB66" s="149">
        <f>IFERROR(up_RadSpec!$J$17*DB17,".")*$B$66</f>
        <v>945.12343750000002</v>
      </c>
      <c r="DC66" s="149">
        <f>IFERROR(up_RadSpec!$J$17*DC17,".")*$B$66</f>
        <v>945.12343750000002</v>
      </c>
      <c r="DD66" s="149">
        <f>IFERROR(up_RadSpec!$J$17*DD17,".")*$B$66</f>
        <v>945.12343750000002</v>
      </c>
      <c r="DE66" s="149">
        <f>IFERROR(up_RadSpec!$J$17*DE17,".")*$B$66</f>
        <v>917.59557038834953</v>
      </c>
      <c r="DF66" s="149">
        <f>IFERROR(up_RadSpec!$J$17*DF17,".")*$B$66</f>
        <v>945.12343750000002</v>
      </c>
      <c r="DG66" s="149">
        <f>IFERROR(up_RadSpec!$J$17*DG17,".")*$B$66</f>
        <v>917.59557038834953</v>
      </c>
      <c r="DH66" s="150">
        <f t="shared" si="200"/>
        <v>0</v>
      </c>
      <c r="DI66" s="136">
        <f t="shared" ref="DI66:DK66" si="355">IFERROR(DI17/$B52,0)</f>
        <v>9.9760211782616275E-3</v>
      </c>
      <c r="DJ66" s="136">
        <f t="shared" si="355"/>
        <v>15.930458819036534</v>
      </c>
      <c r="DK66" s="136">
        <f t="shared" si="355"/>
        <v>9.9697778731355942E-3</v>
      </c>
      <c r="DL66" s="149">
        <f>IFERROR(up_RadSpec!$L$17*DL17,".")*$B$66</f>
        <v>2506.0091145833326</v>
      </c>
      <c r="DM66" s="149">
        <f>IFERROR(up_RadSpec!$O$17*DM17,".")*$B$66</f>
        <v>1.569320776255708</v>
      </c>
      <c r="DN66" s="150">
        <f t="shared" si="93"/>
        <v>2507.5784353595882</v>
      </c>
    </row>
    <row r="67" spans="1:118" x14ac:dyDescent="0.25">
      <c r="A67" s="135" t="s">
        <v>1076</v>
      </c>
      <c r="B67" s="129">
        <v>2.0000000000000001E-4</v>
      </c>
      <c r="C67" s="136">
        <f t="shared" ref="C67:M67" si="356">IFERROR(C5/$B53,0)</f>
        <v>1.1019283746556474</v>
      </c>
      <c r="D67" s="136">
        <f t="shared" si="356"/>
        <v>3.3057851239669422</v>
      </c>
      <c r="E67" s="136">
        <f t="shared" si="356"/>
        <v>3.3057851239669422</v>
      </c>
      <c r="F67" s="136">
        <f t="shared" si="356"/>
        <v>3.3057851239669422</v>
      </c>
      <c r="G67" s="136">
        <f t="shared" si="356"/>
        <v>3.3057851239669422</v>
      </c>
      <c r="H67" s="136">
        <f t="shared" si="356"/>
        <v>3.3057851239669422</v>
      </c>
      <c r="I67" s="136">
        <f t="shared" si="356"/>
        <v>3.3057851239669422</v>
      </c>
      <c r="J67" s="136">
        <f t="shared" si="356"/>
        <v>3.3057851239669422</v>
      </c>
      <c r="K67" s="136">
        <f t="shared" si="356"/>
        <v>3.3057851239669422</v>
      </c>
      <c r="L67" s="136">
        <f t="shared" si="356"/>
        <v>3.3057851239669422</v>
      </c>
      <c r="M67" s="136">
        <f t="shared" si="356"/>
        <v>3.3057851239669422</v>
      </c>
      <c r="N67" s="149">
        <f>up_dir!BA67</f>
        <v>22.687500000000004</v>
      </c>
      <c r="O67" s="149">
        <f>IFERROR(up_RadSpec!$J$5*O5,".")*$B$67</f>
        <v>7.5625</v>
      </c>
      <c r="P67" s="149">
        <f>IFERROR(up_RadSpec!$J$5*P5,".")*$B$67</f>
        <v>7.5625</v>
      </c>
      <c r="Q67" s="149">
        <f>IFERROR(up_RadSpec!$J$5*Q5,".")*$B$67</f>
        <v>7.5625</v>
      </c>
      <c r="R67" s="149">
        <f>IFERROR(up_RadSpec!$J$5*R5,".")*$B$67</f>
        <v>7.5625</v>
      </c>
      <c r="S67" s="149">
        <f>IFERROR(up_RadSpec!$J$5*S5,".")*$B$67</f>
        <v>7.5625</v>
      </c>
      <c r="T67" s="149">
        <f>IFERROR(up_RadSpec!$J$5*T5,".")*$B$67</f>
        <v>7.5625</v>
      </c>
      <c r="U67" s="149">
        <f>IFERROR(up_RadSpec!$J$5*U5,".")*$B$67</f>
        <v>7.5625</v>
      </c>
      <c r="V67" s="149">
        <f>IFERROR(up_RadSpec!$J$5*V5,".")*$B$67</f>
        <v>7.5625</v>
      </c>
      <c r="W67" s="149">
        <f>IFERROR(up_RadSpec!$J$5*W5,".")*$B$67</f>
        <v>7.5625</v>
      </c>
      <c r="X67" s="149">
        <f>IFERROR(up_RadSpec!$J$5*X5,".")*$B$67</f>
        <v>7.5625</v>
      </c>
      <c r="Y67" s="136">
        <f t="shared" ref="Y67:AL67" si="357">IFERROR(Y5/$B53,0)</f>
        <v>1652.8925619834711</v>
      </c>
      <c r="Z67" s="136">
        <f t="shared" si="357"/>
        <v>15449958.922665488</v>
      </c>
      <c r="AA67" s="136">
        <f t="shared" si="357"/>
        <v>0</v>
      </c>
      <c r="AB67" s="136">
        <f t="shared" si="357"/>
        <v>0.21979223589421512</v>
      </c>
      <c r="AC67" s="136">
        <f t="shared" si="357"/>
        <v>3.3057851239669422</v>
      </c>
      <c r="AD67" s="136">
        <f t="shared" si="357"/>
        <v>9.2793968392054522E-4</v>
      </c>
      <c r="AE67" s="136">
        <f t="shared" si="357"/>
        <v>9.5577787443816152E-4</v>
      </c>
      <c r="AF67" s="136">
        <f t="shared" si="357"/>
        <v>9.2793968392054522E-4</v>
      </c>
      <c r="AG67" s="136">
        <f t="shared" si="357"/>
        <v>9.2793968392054522E-4</v>
      </c>
      <c r="AH67" s="136">
        <f t="shared" si="357"/>
        <v>9.2793968392054522E-4</v>
      </c>
      <c r="AI67" s="136">
        <f t="shared" si="357"/>
        <v>9.2793968392054522E-4</v>
      </c>
      <c r="AJ67" s="136">
        <f t="shared" si="357"/>
        <v>9.5577787443816152E-4</v>
      </c>
      <c r="AK67" s="136">
        <f t="shared" si="357"/>
        <v>9.2793968392054522E-4</v>
      </c>
      <c r="AL67" s="136">
        <f t="shared" si="357"/>
        <v>9.5577787443816152E-4</v>
      </c>
      <c r="AM67" s="129"/>
      <c r="AN67" s="129"/>
      <c r="AO67" s="129"/>
      <c r="AP67" s="129"/>
      <c r="AQ67" s="129"/>
      <c r="AR67" s="129"/>
      <c r="AS67" s="129"/>
      <c r="AT67" s="129"/>
      <c r="AU67" s="129"/>
      <c r="AV67" s="129"/>
      <c r="AW67" s="129"/>
      <c r="AX67" s="129"/>
      <c r="AY67" s="129"/>
      <c r="AZ67" s="129"/>
      <c r="BA67" s="136">
        <f t="shared" ref="BA67" si="358">IFERROR(BA5/$B53,0)</f>
        <v>1.0406265855466598E-4</v>
      </c>
      <c r="BB67" s="149">
        <f>IFERROR(up_RadSpec!$I$5*BB5,".")*$B$67</f>
        <v>1.5125000000000001E-2</v>
      </c>
      <c r="BC67" s="149">
        <f>IFERROR(up_RadSpec!$L$5*BC5,".")*$B$67</f>
        <v>1.6181272795052132E-6</v>
      </c>
      <c r="BD67" s="149">
        <f>IFERROR(up_RadSpec!$K$5*BD5,".")*$B$67</f>
        <v>0</v>
      </c>
      <c r="BE67" s="149">
        <f>up_b2s!BZ67</f>
        <v>113.74378125000001</v>
      </c>
      <c r="BF67" s="149">
        <f>IFERROR(up_RadSpec!$J$5*BF5,".")*$B$67</f>
        <v>7.5625</v>
      </c>
      <c r="BG67" s="149">
        <f>IFERROR(up_RadSpec!$J$5*BG5,".")*$B$67</f>
        <v>26941.40625</v>
      </c>
      <c r="BH67" s="149">
        <f>IFERROR(up_RadSpec!$J$5*BH5,".")*$B$67</f>
        <v>26156.705097087382</v>
      </c>
      <c r="BI67" s="149">
        <f>IFERROR(up_RadSpec!$J$5*BI5,".")*$B$67</f>
        <v>26941.40625</v>
      </c>
      <c r="BJ67" s="149">
        <f>IFERROR(up_RadSpec!$J$5*BJ5,".")*$B$67</f>
        <v>26941.40625</v>
      </c>
      <c r="BK67" s="149">
        <f>IFERROR(up_RadSpec!$J$5*BK5,".")*$B$67</f>
        <v>26941.40625</v>
      </c>
      <c r="BL67" s="149">
        <f>IFERROR(up_RadSpec!$J$5*BL5,".")*$B$67</f>
        <v>26941.40625</v>
      </c>
      <c r="BM67" s="149">
        <f>IFERROR(up_RadSpec!$J$5*BM5,".")*$B$67</f>
        <v>26156.705097087382</v>
      </c>
      <c r="BN67" s="149">
        <f>IFERROR(up_RadSpec!$J$5*BN5,".")*$B$67</f>
        <v>26941.40625</v>
      </c>
      <c r="BO67" s="149">
        <f>IFERROR(up_RadSpec!$J$5*BO5,".")*$B$67</f>
        <v>26156.705097087382</v>
      </c>
      <c r="BP67" s="150">
        <f t="shared" si="89"/>
        <v>240239.87419913028</v>
      </c>
      <c r="BQ67" s="136">
        <f t="shared" ref="BQ67:CD67" si="359">IFERROR(BQ5/$B53,0)</f>
        <v>18.18181818181818</v>
      </c>
      <c r="BR67" s="136">
        <f t="shared" si="359"/>
        <v>0</v>
      </c>
      <c r="BS67" s="136">
        <f t="shared" si="359"/>
        <v>199090.90909090909</v>
      </c>
      <c r="BT67" s="136">
        <f t="shared" si="359"/>
        <v>1.0962275190692021</v>
      </c>
      <c r="BU67" s="136">
        <f t="shared" si="359"/>
        <v>661.15702479338847</v>
      </c>
      <c r="BV67" s="136">
        <f t="shared" si="359"/>
        <v>132.23140495867767</v>
      </c>
      <c r="BW67" s="136">
        <f t="shared" si="359"/>
        <v>136.198347107438</v>
      </c>
      <c r="BX67" s="136">
        <f t="shared" si="359"/>
        <v>132.23140495867767</v>
      </c>
      <c r="BY67" s="136">
        <f t="shared" si="359"/>
        <v>132.23140495867767</v>
      </c>
      <c r="BZ67" s="136">
        <f t="shared" si="359"/>
        <v>132.23140495867767</v>
      </c>
      <c r="CA67" s="136">
        <f t="shared" si="359"/>
        <v>132.23140495867767</v>
      </c>
      <c r="CB67" s="136">
        <f t="shared" si="359"/>
        <v>136.198347107438</v>
      </c>
      <c r="CC67" s="136">
        <f t="shared" si="359"/>
        <v>132.23140495867767</v>
      </c>
      <c r="CD67" s="136">
        <f t="shared" si="359"/>
        <v>136.198347107438</v>
      </c>
      <c r="CE67" s="141"/>
      <c r="CF67" s="141"/>
      <c r="CG67" s="141"/>
      <c r="CH67" s="141"/>
      <c r="CI67" s="141"/>
      <c r="CJ67" s="141"/>
      <c r="CK67" s="141"/>
      <c r="CL67" s="141"/>
      <c r="CM67" s="141"/>
      <c r="CN67" s="141"/>
      <c r="CO67" s="141"/>
      <c r="CP67" s="141"/>
      <c r="CQ67" s="141"/>
      <c r="CR67" s="141"/>
      <c r="CS67" s="136">
        <f t="shared" ref="CS67" si="360">IFERROR(CS5/$B53,0)</f>
        <v>0.96512183548602282</v>
      </c>
      <c r="CT67" s="149">
        <f>IFERROR(up_RadSpec!$M$5*CT5,".")*$B$67</f>
        <v>1.375</v>
      </c>
      <c r="CU67" s="149">
        <f>IFERROR(up_RadSpec!$L$5*CU5,".")*$B$67</f>
        <v>0.25065104166666663</v>
      </c>
      <c r="CV67" s="149">
        <f>IFERROR(up_RadSpec!$Q$5*CV5,".")*$B$67</f>
        <v>1.2557077625570778E-4</v>
      </c>
      <c r="CW67" s="149">
        <f>up_b2w!BZ67</f>
        <v>22.805484778586205</v>
      </c>
      <c r="CX67" s="149">
        <f>IFERROR(up_RadSpec!$J$5*CX5,".")*$B$67</f>
        <v>3.7812499999999999E-2</v>
      </c>
      <c r="CY67" s="149">
        <f>IFERROR(up_RadSpec!$J$5*CY5,".")*$B$67</f>
        <v>0.18906250000000002</v>
      </c>
      <c r="CZ67" s="149">
        <f>IFERROR(up_RadSpec!$J$5*CZ5,".")*$B$67</f>
        <v>0.18355582524271846</v>
      </c>
      <c r="DA67" s="149">
        <f>IFERROR(up_RadSpec!$J$5*DA5,".")*$B$67</f>
        <v>0.18906250000000002</v>
      </c>
      <c r="DB67" s="149">
        <f>IFERROR(up_RadSpec!$J$5*DB5,".")*$B$67</f>
        <v>0.18906250000000002</v>
      </c>
      <c r="DC67" s="149">
        <f>IFERROR(up_RadSpec!$J$5*DC5,".")*$B$67</f>
        <v>0.18906250000000002</v>
      </c>
      <c r="DD67" s="149">
        <f>IFERROR(up_RadSpec!$J$5*DD5,".")*$B$67</f>
        <v>0.18906250000000002</v>
      </c>
      <c r="DE67" s="149">
        <f>IFERROR(up_RadSpec!$J$5*DE5,".")*$B$67</f>
        <v>0.18355582524271846</v>
      </c>
      <c r="DF67" s="149">
        <f>IFERROR(up_RadSpec!$J$5*DF5,".")*$B$67</f>
        <v>0.18906250000000002</v>
      </c>
      <c r="DG67" s="149">
        <f>IFERROR(up_RadSpec!$J$5*DG5,".")*$B$67</f>
        <v>0.18355582524271846</v>
      </c>
      <c r="DH67" s="150">
        <f t="shared" si="200"/>
        <v>0</v>
      </c>
      <c r="DI67" s="136">
        <f t="shared" ref="DI67:DK67" si="361">IFERROR(DI5/$B53,0)</f>
        <v>49.870129870129873</v>
      </c>
      <c r="DJ67" s="136">
        <f t="shared" si="361"/>
        <v>79636.363636363632</v>
      </c>
      <c r="DK67" s="136">
        <f t="shared" si="361"/>
        <v>49.838919587804831</v>
      </c>
      <c r="DL67" s="149">
        <f>IFERROR(up_RadSpec!$L$5*DL5,".")*$B$67</f>
        <v>0.50130208333333326</v>
      </c>
      <c r="DM67" s="149">
        <f>IFERROR(up_RadSpec!$O$5*DM5,".")*$B$67</f>
        <v>3.1392694063926945E-4</v>
      </c>
      <c r="DN67" s="150">
        <f t="shared" si="93"/>
        <v>0.50161601027397251</v>
      </c>
    </row>
    <row r="68" spans="1:118" x14ac:dyDescent="0.25">
      <c r="A68" s="135" t="s">
        <v>1077</v>
      </c>
      <c r="B68" s="129">
        <v>0.99999979999999999</v>
      </c>
      <c r="C68" s="136">
        <f t="shared" ref="C68:M68" si="362">IFERROR(C9/$B54,0)</f>
        <v>2.2038571900827327E-4</v>
      </c>
      <c r="D68" s="136">
        <f t="shared" si="362"/>
        <v>6.611571570248199E-4</v>
      </c>
      <c r="E68" s="136">
        <f t="shared" si="362"/>
        <v>6.611571570248199E-4</v>
      </c>
      <c r="F68" s="136">
        <f t="shared" si="362"/>
        <v>6.611571570248199E-4</v>
      </c>
      <c r="G68" s="136">
        <f t="shared" si="362"/>
        <v>6.611571570248199E-4</v>
      </c>
      <c r="H68" s="136">
        <f t="shared" si="362"/>
        <v>6.611571570248199E-4</v>
      </c>
      <c r="I68" s="136">
        <f t="shared" si="362"/>
        <v>6.611571570248199E-4</v>
      </c>
      <c r="J68" s="136">
        <f t="shared" si="362"/>
        <v>6.611571570248199E-4</v>
      </c>
      <c r="K68" s="136">
        <f t="shared" si="362"/>
        <v>6.611571570248199E-4</v>
      </c>
      <c r="L68" s="136">
        <f t="shared" si="362"/>
        <v>6.611571570248199E-4</v>
      </c>
      <c r="M68" s="136">
        <f t="shared" si="362"/>
        <v>6.611571570248199E-4</v>
      </c>
      <c r="N68" s="149">
        <f>up_dir!BA68</f>
        <v>113437.47731249999</v>
      </c>
      <c r="O68" s="149">
        <f>IFERROR(up_RadSpec!$J$9*O9,".")*$B$68</f>
        <v>37812.492437499997</v>
      </c>
      <c r="P68" s="149">
        <f>IFERROR(up_RadSpec!$J$9*P9,".")*$B$68</f>
        <v>37812.492437499997</v>
      </c>
      <c r="Q68" s="149">
        <f>IFERROR(up_RadSpec!$J$9*Q9,".")*$B$68</f>
        <v>37812.492437499997</v>
      </c>
      <c r="R68" s="149">
        <f>IFERROR(up_RadSpec!$J$9*R9,".")*$B$68</f>
        <v>37812.492437499997</v>
      </c>
      <c r="S68" s="149">
        <f>IFERROR(up_RadSpec!$J$9*S9,".")*$B$68</f>
        <v>37812.492437499997</v>
      </c>
      <c r="T68" s="149">
        <f>IFERROR(up_RadSpec!$J$9*T9,".")*$B$68</f>
        <v>37812.492437499997</v>
      </c>
      <c r="U68" s="149">
        <f>IFERROR(up_RadSpec!$J$9*U9,".")*$B$68</f>
        <v>37812.492437499997</v>
      </c>
      <c r="V68" s="149">
        <f>IFERROR(up_RadSpec!$J$9*V9,".")*$B$68</f>
        <v>37812.492437499997</v>
      </c>
      <c r="W68" s="149">
        <f>IFERROR(up_RadSpec!$J$9*W9,".")*$B$68</f>
        <v>37812.492437499997</v>
      </c>
      <c r="X68" s="149">
        <f>IFERROR(up_RadSpec!$J$9*X9,".")*$B$68</f>
        <v>37812.492437499997</v>
      </c>
      <c r="Y68" s="136">
        <f t="shared" ref="Y68:AL68" si="363">IFERROR(Y9/$B54,0)</f>
        <v>0.3305785785124099</v>
      </c>
      <c r="Z68" s="136">
        <f t="shared" si="363"/>
        <v>3089.9924025315786</v>
      </c>
      <c r="AA68" s="136">
        <f t="shared" si="363"/>
        <v>108.34244377237872</v>
      </c>
      <c r="AB68" s="136">
        <f t="shared" si="363"/>
        <v>4.395845597053422E-5</v>
      </c>
      <c r="AC68" s="136">
        <f t="shared" si="363"/>
        <v>6.611571570248199E-4</v>
      </c>
      <c r="AD68" s="136">
        <f t="shared" si="363"/>
        <v>1.8558797390170383E-7</v>
      </c>
      <c r="AE68" s="136">
        <f t="shared" si="363"/>
        <v>1.9115561311875494E-7</v>
      </c>
      <c r="AF68" s="136">
        <f t="shared" si="363"/>
        <v>1.8558797390170383E-7</v>
      </c>
      <c r="AG68" s="136">
        <f t="shared" si="363"/>
        <v>1.8558797390170383E-7</v>
      </c>
      <c r="AH68" s="136">
        <f t="shared" si="363"/>
        <v>1.8558797390170383E-7</v>
      </c>
      <c r="AI68" s="136">
        <f t="shared" si="363"/>
        <v>1.8558797390170383E-7</v>
      </c>
      <c r="AJ68" s="136">
        <f t="shared" si="363"/>
        <v>1.9115561311875494E-7</v>
      </c>
      <c r="AK68" s="136">
        <f t="shared" si="363"/>
        <v>1.8558797390170383E-7</v>
      </c>
      <c r="AL68" s="136">
        <f t="shared" si="363"/>
        <v>1.9115561311875494E-7</v>
      </c>
      <c r="AM68" s="129"/>
      <c r="AN68" s="129"/>
      <c r="AO68" s="129"/>
      <c r="AP68" s="129"/>
      <c r="AQ68" s="129"/>
      <c r="AR68" s="129"/>
      <c r="AS68" s="129"/>
      <c r="AT68" s="129"/>
      <c r="AU68" s="129"/>
      <c r="AV68" s="129"/>
      <c r="AW68" s="129"/>
      <c r="AX68" s="129"/>
      <c r="AY68" s="129"/>
      <c r="AZ68" s="129"/>
      <c r="BA68" s="136">
        <f t="shared" ref="BA68" si="364">IFERROR(BA9/$B54,0)</f>
        <v>2.0812535869442289E-8</v>
      </c>
      <c r="BB68" s="149">
        <f>IFERROR(up_RadSpec!$I$9*BB9,".")*$B$68</f>
        <v>75.624984874999996</v>
      </c>
      <c r="BC68" s="149">
        <f>IFERROR(up_RadSpec!$L$9*BC9,".")*$B$68</f>
        <v>8.0906347793987862E-3</v>
      </c>
      <c r="BD68" s="149">
        <f>IFERROR(up_RadSpec!$K$9*BD9,".")*$B$68</f>
        <v>0.23074982554873483</v>
      </c>
      <c r="BE68" s="149">
        <f>up_b2s!BZ68</f>
        <v>568718.79250621877</v>
      </c>
      <c r="BF68" s="149">
        <f>IFERROR(up_RadSpec!$J$9*BF9,".")*$B$68</f>
        <v>37812.492437499997</v>
      </c>
      <c r="BG68" s="149">
        <f>IFERROR(up_RadSpec!$J$9*BG9,".")*$B$68</f>
        <v>134707004.30859375</v>
      </c>
      <c r="BH68" s="149">
        <f>IFERROR(up_RadSpec!$J$9*BH9,".")*$B$68</f>
        <v>130783499.32873181</v>
      </c>
      <c r="BI68" s="149">
        <f>IFERROR(up_RadSpec!$J$9*BI9,".")*$B$68</f>
        <v>134707004.30859375</v>
      </c>
      <c r="BJ68" s="149">
        <f>IFERROR(up_RadSpec!$J$9*BJ9,".")*$B$68</f>
        <v>134707004.30859375</v>
      </c>
      <c r="BK68" s="149">
        <f>IFERROR(up_RadSpec!$J$9*BK9,".")*$B$68</f>
        <v>134707004.30859375</v>
      </c>
      <c r="BL68" s="149">
        <f>IFERROR(up_RadSpec!$J$9*BL9,".")*$B$68</f>
        <v>134707004.30859375</v>
      </c>
      <c r="BM68" s="149">
        <f>IFERROR(up_RadSpec!$J$9*BM9,".")*$B$68</f>
        <v>130783499.32873181</v>
      </c>
      <c r="BN68" s="149">
        <f>IFERROR(up_RadSpec!$J$9*BN9,".")*$B$68</f>
        <v>134707004.30859375</v>
      </c>
      <c r="BO68" s="149">
        <f>IFERROR(up_RadSpec!$J$9*BO9,".")*$B$68</f>
        <v>130783499.32873181</v>
      </c>
      <c r="BP68" s="150">
        <f t="shared" si="89"/>
        <v>1201199130.986527</v>
      </c>
      <c r="BQ68" s="136">
        <f t="shared" ref="BQ68:CD68" si="365">IFERROR(BQ9/$B54,0)</f>
        <v>3.6363643636365089E-3</v>
      </c>
      <c r="BR68" s="136">
        <f t="shared" si="365"/>
        <v>0</v>
      </c>
      <c r="BS68" s="136">
        <f t="shared" si="365"/>
        <v>39.818189781819775</v>
      </c>
      <c r="BT68" s="136">
        <f t="shared" si="365"/>
        <v>2.1924554766294998E-4</v>
      </c>
      <c r="BU68" s="136">
        <f t="shared" si="365"/>
        <v>0.13223143140496396</v>
      </c>
      <c r="BV68" s="136">
        <f t="shared" si="365"/>
        <v>2.6446286280992794E-2</v>
      </c>
      <c r="BW68" s="136">
        <f t="shared" si="365"/>
        <v>2.7239674869422578E-2</v>
      </c>
      <c r="BX68" s="136">
        <f t="shared" si="365"/>
        <v>2.6446286280992794E-2</v>
      </c>
      <c r="BY68" s="136">
        <f t="shared" si="365"/>
        <v>2.6446286280992794E-2</v>
      </c>
      <c r="BZ68" s="136">
        <f t="shared" si="365"/>
        <v>2.6446286280992794E-2</v>
      </c>
      <c r="CA68" s="136">
        <f t="shared" si="365"/>
        <v>2.6446286280992794E-2</v>
      </c>
      <c r="CB68" s="136">
        <f t="shared" si="365"/>
        <v>2.7239674869422578E-2</v>
      </c>
      <c r="CC68" s="136">
        <f t="shared" si="365"/>
        <v>2.6446286280992794E-2</v>
      </c>
      <c r="CD68" s="136">
        <f t="shared" si="365"/>
        <v>2.7239674869422578E-2</v>
      </c>
      <c r="CE68" s="141"/>
      <c r="CF68" s="141"/>
      <c r="CG68" s="141"/>
      <c r="CH68" s="141"/>
      <c r="CI68" s="141"/>
      <c r="CJ68" s="141"/>
      <c r="CK68" s="141"/>
      <c r="CL68" s="141"/>
      <c r="CM68" s="141"/>
      <c r="CN68" s="141"/>
      <c r="CO68" s="141"/>
      <c r="CP68" s="141"/>
      <c r="CQ68" s="141"/>
      <c r="CR68" s="141"/>
      <c r="CS68" s="136">
        <f t="shared" ref="CS68" si="366">IFERROR(CS9/$B54,0)</f>
        <v>1.9302440570208572E-4</v>
      </c>
      <c r="CT68" s="149">
        <f>IFERROR(up_RadSpec!$M$9*CT9,".")*$B$68</f>
        <v>6874.9986250000002</v>
      </c>
      <c r="CU68" s="149">
        <f>IFERROR(up_RadSpec!$L$9*CU9,".")*$B$68</f>
        <v>1253.2549576822914</v>
      </c>
      <c r="CV68" s="149">
        <f>IFERROR(up_RadSpec!$Q$9*CV9,".")*$B$68</f>
        <v>0.62785375570776258</v>
      </c>
      <c r="CW68" s="149">
        <f>up_b2w!BZ68</f>
        <v>114027.40108744623</v>
      </c>
      <c r="CX68" s="149">
        <f>IFERROR(up_RadSpec!$J$9*CX9,".")*$B$68</f>
        <v>189.06246218749999</v>
      </c>
      <c r="CY68" s="149">
        <f>IFERROR(up_RadSpec!$J$9*CY9,".")*$B$68</f>
        <v>945.3123109375</v>
      </c>
      <c r="CZ68" s="149">
        <f>IFERROR(up_RadSpec!$J$9*CZ9,".")*$B$68</f>
        <v>917.77894265776695</v>
      </c>
      <c r="DA68" s="149">
        <f>IFERROR(up_RadSpec!$J$9*DA9,".")*$B$68</f>
        <v>945.3123109375</v>
      </c>
      <c r="DB68" s="149">
        <f>IFERROR(up_RadSpec!$J$9*DB9,".")*$B$68</f>
        <v>945.3123109375</v>
      </c>
      <c r="DC68" s="149">
        <f>IFERROR(up_RadSpec!$J$9*DC9,".")*$B$68</f>
        <v>945.3123109375</v>
      </c>
      <c r="DD68" s="149">
        <f>IFERROR(up_RadSpec!$J$9*DD9,".")*$B$68</f>
        <v>945.3123109375</v>
      </c>
      <c r="DE68" s="149">
        <f>IFERROR(up_RadSpec!$J$9*DE9,".")*$B$68</f>
        <v>917.77894265776695</v>
      </c>
      <c r="DF68" s="149">
        <f>IFERROR(up_RadSpec!$J$9*DF9,".")*$B$68</f>
        <v>945.3123109375</v>
      </c>
      <c r="DG68" s="149">
        <f>IFERROR(up_RadSpec!$J$9*DG9,".")*$B$68</f>
        <v>917.77894265776695</v>
      </c>
      <c r="DH68" s="150">
        <f t="shared" si="200"/>
        <v>0</v>
      </c>
      <c r="DI68" s="136">
        <f t="shared" ref="DI68:DK68" si="367">IFERROR(DI9/$B54,0)</f>
        <v>9.9740279688315687E-3</v>
      </c>
      <c r="DJ68" s="136">
        <f t="shared" si="367"/>
        <v>15.927275912727911</v>
      </c>
      <c r="DK68" s="136">
        <f t="shared" si="367"/>
        <v>9.9677859111181495E-3</v>
      </c>
      <c r="DL68" s="149">
        <f>IFERROR(up_RadSpec!$L$9*DL9,".")*$B$68</f>
        <v>2506.5099153645829</v>
      </c>
      <c r="DM68" s="149">
        <f>IFERROR(up_RadSpec!$O$9*DM9,".")*$B$68</f>
        <v>1.5696343892694065</v>
      </c>
      <c r="DN68" s="150">
        <f t="shared" si="93"/>
        <v>2508.0795497538525</v>
      </c>
    </row>
    <row r="69" spans="1:118" x14ac:dyDescent="0.25">
      <c r="A69" s="135" t="s">
        <v>1078</v>
      </c>
      <c r="B69" s="129">
        <v>1.9999999999999999E-7</v>
      </c>
      <c r="C69" s="136">
        <f t="shared" ref="C69:M69" si="368">IFERROR(C24/$B55,0)</f>
        <v>1101.9283746556475</v>
      </c>
      <c r="D69" s="136">
        <f t="shared" si="368"/>
        <v>3305.7851239669426</v>
      </c>
      <c r="E69" s="136">
        <f t="shared" si="368"/>
        <v>3305.7851239669426</v>
      </c>
      <c r="F69" s="136">
        <f t="shared" si="368"/>
        <v>3305.7851239669426</v>
      </c>
      <c r="G69" s="136">
        <f t="shared" si="368"/>
        <v>3305.7851239669426</v>
      </c>
      <c r="H69" s="136">
        <f t="shared" si="368"/>
        <v>3305.7851239669426</v>
      </c>
      <c r="I69" s="136">
        <f t="shared" si="368"/>
        <v>3305.7851239669426</v>
      </c>
      <c r="J69" s="136">
        <f t="shared" si="368"/>
        <v>3305.7851239669426</v>
      </c>
      <c r="K69" s="136">
        <f t="shared" si="368"/>
        <v>3305.7851239669426</v>
      </c>
      <c r="L69" s="136">
        <f t="shared" si="368"/>
        <v>3305.7851239669426</v>
      </c>
      <c r="M69" s="136">
        <f t="shared" si="368"/>
        <v>3305.7851239669426</v>
      </c>
      <c r="N69" s="149">
        <f>up_dir!BA69</f>
        <v>2.2687499999999999E-2</v>
      </c>
      <c r="O69" s="149">
        <f>IFERROR(up_RadSpec!$J$24*O24,".")*$B$69</f>
        <v>7.5624999999999998E-3</v>
      </c>
      <c r="P69" s="149">
        <f>IFERROR(up_RadSpec!$J$24*P24,".")*$B$69</f>
        <v>7.5624999999999998E-3</v>
      </c>
      <c r="Q69" s="149">
        <f>IFERROR(up_RadSpec!$J$24*Q24,".")*$B$69</f>
        <v>7.5624999999999998E-3</v>
      </c>
      <c r="R69" s="149">
        <f>IFERROR(up_RadSpec!$J$24*R24,".")*$B$69</f>
        <v>7.5624999999999998E-3</v>
      </c>
      <c r="S69" s="149">
        <f>IFERROR(up_RadSpec!$J$24*S24,".")*$B$69</f>
        <v>7.5624999999999998E-3</v>
      </c>
      <c r="T69" s="149">
        <f>IFERROR(up_RadSpec!$J$24*T24,".")*$B$69</f>
        <v>7.5624999999999998E-3</v>
      </c>
      <c r="U69" s="149">
        <f>IFERROR(up_RadSpec!$J$24*U24,".")*$B$69</f>
        <v>7.5624999999999998E-3</v>
      </c>
      <c r="V69" s="149">
        <f>IFERROR(up_RadSpec!$J$24*V24,".")*$B$69</f>
        <v>7.5624999999999998E-3</v>
      </c>
      <c r="W69" s="149">
        <f>IFERROR(up_RadSpec!$J$24*W24,".")*$B$69</f>
        <v>7.5624999999999998E-3</v>
      </c>
      <c r="X69" s="149">
        <f>IFERROR(up_RadSpec!$J$24*X24,".")*$B$69</f>
        <v>7.5624999999999998E-3</v>
      </c>
      <c r="Y69" s="136">
        <f t="shared" ref="Y69:AL69" si="369">IFERROR(Y24/$B55,0)</f>
        <v>1652892.5619834713</v>
      </c>
      <c r="Z69" s="136">
        <f t="shared" si="369"/>
        <v>15449958922.665489</v>
      </c>
      <c r="AA69" s="136">
        <f t="shared" si="369"/>
        <v>955986714.07459486</v>
      </c>
      <c r="AB69" s="136">
        <f t="shared" si="369"/>
        <v>219.79223589421517</v>
      </c>
      <c r="AC69" s="136">
        <f t="shared" si="369"/>
        <v>3305.7851239669426</v>
      </c>
      <c r="AD69" s="136">
        <f t="shared" si="369"/>
        <v>0.92793968392054527</v>
      </c>
      <c r="AE69" s="136">
        <f t="shared" si="369"/>
        <v>0.95577787443816153</v>
      </c>
      <c r="AF69" s="136">
        <f t="shared" si="369"/>
        <v>0.92793968392054527</v>
      </c>
      <c r="AG69" s="136">
        <f t="shared" si="369"/>
        <v>0.92793968392054527</v>
      </c>
      <c r="AH69" s="136">
        <f t="shared" si="369"/>
        <v>0.92793968392054527</v>
      </c>
      <c r="AI69" s="136">
        <f t="shared" si="369"/>
        <v>0.92793968392054527</v>
      </c>
      <c r="AJ69" s="136">
        <f t="shared" si="369"/>
        <v>0.95577787443816153</v>
      </c>
      <c r="AK69" s="136">
        <f t="shared" si="369"/>
        <v>0.92793968392054527</v>
      </c>
      <c r="AL69" s="136">
        <f t="shared" si="369"/>
        <v>0.95577787443816153</v>
      </c>
      <c r="AM69" s="129"/>
      <c r="AN69" s="129"/>
      <c r="AO69" s="129"/>
      <c r="AP69" s="129"/>
      <c r="AQ69" s="129"/>
      <c r="AR69" s="129"/>
      <c r="AS69" s="129"/>
      <c r="AT69" s="129"/>
      <c r="AU69" s="129"/>
      <c r="AV69" s="129"/>
      <c r="AW69" s="129"/>
      <c r="AX69" s="129"/>
      <c r="AY69" s="129"/>
      <c r="AZ69" s="129"/>
      <c r="BA69" s="136">
        <f t="shared" ref="BA69" si="370">IFERROR(BA24/$B55,0)</f>
        <v>0.10406265854333838</v>
      </c>
      <c r="BB69" s="149">
        <f>IFERROR(up_RadSpec!$I$24*BB24,".")*$B$69</f>
        <v>1.5125E-5</v>
      </c>
      <c r="BC69" s="149">
        <f>IFERROR(up_RadSpec!$L$24*BC24,".")*$B$69</f>
        <v>1.6181272795052132E-9</v>
      </c>
      <c r="BD69" s="149">
        <f>IFERROR(up_RadSpec!$K$24*BD24,".")*$B$69</f>
        <v>2.6150991046146769E-8</v>
      </c>
      <c r="BE69" s="149">
        <f>up_b2s!BZ69</f>
        <v>0.11374378124999998</v>
      </c>
      <c r="BF69" s="149">
        <f>IFERROR(up_RadSpec!$J$24*BF24,".")*$B$69</f>
        <v>7.5624999999999998E-3</v>
      </c>
      <c r="BG69" s="149">
        <f>IFERROR(up_RadSpec!$J$24*BG24,".")*$B$69</f>
        <v>26.94140625</v>
      </c>
      <c r="BH69" s="149">
        <f>IFERROR(up_RadSpec!$J$24*BH24,".")*$B$69</f>
        <v>26.156705097087379</v>
      </c>
      <c r="BI69" s="149">
        <f>IFERROR(up_RadSpec!$J$24*BI24,".")*$B$69</f>
        <v>26.94140625</v>
      </c>
      <c r="BJ69" s="149">
        <f>IFERROR(up_RadSpec!$J$24*BJ24,".")*$B$69</f>
        <v>26.94140625</v>
      </c>
      <c r="BK69" s="149">
        <f>IFERROR(up_RadSpec!$J$24*BK24,".")*$B$69</f>
        <v>26.94140625</v>
      </c>
      <c r="BL69" s="149">
        <f>IFERROR(up_RadSpec!$J$24*BL24,".")*$B$69</f>
        <v>26.94140625</v>
      </c>
      <c r="BM69" s="149">
        <f>IFERROR(up_RadSpec!$J$24*BM24,".")*$B$69</f>
        <v>26.156705097087379</v>
      </c>
      <c r="BN69" s="149">
        <f>IFERROR(up_RadSpec!$J$24*BN24,".")*$B$69</f>
        <v>26.94140625</v>
      </c>
      <c r="BO69" s="149">
        <f>IFERROR(up_RadSpec!$J$24*BO24,".")*$B$69</f>
        <v>26.156705097087379</v>
      </c>
      <c r="BP69" s="150">
        <f t="shared" si="89"/>
        <v>240.23987422528126</v>
      </c>
      <c r="BQ69" s="136">
        <f t="shared" ref="BQ69:CD69" si="371">IFERROR(BQ24/$B55,0)</f>
        <v>18181.818181818184</v>
      </c>
      <c r="BR69" s="136">
        <f t="shared" si="371"/>
        <v>0</v>
      </c>
      <c r="BS69" s="136">
        <f t="shared" si="371"/>
        <v>199090909.09090912</v>
      </c>
      <c r="BT69" s="136">
        <f t="shared" si="371"/>
        <v>1096.2275190692023</v>
      </c>
      <c r="BU69" s="136">
        <f t="shared" si="371"/>
        <v>661157.02479338844</v>
      </c>
      <c r="BV69" s="136">
        <f t="shared" si="371"/>
        <v>132231.40495867768</v>
      </c>
      <c r="BW69" s="136">
        <f t="shared" si="371"/>
        <v>136198.34710743802</v>
      </c>
      <c r="BX69" s="136">
        <f t="shared" si="371"/>
        <v>132231.40495867768</v>
      </c>
      <c r="BY69" s="136">
        <f t="shared" si="371"/>
        <v>132231.40495867768</v>
      </c>
      <c r="BZ69" s="136">
        <f t="shared" si="371"/>
        <v>132231.40495867768</v>
      </c>
      <c r="CA69" s="136">
        <f t="shared" si="371"/>
        <v>132231.40495867768</v>
      </c>
      <c r="CB69" s="136">
        <f t="shared" si="371"/>
        <v>136198.34710743802</v>
      </c>
      <c r="CC69" s="136">
        <f t="shared" si="371"/>
        <v>132231.40495867768</v>
      </c>
      <c r="CD69" s="136">
        <f t="shared" si="371"/>
        <v>136198.34710743802</v>
      </c>
      <c r="CE69" s="141"/>
      <c r="CF69" s="141"/>
      <c r="CG69" s="141"/>
      <c r="CH69" s="141"/>
      <c r="CI69" s="141"/>
      <c r="CJ69" s="141"/>
      <c r="CK69" s="141"/>
      <c r="CL69" s="141"/>
      <c r="CM69" s="141"/>
      <c r="CN69" s="141"/>
      <c r="CO69" s="141"/>
      <c r="CP69" s="141"/>
      <c r="CQ69" s="141"/>
      <c r="CR69" s="141"/>
      <c r="CS69" s="136">
        <f t="shared" ref="CS69" si="372">IFERROR(CS24/$B55,0)</f>
        <v>965.12183548602297</v>
      </c>
      <c r="CT69" s="149">
        <f>IFERROR(up_RadSpec!$M$24*CT24,".")*$B$69</f>
        <v>1.3749999999999999E-3</v>
      </c>
      <c r="CU69" s="149">
        <f>IFERROR(up_RadSpec!$L$24*CU24,".")*$B$69</f>
        <v>2.506510416666666E-4</v>
      </c>
      <c r="CV69" s="149">
        <f>IFERROR(up_RadSpec!$Q$24*CV24,".")*$B$69</f>
        <v>1.2557077625570775E-7</v>
      </c>
      <c r="CW69" s="149">
        <f>up_b2w!BZ69</f>
        <v>2.28054847785862E-2</v>
      </c>
      <c r="CX69" s="149">
        <f>IFERROR(up_RadSpec!$J$24*CX24,".")*$B$69</f>
        <v>3.7812499999999998E-5</v>
      </c>
      <c r="CY69" s="149">
        <f>IFERROR(up_RadSpec!$J$24*CY24,".")*$B$69</f>
        <v>1.8906249999999999E-4</v>
      </c>
      <c r="CZ69" s="149">
        <f>IFERROR(up_RadSpec!$J$24*CZ24,".")*$B$69</f>
        <v>1.8355582524271844E-4</v>
      </c>
      <c r="DA69" s="149">
        <f>IFERROR(up_RadSpec!$J$24*DA24,".")*$B$69</f>
        <v>1.8906249999999999E-4</v>
      </c>
      <c r="DB69" s="149">
        <f>IFERROR(up_RadSpec!$J$24*DB24,".")*$B$69</f>
        <v>1.8906249999999999E-4</v>
      </c>
      <c r="DC69" s="149">
        <f>IFERROR(up_RadSpec!$J$24*DC24,".")*$B$69</f>
        <v>1.8906249999999999E-4</v>
      </c>
      <c r="DD69" s="149">
        <f>IFERROR(up_RadSpec!$J$24*DD24,".")*$B$69</f>
        <v>1.8906249999999999E-4</v>
      </c>
      <c r="DE69" s="149">
        <f>IFERROR(up_RadSpec!$J$24*DE24,".")*$B$69</f>
        <v>1.8355582524271844E-4</v>
      </c>
      <c r="DF69" s="149">
        <f>IFERROR(up_RadSpec!$J$24*DF24,".")*$B$69</f>
        <v>1.8906249999999999E-4</v>
      </c>
      <c r="DG69" s="149">
        <f>IFERROR(up_RadSpec!$J$24*DG24,".")*$B$69</f>
        <v>1.8355582524271844E-4</v>
      </c>
      <c r="DH69" s="150">
        <f t="shared" si="200"/>
        <v>0</v>
      </c>
      <c r="DI69" s="136">
        <f t="shared" ref="DI69:DK69" si="373">IFERROR(DI24/$B55,0)</f>
        <v>49870.12987012988</v>
      </c>
      <c r="DJ69" s="136">
        <f t="shared" si="373"/>
        <v>79636363.63636364</v>
      </c>
      <c r="DK69" s="136">
        <f t="shared" si="373"/>
        <v>49838.919587804841</v>
      </c>
      <c r="DL69" s="149">
        <f>IFERROR(up_RadSpec!$L$24*DL24,".")*$B$69</f>
        <v>5.013020833333332E-4</v>
      </c>
      <c r="DM69" s="149">
        <f>IFERROR(up_RadSpec!$O$24*DM24,".")*$B$69</f>
        <v>3.1392694063926939E-7</v>
      </c>
      <c r="DN69" s="150">
        <f t="shared" si="93"/>
        <v>5.0161601027397251E-4</v>
      </c>
    </row>
    <row r="70" spans="1:118" x14ac:dyDescent="0.25">
      <c r="A70" s="135" t="s">
        <v>1079</v>
      </c>
      <c r="B70" s="129">
        <v>0.99979000004200003</v>
      </c>
      <c r="C70" s="136">
        <f t="shared" ref="C70:M70" si="374">IFERROR(C20/$B56,0)</f>
        <v>2.2043196563465461E-4</v>
      </c>
      <c r="D70" s="136">
        <f t="shared" si="374"/>
        <v>6.6129589690396386E-4</v>
      </c>
      <c r="E70" s="136">
        <f t="shared" si="374"/>
        <v>6.6129589690396386E-4</v>
      </c>
      <c r="F70" s="136">
        <f t="shared" si="374"/>
        <v>6.6129589690396386E-4</v>
      </c>
      <c r="G70" s="136">
        <f t="shared" si="374"/>
        <v>6.6129589690396386E-4</v>
      </c>
      <c r="H70" s="136">
        <f t="shared" si="374"/>
        <v>6.6129589690396386E-4</v>
      </c>
      <c r="I70" s="136">
        <f t="shared" si="374"/>
        <v>6.6129589690396386E-4</v>
      </c>
      <c r="J70" s="136">
        <f t="shared" si="374"/>
        <v>6.6129589690396386E-4</v>
      </c>
      <c r="K70" s="136">
        <f t="shared" si="374"/>
        <v>6.6129589690396386E-4</v>
      </c>
      <c r="L70" s="136">
        <f t="shared" si="374"/>
        <v>6.6129589690396386E-4</v>
      </c>
      <c r="M70" s="136">
        <f t="shared" si="374"/>
        <v>6.6129589690396386E-4</v>
      </c>
      <c r="N70" s="149">
        <f>up_dir!BA70</f>
        <v>113413.67812976439</v>
      </c>
      <c r="O70" s="149">
        <f>IFERROR(up_RadSpec!$J$20*O20,".")*$B$70</f>
        <v>37804.559376588128</v>
      </c>
      <c r="P70" s="149">
        <f>IFERROR(up_RadSpec!$J$20*P20,".")*$B$70</f>
        <v>37804.559376588128</v>
      </c>
      <c r="Q70" s="149">
        <f>IFERROR(up_RadSpec!$J$20*Q20,".")*$B$70</f>
        <v>37804.559376588128</v>
      </c>
      <c r="R70" s="149">
        <f>IFERROR(up_RadSpec!$J$20*R20,".")*$B$70</f>
        <v>37804.559376588128</v>
      </c>
      <c r="S70" s="149">
        <f>IFERROR(up_RadSpec!$J$20*S20,".")*$B$70</f>
        <v>37804.559376588128</v>
      </c>
      <c r="T70" s="149">
        <f>IFERROR(up_RadSpec!$J$20*T20,".")*$B$70</f>
        <v>37804.559376588128</v>
      </c>
      <c r="U70" s="149">
        <f>IFERROR(up_RadSpec!$J$20*U20,".")*$B$70</f>
        <v>37804.559376588128</v>
      </c>
      <c r="V70" s="149">
        <f>IFERROR(up_RadSpec!$J$20*V20,".")*$B$70</f>
        <v>37804.559376588128</v>
      </c>
      <c r="W70" s="149">
        <f>IFERROR(up_RadSpec!$J$20*W20,".")*$B$70</f>
        <v>37804.559376588128</v>
      </c>
      <c r="X70" s="149">
        <f>IFERROR(up_RadSpec!$J$20*X20,".")*$B$70</f>
        <v>37804.559376588128</v>
      </c>
      <c r="Y70" s="136">
        <f t="shared" ref="Y70:AL70" si="375">IFERROR(Y20/$B56,0)</f>
        <v>0.33064794845198192</v>
      </c>
      <c r="Z70" s="136">
        <f t="shared" si="375"/>
        <v>3090.6408189752756</v>
      </c>
      <c r="AA70" s="136">
        <f t="shared" si="375"/>
        <v>149.77900176140341</v>
      </c>
      <c r="AB70" s="136">
        <f t="shared" si="375"/>
        <v>4.3967680389878262E-5</v>
      </c>
      <c r="AC70" s="136">
        <f t="shared" si="375"/>
        <v>6.6129589690396386E-4</v>
      </c>
      <c r="AD70" s="136">
        <f t="shared" si="375"/>
        <v>1.8562691842918285E-7</v>
      </c>
      <c r="AE70" s="136">
        <f t="shared" si="375"/>
        <v>1.9119572598205831E-7</v>
      </c>
      <c r="AF70" s="136">
        <f t="shared" si="375"/>
        <v>1.8562691842918285E-7</v>
      </c>
      <c r="AG70" s="136">
        <f t="shared" si="375"/>
        <v>1.8562691842918285E-7</v>
      </c>
      <c r="AH70" s="136">
        <f t="shared" si="375"/>
        <v>1.8562691842918285E-7</v>
      </c>
      <c r="AI70" s="136">
        <f t="shared" si="375"/>
        <v>1.8562691842918285E-7</v>
      </c>
      <c r="AJ70" s="136">
        <f t="shared" si="375"/>
        <v>1.9119572598205831E-7</v>
      </c>
      <c r="AK70" s="136">
        <f t="shared" si="375"/>
        <v>1.8562691842918285E-7</v>
      </c>
      <c r="AL70" s="136">
        <f t="shared" si="375"/>
        <v>1.9119572598205831E-7</v>
      </c>
      <c r="AM70" s="129"/>
      <c r="AN70" s="129"/>
      <c r="AO70" s="129"/>
      <c r="AP70" s="129"/>
      <c r="AQ70" s="129"/>
      <c r="AR70" s="129"/>
      <c r="AS70" s="129"/>
      <c r="AT70" s="129"/>
      <c r="AU70" s="129"/>
      <c r="AV70" s="129"/>
      <c r="AW70" s="129"/>
      <c r="AX70" s="129"/>
      <c r="AY70" s="129"/>
      <c r="AZ70" s="129"/>
      <c r="BA70" s="136">
        <f t="shared" ref="BA70" si="376">IFERROR(BA20/$B56,0)</f>
        <v>2.081690325685021E-8</v>
      </c>
      <c r="BB70" s="149">
        <f>IFERROR(up_RadSpec!$I$20*BB20,".")*$B$70</f>
        <v>75.609118753176247</v>
      </c>
      <c r="BC70" s="149">
        <f>IFERROR(up_RadSpec!$L$20*BC20,".")*$B$70</f>
        <v>8.0889373642223927E-3</v>
      </c>
      <c r="BD70" s="149">
        <f>IFERROR(up_RadSpec!$K$20*BD20,".")*$B$70</f>
        <v>0.16691258257832947</v>
      </c>
      <c r="BE70" s="149">
        <f>up_b2s!BZ70</f>
        <v>568599.47530357365</v>
      </c>
      <c r="BF70" s="149">
        <f>IFERROR(up_RadSpec!$J$20*BF20,".")*$B$70</f>
        <v>37804.559376588128</v>
      </c>
      <c r="BG70" s="149">
        <f>IFERROR(up_RadSpec!$J$20*BG20,".")*$B$70</f>
        <v>134678742.7790952</v>
      </c>
      <c r="BH70" s="149">
        <f>IFERROR(up_RadSpec!$J$20*BH20,".")*$B$70</f>
        <v>130756060.95057787</v>
      </c>
      <c r="BI70" s="149">
        <f>IFERROR(up_RadSpec!$J$20*BI20,".")*$B$70</f>
        <v>134678742.7790952</v>
      </c>
      <c r="BJ70" s="149">
        <f>IFERROR(up_RadSpec!$J$20*BJ20,".")*$B$70</f>
        <v>134678742.7790952</v>
      </c>
      <c r="BK70" s="149">
        <f>IFERROR(up_RadSpec!$J$20*BK20,".")*$B$70</f>
        <v>134678742.7790952</v>
      </c>
      <c r="BL70" s="149">
        <f>IFERROR(up_RadSpec!$J$20*BL20,".")*$B$70</f>
        <v>134678742.7790952</v>
      </c>
      <c r="BM70" s="149">
        <f>IFERROR(up_RadSpec!$J$20*BM20,".")*$B$70</f>
        <v>130756060.95057787</v>
      </c>
      <c r="BN70" s="149">
        <f>IFERROR(up_RadSpec!$J$20*BN20,".")*$B$70</f>
        <v>134678742.7790952</v>
      </c>
      <c r="BO70" s="149">
        <f>IFERROR(up_RadSpec!$J$20*BO20,".")*$B$70</f>
        <v>130756060.95057787</v>
      </c>
      <c r="BP70" s="150">
        <f t="shared" si="89"/>
        <v>1200947119.3451052</v>
      </c>
      <c r="BQ70" s="136">
        <f t="shared" ref="BQ70:CD70" si="377">IFERROR(BQ20/$B56,0)</f>
        <v>3.6371274329718012E-3</v>
      </c>
      <c r="BR70" s="136">
        <f t="shared" si="377"/>
        <v>0</v>
      </c>
      <c r="BS70" s="136">
        <f t="shared" si="377"/>
        <v>39.826545391041222</v>
      </c>
      <c r="BT70" s="136">
        <f t="shared" si="377"/>
        <v>2.1929155503118674E-4</v>
      </c>
      <c r="BU70" s="136">
        <f t="shared" si="377"/>
        <v>0.13225917938079276</v>
      </c>
      <c r="BV70" s="136">
        <f t="shared" si="377"/>
        <v>2.6451835876158552E-2</v>
      </c>
      <c r="BW70" s="136">
        <f t="shared" si="377"/>
        <v>2.724539095244331E-2</v>
      </c>
      <c r="BX70" s="136">
        <f t="shared" si="377"/>
        <v>2.6451835876158552E-2</v>
      </c>
      <c r="BY70" s="136">
        <f t="shared" si="377"/>
        <v>2.6451835876158552E-2</v>
      </c>
      <c r="BZ70" s="136">
        <f t="shared" si="377"/>
        <v>2.6451835876158552E-2</v>
      </c>
      <c r="CA70" s="136">
        <f t="shared" si="377"/>
        <v>2.6451835876158552E-2</v>
      </c>
      <c r="CB70" s="136">
        <f t="shared" si="377"/>
        <v>2.724539095244331E-2</v>
      </c>
      <c r="CC70" s="136">
        <f t="shared" si="377"/>
        <v>2.6451835876158552E-2</v>
      </c>
      <c r="CD70" s="136">
        <f t="shared" si="377"/>
        <v>2.724539095244331E-2</v>
      </c>
      <c r="CE70" s="141"/>
      <c r="CF70" s="141"/>
      <c r="CG70" s="141"/>
      <c r="CH70" s="141"/>
      <c r="CI70" s="141"/>
      <c r="CJ70" s="141"/>
      <c r="CK70" s="141"/>
      <c r="CL70" s="141"/>
      <c r="CM70" s="141"/>
      <c r="CN70" s="141"/>
      <c r="CO70" s="141"/>
      <c r="CP70" s="141"/>
      <c r="CQ70" s="141"/>
      <c r="CR70" s="141"/>
      <c r="CS70" s="136">
        <f t="shared" ref="CS70" si="378">IFERROR(CS20/$B56,0)</f>
        <v>1.9306491072034712E-4</v>
      </c>
      <c r="CT70" s="149">
        <f>IFERROR(up_RadSpec!$M$20*CT20,".")*$B$70</f>
        <v>6873.5562502887506</v>
      </c>
      <c r="CU70" s="149">
        <f>IFERROR(up_RadSpec!$L$20*CU20,".")*$B$70</f>
        <v>1252.9920247922198</v>
      </c>
      <c r="CV70" s="149">
        <f>IFERROR(up_RadSpec!$Q$20*CV20,".")*$B$70</f>
        <v>0.62772203198984022</v>
      </c>
      <c r="CW70" s="149">
        <f>up_b2w!BZ70</f>
        <v>114003.47813870266</v>
      </c>
      <c r="CX70" s="149">
        <f>IFERROR(up_RadSpec!$J$20*CX20,".")*$B$70</f>
        <v>189.02279688294064</v>
      </c>
      <c r="CY70" s="149">
        <f>IFERROR(up_RadSpec!$J$20*CY20,".")*$B$70</f>
        <v>945.11398441470317</v>
      </c>
      <c r="CZ70" s="149">
        <f>IFERROR(up_RadSpec!$J$20*CZ20,".")*$B$70</f>
        <v>917.58639263563418</v>
      </c>
      <c r="DA70" s="149">
        <f>IFERROR(up_RadSpec!$J$20*DA20,".")*$B$70</f>
        <v>945.11398441470317</v>
      </c>
      <c r="DB70" s="149">
        <f>IFERROR(up_RadSpec!$J$20*DB20,".")*$B$70</f>
        <v>945.11398441470317</v>
      </c>
      <c r="DC70" s="149">
        <f>IFERROR(up_RadSpec!$J$20*DC20,".")*$B$70</f>
        <v>945.11398441470317</v>
      </c>
      <c r="DD70" s="149">
        <f>IFERROR(up_RadSpec!$J$20*DD20,".")*$B$70</f>
        <v>945.11398441470317</v>
      </c>
      <c r="DE70" s="149">
        <f>IFERROR(up_RadSpec!$J$20*DE20,".")*$B$70</f>
        <v>917.58639263563418</v>
      </c>
      <c r="DF70" s="149">
        <f>IFERROR(up_RadSpec!$J$20*DF20,".")*$B$70</f>
        <v>945.11398441470317</v>
      </c>
      <c r="DG70" s="149">
        <f>IFERROR(up_RadSpec!$J$20*DG20,".")*$B$70</f>
        <v>917.58639263563418</v>
      </c>
      <c r="DH70" s="150">
        <f t="shared" si="200"/>
        <v>0</v>
      </c>
      <c r="DI70" s="136">
        <f t="shared" ref="DI70:DK70" si="379">IFERROR(DI20/$B56,0)</f>
        <v>9.976120959008369E-3</v>
      </c>
      <c r="DJ70" s="136">
        <f t="shared" si="379"/>
        <v>15.930618156416489</v>
      </c>
      <c r="DK70" s="136">
        <f t="shared" si="379"/>
        <v>9.9698775914364331E-3</v>
      </c>
      <c r="DL70" s="149">
        <f>IFERROR(up_RadSpec!$L$20*DL20,".")*$B$70</f>
        <v>2505.9840495844396</v>
      </c>
      <c r="DM70" s="149">
        <f>IFERROR(up_RadSpec!$O$20*DM20,".")*$B$70</f>
        <v>1.5693050799746007</v>
      </c>
      <c r="DN70" s="150">
        <f t="shared" si="93"/>
        <v>2507.5533546644142</v>
      </c>
    </row>
    <row r="71" spans="1:118" x14ac:dyDescent="0.25">
      <c r="A71" s="135" t="s">
        <v>1080</v>
      </c>
      <c r="B71" s="129">
        <v>2.0999995799999999E-4</v>
      </c>
      <c r="C71" s="136">
        <f t="shared" ref="C71:M71" si="380">IFERROR(C29/$B57,0)</f>
        <v>1.0494558048013014</v>
      </c>
      <c r="D71" s="136">
        <f t="shared" si="380"/>
        <v>3.1483674144039044</v>
      </c>
      <c r="E71" s="136">
        <f t="shared" si="380"/>
        <v>3.1483674144039044</v>
      </c>
      <c r="F71" s="136">
        <f t="shared" si="380"/>
        <v>3.1483674144039044</v>
      </c>
      <c r="G71" s="136">
        <f t="shared" si="380"/>
        <v>3.1483674144039044</v>
      </c>
      <c r="H71" s="136">
        <f t="shared" si="380"/>
        <v>3.1483674144039044</v>
      </c>
      <c r="I71" s="136">
        <f t="shared" si="380"/>
        <v>3.1483674144039044</v>
      </c>
      <c r="J71" s="136">
        <f t="shared" si="380"/>
        <v>3.1483674144039044</v>
      </c>
      <c r="K71" s="136">
        <f t="shared" si="380"/>
        <v>3.1483674144039044</v>
      </c>
      <c r="L71" s="136">
        <f t="shared" si="380"/>
        <v>3.1483674144039044</v>
      </c>
      <c r="M71" s="136">
        <f t="shared" si="380"/>
        <v>3.1483674144039044</v>
      </c>
      <c r="N71" s="149">
        <f>up_dir!BA71</f>
        <v>23.821870235624999</v>
      </c>
      <c r="O71" s="149">
        <f>IFERROR(up_RadSpec!$J$29*O29,".")*$B$71</f>
        <v>7.9406234118749994</v>
      </c>
      <c r="P71" s="149">
        <f>IFERROR(up_RadSpec!$J$29*P29,".")*$B$71</f>
        <v>7.9406234118749994</v>
      </c>
      <c r="Q71" s="149">
        <f>IFERROR(up_RadSpec!$J$29*Q29,".")*$B$71</f>
        <v>7.9406234118749994</v>
      </c>
      <c r="R71" s="149">
        <f>IFERROR(up_RadSpec!$J$29*R29,".")*$B$71</f>
        <v>7.9406234118749994</v>
      </c>
      <c r="S71" s="149">
        <f>IFERROR(up_RadSpec!$J$29*S29,".")*$B$71</f>
        <v>7.9406234118749994</v>
      </c>
      <c r="T71" s="149">
        <f>IFERROR(up_RadSpec!$J$29*T29,".")*$B$71</f>
        <v>7.9406234118749994</v>
      </c>
      <c r="U71" s="149">
        <f>IFERROR(up_RadSpec!$J$29*U29,".")*$B$71</f>
        <v>7.9406234118749994</v>
      </c>
      <c r="V71" s="149">
        <f>IFERROR(up_RadSpec!$J$29*V29,".")*$B$71</f>
        <v>7.9406234118749994</v>
      </c>
      <c r="W71" s="149">
        <f>IFERROR(up_RadSpec!$J$29*W29,".")*$B$71</f>
        <v>7.9406234118749994</v>
      </c>
      <c r="X71" s="149">
        <f>IFERROR(up_RadSpec!$J$29*X29,".")*$B$71</f>
        <v>7.9406234118749994</v>
      </c>
      <c r="Y71" s="136">
        <f t="shared" ref="Y71:AL71" si="381">IFERROR(Y29/$B57,0)</f>
        <v>1574.1837072019521</v>
      </c>
      <c r="Z71" s="136">
        <f t="shared" si="381"/>
        <v>14714249.535864661</v>
      </c>
      <c r="AA71" s="136">
        <f t="shared" si="381"/>
        <v>561233.05052872899</v>
      </c>
      <c r="AB71" s="136">
        <f t="shared" si="381"/>
        <v>0.20932598081206774</v>
      </c>
      <c r="AC71" s="136">
        <f t="shared" si="381"/>
        <v>3.1483674144039044</v>
      </c>
      <c r="AD71" s="136">
        <f t="shared" si="381"/>
        <v>8.8375225667478019E-4</v>
      </c>
      <c r="AE71" s="136">
        <f t="shared" si="381"/>
        <v>9.1026482437502358E-4</v>
      </c>
      <c r="AF71" s="136">
        <f t="shared" si="381"/>
        <v>8.8375225667478019E-4</v>
      </c>
      <c r="AG71" s="136">
        <f t="shared" si="381"/>
        <v>8.8375225667478019E-4</v>
      </c>
      <c r="AH71" s="136">
        <f t="shared" si="381"/>
        <v>8.8375225667478019E-4</v>
      </c>
      <c r="AI71" s="136">
        <f t="shared" si="381"/>
        <v>8.8375225667478019E-4</v>
      </c>
      <c r="AJ71" s="136">
        <f t="shared" si="381"/>
        <v>9.1026482437502358E-4</v>
      </c>
      <c r="AK71" s="136">
        <f t="shared" si="381"/>
        <v>8.8375225667478019E-4</v>
      </c>
      <c r="AL71" s="136">
        <f t="shared" si="381"/>
        <v>9.1026482437502358E-4</v>
      </c>
      <c r="AM71" s="129"/>
      <c r="AN71" s="129"/>
      <c r="AO71" s="129"/>
      <c r="AP71" s="129"/>
      <c r="AQ71" s="129"/>
      <c r="AR71" s="129"/>
      <c r="AS71" s="129"/>
      <c r="AT71" s="129"/>
      <c r="AU71" s="129"/>
      <c r="AV71" s="129"/>
      <c r="AW71" s="129"/>
      <c r="AX71" s="129"/>
      <c r="AY71" s="129"/>
      <c r="AZ71" s="129"/>
      <c r="BA71" s="136">
        <f t="shared" ref="BA71" si="382">IFERROR(BA29/$B57,0)</f>
        <v>9.9107313665548177E-5</v>
      </c>
      <c r="BB71" s="149">
        <f>IFERROR(up_RadSpec!$I$29*BB29,".")*$B$71</f>
        <v>1.588124682375E-2</v>
      </c>
      <c r="BC71" s="149">
        <f>IFERROR(up_RadSpec!$L$29*BC29,".")*$B$71</f>
        <v>1.699033303673745E-6</v>
      </c>
      <c r="BD71" s="149">
        <f>IFERROR(up_RadSpec!$K$29*BD29,".")*$B$71</f>
        <v>4.4544775074183334E-5</v>
      </c>
      <c r="BE71" s="149">
        <f>up_b2s!BZ71</f>
        <v>119.43094642630592</v>
      </c>
      <c r="BF71" s="149">
        <f>IFERROR(up_RadSpec!$J$29*BF29,".")*$B$71</f>
        <v>7.9406234118749994</v>
      </c>
      <c r="BG71" s="149">
        <f>IFERROR(up_RadSpec!$J$29*BG29,".")*$B$71</f>
        <v>28288.470904804686</v>
      </c>
      <c r="BH71" s="149">
        <f>IFERROR(up_RadSpec!$J$29*BH29,".")*$B$71</f>
        <v>27464.534859033676</v>
      </c>
      <c r="BI71" s="149">
        <f>IFERROR(up_RadSpec!$J$29*BI29,".")*$B$71</f>
        <v>28288.470904804686</v>
      </c>
      <c r="BJ71" s="149">
        <f>IFERROR(up_RadSpec!$J$29*BJ29,".")*$B$71</f>
        <v>28288.470904804686</v>
      </c>
      <c r="BK71" s="149">
        <f>IFERROR(up_RadSpec!$J$29*BK29,".")*$B$71</f>
        <v>28288.470904804686</v>
      </c>
      <c r="BL71" s="149">
        <f>IFERROR(up_RadSpec!$J$29*BL29,".")*$B$71</f>
        <v>28288.470904804686</v>
      </c>
      <c r="BM71" s="149">
        <f>IFERROR(up_RadSpec!$J$29*BM29,".")*$B$71</f>
        <v>27464.534859033676</v>
      </c>
      <c r="BN71" s="149">
        <f>IFERROR(up_RadSpec!$J$29*BN29,".")*$B$71</f>
        <v>28288.470904804686</v>
      </c>
      <c r="BO71" s="149">
        <f>IFERROR(up_RadSpec!$J$29*BO29,".")*$B$71</f>
        <v>27464.534859033676</v>
      </c>
      <c r="BP71" s="150">
        <f t="shared" si="89"/>
        <v>252251.81750325795</v>
      </c>
      <c r="BQ71" s="136">
        <f t="shared" ref="BQ71:CD71" si="383">IFERROR(BQ29/$B57,0)</f>
        <v>17.316020779221471</v>
      </c>
      <c r="BR71" s="136">
        <f t="shared" si="383"/>
        <v>0</v>
      </c>
      <c r="BS71" s="136">
        <f t="shared" si="383"/>
        <v>189610.42753247515</v>
      </c>
      <c r="BT71" s="136">
        <f t="shared" si="383"/>
        <v>1.044026417442619</v>
      </c>
      <c r="BU71" s="136">
        <f t="shared" si="383"/>
        <v>629.67348288078085</v>
      </c>
      <c r="BV71" s="136">
        <f t="shared" si="383"/>
        <v>125.93469657615617</v>
      </c>
      <c r="BW71" s="136">
        <f t="shared" si="383"/>
        <v>129.71273747344085</v>
      </c>
      <c r="BX71" s="136">
        <f t="shared" si="383"/>
        <v>125.93469657615617</v>
      </c>
      <c r="BY71" s="136">
        <f t="shared" si="383"/>
        <v>125.93469657615617</v>
      </c>
      <c r="BZ71" s="136">
        <f t="shared" si="383"/>
        <v>125.93469657615617</v>
      </c>
      <c r="CA71" s="136">
        <f t="shared" si="383"/>
        <v>125.93469657615617</v>
      </c>
      <c r="CB71" s="136">
        <f t="shared" si="383"/>
        <v>129.71273747344085</v>
      </c>
      <c r="CC71" s="136">
        <f t="shared" si="383"/>
        <v>125.93469657615617</v>
      </c>
      <c r="CD71" s="136">
        <f t="shared" si="383"/>
        <v>129.71273747344085</v>
      </c>
      <c r="CE71" s="141"/>
      <c r="CF71" s="141"/>
      <c r="CG71" s="141"/>
      <c r="CH71" s="141"/>
      <c r="CI71" s="141"/>
      <c r="CJ71" s="141"/>
      <c r="CK71" s="141"/>
      <c r="CL71" s="141"/>
      <c r="CM71" s="141"/>
      <c r="CN71" s="141"/>
      <c r="CO71" s="141"/>
      <c r="CP71" s="141"/>
      <c r="CQ71" s="141"/>
      <c r="CR71" s="141"/>
      <c r="CS71" s="136">
        <f t="shared" ref="CS71" si="384">IFERROR(CS29/$B57,0)</f>
        <v>0.91916383667659873</v>
      </c>
      <c r="CT71" s="149">
        <f>IFERROR(up_RadSpec!$M$29*CT29,".")*$B$71</f>
        <v>1.44374971125</v>
      </c>
      <c r="CU71" s="149">
        <f>IFERROR(up_RadSpec!$L$29*CU29,".")*$B$71</f>
        <v>0.26318354111328118</v>
      </c>
      <c r="CV71" s="149">
        <f>IFERROR(up_RadSpec!$Q$29*CV29,".")*$B$71</f>
        <v>1.3184928869863012E-4</v>
      </c>
      <c r="CW71" s="149">
        <f>up_b2w!BZ71</f>
        <v>23.945754228363704</v>
      </c>
      <c r="CX71" s="149">
        <f>IFERROR(up_RadSpec!$J$29*CX29,".")*$B$71</f>
        <v>3.9703117059374994E-2</v>
      </c>
      <c r="CY71" s="149">
        <f>IFERROR(up_RadSpec!$J$29*CY29,".")*$B$71</f>
        <v>0.19851558529687499</v>
      </c>
      <c r="CZ71" s="149">
        <f>IFERROR(up_RadSpec!$J$29*CZ29,".")*$B$71</f>
        <v>0.19273357795813106</v>
      </c>
      <c r="DA71" s="149">
        <f>IFERROR(up_RadSpec!$J$29*DA29,".")*$B$71</f>
        <v>0.19851558529687499</v>
      </c>
      <c r="DB71" s="149">
        <f>IFERROR(up_RadSpec!$J$29*DB29,".")*$B$71</f>
        <v>0.19851558529687499</v>
      </c>
      <c r="DC71" s="149">
        <f>IFERROR(up_RadSpec!$J$29*DC29,".")*$B$71</f>
        <v>0.19851558529687499</v>
      </c>
      <c r="DD71" s="149">
        <f>IFERROR(up_RadSpec!$J$29*DD29,".")*$B$71</f>
        <v>0.19851558529687499</v>
      </c>
      <c r="DE71" s="149">
        <f>IFERROR(up_RadSpec!$J$29*DE29,".")*$B$71</f>
        <v>0.19273357795813106</v>
      </c>
      <c r="DF71" s="149">
        <f>IFERROR(up_RadSpec!$J$29*DF29,".")*$B$71</f>
        <v>0.19851558529687499</v>
      </c>
      <c r="DG71" s="149">
        <f>IFERROR(up_RadSpec!$J$29*DG29,".")*$B$71</f>
        <v>0.19273357795813106</v>
      </c>
      <c r="DH71" s="150">
        <f t="shared" si="200"/>
        <v>0</v>
      </c>
      <c r="DI71" s="136">
        <f t="shared" ref="DI71:DK71" si="385">IFERROR(DI29/$B57,0)</f>
        <v>47.49537128015033</v>
      </c>
      <c r="DJ71" s="136">
        <f t="shared" si="385"/>
        <v>75844.17101299006</v>
      </c>
      <c r="DK71" s="136">
        <f t="shared" si="385"/>
        <v>47.465647195800713</v>
      </c>
      <c r="DL71" s="149">
        <f>IFERROR(up_RadSpec!$L$29*DL29,".")*$B$71</f>
        <v>0.52636708222656237</v>
      </c>
      <c r="DM71" s="149">
        <f>IFERROR(up_RadSpec!$O$29*DM29,".")*$B$71</f>
        <v>3.2962322174657534E-4</v>
      </c>
      <c r="DN71" s="150">
        <f t="shared" si="93"/>
        <v>0.52669670544830893</v>
      </c>
    </row>
    <row r="72" spans="1:118" x14ac:dyDescent="0.25">
      <c r="A72" s="135" t="s">
        <v>1081</v>
      </c>
      <c r="B72" s="129">
        <v>1</v>
      </c>
      <c r="C72" s="136">
        <f t="shared" ref="C72:M72" si="386">IFERROR(C16/$B58,0)</f>
        <v>2.2038567493112948E-4</v>
      </c>
      <c r="D72" s="136">
        <f t="shared" si="386"/>
        <v>6.6115702479338848E-4</v>
      </c>
      <c r="E72" s="136">
        <f t="shared" si="386"/>
        <v>6.6115702479338848E-4</v>
      </c>
      <c r="F72" s="136">
        <f t="shared" si="386"/>
        <v>6.6115702479338848E-4</v>
      </c>
      <c r="G72" s="136">
        <f t="shared" si="386"/>
        <v>6.6115702479338848E-4</v>
      </c>
      <c r="H72" s="136">
        <f t="shared" si="386"/>
        <v>6.6115702479338848E-4</v>
      </c>
      <c r="I72" s="136">
        <f t="shared" si="386"/>
        <v>6.6115702479338848E-4</v>
      </c>
      <c r="J72" s="136">
        <f t="shared" si="386"/>
        <v>6.6115702479338848E-4</v>
      </c>
      <c r="K72" s="136">
        <f t="shared" si="386"/>
        <v>6.6115702479338848E-4</v>
      </c>
      <c r="L72" s="136">
        <f t="shared" si="386"/>
        <v>6.6115702479338848E-4</v>
      </c>
      <c r="M72" s="136">
        <f t="shared" si="386"/>
        <v>6.6115702479338848E-4</v>
      </c>
      <c r="N72" s="149">
        <f>up_dir!BA72</f>
        <v>113437.5</v>
      </c>
      <c r="O72" s="149">
        <f>IFERROR(up_RadSpec!$J$16*O16,".")*$B$72</f>
        <v>37812.5</v>
      </c>
      <c r="P72" s="149">
        <f>IFERROR(up_RadSpec!$J$16*P16,".")*$B$72</f>
        <v>37812.5</v>
      </c>
      <c r="Q72" s="149">
        <f>IFERROR(up_RadSpec!$J$16*Q16,".")*$B$72</f>
        <v>37812.5</v>
      </c>
      <c r="R72" s="149">
        <f>IFERROR(up_RadSpec!$J$16*R16,".")*$B$72</f>
        <v>37812.5</v>
      </c>
      <c r="S72" s="149">
        <f>IFERROR(up_RadSpec!$J$16*S16,".")*$B$72</f>
        <v>37812.5</v>
      </c>
      <c r="T72" s="149">
        <f>IFERROR(up_RadSpec!$J$16*T16,".")*$B$72</f>
        <v>37812.5</v>
      </c>
      <c r="U72" s="149">
        <f>IFERROR(up_RadSpec!$J$16*U16,".")*$B$72</f>
        <v>37812.5</v>
      </c>
      <c r="V72" s="149">
        <f>IFERROR(up_RadSpec!$J$16*V16,".")*$B$72</f>
        <v>37812.5</v>
      </c>
      <c r="W72" s="149">
        <f>IFERROR(up_RadSpec!$J$16*W16,".")*$B$72</f>
        <v>37812.5</v>
      </c>
      <c r="X72" s="149">
        <f>IFERROR(up_RadSpec!$J$16*X16,".")*$B$72</f>
        <v>37812.5</v>
      </c>
      <c r="Y72" s="136">
        <f t="shared" ref="Y72:AL72" si="387">IFERROR(Y16/$B58,0)</f>
        <v>0.33057851239669422</v>
      </c>
      <c r="Z72" s="136">
        <f t="shared" si="387"/>
        <v>3089.9917845330979</v>
      </c>
      <c r="AA72" s="136">
        <f t="shared" si="387"/>
        <v>3187275.8459379398</v>
      </c>
      <c r="AB72" s="136">
        <f t="shared" si="387"/>
        <v>4.3958447178843029E-5</v>
      </c>
      <c r="AC72" s="136">
        <f t="shared" si="387"/>
        <v>6.6115702479338848E-4</v>
      </c>
      <c r="AD72" s="136">
        <f t="shared" si="387"/>
        <v>1.8558793678410905E-7</v>
      </c>
      <c r="AE72" s="136">
        <f t="shared" si="387"/>
        <v>1.9115557488763231E-7</v>
      </c>
      <c r="AF72" s="136">
        <f t="shared" si="387"/>
        <v>1.8558793678410905E-7</v>
      </c>
      <c r="AG72" s="136">
        <f t="shared" si="387"/>
        <v>1.8558793678410905E-7</v>
      </c>
      <c r="AH72" s="136">
        <f t="shared" si="387"/>
        <v>1.8558793678410905E-7</v>
      </c>
      <c r="AI72" s="136">
        <f t="shared" si="387"/>
        <v>1.8558793678410905E-7</v>
      </c>
      <c r="AJ72" s="136">
        <f t="shared" si="387"/>
        <v>1.9115557488763231E-7</v>
      </c>
      <c r="AK72" s="136">
        <f t="shared" si="387"/>
        <v>1.8558793678410905E-7</v>
      </c>
      <c r="AL72" s="136">
        <f t="shared" si="387"/>
        <v>1.9115557488763231E-7</v>
      </c>
      <c r="AM72" s="129"/>
      <c r="AN72" s="129"/>
      <c r="AO72" s="129"/>
      <c r="AP72" s="129"/>
      <c r="AQ72" s="129"/>
      <c r="AR72" s="129"/>
      <c r="AS72" s="129"/>
      <c r="AT72" s="129"/>
      <c r="AU72" s="129"/>
      <c r="AV72" s="129"/>
      <c r="AW72" s="129"/>
      <c r="AX72" s="129"/>
      <c r="AY72" s="129"/>
      <c r="AZ72" s="129"/>
      <c r="BA72" s="136">
        <f t="shared" ref="BA72" si="388">IFERROR(BA16/$B58,0)</f>
        <v>2.0812531710933062E-8</v>
      </c>
      <c r="BB72" s="149">
        <f>IFERROR(up_RadSpec!$I$16*BB16,".")*$B$72</f>
        <v>75.625</v>
      </c>
      <c r="BC72" s="149">
        <f>IFERROR(up_RadSpec!$L$16*BC16,".")*$B$72</f>
        <v>8.0906363975260659E-3</v>
      </c>
      <c r="BD72" s="149">
        <f>IFERROR(up_RadSpec!$K$16*BD16,".")*$B$72</f>
        <v>7.8436888454011701E-6</v>
      </c>
      <c r="BE72" s="149">
        <f>up_b2s!BZ72</f>
        <v>568718.90625</v>
      </c>
      <c r="BF72" s="149">
        <f>IFERROR(up_RadSpec!$J$16*BF16,".")*$B$72</f>
        <v>37812.5</v>
      </c>
      <c r="BG72" s="149">
        <f>IFERROR(up_RadSpec!$J$16*BG16,".")*$B$72</f>
        <v>134707031.25</v>
      </c>
      <c r="BH72" s="149">
        <f>IFERROR(up_RadSpec!$J$16*BH16,".")*$B$72</f>
        <v>130783525.4854369</v>
      </c>
      <c r="BI72" s="149">
        <f>IFERROR(up_RadSpec!$J$16*BI16,".")*$B$72</f>
        <v>134707031.25</v>
      </c>
      <c r="BJ72" s="149">
        <f>IFERROR(up_RadSpec!$J$16*BJ16,".")*$B$72</f>
        <v>134707031.25</v>
      </c>
      <c r="BK72" s="149">
        <f>IFERROR(up_RadSpec!$J$16*BK16,".")*$B$72</f>
        <v>134707031.25</v>
      </c>
      <c r="BL72" s="149">
        <f>IFERROR(up_RadSpec!$J$16*BL16,".")*$B$72</f>
        <v>134707031.25</v>
      </c>
      <c r="BM72" s="149">
        <f>IFERROR(up_RadSpec!$J$16*BM16,".")*$B$72</f>
        <v>130783525.4854369</v>
      </c>
      <c r="BN72" s="149">
        <f>IFERROR(up_RadSpec!$J$16*BN16,".")*$B$72</f>
        <v>134707031.25</v>
      </c>
      <c r="BO72" s="149">
        <f>IFERROR(up_RadSpec!$J$16*BO16,".")*$B$72</f>
        <v>130783525.4854369</v>
      </c>
      <c r="BP72" s="150">
        <f t="shared" si="89"/>
        <v>1201199370.9956591</v>
      </c>
      <c r="BQ72" s="136">
        <f t="shared" ref="BQ72:CD72" si="389">IFERROR(BQ16/$B58,0)</f>
        <v>3.6363636363636364E-3</v>
      </c>
      <c r="BR72" s="136">
        <f t="shared" si="389"/>
        <v>0</v>
      </c>
      <c r="BS72" s="136">
        <f t="shared" si="389"/>
        <v>39.81818181818182</v>
      </c>
      <c r="BT72" s="136">
        <f t="shared" si="389"/>
        <v>2.1924550381384044E-4</v>
      </c>
      <c r="BU72" s="136">
        <f t="shared" si="389"/>
        <v>0.13223140495867769</v>
      </c>
      <c r="BV72" s="136">
        <f t="shared" si="389"/>
        <v>2.6446280991735537E-2</v>
      </c>
      <c r="BW72" s="136">
        <f t="shared" si="389"/>
        <v>2.7239669421487603E-2</v>
      </c>
      <c r="BX72" s="136">
        <f t="shared" si="389"/>
        <v>2.6446280991735537E-2</v>
      </c>
      <c r="BY72" s="136">
        <f t="shared" si="389"/>
        <v>2.6446280991735537E-2</v>
      </c>
      <c r="BZ72" s="136">
        <f t="shared" si="389"/>
        <v>2.6446280991735537E-2</v>
      </c>
      <c r="CA72" s="136">
        <f t="shared" si="389"/>
        <v>2.6446280991735537E-2</v>
      </c>
      <c r="CB72" s="136">
        <f t="shared" si="389"/>
        <v>2.7239669421487603E-2</v>
      </c>
      <c r="CC72" s="136">
        <f t="shared" si="389"/>
        <v>2.6446280991735537E-2</v>
      </c>
      <c r="CD72" s="136">
        <f t="shared" si="389"/>
        <v>2.7239669421487603E-2</v>
      </c>
      <c r="CE72" s="141"/>
      <c r="CF72" s="141"/>
      <c r="CG72" s="141"/>
      <c r="CH72" s="141"/>
      <c r="CI72" s="141"/>
      <c r="CJ72" s="141"/>
      <c r="CK72" s="141"/>
      <c r="CL72" s="141"/>
      <c r="CM72" s="141"/>
      <c r="CN72" s="141"/>
      <c r="CO72" s="141"/>
      <c r="CP72" s="141"/>
      <c r="CQ72" s="141"/>
      <c r="CR72" s="141"/>
      <c r="CS72" s="136">
        <f t="shared" ref="CS72" si="390">IFERROR(CS16/$B58,0)</f>
        <v>1.9302436709720458E-4</v>
      </c>
      <c r="CT72" s="149">
        <f>IFERROR(up_RadSpec!$M$16*CT16,".")*$B$72</f>
        <v>6875</v>
      </c>
      <c r="CU72" s="149">
        <f>IFERROR(up_RadSpec!$L$16*CU16,".")*$B$72</f>
        <v>1253.255208333333</v>
      </c>
      <c r="CV72" s="149">
        <f>IFERROR(up_RadSpec!$Q$16*CV16,".")*$B$72</f>
        <v>0.62785388127853881</v>
      </c>
      <c r="CW72" s="149">
        <f>up_b2w!BZ72</f>
        <v>114027.42389293101</v>
      </c>
      <c r="CX72" s="149">
        <f>IFERROR(up_RadSpec!$J$16*CX16,".")*$B$72</f>
        <v>189.0625</v>
      </c>
      <c r="CY72" s="149">
        <f>IFERROR(up_RadSpec!$J$16*CY16,".")*$B$72</f>
        <v>945.3125</v>
      </c>
      <c r="CZ72" s="149">
        <f>IFERROR(up_RadSpec!$J$16*CZ16,".")*$B$72</f>
        <v>917.77912621359224</v>
      </c>
      <c r="DA72" s="149">
        <f>IFERROR(up_RadSpec!$J$16*DA16,".")*$B$72</f>
        <v>945.3125</v>
      </c>
      <c r="DB72" s="149">
        <f>IFERROR(up_RadSpec!$J$16*DB16,".")*$B$72</f>
        <v>945.3125</v>
      </c>
      <c r="DC72" s="149">
        <f>IFERROR(up_RadSpec!$J$16*DC16,".")*$B$72</f>
        <v>945.3125</v>
      </c>
      <c r="DD72" s="149">
        <f>IFERROR(up_RadSpec!$J$16*DD16,".")*$B$72</f>
        <v>945.3125</v>
      </c>
      <c r="DE72" s="149">
        <f>IFERROR(up_RadSpec!$J$16*DE16,".")*$B$72</f>
        <v>917.77912621359224</v>
      </c>
      <c r="DF72" s="149">
        <f>IFERROR(up_RadSpec!$J$16*DF16,".")*$B$72</f>
        <v>945.3125</v>
      </c>
      <c r="DG72" s="149">
        <f>IFERROR(up_RadSpec!$J$16*DG16,".")*$B$72</f>
        <v>917.77912621359224</v>
      </c>
      <c r="DH72" s="150">
        <f t="shared" si="200"/>
        <v>0</v>
      </c>
      <c r="DI72" s="136">
        <f t="shared" ref="DI72:DK72" si="391">IFERROR(DI16/$B58,0)</f>
        <v>9.9740259740259754E-3</v>
      </c>
      <c r="DJ72" s="136">
        <f t="shared" si="391"/>
        <v>15.927272727272728</v>
      </c>
      <c r="DK72" s="136">
        <f t="shared" si="391"/>
        <v>9.9677839175609673E-3</v>
      </c>
      <c r="DL72" s="149">
        <f>IFERROR(up_RadSpec!$L$16*DL16,".")*$B$72</f>
        <v>2506.5104166666661</v>
      </c>
      <c r="DM72" s="149">
        <f>IFERROR(up_RadSpec!$O$16*DM16,".")*$B$72</f>
        <v>1.5696347031963471</v>
      </c>
      <c r="DN72" s="150">
        <f t="shared" si="93"/>
        <v>2508.0800513698623</v>
      </c>
    </row>
    <row r="73" spans="1:118" x14ac:dyDescent="0.25">
      <c r="A73" s="135" t="s">
        <v>1082</v>
      </c>
      <c r="B73" s="129">
        <v>1</v>
      </c>
      <c r="C73" s="136">
        <f t="shared" ref="C73:M73" si="392">IFERROR(C7/$B59,0)</f>
        <v>2.2038567493112948E-4</v>
      </c>
      <c r="D73" s="136">
        <f t="shared" si="392"/>
        <v>6.6115702479338848E-4</v>
      </c>
      <c r="E73" s="136">
        <f t="shared" si="392"/>
        <v>6.6115702479338848E-4</v>
      </c>
      <c r="F73" s="136">
        <f t="shared" si="392"/>
        <v>6.6115702479338848E-4</v>
      </c>
      <c r="G73" s="136">
        <f t="shared" si="392"/>
        <v>6.6115702479338848E-4</v>
      </c>
      <c r="H73" s="136">
        <f t="shared" si="392"/>
        <v>6.6115702479338848E-4</v>
      </c>
      <c r="I73" s="136">
        <f t="shared" si="392"/>
        <v>6.6115702479338848E-4</v>
      </c>
      <c r="J73" s="136">
        <f t="shared" si="392"/>
        <v>6.6115702479338848E-4</v>
      </c>
      <c r="K73" s="136">
        <f t="shared" si="392"/>
        <v>6.6115702479338848E-4</v>
      </c>
      <c r="L73" s="136">
        <f t="shared" si="392"/>
        <v>6.6115702479338848E-4</v>
      </c>
      <c r="M73" s="136">
        <f t="shared" si="392"/>
        <v>6.6115702479338848E-4</v>
      </c>
      <c r="N73" s="149">
        <f>up_dir!BA73</f>
        <v>113437.5</v>
      </c>
      <c r="O73" s="149">
        <f>IFERROR(up_RadSpec!$J$7*O7,".")*$B$73</f>
        <v>37812.5</v>
      </c>
      <c r="P73" s="149">
        <f>IFERROR(up_RadSpec!$J$7*P7,".")*$B$73</f>
        <v>37812.5</v>
      </c>
      <c r="Q73" s="149">
        <f>IFERROR(up_RadSpec!$J$7*Q7,".")*$B$73</f>
        <v>37812.5</v>
      </c>
      <c r="R73" s="149">
        <f>IFERROR(up_RadSpec!$J$7*R7,".")*$B$73</f>
        <v>37812.5</v>
      </c>
      <c r="S73" s="149">
        <f>IFERROR(up_RadSpec!$J$7*S7,".")*$B$73</f>
        <v>37812.5</v>
      </c>
      <c r="T73" s="149">
        <f>IFERROR(up_RadSpec!$J$7*T7,".")*$B$73</f>
        <v>37812.5</v>
      </c>
      <c r="U73" s="149">
        <f>IFERROR(up_RadSpec!$J$7*U7,".")*$B$73</f>
        <v>37812.5</v>
      </c>
      <c r="V73" s="149">
        <f>IFERROR(up_RadSpec!$J$7*V7,".")*$B$73</f>
        <v>37812.5</v>
      </c>
      <c r="W73" s="149">
        <f>IFERROR(up_RadSpec!$J$7*W7,".")*$B$73</f>
        <v>37812.5</v>
      </c>
      <c r="X73" s="149">
        <f>IFERROR(up_RadSpec!$J$7*X7,".")*$B$73</f>
        <v>37812.5</v>
      </c>
      <c r="Y73" s="136">
        <f t="shared" ref="Y73:AL73" si="393">IFERROR(Y7/$B59,0)</f>
        <v>0.33057851239669422</v>
      </c>
      <c r="Z73" s="136">
        <f t="shared" si="393"/>
        <v>3089.9917845330979</v>
      </c>
      <c r="AA73" s="136">
        <f t="shared" si="393"/>
        <v>382.68082282680808</v>
      </c>
      <c r="AB73" s="136">
        <f t="shared" si="393"/>
        <v>4.3958447178843029E-5</v>
      </c>
      <c r="AC73" s="136">
        <f t="shared" si="393"/>
        <v>6.6115702479338848E-4</v>
      </c>
      <c r="AD73" s="136">
        <f t="shared" si="393"/>
        <v>1.8558793678410905E-7</v>
      </c>
      <c r="AE73" s="136">
        <f t="shared" si="393"/>
        <v>1.9115557488763231E-7</v>
      </c>
      <c r="AF73" s="136">
        <f t="shared" si="393"/>
        <v>1.8558793678410905E-7</v>
      </c>
      <c r="AG73" s="136">
        <f t="shared" si="393"/>
        <v>1.8558793678410905E-7</v>
      </c>
      <c r="AH73" s="136">
        <f t="shared" si="393"/>
        <v>1.8558793678410905E-7</v>
      </c>
      <c r="AI73" s="136">
        <f t="shared" si="393"/>
        <v>1.8558793678410905E-7</v>
      </c>
      <c r="AJ73" s="136">
        <f t="shared" si="393"/>
        <v>1.9115557488763231E-7</v>
      </c>
      <c r="AK73" s="136">
        <f t="shared" si="393"/>
        <v>1.8558793678410905E-7</v>
      </c>
      <c r="AL73" s="136">
        <f t="shared" si="393"/>
        <v>1.9115557488763231E-7</v>
      </c>
      <c r="AM73" s="129"/>
      <c r="AN73" s="129"/>
      <c r="AO73" s="129"/>
      <c r="AP73" s="129"/>
      <c r="AQ73" s="129"/>
      <c r="AR73" s="129"/>
      <c r="AS73" s="129"/>
      <c r="AT73" s="129"/>
      <c r="AU73" s="129"/>
      <c r="AV73" s="129"/>
      <c r="AW73" s="129"/>
      <c r="AX73" s="129"/>
      <c r="AY73" s="129"/>
      <c r="AZ73" s="129"/>
      <c r="BA73" s="136">
        <f t="shared" ref="BA73" si="394">IFERROR(BA7/$B59,0)</f>
        <v>2.0812531709801277E-8</v>
      </c>
      <c r="BB73" s="149">
        <f>IFERROR(up_RadSpec!$I$7*BB7,".")*$B$73</f>
        <v>75.625</v>
      </c>
      <c r="BC73" s="149">
        <f>IFERROR(up_RadSpec!$L$7*BC7,".")*$B$73</f>
        <v>8.0906363975260659E-3</v>
      </c>
      <c r="BD73" s="149">
        <f>IFERROR(up_RadSpec!$K$7*BD7,".")*$B$73</f>
        <v>6.5328593722906211E-2</v>
      </c>
      <c r="BE73" s="149">
        <f>up_b2s!BZ73</f>
        <v>568718.90625</v>
      </c>
      <c r="BF73" s="149">
        <f>IFERROR(up_RadSpec!$J$7*BF7,".")*$B$73</f>
        <v>37812.5</v>
      </c>
      <c r="BG73" s="149">
        <f>IFERROR(up_RadSpec!$J$7*BG7,".")*$B$73</f>
        <v>134707031.25</v>
      </c>
      <c r="BH73" s="149">
        <f>IFERROR(up_RadSpec!$J$7*BH7,".")*$B$73</f>
        <v>130783525.4854369</v>
      </c>
      <c r="BI73" s="149">
        <f>IFERROR(up_RadSpec!$J$7*BI7,".")*$B$73</f>
        <v>134707031.25</v>
      </c>
      <c r="BJ73" s="149">
        <f>IFERROR(up_RadSpec!$J$7*BJ7,".")*$B$73</f>
        <v>134707031.25</v>
      </c>
      <c r="BK73" s="149">
        <f>IFERROR(up_RadSpec!$J$7*BK7,".")*$B$73</f>
        <v>134707031.25</v>
      </c>
      <c r="BL73" s="149">
        <f>IFERROR(up_RadSpec!$J$7*BL7,".")*$B$73</f>
        <v>134707031.25</v>
      </c>
      <c r="BM73" s="149">
        <f>IFERROR(up_RadSpec!$J$7*BM7,".")*$B$73</f>
        <v>130783525.4854369</v>
      </c>
      <c r="BN73" s="149">
        <f>IFERROR(up_RadSpec!$J$7*BN7,".")*$B$73</f>
        <v>134707031.25</v>
      </c>
      <c r="BO73" s="149">
        <f>IFERROR(up_RadSpec!$J$7*BO7,".")*$B$73</f>
        <v>130783525.4854369</v>
      </c>
      <c r="BP73" s="150">
        <f t="shared" si="89"/>
        <v>1201199371.0609798</v>
      </c>
      <c r="BQ73" s="136">
        <f t="shared" ref="BQ73:CD73" si="395">IFERROR(BQ7/$B59,0)</f>
        <v>3.6363636363636364E-3</v>
      </c>
      <c r="BR73" s="136">
        <f t="shared" si="395"/>
        <v>0</v>
      </c>
      <c r="BS73" s="136">
        <f t="shared" si="395"/>
        <v>39.81818181818182</v>
      </c>
      <c r="BT73" s="136">
        <f t="shared" si="395"/>
        <v>2.1924550381384044E-4</v>
      </c>
      <c r="BU73" s="136">
        <f t="shared" si="395"/>
        <v>0.13223140495867769</v>
      </c>
      <c r="BV73" s="136">
        <f t="shared" si="395"/>
        <v>2.6446280991735537E-2</v>
      </c>
      <c r="BW73" s="136">
        <f t="shared" si="395"/>
        <v>2.7239669421487603E-2</v>
      </c>
      <c r="BX73" s="136">
        <f t="shared" si="395"/>
        <v>2.6446280991735537E-2</v>
      </c>
      <c r="BY73" s="136">
        <f t="shared" si="395"/>
        <v>2.6446280991735537E-2</v>
      </c>
      <c r="BZ73" s="136">
        <f t="shared" si="395"/>
        <v>2.6446280991735537E-2</v>
      </c>
      <c r="CA73" s="136">
        <f t="shared" si="395"/>
        <v>2.6446280991735537E-2</v>
      </c>
      <c r="CB73" s="136">
        <f t="shared" si="395"/>
        <v>2.7239669421487603E-2</v>
      </c>
      <c r="CC73" s="136">
        <f t="shared" si="395"/>
        <v>2.6446280991735537E-2</v>
      </c>
      <c r="CD73" s="136">
        <f t="shared" si="395"/>
        <v>2.7239669421487603E-2</v>
      </c>
      <c r="CE73" s="141"/>
      <c r="CF73" s="141"/>
      <c r="CG73" s="141"/>
      <c r="CH73" s="141"/>
      <c r="CI73" s="141"/>
      <c r="CJ73" s="141"/>
      <c r="CK73" s="141"/>
      <c r="CL73" s="141"/>
      <c r="CM73" s="141"/>
      <c r="CN73" s="141"/>
      <c r="CO73" s="141"/>
      <c r="CP73" s="141"/>
      <c r="CQ73" s="141"/>
      <c r="CR73" s="141"/>
      <c r="CS73" s="136">
        <f t="shared" ref="CS73" si="396">IFERROR(CS7/$B59,0)</f>
        <v>1.9302436709720458E-4</v>
      </c>
      <c r="CT73" s="149">
        <f>IFERROR(up_RadSpec!$M$7*CT7,".")*$B$73</f>
        <v>6875</v>
      </c>
      <c r="CU73" s="149">
        <f>IFERROR(up_RadSpec!$L$7*CU7,".")*$B$73</f>
        <v>1253.255208333333</v>
      </c>
      <c r="CV73" s="149">
        <f>IFERROR(up_RadSpec!$Q$7*CV7,".")*$B$73</f>
        <v>0.62785388127853881</v>
      </c>
      <c r="CW73" s="149">
        <f>up_b2w!BZ73</f>
        <v>114027.42389293101</v>
      </c>
      <c r="CX73" s="149">
        <f>IFERROR(up_RadSpec!$J$7*CX7,".")*$B$73</f>
        <v>189.0625</v>
      </c>
      <c r="CY73" s="149">
        <f>IFERROR(up_RadSpec!$J$7*CY7,".")*$B$73</f>
        <v>945.3125</v>
      </c>
      <c r="CZ73" s="149">
        <f>IFERROR(up_RadSpec!$J$7*CZ7,".")*$B$73</f>
        <v>917.77912621359224</v>
      </c>
      <c r="DA73" s="149">
        <f>IFERROR(up_RadSpec!$J$7*DA7,".")*$B$73</f>
        <v>945.3125</v>
      </c>
      <c r="DB73" s="149">
        <f>IFERROR(up_RadSpec!$J$7*DB7,".")*$B$73</f>
        <v>945.3125</v>
      </c>
      <c r="DC73" s="149">
        <f>IFERROR(up_RadSpec!$J$7*DC7,".")*$B$73</f>
        <v>945.3125</v>
      </c>
      <c r="DD73" s="149">
        <f>IFERROR(up_RadSpec!$J$7*DD7,".")*$B$73</f>
        <v>945.3125</v>
      </c>
      <c r="DE73" s="149">
        <f>IFERROR(up_RadSpec!$J$7*DE7,".")*$B$73</f>
        <v>917.77912621359224</v>
      </c>
      <c r="DF73" s="149">
        <f>IFERROR(up_RadSpec!$J$7*DF7,".")*$B$73</f>
        <v>945.3125</v>
      </c>
      <c r="DG73" s="149">
        <f>IFERROR(up_RadSpec!$J$7*DG7,".")*$B$73</f>
        <v>917.77912621359224</v>
      </c>
      <c r="DH73" s="150">
        <f t="shared" si="200"/>
        <v>0</v>
      </c>
      <c r="DI73" s="136">
        <f t="shared" ref="DI73:DK73" si="397">IFERROR(DI7/$B59,0)</f>
        <v>9.9740259740259754E-3</v>
      </c>
      <c r="DJ73" s="136">
        <f t="shared" si="397"/>
        <v>15.927272727272728</v>
      </c>
      <c r="DK73" s="136">
        <f t="shared" si="397"/>
        <v>9.9677839175609673E-3</v>
      </c>
      <c r="DL73" s="149">
        <f>IFERROR(up_RadSpec!$L$7*DL7,".")*$B$73</f>
        <v>2506.5104166666661</v>
      </c>
      <c r="DM73" s="149">
        <f>IFERROR(up_RadSpec!$O$7*DM7,".")*$B$73</f>
        <v>1.5696347031963471</v>
      </c>
      <c r="DN73" s="150">
        <f t="shared" si="93"/>
        <v>2508.0800513698623</v>
      </c>
    </row>
    <row r="74" spans="1:118" x14ac:dyDescent="0.25">
      <c r="A74" s="135" t="s">
        <v>1083</v>
      </c>
      <c r="B74" s="129">
        <v>1.9000000000000001E-8</v>
      </c>
      <c r="C74" s="136">
        <f t="shared" ref="C74:M74" si="398">IFERROR(C12/$B60,0)</f>
        <v>11599.246049006813</v>
      </c>
      <c r="D74" s="136">
        <f t="shared" si="398"/>
        <v>34797.738147020442</v>
      </c>
      <c r="E74" s="136">
        <f t="shared" si="398"/>
        <v>34797.738147020442</v>
      </c>
      <c r="F74" s="136">
        <f t="shared" si="398"/>
        <v>34797.738147020442</v>
      </c>
      <c r="G74" s="136">
        <f t="shared" si="398"/>
        <v>34797.738147020442</v>
      </c>
      <c r="H74" s="136">
        <f t="shared" si="398"/>
        <v>34797.738147020442</v>
      </c>
      <c r="I74" s="136">
        <f t="shared" si="398"/>
        <v>34797.738147020442</v>
      </c>
      <c r="J74" s="136">
        <f t="shared" si="398"/>
        <v>34797.738147020442</v>
      </c>
      <c r="K74" s="136">
        <f t="shared" si="398"/>
        <v>34797.738147020442</v>
      </c>
      <c r="L74" s="136">
        <f t="shared" si="398"/>
        <v>34797.738147020442</v>
      </c>
      <c r="M74" s="136">
        <f t="shared" si="398"/>
        <v>34797.738147020442</v>
      </c>
      <c r="N74" s="149">
        <f>up_dir!BA74</f>
        <v>2.1553125000000001E-3</v>
      </c>
      <c r="O74" s="149">
        <f>IFERROR(up_RadSpec!$J$12*O12,".")*$B$74</f>
        <v>7.184375E-4</v>
      </c>
      <c r="P74" s="149">
        <f>IFERROR(up_RadSpec!$J$12*P12,".")*$B$74</f>
        <v>7.184375E-4</v>
      </c>
      <c r="Q74" s="149">
        <f>IFERROR(up_RadSpec!$J$12*Q12,".")*$B$74</f>
        <v>7.184375E-4</v>
      </c>
      <c r="R74" s="149">
        <f>IFERROR(up_RadSpec!$J$12*R12,".")*$B$74</f>
        <v>7.184375E-4</v>
      </c>
      <c r="S74" s="149">
        <f>IFERROR(up_RadSpec!$J$12*S12,".")*$B$74</f>
        <v>7.184375E-4</v>
      </c>
      <c r="T74" s="149">
        <f>IFERROR(up_RadSpec!$J$12*T12,".")*$B$74</f>
        <v>7.184375E-4</v>
      </c>
      <c r="U74" s="149">
        <f>IFERROR(up_RadSpec!$J$12*U12,".")*$B$74</f>
        <v>7.184375E-4</v>
      </c>
      <c r="V74" s="149">
        <f>IFERROR(up_RadSpec!$J$12*V12,".")*$B$74</f>
        <v>7.184375E-4</v>
      </c>
      <c r="W74" s="149">
        <f>IFERROR(up_RadSpec!$J$12*W12,".")*$B$74</f>
        <v>7.184375E-4</v>
      </c>
      <c r="X74" s="149">
        <f>IFERROR(up_RadSpec!$J$12*X12,".")*$B$74</f>
        <v>7.184375E-4</v>
      </c>
      <c r="Y74" s="136">
        <f t="shared" ref="Y74:AL74" si="399">IFERROR(Y12/$B60,0)</f>
        <v>17398869.073510222</v>
      </c>
      <c r="Z74" s="136">
        <f t="shared" si="399"/>
        <v>162631146554.37357</v>
      </c>
      <c r="AA74" s="136">
        <f t="shared" si="399"/>
        <v>15632030333.122686</v>
      </c>
      <c r="AB74" s="136">
        <f t="shared" si="399"/>
        <v>2313.6024830970014</v>
      </c>
      <c r="AC74" s="136">
        <f t="shared" si="399"/>
        <v>34797.738147020442</v>
      </c>
      <c r="AD74" s="136">
        <f t="shared" si="399"/>
        <v>9.767786146532055</v>
      </c>
      <c r="AE74" s="136">
        <f t="shared" si="399"/>
        <v>10.060819730928015</v>
      </c>
      <c r="AF74" s="136">
        <f t="shared" si="399"/>
        <v>9.767786146532055</v>
      </c>
      <c r="AG74" s="136">
        <f t="shared" si="399"/>
        <v>9.767786146532055</v>
      </c>
      <c r="AH74" s="136">
        <f t="shared" si="399"/>
        <v>9.767786146532055</v>
      </c>
      <c r="AI74" s="136">
        <f t="shared" si="399"/>
        <v>9.767786146532055</v>
      </c>
      <c r="AJ74" s="136">
        <f t="shared" si="399"/>
        <v>10.060819730928015</v>
      </c>
      <c r="AK74" s="136">
        <f t="shared" si="399"/>
        <v>9.767786146532055</v>
      </c>
      <c r="AL74" s="136">
        <f t="shared" si="399"/>
        <v>10.060819730928015</v>
      </c>
      <c r="AM74" s="129"/>
      <c r="AN74" s="129"/>
      <c r="AO74" s="129"/>
      <c r="AP74" s="129"/>
      <c r="AQ74" s="129"/>
      <c r="AR74" s="129"/>
      <c r="AS74" s="129"/>
      <c r="AT74" s="129"/>
      <c r="AU74" s="129"/>
      <c r="AV74" s="129"/>
      <c r="AW74" s="129"/>
      <c r="AX74" s="129"/>
      <c r="AY74" s="129"/>
      <c r="AZ74" s="129"/>
      <c r="BA74" s="136">
        <f t="shared" ref="BA74" si="400">IFERROR(BA12/$B60,0)</f>
        <v>1.0953964057618304</v>
      </c>
      <c r="BB74" s="149">
        <f>IFERROR(up_RadSpec!$I$12*BB12,".")*$B$74</f>
        <v>1.4368750000000001E-6</v>
      </c>
      <c r="BC74" s="149">
        <f>IFERROR(up_RadSpec!$L$12*BC12,".")*$B$74</f>
        <v>1.5372209155299527E-10</v>
      </c>
      <c r="BD74" s="149">
        <f>IFERROR(up_RadSpec!$K$12*BD12,".")*$B$74</f>
        <v>1.5992804176580659E-9</v>
      </c>
      <c r="BE74" s="149">
        <f>up_b2s!BZ74</f>
        <v>1.0805659218750001E-2</v>
      </c>
      <c r="BF74" s="149">
        <f>IFERROR(up_RadSpec!$J$12*BF12,".")*$B$74</f>
        <v>7.184375E-4</v>
      </c>
      <c r="BG74" s="149">
        <f>IFERROR(up_RadSpec!$J$12*BG12,".")*$B$74</f>
        <v>2.5594335937500001</v>
      </c>
      <c r="BH74" s="149">
        <f>IFERROR(up_RadSpec!$J$12*BH12,".")*$B$74</f>
        <v>2.4848869842233015</v>
      </c>
      <c r="BI74" s="149">
        <f>IFERROR(up_RadSpec!$J$12*BI12,".")*$B$74</f>
        <v>2.5594335937500001</v>
      </c>
      <c r="BJ74" s="149">
        <f>IFERROR(up_RadSpec!$J$12*BJ12,".")*$B$74</f>
        <v>2.5594335937500001</v>
      </c>
      <c r="BK74" s="149">
        <f>IFERROR(up_RadSpec!$J$12*BK12,".")*$B$74</f>
        <v>2.5594335937500001</v>
      </c>
      <c r="BL74" s="149">
        <f>IFERROR(up_RadSpec!$J$12*BL12,".")*$B$74</f>
        <v>2.5594335937500001</v>
      </c>
      <c r="BM74" s="149">
        <f>IFERROR(up_RadSpec!$J$12*BM12,".")*$B$74</f>
        <v>2.4848869842233015</v>
      </c>
      <c r="BN74" s="149">
        <f>IFERROR(up_RadSpec!$J$12*BN12,".")*$B$74</f>
        <v>2.5594335937500001</v>
      </c>
      <c r="BO74" s="149">
        <f>IFERROR(up_RadSpec!$J$12*BO12,".")*$B$74</f>
        <v>2.4848869842233015</v>
      </c>
      <c r="BP74" s="150">
        <f t="shared" si="89"/>
        <v>22.82278805051666</v>
      </c>
      <c r="BQ74" s="136">
        <f t="shared" ref="BQ74:CD74" si="401">IFERROR(BQ12/$B60,0)</f>
        <v>191387.55980861242</v>
      </c>
      <c r="BR74" s="136">
        <f t="shared" si="401"/>
        <v>0</v>
      </c>
      <c r="BS74" s="136">
        <f t="shared" si="401"/>
        <v>2095693779.9043062</v>
      </c>
      <c r="BT74" s="136">
        <f t="shared" si="401"/>
        <v>11539.237042833707</v>
      </c>
      <c r="BU74" s="136">
        <f t="shared" si="401"/>
        <v>6959547.6294040885</v>
      </c>
      <c r="BV74" s="136">
        <f t="shared" si="401"/>
        <v>1391909.5258808176</v>
      </c>
      <c r="BW74" s="136">
        <f t="shared" si="401"/>
        <v>1433666.8116572422</v>
      </c>
      <c r="BX74" s="136">
        <f t="shared" si="401"/>
        <v>1391909.5258808176</v>
      </c>
      <c r="BY74" s="136">
        <f t="shared" si="401"/>
        <v>1391909.5258808176</v>
      </c>
      <c r="BZ74" s="136">
        <f t="shared" si="401"/>
        <v>1391909.5258808176</v>
      </c>
      <c r="CA74" s="136">
        <f t="shared" si="401"/>
        <v>1391909.5258808176</v>
      </c>
      <c r="CB74" s="136">
        <f t="shared" si="401"/>
        <v>1433666.8116572422</v>
      </c>
      <c r="CC74" s="136">
        <f t="shared" si="401"/>
        <v>1391909.5258808176</v>
      </c>
      <c r="CD74" s="136">
        <f t="shared" si="401"/>
        <v>1433666.8116572422</v>
      </c>
      <c r="CE74" s="141"/>
      <c r="CF74" s="141"/>
      <c r="CG74" s="141"/>
      <c r="CH74" s="141"/>
      <c r="CI74" s="141"/>
      <c r="CJ74" s="141"/>
      <c r="CK74" s="141"/>
      <c r="CL74" s="141"/>
      <c r="CM74" s="141"/>
      <c r="CN74" s="141"/>
      <c r="CO74" s="141"/>
      <c r="CP74" s="141"/>
      <c r="CQ74" s="141"/>
      <c r="CR74" s="141"/>
      <c r="CS74" s="136">
        <f t="shared" ref="CS74" si="402">IFERROR(CS12/$B60,0)</f>
        <v>10159.177215642345</v>
      </c>
      <c r="CT74" s="149">
        <f>IFERROR(up_RadSpec!$M$12*CT12,".")*$B$74</f>
        <v>1.3062500000000002E-4</v>
      </c>
      <c r="CU74" s="149">
        <f>IFERROR(up_RadSpec!$L$12*CU12,".")*$B$74</f>
        <v>2.381184895833333E-5</v>
      </c>
      <c r="CV74" s="149">
        <f>IFERROR(up_RadSpec!$Q$12*CV12,".")*$B$74</f>
        <v>1.1929223744292239E-8</v>
      </c>
      <c r="CW74" s="149">
        <f>up_b2w!BZ74</f>
        <v>2.1665210539656894E-3</v>
      </c>
      <c r="CX74" s="149">
        <f>IFERROR(up_RadSpec!$J$12*CX12,".")*$B$74</f>
        <v>3.5921875000000001E-6</v>
      </c>
      <c r="CY74" s="149">
        <f>IFERROR(up_RadSpec!$J$12*CY12,".")*$B$74</f>
        <v>1.7960937500000002E-5</v>
      </c>
      <c r="CZ74" s="149">
        <f>IFERROR(up_RadSpec!$J$12*CZ12,".")*$B$74</f>
        <v>1.7437803398058254E-5</v>
      </c>
      <c r="DA74" s="149">
        <f>IFERROR(up_RadSpec!$J$12*DA12,".")*$B$74</f>
        <v>1.7960937500000002E-5</v>
      </c>
      <c r="DB74" s="149">
        <f>IFERROR(up_RadSpec!$J$12*DB12,".")*$B$74</f>
        <v>1.7960937500000002E-5</v>
      </c>
      <c r="DC74" s="149">
        <f>IFERROR(up_RadSpec!$J$12*DC12,".")*$B$74</f>
        <v>1.7960937500000002E-5</v>
      </c>
      <c r="DD74" s="149">
        <f>IFERROR(up_RadSpec!$J$12*DD12,".")*$B$74</f>
        <v>1.7960937500000002E-5</v>
      </c>
      <c r="DE74" s="149">
        <f>IFERROR(up_RadSpec!$J$12*DE12,".")*$B$74</f>
        <v>1.7437803398058254E-5</v>
      </c>
      <c r="DF74" s="149">
        <f>IFERROR(up_RadSpec!$J$12*DF12,".")*$B$74</f>
        <v>1.7960937500000002E-5</v>
      </c>
      <c r="DG74" s="149">
        <f>IFERROR(up_RadSpec!$J$12*DG12,".")*$B$74</f>
        <v>1.7437803398058254E-5</v>
      </c>
      <c r="DH74" s="150">
        <f t="shared" si="200"/>
        <v>0</v>
      </c>
      <c r="DI74" s="136">
        <f t="shared" ref="DI74:DK74" si="403">IFERROR(DI12/$B60,0)</f>
        <v>524948.73547505133</v>
      </c>
      <c r="DJ74" s="136">
        <f t="shared" si="403"/>
        <v>838277511.96172249</v>
      </c>
      <c r="DK74" s="136">
        <f t="shared" si="403"/>
        <v>524620.20618741924</v>
      </c>
      <c r="DL74" s="149">
        <f>IFERROR(up_RadSpec!$L$12*DL12,".")*$B$74</f>
        <v>4.762369791666666E-5</v>
      </c>
      <c r="DM74" s="149">
        <f>IFERROR(up_RadSpec!$O$12*DM12,".")*$B$74</f>
        <v>2.9823059360730597E-8</v>
      </c>
      <c r="DN74" s="150">
        <f t="shared" si="93"/>
        <v>4.7653520976027393E-5</v>
      </c>
    </row>
    <row r="75" spans="1:118" x14ac:dyDescent="0.25">
      <c r="A75" s="135" t="s">
        <v>1084</v>
      </c>
      <c r="B75" s="129">
        <v>1</v>
      </c>
      <c r="C75" s="136">
        <f t="shared" ref="C75:M75" si="404">IFERROR(C18/$B61,0)</f>
        <v>2.2038567493112948E-4</v>
      </c>
      <c r="D75" s="136">
        <f t="shared" si="404"/>
        <v>6.6115702479338848E-4</v>
      </c>
      <c r="E75" s="136">
        <f t="shared" si="404"/>
        <v>6.6115702479338848E-4</v>
      </c>
      <c r="F75" s="136">
        <f t="shared" si="404"/>
        <v>6.6115702479338848E-4</v>
      </c>
      <c r="G75" s="136">
        <f t="shared" si="404"/>
        <v>6.6115702479338848E-4</v>
      </c>
      <c r="H75" s="136">
        <f t="shared" si="404"/>
        <v>6.6115702479338848E-4</v>
      </c>
      <c r="I75" s="136">
        <f t="shared" si="404"/>
        <v>6.6115702479338848E-4</v>
      </c>
      <c r="J75" s="136">
        <f t="shared" si="404"/>
        <v>6.6115702479338848E-4</v>
      </c>
      <c r="K75" s="136">
        <f t="shared" si="404"/>
        <v>6.6115702479338848E-4</v>
      </c>
      <c r="L75" s="136">
        <f t="shared" si="404"/>
        <v>6.6115702479338848E-4</v>
      </c>
      <c r="M75" s="136">
        <f t="shared" si="404"/>
        <v>6.6115702479338848E-4</v>
      </c>
      <c r="N75" s="149">
        <f>up_dir!BA75</f>
        <v>113437.5</v>
      </c>
      <c r="O75" s="149">
        <f>IFERROR(up_RadSpec!$J$18*O18,".")*$B$75</f>
        <v>37812.5</v>
      </c>
      <c r="P75" s="149">
        <f>IFERROR(up_RadSpec!$J$18*P18,".")*$B$75</f>
        <v>37812.5</v>
      </c>
      <c r="Q75" s="149">
        <f>IFERROR(up_RadSpec!$J$18*Q18,".")*$B$75</f>
        <v>37812.5</v>
      </c>
      <c r="R75" s="149">
        <f>IFERROR(up_RadSpec!$J$18*R18,".")*$B$75</f>
        <v>37812.5</v>
      </c>
      <c r="S75" s="149">
        <f>IFERROR(up_RadSpec!$J$18*S18,".")*$B$75</f>
        <v>37812.5</v>
      </c>
      <c r="T75" s="149">
        <f>IFERROR(up_RadSpec!$J$18*T18,".")*$B$75</f>
        <v>37812.5</v>
      </c>
      <c r="U75" s="149">
        <f>IFERROR(up_RadSpec!$J$18*U18,".")*$B$75</f>
        <v>37812.5</v>
      </c>
      <c r="V75" s="149">
        <f>IFERROR(up_RadSpec!$J$18*V18,".")*$B$75</f>
        <v>37812.5</v>
      </c>
      <c r="W75" s="149">
        <f>IFERROR(up_RadSpec!$J$18*W18,".")*$B$75</f>
        <v>37812.5</v>
      </c>
      <c r="X75" s="149">
        <f>IFERROR(up_RadSpec!$J$18*X18,".")*$B$75</f>
        <v>37812.5</v>
      </c>
      <c r="Y75" s="136">
        <f t="shared" ref="Y75:AL75" si="405">IFERROR(Y18/$B61,0)</f>
        <v>0.33057851239669422</v>
      </c>
      <c r="Z75" s="136">
        <f t="shared" si="405"/>
        <v>3089.9917845330979</v>
      </c>
      <c r="AA75" s="136">
        <f t="shared" si="405"/>
        <v>149.24627075710671</v>
      </c>
      <c r="AB75" s="136">
        <f t="shared" si="405"/>
        <v>4.3958447178843029E-5</v>
      </c>
      <c r="AC75" s="136">
        <f t="shared" si="405"/>
        <v>6.6115702479338848E-4</v>
      </c>
      <c r="AD75" s="136">
        <f t="shared" si="405"/>
        <v>1.8558793678410905E-7</v>
      </c>
      <c r="AE75" s="136">
        <f t="shared" si="405"/>
        <v>1.9115557488763231E-7</v>
      </c>
      <c r="AF75" s="136">
        <f t="shared" si="405"/>
        <v>1.8558793678410905E-7</v>
      </c>
      <c r="AG75" s="136">
        <f t="shared" si="405"/>
        <v>1.8558793678410905E-7</v>
      </c>
      <c r="AH75" s="136">
        <f t="shared" si="405"/>
        <v>1.8558793678410905E-7</v>
      </c>
      <c r="AI75" s="136">
        <f t="shared" si="405"/>
        <v>1.8558793678410905E-7</v>
      </c>
      <c r="AJ75" s="136">
        <f t="shared" si="405"/>
        <v>1.9115557488763231E-7</v>
      </c>
      <c r="AK75" s="136">
        <f t="shared" si="405"/>
        <v>1.8558793678410905E-7</v>
      </c>
      <c r="AL75" s="136">
        <f t="shared" si="405"/>
        <v>1.9115557488763231E-7</v>
      </c>
      <c r="AM75" s="129"/>
      <c r="AN75" s="129"/>
      <c r="AO75" s="129"/>
      <c r="AP75" s="129"/>
      <c r="AQ75" s="129"/>
      <c r="AR75" s="129"/>
      <c r="AS75" s="129"/>
      <c r="AT75" s="129"/>
      <c r="AU75" s="129"/>
      <c r="AV75" s="129"/>
      <c r="AW75" s="129"/>
      <c r="AX75" s="129"/>
      <c r="AY75" s="129"/>
      <c r="AZ75" s="129"/>
      <c r="BA75" s="136">
        <f t="shared" ref="BA75" si="406">IFERROR(BA18/$B61,0)</f>
        <v>2.0812531708030869E-8</v>
      </c>
      <c r="BB75" s="149">
        <f>IFERROR(up_RadSpec!$I$18*BB18,".")*$B$75</f>
        <v>75.625</v>
      </c>
      <c r="BC75" s="149">
        <f>IFERROR(up_RadSpec!$L$18*BC18,".")*$B$75</f>
        <v>8.0906363975260659E-3</v>
      </c>
      <c r="BD75" s="149">
        <f>IFERROR(up_RadSpec!$K$18*BD18,".")*$B$75</f>
        <v>0.16750837306137223</v>
      </c>
      <c r="BE75" s="149">
        <f>up_b2s!BZ75</f>
        <v>568718.90625</v>
      </c>
      <c r="BF75" s="149">
        <f>IFERROR(up_RadSpec!$J$18*BF18,".")*$B$75</f>
        <v>37812.5</v>
      </c>
      <c r="BG75" s="149">
        <f>IFERROR(up_RadSpec!$J$18*BG18,".")*$B$75</f>
        <v>134707031.25</v>
      </c>
      <c r="BH75" s="149">
        <f>IFERROR(up_RadSpec!$J$18*BH18,".")*$B$75</f>
        <v>130783525.4854369</v>
      </c>
      <c r="BI75" s="149">
        <f>IFERROR(up_RadSpec!$J$18*BI18,".")*$B$75</f>
        <v>134707031.25</v>
      </c>
      <c r="BJ75" s="149">
        <f>IFERROR(up_RadSpec!$J$18*BJ18,".")*$B$75</f>
        <v>134707031.25</v>
      </c>
      <c r="BK75" s="149">
        <f>IFERROR(up_RadSpec!$J$18*BK18,".")*$B$75</f>
        <v>134707031.25</v>
      </c>
      <c r="BL75" s="149">
        <f>IFERROR(up_RadSpec!$J$18*BL18,".")*$B$75</f>
        <v>134707031.25</v>
      </c>
      <c r="BM75" s="149">
        <f>IFERROR(up_RadSpec!$J$18*BM18,".")*$B$75</f>
        <v>130783525.4854369</v>
      </c>
      <c r="BN75" s="149">
        <f>IFERROR(up_RadSpec!$J$18*BN18,".")*$B$75</f>
        <v>134707031.25</v>
      </c>
      <c r="BO75" s="149">
        <f>IFERROR(up_RadSpec!$J$18*BO18,".")*$B$75</f>
        <v>130783525.4854369</v>
      </c>
      <c r="BP75" s="150">
        <f t="shared" si="89"/>
        <v>1201199371.1631596</v>
      </c>
      <c r="BQ75" s="136">
        <f t="shared" ref="BQ75:CD75" si="407">IFERROR(BQ18/$B61,0)</f>
        <v>3.6363636363636364E-3</v>
      </c>
      <c r="BR75" s="136">
        <f t="shared" si="407"/>
        <v>0</v>
      </c>
      <c r="BS75" s="136">
        <f t="shared" si="407"/>
        <v>39.81818181818182</v>
      </c>
      <c r="BT75" s="136">
        <f t="shared" si="407"/>
        <v>2.1924550381384044E-4</v>
      </c>
      <c r="BU75" s="136">
        <f t="shared" si="407"/>
        <v>0.13223140495867769</v>
      </c>
      <c r="BV75" s="136">
        <f t="shared" si="407"/>
        <v>2.6446280991735537E-2</v>
      </c>
      <c r="BW75" s="136">
        <f t="shared" si="407"/>
        <v>2.7239669421487603E-2</v>
      </c>
      <c r="BX75" s="136">
        <f t="shared" si="407"/>
        <v>2.6446280991735537E-2</v>
      </c>
      <c r="BY75" s="136">
        <f t="shared" si="407"/>
        <v>2.6446280991735537E-2</v>
      </c>
      <c r="BZ75" s="136">
        <f t="shared" si="407"/>
        <v>2.6446280991735537E-2</v>
      </c>
      <c r="CA75" s="136">
        <f t="shared" si="407"/>
        <v>2.6446280991735537E-2</v>
      </c>
      <c r="CB75" s="136">
        <f t="shared" si="407"/>
        <v>2.7239669421487603E-2</v>
      </c>
      <c r="CC75" s="136">
        <f t="shared" si="407"/>
        <v>2.6446280991735537E-2</v>
      </c>
      <c r="CD75" s="136">
        <f t="shared" si="407"/>
        <v>2.7239669421487603E-2</v>
      </c>
      <c r="CE75" s="141"/>
      <c r="CF75" s="141"/>
      <c r="CG75" s="141"/>
      <c r="CH75" s="141"/>
      <c r="CI75" s="141"/>
      <c r="CJ75" s="141"/>
      <c r="CK75" s="141"/>
      <c r="CL75" s="141"/>
      <c r="CM75" s="141"/>
      <c r="CN75" s="141"/>
      <c r="CO75" s="141"/>
      <c r="CP75" s="141"/>
      <c r="CQ75" s="141"/>
      <c r="CR75" s="141"/>
      <c r="CS75" s="136">
        <f t="shared" ref="CS75" si="408">IFERROR(CS18/$B61,0)</f>
        <v>1.9302436709720458E-4</v>
      </c>
      <c r="CT75" s="149">
        <f>IFERROR(up_RadSpec!$M$18*CT18,".")*$B$75</f>
        <v>6875</v>
      </c>
      <c r="CU75" s="149">
        <f>IFERROR(up_RadSpec!$L$18*CU18,".")*$B$75</f>
        <v>1253.255208333333</v>
      </c>
      <c r="CV75" s="149">
        <f>IFERROR(up_RadSpec!$Q$18*CV18,".")*$B$75</f>
        <v>0.62785388127853881</v>
      </c>
      <c r="CW75" s="149">
        <f>up_b2w!BZ75</f>
        <v>114027.42389293101</v>
      </c>
      <c r="CX75" s="149">
        <f>IFERROR(up_RadSpec!$J$18*CX18,".")*$B$75</f>
        <v>189.0625</v>
      </c>
      <c r="CY75" s="149">
        <f>IFERROR(up_RadSpec!$J$18*CY18,".")*$B$75</f>
        <v>945.3125</v>
      </c>
      <c r="CZ75" s="149">
        <f>IFERROR(up_RadSpec!$J$18*CZ18,".")*$B$75</f>
        <v>917.77912621359224</v>
      </c>
      <c r="DA75" s="149">
        <f>IFERROR(up_RadSpec!$J$18*DA18,".")*$B$75</f>
        <v>945.3125</v>
      </c>
      <c r="DB75" s="149">
        <f>IFERROR(up_RadSpec!$J$18*DB18,".")*$B$75</f>
        <v>945.3125</v>
      </c>
      <c r="DC75" s="149">
        <f>IFERROR(up_RadSpec!$J$18*DC18,".")*$B$75</f>
        <v>945.3125</v>
      </c>
      <c r="DD75" s="149">
        <f>IFERROR(up_RadSpec!$J$18*DD18,".")*$B$75</f>
        <v>945.3125</v>
      </c>
      <c r="DE75" s="149">
        <f>IFERROR(up_RadSpec!$J$18*DE18,".")*$B$75</f>
        <v>917.77912621359224</v>
      </c>
      <c r="DF75" s="149">
        <f>IFERROR(up_RadSpec!$J$18*DF18,".")*$B$75</f>
        <v>945.3125</v>
      </c>
      <c r="DG75" s="149">
        <f>IFERROR(up_RadSpec!$J$18*DG18,".")*$B$75</f>
        <v>917.77912621359224</v>
      </c>
      <c r="DH75" s="150">
        <f t="shared" si="200"/>
        <v>0</v>
      </c>
      <c r="DI75" s="136">
        <f t="shared" ref="DI75:DK75" si="409">IFERROR(DI18/$B61,0)</f>
        <v>9.9740259740259754E-3</v>
      </c>
      <c r="DJ75" s="136">
        <f t="shared" si="409"/>
        <v>15.927272727272728</v>
      </c>
      <c r="DK75" s="136">
        <f t="shared" si="409"/>
        <v>9.9677839175609673E-3</v>
      </c>
      <c r="DL75" s="149">
        <f>IFERROR(up_RadSpec!$L$18*DL18,".")*$B$75</f>
        <v>2506.5104166666661</v>
      </c>
      <c r="DM75" s="149">
        <f>IFERROR(up_RadSpec!$O$18*DM18,".")*$B$75</f>
        <v>1.5696347031963471</v>
      </c>
      <c r="DN75" s="150">
        <f t="shared" si="93"/>
        <v>2508.0800513698623</v>
      </c>
    </row>
    <row r="76" spans="1:118" x14ac:dyDescent="0.25">
      <c r="A76" s="135" t="s">
        <v>1085</v>
      </c>
      <c r="B76" s="129">
        <v>1.339E-6</v>
      </c>
      <c r="C76" s="136">
        <f t="shared" ref="C76:M76" si="410">IFERROR(C27/$B62,0)</f>
        <v>164.5897497618592</v>
      </c>
      <c r="D76" s="136">
        <f t="shared" si="410"/>
        <v>493.76924928557764</v>
      </c>
      <c r="E76" s="136">
        <f t="shared" si="410"/>
        <v>493.76924928557764</v>
      </c>
      <c r="F76" s="136">
        <f t="shared" si="410"/>
        <v>493.76924928557764</v>
      </c>
      <c r="G76" s="136">
        <f t="shared" si="410"/>
        <v>493.76924928557764</v>
      </c>
      <c r="H76" s="136">
        <f t="shared" si="410"/>
        <v>493.76924928557764</v>
      </c>
      <c r="I76" s="136">
        <f t="shared" si="410"/>
        <v>493.76924928557764</v>
      </c>
      <c r="J76" s="136">
        <f t="shared" si="410"/>
        <v>493.76924928557764</v>
      </c>
      <c r="K76" s="136">
        <f t="shared" si="410"/>
        <v>493.76924928557764</v>
      </c>
      <c r="L76" s="136">
        <f t="shared" si="410"/>
        <v>493.76924928557764</v>
      </c>
      <c r="M76" s="136">
        <f t="shared" si="410"/>
        <v>493.76924928557764</v>
      </c>
      <c r="N76" s="149">
        <f>up_dir!BA76</f>
        <v>0.1518928125</v>
      </c>
      <c r="O76" s="149">
        <f>IFERROR(up_RadSpec!$J$27*O27,".")*$B$76</f>
        <v>5.0630937500000001E-2</v>
      </c>
      <c r="P76" s="149">
        <f>IFERROR(up_RadSpec!$J$27*P27,".")*$B$76</f>
        <v>5.0630937500000001E-2</v>
      </c>
      <c r="Q76" s="149">
        <f>IFERROR(up_RadSpec!$J$27*Q27,".")*$B$76</f>
        <v>5.0630937500000001E-2</v>
      </c>
      <c r="R76" s="149">
        <f>IFERROR(up_RadSpec!$J$27*R27,".")*$B$76</f>
        <v>5.0630937500000001E-2</v>
      </c>
      <c r="S76" s="149">
        <f>IFERROR(up_RadSpec!$J$27*S27,".")*$B$76</f>
        <v>5.0630937500000001E-2</v>
      </c>
      <c r="T76" s="149">
        <f>IFERROR(up_RadSpec!$J$27*T27,".")*$B$76</f>
        <v>5.0630937500000001E-2</v>
      </c>
      <c r="U76" s="149">
        <f>IFERROR(up_RadSpec!$J$27*U27,".")*$B$76</f>
        <v>5.0630937500000001E-2</v>
      </c>
      <c r="V76" s="149">
        <f>IFERROR(up_RadSpec!$J$27*V27,".")*$B$76</f>
        <v>5.0630937500000001E-2</v>
      </c>
      <c r="W76" s="149">
        <f>IFERROR(up_RadSpec!$J$27*W27,".")*$B$76</f>
        <v>5.0630937500000001E-2</v>
      </c>
      <c r="X76" s="149">
        <f>IFERROR(up_RadSpec!$J$27*X27,".")*$B$76</f>
        <v>5.0630937500000001E-2</v>
      </c>
      <c r="Y76" s="136">
        <f t="shared" ref="Y76:AL76" si="411">IFERROR(Y27/$B62,0)</f>
        <v>246884.62464278881</v>
      </c>
      <c r="Z76" s="136">
        <f t="shared" si="411"/>
        <v>2307686172.1681089</v>
      </c>
      <c r="AA76" s="136">
        <f t="shared" si="411"/>
        <v>182920848.04507244</v>
      </c>
      <c r="AB76" s="136">
        <f t="shared" si="411"/>
        <v>32.829310813176271</v>
      </c>
      <c r="AC76" s="136">
        <f t="shared" si="411"/>
        <v>493.76924928557764</v>
      </c>
      <c r="AD76" s="136">
        <f t="shared" si="411"/>
        <v>0.13860189453630251</v>
      </c>
      <c r="AE76" s="136">
        <f t="shared" si="411"/>
        <v>0.14275995137239156</v>
      </c>
      <c r="AF76" s="136">
        <f t="shared" si="411"/>
        <v>0.13860189453630251</v>
      </c>
      <c r="AG76" s="136">
        <f t="shared" si="411"/>
        <v>0.13860189453630251</v>
      </c>
      <c r="AH76" s="136">
        <f t="shared" si="411"/>
        <v>0.13860189453630251</v>
      </c>
      <c r="AI76" s="136">
        <f t="shared" si="411"/>
        <v>0.13860189453630251</v>
      </c>
      <c r="AJ76" s="136">
        <f t="shared" si="411"/>
        <v>0.14275995137239156</v>
      </c>
      <c r="AK76" s="136">
        <f t="shared" si="411"/>
        <v>0.13860189453630251</v>
      </c>
      <c r="AL76" s="136">
        <f t="shared" si="411"/>
        <v>0.14275995137239156</v>
      </c>
      <c r="AM76" s="129"/>
      <c r="AN76" s="129"/>
      <c r="AO76" s="129"/>
      <c r="AP76" s="129"/>
      <c r="AQ76" s="129"/>
      <c r="AR76" s="129"/>
      <c r="AS76" s="129"/>
      <c r="AT76" s="129"/>
      <c r="AU76" s="129"/>
      <c r="AV76" s="129"/>
      <c r="AW76" s="129"/>
      <c r="AX76" s="129"/>
      <c r="AY76" s="129"/>
      <c r="AZ76" s="129"/>
      <c r="BA76" s="136">
        <f t="shared" ref="BA76" si="412">IFERROR(BA27/$B62,0)</f>
        <v>1.5543339588621875E-2</v>
      </c>
      <c r="BB76" s="149">
        <f>IFERROR(up_RadSpec!$I$27*BB27,".")*$B$76</f>
        <v>1.0126187500000001E-4</v>
      </c>
      <c r="BC76" s="149">
        <f>IFERROR(up_RadSpec!$L$27*BC27,".")*$B$76</f>
        <v>1.0833362136287402E-8</v>
      </c>
      <c r="BD76" s="149">
        <f>IFERROR(up_RadSpec!$K$27*BD27,".")*$B$76</f>
        <v>1.3667113545110998E-7</v>
      </c>
      <c r="BE76" s="149">
        <f>up_b2s!BZ76</f>
        <v>0.76151461546874999</v>
      </c>
      <c r="BF76" s="149">
        <f>IFERROR(up_RadSpec!$J$27*BF27,".")*$B$76</f>
        <v>5.0630937500000001E-2</v>
      </c>
      <c r="BG76" s="149">
        <f>IFERROR(up_RadSpec!$J$27*BG27,".")*$B$76</f>
        <v>180.37271484375</v>
      </c>
      <c r="BH76" s="149">
        <f>IFERROR(up_RadSpec!$J$27*BH27,".")*$B$76</f>
        <v>175.119140625</v>
      </c>
      <c r="BI76" s="149">
        <f>IFERROR(up_RadSpec!$J$27*BI27,".")*$B$76</f>
        <v>180.37271484375</v>
      </c>
      <c r="BJ76" s="149">
        <f>IFERROR(up_RadSpec!$J$27*BJ27,".")*$B$76</f>
        <v>180.37271484375</v>
      </c>
      <c r="BK76" s="149">
        <f>IFERROR(up_RadSpec!$J$27*BK27,".")*$B$76</f>
        <v>180.37271484375</v>
      </c>
      <c r="BL76" s="149">
        <f>IFERROR(up_RadSpec!$J$27*BL27,".")*$B$76</f>
        <v>180.37271484375</v>
      </c>
      <c r="BM76" s="149">
        <f>IFERROR(up_RadSpec!$J$27*BM27,".")*$B$76</f>
        <v>175.119140625</v>
      </c>
      <c r="BN76" s="149">
        <f>IFERROR(up_RadSpec!$J$27*BN27,".")*$B$76</f>
        <v>180.37271484375</v>
      </c>
      <c r="BO76" s="149">
        <f>IFERROR(up_RadSpec!$J$27*BO27,".")*$B$76</f>
        <v>175.119140625</v>
      </c>
      <c r="BP76" s="150">
        <f t="shared" si="89"/>
        <v>1608.4059578998483</v>
      </c>
      <c r="BQ76" s="136">
        <f t="shared" ref="BQ76:CD76" si="413">IFERROR(BQ27/$B62,0)</f>
        <v>2715.730871070677</v>
      </c>
      <c r="BR76" s="136">
        <f t="shared" si="413"/>
        <v>0</v>
      </c>
      <c r="BS76" s="136">
        <f t="shared" si="413"/>
        <v>29737253.038223915</v>
      </c>
      <c r="BT76" s="136">
        <f t="shared" si="413"/>
        <v>163.73824033893985</v>
      </c>
      <c r="BU76" s="136">
        <f t="shared" si="413"/>
        <v>98753.849857115521</v>
      </c>
      <c r="BV76" s="136">
        <f t="shared" si="413"/>
        <v>19750.769971423106</v>
      </c>
      <c r="BW76" s="136">
        <f t="shared" si="413"/>
        <v>20343.293070565796</v>
      </c>
      <c r="BX76" s="136">
        <f t="shared" si="413"/>
        <v>19750.769971423106</v>
      </c>
      <c r="BY76" s="136">
        <f t="shared" si="413"/>
        <v>19750.769971423106</v>
      </c>
      <c r="BZ76" s="136">
        <f t="shared" si="413"/>
        <v>19750.769971423106</v>
      </c>
      <c r="CA76" s="136">
        <f t="shared" si="413"/>
        <v>19750.769971423106</v>
      </c>
      <c r="CB76" s="136">
        <f t="shared" si="413"/>
        <v>20343.293070565796</v>
      </c>
      <c r="CC76" s="136">
        <f t="shared" si="413"/>
        <v>19750.769971423106</v>
      </c>
      <c r="CD76" s="136">
        <f t="shared" si="413"/>
        <v>20343.293070565796</v>
      </c>
      <c r="CE76" s="141"/>
      <c r="CF76" s="141"/>
      <c r="CG76" s="141"/>
      <c r="CH76" s="141"/>
      <c r="CI76" s="141"/>
      <c r="CJ76" s="141"/>
      <c r="CK76" s="141"/>
      <c r="CL76" s="141"/>
      <c r="CM76" s="141"/>
      <c r="CN76" s="141"/>
      <c r="CO76" s="141"/>
      <c r="CP76" s="141"/>
      <c r="CQ76" s="141"/>
      <c r="CR76" s="141"/>
      <c r="CS76" s="136">
        <f t="shared" ref="CS76" si="414">IFERROR(CS27/$B62,0)</f>
        <v>144.1556139635583</v>
      </c>
      <c r="CT76" s="149">
        <f>IFERROR(up_RadSpec!$M$27*CT27,".")*$B$76</f>
        <v>9.2056250000000003E-3</v>
      </c>
      <c r="CU76" s="149">
        <f>IFERROR(up_RadSpec!$L$27*CU27,".")*$B$76</f>
        <v>1.6781087239583329E-3</v>
      </c>
      <c r="CV76" s="149">
        <f>IFERROR(up_RadSpec!$Q$27*CV27,".")*$B$76</f>
        <v>8.4069634703196346E-7</v>
      </c>
      <c r="CW76" s="149">
        <f>up_b2w!BZ76</f>
        <v>0.15268272059263463</v>
      </c>
      <c r="CX76" s="149">
        <f>IFERROR(up_RadSpec!$J$27*CX27,".")*$B$76</f>
        <v>2.5315468750000003E-4</v>
      </c>
      <c r="CY76" s="149">
        <f>IFERROR(up_RadSpec!$J$27*CY27,".")*$B$76</f>
        <v>1.2657734375E-3</v>
      </c>
      <c r="CZ76" s="149">
        <f>IFERROR(up_RadSpec!$J$27*CZ27,".")*$B$76</f>
        <v>1.22890625E-3</v>
      </c>
      <c r="DA76" s="149">
        <f>IFERROR(up_RadSpec!$J$27*DA27,".")*$B$76</f>
        <v>1.2657734375E-3</v>
      </c>
      <c r="DB76" s="149">
        <f>IFERROR(up_RadSpec!$J$27*DB27,".")*$B$76</f>
        <v>1.2657734375E-3</v>
      </c>
      <c r="DC76" s="149">
        <f>IFERROR(up_RadSpec!$J$27*DC27,".")*$B$76</f>
        <v>1.2657734375E-3</v>
      </c>
      <c r="DD76" s="149">
        <f>IFERROR(up_RadSpec!$J$27*DD27,".")*$B$76</f>
        <v>1.2657734375E-3</v>
      </c>
      <c r="DE76" s="149">
        <f>IFERROR(up_RadSpec!$J$27*DE27,".")*$B$76</f>
        <v>1.22890625E-3</v>
      </c>
      <c r="DF76" s="149">
        <f>IFERROR(up_RadSpec!$J$27*DF27,".")*$B$76</f>
        <v>1.2657734375E-3</v>
      </c>
      <c r="DG76" s="149">
        <f>IFERROR(up_RadSpec!$J$27*DG27,".")*$B$76</f>
        <v>1.22890625E-3</v>
      </c>
      <c r="DH76" s="150">
        <f t="shared" si="200"/>
        <v>0</v>
      </c>
      <c r="DI76" s="136">
        <f t="shared" ref="DI76:DK76" si="415">IFERROR(DI27/$B62,0)</f>
        <v>7448.8618177938579</v>
      </c>
      <c r="DJ76" s="136">
        <f t="shared" si="415"/>
        <v>11894901.215289565</v>
      </c>
      <c r="DK76" s="136">
        <f t="shared" si="415"/>
        <v>7444.2000877975861</v>
      </c>
      <c r="DL76" s="149">
        <f>IFERROR(up_RadSpec!$L$27*DL27,".")*$B$76</f>
        <v>3.3562174479166659E-3</v>
      </c>
      <c r="DM76" s="149">
        <f>IFERROR(up_RadSpec!$O$27*DM27,".")*$B$76</f>
        <v>2.1017408675799087E-6</v>
      </c>
      <c r="DN76" s="150">
        <f t="shared" si="93"/>
        <v>3.3583191887842458E-3</v>
      </c>
    </row>
  </sheetData>
  <sheetProtection algorithmName="SHA-512" hashValue="/5JvpP+3ZDsNC5RjQ/Fmd3g0GLdlpseCY8dn4TF+4VrWwZt4TWjXf7+M7e0w4vInCuV9wiC+oFA9Y1gnP4ERoQ==" saltValue="tJwwLAUaVzP9/oo2HAoqZQ==" spinCount="100000" sheet="1" objects="1" scenarios="1" formatColumns="0" formatRows="0" autoFilter="0"/>
  <autoFilter ref="A1:DN76" xr:uid="{F6725207-36EA-4A5F-832C-7471C0763726}"/>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9" tint="-0.499984740745262"/>
  </sheetPr>
  <dimension ref="A1:AR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42578125" style="2" bestFit="1" customWidth="1"/>
    <col min="2" max="2" width="11.5703125" style="2" bestFit="1" customWidth="1"/>
    <col min="3" max="3" width="14.42578125" style="2" bestFit="1" customWidth="1"/>
    <col min="4" max="4" width="14.5703125" style="2" bestFit="1" customWidth="1"/>
    <col min="5" max="5" width="14.28515625" style="2" bestFit="1" customWidth="1"/>
    <col min="6" max="6" width="14.140625" style="3" bestFit="1" customWidth="1"/>
    <col min="7" max="7" width="14.28515625" style="2" bestFit="1" customWidth="1"/>
    <col min="8" max="8" width="14.42578125" style="2" bestFit="1" customWidth="1"/>
    <col min="9" max="9" width="14.140625" style="2" bestFit="1" customWidth="1"/>
    <col min="10" max="10" width="14.28515625" style="2" bestFit="1" customWidth="1"/>
    <col min="11" max="11" width="13.5703125" style="2" bestFit="1" customWidth="1"/>
    <col min="12" max="13" width="15.42578125" style="2" bestFit="1" customWidth="1"/>
    <col min="14" max="14" width="16.42578125" style="2" bestFit="1" customWidth="1"/>
    <col min="15" max="15" width="13.85546875" style="2" bestFit="1" customWidth="1"/>
    <col min="16" max="16" width="13.140625" style="2" bestFit="1" customWidth="1"/>
    <col min="17" max="18" width="14.85546875" style="2" bestFit="1" customWidth="1"/>
    <col min="19" max="19" width="16" style="2" bestFit="1" customWidth="1"/>
    <col min="20" max="20" width="13.5703125" style="2" bestFit="1" customWidth="1"/>
    <col min="21" max="21" width="13.85546875" style="2" bestFit="1" customWidth="1"/>
    <col min="22" max="22" width="14.140625" style="2" bestFit="1" customWidth="1"/>
    <col min="23" max="23" width="13.28515625" style="2" bestFit="1" customWidth="1"/>
    <col min="24" max="24" width="13.42578125" style="2" bestFit="1" customWidth="1"/>
    <col min="25" max="25" width="13.85546875" style="2" bestFit="1" customWidth="1"/>
    <col min="26" max="26" width="13.7109375" style="2" bestFit="1" customWidth="1"/>
    <col min="27" max="27" width="14.28515625" style="2" bestFit="1" customWidth="1"/>
    <col min="28" max="28" width="15.5703125" style="2" bestFit="1" customWidth="1"/>
    <col min="29" max="29" width="14" style="3" bestFit="1" customWidth="1"/>
    <col min="30" max="30" width="14.42578125" style="2" bestFit="1" customWidth="1"/>
    <col min="31" max="31" width="15.7109375" style="2" bestFit="1" customWidth="1"/>
    <col min="32" max="32" width="14.85546875" style="2" bestFit="1" customWidth="1"/>
    <col min="33" max="33" width="13.5703125" style="3" bestFit="1" customWidth="1"/>
    <col min="34" max="34" width="17.85546875" style="3" bestFit="1" customWidth="1"/>
    <col min="35" max="35" width="18" style="3" bestFit="1" customWidth="1"/>
    <col min="36" max="36" width="12.5703125" style="3" bestFit="1" customWidth="1"/>
    <col min="37" max="37" width="16.85546875" style="3" bestFit="1" customWidth="1"/>
    <col min="38" max="38" width="17" style="3" bestFit="1" customWidth="1"/>
    <col min="39" max="39" width="13.85546875" style="3" bestFit="1" customWidth="1"/>
    <col min="40" max="40" width="17.85546875" style="3" bestFit="1" customWidth="1"/>
    <col min="41" max="41" width="18.42578125" style="3" bestFit="1" customWidth="1"/>
    <col min="42" max="42" width="12.5703125" style="3" bestFit="1" customWidth="1"/>
    <col min="43" max="43" width="16.5703125" style="3" bestFit="1" customWidth="1"/>
    <col min="44" max="44" width="17.140625" style="3" bestFit="1" customWidth="1"/>
    <col min="45" max="16384" width="9.140625" style="3"/>
  </cols>
  <sheetData>
    <row r="1" spans="1:44" x14ac:dyDescent="0.25">
      <c r="A1" s="140" t="s">
        <v>39</v>
      </c>
      <c r="B1" s="140" t="s">
        <v>335</v>
      </c>
      <c r="C1" s="141" t="s">
        <v>1146</v>
      </c>
      <c r="D1" s="141" t="s">
        <v>1147</v>
      </c>
      <c r="E1" s="141" t="s">
        <v>1148</v>
      </c>
      <c r="F1" s="141" t="s">
        <v>1149</v>
      </c>
      <c r="G1" s="142" t="s">
        <v>1202</v>
      </c>
      <c r="H1" s="142" t="s">
        <v>1203</v>
      </c>
      <c r="I1" s="142" t="s">
        <v>1204</v>
      </c>
      <c r="J1" s="143" t="s">
        <v>1206</v>
      </c>
      <c r="K1" s="129" t="s">
        <v>1197</v>
      </c>
      <c r="L1" s="129" t="s">
        <v>1198</v>
      </c>
      <c r="M1" s="129" t="s">
        <v>1199</v>
      </c>
      <c r="N1" s="129" t="s">
        <v>1200</v>
      </c>
      <c r="O1" s="129" t="s">
        <v>1201</v>
      </c>
      <c r="P1" s="144" t="s">
        <v>1207</v>
      </c>
      <c r="Q1" s="144" t="s">
        <v>1208</v>
      </c>
      <c r="R1" s="144" t="s">
        <v>1209</v>
      </c>
      <c r="S1" s="144" t="s">
        <v>1210</v>
      </c>
      <c r="T1" s="144" t="s">
        <v>1211</v>
      </c>
      <c r="U1" s="129" t="s">
        <v>1186</v>
      </c>
      <c r="V1" s="129" t="s">
        <v>1187</v>
      </c>
      <c r="W1" s="129" t="s">
        <v>1188</v>
      </c>
      <c r="X1" s="144" t="s">
        <v>1212</v>
      </c>
      <c r="Y1" s="144" t="s">
        <v>1213</v>
      </c>
      <c r="Z1" s="143" t="s">
        <v>1214</v>
      </c>
      <c r="AA1" s="141" t="s">
        <v>1150</v>
      </c>
      <c r="AB1" s="141" t="s">
        <v>1190</v>
      </c>
      <c r="AC1" s="141" t="s">
        <v>1179</v>
      </c>
      <c r="AD1" s="144" t="s">
        <v>1297</v>
      </c>
      <c r="AE1" s="144" t="s">
        <v>1298</v>
      </c>
      <c r="AF1" s="143" t="s">
        <v>1299</v>
      </c>
      <c r="AG1" s="141" t="s">
        <v>1191</v>
      </c>
      <c r="AH1" s="141" t="s">
        <v>1196</v>
      </c>
      <c r="AI1" s="141" t="s">
        <v>1193</v>
      </c>
      <c r="AJ1" s="141" t="s">
        <v>1192</v>
      </c>
      <c r="AK1" s="141" t="s">
        <v>1195</v>
      </c>
      <c r="AL1" s="141" t="s">
        <v>1194</v>
      </c>
      <c r="AM1" s="144" t="s">
        <v>1300</v>
      </c>
      <c r="AN1" s="144" t="s">
        <v>1301</v>
      </c>
      <c r="AO1" s="144" t="s">
        <v>1302</v>
      </c>
      <c r="AP1" s="144" t="s">
        <v>1303</v>
      </c>
      <c r="AQ1" s="144" t="s">
        <v>1304</v>
      </c>
      <c r="AR1" s="144" t="s">
        <v>1305</v>
      </c>
    </row>
    <row r="2" spans="1:44" customFormat="1" x14ac:dyDescent="0.25">
      <c r="A2" s="128" t="s">
        <v>0</v>
      </c>
      <c r="B2" s="129" t="s">
        <v>1059</v>
      </c>
      <c r="C2" s="141">
        <f>IFERROR(((s_DL/(up_RadSpec!I2*s_IFS_rec_adj*(1/1000)))*1),".")</f>
        <v>3.6363636363636362</v>
      </c>
      <c r="D2" s="141">
        <f>IFERROR(IF(A2="H-3",(s_DL/((up_RadSpec!L2*s_IFA_rec_adj*(1/17)*1000))*1),(s_DL/((up_RadSpec!L2*s_IFA_rec_adj*(1/s_PEF_wind)*1000))*1)),".")</f>
        <v>33989.90962986408</v>
      </c>
      <c r="E2" s="141">
        <f>IFERROR((s_DL/(up_RadSpec!K2*s_EF_rec*(1/365)*s_ED_rec*up_RadSpec!V2*s_ET_rec*(1/24)*up_RadSpec!AA2)),".")</f>
        <v>18600.180451127828</v>
      </c>
      <c r="F2" s="141">
        <f t="shared" ref="F2" si="0">(IF(AND(ISNUMBER(C2),ISNUMBER(D2),ISNUMBER(E2)),1/((1/C2)+(1/D2)+(1/E2)),IF(AND(ISNUMBER(C2),ISNUMBER(D2),NOT(ISNUMBER(E2))), 1/((1/C2)+(1/D2)),IF(AND(ISNUMBER(C2),NOT(ISNUMBER(D2)),ISNUMBER(E2)),1/((1/C2)+(1/E2)),IF(AND(NOT(ISNUMBER(C2)),ISNUMBER(D2),ISNUMBER(E2)),1/((1/D2)+(1/E2)),IF(AND(ISNUMBER(C2),NOT(ISNUMBER(D2)),NOT(ISNUMBER(E2))),1/((1/C2)),IF(AND(NOT(ISNUMBER(C2)),NOT(ISNUMBER(D2)),ISNUMBER(E2)),1/((1/E2)),IF(AND(NOT(ISNUMBER(C2)),ISNUMBER(D2),NOT(ISNUMBER(E2))),1/((1/D2)),IF(AND(NOT(ISNUMBER(C2)),NOT(ISNUMBER(D2)),NOT(ISNUMBER(E2))),".")))))))))</f>
        <v>3.6352640229934252</v>
      </c>
      <c r="G2" s="142">
        <f t="shared" ref="G2:G30" si="1">s_C*s_IFS_rec_adj*(1/1000)</f>
        <v>1.375</v>
      </c>
      <c r="H2" s="142">
        <f t="shared" ref="H2:H30" si="2">s_C*s_IFA_rec_adj*(1/s_PEF_wind)*1000</f>
        <v>1.4710247995501936E-4</v>
      </c>
      <c r="I2" s="142">
        <f>IFERROR((s_C*s_EF_rec*(1/365)*s_ED_rec*up_RadSpec!V2*s_ET_rec*(1/24)*up_RadSpec!AA2),".")</f>
        <v>2.6881459634961892E-4</v>
      </c>
      <c r="J2" s="141"/>
      <c r="K2" s="141">
        <f>IFERROR((s_DL/(up_RadSpec!K2*s_EF_rec*(1/365)*s_ED_rec*up_RadSpec!V2*s_ET_rec*(1/24)*up_RadSpec!AA2)),".")</f>
        <v>18600.180451127828</v>
      </c>
      <c r="L2" s="141">
        <f>IFERROR((s_DL/(up_RadSpec!R2*s_EF_rec*(1/365)*s_ED_rec*up_RadSpec!W2*s_ET_rec*(1/24)*up_RadSpec!AB2)),".")</f>
        <v>37608.376963350776</v>
      </c>
      <c r="M2" s="141">
        <f>IFERROR((s_DL/(up_RadSpec!S2*s_EF_rec*(1/365)*s_ED_rec*up_RadSpec!X2*s_ET_rec*(1/24)*up_RadSpec!AC2)),".")</f>
        <v>25543.177570093449</v>
      </c>
      <c r="N2" s="141">
        <f>IFERROR((s_DL/(up_RadSpec!T2*s_EF_rec*(1/365)*s_ED_rec*up_RadSpec!Y2*s_ET_rec*(1/24)*up_RadSpec!AD2)),".")</f>
        <v>21232.026143790845</v>
      </c>
      <c r="O2" s="141">
        <f>IFERROR((s_DL/(up_RadSpec!P2*s_EF_rec*(1/365)*s_ED_rec*up_RadSpec!U2*s_ET_rec*(1/24)*up_RadSpec!Z2)),".")</f>
        <v>297607.09010339744</v>
      </c>
      <c r="P2" s="142">
        <f>IFERROR((s_C*s_EF_rec*(1/365)*s_ED_rec*up_RadSpec!V2*s_ET_rec*(1/24)*up_RadSpec!AA2),".")</f>
        <v>2.6881459634961892E-4</v>
      </c>
      <c r="Q2" s="142">
        <f>IFERROR((s_C*s_EF_rec*(1/365)*s_ED_rec*up_RadSpec!W2*s_ET_rec*(1/24)*up_RadSpec!AB2),".")</f>
        <v>1.3294910346363741E-4</v>
      </c>
      <c r="R2" s="142">
        <f>IFERROR((s_C*s_EF_rec*(1/365)*s_ED_rec*up_RadSpec!X2*s_ET_rec*(1/24)*up_RadSpec!AC2),".")</f>
        <v>1.9574698513054686E-4</v>
      </c>
      <c r="S2" s="142">
        <f>IFERROR((s_C*s_EF_rec*(1/365)*s_ED_rec*up_RadSpec!Y2*s_ET_rec*(1/24)*up_RadSpec!AD2),".")</f>
        <v>2.354933046021241E-4</v>
      </c>
      <c r="T2" s="142">
        <f>IFERROR((s_C*s_EF_rec*(1/365)*s_ED_rec*up_RadSpec!U2*s_ET_rec*(1/24)*up_RadSpec!Z2),".")</f>
        <v>1.6800675004963266E-5</v>
      </c>
      <c r="U2" s="141">
        <f>IFERROR((s_DL/(up_RadSpec!L2*s_IFA_rec_adj)),".")</f>
        <v>0.10971428571428574</v>
      </c>
      <c r="V2" s="141">
        <f>IFERROR((s_DL/(up_RadSpec!O2*s_EF_rec*(1/365)*s_ED_rec*s_ET_rec*(1/24)*s_GSF_a)),".")</f>
        <v>175.20000000000002</v>
      </c>
      <c r="W2" s="141">
        <f>IFERROR(IF(AND(U2&lt;&gt;".",V2&lt;&gt;"."),1/((1/U2)+(1/V2)),IF(AND(U2&lt;&gt;".",V2="."),1/((1/U2)),IF(AND(U2=".",V2&lt;&gt;"."),1/((1/V2)),IF(AND(U2=".",V2="."),".")))),".")</f>
        <v>0.10964562309317062</v>
      </c>
      <c r="X2" s="142">
        <f t="shared" ref="X2:X30" si="3">s_C*s_IFA_rec_adj</f>
        <v>45.572916666666657</v>
      </c>
      <c r="Y2" s="142">
        <f t="shared" ref="Y2:Y30" si="4">IFERROR((s_C*s_EF_rec*(1/365)*s_ED_rec*s_ET_rec*(1/24)*s_GSF_a),".")</f>
        <v>2.8538812785388126E-2</v>
      </c>
      <c r="Z2" s="141"/>
      <c r="AA2" s="141">
        <f>IFERROR((s_DL/(up_RadSpec!M2*s_IFW_rec_adj)),".")</f>
        <v>2.5000000000000001E-2</v>
      </c>
      <c r="AB2" s="141">
        <f>IFERROR((s_DL/(up_RadSpec!Q2*(1/8760)*s_DFA_rec_adj)),".")</f>
        <v>438</v>
      </c>
      <c r="AC2" s="141">
        <f t="shared" ref="AC2:AC30" si="5">IFERROR(IF(AND(AA2&lt;&gt;0,AB2&lt;&gt;0),1/((1/AA2)+(1/AB2)),IF(AND(AA2&lt;&gt;0,AB2=0),1/((1/AA2)),IF(AND(AA2=0,AB2&lt;&gt;0),1/((1/AB2)),IF(AND(AA2=0,AB2=0),0)))),0)</f>
        <v>2.4998573140802463E-2</v>
      </c>
      <c r="AD2" s="142">
        <f t="shared" ref="AD2:AD30" si="6">s_C*s_IFW_rec_adj</f>
        <v>200</v>
      </c>
      <c r="AE2" s="142">
        <f t="shared" ref="AE2:AE30" si="7">s_C*(1/8760)*s_DFA_rec_adj</f>
        <v>1.1415525114155251E-2</v>
      </c>
      <c r="AF2" s="141"/>
      <c r="AG2" s="141">
        <f>IFERROR(s_DL/(up_RadSpec!J2*s_EF_rec*s_ED_rec*s_IRGL_rec*s_CF_game),".")</f>
        <v>0.2</v>
      </c>
      <c r="AH2" s="141">
        <f>IFERROR((AG2/(up_RadSpec!AM2*((s_Q_p_game*s_f_p_game*s_f_s_game*(up_RadSpec!BG2+s_R_es_past))+(s_Q_s_game*s_f_p_game)))),".")</f>
        <v>8.3333333333333339E-4</v>
      </c>
      <c r="AI2" s="141">
        <f>IFERROR(AG2/(up_RadSpec!AM2*s_Q_w_game*(1/1000)),".")</f>
        <v>20</v>
      </c>
      <c r="AJ2" s="141">
        <f>IFERROR(s_DL/(up_RadSpec!J2*s_EF_rec*s_ED_rec*s_IRGF_rec*s_CF_fowl),".")</f>
        <v>0.2</v>
      </c>
      <c r="AK2" s="141">
        <f>IFERROR((AG2/(up_RadSpec!AO2*((s_Q_p_fowl*s_f_p_fowl*s_f_s_fowl*(up_RadSpec!BG2+s_R_es_past))+(s_Q_s_fowl*s_f_p_fowl)))),".")</f>
        <v>8.3333333333333339E-4</v>
      </c>
      <c r="AL2" s="141">
        <f>IFERROR(AG2/(up_RadSpec!AO2*s_Q_w_fowl*(1/1000)),".")</f>
        <v>20</v>
      </c>
      <c r="AM2" s="142">
        <f t="shared" ref="AM2:AM30" si="8">IFERROR(s_C*s_EF_rec*s_ED_rec*s_IRGL_rec*s_CF_game,".")</f>
        <v>25</v>
      </c>
      <c r="AN2" s="142">
        <f>IFERROR((s_C*s_IRGL_rec*s_EF_rec*s_ED_rec*s_CF_game*up_RadSpec!AM2)*((s_Q_p_game*s_f_p_game*s_f_s_game*(up_RadSpec!BG2+s_R_es_past))+(s_Q_s_game*s_f_p_game)),".")</f>
        <v>6000</v>
      </c>
      <c r="AO2" s="142">
        <f>IFERROR(s_C*up_RadSpec!AM2*s_Q_w_game*(1/1000)*s_EF_rec*s_ED_rec*s_IRGL_rec*s_CF_game,".")</f>
        <v>0.25</v>
      </c>
      <c r="AP2" s="142">
        <f t="shared" ref="AP2:AP30" si="9">IFERROR(s_C*s_EF_rec*s_ED_rec*s_IRGF_rec*s_CF_fowl,".")</f>
        <v>25</v>
      </c>
      <c r="AQ2" s="142">
        <f>IFERROR((s_C*s_IRGF_rec*s_EF_rec*s_ED_rec*s_CF_fowl*up_RadSpec!AO2)*((s_Q_p_fowl*s_f_p_fowl*s_f_s_fowl*(up_RadSpec!BG2+s_R_es_past))+(s_Q_s_fowl*s_f_p_fowl)),".")</f>
        <v>6000</v>
      </c>
      <c r="AR2" s="142">
        <f>IFERROR(s_C*up_RadSpec!AO2*s_Q_w_fowl*(1/1000)*s_EF_rec*s_ED_rec*s_IRGL_rec*s_CF_fowl,".")</f>
        <v>0.25</v>
      </c>
    </row>
    <row r="3" spans="1:44" x14ac:dyDescent="0.25">
      <c r="A3" s="131" t="s">
        <v>1</v>
      </c>
      <c r="B3" s="129" t="s">
        <v>336</v>
      </c>
      <c r="C3" s="141">
        <f>IFERROR(((s_DL/(up_RadSpec!I3*s_IFS_rec_adj*(1/1000)))*1),".")</f>
        <v>3.6363636363636362</v>
      </c>
      <c r="D3" s="141">
        <f>IFERROR(IF(A3="H-3",(s_DL/((up_RadSpec!L3*s_IFA_rec_adj*(1/17)*1000))*1),(s_DL/((up_RadSpec!L3*s_IFA_rec_adj*(1/s_PEF_wind)*1000))*1)),".")</f>
        <v>33989.90962986408</v>
      </c>
      <c r="E3" s="141">
        <f>IFERROR((s_DL/(up_RadSpec!K3*s_EF_rec*(1/365)*s_ED_rec*up_RadSpec!V3*s_ET_rec*(1/24)*up_RadSpec!AA3)),".")</f>
        <v>2440285.7142857155</v>
      </c>
      <c r="F3" s="141">
        <f>IF(AND(C3&lt;&gt;".",D3&lt;&gt;".",E3&lt;&gt;"."),1/((1/C3)+(1/D3)+(1/E3)),IF(AND(C3&lt;&gt;".",D3&lt;&gt;".",E3="."), 1/((1/C3)+(1/D3)),IF(AND(C3&lt;&gt;".",D3=".",E3&lt;&gt;"."),1/((1/C3)+(1/E3)),IF(AND(C3=".",D3&lt;&gt;".",E3&lt;&gt;"."),1/((1/D3)+(1/E3)),IF(AND(C3&lt;&gt;".",D3=".",E3="."),1/((1/C3)),IF(AND(C3=".",D3&lt;&gt;".",E3="."),1/((1/D3)),IF(AND(C3=".",D3=".",E3&lt;&gt;"."),1/((1/E3)),IF(AND(C3=".",D3=".",E3="."),"."))))))))</f>
        <v>3.6359692291091577</v>
      </c>
      <c r="G3" s="142">
        <f t="shared" si="1"/>
        <v>1.375</v>
      </c>
      <c r="H3" s="142">
        <f t="shared" si="2"/>
        <v>1.4710247995501936E-4</v>
      </c>
      <c r="I3" s="142">
        <f>IFERROR((s_C*s_EF_rec*(1/365)*s_ED_rec*up_RadSpec!V3*s_ET_rec*(1/24)*up_RadSpec!AA3),".")</f>
        <v>2.0489404051047876E-6</v>
      </c>
      <c r="J3" s="141"/>
      <c r="K3" s="141">
        <f>IFERROR((s_DL/(up_RadSpec!K3*s_EF_rec*(1/365)*s_ED_rec*up_RadSpec!V3*s_ET_rec*(1/24)*up_RadSpec!AA3)),".")</f>
        <v>2440285.7142857155</v>
      </c>
      <c r="L3" s="141">
        <f>IFERROR((s_DL/(up_RadSpec!R3*s_EF_rec*(1/365)*s_ED_rec*up_RadSpec!W3*s_ET_rec*(1/24)*up_RadSpec!AB3)),".")</f>
        <v>3421679.2645556699</v>
      </c>
      <c r="M3" s="141">
        <f>IFERROR((s_DL/(up_RadSpec!S3*s_EF_rec*(1/365)*s_ED_rec*up_RadSpec!X3*s_ET_rec*(1/24)*up_RadSpec!AC3)),".")</f>
        <v>2594121.5469613271</v>
      </c>
      <c r="N3" s="141">
        <f>IFERROR((s_DL/(up_RadSpec!T3*s_EF_rec*(1/365)*s_ED_rec*up_RadSpec!Y3*s_ET_rec*(1/24)*up_RadSpec!AD3)),".")</f>
        <v>2674065.1890482386</v>
      </c>
      <c r="O3" s="141">
        <f>IFERROR((s_DL/(up_RadSpec!P3*s_EF_rec*(1/365)*s_ED_rec*up_RadSpec!U3*s_ET_rec*(1/24)*up_RadSpec!Z3)),".")</f>
        <v>5305100.3972941078</v>
      </c>
      <c r="P3" s="142">
        <f>IFERROR((s_C*s_EF_rec*(1/365)*s_ED_rec*up_RadSpec!V3*s_ET_rec*(1/24)*up_RadSpec!AA3),".")</f>
        <v>2.0489404051047876E-6</v>
      </c>
      <c r="Q3" s="142">
        <f>IFERROR((s_C*s_EF_rec*(1/365)*s_ED_rec*up_RadSpec!W3*s_ET_rec*(1/24)*up_RadSpec!AB3),".")</f>
        <v>1.4612708010928333E-6</v>
      </c>
      <c r="R3" s="142">
        <f>IFERROR((s_C*s_EF_rec*(1/365)*s_ED_rec*up_RadSpec!X3*s_ET_rec*(1/24)*up_RadSpec!AC3),".")</f>
        <v>1.9274347440877795E-6</v>
      </c>
      <c r="S3" s="142">
        <f>IFERROR((s_C*s_EF_rec*(1/365)*s_ED_rec*up_RadSpec!Y3*s_ET_rec*(1/24)*up_RadSpec!AD3),".")</f>
        <v>1.8698123069242059E-6</v>
      </c>
      <c r="T3" s="142">
        <f>IFERROR((s_C*s_EF_rec*(1/365)*s_ED_rec*up_RadSpec!U3*s_ET_rec*(1/24)*up_RadSpec!Z3),".")</f>
        <v>9.4248923216425354E-7</v>
      </c>
      <c r="U3" s="141">
        <f>IFERROR((s_DL/(up_RadSpec!L3*s_IFA_rec_adj)),".")</f>
        <v>0.10971428571428574</v>
      </c>
      <c r="V3" s="141">
        <f>IFERROR((s_DL/(up_RadSpec!O3*s_EF_rec*(1/365)*s_ED_rec*s_ET_rec*(1/24)*s_GSF_a)),".")</f>
        <v>175.20000000000002</v>
      </c>
      <c r="W3" s="141">
        <f>IFERROR(IF(AND(U3&lt;&gt;".",V3&lt;&gt;"."),1/((1/U3)+(1/V3)),IF(AND(U3&lt;&gt;".",V3="."),1/((1/U3)),IF(AND(U3=".",V3&lt;&gt;"."),1/((1/V3)),IF(AND(U3=".",V3="."),".")))),".")</f>
        <v>0.10964562309317062</v>
      </c>
      <c r="X3" s="142">
        <f t="shared" si="3"/>
        <v>45.572916666666657</v>
      </c>
      <c r="Y3" s="142">
        <f t="shared" si="4"/>
        <v>2.8538812785388126E-2</v>
      </c>
      <c r="Z3" s="141"/>
      <c r="AA3" s="141">
        <f>IFERROR((s_DL/(up_RadSpec!M3*s_IFW_rec_adj)),".")</f>
        <v>2.5000000000000001E-2</v>
      </c>
      <c r="AB3" s="141">
        <f>IFERROR((s_DL/(up_RadSpec!Q3*(1/8760)*s_DFA_rec_adj)),".")</f>
        <v>438</v>
      </c>
      <c r="AC3" s="141">
        <f t="shared" si="5"/>
        <v>2.4998573140802463E-2</v>
      </c>
      <c r="AD3" s="142">
        <f t="shared" si="6"/>
        <v>200</v>
      </c>
      <c r="AE3" s="142">
        <f t="shared" si="7"/>
        <v>1.1415525114155251E-2</v>
      </c>
      <c r="AF3" s="141"/>
      <c r="AG3" s="141">
        <f>IFERROR(s_DL/(up_RadSpec!J3*s_EF_rec*s_ED_rec*s_IRGL_rec*s_CF_game),".")</f>
        <v>0.2</v>
      </c>
      <c r="AH3" s="141">
        <f>IFERROR((AG3/(up_RadSpec!AM3*((s_Q_p_game*s_f_p_game*s_f_s_game*(up_RadSpec!BG3+s_R_es_past))+(s_Q_s_game*s_f_p_game)))),".")</f>
        <v>8.3333333333333339E-4</v>
      </c>
      <c r="AI3" s="141">
        <f>IFERROR(AG3/(up_RadSpec!AM3*s_Q_w_game*(1/1000)),".")</f>
        <v>20</v>
      </c>
      <c r="AJ3" s="141">
        <f>IFERROR(s_DL/(up_RadSpec!J3*s_EF_rec*s_ED_rec*s_IRGF_rec*s_CF_fowl),".")</f>
        <v>0.2</v>
      </c>
      <c r="AK3" s="141">
        <f>IFERROR((AG3/(up_RadSpec!AO3*((s_Q_p_fowl*s_f_p_fowl*s_f_s_fowl*(up_RadSpec!BG3+s_R_es_past))+(s_Q_s_fowl*s_f_p_fowl)))),".")</f>
        <v>8.3333333333333339E-4</v>
      </c>
      <c r="AL3" s="141">
        <f>IFERROR(AG3/(up_RadSpec!AO3*s_Q_w_fowl*(1/1000)),".")</f>
        <v>20</v>
      </c>
      <c r="AM3" s="142">
        <f t="shared" si="8"/>
        <v>25</v>
      </c>
      <c r="AN3" s="142">
        <f>IFERROR((s_C*s_IRGL_rec*s_EF_rec*s_ED_rec*s_CF_game*up_RadSpec!AM3)*((s_Q_p_game*s_f_p_game*s_f_s_game*(up_RadSpec!BG3+s_R_es_past))+(s_Q_s_game*s_f_p_game)),".")</f>
        <v>6000</v>
      </c>
      <c r="AO3" s="142">
        <f>IFERROR(s_C*up_RadSpec!AM3*s_Q_w_game*(1/1000)*s_EF_rec*s_ED_rec*s_IRGL_rec*s_CF_game,".")</f>
        <v>0.25</v>
      </c>
      <c r="AP3" s="142">
        <f t="shared" si="9"/>
        <v>25</v>
      </c>
      <c r="AQ3" s="142">
        <f>IFERROR((s_C*s_IRGF_rec*s_EF_rec*s_ED_rec*s_CF_fowl*up_RadSpec!AO3)*((s_Q_p_fowl*s_f_p_fowl*s_f_s_fowl*(up_RadSpec!BG3+s_R_es_past))+(s_Q_s_fowl*s_f_p_fowl)),".")</f>
        <v>6000</v>
      </c>
      <c r="AR3" s="142">
        <f>IFERROR(s_C*up_RadSpec!AO3*s_Q_w_fowl*(1/1000)*s_EF_rec*s_ED_rec*s_IRGL_rec*s_CF_fowl,".")</f>
        <v>0.25</v>
      </c>
    </row>
    <row r="4" spans="1:44" customFormat="1" x14ac:dyDescent="0.25">
      <c r="A4" s="128" t="s">
        <v>2</v>
      </c>
      <c r="B4" s="129" t="s">
        <v>1059</v>
      </c>
      <c r="C4" s="141">
        <f>IFERROR(((s_DL/(up_RadSpec!I4*s_IFS_rec_adj*(1/1000)))*1),".")</f>
        <v>3.6363636363636362</v>
      </c>
      <c r="D4" s="141">
        <f>IFERROR(IF(A4="H-3",(s_DL/((up_RadSpec!L4*s_IFA_rec_adj*(1/17)*1000))*1),(s_DL/((up_RadSpec!L4*s_IFA_rec_adj*(1/s_PEF_wind)*1000))*1)),".")</f>
        <v>33989.90962986408</v>
      </c>
      <c r="E4" s="141">
        <f>IFERROR((s_DL/(up_RadSpec!K4*s_EF_rec*(1/365)*s_ED_rec*up_RadSpec!V4*s_ET_rec*(1/24)*up_RadSpec!AA4)),".")</f>
        <v>9084.4444444444489</v>
      </c>
      <c r="F4" s="141">
        <f t="shared" ref="F4:F5" si="10">IF(AND(C4&lt;&gt;".",D4&lt;&gt;".",E4&lt;&gt;"."),1/((1/C4)+(1/D4)+(1/E4)),IF(AND(C4&lt;&gt;".",D4&lt;&gt;".",E4="."), 1/((1/C4)+(1/D4)),IF(AND(C4&lt;&gt;".",D4=".",E4&lt;&gt;"."),1/((1/C4)+(1/E4)),IF(AND(C4=".",D4&lt;&gt;".",E4&lt;&gt;"."),1/((1/D4)+(1/E4)),IF(AND(C4&lt;&gt;".",D4=".",E4="."),1/((1/C4)),IF(AND(C4=".",D4&lt;&gt;".",E4="."),1/((1/D4)),IF(AND(C4=".",D4=".",E4&lt;&gt;"."),1/((1/E4)),IF(AND(C4=".",D4=".",E4="."),"."))))))))</f>
        <v>3.6345199597163131</v>
      </c>
      <c r="G4" s="142">
        <f t="shared" si="1"/>
        <v>1.375</v>
      </c>
      <c r="H4" s="142">
        <f t="shared" si="2"/>
        <v>1.4710247995501936E-4</v>
      </c>
      <c r="I4" s="142">
        <f>IFERROR((s_C*s_EF_rec*(1/365)*s_ED_rec*up_RadSpec!V4*s_ET_rec*(1/24)*up_RadSpec!AA4),".")</f>
        <v>5.5039138943248508E-4</v>
      </c>
      <c r="J4" s="141"/>
      <c r="K4" s="141">
        <f>IFERROR((s_DL/(up_RadSpec!K4*s_EF_rec*(1/365)*s_ED_rec*up_RadSpec!V4*s_ET_rec*(1/24)*up_RadSpec!AA4)),".")</f>
        <v>9084.4444444444489</v>
      </c>
      <c r="L4" s="141">
        <f>IFERROR((s_DL/(up_RadSpec!R4*s_EF_rec*(1/365)*s_ED_rec*up_RadSpec!W4*s_ET_rec*(1/24)*up_RadSpec!AB4)),".")</f>
        <v>14824.615384615392</v>
      </c>
      <c r="M4" s="141">
        <f>IFERROR((s_DL/(up_RadSpec!S4*s_EF_rec*(1/365)*s_ED_rec*up_RadSpec!X4*s_ET_rec*(1/24)*up_RadSpec!AC4)),".")</f>
        <v>10664.347826086954</v>
      </c>
      <c r="N4" s="141">
        <f>IFERROR((s_DL/(up_RadSpec!T4*s_EF_rec*(1/365)*s_ED_rec*up_RadSpec!Y4*s_ET_rec*(1/24)*up_RadSpec!AD4)),".")</f>
        <v>9283.2758224062582</v>
      </c>
      <c r="O4" s="141">
        <f>IFERROR((s_DL/(up_RadSpec!P4*s_EF_rec*(1/365)*s_ED_rec*up_RadSpec!U4*s_ET_rec*(1/24)*up_RadSpec!Z4)),".")</f>
        <v>27377.531206657419</v>
      </c>
      <c r="P4" s="142">
        <f>IFERROR((s_C*s_EF_rec*(1/365)*s_ED_rec*up_RadSpec!V4*s_ET_rec*(1/24)*up_RadSpec!AA4),".")</f>
        <v>5.5039138943248508E-4</v>
      </c>
      <c r="Q4" s="142">
        <f>IFERROR((s_C*s_EF_rec*(1/365)*s_ED_rec*up_RadSpec!W4*s_ET_rec*(1/24)*up_RadSpec!AB4),".")</f>
        <v>3.3727687837276863E-4</v>
      </c>
      <c r="R4" s="142">
        <f>IFERROR((s_C*s_EF_rec*(1/365)*s_ED_rec*up_RadSpec!X4*s_ET_rec*(1/24)*up_RadSpec!AC4),".")</f>
        <v>4.6885192433137652E-4</v>
      </c>
      <c r="S4" s="142">
        <f>IFERROR((s_C*s_EF_rec*(1/365)*s_ED_rec*up_RadSpec!Y4*s_ET_rec*(1/24)*up_RadSpec!AD4),".")</f>
        <v>5.3860297761830175E-4</v>
      </c>
      <c r="T4" s="142">
        <f>IFERROR((s_C*s_EF_rec*(1/365)*s_ED_rec*up_RadSpec!U4*s_ET_rec*(1/24)*up_RadSpec!Z4),".")</f>
        <v>1.8263151495501338E-4</v>
      </c>
      <c r="U4" s="141">
        <f>IFERROR((s_DL/(up_RadSpec!L4*s_IFA_rec_adj)),".")</f>
        <v>0.10971428571428574</v>
      </c>
      <c r="V4" s="141">
        <f>IFERROR((s_DL/(up_RadSpec!O4*s_EF_rec*(1/365)*s_ED_rec*s_ET_rec*(1/24)*s_GSF_a)),".")</f>
        <v>175.20000000000002</v>
      </c>
      <c r="W4" s="141">
        <f t="shared" ref="W4:W16" si="11">IFERROR(IF(AND(U4&lt;&gt;".",V4&lt;&gt;"."),1/((1/U4)+(1/V4)),IF(AND(U4&lt;&gt;".",V4="."),1/((1/U4)),IF(AND(U4=".",V4&lt;&gt;"."),1/((1/V4)),IF(AND(U4=".",V4="."),".")))),".")</f>
        <v>0.10964562309317062</v>
      </c>
      <c r="X4" s="142">
        <f t="shared" si="3"/>
        <v>45.572916666666657</v>
      </c>
      <c r="Y4" s="142">
        <f t="shared" si="4"/>
        <v>2.8538812785388126E-2</v>
      </c>
      <c r="Z4" s="141"/>
      <c r="AA4" s="141">
        <f>IFERROR((s_DL/(up_RadSpec!M4*s_IFW_rec_adj)),".")</f>
        <v>2.5000000000000001E-2</v>
      </c>
      <c r="AB4" s="141">
        <f>IFERROR((s_DL/(up_RadSpec!Q4*(1/8760)*s_DFA_rec_adj)),".")</f>
        <v>438</v>
      </c>
      <c r="AC4" s="141">
        <f t="shared" si="5"/>
        <v>2.4998573140802463E-2</v>
      </c>
      <c r="AD4" s="142">
        <f t="shared" si="6"/>
        <v>200</v>
      </c>
      <c r="AE4" s="142">
        <f t="shared" si="7"/>
        <v>1.1415525114155251E-2</v>
      </c>
      <c r="AF4" s="141"/>
      <c r="AG4" s="141">
        <f>IFERROR(s_DL/(up_RadSpec!J4*s_EF_rec*s_ED_rec*s_IRGL_rec*s_CF_game),".")</f>
        <v>0.2</v>
      </c>
      <c r="AH4" s="141">
        <f>IFERROR((AG4/(up_RadSpec!AM4*((s_Q_p_game*s_f_p_game*s_f_s_game*(up_RadSpec!BG4+s_R_es_past))+(s_Q_s_game*s_f_p_game)))),".")</f>
        <v>8.3333333333333339E-4</v>
      </c>
      <c r="AI4" s="141">
        <f>IFERROR(AG4/(up_RadSpec!AM4*s_Q_w_game*(1/1000)),".")</f>
        <v>20</v>
      </c>
      <c r="AJ4" s="141">
        <f>IFERROR(s_DL/(up_RadSpec!J4*s_EF_rec*s_ED_rec*s_IRGF_rec*s_CF_fowl),".")</f>
        <v>0.2</v>
      </c>
      <c r="AK4" s="141">
        <f>IFERROR((AG4/(up_RadSpec!AO4*((s_Q_p_fowl*s_f_p_fowl*s_f_s_fowl*(up_RadSpec!BG4+s_R_es_past))+(s_Q_s_fowl*s_f_p_fowl)))),".")</f>
        <v>8.3333333333333339E-4</v>
      </c>
      <c r="AL4" s="141">
        <f>IFERROR(AG4/(up_RadSpec!AO4*s_Q_w_fowl*(1/1000)),".")</f>
        <v>20</v>
      </c>
      <c r="AM4" s="142">
        <f t="shared" si="8"/>
        <v>25</v>
      </c>
      <c r="AN4" s="142">
        <f>IFERROR((s_C*s_IRGL_rec*s_EF_rec*s_ED_rec*s_CF_game*up_RadSpec!AM4)*((s_Q_p_game*s_f_p_game*s_f_s_game*(up_RadSpec!BG4+s_R_es_past))+(s_Q_s_game*s_f_p_game)),".")</f>
        <v>6000</v>
      </c>
      <c r="AO4" s="142">
        <f>IFERROR(s_C*up_RadSpec!AM4*s_Q_w_game*(1/1000)*s_EF_rec*s_ED_rec*s_IRGL_rec*s_CF_game,".")</f>
        <v>0.25</v>
      </c>
      <c r="AP4" s="142">
        <f t="shared" si="9"/>
        <v>25</v>
      </c>
      <c r="AQ4" s="142">
        <f>IFERROR((s_C*s_IRGF_rec*s_EF_rec*s_ED_rec*s_CF_fowl*up_RadSpec!AO4)*((s_Q_p_fowl*s_f_p_fowl*s_f_s_fowl*(up_RadSpec!BG4+s_R_es_past))+(s_Q_s_fowl*s_f_p_fowl)),".")</f>
        <v>6000</v>
      </c>
      <c r="AR4" s="142">
        <f>IFERROR(s_C*up_RadSpec!AO4*s_Q_w_fowl*(1/1000)*s_EF_rec*s_ED_rec*s_IRGL_rec*s_CF_fowl,".")</f>
        <v>0.25</v>
      </c>
    </row>
    <row r="5" spans="1:44" customFormat="1" x14ac:dyDescent="0.25">
      <c r="A5" s="128" t="s">
        <v>3</v>
      </c>
      <c r="B5" s="129" t="s">
        <v>1059</v>
      </c>
      <c r="C5" s="141">
        <f>IFERROR(((s_DL/(up_RadSpec!I5*s_IFS_rec_adj*(1/1000)))*1),".")</f>
        <v>3.6363636363636362</v>
      </c>
      <c r="D5" s="141">
        <f>IFERROR(IF(A5="H-3",(s_DL/((up_RadSpec!L5*s_IFA_rec_adj*(1/17)*1000))*1),(s_DL/((up_RadSpec!L5*s_IFA_rec_adj*(1/s_PEF_wind)*1000))*1)),".")</f>
        <v>33989.90962986408</v>
      </c>
      <c r="E5" s="141" t="str">
        <f>IFERROR((s_DL/(up_RadSpec!K5*s_EF_rec*(1/365)*s_ED_rec*up_RadSpec!V5*s_ET_rec*(1/24)*up_RadSpec!AA5)),".")</f>
        <v>.</v>
      </c>
      <c r="F5" s="141">
        <f t="shared" si="10"/>
        <v>3.6359746466272194</v>
      </c>
      <c r="G5" s="142">
        <f t="shared" si="1"/>
        <v>1.375</v>
      </c>
      <c r="H5" s="142">
        <f t="shared" si="2"/>
        <v>1.4710247995501936E-4</v>
      </c>
      <c r="I5" s="142">
        <f>IFERROR((s_C*s_EF_rec*(1/365)*s_ED_rec*up_RadSpec!V5*s_ET_rec*(1/24)*up_RadSpec!AA5),".")</f>
        <v>0</v>
      </c>
      <c r="J5" s="141"/>
      <c r="K5" s="141" t="str">
        <f>IFERROR((s_DL/(up_RadSpec!K5*s_EF_rec*(1/365)*s_ED_rec*up_RadSpec!V5*s_ET_rec*(1/24)*up_RadSpec!AA5)),".")</f>
        <v>.</v>
      </c>
      <c r="L5" s="141" t="str">
        <f>IFERROR((s_DL/(up_RadSpec!R5*s_EF_rec*(1/365)*s_ED_rec*up_RadSpec!W5*s_ET_rec*(1/24)*up_RadSpec!AB5)),".")</f>
        <v>.</v>
      </c>
      <c r="M5" s="141" t="str">
        <f>IFERROR((s_DL/(up_RadSpec!S5*s_EF_rec*(1/365)*s_ED_rec*up_RadSpec!X5*s_ET_rec*(1/24)*up_RadSpec!AC5)),".")</f>
        <v>.</v>
      </c>
      <c r="N5" s="141" t="str">
        <f>IFERROR((s_DL/(up_RadSpec!T5*s_EF_rec*(1/365)*s_ED_rec*up_RadSpec!Y5*s_ET_rec*(1/24)*up_RadSpec!AD5)),".")</f>
        <v>.</v>
      </c>
      <c r="O5" s="141" t="str">
        <f>IFERROR((s_DL/(up_RadSpec!P5*s_EF_rec*(1/365)*s_ED_rec*up_RadSpec!U5*s_ET_rec*(1/24)*up_RadSpec!Z5)),".")</f>
        <v>.</v>
      </c>
      <c r="P5" s="142">
        <f>IFERROR((s_C*s_EF_rec*(1/365)*s_ED_rec*up_RadSpec!V5*s_ET_rec*(1/24)*up_RadSpec!AA5),".")</f>
        <v>0</v>
      </c>
      <c r="Q5" s="142">
        <f>IFERROR((s_C*s_EF_rec*(1/365)*s_ED_rec*up_RadSpec!W5*s_ET_rec*(1/24)*up_RadSpec!AB5),".")</f>
        <v>0</v>
      </c>
      <c r="R5" s="142">
        <f>IFERROR((s_C*s_EF_rec*(1/365)*s_ED_rec*up_RadSpec!X5*s_ET_rec*(1/24)*up_RadSpec!AC5),".")</f>
        <v>0</v>
      </c>
      <c r="S5" s="142">
        <f>IFERROR((s_C*s_EF_rec*(1/365)*s_ED_rec*up_RadSpec!Y5*s_ET_rec*(1/24)*up_RadSpec!AD5),".")</f>
        <v>0</v>
      </c>
      <c r="T5" s="142">
        <f>IFERROR((s_C*s_EF_rec*(1/365)*s_ED_rec*up_RadSpec!U5*s_ET_rec*(1/24)*up_RadSpec!Z5),".")</f>
        <v>0</v>
      </c>
      <c r="U5" s="141">
        <f>IFERROR((s_DL/(up_RadSpec!L5*s_IFA_rec_adj)),".")</f>
        <v>0.10971428571428574</v>
      </c>
      <c r="V5" s="141">
        <f>IFERROR((s_DL/(up_RadSpec!O5*s_EF_rec*(1/365)*s_ED_rec*s_ET_rec*(1/24)*s_GSF_a)),".")</f>
        <v>175.20000000000002</v>
      </c>
      <c r="W5" s="141">
        <f t="shared" si="11"/>
        <v>0.10964562309317062</v>
      </c>
      <c r="X5" s="142">
        <f t="shared" si="3"/>
        <v>45.572916666666657</v>
      </c>
      <c r="Y5" s="142">
        <f t="shared" si="4"/>
        <v>2.8538812785388126E-2</v>
      </c>
      <c r="Z5" s="141"/>
      <c r="AA5" s="141">
        <f>IFERROR((s_DL/(up_RadSpec!M5*s_IFW_rec_adj)),".")</f>
        <v>2.5000000000000001E-2</v>
      </c>
      <c r="AB5" s="141">
        <f>IFERROR((s_DL/(up_RadSpec!Q5*(1/8760)*s_DFA_rec_adj)),".")</f>
        <v>438</v>
      </c>
      <c r="AC5" s="141">
        <f t="shared" si="5"/>
        <v>2.4998573140802463E-2</v>
      </c>
      <c r="AD5" s="142">
        <f t="shared" si="6"/>
        <v>200</v>
      </c>
      <c r="AE5" s="142">
        <f t="shared" si="7"/>
        <v>1.1415525114155251E-2</v>
      </c>
      <c r="AF5" s="141"/>
      <c r="AG5" s="141">
        <f>IFERROR(s_DL/(up_RadSpec!J5*s_EF_rec*s_ED_rec*s_IRGL_rec*s_CF_game),".")</f>
        <v>0.2</v>
      </c>
      <c r="AH5" s="141">
        <f>IFERROR((AG5/(up_RadSpec!AM5*((s_Q_p_game*s_f_p_game*s_f_s_game*(up_RadSpec!BG5+s_R_es_past))+(s_Q_s_game*s_f_p_game)))),".")</f>
        <v>8.3333333333333339E-4</v>
      </c>
      <c r="AI5" s="141">
        <f>IFERROR(AG5/(up_RadSpec!AM5*s_Q_w_game*(1/1000)),".")</f>
        <v>20</v>
      </c>
      <c r="AJ5" s="141">
        <f>IFERROR(s_DL/(up_RadSpec!J5*s_EF_rec*s_ED_rec*s_IRGF_rec*s_CF_fowl),".")</f>
        <v>0.2</v>
      </c>
      <c r="AK5" s="141">
        <f>IFERROR((AG5/(up_RadSpec!AO5*((s_Q_p_fowl*s_f_p_fowl*s_f_s_fowl*(up_RadSpec!BG5+s_R_es_past))+(s_Q_s_fowl*s_f_p_fowl)))),".")</f>
        <v>8.3333333333333339E-4</v>
      </c>
      <c r="AL5" s="141">
        <f>IFERROR(AG5/(up_RadSpec!AO5*s_Q_w_fowl*(1/1000)),".")</f>
        <v>20</v>
      </c>
      <c r="AM5" s="142">
        <f t="shared" si="8"/>
        <v>25</v>
      </c>
      <c r="AN5" s="142">
        <f>IFERROR((s_C*s_IRGL_rec*s_EF_rec*s_ED_rec*s_CF_game*up_RadSpec!AM5)*((s_Q_p_game*s_f_p_game*s_f_s_game*(up_RadSpec!BG5+s_R_es_past))+(s_Q_s_game*s_f_p_game)),".")</f>
        <v>6000</v>
      </c>
      <c r="AO5" s="142">
        <f>IFERROR(s_C*up_RadSpec!AM5*s_Q_w_game*(1/1000)*s_EF_rec*s_ED_rec*s_IRGL_rec*s_CF_game,".")</f>
        <v>0.25</v>
      </c>
      <c r="AP5" s="142">
        <f t="shared" si="9"/>
        <v>25</v>
      </c>
      <c r="AQ5" s="142">
        <f>IFERROR((s_C*s_IRGF_rec*s_EF_rec*s_ED_rec*s_CF_fowl*up_RadSpec!AO5)*((s_Q_p_fowl*s_f_p_fowl*s_f_s_fowl*(up_RadSpec!BG5+s_R_es_past))+(s_Q_s_fowl*s_f_p_fowl)),".")</f>
        <v>6000</v>
      </c>
      <c r="AR5" s="142">
        <f>IFERROR(s_C*up_RadSpec!AO5*s_Q_w_fowl*(1/1000)*s_EF_rec*s_ED_rec*s_IRGL_rec*s_CF_fowl,".")</f>
        <v>0.25</v>
      </c>
    </row>
    <row r="6" spans="1:44" customFormat="1" x14ac:dyDescent="0.25">
      <c r="A6" s="128" t="s">
        <v>4</v>
      </c>
      <c r="B6" s="129" t="s">
        <v>1059</v>
      </c>
      <c r="C6" s="141">
        <f>IFERROR(((s_DL/(up_RadSpec!I6*s_IFS_rec_adj*(1/1000)))*1),".")</f>
        <v>3.6363636363636362</v>
      </c>
      <c r="D6" s="141">
        <f>IFERROR(IF(A6="H-3",(s_DL/((up_RadSpec!L6*s_IFA_rec_adj*(1/17)*1000))*1),(s_DL/((up_RadSpec!L6*s_IFA_rec_adj*(1/s_PEF_wind)*1000))*1)),".")</f>
        <v>33989.90962986408</v>
      </c>
      <c r="E6" s="141">
        <f>IFERROR((s_DL/(up_RadSpec!K6*s_EF_rec*(1/365)*s_ED_rec*up_RadSpec!V6*s_ET_rec*(1/24)*up_RadSpec!AA6)),".")</f>
        <v>4669.1402203597308</v>
      </c>
      <c r="F6" s="141">
        <f>IF(AND(C6&lt;&gt;".",D6&lt;&gt;".",E6&lt;&gt;"."),1/((1/C6)+(1/D6)+(1/E6)),IF(AND(C6&lt;&gt;".",D6&lt;&gt;".",E6="."), 1/((1/C6)+(1/D6)),IF(AND(C6&lt;&gt;".",D6=".",E6&lt;&gt;"."),1/((1/C6)+(1/E6)),IF(AND(C6=".",D6&lt;&gt;".",E6&lt;&gt;"."),1/((1/D6)+(1/E6)),IF(AND(C6&lt;&gt;".",D6=".",E6="."),1/((1/C6)),IF(AND(C6=".",D6&lt;&gt;".",E6="."),1/((1/D6)),IF(AND(C6=".",D6=".",E6&lt;&gt;"."),1/((1/E6)),IF(AND(C6=".",D6=".",E6="."),"."))))))))</f>
        <v>3.6331454266776224</v>
      </c>
      <c r="G6" s="142">
        <f t="shared" si="1"/>
        <v>1.375</v>
      </c>
      <c r="H6" s="142">
        <f t="shared" si="2"/>
        <v>1.4710247995501936E-4</v>
      </c>
      <c r="I6" s="142">
        <f>IFERROR((s_C*s_EF_rec*(1/365)*s_ED_rec*up_RadSpec!V6*s_ET_rec*(1/24)*up_RadSpec!AA6),".")</f>
        <v>1.0708609645513662E-3</v>
      </c>
      <c r="J6" s="141"/>
      <c r="K6" s="141">
        <f>IFERROR((s_DL/(up_RadSpec!K6*s_EF_rec*(1/365)*s_ED_rec*up_RadSpec!V6*s_ET_rec*(1/24)*up_RadSpec!AA6)),".")</f>
        <v>4669.1402203597308</v>
      </c>
      <c r="L6" s="141">
        <f>IFERROR((s_DL/(up_RadSpec!R6*s_EF_rec*(1/365)*s_ED_rec*up_RadSpec!W6*s_ET_rec*(1/24)*up_RadSpec!AB6)),".")</f>
        <v>8716.5090148941727</v>
      </c>
      <c r="M6" s="141">
        <f>IFERROR((s_DL/(up_RadSpec!S6*s_EF_rec*(1/365)*s_ED_rec*up_RadSpec!X6*s_ET_rec*(1/24)*up_RadSpec!AC6)),".")</f>
        <v>6159.6230518303755</v>
      </c>
      <c r="N6" s="141">
        <f>IFERROR((s_DL/(up_RadSpec!T6*s_EF_rec*(1/365)*s_ED_rec*up_RadSpec!Y6*s_ET_rec*(1/24)*up_RadSpec!AD6)),".")</f>
        <v>5093.7777777777765</v>
      </c>
      <c r="O6" s="141">
        <f>IFERROR((s_DL/(up_RadSpec!P6*s_EF_rec*(1/365)*s_ED_rec*up_RadSpec!U6*s_ET_rec*(1/24)*up_RadSpec!Z6)),".")</f>
        <v>14641.595441595447</v>
      </c>
      <c r="P6" s="142">
        <f>IFERROR((s_C*s_EF_rec*(1/365)*s_ED_rec*up_RadSpec!V6*s_ET_rec*(1/24)*up_RadSpec!AA6),".")</f>
        <v>1.0708609645513662E-3</v>
      </c>
      <c r="Q6" s="142">
        <f>IFERROR((s_C*s_EF_rec*(1/365)*s_ED_rec*up_RadSpec!W6*s_ET_rec*(1/24)*up_RadSpec!AB6),".")</f>
        <v>5.7362414143739685E-4</v>
      </c>
      <c r="R6" s="142">
        <f>IFERROR((s_C*s_EF_rec*(1/365)*s_ED_rec*up_RadSpec!X6*s_ET_rec*(1/24)*up_RadSpec!AC6),".")</f>
        <v>8.1173798427717342E-4</v>
      </c>
      <c r="S6" s="142">
        <f>IFERROR((s_C*s_EF_rec*(1/365)*s_ED_rec*up_RadSpec!Y6*s_ET_rec*(1/24)*up_RadSpec!AD6),".")</f>
        <v>9.8158973911526069E-4</v>
      </c>
      <c r="T6" s="142">
        <f>IFERROR((s_C*s_EF_rec*(1/365)*s_ED_rec*up_RadSpec!U6*s_ET_rec*(1/24)*up_RadSpec!Z6),".")</f>
        <v>3.4149283935242826E-4</v>
      </c>
      <c r="U6" s="141">
        <f>IFERROR((s_DL/(up_RadSpec!L6*s_IFA_rec_adj)),".")</f>
        <v>0.10971428571428574</v>
      </c>
      <c r="V6" s="141">
        <f>IFERROR((s_DL/(up_RadSpec!O6*s_EF_rec*(1/365)*s_ED_rec*s_ET_rec*(1/24)*s_GSF_a)),".")</f>
        <v>175.20000000000002</v>
      </c>
      <c r="W6" s="141">
        <f t="shared" si="11"/>
        <v>0.10964562309317062</v>
      </c>
      <c r="X6" s="142">
        <f t="shared" si="3"/>
        <v>45.572916666666657</v>
      </c>
      <c r="Y6" s="142">
        <f t="shared" si="4"/>
        <v>2.8538812785388126E-2</v>
      </c>
      <c r="Z6" s="141"/>
      <c r="AA6" s="141">
        <f>IFERROR((s_DL/(up_RadSpec!M6*s_IFW_rec_adj)),".")</f>
        <v>2.5000000000000001E-2</v>
      </c>
      <c r="AB6" s="141">
        <f>IFERROR((s_DL/(up_RadSpec!Q6*(1/8760)*s_DFA_rec_adj)),".")</f>
        <v>438</v>
      </c>
      <c r="AC6" s="141">
        <f t="shared" si="5"/>
        <v>2.4998573140802463E-2</v>
      </c>
      <c r="AD6" s="142">
        <f t="shared" si="6"/>
        <v>200</v>
      </c>
      <c r="AE6" s="142">
        <f t="shared" si="7"/>
        <v>1.1415525114155251E-2</v>
      </c>
      <c r="AF6" s="141"/>
      <c r="AG6" s="141">
        <f>IFERROR(s_DL/(up_RadSpec!J6*s_EF_rec*s_ED_rec*s_IRGL_rec*s_CF_game),".")</f>
        <v>0.2</v>
      </c>
      <c r="AH6" s="141">
        <f>IFERROR((AG6/(up_RadSpec!AM6*((s_Q_p_game*s_f_p_game*s_f_s_game*(up_RadSpec!BG6+s_R_es_past))+(s_Q_s_game*s_f_p_game)))),".")</f>
        <v>8.3333333333333339E-4</v>
      </c>
      <c r="AI6" s="141">
        <f>IFERROR(AG6/(up_RadSpec!AM6*s_Q_w_game*(1/1000)),".")</f>
        <v>20</v>
      </c>
      <c r="AJ6" s="141">
        <f>IFERROR(s_DL/(up_RadSpec!J6*s_EF_rec*s_ED_rec*s_IRGF_rec*s_CF_fowl),".")</f>
        <v>0.2</v>
      </c>
      <c r="AK6" s="141">
        <f>IFERROR((AG6/(up_RadSpec!AO6*((s_Q_p_fowl*s_f_p_fowl*s_f_s_fowl*(up_RadSpec!BG6+s_R_es_past))+(s_Q_s_fowl*s_f_p_fowl)))),".")</f>
        <v>8.3333333333333339E-4</v>
      </c>
      <c r="AL6" s="141">
        <f>IFERROR(AG6/(up_RadSpec!AO6*s_Q_w_fowl*(1/1000)),".")</f>
        <v>20</v>
      </c>
      <c r="AM6" s="142">
        <f t="shared" si="8"/>
        <v>25</v>
      </c>
      <c r="AN6" s="142">
        <f>IFERROR((s_C*s_IRGL_rec*s_EF_rec*s_ED_rec*s_CF_game*up_RadSpec!AM6)*((s_Q_p_game*s_f_p_game*s_f_s_game*(up_RadSpec!BG6+s_R_es_past))+(s_Q_s_game*s_f_p_game)),".")</f>
        <v>6000</v>
      </c>
      <c r="AO6" s="142">
        <f>IFERROR(s_C*up_RadSpec!AM6*s_Q_w_game*(1/1000)*s_EF_rec*s_ED_rec*s_IRGL_rec*s_CF_game,".")</f>
        <v>0.25</v>
      </c>
      <c r="AP6" s="142">
        <f t="shared" si="9"/>
        <v>25</v>
      </c>
      <c r="AQ6" s="142">
        <f>IFERROR((s_C*s_IRGF_rec*s_EF_rec*s_ED_rec*s_CF_fowl*up_RadSpec!AO6)*((s_Q_p_fowl*s_f_p_fowl*s_f_s_fowl*(up_RadSpec!BG6+s_R_es_past))+(s_Q_s_fowl*s_f_p_fowl)),".")</f>
        <v>6000</v>
      </c>
      <c r="AR6" s="142">
        <f>IFERROR(s_C*up_RadSpec!AO6*s_Q_w_fowl*(1/1000)*s_EF_rec*s_ED_rec*s_IRGL_rec*s_CF_fowl,".")</f>
        <v>0.25</v>
      </c>
    </row>
    <row r="7" spans="1:44" customFormat="1" x14ac:dyDescent="0.25">
      <c r="A7" s="128" t="s">
        <v>5</v>
      </c>
      <c r="B7" s="129" t="s">
        <v>1059</v>
      </c>
      <c r="C7" s="141">
        <f>IFERROR(((s_DL/(up_RadSpec!I7*s_IFS_rec_adj*(1/1000)))*1),".")</f>
        <v>3.6363636363636362</v>
      </c>
      <c r="D7" s="141">
        <f>IFERROR(IF(A7="H-3",(s_DL/((up_RadSpec!L7*s_IFA_rec_adj*(1/17)*1000))*1),(s_DL/((up_RadSpec!L7*s_IFA_rec_adj*(1/s_PEF_wind)*1000))*1)),".")</f>
        <v>33989.90962986408</v>
      </c>
      <c r="E7" s="141">
        <f>IFERROR((s_DL/(up_RadSpec!K7*s_EF_rec*(1/365)*s_ED_rec*up_RadSpec!V7*s_ET_rec*(1/24)*up_RadSpec!AA7)),".")</f>
        <v>10102.773722627735</v>
      </c>
      <c r="F7" s="141">
        <f>IF(AND(C7&lt;&gt;".",D7&lt;&gt;".",E7&lt;&gt;"."),1/((1/C7)+(1/D7)+(1/E7)),IF(AND(C7&lt;&gt;".",D7&lt;&gt;".",E7="."), 1/((1/C7)+(1/D7)),IF(AND(C7&lt;&gt;".",D7=".",E7&lt;&gt;"."),1/((1/C7)+(1/E7)),IF(AND(C7=".",D7&lt;&gt;".",E7&lt;&gt;"."),1/((1/D7)+(1/E7)),IF(AND(C7&lt;&gt;".",D7=".",E7="."),1/((1/C7)),IF(AND(C7=".",D7&lt;&gt;".",E7="."),1/((1/D7)),IF(AND(C7=".",D7=".",E7&lt;&gt;"."),1/((1/E7)),IF(AND(C7=".",D7=".",E7="."),"."))))))))</f>
        <v>3.6346665350399281</v>
      </c>
      <c r="G7" s="142">
        <f t="shared" si="1"/>
        <v>1.375</v>
      </c>
      <c r="H7" s="142">
        <f t="shared" si="2"/>
        <v>1.4710247995501936E-4</v>
      </c>
      <c r="I7" s="142">
        <f>IFERROR((s_C*s_EF_rec*(1/365)*s_ED_rec*up_RadSpec!V7*s_ET_rec*(1/24)*up_RadSpec!AA7),".")</f>
        <v>4.9491358880989552E-4</v>
      </c>
      <c r="J7" s="141"/>
      <c r="K7" s="141">
        <f>IFERROR((s_DL/(up_RadSpec!K7*s_EF_rec*(1/365)*s_ED_rec*up_RadSpec!V7*s_ET_rec*(1/24)*up_RadSpec!AA7)),".")</f>
        <v>10102.773722627735</v>
      </c>
      <c r="L7" s="141">
        <f>IFERROR((s_DL/(up_RadSpec!R7*s_EF_rec*(1/365)*s_ED_rec*up_RadSpec!W7*s_ET_rec*(1/24)*up_RadSpec!AB7)),".")</f>
        <v>16072.268907563037</v>
      </c>
      <c r="M7" s="141">
        <f>IFERROR((s_DL/(up_RadSpec!S7*s_EF_rec*(1/365)*s_ED_rec*up_RadSpec!X7*s_ET_rec*(1/24)*up_RadSpec!AC7)),".")</f>
        <v>11775.000000000002</v>
      </c>
      <c r="N7" s="141">
        <f>IFERROR((s_DL/(up_RadSpec!T7*s_EF_rec*(1/365)*s_ED_rec*up_RadSpec!Y7*s_ET_rec*(1/24)*up_RadSpec!AD7)),".")</f>
        <v>10831.849564583837</v>
      </c>
      <c r="O7" s="141">
        <f>IFERROR((s_DL/(up_RadSpec!P7*s_EF_rec*(1/365)*s_ED_rec*up_RadSpec!U7*s_ET_rec*(1/24)*up_RadSpec!Z7)),".")</f>
        <v>27504.66004583651</v>
      </c>
      <c r="P7" s="142">
        <f>IFERROR((s_C*s_EF_rec*(1/365)*s_ED_rec*up_RadSpec!V7*s_ET_rec*(1/24)*up_RadSpec!AA7),".")</f>
        <v>4.9491358880989552E-4</v>
      </c>
      <c r="Q7" s="142">
        <f>IFERROR((s_C*s_EF_rec*(1/365)*s_ED_rec*up_RadSpec!W7*s_ET_rec*(1/24)*up_RadSpec!AB7),".")</f>
        <v>3.1109484471400164E-4</v>
      </c>
      <c r="R7" s="142">
        <f>IFERROR((s_C*s_EF_rec*(1/365)*s_ED_rec*up_RadSpec!X7*s_ET_rec*(1/24)*up_RadSpec!AC7),".")</f>
        <v>4.2462845010615702E-4</v>
      </c>
      <c r="S7" s="142">
        <f>IFERROR((s_C*s_EF_rec*(1/365)*s_ED_rec*up_RadSpec!Y7*s_ET_rec*(1/24)*up_RadSpec!AD7),".")</f>
        <v>4.6160168401416509E-4</v>
      </c>
      <c r="T7" s="142">
        <f>IFERROR((s_C*s_EF_rec*(1/365)*s_ED_rec*up_RadSpec!U7*s_ET_rec*(1/24)*up_RadSpec!Z7),".")</f>
        <v>1.8178737681787382E-4</v>
      </c>
      <c r="U7" s="141">
        <f>IFERROR((s_DL/(up_RadSpec!L7*s_IFA_rec_adj)),".")</f>
        <v>0.10971428571428574</v>
      </c>
      <c r="V7" s="141">
        <f>IFERROR((s_DL/(up_RadSpec!O7*s_EF_rec*(1/365)*s_ED_rec*s_ET_rec*(1/24)*s_GSF_a)),".")</f>
        <v>175.20000000000002</v>
      </c>
      <c r="W7" s="141">
        <f t="shared" si="11"/>
        <v>0.10964562309317062</v>
      </c>
      <c r="X7" s="142">
        <f t="shared" si="3"/>
        <v>45.572916666666657</v>
      </c>
      <c r="Y7" s="142">
        <f t="shared" si="4"/>
        <v>2.8538812785388126E-2</v>
      </c>
      <c r="Z7" s="141"/>
      <c r="AA7" s="141">
        <f>IFERROR((s_DL/(up_RadSpec!M7*s_IFW_rec_adj)),".")</f>
        <v>2.5000000000000001E-2</v>
      </c>
      <c r="AB7" s="141">
        <f>IFERROR((s_DL/(up_RadSpec!Q7*(1/8760)*s_DFA_rec_adj)),".")</f>
        <v>438</v>
      </c>
      <c r="AC7" s="141">
        <f t="shared" si="5"/>
        <v>2.4998573140802463E-2</v>
      </c>
      <c r="AD7" s="142">
        <f t="shared" si="6"/>
        <v>200</v>
      </c>
      <c r="AE7" s="142">
        <f t="shared" si="7"/>
        <v>1.1415525114155251E-2</v>
      </c>
      <c r="AF7" s="141"/>
      <c r="AG7" s="141">
        <f>IFERROR(s_DL/(up_RadSpec!J7*s_EF_rec*s_ED_rec*s_IRGL_rec*s_CF_game),".")</f>
        <v>0.2</v>
      </c>
      <c r="AH7" s="141">
        <f>IFERROR((AG7/(up_RadSpec!AM7*((s_Q_p_game*s_f_p_game*s_f_s_game*(up_RadSpec!BG7+s_R_es_past))+(s_Q_s_game*s_f_p_game)))),".")</f>
        <v>8.3333333333333339E-4</v>
      </c>
      <c r="AI7" s="141">
        <f>IFERROR(AG7/(up_RadSpec!AM7*s_Q_w_game*(1/1000)),".")</f>
        <v>20</v>
      </c>
      <c r="AJ7" s="141">
        <f>IFERROR(s_DL/(up_RadSpec!J7*s_EF_rec*s_ED_rec*s_IRGF_rec*s_CF_fowl),".")</f>
        <v>0.2</v>
      </c>
      <c r="AK7" s="141">
        <f>IFERROR((AG7/(up_RadSpec!AO7*((s_Q_p_fowl*s_f_p_fowl*s_f_s_fowl*(up_RadSpec!BG7+s_R_es_past))+(s_Q_s_fowl*s_f_p_fowl)))),".")</f>
        <v>8.3333333333333339E-4</v>
      </c>
      <c r="AL7" s="141">
        <f>IFERROR(AG7/(up_RadSpec!AO7*s_Q_w_fowl*(1/1000)),".")</f>
        <v>20</v>
      </c>
      <c r="AM7" s="142">
        <f t="shared" si="8"/>
        <v>25</v>
      </c>
      <c r="AN7" s="142">
        <f>IFERROR((s_C*s_IRGL_rec*s_EF_rec*s_ED_rec*s_CF_game*up_RadSpec!AM7)*((s_Q_p_game*s_f_p_game*s_f_s_game*(up_RadSpec!BG7+s_R_es_past))+(s_Q_s_game*s_f_p_game)),".")</f>
        <v>6000</v>
      </c>
      <c r="AO7" s="142">
        <f>IFERROR(s_C*up_RadSpec!AM7*s_Q_w_game*(1/1000)*s_EF_rec*s_ED_rec*s_IRGL_rec*s_CF_game,".")</f>
        <v>0.25</v>
      </c>
      <c r="AP7" s="142">
        <f t="shared" si="9"/>
        <v>25</v>
      </c>
      <c r="AQ7" s="142">
        <f>IFERROR((s_C*s_IRGF_rec*s_EF_rec*s_ED_rec*s_CF_fowl*up_RadSpec!AO7)*((s_Q_p_fowl*s_f_p_fowl*s_f_s_fowl*(up_RadSpec!BG7+s_R_es_past))+(s_Q_s_fowl*s_f_p_fowl)),".")</f>
        <v>6000</v>
      </c>
      <c r="AR7" s="142">
        <f>IFERROR(s_C*up_RadSpec!AO7*s_Q_w_fowl*(1/1000)*s_EF_rec*s_ED_rec*s_IRGL_rec*s_CF_fowl,".")</f>
        <v>0.25</v>
      </c>
    </row>
    <row r="8" spans="1:44" customFormat="1" x14ac:dyDescent="0.25">
      <c r="A8" s="128" t="s">
        <v>6</v>
      </c>
      <c r="B8" s="129" t="s">
        <v>1059</v>
      </c>
      <c r="C8" s="141">
        <f>IFERROR(((s_DL/(up_RadSpec!I8*s_IFS_rec_adj*(1/1000)))*1),".")</f>
        <v>3.6363636363636362</v>
      </c>
      <c r="D8" s="141">
        <f>IFERROR(IF(A8="H-3",(s_DL/((up_RadSpec!L8*s_IFA_rec_adj*(1/17)*1000))*1),(s_DL/((up_RadSpec!L8*s_IFA_rec_adj*(1/s_PEF_wind)*1000))*1)),".")</f>
        <v>33989.90962986408</v>
      </c>
      <c r="E8" s="141">
        <f>IFERROR((s_DL/(up_RadSpec!K8*s_EF_rec*(1/365)*s_ED_rec*up_RadSpec!V8*s_ET_rec*(1/24)*up_RadSpec!AA8)),".")</f>
        <v>5807.7348066298373</v>
      </c>
      <c r="F8" s="141">
        <f t="shared" ref="F8:F9" si="12">IF(AND(C8&lt;&gt;".",D8&lt;&gt;".",E8&lt;&gt;"."),1/((1/C8)+(1/D8)+(1/E8)),IF(AND(C8&lt;&gt;".",D8&lt;&gt;".",E8="."), 1/((1/C8)+(1/D8)),IF(AND(C8&lt;&gt;".",D8=".",E8&lt;&gt;"."),1/((1/C8)+(1/E8)),IF(AND(C8=".",D8&lt;&gt;".",E8&lt;&gt;"."),1/((1/D8)+(1/E8)),IF(AND(C8&lt;&gt;".",D8=".",E8="."),1/((1/C8)),IF(AND(C8=".",D8&lt;&gt;".",E8="."),1/((1/D8)),IF(AND(C8=".",D8=".",E8&lt;&gt;"."),1/((1/E8)),IF(AND(C8=".",D8=".",E8="."),"."))))))))</f>
        <v>3.6336997424559851</v>
      </c>
      <c r="G8" s="142">
        <f t="shared" si="1"/>
        <v>1.375</v>
      </c>
      <c r="H8" s="142">
        <f t="shared" si="2"/>
        <v>1.4710247995501936E-4</v>
      </c>
      <c r="I8" s="142">
        <f>IFERROR((s_C*s_EF_rec*(1/365)*s_ED_rec*up_RadSpec!V8*s_ET_rec*(1/24)*up_RadSpec!AA8),".")</f>
        <v>8.6092085235920811E-4</v>
      </c>
      <c r="J8" s="141"/>
      <c r="K8" s="141">
        <f>IFERROR((s_DL/(up_RadSpec!K8*s_EF_rec*(1/365)*s_ED_rec*up_RadSpec!V8*s_ET_rec*(1/24)*up_RadSpec!AA8)),".")</f>
        <v>5807.7348066298373</v>
      </c>
      <c r="L8" s="141">
        <f>IFERROR((s_DL/(up_RadSpec!R8*s_EF_rec*(1/365)*s_ED_rec*up_RadSpec!W8*s_ET_rec*(1/24)*up_RadSpec!AB8)),".")</f>
        <v>10661.257606490875</v>
      </c>
      <c r="M8" s="141">
        <f>IFERROR((s_DL/(up_RadSpec!S8*s_EF_rec*(1/365)*s_ED_rec*up_RadSpec!X8*s_ET_rec*(1/24)*up_RadSpec!AC8)),".")</f>
        <v>7781.7258883248751</v>
      </c>
      <c r="N8" s="141">
        <f>IFERROR((s_DL/(up_RadSpec!T8*s_EF_rec*(1/365)*s_ED_rec*up_RadSpec!Y8*s_ET_rec*(1/24)*up_RadSpec!AD8)),".")</f>
        <v>7134.6142816174379</v>
      </c>
      <c r="O8" s="141">
        <f>IFERROR((s_DL/(up_RadSpec!P8*s_EF_rec*(1/365)*s_ED_rec*up_RadSpec!U8*s_ET_rec*(1/24)*up_RadSpec!Z8)),".")</f>
        <v>19754.093959731545</v>
      </c>
      <c r="P8" s="142">
        <f>IFERROR((s_C*s_EF_rec*(1/365)*s_ED_rec*up_RadSpec!V8*s_ET_rec*(1/24)*up_RadSpec!AA8),".")</f>
        <v>8.6092085235920811E-4</v>
      </c>
      <c r="Q8" s="142">
        <f>IFERROR((s_C*s_EF_rec*(1/365)*s_ED_rec*up_RadSpec!W8*s_ET_rec*(1/24)*up_RadSpec!AB8),".")</f>
        <v>4.6898782343987811E-4</v>
      </c>
      <c r="R8" s="142">
        <f>IFERROR((s_C*s_EF_rec*(1/365)*s_ED_rec*up_RadSpec!X8*s_ET_rec*(1/24)*up_RadSpec!AC8),".")</f>
        <v>6.4253098499673824E-4</v>
      </c>
      <c r="S8" s="142">
        <f>IFERROR((s_C*s_EF_rec*(1/365)*s_ED_rec*up_RadSpec!Y8*s_ET_rec*(1/24)*up_RadSpec!AD8),".")</f>
        <v>7.0080873368062236E-4</v>
      </c>
      <c r="T8" s="142">
        <f>IFERROR((s_C*s_EF_rec*(1/365)*s_ED_rec*up_RadSpec!U8*s_ET_rec*(1/24)*up_RadSpec!Z8),".")</f>
        <v>2.5311208958469231E-4</v>
      </c>
      <c r="U8" s="141">
        <f>IFERROR((s_DL/(up_RadSpec!L8*s_IFA_rec_adj)),".")</f>
        <v>0.10971428571428574</v>
      </c>
      <c r="V8" s="141">
        <f>IFERROR((s_DL/(up_RadSpec!O8*s_EF_rec*(1/365)*s_ED_rec*s_ET_rec*(1/24)*s_GSF_a)),".")</f>
        <v>175.20000000000002</v>
      </c>
      <c r="W8" s="141">
        <f t="shared" si="11"/>
        <v>0.10964562309317062</v>
      </c>
      <c r="X8" s="142">
        <f t="shared" si="3"/>
        <v>45.572916666666657</v>
      </c>
      <c r="Y8" s="142">
        <f t="shared" si="4"/>
        <v>2.8538812785388126E-2</v>
      </c>
      <c r="Z8" s="141"/>
      <c r="AA8" s="141">
        <f>IFERROR((s_DL/(up_RadSpec!M8*s_IFW_rec_adj)),".")</f>
        <v>2.5000000000000001E-2</v>
      </c>
      <c r="AB8" s="141">
        <f>IFERROR((s_DL/(up_RadSpec!Q8*(1/8760)*s_DFA_rec_adj)),".")</f>
        <v>438</v>
      </c>
      <c r="AC8" s="141">
        <f t="shared" si="5"/>
        <v>2.4998573140802463E-2</v>
      </c>
      <c r="AD8" s="142">
        <f t="shared" si="6"/>
        <v>200</v>
      </c>
      <c r="AE8" s="142">
        <f t="shared" si="7"/>
        <v>1.1415525114155251E-2</v>
      </c>
      <c r="AF8" s="141"/>
      <c r="AG8" s="141">
        <f>IFERROR(s_DL/(up_RadSpec!J8*s_EF_rec*s_ED_rec*s_IRGL_rec*s_CF_game),".")</f>
        <v>0.2</v>
      </c>
      <c r="AH8" s="141">
        <f>IFERROR((AG8/(up_RadSpec!AM8*((s_Q_p_game*s_f_p_game*s_f_s_game*(up_RadSpec!BG8+s_R_es_past))+(s_Q_s_game*s_f_p_game)))),".")</f>
        <v>8.3333333333333339E-4</v>
      </c>
      <c r="AI8" s="141">
        <f>IFERROR(AG8/(up_RadSpec!AM8*s_Q_w_game*(1/1000)),".")</f>
        <v>20</v>
      </c>
      <c r="AJ8" s="141">
        <f>IFERROR(s_DL/(up_RadSpec!J8*s_EF_rec*s_ED_rec*s_IRGF_rec*s_CF_fowl),".")</f>
        <v>0.2</v>
      </c>
      <c r="AK8" s="141">
        <f>IFERROR((AG8/(up_RadSpec!AO8*((s_Q_p_fowl*s_f_p_fowl*s_f_s_fowl*(up_RadSpec!BG8+s_R_es_past))+(s_Q_s_fowl*s_f_p_fowl)))),".")</f>
        <v>8.3333333333333339E-4</v>
      </c>
      <c r="AL8" s="141">
        <f>IFERROR(AG8/(up_RadSpec!AO8*s_Q_w_fowl*(1/1000)),".")</f>
        <v>20</v>
      </c>
      <c r="AM8" s="142">
        <f t="shared" si="8"/>
        <v>25</v>
      </c>
      <c r="AN8" s="142">
        <f>IFERROR((s_C*s_IRGL_rec*s_EF_rec*s_ED_rec*s_CF_game*up_RadSpec!AM8)*((s_Q_p_game*s_f_p_game*s_f_s_game*(up_RadSpec!BG8+s_R_es_past))+(s_Q_s_game*s_f_p_game)),".")</f>
        <v>6000</v>
      </c>
      <c r="AO8" s="142">
        <f>IFERROR(s_C*up_RadSpec!AM8*s_Q_w_game*(1/1000)*s_EF_rec*s_ED_rec*s_IRGL_rec*s_CF_game,".")</f>
        <v>0.25</v>
      </c>
      <c r="AP8" s="142">
        <f t="shared" si="9"/>
        <v>25</v>
      </c>
      <c r="AQ8" s="142">
        <f>IFERROR((s_C*s_IRGF_rec*s_EF_rec*s_ED_rec*s_CF_fowl*up_RadSpec!AO8)*((s_Q_p_fowl*s_f_p_fowl*s_f_s_fowl*(up_RadSpec!BG8+s_R_es_past))+(s_Q_s_fowl*s_f_p_fowl)),".")</f>
        <v>6000</v>
      </c>
      <c r="AR8" s="142">
        <f>IFERROR(s_C*up_RadSpec!AO8*s_Q_w_fowl*(1/1000)*s_EF_rec*s_ED_rec*s_IRGL_rec*s_CF_fowl,".")</f>
        <v>0.25</v>
      </c>
    </row>
    <row r="9" spans="1:44" customFormat="1" x14ac:dyDescent="0.25">
      <c r="A9" s="128" t="s">
        <v>7</v>
      </c>
      <c r="B9" s="129" t="s">
        <v>1059</v>
      </c>
      <c r="C9" s="141">
        <f>IFERROR(((s_DL/(up_RadSpec!I9*s_IFS_rec_adj*(1/1000)))*1),".")</f>
        <v>3.6363636363636362</v>
      </c>
      <c r="D9" s="141">
        <f>IFERROR(IF(A9="H-3",(s_DL/((up_RadSpec!L9*s_IFA_rec_adj*(1/17)*1000))*1),(s_DL/((up_RadSpec!L9*s_IFA_rec_adj*(1/s_PEF_wind)*1000))*1)),".")</f>
        <v>33989.90962986408</v>
      </c>
      <c r="E9" s="141">
        <f>IFERROR((s_DL/(up_RadSpec!K9*s_EF_rec*(1/365)*s_ED_rec*up_RadSpec!V9*s_ET_rec*(1/24)*up_RadSpec!AA9)),".")</f>
        <v>2860.2399435426951</v>
      </c>
      <c r="F9" s="141">
        <f t="shared" si="12"/>
        <v>3.6313584160332364</v>
      </c>
      <c r="G9" s="142">
        <f t="shared" si="1"/>
        <v>1.375</v>
      </c>
      <c r="H9" s="142">
        <f t="shared" si="2"/>
        <v>1.4710247995501936E-4</v>
      </c>
      <c r="I9" s="142">
        <f>IFERROR((s_C*s_EF_rec*(1/365)*s_ED_rec*up_RadSpec!V9*s_ET_rec*(1/24)*up_RadSpec!AA9),".")</f>
        <v>1.7481050886265844E-3</v>
      </c>
      <c r="J9" s="141"/>
      <c r="K9" s="141">
        <f>IFERROR((s_DL/(up_RadSpec!K9*s_EF_rec*(1/365)*s_ED_rec*up_RadSpec!V9*s_ET_rec*(1/24)*up_RadSpec!AA9)),".")</f>
        <v>2860.2399435426951</v>
      </c>
      <c r="L9" s="141">
        <f>IFERROR((s_DL/(up_RadSpec!R9*s_EF_rec*(1/365)*s_ED_rec*up_RadSpec!W9*s_ET_rec*(1/24)*up_RadSpec!AB9)),".")</f>
        <v>5858.2500000000027</v>
      </c>
      <c r="M9" s="141">
        <f>IFERROR((s_DL/(up_RadSpec!S9*s_EF_rec*(1/365)*s_ED_rec*up_RadSpec!X9*s_ET_rec*(1/24)*up_RadSpec!AC9)),".")</f>
        <v>4121.9793365959786</v>
      </c>
      <c r="N9" s="141">
        <f>IFERROR((s_DL/(up_RadSpec!T9*s_EF_rec*(1/365)*s_ED_rec*up_RadSpec!Y9*s_ET_rec*(1/24)*up_RadSpec!AD9)),".")</f>
        <v>3397.8181818181824</v>
      </c>
      <c r="O9" s="141">
        <f>IFERROR((s_DL/(up_RadSpec!P9*s_EF_rec*(1/365)*s_ED_rec*up_RadSpec!U9*s_ET_rec*(1/24)*up_RadSpec!Z9)),".")</f>
        <v>10376.598049837492</v>
      </c>
      <c r="P9" s="142">
        <f>IFERROR((s_C*s_EF_rec*(1/365)*s_ED_rec*up_RadSpec!V9*s_ET_rec*(1/24)*up_RadSpec!AA9),".")</f>
        <v>1.7481050886265844E-3</v>
      </c>
      <c r="Q9" s="142">
        <f>IFERROR((s_C*s_EF_rec*(1/365)*s_ED_rec*up_RadSpec!W9*s_ET_rec*(1/24)*up_RadSpec!AB9),".")</f>
        <v>8.5349720479665386E-4</v>
      </c>
      <c r="R9" s="142">
        <f>IFERROR((s_C*s_EF_rec*(1/365)*s_ED_rec*up_RadSpec!X9*s_ET_rec*(1/24)*up_RadSpec!AC9),".")</f>
        <v>1.2130094771724668E-3</v>
      </c>
      <c r="S9" s="142">
        <f>IFERROR((s_C*s_EF_rec*(1/365)*s_ED_rec*up_RadSpec!Y9*s_ET_rec*(1/24)*up_RadSpec!AD9),".")</f>
        <v>1.4715325342465752E-3</v>
      </c>
      <c r="T9" s="142">
        <f>IFERROR((s_C*s_EF_rec*(1/365)*s_ED_rec*up_RadSpec!U9*s_ET_rec*(1/24)*up_RadSpec!Z9),".")</f>
        <v>4.8185349148012003E-4</v>
      </c>
      <c r="U9" s="141">
        <f>IFERROR((s_DL/(up_RadSpec!L9*s_IFA_rec_adj)),".")</f>
        <v>0.10971428571428574</v>
      </c>
      <c r="V9" s="141">
        <f>IFERROR((s_DL/(up_RadSpec!O9*s_EF_rec*(1/365)*s_ED_rec*s_ET_rec*(1/24)*s_GSF_a)),".")</f>
        <v>175.20000000000002</v>
      </c>
      <c r="W9" s="141">
        <f t="shared" si="11"/>
        <v>0.10964562309317062</v>
      </c>
      <c r="X9" s="142">
        <f t="shared" si="3"/>
        <v>45.572916666666657</v>
      </c>
      <c r="Y9" s="142">
        <f t="shared" si="4"/>
        <v>2.8538812785388126E-2</v>
      </c>
      <c r="Z9" s="141"/>
      <c r="AA9" s="141">
        <f>IFERROR((s_DL/(up_RadSpec!M9*s_IFW_rec_adj)),".")</f>
        <v>2.5000000000000001E-2</v>
      </c>
      <c r="AB9" s="141">
        <f>IFERROR((s_DL/(up_RadSpec!Q9*(1/8760)*s_DFA_rec_adj)),".")</f>
        <v>438</v>
      </c>
      <c r="AC9" s="141">
        <f t="shared" si="5"/>
        <v>2.4998573140802463E-2</v>
      </c>
      <c r="AD9" s="142">
        <f t="shared" si="6"/>
        <v>200</v>
      </c>
      <c r="AE9" s="142">
        <f t="shared" si="7"/>
        <v>1.1415525114155251E-2</v>
      </c>
      <c r="AF9" s="141"/>
      <c r="AG9" s="141">
        <f>IFERROR(s_DL/(up_RadSpec!J9*s_EF_rec*s_ED_rec*s_IRGL_rec*s_CF_game),".")</f>
        <v>0.2</v>
      </c>
      <c r="AH9" s="141">
        <f>IFERROR((AG9/(up_RadSpec!AM9*((s_Q_p_game*s_f_p_game*s_f_s_game*(up_RadSpec!BG9+s_R_es_past))+(s_Q_s_game*s_f_p_game)))),".")</f>
        <v>8.3333333333333339E-4</v>
      </c>
      <c r="AI9" s="141">
        <f>IFERROR(AG9/(up_RadSpec!AM9*s_Q_w_game*(1/1000)),".")</f>
        <v>20</v>
      </c>
      <c r="AJ9" s="141">
        <f>IFERROR(s_DL/(up_RadSpec!J9*s_EF_rec*s_ED_rec*s_IRGF_rec*s_CF_fowl),".")</f>
        <v>0.2</v>
      </c>
      <c r="AK9" s="141">
        <f>IFERROR((AG9/(up_RadSpec!AO9*((s_Q_p_fowl*s_f_p_fowl*s_f_s_fowl*(up_RadSpec!BG9+s_R_es_past))+(s_Q_s_fowl*s_f_p_fowl)))),".")</f>
        <v>8.3333333333333339E-4</v>
      </c>
      <c r="AL9" s="141">
        <f>IFERROR(AG9/(up_RadSpec!AO9*s_Q_w_fowl*(1/1000)),".")</f>
        <v>20</v>
      </c>
      <c r="AM9" s="142">
        <f t="shared" si="8"/>
        <v>25</v>
      </c>
      <c r="AN9" s="142">
        <f>IFERROR((s_C*s_IRGL_rec*s_EF_rec*s_ED_rec*s_CF_game*up_RadSpec!AM9)*((s_Q_p_game*s_f_p_game*s_f_s_game*(up_RadSpec!BG9+s_R_es_past))+(s_Q_s_game*s_f_p_game)),".")</f>
        <v>6000</v>
      </c>
      <c r="AO9" s="142">
        <f>IFERROR(s_C*up_RadSpec!AM9*s_Q_w_game*(1/1000)*s_EF_rec*s_ED_rec*s_IRGL_rec*s_CF_game,".")</f>
        <v>0.25</v>
      </c>
      <c r="AP9" s="142">
        <f t="shared" si="9"/>
        <v>25</v>
      </c>
      <c r="AQ9" s="142">
        <f>IFERROR((s_C*s_IRGF_rec*s_EF_rec*s_ED_rec*s_CF_fowl*up_RadSpec!AO9)*((s_Q_p_fowl*s_f_p_fowl*s_f_s_fowl*(up_RadSpec!BG9+s_R_es_past))+(s_Q_s_fowl*s_f_p_fowl)),".")</f>
        <v>6000</v>
      </c>
      <c r="AR9" s="142">
        <f>IFERROR(s_C*up_RadSpec!AO9*s_Q_w_fowl*(1/1000)*s_EF_rec*s_ED_rec*s_IRGL_rec*s_CF_fowl,".")</f>
        <v>0.25</v>
      </c>
    </row>
    <row r="10" spans="1:44" customFormat="1" x14ac:dyDescent="0.25">
      <c r="A10" s="131" t="s">
        <v>8</v>
      </c>
      <c r="B10" s="129" t="s">
        <v>336</v>
      </c>
      <c r="C10" s="141">
        <f>IFERROR(((s_DL/(up_RadSpec!I10*s_IFS_rec_adj*(1/1000)))*1),".")</f>
        <v>3.6363636363636362</v>
      </c>
      <c r="D10" s="141">
        <f>IFERROR(IF(A10="H-3",(s_DL/((up_RadSpec!L10*s_IFA_rec_adj*(1/17)*1000))*1),(s_DL/((up_RadSpec!L10*s_IFA_rec_adj*(1/s_PEF_wind)*1000))*1)),".")</f>
        <v>33989.90962986408</v>
      </c>
      <c r="E10" s="141">
        <f>IFERROR((s_DL/(up_RadSpec!K10*s_EF_rec*(1/365)*s_ED_rec*up_RadSpec!V10*s_ET_rec*(1/24)*up_RadSpec!AA10)),".")</f>
        <v>5472.9142857142851</v>
      </c>
      <c r="F10" s="141">
        <f>IF(AND(C10&lt;&gt;".",D10&lt;&gt;".",E10&lt;&gt;"."),1/((1/C10)+(1/D10)+(1/E10)),IF(AND(C10&lt;&gt;".",D10&lt;&gt;".",E10="."), 1/((1/C10)+(1/D10)),IF(AND(C10&lt;&gt;".",D10=".",E10&lt;&gt;"."),1/((1/C10)+(1/E10)),IF(AND(C10=".",D10&lt;&gt;".",E10&lt;&gt;"."),1/((1/D10)+(1/E10)),IF(AND(C10&lt;&gt;".",D10=".",E10="."),1/((1/C10)),IF(AND(C10=".",D10&lt;&gt;".",E10="."),1/((1/D10)),IF(AND(C10=".",D10=".",E10&lt;&gt;"."),1/((1/E10)),IF(AND(C10=".",D10=".",E10="."),"."))))))))</f>
        <v>3.6335606613623344</v>
      </c>
      <c r="G10" s="142">
        <f t="shared" si="1"/>
        <v>1.375</v>
      </c>
      <c r="H10" s="142">
        <f t="shared" si="2"/>
        <v>1.4710247995501936E-4</v>
      </c>
      <c r="I10" s="142">
        <f>IFERROR((s_C*s_EF_rec*(1/365)*s_ED_rec*up_RadSpec!V10*s_ET_rec*(1/24)*up_RadSpec!AA10),".")</f>
        <v>9.1359004343468102E-4</v>
      </c>
      <c r="J10" s="141"/>
      <c r="K10" s="141">
        <f>IFERROR((s_DL/(up_RadSpec!K10*s_EF_rec*(1/365)*s_ED_rec*up_RadSpec!V10*s_ET_rec*(1/24)*up_RadSpec!AA10)),".")</f>
        <v>5472.9142857142851</v>
      </c>
      <c r="L10" s="141">
        <f>IFERROR((s_DL/(up_RadSpec!R10*s_EF_rec*(1/365)*s_ED_rec*up_RadSpec!W10*s_ET_rec*(1/24)*up_RadSpec!AB10)),".")</f>
        <v>8528.2539682539664</v>
      </c>
      <c r="M10" s="141">
        <f>IFERROR((s_DL/(up_RadSpec!S10*s_EF_rec*(1/365)*s_ED_rec*up_RadSpec!X10*s_ET_rec*(1/24)*up_RadSpec!AC10)),".")</f>
        <v>6090.2891958435939</v>
      </c>
      <c r="N10" s="141">
        <f>IFERROR((s_DL/(up_RadSpec!T10*s_EF_rec*(1/365)*s_ED_rec*up_RadSpec!Y10*s_ET_rec*(1/24)*up_RadSpec!AD10)),".")</f>
        <v>5570.2811244979921</v>
      </c>
      <c r="O10" s="141">
        <f>IFERROR((s_DL/(up_RadSpec!P10*s_EF_rec*(1/365)*s_ED_rec*up_RadSpec!U10*s_ET_rec*(1/24)*up_RadSpec!Z10)),".")</f>
        <v>14336.707388016292</v>
      </c>
      <c r="P10" s="142">
        <f>IFERROR((s_C*s_EF_rec*(1/365)*s_ED_rec*up_RadSpec!V10*s_ET_rec*(1/24)*up_RadSpec!AA10),".")</f>
        <v>9.1359004343468102E-4</v>
      </c>
      <c r="Q10" s="142">
        <f>IFERROR((s_C*s_EF_rec*(1/365)*s_ED_rec*up_RadSpec!W10*s_ET_rec*(1/24)*up_RadSpec!AB10),".")</f>
        <v>5.8628648004764757E-4</v>
      </c>
      <c r="R10" s="142">
        <f>IFERROR((s_C*s_EF_rec*(1/365)*s_ED_rec*up_RadSpec!X10*s_ET_rec*(1/24)*up_RadSpec!AC10),".")</f>
        <v>8.2097907656213142E-4</v>
      </c>
      <c r="S10" s="142">
        <f>IFERROR((s_C*s_EF_rec*(1/365)*s_ED_rec*up_RadSpec!Y10*s_ET_rec*(1/24)*up_RadSpec!AD10),".")</f>
        <v>8.9762076423936549E-4</v>
      </c>
      <c r="T10" s="142">
        <f>IFERROR((s_C*s_EF_rec*(1/365)*s_ED_rec*up_RadSpec!U10*s_ET_rec*(1/24)*up_RadSpec!Z10),".")</f>
        <v>3.4875511264039464E-4</v>
      </c>
      <c r="U10" s="141">
        <f>IFERROR((s_DL/(up_RadSpec!L10*s_IFA_rec_adj)),".")</f>
        <v>0.10971428571428574</v>
      </c>
      <c r="V10" s="141">
        <f>IFERROR((s_DL/(up_RadSpec!O10*s_EF_rec*(1/365)*s_ED_rec*s_ET_rec*(1/24)*s_GSF_a)),".")</f>
        <v>175.20000000000002</v>
      </c>
      <c r="W10" s="141">
        <f t="shared" si="11"/>
        <v>0.10964562309317062</v>
      </c>
      <c r="X10" s="142">
        <f t="shared" si="3"/>
        <v>45.572916666666657</v>
      </c>
      <c r="Y10" s="142">
        <f t="shared" si="4"/>
        <v>2.8538812785388126E-2</v>
      </c>
      <c r="Z10" s="141"/>
      <c r="AA10" s="141">
        <f>IFERROR((s_DL/(up_RadSpec!M10*s_IFW_rec_adj)),".")</f>
        <v>2.5000000000000001E-2</v>
      </c>
      <c r="AB10" s="141">
        <f>IFERROR((s_DL/(up_RadSpec!Q10*(1/8760)*s_DFA_rec_adj)),".")</f>
        <v>438</v>
      </c>
      <c r="AC10" s="141">
        <f t="shared" si="5"/>
        <v>2.4998573140802463E-2</v>
      </c>
      <c r="AD10" s="142">
        <f t="shared" si="6"/>
        <v>200</v>
      </c>
      <c r="AE10" s="142">
        <f t="shared" si="7"/>
        <v>1.1415525114155251E-2</v>
      </c>
      <c r="AF10" s="141"/>
      <c r="AG10" s="141">
        <f>IFERROR(s_DL/(up_RadSpec!J10*s_EF_rec*s_ED_rec*s_IRGL_rec*s_CF_game),".")</f>
        <v>0.2</v>
      </c>
      <c r="AH10" s="141">
        <f>IFERROR((AG10/(up_RadSpec!AM10*((s_Q_p_game*s_f_p_game*s_f_s_game*(up_RadSpec!BG10+s_R_es_past))+(s_Q_s_game*s_f_p_game)))),".")</f>
        <v>8.3333333333333339E-4</v>
      </c>
      <c r="AI10" s="141">
        <f>IFERROR(AG10/(up_RadSpec!AM10*s_Q_w_game*(1/1000)),".")</f>
        <v>20</v>
      </c>
      <c r="AJ10" s="141">
        <f>IFERROR(s_DL/(up_RadSpec!J10*s_EF_rec*s_ED_rec*s_IRGF_rec*s_CF_fowl),".")</f>
        <v>0.2</v>
      </c>
      <c r="AK10" s="141">
        <f>IFERROR((AG10/(up_RadSpec!AO10*((s_Q_p_fowl*s_f_p_fowl*s_f_s_fowl*(up_RadSpec!BG10+s_R_es_past))+(s_Q_s_fowl*s_f_p_fowl)))),".")</f>
        <v>8.3333333333333339E-4</v>
      </c>
      <c r="AL10" s="141">
        <f>IFERROR(AG10/(up_RadSpec!AO10*s_Q_w_fowl*(1/1000)),".")</f>
        <v>20</v>
      </c>
      <c r="AM10" s="142">
        <f t="shared" si="8"/>
        <v>25</v>
      </c>
      <c r="AN10" s="142">
        <f>IFERROR((s_C*s_IRGL_rec*s_EF_rec*s_ED_rec*s_CF_game*up_RadSpec!AM10)*((s_Q_p_game*s_f_p_game*s_f_s_game*(up_RadSpec!BG10+s_R_es_past))+(s_Q_s_game*s_f_p_game)),".")</f>
        <v>6000</v>
      </c>
      <c r="AO10" s="142">
        <f>IFERROR(s_C*up_RadSpec!AM10*s_Q_w_game*(1/1000)*s_EF_rec*s_ED_rec*s_IRGL_rec*s_CF_game,".")</f>
        <v>0.25</v>
      </c>
      <c r="AP10" s="142">
        <f t="shared" si="9"/>
        <v>25</v>
      </c>
      <c r="AQ10" s="142">
        <f>IFERROR((s_C*s_IRGF_rec*s_EF_rec*s_ED_rec*s_CF_fowl*up_RadSpec!AO10)*((s_Q_p_fowl*s_f_p_fowl*s_f_s_fowl*(up_RadSpec!BG10+s_R_es_past))+(s_Q_s_fowl*s_f_p_fowl)),".")</f>
        <v>6000</v>
      </c>
      <c r="AR10" s="142">
        <f>IFERROR(s_C*up_RadSpec!AO10*s_Q_w_fowl*(1/1000)*s_EF_rec*s_ED_rec*s_IRGL_rec*s_CF_fowl,".")</f>
        <v>0.25</v>
      </c>
    </row>
    <row r="11" spans="1:44" customFormat="1" x14ac:dyDescent="0.25">
      <c r="A11" s="128" t="s">
        <v>9</v>
      </c>
      <c r="B11" s="129" t="s">
        <v>1059</v>
      </c>
      <c r="C11" s="141">
        <f>IFERROR(((s_DL/(up_RadSpec!I11*s_IFS_rec_adj*(1/1000)))*1),".")</f>
        <v>3.6363636363636362</v>
      </c>
      <c r="D11" s="141">
        <f>IFERROR(IF(A11="H-3",(s_DL/((up_RadSpec!L11*s_IFA_rec_adj*(1/17)*1000))*1),(s_DL/((up_RadSpec!L11*s_IFA_rec_adj*(1/s_PEF_wind)*1000))*1)),".")</f>
        <v>33989.90962986408</v>
      </c>
      <c r="E11" s="141">
        <f>IFERROR((s_DL/(up_RadSpec!K11*s_EF_rec*(1/365)*s_ED_rec*up_RadSpec!V11*s_ET_rec*(1/24)*up_RadSpec!AA11)),".")</f>
        <v>16364.835164835165</v>
      </c>
      <c r="F11" s="141">
        <f>IF(AND(C11&lt;&gt;".",D11&lt;&gt;".",E11&lt;&gt;"."),1/((1/C11)+(1/D11)+(1/E11)),IF(AND(C11&lt;&gt;".",D11&lt;&gt;".",E11="."), 1/((1/C11)+(1/D11)),IF(AND(C11&lt;&gt;".",D11=".",E11&lt;&gt;"."),1/((1/C11)+(1/E11)),IF(AND(C11=".",D11&lt;&gt;".",E11&lt;&gt;"."),1/((1/D11)+(1/E11)),IF(AND(C11&lt;&gt;".",D11=".",E11="."),1/((1/C11)),IF(AND(C11=".",D11&lt;&gt;".",E11="."),1/((1/D11)),IF(AND(C11=".",D11=".",E11&lt;&gt;"."),1/((1/E11)),IF(AND(C11=".",D11=".",E11="."),"."))))))))</f>
        <v>3.6351669773269983</v>
      </c>
      <c r="G11" s="142">
        <f t="shared" si="1"/>
        <v>1.375</v>
      </c>
      <c r="H11" s="142">
        <f t="shared" si="2"/>
        <v>1.4710247995501936E-4</v>
      </c>
      <c r="I11" s="142">
        <f>IFERROR((s_C*s_EF_rec*(1/365)*s_ED_rec*up_RadSpec!V11*s_ET_rec*(1/24)*up_RadSpec!AA11),".")</f>
        <v>3.0553317217297876E-4</v>
      </c>
      <c r="J11" s="141"/>
      <c r="K11" s="141">
        <f>IFERROR((s_DL/(up_RadSpec!K11*s_EF_rec*(1/365)*s_ED_rec*up_RadSpec!V11*s_ET_rec*(1/24)*up_RadSpec!AA11)),".")</f>
        <v>16364.835164835165</v>
      </c>
      <c r="L11" s="141">
        <f>IFERROR((s_DL/(up_RadSpec!R11*s_EF_rec*(1/365)*s_ED_rec*up_RadSpec!W11*s_ET_rec*(1/24)*up_RadSpec!AB11)),".")</f>
        <v>20706.925207756234</v>
      </c>
      <c r="M11" s="141">
        <f>IFERROR((s_DL/(up_RadSpec!S11*s_EF_rec*(1/365)*s_ED_rec*up_RadSpec!X11*s_ET_rec*(1/24)*up_RadSpec!AC11)),".")</f>
        <v>16070.503597122299</v>
      </c>
      <c r="N11" s="141">
        <f>IFERROR((s_DL/(up_RadSpec!T11*s_EF_rec*(1/365)*s_ED_rec*up_RadSpec!Y11*s_ET_rec*(1/24)*up_RadSpec!AD11)),".")</f>
        <v>15308.026755852849</v>
      </c>
      <c r="O11" s="141">
        <f>IFERROR((s_DL/(up_RadSpec!P11*s_EF_rec*(1/365)*s_ED_rec*up_RadSpec!U11*s_ET_rec*(1/24)*up_RadSpec!Z11)),".")</f>
        <v>38548.469387755111</v>
      </c>
      <c r="P11" s="142">
        <f>IFERROR((s_C*s_EF_rec*(1/365)*s_ED_rec*up_RadSpec!V11*s_ET_rec*(1/24)*up_RadSpec!AA11),".")</f>
        <v>3.0553317217297876E-4</v>
      </c>
      <c r="Q11" s="142">
        <f>IFERROR((s_C*s_EF_rec*(1/365)*s_ED_rec*up_RadSpec!W11*s_ET_rec*(1/24)*up_RadSpec!AB11),".")</f>
        <v>2.4146511130136985E-4</v>
      </c>
      <c r="R11" s="142">
        <f>IFERROR((s_C*s_EF_rec*(1/365)*s_ED_rec*up_RadSpec!X11*s_ET_rec*(1/24)*up_RadSpec!AC11),".")</f>
        <v>3.1112901781717259E-4</v>
      </c>
      <c r="S11" s="142">
        <f>IFERROR((s_C*s_EF_rec*(1/365)*s_ED_rec*up_RadSpec!Y11*s_ET_rec*(1/24)*up_RadSpec!AD11),".")</f>
        <v>3.2662602958204965E-4</v>
      </c>
      <c r="T11" s="142">
        <f>IFERROR((s_C*s_EF_rec*(1/365)*s_ED_rec*up_RadSpec!U11*s_ET_rec*(1/24)*up_RadSpec!Z11),".")</f>
        <v>1.2970683607967703E-4</v>
      </c>
      <c r="U11" s="141">
        <f>IFERROR((s_DL/(up_RadSpec!L11*s_IFA_rec_adj)),".")</f>
        <v>0.10971428571428574</v>
      </c>
      <c r="V11" s="141">
        <f>IFERROR((s_DL/(up_RadSpec!O11*s_EF_rec*(1/365)*s_ED_rec*s_ET_rec*(1/24)*s_GSF_a)),".")</f>
        <v>175.20000000000002</v>
      </c>
      <c r="W11" s="141">
        <f t="shared" si="11"/>
        <v>0.10964562309317062</v>
      </c>
      <c r="X11" s="142">
        <f t="shared" si="3"/>
        <v>45.572916666666657</v>
      </c>
      <c r="Y11" s="142">
        <f t="shared" si="4"/>
        <v>2.8538812785388126E-2</v>
      </c>
      <c r="Z11" s="141"/>
      <c r="AA11" s="141">
        <f>IFERROR((s_DL/(up_RadSpec!M11*s_IFW_rec_adj)),".")</f>
        <v>2.5000000000000001E-2</v>
      </c>
      <c r="AB11" s="141">
        <f>IFERROR((s_DL/(up_RadSpec!Q11*(1/8760)*s_DFA_rec_adj)),".")</f>
        <v>438</v>
      </c>
      <c r="AC11" s="141">
        <f t="shared" si="5"/>
        <v>2.4998573140802463E-2</v>
      </c>
      <c r="AD11" s="142">
        <f t="shared" si="6"/>
        <v>200</v>
      </c>
      <c r="AE11" s="142">
        <f t="shared" si="7"/>
        <v>1.1415525114155251E-2</v>
      </c>
      <c r="AF11" s="141"/>
      <c r="AG11" s="141">
        <f>IFERROR(s_DL/(up_RadSpec!J11*s_EF_rec*s_ED_rec*s_IRGL_rec*s_CF_game),".")</f>
        <v>0.2</v>
      </c>
      <c r="AH11" s="141">
        <f>IFERROR((AG11/(up_RadSpec!AM11*((s_Q_p_game*s_f_p_game*s_f_s_game*(up_RadSpec!BG11+s_R_es_past))+(s_Q_s_game*s_f_p_game)))),".")</f>
        <v>8.3333333333333339E-4</v>
      </c>
      <c r="AI11" s="141">
        <f>IFERROR(AG11/(up_RadSpec!AM11*s_Q_w_game*(1/1000)),".")</f>
        <v>20</v>
      </c>
      <c r="AJ11" s="141">
        <f>IFERROR(s_DL/(up_RadSpec!J11*s_EF_rec*s_ED_rec*s_IRGF_rec*s_CF_fowl),".")</f>
        <v>0.2</v>
      </c>
      <c r="AK11" s="141">
        <f>IFERROR((AG11/(up_RadSpec!AO11*((s_Q_p_fowl*s_f_p_fowl*s_f_s_fowl*(up_RadSpec!BG11+s_R_es_past))+(s_Q_s_fowl*s_f_p_fowl)))),".")</f>
        <v>8.3333333333333339E-4</v>
      </c>
      <c r="AL11" s="141">
        <f>IFERROR(AG11/(up_RadSpec!AO11*s_Q_w_fowl*(1/1000)),".")</f>
        <v>20</v>
      </c>
      <c r="AM11" s="142">
        <f t="shared" si="8"/>
        <v>25</v>
      </c>
      <c r="AN11" s="142">
        <f>IFERROR((s_C*s_IRGL_rec*s_EF_rec*s_ED_rec*s_CF_game*up_RadSpec!AM11)*((s_Q_p_game*s_f_p_game*s_f_s_game*(up_RadSpec!BG11+s_R_es_past))+(s_Q_s_game*s_f_p_game)),".")</f>
        <v>6000</v>
      </c>
      <c r="AO11" s="142">
        <f>IFERROR(s_C*up_RadSpec!AM11*s_Q_w_game*(1/1000)*s_EF_rec*s_ED_rec*s_IRGL_rec*s_CF_game,".")</f>
        <v>0.25</v>
      </c>
      <c r="AP11" s="142">
        <f t="shared" si="9"/>
        <v>25</v>
      </c>
      <c r="AQ11" s="142">
        <f>IFERROR((s_C*s_IRGF_rec*s_EF_rec*s_ED_rec*s_CF_fowl*up_RadSpec!AO11)*((s_Q_p_fowl*s_f_p_fowl*s_f_s_fowl*(up_RadSpec!BG11+s_R_es_past))+(s_Q_s_fowl*s_f_p_fowl)),".")</f>
        <v>6000</v>
      </c>
      <c r="AR11" s="142">
        <f>IFERROR(s_C*up_RadSpec!AO11*s_Q_w_fowl*(1/1000)*s_EF_rec*s_ED_rec*s_IRGL_rec*s_CF_fowl,".")</f>
        <v>0.25</v>
      </c>
    </row>
    <row r="12" spans="1:44" customFormat="1" x14ac:dyDescent="0.25">
      <c r="A12" s="128" t="s">
        <v>10</v>
      </c>
      <c r="B12" s="129" t="s">
        <v>1059</v>
      </c>
      <c r="C12" s="141">
        <f>IFERROR(((s_DL/(up_RadSpec!I12*s_IFS_rec_adj*(1/1000)))*1),".")</f>
        <v>3.6363636363636362</v>
      </c>
      <c r="D12" s="141">
        <f>IFERROR(IF(A12="H-3",(s_DL/((up_RadSpec!L12*s_IFA_rec_adj*(1/17)*1000))*1),(s_DL/((up_RadSpec!L12*s_IFA_rec_adj*(1/s_PEF_wind)*1000))*1)),".")</f>
        <v>33989.90962986408</v>
      </c>
      <c r="E12" s="141">
        <f>IFERROR((s_DL/(up_RadSpec!K12*s_EF_rec*(1/365)*s_ED_rec*up_RadSpec!V12*s_ET_rec*(1/24)*up_RadSpec!AA12)),".")</f>
        <v>7841.0264150943394</v>
      </c>
      <c r="F12" s="141">
        <f>IF(AND(C12&lt;&gt;".",D12&lt;&gt;".",E12&lt;&gt;"."),1/((1/C12)+(1/D12)+(1/E12)),IF(AND(C12&lt;&gt;".",D12&lt;&gt;".",E12="."), 1/((1/C12)+(1/D12)),IF(AND(C12&lt;&gt;".",D12=".",E12&lt;&gt;"."),1/((1/C12)+(1/E12)),IF(AND(C12=".",D12&lt;&gt;".",E12&lt;&gt;"."),1/((1/D12)+(1/E12)),IF(AND(C12&lt;&gt;".",D12=".",E12="."),1/((1/C12)),IF(AND(C12=".",D12&lt;&gt;".",E12="."),1/((1/D12)),IF(AND(C12=".",D12=".",E12&lt;&gt;"."),1/((1/E12)),IF(AND(C12=".",D12=".",E12="."),"."))))))))</f>
        <v>3.6342893846013857</v>
      </c>
      <c r="G12" s="142">
        <f t="shared" si="1"/>
        <v>1.375</v>
      </c>
      <c r="H12" s="142">
        <f t="shared" si="2"/>
        <v>1.4710247995501936E-4</v>
      </c>
      <c r="I12" s="142">
        <f>IFERROR((s_C*s_EF_rec*(1/365)*s_ED_rec*up_RadSpec!V12*s_ET_rec*(1/24)*up_RadSpec!AA12),".")</f>
        <v>6.376716178859911E-4</v>
      </c>
      <c r="J12" s="141"/>
      <c r="K12" s="141">
        <f>IFERROR((s_DL/(up_RadSpec!K12*s_EF_rec*(1/365)*s_ED_rec*up_RadSpec!V12*s_ET_rec*(1/24)*up_RadSpec!AA12)),".")</f>
        <v>7841.0264150943394</v>
      </c>
      <c r="L12" s="141">
        <f>IFERROR((s_DL/(up_RadSpec!R12*s_EF_rec*(1/365)*s_ED_rec*up_RadSpec!W12*s_ET_rec*(1/24)*up_RadSpec!AB12)),".")</f>
        <v>14067.304286220338</v>
      </c>
      <c r="M12" s="141">
        <f>IFERROR((s_DL/(up_RadSpec!S12*s_EF_rec*(1/365)*s_ED_rec*up_RadSpec!X12*s_ET_rec*(1/24)*up_RadSpec!AC12)),".")</f>
        <v>10200.028399678133</v>
      </c>
      <c r="N12" s="141">
        <f>IFERROR((s_DL/(up_RadSpec!T12*s_EF_rec*(1/365)*s_ED_rec*up_RadSpec!Y12*s_ET_rec*(1/24)*up_RadSpec!AD12)),".")</f>
        <v>9008.0476900149006</v>
      </c>
      <c r="O12" s="141">
        <f>IFERROR((s_DL/(up_RadSpec!P12*s_EF_rec*(1/365)*s_ED_rec*up_RadSpec!U12*s_ET_rec*(1/24)*up_RadSpec!Z12)),".")</f>
        <v>24283.673469387759</v>
      </c>
      <c r="P12" s="142">
        <f>IFERROR((s_C*s_EF_rec*(1/365)*s_ED_rec*up_RadSpec!V12*s_ET_rec*(1/24)*up_RadSpec!AA12),".")</f>
        <v>6.376716178859911E-4</v>
      </c>
      <c r="Q12" s="142">
        <f>IFERROR((s_C*s_EF_rec*(1/365)*s_ED_rec*up_RadSpec!W12*s_ET_rec*(1/24)*up_RadSpec!AB12),".")</f>
        <v>3.5543412570507641E-4</v>
      </c>
      <c r="R12" s="142">
        <f>IFERROR((s_C*s_EF_rec*(1/365)*s_ED_rec*up_RadSpec!X12*s_ET_rec*(1/24)*up_RadSpec!AC12),".")</f>
        <v>4.9019471359097169E-4</v>
      </c>
      <c r="S12" s="142">
        <f>IFERROR((s_C*s_EF_rec*(1/365)*s_ED_rec*up_RadSpec!Y12*s_ET_rec*(1/24)*up_RadSpec!AD12),".")</f>
        <v>5.5505922837667944E-4</v>
      </c>
      <c r="T12" s="142">
        <f>IFERROR((s_C*s_EF_rec*(1/365)*s_ED_rec*up_RadSpec!U12*s_ET_rec*(1/24)*up_RadSpec!Z12),".")</f>
        <v>2.0589965543322966E-4</v>
      </c>
      <c r="U12" s="141">
        <f>IFERROR((s_DL/(up_RadSpec!L12*s_IFA_rec_adj)),".")</f>
        <v>0.10971428571428574</v>
      </c>
      <c r="V12" s="141">
        <f>IFERROR((s_DL/(up_RadSpec!O12*s_EF_rec*(1/365)*s_ED_rec*s_ET_rec*(1/24)*s_GSF_a)),".")</f>
        <v>175.20000000000002</v>
      </c>
      <c r="W12" s="141">
        <f t="shared" si="11"/>
        <v>0.10964562309317062</v>
      </c>
      <c r="X12" s="142">
        <f t="shared" si="3"/>
        <v>45.572916666666657</v>
      </c>
      <c r="Y12" s="142">
        <f t="shared" si="4"/>
        <v>2.8538812785388126E-2</v>
      </c>
      <c r="Z12" s="141"/>
      <c r="AA12" s="141">
        <f>IFERROR((s_DL/(up_RadSpec!M12*s_IFW_rec_adj)),".")</f>
        <v>2.5000000000000001E-2</v>
      </c>
      <c r="AB12" s="141">
        <f>IFERROR((s_DL/(up_RadSpec!Q12*(1/8760)*s_DFA_rec_adj)),".")</f>
        <v>438</v>
      </c>
      <c r="AC12" s="141">
        <f t="shared" si="5"/>
        <v>2.4998573140802463E-2</v>
      </c>
      <c r="AD12" s="142">
        <f t="shared" si="6"/>
        <v>200</v>
      </c>
      <c r="AE12" s="142">
        <f t="shared" si="7"/>
        <v>1.1415525114155251E-2</v>
      </c>
      <c r="AF12" s="141"/>
      <c r="AG12" s="141">
        <f>IFERROR(s_DL/(up_RadSpec!J12*s_EF_rec*s_ED_rec*s_IRGL_rec*s_CF_game),".")</f>
        <v>0.2</v>
      </c>
      <c r="AH12" s="141">
        <f>IFERROR((AG12/(up_RadSpec!AM12*((s_Q_p_game*s_f_p_game*s_f_s_game*(up_RadSpec!BG12+s_R_es_past))+(s_Q_s_game*s_f_p_game)))),".")</f>
        <v>8.3333333333333339E-4</v>
      </c>
      <c r="AI12" s="141">
        <f>IFERROR(AG12/(up_RadSpec!AM12*s_Q_w_game*(1/1000)),".")</f>
        <v>20</v>
      </c>
      <c r="AJ12" s="141">
        <f>IFERROR(s_DL/(up_RadSpec!J12*s_EF_rec*s_ED_rec*s_IRGF_rec*s_CF_fowl),".")</f>
        <v>0.2</v>
      </c>
      <c r="AK12" s="141">
        <f>IFERROR((AG12/(up_RadSpec!AO12*((s_Q_p_fowl*s_f_p_fowl*s_f_s_fowl*(up_RadSpec!BG12+s_R_es_past))+(s_Q_s_fowl*s_f_p_fowl)))),".")</f>
        <v>8.3333333333333339E-4</v>
      </c>
      <c r="AL12" s="141">
        <f>IFERROR(AG12/(up_RadSpec!AO12*s_Q_w_fowl*(1/1000)),".")</f>
        <v>20</v>
      </c>
      <c r="AM12" s="142">
        <f t="shared" si="8"/>
        <v>25</v>
      </c>
      <c r="AN12" s="142">
        <f>IFERROR((s_C*s_IRGL_rec*s_EF_rec*s_ED_rec*s_CF_game*up_RadSpec!AM12)*((s_Q_p_game*s_f_p_game*s_f_s_game*(up_RadSpec!BG12+s_R_es_past))+(s_Q_s_game*s_f_p_game)),".")</f>
        <v>6000</v>
      </c>
      <c r="AO12" s="142">
        <f>IFERROR(s_C*up_RadSpec!AM12*s_Q_w_game*(1/1000)*s_EF_rec*s_ED_rec*s_IRGL_rec*s_CF_game,".")</f>
        <v>0.25</v>
      </c>
      <c r="AP12" s="142">
        <f t="shared" si="9"/>
        <v>25</v>
      </c>
      <c r="AQ12" s="142">
        <f>IFERROR((s_C*s_IRGF_rec*s_EF_rec*s_ED_rec*s_CF_fowl*up_RadSpec!AO12)*((s_Q_p_fowl*s_f_p_fowl*s_f_s_fowl*(up_RadSpec!BG12+s_R_es_past))+(s_Q_s_fowl*s_f_p_fowl)),".")</f>
        <v>6000</v>
      </c>
      <c r="AR12" s="142">
        <f>IFERROR(s_C*up_RadSpec!AO12*s_Q_w_fowl*(1/1000)*s_EF_rec*s_ED_rec*s_IRGL_rec*s_CF_fowl,".")</f>
        <v>0.25</v>
      </c>
    </row>
    <row r="13" spans="1:44" customFormat="1" x14ac:dyDescent="0.25">
      <c r="A13" s="128" t="s">
        <v>11</v>
      </c>
      <c r="B13" s="129" t="s">
        <v>1059</v>
      </c>
      <c r="C13" s="141">
        <f>IFERROR(((s_DL/(up_RadSpec!I13*s_IFS_rec_adj*(1/1000)))*1),".")</f>
        <v>3.6363636363636362</v>
      </c>
      <c r="D13" s="141">
        <f>IFERROR(IF(A13="H-3",(s_DL/((up_RadSpec!L13*s_IFA_rec_adj*(1/17)*1000))*1),(s_DL/((up_RadSpec!L13*s_IFA_rec_adj*(1/s_PEF_wind)*1000))*1)),".")</f>
        <v>33989.90962986408</v>
      </c>
      <c r="E13" s="141">
        <f>IFERROR((s_DL/(up_RadSpec!K13*s_EF_rec*(1/365)*s_ED_rec*up_RadSpec!V13*s_ET_rec*(1/24)*up_RadSpec!AA13)),".")</f>
        <v>60269.679849340915</v>
      </c>
      <c r="F13" s="141">
        <f>IF(AND(C13&lt;&gt;".",D13&lt;&gt;".",E13&lt;&gt;"."),1/((1/C13)+(1/D13)+(1/E13)),IF(AND(C13&lt;&gt;".",D13&lt;&gt;".",E13="."), 1/((1/C13)+(1/D13)),IF(AND(C13&lt;&gt;".",D13=".",E13&lt;&gt;"."),1/((1/C13)+(1/E13)),IF(AND(C13=".",D13&lt;&gt;".",E13&lt;&gt;"."),1/((1/D13)+(1/E13)),IF(AND(C13&lt;&gt;".",D13=".",E13="."),1/((1/C13)),IF(AND(C13=".",D13&lt;&gt;".",E13="."),1/((1/D13)),IF(AND(C13=".",D13=".",E13&lt;&gt;"."),1/((1/E13)),IF(AND(C13=".",D13=".",E13="."),"."))))))))</f>
        <v>3.6357553072487536</v>
      </c>
      <c r="G13" s="142">
        <f t="shared" si="1"/>
        <v>1.375</v>
      </c>
      <c r="H13" s="142">
        <f t="shared" si="2"/>
        <v>1.4710247995501936E-4</v>
      </c>
      <c r="I13" s="142">
        <f>IFERROR((s_C*s_EF_rec*(1/365)*s_ED_rec*up_RadSpec!V13*s_ET_rec*(1/24)*up_RadSpec!AA13),".")</f>
        <v>8.2960453954604476E-5</v>
      </c>
      <c r="J13" s="141"/>
      <c r="K13" s="141">
        <f>IFERROR((s_DL/(up_RadSpec!K13*s_EF_rec*(1/365)*s_ED_rec*up_RadSpec!V13*s_ET_rec*(1/24)*up_RadSpec!AA13)),".")</f>
        <v>60269.679849340915</v>
      </c>
      <c r="L13" s="141">
        <f>IFERROR((s_DL/(up_RadSpec!R13*s_EF_rec*(1/365)*s_ED_rec*up_RadSpec!W13*s_ET_rec*(1/24)*up_RadSpec!AB13)),".")</f>
        <v>131434.9561053472</v>
      </c>
      <c r="M13" s="141">
        <f>IFERROR((s_DL/(up_RadSpec!S13*s_EF_rec*(1/365)*s_ED_rec*up_RadSpec!X13*s_ET_rec*(1/24)*up_RadSpec!AC13)),".")</f>
        <v>78084.577114427855</v>
      </c>
      <c r="N13" s="141">
        <f>IFERROR((s_DL/(up_RadSpec!T13*s_EF_rec*(1/365)*s_ED_rec*up_RadSpec!Y13*s_ET_rec*(1/24)*up_RadSpec!AD13)),".")</f>
        <v>64460.31038534789</v>
      </c>
      <c r="O13" s="141">
        <f>IFERROR((s_DL/(up_RadSpec!P13*s_EF_rec*(1/365)*s_ED_rec*up_RadSpec!U13*s_ET_rec*(1/24)*up_RadSpec!Z13)),".")</f>
        <v>1264464.2857142854</v>
      </c>
      <c r="P13" s="142">
        <f>IFERROR((s_C*s_EF_rec*(1/365)*s_ED_rec*up_RadSpec!V13*s_ET_rec*(1/24)*up_RadSpec!AA13),".")</f>
        <v>8.2960453954604476E-5</v>
      </c>
      <c r="Q13" s="142">
        <f>IFERROR((s_C*s_EF_rec*(1/365)*s_ED_rec*up_RadSpec!W13*s_ET_rec*(1/24)*up_RadSpec!AB13),".")</f>
        <v>3.8041630234139701E-5</v>
      </c>
      <c r="R13" s="142">
        <f>IFERROR((s_C*s_EF_rec*(1/365)*s_ED_rec*up_RadSpec!X13*s_ET_rec*(1/24)*up_RadSpec!AC13),".")</f>
        <v>6.403313157056388E-5</v>
      </c>
      <c r="S13" s="142">
        <f>IFERROR((s_C*s_EF_rec*(1/365)*s_ED_rec*up_RadSpec!Y13*s_ET_rec*(1/24)*up_RadSpec!AD13),".")</f>
        <v>7.7567110212620413E-5</v>
      </c>
      <c r="T13" s="142">
        <f>IFERROR((s_C*s_EF_rec*(1/365)*s_ED_rec*up_RadSpec!U13*s_ET_rec*(1/24)*up_RadSpec!Z13),".")</f>
        <v>3.9542437508826446E-6</v>
      </c>
      <c r="U13" s="141">
        <f>IFERROR((s_DL/(up_RadSpec!L13*s_IFA_rec_adj)),".")</f>
        <v>0.10971428571428574</v>
      </c>
      <c r="V13" s="141">
        <f>IFERROR((s_DL/(up_RadSpec!O13*s_EF_rec*(1/365)*s_ED_rec*s_ET_rec*(1/24)*s_GSF_a)),".")</f>
        <v>175.20000000000002</v>
      </c>
      <c r="W13" s="141">
        <f t="shared" si="11"/>
        <v>0.10964562309317062</v>
      </c>
      <c r="X13" s="142">
        <f t="shared" si="3"/>
        <v>45.572916666666657</v>
      </c>
      <c r="Y13" s="142">
        <f t="shared" si="4"/>
        <v>2.8538812785388126E-2</v>
      </c>
      <c r="Z13" s="141"/>
      <c r="AA13" s="141">
        <f>IFERROR((s_DL/(up_RadSpec!M13*s_IFW_rec_adj)),".")</f>
        <v>2.5000000000000001E-2</v>
      </c>
      <c r="AB13" s="141">
        <f>IFERROR((s_DL/(up_RadSpec!Q13*(1/8760)*s_DFA_rec_adj)),".")</f>
        <v>438</v>
      </c>
      <c r="AC13" s="141">
        <f t="shared" si="5"/>
        <v>2.4998573140802463E-2</v>
      </c>
      <c r="AD13" s="142">
        <f t="shared" si="6"/>
        <v>200</v>
      </c>
      <c r="AE13" s="142">
        <f t="shared" si="7"/>
        <v>1.1415525114155251E-2</v>
      </c>
      <c r="AF13" s="141"/>
      <c r="AG13" s="141">
        <f>IFERROR(s_DL/(up_RadSpec!J13*s_EF_rec*s_ED_rec*s_IRGL_rec*s_CF_game),".")</f>
        <v>0.2</v>
      </c>
      <c r="AH13" s="141">
        <f>IFERROR((AG13/(up_RadSpec!AM13*((s_Q_p_game*s_f_p_game*s_f_s_game*(up_RadSpec!BG13+s_R_es_past))+(s_Q_s_game*s_f_p_game)))),".")</f>
        <v>8.3333333333333339E-4</v>
      </c>
      <c r="AI13" s="141">
        <f>IFERROR(AG13/(up_RadSpec!AM13*s_Q_w_game*(1/1000)),".")</f>
        <v>20</v>
      </c>
      <c r="AJ13" s="141">
        <f>IFERROR(s_DL/(up_RadSpec!J13*s_EF_rec*s_ED_rec*s_IRGF_rec*s_CF_fowl),".")</f>
        <v>0.2</v>
      </c>
      <c r="AK13" s="141">
        <f>IFERROR((AG13/(up_RadSpec!AO13*((s_Q_p_fowl*s_f_p_fowl*s_f_s_fowl*(up_RadSpec!BG13+s_R_es_past))+(s_Q_s_fowl*s_f_p_fowl)))),".")</f>
        <v>8.3333333333333339E-4</v>
      </c>
      <c r="AL13" s="141">
        <f>IFERROR(AG13/(up_RadSpec!AO13*s_Q_w_fowl*(1/1000)),".")</f>
        <v>20</v>
      </c>
      <c r="AM13" s="142">
        <f t="shared" si="8"/>
        <v>25</v>
      </c>
      <c r="AN13" s="142">
        <f>IFERROR((s_C*s_IRGL_rec*s_EF_rec*s_ED_rec*s_CF_game*up_RadSpec!AM13)*((s_Q_p_game*s_f_p_game*s_f_s_game*(up_RadSpec!BG13+s_R_es_past))+(s_Q_s_game*s_f_p_game)),".")</f>
        <v>6000</v>
      </c>
      <c r="AO13" s="142">
        <f>IFERROR(s_C*up_RadSpec!AM13*s_Q_w_game*(1/1000)*s_EF_rec*s_ED_rec*s_IRGL_rec*s_CF_game,".")</f>
        <v>0.25</v>
      </c>
      <c r="AP13" s="142">
        <f t="shared" si="9"/>
        <v>25</v>
      </c>
      <c r="AQ13" s="142">
        <f>IFERROR((s_C*s_IRGF_rec*s_EF_rec*s_ED_rec*s_CF_fowl*up_RadSpec!AO13)*((s_Q_p_fowl*s_f_p_fowl*s_f_s_fowl*(up_RadSpec!BG13+s_R_es_past))+(s_Q_s_fowl*s_f_p_fowl)),".")</f>
        <v>6000</v>
      </c>
      <c r="AR13" s="142">
        <f>IFERROR(s_C*up_RadSpec!AO13*s_Q_w_fowl*(1/1000)*s_EF_rec*s_ED_rec*s_IRGL_rec*s_CF_fowl,".")</f>
        <v>0.25</v>
      </c>
    </row>
    <row r="14" spans="1:44" customFormat="1" x14ac:dyDescent="0.25">
      <c r="A14" s="128" t="s">
        <v>12</v>
      </c>
      <c r="B14" s="129" t="s">
        <v>1059</v>
      </c>
      <c r="C14" s="141">
        <f>IFERROR(((s_DL/(up_RadSpec!I14*s_IFS_rec_adj*(1/1000)))*1),".")</f>
        <v>3.6363636363636362</v>
      </c>
      <c r="D14" s="141">
        <f>IFERROR(IF(A14="H-3",(s_DL/((up_RadSpec!L14*s_IFA_rec_adj*(1/17)*1000))*1),(s_DL/((up_RadSpec!L14*s_IFA_rec_adj*(1/s_PEF_wind)*1000))*1)),".")</f>
        <v>33989.90962986408</v>
      </c>
      <c r="E14" s="141">
        <f>IFERROR((s_DL/(up_RadSpec!K14*s_EF_rec*(1/365)*s_ED_rec*up_RadSpec!V14*s_ET_rec*(1/24)*up_RadSpec!AA14)),".")</f>
        <v>9047.5197378221328</v>
      </c>
      <c r="F14" s="141">
        <f>IF(AND(C14&lt;&gt;".",D14&lt;&gt;".",E14&lt;&gt;"."),1/((1/C14)+(1/D14)+(1/E14)),IF(AND(C14&lt;&gt;".",D14&lt;&gt;".",E14="."), 1/((1/C14)+(1/D14)),IF(AND(C14&lt;&gt;".",D14=".",E14&lt;&gt;"."),1/((1/C14)+(1/E14)),IF(AND(C14=".",D14&lt;&gt;".",E14&lt;&gt;"."),1/((1/D14)+(1/E14)),IF(AND(C14&lt;&gt;".",D14=".",E14="."),1/((1/C14)),IF(AND(C14=".",D14&lt;&gt;".",E14="."),1/((1/D14)),IF(AND(C14=".",D14=".",E14&lt;&gt;"."),1/((1/E14)),IF(AND(C14=".",D14=".",E14="."),"."))))))))</f>
        <v>3.6345140252379857</v>
      </c>
      <c r="G14" s="142">
        <f t="shared" si="1"/>
        <v>1.375</v>
      </c>
      <c r="H14" s="142">
        <f t="shared" si="2"/>
        <v>1.4710247995501936E-4</v>
      </c>
      <c r="I14" s="142">
        <f>IFERROR((s_C*s_EF_rec*(1/365)*s_ED_rec*up_RadSpec!V14*s_ET_rec*(1/24)*up_RadSpec!AA14),".")</f>
        <v>5.5263764488935744E-4</v>
      </c>
      <c r="J14" s="141"/>
      <c r="K14" s="141">
        <f>IFERROR((s_DL/(up_RadSpec!K14*s_EF_rec*(1/365)*s_ED_rec*up_RadSpec!V14*s_ET_rec*(1/24)*up_RadSpec!AA14)),".")</f>
        <v>9047.5197378221328</v>
      </c>
      <c r="L14" s="141">
        <f>IFERROR((s_DL/(up_RadSpec!R14*s_EF_rec*(1/365)*s_ED_rec*up_RadSpec!W14*s_ET_rec*(1/24)*up_RadSpec!AB14)),".")</f>
        <v>16431.231504666524</v>
      </c>
      <c r="M14" s="141">
        <f>IFERROR((s_DL/(up_RadSpec!S14*s_EF_rec*(1/365)*s_ED_rec*up_RadSpec!X14*s_ET_rec*(1/24)*up_RadSpec!AC14)),".")</f>
        <v>12148.32680132651</v>
      </c>
      <c r="N14" s="141">
        <f>IFERROR((s_DL/(up_RadSpec!T14*s_EF_rec*(1/365)*s_ED_rec*up_RadSpec!Y14*s_ET_rec*(1/24)*up_RadSpec!AD14)),".")</f>
        <v>10645.537623954893</v>
      </c>
      <c r="O14" s="141">
        <f>IFERROR((s_DL/(up_RadSpec!P14*s_EF_rec*(1/365)*s_ED_rec*up_RadSpec!U14*s_ET_rec*(1/24)*up_RadSpec!Z14)),".")</f>
        <v>45847.560975609777</v>
      </c>
      <c r="P14" s="142">
        <f>IFERROR((s_C*s_EF_rec*(1/365)*s_ED_rec*up_RadSpec!V14*s_ET_rec*(1/24)*up_RadSpec!AA14),".")</f>
        <v>5.5263764488935744E-4</v>
      </c>
      <c r="Q14" s="142">
        <f>IFERROR((s_C*s_EF_rec*(1/365)*s_ED_rec*up_RadSpec!W14*s_ET_rec*(1/24)*up_RadSpec!AB14),".")</f>
        <v>3.042985547723543E-4</v>
      </c>
      <c r="R14" s="142">
        <f>IFERROR((s_C*s_EF_rec*(1/365)*s_ED_rec*up_RadSpec!X14*s_ET_rec*(1/24)*up_RadSpec!AC14),".")</f>
        <v>4.1157931308318408E-4</v>
      </c>
      <c r="S14" s="142">
        <f>IFERROR((s_C*s_EF_rec*(1/365)*s_ED_rec*up_RadSpec!Y14*s_ET_rec*(1/24)*up_RadSpec!AD14),".")</f>
        <v>4.6968036529680348E-4</v>
      </c>
      <c r="T14" s="142">
        <f>IFERROR((s_C*s_EF_rec*(1/365)*s_ED_rec*up_RadSpec!U14*s_ET_rec*(1/24)*up_RadSpec!Z14),".")</f>
        <v>1.0905705545950255E-4</v>
      </c>
      <c r="U14" s="141">
        <f>IFERROR((s_DL/(up_RadSpec!L14*s_IFA_rec_adj)),".")</f>
        <v>0.10971428571428574</v>
      </c>
      <c r="V14" s="141">
        <f>IFERROR((s_DL/(up_RadSpec!O14*s_EF_rec*(1/365)*s_ED_rec*s_ET_rec*(1/24)*s_GSF_a)),".")</f>
        <v>175.20000000000002</v>
      </c>
      <c r="W14" s="141">
        <f t="shared" si="11"/>
        <v>0.10964562309317062</v>
      </c>
      <c r="X14" s="142">
        <f t="shared" si="3"/>
        <v>45.572916666666657</v>
      </c>
      <c r="Y14" s="142">
        <f t="shared" si="4"/>
        <v>2.8538812785388126E-2</v>
      </c>
      <c r="Z14" s="141"/>
      <c r="AA14" s="141">
        <f>IFERROR((s_DL/(up_RadSpec!M14*s_IFW_rec_adj)),".")</f>
        <v>2.5000000000000001E-2</v>
      </c>
      <c r="AB14" s="141">
        <f>IFERROR((s_DL/(up_RadSpec!Q14*(1/8760)*s_DFA_rec_adj)),".")</f>
        <v>438</v>
      </c>
      <c r="AC14" s="141">
        <f t="shared" si="5"/>
        <v>2.4998573140802463E-2</v>
      </c>
      <c r="AD14" s="142">
        <f t="shared" si="6"/>
        <v>200</v>
      </c>
      <c r="AE14" s="142">
        <f t="shared" si="7"/>
        <v>1.1415525114155251E-2</v>
      </c>
      <c r="AF14" s="141"/>
      <c r="AG14" s="141">
        <f>IFERROR(s_DL/(up_RadSpec!J14*s_EF_rec*s_ED_rec*s_IRGL_rec*s_CF_game),".")</f>
        <v>0.2</v>
      </c>
      <c r="AH14" s="141">
        <f>IFERROR((AG14/(up_RadSpec!AM14*((s_Q_p_game*s_f_p_game*s_f_s_game*(up_RadSpec!BG14+s_R_es_past))+(s_Q_s_game*s_f_p_game)))),".")</f>
        <v>8.3333333333333339E-4</v>
      </c>
      <c r="AI14" s="141">
        <f>IFERROR(AG14/(up_RadSpec!AM14*s_Q_w_game*(1/1000)),".")</f>
        <v>20</v>
      </c>
      <c r="AJ14" s="141">
        <f>IFERROR(s_DL/(up_RadSpec!J14*s_EF_rec*s_ED_rec*s_IRGF_rec*s_CF_fowl),".")</f>
        <v>0.2</v>
      </c>
      <c r="AK14" s="141">
        <f>IFERROR((AG14/(up_RadSpec!AO14*((s_Q_p_fowl*s_f_p_fowl*s_f_s_fowl*(up_RadSpec!BG14+s_R_es_past))+(s_Q_s_fowl*s_f_p_fowl)))),".")</f>
        <v>8.3333333333333339E-4</v>
      </c>
      <c r="AL14" s="141">
        <f>IFERROR(AG14/(up_RadSpec!AO14*s_Q_w_fowl*(1/1000)),".")</f>
        <v>20</v>
      </c>
      <c r="AM14" s="142">
        <f t="shared" si="8"/>
        <v>25</v>
      </c>
      <c r="AN14" s="142">
        <f>IFERROR((s_C*s_IRGL_rec*s_EF_rec*s_ED_rec*s_CF_game*up_RadSpec!AM14)*((s_Q_p_game*s_f_p_game*s_f_s_game*(up_RadSpec!BG14+s_R_es_past))+(s_Q_s_game*s_f_p_game)),".")</f>
        <v>6000</v>
      </c>
      <c r="AO14" s="142">
        <f>IFERROR(s_C*up_RadSpec!AM14*s_Q_w_game*(1/1000)*s_EF_rec*s_ED_rec*s_IRGL_rec*s_CF_game,".")</f>
        <v>0.25</v>
      </c>
      <c r="AP14" s="142">
        <f t="shared" si="9"/>
        <v>25</v>
      </c>
      <c r="AQ14" s="142">
        <f>IFERROR((s_C*s_IRGF_rec*s_EF_rec*s_ED_rec*s_CF_fowl*up_RadSpec!AO14)*((s_Q_p_fowl*s_f_p_fowl*s_f_s_fowl*(up_RadSpec!BG14+s_R_es_past))+(s_Q_s_fowl*s_f_p_fowl)),".")</f>
        <v>6000</v>
      </c>
      <c r="AR14" s="142">
        <f>IFERROR(s_C*up_RadSpec!AO14*s_Q_w_fowl*(1/1000)*s_EF_rec*s_ED_rec*s_IRGL_rec*s_CF_fowl,".")</f>
        <v>0.25</v>
      </c>
    </row>
    <row r="15" spans="1:44" customFormat="1" x14ac:dyDescent="0.25">
      <c r="A15" s="128" t="s">
        <v>13</v>
      </c>
      <c r="B15" s="129" t="s">
        <v>1059</v>
      </c>
      <c r="C15" s="141">
        <f>IFERROR(((s_DL/(up_RadSpec!I15*s_IFS_rec_adj*(1/1000)))*1),".")</f>
        <v>3.6363636363636362</v>
      </c>
      <c r="D15" s="141">
        <f>IFERROR(IF(A15="H-3",(s_DL/((up_RadSpec!L15*s_IFA_rec_adj*(1/17)*1000))*1),(s_DL/((up_RadSpec!L15*s_IFA_rec_adj*(1/s_PEF_wind)*1000))*1)),".")</f>
        <v>33989.90962986408</v>
      </c>
      <c r="E15" s="141" t="str">
        <f>IFERROR((s_DL/(up_RadSpec!K15*s_EF_rec*(1/365)*s_ED_rec*up_RadSpec!V15*s_ET_rec*(1/24)*up_RadSpec!AA15)),".")</f>
        <v>.</v>
      </c>
      <c r="F15" s="141">
        <f t="shared" ref="F15:F16" si="13">IF(AND(C15&lt;&gt;".",D15&lt;&gt;".",E15&lt;&gt;"."),1/((1/C15)+(1/D15)+(1/E15)),IF(AND(C15&lt;&gt;".",D15&lt;&gt;".",E15="."), 1/((1/C15)+(1/D15)),IF(AND(C15&lt;&gt;".",D15=".",E15&lt;&gt;"."),1/((1/C15)+(1/E15)),IF(AND(C15=".",D15&lt;&gt;".",E15&lt;&gt;"."),1/((1/D15)+(1/E15)),IF(AND(C15&lt;&gt;".",D15=".",E15="."),1/((1/C15)),IF(AND(C15=".",D15&lt;&gt;".",E15="."),1/((1/D15)),IF(AND(C15=".",D15=".",E15&lt;&gt;"."),1/((1/E15)),IF(AND(C15=".",D15=".",E15="."),"."))))))))</f>
        <v>3.6359746466272194</v>
      </c>
      <c r="G15" s="142">
        <f t="shared" si="1"/>
        <v>1.375</v>
      </c>
      <c r="H15" s="142">
        <f t="shared" si="2"/>
        <v>1.4710247995501936E-4</v>
      </c>
      <c r="I15" s="142">
        <f>IFERROR((s_C*s_EF_rec*(1/365)*s_ED_rec*up_RadSpec!V15*s_ET_rec*(1/24)*up_RadSpec!AA15),".")</f>
        <v>0</v>
      </c>
      <c r="J15" s="141"/>
      <c r="K15" s="141" t="str">
        <f>IFERROR((s_DL/(up_RadSpec!K15*s_EF_rec*(1/365)*s_ED_rec*up_RadSpec!V15*s_ET_rec*(1/24)*up_RadSpec!AA15)),".")</f>
        <v>.</v>
      </c>
      <c r="L15" s="141" t="str">
        <f>IFERROR((s_DL/(up_RadSpec!R15*s_EF_rec*(1/365)*s_ED_rec*up_RadSpec!W15*s_ET_rec*(1/24)*up_RadSpec!AB15)),".")</f>
        <v>.</v>
      </c>
      <c r="M15" s="141" t="str">
        <f>IFERROR((s_DL/(up_RadSpec!S15*s_EF_rec*(1/365)*s_ED_rec*up_RadSpec!X15*s_ET_rec*(1/24)*up_RadSpec!AC15)),".")</f>
        <v>.</v>
      </c>
      <c r="N15" s="141" t="str">
        <f>IFERROR((s_DL/(up_RadSpec!T15*s_EF_rec*(1/365)*s_ED_rec*up_RadSpec!Y15*s_ET_rec*(1/24)*up_RadSpec!AD15)),".")</f>
        <v>.</v>
      </c>
      <c r="O15" s="141" t="str">
        <f>IFERROR((s_DL/(up_RadSpec!P15*s_EF_rec*(1/365)*s_ED_rec*up_RadSpec!U15*s_ET_rec*(1/24)*up_RadSpec!Z15)),".")</f>
        <v>.</v>
      </c>
      <c r="P15" s="142">
        <f>IFERROR((s_C*s_EF_rec*(1/365)*s_ED_rec*up_RadSpec!V15*s_ET_rec*(1/24)*up_RadSpec!AA15),".")</f>
        <v>0</v>
      </c>
      <c r="Q15" s="142">
        <f>IFERROR((s_C*s_EF_rec*(1/365)*s_ED_rec*up_RadSpec!W15*s_ET_rec*(1/24)*up_RadSpec!AB15),".")</f>
        <v>0</v>
      </c>
      <c r="R15" s="142">
        <f>IFERROR((s_C*s_EF_rec*(1/365)*s_ED_rec*up_RadSpec!X15*s_ET_rec*(1/24)*up_RadSpec!AC15),".")</f>
        <v>0</v>
      </c>
      <c r="S15" s="142">
        <f>IFERROR((s_C*s_EF_rec*(1/365)*s_ED_rec*up_RadSpec!Y15*s_ET_rec*(1/24)*up_RadSpec!AD15),".")</f>
        <v>0</v>
      </c>
      <c r="T15" s="142">
        <f>IFERROR((s_C*s_EF_rec*(1/365)*s_ED_rec*up_RadSpec!U15*s_ET_rec*(1/24)*up_RadSpec!Z15),".")</f>
        <v>0</v>
      </c>
      <c r="U15" s="141">
        <f>IFERROR((s_DL/(up_RadSpec!L15*s_IFA_rec_adj)),".")</f>
        <v>0.10971428571428574</v>
      </c>
      <c r="V15" s="141">
        <f>IFERROR((s_DL/(up_RadSpec!O15*s_EF_rec*(1/365)*s_ED_rec*s_ET_rec*(1/24)*s_GSF_a)),".")</f>
        <v>175.20000000000002</v>
      </c>
      <c r="W15" s="141">
        <f t="shared" si="11"/>
        <v>0.10964562309317062</v>
      </c>
      <c r="X15" s="142">
        <f t="shared" si="3"/>
        <v>45.572916666666657</v>
      </c>
      <c r="Y15" s="142">
        <f t="shared" si="4"/>
        <v>2.8538812785388126E-2</v>
      </c>
      <c r="Z15" s="141"/>
      <c r="AA15" s="141">
        <f>IFERROR((s_DL/(up_RadSpec!M15*s_IFW_rec_adj)),".")</f>
        <v>2.5000000000000001E-2</v>
      </c>
      <c r="AB15" s="141">
        <f>IFERROR((s_DL/(up_RadSpec!Q15*(1/8760)*s_DFA_rec_adj)),".")</f>
        <v>438</v>
      </c>
      <c r="AC15" s="141">
        <f t="shared" si="5"/>
        <v>2.4998573140802463E-2</v>
      </c>
      <c r="AD15" s="142">
        <f t="shared" si="6"/>
        <v>200</v>
      </c>
      <c r="AE15" s="142">
        <f t="shared" si="7"/>
        <v>1.1415525114155251E-2</v>
      </c>
      <c r="AF15" s="141"/>
      <c r="AG15" s="141">
        <f>IFERROR(s_DL/(up_RadSpec!J15*s_EF_rec*s_ED_rec*s_IRGL_rec*s_CF_game),".")</f>
        <v>0.2</v>
      </c>
      <c r="AH15" s="141">
        <f>IFERROR((AG15/(up_RadSpec!AM15*((s_Q_p_game*s_f_p_game*s_f_s_game*(up_RadSpec!BG15+s_R_es_past))+(s_Q_s_game*s_f_p_game)))),".")</f>
        <v>8.3333333333333339E-4</v>
      </c>
      <c r="AI15" s="141">
        <f>IFERROR(AG15/(up_RadSpec!AM15*s_Q_w_game*(1/1000)),".")</f>
        <v>20</v>
      </c>
      <c r="AJ15" s="141">
        <f>IFERROR(s_DL/(up_RadSpec!J15*s_EF_rec*s_ED_rec*s_IRGF_rec*s_CF_fowl),".")</f>
        <v>0.2</v>
      </c>
      <c r="AK15" s="141">
        <f>IFERROR((AG15/(up_RadSpec!AO15*((s_Q_p_fowl*s_f_p_fowl*s_f_s_fowl*(up_RadSpec!BG15+s_R_es_past))+(s_Q_s_fowl*s_f_p_fowl)))),".")</f>
        <v>8.3333333333333339E-4</v>
      </c>
      <c r="AL15" s="141">
        <f>IFERROR(AG15/(up_RadSpec!AO15*s_Q_w_fowl*(1/1000)),".")</f>
        <v>20</v>
      </c>
      <c r="AM15" s="142">
        <f t="shared" si="8"/>
        <v>25</v>
      </c>
      <c r="AN15" s="142">
        <f>IFERROR((s_C*s_IRGL_rec*s_EF_rec*s_ED_rec*s_CF_game*up_RadSpec!AM15)*((s_Q_p_game*s_f_p_game*s_f_s_game*(up_RadSpec!BG15+s_R_es_past))+(s_Q_s_game*s_f_p_game)),".")</f>
        <v>6000</v>
      </c>
      <c r="AO15" s="142">
        <f>IFERROR(s_C*up_RadSpec!AM15*s_Q_w_game*(1/1000)*s_EF_rec*s_ED_rec*s_IRGL_rec*s_CF_game,".")</f>
        <v>0.25</v>
      </c>
      <c r="AP15" s="142">
        <f t="shared" si="9"/>
        <v>25</v>
      </c>
      <c r="AQ15" s="142">
        <f>IFERROR((s_C*s_IRGF_rec*s_EF_rec*s_ED_rec*s_CF_fowl*up_RadSpec!AO15)*((s_Q_p_fowl*s_f_p_fowl*s_f_s_fowl*(up_RadSpec!BG15+s_R_es_past))+(s_Q_s_fowl*s_f_p_fowl)),".")</f>
        <v>6000</v>
      </c>
      <c r="AR15" s="142">
        <f>IFERROR(s_C*up_RadSpec!AO15*s_Q_w_fowl*(1/1000)*s_EF_rec*s_ED_rec*s_IRGL_rec*s_CF_fowl,".")</f>
        <v>0.25</v>
      </c>
    </row>
    <row r="16" spans="1:44" customFormat="1" x14ac:dyDescent="0.25">
      <c r="A16" s="128" t="s">
        <v>14</v>
      </c>
      <c r="B16" s="129" t="s">
        <v>1059</v>
      </c>
      <c r="C16" s="141">
        <f>IFERROR(((s_DL/(up_RadSpec!I16*s_IFS_rec_adj*(1/1000)))*1),".")</f>
        <v>3.6363636363636362</v>
      </c>
      <c r="D16" s="141">
        <f>IFERROR(IF(A16="H-3",(s_DL/((up_RadSpec!L16*s_IFA_rec_adj*(1/17)*1000))*1),(s_DL/((up_RadSpec!L16*s_IFA_rec_adj*(1/s_PEF_wind)*1000))*1)),".")</f>
        <v>33989.90962986408</v>
      </c>
      <c r="E16" s="141">
        <f>IFERROR((s_DL/(up_RadSpec!K16*s_EF_rec*(1/365)*s_ED_rec*up_RadSpec!V16*s_ET_rec*(1/24)*up_RadSpec!AA16)),".")</f>
        <v>84144082.332761645</v>
      </c>
      <c r="F16" s="141">
        <f t="shared" si="13"/>
        <v>3.635974489512058</v>
      </c>
      <c r="G16" s="142">
        <f t="shared" si="1"/>
        <v>1.375</v>
      </c>
      <c r="H16" s="142">
        <f t="shared" si="2"/>
        <v>1.4710247995501936E-4</v>
      </c>
      <c r="I16" s="142">
        <f>IFERROR((s_C*s_EF_rec*(1/365)*s_ED_rec*up_RadSpec!V16*s_ET_rec*(1/24)*up_RadSpec!AA16),".")</f>
        <v>5.9421885192433095E-8</v>
      </c>
      <c r="J16" s="141"/>
      <c r="K16" s="141">
        <f>IFERROR((s_DL/(up_RadSpec!K16*s_EF_rec*(1/365)*s_ED_rec*up_RadSpec!V16*s_ET_rec*(1/24)*up_RadSpec!AA16)),".")</f>
        <v>84144082.332761645</v>
      </c>
      <c r="L16" s="141">
        <f>IFERROR((s_DL/(up_RadSpec!R16*s_EF_rec*(1/365)*s_ED_rec*up_RadSpec!W16*s_ET_rec*(1/24)*up_RadSpec!AB16)),".")</f>
        <v>149857723.57723585</v>
      </c>
      <c r="M16" s="141">
        <f>IFERROR((s_DL/(up_RadSpec!S16*s_EF_rec*(1/365)*s_ED_rec*up_RadSpec!X16*s_ET_rec*(1/24)*up_RadSpec!AC16)),".")</f>
        <v>90025518.618175536</v>
      </c>
      <c r="N16" s="141">
        <f>IFERROR((s_DL/(up_RadSpec!T16*s_EF_rec*(1/365)*s_ED_rec*up_RadSpec!Y16*s_ET_rec*(1/24)*up_RadSpec!AD16)),".")</f>
        <v>90490674.31850794</v>
      </c>
      <c r="O16" s="141">
        <f>IFERROR((s_DL/(up_RadSpec!P16*s_EF_rec*(1/365)*s_ED_rec*up_RadSpec!U16*s_ET_rec*(1/24)*up_RadSpec!Z16)),".")</f>
        <v>3504000000.0000005</v>
      </c>
      <c r="P16" s="142">
        <f>IFERROR((s_C*s_EF_rec*(1/365)*s_ED_rec*up_RadSpec!V16*s_ET_rec*(1/24)*up_RadSpec!AA16),".")</f>
        <v>5.9421885192433095E-8</v>
      </c>
      <c r="Q16" s="142">
        <f>IFERROR((s_C*s_EF_rec*(1/365)*s_ED_rec*up_RadSpec!W16*s_ET_rec*(1/24)*up_RadSpec!AB16),".")</f>
        <v>3.3364980333649787E-8</v>
      </c>
      <c r="R16" s="142">
        <f>IFERROR((s_C*s_EF_rec*(1/365)*s_ED_rec*up_RadSpec!X16*s_ET_rec*(1/24)*up_RadSpec!AC16),".")</f>
        <v>5.5539807787239271E-8</v>
      </c>
      <c r="S16" s="142">
        <f>IFERROR((s_C*s_EF_rec*(1/365)*s_ED_rec*up_RadSpec!Y16*s_ET_rec*(1/24)*up_RadSpec!AD16),".")</f>
        <v>5.5254312531709759E-8</v>
      </c>
      <c r="T16" s="142">
        <f>IFERROR((s_C*s_EF_rec*(1/365)*s_ED_rec*up_RadSpec!U16*s_ET_rec*(1/24)*up_RadSpec!Z16),".")</f>
        <v>1.4269406392694062E-9</v>
      </c>
      <c r="U16" s="141">
        <f>IFERROR((s_DL/(up_RadSpec!L16*s_IFA_rec_adj)),".")</f>
        <v>0.10971428571428574</v>
      </c>
      <c r="V16" s="141">
        <f>IFERROR((s_DL/(up_RadSpec!O16*s_EF_rec*(1/365)*s_ED_rec*s_ET_rec*(1/24)*s_GSF_a)),".")</f>
        <v>175.20000000000002</v>
      </c>
      <c r="W16" s="141">
        <f t="shared" si="11"/>
        <v>0.10964562309317062</v>
      </c>
      <c r="X16" s="142">
        <f t="shared" si="3"/>
        <v>45.572916666666657</v>
      </c>
      <c r="Y16" s="142">
        <f t="shared" si="4"/>
        <v>2.8538812785388126E-2</v>
      </c>
      <c r="Z16" s="141"/>
      <c r="AA16" s="141">
        <f>IFERROR((s_DL/(up_RadSpec!M16*s_IFW_rec_adj)),".")</f>
        <v>2.5000000000000001E-2</v>
      </c>
      <c r="AB16" s="141">
        <f>IFERROR((s_DL/(up_RadSpec!Q16*(1/8760)*s_DFA_rec_adj)),".")</f>
        <v>438</v>
      </c>
      <c r="AC16" s="141">
        <f t="shared" si="5"/>
        <v>2.4998573140802463E-2</v>
      </c>
      <c r="AD16" s="142">
        <f t="shared" si="6"/>
        <v>200</v>
      </c>
      <c r="AE16" s="142">
        <f t="shared" si="7"/>
        <v>1.1415525114155251E-2</v>
      </c>
      <c r="AF16" s="141"/>
      <c r="AG16" s="141">
        <f>IFERROR(s_DL/(up_RadSpec!J16*s_EF_rec*s_ED_rec*s_IRGL_rec*s_CF_game),".")</f>
        <v>0.2</v>
      </c>
      <c r="AH16" s="141">
        <f>IFERROR((AG16/(up_RadSpec!AM16*((s_Q_p_game*s_f_p_game*s_f_s_game*(up_RadSpec!BG16+s_R_es_past))+(s_Q_s_game*s_f_p_game)))),".")</f>
        <v>8.3333333333333339E-4</v>
      </c>
      <c r="AI16" s="141">
        <f>IFERROR(AG16/(up_RadSpec!AM16*s_Q_w_game*(1/1000)),".")</f>
        <v>20</v>
      </c>
      <c r="AJ16" s="141">
        <f>IFERROR(s_DL/(up_RadSpec!J16*s_EF_rec*s_ED_rec*s_IRGF_rec*s_CF_fowl),".")</f>
        <v>0.2</v>
      </c>
      <c r="AK16" s="141">
        <f>IFERROR((AG16/(up_RadSpec!AO16*((s_Q_p_fowl*s_f_p_fowl*s_f_s_fowl*(up_RadSpec!BG16+s_R_es_past))+(s_Q_s_fowl*s_f_p_fowl)))),".")</f>
        <v>8.3333333333333339E-4</v>
      </c>
      <c r="AL16" s="141">
        <f>IFERROR(AG16/(up_RadSpec!AO16*s_Q_w_fowl*(1/1000)),".")</f>
        <v>20</v>
      </c>
      <c r="AM16" s="142">
        <f t="shared" si="8"/>
        <v>25</v>
      </c>
      <c r="AN16" s="142">
        <f>IFERROR((s_C*s_IRGL_rec*s_EF_rec*s_ED_rec*s_CF_game*up_RadSpec!AM16)*((s_Q_p_game*s_f_p_game*s_f_s_game*(up_RadSpec!BG16+s_R_es_past))+(s_Q_s_game*s_f_p_game)),".")</f>
        <v>6000</v>
      </c>
      <c r="AO16" s="142">
        <f>IFERROR(s_C*up_RadSpec!AM16*s_Q_w_game*(1/1000)*s_EF_rec*s_ED_rec*s_IRGL_rec*s_CF_game,".")</f>
        <v>0.25</v>
      </c>
      <c r="AP16" s="142">
        <f t="shared" si="9"/>
        <v>25</v>
      </c>
      <c r="AQ16" s="142">
        <f>IFERROR((s_C*s_IRGF_rec*s_EF_rec*s_ED_rec*s_CF_fowl*up_RadSpec!AO16)*((s_Q_p_fowl*s_f_p_fowl*s_f_s_fowl*(up_RadSpec!BG16+s_R_es_past))+(s_Q_s_fowl*s_f_p_fowl)),".")</f>
        <v>6000</v>
      </c>
      <c r="AR16" s="142">
        <f>IFERROR(s_C*up_RadSpec!AO16*s_Q_w_fowl*(1/1000)*s_EF_rec*s_ED_rec*s_IRGL_rec*s_CF_fowl,".")</f>
        <v>0.25</v>
      </c>
    </row>
    <row r="17" spans="1:44" customFormat="1" x14ac:dyDescent="0.25">
      <c r="A17" s="128" t="s">
        <v>15</v>
      </c>
      <c r="B17" s="129" t="s">
        <v>1059</v>
      </c>
      <c r="C17" s="141">
        <f>IFERROR(((s_DL/(up_RadSpec!I17*s_IFS_rec_adj*(1/1000)))*1),".")</f>
        <v>3.6363636363636362</v>
      </c>
      <c r="D17" s="141">
        <f>IFERROR(IF(A17="H-3",(s_DL/((up_RadSpec!L17*s_IFA_rec_adj*(1/17)*1000))*1),(s_DL/((up_RadSpec!L17*s_IFA_rec_adj*(1/s_PEF_wind)*1000))*1)),".")</f>
        <v>33989.90962986408</v>
      </c>
      <c r="E17" s="141">
        <f>IFERROR((s_DL/(up_RadSpec!K17*s_EF_rec*(1/365)*s_ED_rec*up_RadSpec!V17*s_ET_rec*(1/24)*up_RadSpec!AA17)),".")</f>
        <v>7736.103896103893</v>
      </c>
      <c r="F17" s="141">
        <f>IF(AND(C17&lt;&gt;".",D17&lt;&gt;".",E17&lt;&gt;"."),1/((1/C17)+(1/D17)+(1/E17)),IF(AND(C17&lt;&gt;".",D17&lt;&gt;".",E17="."), 1/((1/C17)+(1/D17)),IF(AND(C17&lt;&gt;".",D17=".",E17&lt;&gt;"."),1/((1/C17)+(1/E17)),IF(AND(C17=".",D17&lt;&gt;".",E17&lt;&gt;"."),1/((1/D17)+(1/E17)),IF(AND(C17&lt;&gt;".",D17=".",E17="."),1/((1/C17)),IF(AND(C17=".",D17&lt;&gt;".",E17="."),1/((1/D17)),IF(AND(C17=".",D17=".",E17&lt;&gt;"."),1/((1/E17)),IF(AND(C17=".",D17=".",E17="."),"."))))))))</f>
        <v>3.6342665386220818</v>
      </c>
      <c r="G17" s="142">
        <f t="shared" si="1"/>
        <v>1.375</v>
      </c>
      <c r="H17" s="142">
        <f t="shared" si="2"/>
        <v>1.4710247995501936E-4</v>
      </c>
      <c r="I17" s="142">
        <f>IFERROR((s_C*s_EF_rec*(1/365)*s_ED_rec*up_RadSpec!V17*s_ET_rec*(1/24)*up_RadSpec!AA17),".")</f>
        <v>6.4632017190437846E-4</v>
      </c>
      <c r="J17" s="141"/>
      <c r="K17" s="141">
        <f>IFERROR((s_DL/(up_RadSpec!K17*s_EF_rec*(1/365)*s_ED_rec*up_RadSpec!V17*s_ET_rec*(1/24)*up_RadSpec!AA17)),".")</f>
        <v>7736.103896103893</v>
      </c>
      <c r="L17" s="141">
        <f>IFERROR((s_DL/(up_RadSpec!R17*s_EF_rec*(1/365)*s_ED_rec*up_RadSpec!W17*s_ET_rec*(1/24)*up_RadSpec!AB17)),".")</f>
        <v>13520.459440057433</v>
      </c>
      <c r="M17" s="141">
        <f>IFERROR((s_DL/(up_RadSpec!S17*s_EF_rec*(1/365)*s_ED_rec*up_RadSpec!X17*s_ET_rec*(1/24)*up_RadSpec!AC17)),".")</f>
        <v>10186.509198273907</v>
      </c>
      <c r="N17" s="141">
        <f>IFERROR((s_DL/(up_RadSpec!T17*s_EF_rec*(1/365)*s_ED_rec*up_RadSpec!Y17*s_ET_rec*(1/24)*up_RadSpec!AD17)),".")</f>
        <v>9058.1645842309335</v>
      </c>
      <c r="O17" s="141">
        <f>IFERROR((s_DL/(up_RadSpec!P17*s_EF_rec*(1/365)*s_ED_rec*up_RadSpec!U17*s_ET_rec*(1/24)*up_RadSpec!Z17)),".")</f>
        <v>25907.040498442369</v>
      </c>
      <c r="P17" s="142">
        <f>IFERROR((s_C*s_EF_rec*(1/365)*s_ED_rec*up_RadSpec!V17*s_ET_rec*(1/24)*up_RadSpec!AA17),".")</f>
        <v>6.4632017190437846E-4</v>
      </c>
      <c r="Q17" s="142">
        <f>IFERROR((s_C*s_EF_rec*(1/365)*s_ED_rec*up_RadSpec!W17*s_ET_rec*(1/24)*up_RadSpec!AB17),".")</f>
        <v>3.6980991823298284E-4</v>
      </c>
      <c r="R17" s="142">
        <f>IFERROR((s_C*s_EF_rec*(1/365)*s_ED_rec*up_RadSpec!X17*s_ET_rec*(1/24)*up_RadSpec!AC17),".")</f>
        <v>4.9084528396118709E-4</v>
      </c>
      <c r="S17" s="142">
        <f>IFERROR((s_C*s_EF_rec*(1/365)*s_ED_rec*up_RadSpec!Y17*s_ET_rec*(1/24)*up_RadSpec!AD17),".")</f>
        <v>5.5198820395738213E-4</v>
      </c>
      <c r="T17" s="142">
        <f>IFERROR((s_C*s_EF_rec*(1/365)*s_ED_rec*up_RadSpec!U17*s_ET_rec*(1/24)*up_RadSpec!Z17),".")</f>
        <v>1.9299772972140988E-4</v>
      </c>
      <c r="U17" s="141">
        <f>IFERROR((s_DL/(up_RadSpec!L17*s_IFA_rec_adj)),".")</f>
        <v>0.10971428571428574</v>
      </c>
      <c r="V17" s="141">
        <f>IFERROR((s_DL/(up_RadSpec!O17*s_EF_rec*(1/365)*s_ED_rec*s_ET_rec*(1/24)*s_GSF_a)),".")</f>
        <v>175.20000000000002</v>
      </c>
      <c r="W17" s="141">
        <f>IFERROR(IF(AND(U17&lt;&gt;".",V17&lt;&gt;"."),1/((1/U17)+(1/V17)),IF(AND(U17&lt;&gt;".",V17="."),1/((1/U17)),IF(AND(U17=".",V17&lt;&gt;"."),1/((1/V17)),IF(AND(U17=".",V17="."),".")))),".")</f>
        <v>0.10964562309317062</v>
      </c>
      <c r="X17" s="142">
        <f t="shared" si="3"/>
        <v>45.572916666666657</v>
      </c>
      <c r="Y17" s="142">
        <f t="shared" si="4"/>
        <v>2.8538812785388126E-2</v>
      </c>
      <c r="Z17" s="141"/>
      <c r="AA17" s="141">
        <f>IFERROR((s_DL/(up_RadSpec!M17*s_IFW_rec_adj)),".")</f>
        <v>2.5000000000000001E-2</v>
      </c>
      <c r="AB17" s="141">
        <f>IFERROR((s_DL/(up_RadSpec!Q17*(1/8760)*s_DFA_rec_adj)),".")</f>
        <v>438</v>
      </c>
      <c r="AC17" s="141">
        <f t="shared" si="5"/>
        <v>2.4998573140802463E-2</v>
      </c>
      <c r="AD17" s="142">
        <f t="shared" si="6"/>
        <v>200</v>
      </c>
      <c r="AE17" s="142">
        <f t="shared" si="7"/>
        <v>1.1415525114155251E-2</v>
      </c>
      <c r="AF17" s="141"/>
      <c r="AG17" s="141">
        <f>IFERROR(s_DL/(up_RadSpec!J17*s_EF_rec*s_ED_rec*s_IRGL_rec*s_CF_game),".")</f>
        <v>0.2</v>
      </c>
      <c r="AH17" s="141">
        <f>IFERROR((AG17/(up_RadSpec!AM17*((s_Q_p_game*s_f_p_game*s_f_s_game*(up_RadSpec!BG17+s_R_es_past))+(s_Q_s_game*s_f_p_game)))),".")</f>
        <v>8.3333333333333339E-4</v>
      </c>
      <c r="AI17" s="141">
        <f>IFERROR(AG17/(up_RadSpec!AM17*s_Q_w_game*(1/1000)),".")</f>
        <v>20</v>
      </c>
      <c r="AJ17" s="141">
        <f>IFERROR(s_DL/(up_RadSpec!J17*s_EF_rec*s_ED_rec*s_IRGF_rec*s_CF_fowl),".")</f>
        <v>0.2</v>
      </c>
      <c r="AK17" s="141">
        <f>IFERROR((AG17/(up_RadSpec!AO17*((s_Q_p_fowl*s_f_p_fowl*s_f_s_fowl*(up_RadSpec!BG17+s_R_es_past))+(s_Q_s_fowl*s_f_p_fowl)))),".")</f>
        <v>8.3333333333333339E-4</v>
      </c>
      <c r="AL17" s="141">
        <f>IFERROR(AG17/(up_RadSpec!AO17*s_Q_w_fowl*(1/1000)),".")</f>
        <v>20</v>
      </c>
      <c r="AM17" s="142">
        <f t="shared" si="8"/>
        <v>25</v>
      </c>
      <c r="AN17" s="142">
        <f>IFERROR((s_C*s_IRGL_rec*s_EF_rec*s_ED_rec*s_CF_game*up_RadSpec!AM17)*((s_Q_p_game*s_f_p_game*s_f_s_game*(up_RadSpec!BG17+s_R_es_past))+(s_Q_s_game*s_f_p_game)),".")</f>
        <v>6000</v>
      </c>
      <c r="AO17" s="142">
        <f>IFERROR(s_C*up_RadSpec!AM17*s_Q_w_game*(1/1000)*s_EF_rec*s_ED_rec*s_IRGL_rec*s_CF_game,".")</f>
        <v>0.25</v>
      </c>
      <c r="AP17" s="142">
        <f t="shared" si="9"/>
        <v>25</v>
      </c>
      <c r="AQ17" s="142">
        <f>IFERROR((s_C*s_IRGF_rec*s_EF_rec*s_ED_rec*s_CF_fowl*up_RadSpec!AO17)*((s_Q_p_fowl*s_f_p_fowl*s_f_s_fowl*(up_RadSpec!BG17+s_R_es_past))+(s_Q_s_fowl*s_f_p_fowl)),".")</f>
        <v>6000</v>
      </c>
      <c r="AR17" s="142">
        <f>IFERROR(s_C*up_RadSpec!AO17*s_Q_w_fowl*(1/1000)*s_EF_rec*s_ED_rec*s_IRGL_rec*s_CF_fowl,".")</f>
        <v>0.25</v>
      </c>
    </row>
    <row r="18" spans="1:44" customFormat="1" x14ac:dyDescent="0.25">
      <c r="A18" s="128" t="s">
        <v>16</v>
      </c>
      <c r="B18" s="129" t="s">
        <v>1059</v>
      </c>
      <c r="C18" s="141">
        <f>IFERROR(((s_DL/(up_RadSpec!I18*s_IFS_rec_adj*(1/1000)))*1),".")</f>
        <v>3.6363636363636362</v>
      </c>
      <c r="D18" s="141">
        <f>IFERROR(IF(A18="H-3",(s_DL/((up_RadSpec!L18*s_IFA_rec_adj*(1/17)*1000))*1),(s_DL/((up_RadSpec!L18*s_IFA_rec_adj*(1/s_PEF_wind)*1000))*1)),".")</f>
        <v>33989.90962986408</v>
      </c>
      <c r="E18" s="141">
        <f>IFERROR((s_DL/(up_RadSpec!K18*s_EF_rec*(1/365)*s_ED_rec*up_RadSpec!V18*s_ET_rec*(1/24)*up_RadSpec!AA18)),".")</f>
        <v>3940.1015479876173</v>
      </c>
      <c r="F18" s="141">
        <f>IF(AND(C18&lt;&gt;".",D18&lt;&gt;".",E18&lt;&gt;"."),1/((1/C18)+(1/D18)+(1/E18)),IF(AND(C18&lt;&gt;".",D18&lt;&gt;".",E18="."), 1/((1/C18)+(1/D18)),IF(AND(C18&lt;&gt;".",D18=".",E18&lt;&gt;"."),1/((1/C18)+(1/E18)),IF(AND(C18=".",D18&lt;&gt;".",E18&lt;&gt;"."),1/((1/D18)+(1/E18)),IF(AND(C18&lt;&gt;".",D18=".",E18="."),1/((1/C18)),IF(AND(C18=".",D18&lt;&gt;".",E18="."),1/((1/D18)),IF(AND(C18=".",D18=".",E18&lt;&gt;"."),1/((1/E18)),IF(AND(C18=".",D18=".",E18="."),"."))))))))</f>
        <v>3.6326224175412216</v>
      </c>
      <c r="G18" s="142">
        <f t="shared" si="1"/>
        <v>1.375</v>
      </c>
      <c r="H18" s="142">
        <f t="shared" si="2"/>
        <v>1.4710247995501936E-4</v>
      </c>
      <c r="I18" s="142">
        <f>IFERROR((s_C*s_EF_rec*(1/365)*s_ED_rec*up_RadSpec!V18*s_ET_rec*(1/24)*up_RadSpec!AA18),".")</f>
        <v>1.2690028262225168E-3</v>
      </c>
      <c r="J18" s="141"/>
      <c r="K18" s="141">
        <f>IFERROR((s_DL/(up_RadSpec!K18*s_EF_rec*(1/365)*s_ED_rec*up_RadSpec!V18*s_ET_rec*(1/24)*up_RadSpec!AA18)),".")</f>
        <v>3940.1015479876173</v>
      </c>
      <c r="L18" s="141">
        <f>IFERROR((s_DL/(up_RadSpec!R18*s_EF_rec*(1/365)*s_ED_rec*up_RadSpec!W18*s_ET_rec*(1/24)*up_RadSpec!AB18)),".")</f>
        <v>7796.3172804532587</v>
      </c>
      <c r="M18" s="141">
        <f>IFERROR((s_DL/(up_RadSpec!S18*s_EF_rec*(1/365)*s_ED_rec*up_RadSpec!X18*s_ET_rec*(1/24)*up_RadSpec!AC18)),".")</f>
        <v>5459.7264747907748</v>
      </c>
      <c r="N18" s="141">
        <f>IFERROR((s_DL/(up_RadSpec!T18*s_EF_rec*(1/365)*s_ED_rec*up_RadSpec!Y18*s_ET_rec*(1/24)*up_RadSpec!AD18)),".")</f>
        <v>4523.4819879579563</v>
      </c>
      <c r="O18" s="141">
        <f>IFERROR((s_DL/(up_RadSpec!P18*s_EF_rec*(1/365)*s_ED_rec*up_RadSpec!U18*s_ET_rec*(1/24)*up_RadSpec!Z18)),".")</f>
        <v>13252.30769230769</v>
      </c>
      <c r="P18" s="142">
        <f>IFERROR((s_C*s_EF_rec*(1/365)*s_ED_rec*up_RadSpec!V18*s_ET_rec*(1/24)*up_RadSpec!AA18),".")</f>
        <v>1.2690028262225168E-3</v>
      </c>
      <c r="Q18" s="142">
        <f>IFERROR((s_C*s_EF_rec*(1/365)*s_ED_rec*up_RadSpec!W18*s_ET_rec*(1/24)*up_RadSpec!AB18),".")</f>
        <v>6.4132844010028698E-4</v>
      </c>
      <c r="R18" s="142">
        <f>IFERROR((s_C*s_EF_rec*(1/365)*s_ED_rec*up_RadSpec!X18*s_ET_rec*(1/24)*up_RadSpec!AC18),".")</f>
        <v>9.1579679368307691E-4</v>
      </c>
      <c r="S18" s="142">
        <f>IFERROR((s_C*s_EF_rec*(1/365)*s_ED_rec*up_RadSpec!Y18*s_ET_rec*(1/24)*up_RadSpec!AD18),".")</f>
        <v>1.1053431876838662E-3</v>
      </c>
      <c r="T18" s="142">
        <f>IFERROR((s_C*s_EF_rec*(1/365)*s_ED_rec*up_RadSpec!U18*s_ET_rec*(1/24)*up_RadSpec!Z18),".")</f>
        <v>3.7729277919665668E-4</v>
      </c>
      <c r="U18" s="141">
        <f>IFERROR((s_DL/(up_RadSpec!L18*s_IFA_rec_adj)),".")</f>
        <v>0.10971428571428574</v>
      </c>
      <c r="V18" s="141">
        <f>IFERROR((s_DL/(up_RadSpec!O18*s_EF_rec*(1/365)*s_ED_rec*s_ET_rec*(1/24)*s_GSF_a)),".")</f>
        <v>175.20000000000002</v>
      </c>
      <c r="W18" s="141">
        <f t="shared" ref="W18:W20" si="14">IFERROR(IF(AND(U18&lt;&gt;".",V18&lt;&gt;"."),1/((1/U18)+(1/V18)),IF(AND(U18&lt;&gt;".",V18="."),1/((1/U18)),IF(AND(U18=".",V18&lt;&gt;"."),1/((1/V18)),IF(AND(U18=".",V18="."),".")))),".")</f>
        <v>0.10964562309317062</v>
      </c>
      <c r="X18" s="142">
        <f t="shared" si="3"/>
        <v>45.572916666666657</v>
      </c>
      <c r="Y18" s="142">
        <f t="shared" si="4"/>
        <v>2.8538812785388126E-2</v>
      </c>
      <c r="Z18" s="141"/>
      <c r="AA18" s="141">
        <f>IFERROR((s_DL/(up_RadSpec!M18*s_IFW_rec_adj)),".")</f>
        <v>2.5000000000000001E-2</v>
      </c>
      <c r="AB18" s="141">
        <f>IFERROR((s_DL/(up_RadSpec!Q18*(1/8760)*s_DFA_rec_adj)),".")</f>
        <v>438</v>
      </c>
      <c r="AC18" s="141">
        <f t="shared" si="5"/>
        <v>2.4998573140802463E-2</v>
      </c>
      <c r="AD18" s="142">
        <f t="shared" si="6"/>
        <v>200</v>
      </c>
      <c r="AE18" s="142">
        <f t="shared" si="7"/>
        <v>1.1415525114155251E-2</v>
      </c>
      <c r="AF18" s="141"/>
      <c r="AG18" s="141">
        <f>IFERROR(s_DL/(up_RadSpec!J18*s_EF_rec*s_ED_rec*s_IRGL_rec*s_CF_game),".")</f>
        <v>0.2</v>
      </c>
      <c r="AH18" s="141">
        <f>IFERROR((AG18/(up_RadSpec!AM18*((s_Q_p_game*s_f_p_game*s_f_s_game*(up_RadSpec!BG18+s_R_es_past))+(s_Q_s_game*s_f_p_game)))),".")</f>
        <v>8.3333333333333339E-4</v>
      </c>
      <c r="AI18" s="141">
        <f>IFERROR(AG18/(up_RadSpec!AM18*s_Q_w_game*(1/1000)),".")</f>
        <v>20</v>
      </c>
      <c r="AJ18" s="141">
        <f>IFERROR(s_DL/(up_RadSpec!J18*s_EF_rec*s_ED_rec*s_IRGF_rec*s_CF_fowl),".")</f>
        <v>0.2</v>
      </c>
      <c r="AK18" s="141">
        <f>IFERROR((AG18/(up_RadSpec!AO18*((s_Q_p_fowl*s_f_p_fowl*s_f_s_fowl*(up_RadSpec!BG18+s_R_es_past))+(s_Q_s_fowl*s_f_p_fowl)))),".")</f>
        <v>8.3333333333333339E-4</v>
      </c>
      <c r="AL18" s="141">
        <f>IFERROR(AG18/(up_RadSpec!AO18*s_Q_w_fowl*(1/1000)),".")</f>
        <v>20</v>
      </c>
      <c r="AM18" s="142">
        <f t="shared" si="8"/>
        <v>25</v>
      </c>
      <c r="AN18" s="142">
        <f>IFERROR((s_C*s_IRGL_rec*s_EF_rec*s_ED_rec*s_CF_game*up_RadSpec!AM18)*((s_Q_p_game*s_f_p_game*s_f_s_game*(up_RadSpec!BG18+s_R_es_past))+(s_Q_s_game*s_f_p_game)),".")</f>
        <v>6000</v>
      </c>
      <c r="AO18" s="142">
        <f>IFERROR(s_C*up_RadSpec!AM18*s_Q_w_game*(1/1000)*s_EF_rec*s_ED_rec*s_IRGL_rec*s_CF_game,".")</f>
        <v>0.25</v>
      </c>
      <c r="AP18" s="142">
        <f t="shared" si="9"/>
        <v>25</v>
      </c>
      <c r="AQ18" s="142">
        <f>IFERROR((s_C*s_IRGF_rec*s_EF_rec*s_ED_rec*s_CF_fowl*up_RadSpec!AO18)*((s_Q_p_fowl*s_f_p_fowl*s_f_s_fowl*(up_RadSpec!BG18+s_R_es_past))+(s_Q_s_fowl*s_f_p_fowl)),".")</f>
        <v>6000</v>
      </c>
      <c r="AR18" s="142">
        <f>IFERROR(s_C*up_RadSpec!AO18*s_Q_w_fowl*(1/1000)*s_EF_rec*s_ED_rec*s_IRGL_rec*s_CF_fowl,".")</f>
        <v>0.25</v>
      </c>
    </row>
    <row r="19" spans="1:44" customFormat="1" x14ac:dyDescent="0.25">
      <c r="A19" s="128" t="s">
        <v>17</v>
      </c>
      <c r="B19" s="129" t="s">
        <v>1059</v>
      </c>
      <c r="C19" s="141">
        <f>IFERROR(((s_DL/(up_RadSpec!I19*s_IFS_rec_adj*(1/1000)))*1),".")</f>
        <v>3.6363636363636362</v>
      </c>
      <c r="D19" s="141">
        <f>IFERROR(IF(A19="H-3",(s_DL/((up_RadSpec!L19*s_IFA_rec_adj*(1/17)*1000))*1),(s_DL/((up_RadSpec!L19*s_IFA_rec_adj*(1/s_PEF_wind)*1000))*1)),".")</f>
        <v>33989.90962986408</v>
      </c>
      <c r="E19" s="141">
        <f>IFERROR((s_DL/(up_RadSpec!K19*s_EF_rec*(1/365)*s_ED_rec*up_RadSpec!V19*s_ET_rec*(1/24)*up_RadSpec!AA19)),".")</f>
        <v>4020.4563335955954</v>
      </c>
      <c r="F19" s="141">
        <f t="shared" ref="F19:F20" si="15">IF(AND(C19&lt;&gt;".",D19&lt;&gt;".",E19&lt;&gt;"."),1/((1/C19)+(1/D19)+(1/E19)),IF(AND(C19&lt;&gt;".",D19&lt;&gt;".",E19="."), 1/((1/C19)+(1/D19)),IF(AND(C19&lt;&gt;".",D19=".",E19&lt;&gt;"."),1/((1/C19)+(1/E19)),IF(AND(C19=".",D19&lt;&gt;".",E19&lt;&gt;"."),1/((1/D19)+(1/E19)),IF(AND(C19&lt;&gt;".",D19=".",E19="."),1/((1/C19)),IF(AND(C19=".",D19&lt;&gt;".",E19="."),1/((1/D19)),IF(AND(C19=".",D19=".",E19&lt;&gt;"."),1/((1/E19)),IF(AND(C19=".",D19=".",E19="."),"."))))))))</f>
        <v>3.6326893562764391</v>
      </c>
      <c r="G19" s="142">
        <f t="shared" si="1"/>
        <v>1.375</v>
      </c>
      <c r="H19" s="142">
        <f t="shared" si="2"/>
        <v>1.4710247995501936E-4</v>
      </c>
      <c r="I19" s="142">
        <f>IFERROR((s_C*s_EF_rec*(1/365)*s_ED_rec*up_RadSpec!V19*s_ET_rec*(1/24)*up_RadSpec!AA19),".")</f>
        <v>1.2436399217221131E-3</v>
      </c>
      <c r="J19" s="141"/>
      <c r="K19" s="141">
        <f>IFERROR((s_DL/(up_RadSpec!K19*s_EF_rec*(1/365)*s_ED_rec*up_RadSpec!V19*s_ET_rec*(1/24)*up_RadSpec!AA19)),".")</f>
        <v>4020.4563335955954</v>
      </c>
      <c r="L19" s="141">
        <f>IFERROR((s_DL/(up_RadSpec!R19*s_EF_rec*(1/365)*s_ED_rec*up_RadSpec!W19*s_ET_rec*(1/24)*up_RadSpec!AB19)),".")</f>
        <v>7974.1875146130496</v>
      </c>
      <c r="M19" s="141">
        <f>IFERROR((s_DL/(up_RadSpec!S19*s_EF_rec*(1/365)*s_ED_rec*up_RadSpec!X19*s_ET_rec*(1/24)*up_RadSpec!AC19)),".")</f>
        <v>5527.7005347593613</v>
      </c>
      <c r="N19" s="141">
        <f>IFERROR((s_DL/(up_RadSpec!T19*s_EF_rec*(1/365)*s_ED_rec*up_RadSpec!Y19*s_ET_rec*(1/24)*up_RadSpec!AD19)),".")</f>
        <v>4616.7567567567567</v>
      </c>
      <c r="O19" s="141">
        <f>IFERROR((s_DL/(up_RadSpec!P19*s_EF_rec*(1/365)*s_ED_rec*up_RadSpec!U19*s_ET_rec*(1/24)*up_RadSpec!Z19)),".")</f>
        <v>13731.770343116294</v>
      </c>
      <c r="P19" s="142">
        <f>IFERROR((s_C*s_EF_rec*(1/365)*s_ED_rec*up_RadSpec!V19*s_ET_rec*(1/24)*up_RadSpec!AA19),".")</f>
        <v>1.2436399217221131E-3</v>
      </c>
      <c r="Q19" s="142">
        <f>IFERROR((s_C*s_EF_rec*(1/365)*s_ED_rec*up_RadSpec!W19*s_ET_rec*(1/24)*up_RadSpec!AB19),".")</f>
        <v>6.2702312816663517E-4</v>
      </c>
      <c r="R19" s="142">
        <f>IFERROR((s_C*s_EF_rec*(1/365)*s_ED_rec*up_RadSpec!X19*s_ET_rec*(1/24)*up_RadSpec!AC19),".")</f>
        <v>9.0453525268941978E-4</v>
      </c>
      <c r="S19" s="142">
        <f>IFERROR((s_C*s_EF_rec*(1/365)*s_ED_rec*up_RadSpec!Y19*s_ET_rec*(1/24)*up_RadSpec!AD19),".")</f>
        <v>1.0830113569839598E-3</v>
      </c>
      <c r="T19" s="142">
        <f>IFERROR((s_C*s_EF_rec*(1/365)*s_ED_rec*up_RadSpec!U19*s_ET_rec*(1/24)*up_RadSpec!Z19),".")</f>
        <v>3.6411911028693317E-4</v>
      </c>
      <c r="U19" s="141">
        <f>IFERROR((s_DL/(up_RadSpec!L19*s_IFA_rec_adj)),".")</f>
        <v>0.10971428571428574</v>
      </c>
      <c r="V19" s="141">
        <f>IFERROR((s_DL/(up_RadSpec!O19*s_EF_rec*(1/365)*s_ED_rec*s_ET_rec*(1/24)*s_GSF_a)),".")</f>
        <v>175.20000000000002</v>
      </c>
      <c r="W19" s="141">
        <f t="shared" si="14"/>
        <v>0.10964562309317062</v>
      </c>
      <c r="X19" s="142">
        <f t="shared" si="3"/>
        <v>45.572916666666657</v>
      </c>
      <c r="Y19" s="142">
        <f t="shared" si="4"/>
        <v>2.8538812785388126E-2</v>
      </c>
      <c r="Z19" s="141"/>
      <c r="AA19" s="141">
        <f>IFERROR((s_DL/(up_RadSpec!M19*s_IFW_rec_adj)),".")</f>
        <v>2.5000000000000001E-2</v>
      </c>
      <c r="AB19" s="141">
        <f>IFERROR((s_DL/(up_RadSpec!Q19*(1/8760)*s_DFA_rec_adj)),".")</f>
        <v>438</v>
      </c>
      <c r="AC19" s="141">
        <f t="shared" si="5"/>
        <v>2.4998573140802463E-2</v>
      </c>
      <c r="AD19" s="142">
        <f t="shared" si="6"/>
        <v>200</v>
      </c>
      <c r="AE19" s="142">
        <f t="shared" si="7"/>
        <v>1.1415525114155251E-2</v>
      </c>
      <c r="AF19" s="141"/>
      <c r="AG19" s="141">
        <f>IFERROR(s_DL/(up_RadSpec!J19*s_EF_rec*s_ED_rec*s_IRGL_rec*s_CF_game),".")</f>
        <v>0.2</v>
      </c>
      <c r="AH19" s="141">
        <f>IFERROR((AG19/(up_RadSpec!AM19*((s_Q_p_game*s_f_p_game*s_f_s_game*(up_RadSpec!BG19+s_R_es_past))+(s_Q_s_game*s_f_p_game)))),".")</f>
        <v>8.3333333333333339E-4</v>
      </c>
      <c r="AI19" s="141">
        <f>IFERROR(AG19/(up_RadSpec!AM19*s_Q_w_game*(1/1000)),".")</f>
        <v>20</v>
      </c>
      <c r="AJ19" s="141">
        <f>IFERROR(s_DL/(up_RadSpec!J19*s_EF_rec*s_ED_rec*s_IRGF_rec*s_CF_fowl),".")</f>
        <v>0.2</v>
      </c>
      <c r="AK19" s="141">
        <f>IFERROR((AG19/(up_RadSpec!AO19*((s_Q_p_fowl*s_f_p_fowl*s_f_s_fowl*(up_RadSpec!BG19+s_R_es_past))+(s_Q_s_fowl*s_f_p_fowl)))),".")</f>
        <v>8.3333333333333339E-4</v>
      </c>
      <c r="AL19" s="141">
        <f>IFERROR(AG19/(up_RadSpec!AO19*s_Q_w_fowl*(1/1000)),".")</f>
        <v>20</v>
      </c>
      <c r="AM19" s="142">
        <f t="shared" si="8"/>
        <v>25</v>
      </c>
      <c r="AN19" s="142">
        <f>IFERROR((s_C*s_IRGL_rec*s_EF_rec*s_ED_rec*s_CF_game*up_RadSpec!AM19)*((s_Q_p_game*s_f_p_game*s_f_s_game*(up_RadSpec!BG19+s_R_es_past))+(s_Q_s_game*s_f_p_game)),".")</f>
        <v>6000</v>
      </c>
      <c r="AO19" s="142">
        <f>IFERROR(s_C*up_RadSpec!AM19*s_Q_w_game*(1/1000)*s_EF_rec*s_ED_rec*s_IRGL_rec*s_CF_game,".")</f>
        <v>0.25</v>
      </c>
      <c r="AP19" s="142">
        <f t="shared" si="9"/>
        <v>25</v>
      </c>
      <c r="AQ19" s="142">
        <f>IFERROR((s_C*s_IRGF_rec*s_EF_rec*s_ED_rec*s_CF_fowl*up_RadSpec!AO19)*((s_Q_p_fowl*s_f_p_fowl*s_f_s_fowl*(up_RadSpec!BG19+s_R_es_past))+(s_Q_s_fowl*s_f_p_fowl)),".")</f>
        <v>6000</v>
      </c>
      <c r="AR19" s="142">
        <f>IFERROR(s_C*up_RadSpec!AO19*s_Q_w_fowl*(1/1000)*s_EF_rec*s_ED_rec*s_IRGL_rec*s_CF_fowl,".")</f>
        <v>0.25</v>
      </c>
    </row>
    <row r="20" spans="1:44" customFormat="1" x14ac:dyDescent="0.25">
      <c r="A20" s="128" t="s">
        <v>18</v>
      </c>
      <c r="B20" s="129" t="s">
        <v>1059</v>
      </c>
      <c r="C20" s="141">
        <f>IFERROR(((s_DL/(up_RadSpec!I20*s_IFS_rec_adj*(1/1000)))*1),".")</f>
        <v>3.6363636363636362</v>
      </c>
      <c r="D20" s="141">
        <f>IFERROR(IF(A20="H-3",(s_DL/((up_RadSpec!L20*s_IFA_rec_adj*(1/17)*1000))*1),(s_DL/((up_RadSpec!L20*s_IFA_rec_adj*(1/s_PEF_wind)*1000))*1)),".")</f>
        <v>33989.90962986408</v>
      </c>
      <c r="E20" s="141">
        <f>IFERROR((s_DL/(up_RadSpec!K20*s_EF_rec*(1/365)*s_ED_rec*up_RadSpec!V20*s_ET_rec*(1/24)*up_RadSpec!AA20)),".")</f>
        <v>3953.3352718813585</v>
      </c>
      <c r="F20" s="141">
        <f t="shared" si="15"/>
        <v>3.6326336287609622</v>
      </c>
      <c r="G20" s="142">
        <f t="shared" si="1"/>
        <v>1.375</v>
      </c>
      <c r="H20" s="142">
        <f t="shared" si="2"/>
        <v>1.4710247995501936E-4</v>
      </c>
      <c r="I20" s="142">
        <f>IFERROR((s_C*s_EF_rec*(1/365)*s_ED_rec*up_RadSpec!V20*s_ET_rec*(1/24)*up_RadSpec!AA20),".")</f>
        <v>1.2647548604246112E-3</v>
      </c>
      <c r="J20" s="141"/>
      <c r="K20" s="141">
        <f>IFERROR((s_DL/(up_RadSpec!K20*s_EF_rec*(1/365)*s_ED_rec*up_RadSpec!V20*s_ET_rec*(1/24)*up_RadSpec!AA20)),".")</f>
        <v>3953.3352718813585</v>
      </c>
      <c r="L20" s="141">
        <f>IFERROR((s_DL/(up_RadSpec!R20*s_EF_rec*(1/365)*s_ED_rec*up_RadSpec!W20*s_ET_rec*(1/24)*up_RadSpec!AB20)),".")</f>
        <v>7796.3515754560558</v>
      </c>
      <c r="M20" s="141">
        <f>IFERROR((s_DL/(up_RadSpec!S20*s_EF_rec*(1/365)*s_ED_rec*up_RadSpec!X20*s_ET_rec*(1/24)*up_RadSpec!AC20)),".")</f>
        <v>5454.9450549450576</v>
      </c>
      <c r="N20" s="141">
        <f>IFERROR((s_DL/(up_RadSpec!T20*s_EF_rec*(1/365)*s_ED_rec*up_RadSpec!Y20*s_ET_rec*(1/24)*up_RadSpec!AD20)),".")</f>
        <v>4580.3921568627475</v>
      </c>
      <c r="O20" s="141">
        <f>IFERROR((s_DL/(up_RadSpec!P20*s_EF_rec*(1/365)*s_ED_rec*up_RadSpec!U20*s_ET_rec*(1/24)*up_RadSpec!Z20)),".")</f>
        <v>13284.684684684691</v>
      </c>
      <c r="P20" s="142">
        <f>IFERROR((s_C*s_EF_rec*(1/365)*s_ED_rec*up_RadSpec!V20*s_ET_rec*(1/24)*up_RadSpec!AA20),".")</f>
        <v>1.2647548604246112E-3</v>
      </c>
      <c r="Q20" s="142">
        <f>IFERROR((s_C*s_EF_rec*(1/365)*s_ED_rec*up_RadSpec!W20*s_ET_rec*(1/24)*up_RadSpec!AB20),".")</f>
        <v>6.4132561899089575E-4</v>
      </c>
      <c r="R20" s="142">
        <f>IFERROR((s_C*s_EF_rec*(1/365)*s_ED_rec*up_RadSpec!X20*s_ET_rec*(1/24)*up_RadSpec!AC20),".")</f>
        <v>9.1659951651893595E-4</v>
      </c>
      <c r="S20" s="142">
        <f>IFERROR((s_C*s_EF_rec*(1/365)*s_ED_rec*up_RadSpec!Y20*s_ET_rec*(1/24)*up_RadSpec!AD20),".")</f>
        <v>1.0916095890410953E-3</v>
      </c>
      <c r="T20" s="142">
        <f>IFERROR((s_C*s_EF_rec*(1/365)*s_ED_rec*up_RadSpec!U20*s_ET_rec*(1/24)*up_RadSpec!Z20),".")</f>
        <v>3.7637325376373235E-4</v>
      </c>
      <c r="U20" s="141">
        <f>IFERROR((s_DL/(up_RadSpec!L20*s_IFA_rec_adj)),".")</f>
        <v>0.10971428571428574</v>
      </c>
      <c r="V20" s="141">
        <f>IFERROR((s_DL/(up_RadSpec!O20*s_EF_rec*(1/365)*s_ED_rec*s_ET_rec*(1/24)*s_GSF_a)),".")</f>
        <v>175.20000000000002</v>
      </c>
      <c r="W20" s="141">
        <f t="shared" si="14"/>
        <v>0.10964562309317062</v>
      </c>
      <c r="X20" s="142">
        <f t="shared" si="3"/>
        <v>45.572916666666657</v>
      </c>
      <c r="Y20" s="142">
        <f t="shared" si="4"/>
        <v>2.8538812785388126E-2</v>
      </c>
      <c r="Z20" s="141"/>
      <c r="AA20" s="141">
        <f>IFERROR((s_DL/(up_RadSpec!M20*s_IFW_rec_adj)),".")</f>
        <v>2.5000000000000001E-2</v>
      </c>
      <c r="AB20" s="141">
        <f>IFERROR((s_DL/(up_RadSpec!Q20*(1/8760)*s_DFA_rec_adj)),".")</f>
        <v>438</v>
      </c>
      <c r="AC20" s="141">
        <f t="shared" si="5"/>
        <v>2.4998573140802463E-2</v>
      </c>
      <c r="AD20" s="142">
        <f t="shared" si="6"/>
        <v>200</v>
      </c>
      <c r="AE20" s="142">
        <f t="shared" si="7"/>
        <v>1.1415525114155251E-2</v>
      </c>
      <c r="AF20" s="141"/>
      <c r="AG20" s="141">
        <f>IFERROR(s_DL/(up_RadSpec!J20*s_EF_rec*s_ED_rec*s_IRGL_rec*s_CF_game),".")</f>
        <v>0.2</v>
      </c>
      <c r="AH20" s="141">
        <f>IFERROR((AG20/(up_RadSpec!AM20*((s_Q_p_game*s_f_p_game*s_f_s_game*(up_RadSpec!BG20+s_R_es_past))+(s_Q_s_game*s_f_p_game)))),".")</f>
        <v>8.3333333333333339E-4</v>
      </c>
      <c r="AI20" s="141">
        <f>IFERROR(AG20/(up_RadSpec!AM20*s_Q_w_game*(1/1000)),".")</f>
        <v>20</v>
      </c>
      <c r="AJ20" s="141">
        <f>IFERROR(s_DL/(up_RadSpec!J20*s_EF_rec*s_ED_rec*s_IRGF_rec*s_CF_fowl),".")</f>
        <v>0.2</v>
      </c>
      <c r="AK20" s="141">
        <f>IFERROR((AG20/(up_RadSpec!AO20*((s_Q_p_fowl*s_f_p_fowl*s_f_s_fowl*(up_RadSpec!BG20+s_R_es_past))+(s_Q_s_fowl*s_f_p_fowl)))),".")</f>
        <v>8.3333333333333339E-4</v>
      </c>
      <c r="AL20" s="141">
        <f>IFERROR(AG20/(up_RadSpec!AO20*s_Q_w_fowl*(1/1000)),".")</f>
        <v>20</v>
      </c>
      <c r="AM20" s="142">
        <f t="shared" si="8"/>
        <v>25</v>
      </c>
      <c r="AN20" s="142">
        <f>IFERROR((s_C*s_IRGL_rec*s_EF_rec*s_ED_rec*s_CF_game*up_RadSpec!AM20)*((s_Q_p_game*s_f_p_game*s_f_s_game*(up_RadSpec!BG20+s_R_es_past))+(s_Q_s_game*s_f_p_game)),".")</f>
        <v>6000</v>
      </c>
      <c r="AO20" s="142">
        <f>IFERROR(s_C*up_RadSpec!AM20*s_Q_w_game*(1/1000)*s_EF_rec*s_ED_rec*s_IRGL_rec*s_CF_game,".")</f>
        <v>0.25</v>
      </c>
      <c r="AP20" s="142">
        <f t="shared" si="9"/>
        <v>25</v>
      </c>
      <c r="AQ20" s="142">
        <f>IFERROR((s_C*s_IRGF_rec*s_EF_rec*s_ED_rec*s_CF_fowl*up_RadSpec!AO20)*((s_Q_p_fowl*s_f_p_fowl*s_f_s_fowl*(up_RadSpec!BG20+s_R_es_past))+(s_Q_s_fowl*s_f_p_fowl)),".")</f>
        <v>6000</v>
      </c>
      <c r="AR20" s="142">
        <f>IFERROR(s_C*up_RadSpec!AO20*s_Q_w_fowl*(1/1000)*s_EF_rec*s_ED_rec*s_IRGL_rec*s_CF_fowl,".")</f>
        <v>0.25</v>
      </c>
    </row>
    <row r="21" spans="1:44" customFormat="1" x14ac:dyDescent="0.25">
      <c r="A21" s="128" t="s">
        <v>19</v>
      </c>
      <c r="B21" s="129" t="s">
        <v>1059</v>
      </c>
      <c r="C21" s="141">
        <f>IFERROR(((s_DL/(up_RadSpec!I21*s_IFS_rec_adj*(1/1000)))*1),".")</f>
        <v>3.6363636363636362</v>
      </c>
      <c r="D21" s="141">
        <f>IFERROR(IF(A21="H-3",(s_DL/((up_RadSpec!L21*s_IFA_rec_adj*(1/17)*1000))*1),(s_DL/((up_RadSpec!L21*s_IFA_rec_adj*(1/s_PEF_wind)*1000))*1)),".")</f>
        <v>33989.90962986408</v>
      </c>
      <c r="E21" s="141" t="str">
        <f>IFERROR((s_DL/(up_RadSpec!K21*s_EF_rec*(1/365)*s_ED_rec*up_RadSpec!V21*s_ET_rec*(1/24)*up_RadSpec!AA21)),".")</f>
        <v>.</v>
      </c>
      <c r="F21" s="141">
        <f>IF(AND(C21&lt;&gt;".",D21&lt;&gt;".",E21&lt;&gt;"."),1/((1/C21)+(1/D21)+(1/E21)),IF(AND(C21&lt;&gt;".",D21&lt;&gt;".",E21="."), 1/((1/C21)+(1/D21)),IF(AND(C21&lt;&gt;".",D21=".",E21&lt;&gt;"."),1/((1/C21)+(1/E21)),IF(AND(C21=".",D21&lt;&gt;".",E21&lt;&gt;"."),1/((1/D21)+(1/E21)),IF(AND(C21&lt;&gt;".",D21=".",E21="."),1/((1/C21)),IF(AND(C21=".",D21&lt;&gt;".",E21="."),1/((1/D21)),IF(AND(C21=".",D21=".",E21&lt;&gt;"."),1/((1/E21)),IF(AND(C21=".",D21=".",E21="."),"."))))))))</f>
        <v>3.6359746466272194</v>
      </c>
      <c r="G21" s="142">
        <f t="shared" si="1"/>
        <v>1.375</v>
      </c>
      <c r="H21" s="142">
        <f t="shared" si="2"/>
        <v>1.4710247995501936E-4</v>
      </c>
      <c r="I21" s="142">
        <f>IFERROR((s_C*s_EF_rec*(1/365)*s_ED_rec*up_RadSpec!V21*s_ET_rec*(1/24)*up_RadSpec!AA21),".")</f>
        <v>0</v>
      </c>
      <c r="J21" s="141"/>
      <c r="K21" s="141" t="str">
        <f>IFERROR((s_DL/(up_RadSpec!K21*s_EF_rec*(1/365)*s_ED_rec*up_RadSpec!V21*s_ET_rec*(1/24)*up_RadSpec!AA21)),".")</f>
        <v>.</v>
      </c>
      <c r="L21" s="141" t="str">
        <f>IFERROR((s_DL/(up_RadSpec!R21*s_EF_rec*(1/365)*s_ED_rec*up_RadSpec!W21*s_ET_rec*(1/24)*up_RadSpec!AB21)),".")</f>
        <v>.</v>
      </c>
      <c r="M21" s="141" t="str">
        <f>IFERROR((s_DL/(up_RadSpec!S21*s_EF_rec*(1/365)*s_ED_rec*up_RadSpec!X21*s_ET_rec*(1/24)*up_RadSpec!AC21)),".")</f>
        <v>.</v>
      </c>
      <c r="N21" s="141" t="str">
        <f>IFERROR((s_DL/(up_RadSpec!T21*s_EF_rec*(1/365)*s_ED_rec*up_RadSpec!Y21*s_ET_rec*(1/24)*up_RadSpec!AD21)),".")</f>
        <v>.</v>
      </c>
      <c r="O21" s="141" t="str">
        <f>IFERROR((s_DL/(up_RadSpec!P21*s_EF_rec*(1/365)*s_ED_rec*up_RadSpec!U21*s_ET_rec*(1/24)*up_RadSpec!Z21)),".")</f>
        <v>.</v>
      </c>
      <c r="P21" s="142">
        <f>IFERROR((s_C*s_EF_rec*(1/365)*s_ED_rec*up_RadSpec!V21*s_ET_rec*(1/24)*up_RadSpec!AA21),".")</f>
        <v>0</v>
      </c>
      <c r="Q21" s="142">
        <f>IFERROR((s_C*s_EF_rec*(1/365)*s_ED_rec*up_RadSpec!W21*s_ET_rec*(1/24)*up_RadSpec!AB21),".")</f>
        <v>0</v>
      </c>
      <c r="R21" s="142">
        <f>IFERROR((s_C*s_EF_rec*(1/365)*s_ED_rec*up_RadSpec!X21*s_ET_rec*(1/24)*up_RadSpec!AC21),".")</f>
        <v>0</v>
      </c>
      <c r="S21" s="142">
        <f>IFERROR((s_C*s_EF_rec*(1/365)*s_ED_rec*up_RadSpec!Y21*s_ET_rec*(1/24)*up_RadSpec!AD21),".")</f>
        <v>0</v>
      </c>
      <c r="T21" s="142">
        <f>IFERROR((s_C*s_EF_rec*(1/365)*s_ED_rec*up_RadSpec!U21*s_ET_rec*(1/24)*up_RadSpec!Z21),".")</f>
        <v>0</v>
      </c>
      <c r="U21" s="141">
        <f>IFERROR((s_DL/(up_RadSpec!L21*s_IFA_rec_adj)),".")</f>
        <v>0.10971428571428574</v>
      </c>
      <c r="V21" s="141">
        <f>IFERROR((s_DL/(up_RadSpec!O21*s_EF_rec*(1/365)*s_ED_rec*s_ET_rec*(1/24)*s_GSF_a)),".")</f>
        <v>175.20000000000002</v>
      </c>
      <c r="W21" s="141">
        <f>IFERROR(IF(AND(U21&lt;&gt;".",V21&lt;&gt;"."),1/((1/U21)+(1/V21)),IF(AND(U21&lt;&gt;".",V21="."),1/((1/U21)),IF(AND(U21=".",V21&lt;&gt;"."),1/((1/V21)),IF(AND(U21=".",V21="."),".")))),".")</f>
        <v>0.10964562309317062</v>
      </c>
      <c r="X21" s="142">
        <f t="shared" si="3"/>
        <v>45.572916666666657</v>
      </c>
      <c r="Y21" s="142">
        <f t="shared" si="4"/>
        <v>2.8538812785388126E-2</v>
      </c>
      <c r="Z21" s="141"/>
      <c r="AA21" s="141">
        <f>IFERROR((s_DL/(up_RadSpec!M21*s_IFW_rec_adj)),".")</f>
        <v>2.5000000000000001E-2</v>
      </c>
      <c r="AB21" s="141">
        <f>IFERROR((s_DL/(up_RadSpec!Q21*(1/8760)*s_DFA_rec_adj)),".")</f>
        <v>438</v>
      </c>
      <c r="AC21" s="141">
        <f t="shared" si="5"/>
        <v>2.4998573140802463E-2</v>
      </c>
      <c r="AD21" s="142">
        <f t="shared" si="6"/>
        <v>200</v>
      </c>
      <c r="AE21" s="142">
        <f t="shared" si="7"/>
        <v>1.1415525114155251E-2</v>
      </c>
      <c r="AF21" s="141"/>
      <c r="AG21" s="141">
        <f>IFERROR(s_DL/(up_RadSpec!J21*s_EF_rec*s_ED_rec*s_IRGL_rec*s_CF_game),".")</f>
        <v>0.2</v>
      </c>
      <c r="AH21" s="141">
        <f>IFERROR((AG21/(up_RadSpec!AM21*((s_Q_p_game*s_f_p_game*s_f_s_game*(up_RadSpec!BG21+s_R_es_past))+(s_Q_s_game*s_f_p_game)))),".")</f>
        <v>8.3333333333333339E-4</v>
      </c>
      <c r="AI21" s="141">
        <f>IFERROR(AG21/(up_RadSpec!AM21*s_Q_w_game*(1/1000)),".")</f>
        <v>20</v>
      </c>
      <c r="AJ21" s="141">
        <f>IFERROR(s_DL/(up_RadSpec!J21*s_EF_rec*s_ED_rec*s_IRGF_rec*s_CF_fowl),".")</f>
        <v>0.2</v>
      </c>
      <c r="AK21" s="141">
        <f>IFERROR((AG21/(up_RadSpec!AO21*((s_Q_p_fowl*s_f_p_fowl*s_f_s_fowl*(up_RadSpec!BG21+s_R_es_past))+(s_Q_s_fowl*s_f_p_fowl)))),".")</f>
        <v>8.3333333333333339E-4</v>
      </c>
      <c r="AL21" s="141">
        <f>IFERROR(AG21/(up_RadSpec!AO21*s_Q_w_fowl*(1/1000)),".")</f>
        <v>20</v>
      </c>
      <c r="AM21" s="142">
        <f t="shared" si="8"/>
        <v>25</v>
      </c>
      <c r="AN21" s="142">
        <f>IFERROR((s_C*s_IRGL_rec*s_EF_rec*s_ED_rec*s_CF_game*up_RadSpec!AM21)*((s_Q_p_game*s_f_p_game*s_f_s_game*(up_RadSpec!BG21+s_R_es_past))+(s_Q_s_game*s_f_p_game)),".")</f>
        <v>6000</v>
      </c>
      <c r="AO21" s="142">
        <f>IFERROR(s_C*up_RadSpec!AM21*s_Q_w_game*(1/1000)*s_EF_rec*s_ED_rec*s_IRGL_rec*s_CF_game,".")</f>
        <v>0.25</v>
      </c>
      <c r="AP21" s="142">
        <f t="shared" si="9"/>
        <v>25</v>
      </c>
      <c r="AQ21" s="142">
        <f>IFERROR((s_C*s_IRGF_rec*s_EF_rec*s_ED_rec*s_CF_fowl*up_RadSpec!AO21)*((s_Q_p_fowl*s_f_p_fowl*s_f_s_fowl*(up_RadSpec!BG21+s_R_es_past))+(s_Q_s_fowl*s_f_p_fowl)),".")</f>
        <v>6000</v>
      </c>
      <c r="AR21" s="142">
        <f>IFERROR(s_C*up_RadSpec!AO21*s_Q_w_fowl*(1/1000)*s_EF_rec*s_ED_rec*s_IRGL_rec*s_CF_fowl,".")</f>
        <v>0.25</v>
      </c>
    </row>
    <row r="22" spans="1:44" customFormat="1" x14ac:dyDescent="0.25">
      <c r="A22" s="128" t="s">
        <v>20</v>
      </c>
      <c r="B22" s="129" t="s">
        <v>1059</v>
      </c>
      <c r="C22" s="141">
        <f>IFERROR(((s_DL/(up_RadSpec!I22*s_IFS_rec_adj*(1/1000)))*1),".")</f>
        <v>3.6363636363636362</v>
      </c>
      <c r="D22" s="141">
        <f>IFERROR(IF(A22="H-3",(s_DL/((up_RadSpec!L22*s_IFA_rec_adj*(1/17)*1000))*1),(s_DL/((up_RadSpec!L22*s_IFA_rec_adj*(1/s_PEF_wind)*1000))*1)),".")</f>
        <v>33989.90962986408</v>
      </c>
      <c r="E22" s="141">
        <f>IFERROR((s_DL/(up_RadSpec!K22*s_EF_rec*(1/365)*s_ED_rec*up_RadSpec!V22*s_ET_rec*(1/24)*up_RadSpec!AA22)),".")</f>
        <v>16813548387.096781</v>
      </c>
      <c r="F22" s="141">
        <f t="shared" ref="F22:F23" si="16">IF(AND(C22&lt;&gt;".",D22&lt;&gt;".",E22&lt;&gt;"."),1/((1/C22)+(1/D22)+(1/E22)),IF(AND(C22&lt;&gt;".",D22&lt;&gt;".",E22="."), 1/((1/C22)+(1/D22)),IF(AND(C22&lt;&gt;".",D22=".",E22&lt;&gt;"."),1/((1/C22)+(1/E22)),IF(AND(C22=".",D22&lt;&gt;".",E22&lt;&gt;"."),1/((1/D22)+(1/E22)),IF(AND(C22&lt;&gt;".",D22=".",E22="."),1/((1/C22)),IF(AND(C22=".",D22&lt;&gt;".",E22="."),1/((1/D22)),IF(AND(C22=".",D22=".",E22&lt;&gt;"."),1/((1/E22)),IF(AND(C22=".",D22=".",E22="."),"."))))))))</f>
        <v>3.6359746458409301</v>
      </c>
      <c r="G22" s="142">
        <f t="shared" si="1"/>
        <v>1.375</v>
      </c>
      <c r="H22" s="142">
        <f t="shared" si="2"/>
        <v>1.4710247995501936E-4</v>
      </c>
      <c r="I22" s="142">
        <f>IFERROR((s_C*s_EF_rec*(1/365)*s_ED_rec*up_RadSpec!V22*s_ET_rec*(1/24)*up_RadSpec!AA22),".")</f>
        <v>2.9737922566286777E-10</v>
      </c>
      <c r="J22" s="141"/>
      <c r="K22" s="141">
        <f>IFERROR((s_DL/(up_RadSpec!K22*s_EF_rec*(1/365)*s_ED_rec*up_RadSpec!V22*s_ET_rec*(1/24)*up_RadSpec!AA22)),".")</f>
        <v>16813548387.096781</v>
      </c>
      <c r="L22" s="141">
        <f>IFERROR((s_DL/(up_RadSpec!R22*s_EF_rec*(1/365)*s_ED_rec*up_RadSpec!W22*s_ET_rec*(1/24)*up_RadSpec!AB22)),".")</f>
        <v>15406603465.184713</v>
      </c>
      <c r="M22" s="141">
        <f>IFERROR((s_DL/(up_RadSpec!S22*s_EF_rec*(1/365)*s_ED_rec*up_RadSpec!X22*s_ET_rec*(1/24)*up_RadSpec!AC22)),".")</f>
        <v>11836396835.057821</v>
      </c>
      <c r="N22" s="141">
        <f>IFERROR((s_DL/(up_RadSpec!T22*s_EF_rec*(1/365)*s_ED_rec*up_RadSpec!Y22*s_ET_rec*(1/24)*up_RadSpec!AD22)),".")</f>
        <v>12197083333.333328</v>
      </c>
      <c r="O22" s="141">
        <f>IFERROR((s_DL/(up_RadSpec!P22*s_EF_rec*(1/365)*s_ED_rec*up_RadSpec!U22*s_ET_rec*(1/24)*up_RadSpec!Z22)),".")</f>
        <v>86546753692.889053</v>
      </c>
      <c r="P22" s="142">
        <f>IFERROR((s_C*s_EF_rec*(1/365)*s_ED_rec*up_RadSpec!V22*s_ET_rec*(1/24)*up_RadSpec!AA22),".")</f>
        <v>2.9737922566286777E-10</v>
      </c>
      <c r="Q22" s="142">
        <f>IFERROR((s_C*s_EF_rec*(1/365)*s_ED_rec*up_RadSpec!W22*s_ET_rec*(1/24)*up_RadSpec!AB22),".")</f>
        <v>3.2453616472305655E-10</v>
      </c>
      <c r="R22" s="142">
        <f>IFERROR((s_C*s_EF_rec*(1/365)*s_ED_rec*up_RadSpec!X22*s_ET_rec*(1/24)*up_RadSpec!AC22),".")</f>
        <v>4.2242585050804226E-10</v>
      </c>
      <c r="S22" s="142">
        <f>IFERROR((s_C*s_EF_rec*(1/365)*s_ED_rec*up_RadSpec!Y22*s_ET_rec*(1/24)*up_RadSpec!AD22),".")</f>
        <v>4.0993406893724609E-10</v>
      </c>
      <c r="T22" s="142">
        <f>IFERROR((s_C*s_EF_rec*(1/365)*s_ED_rec*up_RadSpec!U22*s_ET_rec*(1/24)*up_RadSpec!Z22),".")</f>
        <v>5.7772242015483192E-11</v>
      </c>
      <c r="U22" s="141">
        <f>IFERROR((s_DL/(up_RadSpec!L22*s_IFA_rec_adj)),".")</f>
        <v>0.10971428571428574</v>
      </c>
      <c r="V22" s="141">
        <f>IFERROR((s_DL/(up_RadSpec!O22*s_EF_rec*(1/365)*s_ED_rec*s_ET_rec*(1/24)*s_GSF_a)),".")</f>
        <v>175.20000000000002</v>
      </c>
      <c r="W22" s="141">
        <f t="shared" ref="W22:W24" si="17">IFERROR(IF(AND(U22&lt;&gt;".",V22&lt;&gt;"."),1/((1/U22)+(1/V22)),IF(AND(U22&lt;&gt;".",V22="."),1/((1/U22)),IF(AND(U22=".",V22&lt;&gt;"."),1/((1/V22)),IF(AND(U22=".",V22="."),".")))),".")</f>
        <v>0.10964562309317062</v>
      </c>
      <c r="X22" s="142">
        <f t="shared" si="3"/>
        <v>45.572916666666657</v>
      </c>
      <c r="Y22" s="142">
        <f t="shared" si="4"/>
        <v>2.8538812785388126E-2</v>
      </c>
      <c r="Z22" s="141"/>
      <c r="AA22" s="141">
        <f>IFERROR((s_DL/(up_RadSpec!M22*s_IFW_rec_adj)),".")</f>
        <v>2.5000000000000001E-2</v>
      </c>
      <c r="AB22" s="141">
        <f>IFERROR((s_DL/(up_RadSpec!Q22*(1/8760)*s_DFA_rec_adj)),".")</f>
        <v>438</v>
      </c>
      <c r="AC22" s="141">
        <f t="shared" si="5"/>
        <v>2.4998573140802463E-2</v>
      </c>
      <c r="AD22" s="142">
        <f t="shared" si="6"/>
        <v>200</v>
      </c>
      <c r="AE22" s="142">
        <f t="shared" si="7"/>
        <v>1.1415525114155251E-2</v>
      </c>
      <c r="AF22" s="141"/>
      <c r="AG22" s="141">
        <f>IFERROR(s_DL/(up_RadSpec!J22*s_EF_rec*s_ED_rec*s_IRGL_rec*s_CF_game),".")</f>
        <v>0.2</v>
      </c>
      <c r="AH22" s="141">
        <f>IFERROR((AG22/(up_RadSpec!AM22*((s_Q_p_game*s_f_p_game*s_f_s_game*(up_RadSpec!BG22+s_R_es_past))+(s_Q_s_game*s_f_p_game)))),".")</f>
        <v>8.3333333333333339E-4</v>
      </c>
      <c r="AI22" s="141">
        <f>IFERROR(AG22/(up_RadSpec!AM22*s_Q_w_game*(1/1000)),".")</f>
        <v>20</v>
      </c>
      <c r="AJ22" s="141">
        <f>IFERROR(s_DL/(up_RadSpec!J22*s_EF_rec*s_ED_rec*s_IRGF_rec*s_CF_fowl),".")</f>
        <v>0.2</v>
      </c>
      <c r="AK22" s="141">
        <f>IFERROR((AG22/(up_RadSpec!AO22*((s_Q_p_fowl*s_f_p_fowl*s_f_s_fowl*(up_RadSpec!BG22+s_R_es_past))+(s_Q_s_fowl*s_f_p_fowl)))),".")</f>
        <v>8.3333333333333339E-4</v>
      </c>
      <c r="AL22" s="141">
        <f>IFERROR(AG22/(up_RadSpec!AO22*s_Q_w_fowl*(1/1000)),".")</f>
        <v>20</v>
      </c>
      <c r="AM22" s="142">
        <f t="shared" si="8"/>
        <v>25</v>
      </c>
      <c r="AN22" s="142">
        <f>IFERROR((s_C*s_IRGL_rec*s_EF_rec*s_ED_rec*s_CF_game*up_RadSpec!AM22)*((s_Q_p_game*s_f_p_game*s_f_s_game*(up_RadSpec!BG22+s_R_es_past))+(s_Q_s_game*s_f_p_game)),".")</f>
        <v>6000</v>
      </c>
      <c r="AO22" s="142">
        <f>IFERROR(s_C*up_RadSpec!AM22*s_Q_w_game*(1/1000)*s_EF_rec*s_ED_rec*s_IRGL_rec*s_CF_game,".")</f>
        <v>0.25</v>
      </c>
      <c r="AP22" s="142">
        <f t="shared" si="9"/>
        <v>25</v>
      </c>
      <c r="AQ22" s="142">
        <f>IFERROR((s_C*s_IRGF_rec*s_EF_rec*s_ED_rec*s_CF_fowl*up_RadSpec!AO22)*((s_Q_p_fowl*s_f_p_fowl*s_f_s_fowl*(up_RadSpec!BG22+s_R_es_past))+(s_Q_s_fowl*s_f_p_fowl)),".")</f>
        <v>6000</v>
      </c>
      <c r="AR22" s="142">
        <f>IFERROR(s_C*up_RadSpec!AO22*s_Q_w_fowl*(1/1000)*s_EF_rec*s_ED_rec*s_IRGL_rec*s_CF_fowl,".")</f>
        <v>0.25</v>
      </c>
    </row>
    <row r="23" spans="1:44" customFormat="1" x14ac:dyDescent="0.25">
      <c r="A23" s="131" t="s">
        <v>21</v>
      </c>
      <c r="B23" s="129" t="s">
        <v>336</v>
      </c>
      <c r="C23" s="141">
        <f>IFERROR(((s_DL/(up_RadSpec!I23*s_IFS_rec_adj*(1/1000)))*1),".")</f>
        <v>3.6363636363636362</v>
      </c>
      <c r="D23" s="141">
        <f>IFERROR(IF(A23="H-3",(s_DL/((up_RadSpec!L23*s_IFA_rec_adj*(1/17)*1000))*1),(s_DL/((up_RadSpec!L23*s_IFA_rec_adj*(1/s_PEF_wind)*1000))*1)),".")</f>
        <v>33989.90962986408</v>
      </c>
      <c r="E23" s="141">
        <f>IFERROR((s_DL/(up_RadSpec!K23*s_EF_rec*(1/365)*s_ED_rec*up_RadSpec!V23*s_ET_rec*(1/24)*up_RadSpec!AA23)),".")</f>
        <v>3850.4315886134059</v>
      </c>
      <c r="F23" s="141">
        <f t="shared" si="16"/>
        <v>3.6325444235151649</v>
      </c>
      <c r="G23" s="142">
        <f t="shared" si="1"/>
        <v>1.375</v>
      </c>
      <c r="H23" s="142">
        <f t="shared" si="2"/>
        <v>1.4710247995501936E-4</v>
      </c>
      <c r="I23" s="142">
        <f>IFERROR((s_C*s_EF_rec*(1/365)*s_ED_rec*up_RadSpec!V23*s_ET_rec*(1/24)*up_RadSpec!AA23),".")</f>
        <v>1.298555729385279E-3</v>
      </c>
      <c r="J23" s="141"/>
      <c r="K23" s="141">
        <f>IFERROR((s_DL/(up_RadSpec!K23*s_EF_rec*(1/365)*s_ED_rec*up_RadSpec!V23*s_ET_rec*(1/24)*up_RadSpec!AA23)),".")</f>
        <v>3850.4315886134059</v>
      </c>
      <c r="L23" s="141">
        <f>IFERROR((s_DL/(up_RadSpec!R23*s_EF_rec*(1/365)*s_ED_rec*up_RadSpec!W23*s_ET_rec*(1/24)*up_RadSpec!AB23)),".")</f>
        <v>6853.8406658739641</v>
      </c>
      <c r="M23" s="141">
        <f>IFERROR((s_DL/(up_RadSpec!S23*s_EF_rec*(1/365)*s_ED_rec*up_RadSpec!X23*s_ET_rec*(1/24)*up_RadSpec!AC23)),".")</f>
        <v>4846.5244614241719</v>
      </c>
      <c r="N23" s="141">
        <f>IFERROR((s_DL/(up_RadSpec!T23*s_EF_rec*(1/365)*s_ED_rec*up_RadSpec!Y23*s_ET_rec*(1/24)*up_RadSpec!AD23)),".")</f>
        <v>3966.0659340659336</v>
      </c>
      <c r="O23" s="141">
        <f>IFERROR((s_DL/(up_RadSpec!P23*s_EF_rec*(1/365)*s_ED_rec*up_RadSpec!U23*s_ET_rec*(1/24)*up_RadSpec!Z23)),".")</f>
        <v>10789.015256588071</v>
      </c>
      <c r="P23" s="142">
        <f>IFERROR((s_C*s_EF_rec*(1/365)*s_ED_rec*up_RadSpec!V23*s_ET_rec*(1/24)*up_RadSpec!AA23),".")</f>
        <v>1.298555729385279E-3</v>
      </c>
      <c r="Q23" s="142">
        <f>IFERROR((s_C*s_EF_rec*(1/365)*s_ED_rec*up_RadSpec!W23*s_ET_rec*(1/24)*up_RadSpec!AB23),".")</f>
        <v>7.2951798031949545E-4</v>
      </c>
      <c r="R23" s="142">
        <f>IFERROR((s_C*s_EF_rec*(1/365)*s_ED_rec*up_RadSpec!X23*s_ET_rec*(1/24)*up_RadSpec!AC23),".")</f>
        <v>1.0316671337981297E-3</v>
      </c>
      <c r="S23" s="142">
        <f>IFERROR((s_C*s_EF_rec*(1/365)*s_ED_rec*up_RadSpec!Y23*s_ET_rec*(1/24)*up_RadSpec!AD23),".")</f>
        <v>1.2606951278982135E-3</v>
      </c>
      <c r="T23" s="142">
        <f>IFERROR((s_C*s_EF_rec*(1/365)*s_ED_rec*up_RadSpec!U23*s_ET_rec*(1/24)*up_RadSpec!Z23),".")</f>
        <v>4.6343432473569464E-4</v>
      </c>
      <c r="U23" s="141">
        <f>IFERROR((s_DL/(up_RadSpec!L23*s_IFA_rec_adj)),".")</f>
        <v>0.10971428571428574</v>
      </c>
      <c r="V23" s="141">
        <f>IFERROR((s_DL/(up_RadSpec!O23*s_EF_rec*(1/365)*s_ED_rec*s_ET_rec*(1/24)*s_GSF_a)),".")</f>
        <v>175.20000000000002</v>
      </c>
      <c r="W23" s="141">
        <f t="shared" si="17"/>
        <v>0.10964562309317062</v>
      </c>
      <c r="X23" s="142">
        <f t="shared" si="3"/>
        <v>45.572916666666657</v>
      </c>
      <c r="Y23" s="142">
        <f t="shared" si="4"/>
        <v>2.8538812785388126E-2</v>
      </c>
      <c r="Z23" s="141"/>
      <c r="AA23" s="141">
        <f>IFERROR((s_DL/(up_RadSpec!M23*s_IFW_rec_adj)),".")</f>
        <v>2.5000000000000001E-2</v>
      </c>
      <c r="AB23" s="141">
        <f>IFERROR((s_DL/(up_RadSpec!Q23*(1/8760)*s_DFA_rec_adj)),".")</f>
        <v>438</v>
      </c>
      <c r="AC23" s="141">
        <f t="shared" si="5"/>
        <v>2.4998573140802463E-2</v>
      </c>
      <c r="AD23" s="142">
        <f t="shared" si="6"/>
        <v>200</v>
      </c>
      <c r="AE23" s="142">
        <f t="shared" si="7"/>
        <v>1.1415525114155251E-2</v>
      </c>
      <c r="AF23" s="141"/>
      <c r="AG23" s="141">
        <f>IFERROR(s_DL/(up_RadSpec!J23*s_EF_rec*s_ED_rec*s_IRGL_rec*s_CF_game),".")</f>
        <v>0.2</v>
      </c>
      <c r="AH23" s="141">
        <f>IFERROR((AG23/(up_RadSpec!AM23*((s_Q_p_game*s_f_p_game*s_f_s_game*(up_RadSpec!BG23+s_R_es_past))+(s_Q_s_game*s_f_p_game)))),".")</f>
        <v>8.3333333333333339E-4</v>
      </c>
      <c r="AI23" s="141">
        <f>IFERROR(AG23/(up_RadSpec!AM23*s_Q_w_game*(1/1000)),".")</f>
        <v>20</v>
      </c>
      <c r="AJ23" s="141">
        <f>IFERROR(s_DL/(up_RadSpec!J23*s_EF_rec*s_ED_rec*s_IRGF_rec*s_CF_fowl),".")</f>
        <v>0.2</v>
      </c>
      <c r="AK23" s="141">
        <f>IFERROR((AG23/(up_RadSpec!AO23*((s_Q_p_fowl*s_f_p_fowl*s_f_s_fowl*(up_RadSpec!BG23+s_R_es_past))+(s_Q_s_fowl*s_f_p_fowl)))),".")</f>
        <v>8.3333333333333339E-4</v>
      </c>
      <c r="AL23" s="141">
        <f>IFERROR(AG23/(up_RadSpec!AO23*s_Q_w_fowl*(1/1000)),".")</f>
        <v>20</v>
      </c>
      <c r="AM23" s="142">
        <f t="shared" si="8"/>
        <v>25</v>
      </c>
      <c r="AN23" s="142">
        <f>IFERROR((s_C*s_IRGL_rec*s_EF_rec*s_ED_rec*s_CF_game*up_RadSpec!AM23)*((s_Q_p_game*s_f_p_game*s_f_s_game*(up_RadSpec!BG23+s_R_es_past))+(s_Q_s_game*s_f_p_game)),".")</f>
        <v>6000</v>
      </c>
      <c r="AO23" s="142">
        <f>IFERROR(s_C*up_RadSpec!AM23*s_Q_w_game*(1/1000)*s_EF_rec*s_ED_rec*s_IRGL_rec*s_CF_game,".")</f>
        <v>0.25</v>
      </c>
      <c r="AP23" s="142">
        <f t="shared" si="9"/>
        <v>25</v>
      </c>
      <c r="AQ23" s="142">
        <f>IFERROR((s_C*s_IRGF_rec*s_EF_rec*s_ED_rec*s_CF_fowl*up_RadSpec!AO23)*((s_Q_p_fowl*s_f_p_fowl*s_f_s_fowl*(up_RadSpec!BG23+s_R_es_past))+(s_Q_s_fowl*s_f_p_fowl)),".")</f>
        <v>6000</v>
      </c>
      <c r="AR23" s="142">
        <f>IFERROR(s_C*up_RadSpec!AO23*s_Q_w_fowl*(1/1000)*s_EF_rec*s_ED_rec*s_IRGL_rec*s_CF_fowl,".")</f>
        <v>0.25</v>
      </c>
    </row>
    <row r="24" spans="1:44" customFormat="1" x14ac:dyDescent="0.25">
      <c r="A24" s="128" t="s">
        <v>22</v>
      </c>
      <c r="B24" s="129" t="s">
        <v>1059</v>
      </c>
      <c r="C24" s="141">
        <f>IFERROR(((s_DL/(up_RadSpec!I24*s_IFS_rec_adj*(1/1000)))*1),".")</f>
        <v>3.6363636363636362</v>
      </c>
      <c r="D24" s="141">
        <f>IFERROR(IF(A24="H-3",(s_DL/((up_RadSpec!L24*s_IFA_rec_adj*(1/17)*1000))*1),(s_DL/((up_RadSpec!L24*s_IFA_rec_adj*(1/s_PEF_wind)*1000))*1)),".")</f>
        <v>33989.90962986408</v>
      </c>
      <c r="E24" s="141">
        <f>IFERROR((s_DL/(up_RadSpec!K24*s_EF_rec*(1/365)*s_ED_rec*up_RadSpec!V24*s_ET_rec*(1/24)*up_RadSpec!AA24)),".")</f>
        <v>5047.6098503138601</v>
      </c>
      <c r="F24" s="141">
        <f>IF(AND(C24&lt;&gt;".",D24&lt;&gt;".",E24&lt;&gt;"."),1/((1/C24)+(1/D24)+(1/E24)),IF(AND(C24&lt;&gt;".",D24&lt;&gt;".",E24="."), 1/((1/C24)+(1/D24)),IF(AND(C24&lt;&gt;".",D24=".",E24&lt;&gt;"."),1/((1/C24)+(1/E24)),IF(AND(C24=".",D24&lt;&gt;".",E24&lt;&gt;"."),1/((1/D24)+(1/E24)),IF(AND(C24&lt;&gt;".",D24=".",E24="."),1/((1/C24)),IF(AND(C24=".",D24&lt;&gt;".",E24="."),1/((1/D24)),IF(AND(C24=".",D24=".",E24&lt;&gt;"."),1/((1/E24)),IF(AND(C24=".",D24=".",E24="."),"."))))))))</f>
        <v>3.6333574088033171</v>
      </c>
      <c r="G24" s="142">
        <f t="shared" si="1"/>
        <v>1.375</v>
      </c>
      <c r="H24" s="142">
        <f t="shared" si="2"/>
        <v>1.4710247995501936E-4</v>
      </c>
      <c r="I24" s="142">
        <f>IFERROR((s_C*s_EF_rec*(1/365)*s_ED_rec*up_RadSpec!V24*s_ET_rec*(1/24)*up_RadSpec!AA24),".")</f>
        <v>9.9056784265707468E-4</v>
      </c>
      <c r="J24" s="141"/>
      <c r="K24" s="141">
        <f>IFERROR((s_DL/(up_RadSpec!K24*s_EF_rec*(1/365)*s_ED_rec*up_RadSpec!V24*s_ET_rec*(1/24)*up_RadSpec!AA24)),".")</f>
        <v>5047.6098503138601</v>
      </c>
      <c r="L24" s="141">
        <f>IFERROR((s_DL/(up_RadSpec!R24*s_EF_rec*(1/365)*s_ED_rec*up_RadSpec!W24*s_ET_rec*(1/24)*up_RadSpec!AB24)),".")</f>
        <v>9151.3921864882395</v>
      </c>
      <c r="M24" s="141">
        <f>IFERROR((s_DL/(up_RadSpec!S24*s_EF_rec*(1/365)*s_ED_rec*up_RadSpec!X24*s_ET_rec*(1/24)*up_RadSpec!AC24)),".")</f>
        <v>6461.474228341368</v>
      </c>
      <c r="N24" s="141">
        <f>IFERROR((s_DL/(up_RadSpec!T24*s_EF_rec*(1/365)*s_ED_rec*up_RadSpec!Y24*s_ET_rec*(1/24)*up_RadSpec!AD24)),".")</f>
        <v>5395.749923005852</v>
      </c>
      <c r="O24" s="141">
        <f>IFERROR((s_DL/(up_RadSpec!P24*s_EF_rec*(1/365)*s_ED_rec*up_RadSpec!U24*s_ET_rec*(1/24)*up_RadSpec!Z24)),".")</f>
        <v>15209.670329670325</v>
      </c>
      <c r="P24" s="142">
        <f>IFERROR((s_C*s_EF_rec*(1/365)*s_ED_rec*up_RadSpec!V24*s_ET_rec*(1/24)*up_RadSpec!AA24),".")</f>
        <v>9.9056784265707468E-4</v>
      </c>
      <c r="Q24" s="142">
        <f>IFERROR((s_C*s_EF_rec*(1/365)*s_ED_rec*up_RadSpec!W24*s_ET_rec*(1/24)*up_RadSpec!AB24),".")</f>
        <v>5.4636495716819489E-4</v>
      </c>
      <c r="R24" s="142">
        <f>IFERROR((s_C*s_EF_rec*(1/365)*s_ED_rec*up_RadSpec!X24*s_ET_rec*(1/24)*up_RadSpec!AC24),".")</f>
        <v>7.7381721621189192E-4</v>
      </c>
      <c r="S24" s="142">
        <f>IFERROR((s_C*s_EF_rec*(1/365)*s_ED_rec*up_RadSpec!Y24*s_ET_rec*(1/24)*up_RadSpec!AD24),".")</f>
        <v>9.2665525114155251E-4</v>
      </c>
      <c r="T24" s="142">
        <f>IFERROR((s_C*s_EF_rec*(1/365)*s_ED_rec*up_RadSpec!U24*s_ET_rec*(1/24)*up_RadSpec!Z24),".")</f>
        <v>3.287382232240912E-4</v>
      </c>
      <c r="U24" s="141">
        <f>IFERROR((s_DL/(up_RadSpec!L24*s_IFA_rec_adj)),".")</f>
        <v>0.10971428571428574</v>
      </c>
      <c r="V24" s="141">
        <f>IFERROR((s_DL/(up_RadSpec!O24*s_EF_rec*(1/365)*s_ED_rec*s_ET_rec*(1/24)*s_GSF_a)),".")</f>
        <v>175.20000000000002</v>
      </c>
      <c r="W24" s="141">
        <f t="shared" si="17"/>
        <v>0.10964562309317062</v>
      </c>
      <c r="X24" s="142">
        <f t="shared" si="3"/>
        <v>45.572916666666657</v>
      </c>
      <c r="Y24" s="142">
        <f t="shared" si="4"/>
        <v>2.8538812785388126E-2</v>
      </c>
      <c r="Z24" s="141"/>
      <c r="AA24" s="141">
        <f>IFERROR((s_DL/(up_RadSpec!M24*s_IFW_rec_adj)),".")</f>
        <v>2.5000000000000001E-2</v>
      </c>
      <c r="AB24" s="141">
        <f>IFERROR((s_DL/(up_RadSpec!Q24*(1/8760)*s_DFA_rec_adj)),".")</f>
        <v>438</v>
      </c>
      <c r="AC24" s="141">
        <f t="shared" si="5"/>
        <v>2.4998573140802463E-2</v>
      </c>
      <c r="AD24" s="142">
        <f t="shared" si="6"/>
        <v>200</v>
      </c>
      <c r="AE24" s="142">
        <f t="shared" si="7"/>
        <v>1.1415525114155251E-2</v>
      </c>
      <c r="AF24" s="141"/>
      <c r="AG24" s="141">
        <f>IFERROR(s_DL/(up_RadSpec!J24*s_EF_rec*s_ED_rec*s_IRGL_rec*s_CF_game),".")</f>
        <v>0.2</v>
      </c>
      <c r="AH24" s="141">
        <f>IFERROR((AG24/(up_RadSpec!AM24*((s_Q_p_game*s_f_p_game*s_f_s_game*(up_RadSpec!BG24+s_R_es_past))+(s_Q_s_game*s_f_p_game)))),".")</f>
        <v>8.3333333333333339E-4</v>
      </c>
      <c r="AI24" s="141">
        <f>IFERROR(AG24/(up_RadSpec!AM24*s_Q_w_game*(1/1000)),".")</f>
        <v>20</v>
      </c>
      <c r="AJ24" s="141">
        <f>IFERROR(s_DL/(up_RadSpec!J24*s_EF_rec*s_ED_rec*s_IRGF_rec*s_CF_fowl),".")</f>
        <v>0.2</v>
      </c>
      <c r="AK24" s="141">
        <f>IFERROR((AG24/(up_RadSpec!AO24*((s_Q_p_fowl*s_f_p_fowl*s_f_s_fowl*(up_RadSpec!BG24+s_R_es_past))+(s_Q_s_fowl*s_f_p_fowl)))),".")</f>
        <v>8.3333333333333339E-4</v>
      </c>
      <c r="AL24" s="141">
        <f>IFERROR(AG24/(up_RadSpec!AO24*s_Q_w_fowl*(1/1000)),".")</f>
        <v>20</v>
      </c>
      <c r="AM24" s="142">
        <f t="shared" si="8"/>
        <v>25</v>
      </c>
      <c r="AN24" s="142">
        <f>IFERROR((s_C*s_IRGL_rec*s_EF_rec*s_ED_rec*s_CF_game*up_RadSpec!AM24)*((s_Q_p_game*s_f_p_game*s_f_s_game*(up_RadSpec!BG24+s_R_es_past))+(s_Q_s_game*s_f_p_game)),".")</f>
        <v>6000</v>
      </c>
      <c r="AO24" s="142">
        <f>IFERROR(s_C*up_RadSpec!AM24*s_Q_w_game*(1/1000)*s_EF_rec*s_ED_rec*s_IRGL_rec*s_CF_game,".")</f>
        <v>0.25</v>
      </c>
      <c r="AP24" s="142">
        <f t="shared" si="9"/>
        <v>25</v>
      </c>
      <c r="AQ24" s="142">
        <f>IFERROR((s_C*s_IRGF_rec*s_EF_rec*s_ED_rec*s_CF_fowl*up_RadSpec!AO24)*((s_Q_p_fowl*s_f_p_fowl*s_f_s_fowl*(up_RadSpec!BG24+s_R_es_past))+(s_Q_s_fowl*s_f_p_fowl)),".")</f>
        <v>6000</v>
      </c>
      <c r="AR24" s="142">
        <f>IFERROR(s_C*up_RadSpec!AO24*s_Q_w_fowl*(1/1000)*s_EF_rec*s_ED_rec*s_IRGL_rec*s_CF_fowl,".")</f>
        <v>0.25</v>
      </c>
    </row>
    <row r="25" spans="1:44" customFormat="1" x14ac:dyDescent="0.25">
      <c r="A25" s="131" t="s">
        <v>23</v>
      </c>
      <c r="B25" s="129" t="s">
        <v>336</v>
      </c>
      <c r="C25" s="141">
        <f>IFERROR(((s_DL/(up_RadSpec!I25*s_IFS_rec_adj*(1/1000)))*1),".")</f>
        <v>3.6363636363636362</v>
      </c>
      <c r="D25" s="141">
        <f>IFERROR(IF(A25="H-3",(s_DL/((up_RadSpec!L25*s_IFA_rec_adj*(1/17)*1000))*1),(s_DL/((up_RadSpec!L25*s_IFA_rec_adj*(1/s_PEF_wind)*1000))*1)),".")</f>
        <v>33989.90962986408</v>
      </c>
      <c r="E25" s="141">
        <f>IFERROR((s_DL/(up_RadSpec!K25*s_EF_rec*(1/365)*s_ED_rec*up_RadSpec!V25*s_ET_rec*(1/24)*up_RadSpec!AA25)),".")</f>
        <v>5628.9156626506046</v>
      </c>
      <c r="F25" s="141">
        <f>IF(AND(C25&lt;&gt;".",D25&lt;&gt;".",E25&lt;&gt;"."),1/((1/C25)+(1/D25)+(1/E25)),IF(AND(C25&lt;&gt;".",D25&lt;&gt;".",E25="."), 1/((1/C25)+(1/D25)),IF(AND(C25&lt;&gt;".",D25=".",E25&lt;&gt;"."),1/((1/C25)+(1/E25)),IF(AND(C25=".",D25&lt;&gt;".",E25&lt;&gt;"."),1/((1/D25)+(1/E25)),IF(AND(C25&lt;&gt;".",D25=".",E25="."),1/((1/C25)),IF(AND(C25=".",D25&lt;&gt;".",E25="."),1/((1/D25)),IF(AND(C25=".",D25=".",E25&lt;&gt;"."),1/((1/E25)),IF(AND(C25=".",D25=".",E25="."),"."))))))))</f>
        <v>3.6336275200525825</v>
      </c>
      <c r="G25" s="142">
        <f t="shared" si="1"/>
        <v>1.375</v>
      </c>
      <c r="H25" s="142">
        <f t="shared" si="2"/>
        <v>1.4710247995501936E-4</v>
      </c>
      <c r="I25" s="142">
        <f>IFERROR((s_C*s_EF_rec*(1/365)*s_ED_rec*up_RadSpec!V25*s_ET_rec*(1/24)*up_RadSpec!AA25),".")</f>
        <v>8.8827054794520519E-4</v>
      </c>
      <c r="J25" s="141"/>
      <c r="K25" s="141">
        <f>IFERROR((s_DL/(up_RadSpec!K25*s_EF_rec*(1/365)*s_ED_rec*up_RadSpec!V25*s_ET_rec*(1/24)*up_RadSpec!AA25)),".")</f>
        <v>5628.9156626506046</v>
      </c>
      <c r="L25" s="141">
        <f>IFERROR((s_DL/(up_RadSpec!R25*s_EF_rec*(1/365)*s_ED_rec*up_RadSpec!W25*s_ET_rec*(1/24)*up_RadSpec!AB25)),".")</f>
        <v>10080.219880897846</v>
      </c>
      <c r="M25" s="141">
        <f>IFERROR((s_DL/(up_RadSpec!S25*s_EF_rec*(1/365)*s_ED_rec*up_RadSpec!X25*s_ET_rec*(1/24)*up_RadSpec!AC25)),".")</f>
        <v>7230.5963699222157</v>
      </c>
      <c r="N25" s="141">
        <f>IFERROR((s_DL/(up_RadSpec!T25*s_EF_rec*(1/365)*s_ED_rec*up_RadSpec!Y25*s_ET_rec*(1/24)*up_RadSpec!AD25)),".")</f>
        <v>6456.740547588005</v>
      </c>
      <c r="O25" s="141">
        <f>IFERROR((s_DL/(up_RadSpec!P25*s_EF_rec*(1/365)*s_ED_rec*up_RadSpec!U25*s_ET_rec*(1/24)*up_RadSpec!Z25)),".")</f>
        <v>18072.727272727276</v>
      </c>
      <c r="P25" s="142">
        <f>IFERROR((s_C*s_EF_rec*(1/365)*s_ED_rec*up_RadSpec!V25*s_ET_rec*(1/24)*up_RadSpec!AA25),".")</f>
        <v>8.8827054794520519E-4</v>
      </c>
      <c r="Q25" s="142">
        <f>IFERROR((s_C*s_EF_rec*(1/365)*s_ED_rec*up_RadSpec!W25*s_ET_rec*(1/24)*up_RadSpec!AB25),".")</f>
        <v>4.9602092603903095E-4</v>
      </c>
      <c r="R25" s="142">
        <f>IFERROR((s_C*s_EF_rec*(1/365)*s_ED_rec*up_RadSpec!X25*s_ET_rec*(1/24)*up_RadSpec!AC25),".")</f>
        <v>6.9150589304071313E-4</v>
      </c>
      <c r="S25" s="142">
        <f>IFERROR((s_C*s_EF_rec*(1/365)*s_ED_rec*up_RadSpec!Y25*s_ET_rec*(1/24)*up_RadSpec!AD25),".")</f>
        <v>7.7438453088653398E-4</v>
      </c>
      <c r="T25" s="142">
        <f>IFERROR((s_C*s_EF_rec*(1/365)*s_ED_rec*up_RadSpec!U25*s_ET_rec*(1/24)*up_RadSpec!Z25),".")</f>
        <v>2.7665995975855129E-4</v>
      </c>
      <c r="U25" s="141">
        <f>IFERROR((s_DL/(up_RadSpec!L25*s_IFA_rec_adj)),".")</f>
        <v>0.10971428571428574</v>
      </c>
      <c r="V25" s="141">
        <f>IFERROR((s_DL/(up_RadSpec!O25*s_EF_rec*(1/365)*s_ED_rec*s_ET_rec*(1/24)*s_GSF_a)),".")</f>
        <v>175.20000000000002</v>
      </c>
      <c r="W25" s="141">
        <f>IFERROR(IF(AND(U25&lt;&gt;".",V25&lt;&gt;"."),1/((1/U25)+(1/V25)),IF(AND(U25&lt;&gt;".",V25="."),1/((1/U25)),IF(AND(U25=".",V25&lt;&gt;"."),1/((1/V25)),IF(AND(U25=".",V25="."),".")))),".")</f>
        <v>0.10964562309317062</v>
      </c>
      <c r="X25" s="142">
        <f t="shared" si="3"/>
        <v>45.572916666666657</v>
      </c>
      <c r="Y25" s="142">
        <f t="shared" si="4"/>
        <v>2.8538812785388126E-2</v>
      </c>
      <c r="Z25" s="141"/>
      <c r="AA25" s="141">
        <f>IFERROR((s_DL/(up_RadSpec!M25*s_IFW_rec_adj)),".")</f>
        <v>2.5000000000000001E-2</v>
      </c>
      <c r="AB25" s="141">
        <f>IFERROR((s_DL/(up_RadSpec!Q25*(1/8760)*s_DFA_rec_adj)),".")</f>
        <v>438</v>
      </c>
      <c r="AC25" s="141">
        <f t="shared" si="5"/>
        <v>2.4998573140802463E-2</v>
      </c>
      <c r="AD25" s="142">
        <f t="shared" si="6"/>
        <v>200</v>
      </c>
      <c r="AE25" s="142">
        <f t="shared" si="7"/>
        <v>1.1415525114155251E-2</v>
      </c>
      <c r="AF25" s="141"/>
      <c r="AG25" s="141">
        <f>IFERROR(s_DL/(up_RadSpec!J25*s_EF_rec*s_ED_rec*s_IRGL_rec*s_CF_game),".")</f>
        <v>0.2</v>
      </c>
      <c r="AH25" s="141">
        <f>IFERROR((AG25/(up_RadSpec!AM25*((s_Q_p_game*s_f_p_game*s_f_s_game*(up_RadSpec!BG25+s_R_es_past))+(s_Q_s_game*s_f_p_game)))),".")</f>
        <v>8.3333333333333339E-4</v>
      </c>
      <c r="AI25" s="141">
        <f>IFERROR(AG25/(up_RadSpec!AM25*s_Q_w_game*(1/1000)),".")</f>
        <v>20</v>
      </c>
      <c r="AJ25" s="141">
        <f>IFERROR(s_DL/(up_RadSpec!J25*s_EF_rec*s_ED_rec*s_IRGF_rec*s_CF_fowl),".")</f>
        <v>0.2</v>
      </c>
      <c r="AK25" s="141">
        <f>IFERROR((AG25/(up_RadSpec!AO25*((s_Q_p_fowl*s_f_p_fowl*s_f_s_fowl*(up_RadSpec!BG25+s_R_es_past))+(s_Q_s_fowl*s_f_p_fowl)))),".")</f>
        <v>8.3333333333333339E-4</v>
      </c>
      <c r="AL25" s="141">
        <f>IFERROR(AG25/(up_RadSpec!AO25*s_Q_w_fowl*(1/1000)),".")</f>
        <v>20</v>
      </c>
      <c r="AM25" s="142">
        <f t="shared" si="8"/>
        <v>25</v>
      </c>
      <c r="AN25" s="142">
        <f>IFERROR((s_C*s_IRGL_rec*s_EF_rec*s_ED_rec*s_CF_game*up_RadSpec!AM25)*((s_Q_p_game*s_f_p_game*s_f_s_game*(up_RadSpec!BG25+s_R_es_past))+(s_Q_s_game*s_f_p_game)),".")</f>
        <v>6000</v>
      </c>
      <c r="AO25" s="142">
        <f>IFERROR(s_C*up_RadSpec!AM25*s_Q_w_game*(1/1000)*s_EF_rec*s_ED_rec*s_IRGL_rec*s_CF_game,".")</f>
        <v>0.25</v>
      </c>
      <c r="AP25" s="142">
        <f t="shared" si="9"/>
        <v>25</v>
      </c>
      <c r="AQ25" s="142">
        <f>IFERROR((s_C*s_IRGF_rec*s_EF_rec*s_ED_rec*s_CF_fowl*up_RadSpec!AO25)*((s_Q_p_fowl*s_f_p_fowl*s_f_s_fowl*(up_RadSpec!BG25+s_R_es_past))+(s_Q_s_fowl*s_f_p_fowl)),".")</f>
        <v>6000</v>
      </c>
      <c r="AR25" s="142">
        <f>IFERROR(s_C*up_RadSpec!AO25*s_Q_w_fowl*(1/1000)*s_EF_rec*s_ED_rec*s_IRGL_rec*s_CF_fowl,".")</f>
        <v>0.25</v>
      </c>
    </row>
    <row r="26" spans="1:44" customFormat="1" x14ac:dyDescent="0.25">
      <c r="A26" s="128" t="s">
        <v>24</v>
      </c>
      <c r="B26" s="129" t="s">
        <v>1059</v>
      </c>
      <c r="C26" s="141">
        <f>IFERROR(((s_DL/(up_RadSpec!I26*s_IFS_rec_adj*(1/1000)))*1),".")</f>
        <v>3.6363636363636362</v>
      </c>
      <c r="D26" s="141">
        <f>IFERROR(IF(A26="H-3",(s_DL/((up_RadSpec!L26*s_IFA_rec_adj*(1/17)*1000))*1),(s_DL/((up_RadSpec!L26*s_IFA_rec_adj*(1/s_PEF_wind)*1000))*1)),".")</f>
        <v>33989.90962986408</v>
      </c>
      <c r="E26" s="141">
        <f>IFERROR((s_DL/(up_RadSpec!K26*s_EF_rec*(1/365)*s_ED_rec*up_RadSpec!V26*s_ET_rec*(1/24)*up_RadSpec!AA26)),".")</f>
        <v>30689.795918367334</v>
      </c>
      <c r="F26" s="141">
        <f>IF(AND(C26&lt;&gt;".",D26&lt;&gt;".",E26&lt;&gt;"."),1/((1/C26)+(1/D26)+(1/E26)),IF(AND(C26&lt;&gt;".",D26&lt;&gt;".",E26="."), 1/((1/C26)+(1/D26)),IF(AND(C26&lt;&gt;".",D26=".",E26&lt;&gt;"."),1/((1/C26)+(1/E26)),IF(AND(C26=".",D26&lt;&gt;".",E26&lt;&gt;"."),1/((1/D26)+(1/E26)),IF(AND(C26&lt;&gt;".",D26=".",E26="."),1/((1/C26)),IF(AND(C26=".",D26&lt;&gt;".",E26="."),1/((1/D26)),IF(AND(C26=".",D26=".",E26&lt;&gt;"."),1/((1/E26)),IF(AND(C26=".",D26=".",E26="."),"."))))))))</f>
        <v>3.6355439254332844</v>
      </c>
      <c r="G26" s="142">
        <f t="shared" si="1"/>
        <v>1.375</v>
      </c>
      <c r="H26" s="142">
        <f t="shared" si="2"/>
        <v>1.4710247995501936E-4</v>
      </c>
      <c r="I26" s="142">
        <f>IFERROR((s_C*s_EF_rec*(1/365)*s_ED_rec*up_RadSpec!V26*s_ET_rec*(1/24)*up_RadSpec!AA26),".")</f>
        <v>1.629206011437692E-4</v>
      </c>
      <c r="J26" s="141"/>
      <c r="K26" s="141">
        <f>IFERROR((s_DL/(up_RadSpec!K26*s_EF_rec*(1/365)*s_ED_rec*up_RadSpec!V26*s_ET_rec*(1/24)*up_RadSpec!AA26)),".")</f>
        <v>30689.795918367334</v>
      </c>
      <c r="L26" s="141">
        <f>IFERROR((s_DL/(up_RadSpec!R26*s_EF_rec*(1/365)*s_ED_rec*up_RadSpec!W26*s_ET_rec*(1/24)*up_RadSpec!AB26)),".")</f>
        <v>56031.981724728743</v>
      </c>
      <c r="M26" s="141">
        <f>IFERROR((s_DL/(up_RadSpec!S26*s_EF_rec*(1/365)*s_ED_rec*up_RadSpec!X26*s_ET_rec*(1/24)*up_RadSpec!AC26)),".")</f>
        <v>40498.863157894732</v>
      </c>
      <c r="N26" s="141">
        <f>IFERROR((s_DL/(up_RadSpec!T26*s_EF_rec*(1/365)*s_ED_rec*up_RadSpec!Y26*s_ET_rec*(1/24)*up_RadSpec!AD26)),".")</f>
        <v>34641.818181818162</v>
      </c>
      <c r="O26" s="141">
        <f>IFERROR((s_DL/(up_RadSpec!P26*s_EF_rec*(1/365)*s_ED_rec*up_RadSpec!U26*s_ET_rec*(1/24)*up_RadSpec!Z26)),".")</f>
        <v>326584.45655291103</v>
      </c>
      <c r="P26" s="142">
        <f>IFERROR((s_C*s_EF_rec*(1/365)*s_ED_rec*up_RadSpec!V26*s_ET_rec*(1/24)*up_RadSpec!AA26),".")</f>
        <v>1.629206011437692E-4</v>
      </c>
      <c r="Q26" s="142">
        <f>IFERROR((s_C*s_EF_rec*(1/365)*s_ED_rec*up_RadSpec!W26*s_ET_rec*(1/24)*up_RadSpec!AB26),".")</f>
        <v>8.923475212002607E-5</v>
      </c>
      <c r="R26" s="142">
        <f>IFERROR((s_C*s_EF_rec*(1/365)*s_ED_rec*up_RadSpec!X26*s_ET_rec*(1/24)*up_RadSpec!AC26),".")</f>
        <v>1.2346025567449328E-4</v>
      </c>
      <c r="S26" s="142">
        <f>IFERROR((s_C*s_EF_rec*(1/365)*s_ED_rec*up_RadSpec!Y26*s_ET_rec*(1/24)*up_RadSpec!AD26),".")</f>
        <v>1.4433422558127336E-4</v>
      </c>
      <c r="T26" s="142">
        <f>IFERROR((s_C*s_EF_rec*(1/365)*s_ED_rec*up_RadSpec!U26*s_ET_rec*(1/24)*up_RadSpec!Z26),".")</f>
        <v>1.5309975412715129E-5</v>
      </c>
      <c r="U26" s="141">
        <f>IFERROR((s_DL/(up_RadSpec!L26*s_IFA_rec_adj)),".")</f>
        <v>0.10971428571428574</v>
      </c>
      <c r="V26" s="141">
        <f>IFERROR((s_DL/(up_RadSpec!O26*s_EF_rec*(1/365)*s_ED_rec*s_ET_rec*(1/24)*s_GSF_a)),".")</f>
        <v>175.20000000000002</v>
      </c>
      <c r="W26" s="141">
        <f>IFERROR(IF(AND(U26&lt;&gt;".",V26&lt;&gt;"."),1/((1/U26)+(1/V26)),IF(AND(U26&lt;&gt;".",V26="."),1/((1/U26)),IF(AND(U26=".",V26&lt;&gt;"."),1/((1/V26)),IF(AND(U26=".",V26="."),".")))),".")</f>
        <v>0.10964562309317062</v>
      </c>
      <c r="X26" s="142">
        <f t="shared" si="3"/>
        <v>45.572916666666657</v>
      </c>
      <c r="Y26" s="142">
        <f t="shared" si="4"/>
        <v>2.8538812785388126E-2</v>
      </c>
      <c r="Z26" s="141"/>
      <c r="AA26" s="141">
        <f>IFERROR((s_DL/(up_RadSpec!M26*s_IFW_rec_adj)),".")</f>
        <v>2.5000000000000001E-2</v>
      </c>
      <c r="AB26" s="141">
        <f>IFERROR((s_DL/(up_RadSpec!Q26*(1/8760)*s_DFA_rec_adj)),".")</f>
        <v>438</v>
      </c>
      <c r="AC26" s="141">
        <f t="shared" si="5"/>
        <v>2.4998573140802463E-2</v>
      </c>
      <c r="AD26" s="142">
        <f t="shared" si="6"/>
        <v>200</v>
      </c>
      <c r="AE26" s="142">
        <f t="shared" si="7"/>
        <v>1.1415525114155251E-2</v>
      </c>
      <c r="AF26" s="141"/>
      <c r="AG26" s="141">
        <f>IFERROR(s_DL/(up_RadSpec!J26*s_EF_rec*s_ED_rec*s_IRGL_rec*s_CF_game),".")</f>
        <v>0.2</v>
      </c>
      <c r="AH26" s="141">
        <f>IFERROR((AG26/(up_RadSpec!AM26*((s_Q_p_game*s_f_p_game*s_f_s_game*(up_RadSpec!BG26+s_R_es_past))+(s_Q_s_game*s_f_p_game)))),".")</f>
        <v>8.3333333333333339E-4</v>
      </c>
      <c r="AI26" s="141">
        <f>IFERROR(AG26/(up_RadSpec!AM26*s_Q_w_game*(1/1000)),".")</f>
        <v>20</v>
      </c>
      <c r="AJ26" s="141">
        <f>IFERROR(s_DL/(up_RadSpec!J26*s_EF_rec*s_ED_rec*s_IRGF_rec*s_CF_fowl),".")</f>
        <v>0.2</v>
      </c>
      <c r="AK26" s="141">
        <f>IFERROR((AG26/(up_RadSpec!AO26*((s_Q_p_fowl*s_f_p_fowl*s_f_s_fowl*(up_RadSpec!BG26+s_R_es_past))+(s_Q_s_fowl*s_f_p_fowl)))),".")</f>
        <v>8.3333333333333339E-4</v>
      </c>
      <c r="AL26" s="141">
        <f>IFERROR(AG26/(up_RadSpec!AO26*s_Q_w_fowl*(1/1000)),".")</f>
        <v>20</v>
      </c>
      <c r="AM26" s="142">
        <f t="shared" si="8"/>
        <v>25</v>
      </c>
      <c r="AN26" s="142">
        <f>IFERROR((s_C*s_IRGL_rec*s_EF_rec*s_ED_rec*s_CF_game*up_RadSpec!AM26)*((s_Q_p_game*s_f_p_game*s_f_s_game*(up_RadSpec!BG26+s_R_es_past))+(s_Q_s_game*s_f_p_game)),".")</f>
        <v>6000</v>
      </c>
      <c r="AO26" s="142">
        <f>IFERROR(s_C*up_RadSpec!AM26*s_Q_w_game*(1/1000)*s_EF_rec*s_ED_rec*s_IRGL_rec*s_CF_game,".")</f>
        <v>0.25</v>
      </c>
      <c r="AP26" s="142">
        <f t="shared" si="9"/>
        <v>25</v>
      </c>
      <c r="AQ26" s="142">
        <f>IFERROR((s_C*s_IRGF_rec*s_EF_rec*s_ED_rec*s_CF_fowl*up_RadSpec!AO26)*((s_Q_p_fowl*s_f_p_fowl*s_f_s_fowl*(up_RadSpec!BG26+s_R_es_past))+(s_Q_s_fowl*s_f_p_fowl)),".")</f>
        <v>6000</v>
      </c>
      <c r="AR26" s="142">
        <f>IFERROR(s_C*up_RadSpec!AO26*s_Q_w_fowl*(1/1000)*s_EF_rec*s_ED_rec*s_IRGL_rec*s_CF_fowl,".")</f>
        <v>0.25</v>
      </c>
    </row>
    <row r="27" spans="1:44" customFormat="1" x14ac:dyDescent="0.25">
      <c r="A27" s="128" t="s">
        <v>25</v>
      </c>
      <c r="B27" s="129" t="s">
        <v>1059</v>
      </c>
      <c r="C27" s="141">
        <f>IFERROR(((s_DL/(up_RadSpec!I27*s_IFS_rec_adj*(1/1000)))*1),".")</f>
        <v>3.6363636363636362</v>
      </c>
      <c r="D27" s="141">
        <f>IFERROR(IF(A27="H-3",(s_DL/((up_RadSpec!L27*s_IFA_rec_adj*(1/17)*1000))*1),(s_DL/((up_RadSpec!L27*s_IFA_rec_adj*(1/s_PEF_wind)*1000))*1)),".")</f>
        <v>33989.90962986408</v>
      </c>
      <c r="E27" s="141">
        <f>IFERROR((s_DL/(up_RadSpec!K27*s_EF_rec*(1/365)*s_ED_rec*up_RadSpec!V27*s_ET_rec*(1/24)*up_RadSpec!AA27)),".")</f>
        <v>6466.1788100540916</v>
      </c>
      <c r="F27" s="141">
        <f>IF(AND(C27&lt;&gt;".",D27&lt;&gt;".",E27&lt;&gt;"."),1/((1/C27)+(1/D27)+(1/E27)),IF(AND(C27&lt;&gt;".",D27&lt;&gt;".",E27="."), 1/((1/C27)+(1/D27)),IF(AND(C27&lt;&gt;".",D27=".",E27&lt;&gt;"."),1/((1/C27)+(1/E27)),IF(AND(C27=".",D27&lt;&gt;".",E27&lt;&gt;"."),1/((1/D27)+(1/E27)),IF(AND(C27&lt;&gt;".",D27=".",E27="."),1/((1/C27)),IF(AND(C27=".",D27&lt;&gt;".",E27="."),1/((1/D27)),IF(AND(C27=".",D27=".",E27&lt;&gt;"."),1/((1/E27)),IF(AND(C27=".",D27=".",E27="."),"."))))))))</f>
        <v>3.6339312633046892</v>
      </c>
      <c r="G27" s="142">
        <f t="shared" si="1"/>
        <v>1.375</v>
      </c>
      <c r="H27" s="142">
        <f t="shared" si="2"/>
        <v>1.4710247995501936E-4</v>
      </c>
      <c r="I27" s="142">
        <f>IFERROR((s_C*s_EF_rec*(1/365)*s_ED_rec*up_RadSpec!V27*s_ET_rec*(1/24)*up_RadSpec!AA27),".")</f>
        <v>7.73254211935128E-4</v>
      </c>
      <c r="J27" s="141"/>
      <c r="K27" s="141">
        <f>IFERROR((s_DL/(up_RadSpec!K27*s_EF_rec*(1/365)*s_ED_rec*up_RadSpec!V27*s_ET_rec*(1/24)*up_RadSpec!AA27)),".")</f>
        <v>6466.1788100540916</v>
      </c>
      <c r="L27" s="141">
        <f>IFERROR((s_DL/(up_RadSpec!R27*s_EF_rec*(1/365)*s_ED_rec*up_RadSpec!W27*s_ET_rec*(1/24)*up_RadSpec!AB27)),".")</f>
        <v>19179.789473684225</v>
      </c>
      <c r="M27" s="141">
        <f>IFERROR((s_DL/(up_RadSpec!S27*s_EF_rec*(1/365)*s_ED_rec*up_RadSpec!X27*s_ET_rec*(1/24)*up_RadSpec!AC27)),".")</f>
        <v>11758.653198653199</v>
      </c>
      <c r="N27" s="141">
        <f>IFERROR((s_DL/(up_RadSpec!T27*s_EF_rec*(1/365)*s_ED_rec*up_RadSpec!Y27*s_ET_rec*(1/24)*up_RadSpec!AD27)),".")</f>
        <v>8553.9659367396616</v>
      </c>
      <c r="O27" s="141">
        <f>IFERROR((s_DL/(up_RadSpec!P27*s_EF_rec*(1/365)*s_ED_rec*up_RadSpec!U27*s_ET_rec*(1/24)*up_RadSpec!Z27)),".")</f>
        <v>59994.044665012436</v>
      </c>
      <c r="P27" s="142">
        <f>IFERROR((s_C*s_EF_rec*(1/365)*s_ED_rec*up_RadSpec!V27*s_ET_rec*(1/24)*up_RadSpec!AA27),".")</f>
        <v>7.73254211935128E-4</v>
      </c>
      <c r="Q27" s="142">
        <f>IFERROR((s_C*s_EF_rec*(1/365)*s_ED_rec*up_RadSpec!W27*s_ET_rec*(1/24)*up_RadSpec!AB27),".")</f>
        <v>2.6069107832806443E-4</v>
      </c>
      <c r="R27" s="142">
        <f>IFERROR((s_C*s_EF_rec*(1/365)*s_ED_rec*up_RadSpec!X27*s_ET_rec*(1/24)*up_RadSpec!AC27),".")</f>
        <v>4.2521876574884318E-4</v>
      </c>
      <c r="S27" s="142">
        <f>IFERROR((s_C*s_EF_rec*(1/365)*s_ED_rec*up_RadSpec!Y27*s_ET_rec*(1/24)*up_RadSpec!AD27),".")</f>
        <v>5.8452418877713542E-4</v>
      </c>
      <c r="T27" s="142">
        <f>IFERROR((s_C*s_EF_rec*(1/365)*s_ED_rec*up_RadSpec!U27*s_ET_rec*(1/24)*up_RadSpec!Z27),".")</f>
        <v>8.3341605452981235E-5</v>
      </c>
      <c r="U27" s="141">
        <f>IFERROR((s_DL/(up_RadSpec!L27*s_IFA_rec_adj)),".")</f>
        <v>0.10971428571428574</v>
      </c>
      <c r="V27" s="141">
        <f>IFERROR((s_DL/(up_RadSpec!O27*s_EF_rec*(1/365)*s_ED_rec*s_ET_rec*(1/24)*s_GSF_a)),".")</f>
        <v>175.20000000000002</v>
      </c>
      <c r="W27" s="141">
        <f>IFERROR(IF(AND(U27&lt;&gt;".",V27&lt;&gt;"."),1/((1/U27)+(1/V27)),IF(AND(U27&lt;&gt;".",V27="."),1/((1/U27)),IF(AND(U27=".",V27&lt;&gt;"."),1/((1/V27)),IF(AND(U27=".",V27="."),".")))),".")</f>
        <v>0.10964562309317062</v>
      </c>
      <c r="X27" s="142">
        <f t="shared" si="3"/>
        <v>45.572916666666657</v>
      </c>
      <c r="Y27" s="142">
        <f t="shared" si="4"/>
        <v>2.8538812785388126E-2</v>
      </c>
      <c r="Z27" s="141"/>
      <c r="AA27" s="141">
        <f>IFERROR((s_DL/(up_RadSpec!M27*s_IFW_rec_adj)),".")</f>
        <v>2.5000000000000001E-2</v>
      </c>
      <c r="AB27" s="141">
        <f>IFERROR((s_DL/(up_RadSpec!Q27*(1/8760)*s_DFA_rec_adj)),".")</f>
        <v>438</v>
      </c>
      <c r="AC27" s="141">
        <f t="shared" si="5"/>
        <v>2.4998573140802463E-2</v>
      </c>
      <c r="AD27" s="142">
        <f t="shared" si="6"/>
        <v>200</v>
      </c>
      <c r="AE27" s="142">
        <f t="shared" si="7"/>
        <v>1.1415525114155251E-2</v>
      </c>
      <c r="AF27" s="141"/>
      <c r="AG27" s="141">
        <f>IFERROR(s_DL/(up_RadSpec!J27*s_EF_rec*s_ED_rec*s_IRGL_rec*s_CF_game),".")</f>
        <v>0.2</v>
      </c>
      <c r="AH27" s="141">
        <f>IFERROR((AG27/(up_RadSpec!AM27*((s_Q_p_game*s_f_p_game*s_f_s_game*(up_RadSpec!BG27+s_R_es_past))+(s_Q_s_game*s_f_p_game)))),".")</f>
        <v>8.3333333333333339E-4</v>
      </c>
      <c r="AI27" s="141">
        <f>IFERROR(AG27/(up_RadSpec!AM27*s_Q_w_game*(1/1000)),".")</f>
        <v>20</v>
      </c>
      <c r="AJ27" s="141">
        <f>IFERROR(s_DL/(up_RadSpec!J27*s_EF_rec*s_ED_rec*s_IRGF_rec*s_CF_fowl),".")</f>
        <v>0.2</v>
      </c>
      <c r="AK27" s="141">
        <f>IFERROR((AG27/(up_RadSpec!AO27*((s_Q_p_fowl*s_f_p_fowl*s_f_s_fowl*(up_RadSpec!BG27+s_R_es_past))+(s_Q_s_fowl*s_f_p_fowl)))),".")</f>
        <v>8.3333333333333339E-4</v>
      </c>
      <c r="AL27" s="141">
        <f>IFERROR(AG27/(up_RadSpec!AO27*s_Q_w_fowl*(1/1000)),".")</f>
        <v>20</v>
      </c>
      <c r="AM27" s="142">
        <f t="shared" si="8"/>
        <v>25</v>
      </c>
      <c r="AN27" s="142">
        <f>IFERROR((s_C*s_IRGL_rec*s_EF_rec*s_ED_rec*s_CF_game*up_RadSpec!AM27)*((s_Q_p_game*s_f_p_game*s_f_s_game*(up_RadSpec!BG27+s_R_es_past))+(s_Q_s_game*s_f_p_game)),".")</f>
        <v>6000</v>
      </c>
      <c r="AO27" s="142">
        <f>IFERROR(s_C*up_RadSpec!AM27*s_Q_w_game*(1/1000)*s_EF_rec*s_ED_rec*s_IRGL_rec*s_CF_game,".")</f>
        <v>0.25</v>
      </c>
      <c r="AP27" s="142">
        <f t="shared" si="9"/>
        <v>25</v>
      </c>
      <c r="AQ27" s="142">
        <f>IFERROR((s_C*s_IRGF_rec*s_EF_rec*s_ED_rec*s_CF_fowl*up_RadSpec!AO27)*((s_Q_p_fowl*s_f_p_fowl*s_f_s_fowl*(up_RadSpec!BG27+s_R_es_past))+(s_Q_s_fowl*s_f_p_fowl)),".")</f>
        <v>6000</v>
      </c>
      <c r="AR27" s="142">
        <f>IFERROR(s_C*up_RadSpec!AO27*s_Q_w_fowl*(1/1000)*s_EF_rec*s_ED_rec*s_IRGL_rec*s_CF_fowl,".")</f>
        <v>0.25</v>
      </c>
    </row>
    <row r="28" spans="1:44" customFormat="1" x14ac:dyDescent="0.25">
      <c r="A28" s="128" t="s">
        <v>26</v>
      </c>
      <c r="B28" s="129" t="s">
        <v>1059</v>
      </c>
      <c r="C28" s="141">
        <f>IFERROR(((s_DL/(up_RadSpec!I28*s_IFS_rec_adj*(1/1000)))*1),".")</f>
        <v>3.6363636363636362</v>
      </c>
      <c r="D28" s="141">
        <f>IFERROR(IF(A28="H-3",(s_DL/((up_RadSpec!L28*s_IFA_rec_adj*(1/17)*1000))*1),(s_DL/((up_RadSpec!L28*s_IFA_rec_adj*(1/s_PEF_wind)*1000))*1)),".")</f>
        <v>33989.90962986408</v>
      </c>
      <c r="E28" s="141">
        <f>IFERROR((s_DL/(up_RadSpec!K28*s_EF_rec*(1/365)*s_ED_rec*up_RadSpec!V28*s_ET_rec*(1/24)*up_RadSpec!AA28)),".")</f>
        <v>2861.3424791768748</v>
      </c>
      <c r="F28" s="141">
        <f t="shared" ref="F28:F29" si="18">IF(AND(C28&lt;&gt;".",D28&lt;&gt;".",E28&lt;&gt;"."),1/((1/C28)+(1/D28)+(1/E28)),IF(AND(C28&lt;&gt;".",D28&lt;&gt;".",E28="."), 1/((1/C28)+(1/D28)),IF(AND(C28&lt;&gt;".",D28=".",E28&lt;&gt;"."),1/((1/C28)+(1/E28)),IF(AND(C28=".",D28&lt;&gt;".",E28&lt;&gt;"."),1/((1/D28)+(1/E28)),IF(AND(C28&lt;&gt;".",D28=".",E28="."),1/((1/C28)),IF(AND(C28=".",D28&lt;&gt;".",E28="."),1/((1/D28)),IF(AND(C28=".",D28=".",E28&lt;&gt;"."),1/((1/E28)),IF(AND(C28=".",D28=".",E28="."),"."))))))))</f>
        <v>3.6313601925068846</v>
      </c>
      <c r="G28" s="142">
        <f t="shared" si="1"/>
        <v>1.375</v>
      </c>
      <c r="H28" s="142">
        <f t="shared" si="2"/>
        <v>1.4710247995501936E-4</v>
      </c>
      <c r="I28" s="142">
        <f>IFERROR((s_C*s_EF_rec*(1/365)*s_ED_rec*up_RadSpec!V28*s_ET_rec*(1/24)*up_RadSpec!AA28),".")</f>
        <v>1.7474315068493147E-3</v>
      </c>
      <c r="J28" s="141"/>
      <c r="K28" s="141">
        <f>IFERROR((s_DL/(up_RadSpec!K28*s_EF_rec*(1/365)*s_ED_rec*up_RadSpec!V28*s_ET_rec*(1/24)*up_RadSpec!AA28)),".")</f>
        <v>2861.3424791768748</v>
      </c>
      <c r="L28" s="141">
        <f>IFERROR((s_DL/(up_RadSpec!R28*s_EF_rec*(1/365)*s_ED_rec*up_RadSpec!W28*s_ET_rec*(1/24)*up_RadSpec!AB28)),".")</f>
        <v>6380.3939532753111</v>
      </c>
      <c r="M28" s="141">
        <f>IFERROR((s_DL/(up_RadSpec!S28*s_EF_rec*(1/365)*s_ED_rec*up_RadSpec!X28*s_ET_rec*(1/24)*up_RadSpec!AC28)),".")</f>
        <v>4429.835651074588</v>
      </c>
      <c r="N28" s="141">
        <f>IFERROR((s_DL/(up_RadSpec!T28*s_EF_rec*(1/365)*s_ED_rec*up_RadSpec!Y28*s_ET_rec*(1/24)*up_RadSpec!AD28)),".")</f>
        <v>3835.3641851106622</v>
      </c>
      <c r="O28" s="141">
        <f>IFERROR((s_DL/(up_RadSpec!P28*s_EF_rec*(1/365)*s_ED_rec*up_RadSpec!U28*s_ET_rec*(1/24)*up_RadSpec!Z28)),".")</f>
        <v>11216.507936507942</v>
      </c>
      <c r="P28" s="142">
        <f>IFERROR((s_C*s_EF_rec*(1/365)*s_ED_rec*up_RadSpec!V28*s_ET_rec*(1/24)*up_RadSpec!AA28),".")</f>
        <v>1.7474315068493147E-3</v>
      </c>
      <c r="Q28" s="142">
        <f>IFERROR((s_C*s_EF_rec*(1/365)*s_ED_rec*up_RadSpec!W28*s_ET_rec*(1/24)*up_RadSpec!AB28),".")</f>
        <v>7.8365067057235556E-4</v>
      </c>
      <c r="R28" s="142">
        <f>IFERROR((s_C*s_EF_rec*(1/365)*s_ED_rec*up_RadSpec!X28*s_ET_rec*(1/24)*up_RadSpec!AC28),".")</f>
        <v>1.1287100456621008E-3</v>
      </c>
      <c r="S28" s="142">
        <f>IFERROR((s_C*s_EF_rec*(1/365)*s_ED_rec*up_RadSpec!Y28*s_ET_rec*(1/24)*up_RadSpec!AD28),".")</f>
        <v>1.3036571649207634E-3</v>
      </c>
      <c r="T28" s="142">
        <f>IFERROR((s_C*s_EF_rec*(1/365)*s_ED_rec*up_RadSpec!U28*s_ET_rec*(1/24)*up_RadSpec!Z28),".")</f>
        <v>4.4577153854862429E-4</v>
      </c>
      <c r="U28" s="141">
        <f>IFERROR((s_DL/(up_RadSpec!L28*s_IFA_rec_adj)),".")</f>
        <v>0.10971428571428574</v>
      </c>
      <c r="V28" s="141">
        <f>IFERROR((s_DL/(up_RadSpec!O28*s_EF_rec*(1/365)*s_ED_rec*s_ET_rec*(1/24)*s_GSF_a)),".")</f>
        <v>175.20000000000002</v>
      </c>
      <c r="W28" s="141">
        <f t="shared" ref="W28:W29" si="19">IFERROR(IF(AND(U28&lt;&gt;".",V28&lt;&gt;"."),1/((1/U28)+(1/V28)),IF(AND(U28&lt;&gt;".",V28="."),1/((1/U28)),IF(AND(U28=".",V28&lt;&gt;"."),1/((1/V28)),IF(AND(U28=".",V28="."),".")))),".")</f>
        <v>0.10964562309317062</v>
      </c>
      <c r="X28" s="142">
        <f t="shared" si="3"/>
        <v>45.572916666666657</v>
      </c>
      <c r="Y28" s="142">
        <f t="shared" si="4"/>
        <v>2.8538812785388126E-2</v>
      </c>
      <c r="Z28" s="141"/>
      <c r="AA28" s="141">
        <f>IFERROR((s_DL/(up_RadSpec!M28*s_IFW_rec_adj)),".")</f>
        <v>2.5000000000000001E-2</v>
      </c>
      <c r="AB28" s="141">
        <f>IFERROR((s_DL/(up_RadSpec!Q28*(1/8760)*s_DFA_rec_adj)),".")</f>
        <v>438</v>
      </c>
      <c r="AC28" s="141">
        <f t="shared" si="5"/>
        <v>2.4998573140802463E-2</v>
      </c>
      <c r="AD28" s="142">
        <f t="shared" si="6"/>
        <v>200</v>
      </c>
      <c r="AE28" s="142">
        <f t="shared" si="7"/>
        <v>1.1415525114155251E-2</v>
      </c>
      <c r="AF28" s="141"/>
      <c r="AG28" s="141">
        <f>IFERROR(s_DL/(up_RadSpec!J28*s_EF_rec*s_ED_rec*s_IRGL_rec*s_CF_game),".")</f>
        <v>0.2</v>
      </c>
      <c r="AH28" s="141">
        <f>IFERROR((AG28/(up_RadSpec!AM28*((s_Q_p_game*s_f_p_game*s_f_s_game*(up_RadSpec!BG28+s_R_es_past))+(s_Q_s_game*s_f_p_game)))),".")</f>
        <v>8.3333333333333339E-4</v>
      </c>
      <c r="AI28" s="141">
        <f>IFERROR(AG28/(up_RadSpec!AM28*s_Q_w_game*(1/1000)),".")</f>
        <v>20</v>
      </c>
      <c r="AJ28" s="141">
        <f>IFERROR(s_DL/(up_RadSpec!J28*s_EF_rec*s_ED_rec*s_IRGF_rec*s_CF_fowl),".")</f>
        <v>0.2</v>
      </c>
      <c r="AK28" s="141">
        <f>IFERROR((AG28/(up_RadSpec!AO28*((s_Q_p_fowl*s_f_p_fowl*s_f_s_fowl*(up_RadSpec!BG28+s_R_es_past))+(s_Q_s_fowl*s_f_p_fowl)))),".")</f>
        <v>8.3333333333333339E-4</v>
      </c>
      <c r="AL28" s="141">
        <f>IFERROR(AG28/(up_RadSpec!AO28*s_Q_w_fowl*(1/1000)),".")</f>
        <v>20</v>
      </c>
      <c r="AM28" s="142">
        <f t="shared" si="8"/>
        <v>25</v>
      </c>
      <c r="AN28" s="142">
        <f>IFERROR((s_C*s_IRGL_rec*s_EF_rec*s_ED_rec*s_CF_game*up_RadSpec!AM28)*((s_Q_p_game*s_f_p_game*s_f_s_game*(up_RadSpec!BG28+s_R_es_past))+(s_Q_s_game*s_f_p_game)),".")</f>
        <v>6000</v>
      </c>
      <c r="AO28" s="142">
        <f>IFERROR(s_C*up_RadSpec!AM28*s_Q_w_game*(1/1000)*s_EF_rec*s_ED_rec*s_IRGL_rec*s_CF_game,".")</f>
        <v>0.25</v>
      </c>
      <c r="AP28" s="142">
        <f t="shared" si="9"/>
        <v>25</v>
      </c>
      <c r="AQ28" s="142">
        <f>IFERROR((s_C*s_IRGF_rec*s_EF_rec*s_ED_rec*s_CF_fowl*up_RadSpec!AO28)*((s_Q_p_fowl*s_f_p_fowl*s_f_s_fowl*(up_RadSpec!BG28+s_R_es_past))+(s_Q_s_fowl*s_f_p_fowl)),".")</f>
        <v>6000</v>
      </c>
      <c r="AR28" s="142">
        <f>IFERROR(s_C*up_RadSpec!AO28*s_Q_w_fowl*(1/1000)*s_EF_rec*s_ED_rec*s_IRGL_rec*s_CF_fowl,".")</f>
        <v>0.25</v>
      </c>
    </row>
    <row r="29" spans="1:44" customFormat="1" x14ac:dyDescent="0.25">
      <c r="A29" s="128" t="s">
        <v>27</v>
      </c>
      <c r="B29" s="129" t="s">
        <v>1059</v>
      </c>
      <c r="C29" s="141">
        <f>IFERROR(((s_DL/(up_RadSpec!I29*s_IFS_rec_adj*(1/1000)))*1),".")</f>
        <v>3.6363636363636362</v>
      </c>
      <c r="D29" s="141">
        <f>IFERROR(IF(A29="H-3",(s_DL/((up_RadSpec!L29*s_IFA_rec_adj*(1/17)*1000))*1),(s_DL/((up_RadSpec!L29*s_IFA_rec_adj*(1/s_PEF_wind)*1000))*1)),".")</f>
        <v>33989.90962986408</v>
      </c>
      <c r="E29" s="141">
        <f>IFERROR((s_DL/(up_RadSpec!K29*s_EF_rec*(1/365)*s_ED_rec*up_RadSpec!V29*s_ET_rec*(1/24)*up_RadSpec!AA29)),".")</f>
        <v>3111.4754098360672</v>
      </c>
      <c r="F29" s="141">
        <f t="shared" si="18"/>
        <v>3.6317307175989444</v>
      </c>
      <c r="G29" s="142">
        <f t="shared" si="1"/>
        <v>1.375</v>
      </c>
      <c r="H29" s="142">
        <f t="shared" si="2"/>
        <v>1.4710247995501936E-4</v>
      </c>
      <c r="I29" s="142">
        <f>IFERROR((s_C*s_EF_rec*(1/365)*s_ED_rec*up_RadSpec!V29*s_ET_rec*(1/24)*up_RadSpec!AA29),".")</f>
        <v>1.6069546891464691E-3</v>
      </c>
      <c r="J29" s="141"/>
      <c r="K29" s="141">
        <f>IFERROR((s_DL/(up_RadSpec!K29*s_EF_rec*(1/365)*s_ED_rec*up_RadSpec!V29*s_ET_rec*(1/24)*up_RadSpec!AA29)),".")</f>
        <v>3111.4754098360672</v>
      </c>
      <c r="L29" s="141">
        <f>IFERROR((s_DL/(up_RadSpec!R29*s_EF_rec*(1/365)*s_ED_rec*up_RadSpec!W29*s_ET_rec*(1/24)*up_RadSpec!AB29)),".")</f>
        <v>6208.8421052631575</v>
      </c>
      <c r="M29" s="141">
        <f>IFERROR((s_DL/(up_RadSpec!S29*s_EF_rec*(1/365)*s_ED_rec*up_RadSpec!X29*s_ET_rec*(1/24)*up_RadSpec!AC29)),".")</f>
        <v>4423.152709359606</v>
      </c>
      <c r="N29" s="141">
        <f>IFERROR((s_DL/(up_RadSpec!T29*s_EF_rec*(1/365)*s_ED_rec*up_RadSpec!Y29*s_ET_rec*(1/24)*up_RadSpec!AD29)),".")</f>
        <v>3751.9753846153822</v>
      </c>
      <c r="O29" s="141">
        <f>IFERROR((s_DL/(up_RadSpec!P29*s_EF_rec*(1/365)*s_ED_rec*up_RadSpec!U29*s_ET_rec*(1/24)*up_RadSpec!Z29)),".")</f>
        <v>11149.090909090912</v>
      </c>
      <c r="P29" s="142">
        <f>IFERROR((s_C*s_EF_rec*(1/365)*s_ED_rec*up_RadSpec!V29*s_ET_rec*(1/24)*up_RadSpec!AA29),".")</f>
        <v>1.6069546891464691E-3</v>
      </c>
      <c r="Q29" s="142">
        <f>IFERROR((s_C*s_EF_rec*(1/365)*s_ED_rec*up_RadSpec!W29*s_ET_rec*(1/24)*up_RadSpec!AB29),".")</f>
        <v>8.0530313305303143E-4</v>
      </c>
      <c r="R29" s="142">
        <f>IFERROR((s_C*s_EF_rec*(1/365)*s_ED_rec*up_RadSpec!X29*s_ET_rec*(1/24)*up_RadSpec!AC29),".")</f>
        <v>1.1304154137431785E-3</v>
      </c>
      <c r="S29" s="142">
        <f>IFERROR((s_C*s_EF_rec*(1/365)*s_ED_rec*up_RadSpec!Y29*s_ET_rec*(1/24)*up_RadSpec!AD29),".")</f>
        <v>1.3326313441452799E-3</v>
      </c>
      <c r="T29" s="142">
        <f>IFERROR((s_C*s_EF_rec*(1/365)*s_ED_rec*up_RadSpec!U29*s_ET_rec*(1/24)*up_RadSpec!Z29),".")</f>
        <v>4.4846705805609907E-4</v>
      </c>
      <c r="U29" s="141">
        <f>IFERROR((s_DL/(up_RadSpec!L29*s_IFA_rec_adj)),".")</f>
        <v>0.10971428571428574</v>
      </c>
      <c r="V29" s="141">
        <f>IFERROR((s_DL/(up_RadSpec!O29*s_EF_rec*(1/365)*s_ED_rec*s_ET_rec*(1/24)*s_GSF_a)),".")</f>
        <v>175.20000000000002</v>
      </c>
      <c r="W29" s="141">
        <f t="shared" si="19"/>
        <v>0.10964562309317062</v>
      </c>
      <c r="X29" s="142">
        <f t="shared" si="3"/>
        <v>45.572916666666657</v>
      </c>
      <c r="Y29" s="142">
        <f t="shared" si="4"/>
        <v>2.8538812785388126E-2</v>
      </c>
      <c r="Z29" s="141"/>
      <c r="AA29" s="141">
        <f>IFERROR((s_DL/(up_RadSpec!M29*s_IFW_rec_adj)),".")</f>
        <v>2.5000000000000001E-2</v>
      </c>
      <c r="AB29" s="141">
        <f>IFERROR((s_DL/(up_RadSpec!Q29*(1/8760)*s_DFA_rec_adj)),".")</f>
        <v>438</v>
      </c>
      <c r="AC29" s="141">
        <f t="shared" si="5"/>
        <v>2.4998573140802463E-2</v>
      </c>
      <c r="AD29" s="142">
        <f t="shared" si="6"/>
        <v>200</v>
      </c>
      <c r="AE29" s="142">
        <f t="shared" si="7"/>
        <v>1.1415525114155251E-2</v>
      </c>
      <c r="AF29" s="141"/>
      <c r="AG29" s="141">
        <f>IFERROR(s_DL/(up_RadSpec!J29*s_EF_rec*s_ED_rec*s_IRGL_rec*s_CF_game),".")</f>
        <v>0.2</v>
      </c>
      <c r="AH29" s="141">
        <f>IFERROR((AG29/(up_RadSpec!AM29*((s_Q_p_game*s_f_p_game*s_f_s_game*(up_RadSpec!BG29+s_R_es_past))+(s_Q_s_game*s_f_p_game)))),".")</f>
        <v>8.3333333333333339E-4</v>
      </c>
      <c r="AI29" s="141">
        <f>IFERROR(AG29/(up_RadSpec!AM29*s_Q_w_game*(1/1000)),".")</f>
        <v>20</v>
      </c>
      <c r="AJ29" s="141">
        <f>IFERROR(s_DL/(up_RadSpec!J29*s_EF_rec*s_ED_rec*s_IRGF_rec*s_CF_fowl),".")</f>
        <v>0.2</v>
      </c>
      <c r="AK29" s="141">
        <f>IFERROR((AG29/(up_RadSpec!AO29*((s_Q_p_fowl*s_f_p_fowl*s_f_s_fowl*(up_RadSpec!BG29+s_R_es_past))+(s_Q_s_fowl*s_f_p_fowl)))),".")</f>
        <v>8.3333333333333339E-4</v>
      </c>
      <c r="AL29" s="141">
        <f>IFERROR(AG29/(up_RadSpec!AO29*s_Q_w_fowl*(1/1000)),".")</f>
        <v>20</v>
      </c>
      <c r="AM29" s="142">
        <f t="shared" si="8"/>
        <v>25</v>
      </c>
      <c r="AN29" s="142">
        <f>IFERROR((s_C*s_IRGL_rec*s_EF_rec*s_ED_rec*s_CF_game*up_RadSpec!AM29)*((s_Q_p_game*s_f_p_game*s_f_s_game*(up_RadSpec!BG29+s_R_es_past))+(s_Q_s_game*s_f_p_game)),".")</f>
        <v>6000</v>
      </c>
      <c r="AO29" s="142">
        <f>IFERROR(s_C*up_RadSpec!AM29*s_Q_w_game*(1/1000)*s_EF_rec*s_ED_rec*s_IRGL_rec*s_CF_game,".")</f>
        <v>0.25</v>
      </c>
      <c r="AP29" s="142">
        <f t="shared" si="9"/>
        <v>25</v>
      </c>
      <c r="AQ29" s="142">
        <f>IFERROR((s_C*s_IRGF_rec*s_EF_rec*s_ED_rec*s_CF_fowl*up_RadSpec!AO29)*((s_Q_p_fowl*s_f_p_fowl*s_f_s_fowl*(up_RadSpec!BG29+s_R_es_past))+(s_Q_s_fowl*s_f_p_fowl)),".")</f>
        <v>6000</v>
      </c>
      <c r="AR29" s="142">
        <f>IFERROR(s_C*up_RadSpec!AO29*s_Q_w_fowl*(1/1000)*s_EF_rec*s_ED_rec*s_IRGL_rec*s_CF_fowl,".")</f>
        <v>0.25</v>
      </c>
    </row>
    <row r="30" spans="1:44" customFormat="1" x14ac:dyDescent="0.25">
      <c r="A30" s="128" t="s">
        <v>28</v>
      </c>
      <c r="B30" s="129" t="s">
        <v>1059</v>
      </c>
      <c r="C30" s="141">
        <f>IFERROR(((s_DL/(up_RadSpec!I30*s_IFS_rec_adj*(1/1000)))*1),".")</f>
        <v>3.6363636363636362</v>
      </c>
      <c r="D30" s="141">
        <f>IFERROR(IF(A30="H-3",(s_DL/((up_RadSpec!L30*s_IFA_rec_adj*(1/17)*1000))*1),(s_DL/((up_RadSpec!L30*s_IFA_rec_adj*(1/s_PEF_wind)*1000))*1)),".")</f>
        <v>33989.90962986408</v>
      </c>
      <c r="E30" s="141">
        <f>IFERROR((s_DL/(up_RadSpec!K30*s_EF_rec*(1/365)*s_ED_rec*up_RadSpec!V30*s_ET_rec*(1/24)*up_RadSpec!AA30)),".")</f>
        <v>29200</v>
      </c>
      <c r="F30" s="141">
        <f>IF(AND(C30&lt;&gt;".",D30&lt;&gt;".",E30&lt;&gt;"."),1/((1/C30)+(1/D30)+(1/E30)),IF(AND(C30&lt;&gt;".",D30&lt;&gt;".",E30="."), 1/((1/C30)+(1/D30)),IF(AND(C30&lt;&gt;".",D30=".",E30&lt;&gt;"."),1/((1/C30)+(1/E30)),IF(AND(C30=".",D30&lt;&gt;".",E30&lt;&gt;"."),1/((1/D30)+(1/E30)),IF(AND(C30&lt;&gt;".",D30=".",E30="."),1/((1/C30)),IF(AND(C30=".",D30&lt;&gt;".",E30="."),1/((1/D30)),IF(AND(C30=".",D30=".",E30&lt;&gt;"."),1/((1/E30)),IF(AND(C30=".",D30=".",E30="."),"."))))))))</f>
        <v>3.6355219525982161</v>
      </c>
      <c r="G30" s="142">
        <f t="shared" si="1"/>
        <v>1.375</v>
      </c>
      <c r="H30" s="142">
        <f t="shared" si="2"/>
        <v>1.4710247995501936E-4</v>
      </c>
      <c r="I30" s="142">
        <f>IFERROR((s_C*s_EF_rec*(1/365)*s_ED_rec*up_RadSpec!V30*s_ET_rec*(1/24)*up_RadSpec!AA30),".")</f>
        <v>1.7123287671232877E-4</v>
      </c>
      <c r="J30" s="141"/>
      <c r="K30" s="141">
        <f>IFERROR((s_DL/(up_RadSpec!K30*s_EF_rec*(1/365)*s_ED_rec*up_RadSpec!V30*s_ET_rec*(1/24)*up_RadSpec!AA30)),".")</f>
        <v>29200</v>
      </c>
      <c r="L30" s="141">
        <f>IFERROR((s_DL/(up_RadSpec!R30*s_EF_rec*(1/365)*s_ED_rec*up_RadSpec!W30*s_ET_rec*(1/24)*up_RadSpec!AB30)),".")</f>
        <v>143049.89690721646</v>
      </c>
      <c r="M30" s="141">
        <f>IFERROR((s_DL/(up_RadSpec!S30*s_EF_rec*(1/365)*s_ED_rec*up_RadSpec!X30*s_ET_rec*(1/24)*up_RadSpec!AC30)),".")</f>
        <v>51550.324675324664</v>
      </c>
      <c r="N30" s="141">
        <f>IFERROR((s_DL/(up_RadSpec!T30*s_EF_rec*(1/365)*s_ED_rec*up_RadSpec!Y30*s_ET_rec*(1/24)*up_RadSpec!AD30)),".")</f>
        <v>38371.477079796285</v>
      </c>
      <c r="O30" s="141">
        <f>IFERROR((s_DL/(up_RadSpec!P30*s_EF_rec*(1/365)*s_ED_rec*up_RadSpec!U30*s_ET_rec*(1/24)*up_RadSpec!Z30)),".")</f>
        <v>3504000</v>
      </c>
      <c r="P30" s="142">
        <f>IFERROR((s_C*s_EF_rec*(1/365)*s_ED_rec*up_RadSpec!V30*s_ET_rec*(1/24)*up_RadSpec!AA30),".")</f>
        <v>1.7123287671232877E-4</v>
      </c>
      <c r="Q30" s="142">
        <f>IFERROR((s_C*s_EF_rec*(1/365)*s_ED_rec*up_RadSpec!W30*s_ET_rec*(1/24)*up_RadSpec!AB30),".")</f>
        <v>3.4952838891195062E-5</v>
      </c>
      <c r="R30" s="142">
        <f>IFERROR((s_C*s_EF_rec*(1/365)*s_ED_rec*up_RadSpec!X30*s_ET_rec*(1/24)*up_RadSpec!AC30),".")</f>
        <v>9.6992599590615679E-5</v>
      </c>
      <c r="S30" s="142">
        <f>IFERROR((s_C*s_EF_rec*(1/365)*s_ED_rec*up_RadSpec!Y30*s_ET_rec*(1/24)*up_RadSpec!AD30),".")</f>
        <v>1.3030512194258604E-4</v>
      </c>
      <c r="T30" s="142">
        <f>IFERROR((s_C*s_EF_rec*(1/365)*s_ED_rec*up_RadSpec!U30*s_ET_rec*(1/24)*up_RadSpec!Z30),".")</f>
        <v>1.4269406392694064E-6</v>
      </c>
      <c r="U30" s="141">
        <f>IFERROR((s_DL/(up_RadSpec!L30*s_IFA_rec_adj)),".")</f>
        <v>0.10971428571428574</v>
      </c>
      <c r="V30" s="141">
        <f>IFERROR((s_DL/(up_RadSpec!O30*s_EF_rec*(1/365)*s_ED_rec*s_ET_rec*(1/24)*s_GSF_a)),".")</f>
        <v>175.20000000000002</v>
      </c>
      <c r="W30" s="141">
        <f>IFERROR(IF(AND(U30&lt;&gt;".",V30&lt;&gt;"."),1/((1/U30)+(1/V30)),IF(AND(U30&lt;&gt;".",V30="."),1/((1/U30)),IF(AND(U30=".",V30&lt;&gt;"."),1/((1/V30)),IF(AND(U30=".",V30="."),".")))),".")</f>
        <v>0.10964562309317062</v>
      </c>
      <c r="X30" s="142">
        <f t="shared" si="3"/>
        <v>45.572916666666657</v>
      </c>
      <c r="Y30" s="142">
        <f t="shared" si="4"/>
        <v>2.8538812785388126E-2</v>
      </c>
      <c r="Z30" s="141"/>
      <c r="AA30" s="141">
        <f>IFERROR((s_DL/(up_RadSpec!M30*s_IFW_rec_adj)),".")</f>
        <v>2.5000000000000001E-2</v>
      </c>
      <c r="AB30" s="141">
        <f>IFERROR((s_DL/(up_RadSpec!Q30*(1/8760)*s_DFA_rec_adj)),".")</f>
        <v>438</v>
      </c>
      <c r="AC30" s="141">
        <f t="shared" si="5"/>
        <v>2.4998573140802463E-2</v>
      </c>
      <c r="AD30" s="142">
        <f t="shared" si="6"/>
        <v>200</v>
      </c>
      <c r="AE30" s="142">
        <f t="shared" si="7"/>
        <v>1.1415525114155251E-2</v>
      </c>
      <c r="AF30" s="141"/>
      <c r="AG30" s="141">
        <f>IFERROR(s_DL/(up_RadSpec!J30*s_EF_rec*s_ED_rec*s_IRGL_rec*s_CF_game),".")</f>
        <v>0.2</v>
      </c>
      <c r="AH30" s="141">
        <f>IFERROR((AG30/(up_RadSpec!AM30*((s_Q_p_game*s_f_p_game*s_f_s_game*(up_RadSpec!BG30+s_R_es_past))+(s_Q_s_game*s_f_p_game)))),".")</f>
        <v>8.3333333333333339E-4</v>
      </c>
      <c r="AI30" s="141">
        <f>IFERROR(AG30/(up_RadSpec!AM30*s_Q_w_game*(1/1000)),".")</f>
        <v>20</v>
      </c>
      <c r="AJ30" s="141">
        <f>IFERROR(s_DL/(up_RadSpec!J30*s_EF_rec*s_ED_rec*s_IRGF_rec*s_CF_fowl),".")</f>
        <v>0.2</v>
      </c>
      <c r="AK30" s="141">
        <f>IFERROR((AG30/(up_RadSpec!AO30*((s_Q_p_fowl*s_f_p_fowl*s_f_s_fowl*(up_RadSpec!BG30+s_R_es_past))+(s_Q_s_fowl*s_f_p_fowl)))),".")</f>
        <v>8.3333333333333339E-4</v>
      </c>
      <c r="AL30" s="141">
        <f>IFERROR(AG30/(up_RadSpec!AO30*s_Q_w_fowl*(1/1000)),".")</f>
        <v>20</v>
      </c>
      <c r="AM30" s="142">
        <f t="shared" si="8"/>
        <v>25</v>
      </c>
      <c r="AN30" s="142">
        <f>IFERROR((s_C*s_IRGL_rec*s_EF_rec*s_ED_rec*s_CF_game*up_RadSpec!AM30)*((s_Q_p_game*s_f_p_game*s_f_s_game*(up_RadSpec!BG30+s_R_es_past))+(s_Q_s_game*s_f_p_game)),".")</f>
        <v>6000</v>
      </c>
      <c r="AO30" s="142">
        <f>IFERROR(s_C*up_RadSpec!AM30*s_Q_w_game*(1/1000)*s_EF_rec*s_ED_rec*s_IRGL_rec*s_CF_game,".")</f>
        <v>0.25</v>
      </c>
      <c r="AP30" s="142">
        <f t="shared" si="9"/>
        <v>25</v>
      </c>
      <c r="AQ30" s="142">
        <f>IFERROR((s_C*s_IRGF_rec*s_EF_rec*s_ED_rec*s_CF_fowl*up_RadSpec!AO30)*((s_Q_p_fowl*s_f_p_fowl*s_f_s_fowl*(up_RadSpec!BG30+s_R_es_past))+(s_Q_s_fowl*s_f_p_fowl)),".")</f>
        <v>6000</v>
      </c>
      <c r="AR30" s="142">
        <f>IFERROR(s_C*up_RadSpec!AO30*s_Q_w_fowl*(1/1000)*s_EF_rec*s_ED_rec*s_IRGL_rec*s_CF_fowl,".")</f>
        <v>0.25</v>
      </c>
    </row>
    <row r="31" spans="1:44" x14ac:dyDescent="0.25">
      <c r="A31" s="145" t="s">
        <v>1</v>
      </c>
      <c r="B31" s="145" t="s">
        <v>1221</v>
      </c>
      <c r="C31" s="134">
        <f>1/SUM(1/C32,1/C33,1/C34,1/C35,1/C36,1/C37,1/C38,1/C39,1/C40,1/C41,1/C42,1/C43,1/C44)</f>
        <v>0.30303939421212944</v>
      </c>
      <c r="D31" s="134">
        <f>1/SUM(1/D32,1/D33,1/D34,1/D35,1/D36,1/D37,1/D38,1/D39,1/D40,1/D41,1/D42,1/D43,1/D44)</f>
        <v>2832.5774464787351</v>
      </c>
      <c r="E31" s="134">
        <f>1/SUM(1/E32,1/E33,1/E34,1/E35,1/E36,1/E37,1/E38,1/E39,1/E40,1/E41,1/E42,1/E43)</f>
        <v>1187.2603601468677</v>
      </c>
      <c r="F31" s="134">
        <f>1/SUM(1/F32,1/F33,1/F34,1/F35,1/F36,1/F37,1/F38,1/F39,1/F40,1/F41,1/F42,1/F43,1/F44)</f>
        <v>0.30292966515094111</v>
      </c>
      <c r="G31" s="146">
        <f t="shared" ref="G31" si="20">SUM(G32:G44)</f>
        <v>82.497524999999996</v>
      </c>
      <c r="H31" s="146">
        <f t="shared" ref="H31" si="21">SUM(H32:H44)</f>
        <v>8.8258840128372408E-3</v>
      </c>
      <c r="I31" s="146">
        <f t="shared" ref="I31" si="22">SUM(I32:I44)</f>
        <v>2.105688089923884E-2</v>
      </c>
      <c r="J31" s="147">
        <f>SUM(G31:I31)</f>
        <v>82.52740776491207</v>
      </c>
      <c r="K31" s="134">
        <f>1/SUM(1/K32,1/K33,1/K34,1/K35,1/K36,1/K37,1/K38,1/K39,1/K40,1/K41,1/K42,1/K43)</f>
        <v>1187.2603601468677</v>
      </c>
      <c r="L31" s="134">
        <f t="shared" ref="L31:O31" si="23">1/SUM(1/L32,1/L33,1/L34,1/L35,1/L36,1/L37,1/L38,1/L39,1/L40,1/L41,1/L42,1/L43)</f>
        <v>2194.1054747692797</v>
      </c>
      <c r="M31" s="134">
        <f t="shared" si="23"/>
        <v>1550.2499418916436</v>
      </c>
      <c r="N31" s="134">
        <f t="shared" si="23"/>
        <v>1346.7301257860854</v>
      </c>
      <c r="O31" s="134">
        <f t="shared" si="23"/>
        <v>4635.2380470616481</v>
      </c>
      <c r="P31" s="146">
        <f>SUM(P32:P44)</f>
        <v>2.105688089923884E-2</v>
      </c>
      <c r="Q31" s="146">
        <f t="shared" ref="Q31" si="24">SUM(Q32:Q44)</f>
        <v>1.1394165087997362E-2</v>
      </c>
      <c r="R31" s="146">
        <f t="shared" ref="R31" si="25">SUM(R32:R44)</f>
        <v>1.6126431825241379E-2</v>
      </c>
      <c r="S31" s="146">
        <f t="shared" ref="S31" si="26">SUM(S32:S44)</f>
        <v>1.8563481666683236E-2</v>
      </c>
      <c r="T31" s="146">
        <f t="shared" ref="T31" si="27">SUM(T32:T44)</f>
        <v>5.3934662570022489E-3</v>
      </c>
      <c r="U31" s="134">
        <f>1/SUM(1/U32,1/U33,1/U34,1/U35,1/U36,1/U37,1/U38,1/U39,1/U40,1/U41,1/U42,1/U43,1/U44)</f>
        <v>9.1431314368002493E-3</v>
      </c>
      <c r="V31" s="134">
        <f>1/SUM(1/V32,1/V33,1/V34,1/V35,1/V36,1/V37,1/V38,1/V39,1/V40,1/V41,1/V42,1/V43,1/V44)</f>
        <v>14.600438013140394</v>
      </c>
      <c r="W31" s="134">
        <f>1/SUM(1/W32,1/W33,1/W34,1/W35,1/W36,1/W37,1/W38,1/W39,1/W40,1/W41,1/W42,1/W43,1/W44)</f>
        <v>9.1374093800456191E-3</v>
      </c>
      <c r="X31" s="146">
        <f t="shared" ref="X31" si="28">SUM(X32:X44)</f>
        <v>2734.29296875</v>
      </c>
      <c r="Y31" s="146">
        <f t="shared" ref="Y31" si="29">SUM(Y32:Y44)</f>
        <v>1.7122773972602738</v>
      </c>
      <c r="Z31" s="147">
        <f>SUM(X31:Y31)</f>
        <v>2736.0052461472601</v>
      </c>
      <c r="AA31" s="134">
        <f>1/SUM(1/AA32,1/AA33,1/AA34,1/AA35,1/AA36,1/AA37,1/AA38,1/AA39,1/AA40,1/AA41,1/AA42,1/AA43,1/AA44)</f>
        <v>2.0833958352083895E-3</v>
      </c>
      <c r="AB31" s="134">
        <f>1/SUM(1/AB32,1/AB33,1/AB34,1/AB35,1/AB36,1/AB37,1/AB38,1/AB39,1/AB40,1/AB41,1/AB42,1/AB43,1/AB44)</f>
        <v>36.501095032850984</v>
      </c>
      <c r="AC31" s="134">
        <f>1/SUM(1/AC32,1/AC33,1/AC34,1/AC35,1/AC36,1/AC37,1/AC38,1/AC39,1/AC40,1/AC41,1/AC42,1/AC43,1/AC44)</f>
        <v>2.083276926708007E-3</v>
      </c>
      <c r="AD31" s="146">
        <f t="shared" ref="AD31" si="30">SUM(AD32:AD44)</f>
        <v>11999.639999999998</v>
      </c>
      <c r="AE31" s="146">
        <f t="shared" ref="AE31" si="31">SUM(AE32:AE44)</f>
        <v>0.68491095890410947</v>
      </c>
      <c r="AF31" s="147">
        <f>SUM(AD31:AE31)</f>
        <v>12000.324910958901</v>
      </c>
      <c r="AG31" s="134">
        <f t="shared" ref="AG31:AL31" si="32">1/SUM(1/AG32,1/AG33,1/AG34,1/AG35,1/AG36,1/AG37,1/AG38,1/AG39,1/AG40,1/AG41,1/AG42,1/AG43,1/AG44)</f>
        <v>1.6667166681667116E-2</v>
      </c>
      <c r="AH31" s="134">
        <f t="shared" si="32"/>
        <v>6.9446527840279662E-5</v>
      </c>
      <c r="AI31" s="134">
        <f t="shared" si="32"/>
        <v>1.6667166681667118</v>
      </c>
      <c r="AJ31" s="134">
        <f t="shared" si="32"/>
        <v>1.6667166681667116E-2</v>
      </c>
      <c r="AK31" s="134">
        <f t="shared" si="32"/>
        <v>6.9446527840279662E-5</v>
      </c>
      <c r="AL31" s="134">
        <f t="shared" si="32"/>
        <v>1.6667166681667118</v>
      </c>
      <c r="AM31" s="146">
        <f t="shared" ref="AM31" si="33">SUM(AM32:AM44)</f>
        <v>1499.9549999999997</v>
      </c>
      <c r="AN31" s="146">
        <f t="shared" ref="AN31" si="34">SUM(AN32:AN44)</f>
        <v>359989.20000000007</v>
      </c>
      <c r="AO31" s="146">
        <f t="shared" ref="AO31" si="35">SUM(AO32:AO44)</f>
        <v>14.999550000000001</v>
      </c>
      <c r="AP31" s="146">
        <f t="shared" ref="AP31" si="36">SUM(AP32:AP44)</f>
        <v>1499.9549999999997</v>
      </c>
      <c r="AQ31" s="146">
        <f t="shared" ref="AQ31" si="37">SUM(AQ32:AQ44)</f>
        <v>359989.20000000007</v>
      </c>
      <c r="AR31" s="146">
        <f t="shared" ref="AR31" si="38">SUM(AR32:AR44)</f>
        <v>14.999550000000001</v>
      </c>
    </row>
    <row r="32" spans="1:44" x14ac:dyDescent="0.25">
      <c r="A32" s="148" t="s">
        <v>1087</v>
      </c>
      <c r="B32" s="141">
        <v>1</v>
      </c>
      <c r="C32" s="136">
        <f>IFERROR(C3/$B32,0)</f>
        <v>3.6363636363636362</v>
      </c>
      <c r="D32" s="136">
        <f>IFERROR(D3/$B32,0)</f>
        <v>33989.90962986408</v>
      </c>
      <c r="E32" s="136">
        <f>IFERROR(E3/$B32,0)</f>
        <v>2440285.7142857155</v>
      </c>
      <c r="F32" s="136">
        <f>IFERROR(F3/$B32,0)</f>
        <v>3.6359692291091577</v>
      </c>
      <c r="G32" s="149">
        <f>IFERROR(up_RadSpec!$I$3*G3,".")*$B$32</f>
        <v>6.875</v>
      </c>
      <c r="H32" s="149">
        <f>IFERROR(up_RadSpec!$L$3*H3,".")*B32</f>
        <v>7.3551239977509683E-4</v>
      </c>
      <c r="I32" s="149">
        <f>IFERROR(up_RadSpec!$K$3*I3,".")*B32</f>
        <v>1.0244702025523938E-5</v>
      </c>
      <c r="J32" s="150">
        <f t="shared" ref="J32:J76" si="39">SUM(G32:I32)</f>
        <v>6.8757457571018001</v>
      </c>
      <c r="K32" s="136">
        <f>IFERROR(K3/$B32,0)</f>
        <v>2440285.7142857155</v>
      </c>
      <c r="L32" s="136">
        <f t="shared" ref="L32:O32" si="40">IFERROR(L3/$B32,0)</f>
        <v>3421679.2645556699</v>
      </c>
      <c r="M32" s="136">
        <f t="shared" si="40"/>
        <v>2594121.5469613271</v>
      </c>
      <c r="N32" s="136">
        <f t="shared" si="40"/>
        <v>2674065.1890482386</v>
      </c>
      <c r="O32" s="136">
        <f t="shared" si="40"/>
        <v>5305100.3972941078</v>
      </c>
      <c r="P32" s="149">
        <f>IFERROR(up_RadSpec!$K$3*P3,".")*$B$32</f>
        <v>1.0244702025523938E-5</v>
      </c>
      <c r="Q32" s="149">
        <f>IFERROR(up_RadSpec!$R$3*Q3,".")*$B$32</f>
        <v>7.3063540054641664E-6</v>
      </c>
      <c r="R32" s="149">
        <f>IFERROR(up_RadSpec!$S$3*R3,".")*$B$32</f>
        <v>9.6371737204388971E-6</v>
      </c>
      <c r="S32" s="149">
        <f>IFERROR(up_RadSpec!$T$3*S3,".")*$B$32</f>
        <v>9.3490615346210297E-6</v>
      </c>
      <c r="T32" s="149">
        <f>IFERROR(up_RadSpec!$P$3*T3,".")*$B$32</f>
        <v>4.7124461608212676E-6</v>
      </c>
      <c r="U32" s="136">
        <f>IFERROR(U3/$B32,0)</f>
        <v>0.10971428571428574</v>
      </c>
      <c r="V32" s="136">
        <f>IFERROR(V3/$B32,0)</f>
        <v>175.20000000000002</v>
      </c>
      <c r="W32" s="136">
        <f>IFERROR(W3/$B32,0)</f>
        <v>0.10964562309317062</v>
      </c>
      <c r="X32" s="149">
        <f>IFERROR(up_RadSpec!$L$3*X3,".")*$B$32</f>
        <v>227.86458333333329</v>
      </c>
      <c r="Y32" s="149">
        <f>IFERROR(up_RadSpec!$O$3*Y3,".")*$B$32</f>
        <v>0.14269406392694062</v>
      </c>
      <c r="Z32" s="150">
        <f t="shared" ref="Z32:Z76" si="41">SUM(X32:Y32)</f>
        <v>228.00727739726022</v>
      </c>
      <c r="AA32" s="136">
        <f>IFERROR(AA3/$B32,0)</f>
        <v>2.5000000000000001E-2</v>
      </c>
      <c r="AB32" s="136">
        <f>IFERROR(AB3/$B32,0)</f>
        <v>438</v>
      </c>
      <c r="AC32" s="136">
        <f>IFERROR(AC3/$B32,0)</f>
        <v>2.4998573140802463E-2</v>
      </c>
      <c r="AD32" s="149">
        <f>IFERROR(up_RadSpec!$M$3*AD3,".")*$B$32</f>
        <v>1000</v>
      </c>
      <c r="AE32" s="149">
        <f>IFERROR(up_RadSpec!$Q$3*AE3,".")*$B$32</f>
        <v>5.7077625570776253E-2</v>
      </c>
      <c r="AF32" s="150">
        <f t="shared" ref="AF32:AF76" si="42">SUM(AD32:AE32)</f>
        <v>1000.0570776255707</v>
      </c>
      <c r="AG32" s="136">
        <f t="shared" ref="AG32:AL32" si="43">IFERROR(AG3/$B32,0)</f>
        <v>0.2</v>
      </c>
      <c r="AH32" s="136">
        <f t="shared" si="43"/>
        <v>8.3333333333333339E-4</v>
      </c>
      <c r="AI32" s="136">
        <f t="shared" si="43"/>
        <v>20</v>
      </c>
      <c r="AJ32" s="136">
        <f t="shared" si="43"/>
        <v>0.2</v>
      </c>
      <c r="AK32" s="136">
        <f t="shared" si="43"/>
        <v>8.3333333333333339E-4</v>
      </c>
      <c r="AL32" s="136">
        <f t="shared" si="43"/>
        <v>20</v>
      </c>
      <c r="AM32" s="149">
        <f>IFERROR(up_RadSpec!$J$3*AM3,".")*$B$32</f>
        <v>125</v>
      </c>
      <c r="AN32" s="149">
        <f>IFERROR(up_RadSpec!$J$3*AN3,".")*$B$32</f>
        <v>30000</v>
      </c>
      <c r="AO32" s="149">
        <f>IFERROR(up_RadSpec!$J$3*AO3,".")*$B$32</f>
        <v>1.25</v>
      </c>
      <c r="AP32" s="149">
        <f>IFERROR(up_RadSpec!$J$3*AP3,".")*$B$32</f>
        <v>125</v>
      </c>
      <c r="AQ32" s="149">
        <f>IFERROR(up_RadSpec!$J$3*AQ3,".")*$B$32</f>
        <v>30000</v>
      </c>
      <c r="AR32" s="149">
        <f>IFERROR(up_RadSpec!$J$3*AR3,".")*$B$32</f>
        <v>1.25</v>
      </c>
    </row>
    <row r="33" spans="1:44" x14ac:dyDescent="0.25">
      <c r="A33" s="148" t="s">
        <v>1063</v>
      </c>
      <c r="B33" s="141">
        <v>1</v>
      </c>
      <c r="C33" s="136">
        <f t="shared" ref="C33:F34" si="44">IFERROR(C13/$B33,0)</f>
        <v>3.6363636363636362</v>
      </c>
      <c r="D33" s="136">
        <f t="shared" si="44"/>
        <v>33989.90962986408</v>
      </c>
      <c r="E33" s="136">
        <f t="shared" si="44"/>
        <v>60269.679849340915</v>
      </c>
      <c r="F33" s="136">
        <f t="shared" si="44"/>
        <v>3.6357553072487536</v>
      </c>
      <c r="G33" s="149">
        <f>IFERROR(up_RadSpec!$I$13*G13,".")*$B$33</f>
        <v>6.875</v>
      </c>
      <c r="H33" s="149">
        <f>IFERROR(up_RadSpec!$L$13*H13,".")*B33</f>
        <v>7.3551239977509683E-4</v>
      </c>
      <c r="I33" s="149">
        <f>IFERROR(up_RadSpec!$K$13*I13,".")*B33</f>
        <v>4.1480226977302237E-4</v>
      </c>
      <c r="J33" s="150">
        <f t="shared" si="39"/>
        <v>6.8761503146695482</v>
      </c>
      <c r="K33" s="136">
        <f t="shared" ref="K33:K34" si="45">IFERROR(K13/$B33,0)</f>
        <v>60269.679849340915</v>
      </c>
      <c r="L33" s="136">
        <f t="shared" ref="L33:O33" si="46">IFERROR(L13/$B33,0)</f>
        <v>131434.9561053472</v>
      </c>
      <c r="M33" s="136">
        <f t="shared" si="46"/>
        <v>78084.577114427855</v>
      </c>
      <c r="N33" s="136">
        <f t="shared" si="46"/>
        <v>64460.31038534789</v>
      </c>
      <c r="O33" s="136">
        <f t="shared" si="46"/>
        <v>1264464.2857142854</v>
      </c>
      <c r="P33" s="149">
        <f>IFERROR(up_RadSpec!$K$13*P13,".")*$B$33</f>
        <v>4.1480226977302237E-4</v>
      </c>
      <c r="Q33" s="149">
        <f>IFERROR(up_RadSpec!$R$13*Q13,".")*$B$33</f>
        <v>1.902081511706985E-4</v>
      </c>
      <c r="R33" s="149">
        <f>IFERROR(up_RadSpec!$S$13*R13,".")*$B$33</f>
        <v>3.2016565785281939E-4</v>
      </c>
      <c r="S33" s="149">
        <f>IFERROR(up_RadSpec!$T$13*S13,".")*$B$33</f>
        <v>3.8783555106310205E-4</v>
      </c>
      <c r="T33" s="149">
        <f>IFERROR(up_RadSpec!$P$13*T13,".")*$B$33</f>
        <v>1.9771218754413222E-5</v>
      </c>
      <c r="U33" s="136">
        <f t="shared" ref="U33:W34" si="47">IFERROR(U13/$B33,0)</f>
        <v>0.10971428571428574</v>
      </c>
      <c r="V33" s="136">
        <f t="shared" si="47"/>
        <v>175.20000000000002</v>
      </c>
      <c r="W33" s="136">
        <f t="shared" si="47"/>
        <v>0.10964562309317062</v>
      </c>
      <c r="X33" s="149">
        <f>IFERROR(up_RadSpec!$L$13*X13,".")*$B$33</f>
        <v>227.86458333333329</v>
      </c>
      <c r="Y33" s="149">
        <f>IFERROR(up_RadSpec!$O$13*Y13,".")*$B$33</f>
        <v>0.14269406392694062</v>
      </c>
      <c r="Z33" s="150">
        <f t="shared" si="41"/>
        <v>228.00727739726022</v>
      </c>
      <c r="AA33" s="136">
        <f t="shared" ref="AA33:AC34" si="48">IFERROR(AA13/$B33,0)</f>
        <v>2.5000000000000001E-2</v>
      </c>
      <c r="AB33" s="136">
        <f t="shared" si="48"/>
        <v>438</v>
      </c>
      <c r="AC33" s="136">
        <f t="shared" si="48"/>
        <v>2.4998573140802463E-2</v>
      </c>
      <c r="AD33" s="149">
        <f>IFERROR(up_RadSpec!$M$13*AD13,".")*$B$33</f>
        <v>1000</v>
      </c>
      <c r="AE33" s="149">
        <f>IFERROR(up_RadSpec!$Q$13*AE13,".")*$B$33</f>
        <v>5.7077625570776253E-2</v>
      </c>
      <c r="AF33" s="150">
        <f t="shared" si="42"/>
        <v>1000.0570776255707</v>
      </c>
      <c r="AG33" s="136">
        <f t="shared" ref="AG33:AL34" si="49">IFERROR(AG13/$B33,0)</f>
        <v>0.2</v>
      </c>
      <c r="AH33" s="136">
        <f t="shared" si="49"/>
        <v>8.3333333333333339E-4</v>
      </c>
      <c r="AI33" s="136">
        <f t="shared" si="49"/>
        <v>20</v>
      </c>
      <c r="AJ33" s="136">
        <f t="shared" si="49"/>
        <v>0.2</v>
      </c>
      <c r="AK33" s="136">
        <f t="shared" si="49"/>
        <v>8.3333333333333339E-4</v>
      </c>
      <c r="AL33" s="136">
        <f t="shared" si="49"/>
        <v>20</v>
      </c>
      <c r="AM33" s="149">
        <f>IFERROR(up_RadSpec!$J$13*AM13,".")*$B$33</f>
        <v>125</v>
      </c>
      <c r="AN33" s="149">
        <f>IFERROR(up_RadSpec!$J$13*AN13,".")*$B$33</f>
        <v>30000</v>
      </c>
      <c r="AO33" s="149">
        <f>IFERROR(up_RadSpec!$J$13*AO13,".")*$B$33</f>
        <v>1.25</v>
      </c>
      <c r="AP33" s="149">
        <f>IFERROR(up_RadSpec!$J$13*AP13,".")*$B$33</f>
        <v>125</v>
      </c>
      <c r="AQ33" s="149">
        <f>IFERROR(up_RadSpec!$J$13*AQ13,".")*$B$33</f>
        <v>30000</v>
      </c>
      <c r="AR33" s="149">
        <f>IFERROR(up_RadSpec!$J$13*AR13,".")*$B$33</f>
        <v>1.25</v>
      </c>
    </row>
    <row r="34" spans="1:44" x14ac:dyDescent="0.25">
      <c r="A34" s="148" t="s">
        <v>1064</v>
      </c>
      <c r="B34" s="141">
        <v>1</v>
      </c>
      <c r="C34" s="136">
        <f t="shared" si="44"/>
        <v>3.6363636363636362</v>
      </c>
      <c r="D34" s="136">
        <f t="shared" si="44"/>
        <v>33989.90962986408</v>
      </c>
      <c r="E34" s="136">
        <f t="shared" si="44"/>
        <v>9047.5197378221328</v>
      </c>
      <c r="F34" s="136">
        <f t="shared" si="44"/>
        <v>3.6345140252379857</v>
      </c>
      <c r="G34" s="149">
        <f>IFERROR(up_RadSpec!$I$14*G14,".")*$B$34</f>
        <v>6.875</v>
      </c>
      <c r="H34" s="149">
        <f>IFERROR(up_RadSpec!$L$14*H14,".")*B33</f>
        <v>7.3551239977509683E-4</v>
      </c>
      <c r="I34" s="149">
        <f>IFERROR(up_RadSpec!$K$14*I14,".")*B33</f>
        <v>2.7631882244467873E-3</v>
      </c>
      <c r="J34" s="150">
        <f t="shared" si="39"/>
        <v>6.8784987006242213</v>
      </c>
      <c r="K34" s="136">
        <f t="shared" si="45"/>
        <v>9047.5197378221328</v>
      </c>
      <c r="L34" s="136">
        <f t="shared" ref="L34:O34" si="50">IFERROR(L14/$B34,0)</f>
        <v>16431.231504666524</v>
      </c>
      <c r="M34" s="136">
        <f t="shared" si="50"/>
        <v>12148.32680132651</v>
      </c>
      <c r="N34" s="136">
        <f t="shared" si="50"/>
        <v>10645.537623954893</v>
      </c>
      <c r="O34" s="136">
        <f t="shared" si="50"/>
        <v>45847.560975609777</v>
      </c>
      <c r="P34" s="149">
        <f>IFERROR(up_RadSpec!$K$14*P14,".")*$B$33</f>
        <v>2.7631882244467873E-3</v>
      </c>
      <c r="Q34" s="149">
        <f>IFERROR(up_RadSpec!$R$14*Q14,".")*$B$33</f>
        <v>1.5214927738617715E-3</v>
      </c>
      <c r="R34" s="149">
        <f>IFERROR(up_RadSpec!$S$14*R14,".")*$B$33</f>
        <v>2.0578965654159203E-3</v>
      </c>
      <c r="S34" s="149">
        <f>IFERROR(up_RadSpec!$T$14*S14,".")*$B$33</f>
        <v>2.3484018264840175E-3</v>
      </c>
      <c r="T34" s="149">
        <f>IFERROR(up_RadSpec!$P$14*T14,".")*$B$33</f>
        <v>5.4528527729751271E-4</v>
      </c>
      <c r="U34" s="136">
        <f t="shared" si="47"/>
        <v>0.10971428571428574</v>
      </c>
      <c r="V34" s="136">
        <f t="shared" si="47"/>
        <v>175.20000000000002</v>
      </c>
      <c r="W34" s="136">
        <f t="shared" si="47"/>
        <v>0.10964562309317062</v>
      </c>
      <c r="X34" s="149">
        <f>IFERROR(up_RadSpec!$L$14*X14,".")*$B$33</f>
        <v>227.86458333333329</v>
      </c>
      <c r="Y34" s="149">
        <f>IFERROR(up_RadSpec!$O$14*Y14,".")*$B$33</f>
        <v>0.14269406392694062</v>
      </c>
      <c r="Z34" s="150">
        <f t="shared" si="41"/>
        <v>228.00727739726022</v>
      </c>
      <c r="AA34" s="136">
        <f t="shared" si="48"/>
        <v>2.5000000000000001E-2</v>
      </c>
      <c r="AB34" s="136">
        <f t="shared" si="48"/>
        <v>438</v>
      </c>
      <c r="AC34" s="136">
        <f t="shared" si="48"/>
        <v>2.4998573140802463E-2</v>
      </c>
      <c r="AD34" s="149">
        <f>IFERROR(up_RadSpec!$M$14*AD14,".")*$B$34</f>
        <v>1000</v>
      </c>
      <c r="AE34" s="149">
        <f>IFERROR(up_RadSpec!$Q$14*AE14,".")*$B$34</f>
        <v>5.7077625570776253E-2</v>
      </c>
      <c r="AF34" s="150">
        <f t="shared" si="42"/>
        <v>1000.0570776255707</v>
      </c>
      <c r="AG34" s="136">
        <f t="shared" si="49"/>
        <v>0.2</v>
      </c>
      <c r="AH34" s="136">
        <f t="shared" si="49"/>
        <v>8.3333333333333339E-4</v>
      </c>
      <c r="AI34" s="136">
        <f t="shared" si="49"/>
        <v>20</v>
      </c>
      <c r="AJ34" s="136">
        <f t="shared" si="49"/>
        <v>0.2</v>
      </c>
      <c r="AK34" s="136">
        <f t="shared" si="49"/>
        <v>8.3333333333333339E-4</v>
      </c>
      <c r="AL34" s="136">
        <f t="shared" si="49"/>
        <v>20</v>
      </c>
      <c r="AM34" s="149">
        <f>IFERROR(up_RadSpec!$J$14*AM14,".")*$B$34</f>
        <v>125</v>
      </c>
      <c r="AN34" s="149">
        <f>IFERROR(up_RadSpec!$J$14*AN14,".")*$B$34</f>
        <v>30000</v>
      </c>
      <c r="AO34" s="149">
        <f>IFERROR(up_RadSpec!$J$14*AO14,".")*$B$34</f>
        <v>1.25</v>
      </c>
      <c r="AP34" s="149">
        <f>IFERROR(up_RadSpec!$J$14*AP14,".")*$B$34</f>
        <v>125</v>
      </c>
      <c r="AQ34" s="149">
        <f>IFERROR(up_RadSpec!$J$14*AQ14,".")*$B$34</f>
        <v>30000</v>
      </c>
      <c r="AR34" s="149">
        <f>IFERROR(up_RadSpec!$J$14*AR14,".")*$B$34</f>
        <v>1.25</v>
      </c>
    </row>
    <row r="35" spans="1:44" x14ac:dyDescent="0.25">
      <c r="A35" s="148" t="s">
        <v>1065</v>
      </c>
      <c r="B35" s="141">
        <v>1</v>
      </c>
      <c r="C35" s="136">
        <f t="shared" ref="C35:F35" si="51">IFERROR(C30/$B35,0)</f>
        <v>3.6363636363636362</v>
      </c>
      <c r="D35" s="136">
        <f t="shared" si="51"/>
        <v>33989.90962986408</v>
      </c>
      <c r="E35" s="136">
        <f t="shared" si="51"/>
        <v>29200</v>
      </c>
      <c r="F35" s="136">
        <f t="shared" si="51"/>
        <v>3.6355219525982161</v>
      </c>
      <c r="G35" s="149">
        <f>IFERROR(up_RadSpec!$I$30*G30,".")*$B$35</f>
        <v>6.875</v>
      </c>
      <c r="H35" s="149">
        <f>IFERROR(up_RadSpec!$L$30*H30,".")*B35</f>
        <v>7.3551239977509683E-4</v>
      </c>
      <c r="I35" s="149">
        <f>IFERROR(up_RadSpec!$K$30*I30,".")*B35</f>
        <v>8.5616438356164379E-4</v>
      </c>
      <c r="J35" s="150">
        <f t="shared" si="39"/>
        <v>6.8765916767833364</v>
      </c>
      <c r="K35" s="136">
        <f t="shared" ref="K35" si="52">IFERROR(K30/$B35,0)</f>
        <v>29200</v>
      </c>
      <c r="L35" s="136">
        <f t="shared" ref="L35:O35" si="53">IFERROR(L30/$B35,0)</f>
        <v>143049.89690721646</v>
      </c>
      <c r="M35" s="136">
        <f t="shared" si="53"/>
        <v>51550.324675324664</v>
      </c>
      <c r="N35" s="136">
        <f t="shared" si="53"/>
        <v>38371.477079796285</v>
      </c>
      <c r="O35" s="136">
        <f t="shared" si="53"/>
        <v>3504000</v>
      </c>
      <c r="P35" s="149">
        <f>IFERROR(up_RadSpec!$K$30*P30,".")*$B$35</f>
        <v>8.5616438356164379E-4</v>
      </c>
      <c r="Q35" s="149">
        <f>IFERROR(up_RadSpec!$R$30*Q30,".")*$B$35</f>
        <v>1.747641944559753E-4</v>
      </c>
      <c r="R35" s="149">
        <f>IFERROR(up_RadSpec!$S$30*R30,".")*$B$35</f>
        <v>4.8496299795307838E-4</v>
      </c>
      <c r="S35" s="149">
        <f>IFERROR(up_RadSpec!$T$30*S30,".")*$B$35</f>
        <v>6.5152560971293023E-4</v>
      </c>
      <c r="T35" s="149">
        <f>IFERROR(up_RadSpec!$P$30*T30,".")*$B$35</f>
        <v>7.1347031963470326E-6</v>
      </c>
      <c r="U35" s="136">
        <f t="shared" ref="U35:W35" si="54">IFERROR(U30/$B35,0)</f>
        <v>0.10971428571428574</v>
      </c>
      <c r="V35" s="136">
        <f t="shared" si="54"/>
        <v>175.20000000000002</v>
      </c>
      <c r="W35" s="136">
        <f t="shared" si="54"/>
        <v>0.10964562309317062</v>
      </c>
      <c r="X35" s="149">
        <f>IFERROR(up_RadSpec!$L$30*X30,".")*$B$35</f>
        <v>227.86458333333329</v>
      </c>
      <c r="Y35" s="149">
        <f>IFERROR(up_RadSpec!$O$30*Y30,".")*$B$35</f>
        <v>0.14269406392694062</v>
      </c>
      <c r="Z35" s="150">
        <f t="shared" si="41"/>
        <v>228.00727739726022</v>
      </c>
      <c r="AA35" s="136">
        <f t="shared" ref="AA35:AC35" si="55">IFERROR(AA30/$B35,0)</f>
        <v>2.5000000000000001E-2</v>
      </c>
      <c r="AB35" s="136">
        <f t="shared" si="55"/>
        <v>438</v>
      </c>
      <c r="AC35" s="136">
        <f t="shared" si="55"/>
        <v>2.4998573140802463E-2</v>
      </c>
      <c r="AD35" s="149">
        <f>IFERROR(up_RadSpec!$M$30*AD30,".")*$B$35</f>
        <v>1000</v>
      </c>
      <c r="AE35" s="149">
        <f>IFERROR(up_RadSpec!$Q$30*AE30,".")*$B$35</f>
        <v>5.7077625570776253E-2</v>
      </c>
      <c r="AF35" s="150">
        <f t="shared" si="42"/>
        <v>1000.0570776255707</v>
      </c>
      <c r="AG35" s="136">
        <f t="shared" ref="AG35:AL35" si="56">IFERROR(AG30/$B35,0)</f>
        <v>0.2</v>
      </c>
      <c r="AH35" s="136">
        <f t="shared" si="56"/>
        <v>8.3333333333333339E-4</v>
      </c>
      <c r="AI35" s="136">
        <f t="shared" si="56"/>
        <v>20</v>
      </c>
      <c r="AJ35" s="136">
        <f t="shared" si="56"/>
        <v>0.2</v>
      </c>
      <c r="AK35" s="136">
        <f t="shared" si="56"/>
        <v>8.3333333333333339E-4</v>
      </c>
      <c r="AL35" s="136">
        <f t="shared" si="56"/>
        <v>20</v>
      </c>
      <c r="AM35" s="149">
        <f>IFERROR(up_RadSpec!$J$30*AM30,".")*$B$35</f>
        <v>125</v>
      </c>
      <c r="AN35" s="149">
        <f>IFERROR(up_RadSpec!$J$30*AN30,".")*$B$35</f>
        <v>30000</v>
      </c>
      <c r="AO35" s="149">
        <f>IFERROR(up_RadSpec!$J$30*AO30,".")*$B$35</f>
        <v>1.25</v>
      </c>
      <c r="AP35" s="149">
        <f>IFERROR(up_RadSpec!$J$30*AP30,".")*$B$35</f>
        <v>125</v>
      </c>
      <c r="AQ35" s="149">
        <f>IFERROR(up_RadSpec!$J$30*AQ30,".")*$B$35</f>
        <v>30000</v>
      </c>
      <c r="AR35" s="149">
        <f>IFERROR(up_RadSpec!$J$30*AR30,".")*$B$35</f>
        <v>1.25</v>
      </c>
    </row>
    <row r="36" spans="1:44" x14ac:dyDescent="0.25">
      <c r="A36" s="148" t="s">
        <v>1066</v>
      </c>
      <c r="B36" s="141">
        <v>1</v>
      </c>
      <c r="C36" s="136">
        <f t="shared" ref="C36:F36" si="57">IFERROR(C26/$B36,0)</f>
        <v>3.6363636363636362</v>
      </c>
      <c r="D36" s="136">
        <f t="shared" si="57"/>
        <v>33989.90962986408</v>
      </c>
      <c r="E36" s="136">
        <f t="shared" si="57"/>
        <v>30689.795918367334</v>
      </c>
      <c r="F36" s="136">
        <f t="shared" si="57"/>
        <v>3.6355439254332844</v>
      </c>
      <c r="G36" s="149">
        <f>IFERROR(up_RadSpec!$I$26*G26,".")*$B$37</f>
        <v>6.875</v>
      </c>
      <c r="H36" s="149">
        <f>IFERROR(up_RadSpec!$L$26*H26,".")*B37</f>
        <v>7.3551239977509683E-4</v>
      </c>
      <c r="I36" s="149">
        <f>IFERROR(up_RadSpec!$K$26*I26,".")*B37</f>
        <v>8.1460300571884598E-4</v>
      </c>
      <c r="J36" s="150">
        <f t="shared" si="39"/>
        <v>6.876550115405494</v>
      </c>
      <c r="K36" s="136">
        <f t="shared" ref="K36" si="58">IFERROR(K26/$B36,0)</f>
        <v>30689.795918367334</v>
      </c>
      <c r="L36" s="136">
        <f t="shared" ref="L36:O36" si="59">IFERROR(L26/$B36,0)</f>
        <v>56031.981724728743</v>
      </c>
      <c r="M36" s="136">
        <f t="shared" si="59"/>
        <v>40498.863157894732</v>
      </c>
      <c r="N36" s="136">
        <f t="shared" si="59"/>
        <v>34641.818181818162</v>
      </c>
      <c r="O36" s="136">
        <f t="shared" si="59"/>
        <v>326584.45655291103</v>
      </c>
      <c r="P36" s="149">
        <f>IFERROR(up_RadSpec!$K$26*P26,".")*$B$37</f>
        <v>8.1460300571884598E-4</v>
      </c>
      <c r="Q36" s="149">
        <f>IFERROR(up_RadSpec!$R$26*Q26,".")*$B$37</f>
        <v>4.4617376060013036E-4</v>
      </c>
      <c r="R36" s="149">
        <f>IFERROR(up_RadSpec!$S$26*R26,".")*$B$37</f>
        <v>6.1730127837246636E-4</v>
      </c>
      <c r="S36" s="149">
        <f>IFERROR(up_RadSpec!$T$26*S26,".")*$B$37</f>
        <v>7.2167112790636682E-4</v>
      </c>
      <c r="T36" s="149">
        <f>IFERROR(up_RadSpec!$P$26*T26,".")*$B$37</f>
        <v>7.6549877063575644E-5</v>
      </c>
      <c r="U36" s="136">
        <f t="shared" ref="U36:W36" si="60">IFERROR(U26/$B36,0)</f>
        <v>0.10971428571428574</v>
      </c>
      <c r="V36" s="136">
        <f t="shared" si="60"/>
        <v>175.20000000000002</v>
      </c>
      <c r="W36" s="136">
        <f t="shared" si="60"/>
        <v>0.10964562309317062</v>
      </c>
      <c r="X36" s="149">
        <f>IFERROR(up_RadSpec!$L$26*X26,".")*$B$37</f>
        <v>227.86458333333329</v>
      </c>
      <c r="Y36" s="149">
        <f>IFERROR(up_RadSpec!$O$26*Y26,".")*$B$37</f>
        <v>0.14269406392694062</v>
      </c>
      <c r="Z36" s="150">
        <f t="shared" si="41"/>
        <v>228.00727739726022</v>
      </c>
      <c r="AA36" s="136">
        <f t="shared" ref="AA36:AC36" si="61">IFERROR(AA26/$B36,0)</f>
        <v>2.5000000000000001E-2</v>
      </c>
      <c r="AB36" s="136">
        <f t="shared" si="61"/>
        <v>438</v>
      </c>
      <c r="AC36" s="136">
        <f t="shared" si="61"/>
        <v>2.4998573140802463E-2</v>
      </c>
      <c r="AD36" s="149">
        <f>IFERROR(up_RadSpec!$M$26*AD26,".")*$B$37</f>
        <v>1000</v>
      </c>
      <c r="AE36" s="149">
        <f>IFERROR(up_RadSpec!$Q$26*AE26,".")*$B$37</f>
        <v>5.7077625570776253E-2</v>
      </c>
      <c r="AF36" s="150">
        <f t="shared" si="42"/>
        <v>1000.0570776255707</v>
      </c>
      <c r="AG36" s="136">
        <f t="shared" ref="AG36:AL36" si="62">IFERROR(AG26/$B36,0)</f>
        <v>0.2</v>
      </c>
      <c r="AH36" s="136">
        <f t="shared" si="62"/>
        <v>8.3333333333333339E-4</v>
      </c>
      <c r="AI36" s="136">
        <f t="shared" si="62"/>
        <v>20</v>
      </c>
      <c r="AJ36" s="136">
        <f t="shared" si="62"/>
        <v>0.2</v>
      </c>
      <c r="AK36" s="136">
        <f t="shared" si="62"/>
        <v>8.3333333333333339E-4</v>
      </c>
      <c r="AL36" s="136">
        <f t="shared" si="62"/>
        <v>20</v>
      </c>
      <c r="AM36" s="149">
        <f>IFERROR(up_RadSpec!$J$26*AM26,".")*$B$37</f>
        <v>125</v>
      </c>
      <c r="AN36" s="149">
        <f>IFERROR(up_RadSpec!$J$26*AN26,".")*$B$37</f>
        <v>30000</v>
      </c>
      <c r="AO36" s="149">
        <f>IFERROR(up_RadSpec!$J$26*AO26,".")*$B$37</f>
        <v>1.25</v>
      </c>
      <c r="AP36" s="149">
        <f>IFERROR(up_RadSpec!$J$26*AP26,".")*$B$37</f>
        <v>125</v>
      </c>
      <c r="AQ36" s="149">
        <f>IFERROR(up_RadSpec!$J$26*AQ26,".")*$B$37</f>
        <v>30000</v>
      </c>
      <c r="AR36" s="149">
        <f>IFERROR(up_RadSpec!$J$26*AR26,".")*$B$37</f>
        <v>1.25</v>
      </c>
    </row>
    <row r="37" spans="1:44" x14ac:dyDescent="0.25">
      <c r="A37" s="148" t="s">
        <v>1067</v>
      </c>
      <c r="B37" s="141">
        <v>1</v>
      </c>
      <c r="C37" s="136">
        <f t="shared" ref="C37:F37" si="63">IFERROR(C22/$B37,0)</f>
        <v>3.6363636363636362</v>
      </c>
      <c r="D37" s="136">
        <f t="shared" si="63"/>
        <v>33989.90962986408</v>
      </c>
      <c r="E37" s="136">
        <f t="shared" si="63"/>
        <v>16813548387.096781</v>
      </c>
      <c r="F37" s="136">
        <f t="shared" si="63"/>
        <v>3.6359746458409301</v>
      </c>
      <c r="G37" s="149">
        <f>IFERROR(up_RadSpec!$I$22*G22,".")*$B$37</f>
        <v>6.875</v>
      </c>
      <c r="H37" s="149">
        <f>IFERROR(up_RadSpec!$L$22*H22,".")*B37</f>
        <v>7.3551239977509683E-4</v>
      </c>
      <c r="I37" s="149">
        <f>IFERROR(up_RadSpec!$K$22*I22,".")*B37</f>
        <v>1.4868961283143389E-9</v>
      </c>
      <c r="J37" s="150">
        <f t="shared" si="39"/>
        <v>6.8757355138866707</v>
      </c>
      <c r="K37" s="136">
        <f t="shared" ref="K37" si="64">IFERROR(K22/$B37,0)</f>
        <v>16813548387.096781</v>
      </c>
      <c r="L37" s="136">
        <f t="shared" ref="L37:O37" si="65">IFERROR(L22/$B37,0)</f>
        <v>15406603465.184713</v>
      </c>
      <c r="M37" s="136">
        <f t="shared" si="65"/>
        <v>11836396835.057821</v>
      </c>
      <c r="N37" s="136">
        <f t="shared" si="65"/>
        <v>12197083333.333328</v>
      </c>
      <c r="O37" s="136">
        <f t="shared" si="65"/>
        <v>86546753692.889053</v>
      </c>
      <c r="P37" s="149">
        <f>IFERROR(up_RadSpec!$K$22*P22,".")*$B$37</f>
        <v>1.4868961283143389E-9</v>
      </c>
      <c r="Q37" s="149">
        <f>IFERROR(up_RadSpec!$R$22*Q22,".")*$B$37</f>
        <v>1.6226808236152828E-9</v>
      </c>
      <c r="R37" s="149">
        <f>IFERROR(up_RadSpec!$S$22*R22,".")*$B$37</f>
        <v>2.1121292525402113E-9</v>
      </c>
      <c r="S37" s="149">
        <f>IFERROR(up_RadSpec!$T$22*S22,".")*$B$37</f>
        <v>2.0496703446862303E-9</v>
      </c>
      <c r="T37" s="149">
        <f>IFERROR(up_RadSpec!$P$22*T22,".")*$B$37</f>
        <v>2.8886121007741597E-10</v>
      </c>
      <c r="U37" s="136">
        <f t="shared" ref="U37:W37" si="66">IFERROR(U22/$B37,0)</f>
        <v>0.10971428571428574</v>
      </c>
      <c r="V37" s="136">
        <f t="shared" si="66"/>
        <v>175.20000000000002</v>
      </c>
      <c r="W37" s="136">
        <f t="shared" si="66"/>
        <v>0.10964562309317062</v>
      </c>
      <c r="X37" s="149">
        <f>IFERROR(up_RadSpec!$L$22*X22,".")*$B$37</f>
        <v>227.86458333333329</v>
      </c>
      <c r="Y37" s="149">
        <f>IFERROR(up_RadSpec!$O$22*Y22,".")*$B$37</f>
        <v>0.14269406392694062</v>
      </c>
      <c r="Z37" s="150">
        <f t="shared" si="41"/>
        <v>228.00727739726022</v>
      </c>
      <c r="AA37" s="136">
        <f t="shared" ref="AA37:AC37" si="67">IFERROR(AA22/$B37,0)</f>
        <v>2.5000000000000001E-2</v>
      </c>
      <c r="AB37" s="136">
        <f t="shared" si="67"/>
        <v>438</v>
      </c>
      <c r="AC37" s="136">
        <f t="shared" si="67"/>
        <v>2.4998573140802463E-2</v>
      </c>
      <c r="AD37" s="149">
        <f>IFERROR(up_RadSpec!$M$22*AD22,".")*$B$37</f>
        <v>1000</v>
      </c>
      <c r="AE37" s="149">
        <f>IFERROR(up_RadSpec!$Q$22*AE22,".")*$B$37</f>
        <v>5.7077625570776253E-2</v>
      </c>
      <c r="AF37" s="150">
        <f t="shared" si="42"/>
        <v>1000.0570776255707</v>
      </c>
      <c r="AG37" s="136">
        <f t="shared" ref="AG37:AL37" si="68">IFERROR(AG22/$B37,0)</f>
        <v>0.2</v>
      </c>
      <c r="AH37" s="136">
        <f t="shared" si="68"/>
        <v>8.3333333333333339E-4</v>
      </c>
      <c r="AI37" s="136">
        <f t="shared" si="68"/>
        <v>20</v>
      </c>
      <c r="AJ37" s="136">
        <f t="shared" si="68"/>
        <v>0.2</v>
      </c>
      <c r="AK37" s="136">
        <f t="shared" si="68"/>
        <v>8.3333333333333339E-4</v>
      </c>
      <c r="AL37" s="136">
        <f t="shared" si="68"/>
        <v>20</v>
      </c>
      <c r="AM37" s="149">
        <f>IFERROR(up_RadSpec!$J$22*AM22,".")*$B$37</f>
        <v>125</v>
      </c>
      <c r="AN37" s="149">
        <f>IFERROR(up_RadSpec!$J$22*AN22,".")*$B$37</f>
        <v>30000</v>
      </c>
      <c r="AO37" s="149">
        <f>IFERROR(up_RadSpec!$J$22*AO22,".")*$B$37</f>
        <v>1.25</v>
      </c>
      <c r="AP37" s="149">
        <f>IFERROR(up_RadSpec!$J$22*AP22,".")*$B$37</f>
        <v>125</v>
      </c>
      <c r="AQ37" s="149">
        <f>IFERROR(up_RadSpec!$J$22*AQ22,".")*$B$37</f>
        <v>30000</v>
      </c>
      <c r="AR37" s="149">
        <f>IFERROR(up_RadSpec!$J$22*AR22,".")*$B$37</f>
        <v>1.25</v>
      </c>
    </row>
    <row r="38" spans="1:44" x14ac:dyDescent="0.25">
      <c r="A38" s="148" t="s">
        <v>1068</v>
      </c>
      <c r="B38" s="141">
        <v>1</v>
      </c>
      <c r="C38" s="136">
        <f t="shared" ref="C38:F38" si="69">IFERROR(C2/$B38,0)</f>
        <v>3.6363636363636362</v>
      </c>
      <c r="D38" s="136">
        <f t="shared" si="69"/>
        <v>33989.90962986408</v>
      </c>
      <c r="E38" s="136">
        <f t="shared" si="69"/>
        <v>18600.180451127828</v>
      </c>
      <c r="F38" s="136">
        <f t="shared" si="69"/>
        <v>3.6352640229934252</v>
      </c>
      <c r="G38" s="149">
        <f>IFERROR(up_RadSpec!$I$2*G2,".")*$B$38</f>
        <v>6.875</v>
      </c>
      <c r="H38" s="149">
        <f>IFERROR(up_RadSpec!$L$2*H2,".")*B38</f>
        <v>7.3551239977509683E-4</v>
      </c>
      <c r="I38" s="149">
        <f>IFERROR(up_RadSpec!$K$2*I2,".")*B38</f>
        <v>1.3440729817480947E-3</v>
      </c>
      <c r="J38" s="150">
        <f t="shared" si="39"/>
        <v>6.877079585381523</v>
      </c>
      <c r="K38" s="136">
        <f t="shared" ref="K38" si="70">IFERROR(K2/$B38,0)</f>
        <v>18600.180451127828</v>
      </c>
      <c r="L38" s="136">
        <f t="shared" ref="L38:O38" si="71">IFERROR(L2/$B38,0)</f>
        <v>37608.376963350776</v>
      </c>
      <c r="M38" s="136">
        <f t="shared" si="71"/>
        <v>25543.177570093449</v>
      </c>
      <c r="N38" s="136">
        <f t="shared" si="71"/>
        <v>21232.026143790845</v>
      </c>
      <c r="O38" s="136">
        <f t="shared" si="71"/>
        <v>297607.09010339744</v>
      </c>
      <c r="P38" s="149">
        <f>IFERROR(up_RadSpec!$K$2*P2,".")*$B$38</f>
        <v>1.3440729817480947E-3</v>
      </c>
      <c r="Q38" s="149">
        <f>IFERROR(up_RadSpec!$R$2*Q2,".")*$B$38</f>
        <v>6.647455173181871E-4</v>
      </c>
      <c r="R38" s="149">
        <f>IFERROR(up_RadSpec!$S$2*R2,".")*$B$38</f>
        <v>9.7873492565273435E-4</v>
      </c>
      <c r="S38" s="149">
        <f>IFERROR(up_RadSpec!$T$2*S2,".")*$B$38</f>
        <v>1.1774665230106205E-3</v>
      </c>
      <c r="T38" s="149">
        <f>IFERROR(up_RadSpec!$P$2*T2,".")*$B$38</f>
        <v>8.4003375024816325E-5</v>
      </c>
      <c r="U38" s="136">
        <f t="shared" ref="U38:W38" si="72">IFERROR(U2/$B38,0)</f>
        <v>0.10971428571428574</v>
      </c>
      <c r="V38" s="136">
        <f t="shared" si="72"/>
        <v>175.20000000000002</v>
      </c>
      <c r="W38" s="136">
        <f t="shared" si="72"/>
        <v>0.10964562309317062</v>
      </c>
      <c r="X38" s="149">
        <f>IFERROR(up_RadSpec!$L$2*X2,".")*$B$38</f>
        <v>227.86458333333329</v>
      </c>
      <c r="Y38" s="149">
        <f>IFERROR(up_RadSpec!$O$2*Y2,".")*$B$38</f>
        <v>0.14269406392694062</v>
      </c>
      <c r="Z38" s="150">
        <f t="shared" si="41"/>
        <v>228.00727739726022</v>
      </c>
      <c r="AA38" s="136">
        <f t="shared" ref="AA38:AC38" si="73">IFERROR(AA2/$B38,0)</f>
        <v>2.5000000000000001E-2</v>
      </c>
      <c r="AB38" s="136">
        <f t="shared" si="73"/>
        <v>438</v>
      </c>
      <c r="AC38" s="136">
        <f t="shared" si="73"/>
        <v>2.4998573140802463E-2</v>
      </c>
      <c r="AD38" s="149">
        <f>IFERROR(up_RadSpec!$M$2*AD2,".")*$B$38</f>
        <v>1000</v>
      </c>
      <c r="AE38" s="149">
        <f>IFERROR(up_RadSpec!$Q$2*AE2,".")*$B$38</f>
        <v>5.7077625570776253E-2</v>
      </c>
      <c r="AF38" s="150">
        <f t="shared" si="42"/>
        <v>1000.0570776255707</v>
      </c>
      <c r="AG38" s="136">
        <f t="shared" ref="AG38:AL38" si="74">IFERROR(AG2/$B38,0)</f>
        <v>0.2</v>
      </c>
      <c r="AH38" s="136">
        <f t="shared" si="74"/>
        <v>8.3333333333333339E-4</v>
      </c>
      <c r="AI38" s="136">
        <f t="shared" si="74"/>
        <v>20</v>
      </c>
      <c r="AJ38" s="136">
        <f t="shared" si="74"/>
        <v>0.2</v>
      </c>
      <c r="AK38" s="136">
        <f t="shared" si="74"/>
        <v>8.3333333333333339E-4</v>
      </c>
      <c r="AL38" s="136">
        <f t="shared" si="74"/>
        <v>20</v>
      </c>
      <c r="AM38" s="149">
        <f>IFERROR(up_RadSpec!$J$2*AM2,".")*$B$38</f>
        <v>125</v>
      </c>
      <c r="AN38" s="149">
        <f>IFERROR(up_RadSpec!$J$2*AN2,".")*$B$38</f>
        <v>30000</v>
      </c>
      <c r="AO38" s="149">
        <f>IFERROR(up_RadSpec!$J$2*AO2,".")*$B$38</f>
        <v>1.25</v>
      </c>
      <c r="AP38" s="149">
        <f>IFERROR(up_RadSpec!$J$2*AP2,".")*$B$38</f>
        <v>125</v>
      </c>
      <c r="AQ38" s="149">
        <f>IFERROR(up_RadSpec!$J$2*AQ2,".")*$B$38</f>
        <v>30000</v>
      </c>
      <c r="AR38" s="149">
        <f>IFERROR(up_RadSpec!$J$2*AR2,".")*$B$38</f>
        <v>1.25</v>
      </c>
    </row>
    <row r="39" spans="1:44" x14ac:dyDescent="0.25">
      <c r="A39" s="148" t="s">
        <v>1069</v>
      </c>
      <c r="B39" s="141">
        <v>1</v>
      </c>
      <c r="C39" s="136">
        <f t="shared" ref="C39:F39" si="75">IFERROR(C11/$B39,0)</f>
        <v>3.6363636363636362</v>
      </c>
      <c r="D39" s="136">
        <f t="shared" si="75"/>
        <v>33989.90962986408</v>
      </c>
      <c r="E39" s="136">
        <f t="shared" si="75"/>
        <v>16364.835164835165</v>
      </c>
      <c r="F39" s="136">
        <f t="shared" si="75"/>
        <v>3.6351669773269983</v>
      </c>
      <c r="G39" s="149">
        <f>IFERROR(up_RadSpec!$I$11*G11,".")*$B$39</f>
        <v>6.875</v>
      </c>
      <c r="H39" s="149">
        <f>IFERROR(up_RadSpec!$L$11*H11,".")*B39</f>
        <v>7.3551239977509683E-4</v>
      </c>
      <c r="I39" s="149">
        <f>IFERROR(up_RadSpec!$K$11*I11,".")*B39</f>
        <v>1.5276658608648938E-3</v>
      </c>
      <c r="J39" s="150">
        <f t="shared" si="39"/>
        <v>6.8772631782606393</v>
      </c>
      <c r="K39" s="136">
        <f t="shared" ref="K39" si="76">IFERROR(K11/$B39,0)</f>
        <v>16364.835164835165</v>
      </c>
      <c r="L39" s="136">
        <f t="shared" ref="L39:O39" si="77">IFERROR(L11/$B39,0)</f>
        <v>20706.925207756234</v>
      </c>
      <c r="M39" s="136">
        <f t="shared" si="77"/>
        <v>16070.503597122299</v>
      </c>
      <c r="N39" s="136">
        <f t="shared" si="77"/>
        <v>15308.026755852849</v>
      </c>
      <c r="O39" s="136">
        <f t="shared" si="77"/>
        <v>38548.469387755111</v>
      </c>
      <c r="P39" s="149">
        <f>IFERROR(up_RadSpec!$K$11*P11,".")*$B$39</f>
        <v>1.5276658608648938E-3</v>
      </c>
      <c r="Q39" s="149">
        <f>IFERROR(up_RadSpec!$R$11*Q11,".")*$B$39</f>
        <v>1.2073255565068493E-3</v>
      </c>
      <c r="R39" s="149">
        <f>IFERROR(up_RadSpec!$S$11*R11,".")*$B$39</f>
        <v>1.5556450890858628E-3</v>
      </c>
      <c r="S39" s="149">
        <f>IFERROR(up_RadSpec!$T$11*S11,".")*$B$39</f>
        <v>1.6331301479102483E-3</v>
      </c>
      <c r="T39" s="149">
        <f>IFERROR(up_RadSpec!$P$11*T11,".")*$B$39</f>
        <v>6.4853418039838512E-4</v>
      </c>
      <c r="U39" s="136">
        <f t="shared" ref="U39:W39" si="78">IFERROR(U11/$B39,0)</f>
        <v>0.10971428571428574</v>
      </c>
      <c r="V39" s="136">
        <f t="shared" si="78"/>
        <v>175.20000000000002</v>
      </c>
      <c r="W39" s="136">
        <f t="shared" si="78"/>
        <v>0.10964562309317062</v>
      </c>
      <c r="X39" s="149">
        <f>IFERROR(up_RadSpec!$L$11*X11,".")*$B$39</f>
        <v>227.86458333333329</v>
      </c>
      <c r="Y39" s="149">
        <f>IFERROR(up_RadSpec!$O$11*Y11,".")*$B$39</f>
        <v>0.14269406392694062</v>
      </c>
      <c r="Z39" s="150">
        <f t="shared" si="41"/>
        <v>228.00727739726022</v>
      </c>
      <c r="AA39" s="136">
        <f t="shared" ref="AA39:AC39" si="79">IFERROR(AA11/$B39,0)</f>
        <v>2.5000000000000001E-2</v>
      </c>
      <c r="AB39" s="136">
        <f t="shared" si="79"/>
        <v>438</v>
      </c>
      <c r="AC39" s="136">
        <f t="shared" si="79"/>
        <v>2.4998573140802463E-2</v>
      </c>
      <c r="AD39" s="149">
        <f>IFERROR(up_RadSpec!$M$11*AD11,".")*$B$39</f>
        <v>1000</v>
      </c>
      <c r="AE39" s="149">
        <f>IFERROR(up_RadSpec!$Q$11*AE11,".")*$B$39</f>
        <v>5.7077625570776253E-2</v>
      </c>
      <c r="AF39" s="150">
        <f t="shared" si="42"/>
        <v>1000.0570776255707</v>
      </c>
      <c r="AG39" s="136">
        <f t="shared" ref="AG39:AL39" si="80">IFERROR(AG11/$B39,0)</f>
        <v>0.2</v>
      </c>
      <c r="AH39" s="136">
        <f t="shared" si="80"/>
        <v>8.3333333333333339E-4</v>
      </c>
      <c r="AI39" s="136">
        <f t="shared" si="80"/>
        <v>20</v>
      </c>
      <c r="AJ39" s="136">
        <f t="shared" si="80"/>
        <v>0.2</v>
      </c>
      <c r="AK39" s="136">
        <f t="shared" si="80"/>
        <v>8.3333333333333339E-4</v>
      </c>
      <c r="AL39" s="136">
        <f t="shared" si="80"/>
        <v>20</v>
      </c>
      <c r="AM39" s="149">
        <f>IFERROR(up_RadSpec!$J$11*AM11,".")*$B$39</f>
        <v>125</v>
      </c>
      <c r="AN39" s="149">
        <f>IFERROR(up_RadSpec!$J$11*AN11,".")*$B$39</f>
        <v>30000</v>
      </c>
      <c r="AO39" s="149">
        <f>IFERROR(up_RadSpec!$J$11*AO11,".")*$B$39</f>
        <v>1.25</v>
      </c>
      <c r="AP39" s="149">
        <f>IFERROR(up_RadSpec!$J$11*AP11,".")*$B$39</f>
        <v>125</v>
      </c>
      <c r="AQ39" s="149">
        <f>IFERROR(up_RadSpec!$J$11*AQ11,".")*$B$39</f>
        <v>30000</v>
      </c>
      <c r="AR39" s="149">
        <f>IFERROR(up_RadSpec!$J$11*AR11,".")*$B$39</f>
        <v>1.25</v>
      </c>
    </row>
    <row r="40" spans="1:44" x14ac:dyDescent="0.25">
      <c r="A40" s="148" t="s">
        <v>1070</v>
      </c>
      <c r="B40" s="141">
        <v>1</v>
      </c>
      <c r="C40" s="136">
        <f t="shared" ref="C40:F40" si="81">IFERROR(C4/$B40,0)</f>
        <v>3.6363636363636362</v>
      </c>
      <c r="D40" s="136">
        <f t="shared" si="81"/>
        <v>33989.90962986408</v>
      </c>
      <c r="E40" s="136">
        <f t="shared" si="81"/>
        <v>9084.4444444444489</v>
      </c>
      <c r="F40" s="136">
        <f t="shared" si="81"/>
        <v>3.6345199597163131</v>
      </c>
      <c r="G40" s="149">
        <f>IFERROR(up_RadSpec!$I$4*G4,".")*$B$40</f>
        <v>6.875</v>
      </c>
      <c r="H40" s="149">
        <f>IFERROR(up_RadSpec!$L$4*H4,".")*B40</f>
        <v>7.3551239977509683E-4</v>
      </c>
      <c r="I40" s="149">
        <f>IFERROR(up_RadSpec!$K$4*I4,".")*B40</f>
        <v>2.7519569471624256E-3</v>
      </c>
      <c r="J40" s="150">
        <f t="shared" si="39"/>
        <v>6.8784874693469371</v>
      </c>
      <c r="K40" s="136">
        <f t="shared" ref="K40" si="82">IFERROR(K4/$B40,0)</f>
        <v>9084.4444444444489</v>
      </c>
      <c r="L40" s="136">
        <f t="shared" ref="L40:O40" si="83">IFERROR(L4/$B40,0)</f>
        <v>14824.615384615392</v>
      </c>
      <c r="M40" s="136">
        <f t="shared" si="83"/>
        <v>10664.347826086954</v>
      </c>
      <c r="N40" s="136">
        <f t="shared" si="83"/>
        <v>9283.2758224062582</v>
      </c>
      <c r="O40" s="136">
        <f t="shared" si="83"/>
        <v>27377.531206657419</v>
      </c>
      <c r="P40" s="149">
        <f>IFERROR(up_RadSpec!$K$4*P4,".")*$B$40</f>
        <v>2.7519569471624256E-3</v>
      </c>
      <c r="Q40" s="149">
        <f>IFERROR(up_RadSpec!$R$4*Q4,".")*$B$40</f>
        <v>1.6863843918638432E-3</v>
      </c>
      <c r="R40" s="149">
        <f>IFERROR(up_RadSpec!$S$4*R4,".")*$B$40</f>
        <v>2.3442596216568827E-3</v>
      </c>
      <c r="S40" s="149">
        <f>IFERROR(up_RadSpec!$T$4*S4,".")*$B$40</f>
        <v>2.6930148880915088E-3</v>
      </c>
      <c r="T40" s="149">
        <f>IFERROR(up_RadSpec!$P$4*T4,".")*$B$40</f>
        <v>9.131575747750669E-4</v>
      </c>
      <c r="U40" s="136">
        <f t="shared" ref="U40:W40" si="84">IFERROR(U4/$B40,0)</f>
        <v>0.10971428571428574</v>
      </c>
      <c r="V40" s="136">
        <f t="shared" si="84"/>
        <v>175.20000000000002</v>
      </c>
      <c r="W40" s="136">
        <f t="shared" si="84"/>
        <v>0.10964562309317062</v>
      </c>
      <c r="X40" s="149">
        <f>IFERROR(up_RadSpec!$L$4*X4,".")*$B$40</f>
        <v>227.86458333333329</v>
      </c>
      <c r="Y40" s="149">
        <f>IFERROR(up_RadSpec!$O$4*Y4,".")*$B$40</f>
        <v>0.14269406392694062</v>
      </c>
      <c r="Z40" s="150">
        <f t="shared" si="41"/>
        <v>228.00727739726022</v>
      </c>
      <c r="AA40" s="136">
        <f t="shared" ref="AA40:AC40" si="85">IFERROR(AA4/$B40,0)</f>
        <v>2.5000000000000001E-2</v>
      </c>
      <c r="AB40" s="136">
        <f t="shared" si="85"/>
        <v>438</v>
      </c>
      <c r="AC40" s="136">
        <f t="shared" si="85"/>
        <v>2.4998573140802463E-2</v>
      </c>
      <c r="AD40" s="149">
        <f>IFERROR(up_RadSpec!$M$4*AD4,".")*$B$40</f>
        <v>1000</v>
      </c>
      <c r="AE40" s="149">
        <f>IFERROR(up_RadSpec!$Q$4*AE4,".")*$B$40</f>
        <v>5.7077625570776253E-2</v>
      </c>
      <c r="AF40" s="150">
        <f t="shared" si="42"/>
        <v>1000.0570776255707</v>
      </c>
      <c r="AG40" s="136">
        <f t="shared" ref="AG40:AL40" si="86">IFERROR(AG4/$B40,0)</f>
        <v>0.2</v>
      </c>
      <c r="AH40" s="136">
        <f t="shared" si="86"/>
        <v>8.3333333333333339E-4</v>
      </c>
      <c r="AI40" s="136">
        <f t="shared" si="86"/>
        <v>20</v>
      </c>
      <c r="AJ40" s="136">
        <f t="shared" si="86"/>
        <v>0.2</v>
      </c>
      <c r="AK40" s="136">
        <f t="shared" si="86"/>
        <v>8.3333333333333339E-4</v>
      </c>
      <c r="AL40" s="136">
        <f t="shared" si="86"/>
        <v>20</v>
      </c>
      <c r="AM40" s="149">
        <f>IFERROR(up_RadSpec!$J$4*AM4,".")*$B$40</f>
        <v>125</v>
      </c>
      <c r="AN40" s="149">
        <f>IFERROR(up_RadSpec!$J$4*AN4,".")*$B$40</f>
        <v>30000</v>
      </c>
      <c r="AO40" s="149">
        <f>IFERROR(up_RadSpec!$J$4*AO4,".")*$B$40</f>
        <v>1.25</v>
      </c>
      <c r="AP40" s="149">
        <f>IFERROR(up_RadSpec!$J$4*AP4,".")*$B$40</f>
        <v>125</v>
      </c>
      <c r="AQ40" s="149">
        <f>IFERROR(up_RadSpec!$J$4*AQ4,".")*$B$40</f>
        <v>30000</v>
      </c>
      <c r="AR40" s="149">
        <f>IFERROR(up_RadSpec!$J$4*AR4,".")*$B$40</f>
        <v>1.25</v>
      </c>
    </row>
    <row r="41" spans="1:44" x14ac:dyDescent="0.25">
      <c r="A41" s="148" t="s">
        <v>1071</v>
      </c>
      <c r="B41" s="151">
        <v>0.99987999999999999</v>
      </c>
      <c r="C41" s="136">
        <f t="shared" ref="C41:F41" si="87">IFERROR(C8/$B41,0)</f>
        <v>3.6368000523699209</v>
      </c>
      <c r="D41" s="136">
        <f t="shared" si="87"/>
        <v>33993.988908533101</v>
      </c>
      <c r="E41" s="136">
        <f t="shared" si="87"/>
        <v>5808.4318184480508</v>
      </c>
      <c r="F41" s="136">
        <f t="shared" si="87"/>
        <v>3.6341358387566358</v>
      </c>
      <c r="G41" s="149">
        <f>IFERROR(up_RadSpec!$I$8*G8,".")*$B$41</f>
        <v>6.8741750000000001</v>
      </c>
      <c r="H41" s="149">
        <f>IFERROR(up_RadSpec!$L$8*H8,".")*B41</f>
        <v>7.3542413828712376E-4</v>
      </c>
      <c r="I41" s="149">
        <f>IFERROR(up_RadSpec!$K$8*I8,".")*B41</f>
        <v>4.3040877092846248E-3</v>
      </c>
      <c r="J41" s="150">
        <f t="shared" si="39"/>
        <v>6.8792145118475716</v>
      </c>
      <c r="K41" s="136">
        <f t="shared" ref="K41" si="88">IFERROR(K8/$B41,0)</f>
        <v>5808.4318184480508</v>
      </c>
      <c r="L41" s="136">
        <f t="shared" ref="L41:O41" si="89">IFERROR(L8/$B41,0)</f>
        <v>10662.537110944189</v>
      </c>
      <c r="M41" s="136">
        <f t="shared" si="89"/>
        <v>7782.6598075017755</v>
      </c>
      <c r="N41" s="136">
        <f t="shared" si="89"/>
        <v>7135.4705380820078</v>
      </c>
      <c r="O41" s="136">
        <f t="shared" si="89"/>
        <v>19756.464735499805</v>
      </c>
      <c r="P41" s="149">
        <f>IFERROR(up_RadSpec!$K$8*P8,".")*$B$41</f>
        <v>4.3040877092846248E-3</v>
      </c>
      <c r="Q41" s="149">
        <f>IFERROR(up_RadSpec!$R$8*Q8,".")*$B$41</f>
        <v>2.3446577245053268E-3</v>
      </c>
      <c r="R41" s="149">
        <f>IFERROR(up_RadSpec!$S$8*R8,".")*$B$41</f>
        <v>3.2122694063926932E-3</v>
      </c>
      <c r="S41" s="149">
        <f>IFERROR(up_RadSpec!$T$8*S8,".")*$B$41</f>
        <v>3.5036231831629032E-3</v>
      </c>
      <c r="T41" s="149">
        <f>IFERROR(up_RadSpec!$P$8*T8,".")*$B$41</f>
        <v>1.2654085806697106E-3</v>
      </c>
      <c r="U41" s="136">
        <f t="shared" ref="U41:W41" si="90">IFERROR(U8/$B41,0)</f>
        <v>0.10972745300864678</v>
      </c>
      <c r="V41" s="136">
        <f t="shared" si="90"/>
        <v>175.22102652318281</v>
      </c>
      <c r="W41" s="136">
        <f t="shared" si="90"/>
        <v>0.10965878214702826</v>
      </c>
      <c r="X41" s="149">
        <f>IFERROR(up_RadSpec!$L$8*X8,".")*$B$41</f>
        <v>227.83723958333329</v>
      </c>
      <c r="Y41" s="149">
        <f>IFERROR(up_RadSpec!$O$8*Y8,".")*$B$41</f>
        <v>0.14267694063926939</v>
      </c>
      <c r="Z41" s="150">
        <f t="shared" si="41"/>
        <v>227.97991652397255</v>
      </c>
      <c r="AA41" s="136">
        <f t="shared" ref="AA41:AC41" si="91">IFERROR(AA8/$B41,0)</f>
        <v>2.5003000360043208E-2</v>
      </c>
      <c r="AB41" s="136">
        <f t="shared" si="91"/>
        <v>438.05256630795697</v>
      </c>
      <c r="AC41" s="136">
        <f t="shared" si="91"/>
        <v>2.5001573329602015E-2</v>
      </c>
      <c r="AD41" s="149">
        <f>IFERROR(up_RadSpec!$M$8*AD8,".")*$B$41</f>
        <v>999.88</v>
      </c>
      <c r="AE41" s="149">
        <f>IFERROR(up_RadSpec!$Q$8*AE8,".")*$B$41</f>
        <v>5.7070776255707757E-2</v>
      </c>
      <c r="AF41" s="150">
        <f t="shared" si="42"/>
        <v>999.93707077625572</v>
      </c>
      <c r="AG41" s="136">
        <f t="shared" ref="AG41:AL41" si="92">IFERROR(AG8/$B41,0)</f>
        <v>0.20002400288034566</v>
      </c>
      <c r="AH41" s="136">
        <f t="shared" si="92"/>
        <v>8.3343334533477354E-4</v>
      </c>
      <c r="AI41" s="136">
        <f t="shared" si="92"/>
        <v>20.002400288034565</v>
      </c>
      <c r="AJ41" s="136">
        <f t="shared" si="92"/>
        <v>0.20002400288034566</v>
      </c>
      <c r="AK41" s="136">
        <f t="shared" si="92"/>
        <v>8.3343334533477354E-4</v>
      </c>
      <c r="AL41" s="136">
        <f t="shared" si="92"/>
        <v>20.002400288034565</v>
      </c>
      <c r="AM41" s="149">
        <f>IFERROR(up_RadSpec!$J$8*AM8,".")*$B$41</f>
        <v>124.985</v>
      </c>
      <c r="AN41" s="149">
        <f>IFERROR(up_RadSpec!$J$8*AN8,".")*$B$41</f>
        <v>29996.400000000001</v>
      </c>
      <c r="AO41" s="149">
        <f>IFERROR(up_RadSpec!$J$8*AO8,".")*$B$41</f>
        <v>1.2498499999999999</v>
      </c>
      <c r="AP41" s="149">
        <f>IFERROR(up_RadSpec!$J$8*AP8,".")*$B$41</f>
        <v>124.985</v>
      </c>
      <c r="AQ41" s="149">
        <f>IFERROR(up_RadSpec!$J$8*AQ8,".")*$B$41</f>
        <v>29996.400000000001</v>
      </c>
      <c r="AR41" s="149">
        <f>IFERROR(up_RadSpec!$J$8*AR8,".")*$B$41</f>
        <v>1.2498499999999999</v>
      </c>
    </row>
    <row r="42" spans="1:44" x14ac:dyDescent="0.25">
      <c r="A42" s="148" t="s">
        <v>1072</v>
      </c>
      <c r="B42" s="141">
        <v>0.97898250799999997</v>
      </c>
      <c r="C42" s="136">
        <f t="shared" ref="C42:F42" si="93">IFERROR(C19/$B42,0)</f>
        <v>3.714431674364131</v>
      </c>
      <c r="D42" s="136">
        <f t="shared" si="93"/>
        <v>34719.629157933923</v>
      </c>
      <c r="E42" s="136">
        <f t="shared" si="93"/>
        <v>4106.7703464989754</v>
      </c>
      <c r="F42" s="136">
        <f t="shared" si="93"/>
        <v>3.7106785122216293</v>
      </c>
      <c r="G42" s="152">
        <f>IFERROR(up_RadSpec!$I$19*G19,".")*$B$42</f>
        <v>6.7305047425</v>
      </c>
      <c r="H42" s="152">
        <f>IFERROR(up_RadSpec!$L$19*H19,".")*B42</f>
        <v>7.2005377379692293E-4</v>
      </c>
      <c r="I42" s="152">
        <f>IFERROR(up_RadSpec!$K$19*I19,".")*B42</f>
        <v>6.0875086480821896E-3</v>
      </c>
      <c r="J42" s="150">
        <f t="shared" si="39"/>
        <v>6.737312304921879</v>
      </c>
      <c r="K42" s="136">
        <f t="shared" ref="K42" si="94">IFERROR(K19/$B42,0)</f>
        <v>4106.7703464989754</v>
      </c>
      <c r="L42" s="136">
        <f t="shared" ref="L42:O42" si="95">IFERROR(L19/$B42,0)</f>
        <v>8145.3830374393674</v>
      </c>
      <c r="M42" s="136">
        <f t="shared" si="95"/>
        <v>5646.373136995172</v>
      </c>
      <c r="N42" s="136">
        <f t="shared" si="95"/>
        <v>4715.8725707862768</v>
      </c>
      <c r="O42" s="136">
        <f t="shared" si="95"/>
        <v>14026.573744580422</v>
      </c>
      <c r="P42" s="152">
        <f>IFERROR(up_RadSpec!$K$19*P19,".")*$B$42</f>
        <v>6.0875086480821896E-3</v>
      </c>
      <c r="Q42" s="152">
        <f>IFERROR(up_RadSpec!$R$19*Q19,".")*$B$42</f>
        <v>3.0692233729328897E-3</v>
      </c>
      <c r="R42" s="152">
        <f>IFERROR(up_RadSpec!$S$19*R19,".")*$B$42</f>
        <v>4.4276209512615098E-3</v>
      </c>
      <c r="S42" s="152">
        <f>IFERROR(up_RadSpec!$T$19*S19,".")*$B$42</f>
        <v>5.3012458722632013E-3</v>
      </c>
      <c r="T42" s="152">
        <f>IFERROR(up_RadSpec!$P$19*T19,".")*$B$42</f>
        <v>1.7823311989971522E-3</v>
      </c>
      <c r="U42" s="136">
        <f t="shared" ref="U42:W42" si="96">IFERROR(U19/$B42,0)</f>
        <v>0.11206970994652923</v>
      </c>
      <c r="V42" s="136">
        <f t="shared" si="96"/>
        <v>178.96131807086385</v>
      </c>
      <c r="W42" s="136">
        <f t="shared" si="96"/>
        <v>0.11199957322748265</v>
      </c>
      <c r="X42" s="152">
        <f>IFERROR(up_RadSpec!$L$19*X19,".")*$B$42</f>
        <v>223.0754412760416</v>
      </c>
      <c r="Y42" s="152">
        <f>IFERROR(up_RadSpec!$O$19*Y19,".")*$B$42</f>
        <v>0.13969499257990864</v>
      </c>
      <c r="Z42" s="150">
        <f t="shared" si="41"/>
        <v>223.21513626862151</v>
      </c>
      <c r="AA42" s="136">
        <f t="shared" ref="AA42:AC42" si="97">IFERROR(AA19/$B42,0)</f>
        <v>2.5536717761253405E-2</v>
      </c>
      <c r="AB42" s="136">
        <f t="shared" si="97"/>
        <v>447.40329517715958</v>
      </c>
      <c r="AC42" s="136">
        <f t="shared" si="97"/>
        <v>2.55352602692289E-2</v>
      </c>
      <c r="AD42" s="152">
        <f>IFERROR(up_RadSpec!$M$19*AD19,".")*$B$42</f>
        <v>978.98250799999994</v>
      </c>
      <c r="AE42" s="152">
        <f>IFERROR(up_RadSpec!$Q$19*AE19,".")*$B$42</f>
        <v>5.5877997031963465E-2</v>
      </c>
      <c r="AF42" s="150">
        <f t="shared" si="42"/>
        <v>979.03838599703192</v>
      </c>
      <c r="AG42" s="136">
        <f t="shared" ref="AG42:AL42" si="98">IFERROR(AG19/$B42,0)</f>
        <v>0.20429374209002724</v>
      </c>
      <c r="AH42" s="136">
        <f t="shared" si="98"/>
        <v>8.5122392537511347E-4</v>
      </c>
      <c r="AI42" s="136">
        <f t="shared" si="98"/>
        <v>20.42937420900272</v>
      </c>
      <c r="AJ42" s="136">
        <f t="shared" si="98"/>
        <v>0.20429374209002724</v>
      </c>
      <c r="AK42" s="136">
        <f t="shared" si="98"/>
        <v>8.5122392537511347E-4</v>
      </c>
      <c r="AL42" s="136">
        <f t="shared" si="98"/>
        <v>20.42937420900272</v>
      </c>
      <c r="AM42" s="152">
        <f>IFERROR(up_RadSpec!$J$19*AM19,".")*$B$42</f>
        <v>122.37281349999999</v>
      </c>
      <c r="AN42" s="152">
        <f>IFERROR(up_RadSpec!$J$19*AN19,".")*$B$42</f>
        <v>29369.47524</v>
      </c>
      <c r="AO42" s="152">
        <f>IFERROR(up_RadSpec!$J$19*AO19,".")*$B$42</f>
        <v>1.223728135</v>
      </c>
      <c r="AP42" s="152">
        <f>IFERROR(up_RadSpec!$J$19*AP19,".")*$B$42</f>
        <v>122.37281349999999</v>
      </c>
      <c r="AQ42" s="152">
        <f>IFERROR(up_RadSpec!$J$19*AQ19,".")*$B$42</f>
        <v>29369.47524</v>
      </c>
      <c r="AR42" s="152">
        <f>IFERROR(up_RadSpec!$J$19*AR19,".")*$B$42</f>
        <v>1.223728135</v>
      </c>
    </row>
    <row r="43" spans="1:44" x14ac:dyDescent="0.25">
      <c r="A43" s="148" t="s">
        <v>1073</v>
      </c>
      <c r="B43" s="141">
        <v>2.0897492E-2</v>
      </c>
      <c r="C43" s="136">
        <f t="shared" ref="C43:F43" si="99">IFERROR(C28/$B43,0)</f>
        <v>174.00957188372826</v>
      </c>
      <c r="D43" s="136">
        <f t="shared" si="99"/>
        <v>1626506.6463412968</v>
      </c>
      <c r="E43" s="136">
        <f t="shared" si="99"/>
        <v>136922.76944893075</v>
      </c>
      <c r="F43" s="136">
        <f t="shared" si="99"/>
        <v>173.77014392477741</v>
      </c>
      <c r="G43" s="152">
        <f>IFERROR(up_RadSpec!I28*G28,".")*$B$43</f>
        <v>0.14367025750000001</v>
      </c>
      <c r="H43" s="152">
        <f>IFERROR(up_RadSpec!J28*H28,".")*B43</f>
        <v>1.5370364490200887E-5</v>
      </c>
      <c r="I43" s="152">
        <f>IFERROR(up_RadSpec!K28*I28,".")*B43</f>
        <v>1.825846796746575E-4</v>
      </c>
      <c r="J43" s="150">
        <f t="shared" si="39"/>
        <v>0.14386821254416488</v>
      </c>
      <c r="K43" s="136">
        <f t="shared" ref="K43" si="100">IFERROR(K28/$B43,0)</f>
        <v>136922.76944893075</v>
      </c>
      <c r="L43" s="136">
        <f t="shared" ref="L43:O43" si="101">IFERROR(L28/$B43,0)</f>
        <v>305318.64557121549</v>
      </c>
      <c r="M43" s="136">
        <f t="shared" si="101"/>
        <v>211979.29641866058</v>
      </c>
      <c r="N43" s="136">
        <f t="shared" si="101"/>
        <v>183532.27196405493</v>
      </c>
      <c r="O43" s="136">
        <f t="shared" si="101"/>
        <v>536739.42961710156</v>
      </c>
      <c r="P43" s="152">
        <f>IFERROR(up_RadSpec!$K$28*P28,".")*$B$43</f>
        <v>1.825846796746575E-4</v>
      </c>
      <c r="Q43" s="152">
        <f>IFERROR(up_RadSpec!$R$28*Q28,".")*$B$43</f>
        <v>8.1881668095402186E-5</v>
      </c>
      <c r="R43" s="152">
        <f>IFERROR(up_RadSpec!$S$28*R28,".")*$B$43</f>
        <v>1.1793604574771692E-4</v>
      </c>
      <c r="S43" s="152">
        <f>IFERROR(up_RadSpec!$T$28*S28,".")*$B$43</f>
        <v>1.3621582587337167E-4</v>
      </c>
      <c r="T43" s="152">
        <f>IFERROR(up_RadSpec!$P$28*T28,".")*$B$43</f>
        <v>4.6577535803237835E-5</v>
      </c>
      <c r="U43" s="136">
        <f t="shared" ref="U43:W43" si="102">IFERROR(U28/$B43,0)</f>
        <v>5.2501173688347738</v>
      </c>
      <c r="V43" s="136">
        <f t="shared" si="102"/>
        <v>8383.7811733580293</v>
      </c>
      <c r="W43" s="136">
        <f t="shared" si="102"/>
        <v>5.2468316816759932</v>
      </c>
      <c r="X43" s="152">
        <f>IFERROR(up_RadSpec!$L$28*X28,".")*$B$43</f>
        <v>4.7617983072916656</v>
      </c>
      <c r="Y43" s="152">
        <f>IFERROR(up_RadSpec!$O$28*Y28,".")*$B$43</f>
        <v>2.9819480593607302E-3</v>
      </c>
      <c r="Z43" s="150">
        <f t="shared" si="41"/>
        <v>4.7647802553510266</v>
      </c>
      <c r="AA43" s="136">
        <f t="shared" ref="AA43:AC43" si="103">IFERROR(AA28/$B43,0)</f>
        <v>1.1963158067006319</v>
      </c>
      <c r="AB43" s="136">
        <f t="shared" si="103"/>
        <v>20959.45293339507</v>
      </c>
      <c r="AC43" s="136">
        <f t="shared" si="103"/>
        <v>1.1962475277321538</v>
      </c>
      <c r="AD43" s="152">
        <f>IFERROR(up_RadSpec!$M$28*AD28,".")*$B$43</f>
        <v>20.897492</v>
      </c>
      <c r="AE43" s="152">
        <f>IFERROR(up_RadSpec!$Q$28*AE28,".")*$B$43</f>
        <v>1.1927792237442921E-3</v>
      </c>
      <c r="AF43" s="150">
        <f t="shared" si="42"/>
        <v>20.898684779223743</v>
      </c>
      <c r="AG43" s="136">
        <f t="shared" ref="AG43:AL43" si="104">IFERROR(AG28/$B43,0)</f>
        <v>9.5705264536050549</v>
      </c>
      <c r="AH43" s="136">
        <f t="shared" si="104"/>
        <v>3.9877193556687729E-2</v>
      </c>
      <c r="AI43" s="136">
        <f t="shared" si="104"/>
        <v>957.05264536050549</v>
      </c>
      <c r="AJ43" s="136">
        <f t="shared" si="104"/>
        <v>9.5705264536050549</v>
      </c>
      <c r="AK43" s="136">
        <f t="shared" si="104"/>
        <v>3.9877193556687729E-2</v>
      </c>
      <c r="AL43" s="136">
        <f t="shared" si="104"/>
        <v>957.05264536050549</v>
      </c>
      <c r="AM43" s="152">
        <f>IFERROR(up_RadSpec!$J$28*AM28,".")*$B$43</f>
        <v>2.6121865</v>
      </c>
      <c r="AN43" s="152">
        <f>IFERROR(up_RadSpec!$J$28*AN28,".")*$B$43</f>
        <v>626.92475999999999</v>
      </c>
      <c r="AO43" s="152">
        <f>IFERROR(up_RadSpec!$J$28*AO28,".")*$B$43</f>
        <v>2.6121865000000001E-2</v>
      </c>
      <c r="AP43" s="152">
        <f>IFERROR(up_RadSpec!$J$28*AP28,".")*$B$43</f>
        <v>2.6121865</v>
      </c>
      <c r="AQ43" s="152">
        <f>IFERROR(up_RadSpec!$J$28*AQ28,".")*$B$43</f>
        <v>626.92475999999999</v>
      </c>
      <c r="AR43" s="152">
        <f>IFERROR(up_RadSpec!$J$28*AR28,".")*$B$43</f>
        <v>2.6121865000000001E-2</v>
      </c>
    </row>
    <row r="44" spans="1:44" x14ac:dyDescent="0.25">
      <c r="A44" s="148" t="s">
        <v>1074</v>
      </c>
      <c r="B44" s="141">
        <v>0.99987999999999999</v>
      </c>
      <c r="C44" s="136">
        <f t="shared" ref="C44:F44" si="105">IFERROR(C15/$B44,0)</f>
        <v>3.6368000523699209</v>
      </c>
      <c r="D44" s="136">
        <f t="shared" si="105"/>
        <v>33993.988908533101</v>
      </c>
      <c r="E44" s="136">
        <f t="shared" si="105"/>
        <v>0</v>
      </c>
      <c r="F44" s="136">
        <f t="shared" si="105"/>
        <v>3.6364110159491334</v>
      </c>
      <c r="G44" s="149">
        <f>IFERROR(up_RadSpec!$I$15*G15,".")*$B$44</f>
        <v>6.8741750000000001</v>
      </c>
      <c r="H44" s="149">
        <f>IFERROR(up_RadSpec!$L$15*H15,".")*B44</f>
        <v>7.3542413828712376E-4</v>
      </c>
      <c r="I44" s="149">
        <f>IFERROR(up_RadSpec!$K$15*I15,".")*B44</f>
        <v>0</v>
      </c>
      <c r="J44" s="150">
        <f t="shared" si="39"/>
        <v>6.874910424138287</v>
      </c>
      <c r="K44" s="136">
        <f t="shared" ref="K44" si="106">IFERROR(K15/$B44,0)</f>
        <v>0</v>
      </c>
      <c r="L44" s="136">
        <f t="shared" ref="L44:O44" si="107">IFERROR(L15/$B44,0)</f>
        <v>0</v>
      </c>
      <c r="M44" s="136">
        <f t="shared" si="107"/>
        <v>0</v>
      </c>
      <c r="N44" s="136">
        <f t="shared" si="107"/>
        <v>0</v>
      </c>
      <c r="O44" s="136">
        <f t="shared" si="107"/>
        <v>0</v>
      </c>
      <c r="P44" s="149">
        <f>IFERROR(up_RadSpec!$K$15*P15,".")*$B$44</f>
        <v>0</v>
      </c>
      <c r="Q44" s="149">
        <f>IFERROR(up_RadSpec!$R$15*Q15,".")*$B$44</f>
        <v>0</v>
      </c>
      <c r="R44" s="149">
        <f>IFERROR(up_RadSpec!$S$15*R15,".")*$B$44</f>
        <v>0</v>
      </c>
      <c r="S44" s="149">
        <f>IFERROR(up_RadSpec!$T$15*S15,".")*$B$44</f>
        <v>0</v>
      </c>
      <c r="T44" s="149">
        <f>IFERROR(up_RadSpec!$P$15*T15,".")*$B$44</f>
        <v>0</v>
      </c>
      <c r="U44" s="136">
        <f t="shared" ref="U44:W44" si="108">IFERROR(U15/$B44,0)</f>
        <v>0.10972745300864678</v>
      </c>
      <c r="V44" s="136">
        <f t="shared" si="108"/>
        <v>175.22102652318281</v>
      </c>
      <c r="W44" s="136">
        <f t="shared" si="108"/>
        <v>0.10965878214702826</v>
      </c>
      <c r="X44" s="149">
        <f>IFERROR(up_RadSpec!$L$15*X15,".")*$B$44</f>
        <v>227.83723958333329</v>
      </c>
      <c r="Y44" s="149">
        <f>IFERROR(up_RadSpec!$O$15*Y15,".")*$B$44</f>
        <v>0.14267694063926939</v>
      </c>
      <c r="Z44" s="150">
        <f t="shared" si="41"/>
        <v>227.97991652397255</v>
      </c>
      <c r="AA44" s="136">
        <f t="shared" ref="AA44:AC44" si="109">IFERROR(AA15/$B44,0)</f>
        <v>2.5003000360043208E-2</v>
      </c>
      <c r="AB44" s="136">
        <f t="shared" si="109"/>
        <v>438.05256630795697</v>
      </c>
      <c r="AC44" s="136">
        <f t="shared" si="109"/>
        <v>2.5001573329602015E-2</v>
      </c>
      <c r="AD44" s="149">
        <f>IFERROR(up_RadSpec!$M$15*AD15,".")*$B$44</f>
        <v>999.88</v>
      </c>
      <c r="AE44" s="149">
        <f>IFERROR(up_RadSpec!$Q$15*AE15,".")*$B$44</f>
        <v>5.7070776255707757E-2</v>
      </c>
      <c r="AF44" s="150">
        <f t="shared" si="42"/>
        <v>999.93707077625572</v>
      </c>
      <c r="AG44" s="136">
        <f t="shared" ref="AG44:AL44" si="110">IFERROR(AG15/$B44,0)</f>
        <v>0.20002400288034566</v>
      </c>
      <c r="AH44" s="136">
        <f t="shared" si="110"/>
        <v>8.3343334533477354E-4</v>
      </c>
      <c r="AI44" s="136">
        <f t="shared" si="110"/>
        <v>20.002400288034565</v>
      </c>
      <c r="AJ44" s="136">
        <f t="shared" si="110"/>
        <v>0.20002400288034566</v>
      </c>
      <c r="AK44" s="136">
        <f t="shared" si="110"/>
        <v>8.3343334533477354E-4</v>
      </c>
      <c r="AL44" s="136">
        <f t="shared" si="110"/>
        <v>20.002400288034565</v>
      </c>
      <c r="AM44" s="149">
        <f>IFERROR(up_RadSpec!$J$15*AM15,".")*$B$44</f>
        <v>124.985</v>
      </c>
      <c r="AN44" s="149">
        <f>IFERROR(up_RadSpec!$J$15*AN15,".")*$B$44</f>
        <v>29996.400000000001</v>
      </c>
      <c r="AO44" s="149">
        <f>IFERROR(up_RadSpec!$J$15*AO15,".")*$B$44</f>
        <v>1.2498499999999999</v>
      </c>
      <c r="AP44" s="149">
        <f>IFERROR(up_RadSpec!$J$15*AP15,".")*$B$44</f>
        <v>124.985</v>
      </c>
      <c r="AQ44" s="149">
        <f>IFERROR(up_RadSpec!$J$15*AQ15,".")*$B$44</f>
        <v>29996.400000000001</v>
      </c>
      <c r="AR44" s="149">
        <f>IFERROR(up_RadSpec!$J$15*AR15,".")*$B$44</f>
        <v>1.2498499999999999</v>
      </c>
    </row>
    <row r="45" spans="1:44" x14ac:dyDescent="0.25">
      <c r="A45" s="145" t="s">
        <v>8</v>
      </c>
      <c r="B45" s="145" t="s">
        <v>1221</v>
      </c>
      <c r="C45" s="134">
        <f t="shared" ref="C45:F45" si="111">IFERROR(IF(AND(C46&lt;&gt;0,C47&lt;&gt;0),1/SUM(1/C46,1/C47),IF(AND(C46&lt;&gt;0,C47=0),1/(1/C46),IF(AND(C46=0,C47&lt;&gt;0),1/(1/C47),IF(AND(C46=0,C47=0),".")))),".")</f>
        <v>1.8705670483714609</v>
      </c>
      <c r="D45" s="134">
        <f t="shared" si="111"/>
        <v>17484.611355955578</v>
      </c>
      <c r="E45" s="134">
        <f t="shared" si="111"/>
        <v>2598.1151080508998</v>
      </c>
      <c r="F45" s="134">
        <f t="shared" si="111"/>
        <v>1.8690214527910995</v>
      </c>
      <c r="G45" s="146">
        <f t="shared" ref="G45" si="112">SUM(G46:G47)</f>
        <v>13.36493125</v>
      </c>
      <c r="H45" s="146">
        <f t="shared" ref="H45" si="113">SUM(H46:H47)</f>
        <v>1.4298287500387904E-3</v>
      </c>
      <c r="I45" s="146">
        <f t="shared" ref="I45" si="114">SUM(I46:I47)</f>
        <v>9.6223604268076256E-3</v>
      </c>
      <c r="J45" s="147">
        <f t="shared" si="39"/>
        <v>13.375983439176846</v>
      </c>
      <c r="K45" s="134">
        <f t="shared" ref="K45" si="115">IFERROR(IF(AND(K46&lt;&gt;0,K47&lt;&gt;0),1/SUM(1/K46,1/K47),IF(AND(K46&lt;&gt;0,K47=0),1/(1/K46),IF(AND(K46=0,K47&lt;&gt;0),1/(1/K47),IF(AND(K46=0,K47=0),".")))),".")</f>
        <v>2598.1151080508998</v>
      </c>
      <c r="L45" s="134">
        <f t="shared" ref="L45:O45" si="116">IFERROR(IF(AND(L46&lt;&gt;0,L47&lt;&gt;0),1/SUM(1/L46,1/L47),IF(AND(L46&lt;&gt;0,L47=0),1/(1/L46),IF(AND(L46=0,L47&lt;&gt;0),1/(1/L47),IF(AND(L46=0,L47=0),".")))),".")</f>
        <v>4433.4812008088657</v>
      </c>
      <c r="M45" s="134">
        <f t="shared" si="116"/>
        <v>3150.0991704954449</v>
      </c>
      <c r="N45" s="134">
        <f t="shared" si="116"/>
        <v>2740.8799572830585</v>
      </c>
      <c r="O45" s="134">
        <f t="shared" si="116"/>
        <v>7450.2220336743858</v>
      </c>
      <c r="P45" s="146">
        <f t="shared" ref="P45" si="117">SUM(P46:P47)</f>
        <v>9.6223604268076256E-3</v>
      </c>
      <c r="Q45" s="146">
        <f t="shared" ref="Q45" si="118">SUM(Q46:Q47)</f>
        <v>5.6389096666156786E-3</v>
      </c>
      <c r="R45" s="146">
        <f t="shared" ref="R45" si="119">SUM(R46:R47)</f>
        <v>7.9362580816997007E-3</v>
      </c>
      <c r="S45" s="146">
        <f t="shared" ref="S45" si="120">SUM(S46:S47)</f>
        <v>9.1211583103339017E-3</v>
      </c>
      <c r="T45" s="146">
        <f t="shared" ref="T45" si="121">SUM(T46:T47)</f>
        <v>3.355604690303467E-3</v>
      </c>
      <c r="U45" s="134">
        <f t="shared" ref="U45:W45" si="122">IFERROR(IF(AND(U46&lt;&gt;0,U47&lt;&gt;0),1/SUM(1/U46,1/U47),IF(AND(U46&lt;&gt;0,U47=0),1/(1/U46),IF(AND(U46=0,U47&lt;&gt;0),1/(1/U47),IF(AND(U46=0,U47=0),".")))),".")</f>
        <v>5.6437680088007522E-2</v>
      </c>
      <c r="V45" s="134">
        <f t="shared" si="122"/>
        <v>90.123920390536995</v>
      </c>
      <c r="W45" s="134">
        <f t="shared" si="122"/>
        <v>5.6402359627966518E-2</v>
      </c>
      <c r="X45" s="146">
        <f t="shared" ref="X45" si="123">SUM(X46:X47)</f>
        <v>442.96647135416657</v>
      </c>
      <c r="Y45" s="146">
        <f t="shared" ref="Y45" si="124">SUM(Y46:Y47)</f>
        <v>0.27739583333333329</v>
      </c>
      <c r="Z45" s="147">
        <f t="shared" si="41"/>
        <v>443.24386718749992</v>
      </c>
      <c r="AA45" s="134">
        <f t="shared" ref="AA45:AC45" si="125">IFERROR(IF(AND(AA46&lt;&gt;0,AA47&lt;&gt;0),1/SUM(1/AA46,1/AA47),IF(AND(AA46&lt;&gt;0,AA47=0),1/(1/AA46),IF(AND(AA46=0,AA47&lt;&gt;0),1/(1/AA47),IF(AND(AA46=0,AA47=0),".")))),".")</f>
        <v>1.2860148457553794E-2</v>
      </c>
      <c r="AB45" s="134">
        <f t="shared" si="125"/>
        <v>225.30980097634247</v>
      </c>
      <c r="AC45" s="134">
        <f t="shared" si="125"/>
        <v>1.2859414472709461E-2</v>
      </c>
      <c r="AD45" s="146">
        <f t="shared" ref="AD45" si="126">SUM(AD46:AD47)</f>
        <v>1943.99</v>
      </c>
      <c r="AE45" s="146">
        <f t="shared" ref="AE45" si="127">SUM(AE46:AE47)</f>
        <v>0.11095833333333333</v>
      </c>
      <c r="AF45" s="147">
        <f t="shared" si="42"/>
        <v>1944.1009583333334</v>
      </c>
      <c r="AG45" s="134">
        <f t="shared" ref="AG45:AL45" si="128">IFERROR(IF(AND(AG46&lt;&gt;0,AG47&lt;&gt;0),1/SUM(1/AG46,1/AG47),IF(AND(AG46&lt;&gt;0,AG47=0),1/(1/AG46),IF(AND(AG46=0,AG47&lt;&gt;0),1/(1/AG47),IF(AND(AG46=0,AG47=0),".")))),".")</f>
        <v>0.10288118766043035</v>
      </c>
      <c r="AH45" s="134">
        <f t="shared" si="128"/>
        <v>4.2867161525179313E-4</v>
      </c>
      <c r="AI45" s="134">
        <f t="shared" si="128"/>
        <v>10.288118766043036</v>
      </c>
      <c r="AJ45" s="134">
        <f t="shared" si="128"/>
        <v>0.10288118766043035</v>
      </c>
      <c r="AK45" s="134">
        <f t="shared" si="128"/>
        <v>4.2867161525179313E-4</v>
      </c>
      <c r="AL45" s="134">
        <f t="shared" si="128"/>
        <v>10.288118766043036</v>
      </c>
      <c r="AM45" s="146">
        <f t="shared" ref="AM45" si="129">SUM(AM46:AM47)</f>
        <v>242.99875</v>
      </c>
      <c r="AN45" s="146">
        <f t="shared" ref="AN45" si="130">SUM(AN46:AN47)</f>
        <v>58319.7</v>
      </c>
      <c r="AO45" s="146">
        <f t="shared" ref="AO45" si="131">SUM(AO46:AO47)</f>
        <v>2.4299875000000002</v>
      </c>
      <c r="AP45" s="146">
        <f t="shared" ref="AP45" si="132">SUM(AP46:AP47)</f>
        <v>242.99875</v>
      </c>
      <c r="AQ45" s="146">
        <f t="shared" ref="AQ45" si="133">SUM(AQ46:AQ47)</f>
        <v>58319.7</v>
      </c>
      <c r="AR45" s="146">
        <f t="shared" ref="AR45" si="134">SUM(AR46:AR47)</f>
        <v>2.4299875000000002</v>
      </c>
    </row>
    <row r="46" spans="1:44" x14ac:dyDescent="0.25">
      <c r="A46" s="148" t="s">
        <v>1086</v>
      </c>
      <c r="B46" s="141">
        <v>1</v>
      </c>
      <c r="C46" s="136">
        <f t="shared" ref="C46:F46" si="135">IFERROR(C10/$B46,0)</f>
        <v>3.6363636363636362</v>
      </c>
      <c r="D46" s="136">
        <f t="shared" si="135"/>
        <v>33989.90962986408</v>
      </c>
      <c r="E46" s="136">
        <f t="shared" si="135"/>
        <v>5472.9142857142851</v>
      </c>
      <c r="F46" s="136">
        <f t="shared" si="135"/>
        <v>3.6335606613623344</v>
      </c>
      <c r="G46" s="149">
        <f>IFERROR(up_RadSpec!$I$10*G10,".")*$B$46</f>
        <v>6.875</v>
      </c>
      <c r="H46" s="149">
        <f>IFERROR(up_RadSpec!$L$10*H10,".")*B46</f>
        <v>7.3551239977509683E-4</v>
      </c>
      <c r="I46" s="149">
        <f>IFERROR(up_RadSpec!$K$10*I10,".")*B46</f>
        <v>4.5679502171734054E-3</v>
      </c>
      <c r="J46" s="150">
        <f t="shared" si="39"/>
        <v>6.8803034626169479</v>
      </c>
      <c r="K46" s="136">
        <f t="shared" ref="K46" si="136">IFERROR(K10/$B46,0)</f>
        <v>5472.9142857142851</v>
      </c>
      <c r="L46" s="136">
        <f t="shared" ref="L46:O46" si="137">IFERROR(L10/$B46,0)</f>
        <v>8528.2539682539664</v>
      </c>
      <c r="M46" s="136">
        <f t="shared" si="137"/>
        <v>6090.2891958435939</v>
      </c>
      <c r="N46" s="136">
        <f t="shared" si="137"/>
        <v>5570.2811244979921</v>
      </c>
      <c r="O46" s="136">
        <f t="shared" si="137"/>
        <v>14336.707388016292</v>
      </c>
      <c r="P46" s="149">
        <f>IFERROR(up_RadSpec!$K$10*P10,".")*$B46</f>
        <v>4.5679502171734054E-3</v>
      </c>
      <c r="Q46" s="149">
        <f>IFERROR(up_RadSpec!$R$10*Q10,".")*$B46</f>
        <v>2.9314324002382378E-3</v>
      </c>
      <c r="R46" s="149">
        <f>IFERROR(up_RadSpec!$S$10*R10,".")*$B46</f>
        <v>4.1048953828106572E-3</v>
      </c>
      <c r="S46" s="149">
        <f>IFERROR(up_RadSpec!$T$10*S10,".")*$B46</f>
        <v>4.4881038211968278E-3</v>
      </c>
      <c r="T46" s="149">
        <f>IFERROR(up_RadSpec!$P$10*T10,".")*$B46</f>
        <v>1.7437755632019733E-3</v>
      </c>
      <c r="U46" s="136">
        <f t="shared" ref="U46:W46" si="138">IFERROR(U10/$B46,0)</f>
        <v>0.10971428571428574</v>
      </c>
      <c r="V46" s="136">
        <f t="shared" si="138"/>
        <v>175.20000000000002</v>
      </c>
      <c r="W46" s="136">
        <f t="shared" si="138"/>
        <v>0.10964562309317062</v>
      </c>
      <c r="X46" s="149">
        <f>IFERROR(up_RadSpec!$L$10*X10,".")*$B$46</f>
        <v>227.86458333333329</v>
      </c>
      <c r="Y46" s="149">
        <f>IFERROR(up_RadSpec!$O$10*Y10,".")*$B$46</f>
        <v>0.14269406392694062</v>
      </c>
      <c r="Z46" s="150">
        <f t="shared" si="41"/>
        <v>228.00727739726022</v>
      </c>
      <c r="AA46" s="136">
        <f t="shared" ref="AA46:AC46" si="139">IFERROR(AA10/$B46,0)</f>
        <v>2.5000000000000001E-2</v>
      </c>
      <c r="AB46" s="136">
        <f t="shared" si="139"/>
        <v>438</v>
      </c>
      <c r="AC46" s="136">
        <f t="shared" si="139"/>
        <v>2.4998573140802463E-2</v>
      </c>
      <c r="AD46" s="149">
        <f>IFERROR(up_RadSpec!$M$10*AD10,".")*$B$46</f>
        <v>1000</v>
      </c>
      <c r="AE46" s="149">
        <f>IFERROR(up_RadSpec!$Q$10*AE10,".")*$B$46</f>
        <v>5.7077625570776253E-2</v>
      </c>
      <c r="AF46" s="150">
        <f t="shared" si="42"/>
        <v>1000.0570776255707</v>
      </c>
      <c r="AG46" s="136">
        <f t="shared" ref="AG46:AL46" si="140">IFERROR(AG10/$B46,0)</f>
        <v>0.2</v>
      </c>
      <c r="AH46" s="136">
        <f t="shared" si="140"/>
        <v>8.3333333333333339E-4</v>
      </c>
      <c r="AI46" s="136">
        <f t="shared" si="140"/>
        <v>20</v>
      </c>
      <c r="AJ46" s="136">
        <f t="shared" si="140"/>
        <v>0.2</v>
      </c>
      <c r="AK46" s="136">
        <f t="shared" si="140"/>
        <v>8.3333333333333339E-4</v>
      </c>
      <c r="AL46" s="136">
        <f t="shared" si="140"/>
        <v>20</v>
      </c>
      <c r="AM46" s="149">
        <f>IFERROR(up_RadSpec!$J$10*AM10,".")*$B$46</f>
        <v>125</v>
      </c>
      <c r="AN46" s="149">
        <f>IFERROR(up_RadSpec!$J$10*AN10,".")*$B$46</f>
        <v>30000</v>
      </c>
      <c r="AO46" s="149">
        <f>IFERROR(up_RadSpec!$J$10*AO10,".")*$B$46</f>
        <v>1.25</v>
      </c>
      <c r="AP46" s="149">
        <f>IFERROR(up_RadSpec!$J$10*AP10,".")*$B$46</f>
        <v>125</v>
      </c>
      <c r="AQ46" s="149">
        <f>IFERROR(up_RadSpec!$J$10*AQ10,".")*$B$46</f>
        <v>30000</v>
      </c>
      <c r="AR46" s="149">
        <f>IFERROR(up_RadSpec!$J$10*AR10,".")*$B$46</f>
        <v>1.25</v>
      </c>
    </row>
    <row r="47" spans="1:44" x14ac:dyDescent="0.25">
      <c r="A47" s="148" t="s">
        <v>1060</v>
      </c>
      <c r="B47" s="141">
        <v>0.94399</v>
      </c>
      <c r="C47" s="136">
        <f t="shared" ref="C47:F47" si="141">IFERROR(C6/$B$47,0)</f>
        <v>3.8521209296323438</v>
      </c>
      <c r="D47" s="136">
        <f t="shared" si="141"/>
        <v>36006.641627415629</v>
      </c>
      <c r="E47" s="136">
        <f t="shared" si="141"/>
        <v>4946.1755107148711</v>
      </c>
      <c r="F47" s="136">
        <f t="shared" si="141"/>
        <v>3.848711773088298</v>
      </c>
      <c r="G47" s="149">
        <f>IFERROR(up_RadSpec!$I$6*G6,".")*$B$47</f>
        <v>6.4899312499999997</v>
      </c>
      <c r="H47" s="149">
        <f>IFERROR(up_RadSpec!$L$6*$H$6,".")*B47</f>
        <v>6.9431635026369364E-4</v>
      </c>
      <c r="I47" s="149">
        <f>IFERROR(up_RadSpec!$K$6*$I$6,".")*B47</f>
        <v>5.0544102096342202E-3</v>
      </c>
      <c r="J47" s="150">
        <f t="shared" si="39"/>
        <v>6.4956799765598978</v>
      </c>
      <c r="K47" s="136">
        <f t="shared" ref="K47" si="142">IFERROR(K6/$B$47,0)</f>
        <v>4946.1755107148711</v>
      </c>
      <c r="L47" s="136">
        <f t="shared" ref="L47:O47" si="143">IFERROR(L6/$B$47,0)</f>
        <v>9233.6878726407831</v>
      </c>
      <c r="M47" s="136">
        <f t="shared" si="143"/>
        <v>6525.0935410654511</v>
      </c>
      <c r="N47" s="136">
        <f t="shared" si="143"/>
        <v>5396.0081968853237</v>
      </c>
      <c r="O47" s="136">
        <f t="shared" si="143"/>
        <v>15510.328967039321</v>
      </c>
      <c r="P47" s="149">
        <f>IFERROR(up_RadSpec!$K$6*P6,".")*$B47</f>
        <v>5.0544102096342202E-3</v>
      </c>
      <c r="Q47" s="149">
        <f>IFERROR(up_RadSpec!$R$6*Q6,".")*$B47</f>
        <v>2.7074772663774412E-3</v>
      </c>
      <c r="R47" s="149">
        <f>IFERROR(up_RadSpec!$S$6*R6,".")*$B47</f>
        <v>3.8313626988890443E-3</v>
      </c>
      <c r="S47" s="149">
        <f>IFERROR(up_RadSpec!$T$6*S6,".")*$B47</f>
        <v>4.6330544891370748E-3</v>
      </c>
      <c r="T47" s="149">
        <f>IFERROR(up_RadSpec!$P$6*T6,".")*$B47</f>
        <v>1.6118291271014938E-3</v>
      </c>
      <c r="U47" s="136">
        <f t="shared" ref="U47:W47" si="144">IFERROR(U6/$B$47,0)</f>
        <v>0.11622399147690732</v>
      </c>
      <c r="V47" s="136">
        <f t="shared" si="144"/>
        <v>185.59518638968635</v>
      </c>
      <c r="W47" s="136">
        <f t="shared" si="144"/>
        <v>0.11615125487894006</v>
      </c>
      <c r="X47" s="149">
        <f>IFERROR(up_RadSpec!$L$6*X6,".")*$B$47</f>
        <v>215.10188802083329</v>
      </c>
      <c r="Y47" s="149">
        <f>IFERROR(up_RadSpec!$O$6*Y6,".")*$B$47</f>
        <v>0.13470176940639267</v>
      </c>
      <c r="Z47" s="150">
        <f t="shared" si="41"/>
        <v>215.23658979023969</v>
      </c>
      <c r="AA47" s="136">
        <f t="shared" ref="AA47:AC47" si="145">IFERROR(AA6/$B$47,0)</f>
        <v>2.6483331391222366E-2</v>
      </c>
      <c r="AB47" s="136">
        <f t="shared" si="145"/>
        <v>463.98796597421585</v>
      </c>
      <c r="AC47" s="136">
        <f t="shared" si="145"/>
        <v>2.6481819871823284E-2</v>
      </c>
      <c r="AD47" s="149">
        <f>IFERROR(up_RadSpec!$M$6*AD6,".")*$B$47</f>
        <v>943.99</v>
      </c>
      <c r="AE47" s="149">
        <f>IFERROR(up_RadSpec!$Q$6*AE6,".")*$B$47</f>
        <v>5.3880707762557073E-2</v>
      </c>
      <c r="AF47" s="150">
        <f t="shared" si="42"/>
        <v>944.04388070776258</v>
      </c>
      <c r="AG47" s="136">
        <f t="shared" ref="AG47:AL47" si="146">IFERROR(AG6/$B$47,0)</f>
        <v>0.21186665112977893</v>
      </c>
      <c r="AH47" s="136">
        <f t="shared" si="146"/>
        <v>8.8277771304074554E-4</v>
      </c>
      <c r="AI47" s="136">
        <f t="shared" si="146"/>
        <v>21.186665112977892</v>
      </c>
      <c r="AJ47" s="136">
        <f t="shared" si="146"/>
        <v>0.21186665112977893</v>
      </c>
      <c r="AK47" s="136">
        <f t="shared" si="146"/>
        <v>8.8277771304074554E-4</v>
      </c>
      <c r="AL47" s="136">
        <f t="shared" si="146"/>
        <v>21.186665112977892</v>
      </c>
      <c r="AM47" s="149">
        <f>IFERROR(up_RadSpec!$J$6*AM6,".")*$B$47</f>
        <v>117.99875</v>
      </c>
      <c r="AN47" s="149">
        <f>IFERROR(up_RadSpec!$J$6*AN6,".")*$B$47</f>
        <v>28319.7</v>
      </c>
      <c r="AO47" s="149">
        <f>IFERROR(up_RadSpec!$J$6*AO6,".")*$B$47</f>
        <v>1.1799875</v>
      </c>
      <c r="AP47" s="149">
        <f>IFERROR(up_RadSpec!$J$6*AP6,".")*$B$47</f>
        <v>117.99875</v>
      </c>
      <c r="AQ47" s="149">
        <f>IFERROR(up_RadSpec!$J$6*AQ6,".")*$B$47</f>
        <v>28319.7</v>
      </c>
      <c r="AR47" s="149">
        <f>IFERROR(up_RadSpec!$J$6*AR6,".")*$B$47</f>
        <v>1.1799875</v>
      </c>
    </row>
    <row r="48" spans="1:44" x14ac:dyDescent="0.25">
      <c r="A48" s="145" t="s">
        <v>21</v>
      </c>
      <c r="B48" s="145" t="s">
        <v>1221</v>
      </c>
      <c r="C48" s="134">
        <f>1/SUM(1/C49,1/C50,1/C51,1/C52,1/C53,1/C54,1/C55,1/C56,1/C57,1/C58,1/C59,1/C60,1/C61,1/C62)</f>
        <v>0.40404034307520564</v>
      </c>
      <c r="D48" s="134">
        <f>1/SUM(1/D49,1/D50,1/D51,1/D52,1/D53,1/D54,1/D55,1/D56,1/D57,1/D58,1/D59,1/D60,1/D61,1/D62)</f>
        <v>3776.6560556850177</v>
      </c>
      <c r="E48" s="134">
        <f>1/SUM(1/E49,1/E50,1/E52,1/E54,1/E55,1/E56,1/E57,1/E58,1/E59,1/E60,1/E61,1/E62)</f>
        <v>657.03663583346338</v>
      </c>
      <c r="F48" s="134">
        <f>1/SUM(1/F49,1/F50,1/F51,1/F52,1/F53,1/F54,1/F55,1/F56,1/F57,1/F58,1/F59,1/F60,1/F61,1/F62)</f>
        <v>0.40374886585873565</v>
      </c>
      <c r="G48" s="146">
        <f t="shared" ref="G48" si="147">SUM(G49:G62)</f>
        <v>61.875009336249995</v>
      </c>
      <c r="H48" s="146">
        <f t="shared" ref="H48" si="148">SUM(H49:H62)</f>
        <v>6.6196125968017092E-3</v>
      </c>
      <c r="I48" s="146">
        <f t="shared" ref="I48" si="149">SUM(I49:I62)</f>
        <v>3.8049628645573215E-2</v>
      </c>
      <c r="J48" s="147">
        <f t="shared" si="39"/>
        <v>61.91967857749237</v>
      </c>
      <c r="K48" s="134">
        <f>1/SUM(1/K49,1/K50,1/K52,1/K54,1/K55,1/K56,1/K57,1/K58,1/K59,1/K60,1/K61,1/K62)</f>
        <v>657.03663583346338</v>
      </c>
      <c r="L48" s="134">
        <f t="shared" ref="L48:O48" si="150">1/SUM(1/L49,1/L50,1/L52,1/L54,1/L55,1/L56,1/L57,1/L58,1/L59,1/L60,1/L61,1/L62)</f>
        <v>1236.8311293952086</v>
      </c>
      <c r="M48" s="134">
        <f t="shared" si="150"/>
        <v>879.6536497708106</v>
      </c>
      <c r="N48" s="134">
        <f t="shared" si="150"/>
        <v>744.36319656495868</v>
      </c>
      <c r="O48" s="134">
        <f t="shared" si="150"/>
        <v>2127.3183277611829</v>
      </c>
      <c r="P48" s="146">
        <f t="shared" ref="P48" si="151">SUM(P49:P62)</f>
        <v>3.8049628645573215E-2</v>
      </c>
      <c r="Q48" s="146">
        <f t="shared" ref="Q48" si="152">SUM(Q49:Q62)</f>
        <v>2.0212945329266267E-2</v>
      </c>
      <c r="R48" s="146">
        <f t="shared" ref="R48" si="153">SUM(R49:R62)</f>
        <v>2.8420276556021366E-2</v>
      </c>
      <c r="S48" s="146">
        <f t="shared" ref="S48" si="154">SUM(S49:S62)</f>
        <v>3.3585755066032889E-2</v>
      </c>
      <c r="T48" s="146">
        <f t="shared" ref="T48" si="155">SUM(T49:T62)</f>
        <v>1.1751884837240285E-2</v>
      </c>
      <c r="U48" s="134">
        <f>1/SUM(1/U49,1/U50,1/U51,1/U52,1/U53,1/U54,1/U55,1/U56,1/U57,1/U58,1/U59,1/U60,1/U61,1/U62)</f>
        <v>1.2190474351069062E-2</v>
      </c>
      <c r="V48" s="134">
        <f>1/SUM(1/V49,1/V50,1/V51,1/V52,1/V53,1/V54,1/V55,1/V56,1/V57,1/V58,1/V59,1/V60,1/V61,1/V62)</f>
        <v>19.466663729363407</v>
      </c>
      <c r="W48" s="134">
        <f>1/SUM(1/W49,1/W50,1/W51,1/W52,1/W53,1/W54,1/W55,1/W56,1/W57,1/W58,1/W59,1/W60,1/W61,1/W62)</f>
        <v>1.2182845172096321E-2</v>
      </c>
      <c r="X48" s="146">
        <f t="shared" ref="X48" si="156">SUM(X49:X62)</f>
        <v>2050.7815594401036</v>
      </c>
      <c r="Y48" s="146">
        <f t="shared" ref="Y48" si="157">SUM(Y49:Y62)</f>
        <v>1.2842467691210044</v>
      </c>
      <c r="Z48" s="147">
        <f t="shared" si="41"/>
        <v>2052.0658062092248</v>
      </c>
      <c r="AA48" s="134">
        <f>1/SUM(1/AA49,1/AA50,1/AA51,1/AA52,1/AA53,1/AA54,1/AA55,1/AA56,1/AA57,1/AA58,1/AA59,1/AA60,1/AA61,1/AA62)</f>
        <v>2.7777773586420383E-3</v>
      </c>
      <c r="AB48" s="134">
        <f>1/SUM(1/AB49,1/AB50,1/AB51,1/AB52,1/AB53,1/AB54,1/AB55,1/AB56,1/AB57,1/AB58,1/AB59,1/AB60,1/AB61,1/AB62)</f>
        <v>48.666659323408517</v>
      </c>
      <c r="AC48" s="134">
        <f>1/SUM(1/AC49,1/AC50,1/AC51,1/AC52,1/AC53,1/AC54,1/AC55,1/AC56,1/AC57,1/AC58,1/AC59,1/AC60,1/AC61,1/AC62)</f>
        <v>2.7776188187551222E-3</v>
      </c>
      <c r="AD48" s="146">
        <f t="shared" ref="AD48" si="158">SUM(AD49:AD62)</f>
        <v>9000.0013579999995</v>
      </c>
      <c r="AE48" s="146">
        <f t="shared" ref="AE48" si="159">SUM(AE49:AE62)</f>
        <v>0.51369870764840186</v>
      </c>
      <c r="AF48" s="147">
        <f t="shared" si="42"/>
        <v>9000.5150567076471</v>
      </c>
      <c r="AG48" s="134">
        <f t="shared" ref="AG48:AL48" si="160">1/SUM(1/AG49,1/AG50,1/AG51,1/AG52,1/AG53,1/AG54,1/AG55,1/AG56,1/AG57,1/AG58,1/AG59,1/AG60,1/AG61,1/AG62)</f>
        <v>2.2222218869136307E-2</v>
      </c>
      <c r="AH48" s="134">
        <f t="shared" si="160"/>
        <v>9.2592578621401278E-5</v>
      </c>
      <c r="AI48" s="134">
        <f t="shared" si="160"/>
        <v>2.2222218869136308</v>
      </c>
      <c r="AJ48" s="134">
        <f t="shared" si="160"/>
        <v>2.2222218869136307E-2</v>
      </c>
      <c r="AK48" s="134">
        <f t="shared" si="160"/>
        <v>9.2592578621401278E-5</v>
      </c>
      <c r="AL48" s="134">
        <f t="shared" si="160"/>
        <v>2.2222218869136308</v>
      </c>
      <c r="AM48" s="146">
        <f t="shared" ref="AM48" si="161">SUM(AM49:AM62)</f>
        <v>1125.0001697499999</v>
      </c>
      <c r="AN48" s="146">
        <f t="shared" ref="AN48" si="162">SUM(AN49:AN62)</f>
        <v>270000.04074000003</v>
      </c>
      <c r="AO48" s="146">
        <f t="shared" ref="AO48" si="163">SUM(AO49:AO62)</f>
        <v>11.2500016975</v>
      </c>
      <c r="AP48" s="146">
        <f t="shared" ref="AP48" si="164">SUM(AP49:AP62)</f>
        <v>1125.0001697499999</v>
      </c>
      <c r="AQ48" s="146">
        <f t="shared" ref="AQ48" si="165">SUM(AQ49:AQ62)</f>
        <v>270000.04074000003</v>
      </c>
      <c r="AR48" s="146">
        <f t="shared" ref="AR48" si="166">SUM(AR49:AR62)</f>
        <v>11.2500016975</v>
      </c>
    </row>
    <row r="49" spans="1:44" x14ac:dyDescent="0.25">
      <c r="A49" s="148" t="s">
        <v>1088</v>
      </c>
      <c r="B49" s="141">
        <v>1</v>
      </c>
      <c r="C49" s="136">
        <f t="shared" ref="C49:F49" si="167">IFERROR(C23/$B49,0)</f>
        <v>3.6363636363636362</v>
      </c>
      <c r="D49" s="136">
        <f t="shared" si="167"/>
        <v>33989.90962986408</v>
      </c>
      <c r="E49" s="136">
        <f t="shared" si="167"/>
        <v>3850.4315886134059</v>
      </c>
      <c r="F49" s="136">
        <f t="shared" si="167"/>
        <v>3.6325444235151649</v>
      </c>
      <c r="G49" s="149">
        <f>IFERROR(up_RadSpec!$I$23*G23,".")*$B$49</f>
        <v>6.875</v>
      </c>
      <c r="H49" s="149">
        <f>IFERROR(up_RadSpec!$L$23*$H$23,".")*B49</f>
        <v>7.3551239977509683E-4</v>
      </c>
      <c r="I49" s="149">
        <f>IFERROR(up_RadSpec!$K$23*$I$23,".")*B49</f>
        <v>6.4927786469263955E-3</v>
      </c>
      <c r="J49" s="150">
        <f t="shared" si="39"/>
        <v>6.882228291046701</v>
      </c>
      <c r="K49" s="136">
        <f t="shared" ref="K49" si="168">IFERROR(K23/$B49,0)</f>
        <v>3850.4315886134059</v>
      </c>
      <c r="L49" s="136">
        <f t="shared" ref="L49:O49" si="169">IFERROR(L23/$B49,0)</f>
        <v>6853.8406658739641</v>
      </c>
      <c r="M49" s="136">
        <f t="shared" si="169"/>
        <v>4846.5244614241719</v>
      </c>
      <c r="N49" s="136">
        <f t="shared" si="169"/>
        <v>3966.0659340659336</v>
      </c>
      <c r="O49" s="136">
        <f t="shared" si="169"/>
        <v>10789.015256588071</v>
      </c>
      <c r="P49" s="149">
        <f>IFERROR(up_RadSpec!$K$23*$P$23,".")*$B$49</f>
        <v>6.4927786469263955E-3</v>
      </c>
      <c r="Q49" s="149">
        <f>IFERROR(up_RadSpec!$R$23*$Q$23,".")*$B$49</f>
        <v>3.6475899015974774E-3</v>
      </c>
      <c r="R49" s="149">
        <f>IFERROR(up_RadSpec!$S$23*$R$23,".")*$B$49</f>
        <v>5.1583356689906485E-3</v>
      </c>
      <c r="S49" s="149">
        <f>IFERROR(up_RadSpec!$T$23*$S$23,".")*$B$49</f>
        <v>6.303475639491068E-3</v>
      </c>
      <c r="T49" s="149">
        <f>IFERROR(up_RadSpec!$P$23*$T$23,".")*$B$49</f>
        <v>2.3171716236784733E-3</v>
      </c>
      <c r="U49" s="136">
        <f t="shared" ref="U49:W49" si="170">IFERROR(U23/$B49,0)</f>
        <v>0.10971428571428574</v>
      </c>
      <c r="V49" s="136">
        <f t="shared" si="170"/>
        <v>175.20000000000002</v>
      </c>
      <c r="W49" s="136">
        <f t="shared" si="170"/>
        <v>0.10964562309317062</v>
      </c>
      <c r="X49" s="149">
        <f>IFERROR(up_RadSpec!$L$23*X23,".")*$B$49</f>
        <v>227.86458333333329</v>
      </c>
      <c r="Y49" s="149">
        <f>IFERROR(up_RadSpec!$O$23*Y23,".")*$B$49</f>
        <v>0.14269406392694062</v>
      </c>
      <c r="Z49" s="150">
        <f t="shared" si="41"/>
        <v>228.00727739726022</v>
      </c>
      <c r="AA49" s="136">
        <f t="shared" ref="AA49:AC49" si="171">IFERROR(AA23/$B49,0)</f>
        <v>2.5000000000000001E-2</v>
      </c>
      <c r="AB49" s="136">
        <f t="shared" si="171"/>
        <v>438</v>
      </c>
      <c r="AC49" s="136">
        <f t="shared" si="171"/>
        <v>2.4998573140802463E-2</v>
      </c>
      <c r="AD49" s="149">
        <f>IFERROR(up_RadSpec!$M$23*AD23,".")*$B$49</f>
        <v>1000</v>
      </c>
      <c r="AE49" s="149">
        <f>IFERROR(up_RadSpec!$Q$23*AE23,".")*$B$49</f>
        <v>5.7077625570776253E-2</v>
      </c>
      <c r="AF49" s="150">
        <f t="shared" si="42"/>
        <v>1000.0570776255707</v>
      </c>
      <c r="AG49" s="136">
        <f t="shared" ref="AG49:AL49" si="172">IFERROR(AG23/$B49,0)</f>
        <v>0.2</v>
      </c>
      <c r="AH49" s="136">
        <f t="shared" si="172"/>
        <v>8.3333333333333339E-4</v>
      </c>
      <c r="AI49" s="136">
        <f t="shared" si="172"/>
        <v>20</v>
      </c>
      <c r="AJ49" s="136">
        <f t="shared" si="172"/>
        <v>0.2</v>
      </c>
      <c r="AK49" s="136">
        <f t="shared" si="172"/>
        <v>8.3333333333333339E-4</v>
      </c>
      <c r="AL49" s="136">
        <f t="shared" si="172"/>
        <v>20</v>
      </c>
      <c r="AM49" s="149">
        <f>IFERROR(up_RadSpec!$J$23*AM23,".")*$B$49</f>
        <v>125</v>
      </c>
      <c r="AN49" s="149">
        <f>IFERROR(up_RadSpec!$J$23*AN23,".")*$B$49</f>
        <v>30000</v>
      </c>
      <c r="AO49" s="149">
        <f>IFERROR(up_RadSpec!$J$23*AO23,".")*$B$49</f>
        <v>1.25</v>
      </c>
      <c r="AP49" s="149">
        <f>IFERROR(up_RadSpec!$J$23*AP23,".")*$B$49</f>
        <v>125</v>
      </c>
      <c r="AQ49" s="149">
        <f>IFERROR(up_RadSpec!$J$23*AQ23,".")*$B$49</f>
        <v>30000</v>
      </c>
      <c r="AR49" s="149">
        <f>IFERROR(up_RadSpec!$J$23*AR23,".")*$B$49</f>
        <v>1.25</v>
      </c>
    </row>
    <row r="50" spans="1:44" x14ac:dyDescent="0.25">
      <c r="A50" s="148" t="s">
        <v>1075</v>
      </c>
      <c r="B50" s="141">
        <v>1</v>
      </c>
      <c r="C50" s="136">
        <f t="shared" ref="C50:F50" si="173">IFERROR(C25/$B50,0)</f>
        <v>3.6363636363636362</v>
      </c>
      <c r="D50" s="136">
        <f t="shared" si="173"/>
        <v>33989.90962986408</v>
      </c>
      <c r="E50" s="136">
        <f t="shared" si="173"/>
        <v>5628.9156626506046</v>
      </c>
      <c r="F50" s="136">
        <f t="shared" si="173"/>
        <v>3.6336275200525825</v>
      </c>
      <c r="G50" s="149">
        <f>IFERROR(up_RadSpec!$I$25*G25,".")*$B$50</f>
        <v>6.875</v>
      </c>
      <c r="H50" s="149">
        <f>IFERROR(up_RadSpec!$L$25*$H$25,".")*B50</f>
        <v>7.3551239977509683E-4</v>
      </c>
      <c r="I50" s="149">
        <f>IFERROR(up_RadSpec!$K$25*$I$25,".")*B50</f>
        <v>4.4413527397260261E-3</v>
      </c>
      <c r="J50" s="150">
        <f t="shared" si="39"/>
        <v>6.880176865139501</v>
      </c>
      <c r="K50" s="136">
        <f t="shared" ref="K50" si="174">IFERROR(K25/$B50,0)</f>
        <v>5628.9156626506046</v>
      </c>
      <c r="L50" s="136">
        <f t="shared" ref="L50:O50" si="175">IFERROR(L25/$B50,0)</f>
        <v>10080.219880897846</v>
      </c>
      <c r="M50" s="136">
        <f t="shared" si="175"/>
        <v>7230.5963699222157</v>
      </c>
      <c r="N50" s="136">
        <f t="shared" si="175"/>
        <v>6456.740547588005</v>
      </c>
      <c r="O50" s="136">
        <f t="shared" si="175"/>
        <v>18072.727272727276</v>
      </c>
      <c r="P50" s="149">
        <f>IFERROR(up_RadSpec!$K$25*$P$25,".")*$B$50</f>
        <v>4.4413527397260261E-3</v>
      </c>
      <c r="Q50" s="149">
        <f>IFERROR(up_RadSpec!$R$25*$Q$25,".")*$B$50</f>
        <v>2.4801046301951546E-3</v>
      </c>
      <c r="R50" s="149">
        <f>IFERROR(up_RadSpec!$S$25*$R$25,".")*$B$50</f>
        <v>3.4575294652035658E-3</v>
      </c>
      <c r="S50" s="149">
        <f>IFERROR(up_RadSpec!$T$25*$S$25,".")*$B$50</f>
        <v>3.8719226544326698E-3</v>
      </c>
      <c r="T50" s="149">
        <f>IFERROR(up_RadSpec!$P$25*$T$25,".")*$B$50</f>
        <v>1.3832997987927565E-3</v>
      </c>
      <c r="U50" s="136">
        <f t="shared" ref="U50:W50" si="176">IFERROR(U25/$B50,0)</f>
        <v>0.10971428571428574</v>
      </c>
      <c r="V50" s="136">
        <f t="shared" si="176"/>
        <v>175.20000000000002</v>
      </c>
      <c r="W50" s="136">
        <f t="shared" si="176"/>
        <v>0.10964562309317062</v>
      </c>
      <c r="X50" s="149">
        <f>IFERROR(up_RadSpec!$L$25*X$25,".")*$B$50</f>
        <v>227.86458333333329</v>
      </c>
      <c r="Y50" s="149">
        <f>IFERROR(up_RadSpec!$O$25*$Y$25,".")*$B$50</f>
        <v>0.14269406392694062</v>
      </c>
      <c r="Z50" s="150">
        <f t="shared" si="41"/>
        <v>228.00727739726022</v>
      </c>
      <c r="AA50" s="136">
        <f t="shared" ref="AA50:AC50" si="177">IFERROR(AA25/$B50,0)</f>
        <v>2.5000000000000001E-2</v>
      </c>
      <c r="AB50" s="136">
        <f t="shared" si="177"/>
        <v>438</v>
      </c>
      <c r="AC50" s="136">
        <f t="shared" si="177"/>
        <v>2.4998573140802463E-2</v>
      </c>
      <c r="AD50" s="149">
        <f>IFERROR(up_RadSpec!$M$25*AD25,".")*$B$50</f>
        <v>1000</v>
      </c>
      <c r="AE50" s="149">
        <f>IFERROR(up_RadSpec!$Q$25*AE25,".")*$B$50</f>
        <v>5.7077625570776253E-2</v>
      </c>
      <c r="AF50" s="150">
        <f t="shared" si="42"/>
        <v>1000.0570776255707</v>
      </c>
      <c r="AG50" s="136">
        <f t="shared" ref="AG50:AL50" si="178">IFERROR(AG25/$B50,0)</f>
        <v>0.2</v>
      </c>
      <c r="AH50" s="136">
        <f t="shared" si="178"/>
        <v>8.3333333333333339E-4</v>
      </c>
      <c r="AI50" s="136">
        <f t="shared" si="178"/>
        <v>20</v>
      </c>
      <c r="AJ50" s="136">
        <f t="shared" si="178"/>
        <v>0.2</v>
      </c>
      <c r="AK50" s="136">
        <f t="shared" si="178"/>
        <v>8.3333333333333339E-4</v>
      </c>
      <c r="AL50" s="136">
        <f t="shared" si="178"/>
        <v>20</v>
      </c>
      <c r="AM50" s="149">
        <f>IFERROR(up_RadSpec!$J$25*AM25,".")*$B$50</f>
        <v>125</v>
      </c>
      <c r="AN50" s="149">
        <f>IFERROR(up_RadSpec!$J$25*AN25,".")*$B$50</f>
        <v>30000</v>
      </c>
      <c r="AO50" s="149">
        <f>IFERROR(up_RadSpec!$J$25*AO25,".")*$B$50</f>
        <v>1.25</v>
      </c>
      <c r="AP50" s="149">
        <f>IFERROR(up_RadSpec!$J$25*AP25,".")*$B$50</f>
        <v>125</v>
      </c>
      <c r="AQ50" s="149">
        <f>IFERROR(up_RadSpec!$J$25*AQ25,".")*$B$50</f>
        <v>30000</v>
      </c>
      <c r="AR50" s="149">
        <f>IFERROR(up_RadSpec!$J$25*AR25,".")*$B$50</f>
        <v>1.25</v>
      </c>
    </row>
    <row r="51" spans="1:44" x14ac:dyDescent="0.25">
      <c r="A51" s="148" t="s">
        <v>1061</v>
      </c>
      <c r="B51" s="141">
        <v>1</v>
      </c>
      <c r="C51" s="136">
        <f t="shared" ref="C51:F51" si="179">IFERROR(C21/$B51,0)</f>
        <v>3.6363636363636362</v>
      </c>
      <c r="D51" s="136">
        <f t="shared" si="179"/>
        <v>33989.90962986408</v>
      </c>
      <c r="E51" s="136">
        <f t="shared" si="179"/>
        <v>0</v>
      </c>
      <c r="F51" s="136">
        <f t="shared" si="179"/>
        <v>3.6359746466272194</v>
      </c>
      <c r="G51" s="149">
        <f>IFERROR(up_RadSpec!$I$21*G21,".")*$B$51</f>
        <v>6.875</v>
      </c>
      <c r="H51" s="149">
        <f>IFERROR(up_RadSpec!$L$21*$H$21,".")*B51</f>
        <v>7.3551239977509683E-4</v>
      </c>
      <c r="I51" s="149">
        <f>IFERROR(up_RadSpec!$K$21*$I$21,".")*B51</f>
        <v>0</v>
      </c>
      <c r="J51" s="150">
        <f t="shared" si="39"/>
        <v>6.8757355123997748</v>
      </c>
      <c r="K51" s="136">
        <f t="shared" ref="K51" si="180">IFERROR(K21/$B51,0)</f>
        <v>0</v>
      </c>
      <c r="L51" s="136">
        <f t="shared" ref="L51:O51" si="181">IFERROR(L21/$B51,0)</f>
        <v>0</v>
      </c>
      <c r="M51" s="136">
        <f t="shared" si="181"/>
        <v>0</v>
      </c>
      <c r="N51" s="136">
        <f t="shared" si="181"/>
        <v>0</v>
      </c>
      <c r="O51" s="136">
        <f t="shared" si="181"/>
        <v>0</v>
      </c>
      <c r="P51" s="149">
        <f>IFERROR(up_RadSpec!$K$21*$P$21,".")*$B$51</f>
        <v>0</v>
      </c>
      <c r="Q51" s="149">
        <f>IFERROR(up_RadSpec!$R$21*$Q$21,".")*$B$51</f>
        <v>0</v>
      </c>
      <c r="R51" s="149">
        <f>IFERROR(up_RadSpec!$S$21*$R$21,".")*$B$51</f>
        <v>0</v>
      </c>
      <c r="S51" s="149">
        <f>IFERROR(up_RadSpec!$T$21*$S$21,".")*$B$51</f>
        <v>0</v>
      </c>
      <c r="T51" s="149">
        <f>IFERROR(up_RadSpec!$P$21*$T$21,".")*$B$51</f>
        <v>0</v>
      </c>
      <c r="U51" s="136">
        <f t="shared" ref="U51:W51" si="182">IFERROR(U21/$B51,0)</f>
        <v>0.10971428571428574</v>
      </c>
      <c r="V51" s="136">
        <f t="shared" si="182"/>
        <v>175.20000000000002</v>
      </c>
      <c r="W51" s="136">
        <f t="shared" si="182"/>
        <v>0.10964562309317062</v>
      </c>
      <c r="X51" s="149">
        <f>IFERROR(up_RadSpec!$L$21*X21,".")*$B$51</f>
        <v>227.86458333333329</v>
      </c>
      <c r="Y51" s="149">
        <f>IFERROR(up_RadSpec!$O$21*$Y$21,".")*$B$51</f>
        <v>0.14269406392694062</v>
      </c>
      <c r="Z51" s="150">
        <f t="shared" si="41"/>
        <v>228.00727739726022</v>
      </c>
      <c r="AA51" s="136">
        <f t="shared" ref="AA51:AC51" si="183">IFERROR(AA21/$B51,0)</f>
        <v>2.5000000000000001E-2</v>
      </c>
      <c r="AB51" s="136">
        <f t="shared" si="183"/>
        <v>438</v>
      </c>
      <c r="AC51" s="136">
        <f t="shared" si="183"/>
        <v>2.4998573140802463E-2</v>
      </c>
      <c r="AD51" s="149">
        <f>IFERROR(up_RadSpec!$M$21*AD21,".")*$B$51</f>
        <v>1000</v>
      </c>
      <c r="AE51" s="149">
        <f>IFERROR(up_RadSpec!$Q$21*AE21,".")*$B$51</f>
        <v>5.7077625570776253E-2</v>
      </c>
      <c r="AF51" s="150">
        <f t="shared" si="42"/>
        <v>1000.0570776255707</v>
      </c>
      <c r="AG51" s="136">
        <f t="shared" ref="AG51:AL51" si="184">IFERROR(AG21/$B51,0)</f>
        <v>0.2</v>
      </c>
      <c r="AH51" s="136">
        <f t="shared" si="184"/>
        <v>8.3333333333333339E-4</v>
      </c>
      <c r="AI51" s="136">
        <f t="shared" si="184"/>
        <v>20</v>
      </c>
      <c r="AJ51" s="136">
        <f t="shared" si="184"/>
        <v>0.2</v>
      </c>
      <c r="AK51" s="136">
        <f t="shared" si="184"/>
        <v>8.3333333333333339E-4</v>
      </c>
      <c r="AL51" s="136">
        <f t="shared" si="184"/>
        <v>20</v>
      </c>
      <c r="AM51" s="149">
        <f>IFERROR(up_RadSpec!$J$21*AM21,".")*$B$51</f>
        <v>125</v>
      </c>
      <c r="AN51" s="149">
        <f>IFERROR(up_RadSpec!$J$21*AN21,".")*$B$51</f>
        <v>30000</v>
      </c>
      <c r="AO51" s="149">
        <f>IFERROR(up_RadSpec!$J$21*AO21,".")*$B$51</f>
        <v>1.25</v>
      </c>
      <c r="AP51" s="149">
        <f>IFERROR(up_RadSpec!$J$21*AP21,".")*$B$51</f>
        <v>125</v>
      </c>
      <c r="AQ51" s="149">
        <f>IFERROR(up_RadSpec!$J$21*AQ21,".")*$B$51</f>
        <v>30000</v>
      </c>
      <c r="AR51" s="149">
        <f>IFERROR(up_RadSpec!$J$21*AR21,".")*$B$51</f>
        <v>1.25</v>
      </c>
    </row>
    <row r="52" spans="1:44" x14ac:dyDescent="0.25">
      <c r="A52" s="148" t="s">
        <v>1062</v>
      </c>
      <c r="B52" s="141">
        <v>0.99980000000000002</v>
      </c>
      <c r="C52" s="136">
        <f t="shared" ref="C52:F52" si="185">IFERROR(C17/$B52,0)</f>
        <v>3.637091054574551</v>
      </c>
      <c r="D52" s="136">
        <f t="shared" si="185"/>
        <v>33996.708971658409</v>
      </c>
      <c r="E52" s="136">
        <f t="shared" si="185"/>
        <v>7737.6514263891704</v>
      </c>
      <c r="F52" s="136">
        <f t="shared" si="185"/>
        <v>3.6349935373295477</v>
      </c>
      <c r="G52" s="149">
        <f>IFERROR(up_RadSpec!$I$17*G17,".")*$B$52</f>
        <v>6.8736250000000005</v>
      </c>
      <c r="H52" s="149">
        <f>IFERROR(up_RadSpec!$L$17*$H$17,".")*B52</f>
        <v>7.3536529729514182E-4</v>
      </c>
      <c r="I52" s="149">
        <f>IFERROR(up_RadSpec!$K$17*$I$17,".")*B52</f>
        <v>3.2309545393499881E-3</v>
      </c>
      <c r="J52" s="150">
        <f t="shared" si="39"/>
        <v>6.8775913198366458</v>
      </c>
      <c r="K52" s="136">
        <f t="shared" ref="K52" si="186">IFERROR(K17/$B52,0)</f>
        <v>7737.6514263891704</v>
      </c>
      <c r="L52" s="136">
        <f t="shared" ref="L52:O52" si="187">IFERROR(L17/$B52,0)</f>
        <v>13523.164072872007</v>
      </c>
      <c r="M52" s="136">
        <f t="shared" si="187"/>
        <v>10188.546907655438</v>
      </c>
      <c r="N52" s="136">
        <f t="shared" si="187"/>
        <v>9059.9765795468429</v>
      </c>
      <c r="O52" s="136">
        <f t="shared" si="187"/>
        <v>25912.222943030974</v>
      </c>
      <c r="P52" s="149">
        <f>IFERROR(up_RadSpec!$K$17*$P$17,".")*$B$52</f>
        <v>3.2309545393499881E-3</v>
      </c>
      <c r="Q52" s="149">
        <f>IFERROR(up_RadSpec!$R$17*$Q$17,".")*$B$52</f>
        <v>1.8486797812466811E-3</v>
      </c>
      <c r="R52" s="149">
        <f>IFERROR(up_RadSpec!$S$17*$R$17,".")*$B$52</f>
        <v>2.4537355745219746E-3</v>
      </c>
      <c r="S52" s="149">
        <f>IFERROR(up_RadSpec!$T$17*$S$17,".")*$B$52</f>
        <v>2.7593890315829534E-3</v>
      </c>
      <c r="T52" s="149">
        <f>IFERROR(up_RadSpec!$P$17*$T$17,".")*$B$52</f>
        <v>9.6479565087732801E-4</v>
      </c>
      <c r="U52" s="136">
        <f t="shared" ref="U52:W52" si="188">IFERROR(U17/$B52,0)</f>
        <v>0.10973623296087791</v>
      </c>
      <c r="V52" s="136">
        <f t="shared" si="188"/>
        <v>175.23504700940188</v>
      </c>
      <c r="W52" s="136">
        <f t="shared" si="188"/>
        <v>0.10966755660449151</v>
      </c>
      <c r="X52" s="149">
        <f>IFERROR(up_RadSpec!$L$17*X17,".")*$B$52</f>
        <v>227.81901041666663</v>
      </c>
      <c r="Y52" s="149">
        <f>IFERROR(up_RadSpec!$O$17*$Y$17,".")*$B$52</f>
        <v>0.14266552511415523</v>
      </c>
      <c r="Z52" s="150">
        <f t="shared" si="41"/>
        <v>227.96167594178078</v>
      </c>
      <c r="AA52" s="136">
        <f t="shared" ref="AA52:AC52" si="189">IFERROR(AA17/$B52,0)</f>
        <v>2.500500100020004E-2</v>
      </c>
      <c r="AB52" s="136">
        <f t="shared" si="189"/>
        <v>438.08761752350472</v>
      </c>
      <c r="AC52" s="136">
        <f t="shared" si="189"/>
        <v>2.5003573855573578E-2</v>
      </c>
      <c r="AD52" s="149">
        <f>IFERROR(up_RadSpec!$M$17*AD17,".")*$B$52</f>
        <v>999.80000000000007</v>
      </c>
      <c r="AE52" s="149">
        <f>IFERROR(up_RadSpec!$Q$17*AE17,".")*$B$52</f>
        <v>5.7066210045662098E-2</v>
      </c>
      <c r="AF52" s="150">
        <f t="shared" si="42"/>
        <v>999.85706621004579</v>
      </c>
      <c r="AG52" s="136">
        <f t="shared" ref="AG52:AL52" si="190">IFERROR(AG17/$B52,0)</f>
        <v>0.20004000800160032</v>
      </c>
      <c r="AH52" s="136">
        <f t="shared" si="190"/>
        <v>8.3350003334000137E-4</v>
      </c>
      <c r="AI52" s="136">
        <f t="shared" si="190"/>
        <v>20.004000800160032</v>
      </c>
      <c r="AJ52" s="136">
        <f t="shared" si="190"/>
        <v>0.20004000800160032</v>
      </c>
      <c r="AK52" s="136">
        <f t="shared" si="190"/>
        <v>8.3350003334000137E-4</v>
      </c>
      <c r="AL52" s="136">
        <f t="shared" si="190"/>
        <v>20.004000800160032</v>
      </c>
      <c r="AM52" s="149">
        <f>IFERROR(up_RadSpec!$J$17*AM17,".")*$B$52</f>
        <v>124.97500000000001</v>
      </c>
      <c r="AN52" s="149">
        <f>IFERROR(up_RadSpec!$J$17*AN17,".")*$B$52</f>
        <v>29994</v>
      </c>
      <c r="AO52" s="149">
        <f>IFERROR(up_RadSpec!$J$17*AO17,".")*$B$52</f>
        <v>1.2497500000000001</v>
      </c>
      <c r="AP52" s="149">
        <f>IFERROR(up_RadSpec!$J$17*AP17,".")*$B$52</f>
        <v>124.97500000000001</v>
      </c>
      <c r="AQ52" s="149">
        <f>IFERROR(up_RadSpec!$J$17*AQ17,".")*$B$52</f>
        <v>29994</v>
      </c>
      <c r="AR52" s="149">
        <f>IFERROR(up_RadSpec!$J$17*AR17,".")*$B$52</f>
        <v>1.2497500000000001</v>
      </c>
    </row>
    <row r="53" spans="1:44" x14ac:dyDescent="0.25">
      <c r="A53" s="148" t="s">
        <v>1076</v>
      </c>
      <c r="B53" s="141">
        <v>2.0000000000000001E-4</v>
      </c>
      <c r="C53" s="136">
        <f t="shared" ref="C53:F53" si="191">IFERROR(C5/$B53,0)</f>
        <v>18181.81818181818</v>
      </c>
      <c r="D53" s="136">
        <f t="shared" si="191"/>
        <v>169949548.14932039</v>
      </c>
      <c r="E53" s="136">
        <f t="shared" si="191"/>
        <v>0</v>
      </c>
      <c r="F53" s="136">
        <f t="shared" si="191"/>
        <v>18179.873233136095</v>
      </c>
      <c r="G53" s="149">
        <f>IFERROR(up_RadSpec!$I$5*G5,".")*$B$53</f>
        <v>1.3750000000000001E-3</v>
      </c>
      <c r="H53" s="149">
        <f>IFERROR(up_RadSpec!$L$5*$H$5,".")*B53</f>
        <v>1.4710247995501938E-7</v>
      </c>
      <c r="I53" s="149">
        <f>IFERROR(up_RadSpec!$K$5*$I$5,".")*B53</f>
        <v>0</v>
      </c>
      <c r="J53" s="150">
        <f t="shared" si="39"/>
        <v>1.3751471024799553E-3</v>
      </c>
      <c r="K53" s="136">
        <f t="shared" ref="K53" si="192">IFERROR(K5/$B53,0)</f>
        <v>0</v>
      </c>
      <c r="L53" s="136">
        <f t="shared" ref="L53:O53" si="193">IFERROR(L5/$B53,0)</f>
        <v>0</v>
      </c>
      <c r="M53" s="136">
        <f t="shared" si="193"/>
        <v>0</v>
      </c>
      <c r="N53" s="136">
        <f t="shared" si="193"/>
        <v>0</v>
      </c>
      <c r="O53" s="136">
        <f t="shared" si="193"/>
        <v>0</v>
      </c>
      <c r="P53" s="149">
        <f>IFERROR(up_RadSpec!$K$5*$P$5,".")*$B$53</f>
        <v>0</v>
      </c>
      <c r="Q53" s="149">
        <f>IFERROR(up_RadSpec!$R$5*$Q$5,".")*$B$53</f>
        <v>0</v>
      </c>
      <c r="R53" s="149">
        <f>IFERROR(up_RadSpec!$S$5*$R$5,".")*$B$53</f>
        <v>0</v>
      </c>
      <c r="S53" s="149">
        <f>IFERROR(up_RadSpec!$T$5*$S$5,".")*$B$53</f>
        <v>0</v>
      </c>
      <c r="T53" s="149">
        <f>IFERROR(up_RadSpec!$P$5*$T$5,".")*$B$53</f>
        <v>0</v>
      </c>
      <c r="U53" s="136">
        <f t="shared" ref="U53:W53" si="194">IFERROR(U5/$B53,0)</f>
        <v>548.57142857142867</v>
      </c>
      <c r="V53" s="136">
        <f t="shared" si="194"/>
        <v>876000</v>
      </c>
      <c r="W53" s="136">
        <f t="shared" si="194"/>
        <v>548.22811546585308</v>
      </c>
      <c r="X53" s="149">
        <f>IFERROR(up_RadSpec!$L$5*X5,".")*$B$53</f>
        <v>4.5572916666666657E-2</v>
      </c>
      <c r="Y53" s="149">
        <f>IFERROR(up_RadSpec!$O$5*$Y$5,".")*$B$53</f>
        <v>2.8538812785388124E-5</v>
      </c>
      <c r="Z53" s="150">
        <f t="shared" si="41"/>
        <v>4.5601455479452047E-2</v>
      </c>
      <c r="AA53" s="136">
        <f t="shared" ref="AA53:AC53" si="195">IFERROR(AA5/$B53,0)</f>
        <v>125</v>
      </c>
      <c r="AB53" s="136">
        <f t="shared" si="195"/>
        <v>2190000</v>
      </c>
      <c r="AC53" s="136">
        <f t="shared" si="195"/>
        <v>124.9928657040123</v>
      </c>
      <c r="AD53" s="149">
        <f>IFERROR(up_RadSpec!$M$5*AD5,".")*$B$53</f>
        <v>0.2</v>
      </c>
      <c r="AE53" s="149">
        <f>IFERROR(up_RadSpec!$Q$5*AE5,".")*$B$53</f>
        <v>1.1415525114155251E-5</v>
      </c>
      <c r="AF53" s="150">
        <f t="shared" si="42"/>
        <v>0.20001141552511417</v>
      </c>
      <c r="AG53" s="136">
        <f t="shared" ref="AG53:AL53" si="196">IFERROR(AG5/$B53,0)</f>
        <v>1000</v>
      </c>
      <c r="AH53" s="136">
        <f t="shared" si="196"/>
        <v>4.166666666666667</v>
      </c>
      <c r="AI53" s="136">
        <f t="shared" si="196"/>
        <v>100000</v>
      </c>
      <c r="AJ53" s="136">
        <f t="shared" si="196"/>
        <v>1000</v>
      </c>
      <c r="AK53" s="136">
        <f t="shared" si="196"/>
        <v>4.166666666666667</v>
      </c>
      <c r="AL53" s="136">
        <f t="shared" si="196"/>
        <v>100000</v>
      </c>
      <c r="AM53" s="149">
        <f>IFERROR(up_RadSpec!$J$5*AM5,".")*$B$53</f>
        <v>2.5000000000000001E-2</v>
      </c>
      <c r="AN53" s="149">
        <f>IFERROR(up_RadSpec!$J$5*AN5,".")*$B$53</f>
        <v>6</v>
      </c>
      <c r="AO53" s="149">
        <f>IFERROR(up_RadSpec!$J$5*AO5,".")*$B$53</f>
        <v>2.5000000000000001E-4</v>
      </c>
      <c r="AP53" s="149">
        <f>IFERROR(up_RadSpec!$J$5*AP5,".")*$B$53</f>
        <v>2.5000000000000001E-2</v>
      </c>
      <c r="AQ53" s="149">
        <f>IFERROR(up_RadSpec!$J$5*AQ5,".")*$B$53</f>
        <v>6</v>
      </c>
      <c r="AR53" s="149">
        <f>IFERROR(up_RadSpec!$J$5*AR5,".")*$B$53</f>
        <v>2.5000000000000001E-4</v>
      </c>
    </row>
    <row r="54" spans="1:44" x14ac:dyDescent="0.25">
      <c r="A54" s="148" t="s">
        <v>1077</v>
      </c>
      <c r="B54" s="141">
        <v>0.99999979999999999</v>
      </c>
      <c r="C54" s="136">
        <f t="shared" ref="C54:F54" si="197">IFERROR(C9/$B54,0)</f>
        <v>3.6363643636365088</v>
      </c>
      <c r="D54" s="136">
        <f t="shared" si="197"/>
        <v>33989.916427847369</v>
      </c>
      <c r="E54" s="136">
        <f t="shared" si="197"/>
        <v>2860.2405155907982</v>
      </c>
      <c r="F54" s="136">
        <f t="shared" si="197"/>
        <v>3.6313591423050648</v>
      </c>
      <c r="G54" s="149">
        <f>IFERROR(up_RadSpec!$I$9*G9,".")*$B$54</f>
        <v>6.8749986249999999</v>
      </c>
      <c r="H54" s="149">
        <f>IFERROR(up_RadSpec!$L$9*$H$9,".")*B54</f>
        <v>7.3551225267261689E-4</v>
      </c>
      <c r="I54" s="149">
        <f>IFERROR(up_RadSpec!$K$9*$I$9,".")*B54</f>
        <v>8.7405236950278322E-3</v>
      </c>
      <c r="J54" s="150">
        <f t="shared" si="39"/>
        <v>6.884474660947701</v>
      </c>
      <c r="K54" s="136">
        <f t="shared" ref="K54" si="198">IFERROR(K9/$B54,0)</f>
        <v>2860.2405155907982</v>
      </c>
      <c r="L54" s="136">
        <f t="shared" ref="L54:O54" si="199">IFERROR(L9/$B54,0)</f>
        <v>5858.2511716502368</v>
      </c>
      <c r="M54" s="136">
        <f t="shared" si="199"/>
        <v>4121.9801609920105</v>
      </c>
      <c r="N54" s="136">
        <f t="shared" si="199"/>
        <v>3397.8188613819548</v>
      </c>
      <c r="O54" s="136">
        <f t="shared" si="199"/>
        <v>10376.600125157516</v>
      </c>
      <c r="P54" s="149">
        <f>IFERROR(up_RadSpec!$K$9*$P$9,".")*$B$54</f>
        <v>8.7405236950278322E-3</v>
      </c>
      <c r="Q54" s="149">
        <f>IFERROR(up_RadSpec!$R$9*$Q$9,".")*$B$54</f>
        <v>4.2674851704860642E-3</v>
      </c>
      <c r="R54" s="149">
        <f>IFERROR(up_RadSpec!$S$9*$R$9,".")*$B$54</f>
        <v>6.0650461728528563E-3</v>
      </c>
      <c r="S54" s="149">
        <f>IFERROR(up_RadSpec!$T$9*$S$9,".")*$B$54</f>
        <v>7.357661199700341E-3</v>
      </c>
      <c r="T54" s="149">
        <f>IFERROR(up_RadSpec!$P$9*$T$9,".")*$B$54</f>
        <v>2.4092669755471086E-3</v>
      </c>
      <c r="U54" s="136">
        <f t="shared" ref="U54:W54" si="200">IFERROR(U9/$B54,0)</f>
        <v>0.10971430765714726</v>
      </c>
      <c r="V54" s="136">
        <f t="shared" si="200"/>
        <v>175.20003504000704</v>
      </c>
      <c r="W54" s="136">
        <f t="shared" si="200"/>
        <v>0.10964564502229962</v>
      </c>
      <c r="X54" s="149">
        <f>IFERROR(up_RadSpec!$L$9*X9,".")*$B$54</f>
        <v>227.86453776041662</v>
      </c>
      <c r="Y54" s="149">
        <f>IFERROR(up_RadSpec!$O$9*$Y$9,".")*$B$54</f>
        <v>0.14269403538812783</v>
      </c>
      <c r="Z54" s="150">
        <f t="shared" si="41"/>
        <v>228.00723179580476</v>
      </c>
      <c r="AA54" s="136">
        <f t="shared" ref="AA54:AC54" si="201">IFERROR(AA9/$B54,0)</f>
        <v>2.5000005000001001E-2</v>
      </c>
      <c r="AB54" s="136">
        <f t="shared" si="201"/>
        <v>438.00008760001754</v>
      </c>
      <c r="AC54" s="136">
        <f t="shared" si="201"/>
        <v>2.4998578140518091E-2</v>
      </c>
      <c r="AD54" s="149">
        <f>IFERROR(up_RadSpec!$M$9*AD9,".")*$B$54</f>
        <v>999.99980000000005</v>
      </c>
      <c r="AE54" s="149">
        <f>IFERROR(up_RadSpec!$Q$9*AE9,".")*$B$54</f>
        <v>5.7077614155251137E-2</v>
      </c>
      <c r="AF54" s="150">
        <f t="shared" si="42"/>
        <v>1000.0568776141553</v>
      </c>
      <c r="AG54" s="136">
        <f t="shared" ref="AG54:AL54" si="202">IFERROR(AG9/$B54,0)</f>
        <v>0.20000004000000801</v>
      </c>
      <c r="AH54" s="136">
        <f t="shared" si="202"/>
        <v>8.3333350000003336E-4</v>
      </c>
      <c r="AI54" s="136">
        <f t="shared" si="202"/>
        <v>20.0000040000008</v>
      </c>
      <c r="AJ54" s="136">
        <f t="shared" si="202"/>
        <v>0.20000004000000801</v>
      </c>
      <c r="AK54" s="136">
        <f t="shared" si="202"/>
        <v>8.3333350000003336E-4</v>
      </c>
      <c r="AL54" s="136">
        <f t="shared" si="202"/>
        <v>20.0000040000008</v>
      </c>
      <c r="AM54" s="149">
        <f>IFERROR(up_RadSpec!$J$9*AM9,".")*$B$54</f>
        <v>124.99997500000001</v>
      </c>
      <c r="AN54" s="149">
        <f>IFERROR(up_RadSpec!$J$9*AN9,".")*$B$54</f>
        <v>29999.993999999999</v>
      </c>
      <c r="AO54" s="149">
        <f>IFERROR(up_RadSpec!$J$9*AO9,".")*$B$54</f>
        <v>1.24999975</v>
      </c>
      <c r="AP54" s="149">
        <f>IFERROR(up_RadSpec!$J$9*AP9,".")*$B$54</f>
        <v>124.99997500000001</v>
      </c>
      <c r="AQ54" s="149">
        <f>IFERROR(up_RadSpec!$J$9*AQ9,".")*$B$54</f>
        <v>29999.993999999999</v>
      </c>
      <c r="AR54" s="149">
        <f>IFERROR(up_RadSpec!$J$9*AR9,".")*$B$54</f>
        <v>1.24999975</v>
      </c>
    </row>
    <row r="55" spans="1:44" x14ac:dyDescent="0.25">
      <c r="A55" s="148" t="s">
        <v>1078</v>
      </c>
      <c r="B55" s="141">
        <v>1.9999999999999999E-7</v>
      </c>
      <c r="C55" s="136">
        <f t="shared" ref="C55:F55" si="203">IFERROR(C24/$B55,0)</f>
        <v>18181818.181818184</v>
      </c>
      <c r="D55" s="136">
        <f t="shared" si="203"/>
        <v>169949548149.3204</v>
      </c>
      <c r="E55" s="136">
        <f t="shared" si="203"/>
        <v>25238049251.569302</v>
      </c>
      <c r="F55" s="136">
        <f t="shared" si="203"/>
        <v>18166787.044016585</v>
      </c>
      <c r="G55" s="149">
        <f>IFERROR(up_RadSpec!$I$24*G24,".")*$B$55</f>
        <v>1.375E-6</v>
      </c>
      <c r="H55" s="149">
        <f>IFERROR(up_RadSpec!$L$24*$H$24,".")*B55</f>
        <v>1.4710247995501936E-10</v>
      </c>
      <c r="I55" s="149">
        <f>IFERROR(up_RadSpec!$K$24*$I$24,".")*B55</f>
        <v>9.9056784265707465E-10</v>
      </c>
      <c r="J55" s="150">
        <f t="shared" si="39"/>
        <v>1.3761376703226121E-6</v>
      </c>
      <c r="K55" s="136">
        <f t="shared" ref="K55" si="204">IFERROR(K24/$B55,0)</f>
        <v>25238049251.569302</v>
      </c>
      <c r="L55" s="136">
        <f t="shared" ref="L55:O55" si="205">IFERROR(L24/$B55,0)</f>
        <v>45756960932.4412</v>
      </c>
      <c r="M55" s="136">
        <f t="shared" si="205"/>
        <v>32307371141.706841</v>
      </c>
      <c r="N55" s="136">
        <f t="shared" si="205"/>
        <v>26978749615.029263</v>
      </c>
      <c r="O55" s="136">
        <f t="shared" si="205"/>
        <v>76048351648.351624</v>
      </c>
      <c r="P55" s="149">
        <f>IFERROR(up_RadSpec!$K$24*$P$24,".")*$B$55</f>
        <v>9.9056784265707465E-10</v>
      </c>
      <c r="Q55" s="149">
        <f>IFERROR(up_RadSpec!$R$24*$Q$24,".")*$B$55</f>
        <v>5.4636495716819487E-10</v>
      </c>
      <c r="R55" s="149">
        <f>IFERROR(up_RadSpec!$S$24*$R$24,".")*$B$55</f>
        <v>7.7381721621189179E-10</v>
      </c>
      <c r="S55" s="149">
        <f>IFERROR(up_RadSpec!$T$24*$S$24,".")*$B$55</f>
        <v>9.2665525114155248E-10</v>
      </c>
      <c r="T55" s="149">
        <f>IFERROR(up_RadSpec!$P$24*$T$24,".")*$B$55</f>
        <v>3.287382232240912E-10</v>
      </c>
      <c r="U55" s="136">
        <f t="shared" ref="U55:W55" si="206">IFERROR(U24/$B55,0)</f>
        <v>548571.42857142875</v>
      </c>
      <c r="V55" s="136">
        <f t="shared" si="206"/>
        <v>876000000.00000012</v>
      </c>
      <c r="W55" s="136">
        <f t="shared" si="206"/>
        <v>548228.11546585313</v>
      </c>
      <c r="X55" s="149">
        <f>IFERROR(up_RadSpec!$L$24*X24,".")*$B$55</f>
        <v>4.5572916666666655E-5</v>
      </c>
      <c r="Y55" s="149">
        <f>IFERROR(up_RadSpec!$O$24*$Y$24,".")*$B$55</f>
        <v>2.8538812785388121E-8</v>
      </c>
      <c r="Z55" s="150">
        <f t="shared" si="41"/>
        <v>4.5601455479452047E-5</v>
      </c>
      <c r="AA55" s="136">
        <f t="shared" ref="AA55:AC55" si="207">IFERROR(AA24/$B55,0)</f>
        <v>125000.00000000001</v>
      </c>
      <c r="AB55" s="136">
        <f t="shared" si="207"/>
        <v>2190000000</v>
      </c>
      <c r="AC55" s="136">
        <f t="shared" si="207"/>
        <v>124992.86570401232</v>
      </c>
      <c r="AD55" s="149">
        <f>IFERROR(up_RadSpec!$M$24*AD24,".")*$B$55</f>
        <v>1.9999999999999998E-4</v>
      </c>
      <c r="AE55" s="149">
        <f>IFERROR(up_RadSpec!$Q$24*AE24,".")*$B$55</f>
        <v>1.1415525114155249E-8</v>
      </c>
      <c r="AF55" s="150">
        <f t="shared" si="42"/>
        <v>2.0001141552511415E-4</v>
      </c>
      <c r="AG55" s="136">
        <f t="shared" ref="AG55:AL55" si="208">IFERROR(AG24/$B55,0)</f>
        <v>1000000.0000000001</v>
      </c>
      <c r="AH55" s="136">
        <f t="shared" si="208"/>
        <v>4166.666666666667</v>
      </c>
      <c r="AI55" s="136">
        <f t="shared" si="208"/>
        <v>100000000</v>
      </c>
      <c r="AJ55" s="136">
        <f t="shared" si="208"/>
        <v>1000000.0000000001</v>
      </c>
      <c r="AK55" s="136">
        <f t="shared" si="208"/>
        <v>4166.666666666667</v>
      </c>
      <c r="AL55" s="136">
        <f t="shared" si="208"/>
        <v>100000000</v>
      </c>
      <c r="AM55" s="149">
        <f>IFERROR(up_RadSpec!$J$24*AM24,".")*$B$55</f>
        <v>2.4999999999999998E-5</v>
      </c>
      <c r="AN55" s="149">
        <f>IFERROR(up_RadSpec!$J$24*AN24,".")*$B$55</f>
        <v>6.0000000000000001E-3</v>
      </c>
      <c r="AO55" s="149">
        <f>IFERROR(up_RadSpec!$J$24*AO24,".")*$B$55</f>
        <v>2.4999999999999999E-7</v>
      </c>
      <c r="AP55" s="149">
        <f>IFERROR(up_RadSpec!$J$24*AP24,".")*$B$55</f>
        <v>2.4999999999999998E-5</v>
      </c>
      <c r="AQ55" s="149">
        <f>IFERROR(up_RadSpec!$J$24*AQ24,".")*$B$55</f>
        <v>6.0000000000000001E-3</v>
      </c>
      <c r="AR55" s="149">
        <f>IFERROR(up_RadSpec!$J$24*AR24,".")*$B$55</f>
        <v>2.4999999999999999E-7</v>
      </c>
    </row>
    <row r="56" spans="1:44" x14ac:dyDescent="0.25">
      <c r="A56" s="148" t="s">
        <v>1079</v>
      </c>
      <c r="B56" s="141">
        <v>0.99979000004200003</v>
      </c>
      <c r="C56" s="136">
        <f t="shared" ref="C56:F56" si="209">IFERROR(C20/$B56,0)</f>
        <v>3.6371274329718011</v>
      </c>
      <c r="D56" s="136">
        <f t="shared" si="209"/>
        <v>33997.049008728034</v>
      </c>
      <c r="E56" s="136">
        <f t="shared" si="209"/>
        <v>3954.1656465010487</v>
      </c>
      <c r="F56" s="136">
        <f t="shared" si="209"/>
        <v>3.6333966419031589</v>
      </c>
      <c r="G56" s="149">
        <f>IFERROR(up_RadSpec!$I$20*G20,".")*$B$56</f>
        <v>6.8735562502887504</v>
      </c>
      <c r="H56" s="149">
        <f>IFERROR(up_RadSpec!$L$20*$H$20,".")*B56</f>
        <v>7.3535794220203564E-4</v>
      </c>
      <c r="I56" s="149">
        <f>IFERROR(up_RadSpec!$K$20*$I$20,".")*B56</f>
        <v>6.3224463097852094E-3</v>
      </c>
      <c r="J56" s="150">
        <f t="shared" si="39"/>
        <v>6.8806140545407377</v>
      </c>
      <c r="K56" s="136">
        <f t="shared" ref="K56" si="210">IFERROR(K20/$B56,0)</f>
        <v>3954.1656465010487</v>
      </c>
      <c r="L56" s="136">
        <f t="shared" ref="L56:O56" si="211">IFERROR(L20/$B56,0)</f>
        <v>7797.9891528506387</v>
      </c>
      <c r="M56" s="136">
        <f t="shared" si="211"/>
        <v>5456.0908337909977</v>
      </c>
      <c r="N56" s="136">
        <f t="shared" si="211"/>
        <v>4581.3542410609534</v>
      </c>
      <c r="O56" s="136">
        <f t="shared" si="211"/>
        <v>13287.475053887933</v>
      </c>
      <c r="P56" s="149">
        <f>IFERROR(up_RadSpec!$K$20*$P$20,".")*$B$56</f>
        <v>6.3224463097852094E-3</v>
      </c>
      <c r="Q56" s="149">
        <f>IFERROR(up_RadSpec!$R$20*$Q$20,".")*$B$56</f>
        <v>3.2059547031892169E-3</v>
      </c>
      <c r="R56" s="149">
        <f>IFERROR(up_RadSpec!$S$20*$R$20,".")*$B$56</f>
        <v>4.5820351532948212E-3</v>
      </c>
      <c r="S56" s="149">
        <f>IFERROR(up_RadSpec!$T$20*$S$20,".")*$B$56</f>
        <v>5.4569017553662219E-3</v>
      </c>
      <c r="T56" s="149">
        <f>IFERROR(up_RadSpec!$P$20*$T$20,".")*$B$56</f>
        <v>1.8814710769812484E-3</v>
      </c>
      <c r="U56" s="136">
        <f t="shared" ref="U56:W56" si="212">IFERROR(U20/$B56,0)</f>
        <v>0.10973733054909207</v>
      </c>
      <c r="V56" s="136">
        <f t="shared" si="212"/>
        <v>175.23679972058139</v>
      </c>
      <c r="W56" s="136">
        <f t="shared" si="212"/>
        <v>0.10966865350580075</v>
      </c>
      <c r="X56" s="149">
        <f>IFERROR(up_RadSpec!$L$20*X20,".")*$B$56</f>
        <v>227.81673178040361</v>
      </c>
      <c r="Y56" s="149">
        <f>IFERROR(up_RadSpec!$O$20*$Y$20,".")*$B$56</f>
        <v>0.14266409817950912</v>
      </c>
      <c r="Z56" s="150">
        <f t="shared" si="41"/>
        <v>227.95939587858314</v>
      </c>
      <c r="AA56" s="136">
        <f t="shared" ref="AA56:AC56" si="213">IFERROR(AA20/$B56,0)</f>
        <v>2.5005251101681135E-2</v>
      </c>
      <c r="AB56" s="136">
        <f t="shared" si="213"/>
        <v>438.09199930145343</v>
      </c>
      <c r="AC56" s="136">
        <f t="shared" si="213"/>
        <v>2.5003823942780286E-2</v>
      </c>
      <c r="AD56" s="149">
        <f>IFERROR(up_RadSpec!$M$20*AD20,".")*$B$56</f>
        <v>999.79000004199997</v>
      </c>
      <c r="AE56" s="149">
        <f>IFERROR(up_RadSpec!$Q$20*AE20,".")*$B$56</f>
        <v>5.706563927180365E-2</v>
      </c>
      <c r="AF56" s="150">
        <f t="shared" si="42"/>
        <v>999.84706568127183</v>
      </c>
      <c r="AG56" s="136">
        <f t="shared" ref="AG56:AL56" si="214">IFERROR(AG20/$B56,0)</f>
        <v>0.20004200881344908</v>
      </c>
      <c r="AH56" s="136">
        <f t="shared" si="214"/>
        <v>8.3350837005603774E-4</v>
      </c>
      <c r="AI56" s="136">
        <f t="shared" si="214"/>
        <v>20.004200881344904</v>
      </c>
      <c r="AJ56" s="136">
        <f t="shared" si="214"/>
        <v>0.20004200881344908</v>
      </c>
      <c r="AK56" s="136">
        <f t="shared" si="214"/>
        <v>8.3350837005603774E-4</v>
      </c>
      <c r="AL56" s="136">
        <f t="shared" si="214"/>
        <v>20.004200881344904</v>
      </c>
      <c r="AM56" s="149">
        <f>IFERROR(up_RadSpec!$J$20*AM20,".")*$B$56</f>
        <v>124.97375000525</v>
      </c>
      <c r="AN56" s="149">
        <f>IFERROR(up_RadSpec!$J$20*AN20,".")*$B$56</f>
        <v>29993.70000126</v>
      </c>
      <c r="AO56" s="149">
        <f>IFERROR(up_RadSpec!$J$20*AO20,".")*$B$56</f>
        <v>1.2497375000524999</v>
      </c>
      <c r="AP56" s="149">
        <f>IFERROR(up_RadSpec!$J$20*AP20,".")*$B$56</f>
        <v>124.97375000525</v>
      </c>
      <c r="AQ56" s="149">
        <f>IFERROR(up_RadSpec!$J$20*AQ20,".")*$B$56</f>
        <v>29993.70000126</v>
      </c>
      <c r="AR56" s="149">
        <f>IFERROR(up_RadSpec!$J$20*AR20,".")*$B$56</f>
        <v>1.2497375000524999</v>
      </c>
    </row>
    <row r="57" spans="1:44" x14ac:dyDescent="0.25">
      <c r="A57" s="148" t="s">
        <v>1080</v>
      </c>
      <c r="B57" s="141">
        <v>2.0999995799999999E-4</v>
      </c>
      <c r="C57" s="136">
        <f t="shared" ref="C57:F57" si="215">IFERROR(C29/$B57,0)</f>
        <v>17316.020779221471</v>
      </c>
      <c r="D57" s="136">
        <f t="shared" si="215"/>
        <v>161856744.89451128</v>
      </c>
      <c r="E57" s="136">
        <f t="shared" si="215"/>
        <v>14816552.533958446</v>
      </c>
      <c r="F57" s="136">
        <f t="shared" si="215"/>
        <v>17293.959256882063</v>
      </c>
      <c r="G57" s="149">
        <f>IFERROR(up_RadSpec!$I$29*G29,".")*$B$57</f>
        <v>1.4437497112499999E-3</v>
      </c>
      <c r="H57" s="149">
        <f>IFERROR(up_RadSpec!$L$29*$H$29,".")*B57</f>
        <v>1.5445757306124954E-7</v>
      </c>
      <c r="I57" s="149">
        <f>IFERROR(up_RadSpec!$K$29*$I$29,".")*B57</f>
        <v>1.6873020861433077E-6</v>
      </c>
      <c r="J57" s="150">
        <f t="shared" si="39"/>
        <v>1.4455914709092044E-3</v>
      </c>
      <c r="K57" s="136">
        <f t="shared" ref="K57" si="216">IFERROR(K29/$B57,0)</f>
        <v>14816552.533958446</v>
      </c>
      <c r="L57" s="136">
        <f t="shared" ref="L57:O57" si="217">IFERROR(L29/$B57,0)</f>
        <v>29565920.700151559</v>
      </c>
      <c r="M57" s="136">
        <f t="shared" si="217"/>
        <v>21062636.161858689</v>
      </c>
      <c r="N57" s="136">
        <f t="shared" si="217"/>
        <v>17866553.023860045</v>
      </c>
      <c r="O57" s="136">
        <f t="shared" si="217"/>
        <v>53090919.709093049</v>
      </c>
      <c r="P57" s="149">
        <f>IFERROR(up_RadSpec!$K$29*$P$29,".")*$B$57</f>
        <v>1.6873020861433077E-6</v>
      </c>
      <c r="Q57" s="149">
        <f>IFERROR(up_RadSpec!$R$29*$Q$29,".")*$B$57</f>
        <v>8.4556812059202497E-7</v>
      </c>
      <c r="R57" s="149">
        <f>IFERROR(up_RadSpec!$S$29*$R$29,".")*$B$57</f>
        <v>1.1869359470431005E-6</v>
      </c>
      <c r="S57" s="149">
        <f>IFERROR(up_RadSpec!$T$29*$S$29,".")*$B$57</f>
        <v>1.3992626314999616E-6</v>
      </c>
      <c r="T57" s="149">
        <f>IFERROR(up_RadSpec!$P$29*$T$29,".")*$B$57</f>
        <v>4.708903167808218E-7</v>
      </c>
      <c r="U57" s="136">
        <f t="shared" ref="U57:W57" si="218">IFERROR(U29/$B57,0)</f>
        <v>522.44908408165372</v>
      </c>
      <c r="V57" s="136">
        <f t="shared" si="218"/>
        <v>834285.88114289066</v>
      </c>
      <c r="W57" s="136">
        <f t="shared" si="218"/>
        <v>522.12211915380783</v>
      </c>
      <c r="X57" s="149">
        <f>IFERROR(up_RadSpec!$L$29*X29,".")*$B$57</f>
        <v>4.7851552929687485E-2</v>
      </c>
      <c r="Y57" s="149">
        <f>IFERROR(up_RadSpec!$O$29*$Y$29,".")*$B$57</f>
        <v>2.9965747431506842E-5</v>
      </c>
      <c r="Z57" s="150">
        <f t="shared" si="41"/>
        <v>4.7881518677118991E-2</v>
      </c>
      <c r="AA57" s="136">
        <f t="shared" ref="AA57:AC57" si="219">IFERROR(AA29/$B57,0)</f>
        <v>119.04764285714764</v>
      </c>
      <c r="AB57" s="136">
        <f t="shared" si="219"/>
        <v>2085714.7028572264</v>
      </c>
      <c r="AC57" s="136">
        <f t="shared" si="219"/>
        <v>119.04084828818139</v>
      </c>
      <c r="AD57" s="149">
        <f>IFERROR(up_RadSpec!$M$29*AD29,".")*$B$57</f>
        <v>0.20999995799999999</v>
      </c>
      <c r="AE57" s="149">
        <f>IFERROR(up_RadSpec!$Q$29*AE29,".")*$B$57</f>
        <v>1.1986298972602738E-5</v>
      </c>
      <c r="AF57" s="150">
        <f t="shared" si="42"/>
        <v>0.2100119442989726</v>
      </c>
      <c r="AG57" s="136">
        <f t="shared" ref="AG57:AL57" si="220">IFERROR(AG29/$B57,0)</f>
        <v>952.38114285718109</v>
      </c>
      <c r="AH57" s="136">
        <f t="shared" si="220"/>
        <v>3.9682547619049213</v>
      </c>
      <c r="AI57" s="136">
        <f t="shared" si="220"/>
        <v>95238.114285718097</v>
      </c>
      <c r="AJ57" s="136">
        <f t="shared" si="220"/>
        <v>952.38114285718109</v>
      </c>
      <c r="AK57" s="136">
        <f t="shared" si="220"/>
        <v>3.9682547619049213</v>
      </c>
      <c r="AL57" s="136">
        <f t="shared" si="220"/>
        <v>95238.114285718097</v>
      </c>
      <c r="AM57" s="149">
        <f>IFERROR(up_RadSpec!$J$29*AM29,".")*$B$57</f>
        <v>2.6249994749999998E-2</v>
      </c>
      <c r="AN57" s="149">
        <f>IFERROR(up_RadSpec!$J$29*AN29,".")*$B$57</f>
        <v>6.2999987399999995</v>
      </c>
      <c r="AO57" s="149">
        <f>IFERROR(up_RadSpec!$J$29*AO29,".")*$B$57</f>
        <v>2.6249994749999998E-4</v>
      </c>
      <c r="AP57" s="149">
        <f>IFERROR(up_RadSpec!$J$29*AP29,".")*$B$57</f>
        <v>2.6249994749999998E-2</v>
      </c>
      <c r="AQ57" s="149">
        <f>IFERROR(up_RadSpec!$J$29*AQ29,".")*$B$57</f>
        <v>6.2999987399999995</v>
      </c>
      <c r="AR57" s="149">
        <f>IFERROR(up_RadSpec!$J$29*AR29,".")*$B$57</f>
        <v>2.6249994749999998E-4</v>
      </c>
    </row>
    <row r="58" spans="1:44" x14ac:dyDescent="0.25">
      <c r="A58" s="148" t="s">
        <v>1081</v>
      </c>
      <c r="B58" s="141">
        <v>1</v>
      </c>
      <c r="C58" s="136">
        <f t="shared" ref="C58:F58" si="221">IFERROR(C16/$B58,0)</f>
        <v>3.6363636363636362</v>
      </c>
      <c r="D58" s="136">
        <f t="shared" si="221"/>
        <v>33989.90962986408</v>
      </c>
      <c r="E58" s="136">
        <f t="shared" si="221"/>
        <v>84144082.332761645</v>
      </c>
      <c r="F58" s="136">
        <f t="shared" si="221"/>
        <v>3.635974489512058</v>
      </c>
      <c r="G58" s="149">
        <f>IFERROR(up_RadSpec!$I$16*G16,".")*$B$58</f>
        <v>6.875</v>
      </c>
      <c r="H58" s="149">
        <f>IFERROR(up_RadSpec!$L$16*$H$16,".")*B58</f>
        <v>7.3551239977509683E-4</v>
      </c>
      <c r="I58" s="149">
        <f>IFERROR(up_RadSpec!$K$16*$I$16,".")*B58</f>
        <v>2.9710942596216545E-7</v>
      </c>
      <c r="J58" s="150">
        <f t="shared" si="39"/>
        <v>6.8757358095092007</v>
      </c>
      <c r="K58" s="136">
        <f t="shared" ref="K58" si="222">IFERROR(K16/$B58,0)</f>
        <v>84144082.332761645</v>
      </c>
      <c r="L58" s="136">
        <f t="shared" ref="L58:O58" si="223">IFERROR(L16/$B58,0)</f>
        <v>149857723.57723585</v>
      </c>
      <c r="M58" s="136">
        <f t="shared" si="223"/>
        <v>90025518.618175536</v>
      </c>
      <c r="N58" s="136">
        <f t="shared" si="223"/>
        <v>90490674.31850794</v>
      </c>
      <c r="O58" s="136">
        <f t="shared" si="223"/>
        <v>3504000000.0000005</v>
      </c>
      <c r="P58" s="149">
        <f>IFERROR(up_RadSpec!$K$16*$P$16,".")*$B$58</f>
        <v>2.9710942596216545E-7</v>
      </c>
      <c r="Q58" s="149">
        <f>IFERROR(up_RadSpec!$R$16*$Q$16,".")*$B$58</f>
        <v>1.6682490166824893E-7</v>
      </c>
      <c r="R58" s="149">
        <f>IFERROR(up_RadSpec!$S$16*$R$16,".")*$B$58</f>
        <v>2.7769903893619636E-7</v>
      </c>
      <c r="S58" s="149">
        <f>IFERROR(up_RadSpec!$T$16*$S$16,".")*$B$58</f>
        <v>2.7627156265854882E-7</v>
      </c>
      <c r="T58" s="149">
        <f>IFERROR(up_RadSpec!$P$16*$T$16,".")*$B$58</f>
        <v>7.134703196347031E-9</v>
      </c>
      <c r="U58" s="136">
        <f t="shared" ref="U58:W58" si="224">IFERROR(U16/$B58,0)</f>
        <v>0.10971428571428574</v>
      </c>
      <c r="V58" s="136">
        <f t="shared" si="224"/>
        <v>175.20000000000002</v>
      </c>
      <c r="W58" s="136">
        <f t="shared" si="224"/>
        <v>0.10964562309317062</v>
      </c>
      <c r="X58" s="149">
        <f>IFERROR(up_RadSpec!$L$16*X16,".")*$B$58</f>
        <v>227.86458333333329</v>
      </c>
      <c r="Y58" s="149">
        <f>IFERROR(up_RadSpec!$O$16*$Y$16,".")*$B$58</f>
        <v>0.14269406392694062</v>
      </c>
      <c r="Z58" s="150">
        <f t="shared" si="41"/>
        <v>228.00727739726022</v>
      </c>
      <c r="AA58" s="136">
        <f t="shared" ref="AA58:AC58" si="225">IFERROR(AA16/$B58,0)</f>
        <v>2.5000000000000001E-2</v>
      </c>
      <c r="AB58" s="136">
        <f t="shared" si="225"/>
        <v>438</v>
      </c>
      <c r="AC58" s="136">
        <f t="shared" si="225"/>
        <v>2.4998573140802463E-2</v>
      </c>
      <c r="AD58" s="149">
        <f>IFERROR(up_RadSpec!$M$16*AD16,".")*$B$58</f>
        <v>1000</v>
      </c>
      <c r="AE58" s="149">
        <f>IFERROR(up_RadSpec!$Q$16*AE16,".")*$B$58</f>
        <v>5.7077625570776253E-2</v>
      </c>
      <c r="AF58" s="150">
        <f t="shared" si="42"/>
        <v>1000.0570776255707</v>
      </c>
      <c r="AG58" s="136">
        <f t="shared" ref="AG58:AL58" si="226">IFERROR(AG16/$B58,0)</f>
        <v>0.2</v>
      </c>
      <c r="AH58" s="136">
        <f t="shared" si="226"/>
        <v>8.3333333333333339E-4</v>
      </c>
      <c r="AI58" s="136">
        <f t="shared" si="226"/>
        <v>20</v>
      </c>
      <c r="AJ58" s="136">
        <f t="shared" si="226"/>
        <v>0.2</v>
      </c>
      <c r="AK58" s="136">
        <f t="shared" si="226"/>
        <v>8.3333333333333339E-4</v>
      </c>
      <c r="AL58" s="136">
        <f t="shared" si="226"/>
        <v>20</v>
      </c>
      <c r="AM58" s="149">
        <f>IFERROR(up_RadSpec!$J$16*AM16,".")*$B$58</f>
        <v>125</v>
      </c>
      <c r="AN58" s="149">
        <f>IFERROR(up_RadSpec!$J$16*AN16,".")*$B$58</f>
        <v>30000</v>
      </c>
      <c r="AO58" s="149">
        <f>IFERROR(up_RadSpec!$J$16*AO16,".")*$B$58</f>
        <v>1.25</v>
      </c>
      <c r="AP58" s="149">
        <f>IFERROR(up_RadSpec!$J$16*AP16,".")*$B$58</f>
        <v>125</v>
      </c>
      <c r="AQ58" s="149">
        <f>IFERROR(up_RadSpec!$J$16*AQ16,".")*$B$58</f>
        <v>30000</v>
      </c>
      <c r="AR58" s="149">
        <f>IFERROR(up_RadSpec!$J$16*AR16,".")*$B$58</f>
        <v>1.25</v>
      </c>
    </row>
    <row r="59" spans="1:44" x14ac:dyDescent="0.25">
      <c r="A59" s="148" t="s">
        <v>1082</v>
      </c>
      <c r="B59" s="141">
        <v>1</v>
      </c>
      <c r="C59" s="136">
        <f t="shared" ref="C59:F59" si="227">IFERROR(C7/$B59,0)</f>
        <v>3.6363636363636362</v>
      </c>
      <c r="D59" s="136">
        <f t="shared" si="227"/>
        <v>33989.90962986408</v>
      </c>
      <c r="E59" s="136">
        <f t="shared" si="227"/>
        <v>10102.773722627735</v>
      </c>
      <c r="F59" s="136">
        <f t="shared" si="227"/>
        <v>3.6346665350399281</v>
      </c>
      <c r="G59" s="149">
        <f>IFERROR(up_RadSpec!$I$7*G7,".")*$B$59</f>
        <v>6.875</v>
      </c>
      <c r="H59" s="149">
        <f>IFERROR(up_RadSpec!$L$7*$H$7,".")*B59</f>
        <v>7.3551239977509683E-4</v>
      </c>
      <c r="I59" s="149">
        <f>IFERROR(up_RadSpec!$K$7*$I$7,".")*B59</f>
        <v>2.4745679440494775E-3</v>
      </c>
      <c r="J59" s="150">
        <f t="shared" si="39"/>
        <v>6.8782100803438242</v>
      </c>
      <c r="K59" s="136">
        <f t="shared" ref="K59" si="228">IFERROR(K7/$B59,0)</f>
        <v>10102.773722627735</v>
      </c>
      <c r="L59" s="136">
        <f t="shared" ref="L59:O59" si="229">IFERROR(L7/$B59,0)</f>
        <v>16072.268907563037</v>
      </c>
      <c r="M59" s="136">
        <f t="shared" si="229"/>
        <v>11775.000000000002</v>
      </c>
      <c r="N59" s="136">
        <f t="shared" si="229"/>
        <v>10831.849564583837</v>
      </c>
      <c r="O59" s="136">
        <f t="shared" si="229"/>
        <v>27504.66004583651</v>
      </c>
      <c r="P59" s="149">
        <f>IFERROR(up_RadSpec!$K$7*$P$7,".")*$B$59</f>
        <v>2.4745679440494775E-3</v>
      </c>
      <c r="Q59" s="149">
        <f>IFERROR(up_RadSpec!$R$7*$Q$7,".")*$B$59</f>
        <v>1.5554742235700083E-3</v>
      </c>
      <c r="R59" s="149">
        <f>IFERROR(up_RadSpec!$S$7*$R$7,".")*$B$59</f>
        <v>2.1231422505307851E-3</v>
      </c>
      <c r="S59" s="149">
        <f>IFERROR(up_RadSpec!$T$7*$S$7,".")*$B$59</f>
        <v>2.3080084200708256E-3</v>
      </c>
      <c r="T59" s="149">
        <f>IFERROR(up_RadSpec!$P$7*$T$7,".")*$B$59</f>
        <v>9.0893688408936915E-4</v>
      </c>
      <c r="U59" s="136">
        <f t="shared" ref="U59:W59" si="230">IFERROR(U7/$B59,0)</f>
        <v>0.10971428571428574</v>
      </c>
      <c r="V59" s="136">
        <f t="shared" si="230"/>
        <v>175.20000000000002</v>
      </c>
      <c r="W59" s="136">
        <f t="shared" si="230"/>
        <v>0.10964562309317062</v>
      </c>
      <c r="X59" s="149">
        <f>IFERROR(up_RadSpec!$L$7*X7,".")*$B$59</f>
        <v>227.86458333333329</v>
      </c>
      <c r="Y59" s="149">
        <f>IFERROR(up_RadSpec!$O$7*$Y$7,".")*$B$59</f>
        <v>0.14269406392694062</v>
      </c>
      <c r="Z59" s="150">
        <f t="shared" si="41"/>
        <v>228.00727739726022</v>
      </c>
      <c r="AA59" s="136">
        <f t="shared" ref="AA59:AC59" si="231">IFERROR(AA7/$B59,0)</f>
        <v>2.5000000000000001E-2</v>
      </c>
      <c r="AB59" s="136">
        <f t="shared" si="231"/>
        <v>438</v>
      </c>
      <c r="AC59" s="136">
        <f t="shared" si="231"/>
        <v>2.4998573140802463E-2</v>
      </c>
      <c r="AD59" s="149">
        <f>IFERROR(up_RadSpec!$M$7*AD7,".")*$B$59</f>
        <v>1000</v>
      </c>
      <c r="AE59" s="149">
        <f>IFERROR(up_RadSpec!$Q$7*AE7,".")*$B$59</f>
        <v>5.7077625570776253E-2</v>
      </c>
      <c r="AF59" s="150">
        <f t="shared" si="42"/>
        <v>1000.0570776255707</v>
      </c>
      <c r="AG59" s="136">
        <f t="shared" ref="AG59:AL59" si="232">IFERROR(AG7/$B59,0)</f>
        <v>0.2</v>
      </c>
      <c r="AH59" s="136">
        <f t="shared" si="232"/>
        <v>8.3333333333333339E-4</v>
      </c>
      <c r="AI59" s="136">
        <f t="shared" si="232"/>
        <v>20</v>
      </c>
      <c r="AJ59" s="136">
        <f t="shared" si="232"/>
        <v>0.2</v>
      </c>
      <c r="AK59" s="136">
        <f t="shared" si="232"/>
        <v>8.3333333333333339E-4</v>
      </c>
      <c r="AL59" s="136">
        <f t="shared" si="232"/>
        <v>20</v>
      </c>
      <c r="AM59" s="149">
        <f>IFERROR(up_RadSpec!$J$7*AM7,".")*$B$59</f>
        <v>125</v>
      </c>
      <c r="AN59" s="149">
        <f>IFERROR(up_RadSpec!$J$7*AN7,".")*$B$59</f>
        <v>30000</v>
      </c>
      <c r="AO59" s="149">
        <f>IFERROR(up_RadSpec!$J$7*AO7,".")*$B$59</f>
        <v>1.25</v>
      </c>
      <c r="AP59" s="149">
        <f>IFERROR(up_RadSpec!$J$7*AP7,".")*$B$59</f>
        <v>125</v>
      </c>
      <c r="AQ59" s="149">
        <f>IFERROR(up_RadSpec!$J$7*AQ7,".")*$B$59</f>
        <v>30000</v>
      </c>
      <c r="AR59" s="149">
        <f>IFERROR(up_RadSpec!$J$7*AR7,".")*$B$59</f>
        <v>1.25</v>
      </c>
    </row>
    <row r="60" spans="1:44" x14ac:dyDescent="0.25">
      <c r="A60" s="148" t="s">
        <v>1083</v>
      </c>
      <c r="B60" s="141">
        <v>1.9000000000000001E-8</v>
      </c>
      <c r="C60" s="136">
        <f t="shared" ref="C60:F60" si="233">IFERROR(C12/$B60,0)</f>
        <v>191387559.80861241</v>
      </c>
      <c r="D60" s="136">
        <f t="shared" si="233"/>
        <v>1788942612098.1094</v>
      </c>
      <c r="E60" s="136">
        <f t="shared" si="233"/>
        <v>412685600794.4389</v>
      </c>
      <c r="F60" s="136">
        <f t="shared" si="233"/>
        <v>191278388.66323081</v>
      </c>
      <c r="G60" s="149">
        <f>IFERROR(up_RadSpec!$I$12*G12,".")*$B$60</f>
        <v>1.3062500000000002E-7</v>
      </c>
      <c r="H60" s="149">
        <f>IFERROR(up_RadSpec!$L$12*$H$12,".")*B60</f>
        <v>1.3974735595726841E-11</v>
      </c>
      <c r="I60" s="149">
        <f>IFERROR(up_RadSpec!$K$12*$I$12,".")*B60</f>
        <v>6.0578803699169152E-11</v>
      </c>
      <c r="J60" s="150">
        <f t="shared" si="39"/>
        <v>1.3069955353929491E-7</v>
      </c>
      <c r="K60" s="136">
        <f t="shared" ref="K60" si="234">IFERROR(K12/$B60,0)</f>
        <v>412685600794.4389</v>
      </c>
      <c r="L60" s="136">
        <f t="shared" ref="L60:O60" si="235">IFERROR(L12/$B60,0)</f>
        <v>740384436116.85986</v>
      </c>
      <c r="M60" s="136">
        <f t="shared" si="235"/>
        <v>536843599983.05957</v>
      </c>
      <c r="N60" s="136">
        <f t="shared" si="235"/>
        <v>474107773158.67896</v>
      </c>
      <c r="O60" s="136">
        <f t="shared" si="235"/>
        <v>1278088077336.1978</v>
      </c>
      <c r="P60" s="149">
        <f>IFERROR(up_RadSpec!$K$12*$P$12,".")*$B$60</f>
        <v>6.0578803699169152E-11</v>
      </c>
      <c r="Q60" s="149">
        <f>IFERROR(up_RadSpec!$R$12*$Q$12,".")*$B$60</f>
        <v>3.3766241941982262E-11</v>
      </c>
      <c r="R60" s="149">
        <f>IFERROR(up_RadSpec!$S$12*$R$12,".")*$B$60</f>
        <v>4.6568497791142317E-11</v>
      </c>
      <c r="S60" s="149">
        <f>IFERROR(up_RadSpec!$T$12*$S$12,".")*$B$60</f>
        <v>5.2730626695784557E-11</v>
      </c>
      <c r="T60" s="149">
        <f>IFERROR(up_RadSpec!$P$12*$T$12,".")*$B$60</f>
        <v>1.9560467266156819E-11</v>
      </c>
      <c r="U60" s="136">
        <f t="shared" ref="U60:W60" si="236">IFERROR(U12/$B60,0)</f>
        <v>5774436.0902255643</v>
      </c>
      <c r="V60" s="136">
        <f t="shared" si="236"/>
        <v>9221052631.5789471</v>
      </c>
      <c r="W60" s="136">
        <f t="shared" si="236"/>
        <v>5770822.2680616109</v>
      </c>
      <c r="X60" s="149">
        <f>IFERROR(up_RadSpec!$L$12*X12,".")*$B$60</f>
        <v>4.3294270833333325E-6</v>
      </c>
      <c r="Y60" s="149">
        <f>IFERROR(up_RadSpec!$O$12*$Y$12,".")*$B$60</f>
        <v>2.7111872146118721E-9</v>
      </c>
      <c r="Z60" s="150">
        <f t="shared" si="41"/>
        <v>4.3321382705479445E-6</v>
      </c>
      <c r="AA60" s="136">
        <f t="shared" ref="AA60:AC60" si="237">IFERROR(AA12/$B60,0)</f>
        <v>1315789.4736842106</v>
      </c>
      <c r="AB60" s="136">
        <f t="shared" si="237"/>
        <v>23052631578.947369</v>
      </c>
      <c r="AC60" s="136">
        <f t="shared" si="237"/>
        <v>1315714.3758317085</v>
      </c>
      <c r="AD60" s="149">
        <f>IFERROR(up_RadSpec!$M$12*AD12,".")*$B$60</f>
        <v>1.9000000000000001E-5</v>
      </c>
      <c r="AE60" s="149">
        <f>IFERROR(up_RadSpec!$Q$12*AE12,".")*$B$60</f>
        <v>1.0844748858447489E-9</v>
      </c>
      <c r="AF60" s="150">
        <f t="shared" si="42"/>
        <v>1.9001084474885847E-5</v>
      </c>
      <c r="AG60" s="136">
        <f t="shared" ref="AG60:AL60" si="238">IFERROR(AG12/$B60,0)</f>
        <v>10526315.789473685</v>
      </c>
      <c r="AH60" s="136">
        <f t="shared" si="238"/>
        <v>43859.649122807015</v>
      </c>
      <c r="AI60" s="136">
        <f t="shared" si="238"/>
        <v>1052631578.9473684</v>
      </c>
      <c r="AJ60" s="136">
        <f t="shared" si="238"/>
        <v>10526315.789473685</v>
      </c>
      <c r="AK60" s="136">
        <f t="shared" si="238"/>
        <v>43859.649122807015</v>
      </c>
      <c r="AL60" s="136">
        <f t="shared" si="238"/>
        <v>1052631578.9473684</v>
      </c>
      <c r="AM60" s="149">
        <f>IFERROR(up_RadSpec!$J$12*AM12,".")*$B$60</f>
        <v>2.3750000000000001E-6</v>
      </c>
      <c r="AN60" s="149">
        <f>IFERROR(up_RadSpec!$J$12*AN12,".")*$B$60</f>
        <v>5.7000000000000009E-4</v>
      </c>
      <c r="AO60" s="149">
        <f>IFERROR(up_RadSpec!$J$12*AO12,".")*$B$60</f>
        <v>2.3750000000000001E-8</v>
      </c>
      <c r="AP60" s="149">
        <f>IFERROR(up_RadSpec!$J$12*AP12,".")*$B$60</f>
        <v>2.3750000000000001E-6</v>
      </c>
      <c r="AQ60" s="149">
        <f>IFERROR(up_RadSpec!$J$12*AQ12,".")*$B$60</f>
        <v>5.7000000000000009E-4</v>
      </c>
      <c r="AR60" s="149">
        <f>IFERROR(up_RadSpec!$J$12*AR12,".")*$B$60</f>
        <v>2.3750000000000001E-8</v>
      </c>
    </row>
    <row r="61" spans="1:44" x14ac:dyDescent="0.25">
      <c r="A61" s="148" t="s">
        <v>1084</v>
      </c>
      <c r="B61" s="141">
        <v>1</v>
      </c>
      <c r="C61" s="136">
        <f t="shared" ref="C61:F61" si="239">IFERROR(C18/$B61,0)</f>
        <v>3.6363636363636362</v>
      </c>
      <c r="D61" s="136">
        <f t="shared" si="239"/>
        <v>33989.90962986408</v>
      </c>
      <c r="E61" s="136">
        <f t="shared" si="239"/>
        <v>3940.1015479876173</v>
      </c>
      <c r="F61" s="136">
        <f t="shared" si="239"/>
        <v>3.6326224175412216</v>
      </c>
      <c r="G61" s="149">
        <f>IFERROR(up_RadSpec!$I$18*G18,".")*$B$61</f>
        <v>6.875</v>
      </c>
      <c r="H61" s="149">
        <f>IFERROR(up_RadSpec!$L$18*$H$18,".")*B61</f>
        <v>7.3551239977509683E-4</v>
      </c>
      <c r="I61" s="149">
        <f>IFERROR(up_RadSpec!$K$18*$I$18,".")*B61</f>
        <v>6.3450141311125838E-3</v>
      </c>
      <c r="J61" s="150">
        <f t="shared" si="39"/>
        <v>6.8820805265308875</v>
      </c>
      <c r="K61" s="136">
        <f t="shared" ref="K61" si="240">IFERROR(K18/$B61,0)</f>
        <v>3940.1015479876173</v>
      </c>
      <c r="L61" s="136">
        <f t="shared" ref="L61:O61" si="241">IFERROR(L18/$B61,0)</f>
        <v>7796.3172804532587</v>
      </c>
      <c r="M61" s="136">
        <f t="shared" si="241"/>
        <v>5459.7264747907748</v>
      </c>
      <c r="N61" s="136">
        <f t="shared" si="241"/>
        <v>4523.4819879579563</v>
      </c>
      <c r="O61" s="136">
        <f t="shared" si="241"/>
        <v>13252.30769230769</v>
      </c>
      <c r="P61" s="149">
        <f>IFERROR(up_RadSpec!$K$18*$P$18,".")*$B$61</f>
        <v>6.3450141311125838E-3</v>
      </c>
      <c r="Q61" s="149">
        <f>IFERROR(up_RadSpec!$R$18*$Q$18,".")*$B$61</f>
        <v>3.2066422005014349E-3</v>
      </c>
      <c r="R61" s="149">
        <f>IFERROR(up_RadSpec!$S$18*$R$18,".")*$B$61</f>
        <v>4.5789839684153844E-3</v>
      </c>
      <c r="S61" s="149">
        <f>IFERROR(up_RadSpec!$T$18*$S$18,".")*$B$61</f>
        <v>5.5267159384193316E-3</v>
      </c>
      <c r="T61" s="149">
        <f>IFERROR(up_RadSpec!$P$18*$T$18,".")*$B$61</f>
        <v>1.8864638959832833E-3</v>
      </c>
      <c r="U61" s="136">
        <f t="shared" ref="U61:W61" si="242">IFERROR(U18/$B61,0)</f>
        <v>0.10971428571428574</v>
      </c>
      <c r="V61" s="136">
        <f t="shared" si="242"/>
        <v>175.20000000000002</v>
      </c>
      <c r="W61" s="136">
        <f t="shared" si="242"/>
        <v>0.10964562309317062</v>
      </c>
      <c r="X61" s="149">
        <f>IFERROR(up_RadSpec!$L$18*X18,".")*$B$61</f>
        <v>227.86458333333329</v>
      </c>
      <c r="Y61" s="149">
        <f>IFERROR(up_RadSpec!$O$18*$Y$18,".")*$B$61</f>
        <v>0.14269406392694062</v>
      </c>
      <c r="Z61" s="150">
        <f t="shared" si="41"/>
        <v>228.00727739726022</v>
      </c>
      <c r="AA61" s="136">
        <f t="shared" ref="AA61:AC61" si="243">IFERROR(AA18/$B61,0)</f>
        <v>2.5000000000000001E-2</v>
      </c>
      <c r="AB61" s="136">
        <f t="shared" si="243"/>
        <v>438</v>
      </c>
      <c r="AC61" s="136">
        <f t="shared" si="243"/>
        <v>2.4998573140802463E-2</v>
      </c>
      <c r="AD61" s="149">
        <f>IFERROR(up_RadSpec!$M$18*AD18,".")*$B$61</f>
        <v>1000</v>
      </c>
      <c r="AE61" s="149">
        <f>IFERROR(up_RadSpec!$Q$18*AE18,".")*$B$61</f>
        <v>5.7077625570776253E-2</v>
      </c>
      <c r="AF61" s="150">
        <f t="shared" si="42"/>
        <v>1000.0570776255707</v>
      </c>
      <c r="AG61" s="136">
        <f t="shared" ref="AG61:AL61" si="244">IFERROR(AG18/$B61,0)</f>
        <v>0.2</v>
      </c>
      <c r="AH61" s="136">
        <f t="shared" si="244"/>
        <v>8.3333333333333339E-4</v>
      </c>
      <c r="AI61" s="136">
        <f t="shared" si="244"/>
        <v>20</v>
      </c>
      <c r="AJ61" s="136">
        <f t="shared" si="244"/>
        <v>0.2</v>
      </c>
      <c r="AK61" s="136">
        <f t="shared" si="244"/>
        <v>8.3333333333333339E-4</v>
      </c>
      <c r="AL61" s="136">
        <f t="shared" si="244"/>
        <v>20</v>
      </c>
      <c r="AM61" s="149">
        <f>IFERROR(up_RadSpec!$J$18*AM18,".")*$B$61</f>
        <v>125</v>
      </c>
      <c r="AN61" s="149">
        <f>IFERROR(up_RadSpec!$J$18*AN18,".")*$B$61</f>
        <v>30000</v>
      </c>
      <c r="AO61" s="149">
        <f>IFERROR(up_RadSpec!$J$18*AO18,".")*$B$61</f>
        <v>1.25</v>
      </c>
      <c r="AP61" s="149">
        <f>IFERROR(up_RadSpec!$J$18*AP18,".")*$B$61</f>
        <v>125</v>
      </c>
      <c r="AQ61" s="149">
        <f>IFERROR(up_RadSpec!$J$18*AQ18,".")*$B$61</f>
        <v>30000</v>
      </c>
      <c r="AR61" s="149">
        <f>IFERROR(up_RadSpec!$J$18*AR18,".")*$B$61</f>
        <v>1.25</v>
      </c>
    </row>
    <row r="62" spans="1:44" x14ac:dyDescent="0.25">
      <c r="A62" s="148" t="s">
        <v>1085</v>
      </c>
      <c r="B62" s="141">
        <v>1.339E-6</v>
      </c>
      <c r="C62" s="136">
        <f t="shared" ref="C62:F62" si="245">IFERROR(C27/$B62,0)</f>
        <v>2715730.8710706769</v>
      </c>
      <c r="D62" s="136">
        <f t="shared" si="245"/>
        <v>25384547893.849201</v>
      </c>
      <c r="E62" s="136">
        <f t="shared" si="245"/>
        <v>4829110388.3899117</v>
      </c>
      <c r="F62" s="136">
        <f t="shared" si="245"/>
        <v>2713914.3116539875</v>
      </c>
      <c r="G62" s="149">
        <f>IFERROR(up_RadSpec!$I$27*G27,".")*$B$62</f>
        <v>9.2056250000000005E-6</v>
      </c>
      <c r="H62" s="149">
        <f>IFERROR(up_RadSpec!$L$27*$H$27,".")*B62</f>
        <v>9.8485110329885471E-10</v>
      </c>
      <c r="I62" s="149">
        <f>IFERROR(up_RadSpec!$K$27*$I$27,".")*B62</f>
        <v>5.1769369489056818E-9</v>
      </c>
      <c r="J62" s="150">
        <f t="shared" si="39"/>
        <v>9.2117867880522039E-6</v>
      </c>
      <c r="K62" s="136">
        <f t="shared" ref="K62" si="246">IFERROR(K27/$B62,0)</f>
        <v>4829110388.3899117</v>
      </c>
      <c r="L62" s="136">
        <f t="shared" ref="L62:O62" si="247">IFERROR(L27/$B62,0)</f>
        <v>14323965252.938181</v>
      </c>
      <c r="M62" s="136">
        <f t="shared" si="247"/>
        <v>8781667810.7940254</v>
      </c>
      <c r="N62" s="136">
        <f t="shared" si="247"/>
        <v>6388324075.2349977</v>
      </c>
      <c r="O62" s="136">
        <f t="shared" si="247"/>
        <v>44805111773.721016</v>
      </c>
      <c r="P62" s="149">
        <f>IFERROR(up_RadSpec!$K$27*$P$27,".")*$B$62</f>
        <v>5.1769369489056818E-9</v>
      </c>
      <c r="Q62" s="149">
        <f>IFERROR(up_RadSpec!$R$27*$Q$27,".")*$B$62</f>
        <v>1.7453267694063915E-9</v>
      </c>
      <c r="R62" s="149">
        <f>IFERROR(up_RadSpec!$S$27*$R$27,".")*$B$62</f>
        <v>2.8468396366885054E-9</v>
      </c>
      <c r="S62" s="149">
        <f>IFERROR(up_RadSpec!$T$27*$S$27,".")*$B$62</f>
        <v>3.9133894438629213E-9</v>
      </c>
      <c r="T62" s="149">
        <f>IFERROR(up_RadSpec!$P$27*$T$27,".")*$B$62</f>
        <v>5.5797204850770933E-10</v>
      </c>
      <c r="U62" s="136">
        <f t="shared" ref="U62:W62" si="248">IFERROR(U27/$B62,0)</f>
        <v>81937.479995732443</v>
      </c>
      <c r="V62" s="136">
        <f t="shared" si="248"/>
        <v>130843913.36818522</v>
      </c>
      <c r="W62" s="136">
        <f t="shared" si="248"/>
        <v>81886.200965773431</v>
      </c>
      <c r="X62" s="149">
        <f>IFERROR(up_RadSpec!$L$27*X27,".")*$B$62</f>
        <v>3.0511067708333329E-4</v>
      </c>
      <c r="Y62" s="149">
        <f>IFERROR(up_RadSpec!$O$27*$Y$27,".")*$B$62</f>
        <v>1.9106735159817348E-7</v>
      </c>
      <c r="Z62" s="150">
        <f t="shared" si="41"/>
        <v>3.0530174443493146E-4</v>
      </c>
      <c r="AA62" s="136">
        <f t="shared" ref="AA62:AC62" si="249">IFERROR(AA27/$B62,0)</f>
        <v>18670.649738610904</v>
      </c>
      <c r="AB62" s="136">
        <f t="shared" si="249"/>
        <v>327109783.42046303</v>
      </c>
      <c r="AC62" s="136">
        <f t="shared" si="249"/>
        <v>18669.584123078763</v>
      </c>
      <c r="AD62" s="149">
        <f>IFERROR(up_RadSpec!$M$27*AD27,".")*$B$62</f>
        <v>1.3389999999999999E-3</v>
      </c>
      <c r="AE62" s="149">
        <f>IFERROR(up_RadSpec!$Q$27*AE27,".")*$B$62</f>
        <v>7.6426940639269405E-8</v>
      </c>
      <c r="AF62" s="150">
        <f t="shared" si="42"/>
        <v>1.3390764269406391E-3</v>
      </c>
      <c r="AG62" s="136">
        <f t="shared" ref="AG62:AL62" si="250">IFERROR(AG27/$B62,0)</f>
        <v>149365.19790888723</v>
      </c>
      <c r="AH62" s="136">
        <f t="shared" si="250"/>
        <v>622.3549912870302</v>
      </c>
      <c r="AI62" s="136">
        <f t="shared" si="250"/>
        <v>14936519.790888723</v>
      </c>
      <c r="AJ62" s="136">
        <f t="shared" si="250"/>
        <v>149365.19790888723</v>
      </c>
      <c r="AK62" s="136">
        <f t="shared" si="250"/>
        <v>622.3549912870302</v>
      </c>
      <c r="AL62" s="136">
        <f t="shared" si="250"/>
        <v>14936519.790888723</v>
      </c>
      <c r="AM62" s="149">
        <f>IFERROR(up_RadSpec!$J$27*AM27,".")*$B$62</f>
        <v>1.6737499999999999E-4</v>
      </c>
      <c r="AN62" s="149">
        <f>IFERROR(up_RadSpec!$J$27*AN27,".")*$B$62</f>
        <v>4.0169999999999997E-2</v>
      </c>
      <c r="AO62" s="149">
        <f>IFERROR(up_RadSpec!$J$27*AO27,".")*$B$62</f>
        <v>1.6737500000000001E-6</v>
      </c>
      <c r="AP62" s="149">
        <f>IFERROR(up_RadSpec!$J$27*AP27,".")*$B$62</f>
        <v>1.6737499999999999E-4</v>
      </c>
      <c r="AQ62" s="149">
        <f>IFERROR(up_RadSpec!$J$27*AQ27,".")*$B$62</f>
        <v>4.0169999999999997E-2</v>
      </c>
      <c r="AR62" s="149">
        <f>IFERROR(up_RadSpec!$J$27*AR27,".")*$B$62</f>
        <v>1.6737500000000001E-6</v>
      </c>
    </row>
    <row r="63" spans="1:44" x14ac:dyDescent="0.25">
      <c r="A63" s="145" t="s">
        <v>23</v>
      </c>
      <c r="B63" s="145" t="s">
        <v>1221</v>
      </c>
      <c r="C63" s="134">
        <f>1/SUM(1/C64,1/C65,1/C66,1/C67,1/C68,1/C69,1/C70,1/C71,1/C72,1/C73,1/C74,1/C75,1/C76)</f>
        <v>0.45454537738637685</v>
      </c>
      <c r="D63" s="134">
        <f>1/SUM(1/D64,1/D65,1/D66,1/D67,1/D68,1/D69,1/D70,1/D71,1/D72,1/D73,1/D74,1/D75,1/D76)</f>
        <v>4248.7379825097378</v>
      </c>
      <c r="E63" s="134">
        <f>1/SUM(1/E64,1/E66,1/E68,1/E69,1/E70,1/E71,1/E72,1/E73,1/E74,1/E75,1/E76)</f>
        <v>792.22102336171133</v>
      </c>
      <c r="F63" s="134">
        <f>1/SUM(1/F64,1/F65,1/F66,1/F67,1/F68,1/F69,1/F70,1/F71,1/F72,1/F73,1/F74,1/F75,1/F76)</f>
        <v>0.4542361586499013</v>
      </c>
      <c r="G63" s="146">
        <f t="shared" ref="G63" si="251">SUM(G64:G76)</f>
        <v>55.000009336249995</v>
      </c>
      <c r="H63" s="146">
        <f t="shared" ref="H63" si="252">SUM(H64:H76)</f>
        <v>5.8841001970266127E-3</v>
      </c>
      <c r="I63" s="146">
        <f t="shared" ref="I63" si="253">SUM(I64:I76)</f>
        <v>3.1556849998646816E-2</v>
      </c>
      <c r="J63" s="147">
        <f t="shared" si="39"/>
        <v>55.037450286445669</v>
      </c>
      <c r="K63" s="134">
        <f>1/SUM(1/K64,1/K66,1/K68,1/K69,1/K70,1/K71,1/K72,1/K73,1/K74,1/K75,1/K76)</f>
        <v>792.22102336171133</v>
      </c>
      <c r="L63" s="134">
        <f t="shared" ref="L63:O63" si="254">1/SUM(1/L64,1/L66,1/L68,1/L69,1/L70,1/L71,1/L72,1/L73,1/L74,1/L75,1/L76)</f>
        <v>1509.1737759060086</v>
      </c>
      <c r="M63" s="134">
        <f t="shared" si="254"/>
        <v>1074.7168570933093</v>
      </c>
      <c r="N63" s="134">
        <f t="shared" si="254"/>
        <v>916.34572057342518</v>
      </c>
      <c r="O63" s="134">
        <f t="shared" si="254"/>
        <v>2649.7890751002437</v>
      </c>
      <c r="P63" s="146">
        <f t="shared" ref="P63" si="255">SUM(P64:P76)</f>
        <v>3.1556849998646816E-2</v>
      </c>
      <c r="Q63" s="146">
        <f t="shared" ref="Q63" si="256">SUM(Q64:Q76)</f>
        <v>1.656535542766879E-2</v>
      </c>
      <c r="R63" s="146">
        <f t="shared" ref="R63" si="257">SUM(R64:R76)</f>
        <v>2.3261940887030718E-2</v>
      </c>
      <c r="S63" s="146">
        <f t="shared" ref="S63" si="258">SUM(S64:S76)</f>
        <v>2.7282279426541819E-2</v>
      </c>
      <c r="T63" s="146">
        <f t="shared" ref="T63" si="259">SUM(T64:T76)</f>
        <v>9.4347132135618114E-3</v>
      </c>
      <c r="U63" s="134">
        <f>1/SUM(1/U64,1/U65,1/U66,1/U67,1/U68,1/U69,1/U70,1/U71,1/U72,1/U73,1/U74,1/U75,1/U76)</f>
        <v>1.3714283386286111E-2</v>
      </c>
      <c r="V63" s="134">
        <f>1/SUM(1/V64,1/V65,1/V66,1/V67,1/V68,1/V69,1/V70,1/V71,1/V72,1/V73,1/V74,1/V75,1/V76)</f>
        <v>21.899996282475634</v>
      </c>
      <c r="W63" s="134">
        <f>1/SUM(1/W64,1/W65,1/W66,1/W67,1/W68,1/W69,1/W70,1/W71,1/W72,1/W73,1/W74,1/W75,1/W76)</f>
        <v>1.3705700560103659E-2</v>
      </c>
      <c r="X63" s="146">
        <f t="shared" ref="X63" si="260">SUM(X64:X76)</f>
        <v>1822.9169761067703</v>
      </c>
      <c r="Y63" s="146">
        <f t="shared" ref="Y63" si="261">SUM(Y64:Y76)</f>
        <v>1.1415527051940635</v>
      </c>
      <c r="Z63" s="147">
        <f t="shared" si="41"/>
        <v>1824.0585288119644</v>
      </c>
      <c r="AA63" s="134">
        <f>1/SUM(1/AA64,1/AA65,1/AA66,1/AA67,1/AA68,1/AA69,1/AA70,1/AA71,1/AA72,1/AA73,1/AA74,1/AA75,1/AA76)</f>
        <v>3.1249994695313399E-3</v>
      </c>
      <c r="AB63" s="134">
        <f>1/SUM(1/AB64,1/AB65,1/AB66,1/AB67,1/AB68,1/AB69,1/AB70,1/AB71,1/AB72,1/AB73,1/AB74,1/AB75,1/AB76)</f>
        <v>54.749990706189081</v>
      </c>
      <c r="AC63" s="134">
        <f>1/SUM(1/AC64,1/AC65,1/AC66,1/AC67,1/AC68,1/AC69,1/AC70,1/AC71,1/AC72,1/AC73,1/AC74,1/AC75,1/AC76)</f>
        <v>3.1248211121619237E-3</v>
      </c>
      <c r="AD63" s="146">
        <f t="shared" ref="AD63" si="262">SUM(AD64:AD76)</f>
        <v>8000.0013579999995</v>
      </c>
      <c r="AE63" s="146">
        <f t="shared" ref="AE63" si="263">SUM(AE64:AE76)</f>
        <v>0.45662108207762553</v>
      </c>
      <c r="AF63" s="147">
        <f t="shared" si="42"/>
        <v>8000.4579790820771</v>
      </c>
      <c r="AG63" s="134">
        <f t="shared" ref="AG63:AL63" si="264">1/SUM(1/AG64,1/AG65,1/AG66,1/AG67,1/AG68,1/AG69,1/AG70,1/AG71,1/AG72,1/AG73,1/AG74,1/AG75,1/AG76)</f>
        <v>2.4999995756250719E-2</v>
      </c>
      <c r="AH63" s="134">
        <f t="shared" si="264"/>
        <v>1.0416664898437799E-4</v>
      </c>
      <c r="AI63" s="134">
        <f t="shared" si="264"/>
        <v>2.4999995756250724</v>
      </c>
      <c r="AJ63" s="134">
        <f t="shared" si="264"/>
        <v>2.4999995756250719E-2</v>
      </c>
      <c r="AK63" s="134">
        <f t="shared" si="264"/>
        <v>1.0416664898437799E-4</v>
      </c>
      <c r="AL63" s="134">
        <f t="shared" si="264"/>
        <v>2.4999995756250724</v>
      </c>
      <c r="AM63" s="146">
        <f t="shared" ref="AM63" si="265">SUM(AM64:AM76)</f>
        <v>1000.0001697499999</v>
      </c>
      <c r="AN63" s="146">
        <f t="shared" ref="AN63" si="266">SUM(AN64:AN76)</f>
        <v>240000.04074</v>
      </c>
      <c r="AO63" s="146">
        <f t="shared" ref="AO63" si="267">SUM(AO64:AO76)</f>
        <v>10.0000016975</v>
      </c>
      <c r="AP63" s="146">
        <f t="shared" ref="AP63" si="268">SUM(AP64:AP76)</f>
        <v>1000.0001697499999</v>
      </c>
      <c r="AQ63" s="146">
        <f t="shared" ref="AQ63" si="269">SUM(AQ64:AQ76)</f>
        <v>240000.04074</v>
      </c>
      <c r="AR63" s="146">
        <f t="shared" ref="AR63" si="270">SUM(AR64:AR76)</f>
        <v>10.0000016975</v>
      </c>
    </row>
    <row r="64" spans="1:44" x14ac:dyDescent="0.25">
      <c r="A64" s="148" t="s">
        <v>1075</v>
      </c>
      <c r="B64" s="141">
        <v>1</v>
      </c>
      <c r="C64" s="136">
        <f t="shared" ref="C64:F64" si="271">IFERROR(C25/$B50,0)</f>
        <v>3.6363636363636362</v>
      </c>
      <c r="D64" s="136">
        <f t="shared" si="271"/>
        <v>33989.90962986408</v>
      </c>
      <c r="E64" s="136">
        <f t="shared" si="271"/>
        <v>5628.9156626506046</v>
      </c>
      <c r="F64" s="136">
        <f t="shared" si="271"/>
        <v>3.6336275200525825</v>
      </c>
      <c r="G64" s="149">
        <f>IFERROR(up_RadSpec!$I$25*G25,".")*$B$64</f>
        <v>6.875</v>
      </c>
      <c r="H64" s="149">
        <f>IFERROR(up_RadSpec!$L$25*$H$25,".")*B64</f>
        <v>7.3551239977509683E-4</v>
      </c>
      <c r="I64" s="149">
        <f>IFERROR(up_RadSpec!$K$25*$I$25,".")*B64</f>
        <v>4.4413527397260261E-3</v>
      </c>
      <c r="J64" s="150">
        <f t="shared" si="39"/>
        <v>6.880176865139501</v>
      </c>
      <c r="K64" s="136">
        <f t="shared" ref="K64" si="272">IFERROR(K25/$B50,0)</f>
        <v>5628.9156626506046</v>
      </c>
      <c r="L64" s="136">
        <f t="shared" ref="L64:O64" si="273">IFERROR(L25/$B50,0)</f>
        <v>10080.219880897846</v>
      </c>
      <c r="M64" s="136">
        <f t="shared" si="273"/>
        <v>7230.5963699222157</v>
      </c>
      <c r="N64" s="136">
        <f t="shared" si="273"/>
        <v>6456.740547588005</v>
      </c>
      <c r="O64" s="136">
        <f t="shared" si="273"/>
        <v>18072.727272727276</v>
      </c>
      <c r="P64" s="149">
        <f>IFERROR(up_RadSpec!$K$25*$P$25,".")*$B$64</f>
        <v>4.4413527397260261E-3</v>
      </c>
      <c r="Q64" s="149">
        <f>IFERROR(up_RadSpec!$R$25*$Q$25,".")*$B$64</f>
        <v>2.4801046301951546E-3</v>
      </c>
      <c r="R64" s="149">
        <f>IFERROR(up_RadSpec!$S$25*$R$25,".")*$B$64</f>
        <v>3.4575294652035658E-3</v>
      </c>
      <c r="S64" s="149">
        <f>IFERROR(up_RadSpec!$T$25*$S$25,".")*$B$64</f>
        <v>3.8719226544326698E-3</v>
      </c>
      <c r="T64" s="149">
        <f>IFERROR(up_RadSpec!$P$25*$T$25,".")*$B$64</f>
        <v>1.3832997987927565E-3</v>
      </c>
      <c r="U64" s="136">
        <f t="shared" ref="U64:W64" si="274">IFERROR(U25/$B50,0)</f>
        <v>0.10971428571428574</v>
      </c>
      <c r="V64" s="136">
        <f t="shared" si="274"/>
        <v>175.20000000000002</v>
      </c>
      <c r="W64" s="136">
        <f t="shared" si="274"/>
        <v>0.10964562309317062</v>
      </c>
      <c r="X64" s="149">
        <f>IFERROR(up_RadSpec!$L$25*X25,".")*$B$64</f>
        <v>227.86458333333329</v>
      </c>
      <c r="Y64" s="149">
        <f>IFERROR(up_RadSpec!$O$25*$Y$25,".")*$B$64</f>
        <v>0.14269406392694062</v>
      </c>
      <c r="Z64" s="150">
        <f t="shared" si="41"/>
        <v>228.00727739726022</v>
      </c>
      <c r="AA64" s="136">
        <f t="shared" ref="AA64:AC64" si="275">IFERROR(AA25/$B50,0)</f>
        <v>2.5000000000000001E-2</v>
      </c>
      <c r="AB64" s="136">
        <f t="shared" si="275"/>
        <v>438</v>
      </c>
      <c r="AC64" s="136">
        <f t="shared" si="275"/>
        <v>2.4998573140802463E-2</v>
      </c>
      <c r="AD64" s="149">
        <f>IFERROR(up_RadSpec!$M$25*AD25,".")*$B$64</f>
        <v>1000</v>
      </c>
      <c r="AE64" s="149">
        <f>IFERROR(up_RadSpec!$Q$25*AE25,".")*$B$64</f>
        <v>5.7077625570776253E-2</v>
      </c>
      <c r="AF64" s="150">
        <f t="shared" si="42"/>
        <v>1000.0570776255707</v>
      </c>
      <c r="AG64" s="136">
        <f t="shared" ref="AG64:AL64" si="276">IFERROR(AG25/$B50,0)</f>
        <v>0.2</v>
      </c>
      <c r="AH64" s="136">
        <f t="shared" si="276"/>
        <v>8.3333333333333339E-4</v>
      </c>
      <c r="AI64" s="136">
        <f t="shared" si="276"/>
        <v>20</v>
      </c>
      <c r="AJ64" s="136">
        <f t="shared" si="276"/>
        <v>0.2</v>
      </c>
      <c r="AK64" s="136">
        <f t="shared" si="276"/>
        <v>8.3333333333333339E-4</v>
      </c>
      <c r="AL64" s="136">
        <f t="shared" si="276"/>
        <v>20</v>
      </c>
      <c r="AM64" s="149">
        <f>IFERROR(up_RadSpec!$J$25*AM25,".")*$B$64</f>
        <v>125</v>
      </c>
      <c r="AN64" s="149">
        <f>IFERROR(up_RadSpec!$J$25*AN25,".")*$B$64</f>
        <v>30000</v>
      </c>
      <c r="AO64" s="149">
        <f>IFERROR(up_RadSpec!$J$25*AO25,".")*$B$64</f>
        <v>1.25</v>
      </c>
      <c r="AP64" s="149">
        <f>IFERROR(up_RadSpec!$J$25*AP25,".")*$B$64</f>
        <v>125</v>
      </c>
      <c r="AQ64" s="149">
        <f>IFERROR(up_RadSpec!$J$25*AQ25,".")*$B$64</f>
        <v>30000</v>
      </c>
      <c r="AR64" s="149">
        <f>IFERROR(up_RadSpec!$J$25*AR25,".")*$B$64</f>
        <v>1.25</v>
      </c>
    </row>
    <row r="65" spans="1:44" x14ac:dyDescent="0.25">
      <c r="A65" s="148" t="s">
        <v>1061</v>
      </c>
      <c r="B65" s="141">
        <v>1</v>
      </c>
      <c r="C65" s="136">
        <f t="shared" ref="C65:F65" si="277">IFERROR(C21/$B51,0)</f>
        <v>3.6363636363636362</v>
      </c>
      <c r="D65" s="136">
        <f t="shared" si="277"/>
        <v>33989.90962986408</v>
      </c>
      <c r="E65" s="136">
        <f t="shared" si="277"/>
        <v>0</v>
      </c>
      <c r="F65" s="136">
        <f t="shared" si="277"/>
        <v>3.6359746466272194</v>
      </c>
      <c r="G65" s="149">
        <f>IFERROR(up_RadSpec!$I$21*G21,".")*$B$65</f>
        <v>6.875</v>
      </c>
      <c r="H65" s="149">
        <f>IFERROR(up_RadSpec!$L$21*$H$21,".")*B65</f>
        <v>7.3551239977509683E-4</v>
      </c>
      <c r="I65" s="149">
        <f>IFERROR(up_RadSpec!$K$21*$I$21,".")*B65</f>
        <v>0</v>
      </c>
      <c r="J65" s="150">
        <f t="shared" si="39"/>
        <v>6.8757355123997748</v>
      </c>
      <c r="K65" s="136">
        <f t="shared" ref="K65" si="278">IFERROR(K21/$B51,0)</f>
        <v>0</v>
      </c>
      <c r="L65" s="136">
        <f t="shared" ref="L65:O65" si="279">IFERROR(L21/$B51,0)</f>
        <v>0</v>
      </c>
      <c r="M65" s="136">
        <f t="shared" si="279"/>
        <v>0</v>
      </c>
      <c r="N65" s="136">
        <f t="shared" si="279"/>
        <v>0</v>
      </c>
      <c r="O65" s="136">
        <f t="shared" si="279"/>
        <v>0</v>
      </c>
      <c r="P65" s="149">
        <f>IFERROR(up_RadSpec!$K$21*$P$21,".")*$B$65</f>
        <v>0</v>
      </c>
      <c r="Q65" s="149">
        <f>IFERROR(up_RadSpec!$R$21*$Q$21,".")*$B$65</f>
        <v>0</v>
      </c>
      <c r="R65" s="149">
        <f>IFERROR(up_RadSpec!$S$21*$R$21,".")*$B$65</f>
        <v>0</v>
      </c>
      <c r="S65" s="149">
        <f>IFERROR(up_RadSpec!$T$21*$S$21,".")*$B$65</f>
        <v>0</v>
      </c>
      <c r="T65" s="149">
        <f>IFERROR(up_RadSpec!$P$21*$T$21,".")*$B$65</f>
        <v>0</v>
      </c>
      <c r="U65" s="136">
        <f t="shared" ref="U65:W65" si="280">IFERROR(U21/$B51,0)</f>
        <v>0.10971428571428574</v>
      </c>
      <c r="V65" s="136">
        <f t="shared" si="280"/>
        <v>175.20000000000002</v>
      </c>
      <c r="W65" s="136">
        <f t="shared" si="280"/>
        <v>0.10964562309317062</v>
      </c>
      <c r="X65" s="149">
        <f>IFERROR(up_RadSpec!$L$21*X21,".")*$B$65</f>
        <v>227.86458333333329</v>
      </c>
      <c r="Y65" s="149">
        <f>IFERROR(up_RadSpec!$O$21*$Y$21,".")*$B$65</f>
        <v>0.14269406392694062</v>
      </c>
      <c r="Z65" s="150">
        <f t="shared" si="41"/>
        <v>228.00727739726022</v>
      </c>
      <c r="AA65" s="136">
        <f t="shared" ref="AA65:AC65" si="281">IFERROR(AA21/$B51,0)</f>
        <v>2.5000000000000001E-2</v>
      </c>
      <c r="AB65" s="136">
        <f t="shared" si="281"/>
        <v>438</v>
      </c>
      <c r="AC65" s="136">
        <f t="shared" si="281"/>
        <v>2.4998573140802463E-2</v>
      </c>
      <c r="AD65" s="149">
        <f>IFERROR(up_RadSpec!$M$21*AD21,".")*$B$65</f>
        <v>1000</v>
      </c>
      <c r="AE65" s="149">
        <f>IFERROR(up_RadSpec!$Q$21*AE21,".")*$B$65</f>
        <v>5.7077625570776253E-2</v>
      </c>
      <c r="AF65" s="150">
        <f t="shared" si="42"/>
        <v>1000.0570776255707</v>
      </c>
      <c r="AG65" s="136">
        <f t="shared" ref="AG65:AL65" si="282">IFERROR(AG21/$B51,0)</f>
        <v>0.2</v>
      </c>
      <c r="AH65" s="136">
        <f t="shared" si="282"/>
        <v>8.3333333333333339E-4</v>
      </c>
      <c r="AI65" s="136">
        <f t="shared" si="282"/>
        <v>20</v>
      </c>
      <c r="AJ65" s="136">
        <f t="shared" si="282"/>
        <v>0.2</v>
      </c>
      <c r="AK65" s="136">
        <f t="shared" si="282"/>
        <v>8.3333333333333339E-4</v>
      </c>
      <c r="AL65" s="136">
        <f t="shared" si="282"/>
        <v>20</v>
      </c>
      <c r="AM65" s="149">
        <f>IFERROR(up_RadSpec!$J$21*AM21,".")*$B$65</f>
        <v>125</v>
      </c>
      <c r="AN65" s="149">
        <f>IFERROR(up_RadSpec!$J$21*AN21,".")*$B$65</f>
        <v>30000</v>
      </c>
      <c r="AO65" s="149">
        <f>IFERROR(up_RadSpec!$J$21*AO21,".")*$B$65</f>
        <v>1.25</v>
      </c>
      <c r="AP65" s="149">
        <f>IFERROR(up_RadSpec!$J$21*AP21,".")*$B$65</f>
        <v>125</v>
      </c>
      <c r="AQ65" s="149">
        <f>IFERROR(up_RadSpec!$J$21*AQ21,".")*$B$65</f>
        <v>30000</v>
      </c>
      <c r="AR65" s="149">
        <f>IFERROR(up_RadSpec!$J$21*AR21,".")*$B$65</f>
        <v>1.25</v>
      </c>
    </row>
    <row r="66" spans="1:44" x14ac:dyDescent="0.25">
      <c r="A66" s="148" t="s">
        <v>1062</v>
      </c>
      <c r="B66" s="141">
        <v>0.99980000000000002</v>
      </c>
      <c r="C66" s="136">
        <f t="shared" ref="C66:F66" si="283">IFERROR(C17/$B52,0)</f>
        <v>3.637091054574551</v>
      </c>
      <c r="D66" s="136">
        <f t="shared" si="283"/>
        <v>33996.708971658409</v>
      </c>
      <c r="E66" s="136">
        <f t="shared" si="283"/>
        <v>7737.6514263891704</v>
      </c>
      <c r="F66" s="136">
        <f t="shared" si="283"/>
        <v>3.6349935373295477</v>
      </c>
      <c r="G66" s="149">
        <f>IFERROR(up_RadSpec!$I$17*G17,".")*$B$66</f>
        <v>6.8736250000000005</v>
      </c>
      <c r="H66" s="149">
        <f>IFERROR(up_RadSpec!$L$17*$H$17,".")*B66</f>
        <v>7.3536529729514182E-4</v>
      </c>
      <c r="I66" s="149">
        <f>IFERROR(up_RadSpec!$K$17*$I$17,".")*B66</f>
        <v>3.2309545393499881E-3</v>
      </c>
      <c r="J66" s="150">
        <f t="shared" si="39"/>
        <v>6.8775913198366458</v>
      </c>
      <c r="K66" s="136">
        <f t="shared" ref="K66" si="284">IFERROR(K17/$B52,0)</f>
        <v>7737.6514263891704</v>
      </c>
      <c r="L66" s="136">
        <f t="shared" ref="L66:O66" si="285">IFERROR(L17/$B52,0)</f>
        <v>13523.164072872007</v>
      </c>
      <c r="M66" s="136">
        <f t="shared" si="285"/>
        <v>10188.546907655438</v>
      </c>
      <c r="N66" s="136">
        <f t="shared" si="285"/>
        <v>9059.9765795468429</v>
      </c>
      <c r="O66" s="136">
        <f t="shared" si="285"/>
        <v>25912.222943030974</v>
      </c>
      <c r="P66" s="149">
        <f>IFERROR(up_RadSpec!$K$17*$P$17,".")*$B$66</f>
        <v>3.2309545393499881E-3</v>
      </c>
      <c r="Q66" s="149">
        <f>IFERROR(up_RadSpec!$R$17*$Q$17,".")*$B$66</f>
        <v>1.8486797812466811E-3</v>
      </c>
      <c r="R66" s="149">
        <f>IFERROR(up_RadSpec!$S$17*$R$17,".")*$B$66</f>
        <v>2.4537355745219746E-3</v>
      </c>
      <c r="S66" s="149">
        <f>IFERROR(up_RadSpec!$T$17*$S$17,".")*$B$66</f>
        <v>2.7593890315829534E-3</v>
      </c>
      <c r="T66" s="149">
        <f>IFERROR(up_RadSpec!$P$17*$T$17,".")*$B$66</f>
        <v>9.6479565087732801E-4</v>
      </c>
      <c r="U66" s="136">
        <f t="shared" ref="U66:W66" si="286">IFERROR(U17/$B52,0)</f>
        <v>0.10973623296087791</v>
      </c>
      <c r="V66" s="136">
        <f t="shared" si="286"/>
        <v>175.23504700940188</v>
      </c>
      <c r="W66" s="136">
        <f t="shared" si="286"/>
        <v>0.10966755660449151</v>
      </c>
      <c r="X66" s="149">
        <f>IFERROR(up_RadSpec!$L$17*X17,".")*$B$66</f>
        <v>227.81901041666663</v>
      </c>
      <c r="Y66" s="149">
        <f>IFERROR(up_RadSpec!$O$17*$Y$17,".")*$B$66</f>
        <v>0.14266552511415523</v>
      </c>
      <c r="Z66" s="150">
        <f t="shared" si="41"/>
        <v>227.96167594178078</v>
      </c>
      <c r="AA66" s="136">
        <f t="shared" ref="AA66:AC66" si="287">IFERROR(AA17/$B52,0)</f>
        <v>2.500500100020004E-2</v>
      </c>
      <c r="AB66" s="136">
        <f t="shared" si="287"/>
        <v>438.08761752350472</v>
      </c>
      <c r="AC66" s="136">
        <f t="shared" si="287"/>
        <v>2.5003573855573578E-2</v>
      </c>
      <c r="AD66" s="149">
        <f>IFERROR(up_RadSpec!$M$17*AD17,".")*$B$66</f>
        <v>999.80000000000007</v>
      </c>
      <c r="AE66" s="149">
        <f>IFERROR(up_RadSpec!$Q$17*AE17,".")*$B$66</f>
        <v>5.7066210045662098E-2</v>
      </c>
      <c r="AF66" s="150">
        <f t="shared" si="42"/>
        <v>999.85706621004579</v>
      </c>
      <c r="AG66" s="136">
        <f t="shared" ref="AG66:AL66" si="288">IFERROR(AG17/$B52,0)</f>
        <v>0.20004000800160032</v>
      </c>
      <c r="AH66" s="136">
        <f t="shared" si="288"/>
        <v>8.3350003334000137E-4</v>
      </c>
      <c r="AI66" s="136">
        <f t="shared" si="288"/>
        <v>20.004000800160032</v>
      </c>
      <c r="AJ66" s="136">
        <f t="shared" si="288"/>
        <v>0.20004000800160032</v>
      </c>
      <c r="AK66" s="136">
        <f t="shared" si="288"/>
        <v>8.3350003334000137E-4</v>
      </c>
      <c r="AL66" s="136">
        <f t="shared" si="288"/>
        <v>20.004000800160032</v>
      </c>
      <c r="AM66" s="149">
        <f>IFERROR(up_RadSpec!$J$17*AM17,".")*$B$66</f>
        <v>124.97500000000001</v>
      </c>
      <c r="AN66" s="149">
        <f>IFERROR(up_RadSpec!$J$17*AN17,".")*$B$66</f>
        <v>29994</v>
      </c>
      <c r="AO66" s="149">
        <f>IFERROR(up_RadSpec!$J$17*AO17,".")*$B$66</f>
        <v>1.2497500000000001</v>
      </c>
      <c r="AP66" s="149">
        <f>IFERROR(up_RadSpec!$J$17*AP17,".")*$B$66</f>
        <v>124.97500000000001</v>
      </c>
      <c r="AQ66" s="149">
        <f>IFERROR(up_RadSpec!$J$17*AQ17,".")*$B$66</f>
        <v>29994</v>
      </c>
      <c r="AR66" s="149">
        <f>IFERROR(up_RadSpec!$J$17*AR17,".")*$B$66</f>
        <v>1.2497500000000001</v>
      </c>
    </row>
    <row r="67" spans="1:44" x14ac:dyDescent="0.25">
      <c r="A67" s="148" t="s">
        <v>1076</v>
      </c>
      <c r="B67" s="141">
        <v>2.0000000000000001E-4</v>
      </c>
      <c r="C67" s="136">
        <f t="shared" ref="C67:F67" si="289">IFERROR(C5/$B53,0)</f>
        <v>18181.81818181818</v>
      </c>
      <c r="D67" s="136">
        <f t="shared" si="289"/>
        <v>169949548.14932039</v>
      </c>
      <c r="E67" s="136">
        <f t="shared" si="289"/>
        <v>0</v>
      </c>
      <c r="F67" s="136">
        <f t="shared" si="289"/>
        <v>18179.873233136095</v>
      </c>
      <c r="G67" s="149">
        <f>IFERROR(up_RadSpec!$I$5*G5,".")*$B$67</f>
        <v>1.3750000000000001E-3</v>
      </c>
      <c r="H67" s="149">
        <f>IFERROR(up_RadSpec!$L$5*$H$5,".")*B67</f>
        <v>1.4710247995501938E-7</v>
      </c>
      <c r="I67" s="149">
        <f>IFERROR(up_RadSpec!$K$5*$I$5,".")*B67</f>
        <v>0</v>
      </c>
      <c r="J67" s="150">
        <f t="shared" si="39"/>
        <v>1.3751471024799553E-3</v>
      </c>
      <c r="K67" s="136">
        <f t="shared" ref="K67" si="290">IFERROR(K5/$B53,0)</f>
        <v>0</v>
      </c>
      <c r="L67" s="136">
        <f t="shared" ref="L67:O67" si="291">IFERROR(L5/$B53,0)</f>
        <v>0</v>
      </c>
      <c r="M67" s="136">
        <f t="shared" si="291"/>
        <v>0</v>
      </c>
      <c r="N67" s="136">
        <f t="shared" si="291"/>
        <v>0</v>
      </c>
      <c r="O67" s="136">
        <f t="shared" si="291"/>
        <v>0</v>
      </c>
      <c r="P67" s="149">
        <f>IFERROR(up_RadSpec!$K$5*$P$5,".")*$B$67</f>
        <v>0</v>
      </c>
      <c r="Q67" s="149">
        <f>IFERROR(up_RadSpec!$R$5*$Q$5,".")*$B$67</f>
        <v>0</v>
      </c>
      <c r="R67" s="149">
        <f>IFERROR(up_RadSpec!$S$5*$R$5,".")*$B$67</f>
        <v>0</v>
      </c>
      <c r="S67" s="149">
        <f>IFERROR(up_RadSpec!$T$5*$S$5,".")*$B$67</f>
        <v>0</v>
      </c>
      <c r="T67" s="149">
        <f>IFERROR(up_RadSpec!$P$5*$T$5,".")*$B$67</f>
        <v>0</v>
      </c>
      <c r="U67" s="136">
        <f t="shared" ref="U67:W67" si="292">IFERROR(U5/$B53,0)</f>
        <v>548.57142857142867</v>
      </c>
      <c r="V67" s="136">
        <f t="shared" si="292"/>
        <v>876000</v>
      </c>
      <c r="W67" s="136">
        <f t="shared" si="292"/>
        <v>548.22811546585308</v>
      </c>
      <c r="X67" s="149">
        <f>IFERROR(up_RadSpec!$L$5*X5,".")*$B$67</f>
        <v>4.5572916666666657E-2</v>
      </c>
      <c r="Y67" s="149">
        <f>IFERROR(up_RadSpec!$O$5*$Y$5,".")*$B$67</f>
        <v>2.8538812785388124E-5</v>
      </c>
      <c r="Z67" s="150">
        <f t="shared" si="41"/>
        <v>4.5601455479452047E-2</v>
      </c>
      <c r="AA67" s="136">
        <f t="shared" ref="AA67:AC67" si="293">IFERROR(AA5/$B53,0)</f>
        <v>125</v>
      </c>
      <c r="AB67" s="136">
        <f t="shared" si="293"/>
        <v>2190000</v>
      </c>
      <c r="AC67" s="136">
        <f t="shared" si="293"/>
        <v>124.9928657040123</v>
      </c>
      <c r="AD67" s="149">
        <f>IFERROR(up_RadSpec!$M$5*AD5,".")*$B$67</f>
        <v>0.2</v>
      </c>
      <c r="AE67" s="149">
        <f>IFERROR(up_RadSpec!$Q$5*AE5,".")*$B$67</f>
        <v>1.1415525114155251E-5</v>
      </c>
      <c r="AF67" s="150">
        <f t="shared" si="42"/>
        <v>0.20001141552511417</v>
      </c>
      <c r="AG67" s="136">
        <f t="shared" ref="AG67:AL67" si="294">IFERROR(AG5/$B53,0)</f>
        <v>1000</v>
      </c>
      <c r="AH67" s="136">
        <f t="shared" si="294"/>
        <v>4.166666666666667</v>
      </c>
      <c r="AI67" s="136">
        <f t="shared" si="294"/>
        <v>100000</v>
      </c>
      <c r="AJ67" s="136">
        <f t="shared" si="294"/>
        <v>1000</v>
      </c>
      <c r="AK67" s="136">
        <f t="shared" si="294"/>
        <v>4.166666666666667</v>
      </c>
      <c r="AL67" s="136">
        <f t="shared" si="294"/>
        <v>100000</v>
      </c>
      <c r="AM67" s="149">
        <f>IFERROR(up_RadSpec!$J$5*AM5,".")*$B$67</f>
        <v>2.5000000000000001E-2</v>
      </c>
      <c r="AN67" s="149">
        <f>IFERROR(up_RadSpec!$J$5*AN5,".")*$B$67</f>
        <v>6</v>
      </c>
      <c r="AO67" s="149">
        <f>IFERROR(up_RadSpec!$J$5*AO5,".")*$B$67</f>
        <v>2.5000000000000001E-4</v>
      </c>
      <c r="AP67" s="149">
        <f>IFERROR(up_RadSpec!$J$5*AP5,".")*$B$67</f>
        <v>2.5000000000000001E-2</v>
      </c>
      <c r="AQ67" s="149">
        <f>IFERROR(up_RadSpec!$J$5*AQ5,".")*$B$67</f>
        <v>6</v>
      </c>
      <c r="AR67" s="149">
        <f>IFERROR(up_RadSpec!$J$5*AR5,".")*$B$67</f>
        <v>2.5000000000000001E-4</v>
      </c>
    </row>
    <row r="68" spans="1:44" x14ac:dyDescent="0.25">
      <c r="A68" s="148" t="s">
        <v>1077</v>
      </c>
      <c r="B68" s="141">
        <v>0.99999979999999999</v>
      </c>
      <c r="C68" s="136">
        <f t="shared" ref="C68:F68" si="295">IFERROR(C9/$B54,0)</f>
        <v>3.6363643636365088</v>
      </c>
      <c r="D68" s="136">
        <f t="shared" si="295"/>
        <v>33989.916427847369</v>
      </c>
      <c r="E68" s="136">
        <f t="shared" si="295"/>
        <v>2860.2405155907982</v>
      </c>
      <c r="F68" s="136">
        <f t="shared" si="295"/>
        <v>3.6313591423050648</v>
      </c>
      <c r="G68" s="149">
        <f>IFERROR(up_RadSpec!$I$9*G9,".")*$B$68</f>
        <v>6.8749986249999999</v>
      </c>
      <c r="H68" s="149">
        <f>IFERROR(up_RadSpec!$L$9*$H$9,".")*B68</f>
        <v>7.3551225267261689E-4</v>
      </c>
      <c r="I68" s="149">
        <f>IFERROR(up_RadSpec!$K$9*$I$9,".")*B68</f>
        <v>8.7405236950278322E-3</v>
      </c>
      <c r="J68" s="150">
        <f t="shared" si="39"/>
        <v>6.884474660947701</v>
      </c>
      <c r="K68" s="136">
        <f t="shared" ref="K68" si="296">IFERROR(K9/$B54,0)</f>
        <v>2860.2405155907982</v>
      </c>
      <c r="L68" s="136">
        <f t="shared" ref="L68:O68" si="297">IFERROR(L9/$B54,0)</f>
        <v>5858.2511716502368</v>
      </c>
      <c r="M68" s="136">
        <f t="shared" si="297"/>
        <v>4121.9801609920105</v>
      </c>
      <c r="N68" s="136">
        <f t="shared" si="297"/>
        <v>3397.8188613819548</v>
      </c>
      <c r="O68" s="136">
        <f t="shared" si="297"/>
        <v>10376.600125157516</v>
      </c>
      <c r="P68" s="149">
        <f>IFERROR(up_RadSpec!$K$9*$P$9,".")*$B$68</f>
        <v>8.7405236950278322E-3</v>
      </c>
      <c r="Q68" s="149">
        <f>IFERROR(up_RadSpec!$R$9*$Q$9,".")*$B$68</f>
        <v>4.2674851704860642E-3</v>
      </c>
      <c r="R68" s="149">
        <f>IFERROR(up_RadSpec!$S$9*$R$9,".")*$B$68</f>
        <v>6.0650461728528563E-3</v>
      </c>
      <c r="S68" s="149">
        <f>IFERROR(up_RadSpec!$T$9*$S$9,".")*$B$68</f>
        <v>7.357661199700341E-3</v>
      </c>
      <c r="T68" s="149">
        <f>IFERROR(up_RadSpec!$P$9*$T$9,".")*$B$68</f>
        <v>2.4092669755471086E-3</v>
      </c>
      <c r="U68" s="136">
        <f t="shared" ref="U68:W68" si="298">IFERROR(U9/$B54,0)</f>
        <v>0.10971430765714726</v>
      </c>
      <c r="V68" s="136">
        <f t="shared" si="298"/>
        <v>175.20003504000704</v>
      </c>
      <c r="W68" s="136">
        <f t="shared" si="298"/>
        <v>0.10964564502229962</v>
      </c>
      <c r="X68" s="149">
        <f>IFERROR(up_RadSpec!$L$9*X9,".")*$B$68</f>
        <v>227.86453776041662</v>
      </c>
      <c r="Y68" s="149">
        <f>IFERROR(up_RadSpec!$O$9*$Y$9,".")*$B$68</f>
        <v>0.14269403538812783</v>
      </c>
      <c r="Z68" s="150">
        <f t="shared" si="41"/>
        <v>228.00723179580476</v>
      </c>
      <c r="AA68" s="136">
        <f t="shared" ref="AA68:AC68" si="299">IFERROR(AA9/$B54,0)</f>
        <v>2.5000005000001001E-2</v>
      </c>
      <c r="AB68" s="136">
        <f t="shared" si="299"/>
        <v>438.00008760001754</v>
      </c>
      <c r="AC68" s="136">
        <f t="shared" si="299"/>
        <v>2.4998578140518091E-2</v>
      </c>
      <c r="AD68" s="149">
        <f>IFERROR(up_RadSpec!$M$9*AD9,".")*$B$68</f>
        <v>999.99980000000005</v>
      </c>
      <c r="AE68" s="149">
        <f>IFERROR(up_RadSpec!$Q$9*AE9,".")*$B$68</f>
        <v>5.7077614155251137E-2</v>
      </c>
      <c r="AF68" s="150">
        <f t="shared" si="42"/>
        <v>1000.0568776141553</v>
      </c>
      <c r="AG68" s="136">
        <f t="shared" ref="AG68:AL68" si="300">IFERROR(AG9/$B54,0)</f>
        <v>0.20000004000000801</v>
      </c>
      <c r="AH68" s="136">
        <f t="shared" si="300"/>
        <v>8.3333350000003336E-4</v>
      </c>
      <c r="AI68" s="136">
        <f t="shared" si="300"/>
        <v>20.0000040000008</v>
      </c>
      <c r="AJ68" s="136">
        <f t="shared" si="300"/>
        <v>0.20000004000000801</v>
      </c>
      <c r="AK68" s="136">
        <f t="shared" si="300"/>
        <v>8.3333350000003336E-4</v>
      </c>
      <c r="AL68" s="136">
        <f t="shared" si="300"/>
        <v>20.0000040000008</v>
      </c>
      <c r="AM68" s="149">
        <f>IFERROR(up_RadSpec!$J$9*AM9,".")*$B$68</f>
        <v>124.99997500000001</v>
      </c>
      <c r="AN68" s="149">
        <f>IFERROR(up_RadSpec!$J$9*AN9,".")*$B$68</f>
        <v>29999.993999999999</v>
      </c>
      <c r="AO68" s="149">
        <f>IFERROR(up_RadSpec!$J$9*AO9,".")*$B$68</f>
        <v>1.24999975</v>
      </c>
      <c r="AP68" s="149">
        <f>IFERROR(up_RadSpec!$J$9*AP9,".")*$B$68</f>
        <v>124.99997500000001</v>
      </c>
      <c r="AQ68" s="149">
        <f>IFERROR(up_RadSpec!$J$9*AQ9,".")*$B$68</f>
        <v>29999.993999999999</v>
      </c>
      <c r="AR68" s="149">
        <f>IFERROR(up_RadSpec!$J$9*AR9,".")*$B$68</f>
        <v>1.24999975</v>
      </c>
    </row>
    <row r="69" spans="1:44" x14ac:dyDescent="0.25">
      <c r="A69" s="148" t="s">
        <v>1078</v>
      </c>
      <c r="B69" s="141">
        <v>1.9999999999999999E-7</v>
      </c>
      <c r="C69" s="136">
        <f t="shared" ref="C69:F69" si="301">IFERROR(C24/$B55,0)</f>
        <v>18181818.181818184</v>
      </c>
      <c r="D69" s="136">
        <f t="shared" si="301"/>
        <v>169949548149.3204</v>
      </c>
      <c r="E69" s="136">
        <f t="shared" si="301"/>
        <v>25238049251.569302</v>
      </c>
      <c r="F69" s="136">
        <f t="shared" si="301"/>
        <v>18166787.044016585</v>
      </c>
      <c r="G69" s="149">
        <f>IFERROR(up_RadSpec!$I$24*G24,".")*$B$69</f>
        <v>1.375E-6</v>
      </c>
      <c r="H69" s="149">
        <f>IFERROR(up_RadSpec!$L$24*$H$24,".")*B69</f>
        <v>1.4710247995501936E-10</v>
      </c>
      <c r="I69" s="149">
        <f>IFERROR(up_RadSpec!$K$24*$I$24,".")*B69</f>
        <v>9.9056784265707465E-10</v>
      </c>
      <c r="J69" s="150">
        <f t="shared" si="39"/>
        <v>1.3761376703226121E-6</v>
      </c>
      <c r="K69" s="136">
        <f t="shared" ref="K69" si="302">IFERROR(K24/$B55,0)</f>
        <v>25238049251.569302</v>
      </c>
      <c r="L69" s="136">
        <f t="shared" ref="L69:O69" si="303">IFERROR(L24/$B55,0)</f>
        <v>45756960932.4412</v>
      </c>
      <c r="M69" s="136">
        <f t="shared" si="303"/>
        <v>32307371141.706841</v>
      </c>
      <c r="N69" s="136">
        <f t="shared" si="303"/>
        <v>26978749615.029263</v>
      </c>
      <c r="O69" s="136">
        <f t="shared" si="303"/>
        <v>76048351648.351624</v>
      </c>
      <c r="P69" s="149">
        <f>IFERROR(up_RadSpec!$K$24*$P$24,".")*$B$69</f>
        <v>9.9056784265707465E-10</v>
      </c>
      <c r="Q69" s="149">
        <f>IFERROR(up_RadSpec!$R$24*$Q$24,".")*$B$69</f>
        <v>5.4636495716819487E-10</v>
      </c>
      <c r="R69" s="149">
        <f>IFERROR(up_RadSpec!$S$24*$R$24,".")*$B$69</f>
        <v>7.7381721621189179E-10</v>
      </c>
      <c r="S69" s="149">
        <f>IFERROR(up_RadSpec!$T$24*$S$24,".")*$B$69</f>
        <v>9.2665525114155248E-10</v>
      </c>
      <c r="T69" s="149">
        <f>IFERROR(up_RadSpec!$P$24*$T$24,".")*$B$69</f>
        <v>3.287382232240912E-10</v>
      </c>
      <c r="U69" s="136">
        <f t="shared" ref="U69:W69" si="304">IFERROR(U24/$B55,0)</f>
        <v>548571.42857142875</v>
      </c>
      <c r="V69" s="136">
        <f t="shared" si="304"/>
        <v>876000000.00000012</v>
      </c>
      <c r="W69" s="136">
        <f t="shared" si="304"/>
        <v>548228.11546585313</v>
      </c>
      <c r="X69" s="149">
        <f>IFERROR(up_RadSpec!$L$24*X24,".")*$B$69</f>
        <v>4.5572916666666655E-5</v>
      </c>
      <c r="Y69" s="149">
        <f>IFERROR(up_RadSpec!$O$24*$Y$24,".")*$B$69</f>
        <v>2.8538812785388121E-8</v>
      </c>
      <c r="Z69" s="150">
        <f t="shared" si="41"/>
        <v>4.5601455479452047E-5</v>
      </c>
      <c r="AA69" s="136">
        <f t="shared" ref="AA69:AC69" si="305">IFERROR(AA24/$B55,0)</f>
        <v>125000.00000000001</v>
      </c>
      <c r="AB69" s="136">
        <f t="shared" si="305"/>
        <v>2190000000</v>
      </c>
      <c r="AC69" s="136">
        <f t="shared" si="305"/>
        <v>124992.86570401232</v>
      </c>
      <c r="AD69" s="149">
        <f>IFERROR(up_RadSpec!$M$24*AD24,".")*$B$69</f>
        <v>1.9999999999999998E-4</v>
      </c>
      <c r="AE69" s="149">
        <f>IFERROR(up_RadSpec!$Q$24*AE24,".")*$B$69</f>
        <v>1.1415525114155249E-8</v>
      </c>
      <c r="AF69" s="150">
        <f t="shared" si="42"/>
        <v>2.0001141552511415E-4</v>
      </c>
      <c r="AG69" s="136">
        <f t="shared" ref="AG69:AL69" si="306">IFERROR(AG24/$B55,0)</f>
        <v>1000000.0000000001</v>
      </c>
      <c r="AH69" s="136">
        <f t="shared" si="306"/>
        <v>4166.666666666667</v>
      </c>
      <c r="AI69" s="136">
        <f t="shared" si="306"/>
        <v>100000000</v>
      </c>
      <c r="AJ69" s="136">
        <f t="shared" si="306"/>
        <v>1000000.0000000001</v>
      </c>
      <c r="AK69" s="136">
        <f t="shared" si="306"/>
        <v>4166.666666666667</v>
      </c>
      <c r="AL69" s="136">
        <f t="shared" si="306"/>
        <v>100000000</v>
      </c>
      <c r="AM69" s="149">
        <f>IFERROR(up_RadSpec!$J$24*AM24,".")*$B$69</f>
        <v>2.4999999999999998E-5</v>
      </c>
      <c r="AN69" s="149">
        <f>IFERROR(up_RadSpec!$J$24*AN24,".")*$B$69</f>
        <v>6.0000000000000001E-3</v>
      </c>
      <c r="AO69" s="149">
        <f>IFERROR(up_RadSpec!$J$24*AO24,".")*$B$69</f>
        <v>2.4999999999999999E-7</v>
      </c>
      <c r="AP69" s="149">
        <f>IFERROR(up_RadSpec!$J$24*AP24,".")*$B$69</f>
        <v>2.4999999999999998E-5</v>
      </c>
      <c r="AQ69" s="149">
        <f>IFERROR(up_RadSpec!$J$24*AQ24,".")*$B$69</f>
        <v>6.0000000000000001E-3</v>
      </c>
      <c r="AR69" s="149">
        <f>IFERROR(up_RadSpec!$J$24*AR24,".")*$B$69</f>
        <v>2.4999999999999999E-7</v>
      </c>
    </row>
    <row r="70" spans="1:44" x14ac:dyDescent="0.25">
      <c r="A70" s="148" t="s">
        <v>1079</v>
      </c>
      <c r="B70" s="141">
        <v>0.99979000004200003</v>
      </c>
      <c r="C70" s="136">
        <f t="shared" ref="C70:F70" si="307">IFERROR(C20/$B56,0)</f>
        <v>3.6371274329718011</v>
      </c>
      <c r="D70" s="136">
        <f t="shared" si="307"/>
        <v>33997.049008728034</v>
      </c>
      <c r="E70" s="136">
        <f t="shared" si="307"/>
        <v>3954.1656465010487</v>
      </c>
      <c r="F70" s="136">
        <f t="shared" si="307"/>
        <v>3.6333966419031589</v>
      </c>
      <c r="G70" s="149">
        <f>IFERROR(up_RadSpec!$I$20*G20,".")*$B$70</f>
        <v>6.8735562502887504</v>
      </c>
      <c r="H70" s="149">
        <f>IFERROR(up_RadSpec!$L$20*$H$20,".")*B70</f>
        <v>7.3535794220203564E-4</v>
      </c>
      <c r="I70" s="149">
        <f>IFERROR(up_RadSpec!$K$20*$I$20,".")*B70</f>
        <v>6.3224463097852094E-3</v>
      </c>
      <c r="J70" s="150">
        <f t="shared" si="39"/>
        <v>6.8806140545407377</v>
      </c>
      <c r="K70" s="136">
        <f t="shared" ref="K70" si="308">IFERROR(K20/$B56,0)</f>
        <v>3954.1656465010487</v>
      </c>
      <c r="L70" s="136">
        <f t="shared" ref="L70:O70" si="309">IFERROR(L20/$B56,0)</f>
        <v>7797.9891528506387</v>
      </c>
      <c r="M70" s="136">
        <f t="shared" si="309"/>
        <v>5456.0908337909977</v>
      </c>
      <c r="N70" s="136">
        <f t="shared" si="309"/>
        <v>4581.3542410609534</v>
      </c>
      <c r="O70" s="136">
        <f t="shared" si="309"/>
        <v>13287.475053887933</v>
      </c>
      <c r="P70" s="149">
        <f>IFERROR(up_RadSpec!$K$20*$P$20,".")*$B$70</f>
        <v>6.3224463097852094E-3</v>
      </c>
      <c r="Q70" s="149">
        <f>IFERROR(up_RadSpec!$R$20*$Q$20,".")*$B$70</f>
        <v>3.2059547031892169E-3</v>
      </c>
      <c r="R70" s="149">
        <f>IFERROR(up_RadSpec!$S$20*$R$20,".")*$B$70</f>
        <v>4.5820351532948212E-3</v>
      </c>
      <c r="S70" s="149">
        <f>IFERROR(up_RadSpec!$T$20*$S$20,".")*$B$70</f>
        <v>5.4569017553662219E-3</v>
      </c>
      <c r="T70" s="149">
        <f>IFERROR(up_RadSpec!$P$20*$T$20,".")*$B$70</f>
        <v>1.8814710769812484E-3</v>
      </c>
      <c r="U70" s="136">
        <f t="shared" ref="U70:W70" si="310">IFERROR(U20/$B56,0)</f>
        <v>0.10973733054909207</v>
      </c>
      <c r="V70" s="136">
        <f t="shared" si="310"/>
        <v>175.23679972058139</v>
      </c>
      <c r="W70" s="136">
        <f t="shared" si="310"/>
        <v>0.10966865350580075</v>
      </c>
      <c r="X70" s="149">
        <f>IFERROR(up_RadSpec!$L$20*X20,".")*$B$70</f>
        <v>227.81673178040361</v>
      </c>
      <c r="Y70" s="149">
        <f>IFERROR(up_RadSpec!$O$20*$Y$20,".")*$B$70</f>
        <v>0.14266409817950912</v>
      </c>
      <c r="Z70" s="150">
        <f t="shared" si="41"/>
        <v>227.95939587858314</v>
      </c>
      <c r="AA70" s="136">
        <f t="shared" ref="AA70:AC70" si="311">IFERROR(AA20/$B56,0)</f>
        <v>2.5005251101681135E-2</v>
      </c>
      <c r="AB70" s="136">
        <f t="shared" si="311"/>
        <v>438.09199930145343</v>
      </c>
      <c r="AC70" s="136">
        <f t="shared" si="311"/>
        <v>2.5003823942780286E-2</v>
      </c>
      <c r="AD70" s="149">
        <f>IFERROR(up_RadSpec!$M$20*AD20,".")*$B$70</f>
        <v>999.79000004199997</v>
      </c>
      <c r="AE70" s="149">
        <f>IFERROR(up_RadSpec!$Q$20*AE20,".")*$B$70</f>
        <v>5.706563927180365E-2</v>
      </c>
      <c r="AF70" s="150">
        <f t="shared" si="42"/>
        <v>999.84706568127183</v>
      </c>
      <c r="AG70" s="136">
        <f t="shared" ref="AG70:AL70" si="312">IFERROR(AG20/$B56,0)</f>
        <v>0.20004200881344908</v>
      </c>
      <c r="AH70" s="136">
        <f t="shared" si="312"/>
        <v>8.3350837005603774E-4</v>
      </c>
      <c r="AI70" s="136">
        <f t="shared" si="312"/>
        <v>20.004200881344904</v>
      </c>
      <c r="AJ70" s="136">
        <f t="shared" si="312"/>
        <v>0.20004200881344908</v>
      </c>
      <c r="AK70" s="136">
        <f t="shared" si="312"/>
        <v>8.3350837005603774E-4</v>
      </c>
      <c r="AL70" s="136">
        <f t="shared" si="312"/>
        <v>20.004200881344904</v>
      </c>
      <c r="AM70" s="149">
        <f>IFERROR(up_RadSpec!$J$20*AM20,".")*$B$70</f>
        <v>124.97375000525</v>
      </c>
      <c r="AN70" s="149">
        <f>IFERROR(up_RadSpec!$J$20*AN20,".")*$B$70</f>
        <v>29993.70000126</v>
      </c>
      <c r="AO70" s="149">
        <f>IFERROR(up_RadSpec!$J$20*AO20,".")*$B$70</f>
        <v>1.2497375000524999</v>
      </c>
      <c r="AP70" s="149">
        <f>IFERROR(up_RadSpec!$J$20*AP20,".")*$B$70</f>
        <v>124.97375000525</v>
      </c>
      <c r="AQ70" s="149">
        <f>IFERROR(up_RadSpec!$J$20*AQ20,".")*$B$70</f>
        <v>29993.70000126</v>
      </c>
      <c r="AR70" s="149">
        <f>IFERROR(up_RadSpec!$J$20*AR20,".")*$B$70</f>
        <v>1.2497375000524999</v>
      </c>
    </row>
    <row r="71" spans="1:44" x14ac:dyDescent="0.25">
      <c r="A71" s="148" t="s">
        <v>1080</v>
      </c>
      <c r="B71" s="141">
        <v>2.0999995799999999E-4</v>
      </c>
      <c r="C71" s="136">
        <f t="shared" ref="C71:F71" si="313">IFERROR(C29/$B57,0)</f>
        <v>17316.020779221471</v>
      </c>
      <c r="D71" s="136">
        <f t="shared" si="313"/>
        <v>161856744.89451128</v>
      </c>
      <c r="E71" s="136">
        <f t="shared" si="313"/>
        <v>14816552.533958446</v>
      </c>
      <c r="F71" s="136">
        <f t="shared" si="313"/>
        <v>17293.959256882063</v>
      </c>
      <c r="G71" s="149">
        <f>IFERROR(up_RadSpec!$I$29*G29,".")*$B$71</f>
        <v>1.4437497112499999E-3</v>
      </c>
      <c r="H71" s="149">
        <f>IFERROR(up_RadSpec!$L$29*$H$29,".")*B71</f>
        <v>1.5445757306124954E-7</v>
      </c>
      <c r="I71" s="149">
        <f>IFERROR(up_RadSpec!$K$29*$I$29,".")*B71</f>
        <v>1.6873020861433077E-6</v>
      </c>
      <c r="J71" s="150">
        <f t="shared" si="39"/>
        <v>1.4455914709092044E-3</v>
      </c>
      <c r="K71" s="136">
        <f t="shared" ref="K71" si="314">IFERROR(K29/$B57,0)</f>
        <v>14816552.533958446</v>
      </c>
      <c r="L71" s="136">
        <f t="shared" ref="L71:O71" si="315">IFERROR(L29/$B57,0)</f>
        <v>29565920.700151559</v>
      </c>
      <c r="M71" s="136">
        <f t="shared" si="315"/>
        <v>21062636.161858689</v>
      </c>
      <c r="N71" s="136">
        <f t="shared" si="315"/>
        <v>17866553.023860045</v>
      </c>
      <c r="O71" s="136">
        <f t="shared" si="315"/>
        <v>53090919.709093049</v>
      </c>
      <c r="P71" s="149">
        <f>IFERROR(up_RadSpec!$K$29*$P$29,".")*$B$71</f>
        <v>1.6873020861433077E-6</v>
      </c>
      <c r="Q71" s="149">
        <f>IFERROR(up_RadSpec!$R$29*$Q$29,".")*$B$71</f>
        <v>8.4556812059202497E-7</v>
      </c>
      <c r="R71" s="149">
        <f>IFERROR(up_RadSpec!$S$29*$R$29,".")*$B$71</f>
        <v>1.1869359470431005E-6</v>
      </c>
      <c r="S71" s="149">
        <f>IFERROR(up_RadSpec!$T$29*$S$29,".")*$B$71</f>
        <v>1.3992626314999616E-6</v>
      </c>
      <c r="T71" s="149">
        <f>IFERROR(up_RadSpec!$P$29*$T$29,".")*$B$71</f>
        <v>4.708903167808218E-7</v>
      </c>
      <c r="U71" s="136">
        <f t="shared" ref="U71:W71" si="316">IFERROR(U29/$B57,0)</f>
        <v>522.44908408165372</v>
      </c>
      <c r="V71" s="136">
        <f t="shared" si="316"/>
        <v>834285.88114289066</v>
      </c>
      <c r="W71" s="136">
        <f t="shared" si="316"/>
        <v>522.12211915380783</v>
      </c>
      <c r="X71" s="149">
        <f>IFERROR(up_RadSpec!$L$29*X29,".")*$B$71</f>
        <v>4.7851552929687485E-2</v>
      </c>
      <c r="Y71" s="149">
        <f>IFERROR(up_RadSpec!$O$29*$Y$29,".")*$B$71</f>
        <v>2.9965747431506842E-5</v>
      </c>
      <c r="Z71" s="150">
        <f t="shared" si="41"/>
        <v>4.7881518677118991E-2</v>
      </c>
      <c r="AA71" s="136">
        <f t="shared" ref="AA71:AC71" si="317">IFERROR(AA29/$B57,0)</f>
        <v>119.04764285714764</v>
      </c>
      <c r="AB71" s="136">
        <f t="shared" si="317"/>
        <v>2085714.7028572264</v>
      </c>
      <c r="AC71" s="136">
        <f t="shared" si="317"/>
        <v>119.04084828818139</v>
      </c>
      <c r="AD71" s="149">
        <f>IFERROR(up_RadSpec!$M$29*AD29,".")*$B$71</f>
        <v>0.20999995799999999</v>
      </c>
      <c r="AE71" s="149">
        <f>IFERROR(up_RadSpec!$Q$29*AE29,".")*$B$71</f>
        <v>1.1986298972602738E-5</v>
      </c>
      <c r="AF71" s="150">
        <f t="shared" si="42"/>
        <v>0.2100119442989726</v>
      </c>
      <c r="AG71" s="136">
        <f t="shared" ref="AG71:AL71" si="318">IFERROR(AG29/$B57,0)</f>
        <v>952.38114285718109</v>
      </c>
      <c r="AH71" s="136">
        <f t="shared" si="318"/>
        <v>3.9682547619049213</v>
      </c>
      <c r="AI71" s="136">
        <f t="shared" si="318"/>
        <v>95238.114285718097</v>
      </c>
      <c r="AJ71" s="136">
        <f t="shared" si="318"/>
        <v>952.38114285718109</v>
      </c>
      <c r="AK71" s="136">
        <f t="shared" si="318"/>
        <v>3.9682547619049213</v>
      </c>
      <c r="AL71" s="136">
        <f t="shared" si="318"/>
        <v>95238.114285718097</v>
      </c>
      <c r="AM71" s="149">
        <f>IFERROR(up_RadSpec!$J$29*AM29,".")*$B$71</f>
        <v>2.6249994749999998E-2</v>
      </c>
      <c r="AN71" s="149">
        <f>IFERROR(up_RadSpec!$J$29*AN29,".")*$B$71</f>
        <v>6.2999987399999995</v>
      </c>
      <c r="AO71" s="149">
        <f>IFERROR(up_RadSpec!$J$29*AO29,".")*$B$71</f>
        <v>2.6249994749999998E-4</v>
      </c>
      <c r="AP71" s="149">
        <f>IFERROR(up_RadSpec!$J$29*AP29,".")*$B$71</f>
        <v>2.6249994749999998E-2</v>
      </c>
      <c r="AQ71" s="149">
        <f>IFERROR(up_RadSpec!$J$29*AQ29,".")*$B$71</f>
        <v>6.2999987399999995</v>
      </c>
      <c r="AR71" s="149">
        <f>IFERROR(up_RadSpec!$J$29*AR29,".")*$B$71</f>
        <v>2.6249994749999998E-4</v>
      </c>
    </row>
    <row r="72" spans="1:44" x14ac:dyDescent="0.25">
      <c r="A72" s="148" t="s">
        <v>1081</v>
      </c>
      <c r="B72" s="141">
        <v>1</v>
      </c>
      <c r="C72" s="136">
        <f t="shared" ref="C72:F72" si="319">IFERROR(C16/$B58,0)</f>
        <v>3.6363636363636362</v>
      </c>
      <c r="D72" s="136">
        <f t="shared" si="319"/>
        <v>33989.90962986408</v>
      </c>
      <c r="E72" s="136">
        <f t="shared" si="319"/>
        <v>84144082.332761645</v>
      </c>
      <c r="F72" s="136">
        <f t="shared" si="319"/>
        <v>3.635974489512058</v>
      </c>
      <c r="G72" s="149">
        <f>IFERROR(up_RadSpec!$I$16*G16,".")*$B$72</f>
        <v>6.875</v>
      </c>
      <c r="H72" s="149">
        <f>IFERROR(up_RadSpec!$L$16*$H$16,".")*B72</f>
        <v>7.3551239977509683E-4</v>
      </c>
      <c r="I72" s="149">
        <f>IFERROR(up_RadSpec!$K$16*$I$16,".")*B72</f>
        <v>2.9710942596216545E-7</v>
      </c>
      <c r="J72" s="150">
        <f t="shared" si="39"/>
        <v>6.8757358095092007</v>
      </c>
      <c r="K72" s="136">
        <f t="shared" ref="K72" si="320">IFERROR(K16/$B58,0)</f>
        <v>84144082.332761645</v>
      </c>
      <c r="L72" s="136">
        <f t="shared" ref="L72:O72" si="321">IFERROR(L16/$B58,0)</f>
        <v>149857723.57723585</v>
      </c>
      <c r="M72" s="136">
        <f t="shared" si="321"/>
        <v>90025518.618175536</v>
      </c>
      <c r="N72" s="136">
        <f t="shared" si="321"/>
        <v>90490674.31850794</v>
      </c>
      <c r="O72" s="136">
        <f t="shared" si="321"/>
        <v>3504000000.0000005</v>
      </c>
      <c r="P72" s="149">
        <f>IFERROR(up_RadSpec!$K$16*$P$16,".")*$B$72</f>
        <v>2.9710942596216545E-7</v>
      </c>
      <c r="Q72" s="149">
        <f>IFERROR(up_RadSpec!$R$16*$Q$16,".")*$B$72</f>
        <v>1.6682490166824893E-7</v>
      </c>
      <c r="R72" s="149">
        <f>IFERROR(up_RadSpec!$S$16*$R$16,".")*$B$72</f>
        <v>2.7769903893619636E-7</v>
      </c>
      <c r="S72" s="149">
        <f>IFERROR(up_RadSpec!$T$16*$S$16,".")*$B$72</f>
        <v>2.7627156265854882E-7</v>
      </c>
      <c r="T72" s="149">
        <f>IFERROR(up_RadSpec!$P$16*$T$16,".")*$B$72</f>
        <v>7.134703196347031E-9</v>
      </c>
      <c r="U72" s="136">
        <f t="shared" ref="U72:W72" si="322">IFERROR(U16/$B58,0)</f>
        <v>0.10971428571428574</v>
      </c>
      <c r="V72" s="136">
        <f t="shared" si="322"/>
        <v>175.20000000000002</v>
      </c>
      <c r="W72" s="136">
        <f t="shared" si="322"/>
        <v>0.10964562309317062</v>
      </c>
      <c r="X72" s="149">
        <f>IFERROR(up_RadSpec!$L$16*X16,".")*$B$72</f>
        <v>227.86458333333329</v>
      </c>
      <c r="Y72" s="149">
        <f>IFERROR(up_RadSpec!$O$16*$Y$16,".")*$B$72</f>
        <v>0.14269406392694062</v>
      </c>
      <c r="Z72" s="150">
        <f t="shared" si="41"/>
        <v>228.00727739726022</v>
      </c>
      <c r="AA72" s="136">
        <f t="shared" ref="AA72:AC72" si="323">IFERROR(AA16/$B58,0)</f>
        <v>2.5000000000000001E-2</v>
      </c>
      <c r="AB72" s="136">
        <f t="shared" si="323"/>
        <v>438</v>
      </c>
      <c r="AC72" s="136">
        <f t="shared" si="323"/>
        <v>2.4998573140802463E-2</v>
      </c>
      <c r="AD72" s="149">
        <f>IFERROR(up_RadSpec!$M$16*AD16,".")*$B$72</f>
        <v>1000</v>
      </c>
      <c r="AE72" s="149">
        <f>IFERROR(up_RadSpec!$Q$16*AE16,".")*$B$72</f>
        <v>5.7077625570776253E-2</v>
      </c>
      <c r="AF72" s="150">
        <f t="shared" si="42"/>
        <v>1000.0570776255707</v>
      </c>
      <c r="AG72" s="136">
        <f t="shared" ref="AG72:AL72" si="324">IFERROR(AG16/$B58,0)</f>
        <v>0.2</v>
      </c>
      <c r="AH72" s="136">
        <f t="shared" si="324"/>
        <v>8.3333333333333339E-4</v>
      </c>
      <c r="AI72" s="136">
        <f t="shared" si="324"/>
        <v>20</v>
      </c>
      <c r="AJ72" s="136">
        <f t="shared" si="324"/>
        <v>0.2</v>
      </c>
      <c r="AK72" s="136">
        <f t="shared" si="324"/>
        <v>8.3333333333333339E-4</v>
      </c>
      <c r="AL72" s="136">
        <f t="shared" si="324"/>
        <v>20</v>
      </c>
      <c r="AM72" s="149">
        <f>IFERROR(up_RadSpec!$J$16*AM16,".")*$B$72</f>
        <v>125</v>
      </c>
      <c r="AN72" s="149">
        <f>IFERROR(up_RadSpec!$J$16*AN16,".")*$B$72</f>
        <v>30000</v>
      </c>
      <c r="AO72" s="149">
        <f>IFERROR(up_RadSpec!$J$16*AO16,".")*$B$72</f>
        <v>1.25</v>
      </c>
      <c r="AP72" s="149">
        <f>IFERROR(up_RadSpec!$J$16*AP16,".")*$B$72</f>
        <v>125</v>
      </c>
      <c r="AQ72" s="149">
        <f>IFERROR(up_RadSpec!$J$16*AQ16,".")*$B$72</f>
        <v>30000</v>
      </c>
      <c r="AR72" s="149">
        <f>IFERROR(up_RadSpec!$J$16*AR16,".")*$B$72</f>
        <v>1.25</v>
      </c>
    </row>
    <row r="73" spans="1:44" x14ac:dyDescent="0.25">
      <c r="A73" s="148" t="s">
        <v>1082</v>
      </c>
      <c r="B73" s="141">
        <v>1</v>
      </c>
      <c r="C73" s="136">
        <f t="shared" ref="C73:F73" si="325">IFERROR(C7/$B59,0)</f>
        <v>3.6363636363636362</v>
      </c>
      <c r="D73" s="136">
        <f t="shared" si="325"/>
        <v>33989.90962986408</v>
      </c>
      <c r="E73" s="136">
        <f t="shared" si="325"/>
        <v>10102.773722627735</v>
      </c>
      <c r="F73" s="136">
        <f t="shared" si="325"/>
        <v>3.6346665350399281</v>
      </c>
      <c r="G73" s="149">
        <f>IFERROR(up_RadSpec!$I$7*G7,".")*$B$73</f>
        <v>6.875</v>
      </c>
      <c r="H73" s="149">
        <f>IFERROR(up_RadSpec!$L$7*$H$7,".")*B73</f>
        <v>7.3551239977509683E-4</v>
      </c>
      <c r="I73" s="149">
        <f>IFERROR(up_RadSpec!$K$7*$I$7,".")*B73</f>
        <v>2.4745679440494775E-3</v>
      </c>
      <c r="J73" s="150">
        <f t="shared" si="39"/>
        <v>6.8782100803438242</v>
      </c>
      <c r="K73" s="136">
        <f t="shared" ref="K73" si="326">IFERROR(K7/$B59,0)</f>
        <v>10102.773722627735</v>
      </c>
      <c r="L73" s="136">
        <f t="shared" ref="L73:O73" si="327">IFERROR(L7/$B59,0)</f>
        <v>16072.268907563037</v>
      </c>
      <c r="M73" s="136">
        <f t="shared" si="327"/>
        <v>11775.000000000002</v>
      </c>
      <c r="N73" s="136">
        <f t="shared" si="327"/>
        <v>10831.849564583837</v>
      </c>
      <c r="O73" s="136">
        <f t="shared" si="327"/>
        <v>27504.66004583651</v>
      </c>
      <c r="P73" s="149">
        <f>IFERROR(up_RadSpec!$K$7*$P$7,".")*$B$73</f>
        <v>2.4745679440494775E-3</v>
      </c>
      <c r="Q73" s="149">
        <f>IFERROR(up_RadSpec!$R$7*$Q$7,".")*$B$73</f>
        <v>1.5554742235700083E-3</v>
      </c>
      <c r="R73" s="149">
        <f>IFERROR(up_RadSpec!$S$7*$R$7,".")*$B$73</f>
        <v>2.1231422505307851E-3</v>
      </c>
      <c r="S73" s="149">
        <f>IFERROR(up_RadSpec!$T$7*$S$7,".")*$B$73</f>
        <v>2.3080084200708256E-3</v>
      </c>
      <c r="T73" s="149">
        <f>IFERROR(up_RadSpec!$P$7*$T$7,".")*$B$73</f>
        <v>9.0893688408936915E-4</v>
      </c>
      <c r="U73" s="136">
        <f t="shared" ref="U73:W73" si="328">IFERROR(U7/$B59,0)</f>
        <v>0.10971428571428574</v>
      </c>
      <c r="V73" s="136">
        <f t="shared" si="328"/>
        <v>175.20000000000002</v>
      </c>
      <c r="W73" s="136">
        <f t="shared" si="328"/>
        <v>0.10964562309317062</v>
      </c>
      <c r="X73" s="149">
        <f>IFERROR(up_RadSpec!$L$7*X7,".")*$B$73</f>
        <v>227.86458333333329</v>
      </c>
      <c r="Y73" s="149">
        <f>IFERROR(up_RadSpec!$O$7*$Y$7,".")*$B$73</f>
        <v>0.14269406392694062</v>
      </c>
      <c r="Z73" s="150">
        <f t="shared" si="41"/>
        <v>228.00727739726022</v>
      </c>
      <c r="AA73" s="136">
        <f t="shared" ref="AA73:AC73" si="329">IFERROR(AA7/$B59,0)</f>
        <v>2.5000000000000001E-2</v>
      </c>
      <c r="AB73" s="136">
        <f t="shared" si="329"/>
        <v>438</v>
      </c>
      <c r="AC73" s="136">
        <f t="shared" si="329"/>
        <v>2.4998573140802463E-2</v>
      </c>
      <c r="AD73" s="149">
        <f>IFERROR(up_RadSpec!$M$7*AD7,".")*$B$73</f>
        <v>1000</v>
      </c>
      <c r="AE73" s="149">
        <f>IFERROR(up_RadSpec!$Q$7*AE7,".")*$B$73</f>
        <v>5.7077625570776253E-2</v>
      </c>
      <c r="AF73" s="150">
        <f t="shared" si="42"/>
        <v>1000.0570776255707</v>
      </c>
      <c r="AG73" s="136">
        <f t="shared" ref="AG73:AL73" si="330">IFERROR(AG7/$B59,0)</f>
        <v>0.2</v>
      </c>
      <c r="AH73" s="136">
        <f t="shared" si="330"/>
        <v>8.3333333333333339E-4</v>
      </c>
      <c r="AI73" s="136">
        <f t="shared" si="330"/>
        <v>20</v>
      </c>
      <c r="AJ73" s="136">
        <f t="shared" si="330"/>
        <v>0.2</v>
      </c>
      <c r="AK73" s="136">
        <f t="shared" si="330"/>
        <v>8.3333333333333339E-4</v>
      </c>
      <c r="AL73" s="136">
        <f t="shared" si="330"/>
        <v>20</v>
      </c>
      <c r="AM73" s="149">
        <f>IFERROR(up_RadSpec!$J$7*AM7,".")*$B$73</f>
        <v>125</v>
      </c>
      <c r="AN73" s="149">
        <f>IFERROR(up_RadSpec!$J$7*AN7,".")*$B$73</f>
        <v>30000</v>
      </c>
      <c r="AO73" s="149">
        <f>IFERROR(up_RadSpec!$J$7*AO7,".")*$B$73</f>
        <v>1.25</v>
      </c>
      <c r="AP73" s="149">
        <f>IFERROR(up_RadSpec!$J$7*AP7,".")*$B$73</f>
        <v>125</v>
      </c>
      <c r="AQ73" s="149">
        <f>IFERROR(up_RadSpec!$J$7*AQ7,".")*$B$73</f>
        <v>30000</v>
      </c>
      <c r="AR73" s="149">
        <f>IFERROR(up_RadSpec!$J$7*AR7,".")*$B$73</f>
        <v>1.25</v>
      </c>
    </row>
    <row r="74" spans="1:44" x14ac:dyDescent="0.25">
      <c r="A74" s="148" t="s">
        <v>1083</v>
      </c>
      <c r="B74" s="141">
        <v>1.9000000000000001E-8</v>
      </c>
      <c r="C74" s="136">
        <f t="shared" ref="C74:F74" si="331">IFERROR(C12/$B60,0)</f>
        <v>191387559.80861241</v>
      </c>
      <c r="D74" s="136">
        <f t="shared" si="331"/>
        <v>1788942612098.1094</v>
      </c>
      <c r="E74" s="136">
        <f t="shared" si="331"/>
        <v>412685600794.4389</v>
      </c>
      <c r="F74" s="136">
        <f t="shared" si="331"/>
        <v>191278388.66323081</v>
      </c>
      <c r="G74" s="149">
        <f>IFERROR(up_RadSpec!$I$12*G12,".")*$B$74</f>
        <v>1.3062500000000002E-7</v>
      </c>
      <c r="H74" s="149">
        <f>IFERROR(up_RadSpec!$L$12*$H$12,".")*B74</f>
        <v>1.3974735595726841E-11</v>
      </c>
      <c r="I74" s="149">
        <f>IFERROR(up_RadSpec!$K$12*$I$12,".")*B74</f>
        <v>6.0578803699169152E-11</v>
      </c>
      <c r="J74" s="150">
        <f t="shared" si="39"/>
        <v>1.3069955353929491E-7</v>
      </c>
      <c r="K74" s="136">
        <f t="shared" ref="K74" si="332">IFERROR(K12/$B60,0)</f>
        <v>412685600794.4389</v>
      </c>
      <c r="L74" s="136">
        <f t="shared" ref="L74:O74" si="333">IFERROR(L12/$B60,0)</f>
        <v>740384436116.85986</v>
      </c>
      <c r="M74" s="136">
        <f t="shared" si="333"/>
        <v>536843599983.05957</v>
      </c>
      <c r="N74" s="136">
        <f t="shared" si="333"/>
        <v>474107773158.67896</v>
      </c>
      <c r="O74" s="136">
        <f t="shared" si="333"/>
        <v>1278088077336.1978</v>
      </c>
      <c r="P74" s="149">
        <f>IFERROR(up_RadSpec!$K$12*$P$12,".")*$B$74</f>
        <v>6.0578803699169152E-11</v>
      </c>
      <c r="Q74" s="149">
        <f>IFERROR(up_RadSpec!$R$12*$Q$12,".")*$B$74</f>
        <v>3.3766241941982262E-11</v>
      </c>
      <c r="R74" s="149">
        <f>IFERROR(up_RadSpec!$S$12*$R$12,".")*$B$74</f>
        <v>4.6568497791142317E-11</v>
      </c>
      <c r="S74" s="149">
        <f>IFERROR(up_RadSpec!$T$12*$S$12,".")*$B$74</f>
        <v>5.2730626695784557E-11</v>
      </c>
      <c r="T74" s="149">
        <f>IFERROR(up_RadSpec!$P$12*$T$12,".")*$B$74</f>
        <v>1.9560467266156819E-11</v>
      </c>
      <c r="U74" s="136">
        <f t="shared" ref="U74:W74" si="334">IFERROR(U12/$B60,0)</f>
        <v>5774436.0902255643</v>
      </c>
      <c r="V74" s="136">
        <f t="shared" si="334"/>
        <v>9221052631.5789471</v>
      </c>
      <c r="W74" s="136">
        <f t="shared" si="334"/>
        <v>5770822.2680616109</v>
      </c>
      <c r="X74" s="149">
        <f>IFERROR(up_RadSpec!$L$12*X12,".")*$B$74</f>
        <v>4.3294270833333325E-6</v>
      </c>
      <c r="Y74" s="149">
        <f>IFERROR(up_RadSpec!$O$12*$Y$12,".")*$B$74</f>
        <v>2.7111872146118721E-9</v>
      </c>
      <c r="Z74" s="150">
        <f t="shared" si="41"/>
        <v>4.3321382705479445E-6</v>
      </c>
      <c r="AA74" s="136">
        <f t="shared" ref="AA74:AC74" si="335">IFERROR(AA12/$B60,0)</f>
        <v>1315789.4736842106</v>
      </c>
      <c r="AB74" s="136">
        <f t="shared" si="335"/>
        <v>23052631578.947369</v>
      </c>
      <c r="AC74" s="136">
        <f t="shared" si="335"/>
        <v>1315714.3758317085</v>
      </c>
      <c r="AD74" s="149">
        <f>IFERROR(up_RadSpec!$M$12*AD12,".")*$B$74</f>
        <v>1.9000000000000001E-5</v>
      </c>
      <c r="AE74" s="149">
        <f>IFERROR(up_RadSpec!$Q$12*AE12,".")*$B$74</f>
        <v>1.0844748858447489E-9</v>
      </c>
      <c r="AF74" s="150">
        <f t="shared" si="42"/>
        <v>1.9001084474885847E-5</v>
      </c>
      <c r="AG74" s="136">
        <f t="shared" ref="AG74:AL74" si="336">IFERROR(AG12/$B60,0)</f>
        <v>10526315.789473685</v>
      </c>
      <c r="AH74" s="136">
        <f t="shared" si="336"/>
        <v>43859.649122807015</v>
      </c>
      <c r="AI74" s="136">
        <f t="shared" si="336"/>
        <v>1052631578.9473684</v>
      </c>
      <c r="AJ74" s="136">
        <f t="shared" si="336"/>
        <v>10526315.789473685</v>
      </c>
      <c r="AK74" s="136">
        <f t="shared" si="336"/>
        <v>43859.649122807015</v>
      </c>
      <c r="AL74" s="136">
        <f t="shared" si="336"/>
        <v>1052631578.9473684</v>
      </c>
      <c r="AM74" s="149">
        <f>IFERROR(up_RadSpec!$J$12*AM12,".")*$B$74</f>
        <v>2.3750000000000001E-6</v>
      </c>
      <c r="AN74" s="149">
        <f>IFERROR(up_RadSpec!$J$12*AN12,".")*$B$74</f>
        <v>5.7000000000000009E-4</v>
      </c>
      <c r="AO74" s="149">
        <f>IFERROR(up_RadSpec!$J$12*AO12,".")*$B$74</f>
        <v>2.3750000000000001E-8</v>
      </c>
      <c r="AP74" s="149">
        <f>IFERROR(up_RadSpec!$J$12*AP12,".")*$B$74</f>
        <v>2.3750000000000001E-6</v>
      </c>
      <c r="AQ74" s="149">
        <f>IFERROR(up_RadSpec!$J$12*AQ12,".")*$B$74</f>
        <v>5.7000000000000009E-4</v>
      </c>
      <c r="AR74" s="149">
        <f>IFERROR(up_RadSpec!$J$12*AR12,".")*$B$74</f>
        <v>2.3750000000000001E-8</v>
      </c>
    </row>
    <row r="75" spans="1:44" x14ac:dyDescent="0.25">
      <c r="A75" s="148" t="s">
        <v>1084</v>
      </c>
      <c r="B75" s="141">
        <v>1</v>
      </c>
      <c r="C75" s="136">
        <f t="shared" ref="C75:F75" si="337">IFERROR(C18/$B61,0)</f>
        <v>3.6363636363636362</v>
      </c>
      <c r="D75" s="136">
        <f t="shared" si="337"/>
        <v>33989.90962986408</v>
      </c>
      <c r="E75" s="136">
        <f t="shared" si="337"/>
        <v>3940.1015479876173</v>
      </c>
      <c r="F75" s="136">
        <f t="shared" si="337"/>
        <v>3.6326224175412216</v>
      </c>
      <c r="G75" s="149">
        <f>IFERROR(up_RadSpec!$I$18*G18,".")*$B$75</f>
        <v>6.875</v>
      </c>
      <c r="H75" s="149">
        <f>IFERROR(up_RadSpec!$L$18*$H$18,".")*B75</f>
        <v>7.3551239977509683E-4</v>
      </c>
      <c r="I75" s="149">
        <f>IFERROR(up_RadSpec!$K$18*$I$18,".")*B75</f>
        <v>6.3450141311125838E-3</v>
      </c>
      <c r="J75" s="150">
        <f t="shared" si="39"/>
        <v>6.8820805265308875</v>
      </c>
      <c r="K75" s="136">
        <f t="shared" ref="K75" si="338">IFERROR(K18/$B61,0)</f>
        <v>3940.1015479876173</v>
      </c>
      <c r="L75" s="136">
        <f t="shared" ref="L75:O75" si="339">IFERROR(L18/$B61,0)</f>
        <v>7796.3172804532587</v>
      </c>
      <c r="M75" s="136">
        <f t="shared" si="339"/>
        <v>5459.7264747907748</v>
      </c>
      <c r="N75" s="136">
        <f t="shared" si="339"/>
        <v>4523.4819879579563</v>
      </c>
      <c r="O75" s="136">
        <f t="shared" si="339"/>
        <v>13252.30769230769</v>
      </c>
      <c r="P75" s="149">
        <f>IFERROR(up_RadSpec!$K$18*$P$18,".")*$B$75</f>
        <v>6.3450141311125838E-3</v>
      </c>
      <c r="Q75" s="149">
        <f>IFERROR(up_RadSpec!$R$18*$Q$18,".")*$B$75</f>
        <v>3.2066422005014349E-3</v>
      </c>
      <c r="R75" s="149">
        <f>IFERROR(up_RadSpec!$S$18*$R$18,".")*$B$75</f>
        <v>4.5789839684153844E-3</v>
      </c>
      <c r="S75" s="149">
        <f>IFERROR(up_RadSpec!$T$18*$S$18,".")*$B$75</f>
        <v>5.5267159384193316E-3</v>
      </c>
      <c r="T75" s="149">
        <f>IFERROR(up_RadSpec!$P$18*$T$18,".")*$B$75</f>
        <v>1.8864638959832833E-3</v>
      </c>
      <c r="U75" s="136">
        <f t="shared" ref="U75:W75" si="340">IFERROR(U18/$B61,0)</f>
        <v>0.10971428571428574</v>
      </c>
      <c r="V75" s="136">
        <f t="shared" si="340"/>
        <v>175.20000000000002</v>
      </c>
      <c r="W75" s="136">
        <f t="shared" si="340"/>
        <v>0.10964562309317062</v>
      </c>
      <c r="X75" s="149">
        <f>IFERROR(up_RadSpec!$L$18*X18,".")*$B$75</f>
        <v>227.86458333333329</v>
      </c>
      <c r="Y75" s="149">
        <f>IFERROR(up_RadSpec!$O$18*$Y$18,".")*$B$75</f>
        <v>0.14269406392694062</v>
      </c>
      <c r="Z75" s="150">
        <f t="shared" si="41"/>
        <v>228.00727739726022</v>
      </c>
      <c r="AA75" s="136">
        <f t="shared" ref="AA75:AC75" si="341">IFERROR(AA18/$B61,0)</f>
        <v>2.5000000000000001E-2</v>
      </c>
      <c r="AB75" s="136">
        <f t="shared" si="341"/>
        <v>438</v>
      </c>
      <c r="AC75" s="136">
        <f t="shared" si="341"/>
        <v>2.4998573140802463E-2</v>
      </c>
      <c r="AD75" s="149">
        <f>IFERROR(up_RadSpec!$M$18*AD18,".")*$B$75</f>
        <v>1000</v>
      </c>
      <c r="AE75" s="149">
        <f>IFERROR(up_RadSpec!$Q$18*AE18,".")*$B$75</f>
        <v>5.7077625570776253E-2</v>
      </c>
      <c r="AF75" s="150">
        <f t="shared" si="42"/>
        <v>1000.0570776255707</v>
      </c>
      <c r="AG75" s="136">
        <f t="shared" ref="AG75:AL75" si="342">IFERROR(AG18/$B61,0)</f>
        <v>0.2</v>
      </c>
      <c r="AH75" s="136">
        <f t="shared" si="342"/>
        <v>8.3333333333333339E-4</v>
      </c>
      <c r="AI75" s="136">
        <f t="shared" si="342"/>
        <v>20</v>
      </c>
      <c r="AJ75" s="136">
        <f t="shared" si="342"/>
        <v>0.2</v>
      </c>
      <c r="AK75" s="136">
        <f t="shared" si="342"/>
        <v>8.3333333333333339E-4</v>
      </c>
      <c r="AL75" s="136">
        <f t="shared" si="342"/>
        <v>20</v>
      </c>
      <c r="AM75" s="149">
        <f>IFERROR(up_RadSpec!$J$18*AM18,".")*$B$75</f>
        <v>125</v>
      </c>
      <c r="AN75" s="149">
        <f>IFERROR(up_RadSpec!$J$18*AN18,".")*$B$75</f>
        <v>30000</v>
      </c>
      <c r="AO75" s="149">
        <f>IFERROR(up_RadSpec!$J$18*AO18,".")*$B$75</f>
        <v>1.25</v>
      </c>
      <c r="AP75" s="149">
        <f>IFERROR(up_RadSpec!$J$18*AP18,".")*$B$75</f>
        <v>125</v>
      </c>
      <c r="AQ75" s="149">
        <f>IFERROR(up_RadSpec!$J$18*AQ18,".")*$B$75</f>
        <v>30000</v>
      </c>
      <c r="AR75" s="149">
        <f>IFERROR(up_RadSpec!$J$18*AR18,".")*$B$75</f>
        <v>1.25</v>
      </c>
    </row>
    <row r="76" spans="1:44" x14ac:dyDescent="0.25">
      <c r="A76" s="148" t="s">
        <v>1085</v>
      </c>
      <c r="B76" s="141">
        <v>1.339E-6</v>
      </c>
      <c r="C76" s="136">
        <f t="shared" ref="C76:F76" si="343">IFERROR(C27/$B62,0)</f>
        <v>2715730.8710706769</v>
      </c>
      <c r="D76" s="136">
        <f t="shared" si="343"/>
        <v>25384547893.849201</v>
      </c>
      <c r="E76" s="136">
        <f t="shared" si="343"/>
        <v>4829110388.3899117</v>
      </c>
      <c r="F76" s="136">
        <f t="shared" si="343"/>
        <v>2713914.3116539875</v>
      </c>
      <c r="G76" s="149">
        <f>IFERROR(up_RadSpec!$I$27*G27,".")*$B$76</f>
        <v>9.2056250000000005E-6</v>
      </c>
      <c r="H76" s="149">
        <f>IFERROR(up_RadSpec!$L$27*$H$27,".")*B76</f>
        <v>9.8485110329885471E-10</v>
      </c>
      <c r="I76" s="149">
        <f>IFERROR(up_RadSpec!$K$27*$I$27,".")*B76</f>
        <v>5.1769369489056818E-9</v>
      </c>
      <c r="J76" s="150">
        <f t="shared" si="39"/>
        <v>9.2117867880522039E-6</v>
      </c>
      <c r="K76" s="136">
        <f t="shared" ref="K76" si="344">IFERROR(K27/$B62,0)</f>
        <v>4829110388.3899117</v>
      </c>
      <c r="L76" s="136">
        <f t="shared" ref="L76:O76" si="345">IFERROR(L27/$B62,0)</f>
        <v>14323965252.938181</v>
      </c>
      <c r="M76" s="136">
        <f t="shared" si="345"/>
        <v>8781667810.7940254</v>
      </c>
      <c r="N76" s="136">
        <f t="shared" si="345"/>
        <v>6388324075.2349977</v>
      </c>
      <c r="O76" s="136">
        <f t="shared" si="345"/>
        <v>44805111773.721016</v>
      </c>
      <c r="P76" s="149">
        <f>IFERROR(up_RadSpec!$K$27*$P$27,".")*$B$76</f>
        <v>5.1769369489056818E-9</v>
      </c>
      <c r="Q76" s="149">
        <f>IFERROR(up_RadSpec!$R$27*$Q$27,".")*$B$76</f>
        <v>1.7453267694063915E-9</v>
      </c>
      <c r="R76" s="149">
        <f>IFERROR(up_RadSpec!$S$27*$R$27,".")*$B$76</f>
        <v>2.8468396366885054E-9</v>
      </c>
      <c r="S76" s="149">
        <f>IFERROR(up_RadSpec!$T$27*$S$27,".")*$B$76</f>
        <v>3.9133894438629213E-9</v>
      </c>
      <c r="T76" s="149">
        <f>IFERROR(up_RadSpec!$P$27*$T$27,".")*$B$76</f>
        <v>5.5797204850770933E-10</v>
      </c>
      <c r="U76" s="136">
        <f t="shared" ref="U76:W76" si="346">IFERROR(U27/$B62,0)</f>
        <v>81937.479995732443</v>
      </c>
      <c r="V76" s="136">
        <f t="shared" si="346"/>
        <v>130843913.36818522</v>
      </c>
      <c r="W76" s="136">
        <f t="shared" si="346"/>
        <v>81886.200965773431</v>
      </c>
      <c r="X76" s="149">
        <f>IFERROR(up_RadSpec!$L$27*X27,".")*$B$76</f>
        <v>3.0511067708333329E-4</v>
      </c>
      <c r="Y76" s="149">
        <f>IFERROR(up_RadSpec!$O$27*$Y$27,".")*$B$76</f>
        <v>1.9106735159817348E-7</v>
      </c>
      <c r="Z76" s="150">
        <f t="shared" si="41"/>
        <v>3.0530174443493146E-4</v>
      </c>
      <c r="AA76" s="136">
        <f t="shared" ref="AA76:AC76" si="347">IFERROR(AA27/$B62,0)</f>
        <v>18670.649738610904</v>
      </c>
      <c r="AB76" s="136">
        <f t="shared" si="347"/>
        <v>327109783.42046303</v>
      </c>
      <c r="AC76" s="136">
        <f t="shared" si="347"/>
        <v>18669.584123078763</v>
      </c>
      <c r="AD76" s="149">
        <f>IFERROR(up_RadSpec!$M$27*AD27,".")*$B$76</f>
        <v>1.3389999999999999E-3</v>
      </c>
      <c r="AE76" s="149">
        <f>IFERROR(up_RadSpec!$Q$27*AE27,".")*$B$76</f>
        <v>7.6426940639269405E-8</v>
      </c>
      <c r="AF76" s="150">
        <f t="shared" si="42"/>
        <v>1.3390764269406391E-3</v>
      </c>
      <c r="AG76" s="136">
        <f t="shared" ref="AG76:AL76" si="348">IFERROR(AG27/$B62,0)</f>
        <v>149365.19790888723</v>
      </c>
      <c r="AH76" s="136">
        <f t="shared" si="348"/>
        <v>622.3549912870302</v>
      </c>
      <c r="AI76" s="136">
        <f t="shared" si="348"/>
        <v>14936519.790888723</v>
      </c>
      <c r="AJ76" s="136">
        <f t="shared" si="348"/>
        <v>149365.19790888723</v>
      </c>
      <c r="AK76" s="136">
        <f t="shared" si="348"/>
        <v>622.3549912870302</v>
      </c>
      <c r="AL76" s="136">
        <f t="shared" si="348"/>
        <v>14936519.790888723</v>
      </c>
      <c r="AM76" s="149">
        <f>IFERROR(up_RadSpec!$J$27*AM27,".")*$B$76</f>
        <v>1.6737499999999999E-4</v>
      </c>
      <c r="AN76" s="149">
        <f>IFERROR(up_RadSpec!$J$27*AN27,".")*$B$76</f>
        <v>4.0169999999999997E-2</v>
      </c>
      <c r="AO76" s="149">
        <f>IFERROR(up_RadSpec!$J$27*AO27,".")*$B$76</f>
        <v>1.6737500000000001E-6</v>
      </c>
      <c r="AP76" s="149">
        <f>IFERROR(up_RadSpec!$J$27*AP27,".")*$B$76</f>
        <v>1.6737499999999999E-4</v>
      </c>
      <c r="AQ76" s="149">
        <f>IFERROR(up_RadSpec!$J$27*AQ27,".")*$B$76</f>
        <v>4.0169999999999997E-2</v>
      </c>
      <c r="AR76" s="149">
        <f>IFERROR(up_RadSpec!$J$27*AR27,".")*$B$76</f>
        <v>1.6737500000000001E-6</v>
      </c>
    </row>
  </sheetData>
  <sheetProtection algorithmName="SHA-512" hashValue="iXTxvoh0qrWCiUooNlWMmLkYJy9rbaECrKKDxtfOfV0FQfCjToawDAx4QKX3K/VlOUZOwdWe0hamHyJ7eiyZPQ==" saltValue="OuFBDgR6N4AdgtXFGSWg4g==" spinCount="100000" sheet="1" objects="1" scenarios="1" formatColumns="0" formatRows="0" autoFilter="0"/>
  <autoFilter ref="A1:AF1299" xr:uid="{00000000-0009-0000-0000-000020000000}"/>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9" tint="-0.499984740745262"/>
  </sheetPr>
  <dimension ref="A1:F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129" bestFit="1" customWidth="1"/>
    <col min="2" max="2" width="11.7109375" style="129" bestFit="1" customWidth="1"/>
    <col min="3" max="4" width="16.28515625" style="127" bestFit="1" customWidth="1"/>
    <col min="5" max="5" width="13.85546875" style="127" bestFit="1" customWidth="1"/>
    <col min="6" max="6" width="13.7109375" style="127" bestFit="1" customWidth="1"/>
    <col min="7" max="16384" width="9.140625" style="127"/>
  </cols>
  <sheetData>
    <row r="1" spans="1:6" x14ac:dyDescent="0.25">
      <c r="A1" s="125" t="s">
        <v>39</v>
      </c>
      <c r="B1" s="126" t="s">
        <v>335</v>
      </c>
      <c r="C1" s="127" t="s">
        <v>1306</v>
      </c>
      <c r="D1" s="127" t="s">
        <v>1307</v>
      </c>
      <c r="E1" s="127" t="s">
        <v>1308</v>
      </c>
      <c r="F1" s="127" t="s">
        <v>1309</v>
      </c>
    </row>
    <row r="2" spans="1:6" x14ac:dyDescent="0.25">
      <c r="A2" s="128" t="s">
        <v>0</v>
      </c>
      <c r="B2" s="129" t="s">
        <v>1059</v>
      </c>
      <c r="C2" s="130">
        <f>IF(up_RadSpec!BA2*s_DAF=0,".",up_RadSpec!BA2*s_DAF)</f>
        <v>36.407844783957088</v>
      </c>
      <c r="D2" s="130">
        <f>IFERROR(up_res!AH2*s_DAF,".")</f>
        <v>1.505662771035762E-3</v>
      </c>
      <c r="E2" s="130">
        <f t="shared" ref="E2:F30" si="0">IFERROR((C2*s_ls2gw*s_ED_s2gw)/(s_ρb*s_d_s*1000),".")</f>
        <v>0.12742745674384981</v>
      </c>
      <c r="F2" s="130">
        <f t="shared" si="0"/>
        <v>5.2698196986251662E-6</v>
      </c>
    </row>
    <row r="3" spans="1:6" x14ac:dyDescent="0.25">
      <c r="A3" s="131" t="s">
        <v>1</v>
      </c>
      <c r="B3" s="129" t="s">
        <v>336</v>
      </c>
      <c r="C3" s="130">
        <f>IF(up_RadSpec!BA3*s_DAF=0,".",up_RadSpec!BA3*s_DAF)</f>
        <v>36.407844783957088</v>
      </c>
      <c r="D3" s="130">
        <f>IFERROR(up_res!AH3*s_DAF,".")</f>
        <v>1.505662771035762E-3</v>
      </c>
      <c r="E3" s="130">
        <f t="shared" si="0"/>
        <v>0.12742745674384981</v>
      </c>
      <c r="F3" s="130">
        <f t="shared" si="0"/>
        <v>5.2698196986251662E-6</v>
      </c>
    </row>
    <row r="4" spans="1:6" x14ac:dyDescent="0.25">
      <c r="A4" s="128" t="s">
        <v>2</v>
      </c>
      <c r="B4" s="129" t="s">
        <v>1059</v>
      </c>
      <c r="C4" s="130">
        <f>IF(up_RadSpec!BA4*s_DAF=0,".",up_RadSpec!BA4*s_DAF)</f>
        <v>36.407844783957088</v>
      </c>
      <c r="D4" s="130">
        <f>IFERROR(up_res!AH4*s_DAF,".")</f>
        <v>1.505662771035762E-3</v>
      </c>
      <c r="E4" s="130">
        <f t="shared" si="0"/>
        <v>0.12742745674384981</v>
      </c>
      <c r="F4" s="130">
        <f t="shared" si="0"/>
        <v>5.2698196986251662E-6</v>
      </c>
    </row>
    <row r="5" spans="1:6" x14ac:dyDescent="0.25">
      <c r="A5" s="128" t="s">
        <v>3</v>
      </c>
      <c r="B5" s="129" t="s">
        <v>1059</v>
      </c>
      <c r="C5" s="130">
        <f>IF(up_RadSpec!BA5*s_DAF=0,".",up_RadSpec!BA5*s_DAF)</f>
        <v>36.407844783957088</v>
      </c>
      <c r="D5" s="130">
        <f>IFERROR(up_res!AH5*s_DAF,".")</f>
        <v>1.505662771035762E-3</v>
      </c>
      <c r="E5" s="130">
        <f t="shared" si="0"/>
        <v>0.12742745674384981</v>
      </c>
      <c r="F5" s="130">
        <f t="shared" si="0"/>
        <v>5.2698196986251662E-6</v>
      </c>
    </row>
    <row r="6" spans="1:6" x14ac:dyDescent="0.25">
      <c r="A6" s="128" t="s">
        <v>4</v>
      </c>
      <c r="B6" s="129" t="s">
        <v>1059</v>
      </c>
      <c r="C6" s="130">
        <f>IF(up_RadSpec!BA6*s_DAF=0,".",up_RadSpec!BA6*s_DAF)</f>
        <v>36.407844783957088</v>
      </c>
      <c r="D6" s="130">
        <f>IFERROR(up_res!AH6*s_DAF,".")</f>
        <v>1.505662771035762E-3</v>
      </c>
      <c r="E6" s="130">
        <f t="shared" si="0"/>
        <v>0.12742745674384981</v>
      </c>
      <c r="F6" s="130">
        <f t="shared" si="0"/>
        <v>5.2698196986251662E-6</v>
      </c>
    </row>
    <row r="7" spans="1:6" x14ac:dyDescent="0.25">
      <c r="A7" s="128" t="s">
        <v>5</v>
      </c>
      <c r="B7" s="129" t="s">
        <v>1059</v>
      </c>
      <c r="C7" s="130">
        <f>IF(up_RadSpec!BA7*s_DAF=0,".",up_RadSpec!BA7*s_DAF)</f>
        <v>36.407844783957088</v>
      </c>
      <c r="D7" s="130">
        <f>IFERROR(up_res!AH7*s_DAF,".")</f>
        <v>1.505662771035762E-3</v>
      </c>
      <c r="E7" s="130">
        <f t="shared" si="0"/>
        <v>0.12742745674384981</v>
      </c>
      <c r="F7" s="130">
        <f t="shared" si="0"/>
        <v>5.2698196986251662E-6</v>
      </c>
    </row>
    <row r="8" spans="1:6" x14ac:dyDescent="0.25">
      <c r="A8" s="128" t="s">
        <v>6</v>
      </c>
      <c r="B8" s="129" t="s">
        <v>1059</v>
      </c>
      <c r="C8" s="130">
        <f>IF(up_RadSpec!BA8*s_DAF=0,".",up_RadSpec!BA8*s_DAF)</f>
        <v>36.407844783957088</v>
      </c>
      <c r="D8" s="130">
        <f>IFERROR(up_res!AH8*s_DAF,".")</f>
        <v>1.505662771035762E-3</v>
      </c>
      <c r="E8" s="130">
        <f t="shared" si="0"/>
        <v>0.12742745674384981</v>
      </c>
      <c r="F8" s="130">
        <f t="shared" si="0"/>
        <v>5.2698196986251662E-6</v>
      </c>
    </row>
    <row r="9" spans="1:6" x14ac:dyDescent="0.25">
      <c r="A9" s="128" t="s">
        <v>7</v>
      </c>
      <c r="B9" s="129" t="s">
        <v>1059</v>
      </c>
      <c r="C9" s="130">
        <f>IF(up_RadSpec!BA9*s_DAF=0,".",up_RadSpec!BA9*s_DAF)</f>
        <v>36.407844783957088</v>
      </c>
      <c r="D9" s="130">
        <f>IFERROR(up_res!AH9*s_DAF,".")</f>
        <v>1.505662771035762E-3</v>
      </c>
      <c r="E9" s="130">
        <f t="shared" si="0"/>
        <v>0.12742745674384981</v>
      </c>
      <c r="F9" s="130">
        <f t="shared" si="0"/>
        <v>5.2698196986251662E-6</v>
      </c>
    </row>
    <row r="10" spans="1:6" x14ac:dyDescent="0.25">
      <c r="A10" s="131" t="s">
        <v>8</v>
      </c>
      <c r="B10" s="129" t="s">
        <v>336</v>
      </c>
      <c r="C10" s="130">
        <f>IF(up_RadSpec!BA10*s_DAF=0,".",up_RadSpec!BA10*s_DAF)</f>
        <v>36.407844783957088</v>
      </c>
      <c r="D10" s="130">
        <f>IFERROR(up_res!AH10*s_DAF,".")</f>
        <v>1.505662771035762E-3</v>
      </c>
      <c r="E10" s="130">
        <f t="shared" si="0"/>
        <v>0.12742745674384981</v>
      </c>
      <c r="F10" s="130">
        <f t="shared" si="0"/>
        <v>5.2698196986251662E-6</v>
      </c>
    </row>
    <row r="11" spans="1:6" x14ac:dyDescent="0.25">
      <c r="A11" s="128" t="s">
        <v>9</v>
      </c>
      <c r="B11" s="129" t="s">
        <v>1059</v>
      </c>
      <c r="C11" s="130">
        <f>IF(up_RadSpec!BA11*s_DAF=0,".",up_RadSpec!BA11*s_DAF)</f>
        <v>36.407844783957088</v>
      </c>
      <c r="D11" s="130">
        <f>IFERROR(up_res!AH11*s_DAF,".")</f>
        <v>1.505662771035762E-3</v>
      </c>
      <c r="E11" s="130">
        <f t="shared" si="0"/>
        <v>0.12742745674384981</v>
      </c>
      <c r="F11" s="130">
        <f t="shared" si="0"/>
        <v>5.2698196986251662E-6</v>
      </c>
    </row>
    <row r="12" spans="1:6" x14ac:dyDescent="0.25">
      <c r="A12" s="128" t="s">
        <v>10</v>
      </c>
      <c r="B12" s="129" t="s">
        <v>1059</v>
      </c>
      <c r="C12" s="130">
        <f>IF(up_RadSpec!BA12*s_DAF=0,".",up_RadSpec!BA12*s_DAF)</f>
        <v>36.407844783957088</v>
      </c>
      <c r="D12" s="130">
        <f>IFERROR(up_res!AH12*s_DAF,".")</f>
        <v>1.505662771035762E-3</v>
      </c>
      <c r="E12" s="130">
        <f t="shared" si="0"/>
        <v>0.12742745674384981</v>
      </c>
      <c r="F12" s="130">
        <f t="shared" si="0"/>
        <v>5.2698196986251662E-6</v>
      </c>
    </row>
    <row r="13" spans="1:6" x14ac:dyDescent="0.25">
      <c r="A13" s="128" t="s">
        <v>11</v>
      </c>
      <c r="B13" s="129" t="s">
        <v>1059</v>
      </c>
      <c r="C13" s="130">
        <f>IF(up_RadSpec!BA13*s_DAF=0,".",up_RadSpec!BA13*s_DAF)</f>
        <v>36.407844783957088</v>
      </c>
      <c r="D13" s="130">
        <f>IFERROR(up_res!AH13*s_DAF,".")</f>
        <v>1.505662771035762E-3</v>
      </c>
      <c r="E13" s="130">
        <f t="shared" si="0"/>
        <v>0.12742745674384981</v>
      </c>
      <c r="F13" s="130">
        <f t="shared" si="0"/>
        <v>5.2698196986251662E-6</v>
      </c>
    </row>
    <row r="14" spans="1:6" x14ac:dyDescent="0.25">
      <c r="A14" s="128" t="s">
        <v>12</v>
      </c>
      <c r="B14" s="129" t="s">
        <v>1059</v>
      </c>
      <c r="C14" s="130">
        <f>IF(up_RadSpec!BA14*s_DAF=0,".",up_RadSpec!BA14*s_DAF)</f>
        <v>36.407844783957088</v>
      </c>
      <c r="D14" s="130">
        <f>IFERROR(up_res!AH14*s_DAF,".")</f>
        <v>1.505662771035762E-3</v>
      </c>
      <c r="E14" s="130">
        <f t="shared" si="0"/>
        <v>0.12742745674384981</v>
      </c>
      <c r="F14" s="130">
        <f t="shared" si="0"/>
        <v>5.2698196986251662E-6</v>
      </c>
    </row>
    <row r="15" spans="1:6" x14ac:dyDescent="0.25">
      <c r="A15" s="128" t="s">
        <v>13</v>
      </c>
      <c r="B15" s="129" t="s">
        <v>1059</v>
      </c>
      <c r="C15" s="130">
        <f>IF(up_RadSpec!BA15*s_DAF=0,".",up_RadSpec!BA15*s_DAF)</f>
        <v>36.407844783957088</v>
      </c>
      <c r="D15" s="130">
        <f>IFERROR(up_res!AH15*s_DAF,".")</f>
        <v>1.505662771035762E-3</v>
      </c>
      <c r="E15" s="130">
        <f t="shared" si="0"/>
        <v>0.12742745674384981</v>
      </c>
      <c r="F15" s="130">
        <f t="shared" si="0"/>
        <v>5.2698196986251662E-6</v>
      </c>
    </row>
    <row r="16" spans="1:6" x14ac:dyDescent="0.25">
      <c r="A16" s="128" t="s">
        <v>14</v>
      </c>
      <c r="B16" s="129" t="s">
        <v>1059</v>
      </c>
      <c r="C16" s="130">
        <f>IF(up_RadSpec!BA16*s_DAF=0,".",up_RadSpec!BA16*s_DAF)</f>
        <v>36.407844783957088</v>
      </c>
      <c r="D16" s="130">
        <f>IFERROR(up_res!AH16*s_DAF,".")</f>
        <v>1.505662771035762E-3</v>
      </c>
      <c r="E16" s="130">
        <f t="shared" si="0"/>
        <v>0.12742745674384981</v>
      </c>
      <c r="F16" s="130">
        <f t="shared" si="0"/>
        <v>5.2698196986251662E-6</v>
      </c>
    </row>
    <row r="17" spans="1:6" x14ac:dyDescent="0.25">
      <c r="A17" s="128" t="s">
        <v>15</v>
      </c>
      <c r="B17" s="129" t="s">
        <v>1059</v>
      </c>
      <c r="C17" s="130">
        <f>IF(up_RadSpec!BA17*s_DAF=0,".",up_RadSpec!BA17*s_DAF)</f>
        <v>36.407844783957088</v>
      </c>
      <c r="D17" s="130">
        <f>IFERROR(up_res!AH17*s_DAF,".")</f>
        <v>1.505662771035762E-3</v>
      </c>
      <c r="E17" s="130">
        <f t="shared" si="0"/>
        <v>0.12742745674384981</v>
      </c>
      <c r="F17" s="130">
        <f t="shared" si="0"/>
        <v>5.2698196986251662E-6</v>
      </c>
    </row>
    <row r="18" spans="1:6" x14ac:dyDescent="0.25">
      <c r="A18" s="128" t="s">
        <v>16</v>
      </c>
      <c r="B18" s="129" t="s">
        <v>1059</v>
      </c>
      <c r="C18" s="130">
        <f>IF(up_RadSpec!BA18*s_DAF=0,".",up_RadSpec!BA18*s_DAF)</f>
        <v>36.407844783957088</v>
      </c>
      <c r="D18" s="130">
        <f>IFERROR(up_res!AH18*s_DAF,".")</f>
        <v>1.505662771035762E-3</v>
      </c>
      <c r="E18" s="130">
        <f t="shared" si="0"/>
        <v>0.12742745674384981</v>
      </c>
      <c r="F18" s="130">
        <f t="shared" si="0"/>
        <v>5.2698196986251662E-6</v>
      </c>
    </row>
    <row r="19" spans="1:6" x14ac:dyDescent="0.25">
      <c r="A19" s="128" t="s">
        <v>17</v>
      </c>
      <c r="B19" s="129" t="s">
        <v>1059</v>
      </c>
      <c r="C19" s="130">
        <f>IF(up_RadSpec!BA19*s_DAF=0,".",up_RadSpec!BA19*s_DAF)</f>
        <v>36.407844783957088</v>
      </c>
      <c r="D19" s="130">
        <f>IFERROR(up_res!AH19*s_DAF,".")</f>
        <v>1.505662771035762E-3</v>
      </c>
      <c r="E19" s="130">
        <f t="shared" si="0"/>
        <v>0.12742745674384981</v>
      </c>
      <c r="F19" s="130">
        <f t="shared" si="0"/>
        <v>5.2698196986251662E-6</v>
      </c>
    </row>
    <row r="20" spans="1:6" x14ac:dyDescent="0.25">
      <c r="A20" s="128" t="s">
        <v>18</v>
      </c>
      <c r="B20" s="129" t="s">
        <v>1059</v>
      </c>
      <c r="C20" s="130">
        <f>IF(up_RadSpec!BA20*s_DAF=0,".",up_RadSpec!BA20*s_DAF)</f>
        <v>36.407844783957088</v>
      </c>
      <c r="D20" s="130">
        <f>IFERROR(up_res!AH20*s_DAF,".")</f>
        <v>1.505662771035762E-3</v>
      </c>
      <c r="E20" s="130">
        <f t="shared" si="0"/>
        <v>0.12742745674384981</v>
      </c>
      <c r="F20" s="130">
        <f t="shared" si="0"/>
        <v>5.2698196986251662E-6</v>
      </c>
    </row>
    <row r="21" spans="1:6" x14ac:dyDescent="0.25">
      <c r="A21" s="128" t="s">
        <v>19</v>
      </c>
      <c r="B21" s="129" t="s">
        <v>1059</v>
      </c>
      <c r="C21" s="130">
        <f>IF(up_RadSpec!BA21*s_DAF=0,".",up_RadSpec!BA21*s_DAF)</f>
        <v>36.407844783957088</v>
      </c>
      <c r="D21" s="130">
        <f>IFERROR(up_res!AH21*s_DAF,".")</f>
        <v>1.505662771035762E-3</v>
      </c>
      <c r="E21" s="130">
        <f t="shared" si="0"/>
        <v>0.12742745674384981</v>
      </c>
      <c r="F21" s="130">
        <f t="shared" si="0"/>
        <v>5.2698196986251662E-6</v>
      </c>
    </row>
    <row r="22" spans="1:6" x14ac:dyDescent="0.25">
      <c r="A22" s="128" t="s">
        <v>20</v>
      </c>
      <c r="B22" s="129" t="s">
        <v>1059</v>
      </c>
      <c r="C22" s="130">
        <f>IF(up_RadSpec!BA22*s_DAF=0,".",up_RadSpec!BA22*s_DAF)</f>
        <v>36.407844783957088</v>
      </c>
      <c r="D22" s="130">
        <f>IFERROR(up_res!AH22*s_DAF,".")</f>
        <v>1.505662771035762E-3</v>
      </c>
      <c r="E22" s="130">
        <f t="shared" si="0"/>
        <v>0.12742745674384981</v>
      </c>
      <c r="F22" s="130">
        <f t="shared" si="0"/>
        <v>5.2698196986251662E-6</v>
      </c>
    </row>
    <row r="23" spans="1:6" x14ac:dyDescent="0.25">
      <c r="A23" s="131" t="s">
        <v>21</v>
      </c>
      <c r="B23" s="129" t="s">
        <v>336</v>
      </c>
      <c r="C23" s="130">
        <f>IF(up_RadSpec!BA23*s_DAF=0,".",up_RadSpec!BA23*s_DAF)</f>
        <v>36.407844783957088</v>
      </c>
      <c r="D23" s="130">
        <f>IFERROR(up_res!AH23*s_DAF,".")</f>
        <v>1.4902155153284731E-3</v>
      </c>
      <c r="E23" s="130">
        <f t="shared" si="0"/>
        <v>0.12742745674384981</v>
      </c>
      <c r="F23" s="130">
        <f t="shared" si="0"/>
        <v>5.2157543036496557E-6</v>
      </c>
    </row>
    <row r="24" spans="1:6" x14ac:dyDescent="0.25">
      <c r="A24" s="128" t="s">
        <v>22</v>
      </c>
      <c r="B24" s="129" t="s">
        <v>1059</v>
      </c>
      <c r="C24" s="130">
        <f>IF(up_RadSpec!BA24*s_DAF=0,".",up_RadSpec!BA24*s_DAF)</f>
        <v>36.407844783957088</v>
      </c>
      <c r="D24" s="130">
        <f>IFERROR(up_res!AH24*s_DAF,".")</f>
        <v>1.505662771035762E-3</v>
      </c>
      <c r="E24" s="130">
        <f t="shared" si="0"/>
        <v>0.12742745674384981</v>
      </c>
      <c r="F24" s="130">
        <f t="shared" si="0"/>
        <v>5.2698196986251662E-6</v>
      </c>
    </row>
    <row r="25" spans="1:6" x14ac:dyDescent="0.25">
      <c r="A25" s="131" t="s">
        <v>23</v>
      </c>
      <c r="B25" s="129" t="s">
        <v>336</v>
      </c>
      <c r="C25" s="130">
        <f>IF(up_RadSpec!BA25*s_DAF=0,".",up_RadSpec!BA25*s_DAF)</f>
        <v>36.407844783957088</v>
      </c>
      <c r="D25" s="130">
        <f>IFERROR(up_res!AH25*s_DAF,".")</f>
        <v>1.4902155153284731E-3</v>
      </c>
      <c r="E25" s="130">
        <f t="shared" si="0"/>
        <v>0.12742745674384981</v>
      </c>
      <c r="F25" s="130">
        <f t="shared" si="0"/>
        <v>5.2157543036496557E-6</v>
      </c>
    </row>
    <row r="26" spans="1:6" x14ac:dyDescent="0.25">
      <c r="A26" s="128" t="s">
        <v>24</v>
      </c>
      <c r="B26" s="129" t="s">
        <v>1059</v>
      </c>
      <c r="C26" s="130">
        <f>IF(up_RadSpec!BA26*s_DAF=0,".",up_RadSpec!BA26*s_DAF)</f>
        <v>36.407844783957088</v>
      </c>
      <c r="D26" s="130">
        <f>IFERROR(up_res!AH26*s_DAF,".")</f>
        <v>1.505662771035762E-3</v>
      </c>
      <c r="E26" s="130">
        <f t="shared" si="0"/>
        <v>0.12742745674384981</v>
      </c>
      <c r="F26" s="130">
        <f t="shared" si="0"/>
        <v>5.2698196986251662E-6</v>
      </c>
    </row>
    <row r="27" spans="1:6" x14ac:dyDescent="0.25">
      <c r="A27" s="128" t="s">
        <v>25</v>
      </c>
      <c r="B27" s="129" t="s">
        <v>1059</v>
      </c>
      <c r="C27" s="130">
        <f>IF(up_RadSpec!BA27*s_DAF=0,".",up_RadSpec!BA27*s_DAF)</f>
        <v>36.407844783957088</v>
      </c>
      <c r="D27" s="130">
        <f>IFERROR(up_res!AH27*s_DAF,".")</f>
        <v>1.505662771035762E-3</v>
      </c>
      <c r="E27" s="130">
        <f t="shared" si="0"/>
        <v>0.12742745674384981</v>
      </c>
      <c r="F27" s="130">
        <f t="shared" si="0"/>
        <v>5.2698196986251662E-6</v>
      </c>
    </row>
    <row r="28" spans="1:6" x14ac:dyDescent="0.25">
      <c r="A28" s="128" t="s">
        <v>26</v>
      </c>
      <c r="B28" s="129" t="s">
        <v>1059</v>
      </c>
      <c r="C28" s="130">
        <f>IF(up_RadSpec!BA28*s_DAF=0,".",up_RadSpec!BA28*s_DAF)</f>
        <v>36.407844783957088</v>
      </c>
      <c r="D28" s="130">
        <f>IFERROR(up_res!AH28*s_DAF,".")</f>
        <v>1.505662771035762E-3</v>
      </c>
      <c r="E28" s="130">
        <f t="shared" si="0"/>
        <v>0.12742745674384981</v>
      </c>
      <c r="F28" s="130">
        <f t="shared" si="0"/>
        <v>5.2698196986251662E-6</v>
      </c>
    </row>
    <row r="29" spans="1:6" x14ac:dyDescent="0.25">
      <c r="A29" s="128" t="s">
        <v>27</v>
      </c>
      <c r="B29" s="129" t="s">
        <v>1059</v>
      </c>
      <c r="C29" s="130">
        <f>IF(up_RadSpec!BA29*s_DAF=0,".",up_RadSpec!BA29*s_DAF)</f>
        <v>36.407844783957088</v>
      </c>
      <c r="D29" s="130">
        <f>IFERROR(up_res!AH29*s_DAF,".")</f>
        <v>1.505662771035762E-3</v>
      </c>
      <c r="E29" s="130">
        <f t="shared" si="0"/>
        <v>0.12742745674384981</v>
      </c>
      <c r="F29" s="130">
        <f t="shared" si="0"/>
        <v>5.2698196986251662E-6</v>
      </c>
    </row>
    <row r="30" spans="1:6" x14ac:dyDescent="0.25">
      <c r="A30" s="128" t="s">
        <v>28</v>
      </c>
      <c r="B30" s="129" t="s">
        <v>1059</v>
      </c>
      <c r="C30" s="130">
        <f>IF(up_RadSpec!BA30*s_DAF=0,".",up_RadSpec!BA30*s_DAF)</f>
        <v>36.407844783957088</v>
      </c>
      <c r="D30" s="130">
        <f>IFERROR(up_res!AH30*s_DAF,".")</f>
        <v>1.505662771035762E-3</v>
      </c>
      <c r="E30" s="130">
        <f t="shared" si="0"/>
        <v>0.12742745674384981</v>
      </c>
      <c r="F30" s="130">
        <f t="shared" si="0"/>
        <v>5.2698196986251662E-6</v>
      </c>
    </row>
    <row r="31" spans="1:6" x14ac:dyDescent="0.25">
      <c r="A31" s="132" t="s">
        <v>1</v>
      </c>
      <c r="B31" s="132" t="s">
        <v>1059</v>
      </c>
      <c r="C31" s="133">
        <f>1/SUM(1/C32,1/C33,1/C34,1/C35,1/C36,1/C38,1/C39,1/C40,1/C41,1/C42)</f>
        <v>3.6484964849219148</v>
      </c>
      <c r="D31" s="133">
        <f>1/SUM(1/D32,1/D33,1/D34,1/D35,1/D36,1/D37,1/D38,1/D39,1/D40,1/D41,1/D42,1/D43,1/D44)</f>
        <v>1.2547566185616918E-4</v>
      </c>
      <c r="E31" s="134">
        <f>1/SUM(1/E32,1/E33,1/E34,1/E35,1/E36,1/E37,1/E38,1/E39,1/E40,1/E41,1/E42,1/E43,1/E44)</f>
        <v>1.0619273306853355E-2</v>
      </c>
      <c r="F31" s="134">
        <f>1/SUM(1/F32,1/F33,1/F34,1/F35,1/F36,1/F37,1/F38,1/F39,1/F40,1/F41,1/F42,1/F43,1/F44)</f>
        <v>4.3916481649659209E-7</v>
      </c>
    </row>
    <row r="32" spans="1:6" x14ac:dyDescent="0.25">
      <c r="A32" s="135" t="s">
        <v>1087</v>
      </c>
      <c r="B32" s="129">
        <v>1</v>
      </c>
      <c r="C32" s="136">
        <f>IFERROR(C3/$B32,0)</f>
        <v>36.407844783957088</v>
      </c>
      <c r="D32" s="136">
        <f>IFERROR(D3/$B32,0)</f>
        <v>1.505662771035762E-3</v>
      </c>
      <c r="E32" s="137">
        <f>IFERROR((C32*s_ls2gw*s_ED_s2gw)/(s_ρb*s_d_s*1000),".")</f>
        <v>0.12742745674384981</v>
      </c>
      <c r="F32" s="137">
        <f>IFERROR((D32*s_ls2gw*s_ED_s2gw)/(s_ρb*s_d_s*1000),".")</f>
        <v>5.2698196986251662E-6</v>
      </c>
    </row>
    <row r="33" spans="1:6" x14ac:dyDescent="0.25">
      <c r="A33" s="135" t="s">
        <v>1063</v>
      </c>
      <c r="B33" s="129">
        <v>1</v>
      </c>
      <c r="C33" s="136">
        <f>IFERROR(C13/$B33,0)</f>
        <v>36.407844783957088</v>
      </c>
      <c r="D33" s="136">
        <f>IFERROR(D13/$B33,0)</f>
        <v>1.505662771035762E-3</v>
      </c>
      <c r="E33" s="137">
        <f t="shared" ref="E33:F44" si="1">IFERROR((C33*s_ls2gw*s_ED_s2gw)/(s_ρb*s_d_s*1000),".")</f>
        <v>0.12742745674384981</v>
      </c>
      <c r="F33" s="137">
        <f t="shared" si="1"/>
        <v>5.2698196986251662E-6</v>
      </c>
    </row>
    <row r="34" spans="1:6" x14ac:dyDescent="0.25">
      <c r="A34" s="135" t="s">
        <v>1064</v>
      </c>
      <c r="B34" s="129">
        <v>1</v>
      </c>
      <c r="C34" s="136">
        <f>IFERROR(C14/$B34,0)</f>
        <v>36.407844783957088</v>
      </c>
      <c r="D34" s="136">
        <f>IFERROR(D14/$B34,0)</f>
        <v>1.505662771035762E-3</v>
      </c>
      <c r="E34" s="137">
        <f t="shared" si="1"/>
        <v>0.12742745674384981</v>
      </c>
      <c r="F34" s="137">
        <f t="shared" si="1"/>
        <v>5.2698196986251662E-6</v>
      </c>
    </row>
    <row r="35" spans="1:6" x14ac:dyDescent="0.25">
      <c r="A35" s="135" t="s">
        <v>1065</v>
      </c>
      <c r="B35" s="129">
        <v>1</v>
      </c>
      <c r="C35" s="136">
        <f>IFERROR(C30/$B35,0)</f>
        <v>36.407844783957088</v>
      </c>
      <c r="D35" s="136">
        <f>IFERROR(D30/$B35,0)</f>
        <v>1.505662771035762E-3</v>
      </c>
      <c r="E35" s="137">
        <f t="shared" si="1"/>
        <v>0.12742745674384981</v>
      </c>
      <c r="F35" s="137">
        <f t="shared" si="1"/>
        <v>5.2698196986251662E-6</v>
      </c>
    </row>
    <row r="36" spans="1:6" x14ac:dyDescent="0.25">
      <c r="A36" s="135" t="s">
        <v>1066</v>
      </c>
      <c r="B36" s="129">
        <v>1</v>
      </c>
      <c r="C36" s="136">
        <f>IFERROR(C26/$B36,0)</f>
        <v>36.407844783957088</v>
      </c>
      <c r="D36" s="136">
        <f>IFERROR(D26/$B36,0)</f>
        <v>1.505662771035762E-3</v>
      </c>
      <c r="E36" s="137">
        <f t="shared" si="1"/>
        <v>0.12742745674384981</v>
      </c>
      <c r="F36" s="137">
        <f t="shared" si="1"/>
        <v>5.2698196986251662E-6</v>
      </c>
    </row>
    <row r="37" spans="1:6" x14ac:dyDescent="0.25">
      <c r="A37" s="135" t="s">
        <v>1067</v>
      </c>
      <c r="B37" s="129">
        <v>1</v>
      </c>
      <c r="C37" s="136">
        <f>IFERROR(C22/$B37,0)</f>
        <v>36.407844783957088</v>
      </c>
      <c r="D37" s="136">
        <f>IFERROR(D22/$B37,0)</f>
        <v>1.505662771035762E-3</v>
      </c>
      <c r="E37" s="137">
        <f t="shared" si="1"/>
        <v>0.12742745674384981</v>
      </c>
      <c r="F37" s="137">
        <f t="shared" si="1"/>
        <v>5.2698196986251662E-6</v>
      </c>
    </row>
    <row r="38" spans="1:6" x14ac:dyDescent="0.25">
      <c r="A38" s="135" t="s">
        <v>1068</v>
      </c>
      <c r="B38" s="129">
        <v>1</v>
      </c>
      <c r="C38" s="136">
        <f>IFERROR(C2/$B38,0)</f>
        <v>36.407844783957088</v>
      </c>
      <c r="D38" s="136">
        <f>IFERROR(D2/$B38,0)</f>
        <v>1.505662771035762E-3</v>
      </c>
      <c r="E38" s="137">
        <f t="shared" si="1"/>
        <v>0.12742745674384981</v>
      </c>
      <c r="F38" s="137">
        <f t="shared" si="1"/>
        <v>5.2698196986251662E-6</v>
      </c>
    </row>
    <row r="39" spans="1:6" x14ac:dyDescent="0.25">
      <c r="A39" s="135" t="s">
        <v>1069</v>
      </c>
      <c r="B39" s="129">
        <v>1</v>
      </c>
      <c r="C39" s="136">
        <f>IFERROR(C11/$B39,0)</f>
        <v>36.407844783957088</v>
      </c>
      <c r="D39" s="136">
        <f>IFERROR(D11/$B39,0)</f>
        <v>1.505662771035762E-3</v>
      </c>
      <c r="E39" s="137">
        <f t="shared" si="1"/>
        <v>0.12742745674384981</v>
      </c>
      <c r="F39" s="137">
        <f t="shared" si="1"/>
        <v>5.2698196986251662E-6</v>
      </c>
    </row>
    <row r="40" spans="1:6" x14ac:dyDescent="0.25">
      <c r="A40" s="135" t="s">
        <v>1070</v>
      </c>
      <c r="B40" s="129">
        <v>1</v>
      </c>
      <c r="C40" s="136">
        <f>IFERROR(C4/$B40,0)</f>
        <v>36.407844783957088</v>
      </c>
      <c r="D40" s="136">
        <f>IFERROR(D4/$B40,0)</f>
        <v>1.505662771035762E-3</v>
      </c>
      <c r="E40" s="137">
        <f t="shared" si="1"/>
        <v>0.12742745674384981</v>
      </c>
      <c r="F40" s="137">
        <f t="shared" si="1"/>
        <v>5.2698196986251662E-6</v>
      </c>
    </row>
    <row r="41" spans="1:6" x14ac:dyDescent="0.25">
      <c r="A41" s="135" t="s">
        <v>1071</v>
      </c>
      <c r="B41" s="138">
        <v>0.99987999999999999</v>
      </c>
      <c r="C41" s="136">
        <f>IFERROR(C8/$B41,0)</f>
        <v>36.412214249667052</v>
      </c>
      <c r="D41" s="136">
        <f>IFERROR(D8/$B41,0)</f>
        <v>1.5058434722524322E-3</v>
      </c>
      <c r="E41" s="137">
        <f t="shared" si="1"/>
        <v>0.12744274987383469</v>
      </c>
      <c r="F41" s="137">
        <f t="shared" si="1"/>
        <v>5.2704521528835128E-6</v>
      </c>
    </row>
    <row r="42" spans="1:6" x14ac:dyDescent="0.25">
      <c r="A42" s="135" t="s">
        <v>1072</v>
      </c>
      <c r="B42" s="129">
        <v>0.97898250799999997</v>
      </c>
      <c r="C42" s="136">
        <f>IFERROR(C19/$B42,0)</f>
        <v>37.189474261737359</v>
      </c>
      <c r="D42" s="136">
        <f>IFERROR(D19/$B42,0)</f>
        <v>1.5379874091026784E-3</v>
      </c>
      <c r="E42" s="137">
        <f t="shared" si="1"/>
        <v>0.13016315991608077</v>
      </c>
      <c r="F42" s="137">
        <f t="shared" si="1"/>
        <v>5.3829559318593737E-6</v>
      </c>
    </row>
    <row r="43" spans="1:6" x14ac:dyDescent="0.25">
      <c r="A43" s="135" t="s">
        <v>1073</v>
      </c>
      <c r="B43" s="129">
        <v>2.0897492E-2</v>
      </c>
      <c r="C43" s="136">
        <f>IFERROR(C28/$B43,0)</f>
        <v>1742.2112081180405</v>
      </c>
      <c r="D43" s="136">
        <f>IFERROR(D28/$B43,0)</f>
        <v>7.2049926902030256E-2</v>
      </c>
      <c r="E43" s="137">
        <f t="shared" si="1"/>
        <v>6.0977392284131415</v>
      </c>
      <c r="F43" s="137">
        <f t="shared" si="1"/>
        <v>2.5217474415710587E-4</v>
      </c>
    </row>
    <row r="44" spans="1:6" x14ac:dyDescent="0.25">
      <c r="A44" s="135" t="s">
        <v>1074</v>
      </c>
      <c r="B44" s="129">
        <v>0.99987999999999999</v>
      </c>
      <c r="C44" s="136">
        <f>IFERROR(C15/$B44,0)</f>
        <v>36.412214249667052</v>
      </c>
      <c r="D44" s="136">
        <f>IFERROR(D15/$B44,0)</f>
        <v>1.5058434722524322E-3</v>
      </c>
      <c r="E44" s="137">
        <f t="shared" si="1"/>
        <v>0.12744274987383469</v>
      </c>
      <c r="F44" s="137">
        <f t="shared" si="1"/>
        <v>5.2704521528835128E-6</v>
      </c>
    </row>
    <row r="45" spans="1:6" x14ac:dyDescent="0.25">
      <c r="A45" s="132" t="s">
        <v>8</v>
      </c>
      <c r="B45" s="132" t="s">
        <v>1059</v>
      </c>
      <c r="C45" s="133">
        <f t="shared" ref="C45:E45" si="2">IFERROR(IF(AND(C46&lt;&gt;0,C47&lt;&gt;0),1/SUM(1/C46,1/C47),IF(AND(C46&lt;&gt;0,C47=0),1/(1/C46),IF(AND(C46=0,C47&lt;&gt;0),1/(1/C47),IF(AND(C46=0,C47=0),".")))),".")</f>
        <v>18.728411557650546</v>
      </c>
      <c r="D45" s="133">
        <f t="shared" si="2"/>
        <v>7.7452187050126896E-4</v>
      </c>
      <c r="E45" s="139">
        <f t="shared" si="2"/>
        <v>6.5549440451776908E-2</v>
      </c>
      <c r="F45" s="139">
        <f>IFERROR(IF(AND(F46&lt;&gt;0,F47&lt;&gt;0),1/SUM(1/F46,1/F47),IF(AND(F46&lt;&gt;0,F47=0),1/(1/F46),IF(AND(F46=0,F47&lt;&gt;0),1/(1/F47),IF(AND(F46=0,F47=0),".")))),".")</f>
        <v>2.7108265467544416E-6</v>
      </c>
    </row>
    <row r="46" spans="1:6" x14ac:dyDescent="0.25">
      <c r="A46" s="135" t="s">
        <v>1086</v>
      </c>
      <c r="B46" s="129">
        <v>1</v>
      </c>
      <c r="C46" s="136">
        <f>IFERROR(C10/$B46,0)</f>
        <v>36.407844783957088</v>
      </c>
      <c r="D46" s="136">
        <f>IFERROR(D10/$B46,0)</f>
        <v>1.505662771035762E-3</v>
      </c>
      <c r="E46" s="137">
        <f>IFERROR((C46*s_ls2gw*s_ED_s2gw)/(s_ρb*s_d_s*1000),".")</f>
        <v>0.12742745674384981</v>
      </c>
      <c r="F46" s="137">
        <f>IFERROR((D46*s_ls2gw*s_ED_s2gw)/(s_ρb*s_d_s*1000),".")</f>
        <v>5.2698196986251662E-6</v>
      </c>
    </row>
    <row r="47" spans="1:6" x14ac:dyDescent="0.25">
      <c r="A47" s="135" t="s">
        <v>1060</v>
      </c>
      <c r="B47" s="129">
        <v>0.94399</v>
      </c>
      <c r="C47" s="136">
        <f>IFERROR(C6/$B$47,0)</f>
        <v>38.568040746148888</v>
      </c>
      <c r="D47" s="136">
        <f>IFERROR(D6/$B$47,0)</f>
        <v>1.5949986451506499E-3</v>
      </c>
      <c r="E47" s="137">
        <f>IFERROR((C47*s_ls2gw*s_ED_s2gw)/(s_ρb*s_d_s*1000),".")</f>
        <v>0.13498814261152112</v>
      </c>
      <c r="F47" s="137">
        <f>IFERROR((D47*s_ls2gw*s_ED_s2gw)/(s_ρb*s_d_s*1000),".")</f>
        <v>5.5824952580272752E-6</v>
      </c>
    </row>
    <row r="48" spans="1:6" x14ac:dyDescent="0.25">
      <c r="A48" s="132" t="s">
        <v>21</v>
      </c>
      <c r="B48" s="132" t="s">
        <v>1059</v>
      </c>
      <c r="C48" s="133">
        <f>1/SUM(1/C49,1/C51,1/C53,1/C54,1/C56,1/C59,1/C61)</f>
        <v>6.0679844461905974</v>
      </c>
      <c r="D48" s="133">
        <f>1/SUM(1/D49,1/D50,1/D51,1/D52,1/D53,1/D54,1/D55,1/D56,1/D57,1/D58,1/D59,1/D60,1/D61,1/D62)</f>
        <v>1.6691135660364763E-4</v>
      </c>
      <c r="E48" s="134">
        <f>1/SUM(1/E49,1/E50,1/E51,1/E52,1/E53,1/E54,1/E55,1/E56,1/E57,1/E58,1/E59,1/E60,1/E61,1/E62)</f>
        <v>1.4158604168496149E-2</v>
      </c>
      <c r="F48" s="134">
        <f>1/SUM(1/F49,1/F50,1/F51,1/F52,1/F53,1/F54,1/F55,1/F56,1/F57,1/F58,1/F59,1/F60,1/F61,1/F62)</f>
        <v>5.8418974811276669E-7</v>
      </c>
    </row>
    <row r="49" spans="1:6" x14ac:dyDescent="0.25">
      <c r="A49" s="135" t="s">
        <v>1088</v>
      </c>
      <c r="B49" s="129">
        <v>1</v>
      </c>
      <c r="C49" s="136">
        <f>IFERROR(C23/$B49,0)</f>
        <v>36.407844783957088</v>
      </c>
      <c r="D49" s="136">
        <f>IFERROR(D23/$B49,0)</f>
        <v>1.4902155153284731E-3</v>
      </c>
      <c r="E49" s="137">
        <f t="shared" ref="E49:F62" si="3">IFERROR((C49*s_ls2gw*s_ED_s2gw)/(s_ρb*s_d_s*1000),".")</f>
        <v>0.12742745674384981</v>
      </c>
      <c r="F49" s="137">
        <f t="shared" si="3"/>
        <v>5.2157543036496557E-6</v>
      </c>
    </row>
    <row r="50" spans="1:6" x14ac:dyDescent="0.25">
      <c r="A50" s="135" t="s">
        <v>1075</v>
      </c>
      <c r="B50" s="129">
        <v>1</v>
      </c>
      <c r="C50" s="136">
        <f>IFERROR(C25/$B50,0)</f>
        <v>36.407844783957088</v>
      </c>
      <c r="D50" s="136">
        <f>IFERROR(D25/$B50,0)</f>
        <v>1.4902155153284731E-3</v>
      </c>
      <c r="E50" s="137">
        <f t="shared" si="3"/>
        <v>0.12742745674384981</v>
      </c>
      <c r="F50" s="137">
        <f t="shared" si="3"/>
        <v>5.2157543036496557E-6</v>
      </c>
    </row>
    <row r="51" spans="1:6" x14ac:dyDescent="0.25">
      <c r="A51" s="135" t="s">
        <v>1061</v>
      </c>
      <c r="B51" s="129">
        <v>1</v>
      </c>
      <c r="C51" s="136">
        <f>IFERROR(C21/$B51,0)</f>
        <v>36.407844783957088</v>
      </c>
      <c r="D51" s="136">
        <f>IFERROR(D21/$B51,0)</f>
        <v>1.505662771035762E-3</v>
      </c>
      <c r="E51" s="137">
        <f t="shared" si="3"/>
        <v>0.12742745674384981</v>
      </c>
      <c r="F51" s="137">
        <f t="shared" si="3"/>
        <v>5.2698196986251662E-6</v>
      </c>
    </row>
    <row r="52" spans="1:6" x14ac:dyDescent="0.25">
      <c r="A52" s="135" t="s">
        <v>1062</v>
      </c>
      <c r="B52" s="129">
        <v>0.99980000000000002</v>
      </c>
      <c r="C52" s="136">
        <f>IFERROR(C17/$B52,0)</f>
        <v>36.415127809518992</v>
      </c>
      <c r="D52" s="136">
        <f>IFERROR(D17/$B52,0)</f>
        <v>1.5059639638285278E-3</v>
      </c>
      <c r="E52" s="137">
        <f t="shared" si="3"/>
        <v>0.12745294733331647</v>
      </c>
      <c r="F52" s="137">
        <f t="shared" si="3"/>
        <v>5.2708738733998472E-6</v>
      </c>
    </row>
    <row r="53" spans="1:6" x14ac:dyDescent="0.25">
      <c r="A53" s="135" t="s">
        <v>1076</v>
      </c>
      <c r="B53" s="129">
        <v>2.0000000000000001E-4</v>
      </c>
      <c r="C53" s="136">
        <f>IFERROR(C5/$B53,0)</f>
        <v>182039.22391978544</v>
      </c>
      <c r="D53" s="136">
        <f>IFERROR(D5/$B53,0)</f>
        <v>7.5283138551788094</v>
      </c>
      <c r="E53" s="137">
        <f t="shared" si="3"/>
        <v>637.13728371924913</v>
      </c>
      <c r="F53" s="137">
        <f t="shared" si="3"/>
        <v>2.634909849312583E-2</v>
      </c>
    </row>
    <row r="54" spans="1:6" x14ac:dyDescent="0.25">
      <c r="A54" s="135" t="s">
        <v>1077</v>
      </c>
      <c r="B54" s="129">
        <v>0.99999979999999999</v>
      </c>
      <c r="C54" s="136">
        <f>IFERROR(C9/$B54,0)</f>
        <v>36.4078520655275</v>
      </c>
      <c r="D54" s="136">
        <f>IFERROR(D9/$B54,0)</f>
        <v>1.5056630721683765E-3</v>
      </c>
      <c r="E54" s="137">
        <f t="shared" si="3"/>
        <v>0.12742748222934625</v>
      </c>
      <c r="F54" s="137">
        <f t="shared" si="3"/>
        <v>5.2698207525893179E-6</v>
      </c>
    </row>
    <row r="55" spans="1:6" x14ac:dyDescent="0.25">
      <c r="A55" s="135" t="s">
        <v>1078</v>
      </c>
      <c r="B55" s="129">
        <v>1.9999999999999999E-7</v>
      </c>
      <c r="C55" s="136">
        <f>IFERROR(C24/$B55,0)</f>
        <v>182039223.91978544</v>
      </c>
      <c r="D55" s="136">
        <f>IFERROR(D24/$B55,0)</f>
        <v>7528.3138551788106</v>
      </c>
      <c r="E55" s="137">
        <f t="shared" si="3"/>
        <v>637137.28371924907</v>
      </c>
      <c r="F55" s="137">
        <f t="shared" si="3"/>
        <v>26.349098493125837</v>
      </c>
    </row>
    <row r="56" spans="1:6" x14ac:dyDescent="0.25">
      <c r="A56" s="135" t="s">
        <v>1079</v>
      </c>
      <c r="B56" s="129">
        <v>0.99979000004200003</v>
      </c>
      <c r="C56" s="136">
        <f>IFERROR(C20/$B56,0)</f>
        <v>36.415492035755143</v>
      </c>
      <c r="D56" s="136">
        <f>IFERROR(D20/$B56,0)</f>
        <v>1.5059790265680901E-3</v>
      </c>
      <c r="E56" s="137">
        <f t="shared" si="3"/>
        <v>0.12745422212514299</v>
      </c>
      <c r="F56" s="137">
        <f t="shared" si="3"/>
        <v>5.2709265929883152E-6</v>
      </c>
    </row>
    <row r="57" spans="1:6" x14ac:dyDescent="0.25">
      <c r="A57" s="135" t="s">
        <v>1080</v>
      </c>
      <c r="B57" s="129">
        <v>2.0999995799999999E-4</v>
      </c>
      <c r="C57" s="136">
        <f>IFERROR(C29/$B57,0)</f>
        <v>173370.72412155953</v>
      </c>
      <c r="D57" s="136">
        <f>IFERROR(D29/$B57,0)</f>
        <v>7.1698241531827449</v>
      </c>
      <c r="E57" s="137">
        <f t="shared" si="3"/>
        <v>606.79753442545837</v>
      </c>
      <c r="F57" s="137">
        <f t="shared" si="3"/>
        <v>2.5094384536139609E-2</v>
      </c>
    </row>
    <row r="58" spans="1:6" x14ac:dyDescent="0.25">
      <c r="A58" s="135" t="s">
        <v>1081</v>
      </c>
      <c r="B58" s="129">
        <v>1</v>
      </c>
      <c r="C58" s="136">
        <f>IFERROR(C16/$B58,0)</f>
        <v>36.407844783957088</v>
      </c>
      <c r="D58" s="136">
        <f>IFERROR(D16/$B58,0)</f>
        <v>1.505662771035762E-3</v>
      </c>
      <c r="E58" s="137">
        <f t="shared" si="3"/>
        <v>0.12742745674384981</v>
      </c>
      <c r="F58" s="137">
        <f t="shared" si="3"/>
        <v>5.2698196986251662E-6</v>
      </c>
    </row>
    <row r="59" spans="1:6" x14ac:dyDescent="0.25">
      <c r="A59" s="135" t="s">
        <v>1082</v>
      </c>
      <c r="B59" s="129">
        <v>1</v>
      </c>
      <c r="C59" s="136">
        <f>IFERROR(C7/$B59,0)</f>
        <v>36.407844783957088</v>
      </c>
      <c r="D59" s="136">
        <f>IFERROR(D7/$B59,0)</f>
        <v>1.505662771035762E-3</v>
      </c>
      <c r="E59" s="137">
        <f t="shared" si="3"/>
        <v>0.12742745674384981</v>
      </c>
      <c r="F59" s="137">
        <f t="shared" si="3"/>
        <v>5.2698196986251662E-6</v>
      </c>
    </row>
    <row r="60" spans="1:6" x14ac:dyDescent="0.25">
      <c r="A60" s="135" t="s">
        <v>1083</v>
      </c>
      <c r="B60" s="129">
        <v>1.9000000000000001E-8</v>
      </c>
      <c r="C60" s="136">
        <f>IFERROR(C12/$B60,0)</f>
        <v>1916202357.0503728</v>
      </c>
      <c r="D60" s="136">
        <f>IFERROR(D12/$B60,0)</f>
        <v>79245.409001882203</v>
      </c>
      <c r="E60" s="137">
        <f t="shared" si="3"/>
        <v>6706708.2496763049</v>
      </c>
      <c r="F60" s="137">
        <f t="shared" si="3"/>
        <v>277.35893150658768</v>
      </c>
    </row>
    <row r="61" spans="1:6" x14ac:dyDescent="0.25">
      <c r="A61" s="135" t="s">
        <v>1084</v>
      </c>
      <c r="B61" s="129">
        <v>1</v>
      </c>
      <c r="C61" s="136">
        <f>IFERROR(C18/$B61,0)</f>
        <v>36.407844783957088</v>
      </c>
      <c r="D61" s="136">
        <f>IFERROR(D18/$B61,0)</f>
        <v>1.505662771035762E-3</v>
      </c>
      <c r="E61" s="137">
        <f t="shared" si="3"/>
        <v>0.12742745674384981</v>
      </c>
      <c r="F61" s="137">
        <f t="shared" si="3"/>
        <v>5.2698196986251662E-6</v>
      </c>
    </row>
    <row r="62" spans="1:6" x14ac:dyDescent="0.25">
      <c r="A62" s="135" t="s">
        <v>1085</v>
      </c>
      <c r="B62" s="129">
        <v>1.339E-6</v>
      </c>
      <c r="C62" s="136">
        <f>IFERROR(C27/$B62,0)</f>
        <v>27190324.707958989</v>
      </c>
      <c r="D62" s="136">
        <f>IFERROR(D27/$B62,0)</f>
        <v>1124.4680888990008</v>
      </c>
      <c r="E62" s="137">
        <f t="shared" si="3"/>
        <v>95166.13647785646</v>
      </c>
      <c r="F62" s="137">
        <f t="shared" si="3"/>
        <v>3.9356383111465032</v>
      </c>
    </row>
    <row r="63" spans="1:6" x14ac:dyDescent="0.25">
      <c r="A63" s="132" t="s">
        <v>23</v>
      </c>
      <c r="B63" s="132" t="s">
        <v>1059</v>
      </c>
      <c r="C63" s="133">
        <f>1/SUM(1/C65,1/C67,1/C68,1/C70,1/C73,1/C75)</f>
        <v>7.2815838111612274</v>
      </c>
      <c r="D63" s="133">
        <f>1/SUM(1/D64,1/D65,1/D66,1/D67,1/D68,1/D69,1/D70,1/D71,1/D72,1/D73,1/D74,1/D75,1/D76)</f>
        <v>1.8796426479530338E-4</v>
      </c>
      <c r="E63" s="134">
        <f>1/SUM(1/E64,1/E65,1/E66,1/E67,1/E68,1/E69,1/E70,1/E71,1/E72,1/E73,1/E74,1/E75,1/E76)</f>
        <v>1.5928429389130336E-2</v>
      </c>
      <c r="F63" s="134">
        <f>1/SUM(1/F64,1/F65,1/F66,1/F67,1/F68,1/F69,1/F70,1/F71,1/F72,1/F73,1/F74,1/F75,1/F76)</f>
        <v>6.5787492678356189E-7</v>
      </c>
    </row>
    <row r="64" spans="1:6" x14ac:dyDescent="0.25">
      <c r="A64" s="135" t="s">
        <v>1075</v>
      </c>
      <c r="B64" s="129">
        <v>1</v>
      </c>
      <c r="C64" s="136">
        <f>IFERROR(C25/$B50,0)</f>
        <v>36.407844783957088</v>
      </c>
      <c r="D64" s="136">
        <f>IFERROR(D25/$B50,0)</f>
        <v>1.4902155153284731E-3</v>
      </c>
      <c r="E64" s="137">
        <f t="shared" ref="E64:F76" si="4">IFERROR((C64*s_ls2gw*s_ED_s2gw)/(s_ρb*s_d_s*1000),".")</f>
        <v>0.12742745674384981</v>
      </c>
      <c r="F64" s="137">
        <f t="shared" si="4"/>
        <v>5.2157543036496557E-6</v>
      </c>
    </row>
    <row r="65" spans="1:6" x14ac:dyDescent="0.25">
      <c r="A65" s="135" t="s">
        <v>1061</v>
      </c>
      <c r="B65" s="129">
        <v>1</v>
      </c>
      <c r="C65" s="136">
        <f>IFERROR(C21/$B51,0)</f>
        <v>36.407844783957088</v>
      </c>
      <c r="D65" s="136">
        <f>IFERROR(D21/$B51,0)</f>
        <v>1.505662771035762E-3</v>
      </c>
      <c r="E65" s="137">
        <f t="shared" si="4"/>
        <v>0.12742745674384981</v>
      </c>
      <c r="F65" s="137">
        <f t="shared" si="4"/>
        <v>5.2698196986251662E-6</v>
      </c>
    </row>
    <row r="66" spans="1:6" x14ac:dyDescent="0.25">
      <c r="A66" s="135" t="s">
        <v>1062</v>
      </c>
      <c r="B66" s="129">
        <v>0.99980000000000002</v>
      </c>
      <c r="C66" s="136">
        <f>IFERROR(C17/$B52,0)</f>
        <v>36.415127809518992</v>
      </c>
      <c r="D66" s="136">
        <f>IFERROR(D17/$B52,0)</f>
        <v>1.5059639638285278E-3</v>
      </c>
      <c r="E66" s="137">
        <f t="shared" si="4"/>
        <v>0.12745294733331647</v>
      </c>
      <c r="F66" s="137">
        <f t="shared" si="4"/>
        <v>5.2708738733998472E-6</v>
      </c>
    </row>
    <row r="67" spans="1:6" x14ac:dyDescent="0.25">
      <c r="A67" s="135" t="s">
        <v>1076</v>
      </c>
      <c r="B67" s="129">
        <v>2.0000000000000001E-4</v>
      </c>
      <c r="C67" s="136">
        <f>IFERROR(C5/$B53,0)</f>
        <v>182039.22391978544</v>
      </c>
      <c r="D67" s="136">
        <f>IFERROR(D5/$B53,0)</f>
        <v>7.5283138551788094</v>
      </c>
      <c r="E67" s="137">
        <f t="shared" si="4"/>
        <v>637.13728371924913</v>
      </c>
      <c r="F67" s="137">
        <f t="shared" si="4"/>
        <v>2.634909849312583E-2</v>
      </c>
    </row>
    <row r="68" spans="1:6" x14ac:dyDescent="0.25">
      <c r="A68" s="135" t="s">
        <v>1077</v>
      </c>
      <c r="B68" s="129">
        <v>0.99999979999999999</v>
      </c>
      <c r="C68" s="136">
        <f>IFERROR(C9/$B54,0)</f>
        <v>36.4078520655275</v>
      </c>
      <c r="D68" s="136">
        <f>IFERROR(D9/$B54,0)</f>
        <v>1.5056630721683765E-3</v>
      </c>
      <c r="E68" s="137">
        <f t="shared" si="4"/>
        <v>0.12742748222934625</v>
      </c>
      <c r="F68" s="137">
        <f t="shared" si="4"/>
        <v>5.2698207525893179E-6</v>
      </c>
    </row>
    <row r="69" spans="1:6" x14ac:dyDescent="0.25">
      <c r="A69" s="135" t="s">
        <v>1078</v>
      </c>
      <c r="B69" s="129">
        <v>1.9999999999999999E-7</v>
      </c>
      <c r="C69" s="136">
        <f>IFERROR(C24/$B55,0)</f>
        <v>182039223.91978544</v>
      </c>
      <c r="D69" s="136">
        <f>IFERROR(D24/$B55,0)</f>
        <v>7528.3138551788106</v>
      </c>
      <c r="E69" s="137">
        <f t="shared" si="4"/>
        <v>637137.28371924907</v>
      </c>
      <c r="F69" s="137">
        <f t="shared" si="4"/>
        <v>26.349098493125837</v>
      </c>
    </row>
    <row r="70" spans="1:6" x14ac:dyDescent="0.25">
      <c r="A70" s="135" t="s">
        <v>1079</v>
      </c>
      <c r="B70" s="129">
        <v>0.99979000004200003</v>
      </c>
      <c r="C70" s="136">
        <f>IFERROR(C20/$B56,0)</f>
        <v>36.415492035755143</v>
      </c>
      <c r="D70" s="136">
        <f>IFERROR(D20/$B56,0)</f>
        <v>1.5059790265680901E-3</v>
      </c>
      <c r="E70" s="137">
        <f t="shared" si="4"/>
        <v>0.12745422212514299</v>
      </c>
      <c r="F70" s="137">
        <f t="shared" si="4"/>
        <v>5.2709265929883152E-6</v>
      </c>
    </row>
    <row r="71" spans="1:6" x14ac:dyDescent="0.25">
      <c r="A71" s="135" t="s">
        <v>1080</v>
      </c>
      <c r="B71" s="129">
        <v>2.0999995799999999E-4</v>
      </c>
      <c r="C71" s="136">
        <f>IFERROR(C29/$B57,0)</f>
        <v>173370.72412155953</v>
      </c>
      <c r="D71" s="136">
        <f>IFERROR(D29/$B57,0)</f>
        <v>7.1698241531827449</v>
      </c>
      <c r="E71" s="137">
        <f t="shared" si="4"/>
        <v>606.79753442545837</v>
      </c>
      <c r="F71" s="137">
        <f t="shared" si="4"/>
        <v>2.5094384536139609E-2</v>
      </c>
    </row>
    <row r="72" spans="1:6" x14ac:dyDescent="0.25">
      <c r="A72" s="135" t="s">
        <v>1081</v>
      </c>
      <c r="B72" s="129">
        <v>1</v>
      </c>
      <c r="C72" s="136">
        <f>IFERROR(C16/$B58,0)</f>
        <v>36.407844783957088</v>
      </c>
      <c r="D72" s="136">
        <f>IFERROR(D16/$B58,0)</f>
        <v>1.505662771035762E-3</v>
      </c>
      <c r="E72" s="137">
        <f t="shared" si="4"/>
        <v>0.12742745674384981</v>
      </c>
      <c r="F72" s="137">
        <f t="shared" si="4"/>
        <v>5.2698196986251662E-6</v>
      </c>
    </row>
    <row r="73" spans="1:6" x14ac:dyDescent="0.25">
      <c r="A73" s="135" t="s">
        <v>1082</v>
      </c>
      <c r="B73" s="129">
        <v>1</v>
      </c>
      <c r="C73" s="136">
        <f>IFERROR(C7/$B59,0)</f>
        <v>36.407844783957088</v>
      </c>
      <c r="D73" s="136">
        <f>IFERROR(D7/$B59,0)</f>
        <v>1.505662771035762E-3</v>
      </c>
      <c r="E73" s="137">
        <f t="shared" si="4"/>
        <v>0.12742745674384981</v>
      </c>
      <c r="F73" s="137">
        <f t="shared" si="4"/>
        <v>5.2698196986251662E-6</v>
      </c>
    </row>
    <row r="74" spans="1:6" x14ac:dyDescent="0.25">
      <c r="A74" s="135" t="s">
        <v>1083</v>
      </c>
      <c r="B74" s="129">
        <v>1.9000000000000001E-8</v>
      </c>
      <c r="C74" s="136">
        <f>IFERROR(C12/$B60,0)</f>
        <v>1916202357.0503728</v>
      </c>
      <c r="D74" s="136">
        <f>IFERROR(D12/$B60,0)</f>
        <v>79245.409001882203</v>
      </c>
      <c r="E74" s="137">
        <f t="shared" si="4"/>
        <v>6706708.2496763049</v>
      </c>
      <c r="F74" s="137">
        <f t="shared" si="4"/>
        <v>277.35893150658768</v>
      </c>
    </row>
    <row r="75" spans="1:6" x14ac:dyDescent="0.25">
      <c r="A75" s="135" t="s">
        <v>1084</v>
      </c>
      <c r="B75" s="129">
        <v>1</v>
      </c>
      <c r="C75" s="136">
        <f>IFERROR(C18/$B61,0)</f>
        <v>36.407844783957088</v>
      </c>
      <c r="D75" s="136">
        <f>IFERROR(D18/$B61,0)</f>
        <v>1.505662771035762E-3</v>
      </c>
      <c r="E75" s="137">
        <f t="shared" si="4"/>
        <v>0.12742745674384981</v>
      </c>
      <c r="F75" s="137">
        <f t="shared" si="4"/>
        <v>5.2698196986251662E-6</v>
      </c>
    </row>
    <row r="76" spans="1:6" x14ac:dyDescent="0.25">
      <c r="A76" s="135" t="s">
        <v>1085</v>
      </c>
      <c r="B76" s="129">
        <v>1.339E-6</v>
      </c>
      <c r="C76" s="136">
        <f>IFERROR(C27/$B62,0)</f>
        <v>27190324.707958989</v>
      </c>
      <c r="D76" s="136">
        <f>IFERROR(D27/$B62,0)</f>
        <v>1124.4680888990008</v>
      </c>
      <c r="E76" s="137">
        <f t="shared" si="4"/>
        <v>95166.13647785646</v>
      </c>
      <c r="F76" s="137">
        <f t="shared" si="4"/>
        <v>3.9356383111465032</v>
      </c>
    </row>
  </sheetData>
  <sheetProtection algorithmName="SHA-512" hashValue="55gQKWJpnR/PSUIkYcG/eoK76SioZg+3sI9EarnR47wmSiE4VBZ5R5myiQed16xmmoMefkXpLvutw/ZbY0PANQ==" saltValue="xw0p2J7eYxKAqFqq/9PL+A==" spinCount="100000" sheet="1" objects="1" scenarios="1" formatColumns="0" formatRows="0" autoFilter="0"/>
  <autoFilter ref="A1:F1299" xr:uid="{00000000-0009-0000-0000-000021000000}"/>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V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14" style="1" bestFit="1" customWidth="1"/>
    <col min="4" max="4" width="13.85546875" style="1" bestFit="1" customWidth="1"/>
    <col min="5" max="5" width="13.140625" style="1" bestFit="1" customWidth="1"/>
    <col min="6" max="6" width="13.85546875" style="1" bestFit="1" customWidth="1"/>
    <col min="7" max="7" width="13.140625" style="1" bestFit="1" customWidth="1"/>
    <col min="8" max="8" width="13.28515625" style="1" bestFit="1" customWidth="1"/>
    <col min="9" max="9" width="12.5703125" style="1" bestFit="1" customWidth="1"/>
    <col min="10" max="10" width="14" style="1" bestFit="1" customWidth="1"/>
    <col min="11" max="11" width="13.140625" style="1" bestFit="1" customWidth="1"/>
    <col min="12" max="12" width="14.85546875" style="1" bestFit="1" customWidth="1"/>
    <col min="13" max="13" width="12.28515625" style="1" bestFit="1" customWidth="1"/>
    <col min="14" max="14" width="12.85546875" style="1" bestFit="1" customWidth="1"/>
    <col min="15" max="15" width="13" style="1" bestFit="1" customWidth="1"/>
    <col min="16" max="16" width="14.140625" style="1" bestFit="1" customWidth="1"/>
    <col min="17" max="17" width="14.28515625" style="1" bestFit="1" customWidth="1"/>
    <col min="18" max="18" width="13.140625" style="1" bestFit="1" customWidth="1"/>
    <col min="19" max="19" width="12.42578125" style="1" bestFit="1" customWidth="1"/>
    <col min="20" max="20" width="13.85546875" style="1" bestFit="1" customWidth="1"/>
    <col min="21" max="21" width="14.140625" style="1" bestFit="1" customWidth="1"/>
    <col min="22" max="22" width="13.28515625" style="1" bestFit="1" customWidth="1"/>
    <col min="23" max="23" width="14" style="1" bestFit="1" customWidth="1"/>
    <col min="24" max="24" width="12.85546875" style="1" bestFit="1" customWidth="1"/>
    <col min="25" max="25" width="12.42578125" style="1" bestFit="1" customWidth="1"/>
    <col min="26" max="26" width="14.28515625" style="1" bestFit="1" customWidth="1"/>
    <col min="27" max="27" width="13.5703125" style="1" bestFit="1" customWidth="1"/>
    <col min="28" max="28" width="13.42578125" style="1" bestFit="1" customWidth="1"/>
    <col min="29" max="29" width="12.85546875" style="1" bestFit="1" customWidth="1"/>
    <col min="30" max="30" width="13.42578125" style="1" bestFit="1" customWidth="1"/>
    <col min="31" max="31" width="12.7109375" style="1" bestFit="1" customWidth="1"/>
    <col min="32" max="32" width="13" style="1" bestFit="1" customWidth="1"/>
    <col min="33" max="33" width="12.140625" style="1" bestFit="1" customWidth="1"/>
    <col min="34" max="34" width="13.5703125" style="1" bestFit="1" customWidth="1"/>
    <col min="35" max="35" width="12.7109375" style="1" bestFit="1" customWidth="1"/>
    <col min="36" max="36" width="14.42578125" style="1" bestFit="1" customWidth="1"/>
    <col min="37" max="37" width="12" style="1" bestFit="1" customWidth="1"/>
    <col min="38" max="38" width="12.5703125" style="1" bestFit="1" customWidth="1"/>
    <col min="39" max="39" width="12.7109375" style="1" bestFit="1" customWidth="1"/>
    <col min="40" max="40" width="13.85546875" style="1" bestFit="1" customWidth="1"/>
    <col min="41" max="41" width="14" style="1" bestFit="1" customWidth="1"/>
    <col min="42" max="42" width="12.7109375" style="1" bestFit="1" customWidth="1"/>
    <col min="43" max="43" width="12" style="1" bestFit="1" customWidth="1"/>
    <col min="44" max="44" width="13.42578125" style="1" bestFit="1" customWidth="1"/>
    <col min="45" max="45" width="13.85546875" style="1" bestFit="1" customWidth="1"/>
    <col min="46" max="46" width="12.85546875" style="1" bestFit="1" customWidth="1"/>
    <col min="47" max="47" width="13.5703125" style="1" bestFit="1" customWidth="1"/>
    <col min="48" max="48" width="12.42578125" style="1" bestFit="1" customWidth="1"/>
    <col min="49" max="49" width="12" style="1" bestFit="1" customWidth="1"/>
    <col min="50" max="50" width="14" style="1" bestFit="1" customWidth="1"/>
    <col min="51" max="51" width="14.140625" style="1" bestFit="1" customWidth="1"/>
    <col min="52" max="52" width="14" style="1" bestFit="1" customWidth="1"/>
    <col min="53" max="53" width="13.42578125" style="1" bestFit="1" customWidth="1"/>
    <col min="54" max="54" width="14" style="1" bestFit="1" customWidth="1"/>
    <col min="55" max="55" width="13.42578125" style="1" bestFit="1" customWidth="1"/>
    <col min="56" max="56" width="13.5703125" style="1" bestFit="1" customWidth="1"/>
    <col min="57" max="57" width="12.85546875" style="1" bestFit="1" customWidth="1"/>
    <col min="58" max="58" width="14.140625" style="1" bestFit="1" customWidth="1"/>
    <col min="59" max="59" width="13.42578125" style="1" bestFit="1" customWidth="1"/>
    <col min="60" max="60" width="15.140625" style="1" bestFit="1" customWidth="1"/>
    <col min="61" max="61" width="12.5703125" style="1" bestFit="1" customWidth="1"/>
    <col min="62" max="62" width="13.140625" style="1" bestFit="1" customWidth="1"/>
    <col min="63" max="63" width="13.28515625" style="1" bestFit="1" customWidth="1"/>
    <col min="64" max="64" width="14.42578125" style="1" bestFit="1" customWidth="1"/>
    <col min="65" max="65" width="14.5703125" style="1" bestFit="1" customWidth="1"/>
    <col min="66" max="66" width="13.42578125" style="1" bestFit="1" customWidth="1"/>
    <col min="67" max="67" width="12.7109375" style="1" bestFit="1" customWidth="1"/>
    <col min="68" max="68" width="14.140625" style="1" bestFit="1" customWidth="1"/>
    <col min="69" max="69" width="14.5703125" style="1" bestFit="1" customWidth="1"/>
    <col min="70" max="70" width="13.5703125" style="1" bestFit="1" customWidth="1"/>
    <col min="71" max="71" width="14.140625" style="1" bestFit="1" customWidth="1"/>
    <col min="72" max="72" width="13.140625" style="1" bestFit="1" customWidth="1"/>
    <col min="73" max="73" width="12.7109375" style="1" bestFit="1" customWidth="1"/>
    <col min="74" max="74" width="14.5703125" style="1" bestFit="1" customWidth="1"/>
  </cols>
  <sheetData>
    <row r="1" spans="1:74" x14ac:dyDescent="0.25">
      <c r="A1" s="50" t="s">
        <v>39</v>
      </c>
      <c r="B1" s="50" t="s">
        <v>335</v>
      </c>
      <c r="C1" s="1" t="s">
        <v>651</v>
      </c>
      <c r="D1" s="1" t="s">
        <v>652</v>
      </c>
      <c r="E1" s="1" t="s">
        <v>653</v>
      </c>
      <c r="F1" s="1" t="s">
        <v>654</v>
      </c>
      <c r="G1" s="1" t="s">
        <v>655</v>
      </c>
      <c r="H1" s="1" t="s">
        <v>656</v>
      </c>
      <c r="I1" s="1" t="s">
        <v>657</v>
      </c>
      <c r="J1" s="1" t="s">
        <v>658</v>
      </c>
      <c r="K1" s="1" t="s">
        <v>659</v>
      </c>
      <c r="L1" s="1" t="s">
        <v>660</v>
      </c>
      <c r="M1" s="1" t="s">
        <v>661</v>
      </c>
      <c r="N1" s="1" t="s">
        <v>662</v>
      </c>
      <c r="O1" s="1" t="s">
        <v>663</v>
      </c>
      <c r="P1" s="1" t="s">
        <v>664</v>
      </c>
      <c r="Q1" s="1" t="s">
        <v>665</v>
      </c>
      <c r="R1" s="1" t="s">
        <v>666</v>
      </c>
      <c r="S1" s="1" t="s">
        <v>667</v>
      </c>
      <c r="T1" s="1" t="s">
        <v>668</v>
      </c>
      <c r="U1" s="1" t="s">
        <v>669</v>
      </c>
      <c r="V1" s="1" t="s">
        <v>670</v>
      </c>
      <c r="W1" s="1" t="s">
        <v>671</v>
      </c>
      <c r="X1" s="1" t="s">
        <v>672</v>
      </c>
      <c r="Y1" s="1" t="s">
        <v>673</v>
      </c>
      <c r="Z1" s="1" t="s">
        <v>721</v>
      </c>
      <c r="AA1" s="1" t="s">
        <v>674</v>
      </c>
      <c r="AB1" s="1" t="s">
        <v>675</v>
      </c>
      <c r="AC1" s="1" t="s">
        <v>676</v>
      </c>
      <c r="AD1" s="1" t="s">
        <v>677</v>
      </c>
      <c r="AE1" s="1" t="s">
        <v>678</v>
      </c>
      <c r="AF1" s="1" t="s">
        <v>679</v>
      </c>
      <c r="AG1" s="1" t="s">
        <v>680</v>
      </c>
      <c r="AH1" s="1" t="s">
        <v>681</v>
      </c>
      <c r="AI1" s="1" t="s">
        <v>682</v>
      </c>
      <c r="AJ1" s="1" t="s">
        <v>683</v>
      </c>
      <c r="AK1" s="1" t="s">
        <v>684</v>
      </c>
      <c r="AL1" s="1" t="s">
        <v>685</v>
      </c>
      <c r="AM1" s="1" t="s">
        <v>686</v>
      </c>
      <c r="AN1" s="1" t="s">
        <v>687</v>
      </c>
      <c r="AO1" s="1" t="s">
        <v>688</v>
      </c>
      <c r="AP1" s="1" t="s">
        <v>689</v>
      </c>
      <c r="AQ1" s="1" t="s">
        <v>690</v>
      </c>
      <c r="AR1" s="1" t="s">
        <v>691</v>
      </c>
      <c r="AS1" s="1" t="s">
        <v>692</v>
      </c>
      <c r="AT1" s="1" t="s">
        <v>693</v>
      </c>
      <c r="AU1" s="1" t="s">
        <v>694</v>
      </c>
      <c r="AV1" s="1" t="s">
        <v>695</v>
      </c>
      <c r="AW1" s="1" t="s">
        <v>696</v>
      </c>
      <c r="AX1" s="1" t="s">
        <v>722</v>
      </c>
      <c r="AY1" s="1" t="s">
        <v>697</v>
      </c>
      <c r="AZ1" s="1" t="s">
        <v>698</v>
      </c>
      <c r="BA1" s="1" t="s">
        <v>699</v>
      </c>
      <c r="BB1" s="1" t="s">
        <v>700</v>
      </c>
      <c r="BC1" s="1" t="s">
        <v>701</v>
      </c>
      <c r="BD1" s="1" t="s">
        <v>702</v>
      </c>
      <c r="BE1" s="1" t="s">
        <v>703</v>
      </c>
      <c r="BF1" s="1" t="s">
        <v>704</v>
      </c>
      <c r="BG1" s="1" t="s">
        <v>705</v>
      </c>
      <c r="BH1" s="1" t="s">
        <v>706</v>
      </c>
      <c r="BI1" s="1" t="s">
        <v>707</v>
      </c>
      <c r="BJ1" s="1" t="s">
        <v>708</v>
      </c>
      <c r="BK1" s="1" t="s">
        <v>709</v>
      </c>
      <c r="BL1" s="1" t="s">
        <v>710</v>
      </c>
      <c r="BM1" s="1" t="s">
        <v>711</v>
      </c>
      <c r="BN1" s="1" t="s">
        <v>712</v>
      </c>
      <c r="BO1" s="1" t="s">
        <v>713</v>
      </c>
      <c r="BP1" s="1" t="s">
        <v>714</v>
      </c>
      <c r="BQ1" s="1" t="s">
        <v>715</v>
      </c>
      <c r="BR1" s="1" t="s">
        <v>716</v>
      </c>
      <c r="BS1" s="1" t="s">
        <v>717</v>
      </c>
      <c r="BT1" s="1" t="s">
        <v>718</v>
      </c>
      <c r="BU1" s="1" t="s">
        <v>719</v>
      </c>
      <c r="BV1" s="1" t="s">
        <v>723</v>
      </c>
    </row>
    <row r="2" spans="1:74" x14ac:dyDescent="0.25">
      <c r="A2" s="31" t="s">
        <v>0</v>
      </c>
      <c r="B2" s="3" t="s">
        <v>1059</v>
      </c>
      <c r="C2" s="72">
        <f>IFERROR(IF(d_ss_Bv!C2=0,".",((Ir*F*d_ss_Bv!C2*(1-EXP(-RadSpec!BC2*t_b)))/(P*RadSpec!BC2))),".")</f>
        <v>3.5746410762351036E-2</v>
      </c>
      <c r="D2" s="72">
        <f>IFERROR(IF(d_ss_Bv!D2=0,".",((Ir*F*d_ss_Bv!D2*(1-EXP(-RadSpec!BC2*t_b)))/(P*RadSpec!BC2))),".")</f>
        <v>3.5746410762351036E-2</v>
      </c>
      <c r="E2" s="72">
        <f>IFERROR(IF(d_ss_Bv!E2=0,".",((Ir*F*d_ss_Bv!E2*(1-EXP(-RadSpec!BC2*t_b)))/(P*RadSpec!BC2))),".")</f>
        <v>3.5746410762351036E-2</v>
      </c>
      <c r="F2" s="72">
        <f>IFERROR(IF(d_ss_Bv!F2=0,".",((Ir*F*d_ss_Bv!F2*(1-EXP(-RadSpec!BC2*t_b)))/(P*RadSpec!BC2))),".")</f>
        <v>3.5746410762351036E-2</v>
      </c>
      <c r="G2" s="72">
        <f>IFERROR(IF(d_ss_Bv!G2=0,".",((Ir*F*d_ss_Bv!G2*(1-EXP(-RadSpec!BC2*t_b)))/(P*RadSpec!BC2))),".")</f>
        <v>3.5746410762351036E-2</v>
      </c>
      <c r="H2" s="72">
        <f>IFERROR(IF(d_ss_Bv!H2=0,".",((Ir*F*d_ss_Bv!H2*(1-EXP(-RadSpec!BC2*t_b)))/(P*RadSpec!BC2))),".")</f>
        <v>3.5746410762351036E-2</v>
      </c>
      <c r="I2" s="72">
        <f>IFERROR(IF(d_ss_Bv!I2=0,".",((Ir*F*d_ss_Bv!I2*(1-EXP(-RadSpec!BC2*t_b)))/(P*RadSpec!BC2))),".")</f>
        <v>3.5746410762351036E-2</v>
      </c>
      <c r="J2" s="72">
        <f>IFERROR(IF(d_ss_Bv!J2=0,".",((Ir*F*d_ss_Bv!J2*(1-EXP(-RadSpec!BC2*t_b)))/(P*RadSpec!BC2))),".")</f>
        <v>3.5746410762351036E-2</v>
      </c>
      <c r="K2" s="72">
        <f>IFERROR(IF(d_ss_Bv!K2=0,".",((Ir*F*d_ss_Bv!K2*(1-EXP(-RadSpec!BC2*t_b)))/(P*RadSpec!BC2))),".")</f>
        <v>3.5746410762351036E-2</v>
      </c>
      <c r="L2" s="72">
        <f>IFERROR(IF(d_ss_Bv!L2=0,".",((Ir*F*d_ss_Bv!L2*(1-EXP(-RadSpec!BC2*t_b)))/(P*RadSpec!BC2))),".")</f>
        <v>3.5746410762351036E-2</v>
      </c>
      <c r="M2" s="72">
        <f>IFERROR(IF(d_ss_Bv!M2=0,".",((Ir*F*d_ss_Bv!M2*(1-EXP(-RadSpec!BC2*t_b)))/(P*RadSpec!BC2))),".")</f>
        <v>3.5746410762351036E-2</v>
      </c>
      <c r="N2" s="72">
        <f>IFERROR(IF(d_ss_Bv!N2=0,".",((Ir*F*d_ss_Bv!N2*(1-EXP(-RadSpec!BC2*t_b)))/(P*RadSpec!BC2))),".")</f>
        <v>3.5746410762351036E-2</v>
      </c>
      <c r="O2" s="72">
        <f>IFERROR(IF(d_ss_Bv!O2=0,".",((Ir*F*d_ss_Bv!O2*(1-EXP(-RadSpec!BC2*t_b)))/(P*RadSpec!BC2))),".")</f>
        <v>3.5746410762351036E-2</v>
      </c>
      <c r="P2" s="72">
        <f>IFERROR(IF(d_ss_Bv!P2=0,".",((Ir*F*d_ss_Bv!P2*(1-EXP(-RadSpec!BC2*t_b)))/(P*RadSpec!BC2))),".")</f>
        <v>3.5746410762351036E-2</v>
      </c>
      <c r="Q2" s="72">
        <f>IFERROR(IF(d_ss_Bv!Q2=0,".",((Ir*F*d_ss_Bv!Q2*(1-EXP(-RadSpec!BC2*t_b)))/(P*RadSpec!BC2))),".")</f>
        <v>3.5746410762351036E-2</v>
      </c>
      <c r="R2" s="72">
        <f>IFERROR(IF(d_ss_Bv!R2=0,".",((Ir*F*d_ss_Bv!R2*(1-EXP(-RadSpec!BC2*t_b)))/(P*RadSpec!BC2))),".")</f>
        <v>3.5746410762351036E-2</v>
      </c>
      <c r="S2" s="72">
        <f>IFERROR(IF(d_ss_Bv!S2=0,".",((Ir*F*d_ss_Bv!S2*(1-EXP(-RadSpec!BC2*t_b)))/(P*RadSpec!BC2))),".")</f>
        <v>3.5746410762351036E-2</v>
      </c>
      <c r="T2" s="72">
        <f>IFERROR(IF(d_ss_Bv!T2=0,".",((Ir*F*d_ss_Bv!T2*(1-EXP(-RadSpec!BC2*t_b)))/(P*RadSpec!BC2))),".")</f>
        <v>3.5746410762351036E-2</v>
      </c>
      <c r="U2" s="72">
        <f>IFERROR(IF(d_ss_Bv!U2=0,".",((Ir*F*d_ss_Bv!U2*(1-EXP(-RadSpec!BC2*t_b)))/(P*RadSpec!BC2))),".")</f>
        <v>3.5746410762351036E-2</v>
      </c>
      <c r="V2" s="72">
        <f>IFERROR(IF(d_ss_Bv!V2=0,".",((Ir*F*d_ss_Bv!V2*(1-EXP(-RadSpec!BC2*t_b)))/(P*RadSpec!BC2))),".")</f>
        <v>3.5746410762351036E-2</v>
      </c>
      <c r="W2" s="72">
        <f>IFERROR(IF(d_ss_Bv!W2=0,".",((Ir*F*d_ss_Bv!W2*(1-EXP(-RadSpec!BC2*t_b)))/(P*RadSpec!BC2))),".")</f>
        <v>3.5746410762351036E-2</v>
      </c>
      <c r="X2" s="72">
        <f>IFERROR(IF(d_ss_Bv!X2=0,".",((Ir*F*d_ss_Bv!X2*(1-EXP(-RadSpec!BC2*t_b)))/(P*RadSpec!BC2))),".")</f>
        <v>3.5746410762351036E-2</v>
      </c>
      <c r="Y2" s="72">
        <f>IFERROR(IF(d_ss_Bv!Y2=0,".",((Ir*F*d_ss_Bv!Y2*(1-EXP(-RadSpec!BC2*t_b)))/(P*RadSpec!BC2))),".")</f>
        <v>3.5746410762351036E-2</v>
      </c>
      <c r="Z2" s="72">
        <f>IFERROR(IF(d_ss_Bv!Z2=0,".",((Ir*F*d_ss_Bv!Z2*(1-EXP(-RadSpec!BC2*t_b)))/(P*RadSpec!BC2))),".")</f>
        <v>3.5746410762351036E-2</v>
      </c>
      <c r="AA2" s="72">
        <f>IFERROR(IF(d_ss_Bv!C2=0,".",((Ir*F*MLF_apple*(1-EXP(-RadSpec!BC2*t_b)))/(P*RadSpec!BC2))),".")</f>
        <v>5.7194257219761657E-3</v>
      </c>
      <c r="AB2" s="72">
        <f>IFERROR(IF(d_ss_Bv!D2=0,".",((Ir*F*MLF_asparagus*(1-EXP(-RadSpec!BC2*t_b)))/(P*RadSpec!BC2))),".")</f>
        <v>2.8239664502257315E-3</v>
      </c>
      <c r="AC2" s="72">
        <f>IFERROR(IF(d_ss_Bv!E2=0,".",((Ir*F*MLF_beet*(1-EXP(-RadSpec!BC2*t_b)))/(P*RadSpec!BC2))),".")</f>
        <v>4.9330046852044422E-3</v>
      </c>
      <c r="AD2" s="72">
        <f>IFERROR(IF(d_ss_Bv!F2=0,".",((Ir*F*MLF_berries*(1-EXP(-RadSpec!BC2*t_b)))/(P*RadSpec!BC2))),".")</f>
        <v>5.9339041865502712E-3</v>
      </c>
      <c r="AE2" s="72">
        <f>IFERROR(IF(d_ss_Bv!G2=0,".",((Ir*F*MLF_broccoli*(1-EXP(-RadSpec!BC2*t_b)))/(P*RadSpec!BC2))),".")</f>
        <v>3.6103874869974538E-2</v>
      </c>
      <c r="AF2" s="72">
        <f>IFERROR(IF(d_ss_Bv!H2=0,".",((Ir*F*MLF_cabbage*(1-EXP(-RadSpec!BC2*t_b)))/(P*RadSpec!BC2))),".")</f>
        <v>3.7533731300468582E-3</v>
      </c>
      <c r="AG2" s="72">
        <f>IFERROR(IF(d_ss_Bv!I2=0,".",((Ir*F*MLF_carrot*(1-EXP(-RadSpec!BC2*t_b)))/(P*RadSpec!BC2))),".")</f>
        <v>3.4674018439480501E-3</v>
      </c>
      <c r="AH2" s="72">
        <f>IFERROR(IF(d_ss_Bv!J2=0,".",((Ir*F*MLF_citrus*(1-EXP(-RadSpec!BC2*t_b)))/(P*RadSpec!BC2))),".")</f>
        <v>5.6121864896891112E-3</v>
      </c>
      <c r="AI2" s="72">
        <f>IFERROR(IF(d_ss_Bv!K2=0,".",((Ir*F*MLF_corn*(1-EXP(-RadSpec!BC2*t_b)))/(P*RadSpec!BC2))),".")</f>
        <v>5.1832295605408994E-3</v>
      </c>
      <c r="AJ2" s="72">
        <f>IFERROR(IF(d_ss_Bv!L2=0,".",((Ir*F*MLF_cucumber*(1-EXP(-RadSpec!BC2*t_b)))/(P*RadSpec!BC2))),".")</f>
        <v>1.4298564304940414E-3</v>
      </c>
      <c r="AK2" s="72">
        <f>IFERROR(IF(d_ss_Bv!M2=0,".",((Ir*F*MLF_lettuce*(1-EXP(-RadSpec!BC2*t_b)))/(P*RadSpec!BC2))),".")</f>
        <v>0.48257654529173893</v>
      </c>
      <c r="AL2" s="72">
        <f>IFERROR(IF(d_ss_Bv!N2=0,".",((Ir*F*MLF_lima_bean*(1-EXP(-RadSpec!BC2*t_b)))/(P*RadSpec!BC2))),".")</f>
        <v>0.13690875321980447</v>
      </c>
      <c r="AM2" s="72">
        <f>IFERROR(IF(d_ss_Bv!O2=0,".",((Ir*F*MLF_okra*(1-EXP(-RadSpec!BC2*t_b)))/(P*RadSpec!BC2))),".")</f>
        <v>2.8597128609880828E-3</v>
      </c>
      <c r="AN2" s="72">
        <f>IFERROR(IF(d_ss_Bv!P2=0,".",((Ir*F*MLF_onion*(1-EXP(-RadSpec!BC2*t_b)))/(P*RadSpec!BC2))),".")</f>
        <v>3.4674018439480501E-3</v>
      </c>
      <c r="AO2" s="72">
        <f>IFERROR(IF(d_ss_Bv!Q2=0,".",((Ir*F*MLF_peach*(1-EXP(-RadSpec!BC2*t_b)))/(P*RadSpec!BC2))),".")</f>
        <v>5.361961614352654E-3</v>
      </c>
      <c r="AP2" s="72" t="str">
        <f>IFERROR(IF(d_ss_Bv!OI2=0,".",((Ir*F*MLF_pear*(1-EXP(-RadSpec!BC2*t_b)))/(P*RadSpec!BC2))),".")</f>
        <v>.</v>
      </c>
      <c r="AQ2" s="72">
        <f>IFERROR(IF(d_ss_Bv!S2=0,".",((Ir*F*MLF_peas*(1-EXP(-RadSpec!BC2*t_b)))/(P*RadSpec!BC2))),".")</f>
        <v>6.3628611156984829E-3</v>
      </c>
      <c r="AR2" s="72">
        <f>IFERROR(IF(d_ss_Bv!T2=0,".",((Ir*F*MLF_potato*(1-EXP(-RadSpec!BC2*t_b)))/(P*RadSpec!BC2))),".")</f>
        <v>7.5067462600937164E-3</v>
      </c>
      <c r="AS2" s="72">
        <f>IFERROR(IF(d_ss_Bv!U2=0,".",((Ir*F*MLF_pumpkin*(1-EXP(-RadSpec!BC2*t_b)))/(P*RadSpec!BC2))),".")</f>
        <v>2.0732918242163598E-3</v>
      </c>
      <c r="AT2" s="72">
        <f>IFERROR(IF(d_ss_Bv!V2=0,".",((Ir*F*MLF_snap_bean*(1-EXP(-RadSpec!BC2*t_b)))/(P*RadSpec!BC2))),".")</f>
        <v>0.17873205381175516</v>
      </c>
      <c r="AU2" s="72">
        <f>IFERROR(IF(d_ss_Bv!W2=0,".",((Ir*F*MLF_strawberry*(1-EXP(-RadSpec!BC2*t_b)))/(P*RadSpec!BC2))),".")</f>
        <v>2.8597128609880828E-3</v>
      </c>
      <c r="AV2" s="72">
        <f>IFERROR(IF(d_ss_Bv!X2=0,".",((Ir*F*MLF_tomato*(1-EXP(-RadSpec!BC2*t_b)))/(P*RadSpec!BC2))),".")</f>
        <v>5.6836793112138136E-2</v>
      </c>
      <c r="AW2" s="72">
        <f>IFERROR(IF(d_ss_Bv!Y2=0,".",((Ir*F*MLF_rice*(1-EXP(-RadSpec!BC2*t_b)))/(P*RadSpec!BC2))),".")</f>
        <v>8.9366026905877582</v>
      </c>
      <c r="AX2" s="72">
        <f>IFERROR(IF(d_ss_Bv!Z2=0,".",((Ir*F*MLF_cereal*(1-EXP(-RadSpec!BC2*t_b)))/(P*RadSpec!BC2))),".")</f>
        <v>8.9366026905877582</v>
      </c>
      <c r="AY2" s="72">
        <f>IFERROR(IF(d_ss_Bv!C2=0,".",((Ir*F*I_f*T*(1-EXP(-RadSpec!BD2*t_v)))/(Y_v*RadSpec!BD2))),".")</f>
        <v>3.6424203206347228</v>
      </c>
      <c r="AZ2" s="72">
        <f>IFERROR(IF(d_ss_Bv!D2=0,".",((Ir*F*I_f*T*(1-EXP(-RadSpec!BD2*t_v)))/(Y_v*RadSpec!BD2))),".")</f>
        <v>3.6424203206347228</v>
      </c>
      <c r="BA2" s="72">
        <f>IFERROR(IF(d_ss_Bv!E2=0,".",((Ir*F*I_f*T*(1-EXP(-RadSpec!BD2*t_v)))/(Y_v*RadSpec!BD2))),".")</f>
        <v>3.6424203206347228</v>
      </c>
      <c r="BB2" s="72">
        <f>IFERROR(IF(d_ss_Bv!F2=0,".",((Ir*F*I_f*T*(1-EXP(-RadSpec!BD2*t_v)))/(Y_v*RadSpec!BD2))),".")</f>
        <v>3.6424203206347228</v>
      </c>
      <c r="BC2" s="72">
        <f>IFERROR(IF(d_ss_Bv!G2=0,".",((Ir*F*I_f*T*(1-EXP(-RadSpec!BD2*t_v)))/(Y_v*RadSpec!BD2))),".")</f>
        <v>3.6424203206347228</v>
      </c>
      <c r="BD2" s="72">
        <f>IFERROR(IF(d_ss_Bv!H2=0,".",((Ir*F*I_f*T*(1-EXP(-RadSpec!BD2*t_v)))/(Y_v*RadSpec!BD2))),".")</f>
        <v>3.6424203206347228</v>
      </c>
      <c r="BE2" s="72">
        <f>IFERROR(IF(d_ss_Bv!I2=0,".",((Ir*F*I_f*T*(1-EXP(-RadSpec!BD2*t_v)))/(Y_v*RadSpec!BD2))),".")</f>
        <v>3.6424203206347228</v>
      </c>
      <c r="BF2" s="72">
        <f>IFERROR(IF(d_ss_Bv!J2=0,".",((Ir*F*I_f*T*(1-EXP(-RadSpec!BD2*t_v)))/(Y_v*RadSpec!BD2))),".")</f>
        <v>3.6424203206347228</v>
      </c>
      <c r="BG2" s="72">
        <f>IFERROR(IF(d_ss_Bv!K2=0,".",((Ir*F*I_f*T*(1-EXP(-RadSpec!BD2*t_v)))/(Y_v*RadSpec!BD2))),".")</f>
        <v>3.6424203206347228</v>
      </c>
      <c r="BH2" s="72">
        <f>IFERROR(IF(d_ss_Bv!L2=0,".",((Ir*F*I_f*T*(1-EXP(-RadSpec!BD2*t_v)))/(Y_v*RadSpec!BD2))),".")</f>
        <v>3.6424203206347228</v>
      </c>
      <c r="BI2" s="72">
        <f>IFERROR(IF(d_ss_Bv!M2=0,".",((Ir*F*I_f*T*(1-EXP(-RadSpec!BD2*t_v)))/(Y_v*RadSpec!BD2))),".")</f>
        <v>3.6424203206347228</v>
      </c>
      <c r="BJ2" s="72">
        <f>IFERROR(IF(d_ss_Bv!N2=0,".",((Ir*F*I_f*T*(1-EXP(-RadSpec!BD2*t_v)))/(Y_v*RadSpec!BD2))),".")</f>
        <v>3.6424203206347228</v>
      </c>
      <c r="BK2" s="72">
        <f>IFERROR(IF(d_ss_Bv!O2=0,".",((Ir*F*I_f*T*(1-EXP(-RadSpec!BD2*t_v)))/(Y_v*RadSpec!BD2))),".")</f>
        <v>3.6424203206347228</v>
      </c>
      <c r="BL2" s="72">
        <f>IFERROR(IF(d_ss_Bv!P2=0,".",((Ir*F*I_f*T*(1-EXP(-RadSpec!BD2*t_v)))/(Y_v*RadSpec!BD2))),".")</f>
        <v>3.6424203206347228</v>
      </c>
      <c r="BM2" s="72">
        <f>IFERROR(IF(d_ss_Bv!Q2=0,".",((Ir*F*I_f*T*(1-EXP(-RadSpec!BD2*t_v)))/(Y_v*RadSpec!BD2))),".")</f>
        <v>3.6424203206347228</v>
      </c>
      <c r="BN2" s="72">
        <f>IFERROR(IF(d_ss_Bv!R2=0,".",((Ir*F*I_f*T*(1-EXP(-RadSpec!BD2*t_v)))/(Y_v*RadSpec!BD2))),".")</f>
        <v>3.6424203206347228</v>
      </c>
      <c r="BO2" s="72">
        <f>IFERROR(IF(d_ss_Bv!S2=0,".",((Ir*F*I_f*T*(1-EXP(-RadSpec!BD2*t_v)))/(Y_v*RadSpec!BD2))),".")</f>
        <v>3.6424203206347228</v>
      </c>
      <c r="BP2" s="72">
        <f>IFERROR(IF(d_ss_Bv!T2=0,".",((Ir*F*I_f*T*(1-EXP(-RadSpec!BD2*t_v)))/(Y_v*RadSpec!BD2))),".")</f>
        <v>3.6424203206347228</v>
      </c>
      <c r="BQ2" s="72">
        <f>IFERROR(IF(d_ss_Bv!U2=0,".",((Ir*F*I_f*T*(1-EXP(-RadSpec!BD2*t_v)))/(Y_v*RadSpec!BD2))),".")</f>
        <v>3.6424203206347228</v>
      </c>
      <c r="BR2" s="72">
        <f>IFERROR(IF(d_ss_Bv!V2=0,".",((Ir*F*I_f*T*(1-EXP(-RadSpec!BD2*t_v)))/(Y_v*RadSpec!BD2))),".")</f>
        <v>3.6424203206347228</v>
      </c>
      <c r="BS2" s="72">
        <f>IFERROR(IF(d_ss_Bv!W2=0,".",((Ir*F*I_f*T*(1-EXP(-RadSpec!BD2*t_v)))/(Y_v*RadSpec!BD2))),".")</f>
        <v>3.6424203206347228</v>
      </c>
      <c r="BT2" s="72">
        <f>IFERROR(IF(d_ss_Bv!X2=0,".",((Ir*F*I_f*T*(1-EXP(-RadSpec!BD2*t_v)))/(Y_v*RadSpec!BD2))),".")</f>
        <v>3.6424203206347228</v>
      </c>
      <c r="BU2" s="72">
        <f>IFERROR(IF(d_ss_Bv!Y2=0,".",((Ir*F*I_f*T*(1-EXP(-RadSpec!BD2*t_v)))/(Y_v*RadSpec!BD2))),".")</f>
        <v>3.6424203206347228</v>
      </c>
      <c r="BV2" s="72">
        <f>IFERROR(IF(d_ss_Bv!Z2=0,".",((Ir*F*I_f*T*(1-EXP(-RadSpec!BD2*t_v)))/(Y_v*RadSpec!BD2))),".")</f>
        <v>3.6424203206347228</v>
      </c>
    </row>
    <row r="3" spans="1:74" x14ac:dyDescent="0.25">
      <c r="A3" s="32" t="s">
        <v>1</v>
      </c>
      <c r="B3" s="3" t="s">
        <v>336</v>
      </c>
      <c r="C3" s="72">
        <f>IFERROR(IF(d_ss_Bv!C3=0,".",((Ir*F*d_ss_Bv!C3*(1-EXP(-RadSpec!BC3*t_b)))/(P*RadSpec!BC3))),".")</f>
        <v>1.1081387336328819E-3</v>
      </c>
      <c r="D3" s="72">
        <f>IFERROR(IF(d_ss_Bv!D3=0,".",((Ir*F*d_ss_Bv!D3*(1-EXP(-RadSpec!BC3*t_b)))/(P*RadSpec!BC3))),".")</f>
        <v>9.6515309058347772E-3</v>
      </c>
      <c r="E3" s="72">
        <f>IFERROR(IF(d_ss_Bv!E3=0,".",((Ir*F*d_ss_Bv!E3*(1-EXP(-RadSpec!BC3*t_b)))/(P*RadSpec!BC3))),".")</f>
        <v>2.395009521077519E-2</v>
      </c>
      <c r="F3" s="72">
        <f>IFERROR(IF(d_ss_Bv!F3=0,".",((Ir*F*d_ss_Bv!F3*(1-EXP(-RadSpec!BC3*t_b)))/(P*RadSpec!BC3))),".")</f>
        <v>2.8597128609880826E-2</v>
      </c>
      <c r="G3" s="72">
        <f>IFERROR(IF(d_ss_Bv!G3=0,".",((Ir*F*d_ss_Bv!G3*(1-EXP(-RadSpec!BC3*t_b)))/(P*RadSpec!BC3))),".")</f>
        <v>1.2868707874446371E-2</v>
      </c>
      <c r="H3" s="72">
        <f>IFERROR(IF(d_ss_Bv!H3=0,".",((Ir*F*d_ss_Bv!H3*(1-EXP(-RadSpec!BC3*t_b)))/(P*RadSpec!BC3))),".")</f>
        <v>9.6515309058347772E-3</v>
      </c>
      <c r="I3" s="72">
        <f>IFERROR(IF(d_ss_Bv!I3=0,".",((Ir*F*d_ss_Bv!I3*(1-EXP(-RadSpec!BC3*t_b)))/(P*RadSpec!BC3))),".")</f>
        <v>2.395009521077519E-2</v>
      </c>
      <c r="J3" s="72">
        <f>IFERROR(IF(d_ss_Bv!J3=0,".",((Ir*F*d_ss_Bv!J3*(1-EXP(-RadSpec!BC3*t_b)))/(P*RadSpec!BC3))),".")</f>
        <v>1.1081387336328819E-3</v>
      </c>
      <c r="K3" s="72">
        <f>IFERROR(IF(d_ss_Bv!K3=0,".",((Ir*F*d_ss_Bv!K3*(1-EXP(-RadSpec!BC3*t_b)))/(P*RadSpec!BC3))),".")</f>
        <v>1.7873205381175516E-3</v>
      </c>
      <c r="L3" s="72">
        <f>IFERROR(IF(d_ss_Bv!L3=0,".",((Ir*F*d_ss_Bv!L3*(1-EXP(-RadSpec!BC3*t_b)))/(P*RadSpec!BC3))),".")</f>
        <v>1.2868707874446371E-2</v>
      </c>
      <c r="M3" s="72">
        <f>IFERROR(IF(d_ss_Bv!M3=0,".",((Ir*F*d_ss_Bv!M3*(1-EXP(-RadSpec!BC3*t_b)))/(P*RadSpec!BC3))),".")</f>
        <v>9.6515309058347772E-3</v>
      </c>
      <c r="N3" s="72">
        <f>IFERROR(IF(d_ss_Bv!N3=0,".",((Ir*F*d_ss_Bv!N3*(1-EXP(-RadSpec!BC3*t_b)))/(P*RadSpec!BC3))),".")</f>
        <v>1.3583636089693391E-2</v>
      </c>
      <c r="O3" s="72">
        <f>IFERROR(IF(d_ss_Bv!O3=0,".",((Ir*F*d_ss_Bv!O3*(1-EXP(-RadSpec!BC3*t_b)))/(P*RadSpec!BC3))),".")</f>
        <v>1.2868707874446371E-2</v>
      </c>
      <c r="P3" s="72">
        <f>IFERROR(IF(d_ss_Bv!P3=0,".",((Ir*F*d_ss_Bv!P3*(1-EXP(-RadSpec!BC3*t_b)))/(P*RadSpec!BC3))),".")</f>
        <v>1.2868707874446371E-2</v>
      </c>
      <c r="Q3" s="72">
        <f>IFERROR(IF(d_ss_Bv!Q3=0,".",((Ir*F*d_ss_Bv!Q3*(1-EXP(-RadSpec!BC3*t_b)))/(P*RadSpec!BC3))),".")</f>
        <v>1.1081387336328819E-3</v>
      </c>
      <c r="R3" s="72">
        <f>IFERROR(IF(d_ss_Bv!R3=0,".",((Ir*F*d_ss_Bv!R3*(1-EXP(-RadSpec!BC3*t_b)))/(P*RadSpec!BC3))),".")</f>
        <v>1.1081387336328819E-3</v>
      </c>
      <c r="S3" s="72">
        <f>IFERROR(IF(d_ss_Bv!S3=0,".",((Ir*F*d_ss_Bv!S3*(1-EXP(-RadSpec!BC3*t_b)))/(P*RadSpec!BC3))),".")</f>
        <v>1.3583636089693391E-2</v>
      </c>
      <c r="T3" s="72">
        <f>IFERROR(IF(d_ss_Bv!T3=0,".",((Ir*F*d_ss_Bv!T3*(1-EXP(-RadSpec!BC3*t_b)))/(P*RadSpec!BC3))),".")</f>
        <v>7.5067462600937164E-3</v>
      </c>
      <c r="U3" s="72">
        <f>IFERROR(IF(d_ss_Bv!U3=0,".",((Ir*F*d_ss_Bv!U3*(1-EXP(-RadSpec!BC3*t_b)))/(P*RadSpec!BC3))),".")</f>
        <v>1.2868707874446371E-2</v>
      </c>
      <c r="V3" s="72">
        <f>IFERROR(IF(d_ss_Bv!V3=0,".",((Ir*F*d_ss_Bv!V3*(1-EXP(-RadSpec!BC3*t_b)))/(P*RadSpec!BC3))),".")</f>
        <v>1.3583636089693391E-2</v>
      </c>
      <c r="W3" s="72">
        <f>IFERROR(IF(d_ss_Bv!W3=0,".",((Ir*F*d_ss_Bv!W3*(1-EXP(-RadSpec!BC3*t_b)))/(P*RadSpec!BC3))),".")</f>
        <v>3.9321051838586132E-3</v>
      </c>
      <c r="X3" s="72">
        <f>IFERROR(IF(d_ss_Bv!X3=0,".",((Ir*F*d_ss_Bv!X3*(1-EXP(-RadSpec!BC3*t_b)))/(P*RadSpec!BC3))),".")</f>
        <v>1.2868707874446371E-2</v>
      </c>
      <c r="Y3" s="72">
        <f>IFERROR(IF(d_ss_Bv!Y3=0,".",((Ir*F*d_ss_Bv!Y3*(1-EXP(-RadSpec!BC3*t_b)))/(P*RadSpec!BC3))),".")</f>
        <v>3.5746410762351036E-2</v>
      </c>
      <c r="Z3" s="72">
        <f>IFERROR(IF(d_ss_Bv!Z3=0,".",((Ir*F*d_ss_Bv!Z3*(1-EXP(-RadSpec!BC3*t_b)))/(P*RadSpec!BC3))),".")</f>
        <v>7.8642103677172264E-4</v>
      </c>
      <c r="AA3" s="72">
        <f>IFERROR(IF(d_ss_Bv!C3=0,".",((Ir*F*MLF_apple*(1-EXP(-RadSpec!BC3*t_b)))/(P*RadSpec!BC3))),".")</f>
        <v>5.7194257219761657E-3</v>
      </c>
      <c r="AB3" s="72">
        <f>IFERROR(IF(d_ss_Bv!D3=0,".",((Ir*F*MLF_asparagus*(1-EXP(-RadSpec!BC3*t_b)))/(P*RadSpec!BC3))),".")</f>
        <v>2.8239664502257315E-3</v>
      </c>
      <c r="AC3" s="72">
        <f>IFERROR(IF(d_ss_Bv!E3=0,".",((Ir*F*MLF_beet*(1-EXP(-RadSpec!BC3*t_b)))/(P*RadSpec!BC3))),".")</f>
        <v>4.9330046852044422E-3</v>
      </c>
      <c r="AD3" s="72">
        <f>IFERROR(IF(d_ss_Bv!F3=0,".",((Ir*F*MLF_berries*(1-EXP(-RadSpec!BC3*t_b)))/(P*RadSpec!BC3))),".")</f>
        <v>5.9339041865502712E-3</v>
      </c>
      <c r="AE3" s="72">
        <f>IFERROR(IF(d_ss_Bv!G3=0,".",((Ir*F*MLF_broccoli*(1-EXP(-RadSpec!BC3*t_b)))/(P*RadSpec!BC3))),".")</f>
        <v>3.6103874869974538E-2</v>
      </c>
      <c r="AF3" s="72">
        <f>IFERROR(IF(d_ss_Bv!H3=0,".",((Ir*F*MLF_cabbage*(1-EXP(-RadSpec!BC3*t_b)))/(P*RadSpec!BC3))),".")</f>
        <v>3.7533731300468582E-3</v>
      </c>
      <c r="AG3" s="72">
        <f>IFERROR(IF(d_ss_Bv!I3=0,".",((Ir*F*MLF_carrot*(1-EXP(-RadSpec!BC3*t_b)))/(P*RadSpec!BC3))),".")</f>
        <v>3.4674018439480501E-3</v>
      </c>
      <c r="AH3" s="72">
        <f>IFERROR(IF(d_ss_Bv!J3=0,".",((Ir*F*MLF_citrus*(1-EXP(-RadSpec!BC3*t_b)))/(P*RadSpec!BC3))),".")</f>
        <v>5.6121864896891112E-3</v>
      </c>
      <c r="AI3" s="72">
        <f>IFERROR(IF(d_ss_Bv!K3=0,".",((Ir*F*MLF_corn*(1-EXP(-RadSpec!BC3*t_b)))/(P*RadSpec!BC3))),".")</f>
        <v>5.1832295605408994E-3</v>
      </c>
      <c r="AJ3" s="72">
        <f>IFERROR(IF(d_ss_Bv!L3=0,".",((Ir*F*MLF_cucumber*(1-EXP(-RadSpec!BC3*t_b)))/(P*RadSpec!BC3))),".")</f>
        <v>1.4298564304940414E-3</v>
      </c>
      <c r="AK3" s="72">
        <f>IFERROR(IF(d_ss_Bv!M3=0,".",((Ir*F*MLF_lettuce*(1-EXP(-RadSpec!BC3*t_b)))/(P*RadSpec!BC3))),".")</f>
        <v>0.48257654529173893</v>
      </c>
      <c r="AL3" s="72">
        <f>IFERROR(IF(d_ss_Bv!N3=0,".",((Ir*F*MLF_lima_bean*(1-EXP(-RadSpec!BC3*t_b)))/(P*RadSpec!BC3))),".")</f>
        <v>0.13690875321980447</v>
      </c>
      <c r="AM3" s="72">
        <f>IFERROR(IF(d_ss_Bv!O3=0,".",((Ir*F*MLF_okra*(1-EXP(-RadSpec!BC3*t_b)))/(P*RadSpec!BC3))),".")</f>
        <v>2.8597128609880828E-3</v>
      </c>
      <c r="AN3" s="72">
        <f>IFERROR(IF(d_ss_Bv!P3=0,".",((Ir*F*MLF_onion*(1-EXP(-RadSpec!BC3*t_b)))/(P*RadSpec!BC3))),".")</f>
        <v>3.4674018439480501E-3</v>
      </c>
      <c r="AO3" s="72">
        <f>IFERROR(IF(d_ss_Bv!Q3=0,".",((Ir*F*MLF_peach*(1-EXP(-RadSpec!BC3*t_b)))/(P*RadSpec!BC3))),".")</f>
        <v>5.361961614352654E-3</v>
      </c>
      <c r="AP3" s="72">
        <f>IFERROR(IF(d_ss_Bv!R3=0,".",((Ir*F*MLF_pear*(1-EXP(-RadSpec!BC3*t_b)))/(P*RadSpec!BC3))),".")</f>
        <v>5.7194257219761657E-3</v>
      </c>
      <c r="AQ3" s="72">
        <f>IFERROR(IF(d_ss_Bv!S3=0,".",((Ir*F*MLF_peas*(1-EXP(-RadSpec!BC3*t_b)))/(P*RadSpec!BC3))),".")</f>
        <v>6.3628611156984829E-3</v>
      </c>
      <c r="AR3" s="72">
        <f>IFERROR(IF(d_ss_Bv!T3=0,".",((Ir*F*MLF_potato*(1-EXP(-RadSpec!BC3*t_b)))/(P*RadSpec!BC3))),".")</f>
        <v>7.5067462600937164E-3</v>
      </c>
      <c r="AS3" s="72">
        <f>IFERROR(IF(d_ss_Bv!U3=0,".",((Ir*F*MLF_pumpkin*(1-EXP(-RadSpec!BC3*t_b)))/(P*RadSpec!BC3))),".")</f>
        <v>2.0732918242163598E-3</v>
      </c>
      <c r="AT3" s="72">
        <f>IFERROR(IF(d_ss_Bv!V3=0,".",((Ir*F*MLF_snap_bean*(1-EXP(-RadSpec!BC3*t_b)))/(P*RadSpec!BC3))),".")</f>
        <v>0.17873205381175516</v>
      </c>
      <c r="AU3" s="72">
        <f>IFERROR(IF(d_ss_Bv!W3=0,".",((Ir*F*MLF_strawberry*(1-EXP(-RadSpec!BC3*t_b)))/(P*RadSpec!BC3))),".")</f>
        <v>2.8597128609880828E-3</v>
      </c>
      <c r="AV3" s="72">
        <f>IFERROR(IF(d_ss_Bv!X3=0,".",((Ir*F*MLF_tomato*(1-EXP(-RadSpec!BC3*t_b)))/(P*RadSpec!BC3))),".")</f>
        <v>5.6836793112138136E-2</v>
      </c>
      <c r="AW3" s="72">
        <f>IFERROR(IF(d_ss_Bv!Y3=0,".",((Ir*F*MLF_rice*(1-EXP(-RadSpec!BC3*t_b)))/(P*RadSpec!BC3))),".")</f>
        <v>8.9366026905877582</v>
      </c>
      <c r="AX3" s="72">
        <f>IFERROR(IF(d_ss_Bv!Z3=0,".",((Ir*F*MLF_cereal*(1-EXP(-RadSpec!BC3*t_b)))/(P*RadSpec!BC3))),".")</f>
        <v>8.9366026905877582</v>
      </c>
      <c r="AY3" s="72">
        <f>IFERROR(IF(d_ss_Bv!C3=0,".",((Ir*F*I_f*T*(1-EXP(-RadSpec!BD3*t_v)))/(Y_v*RadSpec!BD3))),".")</f>
        <v>3.6424203206347228</v>
      </c>
      <c r="AZ3" s="72">
        <f>IFERROR(IF(d_ss_Bv!D3=0,".",((Ir*F*I_f*T*(1-EXP(-RadSpec!BD3*t_v)))/(Y_v*RadSpec!BD3))),".")</f>
        <v>3.6424203206347228</v>
      </c>
      <c r="BA3" s="72">
        <f>IFERROR(IF(d_ss_Bv!E3=0,".",((Ir*F*I_f*T*(1-EXP(-RadSpec!BD3*t_v)))/(Y_v*RadSpec!BD3))),".")</f>
        <v>3.6424203206347228</v>
      </c>
      <c r="BB3" s="72">
        <f>IFERROR(IF(d_ss_Bv!F3=0,".",((Ir*F*I_f*T*(1-EXP(-RadSpec!BD3*t_v)))/(Y_v*RadSpec!BD3))),".")</f>
        <v>3.6424203206347228</v>
      </c>
      <c r="BC3" s="72">
        <f>IFERROR(IF(d_ss_Bv!G3=0,".",((Ir*F*I_f*T*(1-EXP(-RadSpec!BD3*t_v)))/(Y_v*RadSpec!BD3))),".")</f>
        <v>3.6424203206347228</v>
      </c>
      <c r="BD3" s="72">
        <f>IFERROR(IF(d_ss_Bv!H3=0,".",((Ir*F*I_f*T*(1-EXP(-RadSpec!BD3*t_v)))/(Y_v*RadSpec!BD3))),".")</f>
        <v>3.6424203206347228</v>
      </c>
      <c r="BE3" s="72">
        <f>IFERROR(IF(d_ss_Bv!I3=0,".",((Ir*F*I_f*T*(1-EXP(-RadSpec!BD3*t_v)))/(Y_v*RadSpec!BD3))),".")</f>
        <v>3.6424203206347228</v>
      </c>
      <c r="BF3" s="72">
        <f>IFERROR(IF(d_ss_Bv!J3=0,".",((Ir*F*I_f*T*(1-EXP(-RadSpec!BD3*t_v)))/(Y_v*RadSpec!BD3))),".")</f>
        <v>3.6424203206347228</v>
      </c>
      <c r="BG3" s="72">
        <f>IFERROR(IF(d_ss_Bv!K3=0,".",((Ir*F*I_f*T*(1-EXP(-RadSpec!BD3*t_v)))/(Y_v*RadSpec!BD3))),".")</f>
        <v>3.6424203206347228</v>
      </c>
      <c r="BH3" s="72">
        <f>IFERROR(IF(d_ss_Bv!L3=0,".",((Ir*F*I_f*T*(1-EXP(-RadSpec!BD3*t_v)))/(Y_v*RadSpec!BD3))),".")</f>
        <v>3.6424203206347228</v>
      </c>
      <c r="BI3" s="72">
        <f>IFERROR(IF(d_ss_Bv!M3=0,".",((Ir*F*I_f*T*(1-EXP(-RadSpec!BD3*t_v)))/(Y_v*RadSpec!BD3))),".")</f>
        <v>3.6424203206347228</v>
      </c>
      <c r="BJ3" s="72">
        <f>IFERROR(IF(d_ss_Bv!N3=0,".",((Ir*F*I_f*T*(1-EXP(-RadSpec!BD3*t_v)))/(Y_v*RadSpec!BD3))),".")</f>
        <v>3.6424203206347228</v>
      </c>
      <c r="BK3" s="72">
        <f>IFERROR(IF(d_ss_Bv!O3=0,".",((Ir*F*I_f*T*(1-EXP(-RadSpec!BD3*t_v)))/(Y_v*RadSpec!BD3))),".")</f>
        <v>3.6424203206347228</v>
      </c>
      <c r="BL3" s="72">
        <f>IFERROR(IF(d_ss_Bv!P3=0,".",((Ir*F*I_f*T*(1-EXP(-RadSpec!BD3*t_v)))/(Y_v*RadSpec!BD3))),".")</f>
        <v>3.6424203206347228</v>
      </c>
      <c r="BM3" s="72">
        <f>IFERROR(IF(d_ss_Bv!Q3=0,".",((Ir*F*I_f*T*(1-EXP(-RadSpec!BD3*t_v)))/(Y_v*RadSpec!BD3))),".")</f>
        <v>3.6424203206347228</v>
      </c>
      <c r="BN3" s="72">
        <f>IFERROR(IF(d_ss_Bv!R3=0,".",((Ir*F*I_f*T*(1-EXP(-RadSpec!BD3*t_v)))/(Y_v*RadSpec!BD3))),".")</f>
        <v>3.6424203206347228</v>
      </c>
      <c r="BO3" s="72">
        <f>IFERROR(IF(d_ss_Bv!S3=0,".",((Ir*F*I_f*T*(1-EXP(-RadSpec!BD3*t_v)))/(Y_v*RadSpec!BD3))),".")</f>
        <v>3.6424203206347228</v>
      </c>
      <c r="BP3" s="72">
        <f>IFERROR(IF(d_ss_Bv!T3=0,".",((Ir*F*I_f*T*(1-EXP(-RadSpec!BD3*t_v)))/(Y_v*RadSpec!BD3))),".")</f>
        <v>3.6424203206347228</v>
      </c>
      <c r="BQ3" s="72">
        <f>IFERROR(IF(d_ss_Bv!U3=0,".",((Ir*F*I_f*T*(1-EXP(-RadSpec!BD3*t_v)))/(Y_v*RadSpec!BD3))),".")</f>
        <v>3.6424203206347228</v>
      </c>
      <c r="BR3" s="72">
        <f>IFERROR(IF(d_ss_Bv!V3=0,".",((Ir*F*I_f*T*(1-EXP(-RadSpec!BD3*t_v)))/(Y_v*RadSpec!BD3))),".")</f>
        <v>3.6424203206347228</v>
      </c>
      <c r="BS3" s="72">
        <f>IFERROR(IF(d_ss_Bv!W3=0,".",((Ir*F*I_f*T*(1-EXP(-RadSpec!BD3*t_v)))/(Y_v*RadSpec!BD3))),".")</f>
        <v>3.6424203206347228</v>
      </c>
      <c r="BT3" s="72">
        <f>IFERROR(IF(d_ss_Bv!X3=0,".",((Ir*F*I_f*T*(1-EXP(-RadSpec!BD3*t_v)))/(Y_v*RadSpec!BD3))),".")</f>
        <v>3.6424203206347228</v>
      </c>
      <c r="BU3" s="72">
        <f>IFERROR(IF(d_ss_Bv!Y3=0,".",((Ir*F*I_f*T*(1-EXP(-RadSpec!BD3*t_v)))/(Y_v*RadSpec!BD3))),".")</f>
        <v>3.6424203206347228</v>
      </c>
      <c r="BV3" s="72">
        <f>IFERROR(IF(d_ss_Bv!Z3=0,".",((Ir*F*I_f*T*(1-EXP(-RadSpec!BD3*t_v)))/(Y_v*RadSpec!BD3))),".")</f>
        <v>3.6424203206347228</v>
      </c>
    </row>
    <row r="4" spans="1:74" x14ac:dyDescent="0.25">
      <c r="A4" s="31" t="s">
        <v>2</v>
      </c>
      <c r="B4" s="3" t="s">
        <v>1059</v>
      </c>
      <c r="C4" s="72">
        <f>IFERROR(IF(d_ss_Bv!C4=0,".",((Ir*F*d_ss_Bv!C4*(1-EXP(-RadSpec!BC4*t_b)))/(P*RadSpec!BC4))),".")</f>
        <v>7.1492821524702075</v>
      </c>
      <c r="D4" s="72">
        <f>IFERROR(IF(d_ss_Bv!D4=0,".",((Ir*F*d_ss_Bv!D4*(1-EXP(-RadSpec!BC4*t_b)))/(P*RadSpec!BC4))),".")</f>
        <v>7.1492821524702075</v>
      </c>
      <c r="E4" s="72">
        <f>IFERROR(IF(d_ss_Bv!E4=0,".",((Ir*F*d_ss_Bv!E4*(1-EXP(-RadSpec!BC4*t_b)))/(P*RadSpec!BC4))),".")</f>
        <v>7.1492821524702075</v>
      </c>
      <c r="F4" s="72">
        <f>IFERROR(IF(d_ss_Bv!F4=0,".",((Ir*F*d_ss_Bv!F4*(1-EXP(-RadSpec!BC4*t_b)))/(P*RadSpec!BC4))),".")</f>
        <v>7.1492821524702075</v>
      </c>
      <c r="G4" s="72">
        <f>IFERROR(IF(d_ss_Bv!G4=0,".",((Ir*F*d_ss_Bv!G4*(1-EXP(-RadSpec!BC4*t_b)))/(P*RadSpec!BC4))),".")</f>
        <v>7.1492821524702075</v>
      </c>
      <c r="H4" s="72">
        <f>IFERROR(IF(d_ss_Bv!H4=0,".",((Ir*F*d_ss_Bv!H4*(1-EXP(-RadSpec!BC4*t_b)))/(P*RadSpec!BC4))),".")</f>
        <v>7.1492821524702075</v>
      </c>
      <c r="I4" s="72">
        <f>IFERROR(IF(d_ss_Bv!I4=0,".",((Ir*F*d_ss_Bv!I4*(1-EXP(-RadSpec!BC4*t_b)))/(P*RadSpec!BC4))),".")</f>
        <v>7.1492821524702075</v>
      </c>
      <c r="J4" s="72">
        <f>IFERROR(IF(d_ss_Bv!J4=0,".",((Ir*F*d_ss_Bv!J4*(1-EXP(-RadSpec!BC4*t_b)))/(P*RadSpec!BC4))),".")</f>
        <v>7.1492821524702075</v>
      </c>
      <c r="K4" s="72">
        <f>IFERROR(IF(d_ss_Bv!K4=0,".",((Ir*F*d_ss_Bv!K4*(1-EXP(-RadSpec!BC4*t_b)))/(P*RadSpec!BC4))),".")</f>
        <v>7.1492821524702075</v>
      </c>
      <c r="L4" s="72">
        <f>IFERROR(IF(d_ss_Bv!L4=0,".",((Ir*F*d_ss_Bv!L4*(1-EXP(-RadSpec!BC4*t_b)))/(P*RadSpec!BC4))),".")</f>
        <v>7.1492821524702075</v>
      </c>
      <c r="M4" s="72">
        <f>IFERROR(IF(d_ss_Bv!M4=0,".",((Ir*F*d_ss_Bv!M4*(1-EXP(-RadSpec!BC4*t_b)))/(P*RadSpec!BC4))),".")</f>
        <v>7.1492821524702075</v>
      </c>
      <c r="N4" s="72">
        <f>IFERROR(IF(d_ss_Bv!N4=0,".",((Ir*F*d_ss_Bv!N4*(1-EXP(-RadSpec!BC4*t_b)))/(P*RadSpec!BC4))),".")</f>
        <v>7.1492821524702075</v>
      </c>
      <c r="O4" s="72">
        <f>IFERROR(IF(d_ss_Bv!O4=0,".",((Ir*F*d_ss_Bv!O4*(1-EXP(-RadSpec!BC4*t_b)))/(P*RadSpec!BC4))),".")</f>
        <v>7.1492821524702075</v>
      </c>
      <c r="P4" s="72">
        <f>IFERROR(IF(d_ss_Bv!P4=0,".",((Ir*F*d_ss_Bv!P4*(1-EXP(-RadSpec!BC4*t_b)))/(P*RadSpec!BC4))),".")</f>
        <v>7.1492821524702075</v>
      </c>
      <c r="Q4" s="72">
        <f>IFERROR(IF(d_ss_Bv!Q4=0,".",((Ir*F*d_ss_Bv!Q4*(1-EXP(-RadSpec!BC4*t_b)))/(P*RadSpec!BC4))),".")</f>
        <v>7.1492821524702075</v>
      </c>
      <c r="R4" s="72">
        <f>IFERROR(IF(d_ss_Bv!R4=0,".",((Ir*F*d_ss_Bv!R4*(1-EXP(-RadSpec!BC4*t_b)))/(P*RadSpec!BC4))),".")</f>
        <v>7.1492821524702075</v>
      </c>
      <c r="S4" s="72">
        <f>IFERROR(IF(d_ss_Bv!S4=0,".",((Ir*F*d_ss_Bv!S4*(1-EXP(-RadSpec!BC4*t_b)))/(P*RadSpec!BC4))),".")</f>
        <v>7.1492821524702075</v>
      </c>
      <c r="T4" s="72">
        <f>IFERROR(IF(d_ss_Bv!T4=0,".",((Ir*F*d_ss_Bv!T4*(1-EXP(-RadSpec!BC4*t_b)))/(P*RadSpec!BC4))),".")</f>
        <v>7.1492821524702075</v>
      </c>
      <c r="U4" s="72">
        <f>IFERROR(IF(d_ss_Bv!U4=0,".",((Ir*F*d_ss_Bv!U4*(1-EXP(-RadSpec!BC4*t_b)))/(P*RadSpec!BC4))),".")</f>
        <v>7.1492821524702075</v>
      </c>
      <c r="V4" s="72">
        <f>IFERROR(IF(d_ss_Bv!V4=0,".",((Ir*F*d_ss_Bv!V4*(1-EXP(-RadSpec!BC4*t_b)))/(P*RadSpec!BC4))),".")</f>
        <v>7.1492821524702075</v>
      </c>
      <c r="W4" s="72">
        <f>IFERROR(IF(d_ss_Bv!W4=0,".",((Ir*F*d_ss_Bv!W4*(1-EXP(-RadSpec!BC4*t_b)))/(P*RadSpec!BC4))),".")</f>
        <v>7.1492821524702075</v>
      </c>
      <c r="X4" s="72">
        <f>IFERROR(IF(d_ss_Bv!X4=0,".",((Ir*F*d_ss_Bv!X4*(1-EXP(-RadSpec!BC4*t_b)))/(P*RadSpec!BC4))),".")</f>
        <v>7.1492821524702075</v>
      </c>
      <c r="Y4" s="72">
        <f>IFERROR(IF(d_ss_Bv!Y4=0,".",((Ir*F*d_ss_Bv!Y4*(1-EXP(-RadSpec!BC4*t_b)))/(P*RadSpec!BC4))),".")</f>
        <v>7.1492821524702075</v>
      </c>
      <c r="Z4" s="72">
        <f>IFERROR(IF(d_ss_Bv!Z4=0,".",((Ir*F*d_ss_Bv!Z4*(1-EXP(-RadSpec!BC4*t_b)))/(P*RadSpec!BC4))),".")</f>
        <v>7.1492821524702075</v>
      </c>
      <c r="AA4" s="72">
        <f>IFERROR(IF(d_ss_Bv!C4=0,".",((Ir*F*MLF_apple*(1-EXP(-RadSpec!BC4*t_b)))/(P*RadSpec!BC4))),".")</f>
        <v>5.7194257219761657E-3</v>
      </c>
      <c r="AB4" s="72">
        <f>IFERROR(IF(d_ss_Bv!D4=0,".",((Ir*F*MLF_asparagus*(1-EXP(-RadSpec!BC4*t_b)))/(P*RadSpec!BC4))),".")</f>
        <v>2.8239664502257315E-3</v>
      </c>
      <c r="AC4" s="72">
        <f>IFERROR(IF(d_ss_Bv!E4=0,".",((Ir*F*MLF_beet*(1-EXP(-RadSpec!BC4*t_b)))/(P*RadSpec!BC4))),".")</f>
        <v>4.9330046852044422E-3</v>
      </c>
      <c r="AD4" s="72">
        <f>IFERROR(IF(d_ss_Bv!F4=0,".",((Ir*F*MLF_berries*(1-EXP(-RadSpec!BC4*t_b)))/(P*RadSpec!BC4))),".")</f>
        <v>5.9339041865502712E-3</v>
      </c>
      <c r="AE4" s="72">
        <f>IFERROR(IF(d_ss_Bv!G4=0,".",((Ir*F*MLF_broccoli*(1-EXP(-RadSpec!BC4*t_b)))/(P*RadSpec!BC4))),".")</f>
        <v>3.6103874869974538E-2</v>
      </c>
      <c r="AF4" s="72">
        <f>IFERROR(IF(d_ss_Bv!H4=0,".",((Ir*F*MLF_cabbage*(1-EXP(-RadSpec!BC4*t_b)))/(P*RadSpec!BC4))),".")</f>
        <v>3.7533731300468582E-3</v>
      </c>
      <c r="AG4" s="72">
        <f>IFERROR(IF(d_ss_Bv!I4=0,".",((Ir*F*MLF_carrot*(1-EXP(-RadSpec!BC4*t_b)))/(P*RadSpec!BC4))),".")</f>
        <v>3.4674018439480501E-3</v>
      </c>
      <c r="AH4" s="72">
        <f>IFERROR(IF(d_ss_Bv!J4=0,".",((Ir*F*MLF_citrus*(1-EXP(-RadSpec!BC4*t_b)))/(P*RadSpec!BC4))),".")</f>
        <v>5.6121864896891112E-3</v>
      </c>
      <c r="AI4" s="72">
        <f>IFERROR(IF(d_ss_Bv!K4=0,".",((Ir*F*MLF_corn*(1-EXP(-RadSpec!BC4*t_b)))/(P*RadSpec!BC4))),".")</f>
        <v>5.1832295605408994E-3</v>
      </c>
      <c r="AJ4" s="72">
        <f>IFERROR(IF(d_ss_Bv!L4=0,".",((Ir*F*MLF_cucumber*(1-EXP(-RadSpec!BC4*t_b)))/(P*RadSpec!BC4))),".")</f>
        <v>1.4298564304940414E-3</v>
      </c>
      <c r="AK4" s="72">
        <f>IFERROR(IF(d_ss_Bv!M4=0,".",((Ir*F*MLF_lettuce*(1-EXP(-RadSpec!BC4*t_b)))/(P*RadSpec!BC4))),".")</f>
        <v>0.48257654529173893</v>
      </c>
      <c r="AL4" s="72">
        <f>IFERROR(IF(d_ss_Bv!N4=0,".",((Ir*F*MLF_lima_bean*(1-EXP(-RadSpec!BC4*t_b)))/(P*RadSpec!BC4))),".")</f>
        <v>0.13690875321980447</v>
      </c>
      <c r="AM4" s="72">
        <f>IFERROR(IF(d_ss_Bv!O4=0,".",((Ir*F*MLF_okra*(1-EXP(-RadSpec!BC4*t_b)))/(P*RadSpec!BC4))),".")</f>
        <v>2.8597128609880828E-3</v>
      </c>
      <c r="AN4" s="72">
        <f>IFERROR(IF(d_ss_Bv!P4=0,".",((Ir*F*MLF_onion*(1-EXP(-RadSpec!BC4*t_b)))/(P*RadSpec!BC4))),".")</f>
        <v>3.4674018439480501E-3</v>
      </c>
      <c r="AO4" s="72">
        <f>IFERROR(IF(d_ss_Bv!Q4=0,".",((Ir*F*MLF_peach*(1-EXP(-RadSpec!BC4*t_b)))/(P*RadSpec!BC4))),".")</f>
        <v>5.361961614352654E-3</v>
      </c>
      <c r="AP4" s="72" t="str">
        <f>IFERROR(IF(d_ss_Bv!OI4=0,".",((Ir*F*MLF_pear*(1-EXP(-RadSpec!BC4*t_b)))/(P*RadSpec!BC4))),".")</f>
        <v>.</v>
      </c>
      <c r="AQ4" s="72">
        <f>IFERROR(IF(d_ss_Bv!S4=0,".",((Ir*F*MLF_peas*(1-EXP(-RadSpec!BC4*t_b)))/(P*RadSpec!BC4))),".")</f>
        <v>6.3628611156984829E-3</v>
      </c>
      <c r="AR4" s="72">
        <f>IFERROR(IF(d_ss_Bv!T4=0,".",((Ir*F*MLF_potato*(1-EXP(-RadSpec!BC4*t_b)))/(P*RadSpec!BC4))),".")</f>
        <v>7.5067462600937164E-3</v>
      </c>
      <c r="AS4" s="72">
        <f>IFERROR(IF(d_ss_Bv!U4=0,".",((Ir*F*MLF_pumpkin*(1-EXP(-RadSpec!BC4*t_b)))/(P*RadSpec!BC4))),".")</f>
        <v>2.0732918242163598E-3</v>
      </c>
      <c r="AT4" s="72">
        <f>IFERROR(IF(d_ss_Bv!V4=0,".",((Ir*F*MLF_snap_bean*(1-EXP(-RadSpec!BC4*t_b)))/(P*RadSpec!BC4))),".")</f>
        <v>0.17873205381175516</v>
      </c>
      <c r="AU4" s="72">
        <f>IFERROR(IF(d_ss_Bv!W4=0,".",((Ir*F*MLF_strawberry*(1-EXP(-RadSpec!BC4*t_b)))/(P*RadSpec!BC4))),".")</f>
        <v>2.8597128609880828E-3</v>
      </c>
      <c r="AV4" s="72">
        <f>IFERROR(IF(d_ss_Bv!X4=0,".",((Ir*F*MLF_tomato*(1-EXP(-RadSpec!BC4*t_b)))/(P*RadSpec!BC4))),".")</f>
        <v>5.6836793112138136E-2</v>
      </c>
      <c r="AW4" s="72">
        <f>IFERROR(IF(d_ss_Bv!Y4=0,".",((Ir*F*MLF_rice*(1-EXP(-RadSpec!BC4*t_b)))/(P*RadSpec!BC4))),".")</f>
        <v>8.9366026905877582</v>
      </c>
      <c r="AX4" s="72">
        <f>IFERROR(IF(d_ss_Bv!Z4=0,".",((Ir*F*MLF_cereal*(1-EXP(-RadSpec!BC4*t_b)))/(P*RadSpec!BC4))),".")</f>
        <v>8.9366026905877582</v>
      </c>
      <c r="AY4" s="72">
        <f>IFERROR(IF(d_ss_Bv!C4=0,".",((Ir*F*I_f*T*(1-EXP(-RadSpec!BD4*t_v)))/(Y_v*RadSpec!BD4))),".")</f>
        <v>3.6424203206347228</v>
      </c>
      <c r="AZ4" s="72">
        <f>IFERROR(IF(d_ss_Bv!D4=0,".",((Ir*F*I_f*T*(1-EXP(-RadSpec!BD4*t_v)))/(Y_v*RadSpec!BD4))),".")</f>
        <v>3.6424203206347228</v>
      </c>
      <c r="BA4" s="72">
        <f>IFERROR(IF(d_ss_Bv!E4=0,".",((Ir*F*I_f*T*(1-EXP(-RadSpec!BD4*t_v)))/(Y_v*RadSpec!BD4))),".")</f>
        <v>3.6424203206347228</v>
      </c>
      <c r="BB4" s="72">
        <f>IFERROR(IF(d_ss_Bv!F4=0,".",((Ir*F*I_f*T*(1-EXP(-RadSpec!BD4*t_v)))/(Y_v*RadSpec!BD4))),".")</f>
        <v>3.6424203206347228</v>
      </c>
      <c r="BC4" s="72">
        <f>IFERROR(IF(d_ss_Bv!G4=0,".",((Ir*F*I_f*T*(1-EXP(-RadSpec!BD4*t_v)))/(Y_v*RadSpec!BD4))),".")</f>
        <v>3.6424203206347228</v>
      </c>
      <c r="BD4" s="72">
        <f>IFERROR(IF(d_ss_Bv!H4=0,".",((Ir*F*I_f*T*(1-EXP(-RadSpec!BD4*t_v)))/(Y_v*RadSpec!BD4))),".")</f>
        <v>3.6424203206347228</v>
      </c>
      <c r="BE4" s="72">
        <f>IFERROR(IF(d_ss_Bv!I4=0,".",((Ir*F*I_f*T*(1-EXP(-RadSpec!BD4*t_v)))/(Y_v*RadSpec!BD4))),".")</f>
        <v>3.6424203206347228</v>
      </c>
      <c r="BF4" s="72">
        <f>IFERROR(IF(d_ss_Bv!J4=0,".",((Ir*F*I_f*T*(1-EXP(-RadSpec!BD4*t_v)))/(Y_v*RadSpec!BD4))),".")</f>
        <v>3.6424203206347228</v>
      </c>
      <c r="BG4" s="72">
        <f>IFERROR(IF(d_ss_Bv!K4=0,".",((Ir*F*I_f*T*(1-EXP(-RadSpec!BD4*t_v)))/(Y_v*RadSpec!BD4))),".")</f>
        <v>3.6424203206347228</v>
      </c>
      <c r="BH4" s="72">
        <f>IFERROR(IF(d_ss_Bv!L4=0,".",((Ir*F*I_f*T*(1-EXP(-RadSpec!BD4*t_v)))/(Y_v*RadSpec!BD4))),".")</f>
        <v>3.6424203206347228</v>
      </c>
      <c r="BI4" s="72">
        <f>IFERROR(IF(d_ss_Bv!M4=0,".",((Ir*F*I_f*T*(1-EXP(-RadSpec!BD4*t_v)))/(Y_v*RadSpec!BD4))),".")</f>
        <v>3.6424203206347228</v>
      </c>
      <c r="BJ4" s="72">
        <f>IFERROR(IF(d_ss_Bv!N4=0,".",((Ir*F*I_f*T*(1-EXP(-RadSpec!BD4*t_v)))/(Y_v*RadSpec!BD4))),".")</f>
        <v>3.6424203206347228</v>
      </c>
      <c r="BK4" s="72">
        <f>IFERROR(IF(d_ss_Bv!O4=0,".",((Ir*F*I_f*T*(1-EXP(-RadSpec!BD4*t_v)))/(Y_v*RadSpec!BD4))),".")</f>
        <v>3.6424203206347228</v>
      </c>
      <c r="BL4" s="72">
        <f>IFERROR(IF(d_ss_Bv!P4=0,".",((Ir*F*I_f*T*(1-EXP(-RadSpec!BD4*t_v)))/(Y_v*RadSpec!BD4))),".")</f>
        <v>3.6424203206347228</v>
      </c>
      <c r="BM4" s="72">
        <f>IFERROR(IF(d_ss_Bv!Q4=0,".",((Ir*F*I_f*T*(1-EXP(-RadSpec!BD4*t_v)))/(Y_v*RadSpec!BD4))),".")</f>
        <v>3.6424203206347228</v>
      </c>
      <c r="BN4" s="72">
        <f>IFERROR(IF(d_ss_Bv!R4=0,".",((Ir*F*I_f*T*(1-EXP(-RadSpec!BD4*t_v)))/(Y_v*RadSpec!BD4))),".")</f>
        <v>3.6424203206347228</v>
      </c>
      <c r="BO4" s="72">
        <f>IFERROR(IF(d_ss_Bv!S4=0,".",((Ir*F*I_f*T*(1-EXP(-RadSpec!BD4*t_v)))/(Y_v*RadSpec!BD4))),".")</f>
        <v>3.6424203206347228</v>
      </c>
      <c r="BP4" s="72">
        <f>IFERROR(IF(d_ss_Bv!T4=0,".",((Ir*F*I_f*T*(1-EXP(-RadSpec!BD4*t_v)))/(Y_v*RadSpec!BD4))),".")</f>
        <v>3.6424203206347228</v>
      </c>
      <c r="BQ4" s="72">
        <f>IFERROR(IF(d_ss_Bv!U4=0,".",((Ir*F*I_f*T*(1-EXP(-RadSpec!BD4*t_v)))/(Y_v*RadSpec!BD4))),".")</f>
        <v>3.6424203206347228</v>
      </c>
      <c r="BR4" s="72">
        <f>IFERROR(IF(d_ss_Bv!V4=0,".",((Ir*F*I_f*T*(1-EXP(-RadSpec!BD4*t_v)))/(Y_v*RadSpec!BD4))),".")</f>
        <v>3.6424203206347228</v>
      </c>
      <c r="BS4" s="72">
        <f>IFERROR(IF(d_ss_Bv!W4=0,".",((Ir*F*I_f*T*(1-EXP(-RadSpec!BD4*t_v)))/(Y_v*RadSpec!BD4))),".")</f>
        <v>3.6424203206347228</v>
      </c>
      <c r="BT4" s="72">
        <f>IFERROR(IF(d_ss_Bv!X4=0,".",((Ir*F*I_f*T*(1-EXP(-RadSpec!BD4*t_v)))/(Y_v*RadSpec!BD4))),".")</f>
        <v>3.6424203206347228</v>
      </c>
      <c r="BU4" s="72">
        <f>IFERROR(IF(d_ss_Bv!Y4=0,".",((Ir*F*I_f*T*(1-EXP(-RadSpec!BD4*t_v)))/(Y_v*RadSpec!BD4))),".")</f>
        <v>3.6424203206347228</v>
      </c>
      <c r="BV4" s="72">
        <f>IFERROR(IF(d_ss_Bv!Z4=0,".",((Ir*F*I_f*T*(1-EXP(-RadSpec!BD4*t_v)))/(Y_v*RadSpec!BD4))),".")</f>
        <v>3.6424203206347228</v>
      </c>
    </row>
    <row r="5" spans="1:74" x14ac:dyDescent="0.25">
      <c r="A5" s="31" t="s">
        <v>3</v>
      </c>
      <c r="B5" s="3" t="s">
        <v>1059</v>
      </c>
      <c r="C5" s="72">
        <f>IFERROR(IF(d_ss_Bv!C5=0,".",((Ir*F*d_ss_Bv!C5*(1-EXP(-RadSpec!BC5*t_b)))/(P*RadSpec!BC5))),".")</f>
        <v>7.1492821524702075</v>
      </c>
      <c r="D5" s="72">
        <f>IFERROR(IF(d_ss_Bv!D5=0,".",((Ir*F*d_ss_Bv!D5*(1-EXP(-RadSpec!BC5*t_b)))/(P*RadSpec!BC5))),".")</f>
        <v>7.1492821524702075</v>
      </c>
      <c r="E5" s="72">
        <f>IFERROR(IF(d_ss_Bv!E5=0,".",((Ir*F*d_ss_Bv!E5*(1-EXP(-RadSpec!BC5*t_b)))/(P*RadSpec!BC5))),".")</f>
        <v>7.1492821524702075</v>
      </c>
      <c r="F5" s="72">
        <f>IFERROR(IF(d_ss_Bv!F5=0,".",((Ir*F*d_ss_Bv!F5*(1-EXP(-RadSpec!BC5*t_b)))/(P*RadSpec!BC5))),".")</f>
        <v>7.1492821524702075</v>
      </c>
      <c r="G5" s="72">
        <f>IFERROR(IF(d_ss_Bv!G5=0,".",((Ir*F*d_ss_Bv!G5*(1-EXP(-RadSpec!BC5*t_b)))/(P*RadSpec!BC5))),".")</f>
        <v>7.1492821524702075</v>
      </c>
      <c r="H5" s="72">
        <f>IFERROR(IF(d_ss_Bv!H5=0,".",((Ir*F*d_ss_Bv!H5*(1-EXP(-RadSpec!BC5*t_b)))/(P*RadSpec!BC5))),".")</f>
        <v>7.1492821524702075</v>
      </c>
      <c r="I5" s="72">
        <f>IFERROR(IF(d_ss_Bv!I5=0,".",((Ir*F*d_ss_Bv!I5*(1-EXP(-RadSpec!BC5*t_b)))/(P*RadSpec!BC5))),".")</f>
        <v>7.1492821524702075</v>
      </c>
      <c r="J5" s="72">
        <f>IFERROR(IF(d_ss_Bv!J5=0,".",((Ir*F*d_ss_Bv!J5*(1-EXP(-RadSpec!BC5*t_b)))/(P*RadSpec!BC5))),".")</f>
        <v>7.1492821524702075</v>
      </c>
      <c r="K5" s="72">
        <f>IFERROR(IF(d_ss_Bv!K5=0,".",((Ir*F*d_ss_Bv!K5*(1-EXP(-RadSpec!BC5*t_b)))/(P*RadSpec!BC5))),".")</f>
        <v>7.1492821524702075</v>
      </c>
      <c r="L5" s="72">
        <f>IFERROR(IF(d_ss_Bv!L5=0,".",((Ir*F*d_ss_Bv!L5*(1-EXP(-RadSpec!BC5*t_b)))/(P*RadSpec!BC5))),".")</f>
        <v>7.1492821524702075</v>
      </c>
      <c r="M5" s="72">
        <f>IFERROR(IF(d_ss_Bv!M5=0,".",((Ir*F*d_ss_Bv!M5*(1-EXP(-RadSpec!BC5*t_b)))/(P*RadSpec!BC5))),".")</f>
        <v>7.1492821524702075</v>
      </c>
      <c r="N5" s="72">
        <f>IFERROR(IF(d_ss_Bv!N5=0,".",((Ir*F*d_ss_Bv!N5*(1-EXP(-RadSpec!BC5*t_b)))/(P*RadSpec!BC5))),".")</f>
        <v>7.1492821524702075</v>
      </c>
      <c r="O5" s="72">
        <f>IFERROR(IF(d_ss_Bv!O5=0,".",((Ir*F*d_ss_Bv!O5*(1-EXP(-RadSpec!BC5*t_b)))/(P*RadSpec!BC5))),".")</f>
        <v>7.1492821524702075</v>
      </c>
      <c r="P5" s="72">
        <f>IFERROR(IF(d_ss_Bv!P5=0,".",((Ir*F*d_ss_Bv!P5*(1-EXP(-RadSpec!BC5*t_b)))/(P*RadSpec!BC5))),".")</f>
        <v>7.1492821524702075</v>
      </c>
      <c r="Q5" s="72">
        <f>IFERROR(IF(d_ss_Bv!Q5=0,".",((Ir*F*d_ss_Bv!Q5*(1-EXP(-RadSpec!BC5*t_b)))/(P*RadSpec!BC5))),".")</f>
        <v>7.1492821524702075</v>
      </c>
      <c r="R5" s="72">
        <f>IFERROR(IF(d_ss_Bv!R5=0,".",((Ir*F*d_ss_Bv!R5*(1-EXP(-RadSpec!BC5*t_b)))/(P*RadSpec!BC5))),".")</f>
        <v>7.1492821524702075</v>
      </c>
      <c r="S5" s="72">
        <f>IFERROR(IF(d_ss_Bv!S5=0,".",((Ir*F*d_ss_Bv!S5*(1-EXP(-RadSpec!BC5*t_b)))/(P*RadSpec!BC5))),".")</f>
        <v>7.1492821524702075</v>
      </c>
      <c r="T5" s="72">
        <f>IFERROR(IF(d_ss_Bv!T5=0,".",((Ir*F*d_ss_Bv!T5*(1-EXP(-RadSpec!BC5*t_b)))/(P*RadSpec!BC5))),".")</f>
        <v>7.1492821524702075</v>
      </c>
      <c r="U5" s="72">
        <f>IFERROR(IF(d_ss_Bv!U5=0,".",((Ir*F*d_ss_Bv!U5*(1-EXP(-RadSpec!BC5*t_b)))/(P*RadSpec!BC5))),".")</f>
        <v>7.1492821524702075</v>
      </c>
      <c r="V5" s="72">
        <f>IFERROR(IF(d_ss_Bv!V5=0,".",((Ir*F*d_ss_Bv!V5*(1-EXP(-RadSpec!BC5*t_b)))/(P*RadSpec!BC5))),".")</f>
        <v>7.1492821524702075</v>
      </c>
      <c r="W5" s="72">
        <f>IFERROR(IF(d_ss_Bv!W5=0,".",((Ir*F*d_ss_Bv!W5*(1-EXP(-RadSpec!BC5*t_b)))/(P*RadSpec!BC5))),".")</f>
        <v>7.1492821524702075</v>
      </c>
      <c r="X5" s="72">
        <f>IFERROR(IF(d_ss_Bv!X5=0,".",((Ir*F*d_ss_Bv!X5*(1-EXP(-RadSpec!BC5*t_b)))/(P*RadSpec!BC5))),".")</f>
        <v>7.1492821524702075</v>
      </c>
      <c r="Y5" s="72">
        <f>IFERROR(IF(d_ss_Bv!Y5=0,".",((Ir*F*d_ss_Bv!Y5*(1-EXP(-RadSpec!BC5*t_b)))/(P*RadSpec!BC5))),".")</f>
        <v>7.1492821524702075</v>
      </c>
      <c r="Z5" s="72">
        <f>IFERROR(IF(d_ss_Bv!Z5=0,".",((Ir*F*d_ss_Bv!Z5*(1-EXP(-RadSpec!BC5*t_b)))/(P*RadSpec!BC5))),".")</f>
        <v>7.1492821524702075</v>
      </c>
      <c r="AA5" s="72">
        <f>IFERROR(IF(d_ss_Bv!C5=0,".",((Ir*F*MLF_apple*(1-EXP(-RadSpec!BC5*t_b)))/(P*RadSpec!BC5))),".")</f>
        <v>5.7194257219761657E-3</v>
      </c>
      <c r="AB5" s="72">
        <f>IFERROR(IF(d_ss_Bv!D5=0,".",((Ir*F*MLF_asparagus*(1-EXP(-RadSpec!BC5*t_b)))/(P*RadSpec!BC5))),".")</f>
        <v>2.8239664502257315E-3</v>
      </c>
      <c r="AC5" s="72">
        <f>IFERROR(IF(d_ss_Bv!E5=0,".",((Ir*F*MLF_beet*(1-EXP(-RadSpec!BC5*t_b)))/(P*RadSpec!BC5))),".")</f>
        <v>4.9330046852044422E-3</v>
      </c>
      <c r="AD5" s="72">
        <f>IFERROR(IF(d_ss_Bv!F5=0,".",((Ir*F*MLF_berries*(1-EXP(-RadSpec!BC5*t_b)))/(P*RadSpec!BC5))),".")</f>
        <v>5.9339041865502712E-3</v>
      </c>
      <c r="AE5" s="72">
        <f>IFERROR(IF(d_ss_Bv!G5=0,".",((Ir*F*MLF_broccoli*(1-EXP(-RadSpec!BC5*t_b)))/(P*RadSpec!BC5))),".")</f>
        <v>3.6103874869974538E-2</v>
      </c>
      <c r="AF5" s="72">
        <f>IFERROR(IF(d_ss_Bv!H5=0,".",((Ir*F*MLF_cabbage*(1-EXP(-RadSpec!BC5*t_b)))/(P*RadSpec!BC5))),".")</f>
        <v>3.7533731300468582E-3</v>
      </c>
      <c r="AG5" s="72">
        <f>IFERROR(IF(d_ss_Bv!I5=0,".",((Ir*F*MLF_carrot*(1-EXP(-RadSpec!BC5*t_b)))/(P*RadSpec!BC5))),".")</f>
        <v>3.4674018439480501E-3</v>
      </c>
      <c r="AH5" s="72">
        <f>IFERROR(IF(d_ss_Bv!J5=0,".",((Ir*F*MLF_citrus*(1-EXP(-RadSpec!BC5*t_b)))/(P*RadSpec!BC5))),".")</f>
        <v>5.6121864896891112E-3</v>
      </c>
      <c r="AI5" s="72">
        <f>IFERROR(IF(d_ss_Bv!K5=0,".",((Ir*F*MLF_corn*(1-EXP(-RadSpec!BC5*t_b)))/(P*RadSpec!BC5))),".")</f>
        <v>5.1832295605408994E-3</v>
      </c>
      <c r="AJ5" s="72">
        <f>IFERROR(IF(d_ss_Bv!L5=0,".",((Ir*F*MLF_cucumber*(1-EXP(-RadSpec!BC5*t_b)))/(P*RadSpec!BC5))),".")</f>
        <v>1.4298564304940414E-3</v>
      </c>
      <c r="AK5" s="72">
        <f>IFERROR(IF(d_ss_Bv!M5=0,".",((Ir*F*MLF_lettuce*(1-EXP(-RadSpec!BC5*t_b)))/(P*RadSpec!BC5))),".")</f>
        <v>0.48257654529173893</v>
      </c>
      <c r="AL5" s="72">
        <f>IFERROR(IF(d_ss_Bv!N5=0,".",((Ir*F*MLF_lima_bean*(1-EXP(-RadSpec!BC5*t_b)))/(P*RadSpec!BC5))),".")</f>
        <v>0.13690875321980447</v>
      </c>
      <c r="AM5" s="72">
        <f>IFERROR(IF(d_ss_Bv!O5=0,".",((Ir*F*MLF_okra*(1-EXP(-RadSpec!BC5*t_b)))/(P*RadSpec!BC5))),".")</f>
        <v>2.8597128609880828E-3</v>
      </c>
      <c r="AN5" s="72">
        <f>IFERROR(IF(d_ss_Bv!P5=0,".",((Ir*F*MLF_onion*(1-EXP(-RadSpec!BC5*t_b)))/(P*RadSpec!BC5))),".")</f>
        <v>3.4674018439480501E-3</v>
      </c>
      <c r="AO5" s="72">
        <f>IFERROR(IF(d_ss_Bv!Q5=0,".",((Ir*F*MLF_peach*(1-EXP(-RadSpec!BC5*t_b)))/(P*RadSpec!BC5))),".")</f>
        <v>5.361961614352654E-3</v>
      </c>
      <c r="AP5" s="72" t="str">
        <f>IFERROR(IF(d_ss_Bv!OI5=0,".",((Ir*F*MLF_pear*(1-EXP(-RadSpec!BC5*t_b)))/(P*RadSpec!BC5))),".")</f>
        <v>.</v>
      </c>
      <c r="AQ5" s="72">
        <f>IFERROR(IF(d_ss_Bv!S5=0,".",((Ir*F*MLF_peas*(1-EXP(-RadSpec!BC5*t_b)))/(P*RadSpec!BC5))),".")</f>
        <v>6.3628611156984829E-3</v>
      </c>
      <c r="AR5" s="72">
        <f>IFERROR(IF(d_ss_Bv!T5=0,".",((Ir*F*MLF_potato*(1-EXP(-RadSpec!BC5*t_b)))/(P*RadSpec!BC5))),".")</f>
        <v>7.5067462600937164E-3</v>
      </c>
      <c r="AS5" s="72">
        <f>IFERROR(IF(d_ss_Bv!U5=0,".",((Ir*F*MLF_pumpkin*(1-EXP(-RadSpec!BC5*t_b)))/(P*RadSpec!BC5))),".")</f>
        <v>2.0732918242163598E-3</v>
      </c>
      <c r="AT5" s="72">
        <f>IFERROR(IF(d_ss_Bv!V5=0,".",((Ir*F*MLF_snap_bean*(1-EXP(-RadSpec!BC5*t_b)))/(P*RadSpec!BC5))),".")</f>
        <v>0.17873205381175516</v>
      </c>
      <c r="AU5" s="72">
        <f>IFERROR(IF(d_ss_Bv!W5=0,".",((Ir*F*MLF_strawberry*(1-EXP(-RadSpec!BC5*t_b)))/(P*RadSpec!BC5))),".")</f>
        <v>2.8597128609880828E-3</v>
      </c>
      <c r="AV5" s="72">
        <f>IFERROR(IF(d_ss_Bv!X5=0,".",((Ir*F*MLF_tomato*(1-EXP(-RadSpec!BC5*t_b)))/(P*RadSpec!BC5))),".")</f>
        <v>5.6836793112138136E-2</v>
      </c>
      <c r="AW5" s="72">
        <f>IFERROR(IF(d_ss_Bv!Y5=0,".",((Ir*F*MLF_rice*(1-EXP(-RadSpec!BC5*t_b)))/(P*RadSpec!BC5))),".")</f>
        <v>8.9366026905877582</v>
      </c>
      <c r="AX5" s="72">
        <f>IFERROR(IF(d_ss_Bv!Z5=0,".",((Ir*F*MLF_cereal*(1-EXP(-RadSpec!BC5*t_b)))/(P*RadSpec!BC5))),".")</f>
        <v>8.9366026905877582</v>
      </c>
      <c r="AY5" s="72">
        <f>IFERROR(IF(d_ss_Bv!C5=0,".",((Ir*F*I_f*T*(1-EXP(-RadSpec!BD5*t_v)))/(Y_v*RadSpec!BD5))),".")</f>
        <v>3.6424203206347228</v>
      </c>
      <c r="AZ5" s="72">
        <f>IFERROR(IF(d_ss_Bv!D5=0,".",((Ir*F*I_f*T*(1-EXP(-RadSpec!BD5*t_v)))/(Y_v*RadSpec!BD5))),".")</f>
        <v>3.6424203206347228</v>
      </c>
      <c r="BA5" s="72">
        <f>IFERROR(IF(d_ss_Bv!E5=0,".",((Ir*F*I_f*T*(1-EXP(-RadSpec!BD5*t_v)))/(Y_v*RadSpec!BD5))),".")</f>
        <v>3.6424203206347228</v>
      </c>
      <c r="BB5" s="72">
        <f>IFERROR(IF(d_ss_Bv!F5=0,".",((Ir*F*I_f*T*(1-EXP(-RadSpec!BD5*t_v)))/(Y_v*RadSpec!BD5))),".")</f>
        <v>3.6424203206347228</v>
      </c>
      <c r="BC5" s="72">
        <f>IFERROR(IF(d_ss_Bv!G5=0,".",((Ir*F*I_f*T*(1-EXP(-RadSpec!BD5*t_v)))/(Y_v*RadSpec!BD5))),".")</f>
        <v>3.6424203206347228</v>
      </c>
      <c r="BD5" s="72">
        <f>IFERROR(IF(d_ss_Bv!H5=0,".",((Ir*F*I_f*T*(1-EXP(-RadSpec!BD5*t_v)))/(Y_v*RadSpec!BD5))),".")</f>
        <v>3.6424203206347228</v>
      </c>
      <c r="BE5" s="72">
        <f>IFERROR(IF(d_ss_Bv!I5=0,".",((Ir*F*I_f*T*(1-EXP(-RadSpec!BD5*t_v)))/(Y_v*RadSpec!BD5))),".")</f>
        <v>3.6424203206347228</v>
      </c>
      <c r="BF5" s="72">
        <f>IFERROR(IF(d_ss_Bv!J5=0,".",((Ir*F*I_f*T*(1-EXP(-RadSpec!BD5*t_v)))/(Y_v*RadSpec!BD5))),".")</f>
        <v>3.6424203206347228</v>
      </c>
      <c r="BG5" s="72">
        <f>IFERROR(IF(d_ss_Bv!K5=0,".",((Ir*F*I_f*T*(1-EXP(-RadSpec!BD5*t_v)))/(Y_v*RadSpec!BD5))),".")</f>
        <v>3.6424203206347228</v>
      </c>
      <c r="BH5" s="72">
        <f>IFERROR(IF(d_ss_Bv!L5=0,".",((Ir*F*I_f*T*(1-EXP(-RadSpec!BD5*t_v)))/(Y_v*RadSpec!BD5))),".")</f>
        <v>3.6424203206347228</v>
      </c>
      <c r="BI5" s="72">
        <f>IFERROR(IF(d_ss_Bv!M5=0,".",((Ir*F*I_f*T*(1-EXP(-RadSpec!BD5*t_v)))/(Y_v*RadSpec!BD5))),".")</f>
        <v>3.6424203206347228</v>
      </c>
      <c r="BJ5" s="72">
        <f>IFERROR(IF(d_ss_Bv!N5=0,".",((Ir*F*I_f*T*(1-EXP(-RadSpec!BD5*t_v)))/(Y_v*RadSpec!BD5))),".")</f>
        <v>3.6424203206347228</v>
      </c>
      <c r="BK5" s="72">
        <f>IFERROR(IF(d_ss_Bv!O5=0,".",((Ir*F*I_f*T*(1-EXP(-RadSpec!BD5*t_v)))/(Y_v*RadSpec!BD5))),".")</f>
        <v>3.6424203206347228</v>
      </c>
      <c r="BL5" s="72">
        <f>IFERROR(IF(d_ss_Bv!P5=0,".",((Ir*F*I_f*T*(1-EXP(-RadSpec!BD5*t_v)))/(Y_v*RadSpec!BD5))),".")</f>
        <v>3.6424203206347228</v>
      </c>
      <c r="BM5" s="72">
        <f>IFERROR(IF(d_ss_Bv!Q5=0,".",((Ir*F*I_f*T*(1-EXP(-RadSpec!BD5*t_v)))/(Y_v*RadSpec!BD5))),".")</f>
        <v>3.6424203206347228</v>
      </c>
      <c r="BN5" s="72">
        <f>IFERROR(IF(d_ss_Bv!R5=0,".",((Ir*F*I_f*T*(1-EXP(-RadSpec!BD5*t_v)))/(Y_v*RadSpec!BD5))),".")</f>
        <v>3.6424203206347228</v>
      </c>
      <c r="BO5" s="72">
        <f>IFERROR(IF(d_ss_Bv!S5=0,".",((Ir*F*I_f*T*(1-EXP(-RadSpec!BD5*t_v)))/(Y_v*RadSpec!BD5))),".")</f>
        <v>3.6424203206347228</v>
      </c>
      <c r="BP5" s="72">
        <f>IFERROR(IF(d_ss_Bv!T5=0,".",((Ir*F*I_f*T*(1-EXP(-RadSpec!BD5*t_v)))/(Y_v*RadSpec!BD5))),".")</f>
        <v>3.6424203206347228</v>
      </c>
      <c r="BQ5" s="72">
        <f>IFERROR(IF(d_ss_Bv!U5=0,".",((Ir*F*I_f*T*(1-EXP(-RadSpec!BD5*t_v)))/(Y_v*RadSpec!BD5))),".")</f>
        <v>3.6424203206347228</v>
      </c>
      <c r="BR5" s="72">
        <f>IFERROR(IF(d_ss_Bv!V5=0,".",((Ir*F*I_f*T*(1-EXP(-RadSpec!BD5*t_v)))/(Y_v*RadSpec!BD5))),".")</f>
        <v>3.6424203206347228</v>
      </c>
      <c r="BS5" s="72">
        <f>IFERROR(IF(d_ss_Bv!W5=0,".",((Ir*F*I_f*T*(1-EXP(-RadSpec!BD5*t_v)))/(Y_v*RadSpec!BD5))),".")</f>
        <v>3.6424203206347228</v>
      </c>
      <c r="BT5" s="72">
        <f>IFERROR(IF(d_ss_Bv!X5=0,".",((Ir*F*I_f*T*(1-EXP(-RadSpec!BD5*t_v)))/(Y_v*RadSpec!BD5))),".")</f>
        <v>3.6424203206347228</v>
      </c>
      <c r="BU5" s="72">
        <f>IFERROR(IF(d_ss_Bv!Y5=0,".",((Ir*F*I_f*T*(1-EXP(-RadSpec!BD5*t_v)))/(Y_v*RadSpec!BD5))),".")</f>
        <v>3.6424203206347228</v>
      </c>
      <c r="BV5" s="72">
        <f>IFERROR(IF(d_ss_Bv!Z5=0,".",((Ir*F*I_f*T*(1-EXP(-RadSpec!BD5*t_v)))/(Y_v*RadSpec!BD5))),".")</f>
        <v>3.6424203206347228</v>
      </c>
    </row>
    <row r="6" spans="1:74" x14ac:dyDescent="0.25">
      <c r="A6" s="31" t="s">
        <v>4</v>
      </c>
      <c r="B6" s="3" t="s">
        <v>1059</v>
      </c>
      <c r="C6" s="72">
        <f>IFERROR(IF(d_ss_Bv!C6=0,".",((Ir*F*d_ss_Bv!C6*(1-EXP(-RadSpec!BC6*t_b)))/(P*RadSpec!BC6))),".")</f>
        <v>0.35746410762351033</v>
      </c>
      <c r="D6" s="72">
        <f>IFERROR(IF(d_ss_Bv!D6=0,".",((Ir*F*d_ss_Bv!D6*(1-EXP(-RadSpec!BC6*t_b)))/(P*RadSpec!BC6))),".")</f>
        <v>0.17873205381175516</v>
      </c>
      <c r="E6" s="72">
        <f>IFERROR(IF(d_ss_Bv!E6=0,".",((Ir*F*d_ss_Bv!E6*(1-EXP(-RadSpec!BC6*t_b)))/(P*RadSpec!BC6))),".")</f>
        <v>0.17873205381175516</v>
      </c>
      <c r="F6" s="72">
        <f>IFERROR(IF(d_ss_Bv!F6=0,".",((Ir*F*d_ss_Bv!F6*(1-EXP(-RadSpec!BC6*t_b)))/(P*RadSpec!BC6))),".")</f>
        <v>0.35746410762351033</v>
      </c>
      <c r="G6" s="72">
        <f>IFERROR(IF(d_ss_Bv!G6=0,".",((Ir*F*d_ss_Bv!G6*(1-EXP(-RadSpec!BC6*t_b)))/(P*RadSpec!BC6))),".")</f>
        <v>0.35746410762351033</v>
      </c>
      <c r="H6" s="72">
        <f>IFERROR(IF(d_ss_Bv!H6=0,".",((Ir*F*d_ss_Bv!H6*(1-EXP(-RadSpec!BC6*t_b)))/(P*RadSpec!BC6))),".")</f>
        <v>0.17873205381175516</v>
      </c>
      <c r="I6" s="72">
        <f>IFERROR(IF(d_ss_Bv!I6=0,".",((Ir*F*d_ss_Bv!I6*(1-EXP(-RadSpec!BC6*t_b)))/(P*RadSpec!BC6))),".")</f>
        <v>0.17873205381175516</v>
      </c>
      <c r="J6" s="72">
        <f>IFERROR(IF(d_ss_Bv!J6=0,".",((Ir*F*d_ss_Bv!J6*(1-EXP(-RadSpec!BC6*t_b)))/(P*RadSpec!BC6))),".")</f>
        <v>0.35746410762351033</v>
      </c>
      <c r="K6" s="72">
        <f>IFERROR(IF(d_ss_Bv!K6=0,".",((Ir*F*d_ss_Bv!K6*(1-EXP(-RadSpec!BC6*t_b)))/(P*RadSpec!BC6))),".")</f>
        <v>0.35746410762351033</v>
      </c>
      <c r="L6" s="72">
        <f>IFERROR(IF(d_ss_Bv!L6=0,".",((Ir*F*d_ss_Bv!L6*(1-EXP(-RadSpec!BC6*t_b)))/(P*RadSpec!BC6))),".")</f>
        <v>0.35746410762351033</v>
      </c>
      <c r="M6" s="72">
        <f>IFERROR(IF(d_ss_Bv!M6=0,".",((Ir*F*d_ss_Bv!M6*(1-EXP(-RadSpec!BC6*t_b)))/(P*RadSpec!BC6))),".")</f>
        <v>0.17873205381175516</v>
      </c>
      <c r="N6" s="72">
        <f>IFERROR(IF(d_ss_Bv!N6=0,".",((Ir*F*d_ss_Bv!N6*(1-EXP(-RadSpec!BC6*t_b)))/(P*RadSpec!BC6))),".")</f>
        <v>0.35746410762351033</v>
      </c>
      <c r="O6" s="72">
        <f>IFERROR(IF(d_ss_Bv!O6=0,".",((Ir*F*d_ss_Bv!O6*(1-EXP(-RadSpec!BC6*t_b)))/(P*RadSpec!BC6))),".")</f>
        <v>0.35746410762351033</v>
      </c>
      <c r="P6" s="72">
        <f>IFERROR(IF(d_ss_Bv!P6=0,".",((Ir*F*d_ss_Bv!P6*(1-EXP(-RadSpec!BC6*t_b)))/(P*RadSpec!BC6))),".")</f>
        <v>0.35746410762351033</v>
      </c>
      <c r="Q6" s="72">
        <f>IFERROR(IF(d_ss_Bv!Q6=0,".",((Ir*F*d_ss_Bv!Q6*(1-EXP(-RadSpec!BC6*t_b)))/(P*RadSpec!BC6))),".")</f>
        <v>0.35746410762351033</v>
      </c>
      <c r="R6" s="72">
        <f>IFERROR(IF(d_ss_Bv!R6=0,".",((Ir*F*d_ss_Bv!R6*(1-EXP(-RadSpec!BC6*t_b)))/(P*RadSpec!BC6))),".")</f>
        <v>0.35746410762351033</v>
      </c>
      <c r="S6" s="72">
        <f>IFERROR(IF(d_ss_Bv!S6=0,".",((Ir*F*d_ss_Bv!S6*(1-EXP(-RadSpec!BC6*t_b)))/(P*RadSpec!BC6))),".")</f>
        <v>0.35746410762351033</v>
      </c>
      <c r="T6" s="72">
        <f>IFERROR(IF(d_ss_Bv!T6=0,".",((Ir*F*d_ss_Bv!T6*(1-EXP(-RadSpec!BC6*t_b)))/(P*RadSpec!BC6))),".")</f>
        <v>0.17873205381175516</v>
      </c>
      <c r="U6" s="72">
        <f>IFERROR(IF(d_ss_Bv!U6=0,".",((Ir*F*d_ss_Bv!U6*(1-EXP(-RadSpec!BC6*t_b)))/(P*RadSpec!BC6))),".")</f>
        <v>0.35746410762351033</v>
      </c>
      <c r="V6" s="72">
        <f>IFERROR(IF(d_ss_Bv!V6=0,".",((Ir*F*d_ss_Bv!V6*(1-EXP(-RadSpec!BC6*t_b)))/(P*RadSpec!BC6))),".")</f>
        <v>0.35746410762351033</v>
      </c>
      <c r="W6" s="72">
        <f>IFERROR(IF(d_ss_Bv!W6=0,".",((Ir*F*d_ss_Bv!W6*(1-EXP(-RadSpec!BC6*t_b)))/(P*RadSpec!BC6))),".")</f>
        <v>0.35746410762351033</v>
      </c>
      <c r="X6" s="72">
        <f>IFERROR(IF(d_ss_Bv!X6=0,".",((Ir*F*d_ss_Bv!X6*(1-EXP(-RadSpec!BC6*t_b)))/(P*RadSpec!BC6))),".")</f>
        <v>0.35746410762351033</v>
      </c>
      <c r="Y6" s="72">
        <f>IFERROR(IF(d_ss_Bv!Y6=0,".",((Ir*F*d_ss_Bv!Y6*(1-EXP(-RadSpec!BC6*t_b)))/(P*RadSpec!BC6))),".")</f>
        <v>3.3601626116609967E-2</v>
      </c>
      <c r="Z6" s="72">
        <f>IFERROR(IF(d_ss_Bv!Z6=0,".",((Ir*F*d_ss_Bv!Z6*(1-EXP(-RadSpec!BC6*t_b)))/(P*RadSpec!BC6))),".")</f>
        <v>3.5746410762351036E-2</v>
      </c>
      <c r="AA6" s="72">
        <f>IFERROR(IF(d_ss_Bv!C6=0,".",((Ir*F*MLF_apple*(1-EXP(-RadSpec!BC6*t_b)))/(P*RadSpec!BC6))),".")</f>
        <v>5.7194257219761657E-3</v>
      </c>
      <c r="AB6" s="72">
        <f>IFERROR(IF(d_ss_Bv!D6=0,".",((Ir*F*MLF_asparagus*(1-EXP(-RadSpec!BC6*t_b)))/(P*RadSpec!BC6))),".")</f>
        <v>2.8239664502257315E-3</v>
      </c>
      <c r="AC6" s="72">
        <f>IFERROR(IF(d_ss_Bv!E6=0,".",((Ir*F*MLF_beet*(1-EXP(-RadSpec!BC6*t_b)))/(P*RadSpec!BC6))),".")</f>
        <v>4.9330046852044422E-3</v>
      </c>
      <c r="AD6" s="72">
        <f>IFERROR(IF(d_ss_Bv!F6=0,".",((Ir*F*MLF_berries*(1-EXP(-RadSpec!BC6*t_b)))/(P*RadSpec!BC6))),".")</f>
        <v>5.9339041865502712E-3</v>
      </c>
      <c r="AE6" s="72">
        <f>IFERROR(IF(d_ss_Bv!G6=0,".",((Ir*F*MLF_broccoli*(1-EXP(-RadSpec!BC6*t_b)))/(P*RadSpec!BC6))),".")</f>
        <v>3.6103874869974538E-2</v>
      </c>
      <c r="AF6" s="72">
        <f>IFERROR(IF(d_ss_Bv!H6=0,".",((Ir*F*MLF_cabbage*(1-EXP(-RadSpec!BC6*t_b)))/(P*RadSpec!BC6))),".")</f>
        <v>3.7533731300468582E-3</v>
      </c>
      <c r="AG6" s="72">
        <f>IFERROR(IF(d_ss_Bv!I6=0,".",((Ir*F*MLF_carrot*(1-EXP(-RadSpec!BC6*t_b)))/(P*RadSpec!BC6))),".")</f>
        <v>3.4674018439480501E-3</v>
      </c>
      <c r="AH6" s="72">
        <f>IFERROR(IF(d_ss_Bv!J6=0,".",((Ir*F*MLF_citrus*(1-EXP(-RadSpec!BC6*t_b)))/(P*RadSpec!BC6))),".")</f>
        <v>5.6121864896891112E-3</v>
      </c>
      <c r="AI6" s="72">
        <f>IFERROR(IF(d_ss_Bv!K6=0,".",((Ir*F*MLF_corn*(1-EXP(-RadSpec!BC6*t_b)))/(P*RadSpec!BC6))),".")</f>
        <v>5.1832295605408994E-3</v>
      </c>
      <c r="AJ6" s="72">
        <f>IFERROR(IF(d_ss_Bv!L6=0,".",((Ir*F*MLF_cucumber*(1-EXP(-RadSpec!BC6*t_b)))/(P*RadSpec!BC6))),".")</f>
        <v>1.4298564304940414E-3</v>
      </c>
      <c r="AK6" s="72">
        <f>IFERROR(IF(d_ss_Bv!M6=0,".",((Ir*F*MLF_lettuce*(1-EXP(-RadSpec!BC6*t_b)))/(P*RadSpec!BC6))),".")</f>
        <v>0.48257654529173893</v>
      </c>
      <c r="AL6" s="72">
        <f>IFERROR(IF(d_ss_Bv!N6=0,".",((Ir*F*MLF_lima_bean*(1-EXP(-RadSpec!BC6*t_b)))/(P*RadSpec!BC6))),".")</f>
        <v>0.13690875321980447</v>
      </c>
      <c r="AM6" s="72">
        <f>IFERROR(IF(d_ss_Bv!O6=0,".",((Ir*F*MLF_okra*(1-EXP(-RadSpec!BC6*t_b)))/(P*RadSpec!BC6))),".")</f>
        <v>2.8597128609880828E-3</v>
      </c>
      <c r="AN6" s="72">
        <f>IFERROR(IF(d_ss_Bv!P6=0,".",((Ir*F*MLF_onion*(1-EXP(-RadSpec!BC6*t_b)))/(P*RadSpec!BC6))),".")</f>
        <v>3.4674018439480501E-3</v>
      </c>
      <c r="AO6" s="72">
        <f>IFERROR(IF(d_ss_Bv!Q6=0,".",((Ir*F*MLF_peach*(1-EXP(-RadSpec!BC6*t_b)))/(P*RadSpec!BC6))),".")</f>
        <v>5.361961614352654E-3</v>
      </c>
      <c r="AP6" s="72" t="str">
        <f>IFERROR(IF(d_ss_Bv!OI6=0,".",((Ir*F*MLF_pear*(1-EXP(-RadSpec!BC6*t_b)))/(P*RadSpec!BC6))),".")</f>
        <v>.</v>
      </c>
      <c r="AQ6" s="72">
        <f>IFERROR(IF(d_ss_Bv!S6=0,".",((Ir*F*MLF_peas*(1-EXP(-RadSpec!BC6*t_b)))/(P*RadSpec!BC6))),".")</f>
        <v>6.3628611156984829E-3</v>
      </c>
      <c r="AR6" s="72">
        <f>IFERROR(IF(d_ss_Bv!T6=0,".",((Ir*F*MLF_potato*(1-EXP(-RadSpec!BC6*t_b)))/(P*RadSpec!BC6))),".")</f>
        <v>7.5067462600937164E-3</v>
      </c>
      <c r="AS6" s="72">
        <f>IFERROR(IF(d_ss_Bv!U6=0,".",((Ir*F*MLF_pumpkin*(1-EXP(-RadSpec!BC6*t_b)))/(P*RadSpec!BC6))),".")</f>
        <v>2.0732918242163598E-3</v>
      </c>
      <c r="AT6" s="72">
        <f>IFERROR(IF(d_ss_Bv!V6=0,".",((Ir*F*MLF_snap_bean*(1-EXP(-RadSpec!BC6*t_b)))/(P*RadSpec!BC6))),".")</f>
        <v>0.17873205381175516</v>
      </c>
      <c r="AU6" s="72">
        <f>IFERROR(IF(d_ss_Bv!W6=0,".",((Ir*F*MLF_strawberry*(1-EXP(-RadSpec!BC6*t_b)))/(P*RadSpec!BC6))),".")</f>
        <v>2.8597128609880828E-3</v>
      </c>
      <c r="AV6" s="72">
        <f>IFERROR(IF(d_ss_Bv!X6=0,".",((Ir*F*MLF_tomato*(1-EXP(-RadSpec!BC6*t_b)))/(P*RadSpec!BC6))),".")</f>
        <v>5.6836793112138136E-2</v>
      </c>
      <c r="AW6" s="72">
        <f>IFERROR(IF(d_ss_Bv!Y6=0,".",((Ir*F*MLF_rice*(1-EXP(-RadSpec!BC6*t_b)))/(P*RadSpec!BC6))),".")</f>
        <v>8.9366026905877582</v>
      </c>
      <c r="AX6" s="72">
        <f>IFERROR(IF(d_ss_Bv!Z6=0,".",((Ir*F*MLF_cereal*(1-EXP(-RadSpec!BC6*t_b)))/(P*RadSpec!BC6))),".")</f>
        <v>8.9366026905877582</v>
      </c>
      <c r="AY6" s="72">
        <f>IFERROR(IF(d_ss_Bv!C6=0,".",((Ir*F*I_f*T*(1-EXP(-RadSpec!BD6*t_v)))/(Y_v*RadSpec!BD6))),".")</f>
        <v>3.6424203206347228</v>
      </c>
      <c r="AZ6" s="72">
        <f>IFERROR(IF(d_ss_Bv!D6=0,".",((Ir*F*I_f*T*(1-EXP(-RadSpec!BD6*t_v)))/(Y_v*RadSpec!BD6))),".")</f>
        <v>3.6424203206347228</v>
      </c>
      <c r="BA6" s="72">
        <f>IFERROR(IF(d_ss_Bv!E6=0,".",((Ir*F*I_f*T*(1-EXP(-RadSpec!BD6*t_v)))/(Y_v*RadSpec!BD6))),".")</f>
        <v>3.6424203206347228</v>
      </c>
      <c r="BB6" s="72">
        <f>IFERROR(IF(d_ss_Bv!F6=0,".",((Ir*F*I_f*T*(1-EXP(-RadSpec!BD6*t_v)))/(Y_v*RadSpec!BD6))),".")</f>
        <v>3.6424203206347228</v>
      </c>
      <c r="BC6" s="72">
        <f>IFERROR(IF(d_ss_Bv!G6=0,".",((Ir*F*I_f*T*(1-EXP(-RadSpec!BD6*t_v)))/(Y_v*RadSpec!BD6))),".")</f>
        <v>3.6424203206347228</v>
      </c>
      <c r="BD6" s="72">
        <f>IFERROR(IF(d_ss_Bv!H6=0,".",((Ir*F*I_f*T*(1-EXP(-RadSpec!BD6*t_v)))/(Y_v*RadSpec!BD6))),".")</f>
        <v>3.6424203206347228</v>
      </c>
      <c r="BE6" s="72">
        <f>IFERROR(IF(d_ss_Bv!I6=0,".",((Ir*F*I_f*T*(1-EXP(-RadSpec!BD6*t_v)))/(Y_v*RadSpec!BD6))),".")</f>
        <v>3.6424203206347228</v>
      </c>
      <c r="BF6" s="72">
        <f>IFERROR(IF(d_ss_Bv!J6=0,".",((Ir*F*I_f*T*(1-EXP(-RadSpec!BD6*t_v)))/(Y_v*RadSpec!BD6))),".")</f>
        <v>3.6424203206347228</v>
      </c>
      <c r="BG6" s="72">
        <f>IFERROR(IF(d_ss_Bv!K6=0,".",((Ir*F*I_f*T*(1-EXP(-RadSpec!BD6*t_v)))/(Y_v*RadSpec!BD6))),".")</f>
        <v>3.6424203206347228</v>
      </c>
      <c r="BH6" s="72">
        <f>IFERROR(IF(d_ss_Bv!L6=0,".",((Ir*F*I_f*T*(1-EXP(-RadSpec!BD6*t_v)))/(Y_v*RadSpec!BD6))),".")</f>
        <v>3.6424203206347228</v>
      </c>
      <c r="BI6" s="72">
        <f>IFERROR(IF(d_ss_Bv!M6=0,".",((Ir*F*I_f*T*(1-EXP(-RadSpec!BD6*t_v)))/(Y_v*RadSpec!BD6))),".")</f>
        <v>3.6424203206347228</v>
      </c>
      <c r="BJ6" s="72">
        <f>IFERROR(IF(d_ss_Bv!N6=0,".",((Ir*F*I_f*T*(1-EXP(-RadSpec!BD6*t_v)))/(Y_v*RadSpec!BD6))),".")</f>
        <v>3.6424203206347228</v>
      </c>
      <c r="BK6" s="72">
        <f>IFERROR(IF(d_ss_Bv!O6=0,".",((Ir*F*I_f*T*(1-EXP(-RadSpec!BD6*t_v)))/(Y_v*RadSpec!BD6))),".")</f>
        <v>3.6424203206347228</v>
      </c>
      <c r="BL6" s="72">
        <f>IFERROR(IF(d_ss_Bv!P6=0,".",((Ir*F*I_f*T*(1-EXP(-RadSpec!BD6*t_v)))/(Y_v*RadSpec!BD6))),".")</f>
        <v>3.6424203206347228</v>
      </c>
      <c r="BM6" s="72">
        <f>IFERROR(IF(d_ss_Bv!Q6=0,".",((Ir*F*I_f*T*(1-EXP(-RadSpec!BD6*t_v)))/(Y_v*RadSpec!BD6))),".")</f>
        <v>3.6424203206347228</v>
      </c>
      <c r="BN6" s="72">
        <f>IFERROR(IF(d_ss_Bv!R6=0,".",((Ir*F*I_f*T*(1-EXP(-RadSpec!BD6*t_v)))/(Y_v*RadSpec!BD6))),".")</f>
        <v>3.6424203206347228</v>
      </c>
      <c r="BO6" s="72">
        <f>IFERROR(IF(d_ss_Bv!S6=0,".",((Ir*F*I_f*T*(1-EXP(-RadSpec!BD6*t_v)))/(Y_v*RadSpec!BD6))),".")</f>
        <v>3.6424203206347228</v>
      </c>
      <c r="BP6" s="72">
        <f>IFERROR(IF(d_ss_Bv!T6=0,".",((Ir*F*I_f*T*(1-EXP(-RadSpec!BD6*t_v)))/(Y_v*RadSpec!BD6))),".")</f>
        <v>3.6424203206347228</v>
      </c>
      <c r="BQ6" s="72">
        <f>IFERROR(IF(d_ss_Bv!U6=0,".",((Ir*F*I_f*T*(1-EXP(-RadSpec!BD6*t_v)))/(Y_v*RadSpec!BD6))),".")</f>
        <v>3.6424203206347228</v>
      </c>
      <c r="BR6" s="72">
        <f>IFERROR(IF(d_ss_Bv!V6=0,".",((Ir*F*I_f*T*(1-EXP(-RadSpec!BD6*t_v)))/(Y_v*RadSpec!BD6))),".")</f>
        <v>3.6424203206347228</v>
      </c>
      <c r="BS6" s="72">
        <f>IFERROR(IF(d_ss_Bv!W6=0,".",((Ir*F*I_f*T*(1-EXP(-RadSpec!BD6*t_v)))/(Y_v*RadSpec!BD6))),".")</f>
        <v>3.6424203206347228</v>
      </c>
      <c r="BT6" s="72">
        <f>IFERROR(IF(d_ss_Bv!X6=0,".",((Ir*F*I_f*T*(1-EXP(-RadSpec!BD6*t_v)))/(Y_v*RadSpec!BD6))),".")</f>
        <v>3.6424203206347228</v>
      </c>
      <c r="BU6" s="72">
        <f>IFERROR(IF(d_ss_Bv!Y6=0,".",((Ir*F*I_f*T*(1-EXP(-RadSpec!BD6*t_v)))/(Y_v*RadSpec!BD6))),".")</f>
        <v>3.6424203206347228</v>
      </c>
      <c r="BV6" s="72">
        <f>IFERROR(IF(d_ss_Bv!Z6=0,".",((Ir*F*I_f*T*(1-EXP(-RadSpec!BD6*t_v)))/(Y_v*RadSpec!BD6))),".")</f>
        <v>3.6424203206347228</v>
      </c>
    </row>
    <row r="7" spans="1:74" x14ac:dyDescent="0.25">
      <c r="A7" s="31" t="s">
        <v>5</v>
      </c>
      <c r="B7" s="3" t="s">
        <v>1059</v>
      </c>
      <c r="C7" s="72">
        <f>IFERROR(IF(d_ss_Bv!C7=0,".",((Ir*F*d_ss_Bv!C7*(1-EXP(-RadSpec!BC7*t_b)))/(P*RadSpec!BC7))),".")</f>
        <v>3.5746410762351037</v>
      </c>
      <c r="D7" s="72">
        <f>IFERROR(IF(d_ss_Bv!D7=0,".",((Ir*F*d_ss_Bv!D7*(1-EXP(-RadSpec!BC7*t_b)))/(P*RadSpec!BC7))),".")</f>
        <v>3.5746410762351037</v>
      </c>
      <c r="E7" s="72">
        <f>IFERROR(IF(d_ss_Bv!E7=0,".",((Ir*F*d_ss_Bv!E7*(1-EXP(-RadSpec!BC7*t_b)))/(P*RadSpec!BC7))),".")</f>
        <v>3.5746410762351037</v>
      </c>
      <c r="F7" s="72">
        <f>IFERROR(IF(d_ss_Bv!F7=0,".",((Ir*F*d_ss_Bv!F7*(1-EXP(-RadSpec!BC7*t_b)))/(P*RadSpec!BC7))),".")</f>
        <v>3.5746410762351037</v>
      </c>
      <c r="G7" s="72">
        <f>IFERROR(IF(d_ss_Bv!G7=0,".",((Ir*F*d_ss_Bv!G7*(1-EXP(-RadSpec!BC7*t_b)))/(P*RadSpec!BC7))),".")</f>
        <v>3.5746410762351037</v>
      </c>
      <c r="H7" s="72">
        <f>IFERROR(IF(d_ss_Bv!H7=0,".",((Ir*F*d_ss_Bv!H7*(1-EXP(-RadSpec!BC7*t_b)))/(P*RadSpec!BC7))),".")</f>
        <v>3.5746410762351037</v>
      </c>
      <c r="I7" s="72">
        <f>IFERROR(IF(d_ss_Bv!I7=0,".",((Ir*F*d_ss_Bv!I7*(1-EXP(-RadSpec!BC7*t_b)))/(P*RadSpec!BC7))),".")</f>
        <v>3.5746410762351037</v>
      </c>
      <c r="J7" s="72">
        <f>IFERROR(IF(d_ss_Bv!J7=0,".",((Ir*F*d_ss_Bv!J7*(1-EXP(-RadSpec!BC7*t_b)))/(P*RadSpec!BC7))),".")</f>
        <v>3.5746410762351037</v>
      </c>
      <c r="K7" s="72">
        <f>IFERROR(IF(d_ss_Bv!K7=0,".",((Ir*F*d_ss_Bv!K7*(1-EXP(-RadSpec!BC7*t_b)))/(P*RadSpec!BC7))),".")</f>
        <v>3.5746410762351037</v>
      </c>
      <c r="L7" s="72">
        <f>IFERROR(IF(d_ss_Bv!L7=0,".",((Ir*F*d_ss_Bv!L7*(1-EXP(-RadSpec!BC7*t_b)))/(P*RadSpec!BC7))),".")</f>
        <v>3.5746410762351037</v>
      </c>
      <c r="M7" s="72">
        <f>IFERROR(IF(d_ss_Bv!M7=0,".",((Ir*F*d_ss_Bv!M7*(1-EXP(-RadSpec!BC7*t_b)))/(P*RadSpec!BC7))),".")</f>
        <v>3.5746410762351037</v>
      </c>
      <c r="N7" s="72">
        <f>IFERROR(IF(d_ss_Bv!N7=0,".",((Ir*F*d_ss_Bv!N7*(1-EXP(-RadSpec!BC7*t_b)))/(P*RadSpec!BC7))),".")</f>
        <v>3.5746410762351037</v>
      </c>
      <c r="O7" s="72">
        <f>IFERROR(IF(d_ss_Bv!O7=0,".",((Ir*F*d_ss_Bv!O7*(1-EXP(-RadSpec!BC7*t_b)))/(P*RadSpec!BC7))),".")</f>
        <v>3.5746410762351037</v>
      </c>
      <c r="P7" s="72">
        <f>IFERROR(IF(d_ss_Bv!P7=0,".",((Ir*F*d_ss_Bv!P7*(1-EXP(-RadSpec!BC7*t_b)))/(P*RadSpec!BC7))),".")</f>
        <v>3.5746410762351037</v>
      </c>
      <c r="Q7" s="72">
        <f>IFERROR(IF(d_ss_Bv!Q7=0,".",((Ir*F*d_ss_Bv!Q7*(1-EXP(-RadSpec!BC7*t_b)))/(P*RadSpec!BC7))),".")</f>
        <v>3.5746410762351037</v>
      </c>
      <c r="R7" s="72">
        <f>IFERROR(IF(d_ss_Bv!R7=0,".",((Ir*F*d_ss_Bv!R7*(1-EXP(-RadSpec!BC7*t_b)))/(P*RadSpec!BC7))),".")</f>
        <v>3.5746410762351037</v>
      </c>
      <c r="S7" s="72">
        <f>IFERROR(IF(d_ss_Bv!S7=0,".",((Ir*F*d_ss_Bv!S7*(1-EXP(-RadSpec!BC7*t_b)))/(P*RadSpec!BC7))),".")</f>
        <v>3.5746410762351037</v>
      </c>
      <c r="T7" s="72">
        <f>IFERROR(IF(d_ss_Bv!T7=0,".",((Ir*F*d_ss_Bv!T7*(1-EXP(-RadSpec!BC7*t_b)))/(P*RadSpec!BC7))),".")</f>
        <v>3.5746410762351037</v>
      </c>
      <c r="U7" s="72">
        <f>IFERROR(IF(d_ss_Bv!U7=0,".",((Ir*F*d_ss_Bv!U7*(1-EXP(-RadSpec!BC7*t_b)))/(P*RadSpec!BC7))),".")</f>
        <v>3.5746410762351037</v>
      </c>
      <c r="V7" s="72">
        <f>IFERROR(IF(d_ss_Bv!V7=0,".",((Ir*F*d_ss_Bv!V7*(1-EXP(-RadSpec!BC7*t_b)))/(P*RadSpec!BC7))),".")</f>
        <v>3.5746410762351037</v>
      </c>
      <c r="W7" s="72">
        <f>IFERROR(IF(d_ss_Bv!W7=0,".",((Ir*F*d_ss_Bv!W7*(1-EXP(-RadSpec!BC7*t_b)))/(P*RadSpec!BC7))),".")</f>
        <v>3.5746410762351037</v>
      </c>
      <c r="X7" s="72">
        <f>IFERROR(IF(d_ss_Bv!X7=0,".",((Ir*F*d_ss_Bv!X7*(1-EXP(-RadSpec!BC7*t_b)))/(P*RadSpec!BC7))),".")</f>
        <v>3.5746410762351037</v>
      </c>
      <c r="Y7" s="72">
        <f>IFERROR(IF(d_ss_Bv!Y7=0,".",((Ir*F*d_ss_Bv!Y7*(1-EXP(-RadSpec!BC7*t_b)))/(P*RadSpec!BC7))),".")</f>
        <v>3.5746410762351037</v>
      </c>
      <c r="Z7" s="72">
        <f>IFERROR(IF(d_ss_Bv!Z7=0,".",((Ir*F*d_ss_Bv!Z7*(1-EXP(-RadSpec!BC7*t_b)))/(P*RadSpec!BC7))),".")</f>
        <v>3.5746410762351037</v>
      </c>
      <c r="AA7" s="72">
        <f>IFERROR(IF(d_ss_Bv!C7=0,".",((Ir*F*MLF_apple*(1-EXP(-RadSpec!BC7*t_b)))/(P*RadSpec!BC7))),".")</f>
        <v>5.7194257219761657E-3</v>
      </c>
      <c r="AB7" s="72">
        <f>IFERROR(IF(d_ss_Bv!D7=0,".",((Ir*F*MLF_asparagus*(1-EXP(-RadSpec!BC7*t_b)))/(P*RadSpec!BC7))),".")</f>
        <v>2.8239664502257315E-3</v>
      </c>
      <c r="AC7" s="72">
        <f>IFERROR(IF(d_ss_Bv!E7=0,".",((Ir*F*MLF_beet*(1-EXP(-RadSpec!BC7*t_b)))/(P*RadSpec!BC7))),".")</f>
        <v>4.9330046852044422E-3</v>
      </c>
      <c r="AD7" s="72">
        <f>IFERROR(IF(d_ss_Bv!F7=0,".",((Ir*F*MLF_berries*(1-EXP(-RadSpec!BC7*t_b)))/(P*RadSpec!BC7))),".")</f>
        <v>5.9339041865502712E-3</v>
      </c>
      <c r="AE7" s="72">
        <f>IFERROR(IF(d_ss_Bv!G7=0,".",((Ir*F*MLF_broccoli*(1-EXP(-RadSpec!BC7*t_b)))/(P*RadSpec!BC7))),".")</f>
        <v>3.6103874869974538E-2</v>
      </c>
      <c r="AF7" s="72">
        <f>IFERROR(IF(d_ss_Bv!H7=0,".",((Ir*F*MLF_cabbage*(1-EXP(-RadSpec!BC7*t_b)))/(P*RadSpec!BC7))),".")</f>
        <v>3.7533731300468582E-3</v>
      </c>
      <c r="AG7" s="72">
        <f>IFERROR(IF(d_ss_Bv!I7=0,".",((Ir*F*MLF_carrot*(1-EXP(-RadSpec!BC7*t_b)))/(P*RadSpec!BC7))),".")</f>
        <v>3.4674018439480501E-3</v>
      </c>
      <c r="AH7" s="72">
        <f>IFERROR(IF(d_ss_Bv!J7=0,".",((Ir*F*MLF_citrus*(1-EXP(-RadSpec!BC7*t_b)))/(P*RadSpec!BC7))),".")</f>
        <v>5.6121864896891112E-3</v>
      </c>
      <c r="AI7" s="72">
        <f>IFERROR(IF(d_ss_Bv!K7=0,".",((Ir*F*MLF_corn*(1-EXP(-RadSpec!BC7*t_b)))/(P*RadSpec!BC7))),".")</f>
        <v>5.1832295605408994E-3</v>
      </c>
      <c r="AJ7" s="72">
        <f>IFERROR(IF(d_ss_Bv!L7=0,".",((Ir*F*MLF_cucumber*(1-EXP(-RadSpec!BC7*t_b)))/(P*RadSpec!BC7))),".")</f>
        <v>1.4298564304940414E-3</v>
      </c>
      <c r="AK7" s="72">
        <f>IFERROR(IF(d_ss_Bv!M7=0,".",((Ir*F*MLF_lettuce*(1-EXP(-RadSpec!BC7*t_b)))/(P*RadSpec!BC7))),".")</f>
        <v>0.48257654529173893</v>
      </c>
      <c r="AL7" s="72">
        <f>IFERROR(IF(d_ss_Bv!N7=0,".",((Ir*F*MLF_lima_bean*(1-EXP(-RadSpec!BC7*t_b)))/(P*RadSpec!BC7))),".")</f>
        <v>0.13690875321980447</v>
      </c>
      <c r="AM7" s="72">
        <f>IFERROR(IF(d_ss_Bv!O7=0,".",((Ir*F*MLF_okra*(1-EXP(-RadSpec!BC7*t_b)))/(P*RadSpec!BC7))),".")</f>
        <v>2.8597128609880828E-3</v>
      </c>
      <c r="AN7" s="72">
        <f>IFERROR(IF(d_ss_Bv!P7=0,".",((Ir*F*MLF_onion*(1-EXP(-RadSpec!BC7*t_b)))/(P*RadSpec!BC7))),".")</f>
        <v>3.4674018439480501E-3</v>
      </c>
      <c r="AO7" s="72">
        <f>IFERROR(IF(d_ss_Bv!Q7=0,".",((Ir*F*MLF_peach*(1-EXP(-RadSpec!BC7*t_b)))/(P*RadSpec!BC7))),".")</f>
        <v>5.361961614352654E-3</v>
      </c>
      <c r="AP7" s="72" t="str">
        <f>IFERROR(IF(d_ss_Bv!OI7=0,".",((Ir*F*MLF_pear*(1-EXP(-RadSpec!BC7*t_b)))/(P*RadSpec!BC7))),".")</f>
        <v>.</v>
      </c>
      <c r="AQ7" s="72">
        <f>IFERROR(IF(d_ss_Bv!S7=0,".",((Ir*F*MLF_peas*(1-EXP(-RadSpec!BC7*t_b)))/(P*RadSpec!BC7))),".")</f>
        <v>6.3628611156984829E-3</v>
      </c>
      <c r="AR7" s="72">
        <f>IFERROR(IF(d_ss_Bv!T7=0,".",((Ir*F*MLF_potato*(1-EXP(-RadSpec!BC7*t_b)))/(P*RadSpec!BC7))),".")</f>
        <v>7.5067462600937164E-3</v>
      </c>
      <c r="AS7" s="72">
        <f>IFERROR(IF(d_ss_Bv!U7=0,".",((Ir*F*MLF_pumpkin*(1-EXP(-RadSpec!BC7*t_b)))/(P*RadSpec!BC7))),".")</f>
        <v>2.0732918242163598E-3</v>
      </c>
      <c r="AT7" s="72">
        <f>IFERROR(IF(d_ss_Bv!V7=0,".",((Ir*F*MLF_snap_bean*(1-EXP(-RadSpec!BC7*t_b)))/(P*RadSpec!BC7))),".")</f>
        <v>0.17873205381175516</v>
      </c>
      <c r="AU7" s="72">
        <f>IFERROR(IF(d_ss_Bv!W7=0,".",((Ir*F*MLF_strawberry*(1-EXP(-RadSpec!BC7*t_b)))/(P*RadSpec!BC7))),".")</f>
        <v>2.8597128609880828E-3</v>
      </c>
      <c r="AV7" s="72">
        <f>IFERROR(IF(d_ss_Bv!X7=0,".",((Ir*F*MLF_tomato*(1-EXP(-RadSpec!BC7*t_b)))/(P*RadSpec!BC7))),".")</f>
        <v>5.6836793112138136E-2</v>
      </c>
      <c r="AW7" s="72">
        <f>IFERROR(IF(d_ss_Bv!Y7=0,".",((Ir*F*MLF_rice*(1-EXP(-RadSpec!BC7*t_b)))/(P*RadSpec!BC7))),".")</f>
        <v>8.9366026905877582</v>
      </c>
      <c r="AX7" s="72">
        <f>IFERROR(IF(d_ss_Bv!Z7=0,".",((Ir*F*MLF_cereal*(1-EXP(-RadSpec!BC7*t_b)))/(P*RadSpec!BC7))),".")</f>
        <v>8.9366026905877582</v>
      </c>
      <c r="AY7" s="72">
        <f>IFERROR(IF(d_ss_Bv!C7=0,".",((Ir*F*I_f*T*(1-EXP(-RadSpec!BD7*t_v)))/(Y_v*RadSpec!BD7))),".")</f>
        <v>3.6424203206347228</v>
      </c>
      <c r="AZ7" s="72">
        <f>IFERROR(IF(d_ss_Bv!D7=0,".",((Ir*F*I_f*T*(1-EXP(-RadSpec!BD7*t_v)))/(Y_v*RadSpec!BD7))),".")</f>
        <v>3.6424203206347228</v>
      </c>
      <c r="BA7" s="72">
        <f>IFERROR(IF(d_ss_Bv!E7=0,".",((Ir*F*I_f*T*(1-EXP(-RadSpec!BD7*t_v)))/(Y_v*RadSpec!BD7))),".")</f>
        <v>3.6424203206347228</v>
      </c>
      <c r="BB7" s="72">
        <f>IFERROR(IF(d_ss_Bv!F7=0,".",((Ir*F*I_f*T*(1-EXP(-RadSpec!BD7*t_v)))/(Y_v*RadSpec!BD7))),".")</f>
        <v>3.6424203206347228</v>
      </c>
      <c r="BC7" s="72">
        <f>IFERROR(IF(d_ss_Bv!G7=0,".",((Ir*F*I_f*T*(1-EXP(-RadSpec!BD7*t_v)))/(Y_v*RadSpec!BD7))),".")</f>
        <v>3.6424203206347228</v>
      </c>
      <c r="BD7" s="72">
        <f>IFERROR(IF(d_ss_Bv!H7=0,".",((Ir*F*I_f*T*(1-EXP(-RadSpec!BD7*t_v)))/(Y_v*RadSpec!BD7))),".")</f>
        <v>3.6424203206347228</v>
      </c>
      <c r="BE7" s="72">
        <f>IFERROR(IF(d_ss_Bv!I7=0,".",((Ir*F*I_f*T*(1-EXP(-RadSpec!BD7*t_v)))/(Y_v*RadSpec!BD7))),".")</f>
        <v>3.6424203206347228</v>
      </c>
      <c r="BF7" s="72">
        <f>IFERROR(IF(d_ss_Bv!J7=0,".",((Ir*F*I_f*T*(1-EXP(-RadSpec!BD7*t_v)))/(Y_v*RadSpec!BD7))),".")</f>
        <v>3.6424203206347228</v>
      </c>
      <c r="BG7" s="72">
        <f>IFERROR(IF(d_ss_Bv!K7=0,".",((Ir*F*I_f*T*(1-EXP(-RadSpec!BD7*t_v)))/(Y_v*RadSpec!BD7))),".")</f>
        <v>3.6424203206347228</v>
      </c>
      <c r="BH7" s="72">
        <f>IFERROR(IF(d_ss_Bv!L7=0,".",((Ir*F*I_f*T*(1-EXP(-RadSpec!BD7*t_v)))/(Y_v*RadSpec!BD7))),".")</f>
        <v>3.6424203206347228</v>
      </c>
      <c r="BI7" s="72">
        <f>IFERROR(IF(d_ss_Bv!M7=0,".",((Ir*F*I_f*T*(1-EXP(-RadSpec!BD7*t_v)))/(Y_v*RadSpec!BD7))),".")</f>
        <v>3.6424203206347228</v>
      </c>
      <c r="BJ7" s="72">
        <f>IFERROR(IF(d_ss_Bv!N7=0,".",((Ir*F*I_f*T*(1-EXP(-RadSpec!BD7*t_v)))/(Y_v*RadSpec!BD7))),".")</f>
        <v>3.6424203206347228</v>
      </c>
      <c r="BK7" s="72">
        <f>IFERROR(IF(d_ss_Bv!O7=0,".",((Ir*F*I_f*T*(1-EXP(-RadSpec!BD7*t_v)))/(Y_v*RadSpec!BD7))),".")</f>
        <v>3.6424203206347228</v>
      </c>
      <c r="BL7" s="72">
        <f>IFERROR(IF(d_ss_Bv!P7=0,".",((Ir*F*I_f*T*(1-EXP(-RadSpec!BD7*t_v)))/(Y_v*RadSpec!BD7))),".")</f>
        <v>3.6424203206347228</v>
      </c>
      <c r="BM7" s="72">
        <f>IFERROR(IF(d_ss_Bv!Q7=0,".",((Ir*F*I_f*T*(1-EXP(-RadSpec!BD7*t_v)))/(Y_v*RadSpec!BD7))),".")</f>
        <v>3.6424203206347228</v>
      </c>
      <c r="BN7" s="72">
        <f>IFERROR(IF(d_ss_Bv!R7=0,".",((Ir*F*I_f*T*(1-EXP(-RadSpec!BD7*t_v)))/(Y_v*RadSpec!BD7))),".")</f>
        <v>3.6424203206347228</v>
      </c>
      <c r="BO7" s="72">
        <f>IFERROR(IF(d_ss_Bv!S7=0,".",((Ir*F*I_f*T*(1-EXP(-RadSpec!BD7*t_v)))/(Y_v*RadSpec!BD7))),".")</f>
        <v>3.6424203206347228</v>
      </c>
      <c r="BP7" s="72">
        <f>IFERROR(IF(d_ss_Bv!T7=0,".",((Ir*F*I_f*T*(1-EXP(-RadSpec!BD7*t_v)))/(Y_v*RadSpec!BD7))),".")</f>
        <v>3.6424203206347228</v>
      </c>
      <c r="BQ7" s="72">
        <f>IFERROR(IF(d_ss_Bv!U7=0,".",((Ir*F*I_f*T*(1-EXP(-RadSpec!BD7*t_v)))/(Y_v*RadSpec!BD7))),".")</f>
        <v>3.6424203206347228</v>
      </c>
      <c r="BR7" s="72">
        <f>IFERROR(IF(d_ss_Bv!V7=0,".",((Ir*F*I_f*T*(1-EXP(-RadSpec!BD7*t_v)))/(Y_v*RadSpec!BD7))),".")</f>
        <v>3.6424203206347228</v>
      </c>
      <c r="BS7" s="72">
        <f>IFERROR(IF(d_ss_Bv!W7=0,".",((Ir*F*I_f*T*(1-EXP(-RadSpec!BD7*t_v)))/(Y_v*RadSpec!BD7))),".")</f>
        <v>3.6424203206347228</v>
      </c>
      <c r="BT7" s="72">
        <f>IFERROR(IF(d_ss_Bv!X7=0,".",((Ir*F*I_f*T*(1-EXP(-RadSpec!BD7*t_v)))/(Y_v*RadSpec!BD7))),".")</f>
        <v>3.6424203206347228</v>
      </c>
      <c r="BU7" s="72">
        <f>IFERROR(IF(d_ss_Bv!Y7=0,".",((Ir*F*I_f*T*(1-EXP(-RadSpec!BD7*t_v)))/(Y_v*RadSpec!BD7))),".")</f>
        <v>3.6424203206347228</v>
      </c>
      <c r="BV7" s="72">
        <f>IFERROR(IF(d_ss_Bv!Z7=0,".",((Ir*F*I_f*T*(1-EXP(-RadSpec!BD7*t_v)))/(Y_v*RadSpec!BD7))),".")</f>
        <v>3.6424203206347228</v>
      </c>
    </row>
    <row r="8" spans="1:74" x14ac:dyDescent="0.25">
      <c r="A8" s="31" t="s">
        <v>6</v>
      </c>
      <c r="B8" s="3" t="s">
        <v>1059</v>
      </c>
      <c r="C8" s="72">
        <f>IFERROR(IF(d_ss_Bv!C8=0,".",((Ir*F*d_ss_Bv!C8*(1-EXP(-RadSpec!BC8*t_b)))/(P*RadSpec!BC8))),".")</f>
        <v>3.5746410762351037</v>
      </c>
      <c r="D8" s="72">
        <f>IFERROR(IF(d_ss_Bv!D8=0,".",((Ir*F*d_ss_Bv!D8*(1-EXP(-RadSpec!BC8*t_b)))/(P*RadSpec!BC8))),".")</f>
        <v>3.5746410762351037</v>
      </c>
      <c r="E8" s="72">
        <f>IFERROR(IF(d_ss_Bv!E8=0,".",((Ir*F*d_ss_Bv!E8*(1-EXP(-RadSpec!BC8*t_b)))/(P*RadSpec!BC8))),".")</f>
        <v>3.5746410762351037</v>
      </c>
      <c r="F8" s="72">
        <f>IFERROR(IF(d_ss_Bv!F8=0,".",((Ir*F*d_ss_Bv!F8*(1-EXP(-RadSpec!BC8*t_b)))/(P*RadSpec!BC8))),".")</f>
        <v>3.5746410762351037</v>
      </c>
      <c r="G8" s="72">
        <f>IFERROR(IF(d_ss_Bv!G8=0,".",((Ir*F*d_ss_Bv!G8*(1-EXP(-RadSpec!BC8*t_b)))/(P*RadSpec!BC8))),".")</f>
        <v>3.5746410762351037</v>
      </c>
      <c r="H8" s="72">
        <f>IFERROR(IF(d_ss_Bv!H8=0,".",((Ir*F*d_ss_Bv!H8*(1-EXP(-RadSpec!BC8*t_b)))/(P*RadSpec!BC8))),".")</f>
        <v>3.5746410762351037</v>
      </c>
      <c r="I8" s="72">
        <f>IFERROR(IF(d_ss_Bv!I8=0,".",((Ir*F*d_ss_Bv!I8*(1-EXP(-RadSpec!BC8*t_b)))/(P*RadSpec!BC8))),".")</f>
        <v>3.5746410762351037</v>
      </c>
      <c r="J8" s="72">
        <f>IFERROR(IF(d_ss_Bv!J8=0,".",((Ir*F*d_ss_Bv!J8*(1-EXP(-RadSpec!BC8*t_b)))/(P*RadSpec!BC8))),".")</f>
        <v>3.5746410762351037</v>
      </c>
      <c r="K8" s="72">
        <f>IFERROR(IF(d_ss_Bv!K8=0,".",((Ir*F*d_ss_Bv!K8*(1-EXP(-RadSpec!BC8*t_b)))/(P*RadSpec!BC8))),".")</f>
        <v>3.5746410762351037</v>
      </c>
      <c r="L8" s="72">
        <f>IFERROR(IF(d_ss_Bv!L8=0,".",((Ir*F*d_ss_Bv!L8*(1-EXP(-RadSpec!BC8*t_b)))/(P*RadSpec!BC8))),".")</f>
        <v>3.5746410762351037</v>
      </c>
      <c r="M8" s="72">
        <f>IFERROR(IF(d_ss_Bv!M8=0,".",((Ir*F*d_ss_Bv!M8*(1-EXP(-RadSpec!BC8*t_b)))/(P*RadSpec!BC8))),".")</f>
        <v>3.5746410762351037</v>
      </c>
      <c r="N8" s="72">
        <f>IFERROR(IF(d_ss_Bv!N8=0,".",((Ir*F*d_ss_Bv!N8*(1-EXP(-RadSpec!BC8*t_b)))/(P*RadSpec!BC8))),".")</f>
        <v>3.5746410762351037</v>
      </c>
      <c r="O8" s="72">
        <f>IFERROR(IF(d_ss_Bv!O8=0,".",((Ir*F*d_ss_Bv!O8*(1-EXP(-RadSpec!BC8*t_b)))/(P*RadSpec!BC8))),".")</f>
        <v>3.5746410762351037</v>
      </c>
      <c r="P8" s="72">
        <f>IFERROR(IF(d_ss_Bv!P8=0,".",((Ir*F*d_ss_Bv!P8*(1-EXP(-RadSpec!BC8*t_b)))/(P*RadSpec!BC8))),".")</f>
        <v>3.5746410762351037</v>
      </c>
      <c r="Q8" s="72">
        <f>IFERROR(IF(d_ss_Bv!Q8=0,".",((Ir*F*d_ss_Bv!Q8*(1-EXP(-RadSpec!BC8*t_b)))/(P*RadSpec!BC8))),".")</f>
        <v>3.5746410762351037</v>
      </c>
      <c r="R8" s="72">
        <f>IFERROR(IF(d_ss_Bv!R8=0,".",((Ir*F*d_ss_Bv!R8*(1-EXP(-RadSpec!BC8*t_b)))/(P*RadSpec!BC8))),".")</f>
        <v>3.5746410762351037</v>
      </c>
      <c r="S8" s="72">
        <f>IFERROR(IF(d_ss_Bv!S8=0,".",((Ir*F*d_ss_Bv!S8*(1-EXP(-RadSpec!BC8*t_b)))/(P*RadSpec!BC8))),".")</f>
        <v>3.5746410762351037</v>
      </c>
      <c r="T8" s="72">
        <f>IFERROR(IF(d_ss_Bv!T8=0,".",((Ir*F*d_ss_Bv!T8*(1-EXP(-RadSpec!BC8*t_b)))/(P*RadSpec!BC8))),".")</f>
        <v>3.5746410762351037</v>
      </c>
      <c r="U8" s="72">
        <f>IFERROR(IF(d_ss_Bv!U8=0,".",((Ir*F*d_ss_Bv!U8*(1-EXP(-RadSpec!BC8*t_b)))/(P*RadSpec!BC8))),".")</f>
        <v>3.5746410762351037</v>
      </c>
      <c r="V8" s="72">
        <f>IFERROR(IF(d_ss_Bv!V8=0,".",((Ir*F*d_ss_Bv!V8*(1-EXP(-RadSpec!BC8*t_b)))/(P*RadSpec!BC8))),".")</f>
        <v>3.5746410762351037</v>
      </c>
      <c r="W8" s="72">
        <f>IFERROR(IF(d_ss_Bv!W8=0,".",((Ir*F*d_ss_Bv!W8*(1-EXP(-RadSpec!BC8*t_b)))/(P*RadSpec!BC8))),".")</f>
        <v>3.5746410762351037</v>
      </c>
      <c r="X8" s="72">
        <f>IFERROR(IF(d_ss_Bv!X8=0,".",((Ir*F*d_ss_Bv!X8*(1-EXP(-RadSpec!BC8*t_b)))/(P*RadSpec!BC8))),".")</f>
        <v>3.5746410762351037</v>
      </c>
      <c r="Y8" s="72">
        <f>IFERROR(IF(d_ss_Bv!Y8=0,".",((Ir*F*d_ss_Bv!Y8*(1-EXP(-RadSpec!BC8*t_b)))/(P*RadSpec!BC8))),".")</f>
        <v>3.5746410762351037</v>
      </c>
      <c r="Z8" s="72">
        <f>IFERROR(IF(d_ss_Bv!Z8=0,".",((Ir*F*d_ss_Bv!Z8*(1-EXP(-RadSpec!BC8*t_b)))/(P*RadSpec!BC8))),".")</f>
        <v>3.5746410762351037</v>
      </c>
      <c r="AA8" s="72">
        <f>IFERROR(IF(d_ss_Bv!C8=0,".",((Ir*F*MLF_apple*(1-EXP(-RadSpec!BC8*t_b)))/(P*RadSpec!BC8))),".")</f>
        <v>5.7194257219761657E-3</v>
      </c>
      <c r="AB8" s="72">
        <f>IFERROR(IF(d_ss_Bv!D8=0,".",((Ir*F*MLF_asparagus*(1-EXP(-RadSpec!BC8*t_b)))/(P*RadSpec!BC8))),".")</f>
        <v>2.8239664502257315E-3</v>
      </c>
      <c r="AC8" s="72">
        <f>IFERROR(IF(d_ss_Bv!E8=0,".",((Ir*F*MLF_beet*(1-EXP(-RadSpec!BC8*t_b)))/(P*RadSpec!BC8))),".")</f>
        <v>4.9330046852044422E-3</v>
      </c>
      <c r="AD8" s="72">
        <f>IFERROR(IF(d_ss_Bv!F8=0,".",((Ir*F*MLF_berries*(1-EXP(-RadSpec!BC8*t_b)))/(P*RadSpec!BC8))),".")</f>
        <v>5.9339041865502712E-3</v>
      </c>
      <c r="AE8" s="72">
        <f>IFERROR(IF(d_ss_Bv!G8=0,".",((Ir*F*MLF_broccoli*(1-EXP(-RadSpec!BC8*t_b)))/(P*RadSpec!BC8))),".")</f>
        <v>3.6103874869974538E-2</v>
      </c>
      <c r="AF8" s="72">
        <f>IFERROR(IF(d_ss_Bv!H8=0,".",((Ir*F*MLF_cabbage*(1-EXP(-RadSpec!BC8*t_b)))/(P*RadSpec!BC8))),".")</f>
        <v>3.7533731300468582E-3</v>
      </c>
      <c r="AG8" s="72">
        <f>IFERROR(IF(d_ss_Bv!I8=0,".",((Ir*F*MLF_carrot*(1-EXP(-RadSpec!BC8*t_b)))/(P*RadSpec!BC8))),".")</f>
        <v>3.4674018439480501E-3</v>
      </c>
      <c r="AH8" s="72">
        <f>IFERROR(IF(d_ss_Bv!J8=0,".",((Ir*F*MLF_citrus*(1-EXP(-RadSpec!BC8*t_b)))/(P*RadSpec!BC8))),".")</f>
        <v>5.6121864896891112E-3</v>
      </c>
      <c r="AI8" s="72">
        <f>IFERROR(IF(d_ss_Bv!K8=0,".",((Ir*F*MLF_corn*(1-EXP(-RadSpec!BC8*t_b)))/(P*RadSpec!BC8))),".")</f>
        <v>5.1832295605408994E-3</v>
      </c>
      <c r="AJ8" s="72">
        <f>IFERROR(IF(d_ss_Bv!L8=0,".",((Ir*F*MLF_cucumber*(1-EXP(-RadSpec!BC8*t_b)))/(P*RadSpec!BC8))),".")</f>
        <v>1.4298564304940414E-3</v>
      </c>
      <c r="AK8" s="72">
        <f>IFERROR(IF(d_ss_Bv!M8=0,".",((Ir*F*MLF_lettuce*(1-EXP(-RadSpec!BC8*t_b)))/(P*RadSpec!BC8))),".")</f>
        <v>0.48257654529173893</v>
      </c>
      <c r="AL8" s="72">
        <f>IFERROR(IF(d_ss_Bv!N8=0,".",((Ir*F*MLF_lima_bean*(1-EXP(-RadSpec!BC8*t_b)))/(P*RadSpec!BC8))),".")</f>
        <v>0.13690875321980447</v>
      </c>
      <c r="AM8" s="72">
        <f>IFERROR(IF(d_ss_Bv!O8=0,".",((Ir*F*MLF_okra*(1-EXP(-RadSpec!BC8*t_b)))/(P*RadSpec!BC8))),".")</f>
        <v>2.8597128609880828E-3</v>
      </c>
      <c r="AN8" s="72">
        <f>IFERROR(IF(d_ss_Bv!P8=0,".",((Ir*F*MLF_onion*(1-EXP(-RadSpec!BC8*t_b)))/(P*RadSpec!BC8))),".")</f>
        <v>3.4674018439480501E-3</v>
      </c>
      <c r="AO8" s="72">
        <f>IFERROR(IF(d_ss_Bv!Q8=0,".",((Ir*F*MLF_peach*(1-EXP(-RadSpec!BC8*t_b)))/(P*RadSpec!BC8))),".")</f>
        <v>5.361961614352654E-3</v>
      </c>
      <c r="AP8" s="72" t="str">
        <f>IFERROR(IF(d_ss_Bv!OI8=0,".",((Ir*F*MLF_pear*(1-EXP(-RadSpec!BC8*t_b)))/(P*RadSpec!BC8))),".")</f>
        <v>.</v>
      </c>
      <c r="AQ8" s="72">
        <f>IFERROR(IF(d_ss_Bv!S8=0,".",((Ir*F*MLF_peas*(1-EXP(-RadSpec!BC8*t_b)))/(P*RadSpec!BC8))),".")</f>
        <v>6.3628611156984829E-3</v>
      </c>
      <c r="AR8" s="72">
        <f>IFERROR(IF(d_ss_Bv!T8=0,".",((Ir*F*MLF_potato*(1-EXP(-RadSpec!BC8*t_b)))/(P*RadSpec!BC8))),".")</f>
        <v>7.5067462600937164E-3</v>
      </c>
      <c r="AS8" s="72">
        <f>IFERROR(IF(d_ss_Bv!U8=0,".",((Ir*F*MLF_pumpkin*(1-EXP(-RadSpec!BC8*t_b)))/(P*RadSpec!BC8))),".")</f>
        <v>2.0732918242163598E-3</v>
      </c>
      <c r="AT8" s="72">
        <f>IFERROR(IF(d_ss_Bv!V8=0,".",((Ir*F*MLF_snap_bean*(1-EXP(-RadSpec!BC8*t_b)))/(P*RadSpec!BC8))),".")</f>
        <v>0.17873205381175516</v>
      </c>
      <c r="AU8" s="72">
        <f>IFERROR(IF(d_ss_Bv!W8=0,".",((Ir*F*MLF_strawberry*(1-EXP(-RadSpec!BC8*t_b)))/(P*RadSpec!BC8))),".")</f>
        <v>2.8597128609880828E-3</v>
      </c>
      <c r="AV8" s="72">
        <f>IFERROR(IF(d_ss_Bv!X8=0,".",((Ir*F*MLF_tomato*(1-EXP(-RadSpec!BC8*t_b)))/(P*RadSpec!BC8))),".")</f>
        <v>5.6836793112138136E-2</v>
      </c>
      <c r="AW8" s="72">
        <f>IFERROR(IF(d_ss_Bv!Y8=0,".",((Ir*F*MLF_rice*(1-EXP(-RadSpec!BC8*t_b)))/(P*RadSpec!BC8))),".")</f>
        <v>8.9366026905877582</v>
      </c>
      <c r="AX8" s="72">
        <f>IFERROR(IF(d_ss_Bv!Z8=0,".",((Ir*F*MLF_cereal*(1-EXP(-RadSpec!BC8*t_b)))/(P*RadSpec!BC8))),".")</f>
        <v>8.9366026905877582</v>
      </c>
      <c r="AY8" s="72">
        <f>IFERROR(IF(d_ss_Bv!C8=0,".",((Ir*F*I_f*T*(1-EXP(-RadSpec!BD8*t_v)))/(Y_v*RadSpec!BD8))),".")</f>
        <v>3.6424203206347228</v>
      </c>
      <c r="AZ8" s="72">
        <f>IFERROR(IF(d_ss_Bv!D8=0,".",((Ir*F*I_f*T*(1-EXP(-RadSpec!BD8*t_v)))/(Y_v*RadSpec!BD8))),".")</f>
        <v>3.6424203206347228</v>
      </c>
      <c r="BA8" s="72">
        <f>IFERROR(IF(d_ss_Bv!E8=0,".",((Ir*F*I_f*T*(1-EXP(-RadSpec!BD8*t_v)))/(Y_v*RadSpec!BD8))),".")</f>
        <v>3.6424203206347228</v>
      </c>
      <c r="BB8" s="72">
        <f>IFERROR(IF(d_ss_Bv!F8=0,".",((Ir*F*I_f*T*(1-EXP(-RadSpec!BD8*t_v)))/(Y_v*RadSpec!BD8))),".")</f>
        <v>3.6424203206347228</v>
      </c>
      <c r="BC8" s="72">
        <f>IFERROR(IF(d_ss_Bv!G8=0,".",((Ir*F*I_f*T*(1-EXP(-RadSpec!BD8*t_v)))/(Y_v*RadSpec!BD8))),".")</f>
        <v>3.6424203206347228</v>
      </c>
      <c r="BD8" s="72">
        <f>IFERROR(IF(d_ss_Bv!H8=0,".",((Ir*F*I_f*T*(1-EXP(-RadSpec!BD8*t_v)))/(Y_v*RadSpec!BD8))),".")</f>
        <v>3.6424203206347228</v>
      </c>
      <c r="BE8" s="72">
        <f>IFERROR(IF(d_ss_Bv!I8=0,".",((Ir*F*I_f*T*(1-EXP(-RadSpec!BD8*t_v)))/(Y_v*RadSpec!BD8))),".")</f>
        <v>3.6424203206347228</v>
      </c>
      <c r="BF8" s="72">
        <f>IFERROR(IF(d_ss_Bv!J8=0,".",((Ir*F*I_f*T*(1-EXP(-RadSpec!BD8*t_v)))/(Y_v*RadSpec!BD8))),".")</f>
        <v>3.6424203206347228</v>
      </c>
      <c r="BG8" s="72">
        <f>IFERROR(IF(d_ss_Bv!K8=0,".",((Ir*F*I_f*T*(1-EXP(-RadSpec!BD8*t_v)))/(Y_v*RadSpec!BD8))),".")</f>
        <v>3.6424203206347228</v>
      </c>
      <c r="BH8" s="72">
        <f>IFERROR(IF(d_ss_Bv!L8=0,".",((Ir*F*I_f*T*(1-EXP(-RadSpec!BD8*t_v)))/(Y_v*RadSpec!BD8))),".")</f>
        <v>3.6424203206347228</v>
      </c>
      <c r="BI8" s="72">
        <f>IFERROR(IF(d_ss_Bv!M8=0,".",((Ir*F*I_f*T*(1-EXP(-RadSpec!BD8*t_v)))/(Y_v*RadSpec!BD8))),".")</f>
        <v>3.6424203206347228</v>
      </c>
      <c r="BJ8" s="72">
        <f>IFERROR(IF(d_ss_Bv!N8=0,".",((Ir*F*I_f*T*(1-EXP(-RadSpec!BD8*t_v)))/(Y_v*RadSpec!BD8))),".")</f>
        <v>3.6424203206347228</v>
      </c>
      <c r="BK8" s="72">
        <f>IFERROR(IF(d_ss_Bv!O8=0,".",((Ir*F*I_f*T*(1-EXP(-RadSpec!BD8*t_v)))/(Y_v*RadSpec!BD8))),".")</f>
        <v>3.6424203206347228</v>
      </c>
      <c r="BL8" s="72">
        <f>IFERROR(IF(d_ss_Bv!P8=0,".",((Ir*F*I_f*T*(1-EXP(-RadSpec!BD8*t_v)))/(Y_v*RadSpec!BD8))),".")</f>
        <v>3.6424203206347228</v>
      </c>
      <c r="BM8" s="72">
        <f>IFERROR(IF(d_ss_Bv!Q8=0,".",((Ir*F*I_f*T*(1-EXP(-RadSpec!BD8*t_v)))/(Y_v*RadSpec!BD8))),".")</f>
        <v>3.6424203206347228</v>
      </c>
      <c r="BN8" s="72">
        <f>IFERROR(IF(d_ss_Bv!R8=0,".",((Ir*F*I_f*T*(1-EXP(-RadSpec!BD8*t_v)))/(Y_v*RadSpec!BD8))),".")</f>
        <v>3.6424203206347228</v>
      </c>
      <c r="BO8" s="72">
        <f>IFERROR(IF(d_ss_Bv!S8=0,".",((Ir*F*I_f*T*(1-EXP(-RadSpec!BD8*t_v)))/(Y_v*RadSpec!BD8))),".")</f>
        <v>3.6424203206347228</v>
      </c>
      <c r="BP8" s="72">
        <f>IFERROR(IF(d_ss_Bv!T8=0,".",((Ir*F*I_f*T*(1-EXP(-RadSpec!BD8*t_v)))/(Y_v*RadSpec!BD8))),".")</f>
        <v>3.6424203206347228</v>
      </c>
      <c r="BQ8" s="72">
        <f>IFERROR(IF(d_ss_Bv!U8=0,".",((Ir*F*I_f*T*(1-EXP(-RadSpec!BD8*t_v)))/(Y_v*RadSpec!BD8))),".")</f>
        <v>3.6424203206347228</v>
      </c>
      <c r="BR8" s="72">
        <f>IFERROR(IF(d_ss_Bv!V8=0,".",((Ir*F*I_f*T*(1-EXP(-RadSpec!BD8*t_v)))/(Y_v*RadSpec!BD8))),".")</f>
        <v>3.6424203206347228</v>
      </c>
      <c r="BS8" s="72">
        <f>IFERROR(IF(d_ss_Bv!W8=0,".",((Ir*F*I_f*T*(1-EXP(-RadSpec!BD8*t_v)))/(Y_v*RadSpec!BD8))),".")</f>
        <v>3.6424203206347228</v>
      </c>
      <c r="BT8" s="72">
        <f>IFERROR(IF(d_ss_Bv!X8=0,".",((Ir*F*I_f*T*(1-EXP(-RadSpec!BD8*t_v)))/(Y_v*RadSpec!BD8))),".")</f>
        <v>3.6424203206347228</v>
      </c>
      <c r="BU8" s="72">
        <f>IFERROR(IF(d_ss_Bv!Y8=0,".",((Ir*F*I_f*T*(1-EXP(-RadSpec!BD8*t_v)))/(Y_v*RadSpec!BD8))),".")</f>
        <v>3.6424203206347228</v>
      </c>
      <c r="BV8" s="72">
        <f>IFERROR(IF(d_ss_Bv!Z8=0,".",((Ir*F*I_f*T*(1-EXP(-RadSpec!BD8*t_v)))/(Y_v*RadSpec!BD8))),".")</f>
        <v>3.6424203206347228</v>
      </c>
    </row>
    <row r="9" spans="1:74" x14ac:dyDescent="0.25">
      <c r="A9" s="31" t="s">
        <v>7</v>
      </c>
      <c r="B9" s="3" t="s">
        <v>1059</v>
      </c>
      <c r="C9" s="72">
        <f>IFERROR(IF(d_ss_Bv!C9=0,".",((Ir*F*d_ss_Bv!C9*(1-EXP(-RadSpec!BC9*t_b)))/(P*RadSpec!BC9))),".")</f>
        <v>3.5746410762351037</v>
      </c>
      <c r="D9" s="72">
        <f>IFERROR(IF(d_ss_Bv!D9=0,".",((Ir*F*d_ss_Bv!D9*(1-EXP(-RadSpec!BC9*t_b)))/(P*RadSpec!BC9))),".")</f>
        <v>3.5746410762351037</v>
      </c>
      <c r="E9" s="72">
        <f>IFERROR(IF(d_ss_Bv!E9=0,".",((Ir*F*d_ss_Bv!E9*(1-EXP(-RadSpec!BC9*t_b)))/(P*RadSpec!BC9))),".")</f>
        <v>3.5746410762351037</v>
      </c>
      <c r="F9" s="72">
        <f>IFERROR(IF(d_ss_Bv!F9=0,".",((Ir*F*d_ss_Bv!F9*(1-EXP(-RadSpec!BC9*t_b)))/(P*RadSpec!BC9))),".")</f>
        <v>3.5746410762351037</v>
      </c>
      <c r="G9" s="72">
        <f>IFERROR(IF(d_ss_Bv!G9=0,".",((Ir*F*d_ss_Bv!G9*(1-EXP(-RadSpec!BC9*t_b)))/(P*RadSpec!BC9))),".")</f>
        <v>3.5746410762351037</v>
      </c>
      <c r="H9" s="72">
        <f>IFERROR(IF(d_ss_Bv!H9=0,".",((Ir*F*d_ss_Bv!H9*(1-EXP(-RadSpec!BC9*t_b)))/(P*RadSpec!BC9))),".")</f>
        <v>3.5746410762351037</v>
      </c>
      <c r="I9" s="72">
        <f>IFERROR(IF(d_ss_Bv!I9=0,".",((Ir*F*d_ss_Bv!I9*(1-EXP(-RadSpec!BC9*t_b)))/(P*RadSpec!BC9))),".")</f>
        <v>3.5746410762351037</v>
      </c>
      <c r="J9" s="72">
        <f>IFERROR(IF(d_ss_Bv!J9=0,".",((Ir*F*d_ss_Bv!J9*(1-EXP(-RadSpec!BC9*t_b)))/(P*RadSpec!BC9))),".")</f>
        <v>3.5746410762351037</v>
      </c>
      <c r="K9" s="72">
        <f>IFERROR(IF(d_ss_Bv!K9=0,".",((Ir*F*d_ss_Bv!K9*(1-EXP(-RadSpec!BC9*t_b)))/(P*RadSpec!BC9))),".")</f>
        <v>3.5746410762351037</v>
      </c>
      <c r="L9" s="72">
        <f>IFERROR(IF(d_ss_Bv!L9=0,".",((Ir*F*d_ss_Bv!L9*(1-EXP(-RadSpec!BC9*t_b)))/(P*RadSpec!BC9))),".")</f>
        <v>3.5746410762351037</v>
      </c>
      <c r="M9" s="72">
        <f>IFERROR(IF(d_ss_Bv!M9=0,".",((Ir*F*d_ss_Bv!M9*(1-EXP(-RadSpec!BC9*t_b)))/(P*RadSpec!BC9))),".")</f>
        <v>3.5746410762351037</v>
      </c>
      <c r="N9" s="72">
        <f>IFERROR(IF(d_ss_Bv!N9=0,".",((Ir*F*d_ss_Bv!N9*(1-EXP(-RadSpec!BC9*t_b)))/(P*RadSpec!BC9))),".")</f>
        <v>3.5746410762351037</v>
      </c>
      <c r="O9" s="72">
        <f>IFERROR(IF(d_ss_Bv!O9=0,".",((Ir*F*d_ss_Bv!O9*(1-EXP(-RadSpec!BC9*t_b)))/(P*RadSpec!BC9))),".")</f>
        <v>3.5746410762351037</v>
      </c>
      <c r="P9" s="72">
        <f>IFERROR(IF(d_ss_Bv!P9=0,".",((Ir*F*d_ss_Bv!P9*(1-EXP(-RadSpec!BC9*t_b)))/(P*RadSpec!BC9))),".")</f>
        <v>3.5746410762351037</v>
      </c>
      <c r="Q9" s="72">
        <f>IFERROR(IF(d_ss_Bv!Q9=0,".",((Ir*F*d_ss_Bv!Q9*(1-EXP(-RadSpec!BC9*t_b)))/(P*RadSpec!BC9))),".")</f>
        <v>3.5746410762351037</v>
      </c>
      <c r="R9" s="72">
        <f>IFERROR(IF(d_ss_Bv!R9=0,".",((Ir*F*d_ss_Bv!R9*(1-EXP(-RadSpec!BC9*t_b)))/(P*RadSpec!BC9))),".")</f>
        <v>3.5746410762351037</v>
      </c>
      <c r="S9" s="72">
        <f>IFERROR(IF(d_ss_Bv!S9=0,".",((Ir*F*d_ss_Bv!S9*(1-EXP(-RadSpec!BC9*t_b)))/(P*RadSpec!BC9))),".")</f>
        <v>3.5746410762351037</v>
      </c>
      <c r="T9" s="72">
        <f>IFERROR(IF(d_ss_Bv!T9=0,".",((Ir*F*d_ss_Bv!T9*(1-EXP(-RadSpec!BC9*t_b)))/(P*RadSpec!BC9))),".")</f>
        <v>3.5746410762351037</v>
      </c>
      <c r="U9" s="72">
        <f>IFERROR(IF(d_ss_Bv!U9=0,".",((Ir*F*d_ss_Bv!U9*(1-EXP(-RadSpec!BC9*t_b)))/(P*RadSpec!BC9))),".")</f>
        <v>3.5746410762351037</v>
      </c>
      <c r="V9" s="72">
        <f>IFERROR(IF(d_ss_Bv!V9=0,".",((Ir*F*d_ss_Bv!V9*(1-EXP(-RadSpec!BC9*t_b)))/(P*RadSpec!BC9))),".")</f>
        <v>3.5746410762351037</v>
      </c>
      <c r="W9" s="72">
        <f>IFERROR(IF(d_ss_Bv!W9=0,".",((Ir*F*d_ss_Bv!W9*(1-EXP(-RadSpec!BC9*t_b)))/(P*RadSpec!BC9))),".")</f>
        <v>3.5746410762351037</v>
      </c>
      <c r="X9" s="72">
        <f>IFERROR(IF(d_ss_Bv!X9=0,".",((Ir*F*d_ss_Bv!X9*(1-EXP(-RadSpec!BC9*t_b)))/(P*RadSpec!BC9))),".")</f>
        <v>3.5746410762351037</v>
      </c>
      <c r="Y9" s="72">
        <f>IFERROR(IF(d_ss_Bv!Y9=0,".",((Ir*F*d_ss_Bv!Y9*(1-EXP(-RadSpec!BC9*t_b)))/(P*RadSpec!BC9))),".")</f>
        <v>3.5746410762351037</v>
      </c>
      <c r="Z9" s="72">
        <f>IFERROR(IF(d_ss_Bv!Z9=0,".",((Ir*F*d_ss_Bv!Z9*(1-EXP(-RadSpec!BC9*t_b)))/(P*RadSpec!BC9))),".")</f>
        <v>3.5746410762351037</v>
      </c>
      <c r="AA9" s="72">
        <f>IFERROR(IF(d_ss_Bv!C9=0,".",((Ir*F*MLF_apple*(1-EXP(-RadSpec!BC9*t_b)))/(P*RadSpec!BC9))),".")</f>
        <v>5.7194257219761657E-3</v>
      </c>
      <c r="AB9" s="72">
        <f>IFERROR(IF(d_ss_Bv!D9=0,".",((Ir*F*MLF_asparagus*(1-EXP(-RadSpec!BC9*t_b)))/(P*RadSpec!BC9))),".")</f>
        <v>2.8239664502257315E-3</v>
      </c>
      <c r="AC9" s="72">
        <f>IFERROR(IF(d_ss_Bv!E9=0,".",((Ir*F*MLF_beet*(1-EXP(-RadSpec!BC9*t_b)))/(P*RadSpec!BC9))),".")</f>
        <v>4.9330046852044422E-3</v>
      </c>
      <c r="AD9" s="72">
        <f>IFERROR(IF(d_ss_Bv!F9=0,".",((Ir*F*MLF_berries*(1-EXP(-RadSpec!BC9*t_b)))/(P*RadSpec!BC9))),".")</f>
        <v>5.9339041865502712E-3</v>
      </c>
      <c r="AE9" s="72">
        <f>IFERROR(IF(d_ss_Bv!G9=0,".",((Ir*F*MLF_broccoli*(1-EXP(-RadSpec!BC9*t_b)))/(P*RadSpec!BC9))),".")</f>
        <v>3.6103874869974538E-2</v>
      </c>
      <c r="AF9" s="72">
        <f>IFERROR(IF(d_ss_Bv!H9=0,".",((Ir*F*MLF_cabbage*(1-EXP(-RadSpec!BC9*t_b)))/(P*RadSpec!BC9))),".")</f>
        <v>3.7533731300468582E-3</v>
      </c>
      <c r="AG9" s="72">
        <f>IFERROR(IF(d_ss_Bv!I9=0,".",((Ir*F*MLF_carrot*(1-EXP(-RadSpec!BC9*t_b)))/(P*RadSpec!BC9))),".")</f>
        <v>3.4674018439480501E-3</v>
      </c>
      <c r="AH9" s="72">
        <f>IFERROR(IF(d_ss_Bv!J9=0,".",((Ir*F*MLF_citrus*(1-EXP(-RadSpec!BC9*t_b)))/(P*RadSpec!BC9))),".")</f>
        <v>5.6121864896891112E-3</v>
      </c>
      <c r="AI9" s="72">
        <f>IFERROR(IF(d_ss_Bv!K9=0,".",((Ir*F*MLF_corn*(1-EXP(-RadSpec!BC9*t_b)))/(P*RadSpec!BC9))),".")</f>
        <v>5.1832295605408994E-3</v>
      </c>
      <c r="AJ9" s="72">
        <f>IFERROR(IF(d_ss_Bv!L9=0,".",((Ir*F*MLF_cucumber*(1-EXP(-RadSpec!BC9*t_b)))/(P*RadSpec!BC9))),".")</f>
        <v>1.4298564304940414E-3</v>
      </c>
      <c r="AK9" s="72">
        <f>IFERROR(IF(d_ss_Bv!M9=0,".",((Ir*F*MLF_lettuce*(1-EXP(-RadSpec!BC9*t_b)))/(P*RadSpec!BC9))),".")</f>
        <v>0.48257654529173893</v>
      </c>
      <c r="AL9" s="72">
        <f>IFERROR(IF(d_ss_Bv!N9=0,".",((Ir*F*MLF_lima_bean*(1-EXP(-RadSpec!BC9*t_b)))/(P*RadSpec!BC9))),".")</f>
        <v>0.13690875321980447</v>
      </c>
      <c r="AM9" s="72">
        <f>IFERROR(IF(d_ss_Bv!O9=0,".",((Ir*F*MLF_okra*(1-EXP(-RadSpec!BC9*t_b)))/(P*RadSpec!BC9))),".")</f>
        <v>2.8597128609880828E-3</v>
      </c>
      <c r="AN9" s="72">
        <f>IFERROR(IF(d_ss_Bv!P9=0,".",((Ir*F*MLF_onion*(1-EXP(-RadSpec!BC9*t_b)))/(P*RadSpec!BC9))),".")</f>
        <v>3.4674018439480501E-3</v>
      </c>
      <c r="AO9" s="72">
        <f>IFERROR(IF(d_ss_Bv!Q9=0,".",((Ir*F*MLF_peach*(1-EXP(-RadSpec!BC9*t_b)))/(P*RadSpec!BC9))),".")</f>
        <v>5.361961614352654E-3</v>
      </c>
      <c r="AP9" s="72" t="str">
        <f>IFERROR(IF(d_ss_Bv!OI9=0,".",((Ir*F*MLF_pear*(1-EXP(-RadSpec!BC9*t_b)))/(P*RadSpec!BC9))),".")</f>
        <v>.</v>
      </c>
      <c r="AQ9" s="72">
        <f>IFERROR(IF(d_ss_Bv!S9=0,".",((Ir*F*MLF_peas*(1-EXP(-RadSpec!BC9*t_b)))/(P*RadSpec!BC9))),".")</f>
        <v>6.3628611156984829E-3</v>
      </c>
      <c r="AR9" s="72">
        <f>IFERROR(IF(d_ss_Bv!T9=0,".",((Ir*F*MLF_potato*(1-EXP(-RadSpec!BC9*t_b)))/(P*RadSpec!BC9))),".")</f>
        <v>7.5067462600937164E-3</v>
      </c>
      <c r="AS9" s="72">
        <f>IFERROR(IF(d_ss_Bv!U9=0,".",((Ir*F*MLF_pumpkin*(1-EXP(-RadSpec!BC9*t_b)))/(P*RadSpec!BC9))),".")</f>
        <v>2.0732918242163598E-3</v>
      </c>
      <c r="AT9" s="72">
        <f>IFERROR(IF(d_ss_Bv!V9=0,".",((Ir*F*MLF_snap_bean*(1-EXP(-RadSpec!BC9*t_b)))/(P*RadSpec!BC9))),".")</f>
        <v>0.17873205381175516</v>
      </c>
      <c r="AU9" s="72">
        <f>IFERROR(IF(d_ss_Bv!W9=0,".",((Ir*F*MLF_strawberry*(1-EXP(-RadSpec!BC9*t_b)))/(P*RadSpec!BC9))),".")</f>
        <v>2.8597128609880828E-3</v>
      </c>
      <c r="AV9" s="72">
        <f>IFERROR(IF(d_ss_Bv!X9=0,".",((Ir*F*MLF_tomato*(1-EXP(-RadSpec!BC9*t_b)))/(P*RadSpec!BC9))),".")</f>
        <v>5.6836793112138136E-2</v>
      </c>
      <c r="AW9" s="72">
        <f>IFERROR(IF(d_ss_Bv!Y9=0,".",((Ir*F*MLF_rice*(1-EXP(-RadSpec!BC9*t_b)))/(P*RadSpec!BC9))),".")</f>
        <v>8.9366026905877582</v>
      </c>
      <c r="AX9" s="72">
        <f>IFERROR(IF(d_ss_Bv!Z9=0,".",((Ir*F*MLF_cereal*(1-EXP(-RadSpec!BC9*t_b)))/(P*RadSpec!BC9))),".")</f>
        <v>8.9366026905877582</v>
      </c>
      <c r="AY9" s="72">
        <f>IFERROR(IF(d_ss_Bv!C9=0,".",((Ir*F*I_f*T*(1-EXP(-RadSpec!BD9*t_v)))/(Y_v*RadSpec!BD9))),".")</f>
        <v>3.6424203206347228</v>
      </c>
      <c r="AZ9" s="72">
        <f>IFERROR(IF(d_ss_Bv!D9=0,".",((Ir*F*I_f*T*(1-EXP(-RadSpec!BD9*t_v)))/(Y_v*RadSpec!BD9))),".")</f>
        <v>3.6424203206347228</v>
      </c>
      <c r="BA9" s="72">
        <f>IFERROR(IF(d_ss_Bv!E9=0,".",((Ir*F*I_f*T*(1-EXP(-RadSpec!BD9*t_v)))/(Y_v*RadSpec!BD9))),".")</f>
        <v>3.6424203206347228</v>
      </c>
      <c r="BB9" s="72">
        <f>IFERROR(IF(d_ss_Bv!F9=0,".",((Ir*F*I_f*T*(1-EXP(-RadSpec!BD9*t_v)))/(Y_v*RadSpec!BD9))),".")</f>
        <v>3.6424203206347228</v>
      </c>
      <c r="BC9" s="72">
        <f>IFERROR(IF(d_ss_Bv!G9=0,".",((Ir*F*I_f*T*(1-EXP(-RadSpec!BD9*t_v)))/(Y_v*RadSpec!BD9))),".")</f>
        <v>3.6424203206347228</v>
      </c>
      <c r="BD9" s="72">
        <f>IFERROR(IF(d_ss_Bv!H9=0,".",((Ir*F*I_f*T*(1-EXP(-RadSpec!BD9*t_v)))/(Y_v*RadSpec!BD9))),".")</f>
        <v>3.6424203206347228</v>
      </c>
      <c r="BE9" s="72">
        <f>IFERROR(IF(d_ss_Bv!I9=0,".",((Ir*F*I_f*T*(1-EXP(-RadSpec!BD9*t_v)))/(Y_v*RadSpec!BD9))),".")</f>
        <v>3.6424203206347228</v>
      </c>
      <c r="BF9" s="72">
        <f>IFERROR(IF(d_ss_Bv!J9=0,".",((Ir*F*I_f*T*(1-EXP(-RadSpec!BD9*t_v)))/(Y_v*RadSpec!BD9))),".")</f>
        <v>3.6424203206347228</v>
      </c>
      <c r="BG9" s="72">
        <f>IFERROR(IF(d_ss_Bv!K9=0,".",((Ir*F*I_f*T*(1-EXP(-RadSpec!BD9*t_v)))/(Y_v*RadSpec!BD9))),".")</f>
        <v>3.6424203206347228</v>
      </c>
      <c r="BH9" s="72">
        <f>IFERROR(IF(d_ss_Bv!L9=0,".",((Ir*F*I_f*T*(1-EXP(-RadSpec!BD9*t_v)))/(Y_v*RadSpec!BD9))),".")</f>
        <v>3.6424203206347228</v>
      </c>
      <c r="BI9" s="72">
        <f>IFERROR(IF(d_ss_Bv!M9=0,".",((Ir*F*I_f*T*(1-EXP(-RadSpec!BD9*t_v)))/(Y_v*RadSpec!BD9))),".")</f>
        <v>3.6424203206347228</v>
      </c>
      <c r="BJ9" s="72">
        <f>IFERROR(IF(d_ss_Bv!N9=0,".",((Ir*F*I_f*T*(1-EXP(-RadSpec!BD9*t_v)))/(Y_v*RadSpec!BD9))),".")</f>
        <v>3.6424203206347228</v>
      </c>
      <c r="BK9" s="72">
        <f>IFERROR(IF(d_ss_Bv!O9=0,".",((Ir*F*I_f*T*(1-EXP(-RadSpec!BD9*t_v)))/(Y_v*RadSpec!BD9))),".")</f>
        <v>3.6424203206347228</v>
      </c>
      <c r="BL9" s="72">
        <f>IFERROR(IF(d_ss_Bv!P9=0,".",((Ir*F*I_f*T*(1-EXP(-RadSpec!BD9*t_v)))/(Y_v*RadSpec!BD9))),".")</f>
        <v>3.6424203206347228</v>
      </c>
      <c r="BM9" s="72">
        <f>IFERROR(IF(d_ss_Bv!Q9=0,".",((Ir*F*I_f*T*(1-EXP(-RadSpec!BD9*t_v)))/(Y_v*RadSpec!BD9))),".")</f>
        <v>3.6424203206347228</v>
      </c>
      <c r="BN9" s="72">
        <f>IFERROR(IF(d_ss_Bv!R9=0,".",((Ir*F*I_f*T*(1-EXP(-RadSpec!BD9*t_v)))/(Y_v*RadSpec!BD9))),".")</f>
        <v>3.6424203206347228</v>
      </c>
      <c r="BO9" s="72">
        <f>IFERROR(IF(d_ss_Bv!S9=0,".",((Ir*F*I_f*T*(1-EXP(-RadSpec!BD9*t_v)))/(Y_v*RadSpec!BD9))),".")</f>
        <v>3.6424203206347228</v>
      </c>
      <c r="BP9" s="72">
        <f>IFERROR(IF(d_ss_Bv!T9=0,".",((Ir*F*I_f*T*(1-EXP(-RadSpec!BD9*t_v)))/(Y_v*RadSpec!BD9))),".")</f>
        <v>3.6424203206347228</v>
      </c>
      <c r="BQ9" s="72">
        <f>IFERROR(IF(d_ss_Bv!U9=0,".",((Ir*F*I_f*T*(1-EXP(-RadSpec!BD9*t_v)))/(Y_v*RadSpec!BD9))),".")</f>
        <v>3.6424203206347228</v>
      </c>
      <c r="BR9" s="72">
        <f>IFERROR(IF(d_ss_Bv!V9=0,".",((Ir*F*I_f*T*(1-EXP(-RadSpec!BD9*t_v)))/(Y_v*RadSpec!BD9))),".")</f>
        <v>3.6424203206347228</v>
      </c>
      <c r="BS9" s="72">
        <f>IFERROR(IF(d_ss_Bv!W9=0,".",((Ir*F*I_f*T*(1-EXP(-RadSpec!BD9*t_v)))/(Y_v*RadSpec!BD9))),".")</f>
        <v>3.6424203206347228</v>
      </c>
      <c r="BT9" s="72">
        <f>IFERROR(IF(d_ss_Bv!X9=0,".",((Ir*F*I_f*T*(1-EXP(-RadSpec!BD9*t_v)))/(Y_v*RadSpec!BD9))),".")</f>
        <v>3.6424203206347228</v>
      </c>
      <c r="BU9" s="72">
        <f>IFERROR(IF(d_ss_Bv!Y9=0,".",((Ir*F*I_f*T*(1-EXP(-RadSpec!BD9*t_v)))/(Y_v*RadSpec!BD9))),".")</f>
        <v>3.6424203206347228</v>
      </c>
      <c r="BV9" s="72">
        <f>IFERROR(IF(d_ss_Bv!Z9=0,".",((Ir*F*I_f*T*(1-EXP(-RadSpec!BD9*t_v)))/(Y_v*RadSpec!BD9))),".")</f>
        <v>3.6424203206347228</v>
      </c>
    </row>
    <row r="10" spans="1:74" x14ac:dyDescent="0.25">
      <c r="A10" s="32" t="s">
        <v>8</v>
      </c>
      <c r="B10" s="3" t="s">
        <v>336</v>
      </c>
      <c r="C10" s="72">
        <f>IFERROR(IF(d_ss_Bv!C10=0,".",((Ir*F*d_ss_Bv!C10*(1-EXP(-RadSpec!BC10*t_b)))/(P*RadSpec!BC10))),".")</f>
        <v>0.20732918242163598</v>
      </c>
      <c r="D10" s="72">
        <f>IFERROR(IF(d_ss_Bv!D10=0,".",((Ir*F*d_ss_Bv!D10*(1-EXP(-RadSpec!BC10*t_b)))/(P*RadSpec!BC10))),".")</f>
        <v>2.144784645741062</v>
      </c>
      <c r="E10" s="72">
        <f>IFERROR(IF(d_ss_Bv!E10=0,".",((Ir*F*d_ss_Bv!E10*(1-EXP(-RadSpec!BC10*t_b)))/(P*RadSpec!BC10))),".")</f>
        <v>1.5013492520187435</v>
      </c>
      <c r="F10" s="72">
        <f>IFERROR(IF(d_ss_Bv!F10=0,".",((Ir*F*d_ss_Bv!F10*(1-EXP(-RadSpec!BC10*t_b)))/(P*RadSpec!BC10))),".")</f>
        <v>7.5067462600937149E-2</v>
      </c>
      <c r="G10" s="72">
        <f>IFERROR(IF(d_ss_Bv!G10=0,".",((Ir*F*d_ss_Bv!G10*(1-EXP(-RadSpec!BC10*t_b)))/(P*RadSpec!BC10))),".")</f>
        <v>0.75067462600937174</v>
      </c>
      <c r="H10" s="72">
        <f>IFERROR(IF(d_ss_Bv!H10=0,".",((Ir*F*d_ss_Bv!H10*(1-EXP(-RadSpec!BC10*t_b)))/(P*RadSpec!BC10))),".")</f>
        <v>2.144784645741062</v>
      </c>
      <c r="I10" s="72">
        <f>IFERROR(IF(d_ss_Bv!I10=0,".",((Ir*F*d_ss_Bv!I10*(1-EXP(-RadSpec!BC10*t_b)))/(P*RadSpec!BC10))),".")</f>
        <v>1.5013492520187435</v>
      </c>
      <c r="J10" s="72">
        <f>IFERROR(IF(d_ss_Bv!J10=0,".",((Ir*F*d_ss_Bv!J10*(1-EXP(-RadSpec!BC10*t_b)))/(P*RadSpec!BC10))),".")</f>
        <v>0.20732918242163598</v>
      </c>
      <c r="K10" s="72">
        <f>IFERROR(IF(d_ss_Bv!K10=0,".",((Ir*F*d_ss_Bv!K10*(1-EXP(-RadSpec!BC10*t_b)))/(P*RadSpec!BC10))),".")</f>
        <v>1.1796315551575842</v>
      </c>
      <c r="L10" s="72">
        <f>IFERROR(IF(d_ss_Bv!L10=0,".",((Ir*F*d_ss_Bv!L10*(1-EXP(-RadSpec!BC10*t_b)))/(P*RadSpec!BC10))),".")</f>
        <v>0.75067462600937174</v>
      </c>
      <c r="M10" s="72">
        <f>IFERROR(IF(d_ss_Bv!M10=0,".",((Ir*F*d_ss_Bv!M10*(1-EXP(-RadSpec!BC10*t_b)))/(P*RadSpec!BC10))),".")</f>
        <v>2.144784645741062</v>
      </c>
      <c r="N10" s="72">
        <f>IFERROR(IF(d_ss_Bv!N10=0,".",((Ir*F*d_ss_Bv!N10*(1-EXP(-RadSpec!BC10*t_b)))/(P*RadSpec!BC10))),".")</f>
        <v>1.4298564304940413</v>
      </c>
      <c r="O10" s="72">
        <f>IFERROR(IF(d_ss_Bv!O10=0,".",((Ir*F*d_ss_Bv!O10*(1-EXP(-RadSpec!BC10*t_b)))/(P*RadSpec!BC10))),".")</f>
        <v>0.75067462600937174</v>
      </c>
      <c r="P10" s="72">
        <f>IFERROR(IF(d_ss_Bv!P10=0,".",((Ir*F*d_ss_Bv!P10*(1-EXP(-RadSpec!BC10*t_b)))/(P*RadSpec!BC10))),".")</f>
        <v>0.75067462600937174</v>
      </c>
      <c r="Q10" s="72">
        <f>IFERROR(IF(d_ss_Bv!Q10=0,".",((Ir*F*d_ss_Bv!Q10*(1-EXP(-RadSpec!BC10*t_b)))/(P*RadSpec!BC10))),".")</f>
        <v>0.20732918242163598</v>
      </c>
      <c r="R10" s="72">
        <f>IFERROR(IF(d_ss_Bv!R10=0,".",((Ir*F*d_ss_Bv!R10*(1-EXP(-RadSpec!BC10*t_b)))/(P*RadSpec!BC10))),".")</f>
        <v>0.20732918242163598</v>
      </c>
      <c r="S10" s="72">
        <f>IFERROR(IF(d_ss_Bv!S10=0,".",((Ir*F*d_ss_Bv!S10*(1-EXP(-RadSpec!BC10*t_b)))/(P*RadSpec!BC10))),".")</f>
        <v>1.4298564304940413</v>
      </c>
      <c r="T10" s="72">
        <f>IFERROR(IF(d_ss_Bv!T10=0,".",((Ir*F*d_ss_Bv!T10*(1-EXP(-RadSpec!BC10*t_b)))/(P*RadSpec!BC10))),".")</f>
        <v>2.0017990026916577</v>
      </c>
      <c r="U10" s="72">
        <f>IFERROR(IF(d_ss_Bv!U10=0,".",((Ir*F*d_ss_Bv!U10*(1-EXP(-RadSpec!BC10*t_b)))/(P*RadSpec!BC10))),".")</f>
        <v>0.75067462600937174</v>
      </c>
      <c r="V10" s="72">
        <f>IFERROR(IF(d_ss_Bv!V10=0,".",((Ir*F*d_ss_Bv!V10*(1-EXP(-RadSpec!BC10*t_b)))/(P*RadSpec!BC10))),".")</f>
        <v>1.4298564304940413</v>
      </c>
      <c r="W10" s="72">
        <f>IFERROR(IF(d_ss_Bv!W10=0,".",((Ir*F*d_ss_Bv!W10*(1-EXP(-RadSpec!BC10*t_b)))/(P*RadSpec!BC10))),".")</f>
        <v>0.10366459121081799</v>
      </c>
      <c r="X10" s="72">
        <f>IFERROR(IF(d_ss_Bv!X10=0,".",((Ir*F*d_ss_Bv!X10*(1-EXP(-RadSpec!BC10*t_b)))/(P*RadSpec!BC10))),".")</f>
        <v>0.75067462600937174</v>
      </c>
      <c r="Y10" s="72">
        <f>IFERROR(IF(d_ss_Bv!Y10=0,".",((Ir*F*d_ss_Bv!Y10*(1-EXP(-RadSpec!BC10*t_b)))/(P*RadSpec!BC10))),".")</f>
        <v>2.6094879856516255E-2</v>
      </c>
      <c r="Z10" s="72">
        <f>IFERROR(IF(d_ss_Bv!Z10=0,".",((Ir*F*d_ss_Bv!Z10*(1-EXP(-RadSpec!BC10*t_b)))/(P*RadSpec!BC10))),".")</f>
        <v>1.0366459121081799</v>
      </c>
      <c r="AA10" s="72">
        <f>IFERROR(IF(d_ss_Bv!C10=0,".",((Ir*F*MLF_apple*(1-EXP(-RadSpec!BC10*t_b)))/(P*RadSpec!BC10))),".")</f>
        <v>5.7194257219761657E-3</v>
      </c>
      <c r="AB10" s="72">
        <f>IFERROR(IF(d_ss_Bv!D10=0,".",((Ir*F*MLF_asparagus*(1-EXP(-RadSpec!BC10*t_b)))/(P*RadSpec!BC10))),".")</f>
        <v>2.8239664502257315E-3</v>
      </c>
      <c r="AC10" s="72">
        <f>IFERROR(IF(d_ss_Bv!E10=0,".",((Ir*F*MLF_beet*(1-EXP(-RadSpec!BC10*t_b)))/(P*RadSpec!BC10))),".")</f>
        <v>4.9330046852044422E-3</v>
      </c>
      <c r="AD10" s="72">
        <f>IFERROR(IF(d_ss_Bv!F10=0,".",((Ir*F*MLF_berries*(1-EXP(-RadSpec!BC10*t_b)))/(P*RadSpec!BC10))),".")</f>
        <v>5.9339041865502712E-3</v>
      </c>
      <c r="AE10" s="72">
        <f>IFERROR(IF(d_ss_Bv!G10=0,".",((Ir*F*MLF_broccoli*(1-EXP(-RadSpec!BC10*t_b)))/(P*RadSpec!BC10))),".")</f>
        <v>3.6103874869974538E-2</v>
      </c>
      <c r="AF10" s="72">
        <f>IFERROR(IF(d_ss_Bv!H10=0,".",((Ir*F*MLF_cabbage*(1-EXP(-RadSpec!BC10*t_b)))/(P*RadSpec!BC10))),".")</f>
        <v>3.7533731300468582E-3</v>
      </c>
      <c r="AG10" s="72">
        <f>IFERROR(IF(d_ss_Bv!I10=0,".",((Ir*F*MLF_carrot*(1-EXP(-RadSpec!BC10*t_b)))/(P*RadSpec!BC10))),".")</f>
        <v>3.4674018439480501E-3</v>
      </c>
      <c r="AH10" s="72">
        <f>IFERROR(IF(d_ss_Bv!J10=0,".",((Ir*F*MLF_citrus*(1-EXP(-RadSpec!BC10*t_b)))/(P*RadSpec!BC10))),".")</f>
        <v>5.6121864896891112E-3</v>
      </c>
      <c r="AI10" s="72">
        <f>IFERROR(IF(d_ss_Bv!K10=0,".",((Ir*F*MLF_corn*(1-EXP(-RadSpec!BC10*t_b)))/(P*RadSpec!BC10))),".")</f>
        <v>5.1832295605408994E-3</v>
      </c>
      <c r="AJ10" s="72">
        <f>IFERROR(IF(d_ss_Bv!L10=0,".",((Ir*F*MLF_cucumber*(1-EXP(-RadSpec!BC10*t_b)))/(P*RadSpec!BC10))),".")</f>
        <v>1.4298564304940414E-3</v>
      </c>
      <c r="AK10" s="72">
        <f>IFERROR(IF(d_ss_Bv!M10=0,".",((Ir*F*MLF_lettuce*(1-EXP(-RadSpec!BC10*t_b)))/(P*RadSpec!BC10))),".")</f>
        <v>0.48257654529173893</v>
      </c>
      <c r="AL10" s="72">
        <f>IFERROR(IF(d_ss_Bv!N10=0,".",((Ir*F*MLF_lima_bean*(1-EXP(-RadSpec!BC10*t_b)))/(P*RadSpec!BC10))),".")</f>
        <v>0.13690875321980447</v>
      </c>
      <c r="AM10" s="72">
        <f>IFERROR(IF(d_ss_Bv!O10=0,".",((Ir*F*MLF_okra*(1-EXP(-RadSpec!BC10*t_b)))/(P*RadSpec!BC10))),".")</f>
        <v>2.8597128609880828E-3</v>
      </c>
      <c r="AN10" s="72">
        <f>IFERROR(IF(d_ss_Bv!P10=0,".",((Ir*F*MLF_onion*(1-EXP(-RadSpec!BC10*t_b)))/(P*RadSpec!BC10))),".")</f>
        <v>3.4674018439480501E-3</v>
      </c>
      <c r="AO10" s="72">
        <f>IFERROR(IF(d_ss_Bv!Q10=0,".",((Ir*F*MLF_peach*(1-EXP(-RadSpec!BC10*t_b)))/(P*RadSpec!BC10))),".")</f>
        <v>5.361961614352654E-3</v>
      </c>
      <c r="AP10" s="72" t="str">
        <f>IFERROR(IF(d_ss_Bv!OI10=0,".",((Ir*F*MLF_pear*(1-EXP(-RadSpec!BC10*t_b)))/(P*RadSpec!BC10))),".")</f>
        <v>.</v>
      </c>
      <c r="AQ10" s="72">
        <f>IFERROR(IF(d_ss_Bv!S10=0,".",((Ir*F*MLF_peas*(1-EXP(-RadSpec!BC10*t_b)))/(P*RadSpec!BC10))),".")</f>
        <v>6.3628611156984829E-3</v>
      </c>
      <c r="AR10" s="72">
        <f>IFERROR(IF(d_ss_Bv!T10=0,".",((Ir*F*MLF_potato*(1-EXP(-RadSpec!BC10*t_b)))/(P*RadSpec!BC10))),".")</f>
        <v>7.5067462600937164E-3</v>
      </c>
      <c r="AS10" s="72">
        <f>IFERROR(IF(d_ss_Bv!U10=0,".",((Ir*F*MLF_pumpkin*(1-EXP(-RadSpec!BC10*t_b)))/(P*RadSpec!BC10))),".")</f>
        <v>2.0732918242163598E-3</v>
      </c>
      <c r="AT10" s="72">
        <f>IFERROR(IF(d_ss_Bv!V10=0,".",((Ir*F*MLF_snap_bean*(1-EXP(-RadSpec!BC10*t_b)))/(P*RadSpec!BC10))),".")</f>
        <v>0.17873205381175516</v>
      </c>
      <c r="AU10" s="72">
        <f>IFERROR(IF(d_ss_Bv!W10=0,".",((Ir*F*MLF_strawberry*(1-EXP(-RadSpec!BC10*t_b)))/(P*RadSpec!BC10))),".")</f>
        <v>2.8597128609880828E-3</v>
      </c>
      <c r="AV10" s="72">
        <f>IFERROR(IF(d_ss_Bv!X10=0,".",((Ir*F*MLF_tomato*(1-EXP(-RadSpec!BC10*t_b)))/(P*RadSpec!BC10))),".")</f>
        <v>5.6836793112138136E-2</v>
      </c>
      <c r="AW10" s="72">
        <f>IFERROR(IF(d_ss_Bv!Y10=0,".",((Ir*F*MLF_rice*(1-EXP(-RadSpec!BC10*t_b)))/(P*RadSpec!BC10))),".")</f>
        <v>8.9366026905877582</v>
      </c>
      <c r="AX10" s="72">
        <f>IFERROR(IF(d_ss_Bv!Z10=0,".",((Ir*F*MLF_cereal*(1-EXP(-RadSpec!BC10*t_b)))/(P*RadSpec!BC10))),".")</f>
        <v>8.9366026905877582</v>
      </c>
      <c r="AY10" s="72">
        <f>IFERROR(IF(d_ss_Bv!C10=0,".",((Ir*F*I_f*T*(1-EXP(-RadSpec!BD10*t_v)))/(Y_v*RadSpec!BD10))),".")</f>
        <v>3.6424203206347228</v>
      </c>
      <c r="AZ10" s="72">
        <f>IFERROR(IF(d_ss_Bv!D10=0,".",((Ir*F*I_f*T*(1-EXP(-RadSpec!BD10*t_v)))/(Y_v*RadSpec!BD10))),".")</f>
        <v>3.6424203206347228</v>
      </c>
      <c r="BA10" s="72">
        <f>IFERROR(IF(d_ss_Bv!E10=0,".",((Ir*F*I_f*T*(1-EXP(-RadSpec!BD10*t_v)))/(Y_v*RadSpec!BD10))),".")</f>
        <v>3.6424203206347228</v>
      </c>
      <c r="BB10" s="72">
        <f>IFERROR(IF(d_ss_Bv!F10=0,".",((Ir*F*I_f*T*(1-EXP(-RadSpec!BD10*t_v)))/(Y_v*RadSpec!BD10))),".")</f>
        <v>3.6424203206347228</v>
      </c>
      <c r="BC10" s="72">
        <f>IFERROR(IF(d_ss_Bv!G10=0,".",((Ir*F*I_f*T*(1-EXP(-RadSpec!BD10*t_v)))/(Y_v*RadSpec!BD10))),".")</f>
        <v>3.6424203206347228</v>
      </c>
      <c r="BD10" s="72">
        <f>IFERROR(IF(d_ss_Bv!H10=0,".",((Ir*F*I_f*T*(1-EXP(-RadSpec!BD10*t_v)))/(Y_v*RadSpec!BD10))),".")</f>
        <v>3.6424203206347228</v>
      </c>
      <c r="BE10" s="72">
        <f>IFERROR(IF(d_ss_Bv!I10=0,".",((Ir*F*I_f*T*(1-EXP(-RadSpec!BD10*t_v)))/(Y_v*RadSpec!BD10))),".")</f>
        <v>3.6424203206347228</v>
      </c>
      <c r="BF10" s="72">
        <f>IFERROR(IF(d_ss_Bv!J10=0,".",((Ir*F*I_f*T*(1-EXP(-RadSpec!BD10*t_v)))/(Y_v*RadSpec!BD10))),".")</f>
        <v>3.6424203206347228</v>
      </c>
      <c r="BG10" s="72">
        <f>IFERROR(IF(d_ss_Bv!K10=0,".",((Ir*F*I_f*T*(1-EXP(-RadSpec!BD10*t_v)))/(Y_v*RadSpec!BD10))),".")</f>
        <v>3.6424203206347228</v>
      </c>
      <c r="BH10" s="72">
        <f>IFERROR(IF(d_ss_Bv!L10=0,".",((Ir*F*I_f*T*(1-EXP(-RadSpec!BD10*t_v)))/(Y_v*RadSpec!BD10))),".")</f>
        <v>3.6424203206347228</v>
      </c>
      <c r="BI10" s="72">
        <f>IFERROR(IF(d_ss_Bv!M10=0,".",((Ir*F*I_f*T*(1-EXP(-RadSpec!BD10*t_v)))/(Y_v*RadSpec!BD10))),".")</f>
        <v>3.6424203206347228</v>
      </c>
      <c r="BJ10" s="72">
        <f>IFERROR(IF(d_ss_Bv!N10=0,".",((Ir*F*I_f*T*(1-EXP(-RadSpec!BD10*t_v)))/(Y_v*RadSpec!BD10))),".")</f>
        <v>3.6424203206347228</v>
      </c>
      <c r="BK10" s="72">
        <f>IFERROR(IF(d_ss_Bv!O10=0,".",((Ir*F*I_f*T*(1-EXP(-RadSpec!BD10*t_v)))/(Y_v*RadSpec!BD10))),".")</f>
        <v>3.6424203206347228</v>
      </c>
      <c r="BL10" s="72">
        <f>IFERROR(IF(d_ss_Bv!P10=0,".",((Ir*F*I_f*T*(1-EXP(-RadSpec!BD10*t_v)))/(Y_v*RadSpec!BD10))),".")</f>
        <v>3.6424203206347228</v>
      </c>
      <c r="BM10" s="72">
        <f>IFERROR(IF(d_ss_Bv!Q10=0,".",((Ir*F*I_f*T*(1-EXP(-RadSpec!BD10*t_v)))/(Y_v*RadSpec!BD10))),".")</f>
        <v>3.6424203206347228</v>
      </c>
      <c r="BN10" s="72">
        <f>IFERROR(IF(d_ss_Bv!R10=0,".",((Ir*F*I_f*T*(1-EXP(-RadSpec!BD10*t_v)))/(Y_v*RadSpec!BD10))),".")</f>
        <v>3.6424203206347228</v>
      </c>
      <c r="BO10" s="72">
        <f>IFERROR(IF(d_ss_Bv!S10=0,".",((Ir*F*I_f*T*(1-EXP(-RadSpec!BD10*t_v)))/(Y_v*RadSpec!BD10))),".")</f>
        <v>3.6424203206347228</v>
      </c>
      <c r="BP10" s="72">
        <f>IFERROR(IF(d_ss_Bv!T10=0,".",((Ir*F*I_f*T*(1-EXP(-RadSpec!BD10*t_v)))/(Y_v*RadSpec!BD10))),".")</f>
        <v>3.6424203206347228</v>
      </c>
      <c r="BQ10" s="72">
        <f>IFERROR(IF(d_ss_Bv!U10=0,".",((Ir*F*I_f*T*(1-EXP(-RadSpec!BD10*t_v)))/(Y_v*RadSpec!BD10))),".")</f>
        <v>3.6424203206347228</v>
      </c>
      <c r="BR10" s="72">
        <f>IFERROR(IF(d_ss_Bv!V10=0,".",((Ir*F*I_f*T*(1-EXP(-RadSpec!BD10*t_v)))/(Y_v*RadSpec!BD10))),".")</f>
        <v>3.6424203206347228</v>
      </c>
      <c r="BS10" s="72">
        <f>IFERROR(IF(d_ss_Bv!W10=0,".",((Ir*F*I_f*T*(1-EXP(-RadSpec!BD10*t_v)))/(Y_v*RadSpec!BD10))),".")</f>
        <v>3.6424203206347228</v>
      </c>
      <c r="BT10" s="72">
        <f>IFERROR(IF(d_ss_Bv!X10=0,".",((Ir*F*I_f*T*(1-EXP(-RadSpec!BD10*t_v)))/(Y_v*RadSpec!BD10))),".")</f>
        <v>3.6424203206347228</v>
      </c>
      <c r="BU10" s="72">
        <f>IFERROR(IF(d_ss_Bv!Y10=0,".",((Ir*F*I_f*T*(1-EXP(-RadSpec!BD10*t_v)))/(Y_v*RadSpec!BD10))),".")</f>
        <v>3.6424203206347228</v>
      </c>
      <c r="BV10" s="72">
        <f>IFERROR(IF(d_ss_Bv!Z10=0,".",((Ir*F*I_f*T*(1-EXP(-RadSpec!BD10*t_v)))/(Y_v*RadSpec!BD10))),".")</f>
        <v>3.6424203206347228</v>
      </c>
    </row>
    <row r="11" spans="1:74" x14ac:dyDescent="0.25">
      <c r="A11" s="31" t="s">
        <v>9</v>
      </c>
      <c r="B11" s="3" t="s">
        <v>1059</v>
      </c>
      <c r="C11" s="72">
        <f>IFERROR(IF(d_ss_Bv!C11=0,".",((Ir*F*d_ss_Bv!C11*(1-EXP(-RadSpec!BC11*t_b)))/(P*RadSpec!BC11))),".")</f>
        <v>1.072392322870531</v>
      </c>
      <c r="D11" s="72">
        <f>IFERROR(IF(d_ss_Bv!D11=0,".",((Ir*F*d_ss_Bv!D11*(1-EXP(-RadSpec!BC11*t_b)))/(P*RadSpec!BC11))),".")</f>
        <v>1.072392322870531</v>
      </c>
      <c r="E11" s="72">
        <f>IFERROR(IF(d_ss_Bv!E11=0,".",((Ir*F*d_ss_Bv!E11*(1-EXP(-RadSpec!BC11*t_b)))/(P*RadSpec!BC11))),".")</f>
        <v>1.072392322870531</v>
      </c>
      <c r="F11" s="72">
        <f>IFERROR(IF(d_ss_Bv!F11=0,".",((Ir*F*d_ss_Bv!F11*(1-EXP(-RadSpec!BC11*t_b)))/(P*RadSpec!BC11))),".")</f>
        <v>1.072392322870531</v>
      </c>
      <c r="G11" s="72">
        <f>IFERROR(IF(d_ss_Bv!G11=0,".",((Ir*F*d_ss_Bv!G11*(1-EXP(-RadSpec!BC11*t_b)))/(P*RadSpec!BC11))),".")</f>
        <v>1.072392322870531</v>
      </c>
      <c r="H11" s="72">
        <f>IFERROR(IF(d_ss_Bv!H11=0,".",((Ir*F*d_ss_Bv!H11*(1-EXP(-RadSpec!BC11*t_b)))/(P*RadSpec!BC11))),".")</f>
        <v>1.072392322870531</v>
      </c>
      <c r="I11" s="72">
        <f>IFERROR(IF(d_ss_Bv!I11=0,".",((Ir*F*d_ss_Bv!I11*(1-EXP(-RadSpec!BC11*t_b)))/(P*RadSpec!BC11))),".")</f>
        <v>1.072392322870531</v>
      </c>
      <c r="J11" s="72">
        <f>IFERROR(IF(d_ss_Bv!J11=0,".",((Ir*F*d_ss_Bv!J11*(1-EXP(-RadSpec!BC11*t_b)))/(P*RadSpec!BC11))),".")</f>
        <v>1.072392322870531</v>
      </c>
      <c r="K11" s="72">
        <f>IFERROR(IF(d_ss_Bv!K11=0,".",((Ir*F*d_ss_Bv!K11*(1-EXP(-RadSpec!BC11*t_b)))/(P*RadSpec!BC11))),".")</f>
        <v>1.072392322870531</v>
      </c>
      <c r="L11" s="72">
        <f>IFERROR(IF(d_ss_Bv!L11=0,".",((Ir*F*d_ss_Bv!L11*(1-EXP(-RadSpec!BC11*t_b)))/(P*RadSpec!BC11))),".")</f>
        <v>1.072392322870531</v>
      </c>
      <c r="M11" s="72">
        <f>IFERROR(IF(d_ss_Bv!M11=0,".",((Ir*F*d_ss_Bv!M11*(1-EXP(-RadSpec!BC11*t_b)))/(P*RadSpec!BC11))),".")</f>
        <v>1.072392322870531</v>
      </c>
      <c r="N11" s="72">
        <f>IFERROR(IF(d_ss_Bv!N11=0,".",((Ir*F*d_ss_Bv!N11*(1-EXP(-RadSpec!BC11*t_b)))/(P*RadSpec!BC11))),".")</f>
        <v>1.072392322870531</v>
      </c>
      <c r="O11" s="72">
        <f>IFERROR(IF(d_ss_Bv!O11=0,".",((Ir*F*d_ss_Bv!O11*(1-EXP(-RadSpec!BC11*t_b)))/(P*RadSpec!BC11))),".")</f>
        <v>1.072392322870531</v>
      </c>
      <c r="P11" s="72">
        <f>IFERROR(IF(d_ss_Bv!P11=0,".",((Ir*F*d_ss_Bv!P11*(1-EXP(-RadSpec!BC11*t_b)))/(P*RadSpec!BC11))),".")</f>
        <v>1.072392322870531</v>
      </c>
      <c r="Q11" s="72">
        <f>IFERROR(IF(d_ss_Bv!Q11=0,".",((Ir*F*d_ss_Bv!Q11*(1-EXP(-RadSpec!BC11*t_b)))/(P*RadSpec!BC11))),".")</f>
        <v>1.072392322870531</v>
      </c>
      <c r="R11" s="72">
        <f>IFERROR(IF(d_ss_Bv!R11=0,".",((Ir*F*d_ss_Bv!R11*(1-EXP(-RadSpec!BC11*t_b)))/(P*RadSpec!BC11))),".")</f>
        <v>1.072392322870531</v>
      </c>
      <c r="S11" s="72">
        <f>IFERROR(IF(d_ss_Bv!S11=0,".",((Ir*F*d_ss_Bv!S11*(1-EXP(-RadSpec!BC11*t_b)))/(P*RadSpec!BC11))),".")</f>
        <v>1.072392322870531</v>
      </c>
      <c r="T11" s="72">
        <f>IFERROR(IF(d_ss_Bv!T11=0,".",((Ir*F*d_ss_Bv!T11*(1-EXP(-RadSpec!BC11*t_b)))/(P*RadSpec!BC11))),".")</f>
        <v>1.072392322870531</v>
      </c>
      <c r="U11" s="72">
        <f>IFERROR(IF(d_ss_Bv!U11=0,".",((Ir*F*d_ss_Bv!U11*(1-EXP(-RadSpec!BC11*t_b)))/(P*RadSpec!BC11))),".")</f>
        <v>1.072392322870531</v>
      </c>
      <c r="V11" s="72">
        <f>IFERROR(IF(d_ss_Bv!V11=0,".",((Ir*F*d_ss_Bv!V11*(1-EXP(-RadSpec!BC11*t_b)))/(P*RadSpec!BC11))),".")</f>
        <v>1.072392322870531</v>
      </c>
      <c r="W11" s="72">
        <f>IFERROR(IF(d_ss_Bv!W11=0,".",((Ir*F*d_ss_Bv!W11*(1-EXP(-RadSpec!BC11*t_b)))/(P*RadSpec!BC11))),".")</f>
        <v>1.072392322870531</v>
      </c>
      <c r="X11" s="72">
        <f>IFERROR(IF(d_ss_Bv!X11=0,".",((Ir*F*d_ss_Bv!X11*(1-EXP(-RadSpec!BC11*t_b)))/(P*RadSpec!BC11))),".")</f>
        <v>1.072392322870531</v>
      </c>
      <c r="Y11" s="72">
        <f>IFERROR(IF(d_ss_Bv!Y11=0,".",((Ir*F*d_ss_Bv!Y11*(1-EXP(-RadSpec!BC11*t_b)))/(P*RadSpec!BC11))),".")</f>
        <v>1.072392322870531</v>
      </c>
      <c r="Z11" s="72">
        <f>IFERROR(IF(d_ss_Bv!Z11=0,".",((Ir*F*d_ss_Bv!Z11*(1-EXP(-RadSpec!BC11*t_b)))/(P*RadSpec!BC11))),".")</f>
        <v>1.072392322870531</v>
      </c>
      <c r="AA11" s="72">
        <f>IFERROR(IF(d_ss_Bv!C11=0,".",((Ir*F*MLF_apple*(1-EXP(-RadSpec!BC11*t_b)))/(P*RadSpec!BC11))),".")</f>
        <v>5.7194257219761657E-3</v>
      </c>
      <c r="AB11" s="72">
        <f>IFERROR(IF(d_ss_Bv!D11=0,".",((Ir*F*MLF_asparagus*(1-EXP(-RadSpec!BC11*t_b)))/(P*RadSpec!BC11))),".")</f>
        <v>2.8239664502257315E-3</v>
      </c>
      <c r="AC11" s="72">
        <f>IFERROR(IF(d_ss_Bv!E11=0,".",((Ir*F*MLF_beet*(1-EXP(-RadSpec!BC11*t_b)))/(P*RadSpec!BC11))),".")</f>
        <v>4.9330046852044422E-3</v>
      </c>
      <c r="AD11" s="72">
        <f>IFERROR(IF(d_ss_Bv!F11=0,".",((Ir*F*MLF_berries*(1-EXP(-RadSpec!BC11*t_b)))/(P*RadSpec!BC11))),".")</f>
        <v>5.9339041865502712E-3</v>
      </c>
      <c r="AE11" s="72">
        <f>IFERROR(IF(d_ss_Bv!G11=0,".",((Ir*F*MLF_broccoli*(1-EXP(-RadSpec!BC11*t_b)))/(P*RadSpec!BC11))),".")</f>
        <v>3.6103874869974538E-2</v>
      </c>
      <c r="AF11" s="72">
        <f>IFERROR(IF(d_ss_Bv!H11=0,".",((Ir*F*MLF_cabbage*(1-EXP(-RadSpec!BC11*t_b)))/(P*RadSpec!BC11))),".")</f>
        <v>3.7533731300468582E-3</v>
      </c>
      <c r="AG11" s="72">
        <f>IFERROR(IF(d_ss_Bv!I11=0,".",((Ir*F*MLF_carrot*(1-EXP(-RadSpec!BC11*t_b)))/(P*RadSpec!BC11))),".")</f>
        <v>3.4674018439480501E-3</v>
      </c>
      <c r="AH11" s="72">
        <f>IFERROR(IF(d_ss_Bv!J11=0,".",((Ir*F*MLF_citrus*(1-EXP(-RadSpec!BC11*t_b)))/(P*RadSpec!BC11))),".")</f>
        <v>5.6121864896891112E-3</v>
      </c>
      <c r="AI11" s="72">
        <f>IFERROR(IF(d_ss_Bv!K11=0,".",((Ir*F*MLF_corn*(1-EXP(-RadSpec!BC11*t_b)))/(P*RadSpec!BC11))),".")</f>
        <v>5.1832295605408994E-3</v>
      </c>
      <c r="AJ11" s="72">
        <f>IFERROR(IF(d_ss_Bv!L11=0,".",((Ir*F*MLF_cucumber*(1-EXP(-RadSpec!BC11*t_b)))/(P*RadSpec!BC11))),".")</f>
        <v>1.4298564304940414E-3</v>
      </c>
      <c r="AK11" s="72">
        <f>IFERROR(IF(d_ss_Bv!M11=0,".",((Ir*F*MLF_lettuce*(1-EXP(-RadSpec!BC11*t_b)))/(P*RadSpec!BC11))),".")</f>
        <v>0.48257654529173893</v>
      </c>
      <c r="AL11" s="72">
        <f>IFERROR(IF(d_ss_Bv!N11=0,".",((Ir*F*MLF_lima_bean*(1-EXP(-RadSpec!BC11*t_b)))/(P*RadSpec!BC11))),".")</f>
        <v>0.13690875321980447</v>
      </c>
      <c r="AM11" s="72">
        <f>IFERROR(IF(d_ss_Bv!O11=0,".",((Ir*F*MLF_okra*(1-EXP(-RadSpec!BC11*t_b)))/(P*RadSpec!BC11))),".")</f>
        <v>2.8597128609880828E-3</v>
      </c>
      <c r="AN11" s="72">
        <f>IFERROR(IF(d_ss_Bv!P11=0,".",((Ir*F*MLF_onion*(1-EXP(-RadSpec!BC11*t_b)))/(P*RadSpec!BC11))),".")</f>
        <v>3.4674018439480501E-3</v>
      </c>
      <c r="AO11" s="72">
        <f>IFERROR(IF(d_ss_Bv!Q11=0,".",((Ir*F*MLF_peach*(1-EXP(-RadSpec!BC11*t_b)))/(P*RadSpec!BC11))),".")</f>
        <v>5.361961614352654E-3</v>
      </c>
      <c r="AP11" s="72" t="str">
        <f>IFERROR(IF(d_ss_Bv!OI11=0,".",((Ir*F*MLF_pear*(1-EXP(-RadSpec!BC11*t_b)))/(P*RadSpec!BC11))),".")</f>
        <v>.</v>
      </c>
      <c r="AQ11" s="72">
        <f>IFERROR(IF(d_ss_Bv!S11=0,".",((Ir*F*MLF_peas*(1-EXP(-RadSpec!BC11*t_b)))/(P*RadSpec!BC11))),".")</f>
        <v>6.3628611156984829E-3</v>
      </c>
      <c r="AR11" s="72">
        <f>IFERROR(IF(d_ss_Bv!T11=0,".",((Ir*F*MLF_potato*(1-EXP(-RadSpec!BC11*t_b)))/(P*RadSpec!BC11))),".")</f>
        <v>7.5067462600937164E-3</v>
      </c>
      <c r="AS11" s="72">
        <f>IFERROR(IF(d_ss_Bv!U11=0,".",((Ir*F*MLF_pumpkin*(1-EXP(-RadSpec!BC11*t_b)))/(P*RadSpec!BC11))),".")</f>
        <v>2.0732918242163598E-3</v>
      </c>
      <c r="AT11" s="72">
        <f>IFERROR(IF(d_ss_Bv!V11=0,".",((Ir*F*MLF_snap_bean*(1-EXP(-RadSpec!BC11*t_b)))/(P*RadSpec!BC11))),".")</f>
        <v>0.17873205381175516</v>
      </c>
      <c r="AU11" s="72">
        <f>IFERROR(IF(d_ss_Bv!W11=0,".",((Ir*F*MLF_strawberry*(1-EXP(-RadSpec!BC11*t_b)))/(P*RadSpec!BC11))),".")</f>
        <v>2.8597128609880828E-3</v>
      </c>
      <c r="AV11" s="72">
        <f>IFERROR(IF(d_ss_Bv!X11=0,".",((Ir*F*MLF_tomato*(1-EXP(-RadSpec!BC11*t_b)))/(P*RadSpec!BC11))),".")</f>
        <v>5.6836793112138136E-2</v>
      </c>
      <c r="AW11" s="72">
        <f>IFERROR(IF(d_ss_Bv!Y11=0,".",((Ir*F*MLF_rice*(1-EXP(-RadSpec!BC11*t_b)))/(P*RadSpec!BC11))),".")</f>
        <v>8.9366026905877582</v>
      </c>
      <c r="AX11" s="72">
        <f>IFERROR(IF(d_ss_Bv!Z11=0,".",((Ir*F*MLF_cereal*(1-EXP(-RadSpec!BC11*t_b)))/(P*RadSpec!BC11))),".")</f>
        <v>8.9366026905877582</v>
      </c>
      <c r="AY11" s="72">
        <f>IFERROR(IF(d_ss_Bv!C11=0,".",((Ir*F*I_f*T*(1-EXP(-RadSpec!BD11*t_v)))/(Y_v*RadSpec!BD11))),".")</f>
        <v>3.6424203206347228</v>
      </c>
      <c r="AZ11" s="72">
        <f>IFERROR(IF(d_ss_Bv!D11=0,".",((Ir*F*I_f*T*(1-EXP(-RadSpec!BD11*t_v)))/(Y_v*RadSpec!BD11))),".")</f>
        <v>3.6424203206347228</v>
      </c>
      <c r="BA11" s="72">
        <f>IFERROR(IF(d_ss_Bv!E11=0,".",((Ir*F*I_f*T*(1-EXP(-RadSpec!BD11*t_v)))/(Y_v*RadSpec!BD11))),".")</f>
        <v>3.6424203206347228</v>
      </c>
      <c r="BB11" s="72">
        <f>IFERROR(IF(d_ss_Bv!F11=0,".",((Ir*F*I_f*T*(1-EXP(-RadSpec!BD11*t_v)))/(Y_v*RadSpec!BD11))),".")</f>
        <v>3.6424203206347228</v>
      </c>
      <c r="BC11" s="72">
        <f>IFERROR(IF(d_ss_Bv!G11=0,".",((Ir*F*I_f*T*(1-EXP(-RadSpec!BD11*t_v)))/(Y_v*RadSpec!BD11))),".")</f>
        <v>3.6424203206347228</v>
      </c>
      <c r="BD11" s="72">
        <f>IFERROR(IF(d_ss_Bv!H11=0,".",((Ir*F*I_f*T*(1-EXP(-RadSpec!BD11*t_v)))/(Y_v*RadSpec!BD11))),".")</f>
        <v>3.6424203206347228</v>
      </c>
      <c r="BE11" s="72">
        <f>IFERROR(IF(d_ss_Bv!I11=0,".",((Ir*F*I_f*T*(1-EXP(-RadSpec!BD11*t_v)))/(Y_v*RadSpec!BD11))),".")</f>
        <v>3.6424203206347228</v>
      </c>
      <c r="BF11" s="72">
        <f>IFERROR(IF(d_ss_Bv!J11=0,".",((Ir*F*I_f*T*(1-EXP(-RadSpec!BD11*t_v)))/(Y_v*RadSpec!BD11))),".")</f>
        <v>3.6424203206347228</v>
      </c>
      <c r="BG11" s="72">
        <f>IFERROR(IF(d_ss_Bv!K11=0,".",((Ir*F*I_f*T*(1-EXP(-RadSpec!BD11*t_v)))/(Y_v*RadSpec!BD11))),".")</f>
        <v>3.6424203206347228</v>
      </c>
      <c r="BH11" s="72">
        <f>IFERROR(IF(d_ss_Bv!L11=0,".",((Ir*F*I_f*T*(1-EXP(-RadSpec!BD11*t_v)))/(Y_v*RadSpec!BD11))),".")</f>
        <v>3.6424203206347228</v>
      </c>
      <c r="BI11" s="72">
        <f>IFERROR(IF(d_ss_Bv!M11=0,".",((Ir*F*I_f*T*(1-EXP(-RadSpec!BD11*t_v)))/(Y_v*RadSpec!BD11))),".")</f>
        <v>3.6424203206347228</v>
      </c>
      <c r="BJ11" s="72">
        <f>IFERROR(IF(d_ss_Bv!N11=0,".",((Ir*F*I_f*T*(1-EXP(-RadSpec!BD11*t_v)))/(Y_v*RadSpec!BD11))),".")</f>
        <v>3.6424203206347228</v>
      </c>
      <c r="BK11" s="72">
        <f>IFERROR(IF(d_ss_Bv!O11=0,".",((Ir*F*I_f*T*(1-EXP(-RadSpec!BD11*t_v)))/(Y_v*RadSpec!BD11))),".")</f>
        <v>3.6424203206347228</v>
      </c>
      <c r="BL11" s="72">
        <f>IFERROR(IF(d_ss_Bv!P11=0,".",((Ir*F*I_f*T*(1-EXP(-RadSpec!BD11*t_v)))/(Y_v*RadSpec!BD11))),".")</f>
        <v>3.6424203206347228</v>
      </c>
      <c r="BM11" s="72">
        <f>IFERROR(IF(d_ss_Bv!Q11=0,".",((Ir*F*I_f*T*(1-EXP(-RadSpec!BD11*t_v)))/(Y_v*RadSpec!BD11))),".")</f>
        <v>3.6424203206347228</v>
      </c>
      <c r="BN11" s="72">
        <f>IFERROR(IF(d_ss_Bv!R11=0,".",((Ir*F*I_f*T*(1-EXP(-RadSpec!BD11*t_v)))/(Y_v*RadSpec!BD11))),".")</f>
        <v>3.6424203206347228</v>
      </c>
      <c r="BO11" s="72">
        <f>IFERROR(IF(d_ss_Bv!S11=0,".",((Ir*F*I_f*T*(1-EXP(-RadSpec!BD11*t_v)))/(Y_v*RadSpec!BD11))),".")</f>
        <v>3.6424203206347228</v>
      </c>
      <c r="BP11" s="72">
        <f>IFERROR(IF(d_ss_Bv!T11=0,".",((Ir*F*I_f*T*(1-EXP(-RadSpec!BD11*t_v)))/(Y_v*RadSpec!BD11))),".")</f>
        <v>3.6424203206347228</v>
      </c>
      <c r="BQ11" s="72">
        <f>IFERROR(IF(d_ss_Bv!U11=0,".",((Ir*F*I_f*T*(1-EXP(-RadSpec!BD11*t_v)))/(Y_v*RadSpec!BD11))),".")</f>
        <v>3.6424203206347228</v>
      </c>
      <c r="BR11" s="72">
        <f>IFERROR(IF(d_ss_Bv!V11=0,".",((Ir*F*I_f*T*(1-EXP(-RadSpec!BD11*t_v)))/(Y_v*RadSpec!BD11))),".")</f>
        <v>3.6424203206347228</v>
      </c>
      <c r="BS11" s="72">
        <f>IFERROR(IF(d_ss_Bv!W11=0,".",((Ir*F*I_f*T*(1-EXP(-RadSpec!BD11*t_v)))/(Y_v*RadSpec!BD11))),".")</f>
        <v>3.6424203206347228</v>
      </c>
      <c r="BT11" s="72">
        <f>IFERROR(IF(d_ss_Bv!X11=0,".",((Ir*F*I_f*T*(1-EXP(-RadSpec!BD11*t_v)))/(Y_v*RadSpec!BD11))),".")</f>
        <v>3.6424203206347228</v>
      </c>
      <c r="BU11" s="72">
        <f>IFERROR(IF(d_ss_Bv!Y11=0,".",((Ir*F*I_f*T*(1-EXP(-RadSpec!BD11*t_v)))/(Y_v*RadSpec!BD11))),".")</f>
        <v>3.6424203206347228</v>
      </c>
      <c r="BV11" s="72">
        <f>IFERROR(IF(d_ss_Bv!Z11=0,".",((Ir*F*I_f*T*(1-EXP(-RadSpec!BD11*t_v)))/(Y_v*RadSpec!BD11))),".")</f>
        <v>3.6424203206347228</v>
      </c>
    </row>
    <row r="12" spans="1:74" x14ac:dyDescent="0.25">
      <c r="A12" s="31" t="s">
        <v>10</v>
      </c>
      <c r="B12" s="3" t="s">
        <v>1059</v>
      </c>
      <c r="C12" s="72">
        <f>IFERROR(IF(d_ss_Bv!C12=0,".",((Ir*F*d_ss_Bv!C12*(1-EXP(-RadSpec!BC12*t_b)))/(P*RadSpec!BC12))),".")</f>
        <v>10.72392322870531</v>
      </c>
      <c r="D12" s="72">
        <f>IFERROR(IF(d_ss_Bv!D12=0,".",((Ir*F*d_ss_Bv!D12*(1-EXP(-RadSpec!BC12*t_b)))/(P*RadSpec!BC12))),".")</f>
        <v>10.72392322870531</v>
      </c>
      <c r="E12" s="72">
        <f>IFERROR(IF(d_ss_Bv!E12=0,".",((Ir*F*d_ss_Bv!E12*(1-EXP(-RadSpec!BC12*t_b)))/(P*RadSpec!BC12))),".")</f>
        <v>10.72392322870531</v>
      </c>
      <c r="F12" s="72">
        <f>IFERROR(IF(d_ss_Bv!F12=0,".",((Ir*F*d_ss_Bv!F12*(1-EXP(-RadSpec!BC12*t_b)))/(P*RadSpec!BC12))),".")</f>
        <v>10.72392322870531</v>
      </c>
      <c r="G12" s="72">
        <f>IFERROR(IF(d_ss_Bv!G12=0,".",((Ir*F*d_ss_Bv!G12*(1-EXP(-RadSpec!BC12*t_b)))/(P*RadSpec!BC12))),".")</f>
        <v>10.72392322870531</v>
      </c>
      <c r="H12" s="72">
        <f>IFERROR(IF(d_ss_Bv!H12=0,".",((Ir*F*d_ss_Bv!H12*(1-EXP(-RadSpec!BC12*t_b)))/(P*RadSpec!BC12))),".")</f>
        <v>10.72392322870531</v>
      </c>
      <c r="I12" s="72">
        <f>IFERROR(IF(d_ss_Bv!I12=0,".",((Ir*F*d_ss_Bv!I12*(1-EXP(-RadSpec!BC12*t_b)))/(P*RadSpec!BC12))),".")</f>
        <v>10.72392322870531</v>
      </c>
      <c r="J12" s="72">
        <f>IFERROR(IF(d_ss_Bv!J12=0,".",((Ir*F*d_ss_Bv!J12*(1-EXP(-RadSpec!BC12*t_b)))/(P*RadSpec!BC12))),".")</f>
        <v>10.72392322870531</v>
      </c>
      <c r="K12" s="72">
        <f>IFERROR(IF(d_ss_Bv!K12=0,".",((Ir*F*d_ss_Bv!K12*(1-EXP(-RadSpec!BC12*t_b)))/(P*RadSpec!BC12))),".")</f>
        <v>10.72392322870531</v>
      </c>
      <c r="L12" s="72">
        <f>IFERROR(IF(d_ss_Bv!L12=0,".",((Ir*F*d_ss_Bv!L12*(1-EXP(-RadSpec!BC12*t_b)))/(P*RadSpec!BC12))),".")</f>
        <v>10.72392322870531</v>
      </c>
      <c r="M12" s="72">
        <f>IFERROR(IF(d_ss_Bv!M12=0,".",((Ir*F*d_ss_Bv!M12*(1-EXP(-RadSpec!BC12*t_b)))/(P*RadSpec!BC12))),".")</f>
        <v>10.72392322870531</v>
      </c>
      <c r="N12" s="72">
        <f>IFERROR(IF(d_ss_Bv!N12=0,".",((Ir*F*d_ss_Bv!N12*(1-EXP(-RadSpec!BC12*t_b)))/(P*RadSpec!BC12))),".")</f>
        <v>10.72392322870531</v>
      </c>
      <c r="O12" s="72">
        <f>IFERROR(IF(d_ss_Bv!O12=0,".",((Ir*F*d_ss_Bv!O12*(1-EXP(-RadSpec!BC12*t_b)))/(P*RadSpec!BC12))),".")</f>
        <v>10.72392322870531</v>
      </c>
      <c r="P12" s="72">
        <f>IFERROR(IF(d_ss_Bv!P12=0,".",((Ir*F*d_ss_Bv!P12*(1-EXP(-RadSpec!BC12*t_b)))/(P*RadSpec!BC12))),".")</f>
        <v>10.72392322870531</v>
      </c>
      <c r="Q12" s="72">
        <f>IFERROR(IF(d_ss_Bv!Q12=0,".",((Ir*F*d_ss_Bv!Q12*(1-EXP(-RadSpec!BC12*t_b)))/(P*RadSpec!BC12))),".")</f>
        <v>10.72392322870531</v>
      </c>
      <c r="R12" s="72">
        <f>IFERROR(IF(d_ss_Bv!R12=0,".",((Ir*F*d_ss_Bv!R12*(1-EXP(-RadSpec!BC12*t_b)))/(P*RadSpec!BC12))),".")</f>
        <v>10.72392322870531</v>
      </c>
      <c r="S12" s="72">
        <f>IFERROR(IF(d_ss_Bv!S12=0,".",((Ir*F*d_ss_Bv!S12*(1-EXP(-RadSpec!BC12*t_b)))/(P*RadSpec!BC12))),".")</f>
        <v>10.72392322870531</v>
      </c>
      <c r="T12" s="72">
        <f>IFERROR(IF(d_ss_Bv!T12=0,".",((Ir*F*d_ss_Bv!T12*(1-EXP(-RadSpec!BC12*t_b)))/(P*RadSpec!BC12))),".")</f>
        <v>10.72392322870531</v>
      </c>
      <c r="U12" s="72">
        <f>IFERROR(IF(d_ss_Bv!U12=0,".",((Ir*F*d_ss_Bv!U12*(1-EXP(-RadSpec!BC12*t_b)))/(P*RadSpec!BC12))),".")</f>
        <v>10.72392322870531</v>
      </c>
      <c r="V12" s="72">
        <f>IFERROR(IF(d_ss_Bv!V12=0,".",((Ir*F*d_ss_Bv!V12*(1-EXP(-RadSpec!BC12*t_b)))/(P*RadSpec!BC12))),".")</f>
        <v>10.72392322870531</v>
      </c>
      <c r="W12" s="72">
        <f>IFERROR(IF(d_ss_Bv!W12=0,".",((Ir*F*d_ss_Bv!W12*(1-EXP(-RadSpec!BC12*t_b)))/(P*RadSpec!BC12))),".")</f>
        <v>10.72392322870531</v>
      </c>
      <c r="X12" s="72">
        <f>IFERROR(IF(d_ss_Bv!X12=0,".",((Ir*F*d_ss_Bv!X12*(1-EXP(-RadSpec!BC12*t_b)))/(P*RadSpec!BC12))),".")</f>
        <v>10.72392322870531</v>
      </c>
      <c r="Y12" s="72">
        <f>IFERROR(IF(d_ss_Bv!Y12=0,".",((Ir*F*d_ss_Bv!Y12*(1-EXP(-RadSpec!BC12*t_b)))/(P*RadSpec!BC12))),".")</f>
        <v>10.72392322870531</v>
      </c>
      <c r="Z12" s="72">
        <f>IFERROR(IF(d_ss_Bv!Z12=0,".",((Ir*F*d_ss_Bv!Z12*(1-EXP(-RadSpec!BC12*t_b)))/(P*RadSpec!BC12))),".")</f>
        <v>10.72392322870531</v>
      </c>
      <c r="AA12" s="72">
        <f>IFERROR(IF(d_ss_Bv!C12=0,".",((Ir*F*MLF_apple*(1-EXP(-RadSpec!BC12*t_b)))/(P*RadSpec!BC12))),".")</f>
        <v>5.7194257219761657E-3</v>
      </c>
      <c r="AB12" s="72">
        <f>IFERROR(IF(d_ss_Bv!D12=0,".",((Ir*F*MLF_asparagus*(1-EXP(-RadSpec!BC12*t_b)))/(P*RadSpec!BC12))),".")</f>
        <v>2.8239664502257315E-3</v>
      </c>
      <c r="AC12" s="72">
        <f>IFERROR(IF(d_ss_Bv!E12=0,".",((Ir*F*MLF_beet*(1-EXP(-RadSpec!BC12*t_b)))/(P*RadSpec!BC12))),".")</f>
        <v>4.9330046852044422E-3</v>
      </c>
      <c r="AD12" s="72">
        <f>IFERROR(IF(d_ss_Bv!F12=0,".",((Ir*F*MLF_berries*(1-EXP(-RadSpec!BC12*t_b)))/(P*RadSpec!BC12))),".")</f>
        <v>5.9339041865502712E-3</v>
      </c>
      <c r="AE12" s="72">
        <f>IFERROR(IF(d_ss_Bv!G12=0,".",((Ir*F*MLF_broccoli*(1-EXP(-RadSpec!BC12*t_b)))/(P*RadSpec!BC12))),".")</f>
        <v>3.6103874869974538E-2</v>
      </c>
      <c r="AF12" s="72">
        <f>IFERROR(IF(d_ss_Bv!H12=0,".",((Ir*F*MLF_cabbage*(1-EXP(-RadSpec!BC12*t_b)))/(P*RadSpec!BC12))),".")</f>
        <v>3.7533731300468582E-3</v>
      </c>
      <c r="AG12" s="72">
        <f>IFERROR(IF(d_ss_Bv!I12=0,".",((Ir*F*MLF_carrot*(1-EXP(-RadSpec!BC12*t_b)))/(P*RadSpec!BC12))),".")</f>
        <v>3.4674018439480501E-3</v>
      </c>
      <c r="AH12" s="72">
        <f>IFERROR(IF(d_ss_Bv!J12=0,".",((Ir*F*MLF_citrus*(1-EXP(-RadSpec!BC12*t_b)))/(P*RadSpec!BC12))),".")</f>
        <v>5.6121864896891112E-3</v>
      </c>
      <c r="AI12" s="72">
        <f>IFERROR(IF(d_ss_Bv!K12=0,".",((Ir*F*MLF_corn*(1-EXP(-RadSpec!BC12*t_b)))/(P*RadSpec!BC12))),".")</f>
        <v>5.1832295605408994E-3</v>
      </c>
      <c r="AJ12" s="72">
        <f>IFERROR(IF(d_ss_Bv!L12=0,".",((Ir*F*MLF_cucumber*(1-EXP(-RadSpec!BC12*t_b)))/(P*RadSpec!BC12))),".")</f>
        <v>1.4298564304940414E-3</v>
      </c>
      <c r="AK12" s="72">
        <f>IFERROR(IF(d_ss_Bv!M12=0,".",((Ir*F*MLF_lettuce*(1-EXP(-RadSpec!BC12*t_b)))/(P*RadSpec!BC12))),".")</f>
        <v>0.48257654529173893</v>
      </c>
      <c r="AL12" s="72">
        <f>IFERROR(IF(d_ss_Bv!N12=0,".",((Ir*F*MLF_lima_bean*(1-EXP(-RadSpec!BC12*t_b)))/(P*RadSpec!BC12))),".")</f>
        <v>0.13690875321980447</v>
      </c>
      <c r="AM12" s="72">
        <f>IFERROR(IF(d_ss_Bv!O12=0,".",((Ir*F*MLF_okra*(1-EXP(-RadSpec!BC12*t_b)))/(P*RadSpec!BC12))),".")</f>
        <v>2.8597128609880828E-3</v>
      </c>
      <c r="AN12" s="72">
        <f>IFERROR(IF(d_ss_Bv!P12=0,".",((Ir*F*MLF_onion*(1-EXP(-RadSpec!BC12*t_b)))/(P*RadSpec!BC12))),".")</f>
        <v>3.4674018439480501E-3</v>
      </c>
      <c r="AO12" s="72">
        <f>IFERROR(IF(d_ss_Bv!Q12=0,".",((Ir*F*MLF_peach*(1-EXP(-RadSpec!BC12*t_b)))/(P*RadSpec!BC12))),".")</f>
        <v>5.361961614352654E-3</v>
      </c>
      <c r="AP12" s="72" t="str">
        <f>IFERROR(IF(d_ss_Bv!OI12=0,".",((Ir*F*MLF_pear*(1-EXP(-RadSpec!BC12*t_b)))/(P*RadSpec!BC12))),".")</f>
        <v>.</v>
      </c>
      <c r="AQ12" s="72">
        <f>IFERROR(IF(d_ss_Bv!S12=0,".",((Ir*F*MLF_peas*(1-EXP(-RadSpec!BC12*t_b)))/(P*RadSpec!BC12))),".")</f>
        <v>6.3628611156984829E-3</v>
      </c>
      <c r="AR12" s="72">
        <f>IFERROR(IF(d_ss_Bv!T12=0,".",((Ir*F*MLF_potato*(1-EXP(-RadSpec!BC12*t_b)))/(P*RadSpec!BC12))),".")</f>
        <v>7.5067462600937164E-3</v>
      </c>
      <c r="AS12" s="72">
        <f>IFERROR(IF(d_ss_Bv!U12=0,".",((Ir*F*MLF_pumpkin*(1-EXP(-RadSpec!BC12*t_b)))/(P*RadSpec!BC12))),".")</f>
        <v>2.0732918242163598E-3</v>
      </c>
      <c r="AT12" s="72">
        <f>IFERROR(IF(d_ss_Bv!V12=0,".",((Ir*F*MLF_snap_bean*(1-EXP(-RadSpec!BC12*t_b)))/(P*RadSpec!BC12))),".")</f>
        <v>0.17873205381175516</v>
      </c>
      <c r="AU12" s="72">
        <f>IFERROR(IF(d_ss_Bv!W12=0,".",((Ir*F*MLF_strawberry*(1-EXP(-RadSpec!BC12*t_b)))/(P*RadSpec!BC12))),".")</f>
        <v>2.8597128609880828E-3</v>
      </c>
      <c r="AV12" s="72">
        <f>IFERROR(IF(d_ss_Bv!X12=0,".",((Ir*F*MLF_tomato*(1-EXP(-RadSpec!BC12*t_b)))/(P*RadSpec!BC12))),".")</f>
        <v>5.6836793112138136E-2</v>
      </c>
      <c r="AW12" s="72">
        <f>IFERROR(IF(d_ss_Bv!Y12=0,".",((Ir*F*MLF_rice*(1-EXP(-RadSpec!BC12*t_b)))/(P*RadSpec!BC12))),".")</f>
        <v>8.9366026905877582</v>
      </c>
      <c r="AX12" s="72">
        <f>IFERROR(IF(d_ss_Bv!Z12=0,".",((Ir*F*MLF_cereal*(1-EXP(-RadSpec!BC12*t_b)))/(P*RadSpec!BC12))),".")</f>
        <v>8.9366026905877582</v>
      </c>
      <c r="AY12" s="72">
        <f>IFERROR(IF(d_ss_Bv!C12=0,".",((Ir*F*I_f*T*(1-EXP(-RadSpec!BD12*t_v)))/(Y_v*RadSpec!BD12))),".")</f>
        <v>3.6424203206347228</v>
      </c>
      <c r="AZ12" s="72">
        <f>IFERROR(IF(d_ss_Bv!D12=0,".",((Ir*F*I_f*T*(1-EXP(-RadSpec!BD12*t_v)))/(Y_v*RadSpec!BD12))),".")</f>
        <v>3.6424203206347228</v>
      </c>
      <c r="BA12" s="72">
        <f>IFERROR(IF(d_ss_Bv!E12=0,".",((Ir*F*I_f*T*(1-EXP(-RadSpec!BD12*t_v)))/(Y_v*RadSpec!BD12))),".")</f>
        <v>3.6424203206347228</v>
      </c>
      <c r="BB12" s="72">
        <f>IFERROR(IF(d_ss_Bv!F12=0,".",((Ir*F*I_f*T*(1-EXP(-RadSpec!BD12*t_v)))/(Y_v*RadSpec!BD12))),".")</f>
        <v>3.6424203206347228</v>
      </c>
      <c r="BC12" s="72">
        <f>IFERROR(IF(d_ss_Bv!G12=0,".",((Ir*F*I_f*T*(1-EXP(-RadSpec!BD12*t_v)))/(Y_v*RadSpec!BD12))),".")</f>
        <v>3.6424203206347228</v>
      </c>
      <c r="BD12" s="72">
        <f>IFERROR(IF(d_ss_Bv!H12=0,".",((Ir*F*I_f*T*(1-EXP(-RadSpec!BD12*t_v)))/(Y_v*RadSpec!BD12))),".")</f>
        <v>3.6424203206347228</v>
      </c>
      <c r="BE12" s="72">
        <f>IFERROR(IF(d_ss_Bv!I12=0,".",((Ir*F*I_f*T*(1-EXP(-RadSpec!BD12*t_v)))/(Y_v*RadSpec!BD12))),".")</f>
        <v>3.6424203206347228</v>
      </c>
      <c r="BF12" s="72">
        <f>IFERROR(IF(d_ss_Bv!J12=0,".",((Ir*F*I_f*T*(1-EXP(-RadSpec!BD12*t_v)))/(Y_v*RadSpec!BD12))),".")</f>
        <v>3.6424203206347228</v>
      </c>
      <c r="BG12" s="72">
        <f>IFERROR(IF(d_ss_Bv!K12=0,".",((Ir*F*I_f*T*(1-EXP(-RadSpec!BD12*t_v)))/(Y_v*RadSpec!BD12))),".")</f>
        <v>3.6424203206347228</v>
      </c>
      <c r="BH12" s="72">
        <f>IFERROR(IF(d_ss_Bv!L12=0,".",((Ir*F*I_f*T*(1-EXP(-RadSpec!BD12*t_v)))/(Y_v*RadSpec!BD12))),".")</f>
        <v>3.6424203206347228</v>
      </c>
      <c r="BI12" s="72">
        <f>IFERROR(IF(d_ss_Bv!M12=0,".",((Ir*F*I_f*T*(1-EXP(-RadSpec!BD12*t_v)))/(Y_v*RadSpec!BD12))),".")</f>
        <v>3.6424203206347228</v>
      </c>
      <c r="BJ12" s="72">
        <f>IFERROR(IF(d_ss_Bv!N12=0,".",((Ir*F*I_f*T*(1-EXP(-RadSpec!BD12*t_v)))/(Y_v*RadSpec!BD12))),".")</f>
        <v>3.6424203206347228</v>
      </c>
      <c r="BK12" s="72">
        <f>IFERROR(IF(d_ss_Bv!O12=0,".",((Ir*F*I_f*T*(1-EXP(-RadSpec!BD12*t_v)))/(Y_v*RadSpec!BD12))),".")</f>
        <v>3.6424203206347228</v>
      </c>
      <c r="BL12" s="72">
        <f>IFERROR(IF(d_ss_Bv!P12=0,".",((Ir*F*I_f*T*(1-EXP(-RadSpec!BD12*t_v)))/(Y_v*RadSpec!BD12))),".")</f>
        <v>3.6424203206347228</v>
      </c>
      <c r="BM12" s="72">
        <f>IFERROR(IF(d_ss_Bv!Q12=0,".",((Ir*F*I_f*T*(1-EXP(-RadSpec!BD12*t_v)))/(Y_v*RadSpec!BD12))),".")</f>
        <v>3.6424203206347228</v>
      </c>
      <c r="BN12" s="72">
        <f>IFERROR(IF(d_ss_Bv!R12=0,".",((Ir*F*I_f*T*(1-EXP(-RadSpec!BD12*t_v)))/(Y_v*RadSpec!BD12))),".")</f>
        <v>3.6424203206347228</v>
      </c>
      <c r="BO12" s="72">
        <f>IFERROR(IF(d_ss_Bv!S12=0,".",((Ir*F*I_f*T*(1-EXP(-RadSpec!BD12*t_v)))/(Y_v*RadSpec!BD12))),".")</f>
        <v>3.6424203206347228</v>
      </c>
      <c r="BP12" s="72">
        <f>IFERROR(IF(d_ss_Bv!T12=0,".",((Ir*F*I_f*T*(1-EXP(-RadSpec!BD12*t_v)))/(Y_v*RadSpec!BD12))),".")</f>
        <v>3.6424203206347228</v>
      </c>
      <c r="BQ12" s="72">
        <f>IFERROR(IF(d_ss_Bv!U12=0,".",((Ir*F*I_f*T*(1-EXP(-RadSpec!BD12*t_v)))/(Y_v*RadSpec!BD12))),".")</f>
        <v>3.6424203206347228</v>
      </c>
      <c r="BR12" s="72">
        <f>IFERROR(IF(d_ss_Bv!V12=0,".",((Ir*F*I_f*T*(1-EXP(-RadSpec!BD12*t_v)))/(Y_v*RadSpec!BD12))),".")</f>
        <v>3.6424203206347228</v>
      </c>
      <c r="BS12" s="72">
        <f>IFERROR(IF(d_ss_Bv!W12=0,".",((Ir*F*I_f*T*(1-EXP(-RadSpec!BD12*t_v)))/(Y_v*RadSpec!BD12))),".")</f>
        <v>3.6424203206347228</v>
      </c>
      <c r="BT12" s="72">
        <f>IFERROR(IF(d_ss_Bv!X12=0,".",((Ir*F*I_f*T*(1-EXP(-RadSpec!BD12*t_v)))/(Y_v*RadSpec!BD12))),".")</f>
        <v>3.6424203206347228</v>
      </c>
      <c r="BU12" s="72">
        <f>IFERROR(IF(d_ss_Bv!Y12=0,".",((Ir*F*I_f*T*(1-EXP(-RadSpec!BD12*t_v)))/(Y_v*RadSpec!BD12))),".")</f>
        <v>3.6424203206347228</v>
      </c>
      <c r="BV12" s="72">
        <f>IFERROR(IF(d_ss_Bv!Z12=0,".",((Ir*F*I_f*T*(1-EXP(-RadSpec!BD12*t_v)))/(Y_v*RadSpec!BD12))),".")</f>
        <v>3.6424203206347228</v>
      </c>
    </row>
    <row r="13" spans="1:74" x14ac:dyDescent="0.25">
      <c r="A13" s="31" t="s">
        <v>11</v>
      </c>
      <c r="B13" s="3" t="s">
        <v>1059</v>
      </c>
      <c r="C13" s="72">
        <f>IFERROR(IF(d_ss_Bv!C13=0,".",((Ir*F*d_ss_Bv!C13*(1-EXP(-RadSpec!BC13*t_b)))/(P*RadSpec!BC13))),".")</f>
        <v>1.0723923228705308E-2</v>
      </c>
      <c r="D13" s="72">
        <f>IFERROR(IF(d_ss_Bv!D13=0,".",((Ir*F*d_ss_Bv!D13*(1-EXP(-RadSpec!BC13*t_b)))/(P*RadSpec!BC13))),".")</f>
        <v>0.96515309058347787</v>
      </c>
      <c r="E13" s="72">
        <f>IFERROR(IF(d_ss_Bv!E13=0,".",((Ir*F*d_ss_Bv!E13*(1-EXP(-RadSpec!BC13*t_b)))/(P*RadSpec!BC13))),".")</f>
        <v>0.7864210367717227</v>
      </c>
      <c r="F13" s="72">
        <f>IFERROR(IF(d_ss_Bv!F13=0,".",((Ir*F*d_ss_Bv!F13*(1-EXP(-RadSpec!BC13*t_b)))/(P*RadSpec!BC13))),".")</f>
        <v>1.0723923228705308E-2</v>
      </c>
      <c r="G13" s="72">
        <f>IFERROR(IF(d_ss_Bv!G13=0,".",((Ir*F*d_ss_Bv!G13*(1-EXP(-RadSpec!BC13*t_b)))/(P*RadSpec!BC13))),".")</f>
        <v>0.6434353937223185</v>
      </c>
      <c r="H13" s="72">
        <f>IFERROR(IF(d_ss_Bv!H13=0,".",((Ir*F*d_ss_Bv!H13*(1-EXP(-RadSpec!BC13*t_b)))/(P*RadSpec!BC13))),".")</f>
        <v>0.96515309058347787</v>
      </c>
      <c r="I13" s="72">
        <f>IFERROR(IF(d_ss_Bv!I13=0,".",((Ir*F*d_ss_Bv!I13*(1-EXP(-RadSpec!BC13*t_b)))/(P*RadSpec!BC13))),".")</f>
        <v>0.7864210367717227</v>
      </c>
      <c r="J13" s="72">
        <f>IFERROR(IF(d_ss_Bv!J13=0,".",((Ir*F*d_ss_Bv!J13*(1-EXP(-RadSpec!BC13*t_b)))/(P*RadSpec!BC13))),".")</f>
        <v>1.0723923228705308E-2</v>
      </c>
      <c r="K13" s="72">
        <f>IFERROR(IF(d_ss_Bv!K13=0,".",((Ir*F*d_ss_Bv!K13*(1-EXP(-RadSpec!BC13*t_b)))/(P*RadSpec!BC13))),".")</f>
        <v>0.17158277165928493</v>
      </c>
      <c r="L13" s="72">
        <f>IFERROR(IF(d_ss_Bv!L13=0,".",((Ir*F*d_ss_Bv!L13*(1-EXP(-RadSpec!BC13*t_b)))/(P*RadSpec!BC13))),".")</f>
        <v>0.6434353937223185</v>
      </c>
      <c r="M13" s="72">
        <f>IFERROR(IF(d_ss_Bv!M13=0,".",((Ir*F*d_ss_Bv!M13*(1-EXP(-RadSpec!BC13*t_b)))/(P*RadSpec!BC13))),".")</f>
        <v>0.96515309058347787</v>
      </c>
      <c r="N13" s="72">
        <f>IFERROR(IF(d_ss_Bv!N13=0,".",((Ir*F*d_ss_Bv!N13*(1-EXP(-RadSpec!BC13*t_b)))/(P*RadSpec!BC13))),".")</f>
        <v>0.60768898295996754</v>
      </c>
      <c r="O13" s="72">
        <f>IFERROR(IF(d_ss_Bv!O13=0,".",((Ir*F*d_ss_Bv!O13*(1-EXP(-RadSpec!BC13*t_b)))/(P*RadSpec!BC13))),".")</f>
        <v>0.6434353937223185</v>
      </c>
      <c r="P13" s="72">
        <f>IFERROR(IF(d_ss_Bv!P13=0,".",((Ir*F*d_ss_Bv!P13*(1-EXP(-RadSpec!BC13*t_b)))/(P*RadSpec!BC13))),".")</f>
        <v>0.6434353937223185</v>
      </c>
      <c r="Q13" s="72">
        <f>IFERROR(IF(d_ss_Bv!Q13=0,".",((Ir*F*d_ss_Bv!Q13*(1-EXP(-RadSpec!BC13*t_b)))/(P*RadSpec!BC13))),".")</f>
        <v>1.0723923228705308E-2</v>
      </c>
      <c r="R13" s="72">
        <f>IFERROR(IF(d_ss_Bv!R13=0,".",((Ir*F*d_ss_Bv!R13*(1-EXP(-RadSpec!BC13*t_b)))/(P*RadSpec!BC13))),".")</f>
        <v>1.0723923228705308E-2</v>
      </c>
      <c r="S13" s="72">
        <f>IFERROR(IF(d_ss_Bv!S13=0,".",((Ir*F*d_ss_Bv!S13*(1-EXP(-RadSpec!BC13*t_b)))/(P*RadSpec!BC13))),".")</f>
        <v>0.60768898295996754</v>
      </c>
      <c r="T13" s="72">
        <f>IFERROR(IF(d_ss_Bv!T13=0,".",((Ir*F*d_ss_Bv!T13*(1-EXP(-RadSpec!BC13*t_b)))/(P*RadSpec!BC13))),".")</f>
        <v>0.20375454134540089</v>
      </c>
      <c r="U13" s="72">
        <f>IFERROR(IF(d_ss_Bv!U13=0,".",((Ir*F*d_ss_Bv!U13*(1-EXP(-RadSpec!BC13*t_b)))/(P*RadSpec!BC13))),".")</f>
        <v>0.6434353937223185</v>
      </c>
      <c r="V13" s="72">
        <f>IFERROR(IF(d_ss_Bv!V13=0,".",((Ir*F*d_ss_Bv!V13*(1-EXP(-RadSpec!BC13*t_b)))/(P*RadSpec!BC13))),".")</f>
        <v>0.60768898295996754</v>
      </c>
      <c r="W13" s="72">
        <f>IFERROR(IF(d_ss_Bv!W13=0,".",((Ir*F*d_ss_Bv!W13*(1-EXP(-RadSpec!BC13*t_b)))/(P*RadSpec!BC13))),".")</f>
        <v>1.0723923228705308E-2</v>
      </c>
      <c r="X13" s="72">
        <f>IFERROR(IF(d_ss_Bv!X13=0,".",((Ir*F*d_ss_Bv!X13*(1-EXP(-RadSpec!BC13*t_b)))/(P*RadSpec!BC13))),".")</f>
        <v>0.6434353937223185</v>
      </c>
      <c r="Y13" s="72">
        <f>IFERROR(IF(d_ss_Bv!Y13=0,".",((Ir*F*d_ss_Bv!Y13*(1-EXP(-RadSpec!BC13*t_b)))/(P*RadSpec!BC13))),".")</f>
        <v>0.71492821524702066</v>
      </c>
      <c r="Z13" s="72">
        <f>IFERROR(IF(d_ss_Bv!Z13=0,".",((Ir*F*d_ss_Bv!Z13*(1-EXP(-RadSpec!BC13*t_b)))/(P*RadSpec!BC13))),".")</f>
        <v>0.10366459121081799</v>
      </c>
      <c r="AA13" s="72">
        <f>IFERROR(IF(d_ss_Bv!C13=0,".",((Ir*F*MLF_apple*(1-EXP(-RadSpec!BC13*t_b)))/(P*RadSpec!BC13))),".")</f>
        <v>5.7194257219761657E-3</v>
      </c>
      <c r="AB13" s="72">
        <f>IFERROR(IF(d_ss_Bv!D13=0,".",((Ir*F*MLF_asparagus*(1-EXP(-RadSpec!BC13*t_b)))/(P*RadSpec!BC13))),".")</f>
        <v>2.8239664502257315E-3</v>
      </c>
      <c r="AC13" s="72">
        <f>IFERROR(IF(d_ss_Bv!E13=0,".",((Ir*F*MLF_beet*(1-EXP(-RadSpec!BC13*t_b)))/(P*RadSpec!BC13))),".")</f>
        <v>4.9330046852044422E-3</v>
      </c>
      <c r="AD13" s="72">
        <f>IFERROR(IF(d_ss_Bv!F13=0,".",((Ir*F*MLF_berries*(1-EXP(-RadSpec!BC13*t_b)))/(P*RadSpec!BC13))),".")</f>
        <v>5.9339041865502712E-3</v>
      </c>
      <c r="AE13" s="72">
        <f>IFERROR(IF(d_ss_Bv!G13=0,".",((Ir*F*MLF_broccoli*(1-EXP(-RadSpec!BC13*t_b)))/(P*RadSpec!BC13))),".")</f>
        <v>3.6103874869974538E-2</v>
      </c>
      <c r="AF13" s="72">
        <f>IFERROR(IF(d_ss_Bv!H13=0,".",((Ir*F*MLF_cabbage*(1-EXP(-RadSpec!BC13*t_b)))/(P*RadSpec!BC13))),".")</f>
        <v>3.7533731300468582E-3</v>
      </c>
      <c r="AG13" s="72">
        <f>IFERROR(IF(d_ss_Bv!I13=0,".",((Ir*F*MLF_carrot*(1-EXP(-RadSpec!BC13*t_b)))/(P*RadSpec!BC13))),".")</f>
        <v>3.4674018439480501E-3</v>
      </c>
      <c r="AH13" s="72">
        <f>IFERROR(IF(d_ss_Bv!J13=0,".",((Ir*F*MLF_citrus*(1-EXP(-RadSpec!BC13*t_b)))/(P*RadSpec!BC13))),".")</f>
        <v>5.6121864896891112E-3</v>
      </c>
      <c r="AI13" s="72">
        <f>IFERROR(IF(d_ss_Bv!K13=0,".",((Ir*F*MLF_corn*(1-EXP(-RadSpec!BC13*t_b)))/(P*RadSpec!BC13))),".")</f>
        <v>5.1832295605408994E-3</v>
      </c>
      <c r="AJ13" s="72">
        <f>IFERROR(IF(d_ss_Bv!L13=0,".",((Ir*F*MLF_cucumber*(1-EXP(-RadSpec!BC13*t_b)))/(P*RadSpec!BC13))),".")</f>
        <v>1.4298564304940414E-3</v>
      </c>
      <c r="AK13" s="72">
        <f>IFERROR(IF(d_ss_Bv!M13=0,".",((Ir*F*MLF_lettuce*(1-EXP(-RadSpec!BC13*t_b)))/(P*RadSpec!BC13))),".")</f>
        <v>0.48257654529173893</v>
      </c>
      <c r="AL13" s="72">
        <f>IFERROR(IF(d_ss_Bv!N13=0,".",((Ir*F*MLF_lima_bean*(1-EXP(-RadSpec!BC13*t_b)))/(P*RadSpec!BC13))),".")</f>
        <v>0.13690875321980447</v>
      </c>
      <c r="AM13" s="72">
        <f>IFERROR(IF(d_ss_Bv!O13=0,".",((Ir*F*MLF_okra*(1-EXP(-RadSpec!BC13*t_b)))/(P*RadSpec!BC13))),".")</f>
        <v>2.8597128609880828E-3</v>
      </c>
      <c r="AN13" s="72">
        <f>IFERROR(IF(d_ss_Bv!P13=0,".",((Ir*F*MLF_onion*(1-EXP(-RadSpec!BC13*t_b)))/(P*RadSpec!BC13))),".")</f>
        <v>3.4674018439480501E-3</v>
      </c>
      <c r="AO13" s="72">
        <f>IFERROR(IF(d_ss_Bv!Q13=0,".",((Ir*F*MLF_peach*(1-EXP(-RadSpec!BC13*t_b)))/(P*RadSpec!BC13))),".")</f>
        <v>5.361961614352654E-3</v>
      </c>
      <c r="AP13" s="72" t="str">
        <f>IFERROR(IF(d_ss_Bv!OI13=0,".",((Ir*F*MLF_pear*(1-EXP(-RadSpec!BC13*t_b)))/(P*RadSpec!BC13))),".")</f>
        <v>.</v>
      </c>
      <c r="AQ13" s="72">
        <f>IFERROR(IF(d_ss_Bv!S13=0,".",((Ir*F*MLF_peas*(1-EXP(-RadSpec!BC13*t_b)))/(P*RadSpec!BC13))),".")</f>
        <v>6.3628611156984829E-3</v>
      </c>
      <c r="AR13" s="72">
        <f>IFERROR(IF(d_ss_Bv!T13=0,".",((Ir*F*MLF_potato*(1-EXP(-RadSpec!BC13*t_b)))/(P*RadSpec!BC13))),".")</f>
        <v>7.5067462600937164E-3</v>
      </c>
      <c r="AS13" s="72">
        <f>IFERROR(IF(d_ss_Bv!U13=0,".",((Ir*F*MLF_pumpkin*(1-EXP(-RadSpec!BC13*t_b)))/(P*RadSpec!BC13))),".")</f>
        <v>2.0732918242163598E-3</v>
      </c>
      <c r="AT13" s="72">
        <f>IFERROR(IF(d_ss_Bv!V13=0,".",((Ir*F*MLF_snap_bean*(1-EXP(-RadSpec!BC13*t_b)))/(P*RadSpec!BC13))),".")</f>
        <v>0.17873205381175516</v>
      </c>
      <c r="AU13" s="72">
        <f>IFERROR(IF(d_ss_Bv!W13=0,".",((Ir*F*MLF_strawberry*(1-EXP(-RadSpec!BC13*t_b)))/(P*RadSpec!BC13))),".")</f>
        <v>2.8597128609880828E-3</v>
      </c>
      <c r="AV13" s="72">
        <f>IFERROR(IF(d_ss_Bv!X13=0,".",((Ir*F*MLF_tomato*(1-EXP(-RadSpec!BC13*t_b)))/(P*RadSpec!BC13))),".")</f>
        <v>5.6836793112138136E-2</v>
      </c>
      <c r="AW13" s="72">
        <f>IFERROR(IF(d_ss_Bv!Y13=0,".",((Ir*F*MLF_rice*(1-EXP(-RadSpec!BC13*t_b)))/(P*RadSpec!BC13))),".")</f>
        <v>8.9366026905877582</v>
      </c>
      <c r="AX13" s="72">
        <f>IFERROR(IF(d_ss_Bv!Z13=0,".",((Ir*F*MLF_cereal*(1-EXP(-RadSpec!BC13*t_b)))/(P*RadSpec!BC13))),".")</f>
        <v>8.9366026905877582</v>
      </c>
      <c r="AY13" s="72">
        <f>IFERROR(IF(d_ss_Bv!C13=0,".",((Ir*F*I_f*T*(1-EXP(-RadSpec!BD13*t_v)))/(Y_v*RadSpec!BD13))),".")</f>
        <v>3.6424203206347228</v>
      </c>
      <c r="AZ13" s="72">
        <f>IFERROR(IF(d_ss_Bv!D13=0,".",((Ir*F*I_f*T*(1-EXP(-RadSpec!BD13*t_v)))/(Y_v*RadSpec!BD13))),".")</f>
        <v>3.6424203206347228</v>
      </c>
      <c r="BA13" s="72">
        <f>IFERROR(IF(d_ss_Bv!E13=0,".",((Ir*F*I_f*T*(1-EXP(-RadSpec!BD13*t_v)))/(Y_v*RadSpec!BD13))),".")</f>
        <v>3.6424203206347228</v>
      </c>
      <c r="BB13" s="72">
        <f>IFERROR(IF(d_ss_Bv!F13=0,".",((Ir*F*I_f*T*(1-EXP(-RadSpec!BD13*t_v)))/(Y_v*RadSpec!BD13))),".")</f>
        <v>3.6424203206347228</v>
      </c>
      <c r="BC13" s="72">
        <f>IFERROR(IF(d_ss_Bv!G13=0,".",((Ir*F*I_f*T*(1-EXP(-RadSpec!BD13*t_v)))/(Y_v*RadSpec!BD13))),".")</f>
        <v>3.6424203206347228</v>
      </c>
      <c r="BD13" s="72">
        <f>IFERROR(IF(d_ss_Bv!H13=0,".",((Ir*F*I_f*T*(1-EXP(-RadSpec!BD13*t_v)))/(Y_v*RadSpec!BD13))),".")</f>
        <v>3.6424203206347228</v>
      </c>
      <c r="BE13" s="72">
        <f>IFERROR(IF(d_ss_Bv!I13=0,".",((Ir*F*I_f*T*(1-EXP(-RadSpec!BD13*t_v)))/(Y_v*RadSpec!BD13))),".")</f>
        <v>3.6424203206347228</v>
      </c>
      <c r="BF13" s="72">
        <f>IFERROR(IF(d_ss_Bv!J13=0,".",((Ir*F*I_f*T*(1-EXP(-RadSpec!BD13*t_v)))/(Y_v*RadSpec!BD13))),".")</f>
        <v>3.6424203206347228</v>
      </c>
      <c r="BG13" s="72">
        <f>IFERROR(IF(d_ss_Bv!K13=0,".",((Ir*F*I_f*T*(1-EXP(-RadSpec!BD13*t_v)))/(Y_v*RadSpec!BD13))),".")</f>
        <v>3.6424203206347228</v>
      </c>
      <c r="BH13" s="72">
        <f>IFERROR(IF(d_ss_Bv!L13=0,".",((Ir*F*I_f*T*(1-EXP(-RadSpec!BD13*t_v)))/(Y_v*RadSpec!BD13))),".")</f>
        <v>3.6424203206347228</v>
      </c>
      <c r="BI13" s="72">
        <f>IFERROR(IF(d_ss_Bv!M13=0,".",((Ir*F*I_f*T*(1-EXP(-RadSpec!BD13*t_v)))/(Y_v*RadSpec!BD13))),".")</f>
        <v>3.6424203206347228</v>
      </c>
      <c r="BJ13" s="72">
        <f>IFERROR(IF(d_ss_Bv!N13=0,".",((Ir*F*I_f*T*(1-EXP(-RadSpec!BD13*t_v)))/(Y_v*RadSpec!BD13))),".")</f>
        <v>3.6424203206347228</v>
      </c>
      <c r="BK13" s="72">
        <f>IFERROR(IF(d_ss_Bv!O13=0,".",((Ir*F*I_f*T*(1-EXP(-RadSpec!BD13*t_v)))/(Y_v*RadSpec!BD13))),".")</f>
        <v>3.6424203206347228</v>
      </c>
      <c r="BL13" s="72">
        <f>IFERROR(IF(d_ss_Bv!P13=0,".",((Ir*F*I_f*T*(1-EXP(-RadSpec!BD13*t_v)))/(Y_v*RadSpec!BD13))),".")</f>
        <v>3.6424203206347228</v>
      </c>
      <c r="BM13" s="72">
        <f>IFERROR(IF(d_ss_Bv!Q13=0,".",((Ir*F*I_f*T*(1-EXP(-RadSpec!BD13*t_v)))/(Y_v*RadSpec!BD13))),".")</f>
        <v>3.6424203206347228</v>
      </c>
      <c r="BN13" s="72">
        <f>IFERROR(IF(d_ss_Bv!R13=0,".",((Ir*F*I_f*T*(1-EXP(-RadSpec!BD13*t_v)))/(Y_v*RadSpec!BD13))),".")</f>
        <v>3.6424203206347228</v>
      </c>
      <c r="BO13" s="72">
        <f>IFERROR(IF(d_ss_Bv!S13=0,".",((Ir*F*I_f*T*(1-EXP(-RadSpec!BD13*t_v)))/(Y_v*RadSpec!BD13))),".")</f>
        <v>3.6424203206347228</v>
      </c>
      <c r="BP13" s="72">
        <f>IFERROR(IF(d_ss_Bv!T13=0,".",((Ir*F*I_f*T*(1-EXP(-RadSpec!BD13*t_v)))/(Y_v*RadSpec!BD13))),".")</f>
        <v>3.6424203206347228</v>
      </c>
      <c r="BQ13" s="72">
        <f>IFERROR(IF(d_ss_Bv!U13=0,".",((Ir*F*I_f*T*(1-EXP(-RadSpec!BD13*t_v)))/(Y_v*RadSpec!BD13))),".")</f>
        <v>3.6424203206347228</v>
      </c>
      <c r="BR13" s="72">
        <f>IFERROR(IF(d_ss_Bv!V13=0,".",((Ir*F*I_f*T*(1-EXP(-RadSpec!BD13*t_v)))/(Y_v*RadSpec!BD13))),".")</f>
        <v>3.6424203206347228</v>
      </c>
      <c r="BS13" s="72">
        <f>IFERROR(IF(d_ss_Bv!W13=0,".",((Ir*F*I_f*T*(1-EXP(-RadSpec!BD13*t_v)))/(Y_v*RadSpec!BD13))),".")</f>
        <v>3.6424203206347228</v>
      </c>
      <c r="BT13" s="72">
        <f>IFERROR(IF(d_ss_Bv!X13=0,".",((Ir*F*I_f*T*(1-EXP(-RadSpec!BD13*t_v)))/(Y_v*RadSpec!BD13))),".")</f>
        <v>3.6424203206347228</v>
      </c>
      <c r="BU13" s="72">
        <f>IFERROR(IF(d_ss_Bv!Y13=0,".",((Ir*F*I_f*T*(1-EXP(-RadSpec!BD13*t_v)))/(Y_v*RadSpec!BD13))),".")</f>
        <v>3.6424203206347228</v>
      </c>
      <c r="BV13" s="72">
        <f>IFERROR(IF(d_ss_Bv!Z13=0,".",((Ir*F*I_f*T*(1-EXP(-RadSpec!BD13*t_v)))/(Y_v*RadSpec!BD13))),".")</f>
        <v>3.6424203206347228</v>
      </c>
    </row>
    <row r="14" spans="1:74" x14ac:dyDescent="0.25">
      <c r="A14" s="31" t="s">
        <v>12</v>
      </c>
      <c r="B14" s="3" t="s">
        <v>1059</v>
      </c>
      <c r="C14" s="72">
        <f>IFERROR(IF(d_ss_Bv!C14=0,".",((Ir*F*d_ss_Bv!C14*(1-EXP(-RadSpec!BC14*t_b)))/(P*RadSpec!BC14))),".")</f>
        <v>0.35746410762351033</v>
      </c>
      <c r="D14" s="72">
        <f>IFERROR(IF(d_ss_Bv!D14=0,".",((Ir*F*d_ss_Bv!D14*(1-EXP(-RadSpec!BC14*t_b)))/(P*RadSpec!BC14))),".")</f>
        <v>0.35746410762351033</v>
      </c>
      <c r="E14" s="72">
        <f>IFERROR(IF(d_ss_Bv!E14=0,".",((Ir*F*d_ss_Bv!E14*(1-EXP(-RadSpec!BC14*t_b)))/(P*RadSpec!BC14))),".")</f>
        <v>0.35746410762351033</v>
      </c>
      <c r="F14" s="72">
        <f>IFERROR(IF(d_ss_Bv!F14=0,".",((Ir*F*d_ss_Bv!F14*(1-EXP(-RadSpec!BC14*t_b)))/(P*RadSpec!BC14))),".")</f>
        <v>0.35746410762351033</v>
      </c>
      <c r="G14" s="72">
        <f>IFERROR(IF(d_ss_Bv!G14=0,".",((Ir*F*d_ss_Bv!G14*(1-EXP(-RadSpec!BC14*t_b)))/(P*RadSpec!BC14))),".")</f>
        <v>0.35746410762351033</v>
      </c>
      <c r="H14" s="72">
        <f>IFERROR(IF(d_ss_Bv!H14=0,".",((Ir*F*d_ss_Bv!H14*(1-EXP(-RadSpec!BC14*t_b)))/(P*RadSpec!BC14))),".")</f>
        <v>0.35746410762351033</v>
      </c>
      <c r="I14" s="72">
        <f>IFERROR(IF(d_ss_Bv!I14=0,".",((Ir*F*d_ss_Bv!I14*(1-EXP(-RadSpec!BC14*t_b)))/(P*RadSpec!BC14))),".")</f>
        <v>0.35746410762351033</v>
      </c>
      <c r="J14" s="72">
        <f>IFERROR(IF(d_ss_Bv!J14=0,".",((Ir*F*d_ss_Bv!J14*(1-EXP(-RadSpec!BC14*t_b)))/(P*RadSpec!BC14))),".")</f>
        <v>0.35746410762351033</v>
      </c>
      <c r="K14" s="72">
        <f>IFERROR(IF(d_ss_Bv!K14=0,".",((Ir*F*d_ss_Bv!K14*(1-EXP(-RadSpec!BC14*t_b)))/(P*RadSpec!BC14))),".")</f>
        <v>0.35746410762351033</v>
      </c>
      <c r="L14" s="72">
        <f>IFERROR(IF(d_ss_Bv!L14=0,".",((Ir*F*d_ss_Bv!L14*(1-EXP(-RadSpec!BC14*t_b)))/(P*RadSpec!BC14))),".")</f>
        <v>0.35746410762351033</v>
      </c>
      <c r="M14" s="72">
        <f>IFERROR(IF(d_ss_Bv!M14=0,".",((Ir*F*d_ss_Bv!M14*(1-EXP(-RadSpec!BC14*t_b)))/(P*RadSpec!BC14))),".")</f>
        <v>0.35746410762351033</v>
      </c>
      <c r="N14" s="72">
        <f>IFERROR(IF(d_ss_Bv!N14=0,".",((Ir*F*d_ss_Bv!N14*(1-EXP(-RadSpec!BC14*t_b)))/(P*RadSpec!BC14))),".")</f>
        <v>0.35746410762351033</v>
      </c>
      <c r="O14" s="72">
        <f>IFERROR(IF(d_ss_Bv!O14=0,".",((Ir*F*d_ss_Bv!O14*(1-EXP(-RadSpec!BC14*t_b)))/(P*RadSpec!BC14))),".")</f>
        <v>0.35746410762351033</v>
      </c>
      <c r="P14" s="72">
        <f>IFERROR(IF(d_ss_Bv!P14=0,".",((Ir*F*d_ss_Bv!P14*(1-EXP(-RadSpec!BC14*t_b)))/(P*RadSpec!BC14))),".")</f>
        <v>0.35746410762351033</v>
      </c>
      <c r="Q14" s="72">
        <f>IFERROR(IF(d_ss_Bv!Q14=0,".",((Ir*F*d_ss_Bv!Q14*(1-EXP(-RadSpec!BC14*t_b)))/(P*RadSpec!BC14))),".")</f>
        <v>0.35746410762351033</v>
      </c>
      <c r="R14" s="72">
        <f>IFERROR(IF(d_ss_Bv!R14=0,".",((Ir*F*d_ss_Bv!R14*(1-EXP(-RadSpec!BC14*t_b)))/(P*RadSpec!BC14))),".")</f>
        <v>0.35746410762351033</v>
      </c>
      <c r="S14" s="72">
        <f>IFERROR(IF(d_ss_Bv!S14=0,".",((Ir*F*d_ss_Bv!S14*(1-EXP(-RadSpec!BC14*t_b)))/(P*RadSpec!BC14))),".")</f>
        <v>0.35746410762351033</v>
      </c>
      <c r="T14" s="72">
        <f>IFERROR(IF(d_ss_Bv!T14=0,".",((Ir*F*d_ss_Bv!T14*(1-EXP(-RadSpec!BC14*t_b)))/(P*RadSpec!BC14))),".")</f>
        <v>0.35746410762351033</v>
      </c>
      <c r="U14" s="72">
        <f>IFERROR(IF(d_ss_Bv!U14=0,".",((Ir*F*d_ss_Bv!U14*(1-EXP(-RadSpec!BC14*t_b)))/(P*RadSpec!BC14))),".")</f>
        <v>0.35746410762351033</v>
      </c>
      <c r="V14" s="72">
        <f>IFERROR(IF(d_ss_Bv!V14=0,".",((Ir*F*d_ss_Bv!V14*(1-EXP(-RadSpec!BC14*t_b)))/(P*RadSpec!BC14))),".")</f>
        <v>0.35746410762351033</v>
      </c>
      <c r="W14" s="72">
        <f>IFERROR(IF(d_ss_Bv!W14=0,".",((Ir*F*d_ss_Bv!W14*(1-EXP(-RadSpec!BC14*t_b)))/(P*RadSpec!BC14))),".")</f>
        <v>0.35746410762351033</v>
      </c>
      <c r="X14" s="72">
        <f>IFERROR(IF(d_ss_Bv!X14=0,".",((Ir*F*d_ss_Bv!X14*(1-EXP(-RadSpec!BC14*t_b)))/(P*RadSpec!BC14))),".")</f>
        <v>0.35746410762351033</v>
      </c>
      <c r="Y14" s="72">
        <f>IFERROR(IF(d_ss_Bv!Y14=0,".",((Ir*F*d_ss_Bv!Y14*(1-EXP(-RadSpec!BC14*t_b)))/(P*RadSpec!BC14))),".")</f>
        <v>0.35746410762351033</v>
      </c>
      <c r="Z14" s="72">
        <f>IFERROR(IF(d_ss_Bv!Z14=0,".",((Ir*F*d_ss_Bv!Z14*(1-EXP(-RadSpec!BC14*t_b)))/(P*RadSpec!BC14))),".")</f>
        <v>0.35746410762351033</v>
      </c>
      <c r="AA14" s="72">
        <f>IFERROR(IF(d_ss_Bv!C14=0,".",((Ir*F*MLF_apple*(1-EXP(-RadSpec!BC14*t_b)))/(P*RadSpec!BC14))),".")</f>
        <v>5.7194257219761657E-3</v>
      </c>
      <c r="AB14" s="72">
        <f>IFERROR(IF(d_ss_Bv!D14=0,".",((Ir*F*MLF_asparagus*(1-EXP(-RadSpec!BC14*t_b)))/(P*RadSpec!BC14))),".")</f>
        <v>2.8239664502257315E-3</v>
      </c>
      <c r="AC14" s="72">
        <f>IFERROR(IF(d_ss_Bv!E14=0,".",((Ir*F*MLF_beet*(1-EXP(-RadSpec!BC14*t_b)))/(P*RadSpec!BC14))),".")</f>
        <v>4.9330046852044422E-3</v>
      </c>
      <c r="AD14" s="72">
        <f>IFERROR(IF(d_ss_Bv!F14=0,".",((Ir*F*MLF_berries*(1-EXP(-RadSpec!BC14*t_b)))/(P*RadSpec!BC14))),".")</f>
        <v>5.9339041865502712E-3</v>
      </c>
      <c r="AE14" s="72">
        <f>IFERROR(IF(d_ss_Bv!G14=0,".",((Ir*F*MLF_broccoli*(1-EXP(-RadSpec!BC14*t_b)))/(P*RadSpec!BC14))),".")</f>
        <v>3.6103874869974538E-2</v>
      </c>
      <c r="AF14" s="72">
        <f>IFERROR(IF(d_ss_Bv!H14=0,".",((Ir*F*MLF_cabbage*(1-EXP(-RadSpec!BC14*t_b)))/(P*RadSpec!BC14))),".")</f>
        <v>3.7533731300468582E-3</v>
      </c>
      <c r="AG14" s="72">
        <f>IFERROR(IF(d_ss_Bv!I14=0,".",((Ir*F*MLF_carrot*(1-EXP(-RadSpec!BC14*t_b)))/(P*RadSpec!BC14))),".")</f>
        <v>3.4674018439480501E-3</v>
      </c>
      <c r="AH14" s="72">
        <f>IFERROR(IF(d_ss_Bv!J14=0,".",((Ir*F*MLF_citrus*(1-EXP(-RadSpec!BC14*t_b)))/(P*RadSpec!BC14))),".")</f>
        <v>5.6121864896891112E-3</v>
      </c>
      <c r="AI14" s="72">
        <f>IFERROR(IF(d_ss_Bv!K14=0,".",((Ir*F*MLF_corn*(1-EXP(-RadSpec!BC14*t_b)))/(P*RadSpec!BC14))),".")</f>
        <v>5.1832295605408994E-3</v>
      </c>
      <c r="AJ14" s="72">
        <f>IFERROR(IF(d_ss_Bv!L14=0,".",((Ir*F*MLF_cucumber*(1-EXP(-RadSpec!BC14*t_b)))/(P*RadSpec!BC14))),".")</f>
        <v>1.4298564304940414E-3</v>
      </c>
      <c r="AK14" s="72">
        <f>IFERROR(IF(d_ss_Bv!M14=0,".",((Ir*F*MLF_lettuce*(1-EXP(-RadSpec!BC14*t_b)))/(P*RadSpec!BC14))),".")</f>
        <v>0.48257654529173893</v>
      </c>
      <c r="AL14" s="72">
        <f>IFERROR(IF(d_ss_Bv!N14=0,".",((Ir*F*MLF_lima_bean*(1-EXP(-RadSpec!BC14*t_b)))/(P*RadSpec!BC14))),".")</f>
        <v>0.13690875321980447</v>
      </c>
      <c r="AM14" s="72">
        <f>IFERROR(IF(d_ss_Bv!O14=0,".",((Ir*F*MLF_okra*(1-EXP(-RadSpec!BC14*t_b)))/(P*RadSpec!BC14))),".")</f>
        <v>2.8597128609880828E-3</v>
      </c>
      <c r="AN14" s="72">
        <f>IFERROR(IF(d_ss_Bv!P14=0,".",((Ir*F*MLF_onion*(1-EXP(-RadSpec!BC14*t_b)))/(P*RadSpec!BC14))),".")</f>
        <v>3.4674018439480501E-3</v>
      </c>
      <c r="AO14" s="72">
        <f>IFERROR(IF(d_ss_Bv!Q14=0,".",((Ir*F*MLF_peach*(1-EXP(-RadSpec!BC14*t_b)))/(P*RadSpec!BC14))),".")</f>
        <v>5.361961614352654E-3</v>
      </c>
      <c r="AP14" s="72" t="str">
        <f>IFERROR(IF(d_ss_Bv!OI14=0,".",((Ir*F*MLF_pear*(1-EXP(-RadSpec!BC14*t_b)))/(P*RadSpec!BC14))),".")</f>
        <v>.</v>
      </c>
      <c r="AQ14" s="72">
        <f>IFERROR(IF(d_ss_Bv!S14=0,".",((Ir*F*MLF_peas*(1-EXP(-RadSpec!BC14*t_b)))/(P*RadSpec!BC14))),".")</f>
        <v>6.3628611156984829E-3</v>
      </c>
      <c r="AR14" s="72">
        <f>IFERROR(IF(d_ss_Bv!T14=0,".",((Ir*F*MLF_potato*(1-EXP(-RadSpec!BC14*t_b)))/(P*RadSpec!BC14))),".")</f>
        <v>7.5067462600937164E-3</v>
      </c>
      <c r="AS14" s="72">
        <f>IFERROR(IF(d_ss_Bv!U14=0,".",((Ir*F*MLF_pumpkin*(1-EXP(-RadSpec!BC14*t_b)))/(P*RadSpec!BC14))),".")</f>
        <v>2.0732918242163598E-3</v>
      </c>
      <c r="AT14" s="72">
        <f>IFERROR(IF(d_ss_Bv!V14=0,".",((Ir*F*MLF_snap_bean*(1-EXP(-RadSpec!BC14*t_b)))/(P*RadSpec!BC14))),".")</f>
        <v>0.17873205381175516</v>
      </c>
      <c r="AU14" s="72">
        <f>IFERROR(IF(d_ss_Bv!W14=0,".",((Ir*F*MLF_strawberry*(1-EXP(-RadSpec!BC14*t_b)))/(P*RadSpec!BC14))),".")</f>
        <v>2.8597128609880828E-3</v>
      </c>
      <c r="AV14" s="72">
        <f>IFERROR(IF(d_ss_Bv!X14=0,".",((Ir*F*MLF_tomato*(1-EXP(-RadSpec!BC14*t_b)))/(P*RadSpec!BC14))),".")</f>
        <v>5.6836793112138136E-2</v>
      </c>
      <c r="AW14" s="72">
        <f>IFERROR(IF(d_ss_Bv!Y14=0,".",((Ir*F*MLF_rice*(1-EXP(-RadSpec!BC14*t_b)))/(P*RadSpec!BC14))),".")</f>
        <v>8.9366026905877582</v>
      </c>
      <c r="AX14" s="72">
        <f>IFERROR(IF(d_ss_Bv!Z14=0,".",((Ir*F*MLF_cereal*(1-EXP(-RadSpec!BC14*t_b)))/(P*RadSpec!BC14))),".")</f>
        <v>8.9366026905877582</v>
      </c>
      <c r="AY14" s="72">
        <f>IFERROR(IF(d_ss_Bv!C14=0,".",((Ir*F*I_f*T*(1-EXP(-RadSpec!BD14*t_v)))/(Y_v*RadSpec!BD14))),".")</f>
        <v>3.6424203206347228</v>
      </c>
      <c r="AZ14" s="72">
        <f>IFERROR(IF(d_ss_Bv!D14=0,".",((Ir*F*I_f*T*(1-EXP(-RadSpec!BD14*t_v)))/(Y_v*RadSpec!BD14))),".")</f>
        <v>3.6424203206347228</v>
      </c>
      <c r="BA14" s="72">
        <f>IFERROR(IF(d_ss_Bv!E14=0,".",((Ir*F*I_f*T*(1-EXP(-RadSpec!BD14*t_v)))/(Y_v*RadSpec!BD14))),".")</f>
        <v>3.6424203206347228</v>
      </c>
      <c r="BB14" s="72">
        <f>IFERROR(IF(d_ss_Bv!F14=0,".",((Ir*F*I_f*T*(1-EXP(-RadSpec!BD14*t_v)))/(Y_v*RadSpec!BD14))),".")</f>
        <v>3.6424203206347228</v>
      </c>
      <c r="BC14" s="72">
        <f>IFERROR(IF(d_ss_Bv!G14=0,".",((Ir*F*I_f*T*(1-EXP(-RadSpec!BD14*t_v)))/(Y_v*RadSpec!BD14))),".")</f>
        <v>3.6424203206347228</v>
      </c>
      <c r="BD14" s="72">
        <f>IFERROR(IF(d_ss_Bv!H14=0,".",((Ir*F*I_f*T*(1-EXP(-RadSpec!BD14*t_v)))/(Y_v*RadSpec!BD14))),".")</f>
        <v>3.6424203206347228</v>
      </c>
      <c r="BE14" s="72">
        <f>IFERROR(IF(d_ss_Bv!I14=0,".",((Ir*F*I_f*T*(1-EXP(-RadSpec!BD14*t_v)))/(Y_v*RadSpec!BD14))),".")</f>
        <v>3.6424203206347228</v>
      </c>
      <c r="BF14" s="72">
        <f>IFERROR(IF(d_ss_Bv!J14=0,".",((Ir*F*I_f*T*(1-EXP(-RadSpec!BD14*t_v)))/(Y_v*RadSpec!BD14))),".")</f>
        <v>3.6424203206347228</v>
      </c>
      <c r="BG14" s="72">
        <f>IFERROR(IF(d_ss_Bv!K14=0,".",((Ir*F*I_f*T*(1-EXP(-RadSpec!BD14*t_v)))/(Y_v*RadSpec!BD14))),".")</f>
        <v>3.6424203206347228</v>
      </c>
      <c r="BH14" s="72">
        <f>IFERROR(IF(d_ss_Bv!L14=0,".",((Ir*F*I_f*T*(1-EXP(-RadSpec!BD14*t_v)))/(Y_v*RadSpec!BD14))),".")</f>
        <v>3.6424203206347228</v>
      </c>
      <c r="BI14" s="72">
        <f>IFERROR(IF(d_ss_Bv!M14=0,".",((Ir*F*I_f*T*(1-EXP(-RadSpec!BD14*t_v)))/(Y_v*RadSpec!BD14))),".")</f>
        <v>3.6424203206347228</v>
      </c>
      <c r="BJ14" s="72">
        <f>IFERROR(IF(d_ss_Bv!N14=0,".",((Ir*F*I_f*T*(1-EXP(-RadSpec!BD14*t_v)))/(Y_v*RadSpec!BD14))),".")</f>
        <v>3.6424203206347228</v>
      </c>
      <c r="BK14" s="72">
        <f>IFERROR(IF(d_ss_Bv!O14=0,".",((Ir*F*I_f*T*(1-EXP(-RadSpec!BD14*t_v)))/(Y_v*RadSpec!BD14))),".")</f>
        <v>3.6424203206347228</v>
      </c>
      <c r="BL14" s="72">
        <f>IFERROR(IF(d_ss_Bv!P14=0,".",((Ir*F*I_f*T*(1-EXP(-RadSpec!BD14*t_v)))/(Y_v*RadSpec!BD14))),".")</f>
        <v>3.6424203206347228</v>
      </c>
      <c r="BM14" s="72">
        <f>IFERROR(IF(d_ss_Bv!Q14=0,".",((Ir*F*I_f*T*(1-EXP(-RadSpec!BD14*t_v)))/(Y_v*RadSpec!BD14))),".")</f>
        <v>3.6424203206347228</v>
      </c>
      <c r="BN14" s="72">
        <f>IFERROR(IF(d_ss_Bv!R14=0,".",((Ir*F*I_f*T*(1-EXP(-RadSpec!BD14*t_v)))/(Y_v*RadSpec!BD14))),".")</f>
        <v>3.6424203206347228</v>
      </c>
      <c r="BO14" s="72">
        <f>IFERROR(IF(d_ss_Bv!S14=0,".",((Ir*F*I_f*T*(1-EXP(-RadSpec!BD14*t_v)))/(Y_v*RadSpec!BD14))),".")</f>
        <v>3.6424203206347228</v>
      </c>
      <c r="BP14" s="72">
        <f>IFERROR(IF(d_ss_Bv!T14=0,".",((Ir*F*I_f*T*(1-EXP(-RadSpec!BD14*t_v)))/(Y_v*RadSpec!BD14))),".")</f>
        <v>3.6424203206347228</v>
      </c>
      <c r="BQ14" s="72">
        <f>IFERROR(IF(d_ss_Bv!U14=0,".",((Ir*F*I_f*T*(1-EXP(-RadSpec!BD14*t_v)))/(Y_v*RadSpec!BD14))),".")</f>
        <v>3.6424203206347228</v>
      </c>
      <c r="BR14" s="72">
        <f>IFERROR(IF(d_ss_Bv!V14=0,".",((Ir*F*I_f*T*(1-EXP(-RadSpec!BD14*t_v)))/(Y_v*RadSpec!BD14))),".")</f>
        <v>3.6424203206347228</v>
      </c>
      <c r="BS14" s="72">
        <f>IFERROR(IF(d_ss_Bv!W14=0,".",((Ir*F*I_f*T*(1-EXP(-RadSpec!BD14*t_v)))/(Y_v*RadSpec!BD14))),".")</f>
        <v>3.6424203206347228</v>
      </c>
      <c r="BT14" s="72">
        <f>IFERROR(IF(d_ss_Bv!X14=0,".",((Ir*F*I_f*T*(1-EXP(-RadSpec!BD14*t_v)))/(Y_v*RadSpec!BD14))),".")</f>
        <v>3.6424203206347228</v>
      </c>
      <c r="BU14" s="72">
        <f>IFERROR(IF(d_ss_Bv!Y14=0,".",((Ir*F*I_f*T*(1-EXP(-RadSpec!BD14*t_v)))/(Y_v*RadSpec!BD14))),".")</f>
        <v>3.6424203206347228</v>
      </c>
      <c r="BV14" s="72">
        <f>IFERROR(IF(d_ss_Bv!Z14=0,".",((Ir*F*I_f*T*(1-EXP(-RadSpec!BD14*t_v)))/(Y_v*RadSpec!BD14))),".")</f>
        <v>3.6424203206347228</v>
      </c>
    </row>
    <row r="15" spans="1:74" x14ac:dyDescent="0.25">
      <c r="A15" s="31" t="s">
        <v>13</v>
      </c>
      <c r="B15" s="3" t="s">
        <v>1059</v>
      </c>
      <c r="C15" s="72">
        <f>IFERROR(IF(d_ss_Bv!C15=0,".",((Ir*F*d_ss_Bv!C15*(1-EXP(-RadSpec!BC15*t_b)))/(P*RadSpec!BC15))),".")</f>
        <v>0.35746410762351033</v>
      </c>
      <c r="D15" s="72">
        <f>IFERROR(IF(d_ss_Bv!D15=0,".",((Ir*F*d_ss_Bv!D15*(1-EXP(-RadSpec!BC15*t_b)))/(P*RadSpec!BC15))),".")</f>
        <v>2.8597128609880826</v>
      </c>
      <c r="E15" s="72">
        <f>IFERROR(IF(d_ss_Bv!E15=0,".",((Ir*F*d_ss_Bv!E15*(1-EXP(-RadSpec!BC15*t_b)))/(P*RadSpec!BC15))),".")</f>
        <v>0.53619616143526549</v>
      </c>
      <c r="F15" s="72">
        <f>IFERROR(IF(d_ss_Bv!F15=0,".",((Ir*F*d_ss_Bv!F15*(1-EXP(-RadSpec!BC15*t_b)))/(P*RadSpec!BC15))),".")</f>
        <v>0.35746410762351033</v>
      </c>
      <c r="G15" s="72">
        <f>IFERROR(IF(d_ss_Bv!G15=0,".",((Ir*F*d_ss_Bv!G15*(1-EXP(-RadSpec!BC15*t_b)))/(P*RadSpec!BC15))),".")</f>
        <v>0.53619616143526549</v>
      </c>
      <c r="H15" s="72">
        <f>IFERROR(IF(d_ss_Bv!H15=0,".",((Ir*F*d_ss_Bv!H15*(1-EXP(-RadSpec!BC15*t_b)))/(P*RadSpec!BC15))),".")</f>
        <v>2.8597128609880826</v>
      </c>
      <c r="I15" s="72">
        <f>IFERROR(IF(d_ss_Bv!I15=0,".",((Ir*F*d_ss_Bv!I15*(1-EXP(-RadSpec!BC15*t_b)))/(P*RadSpec!BC15))),".")</f>
        <v>0.53619616143526549</v>
      </c>
      <c r="J15" s="72">
        <f>IFERROR(IF(d_ss_Bv!J15=0,".",((Ir*F*d_ss_Bv!J15*(1-EXP(-RadSpec!BC15*t_b)))/(P*RadSpec!BC15))),".")</f>
        <v>0.35746410762351033</v>
      </c>
      <c r="K15" s="72">
        <f>IFERROR(IF(d_ss_Bv!K15=0,".",((Ir*F*d_ss_Bv!K15*(1-EXP(-RadSpec!BC15*t_b)))/(P*RadSpec!BC15))),".")</f>
        <v>4.2895692914821232E-2</v>
      </c>
      <c r="L15" s="72">
        <f>IFERROR(IF(d_ss_Bv!L15=0,".",((Ir*F*d_ss_Bv!L15*(1-EXP(-RadSpec!BC15*t_b)))/(P*RadSpec!BC15))),".")</f>
        <v>0.53619616143526549</v>
      </c>
      <c r="M15" s="72">
        <f>IFERROR(IF(d_ss_Bv!M15=0,".",((Ir*F*d_ss_Bv!M15*(1-EXP(-RadSpec!BC15*t_b)))/(P*RadSpec!BC15))),".")</f>
        <v>2.8597128609880826</v>
      </c>
      <c r="N15" s="72">
        <f>IFERROR(IF(d_ss_Bv!N15=0,".",((Ir*F*d_ss_Bv!N15*(1-EXP(-RadSpec!BC15*t_b)))/(P*RadSpec!BC15))),".")</f>
        <v>0.18945597704046047</v>
      </c>
      <c r="O15" s="72">
        <f>IFERROR(IF(d_ss_Bv!O15=0,".",((Ir*F*d_ss_Bv!O15*(1-EXP(-RadSpec!BC15*t_b)))/(P*RadSpec!BC15))),".")</f>
        <v>0.53619616143526549</v>
      </c>
      <c r="P15" s="72">
        <f>IFERROR(IF(d_ss_Bv!P15=0,".",((Ir*F*d_ss_Bv!P15*(1-EXP(-RadSpec!BC15*t_b)))/(P*RadSpec!BC15))),".")</f>
        <v>0.53619616143526549</v>
      </c>
      <c r="Q15" s="72">
        <f>IFERROR(IF(d_ss_Bv!Q15=0,".",((Ir*F*d_ss_Bv!Q15*(1-EXP(-RadSpec!BC15*t_b)))/(P*RadSpec!BC15))),".")</f>
        <v>0.35746410762351033</v>
      </c>
      <c r="R15" s="72">
        <f>IFERROR(IF(d_ss_Bv!R15=0,".",((Ir*F*d_ss_Bv!R15*(1-EXP(-RadSpec!BC15*t_b)))/(P*RadSpec!BC15))),".")</f>
        <v>0.35746410762351033</v>
      </c>
      <c r="S15" s="72">
        <f>IFERROR(IF(d_ss_Bv!S15=0,".",((Ir*F*d_ss_Bv!S15*(1-EXP(-RadSpec!BC15*t_b)))/(P*RadSpec!BC15))),".")</f>
        <v>0.18945597704046047</v>
      </c>
      <c r="T15" s="72">
        <f>IFERROR(IF(d_ss_Bv!T15=0,".",((Ir*F*d_ss_Bv!T15*(1-EXP(-RadSpec!BC15*t_b)))/(P*RadSpec!BC15))),".")</f>
        <v>5.361961614352654E-2</v>
      </c>
      <c r="U15" s="72">
        <f>IFERROR(IF(d_ss_Bv!U15=0,".",((Ir*F*d_ss_Bv!U15*(1-EXP(-RadSpec!BC15*t_b)))/(P*RadSpec!BC15))),".")</f>
        <v>0.53619616143526549</v>
      </c>
      <c r="V15" s="72">
        <f>IFERROR(IF(d_ss_Bv!V15=0,".",((Ir*F*d_ss_Bv!V15*(1-EXP(-RadSpec!BC15*t_b)))/(P*RadSpec!BC15))),".")</f>
        <v>0.18945597704046047</v>
      </c>
      <c r="W15" s="72">
        <f>IFERROR(IF(d_ss_Bv!W15=0,".",((Ir*F*d_ss_Bv!W15*(1-EXP(-RadSpec!BC15*t_b)))/(P*RadSpec!BC15))),".")</f>
        <v>0.35746410762351033</v>
      </c>
      <c r="X15" s="72">
        <f>IFERROR(IF(d_ss_Bv!X15=0,".",((Ir*F*d_ss_Bv!X15*(1-EXP(-RadSpec!BC15*t_b)))/(P*RadSpec!BC15))),".")</f>
        <v>0.53619616143526549</v>
      </c>
      <c r="Y15" s="72">
        <f>IFERROR(IF(d_ss_Bv!Y15=0,".",((Ir*F*d_ss_Bv!Y15*(1-EXP(-RadSpec!BC15*t_b)))/(P*RadSpec!BC15))),".")</f>
        <v>1.0366459121081799E-2</v>
      </c>
      <c r="Z15" s="72">
        <f>IFERROR(IF(d_ss_Bv!Z15=0,".",((Ir*F*d_ss_Bv!Z15*(1-EXP(-RadSpec!BC15*t_b)))/(P*RadSpec!BC15))),".")</f>
        <v>0.39321051838586135</v>
      </c>
      <c r="AA15" s="72">
        <f>IFERROR(IF(d_ss_Bv!C15=0,".",((Ir*F*MLF_apple*(1-EXP(-RadSpec!BC15*t_b)))/(P*RadSpec!BC15))),".")</f>
        <v>5.7194257219761657E-3</v>
      </c>
      <c r="AB15" s="72">
        <f>IFERROR(IF(d_ss_Bv!D15=0,".",((Ir*F*MLF_asparagus*(1-EXP(-RadSpec!BC15*t_b)))/(P*RadSpec!BC15))),".")</f>
        <v>2.8239664502257315E-3</v>
      </c>
      <c r="AC15" s="72">
        <f>IFERROR(IF(d_ss_Bv!E15=0,".",((Ir*F*MLF_beet*(1-EXP(-RadSpec!BC15*t_b)))/(P*RadSpec!BC15))),".")</f>
        <v>4.9330046852044422E-3</v>
      </c>
      <c r="AD15" s="72">
        <f>IFERROR(IF(d_ss_Bv!F15=0,".",((Ir*F*MLF_berries*(1-EXP(-RadSpec!BC15*t_b)))/(P*RadSpec!BC15))),".")</f>
        <v>5.9339041865502712E-3</v>
      </c>
      <c r="AE15" s="72">
        <f>IFERROR(IF(d_ss_Bv!G15=0,".",((Ir*F*MLF_broccoli*(1-EXP(-RadSpec!BC15*t_b)))/(P*RadSpec!BC15))),".")</f>
        <v>3.6103874869974538E-2</v>
      </c>
      <c r="AF15" s="72">
        <f>IFERROR(IF(d_ss_Bv!H15=0,".",((Ir*F*MLF_cabbage*(1-EXP(-RadSpec!BC15*t_b)))/(P*RadSpec!BC15))),".")</f>
        <v>3.7533731300468582E-3</v>
      </c>
      <c r="AG15" s="72">
        <f>IFERROR(IF(d_ss_Bv!I15=0,".",((Ir*F*MLF_carrot*(1-EXP(-RadSpec!BC15*t_b)))/(P*RadSpec!BC15))),".")</f>
        <v>3.4674018439480501E-3</v>
      </c>
      <c r="AH15" s="72">
        <f>IFERROR(IF(d_ss_Bv!J15=0,".",((Ir*F*MLF_citrus*(1-EXP(-RadSpec!BC15*t_b)))/(P*RadSpec!BC15))),".")</f>
        <v>5.6121864896891112E-3</v>
      </c>
      <c r="AI15" s="72">
        <f>IFERROR(IF(d_ss_Bv!K15=0,".",((Ir*F*MLF_corn*(1-EXP(-RadSpec!BC15*t_b)))/(P*RadSpec!BC15))),".")</f>
        <v>5.1832295605408994E-3</v>
      </c>
      <c r="AJ15" s="72">
        <f>IFERROR(IF(d_ss_Bv!L15=0,".",((Ir*F*MLF_cucumber*(1-EXP(-RadSpec!BC15*t_b)))/(P*RadSpec!BC15))),".")</f>
        <v>1.4298564304940414E-3</v>
      </c>
      <c r="AK15" s="72">
        <f>IFERROR(IF(d_ss_Bv!M15=0,".",((Ir*F*MLF_lettuce*(1-EXP(-RadSpec!BC15*t_b)))/(P*RadSpec!BC15))),".")</f>
        <v>0.48257654529173893</v>
      </c>
      <c r="AL15" s="72">
        <f>IFERROR(IF(d_ss_Bv!N15=0,".",((Ir*F*MLF_lima_bean*(1-EXP(-RadSpec!BC15*t_b)))/(P*RadSpec!BC15))),".")</f>
        <v>0.13690875321980447</v>
      </c>
      <c r="AM15" s="72">
        <f>IFERROR(IF(d_ss_Bv!O15=0,".",((Ir*F*MLF_okra*(1-EXP(-RadSpec!BC15*t_b)))/(P*RadSpec!BC15))),".")</f>
        <v>2.8597128609880828E-3</v>
      </c>
      <c r="AN15" s="72">
        <f>IFERROR(IF(d_ss_Bv!P15=0,".",((Ir*F*MLF_onion*(1-EXP(-RadSpec!BC15*t_b)))/(P*RadSpec!BC15))),".")</f>
        <v>3.4674018439480501E-3</v>
      </c>
      <c r="AO15" s="72">
        <f>IFERROR(IF(d_ss_Bv!Q15=0,".",((Ir*F*MLF_peach*(1-EXP(-RadSpec!BC15*t_b)))/(P*RadSpec!BC15))),".")</f>
        <v>5.361961614352654E-3</v>
      </c>
      <c r="AP15" s="72" t="str">
        <f>IFERROR(IF(d_ss_Bv!OI15=0,".",((Ir*F*MLF_pear*(1-EXP(-RadSpec!BC15*t_b)))/(P*RadSpec!BC15))),".")</f>
        <v>.</v>
      </c>
      <c r="AQ15" s="72">
        <f>IFERROR(IF(d_ss_Bv!S15=0,".",((Ir*F*MLF_peas*(1-EXP(-RadSpec!BC15*t_b)))/(P*RadSpec!BC15))),".")</f>
        <v>6.3628611156984829E-3</v>
      </c>
      <c r="AR15" s="72">
        <f>IFERROR(IF(d_ss_Bv!T15=0,".",((Ir*F*MLF_potato*(1-EXP(-RadSpec!BC15*t_b)))/(P*RadSpec!BC15))),".")</f>
        <v>7.5067462600937164E-3</v>
      </c>
      <c r="AS15" s="72">
        <f>IFERROR(IF(d_ss_Bv!U15=0,".",((Ir*F*MLF_pumpkin*(1-EXP(-RadSpec!BC15*t_b)))/(P*RadSpec!BC15))),".")</f>
        <v>2.0732918242163598E-3</v>
      </c>
      <c r="AT15" s="72">
        <f>IFERROR(IF(d_ss_Bv!V15=0,".",((Ir*F*MLF_snap_bean*(1-EXP(-RadSpec!BC15*t_b)))/(P*RadSpec!BC15))),".")</f>
        <v>0.17873205381175516</v>
      </c>
      <c r="AU15" s="72">
        <f>IFERROR(IF(d_ss_Bv!W15=0,".",((Ir*F*MLF_strawberry*(1-EXP(-RadSpec!BC15*t_b)))/(P*RadSpec!BC15))),".")</f>
        <v>2.8597128609880828E-3</v>
      </c>
      <c r="AV15" s="72">
        <f>IFERROR(IF(d_ss_Bv!X15=0,".",((Ir*F*MLF_tomato*(1-EXP(-RadSpec!BC15*t_b)))/(P*RadSpec!BC15))),".")</f>
        <v>5.6836793112138136E-2</v>
      </c>
      <c r="AW15" s="72">
        <f>IFERROR(IF(d_ss_Bv!Y15=0,".",((Ir*F*MLF_rice*(1-EXP(-RadSpec!BC15*t_b)))/(P*RadSpec!BC15))),".")</f>
        <v>8.9366026905877582</v>
      </c>
      <c r="AX15" s="72">
        <f>IFERROR(IF(d_ss_Bv!Z15=0,".",((Ir*F*MLF_cereal*(1-EXP(-RadSpec!BC15*t_b)))/(P*RadSpec!BC15))),".")</f>
        <v>8.9366026905877582</v>
      </c>
      <c r="AY15" s="72">
        <f>IFERROR(IF(d_ss_Bv!C15=0,".",((Ir*F*I_f*T*(1-EXP(-RadSpec!BD15*t_v)))/(Y_v*RadSpec!BD15))),".")</f>
        <v>3.6424203206347228</v>
      </c>
      <c r="AZ15" s="72">
        <f>IFERROR(IF(d_ss_Bv!D15=0,".",((Ir*F*I_f*T*(1-EXP(-RadSpec!BD15*t_v)))/(Y_v*RadSpec!BD15))),".")</f>
        <v>3.6424203206347228</v>
      </c>
      <c r="BA15" s="72">
        <f>IFERROR(IF(d_ss_Bv!E15=0,".",((Ir*F*I_f*T*(1-EXP(-RadSpec!BD15*t_v)))/(Y_v*RadSpec!BD15))),".")</f>
        <v>3.6424203206347228</v>
      </c>
      <c r="BB15" s="72">
        <f>IFERROR(IF(d_ss_Bv!F15=0,".",((Ir*F*I_f*T*(1-EXP(-RadSpec!BD15*t_v)))/(Y_v*RadSpec!BD15))),".")</f>
        <v>3.6424203206347228</v>
      </c>
      <c r="BC15" s="72">
        <f>IFERROR(IF(d_ss_Bv!G15=0,".",((Ir*F*I_f*T*(1-EXP(-RadSpec!BD15*t_v)))/(Y_v*RadSpec!BD15))),".")</f>
        <v>3.6424203206347228</v>
      </c>
      <c r="BD15" s="72">
        <f>IFERROR(IF(d_ss_Bv!H15=0,".",((Ir*F*I_f*T*(1-EXP(-RadSpec!BD15*t_v)))/(Y_v*RadSpec!BD15))),".")</f>
        <v>3.6424203206347228</v>
      </c>
      <c r="BE15" s="72">
        <f>IFERROR(IF(d_ss_Bv!I15=0,".",((Ir*F*I_f*T*(1-EXP(-RadSpec!BD15*t_v)))/(Y_v*RadSpec!BD15))),".")</f>
        <v>3.6424203206347228</v>
      </c>
      <c r="BF15" s="72">
        <f>IFERROR(IF(d_ss_Bv!J15=0,".",((Ir*F*I_f*T*(1-EXP(-RadSpec!BD15*t_v)))/(Y_v*RadSpec!BD15))),".")</f>
        <v>3.6424203206347228</v>
      </c>
      <c r="BG15" s="72">
        <f>IFERROR(IF(d_ss_Bv!K15=0,".",((Ir*F*I_f*T*(1-EXP(-RadSpec!BD15*t_v)))/(Y_v*RadSpec!BD15))),".")</f>
        <v>3.6424203206347228</v>
      </c>
      <c r="BH15" s="72">
        <f>IFERROR(IF(d_ss_Bv!L15=0,".",((Ir*F*I_f*T*(1-EXP(-RadSpec!BD15*t_v)))/(Y_v*RadSpec!BD15))),".")</f>
        <v>3.6424203206347228</v>
      </c>
      <c r="BI15" s="72">
        <f>IFERROR(IF(d_ss_Bv!M15=0,".",((Ir*F*I_f*T*(1-EXP(-RadSpec!BD15*t_v)))/(Y_v*RadSpec!BD15))),".")</f>
        <v>3.6424203206347228</v>
      </c>
      <c r="BJ15" s="72">
        <f>IFERROR(IF(d_ss_Bv!N15=0,".",((Ir*F*I_f*T*(1-EXP(-RadSpec!BD15*t_v)))/(Y_v*RadSpec!BD15))),".")</f>
        <v>3.6424203206347228</v>
      </c>
      <c r="BK15" s="72">
        <f>IFERROR(IF(d_ss_Bv!O15=0,".",((Ir*F*I_f*T*(1-EXP(-RadSpec!BD15*t_v)))/(Y_v*RadSpec!BD15))),".")</f>
        <v>3.6424203206347228</v>
      </c>
      <c r="BL15" s="72">
        <f>IFERROR(IF(d_ss_Bv!P15=0,".",((Ir*F*I_f*T*(1-EXP(-RadSpec!BD15*t_v)))/(Y_v*RadSpec!BD15))),".")</f>
        <v>3.6424203206347228</v>
      </c>
      <c r="BM15" s="72">
        <f>IFERROR(IF(d_ss_Bv!Q15=0,".",((Ir*F*I_f*T*(1-EXP(-RadSpec!BD15*t_v)))/(Y_v*RadSpec!BD15))),".")</f>
        <v>3.6424203206347228</v>
      </c>
      <c r="BN15" s="72">
        <f>IFERROR(IF(d_ss_Bv!R15=0,".",((Ir*F*I_f*T*(1-EXP(-RadSpec!BD15*t_v)))/(Y_v*RadSpec!BD15))),".")</f>
        <v>3.6424203206347228</v>
      </c>
      <c r="BO15" s="72">
        <f>IFERROR(IF(d_ss_Bv!S15=0,".",((Ir*F*I_f*T*(1-EXP(-RadSpec!BD15*t_v)))/(Y_v*RadSpec!BD15))),".")</f>
        <v>3.6424203206347228</v>
      </c>
      <c r="BP15" s="72">
        <f>IFERROR(IF(d_ss_Bv!T15=0,".",((Ir*F*I_f*T*(1-EXP(-RadSpec!BD15*t_v)))/(Y_v*RadSpec!BD15))),".")</f>
        <v>3.6424203206347228</v>
      </c>
      <c r="BQ15" s="72">
        <f>IFERROR(IF(d_ss_Bv!U15=0,".",((Ir*F*I_f*T*(1-EXP(-RadSpec!BD15*t_v)))/(Y_v*RadSpec!BD15))),".")</f>
        <v>3.6424203206347228</v>
      </c>
      <c r="BR15" s="72">
        <f>IFERROR(IF(d_ss_Bv!V15=0,".",((Ir*F*I_f*T*(1-EXP(-RadSpec!BD15*t_v)))/(Y_v*RadSpec!BD15))),".")</f>
        <v>3.6424203206347228</v>
      </c>
      <c r="BS15" s="72">
        <f>IFERROR(IF(d_ss_Bv!W15=0,".",((Ir*F*I_f*T*(1-EXP(-RadSpec!BD15*t_v)))/(Y_v*RadSpec!BD15))),".")</f>
        <v>3.6424203206347228</v>
      </c>
      <c r="BT15" s="72">
        <f>IFERROR(IF(d_ss_Bv!X15=0,".",((Ir*F*I_f*T*(1-EXP(-RadSpec!BD15*t_v)))/(Y_v*RadSpec!BD15))),".")</f>
        <v>3.6424203206347228</v>
      </c>
      <c r="BU15" s="72">
        <f>IFERROR(IF(d_ss_Bv!Y15=0,".",((Ir*F*I_f*T*(1-EXP(-RadSpec!BD15*t_v)))/(Y_v*RadSpec!BD15))),".")</f>
        <v>3.6424203206347228</v>
      </c>
      <c r="BV15" s="72">
        <f>IFERROR(IF(d_ss_Bv!Z15=0,".",((Ir*F*I_f*T*(1-EXP(-RadSpec!BD15*t_v)))/(Y_v*RadSpec!BD15))),".")</f>
        <v>3.6424203206347228</v>
      </c>
    </row>
    <row r="16" spans="1:74" x14ac:dyDescent="0.25">
      <c r="A16" s="31" t="s">
        <v>14</v>
      </c>
      <c r="B16" s="3" t="s">
        <v>1059</v>
      </c>
      <c r="C16" s="72">
        <f>IFERROR(IF(d_ss_Bv!C16=0,".",((Ir*F*d_ss_Bv!C16*(1-EXP(-RadSpec!BC16*t_b)))/(P*RadSpec!BC16))),".")</f>
        <v>0.35746410762351033</v>
      </c>
      <c r="D16" s="72">
        <f>IFERROR(IF(d_ss_Bv!D16=0,".",((Ir*F*d_ss_Bv!D16*(1-EXP(-RadSpec!BC16*t_b)))/(P*RadSpec!BC16))),".")</f>
        <v>2.8597128609880826</v>
      </c>
      <c r="E16" s="72">
        <f>IFERROR(IF(d_ss_Bv!E16=0,".",((Ir*F*d_ss_Bv!E16*(1-EXP(-RadSpec!BC16*t_b)))/(P*RadSpec!BC16))),".")</f>
        <v>0.53619616143526549</v>
      </c>
      <c r="F16" s="72">
        <f>IFERROR(IF(d_ss_Bv!F16=0,".",((Ir*F*d_ss_Bv!F16*(1-EXP(-RadSpec!BC16*t_b)))/(P*RadSpec!BC16))),".")</f>
        <v>0.35746410762351033</v>
      </c>
      <c r="G16" s="72">
        <f>IFERROR(IF(d_ss_Bv!G16=0,".",((Ir*F*d_ss_Bv!G16*(1-EXP(-RadSpec!BC16*t_b)))/(P*RadSpec!BC16))),".")</f>
        <v>0.53619616143526549</v>
      </c>
      <c r="H16" s="72">
        <f>IFERROR(IF(d_ss_Bv!H16=0,".",((Ir*F*d_ss_Bv!H16*(1-EXP(-RadSpec!BC16*t_b)))/(P*RadSpec!BC16))),".")</f>
        <v>2.8597128609880826</v>
      </c>
      <c r="I16" s="72">
        <f>IFERROR(IF(d_ss_Bv!I16=0,".",((Ir*F*d_ss_Bv!I16*(1-EXP(-RadSpec!BC16*t_b)))/(P*RadSpec!BC16))),".")</f>
        <v>0.53619616143526549</v>
      </c>
      <c r="J16" s="72">
        <f>IFERROR(IF(d_ss_Bv!J16=0,".",((Ir*F*d_ss_Bv!J16*(1-EXP(-RadSpec!BC16*t_b)))/(P*RadSpec!BC16))),".")</f>
        <v>0.35746410762351033</v>
      </c>
      <c r="K16" s="72">
        <f>IFERROR(IF(d_ss_Bv!K16=0,".",((Ir*F*d_ss_Bv!K16*(1-EXP(-RadSpec!BC16*t_b)))/(P*RadSpec!BC16))),".")</f>
        <v>4.2895692914821232E-2</v>
      </c>
      <c r="L16" s="72">
        <f>IFERROR(IF(d_ss_Bv!L16=0,".",((Ir*F*d_ss_Bv!L16*(1-EXP(-RadSpec!BC16*t_b)))/(P*RadSpec!BC16))),".")</f>
        <v>0.53619616143526549</v>
      </c>
      <c r="M16" s="72">
        <f>IFERROR(IF(d_ss_Bv!M16=0,".",((Ir*F*d_ss_Bv!M16*(1-EXP(-RadSpec!BC16*t_b)))/(P*RadSpec!BC16))),".")</f>
        <v>2.8597128609880826</v>
      </c>
      <c r="N16" s="72">
        <f>IFERROR(IF(d_ss_Bv!N16=0,".",((Ir*F*d_ss_Bv!N16*(1-EXP(-RadSpec!BC16*t_b)))/(P*RadSpec!BC16))),".")</f>
        <v>0.18945597704046047</v>
      </c>
      <c r="O16" s="72">
        <f>IFERROR(IF(d_ss_Bv!O16=0,".",((Ir*F*d_ss_Bv!O16*(1-EXP(-RadSpec!BC16*t_b)))/(P*RadSpec!BC16))),".")</f>
        <v>0.53619616143526549</v>
      </c>
      <c r="P16" s="72">
        <f>IFERROR(IF(d_ss_Bv!P16=0,".",((Ir*F*d_ss_Bv!P16*(1-EXP(-RadSpec!BC16*t_b)))/(P*RadSpec!BC16))),".")</f>
        <v>0.53619616143526549</v>
      </c>
      <c r="Q16" s="72">
        <f>IFERROR(IF(d_ss_Bv!Q16=0,".",((Ir*F*d_ss_Bv!Q16*(1-EXP(-RadSpec!BC16*t_b)))/(P*RadSpec!BC16))),".")</f>
        <v>0.35746410762351033</v>
      </c>
      <c r="R16" s="72">
        <f>IFERROR(IF(d_ss_Bv!R16=0,".",((Ir*F*d_ss_Bv!R16*(1-EXP(-RadSpec!BC16*t_b)))/(P*RadSpec!BC16))),".")</f>
        <v>0.35746410762351033</v>
      </c>
      <c r="S16" s="72">
        <f>IFERROR(IF(d_ss_Bv!S16=0,".",((Ir*F*d_ss_Bv!S16*(1-EXP(-RadSpec!BC16*t_b)))/(P*RadSpec!BC16))),".")</f>
        <v>0.18945597704046047</v>
      </c>
      <c r="T16" s="72">
        <f>IFERROR(IF(d_ss_Bv!T16=0,".",((Ir*F*d_ss_Bv!T16*(1-EXP(-RadSpec!BC16*t_b)))/(P*RadSpec!BC16))),".")</f>
        <v>5.361961614352654E-2</v>
      </c>
      <c r="U16" s="72">
        <f>IFERROR(IF(d_ss_Bv!U16=0,".",((Ir*F*d_ss_Bv!U16*(1-EXP(-RadSpec!BC16*t_b)))/(P*RadSpec!BC16))),".")</f>
        <v>0.53619616143526549</v>
      </c>
      <c r="V16" s="72">
        <f>IFERROR(IF(d_ss_Bv!V16=0,".",((Ir*F*d_ss_Bv!V16*(1-EXP(-RadSpec!BC16*t_b)))/(P*RadSpec!BC16))),".")</f>
        <v>0.18945597704046047</v>
      </c>
      <c r="W16" s="72">
        <f>IFERROR(IF(d_ss_Bv!W16=0,".",((Ir*F*d_ss_Bv!W16*(1-EXP(-RadSpec!BC16*t_b)))/(P*RadSpec!BC16))),".")</f>
        <v>0.35746410762351033</v>
      </c>
      <c r="X16" s="72">
        <f>IFERROR(IF(d_ss_Bv!X16=0,".",((Ir*F*d_ss_Bv!X16*(1-EXP(-RadSpec!BC16*t_b)))/(P*RadSpec!BC16))),".")</f>
        <v>0.53619616143526549</v>
      </c>
      <c r="Y16" s="72">
        <f>IFERROR(IF(d_ss_Bv!Y16=0,".",((Ir*F*d_ss_Bv!Y16*(1-EXP(-RadSpec!BC16*t_b)))/(P*RadSpec!BC16))),".")</f>
        <v>1.0366459121081799E-2</v>
      </c>
      <c r="Z16" s="72">
        <f>IFERROR(IF(d_ss_Bv!Z16=0,".",((Ir*F*d_ss_Bv!Z16*(1-EXP(-RadSpec!BC16*t_b)))/(P*RadSpec!BC16))),".")</f>
        <v>0.39321051838586135</v>
      </c>
      <c r="AA16" s="72">
        <f>IFERROR(IF(d_ss_Bv!C16=0,".",((Ir*F*MLF_apple*(1-EXP(-RadSpec!BC16*t_b)))/(P*RadSpec!BC16))),".")</f>
        <v>5.7194257219761657E-3</v>
      </c>
      <c r="AB16" s="72">
        <f>IFERROR(IF(d_ss_Bv!D16=0,".",((Ir*F*MLF_asparagus*(1-EXP(-RadSpec!BC16*t_b)))/(P*RadSpec!BC16))),".")</f>
        <v>2.8239664502257315E-3</v>
      </c>
      <c r="AC16" s="72">
        <f>IFERROR(IF(d_ss_Bv!E16=0,".",((Ir*F*MLF_beet*(1-EXP(-RadSpec!BC16*t_b)))/(P*RadSpec!BC16))),".")</f>
        <v>4.9330046852044422E-3</v>
      </c>
      <c r="AD16" s="72">
        <f>IFERROR(IF(d_ss_Bv!F16=0,".",((Ir*F*MLF_berries*(1-EXP(-RadSpec!BC16*t_b)))/(P*RadSpec!BC16))),".")</f>
        <v>5.9339041865502712E-3</v>
      </c>
      <c r="AE16" s="72">
        <f>IFERROR(IF(d_ss_Bv!G16=0,".",((Ir*F*MLF_broccoli*(1-EXP(-RadSpec!BC16*t_b)))/(P*RadSpec!BC16))),".")</f>
        <v>3.6103874869974538E-2</v>
      </c>
      <c r="AF16" s="72">
        <f>IFERROR(IF(d_ss_Bv!H16=0,".",((Ir*F*MLF_cabbage*(1-EXP(-RadSpec!BC16*t_b)))/(P*RadSpec!BC16))),".")</f>
        <v>3.7533731300468582E-3</v>
      </c>
      <c r="AG16" s="72">
        <f>IFERROR(IF(d_ss_Bv!I16=0,".",((Ir*F*MLF_carrot*(1-EXP(-RadSpec!BC16*t_b)))/(P*RadSpec!BC16))),".")</f>
        <v>3.4674018439480501E-3</v>
      </c>
      <c r="AH16" s="72">
        <f>IFERROR(IF(d_ss_Bv!J16=0,".",((Ir*F*MLF_citrus*(1-EXP(-RadSpec!BC16*t_b)))/(P*RadSpec!BC16))),".")</f>
        <v>5.6121864896891112E-3</v>
      </c>
      <c r="AI16" s="72">
        <f>IFERROR(IF(d_ss_Bv!K16=0,".",((Ir*F*MLF_corn*(1-EXP(-RadSpec!BC16*t_b)))/(P*RadSpec!BC16))),".")</f>
        <v>5.1832295605408994E-3</v>
      </c>
      <c r="AJ16" s="72">
        <f>IFERROR(IF(d_ss_Bv!L16=0,".",((Ir*F*MLF_cucumber*(1-EXP(-RadSpec!BC16*t_b)))/(P*RadSpec!BC16))),".")</f>
        <v>1.4298564304940414E-3</v>
      </c>
      <c r="AK16" s="72">
        <f>IFERROR(IF(d_ss_Bv!M16=0,".",((Ir*F*MLF_lettuce*(1-EXP(-RadSpec!BC16*t_b)))/(P*RadSpec!BC16))),".")</f>
        <v>0.48257654529173893</v>
      </c>
      <c r="AL16" s="72">
        <f>IFERROR(IF(d_ss_Bv!N16=0,".",((Ir*F*MLF_lima_bean*(1-EXP(-RadSpec!BC16*t_b)))/(P*RadSpec!BC16))),".")</f>
        <v>0.13690875321980447</v>
      </c>
      <c r="AM16" s="72">
        <f>IFERROR(IF(d_ss_Bv!O16=0,".",((Ir*F*MLF_okra*(1-EXP(-RadSpec!BC16*t_b)))/(P*RadSpec!BC16))),".")</f>
        <v>2.8597128609880828E-3</v>
      </c>
      <c r="AN16" s="72">
        <f>IFERROR(IF(d_ss_Bv!P16=0,".",((Ir*F*MLF_onion*(1-EXP(-RadSpec!BC16*t_b)))/(P*RadSpec!BC16))),".")</f>
        <v>3.4674018439480501E-3</v>
      </c>
      <c r="AO16" s="72">
        <f>IFERROR(IF(d_ss_Bv!Q16=0,".",((Ir*F*MLF_peach*(1-EXP(-RadSpec!BC16*t_b)))/(P*RadSpec!BC16))),".")</f>
        <v>5.361961614352654E-3</v>
      </c>
      <c r="AP16" s="72" t="str">
        <f>IFERROR(IF(d_ss_Bv!OI16=0,".",((Ir*F*MLF_pear*(1-EXP(-RadSpec!BC16*t_b)))/(P*RadSpec!BC16))),".")</f>
        <v>.</v>
      </c>
      <c r="AQ16" s="72">
        <f>IFERROR(IF(d_ss_Bv!S16=0,".",((Ir*F*MLF_peas*(1-EXP(-RadSpec!BC16*t_b)))/(P*RadSpec!BC16))),".")</f>
        <v>6.3628611156984829E-3</v>
      </c>
      <c r="AR16" s="72">
        <f>IFERROR(IF(d_ss_Bv!T16=0,".",((Ir*F*MLF_potato*(1-EXP(-RadSpec!BC16*t_b)))/(P*RadSpec!BC16))),".")</f>
        <v>7.5067462600937164E-3</v>
      </c>
      <c r="AS16" s="72">
        <f>IFERROR(IF(d_ss_Bv!U16=0,".",((Ir*F*MLF_pumpkin*(1-EXP(-RadSpec!BC16*t_b)))/(P*RadSpec!BC16))),".")</f>
        <v>2.0732918242163598E-3</v>
      </c>
      <c r="AT16" s="72">
        <f>IFERROR(IF(d_ss_Bv!V16=0,".",((Ir*F*MLF_snap_bean*(1-EXP(-RadSpec!BC16*t_b)))/(P*RadSpec!BC16))),".")</f>
        <v>0.17873205381175516</v>
      </c>
      <c r="AU16" s="72">
        <f>IFERROR(IF(d_ss_Bv!W16=0,".",((Ir*F*MLF_strawberry*(1-EXP(-RadSpec!BC16*t_b)))/(P*RadSpec!BC16))),".")</f>
        <v>2.8597128609880828E-3</v>
      </c>
      <c r="AV16" s="72">
        <f>IFERROR(IF(d_ss_Bv!X16=0,".",((Ir*F*MLF_tomato*(1-EXP(-RadSpec!BC16*t_b)))/(P*RadSpec!BC16))),".")</f>
        <v>5.6836793112138136E-2</v>
      </c>
      <c r="AW16" s="72">
        <f>IFERROR(IF(d_ss_Bv!Y16=0,".",((Ir*F*MLF_rice*(1-EXP(-RadSpec!BC16*t_b)))/(P*RadSpec!BC16))),".")</f>
        <v>8.9366026905877582</v>
      </c>
      <c r="AX16" s="72">
        <f>IFERROR(IF(d_ss_Bv!Z16=0,".",((Ir*F*MLF_cereal*(1-EXP(-RadSpec!BC16*t_b)))/(P*RadSpec!BC16))),".")</f>
        <v>8.9366026905877582</v>
      </c>
      <c r="AY16" s="72">
        <f>IFERROR(IF(d_ss_Bv!C16=0,".",((Ir*F*I_f*T*(1-EXP(-RadSpec!BD16*t_v)))/(Y_v*RadSpec!BD16))),".")</f>
        <v>3.6424203206347228</v>
      </c>
      <c r="AZ16" s="72">
        <f>IFERROR(IF(d_ss_Bv!D16=0,".",((Ir*F*I_f*T*(1-EXP(-RadSpec!BD16*t_v)))/(Y_v*RadSpec!BD16))),".")</f>
        <v>3.6424203206347228</v>
      </c>
      <c r="BA16" s="72">
        <f>IFERROR(IF(d_ss_Bv!E16=0,".",((Ir*F*I_f*T*(1-EXP(-RadSpec!BD16*t_v)))/(Y_v*RadSpec!BD16))),".")</f>
        <v>3.6424203206347228</v>
      </c>
      <c r="BB16" s="72">
        <f>IFERROR(IF(d_ss_Bv!F16=0,".",((Ir*F*I_f*T*(1-EXP(-RadSpec!BD16*t_v)))/(Y_v*RadSpec!BD16))),".")</f>
        <v>3.6424203206347228</v>
      </c>
      <c r="BC16" s="72">
        <f>IFERROR(IF(d_ss_Bv!G16=0,".",((Ir*F*I_f*T*(1-EXP(-RadSpec!BD16*t_v)))/(Y_v*RadSpec!BD16))),".")</f>
        <v>3.6424203206347228</v>
      </c>
      <c r="BD16" s="72">
        <f>IFERROR(IF(d_ss_Bv!H16=0,".",((Ir*F*I_f*T*(1-EXP(-RadSpec!BD16*t_v)))/(Y_v*RadSpec!BD16))),".")</f>
        <v>3.6424203206347228</v>
      </c>
      <c r="BE16" s="72">
        <f>IFERROR(IF(d_ss_Bv!I16=0,".",((Ir*F*I_f*T*(1-EXP(-RadSpec!BD16*t_v)))/(Y_v*RadSpec!BD16))),".")</f>
        <v>3.6424203206347228</v>
      </c>
      <c r="BF16" s="72">
        <f>IFERROR(IF(d_ss_Bv!J16=0,".",((Ir*F*I_f*T*(1-EXP(-RadSpec!BD16*t_v)))/(Y_v*RadSpec!BD16))),".")</f>
        <v>3.6424203206347228</v>
      </c>
      <c r="BG16" s="72">
        <f>IFERROR(IF(d_ss_Bv!K16=0,".",((Ir*F*I_f*T*(1-EXP(-RadSpec!BD16*t_v)))/(Y_v*RadSpec!BD16))),".")</f>
        <v>3.6424203206347228</v>
      </c>
      <c r="BH16" s="72">
        <f>IFERROR(IF(d_ss_Bv!L16=0,".",((Ir*F*I_f*T*(1-EXP(-RadSpec!BD16*t_v)))/(Y_v*RadSpec!BD16))),".")</f>
        <v>3.6424203206347228</v>
      </c>
      <c r="BI16" s="72">
        <f>IFERROR(IF(d_ss_Bv!M16=0,".",((Ir*F*I_f*T*(1-EXP(-RadSpec!BD16*t_v)))/(Y_v*RadSpec!BD16))),".")</f>
        <v>3.6424203206347228</v>
      </c>
      <c r="BJ16" s="72">
        <f>IFERROR(IF(d_ss_Bv!N16=0,".",((Ir*F*I_f*T*(1-EXP(-RadSpec!BD16*t_v)))/(Y_v*RadSpec!BD16))),".")</f>
        <v>3.6424203206347228</v>
      </c>
      <c r="BK16" s="72">
        <f>IFERROR(IF(d_ss_Bv!O16=0,".",((Ir*F*I_f*T*(1-EXP(-RadSpec!BD16*t_v)))/(Y_v*RadSpec!BD16))),".")</f>
        <v>3.6424203206347228</v>
      </c>
      <c r="BL16" s="72">
        <f>IFERROR(IF(d_ss_Bv!P16=0,".",((Ir*F*I_f*T*(1-EXP(-RadSpec!BD16*t_v)))/(Y_v*RadSpec!BD16))),".")</f>
        <v>3.6424203206347228</v>
      </c>
      <c r="BM16" s="72">
        <f>IFERROR(IF(d_ss_Bv!Q16=0,".",((Ir*F*I_f*T*(1-EXP(-RadSpec!BD16*t_v)))/(Y_v*RadSpec!BD16))),".")</f>
        <v>3.6424203206347228</v>
      </c>
      <c r="BN16" s="72">
        <f>IFERROR(IF(d_ss_Bv!R16=0,".",((Ir*F*I_f*T*(1-EXP(-RadSpec!BD16*t_v)))/(Y_v*RadSpec!BD16))),".")</f>
        <v>3.6424203206347228</v>
      </c>
      <c r="BO16" s="72">
        <f>IFERROR(IF(d_ss_Bv!S16=0,".",((Ir*F*I_f*T*(1-EXP(-RadSpec!BD16*t_v)))/(Y_v*RadSpec!BD16))),".")</f>
        <v>3.6424203206347228</v>
      </c>
      <c r="BP16" s="72">
        <f>IFERROR(IF(d_ss_Bv!T16=0,".",((Ir*F*I_f*T*(1-EXP(-RadSpec!BD16*t_v)))/(Y_v*RadSpec!BD16))),".")</f>
        <v>3.6424203206347228</v>
      </c>
      <c r="BQ16" s="72">
        <f>IFERROR(IF(d_ss_Bv!U16=0,".",((Ir*F*I_f*T*(1-EXP(-RadSpec!BD16*t_v)))/(Y_v*RadSpec!BD16))),".")</f>
        <v>3.6424203206347228</v>
      </c>
      <c r="BR16" s="72">
        <f>IFERROR(IF(d_ss_Bv!V16=0,".",((Ir*F*I_f*T*(1-EXP(-RadSpec!BD16*t_v)))/(Y_v*RadSpec!BD16))),".")</f>
        <v>3.6424203206347228</v>
      </c>
      <c r="BS16" s="72">
        <f>IFERROR(IF(d_ss_Bv!W16=0,".",((Ir*F*I_f*T*(1-EXP(-RadSpec!BD16*t_v)))/(Y_v*RadSpec!BD16))),".")</f>
        <v>3.6424203206347228</v>
      </c>
      <c r="BT16" s="72">
        <f>IFERROR(IF(d_ss_Bv!X16=0,".",((Ir*F*I_f*T*(1-EXP(-RadSpec!BD16*t_v)))/(Y_v*RadSpec!BD16))),".")</f>
        <v>3.6424203206347228</v>
      </c>
      <c r="BU16" s="72">
        <f>IFERROR(IF(d_ss_Bv!Y16=0,".",((Ir*F*I_f*T*(1-EXP(-RadSpec!BD16*t_v)))/(Y_v*RadSpec!BD16))),".")</f>
        <v>3.6424203206347228</v>
      </c>
      <c r="BV16" s="72">
        <f>IFERROR(IF(d_ss_Bv!Z16=0,".",((Ir*F*I_f*T*(1-EXP(-RadSpec!BD16*t_v)))/(Y_v*RadSpec!BD16))),".")</f>
        <v>3.6424203206347228</v>
      </c>
    </row>
    <row r="17" spans="1:74" x14ac:dyDescent="0.25">
      <c r="A17" s="31" t="s">
        <v>15</v>
      </c>
      <c r="B17" s="3" t="s">
        <v>1059</v>
      </c>
      <c r="C17" s="72">
        <f>IFERROR(IF(d_ss_Bv!C17=0,".",((Ir*F*d_ss_Bv!C17*(1-EXP(-RadSpec!BC17*t_b)))/(P*RadSpec!BC17))),".")</f>
        <v>0.35746410762351033</v>
      </c>
      <c r="D17" s="72">
        <f>IFERROR(IF(d_ss_Bv!D17=0,".",((Ir*F*d_ss_Bv!D17*(1-EXP(-RadSpec!BC17*t_b)))/(P*RadSpec!BC17))),".")</f>
        <v>2.8597128609880826</v>
      </c>
      <c r="E17" s="72">
        <f>IFERROR(IF(d_ss_Bv!E17=0,".",((Ir*F*d_ss_Bv!E17*(1-EXP(-RadSpec!BC17*t_b)))/(P*RadSpec!BC17))),".")</f>
        <v>0.53619616143526549</v>
      </c>
      <c r="F17" s="72">
        <f>IFERROR(IF(d_ss_Bv!F17=0,".",((Ir*F*d_ss_Bv!F17*(1-EXP(-RadSpec!BC17*t_b)))/(P*RadSpec!BC17))),".")</f>
        <v>0.35746410762351033</v>
      </c>
      <c r="G17" s="72">
        <f>IFERROR(IF(d_ss_Bv!G17=0,".",((Ir*F*d_ss_Bv!G17*(1-EXP(-RadSpec!BC17*t_b)))/(P*RadSpec!BC17))),".")</f>
        <v>0.53619616143526549</v>
      </c>
      <c r="H17" s="72">
        <f>IFERROR(IF(d_ss_Bv!H17=0,".",((Ir*F*d_ss_Bv!H17*(1-EXP(-RadSpec!BC17*t_b)))/(P*RadSpec!BC17))),".")</f>
        <v>2.8597128609880826</v>
      </c>
      <c r="I17" s="72">
        <f>IFERROR(IF(d_ss_Bv!I17=0,".",((Ir*F*d_ss_Bv!I17*(1-EXP(-RadSpec!BC17*t_b)))/(P*RadSpec!BC17))),".")</f>
        <v>0.53619616143526549</v>
      </c>
      <c r="J17" s="72">
        <f>IFERROR(IF(d_ss_Bv!J17=0,".",((Ir*F*d_ss_Bv!J17*(1-EXP(-RadSpec!BC17*t_b)))/(P*RadSpec!BC17))),".")</f>
        <v>0.35746410762351033</v>
      </c>
      <c r="K17" s="72">
        <f>IFERROR(IF(d_ss_Bv!K17=0,".",((Ir*F*d_ss_Bv!K17*(1-EXP(-RadSpec!BC17*t_b)))/(P*RadSpec!BC17))),".")</f>
        <v>4.2895692914821232E-2</v>
      </c>
      <c r="L17" s="72">
        <f>IFERROR(IF(d_ss_Bv!L17=0,".",((Ir*F*d_ss_Bv!L17*(1-EXP(-RadSpec!BC17*t_b)))/(P*RadSpec!BC17))),".")</f>
        <v>0.53619616143526549</v>
      </c>
      <c r="M17" s="72">
        <f>IFERROR(IF(d_ss_Bv!M17=0,".",((Ir*F*d_ss_Bv!M17*(1-EXP(-RadSpec!BC17*t_b)))/(P*RadSpec!BC17))),".")</f>
        <v>2.8597128609880826</v>
      </c>
      <c r="N17" s="72">
        <f>IFERROR(IF(d_ss_Bv!N17=0,".",((Ir*F*d_ss_Bv!N17*(1-EXP(-RadSpec!BC17*t_b)))/(P*RadSpec!BC17))),".")</f>
        <v>0.18945597704046047</v>
      </c>
      <c r="O17" s="72">
        <f>IFERROR(IF(d_ss_Bv!O17=0,".",((Ir*F*d_ss_Bv!O17*(1-EXP(-RadSpec!BC17*t_b)))/(P*RadSpec!BC17))),".")</f>
        <v>0.53619616143526549</v>
      </c>
      <c r="P17" s="72">
        <f>IFERROR(IF(d_ss_Bv!P17=0,".",((Ir*F*d_ss_Bv!P17*(1-EXP(-RadSpec!BC17*t_b)))/(P*RadSpec!BC17))),".")</f>
        <v>0.53619616143526549</v>
      </c>
      <c r="Q17" s="72">
        <f>IFERROR(IF(d_ss_Bv!Q17=0,".",((Ir*F*d_ss_Bv!Q17*(1-EXP(-RadSpec!BC17*t_b)))/(P*RadSpec!BC17))),".")</f>
        <v>0.35746410762351033</v>
      </c>
      <c r="R17" s="72">
        <f>IFERROR(IF(d_ss_Bv!R17=0,".",((Ir*F*d_ss_Bv!R17*(1-EXP(-RadSpec!BC17*t_b)))/(P*RadSpec!BC17))),".")</f>
        <v>0.35746410762351033</v>
      </c>
      <c r="S17" s="72">
        <f>IFERROR(IF(d_ss_Bv!S17=0,".",((Ir*F*d_ss_Bv!S17*(1-EXP(-RadSpec!BC17*t_b)))/(P*RadSpec!BC17))),".")</f>
        <v>0.18945597704046047</v>
      </c>
      <c r="T17" s="72">
        <f>IFERROR(IF(d_ss_Bv!T17=0,".",((Ir*F*d_ss_Bv!T17*(1-EXP(-RadSpec!BC17*t_b)))/(P*RadSpec!BC17))),".")</f>
        <v>5.361961614352654E-2</v>
      </c>
      <c r="U17" s="72">
        <f>IFERROR(IF(d_ss_Bv!U17=0,".",((Ir*F*d_ss_Bv!U17*(1-EXP(-RadSpec!BC17*t_b)))/(P*RadSpec!BC17))),".")</f>
        <v>0.53619616143526549</v>
      </c>
      <c r="V17" s="72">
        <f>IFERROR(IF(d_ss_Bv!V17=0,".",((Ir*F*d_ss_Bv!V17*(1-EXP(-RadSpec!BC17*t_b)))/(P*RadSpec!BC17))),".")</f>
        <v>0.18945597704046047</v>
      </c>
      <c r="W17" s="72">
        <f>IFERROR(IF(d_ss_Bv!W17=0,".",((Ir*F*d_ss_Bv!W17*(1-EXP(-RadSpec!BC17*t_b)))/(P*RadSpec!BC17))),".")</f>
        <v>0.35746410762351033</v>
      </c>
      <c r="X17" s="72">
        <f>IFERROR(IF(d_ss_Bv!X17=0,".",((Ir*F*d_ss_Bv!X17*(1-EXP(-RadSpec!BC17*t_b)))/(P*RadSpec!BC17))),".")</f>
        <v>0.53619616143526549</v>
      </c>
      <c r="Y17" s="72">
        <f>IFERROR(IF(d_ss_Bv!Y17=0,".",((Ir*F*d_ss_Bv!Y17*(1-EXP(-RadSpec!BC17*t_b)))/(P*RadSpec!BC17))),".")</f>
        <v>1.0366459121081799E-2</v>
      </c>
      <c r="Z17" s="72">
        <f>IFERROR(IF(d_ss_Bv!Z17=0,".",((Ir*F*d_ss_Bv!Z17*(1-EXP(-RadSpec!BC17*t_b)))/(P*RadSpec!BC17))),".")</f>
        <v>0.39321051838586135</v>
      </c>
      <c r="AA17" s="72">
        <f>IFERROR(IF(d_ss_Bv!C17=0,".",((Ir*F*MLF_apple*(1-EXP(-RadSpec!BC17*t_b)))/(P*RadSpec!BC17))),".")</f>
        <v>5.7194257219761657E-3</v>
      </c>
      <c r="AB17" s="72">
        <f>IFERROR(IF(d_ss_Bv!D17=0,".",((Ir*F*MLF_asparagus*(1-EXP(-RadSpec!BC17*t_b)))/(P*RadSpec!BC17))),".")</f>
        <v>2.8239664502257315E-3</v>
      </c>
      <c r="AC17" s="72">
        <f>IFERROR(IF(d_ss_Bv!E17=0,".",((Ir*F*MLF_beet*(1-EXP(-RadSpec!BC17*t_b)))/(P*RadSpec!BC17))),".")</f>
        <v>4.9330046852044422E-3</v>
      </c>
      <c r="AD17" s="72">
        <f>IFERROR(IF(d_ss_Bv!F17=0,".",((Ir*F*MLF_berries*(1-EXP(-RadSpec!BC17*t_b)))/(P*RadSpec!BC17))),".")</f>
        <v>5.9339041865502712E-3</v>
      </c>
      <c r="AE17" s="72">
        <f>IFERROR(IF(d_ss_Bv!G17=0,".",((Ir*F*MLF_broccoli*(1-EXP(-RadSpec!BC17*t_b)))/(P*RadSpec!BC17))),".")</f>
        <v>3.6103874869974538E-2</v>
      </c>
      <c r="AF17" s="72">
        <f>IFERROR(IF(d_ss_Bv!H17=0,".",((Ir*F*MLF_cabbage*(1-EXP(-RadSpec!BC17*t_b)))/(P*RadSpec!BC17))),".")</f>
        <v>3.7533731300468582E-3</v>
      </c>
      <c r="AG17" s="72">
        <f>IFERROR(IF(d_ss_Bv!I17=0,".",((Ir*F*MLF_carrot*(1-EXP(-RadSpec!BC17*t_b)))/(P*RadSpec!BC17))),".")</f>
        <v>3.4674018439480501E-3</v>
      </c>
      <c r="AH17" s="72">
        <f>IFERROR(IF(d_ss_Bv!J17=0,".",((Ir*F*MLF_citrus*(1-EXP(-RadSpec!BC17*t_b)))/(P*RadSpec!BC17))),".")</f>
        <v>5.6121864896891112E-3</v>
      </c>
      <c r="AI17" s="72">
        <f>IFERROR(IF(d_ss_Bv!K17=0,".",((Ir*F*MLF_corn*(1-EXP(-RadSpec!BC17*t_b)))/(P*RadSpec!BC17))),".")</f>
        <v>5.1832295605408994E-3</v>
      </c>
      <c r="AJ17" s="72">
        <f>IFERROR(IF(d_ss_Bv!L17=0,".",((Ir*F*MLF_cucumber*(1-EXP(-RadSpec!BC17*t_b)))/(P*RadSpec!BC17))),".")</f>
        <v>1.4298564304940414E-3</v>
      </c>
      <c r="AK17" s="72">
        <f>IFERROR(IF(d_ss_Bv!M17=0,".",((Ir*F*MLF_lettuce*(1-EXP(-RadSpec!BC17*t_b)))/(P*RadSpec!BC17))),".")</f>
        <v>0.48257654529173893</v>
      </c>
      <c r="AL17" s="72">
        <f>IFERROR(IF(d_ss_Bv!N17=0,".",((Ir*F*MLF_lima_bean*(1-EXP(-RadSpec!BC17*t_b)))/(P*RadSpec!BC17))),".")</f>
        <v>0.13690875321980447</v>
      </c>
      <c r="AM17" s="72">
        <f>IFERROR(IF(d_ss_Bv!O17=0,".",((Ir*F*MLF_okra*(1-EXP(-RadSpec!BC17*t_b)))/(P*RadSpec!BC17))),".")</f>
        <v>2.8597128609880828E-3</v>
      </c>
      <c r="AN17" s="72">
        <f>IFERROR(IF(d_ss_Bv!P17=0,".",((Ir*F*MLF_onion*(1-EXP(-RadSpec!BC17*t_b)))/(P*RadSpec!BC17))),".")</f>
        <v>3.4674018439480501E-3</v>
      </c>
      <c r="AO17" s="72">
        <f>IFERROR(IF(d_ss_Bv!Q17=0,".",((Ir*F*MLF_peach*(1-EXP(-RadSpec!BC17*t_b)))/(P*RadSpec!BC17))),".")</f>
        <v>5.361961614352654E-3</v>
      </c>
      <c r="AP17" s="72" t="str">
        <f>IFERROR(IF(d_ss_Bv!OI17=0,".",((Ir*F*MLF_pear*(1-EXP(-RadSpec!BC17*t_b)))/(P*RadSpec!BC17))),".")</f>
        <v>.</v>
      </c>
      <c r="AQ17" s="72">
        <f>IFERROR(IF(d_ss_Bv!S17=0,".",((Ir*F*MLF_peas*(1-EXP(-RadSpec!BC17*t_b)))/(P*RadSpec!BC17))),".")</f>
        <v>6.3628611156984829E-3</v>
      </c>
      <c r="AR17" s="72">
        <f>IFERROR(IF(d_ss_Bv!T17=0,".",((Ir*F*MLF_potato*(1-EXP(-RadSpec!BC17*t_b)))/(P*RadSpec!BC17))),".")</f>
        <v>7.5067462600937164E-3</v>
      </c>
      <c r="AS17" s="72">
        <f>IFERROR(IF(d_ss_Bv!U17=0,".",((Ir*F*MLF_pumpkin*(1-EXP(-RadSpec!BC17*t_b)))/(P*RadSpec!BC17))),".")</f>
        <v>2.0732918242163598E-3</v>
      </c>
      <c r="AT17" s="72">
        <f>IFERROR(IF(d_ss_Bv!V17=0,".",((Ir*F*MLF_snap_bean*(1-EXP(-RadSpec!BC17*t_b)))/(P*RadSpec!BC17))),".")</f>
        <v>0.17873205381175516</v>
      </c>
      <c r="AU17" s="72">
        <f>IFERROR(IF(d_ss_Bv!W17=0,".",((Ir*F*MLF_strawberry*(1-EXP(-RadSpec!BC17*t_b)))/(P*RadSpec!BC17))),".")</f>
        <v>2.8597128609880828E-3</v>
      </c>
      <c r="AV17" s="72">
        <f>IFERROR(IF(d_ss_Bv!X17=0,".",((Ir*F*MLF_tomato*(1-EXP(-RadSpec!BC17*t_b)))/(P*RadSpec!BC17))),".")</f>
        <v>5.6836793112138136E-2</v>
      </c>
      <c r="AW17" s="72">
        <f>IFERROR(IF(d_ss_Bv!Y17=0,".",((Ir*F*MLF_rice*(1-EXP(-RadSpec!BC17*t_b)))/(P*RadSpec!BC17))),".")</f>
        <v>8.9366026905877582</v>
      </c>
      <c r="AX17" s="72">
        <f>IFERROR(IF(d_ss_Bv!Z17=0,".",((Ir*F*MLF_cereal*(1-EXP(-RadSpec!BC17*t_b)))/(P*RadSpec!BC17))),".")</f>
        <v>8.9366026905877582</v>
      </c>
      <c r="AY17" s="72">
        <f>IFERROR(IF(d_ss_Bv!C17=0,".",((Ir*F*I_f*T*(1-EXP(-RadSpec!BD17*t_v)))/(Y_v*RadSpec!BD17))),".")</f>
        <v>3.6424203206347228</v>
      </c>
      <c r="AZ17" s="72">
        <f>IFERROR(IF(d_ss_Bv!D17=0,".",((Ir*F*I_f*T*(1-EXP(-RadSpec!BD17*t_v)))/(Y_v*RadSpec!BD17))),".")</f>
        <v>3.6424203206347228</v>
      </c>
      <c r="BA17" s="72">
        <f>IFERROR(IF(d_ss_Bv!E17=0,".",((Ir*F*I_f*T*(1-EXP(-RadSpec!BD17*t_v)))/(Y_v*RadSpec!BD17))),".")</f>
        <v>3.6424203206347228</v>
      </c>
      <c r="BB17" s="72">
        <f>IFERROR(IF(d_ss_Bv!F17=0,".",((Ir*F*I_f*T*(1-EXP(-RadSpec!BD17*t_v)))/(Y_v*RadSpec!BD17))),".")</f>
        <v>3.6424203206347228</v>
      </c>
      <c r="BC17" s="72">
        <f>IFERROR(IF(d_ss_Bv!G17=0,".",((Ir*F*I_f*T*(1-EXP(-RadSpec!BD17*t_v)))/(Y_v*RadSpec!BD17))),".")</f>
        <v>3.6424203206347228</v>
      </c>
      <c r="BD17" s="72">
        <f>IFERROR(IF(d_ss_Bv!H17=0,".",((Ir*F*I_f*T*(1-EXP(-RadSpec!BD17*t_v)))/(Y_v*RadSpec!BD17))),".")</f>
        <v>3.6424203206347228</v>
      </c>
      <c r="BE17" s="72">
        <f>IFERROR(IF(d_ss_Bv!I17=0,".",((Ir*F*I_f*T*(1-EXP(-RadSpec!BD17*t_v)))/(Y_v*RadSpec!BD17))),".")</f>
        <v>3.6424203206347228</v>
      </c>
      <c r="BF17" s="72">
        <f>IFERROR(IF(d_ss_Bv!J17=0,".",((Ir*F*I_f*T*(1-EXP(-RadSpec!BD17*t_v)))/(Y_v*RadSpec!BD17))),".")</f>
        <v>3.6424203206347228</v>
      </c>
      <c r="BG17" s="72">
        <f>IFERROR(IF(d_ss_Bv!K17=0,".",((Ir*F*I_f*T*(1-EXP(-RadSpec!BD17*t_v)))/(Y_v*RadSpec!BD17))),".")</f>
        <v>3.6424203206347228</v>
      </c>
      <c r="BH17" s="72">
        <f>IFERROR(IF(d_ss_Bv!L17=0,".",((Ir*F*I_f*T*(1-EXP(-RadSpec!BD17*t_v)))/(Y_v*RadSpec!BD17))),".")</f>
        <v>3.6424203206347228</v>
      </c>
      <c r="BI17" s="72">
        <f>IFERROR(IF(d_ss_Bv!M17=0,".",((Ir*F*I_f*T*(1-EXP(-RadSpec!BD17*t_v)))/(Y_v*RadSpec!BD17))),".")</f>
        <v>3.6424203206347228</v>
      </c>
      <c r="BJ17" s="72">
        <f>IFERROR(IF(d_ss_Bv!N17=0,".",((Ir*F*I_f*T*(1-EXP(-RadSpec!BD17*t_v)))/(Y_v*RadSpec!BD17))),".")</f>
        <v>3.6424203206347228</v>
      </c>
      <c r="BK17" s="72">
        <f>IFERROR(IF(d_ss_Bv!O17=0,".",((Ir*F*I_f*T*(1-EXP(-RadSpec!BD17*t_v)))/(Y_v*RadSpec!BD17))),".")</f>
        <v>3.6424203206347228</v>
      </c>
      <c r="BL17" s="72">
        <f>IFERROR(IF(d_ss_Bv!P17=0,".",((Ir*F*I_f*T*(1-EXP(-RadSpec!BD17*t_v)))/(Y_v*RadSpec!BD17))),".")</f>
        <v>3.6424203206347228</v>
      </c>
      <c r="BM17" s="72">
        <f>IFERROR(IF(d_ss_Bv!Q17=0,".",((Ir*F*I_f*T*(1-EXP(-RadSpec!BD17*t_v)))/(Y_v*RadSpec!BD17))),".")</f>
        <v>3.6424203206347228</v>
      </c>
      <c r="BN17" s="72">
        <f>IFERROR(IF(d_ss_Bv!R17=0,".",((Ir*F*I_f*T*(1-EXP(-RadSpec!BD17*t_v)))/(Y_v*RadSpec!BD17))),".")</f>
        <v>3.6424203206347228</v>
      </c>
      <c r="BO17" s="72">
        <f>IFERROR(IF(d_ss_Bv!S17=0,".",((Ir*F*I_f*T*(1-EXP(-RadSpec!BD17*t_v)))/(Y_v*RadSpec!BD17))),".")</f>
        <v>3.6424203206347228</v>
      </c>
      <c r="BP17" s="72">
        <f>IFERROR(IF(d_ss_Bv!T17=0,".",((Ir*F*I_f*T*(1-EXP(-RadSpec!BD17*t_v)))/(Y_v*RadSpec!BD17))),".")</f>
        <v>3.6424203206347228</v>
      </c>
      <c r="BQ17" s="72">
        <f>IFERROR(IF(d_ss_Bv!U17=0,".",((Ir*F*I_f*T*(1-EXP(-RadSpec!BD17*t_v)))/(Y_v*RadSpec!BD17))),".")</f>
        <v>3.6424203206347228</v>
      </c>
      <c r="BR17" s="72">
        <f>IFERROR(IF(d_ss_Bv!V17=0,".",((Ir*F*I_f*T*(1-EXP(-RadSpec!BD17*t_v)))/(Y_v*RadSpec!BD17))),".")</f>
        <v>3.6424203206347228</v>
      </c>
      <c r="BS17" s="72">
        <f>IFERROR(IF(d_ss_Bv!W17=0,".",((Ir*F*I_f*T*(1-EXP(-RadSpec!BD17*t_v)))/(Y_v*RadSpec!BD17))),".")</f>
        <v>3.6424203206347228</v>
      </c>
      <c r="BT17" s="72">
        <f>IFERROR(IF(d_ss_Bv!X17=0,".",((Ir*F*I_f*T*(1-EXP(-RadSpec!BD17*t_v)))/(Y_v*RadSpec!BD17))),".")</f>
        <v>3.6424203206347228</v>
      </c>
      <c r="BU17" s="72">
        <f>IFERROR(IF(d_ss_Bv!Y17=0,".",((Ir*F*I_f*T*(1-EXP(-RadSpec!BD17*t_v)))/(Y_v*RadSpec!BD17))),".")</f>
        <v>3.6424203206347228</v>
      </c>
      <c r="BV17" s="72">
        <f>IFERROR(IF(d_ss_Bv!Z17=0,".",((Ir*F*I_f*T*(1-EXP(-RadSpec!BD17*t_v)))/(Y_v*RadSpec!BD17))),".")</f>
        <v>3.6424203206347228</v>
      </c>
    </row>
    <row r="18" spans="1:74" x14ac:dyDescent="0.25">
      <c r="A18" s="31" t="s">
        <v>16</v>
      </c>
      <c r="B18" s="3" t="s">
        <v>1059</v>
      </c>
      <c r="C18" s="72">
        <f>IFERROR(IF(d_ss_Bv!C18=0,".",((Ir*F*d_ss_Bv!C18*(1-EXP(-RadSpec!BC18*t_b)))/(P*RadSpec!BC18))),".")</f>
        <v>7.1492821524702065E-3</v>
      </c>
      <c r="D18" s="72">
        <f>IFERROR(IF(d_ss_Bv!D18=0,".",((Ir*F*d_ss_Bv!D18*(1-EXP(-RadSpec!BC18*t_b)))/(P*RadSpec!BC18))),".")</f>
        <v>0.26452343964139763</v>
      </c>
      <c r="E18" s="72">
        <f>IFERROR(IF(d_ss_Bv!E18=0,".",((Ir*F*d_ss_Bv!E18*(1-EXP(-RadSpec!BC18*t_b)))/(P*RadSpec!BC18))),".")</f>
        <v>0.20732918242163598</v>
      </c>
      <c r="F18" s="72">
        <f>IFERROR(IF(d_ss_Bv!F18=0,".",((Ir*F*d_ss_Bv!F18*(1-EXP(-RadSpec!BC18*t_b)))/(P*RadSpec!BC18))),".")</f>
        <v>7.1492821524702065E-3</v>
      </c>
      <c r="G18" s="72">
        <f>IFERROR(IF(d_ss_Bv!G18=0,".",((Ir*F*d_ss_Bv!G18*(1-EXP(-RadSpec!BC18*t_b)))/(P*RadSpec!BC18))),".")</f>
        <v>7.1492821524702065E-3</v>
      </c>
      <c r="H18" s="72">
        <f>IFERROR(IF(d_ss_Bv!H18=0,".",((Ir*F*d_ss_Bv!H18*(1-EXP(-RadSpec!BC18*t_b)))/(P*RadSpec!BC18))),".")</f>
        <v>0.26452343964139763</v>
      </c>
      <c r="I18" s="72">
        <f>IFERROR(IF(d_ss_Bv!I18=0,".",((Ir*F*d_ss_Bv!I18*(1-EXP(-RadSpec!BC18*t_b)))/(P*RadSpec!BC18))),".")</f>
        <v>0.20732918242163598</v>
      </c>
      <c r="J18" s="72">
        <f>IFERROR(IF(d_ss_Bv!J18=0,".",((Ir*F*d_ss_Bv!J18*(1-EXP(-RadSpec!BC18*t_b)))/(P*RadSpec!BC18))),".")</f>
        <v>7.1492821524702065E-3</v>
      </c>
      <c r="K18" s="72">
        <f>IFERROR(IF(d_ss_Bv!K18=0,".",((Ir*F*d_ss_Bv!K18*(1-EXP(-RadSpec!BC18*t_b)))/(P*RadSpec!BC18))),".")</f>
        <v>8.5791385829642481E-3</v>
      </c>
      <c r="L18" s="72">
        <f>IFERROR(IF(d_ss_Bv!L18=0,".",((Ir*F*d_ss_Bv!L18*(1-EXP(-RadSpec!BC18*t_b)))/(P*RadSpec!BC18))),".")</f>
        <v>7.1492821524702065E-3</v>
      </c>
      <c r="M18" s="72">
        <f>IFERROR(IF(d_ss_Bv!M18=0,".",((Ir*F*d_ss_Bv!M18*(1-EXP(-RadSpec!BC18*t_b)))/(P*RadSpec!BC18))),".")</f>
        <v>0.26452343964139763</v>
      </c>
      <c r="N18" s="72">
        <f>IFERROR(IF(d_ss_Bv!N18=0,".",((Ir*F*d_ss_Bv!N18*(1-EXP(-RadSpec!BC18*t_b)))/(P*RadSpec!BC18))),".")</f>
        <v>9.6515309058347772E-3</v>
      </c>
      <c r="O18" s="72">
        <f>IFERROR(IF(d_ss_Bv!O18=0,".",((Ir*F*d_ss_Bv!O18*(1-EXP(-RadSpec!BC18*t_b)))/(P*RadSpec!BC18))),".")</f>
        <v>7.1492821524702065E-3</v>
      </c>
      <c r="P18" s="72">
        <f>IFERROR(IF(d_ss_Bv!P18=0,".",((Ir*F*d_ss_Bv!P18*(1-EXP(-RadSpec!BC18*t_b)))/(P*RadSpec!BC18))),".")</f>
        <v>7.1492821524702065E-3</v>
      </c>
      <c r="Q18" s="72">
        <f>IFERROR(IF(d_ss_Bv!Q18=0,".",((Ir*F*d_ss_Bv!Q18*(1-EXP(-RadSpec!BC18*t_b)))/(P*RadSpec!BC18))),".")</f>
        <v>7.1492821524702065E-3</v>
      </c>
      <c r="R18" s="72">
        <f>IFERROR(IF(d_ss_Bv!R18=0,".",((Ir*F*d_ss_Bv!R18*(1-EXP(-RadSpec!BC18*t_b)))/(P*RadSpec!BC18))),".")</f>
        <v>7.1492821524702065E-3</v>
      </c>
      <c r="S18" s="72">
        <f>IFERROR(IF(d_ss_Bv!S18=0,".",((Ir*F*d_ss_Bv!S18*(1-EXP(-RadSpec!BC18*t_b)))/(P*RadSpec!BC18))),".")</f>
        <v>9.6515309058347772E-3</v>
      </c>
      <c r="T18" s="72">
        <f>IFERROR(IF(d_ss_Bv!T18=0,".",((Ir*F*d_ss_Bv!T18*(1-EXP(-RadSpec!BC18*t_b)))/(P*RadSpec!BC18))),".")</f>
        <v>9.6515309058347792E-2</v>
      </c>
      <c r="U18" s="72">
        <f>IFERROR(IF(d_ss_Bv!U18=0,".",((Ir*F*d_ss_Bv!U18*(1-EXP(-RadSpec!BC18*t_b)))/(P*RadSpec!BC18))),".")</f>
        <v>7.1492821524702065E-3</v>
      </c>
      <c r="V18" s="72">
        <f>IFERROR(IF(d_ss_Bv!V18=0,".",((Ir*F*d_ss_Bv!V18*(1-EXP(-RadSpec!BC18*t_b)))/(P*RadSpec!BC18))),".")</f>
        <v>9.6515309058347772E-3</v>
      </c>
      <c r="W18" s="72">
        <f>IFERROR(IF(d_ss_Bv!W18=0,".",((Ir*F*d_ss_Bv!W18*(1-EXP(-RadSpec!BC18*t_b)))/(P*RadSpec!BC18))),".")</f>
        <v>7.1492821524702065E-3</v>
      </c>
      <c r="X18" s="72">
        <f>IFERROR(IF(d_ss_Bv!X18=0,".",((Ir*F*d_ss_Bv!X18*(1-EXP(-RadSpec!BC18*t_b)))/(P*RadSpec!BC18))),".")</f>
        <v>7.1492821524702065E-3</v>
      </c>
      <c r="Y18" s="72">
        <f>IFERROR(IF(d_ss_Bv!Y18=0,".",((Ir*F*d_ss_Bv!Y18*(1-EXP(-RadSpec!BC18*t_b)))/(P*RadSpec!BC18))),".")</f>
        <v>0.4647033399105634</v>
      </c>
      <c r="Z18" s="72">
        <f>IFERROR(IF(d_ss_Bv!Z18=0,".",((Ir*F*d_ss_Bv!Z18*(1-EXP(-RadSpec!BC18*t_b)))/(P*RadSpec!BC18))),".")</f>
        <v>8.5791385829642481E-3</v>
      </c>
      <c r="AA18" s="72">
        <f>IFERROR(IF(d_ss_Bv!C18=0,".",((Ir*F*MLF_apple*(1-EXP(-RadSpec!BC18*t_b)))/(P*RadSpec!BC18))),".")</f>
        <v>5.7194257219761657E-3</v>
      </c>
      <c r="AB18" s="72">
        <f>IFERROR(IF(d_ss_Bv!D18=0,".",((Ir*F*MLF_asparagus*(1-EXP(-RadSpec!BC18*t_b)))/(P*RadSpec!BC18))),".")</f>
        <v>2.8239664502257315E-3</v>
      </c>
      <c r="AC18" s="72">
        <f>IFERROR(IF(d_ss_Bv!E18=0,".",((Ir*F*MLF_beet*(1-EXP(-RadSpec!BC18*t_b)))/(P*RadSpec!BC18))),".")</f>
        <v>4.9330046852044422E-3</v>
      </c>
      <c r="AD18" s="72">
        <f>IFERROR(IF(d_ss_Bv!F18=0,".",((Ir*F*MLF_berries*(1-EXP(-RadSpec!BC18*t_b)))/(P*RadSpec!BC18))),".")</f>
        <v>5.9339041865502712E-3</v>
      </c>
      <c r="AE18" s="72">
        <f>IFERROR(IF(d_ss_Bv!G18=0,".",((Ir*F*MLF_broccoli*(1-EXP(-RadSpec!BC18*t_b)))/(P*RadSpec!BC18))),".")</f>
        <v>3.6103874869974538E-2</v>
      </c>
      <c r="AF18" s="72">
        <f>IFERROR(IF(d_ss_Bv!H18=0,".",((Ir*F*MLF_cabbage*(1-EXP(-RadSpec!BC18*t_b)))/(P*RadSpec!BC18))),".")</f>
        <v>3.7533731300468582E-3</v>
      </c>
      <c r="AG18" s="72">
        <f>IFERROR(IF(d_ss_Bv!I18=0,".",((Ir*F*MLF_carrot*(1-EXP(-RadSpec!BC18*t_b)))/(P*RadSpec!BC18))),".")</f>
        <v>3.4674018439480501E-3</v>
      </c>
      <c r="AH18" s="72">
        <f>IFERROR(IF(d_ss_Bv!J18=0,".",((Ir*F*MLF_citrus*(1-EXP(-RadSpec!BC18*t_b)))/(P*RadSpec!BC18))),".")</f>
        <v>5.6121864896891112E-3</v>
      </c>
      <c r="AI18" s="72">
        <f>IFERROR(IF(d_ss_Bv!K18=0,".",((Ir*F*MLF_corn*(1-EXP(-RadSpec!BC18*t_b)))/(P*RadSpec!BC18))),".")</f>
        <v>5.1832295605408994E-3</v>
      </c>
      <c r="AJ18" s="72">
        <f>IFERROR(IF(d_ss_Bv!L18=0,".",((Ir*F*MLF_cucumber*(1-EXP(-RadSpec!BC18*t_b)))/(P*RadSpec!BC18))),".")</f>
        <v>1.4298564304940414E-3</v>
      </c>
      <c r="AK18" s="72">
        <f>IFERROR(IF(d_ss_Bv!M18=0,".",((Ir*F*MLF_lettuce*(1-EXP(-RadSpec!BC18*t_b)))/(P*RadSpec!BC18))),".")</f>
        <v>0.48257654529173893</v>
      </c>
      <c r="AL18" s="72">
        <f>IFERROR(IF(d_ss_Bv!N18=0,".",((Ir*F*MLF_lima_bean*(1-EXP(-RadSpec!BC18*t_b)))/(P*RadSpec!BC18))),".")</f>
        <v>0.13690875321980447</v>
      </c>
      <c r="AM18" s="72">
        <f>IFERROR(IF(d_ss_Bv!O18=0,".",((Ir*F*MLF_okra*(1-EXP(-RadSpec!BC18*t_b)))/(P*RadSpec!BC18))),".")</f>
        <v>2.8597128609880828E-3</v>
      </c>
      <c r="AN18" s="72">
        <f>IFERROR(IF(d_ss_Bv!P18=0,".",((Ir*F*MLF_onion*(1-EXP(-RadSpec!BC18*t_b)))/(P*RadSpec!BC18))),".")</f>
        <v>3.4674018439480501E-3</v>
      </c>
      <c r="AO18" s="72">
        <f>IFERROR(IF(d_ss_Bv!Q18=0,".",((Ir*F*MLF_peach*(1-EXP(-RadSpec!BC18*t_b)))/(P*RadSpec!BC18))),".")</f>
        <v>5.361961614352654E-3</v>
      </c>
      <c r="AP18" s="72" t="str">
        <f>IFERROR(IF(d_ss_Bv!OI18=0,".",((Ir*F*MLF_pear*(1-EXP(-RadSpec!BC18*t_b)))/(P*RadSpec!BC18))),".")</f>
        <v>.</v>
      </c>
      <c r="AQ18" s="72">
        <f>IFERROR(IF(d_ss_Bv!S18=0,".",((Ir*F*MLF_peas*(1-EXP(-RadSpec!BC18*t_b)))/(P*RadSpec!BC18))),".")</f>
        <v>6.3628611156984829E-3</v>
      </c>
      <c r="AR18" s="72">
        <f>IFERROR(IF(d_ss_Bv!T18=0,".",((Ir*F*MLF_potato*(1-EXP(-RadSpec!BC18*t_b)))/(P*RadSpec!BC18))),".")</f>
        <v>7.5067462600937164E-3</v>
      </c>
      <c r="AS18" s="72">
        <f>IFERROR(IF(d_ss_Bv!U18=0,".",((Ir*F*MLF_pumpkin*(1-EXP(-RadSpec!BC18*t_b)))/(P*RadSpec!BC18))),".")</f>
        <v>2.0732918242163598E-3</v>
      </c>
      <c r="AT18" s="72">
        <f>IFERROR(IF(d_ss_Bv!V18=0,".",((Ir*F*MLF_snap_bean*(1-EXP(-RadSpec!BC18*t_b)))/(P*RadSpec!BC18))),".")</f>
        <v>0.17873205381175516</v>
      </c>
      <c r="AU18" s="72">
        <f>IFERROR(IF(d_ss_Bv!W18=0,".",((Ir*F*MLF_strawberry*(1-EXP(-RadSpec!BC18*t_b)))/(P*RadSpec!BC18))),".")</f>
        <v>2.8597128609880828E-3</v>
      </c>
      <c r="AV18" s="72">
        <f>IFERROR(IF(d_ss_Bv!X18=0,".",((Ir*F*MLF_tomato*(1-EXP(-RadSpec!BC18*t_b)))/(P*RadSpec!BC18))),".")</f>
        <v>5.6836793112138136E-2</v>
      </c>
      <c r="AW18" s="72">
        <f>IFERROR(IF(d_ss_Bv!Y18=0,".",((Ir*F*MLF_rice*(1-EXP(-RadSpec!BC18*t_b)))/(P*RadSpec!BC18))),".")</f>
        <v>8.9366026905877582</v>
      </c>
      <c r="AX18" s="72">
        <f>IFERROR(IF(d_ss_Bv!Z18=0,".",((Ir*F*MLF_cereal*(1-EXP(-RadSpec!BC18*t_b)))/(P*RadSpec!BC18))),".")</f>
        <v>8.9366026905877582</v>
      </c>
      <c r="AY18" s="72">
        <f>IFERROR(IF(d_ss_Bv!C18=0,".",((Ir*F*I_f*T*(1-EXP(-RadSpec!BD18*t_v)))/(Y_v*RadSpec!BD18))),".")</f>
        <v>3.6424203206347228</v>
      </c>
      <c r="AZ18" s="72">
        <f>IFERROR(IF(d_ss_Bv!D18=0,".",((Ir*F*I_f*T*(1-EXP(-RadSpec!BD18*t_v)))/(Y_v*RadSpec!BD18))),".")</f>
        <v>3.6424203206347228</v>
      </c>
      <c r="BA18" s="72">
        <f>IFERROR(IF(d_ss_Bv!E18=0,".",((Ir*F*I_f*T*(1-EXP(-RadSpec!BD18*t_v)))/(Y_v*RadSpec!BD18))),".")</f>
        <v>3.6424203206347228</v>
      </c>
      <c r="BB18" s="72">
        <f>IFERROR(IF(d_ss_Bv!F18=0,".",((Ir*F*I_f*T*(1-EXP(-RadSpec!BD18*t_v)))/(Y_v*RadSpec!BD18))),".")</f>
        <v>3.6424203206347228</v>
      </c>
      <c r="BC18" s="72">
        <f>IFERROR(IF(d_ss_Bv!G18=0,".",((Ir*F*I_f*T*(1-EXP(-RadSpec!BD18*t_v)))/(Y_v*RadSpec!BD18))),".")</f>
        <v>3.6424203206347228</v>
      </c>
      <c r="BD18" s="72">
        <f>IFERROR(IF(d_ss_Bv!H18=0,".",((Ir*F*I_f*T*(1-EXP(-RadSpec!BD18*t_v)))/(Y_v*RadSpec!BD18))),".")</f>
        <v>3.6424203206347228</v>
      </c>
      <c r="BE18" s="72">
        <f>IFERROR(IF(d_ss_Bv!I18=0,".",((Ir*F*I_f*T*(1-EXP(-RadSpec!BD18*t_v)))/(Y_v*RadSpec!BD18))),".")</f>
        <v>3.6424203206347228</v>
      </c>
      <c r="BF18" s="72">
        <f>IFERROR(IF(d_ss_Bv!J18=0,".",((Ir*F*I_f*T*(1-EXP(-RadSpec!BD18*t_v)))/(Y_v*RadSpec!BD18))),".")</f>
        <v>3.6424203206347228</v>
      </c>
      <c r="BG18" s="72">
        <f>IFERROR(IF(d_ss_Bv!K18=0,".",((Ir*F*I_f*T*(1-EXP(-RadSpec!BD18*t_v)))/(Y_v*RadSpec!BD18))),".")</f>
        <v>3.6424203206347228</v>
      </c>
      <c r="BH18" s="72">
        <f>IFERROR(IF(d_ss_Bv!L18=0,".",((Ir*F*I_f*T*(1-EXP(-RadSpec!BD18*t_v)))/(Y_v*RadSpec!BD18))),".")</f>
        <v>3.6424203206347228</v>
      </c>
      <c r="BI18" s="72">
        <f>IFERROR(IF(d_ss_Bv!M18=0,".",((Ir*F*I_f*T*(1-EXP(-RadSpec!BD18*t_v)))/(Y_v*RadSpec!BD18))),".")</f>
        <v>3.6424203206347228</v>
      </c>
      <c r="BJ18" s="72">
        <f>IFERROR(IF(d_ss_Bv!N18=0,".",((Ir*F*I_f*T*(1-EXP(-RadSpec!BD18*t_v)))/(Y_v*RadSpec!BD18))),".")</f>
        <v>3.6424203206347228</v>
      </c>
      <c r="BK18" s="72">
        <f>IFERROR(IF(d_ss_Bv!O18=0,".",((Ir*F*I_f*T*(1-EXP(-RadSpec!BD18*t_v)))/(Y_v*RadSpec!BD18))),".")</f>
        <v>3.6424203206347228</v>
      </c>
      <c r="BL18" s="72">
        <f>IFERROR(IF(d_ss_Bv!P18=0,".",((Ir*F*I_f*T*(1-EXP(-RadSpec!BD18*t_v)))/(Y_v*RadSpec!BD18))),".")</f>
        <v>3.6424203206347228</v>
      </c>
      <c r="BM18" s="72">
        <f>IFERROR(IF(d_ss_Bv!Q18=0,".",((Ir*F*I_f*T*(1-EXP(-RadSpec!BD18*t_v)))/(Y_v*RadSpec!BD18))),".")</f>
        <v>3.6424203206347228</v>
      </c>
      <c r="BN18" s="72">
        <f>IFERROR(IF(d_ss_Bv!R18=0,".",((Ir*F*I_f*T*(1-EXP(-RadSpec!BD18*t_v)))/(Y_v*RadSpec!BD18))),".")</f>
        <v>3.6424203206347228</v>
      </c>
      <c r="BO18" s="72">
        <f>IFERROR(IF(d_ss_Bv!S18=0,".",((Ir*F*I_f*T*(1-EXP(-RadSpec!BD18*t_v)))/(Y_v*RadSpec!BD18))),".")</f>
        <v>3.6424203206347228</v>
      </c>
      <c r="BP18" s="72">
        <f>IFERROR(IF(d_ss_Bv!T18=0,".",((Ir*F*I_f*T*(1-EXP(-RadSpec!BD18*t_v)))/(Y_v*RadSpec!BD18))),".")</f>
        <v>3.6424203206347228</v>
      </c>
      <c r="BQ18" s="72">
        <f>IFERROR(IF(d_ss_Bv!U18=0,".",((Ir*F*I_f*T*(1-EXP(-RadSpec!BD18*t_v)))/(Y_v*RadSpec!BD18))),".")</f>
        <v>3.6424203206347228</v>
      </c>
      <c r="BR18" s="72">
        <f>IFERROR(IF(d_ss_Bv!V18=0,".",((Ir*F*I_f*T*(1-EXP(-RadSpec!BD18*t_v)))/(Y_v*RadSpec!BD18))),".")</f>
        <v>3.6424203206347228</v>
      </c>
      <c r="BS18" s="72">
        <f>IFERROR(IF(d_ss_Bv!W18=0,".",((Ir*F*I_f*T*(1-EXP(-RadSpec!BD18*t_v)))/(Y_v*RadSpec!BD18))),".")</f>
        <v>3.6424203206347228</v>
      </c>
      <c r="BT18" s="72">
        <f>IFERROR(IF(d_ss_Bv!X18=0,".",((Ir*F*I_f*T*(1-EXP(-RadSpec!BD18*t_v)))/(Y_v*RadSpec!BD18))),".")</f>
        <v>3.6424203206347228</v>
      </c>
      <c r="BU18" s="72">
        <f>IFERROR(IF(d_ss_Bv!Y18=0,".",((Ir*F*I_f*T*(1-EXP(-RadSpec!BD18*t_v)))/(Y_v*RadSpec!BD18))),".")</f>
        <v>3.6424203206347228</v>
      </c>
      <c r="BV18" s="72">
        <f>IFERROR(IF(d_ss_Bv!Z18=0,".",((Ir*F*I_f*T*(1-EXP(-RadSpec!BD18*t_v)))/(Y_v*RadSpec!BD18))),".")</f>
        <v>3.6424203206347228</v>
      </c>
    </row>
    <row r="19" spans="1:74" x14ac:dyDescent="0.25">
      <c r="A19" s="31" t="s">
        <v>17</v>
      </c>
      <c r="B19" s="3" t="s">
        <v>1059</v>
      </c>
      <c r="C19" s="72">
        <f>IFERROR(IF(d_ss_Bv!C19=0,".",((Ir*F*d_ss_Bv!C19*(1-EXP(-RadSpec!BC19*t_b)))/(P*RadSpec!BC19))),".")</f>
        <v>7.1492821524702065E-3</v>
      </c>
      <c r="D19" s="72">
        <f>IFERROR(IF(d_ss_Bv!D19=0,".",((Ir*F*d_ss_Bv!D19*(1-EXP(-RadSpec!BC19*t_b)))/(P*RadSpec!BC19))),".")</f>
        <v>0.26452343964139763</v>
      </c>
      <c r="E19" s="72">
        <f>IFERROR(IF(d_ss_Bv!E19=0,".",((Ir*F*d_ss_Bv!E19*(1-EXP(-RadSpec!BC19*t_b)))/(P*RadSpec!BC19))),".")</f>
        <v>0.20732918242163598</v>
      </c>
      <c r="F19" s="72">
        <f>IFERROR(IF(d_ss_Bv!F19=0,".",((Ir*F*d_ss_Bv!F19*(1-EXP(-RadSpec!BC19*t_b)))/(P*RadSpec!BC19))),".")</f>
        <v>7.1492821524702065E-3</v>
      </c>
      <c r="G19" s="72">
        <f>IFERROR(IF(d_ss_Bv!G19=0,".",((Ir*F*d_ss_Bv!G19*(1-EXP(-RadSpec!BC19*t_b)))/(P*RadSpec!BC19))),".")</f>
        <v>7.1492821524702065E-3</v>
      </c>
      <c r="H19" s="72">
        <f>IFERROR(IF(d_ss_Bv!H19=0,".",((Ir*F*d_ss_Bv!H19*(1-EXP(-RadSpec!BC19*t_b)))/(P*RadSpec!BC19))),".")</f>
        <v>0.26452343964139763</v>
      </c>
      <c r="I19" s="72">
        <f>IFERROR(IF(d_ss_Bv!I19=0,".",((Ir*F*d_ss_Bv!I19*(1-EXP(-RadSpec!BC19*t_b)))/(P*RadSpec!BC19))),".")</f>
        <v>0.20732918242163598</v>
      </c>
      <c r="J19" s="72">
        <f>IFERROR(IF(d_ss_Bv!J19=0,".",((Ir*F*d_ss_Bv!J19*(1-EXP(-RadSpec!BC19*t_b)))/(P*RadSpec!BC19))),".")</f>
        <v>7.1492821524702065E-3</v>
      </c>
      <c r="K19" s="72">
        <f>IFERROR(IF(d_ss_Bv!K19=0,".",((Ir*F*d_ss_Bv!K19*(1-EXP(-RadSpec!BC19*t_b)))/(P*RadSpec!BC19))),".")</f>
        <v>8.5791385829642481E-3</v>
      </c>
      <c r="L19" s="72">
        <f>IFERROR(IF(d_ss_Bv!L19=0,".",((Ir*F*d_ss_Bv!L19*(1-EXP(-RadSpec!BC19*t_b)))/(P*RadSpec!BC19))),".")</f>
        <v>7.1492821524702065E-3</v>
      </c>
      <c r="M19" s="72">
        <f>IFERROR(IF(d_ss_Bv!M19=0,".",((Ir*F*d_ss_Bv!M19*(1-EXP(-RadSpec!BC19*t_b)))/(P*RadSpec!BC19))),".")</f>
        <v>0.26452343964139763</v>
      </c>
      <c r="N19" s="72">
        <f>IFERROR(IF(d_ss_Bv!N19=0,".",((Ir*F*d_ss_Bv!N19*(1-EXP(-RadSpec!BC19*t_b)))/(P*RadSpec!BC19))),".")</f>
        <v>9.6515309058347772E-3</v>
      </c>
      <c r="O19" s="72">
        <f>IFERROR(IF(d_ss_Bv!O19=0,".",((Ir*F*d_ss_Bv!O19*(1-EXP(-RadSpec!BC19*t_b)))/(P*RadSpec!BC19))),".")</f>
        <v>7.1492821524702065E-3</v>
      </c>
      <c r="P19" s="72">
        <f>IFERROR(IF(d_ss_Bv!P19=0,".",((Ir*F*d_ss_Bv!P19*(1-EXP(-RadSpec!BC19*t_b)))/(P*RadSpec!BC19))),".")</f>
        <v>7.1492821524702065E-3</v>
      </c>
      <c r="Q19" s="72">
        <f>IFERROR(IF(d_ss_Bv!Q19=0,".",((Ir*F*d_ss_Bv!Q19*(1-EXP(-RadSpec!BC19*t_b)))/(P*RadSpec!BC19))),".")</f>
        <v>7.1492821524702065E-3</v>
      </c>
      <c r="R19" s="72">
        <f>IFERROR(IF(d_ss_Bv!R19=0,".",((Ir*F*d_ss_Bv!R19*(1-EXP(-RadSpec!BC19*t_b)))/(P*RadSpec!BC19))),".")</f>
        <v>7.1492821524702065E-3</v>
      </c>
      <c r="S19" s="72">
        <f>IFERROR(IF(d_ss_Bv!S19=0,".",((Ir*F*d_ss_Bv!S19*(1-EXP(-RadSpec!BC19*t_b)))/(P*RadSpec!BC19))),".")</f>
        <v>9.6515309058347772E-3</v>
      </c>
      <c r="T19" s="72">
        <f>IFERROR(IF(d_ss_Bv!T19=0,".",((Ir*F*d_ss_Bv!T19*(1-EXP(-RadSpec!BC19*t_b)))/(P*RadSpec!BC19))),".")</f>
        <v>9.6515309058347792E-2</v>
      </c>
      <c r="U19" s="72">
        <f>IFERROR(IF(d_ss_Bv!U19=0,".",((Ir*F*d_ss_Bv!U19*(1-EXP(-RadSpec!BC19*t_b)))/(P*RadSpec!BC19))),".")</f>
        <v>7.1492821524702065E-3</v>
      </c>
      <c r="V19" s="72">
        <f>IFERROR(IF(d_ss_Bv!V19=0,".",((Ir*F*d_ss_Bv!V19*(1-EXP(-RadSpec!BC19*t_b)))/(P*RadSpec!BC19))),".")</f>
        <v>9.6515309058347772E-3</v>
      </c>
      <c r="W19" s="72">
        <f>IFERROR(IF(d_ss_Bv!W19=0,".",((Ir*F*d_ss_Bv!W19*(1-EXP(-RadSpec!BC19*t_b)))/(P*RadSpec!BC19))),".")</f>
        <v>7.1492821524702065E-3</v>
      </c>
      <c r="X19" s="72">
        <f>IFERROR(IF(d_ss_Bv!X19=0,".",((Ir*F*d_ss_Bv!X19*(1-EXP(-RadSpec!BC19*t_b)))/(P*RadSpec!BC19))),".")</f>
        <v>7.1492821524702065E-3</v>
      </c>
      <c r="Y19" s="72">
        <f>IFERROR(IF(d_ss_Bv!Y19=0,".",((Ir*F*d_ss_Bv!Y19*(1-EXP(-RadSpec!BC19*t_b)))/(P*RadSpec!BC19))),".")</f>
        <v>0.4647033399105634</v>
      </c>
      <c r="Z19" s="72">
        <f>IFERROR(IF(d_ss_Bv!Z19=0,".",((Ir*F*d_ss_Bv!Z19*(1-EXP(-RadSpec!BC19*t_b)))/(P*RadSpec!BC19))),".")</f>
        <v>8.5791385829642481E-3</v>
      </c>
      <c r="AA19" s="72">
        <f>IFERROR(IF(d_ss_Bv!C19=0,".",((Ir*F*MLF_apple*(1-EXP(-RadSpec!BC19*t_b)))/(P*RadSpec!BC19))),".")</f>
        <v>5.7194257219761657E-3</v>
      </c>
      <c r="AB19" s="72">
        <f>IFERROR(IF(d_ss_Bv!D19=0,".",((Ir*F*MLF_asparagus*(1-EXP(-RadSpec!BC19*t_b)))/(P*RadSpec!BC19))),".")</f>
        <v>2.8239664502257315E-3</v>
      </c>
      <c r="AC19" s="72">
        <f>IFERROR(IF(d_ss_Bv!E19=0,".",((Ir*F*MLF_beet*(1-EXP(-RadSpec!BC19*t_b)))/(P*RadSpec!BC19))),".")</f>
        <v>4.9330046852044422E-3</v>
      </c>
      <c r="AD19" s="72">
        <f>IFERROR(IF(d_ss_Bv!F19=0,".",((Ir*F*MLF_berries*(1-EXP(-RadSpec!BC19*t_b)))/(P*RadSpec!BC19))),".")</f>
        <v>5.9339041865502712E-3</v>
      </c>
      <c r="AE19" s="72">
        <f>IFERROR(IF(d_ss_Bv!G19=0,".",((Ir*F*MLF_broccoli*(1-EXP(-RadSpec!BC19*t_b)))/(P*RadSpec!BC19))),".")</f>
        <v>3.6103874869974538E-2</v>
      </c>
      <c r="AF19" s="72">
        <f>IFERROR(IF(d_ss_Bv!H19=0,".",((Ir*F*MLF_cabbage*(1-EXP(-RadSpec!BC19*t_b)))/(P*RadSpec!BC19))),".")</f>
        <v>3.7533731300468582E-3</v>
      </c>
      <c r="AG19" s="72">
        <f>IFERROR(IF(d_ss_Bv!I19=0,".",((Ir*F*MLF_carrot*(1-EXP(-RadSpec!BC19*t_b)))/(P*RadSpec!BC19))),".")</f>
        <v>3.4674018439480501E-3</v>
      </c>
      <c r="AH19" s="72">
        <f>IFERROR(IF(d_ss_Bv!J19=0,".",((Ir*F*MLF_citrus*(1-EXP(-RadSpec!BC19*t_b)))/(P*RadSpec!BC19))),".")</f>
        <v>5.6121864896891112E-3</v>
      </c>
      <c r="AI19" s="72">
        <f>IFERROR(IF(d_ss_Bv!K19=0,".",((Ir*F*MLF_corn*(1-EXP(-RadSpec!BC19*t_b)))/(P*RadSpec!BC19))),".")</f>
        <v>5.1832295605408994E-3</v>
      </c>
      <c r="AJ19" s="72">
        <f>IFERROR(IF(d_ss_Bv!L19=0,".",((Ir*F*MLF_cucumber*(1-EXP(-RadSpec!BC19*t_b)))/(P*RadSpec!BC19))),".")</f>
        <v>1.4298564304940414E-3</v>
      </c>
      <c r="AK19" s="72">
        <f>IFERROR(IF(d_ss_Bv!M19=0,".",((Ir*F*MLF_lettuce*(1-EXP(-RadSpec!BC19*t_b)))/(P*RadSpec!BC19))),".")</f>
        <v>0.48257654529173893</v>
      </c>
      <c r="AL19" s="72">
        <f>IFERROR(IF(d_ss_Bv!N19=0,".",((Ir*F*MLF_lima_bean*(1-EXP(-RadSpec!BC19*t_b)))/(P*RadSpec!BC19))),".")</f>
        <v>0.13690875321980447</v>
      </c>
      <c r="AM19" s="72">
        <f>IFERROR(IF(d_ss_Bv!O19=0,".",((Ir*F*MLF_okra*(1-EXP(-RadSpec!BC19*t_b)))/(P*RadSpec!BC19))),".")</f>
        <v>2.8597128609880828E-3</v>
      </c>
      <c r="AN19" s="72">
        <f>IFERROR(IF(d_ss_Bv!P19=0,".",((Ir*F*MLF_onion*(1-EXP(-RadSpec!BC19*t_b)))/(P*RadSpec!BC19))),".")</f>
        <v>3.4674018439480501E-3</v>
      </c>
      <c r="AO19" s="72">
        <f>IFERROR(IF(d_ss_Bv!Q19=0,".",((Ir*F*MLF_peach*(1-EXP(-RadSpec!BC19*t_b)))/(P*RadSpec!BC19))),".")</f>
        <v>5.361961614352654E-3</v>
      </c>
      <c r="AP19" s="72" t="str">
        <f>IFERROR(IF(d_ss_Bv!OI19=0,".",((Ir*F*MLF_pear*(1-EXP(-RadSpec!BC19*t_b)))/(P*RadSpec!BC19))),".")</f>
        <v>.</v>
      </c>
      <c r="AQ19" s="72">
        <f>IFERROR(IF(d_ss_Bv!S19=0,".",((Ir*F*MLF_peas*(1-EXP(-RadSpec!BC19*t_b)))/(P*RadSpec!BC19))),".")</f>
        <v>6.3628611156984829E-3</v>
      </c>
      <c r="AR19" s="72">
        <f>IFERROR(IF(d_ss_Bv!T19=0,".",((Ir*F*MLF_potato*(1-EXP(-RadSpec!BC19*t_b)))/(P*RadSpec!BC19))),".")</f>
        <v>7.5067462600937164E-3</v>
      </c>
      <c r="AS19" s="72">
        <f>IFERROR(IF(d_ss_Bv!U19=0,".",((Ir*F*MLF_pumpkin*(1-EXP(-RadSpec!BC19*t_b)))/(P*RadSpec!BC19))),".")</f>
        <v>2.0732918242163598E-3</v>
      </c>
      <c r="AT19" s="72">
        <f>IFERROR(IF(d_ss_Bv!V19=0,".",((Ir*F*MLF_snap_bean*(1-EXP(-RadSpec!BC19*t_b)))/(P*RadSpec!BC19))),".")</f>
        <v>0.17873205381175516</v>
      </c>
      <c r="AU19" s="72">
        <f>IFERROR(IF(d_ss_Bv!W19=0,".",((Ir*F*MLF_strawberry*(1-EXP(-RadSpec!BC19*t_b)))/(P*RadSpec!BC19))),".")</f>
        <v>2.8597128609880828E-3</v>
      </c>
      <c r="AV19" s="72">
        <f>IFERROR(IF(d_ss_Bv!X19=0,".",((Ir*F*MLF_tomato*(1-EXP(-RadSpec!BC19*t_b)))/(P*RadSpec!BC19))),".")</f>
        <v>5.6836793112138136E-2</v>
      </c>
      <c r="AW19" s="72">
        <f>IFERROR(IF(d_ss_Bv!Y19=0,".",((Ir*F*MLF_rice*(1-EXP(-RadSpec!BC19*t_b)))/(P*RadSpec!BC19))),".")</f>
        <v>8.9366026905877582</v>
      </c>
      <c r="AX19" s="72">
        <f>IFERROR(IF(d_ss_Bv!Z19=0,".",((Ir*F*MLF_cereal*(1-EXP(-RadSpec!BC19*t_b)))/(P*RadSpec!BC19))),".")</f>
        <v>8.9366026905877582</v>
      </c>
      <c r="AY19" s="72">
        <f>IFERROR(IF(d_ss_Bv!C19=0,".",((Ir*F*I_f*T*(1-EXP(-RadSpec!BD19*t_v)))/(Y_v*RadSpec!BD19))),".")</f>
        <v>3.6424203206347228</v>
      </c>
      <c r="AZ19" s="72">
        <f>IFERROR(IF(d_ss_Bv!D19=0,".",((Ir*F*I_f*T*(1-EXP(-RadSpec!BD19*t_v)))/(Y_v*RadSpec!BD19))),".")</f>
        <v>3.6424203206347228</v>
      </c>
      <c r="BA19" s="72">
        <f>IFERROR(IF(d_ss_Bv!E19=0,".",((Ir*F*I_f*T*(1-EXP(-RadSpec!BD19*t_v)))/(Y_v*RadSpec!BD19))),".")</f>
        <v>3.6424203206347228</v>
      </c>
      <c r="BB19" s="72">
        <f>IFERROR(IF(d_ss_Bv!F19=0,".",((Ir*F*I_f*T*(1-EXP(-RadSpec!BD19*t_v)))/(Y_v*RadSpec!BD19))),".")</f>
        <v>3.6424203206347228</v>
      </c>
      <c r="BC19" s="72">
        <f>IFERROR(IF(d_ss_Bv!G19=0,".",((Ir*F*I_f*T*(1-EXP(-RadSpec!BD19*t_v)))/(Y_v*RadSpec!BD19))),".")</f>
        <v>3.6424203206347228</v>
      </c>
      <c r="BD19" s="72">
        <f>IFERROR(IF(d_ss_Bv!H19=0,".",((Ir*F*I_f*T*(1-EXP(-RadSpec!BD19*t_v)))/(Y_v*RadSpec!BD19))),".")</f>
        <v>3.6424203206347228</v>
      </c>
      <c r="BE19" s="72">
        <f>IFERROR(IF(d_ss_Bv!I19=0,".",((Ir*F*I_f*T*(1-EXP(-RadSpec!BD19*t_v)))/(Y_v*RadSpec!BD19))),".")</f>
        <v>3.6424203206347228</v>
      </c>
      <c r="BF19" s="72">
        <f>IFERROR(IF(d_ss_Bv!J19=0,".",((Ir*F*I_f*T*(1-EXP(-RadSpec!BD19*t_v)))/(Y_v*RadSpec!BD19))),".")</f>
        <v>3.6424203206347228</v>
      </c>
      <c r="BG19" s="72">
        <f>IFERROR(IF(d_ss_Bv!K19=0,".",((Ir*F*I_f*T*(1-EXP(-RadSpec!BD19*t_v)))/(Y_v*RadSpec!BD19))),".")</f>
        <v>3.6424203206347228</v>
      </c>
      <c r="BH19" s="72">
        <f>IFERROR(IF(d_ss_Bv!L19=0,".",((Ir*F*I_f*T*(1-EXP(-RadSpec!BD19*t_v)))/(Y_v*RadSpec!BD19))),".")</f>
        <v>3.6424203206347228</v>
      </c>
      <c r="BI19" s="72">
        <f>IFERROR(IF(d_ss_Bv!M19=0,".",((Ir*F*I_f*T*(1-EXP(-RadSpec!BD19*t_v)))/(Y_v*RadSpec!BD19))),".")</f>
        <v>3.6424203206347228</v>
      </c>
      <c r="BJ19" s="72">
        <f>IFERROR(IF(d_ss_Bv!N19=0,".",((Ir*F*I_f*T*(1-EXP(-RadSpec!BD19*t_v)))/(Y_v*RadSpec!BD19))),".")</f>
        <v>3.6424203206347228</v>
      </c>
      <c r="BK19" s="72">
        <f>IFERROR(IF(d_ss_Bv!O19=0,".",((Ir*F*I_f*T*(1-EXP(-RadSpec!BD19*t_v)))/(Y_v*RadSpec!BD19))),".")</f>
        <v>3.6424203206347228</v>
      </c>
      <c r="BL19" s="72">
        <f>IFERROR(IF(d_ss_Bv!P19=0,".",((Ir*F*I_f*T*(1-EXP(-RadSpec!BD19*t_v)))/(Y_v*RadSpec!BD19))),".")</f>
        <v>3.6424203206347228</v>
      </c>
      <c r="BM19" s="72">
        <f>IFERROR(IF(d_ss_Bv!Q19=0,".",((Ir*F*I_f*T*(1-EXP(-RadSpec!BD19*t_v)))/(Y_v*RadSpec!BD19))),".")</f>
        <v>3.6424203206347228</v>
      </c>
      <c r="BN19" s="72">
        <f>IFERROR(IF(d_ss_Bv!R19=0,".",((Ir*F*I_f*T*(1-EXP(-RadSpec!BD19*t_v)))/(Y_v*RadSpec!BD19))),".")</f>
        <v>3.6424203206347228</v>
      </c>
      <c r="BO19" s="72">
        <f>IFERROR(IF(d_ss_Bv!S19=0,".",((Ir*F*I_f*T*(1-EXP(-RadSpec!BD19*t_v)))/(Y_v*RadSpec!BD19))),".")</f>
        <v>3.6424203206347228</v>
      </c>
      <c r="BP19" s="72">
        <f>IFERROR(IF(d_ss_Bv!T19=0,".",((Ir*F*I_f*T*(1-EXP(-RadSpec!BD19*t_v)))/(Y_v*RadSpec!BD19))),".")</f>
        <v>3.6424203206347228</v>
      </c>
      <c r="BQ19" s="72">
        <f>IFERROR(IF(d_ss_Bv!U19=0,".",((Ir*F*I_f*T*(1-EXP(-RadSpec!BD19*t_v)))/(Y_v*RadSpec!BD19))),".")</f>
        <v>3.6424203206347228</v>
      </c>
      <c r="BR19" s="72">
        <f>IFERROR(IF(d_ss_Bv!V19=0,".",((Ir*F*I_f*T*(1-EXP(-RadSpec!BD19*t_v)))/(Y_v*RadSpec!BD19))),".")</f>
        <v>3.6424203206347228</v>
      </c>
      <c r="BS19" s="72">
        <f>IFERROR(IF(d_ss_Bv!W19=0,".",((Ir*F*I_f*T*(1-EXP(-RadSpec!BD19*t_v)))/(Y_v*RadSpec!BD19))),".")</f>
        <v>3.6424203206347228</v>
      </c>
      <c r="BT19" s="72">
        <f>IFERROR(IF(d_ss_Bv!X19=0,".",((Ir*F*I_f*T*(1-EXP(-RadSpec!BD19*t_v)))/(Y_v*RadSpec!BD19))),".")</f>
        <v>3.6424203206347228</v>
      </c>
      <c r="BU19" s="72">
        <f>IFERROR(IF(d_ss_Bv!Y19=0,".",((Ir*F*I_f*T*(1-EXP(-RadSpec!BD19*t_v)))/(Y_v*RadSpec!BD19))),".")</f>
        <v>3.6424203206347228</v>
      </c>
      <c r="BV19" s="72">
        <f>IFERROR(IF(d_ss_Bv!Z19=0,".",((Ir*F*I_f*T*(1-EXP(-RadSpec!BD19*t_v)))/(Y_v*RadSpec!BD19))),".")</f>
        <v>3.6424203206347228</v>
      </c>
    </row>
    <row r="20" spans="1:74" x14ac:dyDescent="0.25">
      <c r="A20" s="31" t="s">
        <v>18</v>
      </c>
      <c r="B20" s="3" t="s">
        <v>1059</v>
      </c>
      <c r="C20" s="72">
        <f>IFERROR(IF(d_ss_Bv!C20=0,".",((Ir*F*d_ss_Bv!C20*(1-EXP(-RadSpec!BC20*t_b)))/(P*RadSpec!BC20))),".")</f>
        <v>7.1492821524702065E-3</v>
      </c>
      <c r="D20" s="72">
        <f>IFERROR(IF(d_ss_Bv!D20=0,".",((Ir*F*d_ss_Bv!D20*(1-EXP(-RadSpec!BC20*t_b)))/(P*RadSpec!BC20))),".")</f>
        <v>0.26452343964139763</v>
      </c>
      <c r="E20" s="72">
        <f>IFERROR(IF(d_ss_Bv!E20=0,".",((Ir*F*d_ss_Bv!E20*(1-EXP(-RadSpec!BC20*t_b)))/(P*RadSpec!BC20))),".")</f>
        <v>0.20732918242163598</v>
      </c>
      <c r="F20" s="72">
        <f>IFERROR(IF(d_ss_Bv!F20=0,".",((Ir*F*d_ss_Bv!F20*(1-EXP(-RadSpec!BC20*t_b)))/(P*RadSpec!BC20))),".")</f>
        <v>7.1492821524702065E-3</v>
      </c>
      <c r="G20" s="72">
        <f>IFERROR(IF(d_ss_Bv!G20=0,".",((Ir*F*d_ss_Bv!G20*(1-EXP(-RadSpec!BC20*t_b)))/(P*RadSpec!BC20))),".")</f>
        <v>7.1492821524702065E-3</v>
      </c>
      <c r="H20" s="72">
        <f>IFERROR(IF(d_ss_Bv!H20=0,".",((Ir*F*d_ss_Bv!H20*(1-EXP(-RadSpec!BC20*t_b)))/(P*RadSpec!BC20))),".")</f>
        <v>0.26452343964139763</v>
      </c>
      <c r="I20" s="72">
        <f>IFERROR(IF(d_ss_Bv!I20=0,".",((Ir*F*d_ss_Bv!I20*(1-EXP(-RadSpec!BC20*t_b)))/(P*RadSpec!BC20))),".")</f>
        <v>0.20732918242163598</v>
      </c>
      <c r="J20" s="72">
        <f>IFERROR(IF(d_ss_Bv!J20=0,".",((Ir*F*d_ss_Bv!J20*(1-EXP(-RadSpec!BC20*t_b)))/(P*RadSpec!BC20))),".")</f>
        <v>7.1492821524702065E-3</v>
      </c>
      <c r="K20" s="72">
        <f>IFERROR(IF(d_ss_Bv!K20=0,".",((Ir*F*d_ss_Bv!K20*(1-EXP(-RadSpec!BC20*t_b)))/(P*RadSpec!BC20))),".")</f>
        <v>8.5791385829642481E-3</v>
      </c>
      <c r="L20" s="72">
        <f>IFERROR(IF(d_ss_Bv!L20=0,".",((Ir*F*d_ss_Bv!L20*(1-EXP(-RadSpec!BC20*t_b)))/(P*RadSpec!BC20))),".")</f>
        <v>7.1492821524702065E-3</v>
      </c>
      <c r="M20" s="72">
        <f>IFERROR(IF(d_ss_Bv!M20=0,".",((Ir*F*d_ss_Bv!M20*(1-EXP(-RadSpec!BC20*t_b)))/(P*RadSpec!BC20))),".")</f>
        <v>0.26452343964139763</v>
      </c>
      <c r="N20" s="72">
        <f>IFERROR(IF(d_ss_Bv!N20=0,".",((Ir*F*d_ss_Bv!N20*(1-EXP(-RadSpec!BC20*t_b)))/(P*RadSpec!BC20))),".")</f>
        <v>9.6515309058347772E-3</v>
      </c>
      <c r="O20" s="72">
        <f>IFERROR(IF(d_ss_Bv!O20=0,".",((Ir*F*d_ss_Bv!O20*(1-EXP(-RadSpec!BC20*t_b)))/(P*RadSpec!BC20))),".")</f>
        <v>7.1492821524702065E-3</v>
      </c>
      <c r="P20" s="72">
        <f>IFERROR(IF(d_ss_Bv!P20=0,".",((Ir*F*d_ss_Bv!P20*(1-EXP(-RadSpec!BC20*t_b)))/(P*RadSpec!BC20))),".")</f>
        <v>7.1492821524702065E-3</v>
      </c>
      <c r="Q20" s="72">
        <f>IFERROR(IF(d_ss_Bv!Q20=0,".",((Ir*F*d_ss_Bv!Q20*(1-EXP(-RadSpec!BC20*t_b)))/(P*RadSpec!BC20))),".")</f>
        <v>7.1492821524702065E-3</v>
      </c>
      <c r="R20" s="72">
        <f>IFERROR(IF(d_ss_Bv!R20=0,".",((Ir*F*d_ss_Bv!R20*(1-EXP(-RadSpec!BC20*t_b)))/(P*RadSpec!BC20))),".")</f>
        <v>7.1492821524702065E-3</v>
      </c>
      <c r="S20" s="72">
        <f>IFERROR(IF(d_ss_Bv!S20=0,".",((Ir*F*d_ss_Bv!S20*(1-EXP(-RadSpec!BC20*t_b)))/(P*RadSpec!BC20))),".")</f>
        <v>9.6515309058347772E-3</v>
      </c>
      <c r="T20" s="72">
        <f>IFERROR(IF(d_ss_Bv!T20=0,".",((Ir*F*d_ss_Bv!T20*(1-EXP(-RadSpec!BC20*t_b)))/(P*RadSpec!BC20))),".")</f>
        <v>9.6515309058347792E-2</v>
      </c>
      <c r="U20" s="72">
        <f>IFERROR(IF(d_ss_Bv!U20=0,".",((Ir*F*d_ss_Bv!U20*(1-EXP(-RadSpec!BC20*t_b)))/(P*RadSpec!BC20))),".")</f>
        <v>7.1492821524702065E-3</v>
      </c>
      <c r="V20" s="72">
        <f>IFERROR(IF(d_ss_Bv!V20=0,".",((Ir*F*d_ss_Bv!V20*(1-EXP(-RadSpec!BC20*t_b)))/(P*RadSpec!BC20))),".")</f>
        <v>9.6515309058347772E-3</v>
      </c>
      <c r="W20" s="72">
        <f>IFERROR(IF(d_ss_Bv!W20=0,".",((Ir*F*d_ss_Bv!W20*(1-EXP(-RadSpec!BC20*t_b)))/(P*RadSpec!BC20))),".")</f>
        <v>7.1492821524702065E-3</v>
      </c>
      <c r="X20" s="72">
        <f>IFERROR(IF(d_ss_Bv!X20=0,".",((Ir*F*d_ss_Bv!X20*(1-EXP(-RadSpec!BC20*t_b)))/(P*RadSpec!BC20))),".")</f>
        <v>7.1492821524702065E-3</v>
      </c>
      <c r="Y20" s="72">
        <f>IFERROR(IF(d_ss_Bv!Y20=0,".",((Ir*F*d_ss_Bv!Y20*(1-EXP(-RadSpec!BC20*t_b)))/(P*RadSpec!BC20))),".")</f>
        <v>0.4647033399105634</v>
      </c>
      <c r="Z20" s="72">
        <f>IFERROR(IF(d_ss_Bv!Z20=0,".",((Ir*F*d_ss_Bv!Z20*(1-EXP(-RadSpec!BC20*t_b)))/(P*RadSpec!BC20))),".")</f>
        <v>8.5791385829642481E-3</v>
      </c>
      <c r="AA20" s="72">
        <f>IFERROR(IF(d_ss_Bv!C20=0,".",((Ir*F*MLF_apple*(1-EXP(-RadSpec!BC20*t_b)))/(P*RadSpec!BC20))),".")</f>
        <v>5.7194257219761657E-3</v>
      </c>
      <c r="AB20" s="72">
        <f>IFERROR(IF(d_ss_Bv!D20=0,".",((Ir*F*MLF_asparagus*(1-EXP(-RadSpec!BC20*t_b)))/(P*RadSpec!BC20))),".")</f>
        <v>2.8239664502257315E-3</v>
      </c>
      <c r="AC20" s="72">
        <f>IFERROR(IF(d_ss_Bv!E20=0,".",((Ir*F*MLF_beet*(1-EXP(-RadSpec!BC20*t_b)))/(P*RadSpec!BC20))),".")</f>
        <v>4.9330046852044422E-3</v>
      </c>
      <c r="AD20" s="72">
        <f>IFERROR(IF(d_ss_Bv!F20=0,".",((Ir*F*MLF_berries*(1-EXP(-RadSpec!BC20*t_b)))/(P*RadSpec!BC20))),".")</f>
        <v>5.9339041865502712E-3</v>
      </c>
      <c r="AE20" s="72">
        <f>IFERROR(IF(d_ss_Bv!G20=0,".",((Ir*F*MLF_broccoli*(1-EXP(-RadSpec!BC20*t_b)))/(P*RadSpec!BC20))),".")</f>
        <v>3.6103874869974538E-2</v>
      </c>
      <c r="AF20" s="72">
        <f>IFERROR(IF(d_ss_Bv!H20=0,".",((Ir*F*MLF_cabbage*(1-EXP(-RadSpec!BC20*t_b)))/(P*RadSpec!BC20))),".")</f>
        <v>3.7533731300468582E-3</v>
      </c>
      <c r="AG20" s="72">
        <f>IFERROR(IF(d_ss_Bv!I20=0,".",((Ir*F*MLF_carrot*(1-EXP(-RadSpec!BC20*t_b)))/(P*RadSpec!BC20))),".")</f>
        <v>3.4674018439480501E-3</v>
      </c>
      <c r="AH20" s="72">
        <f>IFERROR(IF(d_ss_Bv!J20=0,".",((Ir*F*MLF_citrus*(1-EXP(-RadSpec!BC20*t_b)))/(P*RadSpec!BC20))),".")</f>
        <v>5.6121864896891112E-3</v>
      </c>
      <c r="AI20" s="72">
        <f>IFERROR(IF(d_ss_Bv!K20=0,".",((Ir*F*MLF_corn*(1-EXP(-RadSpec!BC20*t_b)))/(P*RadSpec!BC20))),".")</f>
        <v>5.1832295605408994E-3</v>
      </c>
      <c r="AJ20" s="72">
        <f>IFERROR(IF(d_ss_Bv!L20=0,".",((Ir*F*MLF_cucumber*(1-EXP(-RadSpec!BC20*t_b)))/(P*RadSpec!BC20))),".")</f>
        <v>1.4298564304940414E-3</v>
      </c>
      <c r="AK20" s="72">
        <f>IFERROR(IF(d_ss_Bv!M20=0,".",((Ir*F*MLF_lettuce*(1-EXP(-RadSpec!BC20*t_b)))/(P*RadSpec!BC20))),".")</f>
        <v>0.48257654529173893</v>
      </c>
      <c r="AL20" s="72">
        <f>IFERROR(IF(d_ss_Bv!N20=0,".",((Ir*F*MLF_lima_bean*(1-EXP(-RadSpec!BC20*t_b)))/(P*RadSpec!BC20))),".")</f>
        <v>0.13690875321980447</v>
      </c>
      <c r="AM20" s="72">
        <f>IFERROR(IF(d_ss_Bv!O20=0,".",((Ir*F*MLF_okra*(1-EXP(-RadSpec!BC20*t_b)))/(P*RadSpec!BC20))),".")</f>
        <v>2.8597128609880828E-3</v>
      </c>
      <c r="AN20" s="72">
        <f>IFERROR(IF(d_ss_Bv!P20=0,".",((Ir*F*MLF_onion*(1-EXP(-RadSpec!BC20*t_b)))/(P*RadSpec!BC20))),".")</f>
        <v>3.4674018439480501E-3</v>
      </c>
      <c r="AO20" s="72">
        <f>IFERROR(IF(d_ss_Bv!Q20=0,".",((Ir*F*MLF_peach*(1-EXP(-RadSpec!BC20*t_b)))/(P*RadSpec!BC20))),".")</f>
        <v>5.361961614352654E-3</v>
      </c>
      <c r="AP20" s="72" t="str">
        <f>IFERROR(IF(d_ss_Bv!OI20=0,".",((Ir*F*MLF_pear*(1-EXP(-RadSpec!BC20*t_b)))/(P*RadSpec!BC20))),".")</f>
        <v>.</v>
      </c>
      <c r="AQ20" s="72">
        <f>IFERROR(IF(d_ss_Bv!S20=0,".",((Ir*F*MLF_peas*(1-EXP(-RadSpec!BC20*t_b)))/(P*RadSpec!BC20))),".")</f>
        <v>6.3628611156984829E-3</v>
      </c>
      <c r="AR20" s="72">
        <f>IFERROR(IF(d_ss_Bv!T20=0,".",((Ir*F*MLF_potato*(1-EXP(-RadSpec!BC20*t_b)))/(P*RadSpec!BC20))),".")</f>
        <v>7.5067462600937164E-3</v>
      </c>
      <c r="AS20" s="72">
        <f>IFERROR(IF(d_ss_Bv!U20=0,".",((Ir*F*MLF_pumpkin*(1-EXP(-RadSpec!BC20*t_b)))/(P*RadSpec!BC20))),".")</f>
        <v>2.0732918242163598E-3</v>
      </c>
      <c r="AT20" s="72">
        <f>IFERROR(IF(d_ss_Bv!V20=0,".",((Ir*F*MLF_snap_bean*(1-EXP(-RadSpec!BC20*t_b)))/(P*RadSpec!BC20))),".")</f>
        <v>0.17873205381175516</v>
      </c>
      <c r="AU20" s="72">
        <f>IFERROR(IF(d_ss_Bv!W20=0,".",((Ir*F*MLF_strawberry*(1-EXP(-RadSpec!BC20*t_b)))/(P*RadSpec!BC20))),".")</f>
        <v>2.8597128609880828E-3</v>
      </c>
      <c r="AV20" s="72">
        <f>IFERROR(IF(d_ss_Bv!X20=0,".",((Ir*F*MLF_tomato*(1-EXP(-RadSpec!BC20*t_b)))/(P*RadSpec!BC20))),".")</f>
        <v>5.6836793112138136E-2</v>
      </c>
      <c r="AW20" s="72">
        <f>IFERROR(IF(d_ss_Bv!Y20=0,".",((Ir*F*MLF_rice*(1-EXP(-RadSpec!BC20*t_b)))/(P*RadSpec!BC20))),".")</f>
        <v>8.9366026905877582</v>
      </c>
      <c r="AX20" s="72">
        <f>IFERROR(IF(d_ss_Bv!Z20=0,".",((Ir*F*MLF_cereal*(1-EXP(-RadSpec!BC20*t_b)))/(P*RadSpec!BC20))),".")</f>
        <v>8.9366026905877582</v>
      </c>
      <c r="AY20" s="72">
        <f>IFERROR(IF(d_ss_Bv!C20=0,".",((Ir*F*I_f*T*(1-EXP(-RadSpec!BD20*t_v)))/(Y_v*RadSpec!BD20))),".")</f>
        <v>3.6424203206347228</v>
      </c>
      <c r="AZ20" s="72">
        <f>IFERROR(IF(d_ss_Bv!D20=0,".",((Ir*F*I_f*T*(1-EXP(-RadSpec!BD20*t_v)))/(Y_v*RadSpec!BD20))),".")</f>
        <v>3.6424203206347228</v>
      </c>
      <c r="BA20" s="72">
        <f>IFERROR(IF(d_ss_Bv!E20=0,".",((Ir*F*I_f*T*(1-EXP(-RadSpec!BD20*t_v)))/(Y_v*RadSpec!BD20))),".")</f>
        <v>3.6424203206347228</v>
      </c>
      <c r="BB20" s="72">
        <f>IFERROR(IF(d_ss_Bv!F20=0,".",((Ir*F*I_f*T*(1-EXP(-RadSpec!BD20*t_v)))/(Y_v*RadSpec!BD20))),".")</f>
        <v>3.6424203206347228</v>
      </c>
      <c r="BC20" s="72">
        <f>IFERROR(IF(d_ss_Bv!G20=0,".",((Ir*F*I_f*T*(1-EXP(-RadSpec!BD20*t_v)))/(Y_v*RadSpec!BD20))),".")</f>
        <v>3.6424203206347228</v>
      </c>
      <c r="BD20" s="72">
        <f>IFERROR(IF(d_ss_Bv!H20=0,".",((Ir*F*I_f*T*(1-EXP(-RadSpec!BD20*t_v)))/(Y_v*RadSpec!BD20))),".")</f>
        <v>3.6424203206347228</v>
      </c>
      <c r="BE20" s="72">
        <f>IFERROR(IF(d_ss_Bv!I20=0,".",((Ir*F*I_f*T*(1-EXP(-RadSpec!BD20*t_v)))/(Y_v*RadSpec!BD20))),".")</f>
        <v>3.6424203206347228</v>
      </c>
      <c r="BF20" s="72">
        <f>IFERROR(IF(d_ss_Bv!J20=0,".",((Ir*F*I_f*T*(1-EXP(-RadSpec!BD20*t_v)))/(Y_v*RadSpec!BD20))),".")</f>
        <v>3.6424203206347228</v>
      </c>
      <c r="BG20" s="72">
        <f>IFERROR(IF(d_ss_Bv!K20=0,".",((Ir*F*I_f*T*(1-EXP(-RadSpec!BD20*t_v)))/(Y_v*RadSpec!BD20))),".")</f>
        <v>3.6424203206347228</v>
      </c>
      <c r="BH20" s="72">
        <f>IFERROR(IF(d_ss_Bv!L20=0,".",((Ir*F*I_f*T*(1-EXP(-RadSpec!BD20*t_v)))/(Y_v*RadSpec!BD20))),".")</f>
        <v>3.6424203206347228</v>
      </c>
      <c r="BI20" s="72">
        <f>IFERROR(IF(d_ss_Bv!M20=0,".",((Ir*F*I_f*T*(1-EXP(-RadSpec!BD20*t_v)))/(Y_v*RadSpec!BD20))),".")</f>
        <v>3.6424203206347228</v>
      </c>
      <c r="BJ20" s="72">
        <f>IFERROR(IF(d_ss_Bv!N20=0,".",((Ir*F*I_f*T*(1-EXP(-RadSpec!BD20*t_v)))/(Y_v*RadSpec!BD20))),".")</f>
        <v>3.6424203206347228</v>
      </c>
      <c r="BK20" s="72">
        <f>IFERROR(IF(d_ss_Bv!O20=0,".",((Ir*F*I_f*T*(1-EXP(-RadSpec!BD20*t_v)))/(Y_v*RadSpec!BD20))),".")</f>
        <v>3.6424203206347228</v>
      </c>
      <c r="BL20" s="72">
        <f>IFERROR(IF(d_ss_Bv!P20=0,".",((Ir*F*I_f*T*(1-EXP(-RadSpec!BD20*t_v)))/(Y_v*RadSpec!BD20))),".")</f>
        <v>3.6424203206347228</v>
      </c>
      <c r="BM20" s="72">
        <f>IFERROR(IF(d_ss_Bv!Q20=0,".",((Ir*F*I_f*T*(1-EXP(-RadSpec!BD20*t_v)))/(Y_v*RadSpec!BD20))),".")</f>
        <v>3.6424203206347228</v>
      </c>
      <c r="BN20" s="72">
        <f>IFERROR(IF(d_ss_Bv!R20=0,".",((Ir*F*I_f*T*(1-EXP(-RadSpec!BD20*t_v)))/(Y_v*RadSpec!BD20))),".")</f>
        <v>3.6424203206347228</v>
      </c>
      <c r="BO20" s="72">
        <f>IFERROR(IF(d_ss_Bv!S20=0,".",((Ir*F*I_f*T*(1-EXP(-RadSpec!BD20*t_v)))/(Y_v*RadSpec!BD20))),".")</f>
        <v>3.6424203206347228</v>
      </c>
      <c r="BP20" s="72">
        <f>IFERROR(IF(d_ss_Bv!T20=0,".",((Ir*F*I_f*T*(1-EXP(-RadSpec!BD20*t_v)))/(Y_v*RadSpec!BD20))),".")</f>
        <v>3.6424203206347228</v>
      </c>
      <c r="BQ20" s="72">
        <f>IFERROR(IF(d_ss_Bv!U20=0,".",((Ir*F*I_f*T*(1-EXP(-RadSpec!BD20*t_v)))/(Y_v*RadSpec!BD20))),".")</f>
        <v>3.6424203206347228</v>
      </c>
      <c r="BR20" s="72">
        <f>IFERROR(IF(d_ss_Bv!V20=0,".",((Ir*F*I_f*T*(1-EXP(-RadSpec!BD20*t_v)))/(Y_v*RadSpec!BD20))),".")</f>
        <v>3.6424203206347228</v>
      </c>
      <c r="BS20" s="72">
        <f>IFERROR(IF(d_ss_Bv!W20=0,".",((Ir*F*I_f*T*(1-EXP(-RadSpec!BD20*t_v)))/(Y_v*RadSpec!BD20))),".")</f>
        <v>3.6424203206347228</v>
      </c>
      <c r="BT20" s="72">
        <f>IFERROR(IF(d_ss_Bv!X20=0,".",((Ir*F*I_f*T*(1-EXP(-RadSpec!BD20*t_v)))/(Y_v*RadSpec!BD20))),".")</f>
        <v>3.6424203206347228</v>
      </c>
      <c r="BU20" s="72">
        <f>IFERROR(IF(d_ss_Bv!Y20=0,".",((Ir*F*I_f*T*(1-EXP(-RadSpec!BD20*t_v)))/(Y_v*RadSpec!BD20))),".")</f>
        <v>3.6424203206347228</v>
      </c>
      <c r="BV20" s="72">
        <f>IFERROR(IF(d_ss_Bv!Z20=0,".",((Ir*F*I_f*T*(1-EXP(-RadSpec!BD20*t_v)))/(Y_v*RadSpec!BD20))),".")</f>
        <v>3.6424203206347228</v>
      </c>
    </row>
    <row r="21" spans="1:74" x14ac:dyDescent="0.25">
      <c r="A21" s="31" t="s">
        <v>19</v>
      </c>
      <c r="B21" s="3" t="s">
        <v>1059</v>
      </c>
      <c r="C21" s="72">
        <f>IFERROR(IF(d_ss_Bv!C21=0,".",((Ir*F*d_ss_Bv!C21*(1-EXP(-RadSpec!BC21*t_b)))/(P*RadSpec!BC21))),".")</f>
        <v>7.1492821524702065E-3</v>
      </c>
      <c r="D21" s="72">
        <f>IFERROR(IF(d_ss_Bv!D21=0,".",((Ir*F*d_ss_Bv!D21*(1-EXP(-RadSpec!BC21*t_b)))/(P*RadSpec!BC21))),".")</f>
        <v>0.26452343964139763</v>
      </c>
      <c r="E21" s="72">
        <f>IFERROR(IF(d_ss_Bv!E21=0,".",((Ir*F*d_ss_Bv!E21*(1-EXP(-RadSpec!BC21*t_b)))/(P*RadSpec!BC21))),".")</f>
        <v>0.20732918242163598</v>
      </c>
      <c r="F21" s="72">
        <f>IFERROR(IF(d_ss_Bv!F21=0,".",((Ir*F*d_ss_Bv!F21*(1-EXP(-RadSpec!BC21*t_b)))/(P*RadSpec!BC21))),".")</f>
        <v>7.1492821524702065E-3</v>
      </c>
      <c r="G21" s="72">
        <f>IFERROR(IF(d_ss_Bv!G21=0,".",((Ir*F*d_ss_Bv!G21*(1-EXP(-RadSpec!BC21*t_b)))/(P*RadSpec!BC21))),".")</f>
        <v>7.1492821524702065E-3</v>
      </c>
      <c r="H21" s="72">
        <f>IFERROR(IF(d_ss_Bv!H21=0,".",((Ir*F*d_ss_Bv!H21*(1-EXP(-RadSpec!BC21*t_b)))/(P*RadSpec!BC21))),".")</f>
        <v>0.26452343964139763</v>
      </c>
      <c r="I21" s="72">
        <f>IFERROR(IF(d_ss_Bv!I21=0,".",((Ir*F*d_ss_Bv!I21*(1-EXP(-RadSpec!BC21*t_b)))/(P*RadSpec!BC21))),".")</f>
        <v>0.20732918242163598</v>
      </c>
      <c r="J21" s="72">
        <f>IFERROR(IF(d_ss_Bv!J21=0,".",((Ir*F*d_ss_Bv!J21*(1-EXP(-RadSpec!BC21*t_b)))/(P*RadSpec!BC21))),".")</f>
        <v>7.1492821524702065E-3</v>
      </c>
      <c r="K21" s="72">
        <f>IFERROR(IF(d_ss_Bv!K21=0,".",((Ir*F*d_ss_Bv!K21*(1-EXP(-RadSpec!BC21*t_b)))/(P*RadSpec!BC21))),".")</f>
        <v>8.5791385829642481E-3</v>
      </c>
      <c r="L21" s="72">
        <f>IFERROR(IF(d_ss_Bv!L21=0,".",((Ir*F*d_ss_Bv!L21*(1-EXP(-RadSpec!BC21*t_b)))/(P*RadSpec!BC21))),".")</f>
        <v>7.1492821524702065E-3</v>
      </c>
      <c r="M21" s="72">
        <f>IFERROR(IF(d_ss_Bv!M21=0,".",((Ir*F*d_ss_Bv!M21*(1-EXP(-RadSpec!BC21*t_b)))/(P*RadSpec!BC21))),".")</f>
        <v>0.26452343964139763</v>
      </c>
      <c r="N21" s="72">
        <f>IFERROR(IF(d_ss_Bv!N21=0,".",((Ir*F*d_ss_Bv!N21*(1-EXP(-RadSpec!BC21*t_b)))/(P*RadSpec!BC21))),".")</f>
        <v>9.6515309058347772E-3</v>
      </c>
      <c r="O21" s="72">
        <f>IFERROR(IF(d_ss_Bv!O21=0,".",((Ir*F*d_ss_Bv!O21*(1-EXP(-RadSpec!BC21*t_b)))/(P*RadSpec!BC21))),".")</f>
        <v>7.1492821524702065E-3</v>
      </c>
      <c r="P21" s="72">
        <f>IFERROR(IF(d_ss_Bv!P21=0,".",((Ir*F*d_ss_Bv!P21*(1-EXP(-RadSpec!BC21*t_b)))/(P*RadSpec!BC21))),".")</f>
        <v>7.1492821524702065E-3</v>
      </c>
      <c r="Q21" s="72">
        <f>IFERROR(IF(d_ss_Bv!Q21=0,".",((Ir*F*d_ss_Bv!Q21*(1-EXP(-RadSpec!BC21*t_b)))/(P*RadSpec!BC21))),".")</f>
        <v>7.1492821524702065E-3</v>
      </c>
      <c r="R21" s="72">
        <f>IFERROR(IF(d_ss_Bv!R21=0,".",((Ir*F*d_ss_Bv!R21*(1-EXP(-RadSpec!BC21*t_b)))/(P*RadSpec!BC21))),".")</f>
        <v>7.1492821524702065E-3</v>
      </c>
      <c r="S21" s="72">
        <f>IFERROR(IF(d_ss_Bv!S21=0,".",((Ir*F*d_ss_Bv!S21*(1-EXP(-RadSpec!BC21*t_b)))/(P*RadSpec!BC21))),".")</f>
        <v>9.6515309058347772E-3</v>
      </c>
      <c r="T21" s="72">
        <f>IFERROR(IF(d_ss_Bv!T21=0,".",((Ir*F*d_ss_Bv!T21*(1-EXP(-RadSpec!BC21*t_b)))/(P*RadSpec!BC21))),".")</f>
        <v>9.6515309058347792E-2</v>
      </c>
      <c r="U21" s="72">
        <f>IFERROR(IF(d_ss_Bv!U21=0,".",((Ir*F*d_ss_Bv!U21*(1-EXP(-RadSpec!BC21*t_b)))/(P*RadSpec!BC21))),".")</f>
        <v>7.1492821524702065E-3</v>
      </c>
      <c r="V21" s="72">
        <f>IFERROR(IF(d_ss_Bv!V21=0,".",((Ir*F*d_ss_Bv!V21*(1-EXP(-RadSpec!BC21*t_b)))/(P*RadSpec!BC21))),".")</f>
        <v>9.6515309058347772E-3</v>
      </c>
      <c r="W21" s="72">
        <f>IFERROR(IF(d_ss_Bv!W21=0,".",((Ir*F*d_ss_Bv!W21*(1-EXP(-RadSpec!BC21*t_b)))/(P*RadSpec!BC21))),".")</f>
        <v>7.1492821524702065E-3</v>
      </c>
      <c r="X21" s="72">
        <f>IFERROR(IF(d_ss_Bv!X21=0,".",((Ir*F*d_ss_Bv!X21*(1-EXP(-RadSpec!BC21*t_b)))/(P*RadSpec!BC21))),".")</f>
        <v>7.1492821524702065E-3</v>
      </c>
      <c r="Y21" s="72">
        <f>IFERROR(IF(d_ss_Bv!Y21=0,".",((Ir*F*d_ss_Bv!Y21*(1-EXP(-RadSpec!BC21*t_b)))/(P*RadSpec!BC21))),".")</f>
        <v>0.4647033399105634</v>
      </c>
      <c r="Z21" s="72">
        <f>IFERROR(IF(d_ss_Bv!Z21=0,".",((Ir*F*d_ss_Bv!Z21*(1-EXP(-RadSpec!BC21*t_b)))/(P*RadSpec!BC21))),".")</f>
        <v>8.5791385829642481E-3</v>
      </c>
      <c r="AA21" s="72">
        <f>IFERROR(IF(d_ss_Bv!C21=0,".",((Ir*F*MLF_apple*(1-EXP(-RadSpec!BC21*t_b)))/(P*RadSpec!BC21))),".")</f>
        <v>5.7194257219761657E-3</v>
      </c>
      <c r="AB21" s="72">
        <f>IFERROR(IF(d_ss_Bv!D21=0,".",((Ir*F*MLF_asparagus*(1-EXP(-RadSpec!BC21*t_b)))/(P*RadSpec!BC21))),".")</f>
        <v>2.8239664502257315E-3</v>
      </c>
      <c r="AC21" s="72">
        <f>IFERROR(IF(d_ss_Bv!E21=0,".",((Ir*F*MLF_beet*(1-EXP(-RadSpec!BC21*t_b)))/(P*RadSpec!BC21))),".")</f>
        <v>4.9330046852044422E-3</v>
      </c>
      <c r="AD21" s="72">
        <f>IFERROR(IF(d_ss_Bv!F21=0,".",((Ir*F*MLF_berries*(1-EXP(-RadSpec!BC21*t_b)))/(P*RadSpec!BC21))),".")</f>
        <v>5.9339041865502712E-3</v>
      </c>
      <c r="AE21" s="72">
        <f>IFERROR(IF(d_ss_Bv!G21=0,".",((Ir*F*MLF_broccoli*(1-EXP(-RadSpec!BC21*t_b)))/(P*RadSpec!BC21))),".")</f>
        <v>3.6103874869974538E-2</v>
      </c>
      <c r="AF21" s="72">
        <f>IFERROR(IF(d_ss_Bv!H21=0,".",((Ir*F*MLF_cabbage*(1-EXP(-RadSpec!BC21*t_b)))/(P*RadSpec!BC21))),".")</f>
        <v>3.7533731300468582E-3</v>
      </c>
      <c r="AG21" s="72">
        <f>IFERROR(IF(d_ss_Bv!I21=0,".",((Ir*F*MLF_carrot*(1-EXP(-RadSpec!BC21*t_b)))/(P*RadSpec!BC21))),".")</f>
        <v>3.4674018439480501E-3</v>
      </c>
      <c r="AH21" s="72">
        <f>IFERROR(IF(d_ss_Bv!J21=0,".",((Ir*F*MLF_citrus*(1-EXP(-RadSpec!BC21*t_b)))/(P*RadSpec!BC21))),".")</f>
        <v>5.6121864896891112E-3</v>
      </c>
      <c r="AI21" s="72">
        <f>IFERROR(IF(d_ss_Bv!K21=0,".",((Ir*F*MLF_corn*(1-EXP(-RadSpec!BC21*t_b)))/(P*RadSpec!BC21))),".")</f>
        <v>5.1832295605408994E-3</v>
      </c>
      <c r="AJ21" s="72">
        <f>IFERROR(IF(d_ss_Bv!L21=0,".",((Ir*F*MLF_cucumber*(1-EXP(-RadSpec!BC21*t_b)))/(P*RadSpec!BC21))),".")</f>
        <v>1.4298564304940414E-3</v>
      </c>
      <c r="AK21" s="72">
        <f>IFERROR(IF(d_ss_Bv!M21=0,".",((Ir*F*MLF_lettuce*(1-EXP(-RadSpec!BC21*t_b)))/(P*RadSpec!BC21))),".")</f>
        <v>0.48257654529173893</v>
      </c>
      <c r="AL21" s="72">
        <f>IFERROR(IF(d_ss_Bv!N21=0,".",((Ir*F*MLF_lima_bean*(1-EXP(-RadSpec!BC21*t_b)))/(P*RadSpec!BC21))),".")</f>
        <v>0.13690875321980447</v>
      </c>
      <c r="AM21" s="72">
        <f>IFERROR(IF(d_ss_Bv!O21=0,".",((Ir*F*MLF_okra*(1-EXP(-RadSpec!BC21*t_b)))/(P*RadSpec!BC21))),".")</f>
        <v>2.8597128609880828E-3</v>
      </c>
      <c r="AN21" s="72">
        <f>IFERROR(IF(d_ss_Bv!P21=0,".",((Ir*F*MLF_onion*(1-EXP(-RadSpec!BC21*t_b)))/(P*RadSpec!BC21))),".")</f>
        <v>3.4674018439480501E-3</v>
      </c>
      <c r="AO21" s="72">
        <f>IFERROR(IF(d_ss_Bv!Q21=0,".",((Ir*F*MLF_peach*(1-EXP(-RadSpec!BC21*t_b)))/(P*RadSpec!BC21))),".")</f>
        <v>5.361961614352654E-3</v>
      </c>
      <c r="AP21" s="72" t="str">
        <f>IFERROR(IF(d_ss_Bv!OI21=0,".",((Ir*F*MLF_pear*(1-EXP(-RadSpec!BC21*t_b)))/(P*RadSpec!BC21))),".")</f>
        <v>.</v>
      </c>
      <c r="AQ21" s="72">
        <f>IFERROR(IF(d_ss_Bv!S21=0,".",((Ir*F*MLF_peas*(1-EXP(-RadSpec!BC21*t_b)))/(P*RadSpec!BC21))),".")</f>
        <v>6.3628611156984829E-3</v>
      </c>
      <c r="AR21" s="72">
        <f>IFERROR(IF(d_ss_Bv!T21=0,".",((Ir*F*MLF_potato*(1-EXP(-RadSpec!BC21*t_b)))/(P*RadSpec!BC21))),".")</f>
        <v>7.5067462600937164E-3</v>
      </c>
      <c r="AS21" s="72">
        <f>IFERROR(IF(d_ss_Bv!U21=0,".",((Ir*F*MLF_pumpkin*(1-EXP(-RadSpec!BC21*t_b)))/(P*RadSpec!BC21))),".")</f>
        <v>2.0732918242163598E-3</v>
      </c>
      <c r="AT21" s="72">
        <f>IFERROR(IF(d_ss_Bv!V21=0,".",((Ir*F*MLF_snap_bean*(1-EXP(-RadSpec!BC21*t_b)))/(P*RadSpec!BC21))),".")</f>
        <v>0.17873205381175516</v>
      </c>
      <c r="AU21" s="72">
        <f>IFERROR(IF(d_ss_Bv!W21=0,".",((Ir*F*MLF_strawberry*(1-EXP(-RadSpec!BC21*t_b)))/(P*RadSpec!BC21))),".")</f>
        <v>2.8597128609880828E-3</v>
      </c>
      <c r="AV21" s="72">
        <f>IFERROR(IF(d_ss_Bv!X21=0,".",((Ir*F*MLF_tomato*(1-EXP(-RadSpec!BC21*t_b)))/(P*RadSpec!BC21))),".")</f>
        <v>5.6836793112138136E-2</v>
      </c>
      <c r="AW21" s="72">
        <f>IFERROR(IF(d_ss_Bv!Y21=0,".",((Ir*F*MLF_rice*(1-EXP(-RadSpec!BC21*t_b)))/(P*RadSpec!BC21))),".")</f>
        <v>8.9366026905877582</v>
      </c>
      <c r="AX21" s="72">
        <f>IFERROR(IF(d_ss_Bv!Z21=0,".",((Ir*F*MLF_cereal*(1-EXP(-RadSpec!BC21*t_b)))/(P*RadSpec!BC21))),".")</f>
        <v>8.9366026905877582</v>
      </c>
      <c r="AY21" s="72">
        <f>IFERROR(IF(d_ss_Bv!C21=0,".",((Ir*F*I_f*T*(1-EXP(-RadSpec!BD21*t_v)))/(Y_v*RadSpec!BD21))),".")</f>
        <v>3.6424203206347228</v>
      </c>
      <c r="AZ21" s="72">
        <f>IFERROR(IF(d_ss_Bv!D21=0,".",((Ir*F*I_f*T*(1-EXP(-RadSpec!BD21*t_v)))/(Y_v*RadSpec!BD21))),".")</f>
        <v>3.6424203206347228</v>
      </c>
      <c r="BA21" s="72">
        <f>IFERROR(IF(d_ss_Bv!E21=0,".",((Ir*F*I_f*T*(1-EXP(-RadSpec!BD21*t_v)))/(Y_v*RadSpec!BD21))),".")</f>
        <v>3.6424203206347228</v>
      </c>
      <c r="BB21" s="72">
        <f>IFERROR(IF(d_ss_Bv!F21=0,".",((Ir*F*I_f*T*(1-EXP(-RadSpec!BD21*t_v)))/(Y_v*RadSpec!BD21))),".")</f>
        <v>3.6424203206347228</v>
      </c>
      <c r="BC21" s="72">
        <f>IFERROR(IF(d_ss_Bv!G21=0,".",((Ir*F*I_f*T*(1-EXP(-RadSpec!BD21*t_v)))/(Y_v*RadSpec!BD21))),".")</f>
        <v>3.6424203206347228</v>
      </c>
      <c r="BD21" s="72">
        <f>IFERROR(IF(d_ss_Bv!H21=0,".",((Ir*F*I_f*T*(1-EXP(-RadSpec!BD21*t_v)))/(Y_v*RadSpec!BD21))),".")</f>
        <v>3.6424203206347228</v>
      </c>
      <c r="BE21" s="72">
        <f>IFERROR(IF(d_ss_Bv!I21=0,".",((Ir*F*I_f*T*(1-EXP(-RadSpec!BD21*t_v)))/(Y_v*RadSpec!BD21))),".")</f>
        <v>3.6424203206347228</v>
      </c>
      <c r="BF21" s="72">
        <f>IFERROR(IF(d_ss_Bv!J21=0,".",((Ir*F*I_f*T*(1-EXP(-RadSpec!BD21*t_v)))/(Y_v*RadSpec!BD21))),".")</f>
        <v>3.6424203206347228</v>
      </c>
      <c r="BG21" s="72">
        <f>IFERROR(IF(d_ss_Bv!K21=0,".",((Ir*F*I_f*T*(1-EXP(-RadSpec!BD21*t_v)))/(Y_v*RadSpec!BD21))),".")</f>
        <v>3.6424203206347228</v>
      </c>
      <c r="BH21" s="72">
        <f>IFERROR(IF(d_ss_Bv!L21=0,".",((Ir*F*I_f*T*(1-EXP(-RadSpec!BD21*t_v)))/(Y_v*RadSpec!BD21))),".")</f>
        <v>3.6424203206347228</v>
      </c>
      <c r="BI21" s="72">
        <f>IFERROR(IF(d_ss_Bv!M21=0,".",((Ir*F*I_f*T*(1-EXP(-RadSpec!BD21*t_v)))/(Y_v*RadSpec!BD21))),".")</f>
        <v>3.6424203206347228</v>
      </c>
      <c r="BJ21" s="72">
        <f>IFERROR(IF(d_ss_Bv!N21=0,".",((Ir*F*I_f*T*(1-EXP(-RadSpec!BD21*t_v)))/(Y_v*RadSpec!BD21))),".")</f>
        <v>3.6424203206347228</v>
      </c>
      <c r="BK21" s="72">
        <f>IFERROR(IF(d_ss_Bv!O21=0,".",((Ir*F*I_f*T*(1-EXP(-RadSpec!BD21*t_v)))/(Y_v*RadSpec!BD21))),".")</f>
        <v>3.6424203206347228</v>
      </c>
      <c r="BL21" s="72">
        <f>IFERROR(IF(d_ss_Bv!P21=0,".",((Ir*F*I_f*T*(1-EXP(-RadSpec!BD21*t_v)))/(Y_v*RadSpec!BD21))),".")</f>
        <v>3.6424203206347228</v>
      </c>
      <c r="BM21" s="72">
        <f>IFERROR(IF(d_ss_Bv!Q21=0,".",((Ir*F*I_f*T*(1-EXP(-RadSpec!BD21*t_v)))/(Y_v*RadSpec!BD21))),".")</f>
        <v>3.6424203206347228</v>
      </c>
      <c r="BN21" s="72">
        <f>IFERROR(IF(d_ss_Bv!R21=0,".",((Ir*F*I_f*T*(1-EXP(-RadSpec!BD21*t_v)))/(Y_v*RadSpec!BD21))),".")</f>
        <v>3.6424203206347228</v>
      </c>
      <c r="BO21" s="72">
        <f>IFERROR(IF(d_ss_Bv!S21=0,".",((Ir*F*I_f*T*(1-EXP(-RadSpec!BD21*t_v)))/(Y_v*RadSpec!BD21))),".")</f>
        <v>3.6424203206347228</v>
      </c>
      <c r="BP21" s="72">
        <f>IFERROR(IF(d_ss_Bv!T21=0,".",((Ir*F*I_f*T*(1-EXP(-RadSpec!BD21*t_v)))/(Y_v*RadSpec!BD21))),".")</f>
        <v>3.6424203206347228</v>
      </c>
      <c r="BQ21" s="72">
        <f>IFERROR(IF(d_ss_Bv!U21=0,".",((Ir*F*I_f*T*(1-EXP(-RadSpec!BD21*t_v)))/(Y_v*RadSpec!BD21))),".")</f>
        <v>3.6424203206347228</v>
      </c>
      <c r="BR21" s="72">
        <f>IFERROR(IF(d_ss_Bv!V21=0,".",((Ir*F*I_f*T*(1-EXP(-RadSpec!BD21*t_v)))/(Y_v*RadSpec!BD21))),".")</f>
        <v>3.6424203206347228</v>
      </c>
      <c r="BS21" s="72">
        <f>IFERROR(IF(d_ss_Bv!W21=0,".",((Ir*F*I_f*T*(1-EXP(-RadSpec!BD21*t_v)))/(Y_v*RadSpec!BD21))),".")</f>
        <v>3.6424203206347228</v>
      </c>
      <c r="BT21" s="72">
        <f>IFERROR(IF(d_ss_Bv!X21=0,".",((Ir*F*I_f*T*(1-EXP(-RadSpec!BD21*t_v)))/(Y_v*RadSpec!BD21))),".")</f>
        <v>3.6424203206347228</v>
      </c>
      <c r="BU21" s="72">
        <f>IFERROR(IF(d_ss_Bv!Y21=0,".",((Ir*F*I_f*T*(1-EXP(-RadSpec!BD21*t_v)))/(Y_v*RadSpec!BD21))),".")</f>
        <v>3.6424203206347228</v>
      </c>
      <c r="BV21" s="72">
        <f>IFERROR(IF(d_ss_Bv!Z21=0,".",((Ir*F*I_f*T*(1-EXP(-RadSpec!BD21*t_v)))/(Y_v*RadSpec!BD21))),".")</f>
        <v>3.6424203206347228</v>
      </c>
    </row>
    <row r="22" spans="1:74" x14ac:dyDescent="0.25">
      <c r="A22" s="31" t="s">
        <v>20</v>
      </c>
      <c r="B22" s="3" t="s">
        <v>1059</v>
      </c>
      <c r="C22" s="72">
        <f>IFERROR(IF(d_ss_Bv!C22=0,".",((Ir*F*d_ss_Bv!C22*(1-EXP(-RadSpec!BC22*t_b)))/(P*RadSpec!BC22))),".")</f>
        <v>0.35746410762351033</v>
      </c>
      <c r="D22" s="72">
        <f>IFERROR(IF(d_ss_Bv!D22=0,".",((Ir*F*d_ss_Bv!D22*(1-EXP(-RadSpec!BC22*t_b)))/(P*RadSpec!BC22))),".")</f>
        <v>3.2529233793739438</v>
      </c>
      <c r="E22" s="72">
        <f>IFERROR(IF(d_ss_Bv!E22=0,".",((Ir*F*d_ss_Bv!E22*(1-EXP(-RadSpec!BC22*t_b)))/(P*RadSpec!BC22))),".")</f>
        <v>2.5022487533645723</v>
      </c>
      <c r="F22" s="72">
        <f>IFERROR(IF(d_ss_Bv!F22=0,".",((Ir*F*d_ss_Bv!F22*(1-EXP(-RadSpec!BC22*t_b)))/(P*RadSpec!BC22))),".")</f>
        <v>0.35746410762351033</v>
      </c>
      <c r="G22" s="72">
        <f>IFERROR(IF(d_ss_Bv!G22=0,".",((Ir*F*d_ss_Bv!G22*(1-EXP(-RadSpec!BC22*t_b)))/(P*RadSpec!BC22))),".")</f>
        <v>0.60768898295996754</v>
      </c>
      <c r="H22" s="72">
        <f>IFERROR(IF(d_ss_Bv!H22=0,".",((Ir*F*d_ss_Bv!H22*(1-EXP(-RadSpec!BC22*t_b)))/(P*RadSpec!BC22))),".")</f>
        <v>3.2529233793739438</v>
      </c>
      <c r="I22" s="72">
        <f>IFERROR(IF(d_ss_Bv!I22=0,".",((Ir*F*d_ss_Bv!I22*(1-EXP(-RadSpec!BC22*t_b)))/(P*RadSpec!BC22))),".")</f>
        <v>2.5022487533645723</v>
      </c>
      <c r="J22" s="72">
        <f>IFERROR(IF(d_ss_Bv!J22=0,".",((Ir*F*d_ss_Bv!J22*(1-EXP(-RadSpec!BC22*t_b)))/(P*RadSpec!BC22))),".")</f>
        <v>0.35746410762351033</v>
      </c>
      <c r="K22" s="72">
        <f>IFERROR(IF(d_ss_Bv!K22=0,".",((Ir*F*d_ss_Bv!K22*(1-EXP(-RadSpec!BC22*t_b)))/(P*RadSpec!BC22))),".")</f>
        <v>8.5791385829642464E-2</v>
      </c>
      <c r="L22" s="72">
        <f>IFERROR(IF(d_ss_Bv!L22=0,".",((Ir*F*d_ss_Bv!L22*(1-EXP(-RadSpec!BC22*t_b)))/(P*RadSpec!BC22))),".")</f>
        <v>0.60768898295996754</v>
      </c>
      <c r="M22" s="72">
        <f>IFERROR(IF(d_ss_Bv!M22=0,".",((Ir*F*d_ss_Bv!M22*(1-EXP(-RadSpec!BC22*t_b)))/(P*RadSpec!BC22))),".")</f>
        <v>3.2529233793739438</v>
      </c>
      <c r="N22" s="72">
        <f>IFERROR(IF(d_ss_Bv!N22=0,".",((Ir*F*d_ss_Bv!N22*(1-EXP(-RadSpec!BC22*t_b)))/(P*RadSpec!BC22))),".")</f>
        <v>0.50044975067291442</v>
      </c>
      <c r="O22" s="72">
        <f>IFERROR(IF(d_ss_Bv!O22=0,".",((Ir*F*d_ss_Bv!O22*(1-EXP(-RadSpec!BC22*t_b)))/(P*RadSpec!BC22))),".")</f>
        <v>0.60768898295996754</v>
      </c>
      <c r="P22" s="72">
        <f>IFERROR(IF(d_ss_Bv!P22=0,".",((Ir*F*d_ss_Bv!P22*(1-EXP(-RadSpec!BC22*t_b)))/(P*RadSpec!BC22))),".")</f>
        <v>0.60768898295996754</v>
      </c>
      <c r="Q22" s="72">
        <f>IFERROR(IF(d_ss_Bv!Q22=0,".",((Ir*F*d_ss_Bv!Q22*(1-EXP(-RadSpec!BC22*t_b)))/(P*RadSpec!BC22))),".")</f>
        <v>0.35746410762351033</v>
      </c>
      <c r="R22" s="72">
        <f>IFERROR(IF(d_ss_Bv!R22=0,".",((Ir*F*d_ss_Bv!R22*(1-EXP(-RadSpec!BC22*t_b)))/(P*RadSpec!BC22))),".")</f>
        <v>0.35746410762351033</v>
      </c>
      <c r="S22" s="72">
        <f>IFERROR(IF(d_ss_Bv!S22=0,".",((Ir*F*d_ss_Bv!S22*(1-EXP(-RadSpec!BC22*t_b)))/(P*RadSpec!BC22))),".")</f>
        <v>0.50044975067291442</v>
      </c>
      <c r="T22" s="72">
        <f>IFERROR(IF(d_ss_Bv!T22=0,".",((Ir*F*d_ss_Bv!T22*(1-EXP(-RadSpec!BC22*t_b)))/(P*RadSpec!BC22))),".")</f>
        <v>0.39321051838586135</v>
      </c>
      <c r="U22" s="72">
        <f>IFERROR(IF(d_ss_Bv!U22=0,".",((Ir*F*d_ss_Bv!U22*(1-EXP(-RadSpec!BC22*t_b)))/(P*RadSpec!BC22))),".")</f>
        <v>0.60768898295996754</v>
      </c>
      <c r="V22" s="72">
        <f>IFERROR(IF(d_ss_Bv!V22=0,".",((Ir*F*d_ss_Bv!V22*(1-EXP(-RadSpec!BC22*t_b)))/(P*RadSpec!BC22))),".")</f>
        <v>0.50044975067291442</v>
      </c>
      <c r="W22" s="72">
        <f>IFERROR(IF(d_ss_Bv!W22=0,".",((Ir*F*d_ss_Bv!W22*(1-EXP(-RadSpec!BC22*t_b)))/(P*RadSpec!BC22))),".")</f>
        <v>0.35746410762351033</v>
      </c>
      <c r="X22" s="72">
        <f>IFERROR(IF(d_ss_Bv!X22=0,".",((Ir*F*d_ss_Bv!X22*(1-EXP(-RadSpec!BC22*t_b)))/(P*RadSpec!BC22))),".")</f>
        <v>0.60768898295996754</v>
      </c>
      <c r="Y22" s="72">
        <f>IFERROR(IF(d_ss_Bv!Y22=0,".",((Ir*F*d_ss_Bv!Y22*(1-EXP(-RadSpec!BC22*t_b)))/(P*RadSpec!BC22))),".")</f>
        <v>3.10993773632454E-2</v>
      </c>
      <c r="Z22" s="72">
        <f>IFERROR(IF(d_ss_Bv!Z22=0,".",((Ir*F*d_ss_Bv!Z22*(1-EXP(-RadSpec!BC22*t_b)))/(P*RadSpec!BC22))),".")</f>
        <v>0.60768898295996754</v>
      </c>
      <c r="AA22" s="72">
        <f>IFERROR(IF(d_ss_Bv!C22=0,".",((Ir*F*MLF_apple*(1-EXP(-RadSpec!BC22*t_b)))/(P*RadSpec!BC22))),".")</f>
        <v>5.7194257219761657E-3</v>
      </c>
      <c r="AB22" s="72">
        <f>IFERROR(IF(d_ss_Bv!D22=0,".",((Ir*F*MLF_asparagus*(1-EXP(-RadSpec!BC22*t_b)))/(P*RadSpec!BC22))),".")</f>
        <v>2.8239664502257315E-3</v>
      </c>
      <c r="AC22" s="72">
        <f>IFERROR(IF(d_ss_Bv!E22=0,".",((Ir*F*MLF_beet*(1-EXP(-RadSpec!BC22*t_b)))/(P*RadSpec!BC22))),".")</f>
        <v>4.9330046852044422E-3</v>
      </c>
      <c r="AD22" s="72">
        <f>IFERROR(IF(d_ss_Bv!F22=0,".",((Ir*F*MLF_berries*(1-EXP(-RadSpec!BC22*t_b)))/(P*RadSpec!BC22))),".")</f>
        <v>5.9339041865502712E-3</v>
      </c>
      <c r="AE22" s="72">
        <f>IFERROR(IF(d_ss_Bv!G22=0,".",((Ir*F*MLF_broccoli*(1-EXP(-RadSpec!BC22*t_b)))/(P*RadSpec!BC22))),".")</f>
        <v>3.6103874869974538E-2</v>
      </c>
      <c r="AF22" s="72">
        <f>IFERROR(IF(d_ss_Bv!H22=0,".",((Ir*F*MLF_cabbage*(1-EXP(-RadSpec!BC22*t_b)))/(P*RadSpec!BC22))),".")</f>
        <v>3.7533731300468582E-3</v>
      </c>
      <c r="AG22" s="72">
        <f>IFERROR(IF(d_ss_Bv!I22=0,".",((Ir*F*MLF_carrot*(1-EXP(-RadSpec!BC22*t_b)))/(P*RadSpec!BC22))),".")</f>
        <v>3.4674018439480501E-3</v>
      </c>
      <c r="AH22" s="72">
        <f>IFERROR(IF(d_ss_Bv!J22=0,".",((Ir*F*MLF_citrus*(1-EXP(-RadSpec!BC22*t_b)))/(P*RadSpec!BC22))),".")</f>
        <v>5.6121864896891112E-3</v>
      </c>
      <c r="AI22" s="72">
        <f>IFERROR(IF(d_ss_Bv!K22=0,".",((Ir*F*MLF_corn*(1-EXP(-RadSpec!BC22*t_b)))/(P*RadSpec!BC22))),".")</f>
        <v>5.1832295605408994E-3</v>
      </c>
      <c r="AJ22" s="72">
        <f>IFERROR(IF(d_ss_Bv!L22=0,".",((Ir*F*MLF_cucumber*(1-EXP(-RadSpec!BC22*t_b)))/(P*RadSpec!BC22))),".")</f>
        <v>1.4298564304940414E-3</v>
      </c>
      <c r="AK22" s="72">
        <f>IFERROR(IF(d_ss_Bv!M22=0,".",((Ir*F*MLF_lettuce*(1-EXP(-RadSpec!BC22*t_b)))/(P*RadSpec!BC22))),".")</f>
        <v>0.48257654529173893</v>
      </c>
      <c r="AL22" s="72">
        <f>IFERROR(IF(d_ss_Bv!N22=0,".",((Ir*F*MLF_lima_bean*(1-EXP(-RadSpec!BC22*t_b)))/(P*RadSpec!BC22))),".")</f>
        <v>0.13690875321980447</v>
      </c>
      <c r="AM22" s="72">
        <f>IFERROR(IF(d_ss_Bv!O22=0,".",((Ir*F*MLF_okra*(1-EXP(-RadSpec!BC22*t_b)))/(P*RadSpec!BC22))),".")</f>
        <v>2.8597128609880828E-3</v>
      </c>
      <c r="AN22" s="72">
        <f>IFERROR(IF(d_ss_Bv!P22=0,".",((Ir*F*MLF_onion*(1-EXP(-RadSpec!BC22*t_b)))/(P*RadSpec!BC22))),".")</f>
        <v>3.4674018439480501E-3</v>
      </c>
      <c r="AO22" s="72">
        <f>IFERROR(IF(d_ss_Bv!Q22=0,".",((Ir*F*MLF_peach*(1-EXP(-RadSpec!BC22*t_b)))/(P*RadSpec!BC22))),".")</f>
        <v>5.361961614352654E-3</v>
      </c>
      <c r="AP22" s="72" t="str">
        <f>IFERROR(IF(d_ss_Bv!OI22=0,".",((Ir*F*MLF_pear*(1-EXP(-RadSpec!BC22*t_b)))/(P*RadSpec!BC22))),".")</f>
        <v>.</v>
      </c>
      <c r="AQ22" s="72">
        <f>IFERROR(IF(d_ss_Bv!S22=0,".",((Ir*F*MLF_peas*(1-EXP(-RadSpec!BC22*t_b)))/(P*RadSpec!BC22))),".")</f>
        <v>6.3628611156984829E-3</v>
      </c>
      <c r="AR22" s="72">
        <f>IFERROR(IF(d_ss_Bv!T22=0,".",((Ir*F*MLF_potato*(1-EXP(-RadSpec!BC22*t_b)))/(P*RadSpec!BC22))),".")</f>
        <v>7.5067462600937164E-3</v>
      </c>
      <c r="AS22" s="72">
        <f>IFERROR(IF(d_ss_Bv!U22=0,".",((Ir*F*MLF_pumpkin*(1-EXP(-RadSpec!BC22*t_b)))/(P*RadSpec!BC22))),".")</f>
        <v>2.0732918242163598E-3</v>
      </c>
      <c r="AT22" s="72">
        <f>IFERROR(IF(d_ss_Bv!V22=0,".",((Ir*F*MLF_snap_bean*(1-EXP(-RadSpec!BC22*t_b)))/(P*RadSpec!BC22))),".")</f>
        <v>0.17873205381175516</v>
      </c>
      <c r="AU22" s="72">
        <f>IFERROR(IF(d_ss_Bv!W22=0,".",((Ir*F*MLF_strawberry*(1-EXP(-RadSpec!BC22*t_b)))/(P*RadSpec!BC22))),".")</f>
        <v>2.8597128609880828E-3</v>
      </c>
      <c r="AV22" s="72">
        <f>IFERROR(IF(d_ss_Bv!X22=0,".",((Ir*F*MLF_tomato*(1-EXP(-RadSpec!BC22*t_b)))/(P*RadSpec!BC22))),".")</f>
        <v>5.6836793112138136E-2</v>
      </c>
      <c r="AW22" s="72">
        <f>IFERROR(IF(d_ss_Bv!Y22=0,".",((Ir*F*MLF_rice*(1-EXP(-RadSpec!BC22*t_b)))/(P*RadSpec!BC22))),".")</f>
        <v>8.9366026905877582</v>
      </c>
      <c r="AX22" s="72">
        <f>IFERROR(IF(d_ss_Bv!Z22=0,".",((Ir*F*MLF_cereal*(1-EXP(-RadSpec!BC22*t_b)))/(P*RadSpec!BC22))),".")</f>
        <v>8.9366026905877582</v>
      </c>
      <c r="AY22" s="72">
        <f>IFERROR(IF(d_ss_Bv!C22=0,".",((Ir*F*I_f*T*(1-EXP(-RadSpec!BD22*t_v)))/(Y_v*RadSpec!BD22))),".")</f>
        <v>3.6424203206347228</v>
      </c>
      <c r="AZ22" s="72">
        <f>IFERROR(IF(d_ss_Bv!D22=0,".",((Ir*F*I_f*T*(1-EXP(-RadSpec!BD22*t_v)))/(Y_v*RadSpec!BD22))),".")</f>
        <v>3.6424203206347228</v>
      </c>
      <c r="BA22" s="72">
        <f>IFERROR(IF(d_ss_Bv!E22=0,".",((Ir*F*I_f*T*(1-EXP(-RadSpec!BD22*t_v)))/(Y_v*RadSpec!BD22))),".")</f>
        <v>3.6424203206347228</v>
      </c>
      <c r="BB22" s="72">
        <f>IFERROR(IF(d_ss_Bv!F22=0,".",((Ir*F*I_f*T*(1-EXP(-RadSpec!BD22*t_v)))/(Y_v*RadSpec!BD22))),".")</f>
        <v>3.6424203206347228</v>
      </c>
      <c r="BC22" s="72">
        <f>IFERROR(IF(d_ss_Bv!G22=0,".",((Ir*F*I_f*T*(1-EXP(-RadSpec!BD22*t_v)))/(Y_v*RadSpec!BD22))),".")</f>
        <v>3.6424203206347228</v>
      </c>
      <c r="BD22" s="72">
        <f>IFERROR(IF(d_ss_Bv!H22=0,".",((Ir*F*I_f*T*(1-EXP(-RadSpec!BD22*t_v)))/(Y_v*RadSpec!BD22))),".")</f>
        <v>3.6424203206347228</v>
      </c>
      <c r="BE22" s="72">
        <f>IFERROR(IF(d_ss_Bv!I22=0,".",((Ir*F*I_f*T*(1-EXP(-RadSpec!BD22*t_v)))/(Y_v*RadSpec!BD22))),".")</f>
        <v>3.6424203206347228</v>
      </c>
      <c r="BF22" s="72">
        <f>IFERROR(IF(d_ss_Bv!J22=0,".",((Ir*F*I_f*T*(1-EXP(-RadSpec!BD22*t_v)))/(Y_v*RadSpec!BD22))),".")</f>
        <v>3.6424203206347228</v>
      </c>
      <c r="BG22" s="72">
        <f>IFERROR(IF(d_ss_Bv!K22=0,".",((Ir*F*I_f*T*(1-EXP(-RadSpec!BD22*t_v)))/(Y_v*RadSpec!BD22))),".")</f>
        <v>3.6424203206347228</v>
      </c>
      <c r="BH22" s="72">
        <f>IFERROR(IF(d_ss_Bv!L22=0,".",((Ir*F*I_f*T*(1-EXP(-RadSpec!BD22*t_v)))/(Y_v*RadSpec!BD22))),".")</f>
        <v>3.6424203206347228</v>
      </c>
      <c r="BI22" s="72">
        <f>IFERROR(IF(d_ss_Bv!M22=0,".",((Ir*F*I_f*T*(1-EXP(-RadSpec!BD22*t_v)))/(Y_v*RadSpec!BD22))),".")</f>
        <v>3.6424203206347228</v>
      </c>
      <c r="BJ22" s="72">
        <f>IFERROR(IF(d_ss_Bv!N22=0,".",((Ir*F*I_f*T*(1-EXP(-RadSpec!BD22*t_v)))/(Y_v*RadSpec!BD22))),".")</f>
        <v>3.6424203206347228</v>
      </c>
      <c r="BK22" s="72">
        <f>IFERROR(IF(d_ss_Bv!O22=0,".",((Ir*F*I_f*T*(1-EXP(-RadSpec!BD22*t_v)))/(Y_v*RadSpec!BD22))),".")</f>
        <v>3.6424203206347228</v>
      </c>
      <c r="BL22" s="72">
        <f>IFERROR(IF(d_ss_Bv!P22=0,".",((Ir*F*I_f*T*(1-EXP(-RadSpec!BD22*t_v)))/(Y_v*RadSpec!BD22))),".")</f>
        <v>3.6424203206347228</v>
      </c>
      <c r="BM22" s="72">
        <f>IFERROR(IF(d_ss_Bv!Q22=0,".",((Ir*F*I_f*T*(1-EXP(-RadSpec!BD22*t_v)))/(Y_v*RadSpec!BD22))),".")</f>
        <v>3.6424203206347228</v>
      </c>
      <c r="BN22" s="72">
        <f>IFERROR(IF(d_ss_Bv!R22=0,".",((Ir*F*I_f*T*(1-EXP(-RadSpec!BD22*t_v)))/(Y_v*RadSpec!BD22))),".")</f>
        <v>3.6424203206347228</v>
      </c>
      <c r="BO22" s="72">
        <f>IFERROR(IF(d_ss_Bv!S22=0,".",((Ir*F*I_f*T*(1-EXP(-RadSpec!BD22*t_v)))/(Y_v*RadSpec!BD22))),".")</f>
        <v>3.6424203206347228</v>
      </c>
      <c r="BP22" s="72">
        <f>IFERROR(IF(d_ss_Bv!T22=0,".",((Ir*F*I_f*T*(1-EXP(-RadSpec!BD22*t_v)))/(Y_v*RadSpec!BD22))),".")</f>
        <v>3.6424203206347228</v>
      </c>
      <c r="BQ22" s="72">
        <f>IFERROR(IF(d_ss_Bv!U22=0,".",((Ir*F*I_f*T*(1-EXP(-RadSpec!BD22*t_v)))/(Y_v*RadSpec!BD22))),".")</f>
        <v>3.6424203206347228</v>
      </c>
      <c r="BR22" s="72">
        <f>IFERROR(IF(d_ss_Bv!V22=0,".",((Ir*F*I_f*T*(1-EXP(-RadSpec!BD22*t_v)))/(Y_v*RadSpec!BD22))),".")</f>
        <v>3.6424203206347228</v>
      </c>
      <c r="BS22" s="72">
        <f>IFERROR(IF(d_ss_Bv!W22=0,".",((Ir*F*I_f*T*(1-EXP(-RadSpec!BD22*t_v)))/(Y_v*RadSpec!BD22))),".")</f>
        <v>3.6424203206347228</v>
      </c>
      <c r="BT22" s="72">
        <f>IFERROR(IF(d_ss_Bv!X22=0,".",((Ir*F*I_f*T*(1-EXP(-RadSpec!BD22*t_v)))/(Y_v*RadSpec!BD22))),".")</f>
        <v>3.6424203206347228</v>
      </c>
      <c r="BU22" s="72">
        <f>IFERROR(IF(d_ss_Bv!Y22=0,".",((Ir*F*I_f*T*(1-EXP(-RadSpec!BD22*t_v)))/(Y_v*RadSpec!BD22))),".")</f>
        <v>3.6424203206347228</v>
      </c>
      <c r="BV22" s="72">
        <f>IFERROR(IF(d_ss_Bv!Z22=0,".",((Ir*F*I_f*T*(1-EXP(-RadSpec!BD22*t_v)))/(Y_v*RadSpec!BD22))),".")</f>
        <v>3.6424203206347228</v>
      </c>
    </row>
    <row r="23" spans="1:74" x14ac:dyDescent="0.25">
      <c r="A23" s="32" t="s">
        <v>21</v>
      </c>
      <c r="B23" s="3" t="s">
        <v>336</v>
      </c>
      <c r="C23" s="72">
        <f>IFERROR(IF(d_ss_Bv!C23=0,".",((Ir*F*d_ss_Bv!C23*(1-EXP(-RadSpec!BC23*t_b)))/(P*RadSpec!BC23))),".")</f>
        <v>0.35746410762351033</v>
      </c>
      <c r="D23" s="72">
        <f>IFERROR(IF(d_ss_Bv!D23=0,".",((Ir*F*d_ss_Bv!D23*(1-EXP(-RadSpec!BC23*t_b)))/(P*RadSpec!BC23))),".")</f>
        <v>3.2529233793739438</v>
      </c>
      <c r="E23" s="72">
        <f>IFERROR(IF(d_ss_Bv!E23=0,".",((Ir*F*d_ss_Bv!E23*(1-EXP(-RadSpec!BC23*t_b)))/(P*RadSpec!BC23))),".")</f>
        <v>2.5022487533645723</v>
      </c>
      <c r="F23" s="72">
        <f>IFERROR(IF(d_ss_Bv!F23=0,".",((Ir*F*d_ss_Bv!F23*(1-EXP(-RadSpec!BC23*t_b)))/(P*RadSpec!BC23))),".")</f>
        <v>0.35746410762351033</v>
      </c>
      <c r="G23" s="72">
        <f>IFERROR(IF(d_ss_Bv!G23=0,".",((Ir*F*d_ss_Bv!G23*(1-EXP(-RadSpec!BC23*t_b)))/(P*RadSpec!BC23))),".")</f>
        <v>0.60768898295996754</v>
      </c>
      <c r="H23" s="72">
        <f>IFERROR(IF(d_ss_Bv!H23=0,".",((Ir*F*d_ss_Bv!H23*(1-EXP(-RadSpec!BC23*t_b)))/(P*RadSpec!BC23))),".")</f>
        <v>3.2529233793739438</v>
      </c>
      <c r="I23" s="72">
        <f>IFERROR(IF(d_ss_Bv!I23=0,".",((Ir*F*d_ss_Bv!I23*(1-EXP(-RadSpec!BC23*t_b)))/(P*RadSpec!BC23))),".")</f>
        <v>2.5022487533645723</v>
      </c>
      <c r="J23" s="72">
        <f>IFERROR(IF(d_ss_Bv!J23=0,".",((Ir*F*d_ss_Bv!J23*(1-EXP(-RadSpec!BC23*t_b)))/(P*RadSpec!BC23))),".")</f>
        <v>0.35746410762351033</v>
      </c>
      <c r="K23" s="72">
        <f>IFERROR(IF(d_ss_Bv!K23=0,".",((Ir*F*d_ss_Bv!K23*(1-EXP(-RadSpec!BC23*t_b)))/(P*RadSpec!BC23))),".")</f>
        <v>8.5791385829642464E-2</v>
      </c>
      <c r="L23" s="72">
        <f>IFERROR(IF(d_ss_Bv!L23=0,".",((Ir*F*d_ss_Bv!L23*(1-EXP(-RadSpec!BC23*t_b)))/(P*RadSpec!BC23))),".")</f>
        <v>0.60768898295996754</v>
      </c>
      <c r="M23" s="72">
        <f>IFERROR(IF(d_ss_Bv!M23=0,".",((Ir*F*d_ss_Bv!M23*(1-EXP(-RadSpec!BC23*t_b)))/(P*RadSpec!BC23))),".")</f>
        <v>3.2529233793739438</v>
      </c>
      <c r="N23" s="72">
        <f>IFERROR(IF(d_ss_Bv!N23=0,".",((Ir*F*d_ss_Bv!N23*(1-EXP(-RadSpec!BC23*t_b)))/(P*RadSpec!BC23))),".")</f>
        <v>0.50044975067291442</v>
      </c>
      <c r="O23" s="72">
        <f>IFERROR(IF(d_ss_Bv!O23=0,".",((Ir*F*d_ss_Bv!O23*(1-EXP(-RadSpec!BC23*t_b)))/(P*RadSpec!BC23))),".")</f>
        <v>0.60768898295996754</v>
      </c>
      <c r="P23" s="72">
        <f>IFERROR(IF(d_ss_Bv!P23=0,".",((Ir*F*d_ss_Bv!P23*(1-EXP(-RadSpec!BC23*t_b)))/(P*RadSpec!BC23))),".")</f>
        <v>0.60768898295996754</v>
      </c>
      <c r="Q23" s="72">
        <f>IFERROR(IF(d_ss_Bv!Q23=0,".",((Ir*F*d_ss_Bv!Q23*(1-EXP(-RadSpec!BC23*t_b)))/(P*RadSpec!BC23))),".")</f>
        <v>0.35746410762351033</v>
      </c>
      <c r="R23" s="72">
        <f>IFERROR(IF(d_ss_Bv!R23=0,".",((Ir*F*d_ss_Bv!R23*(1-EXP(-RadSpec!BC23*t_b)))/(P*RadSpec!BC23))),".")</f>
        <v>0.35746410762351033</v>
      </c>
      <c r="S23" s="72">
        <f>IFERROR(IF(d_ss_Bv!S23=0,".",((Ir*F*d_ss_Bv!S23*(1-EXP(-RadSpec!BC23*t_b)))/(P*RadSpec!BC23))),".")</f>
        <v>0.50044975067291442</v>
      </c>
      <c r="T23" s="72">
        <f>IFERROR(IF(d_ss_Bv!T23=0,".",((Ir*F*d_ss_Bv!T23*(1-EXP(-RadSpec!BC23*t_b)))/(P*RadSpec!BC23))),".")</f>
        <v>0.39321051838586135</v>
      </c>
      <c r="U23" s="72">
        <f>IFERROR(IF(d_ss_Bv!U23=0,".",((Ir*F*d_ss_Bv!U23*(1-EXP(-RadSpec!BC23*t_b)))/(P*RadSpec!BC23))),".")</f>
        <v>0.60768898295996754</v>
      </c>
      <c r="V23" s="72">
        <f>IFERROR(IF(d_ss_Bv!V23=0,".",((Ir*F*d_ss_Bv!V23*(1-EXP(-RadSpec!BC23*t_b)))/(P*RadSpec!BC23))),".")</f>
        <v>0.50044975067291442</v>
      </c>
      <c r="W23" s="72">
        <f>IFERROR(IF(d_ss_Bv!W23=0,".",((Ir*F*d_ss_Bv!W23*(1-EXP(-RadSpec!BC23*t_b)))/(P*RadSpec!BC23))),".")</f>
        <v>0.35746410762351033</v>
      </c>
      <c r="X23" s="72">
        <f>IFERROR(IF(d_ss_Bv!X23=0,".",((Ir*F*d_ss_Bv!X23*(1-EXP(-RadSpec!BC23*t_b)))/(P*RadSpec!BC23))),".")</f>
        <v>0.60768898295996754</v>
      </c>
      <c r="Y23" s="72">
        <f>IFERROR(IF(d_ss_Bv!Y23=0,".",((Ir*F*d_ss_Bv!Y23*(1-EXP(-RadSpec!BC23*t_b)))/(P*RadSpec!BC23))),".")</f>
        <v>3.10993773632454E-2</v>
      </c>
      <c r="Z23" s="72">
        <f>IFERROR(IF(d_ss_Bv!Z23=0,".",((Ir*F*d_ss_Bv!Z23*(1-EXP(-RadSpec!BC23*t_b)))/(P*RadSpec!BC23))),".")</f>
        <v>0.60768898295996754</v>
      </c>
      <c r="AA23" s="72">
        <f>IFERROR(IF(d_ss_Bv!C23=0,".",((Ir*F*MLF_apple*(1-EXP(-RadSpec!BC23*t_b)))/(P*RadSpec!BC23))),".")</f>
        <v>5.7194257219761657E-3</v>
      </c>
      <c r="AB23" s="72">
        <f>IFERROR(IF(d_ss_Bv!D23=0,".",((Ir*F*MLF_asparagus*(1-EXP(-RadSpec!BC23*t_b)))/(P*RadSpec!BC23))),".")</f>
        <v>2.8239664502257315E-3</v>
      </c>
      <c r="AC23" s="72">
        <f>IFERROR(IF(d_ss_Bv!E23=0,".",((Ir*F*MLF_beet*(1-EXP(-RadSpec!BC23*t_b)))/(P*RadSpec!BC23))),".")</f>
        <v>4.9330046852044422E-3</v>
      </c>
      <c r="AD23" s="72">
        <f>IFERROR(IF(d_ss_Bv!F23=0,".",((Ir*F*MLF_berries*(1-EXP(-RadSpec!BC23*t_b)))/(P*RadSpec!BC23))),".")</f>
        <v>5.9339041865502712E-3</v>
      </c>
      <c r="AE23" s="72">
        <f>IFERROR(IF(d_ss_Bv!G23=0,".",((Ir*F*MLF_broccoli*(1-EXP(-RadSpec!BC23*t_b)))/(P*RadSpec!BC23))),".")</f>
        <v>3.6103874869974538E-2</v>
      </c>
      <c r="AF23" s="72">
        <f>IFERROR(IF(d_ss_Bv!H23=0,".",((Ir*F*MLF_cabbage*(1-EXP(-RadSpec!BC23*t_b)))/(P*RadSpec!BC23))),".")</f>
        <v>3.7533731300468582E-3</v>
      </c>
      <c r="AG23" s="72">
        <f>IFERROR(IF(d_ss_Bv!I23=0,".",((Ir*F*MLF_carrot*(1-EXP(-RadSpec!BC23*t_b)))/(P*RadSpec!BC23))),".")</f>
        <v>3.4674018439480501E-3</v>
      </c>
      <c r="AH23" s="72">
        <f>IFERROR(IF(d_ss_Bv!J23=0,".",((Ir*F*MLF_citrus*(1-EXP(-RadSpec!BC23*t_b)))/(P*RadSpec!BC23))),".")</f>
        <v>5.6121864896891112E-3</v>
      </c>
      <c r="AI23" s="72">
        <f>IFERROR(IF(d_ss_Bv!K23=0,".",((Ir*F*MLF_corn*(1-EXP(-RadSpec!BC23*t_b)))/(P*RadSpec!BC23))),".")</f>
        <v>5.1832295605408994E-3</v>
      </c>
      <c r="AJ23" s="72">
        <f>IFERROR(IF(d_ss_Bv!L23=0,".",((Ir*F*MLF_cucumber*(1-EXP(-RadSpec!BC23*t_b)))/(P*RadSpec!BC23))),".")</f>
        <v>1.4298564304940414E-3</v>
      </c>
      <c r="AK23" s="72">
        <f>IFERROR(IF(d_ss_Bv!M23=0,".",((Ir*F*MLF_lettuce*(1-EXP(-RadSpec!BC23*t_b)))/(P*RadSpec!BC23))),".")</f>
        <v>0.48257654529173893</v>
      </c>
      <c r="AL23" s="72">
        <f>IFERROR(IF(d_ss_Bv!N23=0,".",((Ir*F*MLF_lima_bean*(1-EXP(-RadSpec!BC23*t_b)))/(P*RadSpec!BC23))),".")</f>
        <v>0.13690875321980447</v>
      </c>
      <c r="AM23" s="72">
        <f>IFERROR(IF(d_ss_Bv!O23=0,".",((Ir*F*MLF_okra*(1-EXP(-RadSpec!BC23*t_b)))/(P*RadSpec!BC23))),".")</f>
        <v>2.8597128609880828E-3</v>
      </c>
      <c r="AN23" s="72">
        <f>IFERROR(IF(d_ss_Bv!P23=0,".",((Ir*F*MLF_onion*(1-EXP(-RadSpec!BC23*t_b)))/(P*RadSpec!BC23))),".")</f>
        <v>3.4674018439480501E-3</v>
      </c>
      <c r="AO23" s="72">
        <f>IFERROR(IF(d_ss_Bv!Q23=0,".",((Ir*F*MLF_peach*(1-EXP(-RadSpec!BC23*t_b)))/(P*RadSpec!BC23))),".")</f>
        <v>5.361961614352654E-3</v>
      </c>
      <c r="AP23" s="72">
        <f>IFERROR(IF(d_ss_Bv!R23=0,".",((Ir*F*MLF_pear*(1-EXP(-RadSpec!BC23*t_b)))/(P*RadSpec!BC23))),".")</f>
        <v>5.7194257219761657E-3</v>
      </c>
      <c r="AQ23" s="72">
        <f>IFERROR(IF(d_ss_Bv!S23=0,".",((Ir*F*MLF_peas*(1-EXP(-RadSpec!BC23*t_b)))/(P*RadSpec!BC23))),".")</f>
        <v>6.3628611156984829E-3</v>
      </c>
      <c r="AR23" s="72">
        <f>IFERROR(IF(d_ss_Bv!T23=0,".",((Ir*F*MLF_potato*(1-EXP(-RadSpec!BC23*t_b)))/(P*RadSpec!BC23))),".")</f>
        <v>7.5067462600937164E-3</v>
      </c>
      <c r="AS23" s="72">
        <f>IFERROR(IF(d_ss_Bv!U23=0,".",((Ir*F*MLF_pumpkin*(1-EXP(-RadSpec!BC23*t_b)))/(P*RadSpec!BC23))),".")</f>
        <v>2.0732918242163598E-3</v>
      </c>
      <c r="AT23" s="72">
        <f>IFERROR(IF(d_ss_Bv!V23=0,".",((Ir*F*MLF_snap_bean*(1-EXP(-RadSpec!BC23*t_b)))/(P*RadSpec!BC23))),".")</f>
        <v>0.17873205381175516</v>
      </c>
      <c r="AU23" s="72">
        <f>IFERROR(IF(d_ss_Bv!W23=0,".",((Ir*F*MLF_strawberry*(1-EXP(-RadSpec!BC23*t_b)))/(P*RadSpec!BC23))),".")</f>
        <v>2.8597128609880828E-3</v>
      </c>
      <c r="AV23" s="72">
        <f>IFERROR(IF(d_ss_Bv!X23=0,".",((Ir*F*MLF_tomato*(1-EXP(-RadSpec!BC23*t_b)))/(P*RadSpec!BC23))),".")</f>
        <v>5.6836793112138136E-2</v>
      </c>
      <c r="AW23" s="72">
        <f>IFERROR(IF(d_ss_Bv!Y23=0,".",((Ir*F*MLF_rice*(1-EXP(-RadSpec!BC23*t_b)))/(P*RadSpec!BC23))),".")</f>
        <v>8.9366026905877582</v>
      </c>
      <c r="AX23" s="72">
        <f>IFERROR(IF(d_ss_Bv!Z23=0,".",((Ir*F*MLF_cereal*(1-EXP(-RadSpec!BC23*t_b)))/(P*RadSpec!BC23))),".")</f>
        <v>8.9366026905877582</v>
      </c>
      <c r="AY23" s="72">
        <f>IFERROR(IF(d_ss_Bv!C23=0,".",((Ir*F*I_f*T*(1-EXP(-RadSpec!BD23*t_v)))/(Y_v*RadSpec!BD23))),".")</f>
        <v>3.6424203206347228</v>
      </c>
      <c r="AZ23" s="72">
        <f>IFERROR(IF(d_ss_Bv!D23=0,".",((Ir*F*I_f*T*(1-EXP(-RadSpec!BD23*t_v)))/(Y_v*RadSpec!BD23))),".")</f>
        <v>3.6424203206347228</v>
      </c>
      <c r="BA23" s="72">
        <f>IFERROR(IF(d_ss_Bv!E23=0,".",((Ir*F*I_f*T*(1-EXP(-RadSpec!BD23*t_v)))/(Y_v*RadSpec!BD23))),".")</f>
        <v>3.6424203206347228</v>
      </c>
      <c r="BB23" s="72">
        <f>IFERROR(IF(d_ss_Bv!F23=0,".",((Ir*F*I_f*T*(1-EXP(-RadSpec!BD23*t_v)))/(Y_v*RadSpec!BD23))),".")</f>
        <v>3.6424203206347228</v>
      </c>
      <c r="BC23" s="72">
        <f>IFERROR(IF(d_ss_Bv!G23=0,".",((Ir*F*I_f*T*(1-EXP(-RadSpec!BD23*t_v)))/(Y_v*RadSpec!BD23))),".")</f>
        <v>3.6424203206347228</v>
      </c>
      <c r="BD23" s="72">
        <f>IFERROR(IF(d_ss_Bv!H23=0,".",((Ir*F*I_f*T*(1-EXP(-RadSpec!BD23*t_v)))/(Y_v*RadSpec!BD23))),".")</f>
        <v>3.6424203206347228</v>
      </c>
      <c r="BE23" s="72">
        <f>IFERROR(IF(d_ss_Bv!I23=0,".",((Ir*F*I_f*T*(1-EXP(-RadSpec!BD23*t_v)))/(Y_v*RadSpec!BD23))),".")</f>
        <v>3.6424203206347228</v>
      </c>
      <c r="BF23" s="72">
        <f>IFERROR(IF(d_ss_Bv!J23=0,".",((Ir*F*I_f*T*(1-EXP(-RadSpec!BD23*t_v)))/(Y_v*RadSpec!BD23))),".")</f>
        <v>3.6424203206347228</v>
      </c>
      <c r="BG23" s="72">
        <f>IFERROR(IF(d_ss_Bv!K23=0,".",((Ir*F*I_f*T*(1-EXP(-RadSpec!BD23*t_v)))/(Y_v*RadSpec!BD23))),".")</f>
        <v>3.6424203206347228</v>
      </c>
      <c r="BH23" s="72">
        <f>IFERROR(IF(d_ss_Bv!L23=0,".",((Ir*F*I_f*T*(1-EXP(-RadSpec!BD23*t_v)))/(Y_v*RadSpec!BD23))),".")</f>
        <v>3.6424203206347228</v>
      </c>
      <c r="BI23" s="72">
        <f>IFERROR(IF(d_ss_Bv!M23=0,".",((Ir*F*I_f*T*(1-EXP(-RadSpec!BD23*t_v)))/(Y_v*RadSpec!BD23))),".")</f>
        <v>3.6424203206347228</v>
      </c>
      <c r="BJ23" s="72">
        <f>IFERROR(IF(d_ss_Bv!N23=0,".",((Ir*F*I_f*T*(1-EXP(-RadSpec!BD23*t_v)))/(Y_v*RadSpec!BD23))),".")</f>
        <v>3.6424203206347228</v>
      </c>
      <c r="BK23" s="72">
        <f>IFERROR(IF(d_ss_Bv!O23=0,".",((Ir*F*I_f*T*(1-EXP(-RadSpec!BD23*t_v)))/(Y_v*RadSpec!BD23))),".")</f>
        <v>3.6424203206347228</v>
      </c>
      <c r="BL23" s="72">
        <f>IFERROR(IF(d_ss_Bv!P23=0,".",((Ir*F*I_f*T*(1-EXP(-RadSpec!BD23*t_v)))/(Y_v*RadSpec!BD23))),".")</f>
        <v>3.6424203206347228</v>
      </c>
      <c r="BM23" s="72">
        <f>IFERROR(IF(d_ss_Bv!Q23=0,".",((Ir*F*I_f*T*(1-EXP(-RadSpec!BD23*t_v)))/(Y_v*RadSpec!BD23))),".")</f>
        <v>3.6424203206347228</v>
      </c>
      <c r="BN23" s="72">
        <f>IFERROR(IF(d_ss_Bv!R23=0,".",((Ir*F*I_f*T*(1-EXP(-RadSpec!BD23*t_v)))/(Y_v*RadSpec!BD23))),".")</f>
        <v>3.6424203206347228</v>
      </c>
      <c r="BO23" s="72">
        <f>IFERROR(IF(d_ss_Bv!S23=0,".",((Ir*F*I_f*T*(1-EXP(-RadSpec!BD23*t_v)))/(Y_v*RadSpec!BD23))),".")</f>
        <v>3.6424203206347228</v>
      </c>
      <c r="BP23" s="72">
        <f>IFERROR(IF(d_ss_Bv!T23=0,".",((Ir*F*I_f*T*(1-EXP(-RadSpec!BD23*t_v)))/(Y_v*RadSpec!BD23))),".")</f>
        <v>3.6424203206347228</v>
      </c>
      <c r="BQ23" s="72">
        <f>IFERROR(IF(d_ss_Bv!U23=0,".",((Ir*F*I_f*T*(1-EXP(-RadSpec!BD23*t_v)))/(Y_v*RadSpec!BD23))),".")</f>
        <v>3.6424203206347228</v>
      </c>
      <c r="BR23" s="72">
        <f>IFERROR(IF(d_ss_Bv!V23=0,".",((Ir*F*I_f*T*(1-EXP(-RadSpec!BD23*t_v)))/(Y_v*RadSpec!BD23))),".")</f>
        <v>3.6424203206347228</v>
      </c>
      <c r="BS23" s="72">
        <f>IFERROR(IF(d_ss_Bv!W23=0,".",((Ir*F*I_f*T*(1-EXP(-RadSpec!BD23*t_v)))/(Y_v*RadSpec!BD23))),".")</f>
        <v>3.6424203206347228</v>
      </c>
      <c r="BT23" s="72">
        <f>IFERROR(IF(d_ss_Bv!X23=0,".",((Ir*F*I_f*T*(1-EXP(-RadSpec!BD23*t_v)))/(Y_v*RadSpec!BD23))),".")</f>
        <v>3.6424203206347228</v>
      </c>
      <c r="BU23" s="72">
        <f>IFERROR(IF(d_ss_Bv!Y23=0,".",((Ir*F*I_f*T*(1-EXP(-RadSpec!BD23*t_v)))/(Y_v*RadSpec!BD23))),".")</f>
        <v>3.6424203206347228</v>
      </c>
      <c r="BV23" s="72">
        <f>IFERROR(IF(d_ss_Bv!Z23=0,".",((Ir*F*I_f*T*(1-EXP(-RadSpec!BD23*t_v)))/(Y_v*RadSpec!BD23))),".")</f>
        <v>3.6424203206347228</v>
      </c>
    </row>
    <row r="24" spans="1:74" x14ac:dyDescent="0.25">
      <c r="A24" s="31" t="s">
        <v>22</v>
      </c>
      <c r="B24" s="3" t="s">
        <v>1059</v>
      </c>
      <c r="C24" s="72" t="str">
        <f>IFERROR(IF(d_ss_Bv!C24=0,".",((Ir*F*d_ss_Bv!C24*(1-EXP(-RadSpec!BC24*t_b)))/(P*RadSpec!BC24))),".")</f>
        <v>.</v>
      </c>
      <c r="D24" s="72" t="str">
        <f>IFERROR(IF(d_ss_Bv!D24=0,".",((Ir*F*d_ss_Bv!D24*(1-EXP(-RadSpec!BC24*t_b)))/(P*RadSpec!BC24))),".")</f>
        <v>.</v>
      </c>
      <c r="E24" s="72" t="str">
        <f>IFERROR(IF(d_ss_Bv!E24=0,".",((Ir*F*d_ss_Bv!E24*(1-EXP(-RadSpec!BC24*t_b)))/(P*RadSpec!BC24))),".")</f>
        <v>.</v>
      </c>
      <c r="F24" s="72" t="str">
        <f>IFERROR(IF(d_ss_Bv!F24=0,".",((Ir*F*d_ss_Bv!F24*(1-EXP(-RadSpec!BC24*t_b)))/(P*RadSpec!BC24))),".")</f>
        <v>.</v>
      </c>
      <c r="G24" s="72" t="str">
        <f>IFERROR(IF(d_ss_Bv!G24=0,".",((Ir*F*d_ss_Bv!G24*(1-EXP(-RadSpec!BC24*t_b)))/(P*RadSpec!BC24))),".")</f>
        <v>.</v>
      </c>
      <c r="H24" s="72" t="str">
        <f>IFERROR(IF(d_ss_Bv!H24=0,".",((Ir*F*d_ss_Bv!H24*(1-EXP(-RadSpec!BC24*t_b)))/(P*RadSpec!BC24))),".")</f>
        <v>.</v>
      </c>
      <c r="I24" s="72" t="str">
        <f>IFERROR(IF(d_ss_Bv!I24=0,".",((Ir*F*d_ss_Bv!I24*(1-EXP(-RadSpec!BC24*t_b)))/(P*RadSpec!BC24))),".")</f>
        <v>.</v>
      </c>
      <c r="J24" s="72" t="str">
        <f>IFERROR(IF(d_ss_Bv!J24=0,".",((Ir*F*d_ss_Bv!J24*(1-EXP(-RadSpec!BC24*t_b)))/(P*RadSpec!BC24))),".")</f>
        <v>.</v>
      </c>
      <c r="K24" s="72" t="str">
        <f>IFERROR(IF(d_ss_Bv!K24=0,".",((Ir*F*d_ss_Bv!K24*(1-EXP(-RadSpec!BC24*t_b)))/(P*RadSpec!BC24))),".")</f>
        <v>.</v>
      </c>
      <c r="L24" s="72" t="str">
        <f>IFERROR(IF(d_ss_Bv!L24=0,".",((Ir*F*d_ss_Bv!L24*(1-EXP(-RadSpec!BC24*t_b)))/(P*RadSpec!BC24))),".")</f>
        <v>.</v>
      </c>
      <c r="M24" s="72" t="str">
        <f>IFERROR(IF(d_ss_Bv!M24=0,".",((Ir*F*d_ss_Bv!M24*(1-EXP(-RadSpec!BC24*t_b)))/(P*RadSpec!BC24))),".")</f>
        <v>.</v>
      </c>
      <c r="N24" s="72" t="str">
        <f>IFERROR(IF(d_ss_Bv!N24=0,".",((Ir*F*d_ss_Bv!N24*(1-EXP(-RadSpec!BC24*t_b)))/(P*RadSpec!BC24))),".")</f>
        <v>.</v>
      </c>
      <c r="O24" s="72" t="str">
        <f>IFERROR(IF(d_ss_Bv!O24=0,".",((Ir*F*d_ss_Bv!O24*(1-EXP(-RadSpec!BC24*t_b)))/(P*RadSpec!BC24))),".")</f>
        <v>.</v>
      </c>
      <c r="P24" s="72" t="str">
        <f>IFERROR(IF(d_ss_Bv!P24=0,".",((Ir*F*d_ss_Bv!P24*(1-EXP(-RadSpec!BC24*t_b)))/(P*RadSpec!BC24))),".")</f>
        <v>.</v>
      </c>
      <c r="Q24" s="72" t="str">
        <f>IFERROR(IF(d_ss_Bv!Q24=0,".",((Ir*F*d_ss_Bv!Q24*(1-EXP(-RadSpec!BC24*t_b)))/(P*RadSpec!BC24))),".")</f>
        <v>.</v>
      </c>
      <c r="R24" s="72" t="str">
        <f>IFERROR(IF(d_ss_Bv!R24=0,".",((Ir*F*d_ss_Bv!R24*(1-EXP(-RadSpec!BC24*t_b)))/(P*RadSpec!BC24))),".")</f>
        <v>.</v>
      </c>
      <c r="S24" s="72" t="str">
        <f>IFERROR(IF(d_ss_Bv!S24=0,".",((Ir*F*d_ss_Bv!S24*(1-EXP(-RadSpec!BC24*t_b)))/(P*RadSpec!BC24))),".")</f>
        <v>.</v>
      </c>
      <c r="T24" s="72" t="str">
        <f>IFERROR(IF(d_ss_Bv!T24=0,".",((Ir*F*d_ss_Bv!T24*(1-EXP(-RadSpec!BC24*t_b)))/(P*RadSpec!BC24))),".")</f>
        <v>.</v>
      </c>
      <c r="U24" s="72" t="str">
        <f>IFERROR(IF(d_ss_Bv!U24=0,".",((Ir*F*d_ss_Bv!U24*(1-EXP(-RadSpec!BC24*t_b)))/(P*RadSpec!BC24))),".")</f>
        <v>.</v>
      </c>
      <c r="V24" s="72" t="str">
        <f>IFERROR(IF(d_ss_Bv!V24=0,".",((Ir*F*d_ss_Bv!V24*(1-EXP(-RadSpec!BC24*t_b)))/(P*RadSpec!BC24))),".")</f>
        <v>.</v>
      </c>
      <c r="W24" s="72" t="str">
        <f>IFERROR(IF(d_ss_Bv!W24=0,".",((Ir*F*d_ss_Bv!W24*(1-EXP(-RadSpec!BC24*t_b)))/(P*RadSpec!BC24))),".")</f>
        <v>.</v>
      </c>
      <c r="X24" s="72" t="str">
        <f>IFERROR(IF(d_ss_Bv!X24=0,".",((Ir*F*d_ss_Bv!X24*(1-EXP(-RadSpec!BC24*t_b)))/(P*RadSpec!BC24))),".")</f>
        <v>.</v>
      </c>
      <c r="Y24" s="72" t="str">
        <f>IFERROR(IF(d_ss_Bv!Y24=0,".",((Ir*F*d_ss_Bv!Y24*(1-EXP(-RadSpec!BC24*t_b)))/(P*RadSpec!BC24))),".")</f>
        <v>.</v>
      </c>
      <c r="Z24" s="72" t="str">
        <f>IFERROR(IF(d_ss_Bv!Z24=0,".",((Ir*F*d_ss_Bv!Z24*(1-EXP(-RadSpec!BC24*t_b)))/(P*RadSpec!BC24))),".")</f>
        <v>.</v>
      </c>
      <c r="AA24" s="72" t="str">
        <f>IFERROR(IF(d_ss_Bv!C24=0,".",((Ir*F*MLF_apple*(1-EXP(-RadSpec!BC24*t_b)))/(P*RadSpec!BC24))),".")</f>
        <v>.</v>
      </c>
      <c r="AB24" s="72" t="str">
        <f>IFERROR(IF(d_ss_Bv!D24=0,".",((Ir*F*MLF_asparagus*(1-EXP(-RadSpec!BC24*t_b)))/(P*RadSpec!BC24))),".")</f>
        <v>.</v>
      </c>
      <c r="AC24" s="72" t="str">
        <f>IFERROR(IF(d_ss_Bv!E24=0,".",((Ir*F*MLF_beet*(1-EXP(-RadSpec!BC24*t_b)))/(P*RadSpec!BC24))),".")</f>
        <v>.</v>
      </c>
      <c r="AD24" s="72" t="str">
        <f>IFERROR(IF(d_ss_Bv!F24=0,".",((Ir*F*MLF_berries*(1-EXP(-RadSpec!BC24*t_b)))/(P*RadSpec!BC24))),".")</f>
        <v>.</v>
      </c>
      <c r="AE24" s="72" t="str">
        <f>IFERROR(IF(d_ss_Bv!G24=0,".",((Ir*F*MLF_broccoli*(1-EXP(-RadSpec!BC24*t_b)))/(P*RadSpec!BC24))),".")</f>
        <v>.</v>
      </c>
      <c r="AF24" s="72" t="str">
        <f>IFERROR(IF(d_ss_Bv!H24=0,".",((Ir*F*MLF_cabbage*(1-EXP(-RadSpec!BC24*t_b)))/(P*RadSpec!BC24))),".")</f>
        <v>.</v>
      </c>
      <c r="AG24" s="72" t="str">
        <f>IFERROR(IF(d_ss_Bv!I24=0,".",((Ir*F*MLF_carrot*(1-EXP(-RadSpec!BC24*t_b)))/(P*RadSpec!BC24))),".")</f>
        <v>.</v>
      </c>
      <c r="AH24" s="72" t="str">
        <f>IFERROR(IF(d_ss_Bv!J24=0,".",((Ir*F*MLF_citrus*(1-EXP(-RadSpec!BC24*t_b)))/(P*RadSpec!BC24))),".")</f>
        <v>.</v>
      </c>
      <c r="AI24" s="72" t="str">
        <f>IFERROR(IF(d_ss_Bv!K24=0,".",((Ir*F*MLF_corn*(1-EXP(-RadSpec!BC24*t_b)))/(P*RadSpec!BC24))),".")</f>
        <v>.</v>
      </c>
      <c r="AJ24" s="72" t="str">
        <f>IFERROR(IF(d_ss_Bv!L24=0,".",((Ir*F*MLF_cucumber*(1-EXP(-RadSpec!BC24*t_b)))/(P*RadSpec!BC24))),".")</f>
        <v>.</v>
      </c>
      <c r="AK24" s="72" t="str">
        <f>IFERROR(IF(d_ss_Bv!M24=0,".",((Ir*F*MLF_lettuce*(1-EXP(-RadSpec!BC24*t_b)))/(P*RadSpec!BC24))),".")</f>
        <v>.</v>
      </c>
      <c r="AL24" s="72" t="str">
        <f>IFERROR(IF(d_ss_Bv!N24=0,".",((Ir*F*MLF_lima_bean*(1-EXP(-RadSpec!BC24*t_b)))/(P*RadSpec!BC24))),".")</f>
        <v>.</v>
      </c>
      <c r="AM24" s="72" t="str">
        <f>IFERROR(IF(d_ss_Bv!O24=0,".",((Ir*F*MLF_okra*(1-EXP(-RadSpec!BC24*t_b)))/(P*RadSpec!BC24))),".")</f>
        <v>.</v>
      </c>
      <c r="AN24" s="72" t="str">
        <f>IFERROR(IF(d_ss_Bv!P24=0,".",((Ir*F*MLF_onion*(1-EXP(-RadSpec!BC24*t_b)))/(P*RadSpec!BC24))),".")</f>
        <v>.</v>
      </c>
      <c r="AO24" s="72" t="str">
        <f>IFERROR(IF(d_ss_Bv!Q24=0,".",((Ir*F*MLF_peach*(1-EXP(-RadSpec!BC24*t_b)))/(P*RadSpec!BC24))),".")</f>
        <v>.</v>
      </c>
      <c r="AP24" s="72" t="str">
        <f>IFERROR(IF(d_ss_Bv!OI24=0,".",((Ir*F*MLF_pear*(1-EXP(-RadSpec!BC24*t_b)))/(P*RadSpec!BC24))),".")</f>
        <v>.</v>
      </c>
      <c r="AQ24" s="72" t="str">
        <f>IFERROR(IF(d_ss_Bv!S24=0,".",((Ir*F*MLF_peas*(1-EXP(-RadSpec!BC24*t_b)))/(P*RadSpec!BC24))),".")</f>
        <v>.</v>
      </c>
      <c r="AR24" s="72" t="str">
        <f>IFERROR(IF(d_ss_Bv!T24=0,".",((Ir*F*MLF_potato*(1-EXP(-RadSpec!BC24*t_b)))/(P*RadSpec!BC24))),".")</f>
        <v>.</v>
      </c>
      <c r="AS24" s="72" t="str">
        <f>IFERROR(IF(d_ss_Bv!U24=0,".",((Ir*F*MLF_pumpkin*(1-EXP(-RadSpec!BC24*t_b)))/(P*RadSpec!BC24))),".")</f>
        <v>.</v>
      </c>
      <c r="AT24" s="72" t="str">
        <f>IFERROR(IF(d_ss_Bv!V24=0,".",((Ir*F*MLF_snap_bean*(1-EXP(-RadSpec!BC24*t_b)))/(P*RadSpec!BC24))),".")</f>
        <v>.</v>
      </c>
      <c r="AU24" s="72" t="str">
        <f>IFERROR(IF(d_ss_Bv!W24=0,".",((Ir*F*MLF_strawberry*(1-EXP(-RadSpec!BC24*t_b)))/(P*RadSpec!BC24))),".")</f>
        <v>.</v>
      </c>
      <c r="AV24" s="72" t="str">
        <f>IFERROR(IF(d_ss_Bv!X24=0,".",((Ir*F*MLF_tomato*(1-EXP(-RadSpec!BC24*t_b)))/(P*RadSpec!BC24))),".")</f>
        <v>.</v>
      </c>
      <c r="AW24" s="72" t="str">
        <f>IFERROR(IF(d_ss_Bv!Y24=0,".",((Ir*F*MLF_rice*(1-EXP(-RadSpec!BC24*t_b)))/(P*RadSpec!BC24))),".")</f>
        <v>.</v>
      </c>
      <c r="AX24" s="72" t="str">
        <f>IFERROR(IF(d_ss_Bv!Z24=0,".",((Ir*F*MLF_cereal*(1-EXP(-RadSpec!BC24*t_b)))/(P*RadSpec!BC24))),".")</f>
        <v>.</v>
      </c>
      <c r="AY24" s="72" t="str">
        <f>IFERROR(IF(d_ss_Bv!C24=0,".",((Ir*F*I_f*T*(1-EXP(-RadSpec!BD24*t_v)))/(Y_v*RadSpec!BD24))),".")</f>
        <v>.</v>
      </c>
      <c r="AZ24" s="72" t="str">
        <f>IFERROR(IF(d_ss_Bv!D24=0,".",((Ir*F*I_f*T*(1-EXP(-RadSpec!BD24*t_v)))/(Y_v*RadSpec!BD24))),".")</f>
        <v>.</v>
      </c>
      <c r="BA24" s="72" t="str">
        <f>IFERROR(IF(d_ss_Bv!E24=0,".",((Ir*F*I_f*T*(1-EXP(-RadSpec!BD24*t_v)))/(Y_v*RadSpec!BD24))),".")</f>
        <v>.</v>
      </c>
      <c r="BB24" s="72" t="str">
        <f>IFERROR(IF(d_ss_Bv!F24=0,".",((Ir*F*I_f*T*(1-EXP(-RadSpec!BD24*t_v)))/(Y_v*RadSpec!BD24))),".")</f>
        <v>.</v>
      </c>
      <c r="BC24" s="72" t="str">
        <f>IFERROR(IF(d_ss_Bv!G24=0,".",((Ir*F*I_f*T*(1-EXP(-RadSpec!BD24*t_v)))/(Y_v*RadSpec!BD24))),".")</f>
        <v>.</v>
      </c>
      <c r="BD24" s="72" t="str">
        <f>IFERROR(IF(d_ss_Bv!H24=0,".",((Ir*F*I_f*T*(1-EXP(-RadSpec!BD24*t_v)))/(Y_v*RadSpec!BD24))),".")</f>
        <v>.</v>
      </c>
      <c r="BE24" s="72" t="str">
        <f>IFERROR(IF(d_ss_Bv!I24=0,".",((Ir*F*I_f*T*(1-EXP(-RadSpec!BD24*t_v)))/(Y_v*RadSpec!BD24))),".")</f>
        <v>.</v>
      </c>
      <c r="BF24" s="72" t="str">
        <f>IFERROR(IF(d_ss_Bv!J24=0,".",((Ir*F*I_f*T*(1-EXP(-RadSpec!BD24*t_v)))/(Y_v*RadSpec!BD24))),".")</f>
        <v>.</v>
      </c>
      <c r="BG24" s="72" t="str">
        <f>IFERROR(IF(d_ss_Bv!K24=0,".",((Ir*F*I_f*T*(1-EXP(-RadSpec!BD24*t_v)))/(Y_v*RadSpec!BD24))),".")</f>
        <v>.</v>
      </c>
      <c r="BH24" s="72" t="str">
        <f>IFERROR(IF(d_ss_Bv!L24=0,".",((Ir*F*I_f*T*(1-EXP(-RadSpec!BD24*t_v)))/(Y_v*RadSpec!BD24))),".")</f>
        <v>.</v>
      </c>
      <c r="BI24" s="72" t="str">
        <f>IFERROR(IF(d_ss_Bv!M24=0,".",((Ir*F*I_f*T*(1-EXP(-RadSpec!BD24*t_v)))/(Y_v*RadSpec!BD24))),".")</f>
        <v>.</v>
      </c>
      <c r="BJ24" s="72" t="str">
        <f>IFERROR(IF(d_ss_Bv!N24=0,".",((Ir*F*I_f*T*(1-EXP(-RadSpec!BD24*t_v)))/(Y_v*RadSpec!BD24))),".")</f>
        <v>.</v>
      </c>
      <c r="BK24" s="72" t="str">
        <f>IFERROR(IF(d_ss_Bv!O24=0,".",((Ir*F*I_f*T*(1-EXP(-RadSpec!BD24*t_v)))/(Y_v*RadSpec!BD24))),".")</f>
        <v>.</v>
      </c>
      <c r="BL24" s="72" t="str">
        <f>IFERROR(IF(d_ss_Bv!P24=0,".",((Ir*F*I_f*T*(1-EXP(-RadSpec!BD24*t_v)))/(Y_v*RadSpec!BD24))),".")</f>
        <v>.</v>
      </c>
      <c r="BM24" s="72" t="str">
        <f>IFERROR(IF(d_ss_Bv!Q24=0,".",((Ir*F*I_f*T*(1-EXP(-RadSpec!BD24*t_v)))/(Y_v*RadSpec!BD24))),".")</f>
        <v>.</v>
      </c>
      <c r="BN24" s="72" t="str">
        <f>IFERROR(IF(d_ss_Bv!R24=0,".",((Ir*F*I_f*T*(1-EXP(-RadSpec!BD24*t_v)))/(Y_v*RadSpec!BD24))),".")</f>
        <v>.</v>
      </c>
      <c r="BO24" s="72" t="str">
        <f>IFERROR(IF(d_ss_Bv!S24=0,".",((Ir*F*I_f*T*(1-EXP(-RadSpec!BD24*t_v)))/(Y_v*RadSpec!BD24))),".")</f>
        <v>.</v>
      </c>
      <c r="BP24" s="72" t="str">
        <f>IFERROR(IF(d_ss_Bv!T24=0,".",((Ir*F*I_f*T*(1-EXP(-RadSpec!BD24*t_v)))/(Y_v*RadSpec!BD24))),".")</f>
        <v>.</v>
      </c>
      <c r="BQ24" s="72" t="str">
        <f>IFERROR(IF(d_ss_Bv!U24=0,".",((Ir*F*I_f*T*(1-EXP(-RadSpec!BD24*t_v)))/(Y_v*RadSpec!BD24))),".")</f>
        <v>.</v>
      </c>
      <c r="BR24" s="72" t="str">
        <f>IFERROR(IF(d_ss_Bv!V24=0,".",((Ir*F*I_f*T*(1-EXP(-RadSpec!BD24*t_v)))/(Y_v*RadSpec!BD24))),".")</f>
        <v>.</v>
      </c>
      <c r="BS24" s="72" t="str">
        <f>IFERROR(IF(d_ss_Bv!W24=0,".",((Ir*F*I_f*T*(1-EXP(-RadSpec!BD24*t_v)))/(Y_v*RadSpec!BD24))),".")</f>
        <v>.</v>
      </c>
      <c r="BT24" s="72" t="str">
        <f>IFERROR(IF(d_ss_Bv!X24=0,".",((Ir*F*I_f*T*(1-EXP(-RadSpec!BD24*t_v)))/(Y_v*RadSpec!BD24))),".")</f>
        <v>.</v>
      </c>
      <c r="BU24" s="72" t="str">
        <f>IFERROR(IF(d_ss_Bv!Y24=0,".",((Ir*F*I_f*T*(1-EXP(-RadSpec!BD24*t_v)))/(Y_v*RadSpec!BD24))),".")</f>
        <v>.</v>
      </c>
      <c r="BV24" s="72" t="str">
        <f>IFERROR(IF(d_ss_Bv!Z24=0,".",((Ir*F*I_f*T*(1-EXP(-RadSpec!BD24*t_v)))/(Y_v*RadSpec!BD24))),".")</f>
        <v>.</v>
      </c>
    </row>
    <row r="25" spans="1:74" x14ac:dyDescent="0.25">
      <c r="A25" s="32" t="s">
        <v>23</v>
      </c>
      <c r="B25" s="3" t="s">
        <v>336</v>
      </c>
      <c r="C25" s="72" t="str">
        <f>IFERROR(IF(d_ss_Bv!C25=0,".",((Ir*F*d_ss_Bv!C25*(1-EXP(-RadSpec!BC25*t_b)))/(P*RadSpec!BC25))),".")</f>
        <v>.</v>
      </c>
      <c r="D25" s="72" t="str">
        <f>IFERROR(IF(d_ss_Bv!D25=0,".",((Ir*F*d_ss_Bv!D25*(1-EXP(-RadSpec!BC25*t_b)))/(P*RadSpec!BC25))),".")</f>
        <v>.</v>
      </c>
      <c r="E25" s="72" t="str">
        <f>IFERROR(IF(d_ss_Bv!E25=0,".",((Ir*F*d_ss_Bv!E25*(1-EXP(-RadSpec!BC25*t_b)))/(P*RadSpec!BC25))),".")</f>
        <v>.</v>
      </c>
      <c r="F25" s="72" t="str">
        <f>IFERROR(IF(d_ss_Bv!F25=0,".",((Ir*F*d_ss_Bv!F25*(1-EXP(-RadSpec!BC25*t_b)))/(P*RadSpec!BC25))),".")</f>
        <v>.</v>
      </c>
      <c r="G25" s="72" t="str">
        <f>IFERROR(IF(d_ss_Bv!G25=0,".",((Ir*F*d_ss_Bv!G25*(1-EXP(-RadSpec!BC25*t_b)))/(P*RadSpec!BC25))),".")</f>
        <v>.</v>
      </c>
      <c r="H25" s="72" t="str">
        <f>IFERROR(IF(d_ss_Bv!H25=0,".",((Ir*F*d_ss_Bv!H25*(1-EXP(-RadSpec!BC25*t_b)))/(P*RadSpec!BC25))),".")</f>
        <v>.</v>
      </c>
      <c r="I25" s="72" t="str">
        <f>IFERROR(IF(d_ss_Bv!I25=0,".",((Ir*F*d_ss_Bv!I25*(1-EXP(-RadSpec!BC25*t_b)))/(P*RadSpec!BC25))),".")</f>
        <v>.</v>
      </c>
      <c r="J25" s="72" t="str">
        <f>IFERROR(IF(d_ss_Bv!J25=0,".",((Ir*F*d_ss_Bv!J25*(1-EXP(-RadSpec!BC25*t_b)))/(P*RadSpec!BC25))),".")</f>
        <v>.</v>
      </c>
      <c r="K25" s="72" t="str">
        <f>IFERROR(IF(d_ss_Bv!K25=0,".",((Ir*F*d_ss_Bv!K25*(1-EXP(-RadSpec!BC25*t_b)))/(P*RadSpec!BC25))),".")</f>
        <v>.</v>
      </c>
      <c r="L25" s="72" t="str">
        <f>IFERROR(IF(d_ss_Bv!L25=0,".",((Ir*F*d_ss_Bv!L25*(1-EXP(-RadSpec!BC25*t_b)))/(P*RadSpec!BC25))),".")</f>
        <v>.</v>
      </c>
      <c r="M25" s="72" t="str">
        <f>IFERROR(IF(d_ss_Bv!M25=0,".",((Ir*F*d_ss_Bv!M25*(1-EXP(-RadSpec!BC25*t_b)))/(P*RadSpec!BC25))),".")</f>
        <v>.</v>
      </c>
      <c r="N25" s="72" t="str">
        <f>IFERROR(IF(d_ss_Bv!N25=0,".",((Ir*F*d_ss_Bv!N25*(1-EXP(-RadSpec!BC25*t_b)))/(P*RadSpec!BC25))),".")</f>
        <v>.</v>
      </c>
      <c r="O25" s="72" t="str">
        <f>IFERROR(IF(d_ss_Bv!O25=0,".",((Ir*F*d_ss_Bv!O25*(1-EXP(-RadSpec!BC25*t_b)))/(P*RadSpec!BC25))),".")</f>
        <v>.</v>
      </c>
      <c r="P25" s="72" t="str">
        <f>IFERROR(IF(d_ss_Bv!P25=0,".",((Ir*F*d_ss_Bv!P25*(1-EXP(-RadSpec!BC25*t_b)))/(P*RadSpec!BC25))),".")</f>
        <v>.</v>
      </c>
      <c r="Q25" s="72" t="str">
        <f>IFERROR(IF(d_ss_Bv!Q25=0,".",((Ir*F*d_ss_Bv!Q25*(1-EXP(-RadSpec!BC25*t_b)))/(P*RadSpec!BC25))),".")</f>
        <v>.</v>
      </c>
      <c r="R25" s="72" t="str">
        <f>IFERROR(IF(d_ss_Bv!R25=0,".",((Ir*F*d_ss_Bv!R25*(1-EXP(-RadSpec!BC25*t_b)))/(P*RadSpec!BC25))),".")</f>
        <v>.</v>
      </c>
      <c r="S25" s="72" t="str">
        <f>IFERROR(IF(d_ss_Bv!S25=0,".",((Ir*F*d_ss_Bv!S25*(1-EXP(-RadSpec!BC25*t_b)))/(P*RadSpec!BC25))),".")</f>
        <v>.</v>
      </c>
      <c r="T25" s="72" t="str">
        <f>IFERROR(IF(d_ss_Bv!T25=0,".",((Ir*F*d_ss_Bv!T25*(1-EXP(-RadSpec!BC25*t_b)))/(P*RadSpec!BC25))),".")</f>
        <v>.</v>
      </c>
      <c r="U25" s="72" t="str">
        <f>IFERROR(IF(d_ss_Bv!U25=0,".",((Ir*F*d_ss_Bv!U25*(1-EXP(-RadSpec!BC25*t_b)))/(P*RadSpec!BC25))),".")</f>
        <v>.</v>
      </c>
      <c r="V25" s="72" t="str">
        <f>IFERROR(IF(d_ss_Bv!V25=0,".",((Ir*F*d_ss_Bv!V25*(1-EXP(-RadSpec!BC25*t_b)))/(P*RadSpec!BC25))),".")</f>
        <v>.</v>
      </c>
      <c r="W25" s="72" t="str">
        <f>IFERROR(IF(d_ss_Bv!W25=0,".",((Ir*F*d_ss_Bv!W25*(1-EXP(-RadSpec!BC25*t_b)))/(P*RadSpec!BC25))),".")</f>
        <v>.</v>
      </c>
      <c r="X25" s="72" t="str">
        <f>IFERROR(IF(d_ss_Bv!X25=0,".",((Ir*F*d_ss_Bv!X25*(1-EXP(-RadSpec!BC25*t_b)))/(P*RadSpec!BC25))),".")</f>
        <v>.</v>
      </c>
      <c r="Y25" s="72" t="str">
        <f>IFERROR(IF(d_ss_Bv!Y25=0,".",((Ir*F*d_ss_Bv!Y25*(1-EXP(-RadSpec!BC25*t_b)))/(P*RadSpec!BC25))),".")</f>
        <v>.</v>
      </c>
      <c r="Z25" s="72" t="str">
        <f>IFERROR(IF(d_ss_Bv!Z25=0,".",((Ir*F*d_ss_Bv!Z25*(1-EXP(-RadSpec!BC25*t_b)))/(P*RadSpec!BC25))),".")</f>
        <v>.</v>
      </c>
      <c r="AA25" s="72" t="str">
        <f>IFERROR(IF(d_ss_Bv!C25=0,".",((Ir*F*MLF_apple*(1-EXP(-RadSpec!BC25*t_b)))/(P*RadSpec!BC25))),".")</f>
        <v>.</v>
      </c>
      <c r="AB25" s="72" t="str">
        <f>IFERROR(IF(d_ss_Bv!D25=0,".",((Ir*F*MLF_asparagus*(1-EXP(-RadSpec!BC25*t_b)))/(P*RadSpec!BC25))),".")</f>
        <v>.</v>
      </c>
      <c r="AC25" s="72" t="str">
        <f>IFERROR(IF(d_ss_Bv!E25=0,".",((Ir*F*MLF_beet*(1-EXP(-RadSpec!BC25*t_b)))/(P*RadSpec!BC25))),".")</f>
        <v>.</v>
      </c>
      <c r="AD25" s="72" t="str">
        <f>IFERROR(IF(d_ss_Bv!F25=0,".",((Ir*F*MLF_berries*(1-EXP(-RadSpec!BC25*t_b)))/(P*RadSpec!BC25))),".")</f>
        <v>.</v>
      </c>
      <c r="AE25" s="72" t="str">
        <f>IFERROR(IF(d_ss_Bv!G25=0,".",((Ir*F*MLF_broccoli*(1-EXP(-RadSpec!BC25*t_b)))/(P*RadSpec!BC25))),".")</f>
        <v>.</v>
      </c>
      <c r="AF25" s="72" t="str">
        <f>IFERROR(IF(d_ss_Bv!H25=0,".",((Ir*F*MLF_cabbage*(1-EXP(-RadSpec!BC25*t_b)))/(P*RadSpec!BC25))),".")</f>
        <v>.</v>
      </c>
      <c r="AG25" s="72" t="str">
        <f>IFERROR(IF(d_ss_Bv!I25=0,".",((Ir*F*MLF_carrot*(1-EXP(-RadSpec!BC25*t_b)))/(P*RadSpec!BC25))),".")</f>
        <v>.</v>
      </c>
      <c r="AH25" s="72" t="str">
        <f>IFERROR(IF(d_ss_Bv!J25=0,".",((Ir*F*MLF_citrus*(1-EXP(-RadSpec!BC25*t_b)))/(P*RadSpec!BC25))),".")</f>
        <v>.</v>
      </c>
      <c r="AI25" s="72" t="str">
        <f>IFERROR(IF(d_ss_Bv!K25=0,".",((Ir*F*MLF_corn*(1-EXP(-RadSpec!BC25*t_b)))/(P*RadSpec!BC25))),".")</f>
        <v>.</v>
      </c>
      <c r="AJ25" s="72" t="str">
        <f>IFERROR(IF(d_ss_Bv!L25=0,".",((Ir*F*MLF_cucumber*(1-EXP(-RadSpec!BC25*t_b)))/(P*RadSpec!BC25))),".")</f>
        <v>.</v>
      </c>
      <c r="AK25" s="72" t="str">
        <f>IFERROR(IF(d_ss_Bv!M25=0,".",((Ir*F*MLF_lettuce*(1-EXP(-RadSpec!BC25*t_b)))/(P*RadSpec!BC25))),".")</f>
        <v>.</v>
      </c>
      <c r="AL25" s="72" t="str">
        <f>IFERROR(IF(d_ss_Bv!N25=0,".",((Ir*F*MLF_lima_bean*(1-EXP(-RadSpec!BC25*t_b)))/(P*RadSpec!BC25))),".")</f>
        <v>.</v>
      </c>
      <c r="AM25" s="72" t="str">
        <f>IFERROR(IF(d_ss_Bv!O25=0,".",((Ir*F*MLF_okra*(1-EXP(-RadSpec!BC25*t_b)))/(P*RadSpec!BC25))),".")</f>
        <v>.</v>
      </c>
      <c r="AN25" s="72" t="str">
        <f>IFERROR(IF(d_ss_Bv!P25=0,".",((Ir*F*MLF_onion*(1-EXP(-RadSpec!BC25*t_b)))/(P*RadSpec!BC25))),".")</f>
        <v>.</v>
      </c>
      <c r="AO25" s="72" t="str">
        <f>IFERROR(IF(d_ss_Bv!Q25=0,".",((Ir*F*MLF_peach*(1-EXP(-RadSpec!BC25*t_b)))/(P*RadSpec!BC25))),".")</f>
        <v>.</v>
      </c>
      <c r="AP25" s="72" t="str">
        <f>IFERROR(IF(d_ss_Bv!OI25=0,".",((Ir*F*MLF_pear*(1-EXP(-RadSpec!BC25*t_b)))/(P*RadSpec!BC25))),".")</f>
        <v>.</v>
      </c>
      <c r="AQ25" s="72" t="str">
        <f>IFERROR(IF(d_ss_Bv!S25=0,".",((Ir*F*MLF_peas*(1-EXP(-RadSpec!BC25*t_b)))/(P*RadSpec!BC25))),".")</f>
        <v>.</v>
      </c>
      <c r="AR25" s="72" t="str">
        <f>IFERROR(IF(d_ss_Bv!T25=0,".",((Ir*F*MLF_potato*(1-EXP(-RadSpec!BC25*t_b)))/(P*RadSpec!BC25))),".")</f>
        <v>.</v>
      </c>
      <c r="AS25" s="72" t="str">
        <f>IFERROR(IF(d_ss_Bv!U25=0,".",((Ir*F*MLF_pumpkin*(1-EXP(-RadSpec!BC25*t_b)))/(P*RadSpec!BC25))),".")</f>
        <v>.</v>
      </c>
      <c r="AT25" s="72" t="str">
        <f>IFERROR(IF(d_ss_Bv!V25=0,".",((Ir*F*MLF_snap_bean*(1-EXP(-RadSpec!BC25*t_b)))/(P*RadSpec!BC25))),".")</f>
        <v>.</v>
      </c>
      <c r="AU25" s="72" t="str">
        <f>IFERROR(IF(d_ss_Bv!W25=0,".",((Ir*F*MLF_strawberry*(1-EXP(-RadSpec!BC25*t_b)))/(P*RadSpec!BC25))),".")</f>
        <v>.</v>
      </c>
      <c r="AV25" s="72" t="str">
        <f>IFERROR(IF(d_ss_Bv!X25=0,".",((Ir*F*MLF_tomato*(1-EXP(-RadSpec!BC25*t_b)))/(P*RadSpec!BC25))),".")</f>
        <v>.</v>
      </c>
      <c r="AW25" s="72" t="str">
        <f>IFERROR(IF(d_ss_Bv!Y25=0,".",((Ir*F*MLF_rice*(1-EXP(-RadSpec!BC25*t_b)))/(P*RadSpec!BC25))),".")</f>
        <v>.</v>
      </c>
      <c r="AX25" s="72" t="str">
        <f>IFERROR(IF(d_ss_Bv!Z25=0,".",((Ir*F*MLF_cereal*(1-EXP(-RadSpec!BC25*t_b)))/(P*RadSpec!BC25))),".")</f>
        <v>.</v>
      </c>
      <c r="AY25" s="72" t="str">
        <f>IFERROR(IF(d_ss_Bv!C25=0,".",((Ir*F*I_f*T*(1-EXP(-RadSpec!BD25*t_v)))/(Y_v*RadSpec!BD25))),".")</f>
        <v>.</v>
      </c>
      <c r="AZ25" s="72" t="str">
        <f>IFERROR(IF(d_ss_Bv!D25=0,".",((Ir*F*I_f*T*(1-EXP(-RadSpec!BD25*t_v)))/(Y_v*RadSpec!BD25))),".")</f>
        <v>.</v>
      </c>
      <c r="BA25" s="72" t="str">
        <f>IFERROR(IF(d_ss_Bv!E25=0,".",((Ir*F*I_f*T*(1-EXP(-RadSpec!BD25*t_v)))/(Y_v*RadSpec!BD25))),".")</f>
        <v>.</v>
      </c>
      <c r="BB25" s="72" t="str">
        <f>IFERROR(IF(d_ss_Bv!F25=0,".",((Ir*F*I_f*T*(1-EXP(-RadSpec!BD25*t_v)))/(Y_v*RadSpec!BD25))),".")</f>
        <v>.</v>
      </c>
      <c r="BC25" s="72" t="str">
        <f>IFERROR(IF(d_ss_Bv!G25=0,".",((Ir*F*I_f*T*(1-EXP(-RadSpec!BD25*t_v)))/(Y_v*RadSpec!BD25))),".")</f>
        <v>.</v>
      </c>
      <c r="BD25" s="72" t="str">
        <f>IFERROR(IF(d_ss_Bv!H25=0,".",((Ir*F*I_f*T*(1-EXP(-RadSpec!BD25*t_v)))/(Y_v*RadSpec!BD25))),".")</f>
        <v>.</v>
      </c>
      <c r="BE25" s="72" t="str">
        <f>IFERROR(IF(d_ss_Bv!I25=0,".",((Ir*F*I_f*T*(1-EXP(-RadSpec!BD25*t_v)))/(Y_v*RadSpec!BD25))),".")</f>
        <v>.</v>
      </c>
      <c r="BF25" s="72" t="str">
        <f>IFERROR(IF(d_ss_Bv!J25=0,".",((Ir*F*I_f*T*(1-EXP(-RadSpec!BD25*t_v)))/(Y_v*RadSpec!BD25))),".")</f>
        <v>.</v>
      </c>
      <c r="BG25" s="72" t="str">
        <f>IFERROR(IF(d_ss_Bv!K25=0,".",((Ir*F*I_f*T*(1-EXP(-RadSpec!BD25*t_v)))/(Y_v*RadSpec!BD25))),".")</f>
        <v>.</v>
      </c>
      <c r="BH25" s="72" t="str">
        <f>IFERROR(IF(d_ss_Bv!L25=0,".",((Ir*F*I_f*T*(1-EXP(-RadSpec!BD25*t_v)))/(Y_v*RadSpec!BD25))),".")</f>
        <v>.</v>
      </c>
      <c r="BI25" s="72" t="str">
        <f>IFERROR(IF(d_ss_Bv!M25=0,".",((Ir*F*I_f*T*(1-EXP(-RadSpec!BD25*t_v)))/(Y_v*RadSpec!BD25))),".")</f>
        <v>.</v>
      </c>
      <c r="BJ25" s="72" t="str">
        <f>IFERROR(IF(d_ss_Bv!N25=0,".",((Ir*F*I_f*T*(1-EXP(-RadSpec!BD25*t_v)))/(Y_v*RadSpec!BD25))),".")</f>
        <v>.</v>
      </c>
      <c r="BK25" s="72" t="str">
        <f>IFERROR(IF(d_ss_Bv!O25=0,".",((Ir*F*I_f*T*(1-EXP(-RadSpec!BD25*t_v)))/(Y_v*RadSpec!BD25))),".")</f>
        <v>.</v>
      </c>
      <c r="BL25" s="72" t="str">
        <f>IFERROR(IF(d_ss_Bv!P25=0,".",((Ir*F*I_f*T*(1-EXP(-RadSpec!BD25*t_v)))/(Y_v*RadSpec!BD25))),".")</f>
        <v>.</v>
      </c>
      <c r="BM25" s="72" t="str">
        <f>IFERROR(IF(d_ss_Bv!Q25=0,".",((Ir*F*I_f*T*(1-EXP(-RadSpec!BD25*t_v)))/(Y_v*RadSpec!BD25))),".")</f>
        <v>.</v>
      </c>
      <c r="BN25" s="72" t="str">
        <f>IFERROR(IF(d_ss_Bv!R25=0,".",((Ir*F*I_f*T*(1-EXP(-RadSpec!BD25*t_v)))/(Y_v*RadSpec!BD25))),".")</f>
        <v>.</v>
      </c>
      <c r="BO25" s="72" t="str">
        <f>IFERROR(IF(d_ss_Bv!S25=0,".",((Ir*F*I_f*T*(1-EXP(-RadSpec!BD25*t_v)))/(Y_v*RadSpec!BD25))),".")</f>
        <v>.</v>
      </c>
      <c r="BP25" s="72" t="str">
        <f>IFERROR(IF(d_ss_Bv!T25=0,".",((Ir*F*I_f*T*(1-EXP(-RadSpec!BD25*t_v)))/(Y_v*RadSpec!BD25))),".")</f>
        <v>.</v>
      </c>
      <c r="BQ25" s="72" t="str">
        <f>IFERROR(IF(d_ss_Bv!U25=0,".",((Ir*F*I_f*T*(1-EXP(-RadSpec!BD25*t_v)))/(Y_v*RadSpec!BD25))),".")</f>
        <v>.</v>
      </c>
      <c r="BR25" s="72" t="str">
        <f>IFERROR(IF(d_ss_Bv!V25=0,".",((Ir*F*I_f*T*(1-EXP(-RadSpec!BD25*t_v)))/(Y_v*RadSpec!BD25))),".")</f>
        <v>.</v>
      </c>
      <c r="BS25" s="72" t="str">
        <f>IFERROR(IF(d_ss_Bv!W25=0,".",((Ir*F*I_f*T*(1-EXP(-RadSpec!BD25*t_v)))/(Y_v*RadSpec!BD25))),".")</f>
        <v>.</v>
      </c>
      <c r="BT25" s="72" t="str">
        <f>IFERROR(IF(d_ss_Bv!X25=0,".",((Ir*F*I_f*T*(1-EXP(-RadSpec!BD25*t_v)))/(Y_v*RadSpec!BD25))),".")</f>
        <v>.</v>
      </c>
      <c r="BU25" s="72" t="str">
        <f>IFERROR(IF(d_ss_Bv!Y25=0,".",((Ir*F*I_f*T*(1-EXP(-RadSpec!BD25*t_v)))/(Y_v*RadSpec!BD25))),".")</f>
        <v>.</v>
      </c>
      <c r="BV25" s="72" t="str">
        <f>IFERROR(IF(d_ss_Bv!Z25=0,".",((Ir*F*I_f*T*(1-EXP(-RadSpec!BD25*t_v)))/(Y_v*RadSpec!BD25))),".")</f>
        <v>.</v>
      </c>
    </row>
    <row r="26" spans="1:74" x14ac:dyDescent="0.25">
      <c r="A26" s="31" t="s">
        <v>24</v>
      </c>
      <c r="B26" s="3" t="s">
        <v>1059</v>
      </c>
      <c r="C26" s="72">
        <f>IFERROR(IF(d_ss_Bv!C26=0,".",((Ir*F*d_ss_Bv!C26*(1-EXP(-RadSpec!BC26*t_b)))/(P*RadSpec!BC26))),".")</f>
        <v>1.7873205381175518E-2</v>
      </c>
      <c r="D26" s="72">
        <f>IFERROR(IF(d_ss_Bv!D26=0,".",((Ir*F*d_ss_Bv!D26*(1-EXP(-RadSpec!BC26*t_b)))/(P*RadSpec!BC26))),".")</f>
        <v>4.2895692914821232E-2</v>
      </c>
      <c r="E26" s="72">
        <f>IFERROR(IF(d_ss_Bv!E26=0,".",((Ir*F*d_ss_Bv!E26*(1-EXP(-RadSpec!BC26*t_b)))/(P*RadSpec!BC26))),".")</f>
        <v>2.8597128609880826E-2</v>
      </c>
      <c r="F26" s="72">
        <f>IFERROR(IF(d_ss_Bv!F26=0,".",((Ir*F*d_ss_Bv!F26*(1-EXP(-RadSpec!BC26*t_b)))/(P*RadSpec!BC26))),".")</f>
        <v>1.7873205381175518E-2</v>
      </c>
      <c r="G26" s="72">
        <f>IFERROR(IF(d_ss_Bv!G26=0,".",((Ir*F*d_ss_Bv!G26*(1-EXP(-RadSpec!BC26*t_b)))/(P*RadSpec!BC26))),".")</f>
        <v>2.7882200394633804E-2</v>
      </c>
      <c r="H26" s="72">
        <f>IFERROR(IF(d_ss_Bv!H26=0,".",((Ir*F*d_ss_Bv!H26*(1-EXP(-RadSpec!BC26*t_b)))/(P*RadSpec!BC26))),".")</f>
        <v>4.2895692914821232E-2</v>
      </c>
      <c r="I26" s="72">
        <f>IFERROR(IF(d_ss_Bv!I26=0,".",((Ir*F*d_ss_Bv!I26*(1-EXP(-RadSpec!BC26*t_b)))/(P*RadSpec!BC26))),".")</f>
        <v>2.8597128609880826E-2</v>
      </c>
      <c r="J26" s="72">
        <f>IFERROR(IF(d_ss_Bv!J26=0,".",((Ir*F*d_ss_Bv!J26*(1-EXP(-RadSpec!BC26*t_b)))/(P*RadSpec!BC26))),".")</f>
        <v>1.7873205381175518E-2</v>
      </c>
      <c r="K26" s="72">
        <f>IFERROR(IF(d_ss_Bv!K26=0,".",((Ir*F*d_ss_Bv!K26*(1-EXP(-RadSpec!BC26*t_b)))/(P*RadSpec!BC26))),".")</f>
        <v>2.2877702887904663E-2</v>
      </c>
      <c r="L26" s="72">
        <f>IFERROR(IF(d_ss_Bv!L26=0,".",((Ir*F*d_ss_Bv!L26*(1-EXP(-RadSpec!BC26*t_b)))/(P*RadSpec!BC26))),".")</f>
        <v>2.7882200394633804E-2</v>
      </c>
      <c r="M26" s="72">
        <f>IFERROR(IF(d_ss_Bv!M26=0,".",((Ir*F*d_ss_Bv!M26*(1-EXP(-RadSpec!BC26*t_b)))/(P*RadSpec!BC26))),".")</f>
        <v>4.2895692914821232E-2</v>
      </c>
      <c r="N26" s="72">
        <f>IFERROR(IF(d_ss_Bv!N26=0,".",((Ir*F*d_ss_Bv!N26*(1-EXP(-RadSpec!BC26*t_b)))/(P*RadSpec!BC26))),".")</f>
        <v>1.8945597704046045E-2</v>
      </c>
      <c r="O26" s="72">
        <f>IFERROR(IF(d_ss_Bv!O26=0,".",((Ir*F*d_ss_Bv!O26*(1-EXP(-RadSpec!BC26*t_b)))/(P*RadSpec!BC26))),".")</f>
        <v>2.7882200394633804E-2</v>
      </c>
      <c r="P26" s="72">
        <f>IFERROR(IF(d_ss_Bv!P26=0,".",((Ir*F*d_ss_Bv!P26*(1-EXP(-RadSpec!BC26*t_b)))/(P*RadSpec!BC26))),".")</f>
        <v>2.7882200394633804E-2</v>
      </c>
      <c r="Q26" s="72">
        <f>IFERROR(IF(d_ss_Bv!Q26=0,".",((Ir*F*d_ss_Bv!Q26*(1-EXP(-RadSpec!BC26*t_b)))/(P*RadSpec!BC26))),".")</f>
        <v>1.7873205381175518E-2</v>
      </c>
      <c r="R26" s="72">
        <f>IFERROR(IF(d_ss_Bv!R26=0,".",((Ir*F*d_ss_Bv!R26*(1-EXP(-RadSpec!BC26*t_b)))/(P*RadSpec!BC26))),".")</f>
        <v>1.7873205381175518E-2</v>
      </c>
      <c r="S26" s="72">
        <f>IFERROR(IF(d_ss_Bv!S26=0,".",((Ir*F*d_ss_Bv!S26*(1-EXP(-RadSpec!BC26*t_b)))/(P*RadSpec!BC26))),".")</f>
        <v>1.8945597704046045E-2</v>
      </c>
      <c r="T26" s="72">
        <f>IFERROR(IF(d_ss_Bv!T26=0,".",((Ir*F*d_ss_Bv!T26*(1-EXP(-RadSpec!BC26*t_b)))/(P*RadSpec!BC26))),".")</f>
        <v>7.1492821524702065E-3</v>
      </c>
      <c r="U26" s="72">
        <f>IFERROR(IF(d_ss_Bv!U26=0,".",((Ir*F*d_ss_Bv!U26*(1-EXP(-RadSpec!BC26*t_b)))/(P*RadSpec!BC26))),".")</f>
        <v>2.7882200394633804E-2</v>
      </c>
      <c r="V26" s="72">
        <f>IFERROR(IF(d_ss_Bv!V26=0,".",((Ir*F*d_ss_Bv!V26*(1-EXP(-RadSpec!BC26*t_b)))/(P*RadSpec!BC26))),".")</f>
        <v>1.8945597704046045E-2</v>
      </c>
      <c r="W26" s="72">
        <f>IFERROR(IF(d_ss_Bv!W26=0,".",((Ir*F*d_ss_Bv!W26*(1-EXP(-RadSpec!BC26*t_b)))/(P*RadSpec!BC26))),".")</f>
        <v>1.7873205381175518E-2</v>
      </c>
      <c r="X26" s="72">
        <f>IFERROR(IF(d_ss_Bv!X26=0,".",((Ir*F*d_ss_Bv!X26*(1-EXP(-RadSpec!BC26*t_b)))/(P*RadSpec!BC26))),".")</f>
        <v>2.7882200394633804E-2</v>
      </c>
      <c r="Y26" s="72">
        <f>IFERROR(IF(d_ss_Bv!Y26=0,".",((Ir*F*d_ss_Bv!Y26*(1-EXP(-RadSpec!BC26*t_b)))/(P*RadSpec!BC26))),".")</f>
        <v>5.7194257219761657E-3</v>
      </c>
      <c r="Z26" s="72">
        <f>IFERROR(IF(d_ss_Bv!Z26=0,".",((Ir*F*d_ss_Bv!Z26*(1-EXP(-RadSpec!BC26*t_b)))/(P*RadSpec!BC26))),".")</f>
        <v>7.5067462600937149E-2</v>
      </c>
      <c r="AA26" s="72">
        <f>IFERROR(IF(d_ss_Bv!C26=0,".",((Ir*F*MLF_apple*(1-EXP(-RadSpec!BC26*t_b)))/(P*RadSpec!BC26))),".")</f>
        <v>5.7194257219761657E-3</v>
      </c>
      <c r="AB26" s="72">
        <f>IFERROR(IF(d_ss_Bv!D26=0,".",((Ir*F*MLF_asparagus*(1-EXP(-RadSpec!BC26*t_b)))/(P*RadSpec!BC26))),".")</f>
        <v>2.8239664502257315E-3</v>
      </c>
      <c r="AC26" s="72">
        <f>IFERROR(IF(d_ss_Bv!E26=0,".",((Ir*F*MLF_beet*(1-EXP(-RadSpec!BC26*t_b)))/(P*RadSpec!BC26))),".")</f>
        <v>4.9330046852044422E-3</v>
      </c>
      <c r="AD26" s="72">
        <f>IFERROR(IF(d_ss_Bv!F26=0,".",((Ir*F*MLF_berries*(1-EXP(-RadSpec!BC26*t_b)))/(P*RadSpec!BC26))),".")</f>
        <v>5.9339041865502712E-3</v>
      </c>
      <c r="AE26" s="72">
        <f>IFERROR(IF(d_ss_Bv!G26=0,".",((Ir*F*MLF_broccoli*(1-EXP(-RadSpec!BC26*t_b)))/(P*RadSpec!BC26))),".")</f>
        <v>3.6103874869974538E-2</v>
      </c>
      <c r="AF26" s="72">
        <f>IFERROR(IF(d_ss_Bv!H26=0,".",((Ir*F*MLF_cabbage*(1-EXP(-RadSpec!BC26*t_b)))/(P*RadSpec!BC26))),".")</f>
        <v>3.7533731300468582E-3</v>
      </c>
      <c r="AG26" s="72">
        <f>IFERROR(IF(d_ss_Bv!I26=0,".",((Ir*F*MLF_carrot*(1-EXP(-RadSpec!BC26*t_b)))/(P*RadSpec!BC26))),".")</f>
        <v>3.4674018439480501E-3</v>
      </c>
      <c r="AH26" s="72">
        <f>IFERROR(IF(d_ss_Bv!J26=0,".",((Ir*F*MLF_citrus*(1-EXP(-RadSpec!BC26*t_b)))/(P*RadSpec!BC26))),".")</f>
        <v>5.6121864896891112E-3</v>
      </c>
      <c r="AI26" s="72">
        <f>IFERROR(IF(d_ss_Bv!K26=0,".",((Ir*F*MLF_corn*(1-EXP(-RadSpec!BC26*t_b)))/(P*RadSpec!BC26))),".")</f>
        <v>5.1832295605408994E-3</v>
      </c>
      <c r="AJ26" s="72">
        <f>IFERROR(IF(d_ss_Bv!L26=0,".",((Ir*F*MLF_cucumber*(1-EXP(-RadSpec!BC26*t_b)))/(P*RadSpec!BC26))),".")</f>
        <v>1.4298564304940414E-3</v>
      </c>
      <c r="AK26" s="72">
        <f>IFERROR(IF(d_ss_Bv!M26=0,".",((Ir*F*MLF_lettuce*(1-EXP(-RadSpec!BC26*t_b)))/(P*RadSpec!BC26))),".")</f>
        <v>0.48257654529173893</v>
      </c>
      <c r="AL26" s="72">
        <f>IFERROR(IF(d_ss_Bv!N26=0,".",((Ir*F*MLF_lima_bean*(1-EXP(-RadSpec!BC26*t_b)))/(P*RadSpec!BC26))),".")</f>
        <v>0.13690875321980447</v>
      </c>
      <c r="AM26" s="72">
        <f>IFERROR(IF(d_ss_Bv!O26=0,".",((Ir*F*MLF_okra*(1-EXP(-RadSpec!BC26*t_b)))/(P*RadSpec!BC26))),".")</f>
        <v>2.8597128609880828E-3</v>
      </c>
      <c r="AN26" s="72">
        <f>IFERROR(IF(d_ss_Bv!P26=0,".",((Ir*F*MLF_onion*(1-EXP(-RadSpec!BC26*t_b)))/(P*RadSpec!BC26))),".")</f>
        <v>3.4674018439480501E-3</v>
      </c>
      <c r="AO26" s="72">
        <f>IFERROR(IF(d_ss_Bv!Q26=0,".",((Ir*F*MLF_peach*(1-EXP(-RadSpec!BC26*t_b)))/(P*RadSpec!BC26))),".")</f>
        <v>5.361961614352654E-3</v>
      </c>
      <c r="AP26" s="72" t="str">
        <f>IFERROR(IF(d_ss_Bv!OI26=0,".",((Ir*F*MLF_pear*(1-EXP(-RadSpec!BC26*t_b)))/(P*RadSpec!BC26))),".")</f>
        <v>.</v>
      </c>
      <c r="AQ26" s="72">
        <f>IFERROR(IF(d_ss_Bv!S26=0,".",((Ir*F*MLF_peas*(1-EXP(-RadSpec!BC26*t_b)))/(P*RadSpec!BC26))),".")</f>
        <v>6.3628611156984829E-3</v>
      </c>
      <c r="AR26" s="72">
        <f>IFERROR(IF(d_ss_Bv!T26=0,".",((Ir*F*MLF_potato*(1-EXP(-RadSpec!BC26*t_b)))/(P*RadSpec!BC26))),".")</f>
        <v>7.5067462600937164E-3</v>
      </c>
      <c r="AS26" s="72">
        <f>IFERROR(IF(d_ss_Bv!U26=0,".",((Ir*F*MLF_pumpkin*(1-EXP(-RadSpec!BC26*t_b)))/(P*RadSpec!BC26))),".")</f>
        <v>2.0732918242163598E-3</v>
      </c>
      <c r="AT26" s="72">
        <f>IFERROR(IF(d_ss_Bv!V26=0,".",((Ir*F*MLF_snap_bean*(1-EXP(-RadSpec!BC26*t_b)))/(P*RadSpec!BC26))),".")</f>
        <v>0.17873205381175516</v>
      </c>
      <c r="AU26" s="72">
        <f>IFERROR(IF(d_ss_Bv!W26=0,".",((Ir*F*MLF_strawberry*(1-EXP(-RadSpec!BC26*t_b)))/(P*RadSpec!BC26))),".")</f>
        <v>2.8597128609880828E-3</v>
      </c>
      <c r="AV26" s="72">
        <f>IFERROR(IF(d_ss_Bv!X26=0,".",((Ir*F*MLF_tomato*(1-EXP(-RadSpec!BC26*t_b)))/(P*RadSpec!BC26))),".")</f>
        <v>5.6836793112138136E-2</v>
      </c>
      <c r="AW26" s="72">
        <f>IFERROR(IF(d_ss_Bv!Y26=0,".",((Ir*F*MLF_rice*(1-EXP(-RadSpec!BC26*t_b)))/(P*RadSpec!BC26))),".")</f>
        <v>8.9366026905877582</v>
      </c>
      <c r="AX26" s="72">
        <f>IFERROR(IF(d_ss_Bv!Z26=0,".",((Ir*F*MLF_cereal*(1-EXP(-RadSpec!BC26*t_b)))/(P*RadSpec!BC26))),".")</f>
        <v>8.9366026905877582</v>
      </c>
      <c r="AY26" s="72">
        <f>IFERROR(IF(d_ss_Bv!C26=0,".",((Ir*F*I_f*T*(1-EXP(-RadSpec!BD26*t_v)))/(Y_v*RadSpec!BD26))),".")</f>
        <v>3.6424203206347228</v>
      </c>
      <c r="AZ26" s="72">
        <f>IFERROR(IF(d_ss_Bv!D26=0,".",((Ir*F*I_f*T*(1-EXP(-RadSpec!BD26*t_v)))/(Y_v*RadSpec!BD26))),".")</f>
        <v>3.6424203206347228</v>
      </c>
      <c r="BA26" s="72">
        <f>IFERROR(IF(d_ss_Bv!E26=0,".",((Ir*F*I_f*T*(1-EXP(-RadSpec!BD26*t_v)))/(Y_v*RadSpec!BD26))),".")</f>
        <v>3.6424203206347228</v>
      </c>
      <c r="BB26" s="72">
        <f>IFERROR(IF(d_ss_Bv!F26=0,".",((Ir*F*I_f*T*(1-EXP(-RadSpec!BD26*t_v)))/(Y_v*RadSpec!BD26))),".")</f>
        <v>3.6424203206347228</v>
      </c>
      <c r="BC26" s="72">
        <f>IFERROR(IF(d_ss_Bv!G26=0,".",((Ir*F*I_f*T*(1-EXP(-RadSpec!BD26*t_v)))/(Y_v*RadSpec!BD26))),".")</f>
        <v>3.6424203206347228</v>
      </c>
      <c r="BD26" s="72">
        <f>IFERROR(IF(d_ss_Bv!H26=0,".",((Ir*F*I_f*T*(1-EXP(-RadSpec!BD26*t_v)))/(Y_v*RadSpec!BD26))),".")</f>
        <v>3.6424203206347228</v>
      </c>
      <c r="BE26" s="72">
        <f>IFERROR(IF(d_ss_Bv!I26=0,".",((Ir*F*I_f*T*(1-EXP(-RadSpec!BD26*t_v)))/(Y_v*RadSpec!BD26))),".")</f>
        <v>3.6424203206347228</v>
      </c>
      <c r="BF26" s="72">
        <f>IFERROR(IF(d_ss_Bv!J26=0,".",((Ir*F*I_f*T*(1-EXP(-RadSpec!BD26*t_v)))/(Y_v*RadSpec!BD26))),".")</f>
        <v>3.6424203206347228</v>
      </c>
      <c r="BG26" s="72">
        <f>IFERROR(IF(d_ss_Bv!K26=0,".",((Ir*F*I_f*T*(1-EXP(-RadSpec!BD26*t_v)))/(Y_v*RadSpec!BD26))),".")</f>
        <v>3.6424203206347228</v>
      </c>
      <c r="BH26" s="72">
        <f>IFERROR(IF(d_ss_Bv!L26=0,".",((Ir*F*I_f*T*(1-EXP(-RadSpec!BD26*t_v)))/(Y_v*RadSpec!BD26))),".")</f>
        <v>3.6424203206347228</v>
      </c>
      <c r="BI26" s="72">
        <f>IFERROR(IF(d_ss_Bv!M26=0,".",((Ir*F*I_f*T*(1-EXP(-RadSpec!BD26*t_v)))/(Y_v*RadSpec!BD26))),".")</f>
        <v>3.6424203206347228</v>
      </c>
      <c r="BJ26" s="72">
        <f>IFERROR(IF(d_ss_Bv!N26=0,".",((Ir*F*I_f*T*(1-EXP(-RadSpec!BD26*t_v)))/(Y_v*RadSpec!BD26))),".")</f>
        <v>3.6424203206347228</v>
      </c>
      <c r="BK26" s="72">
        <f>IFERROR(IF(d_ss_Bv!O26=0,".",((Ir*F*I_f*T*(1-EXP(-RadSpec!BD26*t_v)))/(Y_v*RadSpec!BD26))),".")</f>
        <v>3.6424203206347228</v>
      </c>
      <c r="BL26" s="72">
        <f>IFERROR(IF(d_ss_Bv!P26=0,".",((Ir*F*I_f*T*(1-EXP(-RadSpec!BD26*t_v)))/(Y_v*RadSpec!BD26))),".")</f>
        <v>3.6424203206347228</v>
      </c>
      <c r="BM26" s="72">
        <f>IFERROR(IF(d_ss_Bv!Q26=0,".",((Ir*F*I_f*T*(1-EXP(-RadSpec!BD26*t_v)))/(Y_v*RadSpec!BD26))),".")</f>
        <v>3.6424203206347228</v>
      </c>
      <c r="BN26" s="72">
        <f>IFERROR(IF(d_ss_Bv!R26=0,".",((Ir*F*I_f*T*(1-EXP(-RadSpec!BD26*t_v)))/(Y_v*RadSpec!BD26))),".")</f>
        <v>3.6424203206347228</v>
      </c>
      <c r="BO26" s="72">
        <f>IFERROR(IF(d_ss_Bv!S26=0,".",((Ir*F*I_f*T*(1-EXP(-RadSpec!BD26*t_v)))/(Y_v*RadSpec!BD26))),".")</f>
        <v>3.6424203206347228</v>
      </c>
      <c r="BP26" s="72">
        <f>IFERROR(IF(d_ss_Bv!T26=0,".",((Ir*F*I_f*T*(1-EXP(-RadSpec!BD26*t_v)))/(Y_v*RadSpec!BD26))),".")</f>
        <v>3.6424203206347228</v>
      </c>
      <c r="BQ26" s="72">
        <f>IFERROR(IF(d_ss_Bv!U26=0,".",((Ir*F*I_f*T*(1-EXP(-RadSpec!BD26*t_v)))/(Y_v*RadSpec!BD26))),".")</f>
        <v>3.6424203206347228</v>
      </c>
      <c r="BR26" s="72">
        <f>IFERROR(IF(d_ss_Bv!V26=0,".",((Ir*F*I_f*T*(1-EXP(-RadSpec!BD26*t_v)))/(Y_v*RadSpec!BD26))),".")</f>
        <v>3.6424203206347228</v>
      </c>
      <c r="BS26" s="72">
        <f>IFERROR(IF(d_ss_Bv!W26=0,".",((Ir*F*I_f*T*(1-EXP(-RadSpec!BD26*t_v)))/(Y_v*RadSpec!BD26))),".")</f>
        <v>3.6424203206347228</v>
      </c>
      <c r="BT26" s="72">
        <f>IFERROR(IF(d_ss_Bv!X26=0,".",((Ir*F*I_f*T*(1-EXP(-RadSpec!BD26*t_v)))/(Y_v*RadSpec!BD26))),".")</f>
        <v>3.6424203206347228</v>
      </c>
      <c r="BU26" s="72">
        <f>IFERROR(IF(d_ss_Bv!Y26=0,".",((Ir*F*I_f*T*(1-EXP(-RadSpec!BD26*t_v)))/(Y_v*RadSpec!BD26))),".")</f>
        <v>3.6424203206347228</v>
      </c>
      <c r="BV26" s="72">
        <f>IFERROR(IF(d_ss_Bv!Z26=0,".",((Ir*F*I_f*T*(1-EXP(-RadSpec!BD26*t_v)))/(Y_v*RadSpec!BD26))),".")</f>
        <v>3.6424203206347228</v>
      </c>
    </row>
    <row r="27" spans="1:74" x14ac:dyDescent="0.25">
      <c r="A27" s="31" t="s">
        <v>25</v>
      </c>
      <c r="B27" s="3" t="s">
        <v>1059</v>
      </c>
      <c r="C27" s="72">
        <f>IFERROR(IF(d_ss_Bv!C27=0,".",((Ir*F*d_ss_Bv!C27*(1-EXP(-RadSpec!BC27*t_b)))/(P*RadSpec!BC27))),".")</f>
        <v>2.8597128609880828E-3</v>
      </c>
      <c r="D27" s="72">
        <f>IFERROR(IF(d_ss_Bv!D27=0,".",((Ir*F*d_ss_Bv!D27*(1-EXP(-RadSpec!BC27*t_b)))/(P*RadSpec!BC27))),".")</f>
        <v>2.8597128609880826E-2</v>
      </c>
      <c r="E27" s="72">
        <f>IFERROR(IF(d_ss_Bv!E27=0,".",((Ir*F*d_ss_Bv!E27*(1-EXP(-RadSpec!BC27*t_b)))/(P*RadSpec!BC27))),".")</f>
        <v>2.8597128609880828E-3</v>
      </c>
      <c r="F27" s="72">
        <f>IFERROR(IF(d_ss_Bv!F27=0,".",((Ir*F*d_ss_Bv!F27*(1-EXP(-RadSpec!BC27*t_b)))/(P*RadSpec!BC27))),".")</f>
        <v>2.8597128609880828E-3</v>
      </c>
      <c r="G27" s="72">
        <f>IFERROR(IF(d_ss_Bv!G27=0,".",((Ir*F*d_ss_Bv!G27*(1-EXP(-RadSpec!BC27*t_b)))/(P*RadSpec!BC27))),".")</f>
        <v>2.8597128609880828E-3</v>
      </c>
      <c r="H27" s="72">
        <f>IFERROR(IF(d_ss_Bv!H27=0,".",((Ir*F*d_ss_Bv!H27*(1-EXP(-RadSpec!BC27*t_b)))/(P*RadSpec!BC27))),".")</f>
        <v>2.8597128609880826E-2</v>
      </c>
      <c r="I27" s="72">
        <f>IFERROR(IF(d_ss_Bv!I27=0,".",((Ir*F*d_ss_Bv!I27*(1-EXP(-RadSpec!BC27*t_b)))/(P*RadSpec!BC27))),".")</f>
        <v>2.8597128609880828E-3</v>
      </c>
      <c r="J27" s="72">
        <f>IFERROR(IF(d_ss_Bv!J27=0,".",((Ir*F*d_ss_Bv!J27*(1-EXP(-RadSpec!BC27*t_b)))/(P*RadSpec!BC27))),".")</f>
        <v>2.8597128609880828E-3</v>
      </c>
      <c r="K27" s="72">
        <f>IFERROR(IF(d_ss_Bv!K27=0,".",((Ir*F*d_ss_Bv!K27*(1-EXP(-RadSpec!BC27*t_b)))/(P*RadSpec!BC27))),".")</f>
        <v>2.8597128609880828E-3</v>
      </c>
      <c r="L27" s="72">
        <f>IFERROR(IF(d_ss_Bv!L27=0,".",((Ir*F*d_ss_Bv!L27*(1-EXP(-RadSpec!BC27*t_b)))/(P*RadSpec!BC27))),".")</f>
        <v>2.8597128609880828E-3</v>
      </c>
      <c r="M27" s="72">
        <f>IFERROR(IF(d_ss_Bv!M27=0,".",((Ir*F*d_ss_Bv!M27*(1-EXP(-RadSpec!BC27*t_b)))/(P*RadSpec!BC27))),".")</f>
        <v>2.8597128609880826E-2</v>
      </c>
      <c r="N27" s="72">
        <f>IFERROR(IF(d_ss_Bv!N27=0,".",((Ir*F*d_ss_Bv!N27*(1-EXP(-RadSpec!BC27*t_b)))/(P*RadSpec!BC27))),".")</f>
        <v>2.8597128609880828E-3</v>
      </c>
      <c r="O27" s="72">
        <f>IFERROR(IF(d_ss_Bv!O27=0,".",((Ir*F*d_ss_Bv!O27*(1-EXP(-RadSpec!BC27*t_b)))/(P*RadSpec!BC27))),".")</f>
        <v>2.8597128609880828E-3</v>
      </c>
      <c r="P27" s="72">
        <f>IFERROR(IF(d_ss_Bv!P27=0,".",((Ir*F*d_ss_Bv!P27*(1-EXP(-RadSpec!BC27*t_b)))/(P*RadSpec!BC27))),".")</f>
        <v>2.8597128609880828E-3</v>
      </c>
      <c r="Q27" s="72">
        <f>IFERROR(IF(d_ss_Bv!Q27=0,".",((Ir*F*d_ss_Bv!Q27*(1-EXP(-RadSpec!BC27*t_b)))/(P*RadSpec!BC27))),".")</f>
        <v>2.8597128609880828E-3</v>
      </c>
      <c r="R27" s="72">
        <f>IFERROR(IF(d_ss_Bv!R27=0,".",((Ir*F*d_ss_Bv!R27*(1-EXP(-RadSpec!BC27*t_b)))/(P*RadSpec!BC27))),".")</f>
        <v>2.8597128609880828E-3</v>
      </c>
      <c r="S27" s="72">
        <f>IFERROR(IF(d_ss_Bv!S27=0,".",((Ir*F*d_ss_Bv!S27*(1-EXP(-RadSpec!BC27*t_b)))/(P*RadSpec!BC27))),".")</f>
        <v>2.8597128609880828E-3</v>
      </c>
      <c r="T27" s="72">
        <f>IFERROR(IF(d_ss_Bv!T27=0,".",((Ir*F*d_ss_Bv!T27*(1-EXP(-RadSpec!BC27*t_b)))/(P*RadSpec!BC27))),".")</f>
        <v>2.8597128609880828E-3</v>
      </c>
      <c r="U27" s="72">
        <f>IFERROR(IF(d_ss_Bv!U27=0,".",((Ir*F*d_ss_Bv!U27*(1-EXP(-RadSpec!BC27*t_b)))/(P*RadSpec!BC27))),".")</f>
        <v>2.8597128609880828E-3</v>
      </c>
      <c r="V27" s="72">
        <f>IFERROR(IF(d_ss_Bv!V27=0,".",((Ir*F*d_ss_Bv!V27*(1-EXP(-RadSpec!BC27*t_b)))/(P*RadSpec!BC27))),".")</f>
        <v>2.8597128609880828E-3</v>
      </c>
      <c r="W27" s="72">
        <f>IFERROR(IF(d_ss_Bv!W27=0,".",((Ir*F*d_ss_Bv!W27*(1-EXP(-RadSpec!BC27*t_b)))/(P*RadSpec!BC27))),".")</f>
        <v>2.8597128609880828E-3</v>
      </c>
      <c r="X27" s="72">
        <f>IFERROR(IF(d_ss_Bv!X27=0,".",((Ir*F*d_ss_Bv!X27*(1-EXP(-RadSpec!BC27*t_b)))/(P*RadSpec!BC27))),".")</f>
        <v>2.8597128609880828E-3</v>
      </c>
      <c r="Y27" s="72">
        <f>IFERROR(IF(d_ss_Bv!Y27=0,".",((Ir*F*d_ss_Bv!Y27*(1-EXP(-RadSpec!BC27*t_b)))/(P*RadSpec!BC27))),".")</f>
        <v>7.1492821524702075</v>
      </c>
      <c r="Z27" s="72">
        <f>IFERROR(IF(d_ss_Bv!Z27=0,".",((Ir*F*d_ss_Bv!Z27*(1-EXP(-RadSpec!BC27*t_b)))/(P*RadSpec!BC27))),".")</f>
        <v>7.1492821524702075</v>
      </c>
      <c r="AA27" s="72">
        <f>IFERROR(IF(d_ss_Bv!C27=0,".",((Ir*F*MLF_apple*(1-EXP(-RadSpec!BC27*t_b)))/(P*RadSpec!BC27))),".")</f>
        <v>5.7194257219761657E-3</v>
      </c>
      <c r="AB27" s="72">
        <f>IFERROR(IF(d_ss_Bv!D27=0,".",((Ir*F*MLF_asparagus*(1-EXP(-RadSpec!BC27*t_b)))/(P*RadSpec!BC27))),".")</f>
        <v>2.8239664502257315E-3</v>
      </c>
      <c r="AC27" s="72">
        <f>IFERROR(IF(d_ss_Bv!E27=0,".",((Ir*F*MLF_beet*(1-EXP(-RadSpec!BC27*t_b)))/(P*RadSpec!BC27))),".")</f>
        <v>4.9330046852044422E-3</v>
      </c>
      <c r="AD27" s="72">
        <f>IFERROR(IF(d_ss_Bv!F27=0,".",((Ir*F*MLF_berries*(1-EXP(-RadSpec!BC27*t_b)))/(P*RadSpec!BC27))),".")</f>
        <v>5.9339041865502712E-3</v>
      </c>
      <c r="AE27" s="72">
        <f>IFERROR(IF(d_ss_Bv!G27=0,".",((Ir*F*MLF_broccoli*(1-EXP(-RadSpec!BC27*t_b)))/(P*RadSpec!BC27))),".")</f>
        <v>3.6103874869974538E-2</v>
      </c>
      <c r="AF27" s="72">
        <f>IFERROR(IF(d_ss_Bv!H27=0,".",((Ir*F*MLF_cabbage*(1-EXP(-RadSpec!BC27*t_b)))/(P*RadSpec!BC27))),".")</f>
        <v>3.7533731300468582E-3</v>
      </c>
      <c r="AG27" s="72">
        <f>IFERROR(IF(d_ss_Bv!I27=0,".",((Ir*F*MLF_carrot*(1-EXP(-RadSpec!BC27*t_b)))/(P*RadSpec!BC27))),".")</f>
        <v>3.4674018439480501E-3</v>
      </c>
      <c r="AH27" s="72">
        <f>IFERROR(IF(d_ss_Bv!J27=0,".",((Ir*F*MLF_citrus*(1-EXP(-RadSpec!BC27*t_b)))/(P*RadSpec!BC27))),".")</f>
        <v>5.6121864896891112E-3</v>
      </c>
      <c r="AI27" s="72">
        <f>IFERROR(IF(d_ss_Bv!K27=0,".",((Ir*F*MLF_corn*(1-EXP(-RadSpec!BC27*t_b)))/(P*RadSpec!BC27))),".")</f>
        <v>5.1832295605408994E-3</v>
      </c>
      <c r="AJ27" s="72">
        <f>IFERROR(IF(d_ss_Bv!L27=0,".",((Ir*F*MLF_cucumber*(1-EXP(-RadSpec!BC27*t_b)))/(P*RadSpec!BC27))),".")</f>
        <v>1.4298564304940414E-3</v>
      </c>
      <c r="AK27" s="72">
        <f>IFERROR(IF(d_ss_Bv!M27=0,".",((Ir*F*MLF_lettuce*(1-EXP(-RadSpec!BC27*t_b)))/(P*RadSpec!BC27))),".")</f>
        <v>0.48257654529173893</v>
      </c>
      <c r="AL27" s="72">
        <f>IFERROR(IF(d_ss_Bv!N27=0,".",((Ir*F*MLF_lima_bean*(1-EXP(-RadSpec!BC27*t_b)))/(P*RadSpec!BC27))),".")</f>
        <v>0.13690875321980447</v>
      </c>
      <c r="AM27" s="72">
        <f>IFERROR(IF(d_ss_Bv!O27=0,".",((Ir*F*MLF_okra*(1-EXP(-RadSpec!BC27*t_b)))/(P*RadSpec!BC27))),".")</f>
        <v>2.8597128609880828E-3</v>
      </c>
      <c r="AN27" s="72">
        <f>IFERROR(IF(d_ss_Bv!P27=0,".",((Ir*F*MLF_onion*(1-EXP(-RadSpec!BC27*t_b)))/(P*RadSpec!BC27))),".")</f>
        <v>3.4674018439480501E-3</v>
      </c>
      <c r="AO27" s="72">
        <f>IFERROR(IF(d_ss_Bv!Q27=0,".",((Ir*F*MLF_peach*(1-EXP(-RadSpec!BC27*t_b)))/(P*RadSpec!BC27))),".")</f>
        <v>5.361961614352654E-3</v>
      </c>
      <c r="AP27" s="72" t="str">
        <f>IFERROR(IF(d_ss_Bv!OI27=0,".",((Ir*F*MLF_pear*(1-EXP(-RadSpec!BC27*t_b)))/(P*RadSpec!BC27))),".")</f>
        <v>.</v>
      </c>
      <c r="AQ27" s="72">
        <f>IFERROR(IF(d_ss_Bv!S27=0,".",((Ir*F*MLF_peas*(1-EXP(-RadSpec!BC27*t_b)))/(P*RadSpec!BC27))),".")</f>
        <v>6.3628611156984829E-3</v>
      </c>
      <c r="AR27" s="72">
        <f>IFERROR(IF(d_ss_Bv!T27=0,".",((Ir*F*MLF_potato*(1-EXP(-RadSpec!BC27*t_b)))/(P*RadSpec!BC27))),".")</f>
        <v>7.5067462600937164E-3</v>
      </c>
      <c r="AS27" s="72">
        <f>IFERROR(IF(d_ss_Bv!U27=0,".",((Ir*F*MLF_pumpkin*(1-EXP(-RadSpec!BC27*t_b)))/(P*RadSpec!BC27))),".")</f>
        <v>2.0732918242163598E-3</v>
      </c>
      <c r="AT27" s="72">
        <f>IFERROR(IF(d_ss_Bv!V27=0,".",((Ir*F*MLF_snap_bean*(1-EXP(-RadSpec!BC27*t_b)))/(P*RadSpec!BC27))),".")</f>
        <v>0.17873205381175516</v>
      </c>
      <c r="AU27" s="72">
        <f>IFERROR(IF(d_ss_Bv!W27=0,".",((Ir*F*MLF_strawberry*(1-EXP(-RadSpec!BC27*t_b)))/(P*RadSpec!BC27))),".")</f>
        <v>2.8597128609880828E-3</v>
      </c>
      <c r="AV27" s="72">
        <f>IFERROR(IF(d_ss_Bv!X27=0,".",((Ir*F*MLF_tomato*(1-EXP(-RadSpec!BC27*t_b)))/(P*RadSpec!BC27))),".")</f>
        <v>5.6836793112138136E-2</v>
      </c>
      <c r="AW27" s="72">
        <f>IFERROR(IF(d_ss_Bv!Y27=0,".",((Ir*F*MLF_rice*(1-EXP(-RadSpec!BC27*t_b)))/(P*RadSpec!BC27))),".")</f>
        <v>8.9366026905877582</v>
      </c>
      <c r="AX27" s="72">
        <f>IFERROR(IF(d_ss_Bv!Z27=0,".",((Ir*F*MLF_cereal*(1-EXP(-RadSpec!BC27*t_b)))/(P*RadSpec!BC27))),".")</f>
        <v>8.9366026905877582</v>
      </c>
      <c r="AY27" s="72">
        <f>IFERROR(IF(d_ss_Bv!C27=0,".",((Ir*F*I_f*T*(1-EXP(-RadSpec!BD27*t_v)))/(Y_v*RadSpec!BD27))),".")</f>
        <v>3.6424203206347228</v>
      </c>
      <c r="AZ27" s="72">
        <f>IFERROR(IF(d_ss_Bv!D27=0,".",((Ir*F*I_f*T*(1-EXP(-RadSpec!BD27*t_v)))/(Y_v*RadSpec!BD27))),".")</f>
        <v>3.6424203206347228</v>
      </c>
      <c r="BA27" s="72">
        <f>IFERROR(IF(d_ss_Bv!E27=0,".",((Ir*F*I_f*T*(1-EXP(-RadSpec!BD27*t_v)))/(Y_v*RadSpec!BD27))),".")</f>
        <v>3.6424203206347228</v>
      </c>
      <c r="BB27" s="72">
        <f>IFERROR(IF(d_ss_Bv!F27=0,".",((Ir*F*I_f*T*(1-EXP(-RadSpec!BD27*t_v)))/(Y_v*RadSpec!BD27))),".")</f>
        <v>3.6424203206347228</v>
      </c>
      <c r="BC27" s="72">
        <f>IFERROR(IF(d_ss_Bv!G27=0,".",((Ir*F*I_f*T*(1-EXP(-RadSpec!BD27*t_v)))/(Y_v*RadSpec!BD27))),".")</f>
        <v>3.6424203206347228</v>
      </c>
      <c r="BD27" s="72">
        <f>IFERROR(IF(d_ss_Bv!H27=0,".",((Ir*F*I_f*T*(1-EXP(-RadSpec!BD27*t_v)))/(Y_v*RadSpec!BD27))),".")</f>
        <v>3.6424203206347228</v>
      </c>
      <c r="BE27" s="72">
        <f>IFERROR(IF(d_ss_Bv!I27=0,".",((Ir*F*I_f*T*(1-EXP(-RadSpec!BD27*t_v)))/(Y_v*RadSpec!BD27))),".")</f>
        <v>3.6424203206347228</v>
      </c>
      <c r="BF27" s="72">
        <f>IFERROR(IF(d_ss_Bv!J27=0,".",((Ir*F*I_f*T*(1-EXP(-RadSpec!BD27*t_v)))/(Y_v*RadSpec!BD27))),".")</f>
        <v>3.6424203206347228</v>
      </c>
      <c r="BG27" s="72">
        <f>IFERROR(IF(d_ss_Bv!K27=0,".",((Ir*F*I_f*T*(1-EXP(-RadSpec!BD27*t_v)))/(Y_v*RadSpec!BD27))),".")</f>
        <v>3.6424203206347228</v>
      </c>
      <c r="BH27" s="72">
        <f>IFERROR(IF(d_ss_Bv!L27=0,".",((Ir*F*I_f*T*(1-EXP(-RadSpec!BD27*t_v)))/(Y_v*RadSpec!BD27))),".")</f>
        <v>3.6424203206347228</v>
      </c>
      <c r="BI27" s="72">
        <f>IFERROR(IF(d_ss_Bv!M27=0,".",((Ir*F*I_f*T*(1-EXP(-RadSpec!BD27*t_v)))/(Y_v*RadSpec!BD27))),".")</f>
        <v>3.6424203206347228</v>
      </c>
      <c r="BJ27" s="72">
        <f>IFERROR(IF(d_ss_Bv!N27=0,".",((Ir*F*I_f*T*(1-EXP(-RadSpec!BD27*t_v)))/(Y_v*RadSpec!BD27))),".")</f>
        <v>3.6424203206347228</v>
      </c>
      <c r="BK27" s="72">
        <f>IFERROR(IF(d_ss_Bv!O27=0,".",((Ir*F*I_f*T*(1-EXP(-RadSpec!BD27*t_v)))/(Y_v*RadSpec!BD27))),".")</f>
        <v>3.6424203206347228</v>
      </c>
      <c r="BL27" s="72">
        <f>IFERROR(IF(d_ss_Bv!P27=0,".",((Ir*F*I_f*T*(1-EXP(-RadSpec!BD27*t_v)))/(Y_v*RadSpec!BD27))),".")</f>
        <v>3.6424203206347228</v>
      </c>
      <c r="BM27" s="72">
        <f>IFERROR(IF(d_ss_Bv!Q27=0,".",((Ir*F*I_f*T*(1-EXP(-RadSpec!BD27*t_v)))/(Y_v*RadSpec!BD27))),".")</f>
        <v>3.6424203206347228</v>
      </c>
      <c r="BN27" s="72">
        <f>IFERROR(IF(d_ss_Bv!R27=0,".",((Ir*F*I_f*T*(1-EXP(-RadSpec!BD27*t_v)))/(Y_v*RadSpec!BD27))),".")</f>
        <v>3.6424203206347228</v>
      </c>
      <c r="BO27" s="72">
        <f>IFERROR(IF(d_ss_Bv!S27=0,".",((Ir*F*I_f*T*(1-EXP(-RadSpec!BD27*t_v)))/(Y_v*RadSpec!BD27))),".")</f>
        <v>3.6424203206347228</v>
      </c>
      <c r="BP27" s="72">
        <f>IFERROR(IF(d_ss_Bv!T27=0,".",((Ir*F*I_f*T*(1-EXP(-RadSpec!BD27*t_v)))/(Y_v*RadSpec!BD27))),".")</f>
        <v>3.6424203206347228</v>
      </c>
      <c r="BQ27" s="72">
        <f>IFERROR(IF(d_ss_Bv!U27=0,".",((Ir*F*I_f*T*(1-EXP(-RadSpec!BD27*t_v)))/(Y_v*RadSpec!BD27))),".")</f>
        <v>3.6424203206347228</v>
      </c>
      <c r="BR27" s="72">
        <f>IFERROR(IF(d_ss_Bv!V27=0,".",((Ir*F*I_f*T*(1-EXP(-RadSpec!BD27*t_v)))/(Y_v*RadSpec!BD27))),".")</f>
        <v>3.6424203206347228</v>
      </c>
      <c r="BS27" s="72">
        <f>IFERROR(IF(d_ss_Bv!W27=0,".",((Ir*F*I_f*T*(1-EXP(-RadSpec!BD27*t_v)))/(Y_v*RadSpec!BD27))),".")</f>
        <v>3.6424203206347228</v>
      </c>
      <c r="BT27" s="72">
        <f>IFERROR(IF(d_ss_Bv!X27=0,".",((Ir*F*I_f*T*(1-EXP(-RadSpec!BD27*t_v)))/(Y_v*RadSpec!BD27))),".")</f>
        <v>3.6424203206347228</v>
      </c>
      <c r="BU27" s="72">
        <f>IFERROR(IF(d_ss_Bv!Y27=0,".",((Ir*F*I_f*T*(1-EXP(-RadSpec!BD27*t_v)))/(Y_v*RadSpec!BD27))),".")</f>
        <v>3.6424203206347228</v>
      </c>
      <c r="BV27" s="72">
        <f>IFERROR(IF(d_ss_Bv!Z27=0,".",((Ir*F*I_f*T*(1-EXP(-RadSpec!BD27*t_v)))/(Y_v*RadSpec!BD27))),".")</f>
        <v>3.6424203206347228</v>
      </c>
    </row>
    <row r="28" spans="1:74" x14ac:dyDescent="0.25">
      <c r="A28" s="31" t="s">
        <v>26</v>
      </c>
      <c r="B28" s="3" t="s">
        <v>1059</v>
      </c>
      <c r="C28" s="72">
        <f>IFERROR(IF(d_ss_Bv!C28=0,".",((Ir*F*d_ss_Bv!C28*(1-EXP(-RadSpec!BC28*t_b)))/(P*RadSpec!BC28))),".")</f>
        <v>2.8597128609880828E-3</v>
      </c>
      <c r="D28" s="72">
        <f>IFERROR(IF(d_ss_Bv!D28=0,".",((Ir*F*d_ss_Bv!D28*(1-EXP(-RadSpec!BC28*t_b)))/(P*RadSpec!BC28))),".")</f>
        <v>2.8597128609880826E-2</v>
      </c>
      <c r="E28" s="72">
        <f>IFERROR(IF(d_ss_Bv!E28=0,".",((Ir*F*d_ss_Bv!E28*(1-EXP(-RadSpec!BC28*t_b)))/(P*RadSpec!BC28))),".")</f>
        <v>2.8597128609880828E-3</v>
      </c>
      <c r="F28" s="72">
        <f>IFERROR(IF(d_ss_Bv!F28=0,".",((Ir*F*d_ss_Bv!F28*(1-EXP(-RadSpec!BC28*t_b)))/(P*RadSpec!BC28))),".")</f>
        <v>2.8597128609880828E-3</v>
      </c>
      <c r="G28" s="72">
        <f>IFERROR(IF(d_ss_Bv!G28=0,".",((Ir*F*d_ss_Bv!G28*(1-EXP(-RadSpec!BC28*t_b)))/(P*RadSpec!BC28))),".")</f>
        <v>2.8597128609880828E-3</v>
      </c>
      <c r="H28" s="72">
        <f>IFERROR(IF(d_ss_Bv!H28=0,".",((Ir*F*d_ss_Bv!H28*(1-EXP(-RadSpec!BC28*t_b)))/(P*RadSpec!BC28))),".")</f>
        <v>2.8597128609880826E-2</v>
      </c>
      <c r="I28" s="72">
        <f>IFERROR(IF(d_ss_Bv!I28=0,".",((Ir*F*d_ss_Bv!I28*(1-EXP(-RadSpec!BC28*t_b)))/(P*RadSpec!BC28))),".")</f>
        <v>2.8597128609880828E-3</v>
      </c>
      <c r="J28" s="72">
        <f>IFERROR(IF(d_ss_Bv!J28=0,".",((Ir*F*d_ss_Bv!J28*(1-EXP(-RadSpec!BC28*t_b)))/(P*RadSpec!BC28))),".")</f>
        <v>2.8597128609880828E-3</v>
      </c>
      <c r="K28" s="72">
        <f>IFERROR(IF(d_ss_Bv!K28=0,".",((Ir*F*d_ss_Bv!K28*(1-EXP(-RadSpec!BC28*t_b)))/(P*RadSpec!BC28))),".")</f>
        <v>2.8597128609880828E-3</v>
      </c>
      <c r="L28" s="72">
        <f>IFERROR(IF(d_ss_Bv!L28=0,".",((Ir*F*d_ss_Bv!L28*(1-EXP(-RadSpec!BC28*t_b)))/(P*RadSpec!BC28))),".")</f>
        <v>2.8597128609880828E-3</v>
      </c>
      <c r="M28" s="72">
        <f>IFERROR(IF(d_ss_Bv!M28=0,".",((Ir*F*d_ss_Bv!M28*(1-EXP(-RadSpec!BC28*t_b)))/(P*RadSpec!BC28))),".")</f>
        <v>2.8597128609880826E-2</v>
      </c>
      <c r="N28" s="72">
        <f>IFERROR(IF(d_ss_Bv!N28=0,".",((Ir*F*d_ss_Bv!N28*(1-EXP(-RadSpec!BC28*t_b)))/(P*RadSpec!BC28))),".")</f>
        <v>2.8597128609880828E-3</v>
      </c>
      <c r="O28" s="72">
        <f>IFERROR(IF(d_ss_Bv!O28=0,".",((Ir*F*d_ss_Bv!O28*(1-EXP(-RadSpec!BC28*t_b)))/(P*RadSpec!BC28))),".")</f>
        <v>2.8597128609880828E-3</v>
      </c>
      <c r="P28" s="72">
        <f>IFERROR(IF(d_ss_Bv!P28=0,".",((Ir*F*d_ss_Bv!P28*(1-EXP(-RadSpec!BC28*t_b)))/(P*RadSpec!BC28))),".")</f>
        <v>2.8597128609880828E-3</v>
      </c>
      <c r="Q28" s="72">
        <f>IFERROR(IF(d_ss_Bv!Q28=0,".",((Ir*F*d_ss_Bv!Q28*(1-EXP(-RadSpec!BC28*t_b)))/(P*RadSpec!BC28))),".")</f>
        <v>2.8597128609880828E-3</v>
      </c>
      <c r="R28" s="72">
        <f>IFERROR(IF(d_ss_Bv!R28=0,".",((Ir*F*d_ss_Bv!R28*(1-EXP(-RadSpec!BC28*t_b)))/(P*RadSpec!BC28))),".")</f>
        <v>2.8597128609880828E-3</v>
      </c>
      <c r="S28" s="72">
        <f>IFERROR(IF(d_ss_Bv!S28=0,".",((Ir*F*d_ss_Bv!S28*(1-EXP(-RadSpec!BC28*t_b)))/(P*RadSpec!BC28))),".")</f>
        <v>2.8597128609880828E-3</v>
      </c>
      <c r="T28" s="72">
        <f>IFERROR(IF(d_ss_Bv!T28=0,".",((Ir*F*d_ss_Bv!T28*(1-EXP(-RadSpec!BC28*t_b)))/(P*RadSpec!BC28))),".")</f>
        <v>2.8597128609880828E-3</v>
      </c>
      <c r="U28" s="72">
        <f>IFERROR(IF(d_ss_Bv!U28=0,".",((Ir*F*d_ss_Bv!U28*(1-EXP(-RadSpec!BC28*t_b)))/(P*RadSpec!BC28))),".")</f>
        <v>2.8597128609880828E-3</v>
      </c>
      <c r="V28" s="72">
        <f>IFERROR(IF(d_ss_Bv!V28=0,".",((Ir*F*d_ss_Bv!V28*(1-EXP(-RadSpec!BC28*t_b)))/(P*RadSpec!BC28))),".")</f>
        <v>2.8597128609880828E-3</v>
      </c>
      <c r="W28" s="72">
        <f>IFERROR(IF(d_ss_Bv!W28=0,".",((Ir*F*d_ss_Bv!W28*(1-EXP(-RadSpec!BC28*t_b)))/(P*RadSpec!BC28))),".")</f>
        <v>2.8597128609880828E-3</v>
      </c>
      <c r="X28" s="72">
        <f>IFERROR(IF(d_ss_Bv!X28=0,".",((Ir*F*d_ss_Bv!X28*(1-EXP(-RadSpec!BC28*t_b)))/(P*RadSpec!BC28))),".")</f>
        <v>2.8597128609880828E-3</v>
      </c>
      <c r="Y28" s="72">
        <f>IFERROR(IF(d_ss_Bv!Y28=0,".",((Ir*F*d_ss_Bv!Y28*(1-EXP(-RadSpec!BC28*t_b)))/(P*RadSpec!BC28))),".")</f>
        <v>7.1492821524702075</v>
      </c>
      <c r="Z28" s="72">
        <f>IFERROR(IF(d_ss_Bv!Z28=0,".",((Ir*F*d_ss_Bv!Z28*(1-EXP(-RadSpec!BC28*t_b)))/(P*RadSpec!BC28))),".")</f>
        <v>7.1492821524702075</v>
      </c>
      <c r="AA28" s="72">
        <f>IFERROR(IF(d_ss_Bv!C28=0,".",((Ir*F*MLF_apple*(1-EXP(-RadSpec!BC28*t_b)))/(P*RadSpec!BC28))),".")</f>
        <v>5.7194257219761657E-3</v>
      </c>
      <c r="AB28" s="72">
        <f>IFERROR(IF(d_ss_Bv!D28=0,".",((Ir*F*MLF_asparagus*(1-EXP(-RadSpec!BC28*t_b)))/(P*RadSpec!BC28))),".")</f>
        <v>2.8239664502257315E-3</v>
      </c>
      <c r="AC28" s="72">
        <f>IFERROR(IF(d_ss_Bv!E28=0,".",((Ir*F*MLF_beet*(1-EXP(-RadSpec!BC28*t_b)))/(P*RadSpec!BC28))),".")</f>
        <v>4.9330046852044422E-3</v>
      </c>
      <c r="AD28" s="72">
        <f>IFERROR(IF(d_ss_Bv!F28=0,".",((Ir*F*MLF_berries*(1-EXP(-RadSpec!BC28*t_b)))/(P*RadSpec!BC28))),".")</f>
        <v>5.9339041865502712E-3</v>
      </c>
      <c r="AE28" s="72">
        <f>IFERROR(IF(d_ss_Bv!G28=0,".",((Ir*F*MLF_broccoli*(1-EXP(-RadSpec!BC28*t_b)))/(P*RadSpec!BC28))),".")</f>
        <v>3.6103874869974538E-2</v>
      </c>
      <c r="AF28" s="72">
        <f>IFERROR(IF(d_ss_Bv!H28=0,".",((Ir*F*MLF_cabbage*(1-EXP(-RadSpec!BC28*t_b)))/(P*RadSpec!BC28))),".")</f>
        <v>3.7533731300468582E-3</v>
      </c>
      <c r="AG28" s="72">
        <f>IFERROR(IF(d_ss_Bv!I28=0,".",((Ir*F*MLF_carrot*(1-EXP(-RadSpec!BC28*t_b)))/(P*RadSpec!BC28))),".")</f>
        <v>3.4674018439480501E-3</v>
      </c>
      <c r="AH28" s="72">
        <f>IFERROR(IF(d_ss_Bv!J28=0,".",((Ir*F*MLF_citrus*(1-EXP(-RadSpec!BC28*t_b)))/(P*RadSpec!BC28))),".")</f>
        <v>5.6121864896891112E-3</v>
      </c>
      <c r="AI28" s="72">
        <f>IFERROR(IF(d_ss_Bv!K28=0,".",((Ir*F*MLF_corn*(1-EXP(-RadSpec!BC28*t_b)))/(P*RadSpec!BC28))),".")</f>
        <v>5.1832295605408994E-3</v>
      </c>
      <c r="AJ28" s="72">
        <f>IFERROR(IF(d_ss_Bv!L28=0,".",((Ir*F*MLF_cucumber*(1-EXP(-RadSpec!BC28*t_b)))/(P*RadSpec!BC28))),".")</f>
        <v>1.4298564304940414E-3</v>
      </c>
      <c r="AK28" s="72">
        <f>IFERROR(IF(d_ss_Bv!M28=0,".",((Ir*F*MLF_lettuce*(1-EXP(-RadSpec!BC28*t_b)))/(P*RadSpec!BC28))),".")</f>
        <v>0.48257654529173893</v>
      </c>
      <c r="AL28" s="72">
        <f>IFERROR(IF(d_ss_Bv!N28=0,".",((Ir*F*MLF_lima_bean*(1-EXP(-RadSpec!BC28*t_b)))/(P*RadSpec!BC28))),".")</f>
        <v>0.13690875321980447</v>
      </c>
      <c r="AM28" s="72">
        <f>IFERROR(IF(d_ss_Bv!O28=0,".",((Ir*F*MLF_okra*(1-EXP(-RadSpec!BC28*t_b)))/(P*RadSpec!BC28))),".")</f>
        <v>2.8597128609880828E-3</v>
      </c>
      <c r="AN28" s="72">
        <f>IFERROR(IF(d_ss_Bv!P28=0,".",((Ir*F*MLF_onion*(1-EXP(-RadSpec!BC28*t_b)))/(P*RadSpec!BC28))),".")</f>
        <v>3.4674018439480501E-3</v>
      </c>
      <c r="AO28" s="72">
        <f>IFERROR(IF(d_ss_Bv!Q28=0,".",((Ir*F*MLF_peach*(1-EXP(-RadSpec!BC28*t_b)))/(P*RadSpec!BC28))),".")</f>
        <v>5.361961614352654E-3</v>
      </c>
      <c r="AP28" s="72" t="str">
        <f>IFERROR(IF(d_ss_Bv!OI28=0,".",((Ir*F*MLF_pear*(1-EXP(-RadSpec!BC28*t_b)))/(P*RadSpec!BC28))),".")</f>
        <v>.</v>
      </c>
      <c r="AQ28" s="72">
        <f>IFERROR(IF(d_ss_Bv!S28=0,".",((Ir*F*MLF_peas*(1-EXP(-RadSpec!BC28*t_b)))/(P*RadSpec!BC28))),".")</f>
        <v>6.3628611156984829E-3</v>
      </c>
      <c r="AR28" s="72">
        <f>IFERROR(IF(d_ss_Bv!T28=0,".",((Ir*F*MLF_potato*(1-EXP(-RadSpec!BC28*t_b)))/(P*RadSpec!BC28))),".")</f>
        <v>7.5067462600937164E-3</v>
      </c>
      <c r="AS28" s="72">
        <f>IFERROR(IF(d_ss_Bv!U28=0,".",((Ir*F*MLF_pumpkin*(1-EXP(-RadSpec!BC28*t_b)))/(P*RadSpec!BC28))),".")</f>
        <v>2.0732918242163598E-3</v>
      </c>
      <c r="AT28" s="72">
        <f>IFERROR(IF(d_ss_Bv!V28=0,".",((Ir*F*MLF_snap_bean*(1-EXP(-RadSpec!BC28*t_b)))/(P*RadSpec!BC28))),".")</f>
        <v>0.17873205381175516</v>
      </c>
      <c r="AU28" s="72">
        <f>IFERROR(IF(d_ss_Bv!W28=0,".",((Ir*F*MLF_strawberry*(1-EXP(-RadSpec!BC28*t_b)))/(P*RadSpec!BC28))),".")</f>
        <v>2.8597128609880828E-3</v>
      </c>
      <c r="AV28" s="72">
        <f>IFERROR(IF(d_ss_Bv!X28=0,".",((Ir*F*MLF_tomato*(1-EXP(-RadSpec!BC28*t_b)))/(P*RadSpec!BC28))),".")</f>
        <v>5.6836793112138136E-2</v>
      </c>
      <c r="AW28" s="72">
        <f>IFERROR(IF(d_ss_Bv!Y28=0,".",((Ir*F*MLF_rice*(1-EXP(-RadSpec!BC28*t_b)))/(P*RadSpec!BC28))),".")</f>
        <v>8.9366026905877582</v>
      </c>
      <c r="AX28" s="72">
        <f>IFERROR(IF(d_ss_Bv!Z28=0,".",((Ir*F*MLF_cereal*(1-EXP(-RadSpec!BC28*t_b)))/(P*RadSpec!BC28))),".")</f>
        <v>8.9366026905877582</v>
      </c>
      <c r="AY28" s="72">
        <f>IFERROR(IF(d_ss_Bv!C28=0,".",((Ir*F*I_f*T*(1-EXP(-RadSpec!BD28*t_v)))/(Y_v*RadSpec!BD28))),".")</f>
        <v>3.6424203206347228</v>
      </c>
      <c r="AZ28" s="72">
        <f>IFERROR(IF(d_ss_Bv!D28=0,".",((Ir*F*I_f*T*(1-EXP(-RadSpec!BD28*t_v)))/(Y_v*RadSpec!BD28))),".")</f>
        <v>3.6424203206347228</v>
      </c>
      <c r="BA28" s="72">
        <f>IFERROR(IF(d_ss_Bv!E28=0,".",((Ir*F*I_f*T*(1-EXP(-RadSpec!BD28*t_v)))/(Y_v*RadSpec!BD28))),".")</f>
        <v>3.6424203206347228</v>
      </c>
      <c r="BB28" s="72">
        <f>IFERROR(IF(d_ss_Bv!F28=0,".",((Ir*F*I_f*T*(1-EXP(-RadSpec!BD28*t_v)))/(Y_v*RadSpec!BD28))),".")</f>
        <v>3.6424203206347228</v>
      </c>
      <c r="BC28" s="72">
        <f>IFERROR(IF(d_ss_Bv!G28=0,".",((Ir*F*I_f*T*(1-EXP(-RadSpec!BD28*t_v)))/(Y_v*RadSpec!BD28))),".")</f>
        <v>3.6424203206347228</v>
      </c>
      <c r="BD28" s="72">
        <f>IFERROR(IF(d_ss_Bv!H28=0,".",((Ir*F*I_f*T*(1-EXP(-RadSpec!BD28*t_v)))/(Y_v*RadSpec!BD28))),".")</f>
        <v>3.6424203206347228</v>
      </c>
      <c r="BE28" s="72">
        <f>IFERROR(IF(d_ss_Bv!I28=0,".",((Ir*F*I_f*T*(1-EXP(-RadSpec!BD28*t_v)))/(Y_v*RadSpec!BD28))),".")</f>
        <v>3.6424203206347228</v>
      </c>
      <c r="BF28" s="72">
        <f>IFERROR(IF(d_ss_Bv!J28=0,".",((Ir*F*I_f*T*(1-EXP(-RadSpec!BD28*t_v)))/(Y_v*RadSpec!BD28))),".")</f>
        <v>3.6424203206347228</v>
      </c>
      <c r="BG28" s="72">
        <f>IFERROR(IF(d_ss_Bv!K28=0,".",((Ir*F*I_f*T*(1-EXP(-RadSpec!BD28*t_v)))/(Y_v*RadSpec!BD28))),".")</f>
        <v>3.6424203206347228</v>
      </c>
      <c r="BH28" s="72">
        <f>IFERROR(IF(d_ss_Bv!L28=0,".",((Ir*F*I_f*T*(1-EXP(-RadSpec!BD28*t_v)))/(Y_v*RadSpec!BD28))),".")</f>
        <v>3.6424203206347228</v>
      </c>
      <c r="BI28" s="72">
        <f>IFERROR(IF(d_ss_Bv!M28=0,".",((Ir*F*I_f*T*(1-EXP(-RadSpec!BD28*t_v)))/(Y_v*RadSpec!BD28))),".")</f>
        <v>3.6424203206347228</v>
      </c>
      <c r="BJ28" s="72">
        <f>IFERROR(IF(d_ss_Bv!N28=0,".",((Ir*F*I_f*T*(1-EXP(-RadSpec!BD28*t_v)))/(Y_v*RadSpec!BD28))),".")</f>
        <v>3.6424203206347228</v>
      </c>
      <c r="BK28" s="72">
        <f>IFERROR(IF(d_ss_Bv!O28=0,".",((Ir*F*I_f*T*(1-EXP(-RadSpec!BD28*t_v)))/(Y_v*RadSpec!BD28))),".")</f>
        <v>3.6424203206347228</v>
      </c>
      <c r="BL28" s="72">
        <f>IFERROR(IF(d_ss_Bv!P28=0,".",((Ir*F*I_f*T*(1-EXP(-RadSpec!BD28*t_v)))/(Y_v*RadSpec!BD28))),".")</f>
        <v>3.6424203206347228</v>
      </c>
      <c r="BM28" s="72">
        <f>IFERROR(IF(d_ss_Bv!Q28=0,".",((Ir*F*I_f*T*(1-EXP(-RadSpec!BD28*t_v)))/(Y_v*RadSpec!BD28))),".")</f>
        <v>3.6424203206347228</v>
      </c>
      <c r="BN28" s="72">
        <f>IFERROR(IF(d_ss_Bv!R28=0,".",((Ir*F*I_f*T*(1-EXP(-RadSpec!BD28*t_v)))/(Y_v*RadSpec!BD28))),".")</f>
        <v>3.6424203206347228</v>
      </c>
      <c r="BO28" s="72">
        <f>IFERROR(IF(d_ss_Bv!S28=0,".",((Ir*F*I_f*T*(1-EXP(-RadSpec!BD28*t_v)))/(Y_v*RadSpec!BD28))),".")</f>
        <v>3.6424203206347228</v>
      </c>
      <c r="BP28" s="72">
        <f>IFERROR(IF(d_ss_Bv!T28=0,".",((Ir*F*I_f*T*(1-EXP(-RadSpec!BD28*t_v)))/(Y_v*RadSpec!BD28))),".")</f>
        <v>3.6424203206347228</v>
      </c>
      <c r="BQ28" s="72">
        <f>IFERROR(IF(d_ss_Bv!U28=0,".",((Ir*F*I_f*T*(1-EXP(-RadSpec!BD28*t_v)))/(Y_v*RadSpec!BD28))),".")</f>
        <v>3.6424203206347228</v>
      </c>
      <c r="BR28" s="72">
        <f>IFERROR(IF(d_ss_Bv!V28=0,".",((Ir*F*I_f*T*(1-EXP(-RadSpec!BD28*t_v)))/(Y_v*RadSpec!BD28))),".")</f>
        <v>3.6424203206347228</v>
      </c>
      <c r="BS28" s="72">
        <f>IFERROR(IF(d_ss_Bv!W28=0,".",((Ir*F*I_f*T*(1-EXP(-RadSpec!BD28*t_v)))/(Y_v*RadSpec!BD28))),".")</f>
        <v>3.6424203206347228</v>
      </c>
      <c r="BT28" s="72">
        <f>IFERROR(IF(d_ss_Bv!X28=0,".",((Ir*F*I_f*T*(1-EXP(-RadSpec!BD28*t_v)))/(Y_v*RadSpec!BD28))),".")</f>
        <v>3.6424203206347228</v>
      </c>
      <c r="BU28" s="72">
        <f>IFERROR(IF(d_ss_Bv!Y28=0,".",((Ir*F*I_f*T*(1-EXP(-RadSpec!BD28*t_v)))/(Y_v*RadSpec!BD28))),".")</f>
        <v>3.6424203206347228</v>
      </c>
      <c r="BV28" s="72">
        <f>IFERROR(IF(d_ss_Bv!Z28=0,".",((Ir*F*I_f*T*(1-EXP(-RadSpec!BD28*t_v)))/(Y_v*RadSpec!BD28))),".")</f>
        <v>3.6424203206347228</v>
      </c>
    </row>
    <row r="29" spans="1:74" x14ac:dyDescent="0.25">
      <c r="A29" s="31" t="s">
        <v>27</v>
      </c>
      <c r="B29" s="3" t="s">
        <v>1059</v>
      </c>
      <c r="C29" s="72">
        <f>IFERROR(IF(d_ss_Bv!C29=0,".",((Ir*F*d_ss_Bv!C29*(1-EXP(-RadSpec!BC29*t_b)))/(P*RadSpec!BC29))),".")</f>
        <v>2.8597128609880828E-3</v>
      </c>
      <c r="D29" s="72">
        <f>IFERROR(IF(d_ss_Bv!D29=0,".",((Ir*F*d_ss_Bv!D29*(1-EXP(-RadSpec!BC29*t_b)))/(P*RadSpec!BC29))),".")</f>
        <v>2.8597128609880826E-2</v>
      </c>
      <c r="E29" s="72">
        <f>IFERROR(IF(d_ss_Bv!E29=0,".",((Ir*F*d_ss_Bv!E29*(1-EXP(-RadSpec!BC29*t_b)))/(P*RadSpec!BC29))),".")</f>
        <v>2.8597128609880828E-3</v>
      </c>
      <c r="F29" s="72">
        <f>IFERROR(IF(d_ss_Bv!F29=0,".",((Ir*F*d_ss_Bv!F29*(1-EXP(-RadSpec!BC29*t_b)))/(P*RadSpec!BC29))),".")</f>
        <v>2.8597128609880828E-3</v>
      </c>
      <c r="G29" s="72">
        <f>IFERROR(IF(d_ss_Bv!G29=0,".",((Ir*F*d_ss_Bv!G29*(1-EXP(-RadSpec!BC29*t_b)))/(P*RadSpec!BC29))),".")</f>
        <v>2.8597128609880828E-3</v>
      </c>
      <c r="H29" s="72">
        <f>IFERROR(IF(d_ss_Bv!H29=0,".",((Ir*F*d_ss_Bv!H29*(1-EXP(-RadSpec!BC29*t_b)))/(P*RadSpec!BC29))),".")</f>
        <v>2.8597128609880826E-2</v>
      </c>
      <c r="I29" s="72">
        <f>IFERROR(IF(d_ss_Bv!I29=0,".",((Ir*F*d_ss_Bv!I29*(1-EXP(-RadSpec!BC29*t_b)))/(P*RadSpec!BC29))),".")</f>
        <v>2.8597128609880828E-3</v>
      </c>
      <c r="J29" s="72">
        <f>IFERROR(IF(d_ss_Bv!J29=0,".",((Ir*F*d_ss_Bv!J29*(1-EXP(-RadSpec!BC29*t_b)))/(P*RadSpec!BC29))),".")</f>
        <v>2.8597128609880828E-3</v>
      </c>
      <c r="K29" s="72">
        <f>IFERROR(IF(d_ss_Bv!K29=0,".",((Ir*F*d_ss_Bv!K29*(1-EXP(-RadSpec!BC29*t_b)))/(P*RadSpec!BC29))),".")</f>
        <v>2.8597128609880828E-3</v>
      </c>
      <c r="L29" s="72">
        <f>IFERROR(IF(d_ss_Bv!L29=0,".",((Ir*F*d_ss_Bv!L29*(1-EXP(-RadSpec!BC29*t_b)))/(P*RadSpec!BC29))),".")</f>
        <v>2.8597128609880828E-3</v>
      </c>
      <c r="M29" s="72">
        <f>IFERROR(IF(d_ss_Bv!M29=0,".",((Ir*F*d_ss_Bv!M29*(1-EXP(-RadSpec!BC29*t_b)))/(P*RadSpec!BC29))),".")</f>
        <v>2.8597128609880826E-2</v>
      </c>
      <c r="N29" s="72">
        <f>IFERROR(IF(d_ss_Bv!N29=0,".",((Ir*F*d_ss_Bv!N29*(1-EXP(-RadSpec!BC29*t_b)))/(P*RadSpec!BC29))),".")</f>
        <v>2.8597128609880828E-3</v>
      </c>
      <c r="O29" s="72">
        <f>IFERROR(IF(d_ss_Bv!O29=0,".",((Ir*F*d_ss_Bv!O29*(1-EXP(-RadSpec!BC29*t_b)))/(P*RadSpec!BC29))),".")</f>
        <v>2.8597128609880828E-3</v>
      </c>
      <c r="P29" s="72">
        <f>IFERROR(IF(d_ss_Bv!P29=0,".",((Ir*F*d_ss_Bv!P29*(1-EXP(-RadSpec!BC29*t_b)))/(P*RadSpec!BC29))),".")</f>
        <v>2.8597128609880828E-3</v>
      </c>
      <c r="Q29" s="72">
        <f>IFERROR(IF(d_ss_Bv!Q29=0,".",((Ir*F*d_ss_Bv!Q29*(1-EXP(-RadSpec!BC29*t_b)))/(P*RadSpec!BC29))),".")</f>
        <v>2.8597128609880828E-3</v>
      </c>
      <c r="R29" s="72">
        <f>IFERROR(IF(d_ss_Bv!R29=0,".",((Ir*F*d_ss_Bv!R29*(1-EXP(-RadSpec!BC29*t_b)))/(P*RadSpec!BC29))),".")</f>
        <v>2.8597128609880828E-3</v>
      </c>
      <c r="S29" s="72">
        <f>IFERROR(IF(d_ss_Bv!S29=0,".",((Ir*F*d_ss_Bv!S29*(1-EXP(-RadSpec!BC29*t_b)))/(P*RadSpec!BC29))),".")</f>
        <v>2.8597128609880828E-3</v>
      </c>
      <c r="T29" s="72">
        <f>IFERROR(IF(d_ss_Bv!T29=0,".",((Ir*F*d_ss_Bv!T29*(1-EXP(-RadSpec!BC29*t_b)))/(P*RadSpec!BC29))),".")</f>
        <v>2.8597128609880828E-3</v>
      </c>
      <c r="U29" s="72">
        <f>IFERROR(IF(d_ss_Bv!U29=0,".",((Ir*F*d_ss_Bv!U29*(1-EXP(-RadSpec!BC29*t_b)))/(P*RadSpec!BC29))),".")</f>
        <v>2.8597128609880828E-3</v>
      </c>
      <c r="V29" s="72">
        <f>IFERROR(IF(d_ss_Bv!V29=0,".",((Ir*F*d_ss_Bv!V29*(1-EXP(-RadSpec!BC29*t_b)))/(P*RadSpec!BC29))),".")</f>
        <v>2.8597128609880828E-3</v>
      </c>
      <c r="W29" s="72">
        <f>IFERROR(IF(d_ss_Bv!W29=0,".",((Ir*F*d_ss_Bv!W29*(1-EXP(-RadSpec!BC29*t_b)))/(P*RadSpec!BC29))),".")</f>
        <v>2.8597128609880828E-3</v>
      </c>
      <c r="X29" s="72">
        <f>IFERROR(IF(d_ss_Bv!X29=0,".",((Ir*F*d_ss_Bv!X29*(1-EXP(-RadSpec!BC29*t_b)))/(P*RadSpec!BC29))),".")</f>
        <v>2.8597128609880828E-3</v>
      </c>
      <c r="Y29" s="72">
        <f>IFERROR(IF(d_ss_Bv!Y29=0,".",((Ir*F*d_ss_Bv!Y29*(1-EXP(-RadSpec!BC29*t_b)))/(P*RadSpec!BC29))),".")</f>
        <v>7.1492821524702075</v>
      </c>
      <c r="Z29" s="72">
        <f>IFERROR(IF(d_ss_Bv!Z29=0,".",((Ir*F*d_ss_Bv!Z29*(1-EXP(-RadSpec!BC29*t_b)))/(P*RadSpec!BC29))),".")</f>
        <v>7.1492821524702075</v>
      </c>
      <c r="AA29" s="72">
        <f>IFERROR(IF(d_ss_Bv!C29=0,".",((Ir*F*MLF_apple*(1-EXP(-RadSpec!BC29*t_b)))/(P*RadSpec!BC29))),".")</f>
        <v>5.7194257219761657E-3</v>
      </c>
      <c r="AB29" s="72">
        <f>IFERROR(IF(d_ss_Bv!D29=0,".",((Ir*F*MLF_asparagus*(1-EXP(-RadSpec!BC29*t_b)))/(P*RadSpec!BC29))),".")</f>
        <v>2.8239664502257315E-3</v>
      </c>
      <c r="AC29" s="72">
        <f>IFERROR(IF(d_ss_Bv!E29=0,".",((Ir*F*MLF_beet*(1-EXP(-RadSpec!BC29*t_b)))/(P*RadSpec!BC29))),".")</f>
        <v>4.9330046852044422E-3</v>
      </c>
      <c r="AD29" s="72">
        <f>IFERROR(IF(d_ss_Bv!F29=0,".",((Ir*F*MLF_berries*(1-EXP(-RadSpec!BC29*t_b)))/(P*RadSpec!BC29))),".")</f>
        <v>5.9339041865502712E-3</v>
      </c>
      <c r="AE29" s="72">
        <f>IFERROR(IF(d_ss_Bv!G29=0,".",((Ir*F*MLF_broccoli*(1-EXP(-RadSpec!BC29*t_b)))/(P*RadSpec!BC29))),".")</f>
        <v>3.6103874869974538E-2</v>
      </c>
      <c r="AF29" s="72">
        <f>IFERROR(IF(d_ss_Bv!H29=0,".",((Ir*F*MLF_cabbage*(1-EXP(-RadSpec!BC29*t_b)))/(P*RadSpec!BC29))),".")</f>
        <v>3.7533731300468582E-3</v>
      </c>
      <c r="AG29" s="72">
        <f>IFERROR(IF(d_ss_Bv!I29=0,".",((Ir*F*MLF_carrot*(1-EXP(-RadSpec!BC29*t_b)))/(P*RadSpec!BC29))),".")</f>
        <v>3.4674018439480501E-3</v>
      </c>
      <c r="AH29" s="72">
        <f>IFERROR(IF(d_ss_Bv!J29=0,".",((Ir*F*MLF_citrus*(1-EXP(-RadSpec!BC29*t_b)))/(P*RadSpec!BC29))),".")</f>
        <v>5.6121864896891112E-3</v>
      </c>
      <c r="AI29" s="72">
        <f>IFERROR(IF(d_ss_Bv!K29=0,".",((Ir*F*MLF_corn*(1-EXP(-RadSpec!BC29*t_b)))/(P*RadSpec!BC29))),".")</f>
        <v>5.1832295605408994E-3</v>
      </c>
      <c r="AJ29" s="72">
        <f>IFERROR(IF(d_ss_Bv!L29=0,".",((Ir*F*MLF_cucumber*(1-EXP(-RadSpec!BC29*t_b)))/(P*RadSpec!BC29))),".")</f>
        <v>1.4298564304940414E-3</v>
      </c>
      <c r="AK29" s="72">
        <f>IFERROR(IF(d_ss_Bv!M29=0,".",((Ir*F*MLF_lettuce*(1-EXP(-RadSpec!BC29*t_b)))/(P*RadSpec!BC29))),".")</f>
        <v>0.48257654529173893</v>
      </c>
      <c r="AL29" s="72">
        <f>IFERROR(IF(d_ss_Bv!N29=0,".",((Ir*F*MLF_lima_bean*(1-EXP(-RadSpec!BC29*t_b)))/(P*RadSpec!BC29))),".")</f>
        <v>0.13690875321980447</v>
      </c>
      <c r="AM29" s="72">
        <f>IFERROR(IF(d_ss_Bv!O29=0,".",((Ir*F*MLF_okra*(1-EXP(-RadSpec!BC29*t_b)))/(P*RadSpec!BC29))),".")</f>
        <v>2.8597128609880828E-3</v>
      </c>
      <c r="AN29" s="72">
        <f>IFERROR(IF(d_ss_Bv!P29=0,".",((Ir*F*MLF_onion*(1-EXP(-RadSpec!BC29*t_b)))/(P*RadSpec!BC29))),".")</f>
        <v>3.4674018439480501E-3</v>
      </c>
      <c r="AO29" s="72">
        <f>IFERROR(IF(d_ss_Bv!Q29=0,".",((Ir*F*MLF_peach*(1-EXP(-RadSpec!BC29*t_b)))/(P*RadSpec!BC29))),".")</f>
        <v>5.361961614352654E-3</v>
      </c>
      <c r="AP29" s="72" t="str">
        <f>IFERROR(IF(d_ss_Bv!OI29=0,".",((Ir*F*MLF_pear*(1-EXP(-RadSpec!BC29*t_b)))/(P*RadSpec!BC29))),".")</f>
        <v>.</v>
      </c>
      <c r="AQ29" s="72">
        <f>IFERROR(IF(d_ss_Bv!S29=0,".",((Ir*F*MLF_peas*(1-EXP(-RadSpec!BC29*t_b)))/(P*RadSpec!BC29))),".")</f>
        <v>6.3628611156984829E-3</v>
      </c>
      <c r="AR29" s="72">
        <f>IFERROR(IF(d_ss_Bv!T29=0,".",((Ir*F*MLF_potato*(1-EXP(-RadSpec!BC29*t_b)))/(P*RadSpec!BC29))),".")</f>
        <v>7.5067462600937164E-3</v>
      </c>
      <c r="AS29" s="72">
        <f>IFERROR(IF(d_ss_Bv!U29=0,".",((Ir*F*MLF_pumpkin*(1-EXP(-RadSpec!BC29*t_b)))/(P*RadSpec!BC29))),".")</f>
        <v>2.0732918242163598E-3</v>
      </c>
      <c r="AT29" s="72">
        <f>IFERROR(IF(d_ss_Bv!V29=0,".",((Ir*F*MLF_snap_bean*(1-EXP(-RadSpec!BC29*t_b)))/(P*RadSpec!BC29))),".")</f>
        <v>0.17873205381175516</v>
      </c>
      <c r="AU29" s="72">
        <f>IFERROR(IF(d_ss_Bv!W29=0,".",((Ir*F*MLF_strawberry*(1-EXP(-RadSpec!BC29*t_b)))/(P*RadSpec!BC29))),".")</f>
        <v>2.8597128609880828E-3</v>
      </c>
      <c r="AV29" s="72">
        <f>IFERROR(IF(d_ss_Bv!X29=0,".",((Ir*F*MLF_tomato*(1-EXP(-RadSpec!BC29*t_b)))/(P*RadSpec!BC29))),".")</f>
        <v>5.6836793112138136E-2</v>
      </c>
      <c r="AW29" s="72">
        <f>IFERROR(IF(d_ss_Bv!Y29=0,".",((Ir*F*MLF_rice*(1-EXP(-RadSpec!BC29*t_b)))/(P*RadSpec!BC29))),".")</f>
        <v>8.9366026905877582</v>
      </c>
      <c r="AX29" s="72">
        <f>IFERROR(IF(d_ss_Bv!Z29=0,".",((Ir*F*MLF_cereal*(1-EXP(-RadSpec!BC29*t_b)))/(P*RadSpec!BC29))),".")</f>
        <v>8.9366026905877582</v>
      </c>
      <c r="AY29" s="72">
        <f>IFERROR(IF(d_ss_Bv!C29=0,".",((Ir*F*I_f*T*(1-EXP(-RadSpec!BD29*t_v)))/(Y_v*RadSpec!BD29))),".")</f>
        <v>3.6424203206347228</v>
      </c>
      <c r="AZ29" s="72">
        <f>IFERROR(IF(d_ss_Bv!D29=0,".",((Ir*F*I_f*T*(1-EXP(-RadSpec!BD29*t_v)))/(Y_v*RadSpec!BD29))),".")</f>
        <v>3.6424203206347228</v>
      </c>
      <c r="BA29" s="72">
        <f>IFERROR(IF(d_ss_Bv!E29=0,".",((Ir*F*I_f*T*(1-EXP(-RadSpec!BD29*t_v)))/(Y_v*RadSpec!BD29))),".")</f>
        <v>3.6424203206347228</v>
      </c>
      <c r="BB29" s="72">
        <f>IFERROR(IF(d_ss_Bv!F29=0,".",((Ir*F*I_f*T*(1-EXP(-RadSpec!BD29*t_v)))/(Y_v*RadSpec!BD29))),".")</f>
        <v>3.6424203206347228</v>
      </c>
      <c r="BC29" s="72">
        <f>IFERROR(IF(d_ss_Bv!G29=0,".",((Ir*F*I_f*T*(1-EXP(-RadSpec!BD29*t_v)))/(Y_v*RadSpec!BD29))),".")</f>
        <v>3.6424203206347228</v>
      </c>
      <c r="BD29" s="72">
        <f>IFERROR(IF(d_ss_Bv!H29=0,".",((Ir*F*I_f*T*(1-EXP(-RadSpec!BD29*t_v)))/(Y_v*RadSpec!BD29))),".")</f>
        <v>3.6424203206347228</v>
      </c>
      <c r="BE29" s="72">
        <f>IFERROR(IF(d_ss_Bv!I29=0,".",((Ir*F*I_f*T*(1-EXP(-RadSpec!BD29*t_v)))/(Y_v*RadSpec!BD29))),".")</f>
        <v>3.6424203206347228</v>
      </c>
      <c r="BF29" s="72">
        <f>IFERROR(IF(d_ss_Bv!J29=0,".",((Ir*F*I_f*T*(1-EXP(-RadSpec!BD29*t_v)))/(Y_v*RadSpec!BD29))),".")</f>
        <v>3.6424203206347228</v>
      </c>
      <c r="BG29" s="72">
        <f>IFERROR(IF(d_ss_Bv!K29=0,".",((Ir*F*I_f*T*(1-EXP(-RadSpec!BD29*t_v)))/(Y_v*RadSpec!BD29))),".")</f>
        <v>3.6424203206347228</v>
      </c>
      <c r="BH29" s="72">
        <f>IFERROR(IF(d_ss_Bv!L29=0,".",((Ir*F*I_f*T*(1-EXP(-RadSpec!BD29*t_v)))/(Y_v*RadSpec!BD29))),".")</f>
        <v>3.6424203206347228</v>
      </c>
      <c r="BI29" s="72">
        <f>IFERROR(IF(d_ss_Bv!M29=0,".",((Ir*F*I_f*T*(1-EXP(-RadSpec!BD29*t_v)))/(Y_v*RadSpec!BD29))),".")</f>
        <v>3.6424203206347228</v>
      </c>
      <c r="BJ29" s="72">
        <f>IFERROR(IF(d_ss_Bv!N29=0,".",((Ir*F*I_f*T*(1-EXP(-RadSpec!BD29*t_v)))/(Y_v*RadSpec!BD29))),".")</f>
        <v>3.6424203206347228</v>
      </c>
      <c r="BK29" s="72">
        <f>IFERROR(IF(d_ss_Bv!O29=0,".",((Ir*F*I_f*T*(1-EXP(-RadSpec!BD29*t_v)))/(Y_v*RadSpec!BD29))),".")</f>
        <v>3.6424203206347228</v>
      </c>
      <c r="BL29" s="72">
        <f>IFERROR(IF(d_ss_Bv!P29=0,".",((Ir*F*I_f*T*(1-EXP(-RadSpec!BD29*t_v)))/(Y_v*RadSpec!BD29))),".")</f>
        <v>3.6424203206347228</v>
      </c>
      <c r="BM29" s="72">
        <f>IFERROR(IF(d_ss_Bv!Q29=0,".",((Ir*F*I_f*T*(1-EXP(-RadSpec!BD29*t_v)))/(Y_v*RadSpec!BD29))),".")</f>
        <v>3.6424203206347228</v>
      </c>
      <c r="BN29" s="72">
        <f>IFERROR(IF(d_ss_Bv!R29=0,".",((Ir*F*I_f*T*(1-EXP(-RadSpec!BD29*t_v)))/(Y_v*RadSpec!BD29))),".")</f>
        <v>3.6424203206347228</v>
      </c>
      <c r="BO29" s="72">
        <f>IFERROR(IF(d_ss_Bv!S29=0,".",((Ir*F*I_f*T*(1-EXP(-RadSpec!BD29*t_v)))/(Y_v*RadSpec!BD29))),".")</f>
        <v>3.6424203206347228</v>
      </c>
      <c r="BP29" s="72">
        <f>IFERROR(IF(d_ss_Bv!T29=0,".",((Ir*F*I_f*T*(1-EXP(-RadSpec!BD29*t_v)))/(Y_v*RadSpec!BD29))),".")</f>
        <v>3.6424203206347228</v>
      </c>
      <c r="BQ29" s="72">
        <f>IFERROR(IF(d_ss_Bv!U29=0,".",((Ir*F*I_f*T*(1-EXP(-RadSpec!BD29*t_v)))/(Y_v*RadSpec!BD29))),".")</f>
        <v>3.6424203206347228</v>
      </c>
      <c r="BR29" s="72">
        <f>IFERROR(IF(d_ss_Bv!V29=0,".",((Ir*F*I_f*T*(1-EXP(-RadSpec!BD29*t_v)))/(Y_v*RadSpec!BD29))),".")</f>
        <v>3.6424203206347228</v>
      </c>
      <c r="BS29" s="72">
        <f>IFERROR(IF(d_ss_Bv!W29=0,".",((Ir*F*I_f*T*(1-EXP(-RadSpec!BD29*t_v)))/(Y_v*RadSpec!BD29))),".")</f>
        <v>3.6424203206347228</v>
      </c>
      <c r="BT29" s="72">
        <f>IFERROR(IF(d_ss_Bv!X29=0,".",((Ir*F*I_f*T*(1-EXP(-RadSpec!BD29*t_v)))/(Y_v*RadSpec!BD29))),".")</f>
        <v>3.6424203206347228</v>
      </c>
      <c r="BU29" s="72">
        <f>IFERROR(IF(d_ss_Bv!Y29=0,".",((Ir*F*I_f*T*(1-EXP(-RadSpec!BD29*t_v)))/(Y_v*RadSpec!BD29))),".")</f>
        <v>3.6424203206347228</v>
      </c>
      <c r="BV29" s="72">
        <f>IFERROR(IF(d_ss_Bv!Z29=0,".",((Ir*F*I_f*T*(1-EXP(-RadSpec!BD29*t_v)))/(Y_v*RadSpec!BD29))),".")</f>
        <v>3.6424203206347228</v>
      </c>
    </row>
    <row r="30" spans="1:74" x14ac:dyDescent="0.25">
      <c r="A30" s="31" t="s">
        <v>28</v>
      </c>
      <c r="B30" s="3" t="s">
        <v>1059</v>
      </c>
      <c r="C30" s="72">
        <f>IFERROR(IF(d_ss_Bv!C30=0,".",((Ir*F*d_ss_Bv!C30*(1-EXP(-RadSpec!BC30*t_b)))/(P*RadSpec!BC30))),".")</f>
        <v>3.5746410762351036E-2</v>
      </c>
      <c r="D30" s="72">
        <f>IFERROR(IF(d_ss_Bv!D30=0,".",((Ir*F*d_ss_Bv!D30*(1-EXP(-RadSpec!BC30*t_b)))/(P*RadSpec!BC30))),".")</f>
        <v>0.71492821524702066</v>
      </c>
      <c r="E30" s="72">
        <f>IFERROR(IF(d_ss_Bv!E30=0,".",((Ir*F*d_ss_Bv!E30*(1-EXP(-RadSpec!BC30*t_b)))/(P*RadSpec!BC30))),".")</f>
        <v>0.30026985040374859</v>
      </c>
      <c r="F30" s="72">
        <f>IFERROR(IF(d_ss_Bv!F30=0,".",((Ir*F*d_ss_Bv!F30*(1-EXP(-RadSpec!BC30*t_b)))/(P*RadSpec!BC30))),".")</f>
        <v>3.5746410762351036E-2</v>
      </c>
      <c r="G30" s="72">
        <f>IFERROR(IF(d_ss_Bv!G30=0,".",((Ir*F*d_ss_Bv!G30*(1-EXP(-RadSpec!BC30*t_b)))/(P*RadSpec!BC30))),".")</f>
        <v>0.53619616143526549</v>
      </c>
      <c r="H30" s="72">
        <f>IFERROR(IF(d_ss_Bv!H30=0,".",((Ir*F*d_ss_Bv!H30*(1-EXP(-RadSpec!BC30*t_b)))/(P*RadSpec!BC30))),".")</f>
        <v>0.71492821524702066</v>
      </c>
      <c r="I30" s="72">
        <f>IFERROR(IF(d_ss_Bv!I30=0,".",((Ir*F*d_ss_Bv!I30*(1-EXP(-RadSpec!BC30*t_b)))/(P*RadSpec!BC30))),".")</f>
        <v>0.30026985040374859</v>
      </c>
      <c r="J30" s="72">
        <f>IFERROR(IF(d_ss_Bv!J30=0,".",((Ir*F*d_ss_Bv!J30*(1-EXP(-RadSpec!BC30*t_b)))/(P*RadSpec!BC30))),".")</f>
        <v>3.5746410762351036E-2</v>
      </c>
      <c r="K30" s="72">
        <f>IFERROR(IF(d_ss_Bv!K30=0,".",((Ir*F*d_ss_Bv!K30*(1-EXP(-RadSpec!BC30*t_b)))/(P*RadSpec!BC30))),".")</f>
        <v>0.53619616143526549</v>
      </c>
      <c r="L30" s="72">
        <f>IFERROR(IF(d_ss_Bv!L30=0,".",((Ir*F*d_ss_Bv!L30*(1-EXP(-RadSpec!BC30*t_b)))/(P*RadSpec!BC30))),".")</f>
        <v>0.53619616143526549</v>
      </c>
      <c r="M30" s="72">
        <f>IFERROR(IF(d_ss_Bv!M30=0,".",((Ir*F*d_ss_Bv!M30*(1-EXP(-RadSpec!BC30*t_b)))/(P*RadSpec!BC30))),".")</f>
        <v>0.71492821524702066</v>
      </c>
      <c r="N30" s="72">
        <f>IFERROR(IF(d_ss_Bv!N30=0,".",((Ir*F*d_ss_Bv!N30*(1-EXP(-RadSpec!BC30*t_b)))/(P*RadSpec!BC30))),".")</f>
        <v>7.8642103677172268E-2</v>
      </c>
      <c r="O30" s="72">
        <f>IFERROR(IF(d_ss_Bv!O30=0,".",((Ir*F*d_ss_Bv!O30*(1-EXP(-RadSpec!BC30*t_b)))/(P*RadSpec!BC30))),".")</f>
        <v>0.53619616143526549</v>
      </c>
      <c r="P30" s="72">
        <f>IFERROR(IF(d_ss_Bv!P30=0,".",((Ir*F*d_ss_Bv!P30*(1-EXP(-RadSpec!BC30*t_b)))/(P*RadSpec!BC30))),".")</f>
        <v>0.53619616143526549</v>
      </c>
      <c r="Q30" s="72">
        <f>IFERROR(IF(d_ss_Bv!Q30=0,".",((Ir*F*d_ss_Bv!Q30*(1-EXP(-RadSpec!BC30*t_b)))/(P*RadSpec!BC30))),".")</f>
        <v>3.5746410762351036E-2</v>
      </c>
      <c r="R30" s="72">
        <f>IFERROR(IF(d_ss_Bv!R30=0,".",((Ir*F*d_ss_Bv!R30*(1-EXP(-RadSpec!BC30*t_b)))/(P*RadSpec!BC30))),".")</f>
        <v>3.5746410762351036E-2</v>
      </c>
      <c r="S30" s="72">
        <f>IFERROR(IF(d_ss_Bv!S30=0,".",((Ir*F*d_ss_Bv!S30*(1-EXP(-RadSpec!BC30*t_b)))/(P*RadSpec!BC30))),".")</f>
        <v>7.8642103677172268E-2</v>
      </c>
      <c r="T30" s="72">
        <f>IFERROR(IF(d_ss_Bv!T30=0,".",((Ir*F*d_ss_Bv!T30*(1-EXP(-RadSpec!BC30*t_b)))/(P*RadSpec!BC30))),".")</f>
        <v>0.17873205381175516</v>
      </c>
      <c r="U30" s="72">
        <f>IFERROR(IF(d_ss_Bv!U30=0,".",((Ir*F*d_ss_Bv!U30*(1-EXP(-RadSpec!BC30*t_b)))/(P*RadSpec!BC30))),".")</f>
        <v>0.53619616143526549</v>
      </c>
      <c r="V30" s="72">
        <f>IFERROR(IF(d_ss_Bv!V30=0,".",((Ir*F*d_ss_Bv!V30*(1-EXP(-RadSpec!BC30*t_b)))/(P*RadSpec!BC30))),".")</f>
        <v>7.8642103677172268E-2</v>
      </c>
      <c r="W30" s="72">
        <f>IFERROR(IF(d_ss_Bv!W30=0,".",((Ir*F*d_ss_Bv!W30*(1-EXP(-RadSpec!BC30*t_b)))/(P*RadSpec!BC30))),".")</f>
        <v>3.5746410762351036E-2</v>
      </c>
      <c r="X30" s="72">
        <f>IFERROR(IF(d_ss_Bv!X30=0,".",((Ir*F*d_ss_Bv!X30*(1-EXP(-RadSpec!BC30*t_b)))/(P*RadSpec!BC30))),".")</f>
        <v>0.53619616143526549</v>
      </c>
      <c r="Y30" s="72">
        <f>IFERROR(IF(d_ss_Bv!Y30=0,".",((Ir*F*d_ss_Bv!Y30*(1-EXP(-RadSpec!BC30*t_b)))/(P*RadSpec!BC30))),".")</f>
        <v>8.6863778152513008E-3</v>
      </c>
      <c r="Z30" s="72">
        <f>IFERROR(IF(d_ss_Bv!Z30=0,".",((Ir*F*d_ss_Bv!Z30*(1-EXP(-RadSpec!BC30*t_b)))/(P*RadSpec!BC30))),".")</f>
        <v>0.22162774672657637</v>
      </c>
      <c r="AA30" s="72">
        <f>IFERROR(IF(d_ss_Bv!C30=0,".",((Ir*F*MLF_apple*(1-EXP(-RadSpec!BC30*t_b)))/(P*RadSpec!BC30))),".")</f>
        <v>5.7194257219761657E-3</v>
      </c>
      <c r="AB30" s="72">
        <f>IFERROR(IF(d_ss_Bv!D30=0,".",((Ir*F*MLF_asparagus*(1-EXP(-RadSpec!BC30*t_b)))/(P*RadSpec!BC30))),".")</f>
        <v>2.8239664502257315E-3</v>
      </c>
      <c r="AC30" s="72">
        <f>IFERROR(IF(d_ss_Bv!E30=0,".",((Ir*F*MLF_beet*(1-EXP(-RadSpec!BC30*t_b)))/(P*RadSpec!BC30))),".")</f>
        <v>4.9330046852044422E-3</v>
      </c>
      <c r="AD30" s="72">
        <f>IFERROR(IF(d_ss_Bv!F30=0,".",((Ir*F*MLF_berries*(1-EXP(-RadSpec!BC30*t_b)))/(P*RadSpec!BC30))),".")</f>
        <v>5.9339041865502712E-3</v>
      </c>
      <c r="AE30" s="72">
        <f>IFERROR(IF(d_ss_Bv!G30=0,".",((Ir*F*MLF_broccoli*(1-EXP(-RadSpec!BC30*t_b)))/(P*RadSpec!BC30))),".")</f>
        <v>3.6103874869974538E-2</v>
      </c>
      <c r="AF30" s="72">
        <f>IFERROR(IF(d_ss_Bv!H30=0,".",((Ir*F*MLF_cabbage*(1-EXP(-RadSpec!BC30*t_b)))/(P*RadSpec!BC30))),".")</f>
        <v>3.7533731300468582E-3</v>
      </c>
      <c r="AG30" s="72">
        <f>IFERROR(IF(d_ss_Bv!I30=0,".",((Ir*F*MLF_carrot*(1-EXP(-RadSpec!BC30*t_b)))/(P*RadSpec!BC30))),".")</f>
        <v>3.4674018439480501E-3</v>
      </c>
      <c r="AH30" s="72">
        <f>IFERROR(IF(d_ss_Bv!J30=0,".",((Ir*F*MLF_citrus*(1-EXP(-RadSpec!BC30*t_b)))/(P*RadSpec!BC30))),".")</f>
        <v>5.6121864896891112E-3</v>
      </c>
      <c r="AI30" s="72">
        <f>IFERROR(IF(d_ss_Bv!K30=0,".",((Ir*F*MLF_corn*(1-EXP(-RadSpec!BC30*t_b)))/(P*RadSpec!BC30))),".")</f>
        <v>5.1832295605408994E-3</v>
      </c>
      <c r="AJ30" s="72">
        <f>IFERROR(IF(d_ss_Bv!L30=0,".",((Ir*F*MLF_cucumber*(1-EXP(-RadSpec!BC30*t_b)))/(P*RadSpec!BC30))),".")</f>
        <v>1.4298564304940414E-3</v>
      </c>
      <c r="AK30" s="72">
        <f>IFERROR(IF(d_ss_Bv!M30=0,".",((Ir*F*MLF_lettuce*(1-EXP(-RadSpec!BC30*t_b)))/(P*RadSpec!BC30))),".")</f>
        <v>0.48257654529173893</v>
      </c>
      <c r="AL30" s="72">
        <f>IFERROR(IF(d_ss_Bv!N30=0,".",((Ir*F*MLF_lima_bean*(1-EXP(-RadSpec!BC30*t_b)))/(P*RadSpec!BC30))),".")</f>
        <v>0.13690875321980447</v>
      </c>
      <c r="AM30" s="72">
        <f>IFERROR(IF(d_ss_Bv!O30=0,".",((Ir*F*MLF_okra*(1-EXP(-RadSpec!BC30*t_b)))/(P*RadSpec!BC30))),".")</f>
        <v>2.8597128609880828E-3</v>
      </c>
      <c r="AN30" s="72">
        <f>IFERROR(IF(d_ss_Bv!P30=0,".",((Ir*F*MLF_onion*(1-EXP(-RadSpec!BC30*t_b)))/(P*RadSpec!BC30))),".")</f>
        <v>3.4674018439480501E-3</v>
      </c>
      <c r="AO30" s="72">
        <f>IFERROR(IF(d_ss_Bv!Q30=0,".",((Ir*F*MLF_peach*(1-EXP(-RadSpec!BC30*t_b)))/(P*RadSpec!BC30))),".")</f>
        <v>5.361961614352654E-3</v>
      </c>
      <c r="AP30" s="72" t="str">
        <f>IFERROR(IF(d_ss_Bv!OI30=0,".",((Ir*F*MLF_pear*(1-EXP(-RadSpec!BC30*t_b)))/(P*RadSpec!BC30))),".")</f>
        <v>.</v>
      </c>
      <c r="AQ30" s="72">
        <f>IFERROR(IF(d_ss_Bv!S30=0,".",((Ir*F*MLF_peas*(1-EXP(-RadSpec!BC30*t_b)))/(P*RadSpec!BC30))),".")</f>
        <v>6.3628611156984829E-3</v>
      </c>
      <c r="AR30" s="72">
        <f>IFERROR(IF(d_ss_Bv!T30=0,".",((Ir*F*MLF_potato*(1-EXP(-RadSpec!BC30*t_b)))/(P*RadSpec!BC30))),".")</f>
        <v>7.5067462600937164E-3</v>
      </c>
      <c r="AS30" s="72">
        <f>IFERROR(IF(d_ss_Bv!U30=0,".",((Ir*F*MLF_pumpkin*(1-EXP(-RadSpec!BC30*t_b)))/(P*RadSpec!BC30))),".")</f>
        <v>2.0732918242163598E-3</v>
      </c>
      <c r="AT30" s="72">
        <f>IFERROR(IF(d_ss_Bv!V30=0,".",((Ir*F*MLF_snap_bean*(1-EXP(-RadSpec!BC30*t_b)))/(P*RadSpec!BC30))),".")</f>
        <v>0.17873205381175516</v>
      </c>
      <c r="AU30" s="72">
        <f>IFERROR(IF(d_ss_Bv!W30=0,".",((Ir*F*MLF_strawberry*(1-EXP(-RadSpec!BC30*t_b)))/(P*RadSpec!BC30))),".")</f>
        <v>2.8597128609880828E-3</v>
      </c>
      <c r="AV30" s="72">
        <f>IFERROR(IF(d_ss_Bv!X30=0,".",((Ir*F*MLF_tomato*(1-EXP(-RadSpec!BC30*t_b)))/(P*RadSpec!BC30))),".")</f>
        <v>5.6836793112138136E-2</v>
      </c>
      <c r="AW30" s="72">
        <f>IFERROR(IF(d_ss_Bv!Y30=0,".",((Ir*F*MLF_rice*(1-EXP(-RadSpec!BC30*t_b)))/(P*RadSpec!BC30))),".")</f>
        <v>8.9366026905877582</v>
      </c>
      <c r="AX30" s="72">
        <f>IFERROR(IF(d_ss_Bv!Z30=0,".",((Ir*F*MLF_cereal*(1-EXP(-RadSpec!BC30*t_b)))/(P*RadSpec!BC30))),".")</f>
        <v>8.9366026905877582</v>
      </c>
      <c r="AY30" s="72">
        <f>IFERROR(IF(d_ss_Bv!C30=0,".",((Ir*F*I_f*T*(1-EXP(-RadSpec!BD30*t_v)))/(Y_v*RadSpec!BD30))),".")</f>
        <v>3.6424203206347228</v>
      </c>
      <c r="AZ30" s="72">
        <f>IFERROR(IF(d_ss_Bv!D30=0,".",((Ir*F*I_f*T*(1-EXP(-RadSpec!BD30*t_v)))/(Y_v*RadSpec!BD30))),".")</f>
        <v>3.6424203206347228</v>
      </c>
      <c r="BA30" s="72">
        <f>IFERROR(IF(d_ss_Bv!E30=0,".",((Ir*F*I_f*T*(1-EXP(-RadSpec!BD30*t_v)))/(Y_v*RadSpec!BD30))),".")</f>
        <v>3.6424203206347228</v>
      </c>
      <c r="BB30" s="72">
        <f>IFERROR(IF(d_ss_Bv!F30=0,".",((Ir*F*I_f*T*(1-EXP(-RadSpec!BD30*t_v)))/(Y_v*RadSpec!BD30))),".")</f>
        <v>3.6424203206347228</v>
      </c>
      <c r="BC30" s="72">
        <f>IFERROR(IF(d_ss_Bv!G30=0,".",((Ir*F*I_f*T*(1-EXP(-RadSpec!BD30*t_v)))/(Y_v*RadSpec!BD30))),".")</f>
        <v>3.6424203206347228</v>
      </c>
      <c r="BD30" s="72">
        <f>IFERROR(IF(d_ss_Bv!H30=0,".",((Ir*F*I_f*T*(1-EXP(-RadSpec!BD30*t_v)))/(Y_v*RadSpec!BD30))),".")</f>
        <v>3.6424203206347228</v>
      </c>
      <c r="BE30" s="72">
        <f>IFERROR(IF(d_ss_Bv!I30=0,".",((Ir*F*I_f*T*(1-EXP(-RadSpec!BD30*t_v)))/(Y_v*RadSpec!BD30))),".")</f>
        <v>3.6424203206347228</v>
      </c>
      <c r="BF30" s="72">
        <f>IFERROR(IF(d_ss_Bv!J30=0,".",((Ir*F*I_f*T*(1-EXP(-RadSpec!BD30*t_v)))/(Y_v*RadSpec!BD30))),".")</f>
        <v>3.6424203206347228</v>
      </c>
      <c r="BG30" s="72">
        <f>IFERROR(IF(d_ss_Bv!K30=0,".",((Ir*F*I_f*T*(1-EXP(-RadSpec!BD30*t_v)))/(Y_v*RadSpec!BD30))),".")</f>
        <v>3.6424203206347228</v>
      </c>
      <c r="BH30" s="72">
        <f>IFERROR(IF(d_ss_Bv!L30=0,".",((Ir*F*I_f*T*(1-EXP(-RadSpec!BD30*t_v)))/(Y_v*RadSpec!BD30))),".")</f>
        <v>3.6424203206347228</v>
      </c>
      <c r="BI30" s="72">
        <f>IFERROR(IF(d_ss_Bv!M30=0,".",((Ir*F*I_f*T*(1-EXP(-RadSpec!BD30*t_v)))/(Y_v*RadSpec!BD30))),".")</f>
        <v>3.6424203206347228</v>
      </c>
      <c r="BJ30" s="72">
        <f>IFERROR(IF(d_ss_Bv!N30=0,".",((Ir*F*I_f*T*(1-EXP(-RadSpec!BD30*t_v)))/(Y_v*RadSpec!BD30))),".")</f>
        <v>3.6424203206347228</v>
      </c>
      <c r="BK30" s="72">
        <f>IFERROR(IF(d_ss_Bv!O30=0,".",((Ir*F*I_f*T*(1-EXP(-RadSpec!BD30*t_v)))/(Y_v*RadSpec!BD30))),".")</f>
        <v>3.6424203206347228</v>
      </c>
      <c r="BL30" s="72">
        <f>IFERROR(IF(d_ss_Bv!P30=0,".",((Ir*F*I_f*T*(1-EXP(-RadSpec!BD30*t_v)))/(Y_v*RadSpec!BD30))),".")</f>
        <v>3.6424203206347228</v>
      </c>
      <c r="BM30" s="72">
        <f>IFERROR(IF(d_ss_Bv!Q30=0,".",((Ir*F*I_f*T*(1-EXP(-RadSpec!BD30*t_v)))/(Y_v*RadSpec!BD30))),".")</f>
        <v>3.6424203206347228</v>
      </c>
      <c r="BN30" s="72">
        <f>IFERROR(IF(d_ss_Bv!R30=0,".",((Ir*F*I_f*T*(1-EXP(-RadSpec!BD30*t_v)))/(Y_v*RadSpec!BD30))),".")</f>
        <v>3.6424203206347228</v>
      </c>
      <c r="BO30" s="72">
        <f>IFERROR(IF(d_ss_Bv!S30=0,".",((Ir*F*I_f*T*(1-EXP(-RadSpec!BD30*t_v)))/(Y_v*RadSpec!BD30))),".")</f>
        <v>3.6424203206347228</v>
      </c>
      <c r="BP30" s="72">
        <f>IFERROR(IF(d_ss_Bv!T30=0,".",((Ir*F*I_f*T*(1-EXP(-RadSpec!BD30*t_v)))/(Y_v*RadSpec!BD30))),".")</f>
        <v>3.6424203206347228</v>
      </c>
      <c r="BQ30" s="72">
        <f>IFERROR(IF(d_ss_Bv!U30=0,".",((Ir*F*I_f*T*(1-EXP(-RadSpec!BD30*t_v)))/(Y_v*RadSpec!BD30))),".")</f>
        <v>3.6424203206347228</v>
      </c>
      <c r="BR30" s="72">
        <f>IFERROR(IF(d_ss_Bv!V30=0,".",((Ir*F*I_f*T*(1-EXP(-RadSpec!BD30*t_v)))/(Y_v*RadSpec!BD30))),".")</f>
        <v>3.6424203206347228</v>
      </c>
      <c r="BS30" s="72">
        <f>IFERROR(IF(d_ss_Bv!W30=0,".",((Ir*F*I_f*T*(1-EXP(-RadSpec!BD30*t_v)))/(Y_v*RadSpec!BD30))),".")</f>
        <v>3.6424203206347228</v>
      </c>
      <c r="BT30" s="72">
        <f>IFERROR(IF(d_ss_Bv!X30=0,".",((Ir*F*I_f*T*(1-EXP(-RadSpec!BD30*t_v)))/(Y_v*RadSpec!BD30))),".")</f>
        <v>3.6424203206347228</v>
      </c>
      <c r="BU30" s="72">
        <f>IFERROR(IF(d_ss_Bv!Y30=0,".",((Ir*F*I_f*T*(1-EXP(-RadSpec!BD30*t_v)))/(Y_v*RadSpec!BD30))),".")</f>
        <v>3.6424203206347228</v>
      </c>
      <c r="BV30" s="72">
        <f>IFERROR(IF(d_ss_Bv!Z30=0,".",((Ir*F*I_f*T*(1-EXP(-RadSpec!BD30*t_v)))/(Y_v*RadSpec!BD30))),".")</f>
        <v>3.6424203206347228</v>
      </c>
    </row>
  </sheetData>
  <sheetProtection algorithmName="SHA-512" hashValue="0RWuAbcFx9nXwCsnq1xG5ATPzT7HDRHCWladh8EDZndsLHMndP8b1nqQ0coUKqC1skMnxQujN85j9xOWaPqnEQ==" saltValue="hULrEonYji+G/I6zg+2Qjw==" spinCount="100000" sheet="1" objects="1" scenarios="1" formatColumns="0" formatRows="0" autoFilter="0"/>
  <autoFilter ref="A1:BV30" xr:uid="{BCB2813E-7C2A-4EA1-A4A1-27D0CB95114D}"/>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Z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 defaultRowHeight="15" x14ac:dyDescent="0.25"/>
  <cols>
    <col min="1" max="1" width="14.5703125" style="47" bestFit="1" customWidth="1"/>
    <col min="2" max="2" width="11.7109375" style="47" bestFit="1" customWidth="1"/>
    <col min="3" max="3" width="17.140625" style="47" bestFit="1" customWidth="1"/>
    <col min="4" max="4" width="11" style="49" bestFit="1" customWidth="1"/>
    <col min="5" max="5" width="10.85546875" style="49" bestFit="1" customWidth="1"/>
    <col min="6" max="6" width="10.140625" style="49" bestFit="1" customWidth="1"/>
    <col min="7" max="7" width="10.85546875" style="49" bestFit="1" customWidth="1"/>
    <col min="8" max="8" width="10.140625" style="49" bestFit="1" customWidth="1"/>
    <col min="9" max="9" width="10.28515625" style="49" bestFit="1" customWidth="1"/>
    <col min="10" max="10" width="9.5703125" style="49" bestFit="1" customWidth="1"/>
    <col min="11" max="11" width="11" style="49" bestFit="1" customWidth="1"/>
    <col min="12" max="12" width="10.140625" style="49" bestFit="1" customWidth="1"/>
    <col min="13" max="13" width="11.85546875" style="49" bestFit="1" customWidth="1"/>
    <col min="14" max="14" width="9.28515625" style="49" bestFit="1" customWidth="1"/>
    <col min="15" max="16" width="10" style="49" bestFit="1" customWidth="1"/>
    <col min="17" max="17" width="11.140625" style="49" bestFit="1" customWidth="1"/>
    <col min="18" max="18" width="11.28515625" style="49" bestFit="1" customWidth="1"/>
    <col min="19" max="19" width="10.140625" style="49" bestFit="1" customWidth="1"/>
    <col min="20" max="20" width="9.42578125" style="49" bestFit="1" customWidth="1"/>
    <col min="21" max="21" width="10.85546875" style="49" bestFit="1" customWidth="1"/>
    <col min="22" max="22" width="11.28515625" style="49" bestFit="1" customWidth="1"/>
    <col min="23" max="23" width="10.28515625" style="49" bestFit="1" customWidth="1"/>
    <col min="24" max="24" width="11" style="49" bestFit="1" customWidth="1"/>
    <col min="25" max="25" width="9.85546875" style="49" bestFit="1" customWidth="1"/>
    <col min="26" max="26" width="9.42578125" style="49" bestFit="1" customWidth="1"/>
    <col min="27" max="27" width="11.28515625" style="49" bestFit="1" customWidth="1"/>
    <col min="28" max="28" width="16.85546875" style="49" bestFit="1" customWidth="1"/>
    <col min="29" max="29" width="10.7109375" style="49" bestFit="1" customWidth="1"/>
    <col min="30" max="30" width="10.5703125" style="49" bestFit="1" customWidth="1"/>
    <col min="31" max="31" width="10" style="49" bestFit="1" customWidth="1"/>
    <col min="32" max="32" width="10.5703125" style="49" bestFit="1" customWidth="1"/>
    <col min="33" max="33" width="10" style="49" bestFit="1" customWidth="1"/>
    <col min="34" max="34" width="10.140625" style="49" bestFit="1" customWidth="1"/>
    <col min="35" max="35" width="9.42578125" style="49" bestFit="1" customWidth="1"/>
    <col min="36" max="36" width="10.7109375" style="49" bestFit="1" customWidth="1"/>
    <col min="37" max="37" width="10" style="49" bestFit="1" customWidth="1"/>
    <col min="38" max="38" width="11.5703125" style="49" bestFit="1" customWidth="1"/>
    <col min="39" max="39" width="9.140625" style="49" bestFit="1" customWidth="1"/>
    <col min="40" max="40" width="9.7109375" style="49" bestFit="1" customWidth="1"/>
    <col min="41" max="41" width="9.85546875" style="49" bestFit="1" customWidth="1"/>
    <col min="42" max="42" width="11" style="49" bestFit="1" customWidth="1"/>
    <col min="43" max="43" width="11.140625" style="49" bestFit="1" customWidth="1"/>
    <col min="44" max="44" width="10" style="49" bestFit="1" customWidth="1"/>
    <col min="45" max="45" width="9.28515625" style="49" bestFit="1" customWidth="1"/>
    <col min="46" max="46" width="10.7109375" style="49" bestFit="1" customWidth="1"/>
    <col min="47" max="47" width="11" style="49" bestFit="1" customWidth="1"/>
    <col min="48" max="48" width="10" style="49" bestFit="1" customWidth="1"/>
    <col min="49" max="49" width="10.7109375" style="49" bestFit="1" customWidth="1"/>
    <col min="50" max="50" width="9.5703125" style="49" bestFit="1" customWidth="1"/>
    <col min="51" max="51" width="9.28515625" style="49" bestFit="1" customWidth="1"/>
    <col min="52" max="52" width="10.28515625" style="49" bestFit="1" customWidth="1"/>
    <col min="53" max="16384" width="9" style="49"/>
  </cols>
  <sheetData>
    <row r="1" spans="1:52" x14ac:dyDescent="0.25">
      <c r="A1" s="57" t="s">
        <v>39</v>
      </c>
      <c r="B1" s="58" t="s">
        <v>335</v>
      </c>
      <c r="C1" s="49" t="s">
        <v>553</v>
      </c>
      <c r="D1" s="49" t="s">
        <v>554</v>
      </c>
      <c r="E1" s="49" t="s">
        <v>558</v>
      </c>
      <c r="F1" s="49" t="s">
        <v>555</v>
      </c>
      <c r="G1" s="49" t="s">
        <v>556</v>
      </c>
      <c r="H1" s="49" t="s">
        <v>557</v>
      </c>
      <c r="I1" s="49" t="s">
        <v>559</v>
      </c>
      <c r="J1" s="49" t="s">
        <v>560</v>
      </c>
      <c r="K1" s="49" t="s">
        <v>561</v>
      </c>
      <c r="L1" s="49" t="s">
        <v>562</v>
      </c>
      <c r="M1" s="49" t="s">
        <v>563</v>
      </c>
      <c r="N1" s="49" t="s">
        <v>564</v>
      </c>
      <c r="O1" s="49" t="s">
        <v>565</v>
      </c>
      <c r="P1" s="49" t="s">
        <v>566</v>
      </c>
      <c r="Q1" s="49" t="s">
        <v>567</v>
      </c>
      <c r="R1" s="49" t="s">
        <v>568</v>
      </c>
      <c r="S1" s="49" t="s">
        <v>569</v>
      </c>
      <c r="T1" s="49" t="s">
        <v>570</v>
      </c>
      <c r="U1" s="49" t="s">
        <v>571</v>
      </c>
      <c r="V1" s="49" t="s">
        <v>572</v>
      </c>
      <c r="W1" s="49" t="s">
        <v>573</v>
      </c>
      <c r="X1" s="49" t="s">
        <v>574</v>
      </c>
      <c r="Y1" s="49" t="s">
        <v>575</v>
      </c>
      <c r="Z1" s="49" t="s">
        <v>576</v>
      </c>
      <c r="AA1" s="49" t="s">
        <v>625</v>
      </c>
      <c r="AB1" s="49" t="s">
        <v>552</v>
      </c>
      <c r="AC1" s="49" t="s">
        <v>577</v>
      </c>
      <c r="AD1" s="49" t="s">
        <v>578</v>
      </c>
      <c r="AE1" s="49" t="s">
        <v>579</v>
      </c>
      <c r="AF1" s="49" t="s">
        <v>580</v>
      </c>
      <c r="AG1" s="49" t="s">
        <v>581</v>
      </c>
      <c r="AH1" s="49" t="s">
        <v>582</v>
      </c>
      <c r="AI1" s="49" t="s">
        <v>583</v>
      </c>
      <c r="AJ1" s="49" t="s">
        <v>584</v>
      </c>
      <c r="AK1" s="49" t="s">
        <v>585</v>
      </c>
      <c r="AL1" s="49" t="s">
        <v>586</v>
      </c>
      <c r="AM1" s="49" t="s">
        <v>587</v>
      </c>
      <c r="AN1" s="49" t="s">
        <v>588</v>
      </c>
      <c r="AO1" s="49" t="s">
        <v>589</v>
      </c>
      <c r="AP1" s="49" t="s">
        <v>590</v>
      </c>
      <c r="AQ1" s="49" t="s">
        <v>591</v>
      </c>
      <c r="AR1" s="49" t="s">
        <v>592</v>
      </c>
      <c r="AS1" s="49" t="s">
        <v>593</v>
      </c>
      <c r="AT1" s="49" t="s">
        <v>594</v>
      </c>
      <c r="AU1" s="49" t="s">
        <v>595</v>
      </c>
      <c r="AV1" s="49" t="s">
        <v>596</v>
      </c>
      <c r="AW1" s="49" t="s">
        <v>597</v>
      </c>
      <c r="AX1" s="49" t="s">
        <v>598</v>
      </c>
      <c r="AY1" s="49" t="s">
        <v>599</v>
      </c>
      <c r="AZ1" s="49" t="s">
        <v>600</v>
      </c>
    </row>
    <row r="2" spans="1:52" x14ac:dyDescent="0.25">
      <c r="A2" s="61" t="s">
        <v>0</v>
      </c>
      <c r="B2" s="49" t="s">
        <v>1059</v>
      </c>
      <c r="C2" s="48">
        <f t="shared" ref="C2" si="0">IFERROR(1/SUM(1/D2,1/E2,1/F2,1/G2,1/H2,1/I2,1/J2,1/K2,1/L2,1/M2,1/N2,1/O2,1/P2,1/Q2,1/R2,1/S2,1/T2,1/U2,1/V2,1/W2,1/X2,1/Y2),".")</f>
        <v>1.1149017282473648E-2</v>
      </c>
      <c r="D2" s="48">
        <f>IFERROR(DL/(RadSpec!J2*IFAP_res_adj*CF_apple),".")</f>
        <v>0.20127916461691303</v>
      </c>
      <c r="E2" s="48">
        <f>IFERROR(DL/(RadSpec!J2*IFAS_res_adj*CF_asparagus),".")</f>
        <v>0.44713464524010954</v>
      </c>
      <c r="F2" s="48">
        <f>IFERROR(DL/(RadSpec!J2*IFBT_res_adj*CF_beet),".")</f>
        <v>0.54684567112865379</v>
      </c>
      <c r="G2" s="48">
        <f>IFERROR(DL/(RadSpec!J2*IFBE_res_adj*CF_berries),".")</f>
        <v>0.45076577989539468</v>
      </c>
      <c r="H2" s="48">
        <f>IFERROR(DL/(RadSpec!J2*IFBR_res_adj*CF_broccoli),".")</f>
        <v>0.53393241675310654</v>
      </c>
      <c r="I2" s="48">
        <f>IFERROR(DL/(RadSpec!J2*IFCB_res_adj*CF_cabbage),".")</f>
        <v>0.20021198601244347</v>
      </c>
      <c r="J2" s="48">
        <f>IFERROR(DL/(RadSpec!J2*IFCR_res_adj*CF_carrot),".")</f>
        <v>0.60392805630209645</v>
      </c>
      <c r="K2" s="48">
        <f>IFERROR(DL/(RadSpec!J2*IFCI_res_adj*CF_citrus),".")</f>
        <v>5.2194502707759299E-2</v>
      </c>
      <c r="L2" s="48">
        <f>IFERROR(DL/(RadSpec!J2*IFCO_res_adj*CF_corn),".")</f>
        <v>0.28658449379801348</v>
      </c>
      <c r="M2" s="48">
        <f>IFERROR(DL/(RadSpec!J2*IFCU_res_adj*CF_cucumber),".")</f>
        <v>0.21308750354269956</v>
      </c>
      <c r="N2" s="48">
        <f>IFERROR(DL/(RadSpec!J2*IFLE_res_adj*CF_lettuce),".")</f>
        <v>0.49478345633436061</v>
      </c>
      <c r="O2" s="48">
        <f>IFERROR(DL/(RadSpec!J2*IFLI_res_adj*CF_lima_bean),".")</f>
        <v>0.5364933367418937</v>
      </c>
      <c r="P2" s="48">
        <f>IFERROR(DL/(RadSpec!J2*IFOK_res_adj*CF_okra),".")</f>
        <v>0.60331112329806946</v>
      </c>
      <c r="Q2" s="48">
        <f>IFERROR(DL/(RadSpec!J2*IFON_res_adj*CF_onion),".")</f>
        <v>0.81483626492680217</v>
      </c>
      <c r="R2" s="48">
        <f>IFERROR(DL/(RadSpec!J2*IFPC_res_adj*CF_peach),".")</f>
        <v>0.12871331537928929</v>
      </c>
      <c r="S2" s="48">
        <f>IFERROR(DL/(RadSpec!J2*IFPR_res_adj*CF_pear),".")</f>
        <v>0.26697586287562658</v>
      </c>
      <c r="T2" s="48">
        <f>IFERROR(DL/(RadSpec!J2*IFPE_res_adj*CF_peas),".")</f>
        <v>0.42622421755935608</v>
      </c>
      <c r="U2" s="48">
        <f>IFERROR(DL/(RadSpec!J2*IFPT_res_adj*CF_potato),".")</f>
        <v>0.13386432197134696</v>
      </c>
      <c r="V2" s="48">
        <f>IFERROR(DL/(RadSpec!J2*IFPU_res_adj*CF_pumpkin),".")</f>
        <v>0.24488876004235474</v>
      </c>
      <c r="W2" s="48">
        <f>IFERROR(DL/(RadSpec!J2*IFSN_res_adj*CF_snap_bean),".")</f>
        <v>0.30900408355601805</v>
      </c>
      <c r="X2" s="48">
        <f>IFERROR(DL/(RadSpec!J2*IFST_res_adj*CF_strawberry),".")</f>
        <v>0.39900640796869674</v>
      </c>
      <c r="Y2" s="48">
        <f>IFERROR(DL/(RadSpec!J2*IFTO_res_adj*CF_tomato),".")</f>
        <v>0.21503645568835245</v>
      </c>
      <c r="Z2" s="48">
        <f>IFERROR(DL/(RadSpec!J2*IFRI_res_adj*CF_rice),".")</f>
        <v>0.23440707945122333</v>
      </c>
      <c r="AA2" s="48">
        <f>IFERROR(DL/(RadSpec!J2*IFCG_res_adj*CF_cereal),".")</f>
        <v>0.1815132601511335</v>
      </c>
      <c r="AB2" s="48">
        <f t="shared" ref="AB2" si="1">IFERROR(1/SUM(1/AC2,1/AD2,1/AE2,1/AF2,1/AG2,1/AH2,1/AI2,1/AJ2,1/AK2,1/AL2,1/AM2,1/AN2,1/AO2,1/AP2,1/AQ2,1/AR2,1/AS2,1/AT2,1/AU2,1/AV2,1/AW2,1/AX2),".")</f>
        <v>1.0531677862165531E-2</v>
      </c>
      <c r="AC2" s="48">
        <f>IFERROR(DL/(RadSpec!J2*IFAP_far_adj*CF_apple),".")</f>
        <v>0.17487662111185187</v>
      </c>
      <c r="AD2" s="48">
        <f>IFERROR(DL/(RadSpec!J2*IFAS_far_adj*CF_asparagus),".")</f>
        <v>0.41939591309398261</v>
      </c>
      <c r="AE2" s="48">
        <f>IFERROR(DL/(RadSpec!J2*IFBT_far_adj*CF_beet),".")</f>
        <v>0.50220520817937597</v>
      </c>
      <c r="AF2" s="48">
        <f>IFERROR(DL/(RadSpec!J2*IFBE_far_adj*CF_berries),".")</f>
        <v>0.43845087217442186</v>
      </c>
      <c r="AG2" s="48">
        <f>IFERROR(DL/(RadSpec!J2*IFBR_far_adj*CF_broccoli),".")</f>
        <v>0.45903414022924471</v>
      </c>
      <c r="AH2" s="48">
        <f>IFERROR(DL/(RadSpec!J2*IFCB_far_adj*CF_cabbage),".")</f>
        <v>0.1979996395396762</v>
      </c>
      <c r="AI2" s="48">
        <f>IFERROR(DL/(RadSpec!J2*IFCR_far_adj*CF_carrot),".")</f>
        <v>0.64943185047168039</v>
      </c>
      <c r="AJ2" s="48">
        <f>IFERROR(DL/(RadSpec!J2*IFCI_far_adj*CF_citrus),".")</f>
        <v>5.0538535411513458E-2</v>
      </c>
      <c r="AK2" s="48">
        <f>IFERROR(DL/(RadSpec!J2*IFCO_far_adj*CF_corn),".")</f>
        <v>0.19790675049224121</v>
      </c>
      <c r="AL2" s="48">
        <f>IFERROR(DL/(RadSpec!J2*IFCU_far_adj*CF_cucumber),".")</f>
        <v>0.30009823415596859</v>
      </c>
      <c r="AM2" s="48">
        <f>IFERROR(DL/(RadSpec!J2*IFLE_far_adj*CF_lettuce),".")</f>
        <v>0.45423267560294278</v>
      </c>
      <c r="AN2" s="48">
        <f>IFERROR(DL/(RadSpec!J2*IFLI_far_adj*CF_lima_bean),".")</f>
        <v>0.49704875005802579</v>
      </c>
      <c r="AO2" s="48">
        <f>IFERROR(DL/(RadSpec!J2*IFOK_far_adj*CF_okra),".")</f>
        <v>0.55790036351685823</v>
      </c>
      <c r="AP2" s="48">
        <f>IFERROR(DL/(RadSpec!J2*IFON_far_adj*CF_onion),".")</f>
        <v>0.61011707109395275</v>
      </c>
      <c r="AQ2" s="48">
        <f>IFERROR(DL/(RadSpec!J2*IFPC_far_adj*CF_peach),".")</f>
        <v>0.14400500458864385</v>
      </c>
      <c r="AR2" s="48">
        <f>IFERROR(DL/(RadSpec!J2*IFPR_far_adj*CF_pear),".")</f>
        <v>0.23642647110446205</v>
      </c>
      <c r="AS2" s="48">
        <f>IFERROR(DL/(RadSpec!J2*IFPE_far_adj*CF_peas),".")</f>
        <v>0.47247465985515702</v>
      </c>
      <c r="AT2" s="48">
        <f>IFERROR(DL/(RadSpec!J2*IFPT_far_adj*CF_potato),".")</f>
        <v>0.11434527102012511</v>
      </c>
      <c r="AU2" s="48">
        <f>IFERROR(DL/(RadSpec!J2*IFPU_far_adj*CF_pumpkin),".")</f>
        <v>0.23868142774771511</v>
      </c>
      <c r="AV2" s="48">
        <f>IFERROR(DL/(RadSpec!J2*IFSN_far_adj*CF_snap_bean),".")</f>
        <v>0.29414947943965841</v>
      </c>
      <c r="AW2" s="48">
        <f>IFERROR(DL/(RadSpec!J2*IFST_far_adj*CF_strawberry),".")</f>
        <v>0.38631169859952003</v>
      </c>
      <c r="AX2" s="48">
        <f>IFERROR(DL/(RadSpec!J2*IFTO_far_adj*CF_tomato),".")</f>
        <v>0.17308285704792983</v>
      </c>
      <c r="AY2" s="48">
        <f>IFERROR(DL/(RadSpec!J2*IFRI_far_adj*CF_rice),".")</f>
        <v>0.18353947567249246</v>
      </c>
      <c r="AZ2" s="48">
        <f>IFERROR(DL/(RadSpec!J2*IFCG_far_adj*CF_cereal),".")</f>
        <v>0.17367327084013001</v>
      </c>
    </row>
    <row r="3" spans="1:52" x14ac:dyDescent="0.25">
      <c r="A3" s="63" t="s">
        <v>1</v>
      </c>
      <c r="B3" s="49" t="s">
        <v>336</v>
      </c>
      <c r="C3" s="48">
        <f>IFERROR(1/SUM(1/D3,1/E3,1/F3,1/G3,1/H3,1/I3,1/J3,1/K3,1/L3,1/M3,1/N3,1/O3,1/P3,1/Q3,1/R3,1/S3,1/T3,1/U3,1/V3,1/W3,1/X3,1/Y3),".")</f>
        <v>2.4499731255183694E-3</v>
      </c>
      <c r="D3" s="48">
        <f>IFERROR(DL/(RadSpec!J3*IFAP_res_adj*CF_apple),".")</f>
        <v>4.4230673569178786E-2</v>
      </c>
      <c r="E3" s="48">
        <f>IFERROR(DL/(RadSpec!J3*IFAS_res_adj*CF_asparagus),".")</f>
        <v>9.8256898933015674E-2</v>
      </c>
      <c r="F3" s="48">
        <f>IFERROR(DL/(RadSpec!J3*IFBT_res_adj*CF_beet),".")</f>
        <v>0.1201681873950781</v>
      </c>
      <c r="G3" s="48">
        <f>IFERROR(DL/(RadSpec!J3*IFBE_res_adj*CF_berries),".")</f>
        <v>9.9054833145080429E-2</v>
      </c>
      <c r="H3" s="48">
        <f>IFERROR(DL/(RadSpec!J3*IFBR_res_adj*CF_broccoli),".")</f>
        <v>0.11733052687473729</v>
      </c>
      <c r="I3" s="48">
        <f>IFERROR(DL/(RadSpec!J3*IFCB_res_adj*CF_cabbage),".")</f>
        <v>4.3996163312818463E-2</v>
      </c>
      <c r="J3" s="48">
        <f>IFERROR(DL/(RadSpec!J3*IFCR_res_adj*CF_carrot),".")</f>
        <v>0.1327119216159649</v>
      </c>
      <c r="K3" s="48">
        <f>IFERROR(DL/(RadSpec!J3*IFCI_res_adj*CF_citrus),".")</f>
        <v>1.1469632317713491E-2</v>
      </c>
      <c r="L3" s="48">
        <f>IFERROR(DL/(RadSpec!J3*IFCO_res_adj*CF_corn),".")</f>
        <v>6.2976340443849185E-2</v>
      </c>
      <c r="M3" s="48">
        <f>IFERROR(DL/(RadSpec!J3*IFCU_res_adj*CF_cucumber),".")</f>
        <v>4.6825531240685662E-2</v>
      </c>
      <c r="N3" s="48">
        <f>IFERROR(DL/(RadSpec!J3*IFLE_res_adj*CF_lettuce),".")</f>
        <v>0.10872762506843303</v>
      </c>
      <c r="O3" s="48">
        <f>IFERROR(DL/(RadSpec!J3*IFLI_res_adj*CF_lima_bean),".")</f>
        <v>0.11789328366218925</v>
      </c>
      <c r="P3" s="48">
        <f>IFERROR(DL/(RadSpec!J3*IFOK_res_adj*CF_okra),".")</f>
        <v>0.13257635188440769</v>
      </c>
      <c r="Q3" s="48">
        <f>IFERROR(DL/(RadSpec!J3*IFON_res_adj*CF_onion),".")</f>
        <v>0.17905855737677207</v>
      </c>
      <c r="R3" s="48">
        <f>IFERROR(DL/(RadSpec!J3*IFPC_res_adj*CF_peach),".")</f>
        <v>2.8284480648474074E-2</v>
      </c>
      <c r="S3" s="48">
        <f>IFERROR(DL/(RadSpec!J3*IFPR_res_adj*CF_pear),".")</f>
        <v>5.8667384993257438E-2</v>
      </c>
      <c r="T3" s="48">
        <f>IFERROR(DL/(RadSpec!J3*IFPE_res_adj*CF_peas),".")</f>
        <v>9.3661876379639991E-2</v>
      </c>
      <c r="U3" s="48">
        <f>IFERROR(DL/(RadSpec!J3*IFPT_res_adj*CF_potato),".")</f>
        <v>2.941640352563633E-2</v>
      </c>
      <c r="V3" s="48">
        <f>IFERROR(DL/(RadSpec!J3*IFPU_res_adj*CF_pumpkin),".")</f>
        <v>5.3813790547122493E-2</v>
      </c>
      <c r="W3" s="48">
        <f>IFERROR(DL/(RadSpec!J3*IFSN_res_adj*CF_snap_bean),".")</f>
        <v>6.7902998193192204E-2</v>
      </c>
      <c r="X3" s="48">
        <f>IFERROR(DL/(RadSpec!J3*IFST_res_adj*CF_strawberry),".")</f>
        <v>8.7680819902364884E-2</v>
      </c>
      <c r="Y3" s="48">
        <f>IFERROR(DL/(RadSpec!J3*IFTO_res_adj*CF_tomato),".")</f>
        <v>4.7253809380255599E-2</v>
      </c>
      <c r="Z3" s="48">
        <f>IFERROR(DL/(RadSpec!J3*IFRI_res_adj*CF_rice),".")</f>
        <v>5.1510463257558738E-2</v>
      </c>
      <c r="AA3" s="48">
        <f>IFERROR(DL/(RadSpec!J3*IFCG_res_adj*CF_cereal),".")</f>
        <v>3.9887157587833122E-2</v>
      </c>
      <c r="AB3" s="48">
        <f>IFERROR(1/SUM(1/AC3,1/AD3,1/AE3,1/AF3,1/AG3,1/AH3,1/AI3,1/AJ3,1/AK3,1/AL3,1/AM3,1/AN3,1/AO3,1/AP3,1/AQ3,1/AR3,1/AS3,1/AT3,1/AU3,1/AV3,1/AW3,1/AX3),".")</f>
        <v>2.3143140848372159E-3</v>
      </c>
      <c r="AC3" s="48">
        <f>IFERROR(DL/(RadSpec!J3*IFAP_far_adj*CF_apple),".")</f>
        <v>3.8428770101469972E-2</v>
      </c>
      <c r="AD3" s="48">
        <f>IFERROR(DL/(RadSpec!J3*IFAS_far_adj*CF_asparagus),".")</f>
        <v>9.2161370818551636E-2</v>
      </c>
      <c r="AE3" s="48">
        <f>IFERROR(DL/(RadSpec!J3*IFBT_far_adj*CF_beet),".")</f>
        <v>0.11035853944445952</v>
      </c>
      <c r="AF3" s="48">
        <f>IFERROR(DL/(RadSpec!J3*IFBE_far_adj*CF_berries),".")</f>
        <v>9.6348658045051522E-2</v>
      </c>
      <c r="AG3" s="48">
        <f>IFERROR(DL/(RadSpec!J3*IFBR_far_adj*CF_broccoli),".")</f>
        <v>0.10087178795793908</v>
      </c>
      <c r="AH3" s="48">
        <f>IFERROR(DL/(RadSpec!J3*IFCB_far_adj*CF_cabbage),".")</f>
        <v>4.3510004823214557E-2</v>
      </c>
      <c r="AI3" s="48">
        <f>IFERROR(DL/(RadSpec!J3*IFCR_far_adj*CF_carrot),".")</f>
        <v>0.14271128478852474</v>
      </c>
      <c r="AJ3" s="48">
        <f>IFERROR(DL/(RadSpec!J3*IFCI_far_adj*CF_citrus),".")</f>
        <v>1.1105736983286362E-2</v>
      </c>
      <c r="AK3" s="48">
        <f>IFERROR(DL/(RadSpec!J3*IFCO_far_adj*CF_corn),".")</f>
        <v>4.3489592650185781E-2</v>
      </c>
      <c r="AL3" s="48">
        <f>IFERROR(DL/(RadSpec!J3*IFCU_far_adj*CF_cucumber),".")</f>
        <v>6.594595649729898E-2</v>
      </c>
      <c r="AM3" s="48">
        <f>IFERROR(DL/(RadSpec!J3*IFLE_far_adj*CF_lettuce),".")</f>
        <v>9.9816676193419773E-2</v>
      </c>
      <c r="AN3" s="48">
        <f>IFERROR(DL/(RadSpec!J3*IFLI_far_adj*CF_lima_bean),".")</f>
        <v>0.10922541860518803</v>
      </c>
      <c r="AO3" s="48">
        <f>IFERROR(DL/(RadSpec!J3*IFOK_far_adj*CF_okra),".")</f>
        <v>0.1225974328232424</v>
      </c>
      <c r="AP3" s="48">
        <f>IFERROR(DL/(RadSpec!J3*IFON_far_adj*CF_onion),".")</f>
        <v>0.13407194461434338</v>
      </c>
      <c r="AQ3" s="48">
        <f>IFERROR(DL/(RadSpec!J3*IFPC_far_adj*CF_peach),".")</f>
        <v>3.1644797226832243E-2</v>
      </c>
      <c r="AR3" s="48">
        <f>IFERROR(DL/(RadSpec!J3*IFPR_far_adj*CF_pear),".")</f>
        <v>5.1954220330938508E-2</v>
      </c>
      <c r="AS3" s="48">
        <f>IFERROR(DL/(RadSpec!J3*IFPE_far_adj*CF_peas),".")</f>
        <v>0.10382531390934752</v>
      </c>
      <c r="AT3" s="48">
        <f>IFERROR(DL/(RadSpec!J3*IFPT_far_adj*CF_potato),".")</f>
        <v>2.5127133085514883E-2</v>
      </c>
      <c r="AU3" s="48">
        <f>IFERROR(DL/(RadSpec!J3*IFPU_far_adj*CF_pumpkin),".")</f>
        <v>5.2449742315989492E-2</v>
      </c>
      <c r="AV3" s="48">
        <f>IFERROR(DL/(RadSpec!J3*IFSN_far_adj*CF_snap_bean),".")</f>
        <v>6.4638730145773676E-2</v>
      </c>
      <c r="AW3" s="48">
        <f>IFERROR(DL/(RadSpec!J3*IFST_far_adj*CF_strawberry),".")</f>
        <v>8.4891184188045782E-2</v>
      </c>
      <c r="AX3" s="48">
        <f>IFERROR(DL/(RadSpec!J3*IFTO_far_adj*CF_tomato),".")</f>
        <v>3.8034594216835006E-2</v>
      </c>
      <c r="AY3" s="48">
        <f>IFERROR(DL/(RadSpec!J3*IFRI_far_adj*CF_rice),".")</f>
        <v>4.0332414191896454E-2</v>
      </c>
      <c r="AZ3" s="48">
        <f>IFERROR(DL/(RadSpec!J3*IFCG_far_adj*CF_cereal),".")</f>
        <v>3.8164336407305884E-2</v>
      </c>
    </row>
    <row r="4" spans="1:52" x14ac:dyDescent="0.25">
      <c r="A4" s="61" t="s">
        <v>2</v>
      </c>
      <c r="B4" s="49" t="s">
        <v>1059</v>
      </c>
      <c r="C4" s="48" t="str">
        <f t="shared" ref="C4:C5" si="2">IFERROR(1/SUM(1/D4,1/E4,1/F4,1/G4,1/H4,1/I4,1/J4,1/K4,1/L4,1/M4,1/N4,1/O4,1/P4,1/Q4,1/R4,1/S4,1/T4,1/U4,1/V4,1/W4,1/X4,1/Y4),".")</f>
        <v>.</v>
      </c>
      <c r="D4" s="48" t="str">
        <f>IFERROR(DL/(RadSpec!J4*IFAP_res_adj*CF_apple),".")</f>
        <v>.</v>
      </c>
      <c r="E4" s="48" t="str">
        <f>IFERROR(DL/(RadSpec!J4*IFAS_res_adj*CF_asparagus),".")</f>
        <v>.</v>
      </c>
      <c r="F4" s="48" t="str">
        <f>IFERROR(DL/(RadSpec!J4*IFBT_res_adj*CF_beet),".")</f>
        <v>.</v>
      </c>
      <c r="G4" s="48" t="str">
        <f>IFERROR(DL/(RadSpec!J4*IFBE_res_adj*CF_berries),".")</f>
        <v>.</v>
      </c>
      <c r="H4" s="48" t="str">
        <f>IFERROR(DL/(RadSpec!J4*IFBR_res_adj*CF_broccoli),".")</f>
        <v>.</v>
      </c>
      <c r="I4" s="48" t="str">
        <f>IFERROR(DL/(RadSpec!J4*IFCB_res_adj*CF_cabbage),".")</f>
        <v>.</v>
      </c>
      <c r="J4" s="48" t="str">
        <f>IFERROR(DL/(RadSpec!J4*IFCR_res_adj*CF_carrot),".")</f>
        <v>.</v>
      </c>
      <c r="K4" s="48" t="str">
        <f>IFERROR(DL/(RadSpec!J4*IFCI_res_adj*CF_citrus),".")</f>
        <v>.</v>
      </c>
      <c r="L4" s="48" t="str">
        <f>IFERROR(DL/(RadSpec!J4*IFCO_res_adj*CF_corn),".")</f>
        <v>.</v>
      </c>
      <c r="M4" s="48" t="str">
        <f>IFERROR(DL/(RadSpec!J4*IFCU_res_adj*CF_cucumber),".")</f>
        <v>.</v>
      </c>
      <c r="N4" s="48" t="str">
        <f>IFERROR(DL/(RadSpec!J4*IFLE_res_adj*CF_lettuce),".")</f>
        <v>.</v>
      </c>
      <c r="O4" s="48" t="str">
        <f>IFERROR(DL/(RadSpec!J4*IFLI_res_adj*CF_lima_bean),".")</f>
        <v>.</v>
      </c>
      <c r="P4" s="48" t="str">
        <f>IFERROR(DL/(RadSpec!J4*IFOK_res_adj*CF_okra),".")</f>
        <v>.</v>
      </c>
      <c r="Q4" s="48" t="str">
        <f>IFERROR(DL/(RadSpec!J4*IFON_res_adj*CF_onion),".")</f>
        <v>.</v>
      </c>
      <c r="R4" s="48" t="str">
        <f>IFERROR(DL/(RadSpec!J4*IFPC_res_adj*CF_peach),".")</f>
        <v>.</v>
      </c>
      <c r="S4" s="48" t="str">
        <f>IFERROR(DL/(RadSpec!J4*IFPR_res_adj*CF_pear),".")</f>
        <v>.</v>
      </c>
      <c r="T4" s="48" t="str">
        <f>IFERROR(DL/(RadSpec!J4*IFPE_res_adj*CF_peas),".")</f>
        <v>.</v>
      </c>
      <c r="U4" s="48" t="str">
        <f>IFERROR(DL/(RadSpec!J4*IFPT_res_adj*CF_potato),".")</f>
        <v>.</v>
      </c>
      <c r="V4" s="48" t="str">
        <f>IFERROR(DL/(RadSpec!J4*IFPU_res_adj*CF_pumpkin),".")</f>
        <v>.</v>
      </c>
      <c r="W4" s="48" t="str">
        <f>IFERROR(DL/(RadSpec!J4*IFSN_res_adj*CF_snap_bean),".")</f>
        <v>.</v>
      </c>
      <c r="X4" s="48" t="str">
        <f>IFERROR(DL/(RadSpec!J4*IFST_res_adj*CF_strawberry),".")</f>
        <v>.</v>
      </c>
      <c r="Y4" s="48" t="str">
        <f>IFERROR(DL/(RadSpec!J4*IFTO_res_adj*CF_tomato),".")</f>
        <v>.</v>
      </c>
      <c r="Z4" s="48" t="str">
        <f>IFERROR(DL/(RadSpec!J4*IFRI_res_adj*CF_rice),".")</f>
        <v>.</v>
      </c>
      <c r="AA4" s="48" t="str">
        <f>IFERROR(DL/(RadSpec!J4*IFCG_res_adj*CF_cereal),".")</f>
        <v>.</v>
      </c>
      <c r="AB4" s="48" t="str">
        <f t="shared" ref="AB4:AB5" si="3">IFERROR(1/SUM(1/AC4,1/AD4,1/AE4,1/AF4,1/AG4,1/AH4,1/AI4,1/AJ4,1/AK4,1/AL4,1/AM4,1/AN4,1/AO4,1/AP4,1/AQ4,1/AR4,1/AS4,1/AT4,1/AU4,1/AV4,1/AW4,1/AX4),".")</f>
        <v>.</v>
      </c>
      <c r="AC4" s="48" t="str">
        <f>IFERROR(DL/(RadSpec!J4*IFAP_far_adj*CF_apple),".")</f>
        <v>.</v>
      </c>
      <c r="AD4" s="48" t="str">
        <f>IFERROR(DL/(RadSpec!J4*IFAS_far_adj*CF_asparagus),".")</f>
        <v>.</v>
      </c>
      <c r="AE4" s="48" t="str">
        <f>IFERROR(DL/(RadSpec!J4*IFBT_far_adj*CF_beet),".")</f>
        <v>.</v>
      </c>
      <c r="AF4" s="48" t="str">
        <f>IFERROR(DL/(RadSpec!J4*IFBE_far_adj*CF_berries),".")</f>
        <v>.</v>
      </c>
      <c r="AG4" s="48" t="str">
        <f>IFERROR(DL/(RadSpec!J4*IFBR_far_adj*CF_broccoli),".")</f>
        <v>.</v>
      </c>
      <c r="AH4" s="48" t="str">
        <f>IFERROR(DL/(RadSpec!J4*IFCB_far_adj*CF_cabbage),".")</f>
        <v>.</v>
      </c>
      <c r="AI4" s="48" t="str">
        <f>IFERROR(DL/(RadSpec!J4*IFCR_far_adj*CF_carrot),".")</f>
        <v>.</v>
      </c>
      <c r="AJ4" s="48" t="str">
        <f>IFERROR(DL/(RadSpec!J4*IFCI_far_adj*CF_citrus),".")</f>
        <v>.</v>
      </c>
      <c r="AK4" s="48" t="str">
        <f>IFERROR(DL/(RadSpec!J4*IFCO_far_adj*CF_corn),".")</f>
        <v>.</v>
      </c>
      <c r="AL4" s="48" t="str">
        <f>IFERROR(DL/(RadSpec!J4*IFCU_far_adj*CF_cucumber),".")</f>
        <v>.</v>
      </c>
      <c r="AM4" s="48" t="str">
        <f>IFERROR(DL/(RadSpec!J4*IFLE_far_adj*CF_lettuce),".")</f>
        <v>.</v>
      </c>
      <c r="AN4" s="48" t="str">
        <f>IFERROR(DL/(RadSpec!J4*IFLI_far_adj*CF_lima_bean),".")</f>
        <v>.</v>
      </c>
      <c r="AO4" s="48" t="str">
        <f>IFERROR(DL/(RadSpec!J4*IFOK_far_adj*CF_okra),".")</f>
        <v>.</v>
      </c>
      <c r="AP4" s="48" t="str">
        <f>IFERROR(DL/(RadSpec!J4*IFON_far_adj*CF_onion),".")</f>
        <v>.</v>
      </c>
      <c r="AQ4" s="48" t="str">
        <f>IFERROR(DL/(RadSpec!J4*IFPC_far_adj*CF_peach),".")</f>
        <v>.</v>
      </c>
      <c r="AR4" s="48" t="str">
        <f>IFERROR(DL/(RadSpec!J4*IFPR_far_adj*CF_pear),".")</f>
        <v>.</v>
      </c>
      <c r="AS4" s="48" t="str">
        <f>IFERROR(DL/(RadSpec!J4*IFPE_far_adj*CF_peas),".")</f>
        <v>.</v>
      </c>
      <c r="AT4" s="48" t="str">
        <f>IFERROR(DL/(RadSpec!J4*IFPT_far_adj*CF_potato),".")</f>
        <v>.</v>
      </c>
      <c r="AU4" s="48" t="str">
        <f>IFERROR(DL/(RadSpec!J4*IFPU_far_adj*CF_pumpkin),".")</f>
        <v>.</v>
      </c>
      <c r="AV4" s="48" t="str">
        <f>IFERROR(DL/(RadSpec!J4*IFSN_far_adj*CF_snap_bean),".")</f>
        <v>.</v>
      </c>
      <c r="AW4" s="48" t="str">
        <f>IFERROR(DL/(RadSpec!J4*IFST_far_adj*CF_strawberry),".")</f>
        <v>.</v>
      </c>
      <c r="AX4" s="48" t="str">
        <f>IFERROR(DL/(RadSpec!J4*IFTO_far_adj*CF_tomato),".")</f>
        <v>.</v>
      </c>
      <c r="AY4" s="48" t="str">
        <f>IFERROR(DL/(RadSpec!J4*IFRI_far_adj*CF_rice),".")</f>
        <v>.</v>
      </c>
      <c r="AZ4" s="48" t="str">
        <f>IFERROR(DL/(RadSpec!J4*IFCG_far_adj*CF_cereal),".")</f>
        <v>.</v>
      </c>
    </row>
    <row r="5" spans="1:52" x14ac:dyDescent="0.25">
      <c r="A5" s="61" t="s">
        <v>3</v>
      </c>
      <c r="B5" s="49" t="s">
        <v>1059</v>
      </c>
      <c r="C5" s="48" t="str">
        <f t="shared" si="2"/>
        <v>.</v>
      </c>
      <c r="D5" s="48" t="str">
        <f>IFERROR(DL/(RadSpec!J5*IFAP_res_adj*CF_apple),".")</f>
        <v>.</v>
      </c>
      <c r="E5" s="48" t="str">
        <f>IFERROR(DL/(RadSpec!J5*IFAS_res_adj*CF_asparagus),".")</f>
        <v>.</v>
      </c>
      <c r="F5" s="48" t="str">
        <f>IFERROR(DL/(RadSpec!J5*IFBT_res_adj*CF_beet),".")</f>
        <v>.</v>
      </c>
      <c r="G5" s="48" t="str">
        <f>IFERROR(DL/(RadSpec!J5*IFBE_res_adj*CF_berries),".")</f>
        <v>.</v>
      </c>
      <c r="H5" s="48" t="str">
        <f>IFERROR(DL/(RadSpec!J5*IFBR_res_adj*CF_broccoli),".")</f>
        <v>.</v>
      </c>
      <c r="I5" s="48" t="str">
        <f>IFERROR(DL/(RadSpec!J5*IFCB_res_adj*CF_cabbage),".")</f>
        <v>.</v>
      </c>
      <c r="J5" s="48" t="str">
        <f>IFERROR(DL/(RadSpec!J5*IFCR_res_adj*CF_carrot),".")</f>
        <v>.</v>
      </c>
      <c r="K5" s="48" t="str">
        <f>IFERROR(DL/(RadSpec!J5*IFCI_res_adj*CF_citrus),".")</f>
        <v>.</v>
      </c>
      <c r="L5" s="48" t="str">
        <f>IFERROR(DL/(RadSpec!J5*IFCO_res_adj*CF_corn),".")</f>
        <v>.</v>
      </c>
      <c r="M5" s="48" t="str">
        <f>IFERROR(DL/(RadSpec!J5*IFCU_res_adj*CF_cucumber),".")</f>
        <v>.</v>
      </c>
      <c r="N5" s="48" t="str">
        <f>IFERROR(DL/(RadSpec!J5*IFLE_res_adj*CF_lettuce),".")</f>
        <v>.</v>
      </c>
      <c r="O5" s="48" t="str">
        <f>IFERROR(DL/(RadSpec!J5*IFLI_res_adj*CF_lima_bean),".")</f>
        <v>.</v>
      </c>
      <c r="P5" s="48" t="str">
        <f>IFERROR(DL/(RadSpec!J5*IFOK_res_adj*CF_okra),".")</f>
        <v>.</v>
      </c>
      <c r="Q5" s="48" t="str">
        <f>IFERROR(DL/(RadSpec!J5*IFON_res_adj*CF_onion),".")</f>
        <v>.</v>
      </c>
      <c r="R5" s="48" t="str">
        <f>IFERROR(DL/(RadSpec!J5*IFPC_res_adj*CF_peach),".")</f>
        <v>.</v>
      </c>
      <c r="S5" s="48" t="str">
        <f>IFERROR(DL/(RadSpec!J5*IFPR_res_adj*CF_pear),".")</f>
        <v>.</v>
      </c>
      <c r="T5" s="48" t="str">
        <f>IFERROR(DL/(RadSpec!J5*IFPE_res_adj*CF_peas),".")</f>
        <v>.</v>
      </c>
      <c r="U5" s="48" t="str">
        <f>IFERROR(DL/(RadSpec!J5*IFPT_res_adj*CF_potato),".")</f>
        <v>.</v>
      </c>
      <c r="V5" s="48" t="str">
        <f>IFERROR(DL/(RadSpec!J5*IFPU_res_adj*CF_pumpkin),".")</f>
        <v>.</v>
      </c>
      <c r="W5" s="48" t="str">
        <f>IFERROR(DL/(RadSpec!J5*IFSN_res_adj*CF_snap_bean),".")</f>
        <v>.</v>
      </c>
      <c r="X5" s="48" t="str">
        <f>IFERROR(DL/(RadSpec!J5*IFST_res_adj*CF_strawberry),".")</f>
        <v>.</v>
      </c>
      <c r="Y5" s="48" t="str">
        <f>IFERROR(DL/(RadSpec!J5*IFTO_res_adj*CF_tomato),".")</f>
        <v>.</v>
      </c>
      <c r="Z5" s="48" t="str">
        <f>IFERROR(DL/(RadSpec!J5*IFRI_res_adj*CF_rice),".")</f>
        <v>.</v>
      </c>
      <c r="AA5" s="48" t="str">
        <f>IFERROR(DL/(RadSpec!J5*IFCG_res_adj*CF_cereal),".")</f>
        <v>.</v>
      </c>
      <c r="AB5" s="48" t="str">
        <f t="shared" si="3"/>
        <v>.</v>
      </c>
      <c r="AC5" s="48" t="str">
        <f>IFERROR(DL/(RadSpec!J5*IFAP_far_adj*CF_apple),".")</f>
        <v>.</v>
      </c>
      <c r="AD5" s="48" t="str">
        <f>IFERROR(DL/(RadSpec!J5*IFAS_far_adj*CF_asparagus),".")</f>
        <v>.</v>
      </c>
      <c r="AE5" s="48" t="str">
        <f>IFERROR(DL/(RadSpec!J5*IFBT_far_adj*CF_beet),".")</f>
        <v>.</v>
      </c>
      <c r="AF5" s="48" t="str">
        <f>IFERROR(DL/(RadSpec!J5*IFBE_far_adj*CF_berries),".")</f>
        <v>.</v>
      </c>
      <c r="AG5" s="48" t="str">
        <f>IFERROR(DL/(RadSpec!J5*IFBR_far_adj*CF_broccoli),".")</f>
        <v>.</v>
      </c>
      <c r="AH5" s="48" t="str">
        <f>IFERROR(DL/(RadSpec!J5*IFCB_far_adj*CF_cabbage),".")</f>
        <v>.</v>
      </c>
      <c r="AI5" s="48" t="str">
        <f>IFERROR(DL/(RadSpec!J5*IFCR_far_adj*CF_carrot),".")</f>
        <v>.</v>
      </c>
      <c r="AJ5" s="48" t="str">
        <f>IFERROR(DL/(RadSpec!J5*IFCI_far_adj*CF_citrus),".")</f>
        <v>.</v>
      </c>
      <c r="AK5" s="48" t="str">
        <f>IFERROR(DL/(RadSpec!J5*IFCO_far_adj*CF_corn),".")</f>
        <v>.</v>
      </c>
      <c r="AL5" s="48" t="str">
        <f>IFERROR(DL/(RadSpec!J5*IFCU_far_adj*CF_cucumber),".")</f>
        <v>.</v>
      </c>
      <c r="AM5" s="48" t="str">
        <f>IFERROR(DL/(RadSpec!J5*IFLE_far_adj*CF_lettuce),".")</f>
        <v>.</v>
      </c>
      <c r="AN5" s="48" t="str">
        <f>IFERROR(DL/(RadSpec!J5*IFLI_far_adj*CF_lima_bean),".")</f>
        <v>.</v>
      </c>
      <c r="AO5" s="48" t="str">
        <f>IFERROR(DL/(RadSpec!J5*IFOK_far_adj*CF_okra),".")</f>
        <v>.</v>
      </c>
      <c r="AP5" s="48" t="str">
        <f>IFERROR(DL/(RadSpec!J5*IFON_far_adj*CF_onion),".")</f>
        <v>.</v>
      </c>
      <c r="AQ5" s="48" t="str">
        <f>IFERROR(DL/(RadSpec!J5*IFPC_far_adj*CF_peach),".")</f>
        <v>.</v>
      </c>
      <c r="AR5" s="48" t="str">
        <f>IFERROR(DL/(RadSpec!J5*IFPR_far_adj*CF_pear),".")</f>
        <v>.</v>
      </c>
      <c r="AS5" s="48" t="str">
        <f>IFERROR(DL/(RadSpec!J5*IFPE_far_adj*CF_peas),".")</f>
        <v>.</v>
      </c>
      <c r="AT5" s="48" t="str">
        <f>IFERROR(DL/(RadSpec!J5*IFPT_far_adj*CF_potato),".")</f>
        <v>.</v>
      </c>
      <c r="AU5" s="48" t="str">
        <f>IFERROR(DL/(RadSpec!J5*IFPU_far_adj*CF_pumpkin),".")</f>
        <v>.</v>
      </c>
      <c r="AV5" s="48" t="str">
        <f>IFERROR(DL/(RadSpec!J5*IFSN_far_adj*CF_snap_bean),".")</f>
        <v>.</v>
      </c>
      <c r="AW5" s="48" t="str">
        <f>IFERROR(DL/(RadSpec!J5*IFST_far_adj*CF_strawberry),".")</f>
        <v>.</v>
      </c>
      <c r="AX5" s="48" t="str">
        <f>IFERROR(DL/(RadSpec!J5*IFTO_far_adj*CF_tomato),".")</f>
        <v>.</v>
      </c>
      <c r="AY5" s="48" t="str">
        <f>IFERROR(DL/(RadSpec!J5*IFRI_far_adj*CF_rice),".")</f>
        <v>.</v>
      </c>
      <c r="AZ5" s="48" t="str">
        <f>IFERROR(DL/(RadSpec!J5*IFCG_far_adj*CF_cereal),".")</f>
        <v>.</v>
      </c>
    </row>
    <row r="6" spans="1:52" x14ac:dyDescent="0.25">
      <c r="A6" s="61" t="s">
        <v>4</v>
      </c>
      <c r="B6" s="49" t="s">
        <v>1059</v>
      </c>
      <c r="C6" s="48" t="str">
        <f t="shared" ref="C6:C9" si="4">IFERROR(1/SUM(1/D6,1/E6,1/F6,1/G6,1/H6,1/I6,1/J6,1/K6,1/L6,1/M6,1/N6,1/O6,1/P6,1/Q6,1/R6,1/S6,1/T6,1/U6,1/V6,1/W6,1/X6,1/Y6),".")</f>
        <v>.</v>
      </c>
      <c r="D6" s="48" t="str">
        <f>IFERROR(DL/(RadSpec!J6*IFAP_res_adj*CF_apple),".")</f>
        <v>.</v>
      </c>
      <c r="E6" s="48" t="str">
        <f>IFERROR(DL/(RadSpec!J6*IFAS_res_adj*CF_asparagus),".")</f>
        <v>.</v>
      </c>
      <c r="F6" s="48" t="str">
        <f>IFERROR(DL/(RadSpec!J6*IFBT_res_adj*CF_beet),".")</f>
        <v>.</v>
      </c>
      <c r="G6" s="48" t="str">
        <f>IFERROR(DL/(RadSpec!J6*IFBE_res_adj*CF_berries),".")</f>
        <v>.</v>
      </c>
      <c r="H6" s="48" t="str">
        <f>IFERROR(DL/(RadSpec!J6*IFBR_res_adj*CF_broccoli),".")</f>
        <v>.</v>
      </c>
      <c r="I6" s="48" t="str">
        <f>IFERROR(DL/(RadSpec!J6*IFCB_res_adj*CF_cabbage),".")</f>
        <v>.</v>
      </c>
      <c r="J6" s="48" t="str">
        <f>IFERROR(DL/(RadSpec!J6*IFCR_res_adj*CF_carrot),".")</f>
        <v>.</v>
      </c>
      <c r="K6" s="48" t="str">
        <f>IFERROR(DL/(RadSpec!J6*IFCI_res_adj*CF_citrus),".")</f>
        <v>.</v>
      </c>
      <c r="L6" s="48" t="str">
        <f>IFERROR(DL/(RadSpec!J6*IFCO_res_adj*CF_corn),".")</f>
        <v>.</v>
      </c>
      <c r="M6" s="48" t="str">
        <f>IFERROR(DL/(RadSpec!J6*IFCU_res_adj*CF_cucumber),".")</f>
        <v>.</v>
      </c>
      <c r="N6" s="48" t="str">
        <f>IFERROR(DL/(RadSpec!J6*IFLE_res_adj*CF_lettuce),".")</f>
        <v>.</v>
      </c>
      <c r="O6" s="48" t="str">
        <f>IFERROR(DL/(RadSpec!J6*IFLI_res_adj*CF_lima_bean),".")</f>
        <v>.</v>
      </c>
      <c r="P6" s="48" t="str">
        <f>IFERROR(DL/(RadSpec!J6*IFOK_res_adj*CF_okra),".")</f>
        <v>.</v>
      </c>
      <c r="Q6" s="48" t="str">
        <f>IFERROR(DL/(RadSpec!J6*IFON_res_adj*CF_onion),".")</f>
        <v>.</v>
      </c>
      <c r="R6" s="48" t="str">
        <f>IFERROR(DL/(RadSpec!J6*IFPC_res_adj*CF_peach),".")</f>
        <v>.</v>
      </c>
      <c r="S6" s="48" t="str">
        <f>IFERROR(DL/(RadSpec!J6*IFPR_res_adj*CF_pear),".")</f>
        <v>.</v>
      </c>
      <c r="T6" s="48" t="str">
        <f>IFERROR(DL/(RadSpec!J6*IFPE_res_adj*CF_peas),".")</f>
        <v>.</v>
      </c>
      <c r="U6" s="48" t="str">
        <f>IFERROR(DL/(RadSpec!J6*IFPT_res_adj*CF_potato),".")</f>
        <v>.</v>
      </c>
      <c r="V6" s="48" t="str">
        <f>IFERROR(DL/(RadSpec!J6*IFPU_res_adj*CF_pumpkin),".")</f>
        <v>.</v>
      </c>
      <c r="W6" s="48" t="str">
        <f>IFERROR(DL/(RadSpec!J6*IFSN_res_adj*CF_snap_bean),".")</f>
        <v>.</v>
      </c>
      <c r="X6" s="48" t="str">
        <f>IFERROR(DL/(RadSpec!J6*IFST_res_adj*CF_strawberry),".")</f>
        <v>.</v>
      </c>
      <c r="Y6" s="48" t="str">
        <f>IFERROR(DL/(RadSpec!J6*IFTO_res_adj*CF_tomato),".")</f>
        <v>.</v>
      </c>
      <c r="Z6" s="48" t="str">
        <f>IFERROR(DL/(RadSpec!J6*IFRI_res_adj*CF_rice),".")</f>
        <v>.</v>
      </c>
      <c r="AA6" s="48" t="str">
        <f>IFERROR(DL/(RadSpec!J6*IFCG_res_adj*CF_cereal),".")</f>
        <v>.</v>
      </c>
      <c r="AB6" s="48" t="str">
        <f t="shared" ref="AB6:AB9" si="5">IFERROR(1/SUM(1/AC6,1/AD6,1/AE6,1/AF6,1/AG6,1/AH6,1/AI6,1/AJ6,1/AK6,1/AL6,1/AM6,1/AN6,1/AO6,1/AP6,1/AQ6,1/AR6,1/AS6,1/AT6,1/AU6,1/AV6,1/AW6,1/AX6),".")</f>
        <v>.</v>
      </c>
      <c r="AC6" s="48" t="str">
        <f>IFERROR(DL/(RadSpec!J6*IFAP_far_adj*CF_apple),".")</f>
        <v>.</v>
      </c>
      <c r="AD6" s="48" t="str">
        <f>IFERROR(DL/(RadSpec!J6*IFAS_far_adj*CF_asparagus),".")</f>
        <v>.</v>
      </c>
      <c r="AE6" s="48" t="str">
        <f>IFERROR(DL/(RadSpec!J6*IFBT_far_adj*CF_beet),".")</f>
        <v>.</v>
      </c>
      <c r="AF6" s="48" t="str">
        <f>IFERROR(DL/(RadSpec!J6*IFBE_far_adj*CF_berries),".")</f>
        <v>.</v>
      </c>
      <c r="AG6" s="48" t="str">
        <f>IFERROR(DL/(RadSpec!J6*IFBR_far_adj*CF_broccoli),".")</f>
        <v>.</v>
      </c>
      <c r="AH6" s="48" t="str">
        <f>IFERROR(DL/(RadSpec!J6*IFCB_far_adj*CF_cabbage),".")</f>
        <v>.</v>
      </c>
      <c r="AI6" s="48" t="str">
        <f>IFERROR(DL/(RadSpec!J6*IFCR_far_adj*CF_carrot),".")</f>
        <v>.</v>
      </c>
      <c r="AJ6" s="48" t="str">
        <f>IFERROR(DL/(RadSpec!J6*IFCI_far_adj*CF_citrus),".")</f>
        <v>.</v>
      </c>
      <c r="AK6" s="48" t="str">
        <f>IFERROR(DL/(RadSpec!J6*IFCO_far_adj*CF_corn),".")</f>
        <v>.</v>
      </c>
      <c r="AL6" s="48" t="str">
        <f>IFERROR(DL/(RadSpec!J6*IFCU_far_adj*CF_cucumber),".")</f>
        <v>.</v>
      </c>
      <c r="AM6" s="48" t="str">
        <f>IFERROR(DL/(RadSpec!J6*IFLE_far_adj*CF_lettuce),".")</f>
        <v>.</v>
      </c>
      <c r="AN6" s="48" t="str">
        <f>IFERROR(DL/(RadSpec!J6*IFLI_far_adj*CF_lima_bean),".")</f>
        <v>.</v>
      </c>
      <c r="AO6" s="48" t="str">
        <f>IFERROR(DL/(RadSpec!J6*IFOK_far_adj*CF_okra),".")</f>
        <v>.</v>
      </c>
      <c r="AP6" s="48" t="str">
        <f>IFERROR(DL/(RadSpec!J6*IFON_far_adj*CF_onion),".")</f>
        <v>.</v>
      </c>
      <c r="AQ6" s="48" t="str">
        <f>IFERROR(DL/(RadSpec!J6*IFPC_far_adj*CF_peach),".")</f>
        <v>.</v>
      </c>
      <c r="AR6" s="48" t="str">
        <f>IFERROR(DL/(RadSpec!J6*IFPR_far_adj*CF_pear),".")</f>
        <v>.</v>
      </c>
      <c r="AS6" s="48" t="str">
        <f>IFERROR(DL/(RadSpec!J6*IFPE_far_adj*CF_peas),".")</f>
        <v>.</v>
      </c>
      <c r="AT6" s="48" t="str">
        <f>IFERROR(DL/(RadSpec!J6*IFPT_far_adj*CF_potato),".")</f>
        <v>.</v>
      </c>
      <c r="AU6" s="48" t="str">
        <f>IFERROR(DL/(RadSpec!J6*IFPU_far_adj*CF_pumpkin),".")</f>
        <v>.</v>
      </c>
      <c r="AV6" s="48" t="str">
        <f>IFERROR(DL/(RadSpec!J6*IFSN_far_adj*CF_snap_bean),".")</f>
        <v>.</v>
      </c>
      <c r="AW6" s="48" t="str">
        <f>IFERROR(DL/(RadSpec!J6*IFST_far_adj*CF_strawberry),".")</f>
        <v>.</v>
      </c>
      <c r="AX6" s="48" t="str">
        <f>IFERROR(DL/(RadSpec!J6*IFTO_far_adj*CF_tomato),".")</f>
        <v>.</v>
      </c>
      <c r="AY6" s="48" t="str">
        <f>IFERROR(DL/(RadSpec!J6*IFRI_far_adj*CF_rice),".")</f>
        <v>.</v>
      </c>
      <c r="AZ6" s="48" t="str">
        <f>IFERROR(DL/(RadSpec!J6*IFCG_far_adj*CF_cereal),".")</f>
        <v>.</v>
      </c>
    </row>
    <row r="7" spans="1:52" x14ac:dyDescent="0.25">
      <c r="A7" s="61" t="s">
        <v>5</v>
      </c>
      <c r="B7" s="49" t="s">
        <v>1059</v>
      </c>
      <c r="C7" s="48">
        <f t="shared" si="4"/>
        <v>0.32394089104076218</v>
      </c>
      <c r="D7" s="48">
        <f>IFERROR(DL/(RadSpec!J7*IFAP_res_adj*CF_apple),".")</f>
        <v>5.8482779497025295</v>
      </c>
      <c r="E7" s="48">
        <f>IFERROR(DL/(RadSpec!J7*IFAS_res_adj*CF_asparagus),".")</f>
        <v>12.991745525587628</v>
      </c>
      <c r="F7" s="48">
        <f>IFERROR(DL/(RadSpec!J7*IFBT_res_adj*CF_beet),".")</f>
        <v>15.888904777793664</v>
      </c>
      <c r="G7" s="48">
        <f>IFERROR(DL/(RadSpec!J7*IFBE_res_adj*CF_berries),".")</f>
        <v>13.097250160293969</v>
      </c>
      <c r="H7" s="48">
        <f>IFERROR(DL/(RadSpec!J7*IFBR_res_adj*CF_broccoli),".")</f>
        <v>15.51370299788193</v>
      </c>
      <c r="I7" s="48">
        <f>IFERROR(DL/(RadSpec!J7*IFCB_res_adj*CF_cabbage),".")</f>
        <v>5.8172704824726633</v>
      </c>
      <c r="J7" s="48">
        <f>IFERROR(DL/(RadSpec!J7*IFCR_res_adj*CF_carrot),".")</f>
        <v>17.547465191444246</v>
      </c>
      <c r="K7" s="48">
        <f>IFERROR(DL/(RadSpec!J7*IFCI_res_adj*CF_citrus),".")</f>
        <v>1.5165402731198951</v>
      </c>
      <c r="L7" s="48">
        <f>IFERROR(DL/(RadSpec!J7*IFCO_res_adj*CF_corn),".")</f>
        <v>8.3268716809089476</v>
      </c>
      <c r="M7" s="48">
        <f>IFERROR(DL/(RadSpec!J7*IFCU_res_adj*CF_cucumber),".")</f>
        <v>6.1913757973795489</v>
      </c>
      <c r="N7" s="48">
        <f>IFERROR(DL/(RadSpec!J7*IFLE_res_adj*CF_lettuce),".")</f>
        <v>14.376208203492814</v>
      </c>
      <c r="O7" s="48">
        <f>IFERROR(DL/(RadSpec!J7*IFLI_res_adj*CF_lima_bean),".")</f>
        <v>15.58811195088947</v>
      </c>
      <c r="P7" s="48">
        <f>IFERROR(DL/(RadSpec!J7*IFOK_res_adj*CF_okra),".")</f>
        <v>17.529539860271683</v>
      </c>
      <c r="Q7" s="48">
        <f>IFERROR(DL/(RadSpec!J7*IFON_res_adj*CF_onion),".")</f>
        <v>23.675520364262088</v>
      </c>
      <c r="R7" s="48">
        <f>IFERROR(DL/(RadSpec!J7*IFPC_res_adj*CF_peach),".")</f>
        <v>3.7398368857426836</v>
      </c>
      <c r="S7" s="48">
        <f>IFERROR(DL/(RadSpec!J7*IFPR_res_adj*CF_pear),".")</f>
        <v>7.7571320157751513</v>
      </c>
      <c r="T7" s="48">
        <f>IFERROR(DL/(RadSpec!J7*IFPE_res_adj*CF_peas),".")</f>
        <v>12.384181432419069</v>
      </c>
      <c r="U7" s="48">
        <f>IFERROR(DL/(RadSpec!J7*IFPT_res_adj*CF_potato),".")</f>
        <v>3.8895022439452482</v>
      </c>
      <c r="V7" s="48">
        <f>IFERROR(DL/(RadSpec!J7*IFPU_res_adj*CF_pumpkin),".")</f>
        <v>7.1153789723417527</v>
      </c>
      <c r="W7" s="48">
        <f>IFERROR(DL/(RadSpec!J7*IFSN_res_adj*CF_snap_bean),".")</f>
        <v>8.9782853166554144</v>
      </c>
      <c r="X7" s="48">
        <f>IFERROR(DL/(RadSpec!J7*IFST_res_adj*CF_strawberry),".")</f>
        <v>11.593352853757136</v>
      </c>
      <c r="Y7" s="48">
        <f>IFERROR(DL/(RadSpec!J7*IFTO_res_adj*CF_tomato),".")</f>
        <v>6.2480036847226854</v>
      </c>
      <c r="Z7" s="48">
        <f>IFERROR(DL/(RadSpec!J7*IFRI_res_adj*CF_rice),".")</f>
        <v>6.8108279196105439</v>
      </c>
      <c r="AA7" s="48">
        <f>IFERROR(DL/(RadSpec!J7*IFCG_res_adj*CF_cereal),".")</f>
        <v>5.2739686143912685</v>
      </c>
      <c r="AB7" s="48">
        <f t="shared" si="5"/>
        <v>0.30600375121736512</v>
      </c>
      <c r="AC7" s="48">
        <f>IFERROR(DL/(RadSpec!J7*IFAP_far_adj*CF_apple),".")</f>
        <v>5.081137380083252</v>
      </c>
      <c r="AD7" s="48">
        <f>IFERROR(DL/(RadSpec!J7*IFAS_far_adj*CF_asparagus),".")</f>
        <v>12.185781252675161</v>
      </c>
      <c r="AE7" s="48">
        <f>IFERROR(DL/(RadSpec!J7*IFBT_far_adj*CF_beet),".")</f>
        <v>14.591851326545205</v>
      </c>
      <c r="AF7" s="48">
        <f>IFERROR(DL/(RadSpec!J7*IFBE_far_adj*CF_berries),".")</f>
        <v>12.739433674845703</v>
      </c>
      <c r="AG7" s="48">
        <f>IFERROR(DL/(RadSpec!J7*IFBR_far_adj*CF_broccoli),".")</f>
        <v>13.337491963327501</v>
      </c>
      <c r="AH7" s="48">
        <f>IFERROR(DL/(RadSpec!J7*IFCB_far_adj*CF_cabbage),".")</f>
        <v>5.7529895266250373</v>
      </c>
      <c r="AI7" s="48">
        <f>IFERROR(DL/(RadSpec!J7*IFCR_far_adj*CF_carrot),".")</f>
        <v>18.869603210927163</v>
      </c>
      <c r="AJ7" s="48">
        <f>IFERROR(DL/(RadSpec!J7*IFCI_far_adj*CF_citrus),".")</f>
        <v>1.4684252233456412</v>
      </c>
      <c r="AK7" s="48">
        <f>IFERROR(DL/(RadSpec!J7*IFCO_far_adj*CF_corn),".")</f>
        <v>5.7502905837467866</v>
      </c>
      <c r="AL7" s="48">
        <f>IFERROR(DL/(RadSpec!J7*IFCU_far_adj*CF_cucumber),".")</f>
        <v>8.7195209146428656</v>
      </c>
      <c r="AM7" s="48">
        <f>IFERROR(DL/(RadSpec!J7*IFLE_far_adj*CF_lettuce),".")</f>
        <v>13.197982741129952</v>
      </c>
      <c r="AN7" s="48">
        <f>IFERROR(DL/(RadSpec!J7*IFLI_far_adj*CF_lima_bean),".")</f>
        <v>14.442027571130417</v>
      </c>
      <c r="AO7" s="48">
        <f>IFERROR(DL/(RadSpec!J7*IFOK_far_adj*CF_okra),".")</f>
        <v>16.210105006628719</v>
      </c>
      <c r="AP7" s="48">
        <f>IFERROR(DL/(RadSpec!J7*IFON_far_adj*CF_onion),".")</f>
        <v>17.727290454563182</v>
      </c>
      <c r="AQ7" s="48">
        <f>IFERROR(DL/(RadSpec!J7*IFPC_far_adj*CF_peach),".")</f>
        <v>4.1841454111033753</v>
      </c>
      <c r="AR7" s="48">
        <f>IFERROR(DL/(RadSpec!J7*IFPR_far_adj*CF_pear),".")</f>
        <v>6.8695024659796475</v>
      </c>
      <c r="AS7" s="48">
        <f>IFERROR(DL/(RadSpec!J7*IFPE_far_adj*CF_peas),".")</f>
        <v>13.728013728013728</v>
      </c>
      <c r="AT7" s="48">
        <f>IFERROR(DL/(RadSpec!J7*IFPT_far_adj*CF_potato),".")</f>
        <v>3.3223653746403015</v>
      </c>
      <c r="AU7" s="48">
        <f>IFERROR(DL/(RadSpec!J7*IFPU_far_adj*CF_pumpkin),".")</f>
        <v>6.9350214840030553</v>
      </c>
      <c r="AV7" s="48">
        <f>IFERROR(DL/(RadSpec!J7*IFSN_far_adj*CF_snap_bean),".")</f>
        <v>8.5466765414967423</v>
      </c>
      <c r="AW7" s="48">
        <f>IFERROR(DL/(RadSpec!J7*IFST_far_adj*CF_strawberry),".")</f>
        <v>11.224501020419387</v>
      </c>
      <c r="AX7" s="48">
        <f>IFERROR(DL/(RadSpec!J7*IFTO_far_adj*CF_tomato),".")</f>
        <v>5.0290185686704065</v>
      </c>
      <c r="AY7" s="48">
        <f>IFERROR(DL/(RadSpec!J7*IFRI_far_adj*CF_rice),".")</f>
        <v>5.3328414320396416</v>
      </c>
      <c r="AZ7" s="48">
        <f>IFERROR(DL/(RadSpec!J7*IFCG_far_adj*CF_cereal),".")</f>
        <v>5.0461733694104449</v>
      </c>
    </row>
    <row r="8" spans="1:52" x14ac:dyDescent="0.25">
      <c r="A8" s="61" t="s">
        <v>6</v>
      </c>
      <c r="B8" s="49" t="s">
        <v>1059</v>
      </c>
      <c r="C8" s="48">
        <f t="shared" si="4"/>
        <v>2.1757224025125819</v>
      </c>
      <c r="D8" s="48">
        <f>IFERROR(DL/(RadSpec!J8*IFAP_res_adj*CF_apple),".")</f>
        <v>39.279478766658777</v>
      </c>
      <c r="E8" s="48">
        <f>IFERROR(DL/(RadSpec!J8*IFAS_res_adj*CF_asparagus),".")</f>
        <v>87.25799233603631</v>
      </c>
      <c r="F8" s="48">
        <f>IFERROR(DL/(RadSpec!J8*IFBT_res_adj*CF_beet),".")</f>
        <v>106.71652462697237</v>
      </c>
      <c r="G8" s="48">
        <f>IFERROR(DL/(RadSpec!J8*IFBE_res_adj*CF_berries),".")</f>
        <v>87.966605554213217</v>
      </c>
      <c r="H8" s="48">
        <f>IFERROR(DL/(RadSpec!J8*IFBR_res_adj*CF_broccoli),".")</f>
        <v>104.19651267234133</v>
      </c>
      <c r="I8" s="48">
        <f>IFERROR(DL/(RadSpec!J8*IFCB_res_adj*CF_cabbage),".")</f>
        <v>39.071219658398483</v>
      </c>
      <c r="J8" s="48">
        <f>IFERROR(DL/(RadSpec!J8*IFCR_res_adj*CF_carrot),".")</f>
        <v>117.8561094947748</v>
      </c>
      <c r="K8" s="48">
        <f>IFERROR(DL/(RadSpec!J8*IFCI_res_adj*CF_citrus),".")</f>
        <v>10.185718252297804</v>
      </c>
      <c r="L8" s="48">
        <f>IFERROR(DL/(RadSpec!J8*IFCO_res_adj*CF_corn),".")</f>
        <v>55.926750095657113</v>
      </c>
      <c r="M8" s="48">
        <f>IFERROR(DL/(RadSpec!J8*IFCU_res_adj*CF_cucumber),".")</f>
        <v>41.583867295832789</v>
      </c>
      <c r="N8" s="48">
        <f>IFERROR(DL/(RadSpec!J8*IFLE_res_adj*CF_lettuce),".")</f>
        <v>96.556622262265151</v>
      </c>
      <c r="O8" s="48">
        <f>IFERROR(DL/(RadSpec!J8*IFLI_res_adj*CF_lima_bean),".")</f>
        <v>104.69627429701883</v>
      </c>
      <c r="P8" s="48">
        <f>IFERROR(DL/(RadSpec!J8*IFOK_res_adj*CF_okra),".")</f>
        <v>117.73571547943669</v>
      </c>
      <c r="Q8" s="48">
        <f>IFERROR(DL/(RadSpec!J8*IFON_res_adj*CF_onion),".")</f>
        <v>159.01468901370058</v>
      </c>
      <c r="R8" s="48">
        <f>IFERROR(DL/(RadSpec!J8*IFPC_res_adj*CF_peach),".")</f>
        <v>25.118307441555338</v>
      </c>
      <c r="S8" s="48">
        <f>IFERROR(DL/(RadSpec!J8*IFPR_res_adj*CF_pear),".")</f>
        <v>52.100140404459978</v>
      </c>
      <c r="T8" s="48">
        <f>IFERROR(DL/(RadSpec!J8*IFPE_res_adj*CF_peas),".")</f>
        <v>83.177337978934048</v>
      </c>
      <c r="U8" s="48">
        <f>IFERROR(DL/(RadSpec!J8*IFPT_res_adj*CF_potato),".")</f>
        <v>26.123522533960621</v>
      </c>
      <c r="V8" s="48">
        <f>IFERROR(DL/(RadSpec!J8*IFPU_res_adj*CF_pumpkin),".")</f>
        <v>47.789858769459528</v>
      </c>
      <c r="W8" s="48">
        <f>IFERROR(DL/(RadSpec!J8*IFSN_res_adj*CF_snap_bean),".")</f>
        <v>60.301916305894579</v>
      </c>
      <c r="X8" s="48">
        <f>IFERROR(DL/(RadSpec!J8*IFST_res_adj*CF_strawberry),".")</f>
        <v>77.86580274911509</v>
      </c>
      <c r="Y8" s="48">
        <f>IFERROR(DL/(RadSpec!J8*IFTO_res_adj*CF_tomato),".")</f>
        <v>41.96420385261505</v>
      </c>
      <c r="Z8" s="48">
        <f>IFERROR(DL/(RadSpec!J8*IFRI_res_adj*CF_rice),".")</f>
        <v>45.744366624249921</v>
      </c>
      <c r="AA8" s="48">
        <f>IFERROR(DL/(RadSpec!J8*IFCG_res_adj*CF_cereal),".")</f>
        <v>35.422177260836882</v>
      </c>
      <c r="AB8" s="48">
        <f t="shared" si="5"/>
        <v>2.0552490753405119</v>
      </c>
      <c r="AC8" s="48">
        <f>IFERROR(DL/(RadSpec!J8*IFAP_far_adj*CF_apple),".")</f>
        <v>34.127042105036772</v>
      </c>
      <c r="AD8" s="48">
        <f>IFERROR(DL/(RadSpec!J8*IFAS_far_adj*CF_asparagus),".")</f>
        <v>81.844799458266024</v>
      </c>
      <c r="AE8" s="48">
        <f>IFERROR(DL/(RadSpec!J8*IFBT_far_adj*CF_beet),".")</f>
        <v>98.004971596199127</v>
      </c>
      <c r="AF8" s="48">
        <f>IFERROR(DL/(RadSpec!J8*IFBE_far_adj*CF_berries),".")</f>
        <v>85.563360502695005</v>
      </c>
      <c r="AG8" s="48">
        <f>IFERROR(DL/(RadSpec!J8*IFBR_far_adj*CF_broccoli),".")</f>
        <v>89.580169902945912</v>
      </c>
      <c r="AH8" s="48">
        <f>IFERROR(DL/(RadSpec!J8*IFCB_far_adj*CF_cabbage),".")</f>
        <v>38.639481895242788</v>
      </c>
      <c r="AI8" s="48">
        <f>IFERROR(DL/(RadSpec!J8*IFCR_far_adj*CF_carrot),".")</f>
        <v>126.73614096891379</v>
      </c>
      <c r="AJ8" s="48">
        <f>IFERROR(DL/(RadSpec!J8*IFCI_far_adj*CF_citrus),".")</f>
        <v>9.8625574702319181</v>
      </c>
      <c r="AK8" s="48">
        <f>IFERROR(DL/(RadSpec!J8*IFCO_far_adj*CF_corn),".")</f>
        <v>38.62135466695603</v>
      </c>
      <c r="AL8" s="48">
        <f>IFERROR(DL/(RadSpec!J8*IFCU_far_adj*CF_cucumber),".")</f>
        <v>58.563946441631195</v>
      </c>
      <c r="AM8" s="48">
        <f>IFERROR(DL/(RadSpec!J8*IFLE_far_adj*CF_lettuce),".")</f>
        <v>88.643167664305636</v>
      </c>
      <c r="AN8" s="48">
        <f>IFERROR(DL/(RadSpec!J8*IFLI_far_adj*CF_lima_bean),".")</f>
        <v>96.998692641920712</v>
      </c>
      <c r="AO8" s="48">
        <f>IFERROR(DL/(RadSpec!J8*IFOK_far_adj*CF_okra),".")</f>
        <v>108.87383959676005</v>
      </c>
      <c r="AP8" s="48">
        <f>IFERROR(DL/(RadSpec!J8*IFON_far_adj*CF_onion),".")</f>
        <v>119.06389111273779</v>
      </c>
      <c r="AQ8" s="48">
        <f>IFERROR(DL/(RadSpec!J8*IFPC_far_adj*CF_peach),".")</f>
        <v>28.10246917905252</v>
      </c>
      <c r="AR8" s="48">
        <f>IFERROR(DL/(RadSpec!J8*IFPR_far_adj*CF_pear),".")</f>
        <v>46.138449398370774</v>
      </c>
      <c r="AS8" s="48">
        <f>IFERROR(DL/(RadSpec!J8*IFPE_far_adj*CF_peas),".")</f>
        <v>92.203077277704153</v>
      </c>
      <c r="AT8" s="48">
        <f>IFERROR(DL/(RadSpec!J8*IFPT_far_adj*CF_potato),".")</f>
        <v>22.314394307285607</v>
      </c>
      <c r="AU8" s="48">
        <f>IFERROR(DL/(RadSpec!J8*IFPU_far_adj*CF_pumpkin),".")</f>
        <v>46.578502504498132</v>
      </c>
      <c r="AV8" s="48">
        <f>IFERROR(DL/(RadSpec!J8*IFSN_far_adj*CF_snap_bean),".")</f>
        <v>57.403051398112453</v>
      </c>
      <c r="AW8" s="48">
        <f>IFERROR(DL/(RadSpec!J8*IFST_far_adj*CF_strawberry),".")</f>
        <v>75.388439689383958</v>
      </c>
      <c r="AX8" s="48">
        <f>IFERROR(DL/(RadSpec!J8*IFTO_far_adj*CF_tomato),".")</f>
        <v>33.776990386592281</v>
      </c>
      <c r="AY8" s="48">
        <f>IFERROR(DL/(RadSpec!J8*IFRI_far_adj*CF_rice),".")</f>
        <v>35.817591707728937</v>
      </c>
      <c r="AZ8" s="48">
        <f>IFERROR(DL/(RadSpec!J8*IFCG_far_adj*CF_cereal),".")</f>
        <v>33.892209197532836</v>
      </c>
    </row>
    <row r="9" spans="1:52" x14ac:dyDescent="0.25">
      <c r="A9" s="61" t="s">
        <v>7</v>
      </c>
      <c r="B9" s="49" t="s">
        <v>1059</v>
      </c>
      <c r="C9" s="48">
        <f t="shared" si="4"/>
        <v>3.9133798917675966</v>
      </c>
      <c r="D9" s="48">
        <f>IFERROR(DL/(RadSpec!J9*IFAP_res_adj*CF_apple),".")</f>
        <v>70.650337647413096</v>
      </c>
      <c r="E9" s="48">
        <f>IFERROR(DL/(RadSpec!J9*IFAS_res_adj*CF_asparagus),".")</f>
        <v>156.9472613829378</v>
      </c>
      <c r="F9" s="48">
        <f>IFERROR(DL/(RadSpec!J9*IFBT_res_adj*CF_beet),".")</f>
        <v>191.94650067133284</v>
      </c>
      <c r="G9" s="48">
        <f>IFERROR(DL/(RadSpec!J9*IFBE_res_adj*CF_berries),".")</f>
        <v>158.22181401697412</v>
      </c>
      <c r="H9" s="48">
        <f>IFERROR(DL/(RadSpec!J9*IFBR_res_adj*CF_broccoli),".")</f>
        <v>187.41386171937904</v>
      </c>
      <c r="I9" s="48">
        <f>IFERROR(DL/(RadSpec!J9*IFCB_res_adj*CF_cabbage),".")</f>
        <v>70.275750794971771</v>
      </c>
      <c r="J9" s="48">
        <f>IFERROR(DL/(RadSpec!J9*IFCR_res_adj*CF_carrot),".")</f>
        <v>211.98280097046742</v>
      </c>
      <c r="K9" s="48">
        <f>IFERROR(DL/(RadSpec!J9*IFCI_res_adj*CF_citrus),".")</f>
        <v>18.320620749099405</v>
      </c>
      <c r="L9" s="48">
        <f>IFERROR(DL/(RadSpec!J9*IFCO_res_adj*CF_corn),".")</f>
        <v>100.59308070896715</v>
      </c>
      <c r="M9" s="48">
        <f>IFERROR(DL/(RadSpec!J9*IFCU_res_adj*CF_cucumber),".")</f>
        <v>74.795143860960991</v>
      </c>
      <c r="N9" s="48">
        <f>IFERROR(DL/(RadSpec!J9*IFLE_res_adj*CF_lettuce),".")</f>
        <v>173.67231386769839</v>
      </c>
      <c r="O9" s="48">
        <f>IFERROR(DL/(RadSpec!J9*IFLI_res_adj*CF_lima_bean),".")</f>
        <v>188.31276182282579</v>
      </c>
      <c r="P9" s="48">
        <f>IFERROR(DL/(RadSpec!J9*IFOK_res_adj*CF_okra),".")</f>
        <v>211.76625334556397</v>
      </c>
      <c r="Q9" s="48">
        <f>IFERROR(DL/(RadSpec!J9*IFON_res_adj*CF_onion),".")</f>
        <v>286.01299768907217</v>
      </c>
      <c r="R9" s="48">
        <f>IFERROR(DL/(RadSpec!J9*IFPC_res_adj*CF_peach),".")</f>
        <v>45.17923754588476</v>
      </c>
      <c r="S9" s="48">
        <f>IFERROR(DL/(RadSpec!J9*IFPR_res_adj*CF_pear),".")</f>
        <v>93.710319653659539</v>
      </c>
      <c r="T9" s="48">
        <f>IFERROR(DL/(RadSpec!J9*IFPE_res_adj*CF_peas),".")</f>
        <v>149.60756092855249</v>
      </c>
      <c r="U9" s="48">
        <f>IFERROR(DL/(RadSpec!J9*IFPT_res_adj*CF_potato),".")</f>
        <v>46.987275430211049</v>
      </c>
      <c r="V9" s="48">
        <f>IFERROR(DL/(RadSpec!J9*IFPU_res_adj*CF_pumpkin),".")</f>
        <v>85.957598323591625</v>
      </c>
      <c r="W9" s="48">
        <f>IFERROR(DL/(RadSpec!J9*IFSN_res_adj*CF_snap_bean),".")</f>
        <v>108.46250718107211</v>
      </c>
      <c r="X9" s="48">
        <f>IFERROR(DL/(RadSpec!J9*IFST_res_adj*CF_strawberry),".")</f>
        <v>140.05392709236807</v>
      </c>
      <c r="Y9" s="48">
        <f>IFERROR(DL/(RadSpec!J9*IFTO_res_adj*CF_tomato),".")</f>
        <v>75.479239144300891</v>
      </c>
      <c r="Z9" s="48">
        <f>IFERROR(DL/(RadSpec!J9*IFRI_res_adj*CF_rice),".")</f>
        <v>82.278458089254883</v>
      </c>
      <c r="AA9" s="48">
        <f>IFERROR(DL/(RadSpec!J9*IFCG_res_adj*CF_cereal),".")</f>
        <v>63.712372522847531</v>
      </c>
      <c r="AB9" s="48">
        <f t="shared" si="5"/>
        <v>3.6966896120218617</v>
      </c>
      <c r="AC9" s="48">
        <f>IFERROR(DL/(RadSpec!J9*IFAP_far_adj*CF_apple),".")</f>
        <v>61.382867678858076</v>
      </c>
      <c r="AD9" s="48">
        <f>IFERROR(DL/(RadSpec!J9*IFAS_far_adj*CF_asparagus),".")</f>
        <v>147.21078023365965</v>
      </c>
      <c r="AE9" s="48">
        <f>IFERROR(DL/(RadSpec!J9*IFBT_far_adj*CF_beet),".")</f>
        <v>176.27739857571387</v>
      </c>
      <c r="AF9" s="48">
        <f>IFERROR(DL/(RadSpec!J9*IFBE_far_adj*CF_berries),".")</f>
        <v>153.89919875652524</v>
      </c>
      <c r="AG9" s="48">
        <f>IFERROR(DL/(RadSpec!J9*IFBR_far_adj*CF_broccoli),".")</f>
        <v>161.12406398650671</v>
      </c>
      <c r="AH9" s="48">
        <f>IFERROR(DL/(RadSpec!J9*IFCB_far_adj*CF_cabbage),".")</f>
        <v>69.499202335067565</v>
      </c>
      <c r="AI9" s="48">
        <f>IFERROR(DL/(RadSpec!J9*IFCR_far_adj*CF_carrot),".")</f>
        <v>227.95493811858316</v>
      </c>
      <c r="AJ9" s="48">
        <f>IFERROR(DL/(RadSpec!J9*IFCI_far_adj*CF_citrus),".")</f>
        <v>17.739365114242645</v>
      </c>
      <c r="AK9" s="48">
        <f>IFERROR(DL/(RadSpec!J9*IFCO_far_adj*CF_corn),".")</f>
        <v>69.46659765600144</v>
      </c>
      <c r="AL9" s="48">
        <f>IFERROR(DL/(RadSpec!J9*IFCU_far_adj*CF_cucumber),".")</f>
        <v>105.33649427085342</v>
      </c>
      <c r="AM9" s="48">
        <f>IFERROR(DL/(RadSpec!J9*IFLE_far_adj*CF_lettuce),".")</f>
        <v>159.43871767807994</v>
      </c>
      <c r="AN9" s="48">
        <f>IFERROR(DL/(RadSpec!J9*IFLI_far_adj*CF_lima_bean),".")</f>
        <v>174.46744716801845</v>
      </c>
      <c r="AO9" s="48">
        <f>IFERROR(DL/(RadSpec!J9*IFOK_far_adj*CF_okra),".")</f>
        <v>195.826771892159</v>
      </c>
      <c r="AP9" s="48">
        <f>IFERROR(DL/(RadSpec!J9*IFON_far_adj*CF_onion),".")</f>
        <v>214.15518669942097</v>
      </c>
      <c r="AQ9" s="48">
        <f>IFERROR(DL/(RadSpec!J9*IFPC_far_adj*CF_peach),".")</f>
        <v>50.546723087154859</v>
      </c>
      <c r="AR9" s="48">
        <f>IFERROR(DL/(RadSpec!J9*IFPR_far_adj*CF_pear),".")</f>
        <v>82.987278112505805</v>
      </c>
      <c r="AS9" s="48">
        <f>IFERROR(DL/(RadSpec!J9*IFPE_far_adj*CF_peas),".")</f>
        <v>165.84177658003159</v>
      </c>
      <c r="AT9" s="48">
        <f>IFERROR(DL/(RadSpec!J9*IFPT_far_adj*CF_potato),".")</f>
        <v>40.135957545990216</v>
      </c>
      <c r="AU9" s="48">
        <f>IFERROR(DL/(RadSpec!J9*IFPU_far_adj*CF_pumpkin),".")</f>
        <v>83.778783028224822</v>
      </c>
      <c r="AV9" s="48">
        <f>IFERROR(DL/(RadSpec!J9*IFSN_far_adj*CF_snap_bean),".")</f>
        <v>103.24844144090025</v>
      </c>
      <c r="AW9" s="48">
        <f>IFERROR(DL/(RadSpec!J9*IFST_far_adj*CF_strawberry),".")</f>
        <v>135.5979989043953</v>
      </c>
      <c r="AX9" s="48">
        <f>IFERROR(DL/(RadSpec!J9*IFTO_far_adj*CF_tomato),".")</f>
        <v>60.75324445373645</v>
      </c>
      <c r="AY9" s="48">
        <f>IFERROR(DL/(RadSpec!J9*IFRI_far_adj*CF_rice),".")</f>
        <v>64.423587769606414</v>
      </c>
      <c r="AZ9" s="48">
        <f>IFERROR(DL/(RadSpec!J9*IFCG_far_adj*CF_cereal),".")</f>
        <v>60.960483657307378</v>
      </c>
    </row>
    <row r="10" spans="1:52" x14ac:dyDescent="0.25">
      <c r="A10" s="63" t="s">
        <v>8</v>
      </c>
      <c r="B10" s="49" t="s">
        <v>336</v>
      </c>
      <c r="C10" s="48">
        <f t="shared" ref="C10" si="6">IFERROR(1/SUM(1/D10,1/E10,1/F10,1/G10,1/H10,1/I10,1/J10,1/K10,1/L10,1/M10,1/N10,1/O10,1/P10,1/Q10,1/R10,1/S10,1/T10,1/U10,1/V10,1/W10,1/X10,1/Y10),".")</f>
        <v>4.3841624351381343E-2</v>
      </c>
      <c r="D10" s="48">
        <f>IFERROR(DL/(RadSpec!J10*IFAP_res_adj*CF_apple),".")</f>
        <v>0.79149626386951522</v>
      </c>
      <c r="E10" s="48">
        <f>IFERROR(DL/(RadSpec!J10*IFAS_res_adj*CF_asparagus),".")</f>
        <v>1.7582813493276488</v>
      </c>
      <c r="F10" s="48">
        <f>IFERROR(DL/(RadSpec!J10*IFBT_res_adj*CF_beet),".")</f>
        <v>2.1503780902277141</v>
      </c>
      <c r="G10" s="48">
        <f>IFERROR(DL/(RadSpec!J10*IFBE_res_adj*CF_berries),".")</f>
        <v>1.7725601720698603</v>
      </c>
      <c r="H10" s="48">
        <f>IFERROR(DL/(RadSpec!J10*IFBR_res_adj*CF_broccoli),".")</f>
        <v>2.0995989019689834</v>
      </c>
      <c r="I10" s="48">
        <f>IFERROR(DL/(RadSpec!J10*IFCB_res_adj*CF_cabbage),".")</f>
        <v>0.78729976454517248</v>
      </c>
      <c r="J10" s="48">
        <f>IFERROR(DL/(RadSpec!J10*IFCR_res_adj*CF_carrot),".")</f>
        <v>2.3748449131277929</v>
      </c>
      <c r="K10" s="48">
        <f>IFERROR(DL/(RadSpec!J10*IFCI_res_adj*CF_citrus),".")</f>
        <v>0.20524605200118881</v>
      </c>
      <c r="L10" s="48">
        <f>IFERROR(DL/(RadSpec!J10*IFCO_res_adj*CF_corn),".")</f>
        <v>1.1269450395215119</v>
      </c>
      <c r="M10" s="48">
        <f>IFERROR(DL/(RadSpec!J10*IFCU_res_adj*CF_cucumber),".")</f>
        <v>0.83793055904384872</v>
      </c>
      <c r="N10" s="48">
        <f>IFERROR(DL/(RadSpec!J10*IFLE_res_adj*CF_lettuce),".")</f>
        <v>1.9456522380666965</v>
      </c>
      <c r="O10" s="48">
        <f>IFERROR(DL/(RadSpec!J10*IFLI_res_adj*CF_lima_bean),".")</f>
        <v>2.1096692865865445</v>
      </c>
      <c r="P10" s="48">
        <f>IFERROR(DL/(RadSpec!J10*IFOK_res_adj*CF_okra),".")</f>
        <v>2.3724189284578223</v>
      </c>
      <c r="Q10" s="48">
        <f>IFERROR(DL/(RadSpec!J10*IFON_res_adj*CF_onion),".")</f>
        <v>3.2042057635843428</v>
      </c>
      <c r="R10" s="48">
        <f>IFERROR(DL/(RadSpec!J10*IFPC_res_adj*CF_peach),".")</f>
        <v>0.50614333792006239</v>
      </c>
      <c r="S10" s="48">
        <f>IFERROR(DL/(RadSpec!J10*IFPR_res_adj*CF_pear),".")</f>
        <v>1.0498374156688175</v>
      </c>
      <c r="T10" s="48">
        <f>IFERROR(DL/(RadSpec!J10*IFPE_res_adj*CF_peas),".")</f>
        <v>1.6760546299514529</v>
      </c>
      <c r="U10" s="48">
        <f>IFERROR(DL/(RadSpec!J10*IFPT_res_adj*CF_potato),".")</f>
        <v>0.52639879993243965</v>
      </c>
      <c r="V10" s="48">
        <f>IFERROR(DL/(RadSpec!J10*IFPU_res_adj*CF_pumpkin),".")</f>
        <v>0.96298362031692886</v>
      </c>
      <c r="W10" s="48">
        <f>IFERROR(DL/(RadSpec!J10*IFSN_res_adj*CF_snap_bean),".")</f>
        <v>1.2151062834571238</v>
      </c>
      <c r="X10" s="48">
        <f>IFERROR(DL/(RadSpec!J10*IFST_res_adj*CF_strawberry),".")</f>
        <v>1.5690251982528454</v>
      </c>
      <c r="Y10" s="48">
        <f>IFERROR(DL/(RadSpec!J10*IFTO_res_adj*CF_tomato),".")</f>
        <v>0.84559448364667911</v>
      </c>
      <c r="Z10" s="48">
        <f>IFERROR(DL/(RadSpec!J10*IFRI_res_adj*CF_rice),".")</f>
        <v>0.92176618460894577</v>
      </c>
      <c r="AA10" s="48">
        <f>IFERROR(DL/(RadSpec!J10*IFCG_res_adj*CF_cereal),".")</f>
        <v>0.71377018841385587</v>
      </c>
      <c r="AB10" s="48">
        <f t="shared" ref="AB10" si="7">IFERROR(1/SUM(1/AC10,1/AD10,1/AE10,1/AF10,1/AG10,1/AH10,1/AI10,1/AJ10,1/AK10,1/AL10,1/AM10,1/AN10,1/AO10,1/AP10,1/AQ10,1/AR10,1/AS10,1/AT10,1/AU10,1/AV10,1/AW10,1/AX10),".")</f>
        <v>4.1414041518139655E-2</v>
      </c>
      <c r="AC10" s="48">
        <f>IFERROR(DL/(RadSpec!J10*IFAP_far_adj*CF_apple),".")</f>
        <v>0.6876727281315681</v>
      </c>
      <c r="AD10" s="48">
        <f>IFERROR(DL/(RadSpec!J10*IFAS_far_adj*CF_asparagus),".")</f>
        <v>1.649203477805661</v>
      </c>
      <c r="AE10" s="48">
        <f>IFERROR(DL/(RadSpec!J10*IFBT_far_adj*CF_beet),".")</f>
        <v>1.9748370216376969</v>
      </c>
      <c r="AF10" s="48">
        <f>IFERROR(DL/(RadSpec!J10*IFBE_far_adj*CF_berries),".")</f>
        <v>1.7241338808061852</v>
      </c>
      <c r="AG10" s="48">
        <f>IFERROR(DL/(RadSpec!J10*IFBR_far_adj*CF_broccoli),".")</f>
        <v>1.8050741002999628</v>
      </c>
      <c r="AH10" s="48">
        <f>IFERROR(DL/(RadSpec!J10*IFCB_far_adj*CF_cabbage),".")</f>
        <v>0.77860008631015543</v>
      </c>
      <c r="AI10" s="48">
        <f>IFERROR(DL/(RadSpec!J10*IFCR_far_adj*CF_carrot),".")</f>
        <v>2.5537808856893904</v>
      </c>
      <c r="AJ10" s="48">
        <f>IFERROR(DL/(RadSpec!J10*IFCI_far_adj*CF_citrus),".")</f>
        <v>0.19873424075354545</v>
      </c>
      <c r="AK10" s="48">
        <f>IFERROR(DL/(RadSpec!J10*IFCO_far_adj*CF_corn),".")</f>
        <v>0.77823481584542975</v>
      </c>
      <c r="AL10" s="48">
        <f>IFERROR(DL/(RadSpec!J10*IFCU_far_adj*CF_cucumber),".")</f>
        <v>1.1800855373200871</v>
      </c>
      <c r="AM10" s="48">
        <f>IFERROR(DL/(RadSpec!J10*IFLE_far_adj*CF_lettuce),".")</f>
        <v>1.7861931529348805</v>
      </c>
      <c r="AN10" s="48">
        <f>IFERROR(DL/(RadSpec!J10*IFLI_far_adj*CF_lima_bean),".")</f>
        <v>1.9545601224086282</v>
      </c>
      <c r="AO10" s="48">
        <f>IFERROR(DL/(RadSpec!J10*IFOK_far_adj*CF_okra),".")</f>
        <v>2.1938487978896006</v>
      </c>
      <c r="AP10" s="48">
        <f>IFERROR(DL/(RadSpec!J10*IFON_far_adj*CF_onion),".")</f>
        <v>2.3991821667829871</v>
      </c>
      <c r="AQ10" s="48">
        <f>IFERROR(DL/(RadSpec!J10*IFPC_far_adj*CF_peach),".")</f>
        <v>0.5662753187959455</v>
      </c>
      <c r="AR10" s="48">
        <f>IFERROR(DL/(RadSpec!J10*IFPR_far_adj*CF_pear),".")</f>
        <v>0.92970710065889961</v>
      </c>
      <c r="AS10" s="48">
        <f>IFERROR(DL/(RadSpec!J10*IFPE_far_adj*CF_peas),".")</f>
        <v>1.8579266699567454</v>
      </c>
      <c r="AT10" s="48">
        <f>IFERROR(DL/(RadSpec!J10*IFPT_far_adj*CF_potato),".")</f>
        <v>0.44964343416184532</v>
      </c>
      <c r="AU10" s="48">
        <f>IFERROR(DL/(RadSpec!J10*IFPU_far_adj*CF_pumpkin),".")</f>
        <v>0.93857433618086472</v>
      </c>
      <c r="AV10" s="48">
        <f>IFERROR(DL/(RadSpec!J10*IFSN_far_adj*CF_snap_bean),".")</f>
        <v>1.1566930657664765</v>
      </c>
      <c r="AW10" s="48">
        <f>IFERROR(DL/(RadSpec!J10*IFST_far_adj*CF_strawberry),".")</f>
        <v>1.5191054012597667</v>
      </c>
      <c r="AX10" s="48">
        <f>IFERROR(DL/(RadSpec!J10*IFTO_far_adj*CF_tomato),".")</f>
        <v>0.68061905440652115</v>
      </c>
      <c r="AY10" s="48">
        <f>IFERROR(DL/(RadSpec!J10*IFRI_far_adj*CF_rice),".")</f>
        <v>0.72173793817077858</v>
      </c>
      <c r="AZ10" s="48">
        <f>IFERROR(DL/(RadSpec!J10*IFCG_far_adj*CF_cereal),".")</f>
        <v>0.6829407567623158</v>
      </c>
    </row>
    <row r="11" spans="1:52" x14ac:dyDescent="0.25">
      <c r="A11" s="61" t="s">
        <v>9</v>
      </c>
      <c r="B11" s="49" t="s">
        <v>1059</v>
      </c>
      <c r="C11" s="48" t="str">
        <f t="shared" ref="C11" si="8">IFERROR(1/SUM(1/D11,1/E11,1/F11,1/G11,1/H11,1/I11,1/J11,1/K11,1/L11,1/M11,1/N11,1/O11,1/P11,1/Q11,1/R11,1/S11,1/T11,1/U11,1/V11,1/W11,1/X11,1/Y11),".")</f>
        <v>.</v>
      </c>
      <c r="D11" s="48" t="str">
        <f>IFERROR(DL/(RadSpec!J11*IFAP_res_adj*CF_apple),".")</f>
        <v>.</v>
      </c>
      <c r="E11" s="48" t="str">
        <f>IFERROR(DL/(RadSpec!J11*IFAS_res_adj*CF_asparagus),".")</f>
        <v>.</v>
      </c>
      <c r="F11" s="48" t="str">
        <f>IFERROR(DL/(RadSpec!J11*IFBT_res_adj*CF_beet),".")</f>
        <v>.</v>
      </c>
      <c r="G11" s="48" t="str">
        <f>IFERROR(DL/(RadSpec!J11*IFBE_res_adj*CF_berries),".")</f>
        <v>.</v>
      </c>
      <c r="H11" s="48" t="str">
        <f>IFERROR(DL/(RadSpec!J11*IFBR_res_adj*CF_broccoli),".")</f>
        <v>.</v>
      </c>
      <c r="I11" s="48" t="str">
        <f>IFERROR(DL/(RadSpec!J11*IFCB_res_adj*CF_cabbage),".")</f>
        <v>.</v>
      </c>
      <c r="J11" s="48" t="str">
        <f>IFERROR(DL/(RadSpec!J11*IFCR_res_adj*CF_carrot),".")</f>
        <v>.</v>
      </c>
      <c r="K11" s="48" t="str">
        <f>IFERROR(DL/(RadSpec!J11*IFCI_res_adj*CF_citrus),".")</f>
        <v>.</v>
      </c>
      <c r="L11" s="48" t="str">
        <f>IFERROR(DL/(RadSpec!J11*IFCO_res_adj*CF_corn),".")</f>
        <v>.</v>
      </c>
      <c r="M11" s="48" t="str">
        <f>IFERROR(DL/(RadSpec!J11*IFCU_res_adj*CF_cucumber),".")</f>
        <v>.</v>
      </c>
      <c r="N11" s="48" t="str">
        <f>IFERROR(DL/(RadSpec!J11*IFLE_res_adj*CF_lettuce),".")</f>
        <v>.</v>
      </c>
      <c r="O11" s="48" t="str">
        <f>IFERROR(DL/(RadSpec!J11*IFLI_res_adj*CF_lima_bean),".")</f>
        <v>.</v>
      </c>
      <c r="P11" s="48" t="str">
        <f>IFERROR(DL/(RadSpec!J11*IFOK_res_adj*CF_okra),".")</f>
        <v>.</v>
      </c>
      <c r="Q11" s="48" t="str">
        <f>IFERROR(DL/(RadSpec!J11*IFON_res_adj*CF_onion),".")</f>
        <v>.</v>
      </c>
      <c r="R11" s="48" t="str">
        <f>IFERROR(DL/(RadSpec!J11*IFPC_res_adj*CF_peach),".")</f>
        <v>.</v>
      </c>
      <c r="S11" s="48" t="str">
        <f>IFERROR(DL/(RadSpec!J11*IFPR_res_adj*CF_pear),".")</f>
        <v>.</v>
      </c>
      <c r="T11" s="48" t="str">
        <f>IFERROR(DL/(RadSpec!J11*IFPE_res_adj*CF_peas),".")</f>
        <v>.</v>
      </c>
      <c r="U11" s="48" t="str">
        <f>IFERROR(DL/(RadSpec!J11*IFPT_res_adj*CF_potato),".")</f>
        <v>.</v>
      </c>
      <c r="V11" s="48" t="str">
        <f>IFERROR(DL/(RadSpec!J11*IFPU_res_adj*CF_pumpkin),".")</f>
        <v>.</v>
      </c>
      <c r="W11" s="48" t="str">
        <f>IFERROR(DL/(RadSpec!J11*IFSN_res_adj*CF_snap_bean),".")</f>
        <v>.</v>
      </c>
      <c r="X11" s="48" t="str">
        <f>IFERROR(DL/(RadSpec!J11*IFST_res_adj*CF_strawberry),".")</f>
        <v>.</v>
      </c>
      <c r="Y11" s="48" t="str">
        <f>IFERROR(DL/(RadSpec!J11*IFTO_res_adj*CF_tomato),".")</f>
        <v>.</v>
      </c>
      <c r="Z11" s="48" t="str">
        <f>IFERROR(DL/(RadSpec!J11*IFRI_res_adj*CF_rice),".")</f>
        <v>.</v>
      </c>
      <c r="AA11" s="48" t="str">
        <f>IFERROR(DL/(RadSpec!J11*IFCG_res_adj*CF_cereal),".")</f>
        <v>.</v>
      </c>
      <c r="AB11" s="48" t="str">
        <f t="shared" ref="AB11" si="9">IFERROR(1/SUM(1/AC11,1/AD11,1/AE11,1/AF11,1/AG11,1/AH11,1/AI11,1/AJ11,1/AK11,1/AL11,1/AM11,1/AN11,1/AO11,1/AP11,1/AQ11,1/AR11,1/AS11,1/AT11,1/AU11,1/AV11,1/AW11,1/AX11),".")</f>
        <v>.</v>
      </c>
      <c r="AC11" s="48" t="str">
        <f>IFERROR(DL/(RadSpec!J11*IFAP_far_adj*CF_apple),".")</f>
        <v>.</v>
      </c>
      <c r="AD11" s="48" t="str">
        <f>IFERROR(DL/(RadSpec!J11*IFAS_far_adj*CF_asparagus),".")</f>
        <v>.</v>
      </c>
      <c r="AE11" s="48" t="str">
        <f>IFERROR(DL/(RadSpec!J11*IFBT_far_adj*CF_beet),".")</f>
        <v>.</v>
      </c>
      <c r="AF11" s="48" t="str">
        <f>IFERROR(DL/(RadSpec!J11*IFBE_far_adj*CF_berries),".")</f>
        <v>.</v>
      </c>
      <c r="AG11" s="48" t="str">
        <f>IFERROR(DL/(RadSpec!J11*IFBR_far_adj*CF_broccoli),".")</f>
        <v>.</v>
      </c>
      <c r="AH11" s="48" t="str">
        <f>IFERROR(DL/(RadSpec!J11*IFCB_far_adj*CF_cabbage),".")</f>
        <v>.</v>
      </c>
      <c r="AI11" s="48" t="str">
        <f>IFERROR(DL/(RadSpec!J11*IFCR_far_adj*CF_carrot),".")</f>
        <v>.</v>
      </c>
      <c r="AJ11" s="48" t="str">
        <f>IFERROR(DL/(RadSpec!J11*IFCI_far_adj*CF_citrus),".")</f>
        <v>.</v>
      </c>
      <c r="AK11" s="48" t="str">
        <f>IFERROR(DL/(RadSpec!J11*IFCO_far_adj*CF_corn),".")</f>
        <v>.</v>
      </c>
      <c r="AL11" s="48" t="str">
        <f>IFERROR(DL/(RadSpec!J11*IFCU_far_adj*CF_cucumber),".")</f>
        <v>.</v>
      </c>
      <c r="AM11" s="48" t="str">
        <f>IFERROR(DL/(RadSpec!J11*IFLE_far_adj*CF_lettuce),".")</f>
        <v>.</v>
      </c>
      <c r="AN11" s="48" t="str">
        <f>IFERROR(DL/(RadSpec!J11*IFLI_far_adj*CF_lima_bean),".")</f>
        <v>.</v>
      </c>
      <c r="AO11" s="48" t="str">
        <f>IFERROR(DL/(RadSpec!J11*IFOK_far_adj*CF_okra),".")</f>
        <v>.</v>
      </c>
      <c r="AP11" s="48" t="str">
        <f>IFERROR(DL/(RadSpec!J11*IFON_far_adj*CF_onion),".")</f>
        <v>.</v>
      </c>
      <c r="AQ11" s="48" t="str">
        <f>IFERROR(DL/(RadSpec!J11*IFPC_far_adj*CF_peach),".")</f>
        <v>.</v>
      </c>
      <c r="AR11" s="48" t="str">
        <f>IFERROR(DL/(RadSpec!J11*IFPR_far_adj*CF_pear),".")</f>
        <v>.</v>
      </c>
      <c r="AS11" s="48" t="str">
        <f>IFERROR(DL/(RadSpec!J11*IFPE_far_adj*CF_peas),".")</f>
        <v>.</v>
      </c>
      <c r="AT11" s="48" t="str">
        <f>IFERROR(DL/(RadSpec!J11*IFPT_far_adj*CF_potato),".")</f>
        <v>.</v>
      </c>
      <c r="AU11" s="48" t="str">
        <f>IFERROR(DL/(RadSpec!J11*IFPU_far_adj*CF_pumpkin),".")</f>
        <v>.</v>
      </c>
      <c r="AV11" s="48" t="str">
        <f>IFERROR(DL/(RadSpec!J11*IFSN_far_adj*CF_snap_bean),".")</f>
        <v>.</v>
      </c>
      <c r="AW11" s="48" t="str">
        <f>IFERROR(DL/(RadSpec!J11*IFST_far_adj*CF_strawberry),".")</f>
        <v>.</v>
      </c>
      <c r="AX11" s="48" t="str">
        <f>IFERROR(DL/(RadSpec!J11*IFTO_far_adj*CF_tomato),".")</f>
        <v>.</v>
      </c>
      <c r="AY11" s="48" t="str">
        <f>IFERROR(DL/(RadSpec!J11*IFRI_far_adj*CF_rice),".")</f>
        <v>.</v>
      </c>
      <c r="AZ11" s="48" t="str">
        <f>IFERROR(DL/(RadSpec!J11*IFCG_far_adj*CF_cereal),".")</f>
        <v>.</v>
      </c>
    </row>
    <row r="12" spans="1:52" x14ac:dyDescent="0.25">
      <c r="A12" s="61" t="s">
        <v>10</v>
      </c>
      <c r="B12" s="49" t="s">
        <v>1059</v>
      </c>
      <c r="C12" s="48" t="str">
        <f t="shared" ref="C12" si="10">IFERROR(1/SUM(1/D12,1/E12,1/F12,1/G12,1/H12,1/I12,1/J12,1/K12,1/L12,1/M12,1/N12,1/O12,1/P12,1/Q12,1/R12,1/S12,1/T12,1/U12,1/V12,1/W12,1/X12,1/Y12),".")</f>
        <v>.</v>
      </c>
      <c r="D12" s="48" t="str">
        <f>IFERROR(DL/(RadSpec!J12*IFAP_res_adj*CF_apple),".")</f>
        <v>.</v>
      </c>
      <c r="E12" s="48" t="str">
        <f>IFERROR(DL/(RadSpec!J12*IFAS_res_adj*CF_asparagus),".")</f>
        <v>.</v>
      </c>
      <c r="F12" s="48" t="str">
        <f>IFERROR(DL/(RadSpec!J12*IFBT_res_adj*CF_beet),".")</f>
        <v>.</v>
      </c>
      <c r="G12" s="48" t="str">
        <f>IFERROR(DL/(RadSpec!J12*IFBE_res_adj*CF_berries),".")</f>
        <v>.</v>
      </c>
      <c r="H12" s="48" t="str">
        <f>IFERROR(DL/(RadSpec!J12*IFBR_res_adj*CF_broccoli),".")</f>
        <v>.</v>
      </c>
      <c r="I12" s="48" t="str">
        <f>IFERROR(DL/(RadSpec!J12*IFCB_res_adj*CF_cabbage),".")</f>
        <v>.</v>
      </c>
      <c r="J12" s="48" t="str">
        <f>IFERROR(DL/(RadSpec!J12*IFCR_res_adj*CF_carrot),".")</f>
        <v>.</v>
      </c>
      <c r="K12" s="48" t="str">
        <f>IFERROR(DL/(RadSpec!J12*IFCI_res_adj*CF_citrus),".")</f>
        <v>.</v>
      </c>
      <c r="L12" s="48" t="str">
        <f>IFERROR(DL/(RadSpec!J12*IFCO_res_adj*CF_corn),".")</f>
        <v>.</v>
      </c>
      <c r="M12" s="48" t="str">
        <f>IFERROR(DL/(RadSpec!J12*IFCU_res_adj*CF_cucumber),".")</f>
        <v>.</v>
      </c>
      <c r="N12" s="48" t="str">
        <f>IFERROR(DL/(RadSpec!J12*IFLE_res_adj*CF_lettuce),".")</f>
        <v>.</v>
      </c>
      <c r="O12" s="48" t="str">
        <f>IFERROR(DL/(RadSpec!J12*IFLI_res_adj*CF_lima_bean),".")</f>
        <v>.</v>
      </c>
      <c r="P12" s="48" t="str">
        <f>IFERROR(DL/(RadSpec!J12*IFOK_res_adj*CF_okra),".")</f>
        <v>.</v>
      </c>
      <c r="Q12" s="48" t="str">
        <f>IFERROR(DL/(RadSpec!J12*IFON_res_adj*CF_onion),".")</f>
        <v>.</v>
      </c>
      <c r="R12" s="48" t="str">
        <f>IFERROR(DL/(RadSpec!J12*IFPC_res_adj*CF_peach),".")</f>
        <v>.</v>
      </c>
      <c r="S12" s="48" t="str">
        <f>IFERROR(DL/(RadSpec!J12*IFPR_res_adj*CF_pear),".")</f>
        <v>.</v>
      </c>
      <c r="T12" s="48" t="str">
        <f>IFERROR(DL/(RadSpec!J12*IFPE_res_adj*CF_peas),".")</f>
        <v>.</v>
      </c>
      <c r="U12" s="48" t="str">
        <f>IFERROR(DL/(RadSpec!J12*IFPT_res_adj*CF_potato),".")</f>
        <v>.</v>
      </c>
      <c r="V12" s="48" t="str">
        <f>IFERROR(DL/(RadSpec!J12*IFPU_res_adj*CF_pumpkin),".")</f>
        <v>.</v>
      </c>
      <c r="W12" s="48" t="str">
        <f>IFERROR(DL/(RadSpec!J12*IFSN_res_adj*CF_snap_bean),".")</f>
        <v>.</v>
      </c>
      <c r="X12" s="48" t="str">
        <f>IFERROR(DL/(RadSpec!J12*IFST_res_adj*CF_strawberry),".")</f>
        <v>.</v>
      </c>
      <c r="Y12" s="48" t="str">
        <f>IFERROR(DL/(RadSpec!J12*IFTO_res_adj*CF_tomato),".")</f>
        <v>.</v>
      </c>
      <c r="Z12" s="48" t="str">
        <f>IFERROR(DL/(RadSpec!J12*IFRI_res_adj*CF_rice),".")</f>
        <v>.</v>
      </c>
      <c r="AA12" s="48" t="str">
        <f>IFERROR(DL/(RadSpec!J12*IFCG_res_adj*CF_cereal),".")</f>
        <v>.</v>
      </c>
      <c r="AB12" s="48" t="str">
        <f t="shared" ref="AB12" si="11">IFERROR(1/SUM(1/AC12,1/AD12,1/AE12,1/AF12,1/AG12,1/AH12,1/AI12,1/AJ12,1/AK12,1/AL12,1/AM12,1/AN12,1/AO12,1/AP12,1/AQ12,1/AR12,1/AS12,1/AT12,1/AU12,1/AV12,1/AW12,1/AX12),".")</f>
        <v>.</v>
      </c>
      <c r="AC12" s="48" t="str">
        <f>IFERROR(DL/(RadSpec!J12*IFAP_far_adj*CF_apple),".")</f>
        <v>.</v>
      </c>
      <c r="AD12" s="48" t="str">
        <f>IFERROR(DL/(RadSpec!J12*IFAS_far_adj*CF_asparagus),".")</f>
        <v>.</v>
      </c>
      <c r="AE12" s="48" t="str">
        <f>IFERROR(DL/(RadSpec!J12*IFBT_far_adj*CF_beet),".")</f>
        <v>.</v>
      </c>
      <c r="AF12" s="48" t="str">
        <f>IFERROR(DL/(RadSpec!J12*IFBE_far_adj*CF_berries),".")</f>
        <v>.</v>
      </c>
      <c r="AG12" s="48" t="str">
        <f>IFERROR(DL/(RadSpec!J12*IFBR_far_adj*CF_broccoli),".")</f>
        <v>.</v>
      </c>
      <c r="AH12" s="48" t="str">
        <f>IFERROR(DL/(RadSpec!J12*IFCB_far_adj*CF_cabbage),".")</f>
        <v>.</v>
      </c>
      <c r="AI12" s="48" t="str">
        <f>IFERROR(DL/(RadSpec!J12*IFCR_far_adj*CF_carrot),".")</f>
        <v>.</v>
      </c>
      <c r="AJ12" s="48" t="str">
        <f>IFERROR(DL/(RadSpec!J12*IFCI_far_adj*CF_citrus),".")</f>
        <v>.</v>
      </c>
      <c r="AK12" s="48" t="str">
        <f>IFERROR(DL/(RadSpec!J12*IFCO_far_adj*CF_corn),".")</f>
        <v>.</v>
      </c>
      <c r="AL12" s="48" t="str">
        <f>IFERROR(DL/(RadSpec!J12*IFCU_far_adj*CF_cucumber),".")</f>
        <v>.</v>
      </c>
      <c r="AM12" s="48" t="str">
        <f>IFERROR(DL/(RadSpec!J12*IFLE_far_adj*CF_lettuce),".")</f>
        <v>.</v>
      </c>
      <c r="AN12" s="48" t="str">
        <f>IFERROR(DL/(RadSpec!J12*IFLI_far_adj*CF_lima_bean),".")</f>
        <v>.</v>
      </c>
      <c r="AO12" s="48" t="str">
        <f>IFERROR(DL/(RadSpec!J12*IFOK_far_adj*CF_okra),".")</f>
        <v>.</v>
      </c>
      <c r="AP12" s="48" t="str">
        <f>IFERROR(DL/(RadSpec!J12*IFON_far_adj*CF_onion),".")</f>
        <v>.</v>
      </c>
      <c r="AQ12" s="48" t="str">
        <f>IFERROR(DL/(RadSpec!J12*IFPC_far_adj*CF_peach),".")</f>
        <v>.</v>
      </c>
      <c r="AR12" s="48" t="str">
        <f>IFERROR(DL/(RadSpec!J12*IFPR_far_adj*CF_pear),".")</f>
        <v>.</v>
      </c>
      <c r="AS12" s="48" t="str">
        <f>IFERROR(DL/(RadSpec!J12*IFPE_far_adj*CF_peas),".")</f>
        <v>.</v>
      </c>
      <c r="AT12" s="48" t="str">
        <f>IFERROR(DL/(RadSpec!J12*IFPT_far_adj*CF_potato),".")</f>
        <v>.</v>
      </c>
      <c r="AU12" s="48" t="str">
        <f>IFERROR(DL/(RadSpec!J12*IFPU_far_adj*CF_pumpkin),".")</f>
        <v>.</v>
      </c>
      <c r="AV12" s="48" t="str">
        <f>IFERROR(DL/(RadSpec!J12*IFSN_far_adj*CF_snap_bean),".")</f>
        <v>.</v>
      </c>
      <c r="AW12" s="48" t="str">
        <f>IFERROR(DL/(RadSpec!J12*IFST_far_adj*CF_strawberry),".")</f>
        <v>.</v>
      </c>
      <c r="AX12" s="48" t="str">
        <f>IFERROR(DL/(RadSpec!J12*IFTO_far_adj*CF_tomato),".")</f>
        <v>.</v>
      </c>
      <c r="AY12" s="48" t="str">
        <f>IFERROR(DL/(RadSpec!J12*IFRI_far_adj*CF_rice),".")</f>
        <v>.</v>
      </c>
      <c r="AZ12" s="48" t="str">
        <f>IFERROR(DL/(RadSpec!J12*IFCG_far_adj*CF_cereal),".")</f>
        <v>.</v>
      </c>
    </row>
    <row r="13" spans="1:52" x14ac:dyDescent="0.25">
      <c r="A13" s="61" t="s">
        <v>11</v>
      </c>
      <c r="B13" s="49" t="s">
        <v>1059</v>
      </c>
      <c r="C13" s="48">
        <f t="shared" ref="C13:C14" si="12">IFERROR(1/SUM(1/D13,1/E13,1/F13,1/G13,1/H13,1/I13,1/J13,1/K13,1/L13,1/M13,1/N13,1/O13,1/P13,1/Q13,1/R13,1/S13,1/T13,1/U13,1/V13,1/W13,1/X13,1/Y13),".")</f>
        <v>4.6647488309869744E-3</v>
      </c>
      <c r="D13" s="48">
        <f>IFERROR(DL/(RadSpec!J13*IFAP_res_adj*CF_apple),".")</f>
        <v>8.4215202475716414E-2</v>
      </c>
      <c r="E13" s="48">
        <f>IFERROR(DL/(RadSpec!J13*IFAS_res_adj*CF_asparagus),".")</f>
        <v>0.18708113556846181</v>
      </c>
      <c r="F13" s="48">
        <f>IFERROR(DL/(RadSpec!J13*IFBT_res_adj*CF_beet),".")</f>
        <v>0.22880022880022874</v>
      </c>
      <c r="G13" s="48">
        <f>IFERROR(DL/(RadSpec!J13*IFBE_res_adj*CF_berries),".")</f>
        <v>0.18860040230823313</v>
      </c>
      <c r="H13" s="48">
        <f>IFERROR(DL/(RadSpec!J13*IFBR_res_adj*CF_broccoli),".")</f>
        <v>0.22339732316949981</v>
      </c>
      <c r="I13" s="48">
        <f>IFERROR(DL/(RadSpec!J13*IFCB_res_adj*CF_cabbage),".")</f>
        <v>8.3768694947606345E-2</v>
      </c>
      <c r="J13" s="48">
        <f>IFERROR(DL/(RadSpec!J13*IFCR_res_adj*CF_carrot),".")</f>
        <v>0.25268349875679713</v>
      </c>
      <c r="K13" s="48">
        <f>IFERROR(DL/(RadSpec!J13*IFCI_res_adj*CF_citrus),".")</f>
        <v>2.1838179932926489E-2</v>
      </c>
      <c r="L13" s="48">
        <f>IFERROR(DL/(RadSpec!J13*IFCO_res_adj*CF_corn),".")</f>
        <v>0.11990695220508885</v>
      </c>
      <c r="M13" s="48">
        <f>IFERROR(DL/(RadSpec!J13*IFCU_res_adj*CF_cucumber),".")</f>
        <v>8.9155811482265493E-2</v>
      </c>
      <c r="N13" s="48">
        <f>IFERROR(DL/(RadSpec!J13*IFLE_res_adj*CF_lettuce),".")</f>
        <v>0.20701739813029649</v>
      </c>
      <c r="O13" s="48">
        <f>IFERROR(DL/(RadSpec!J13*IFLI_res_adj*CF_lima_bean),".")</f>
        <v>0.22446881209280833</v>
      </c>
      <c r="P13" s="48">
        <f>IFERROR(DL/(RadSpec!J13*IFOK_res_adj*CF_okra),".")</f>
        <v>0.25242537398791226</v>
      </c>
      <c r="Q13" s="48">
        <f>IFERROR(DL/(RadSpec!J13*IFON_res_adj*CF_onion),".")</f>
        <v>0.34092749324537402</v>
      </c>
      <c r="R13" s="48">
        <f>IFERROR(DL/(RadSpec!J13*IFPC_res_adj*CF_peach),".")</f>
        <v>5.3853651154694634E-2</v>
      </c>
      <c r="S13" s="48">
        <f>IFERROR(DL/(RadSpec!J13*IFPR_res_adj*CF_pear),".")</f>
        <v>0.11170270102716216</v>
      </c>
      <c r="T13" s="48">
        <f>IFERROR(DL/(RadSpec!J13*IFPE_res_adj*CF_peas),".")</f>
        <v>0.17833221262683457</v>
      </c>
      <c r="U13" s="48">
        <f>IFERROR(DL/(RadSpec!J13*IFPT_res_adj*CF_potato),".")</f>
        <v>5.6008832312811577E-2</v>
      </c>
      <c r="V13" s="48">
        <f>IFERROR(DL/(RadSpec!J13*IFPU_res_adj*CF_pumpkin),".")</f>
        <v>0.10246145720172123</v>
      </c>
      <c r="W13" s="48">
        <f>IFERROR(DL/(RadSpec!J13*IFSN_res_adj*CF_snap_bean),".")</f>
        <v>0.12928730855983794</v>
      </c>
      <c r="X13" s="48">
        <f>IFERROR(DL/(RadSpec!J13*IFST_res_adj*CF_strawberry),".")</f>
        <v>0.16694428109410273</v>
      </c>
      <c r="Y13" s="48">
        <f>IFERROR(DL/(RadSpec!J13*IFTO_res_adj*CF_tomato),".")</f>
        <v>8.9971253060006653E-2</v>
      </c>
      <c r="Z13" s="48">
        <f>IFERROR(DL/(RadSpec!J13*IFRI_res_adj*CF_rice),".")</f>
        <v>9.8075922042391822E-2</v>
      </c>
      <c r="AA13" s="48">
        <f>IFERROR(DL/(RadSpec!J13*IFCG_res_adj*CF_cereal),".")</f>
        <v>7.5945148047234262E-2</v>
      </c>
      <c r="AB13" s="48">
        <f t="shared" ref="AB13:AB14" si="13">IFERROR(1/SUM(1/AC13,1/AD13,1/AE13,1/AF13,1/AG13,1/AH13,1/AI13,1/AJ13,1/AK13,1/AL13,1/AM13,1/AN13,1/AO13,1/AP13,1/AQ13,1/AR13,1/AS13,1/AT13,1/AU13,1/AV13,1/AW13,1/AX13),".")</f>
        <v>4.4064540175300579E-3</v>
      </c>
      <c r="AC13" s="48">
        <f>IFERROR(DL/(RadSpec!J13*IFAP_far_adj*CF_apple),".")</f>
        <v>7.3168378273198831E-2</v>
      </c>
      <c r="AD13" s="48">
        <f>IFERROR(DL/(RadSpec!J13*IFAS_far_adj*CF_asparagus),".")</f>
        <v>0.1754752500385223</v>
      </c>
      <c r="AE13" s="48">
        <f>IFERROR(DL/(RadSpec!J13*IFBT_far_adj*CF_beet),".")</f>
        <v>0.21012265910225095</v>
      </c>
      <c r="AF13" s="48">
        <f>IFERROR(DL/(RadSpec!J13*IFBE_far_adj*CF_berries),".")</f>
        <v>0.1834478449177781</v>
      </c>
      <c r="AG13" s="48">
        <f>IFERROR(DL/(RadSpec!J13*IFBR_far_adj*CF_broccoli),".")</f>
        <v>0.192059884271916</v>
      </c>
      <c r="AH13" s="48">
        <f>IFERROR(DL/(RadSpec!J13*IFCB_far_adj*CF_cabbage),".")</f>
        <v>8.2843049183400533E-2</v>
      </c>
      <c r="AI13" s="48">
        <f>IFERROR(DL/(RadSpec!J13*IFCR_far_adj*CF_carrot),".")</f>
        <v>0.27172228623735112</v>
      </c>
      <c r="AJ13" s="48">
        <f>IFERROR(DL/(RadSpec!J13*IFCI_far_adj*CF_citrus),".")</f>
        <v>2.1145323216177233E-2</v>
      </c>
      <c r="AK13" s="48">
        <f>IFERROR(DL/(RadSpec!J13*IFCO_far_adj*CF_corn),".")</f>
        <v>8.2804184405953718E-2</v>
      </c>
      <c r="AL13" s="48">
        <f>IFERROR(DL/(RadSpec!J13*IFCU_far_adj*CF_cucumber),".")</f>
        <v>0.12556110117085725</v>
      </c>
      <c r="AM13" s="48">
        <f>IFERROR(DL/(RadSpec!J13*IFLE_far_adj*CF_lettuce),".")</f>
        <v>0.19005095147227127</v>
      </c>
      <c r="AN13" s="48">
        <f>IFERROR(DL/(RadSpec!J13*IFLI_far_adj*CF_lima_bean),".")</f>
        <v>0.20796519702427801</v>
      </c>
      <c r="AO13" s="48">
        <f>IFERROR(DL/(RadSpec!J13*IFOK_far_adj*CF_okra),".")</f>
        <v>0.23342551209545351</v>
      </c>
      <c r="AP13" s="48">
        <f>IFERROR(DL/(RadSpec!J13*IFON_far_adj*CF_onion),".")</f>
        <v>0.25527298254570979</v>
      </c>
      <c r="AQ13" s="48">
        <f>IFERROR(DL/(RadSpec!J13*IFPC_far_adj*CF_peach),".")</f>
        <v>6.0251693919888591E-2</v>
      </c>
      <c r="AR13" s="48">
        <f>IFERROR(DL/(RadSpec!J13*IFPR_far_adj*CF_pear),".")</f>
        <v>9.8920835510106914E-2</v>
      </c>
      <c r="AS13" s="48">
        <f>IFERROR(DL/(RadSpec!J13*IFPE_far_adj*CF_peas),".")</f>
        <v>0.19768339768339768</v>
      </c>
      <c r="AT13" s="48">
        <f>IFERROR(DL/(RadSpec!J13*IFPT_far_adj*CF_potato),".")</f>
        <v>4.7842061394820334E-2</v>
      </c>
      <c r="AU13" s="48">
        <f>IFERROR(DL/(RadSpec!J13*IFPU_far_adj*CF_pumpkin),".")</f>
        <v>9.9864309369643994E-2</v>
      </c>
      <c r="AV13" s="48">
        <f>IFERROR(DL/(RadSpec!J13*IFSN_far_adj*CF_snap_bean),".")</f>
        <v>0.12307214219755308</v>
      </c>
      <c r="AW13" s="48">
        <f>IFERROR(DL/(RadSpec!J13*IFST_far_adj*CF_strawberry),".")</f>
        <v>0.16163281469403917</v>
      </c>
      <c r="AX13" s="48">
        <f>IFERROR(DL/(RadSpec!J13*IFTO_far_adj*CF_tomato),".")</f>
        <v>7.2417867388853849E-2</v>
      </c>
      <c r="AY13" s="48">
        <f>IFERROR(DL/(RadSpec!J13*IFRI_far_adj*CF_rice),".")</f>
        <v>7.6792916621370846E-2</v>
      </c>
      <c r="AZ13" s="48">
        <f>IFERROR(DL/(RadSpec!J13*IFCG_far_adj*CF_cereal),".")</f>
        <v>7.26648965195104E-2</v>
      </c>
    </row>
    <row r="14" spans="1:52" x14ac:dyDescent="0.25">
      <c r="A14" s="61" t="s">
        <v>12</v>
      </c>
      <c r="B14" s="49" t="s">
        <v>1059</v>
      </c>
      <c r="C14" s="48">
        <f t="shared" si="12"/>
        <v>0.4417375786919483</v>
      </c>
      <c r="D14" s="48">
        <f>IFERROR(DL/(RadSpec!J14*IFAP_res_adj*CF_apple),".")</f>
        <v>7.9749244768670842</v>
      </c>
      <c r="E14" s="48">
        <f>IFERROR(DL/(RadSpec!J14*IFAS_res_adj*CF_asparagus),".")</f>
        <v>17.716016625801309</v>
      </c>
      <c r="F14" s="48">
        <f>IFERROR(DL/(RadSpec!J14*IFBT_res_adj*CF_beet),".")</f>
        <v>21.666688333354998</v>
      </c>
      <c r="G14" s="48">
        <f>IFERROR(DL/(RadSpec!J14*IFBE_res_adj*CF_berries),".")</f>
        <v>17.859886582219048</v>
      </c>
      <c r="H14" s="48">
        <f>IFERROR(DL/(RadSpec!J14*IFBR_res_adj*CF_broccoli),".")</f>
        <v>21.155049542566271</v>
      </c>
      <c r="I14" s="48">
        <f>IFERROR(DL/(RadSpec!J14*IFCB_res_adj*CF_cabbage),".")</f>
        <v>7.9326415670081776</v>
      </c>
      <c r="J14" s="48">
        <f>IFERROR(DL/(RadSpec!J14*IFCR_res_adj*CF_carrot),".")</f>
        <v>23.928361624696699</v>
      </c>
      <c r="K14" s="48">
        <f>IFERROR(DL/(RadSpec!J14*IFCI_res_adj*CF_citrus),".")</f>
        <v>2.0680094633453114</v>
      </c>
      <c r="L14" s="48">
        <f>IFERROR(DL/(RadSpec!J14*IFCO_res_adj*CF_corn),".")</f>
        <v>11.354825019421291</v>
      </c>
      <c r="M14" s="48">
        <f>IFERROR(DL/(RadSpec!J14*IFCU_res_adj*CF_cucumber),".")</f>
        <v>8.44278517824484</v>
      </c>
      <c r="N14" s="48">
        <f>IFERROR(DL/(RadSpec!J14*IFLE_res_adj*CF_lettuce),".")</f>
        <v>19.603920277490197</v>
      </c>
      <c r="O14" s="48">
        <f>IFERROR(DL/(RadSpec!J14*IFLI_res_adj*CF_lima_bean),".")</f>
        <v>21.256516296667456</v>
      </c>
      <c r="P14" s="48">
        <f>IFERROR(DL/(RadSpec!J14*IFOK_res_adj*CF_okra),".")</f>
        <v>23.90391799127957</v>
      </c>
      <c r="Q14" s="48">
        <f>IFERROR(DL/(RadSpec!J14*IFON_res_adj*CF_onion),".")</f>
        <v>32.284800496721026</v>
      </c>
      <c r="R14" s="48">
        <f>IFERROR(DL/(RadSpec!J14*IFPC_res_adj*CF_peach),".")</f>
        <v>5.0997775714672953</v>
      </c>
      <c r="S14" s="48">
        <f>IFERROR(DL/(RadSpec!J14*IFPR_res_adj*CF_pear),".")</f>
        <v>10.577907294238843</v>
      </c>
      <c r="T14" s="48">
        <f>IFERROR(DL/(RadSpec!J14*IFPE_res_adj*CF_peas),".")</f>
        <v>16.887520135116912</v>
      </c>
      <c r="U14" s="48">
        <f>IFERROR(DL/(RadSpec!J14*IFPT_res_adj*CF_potato),".")</f>
        <v>5.3038666962889742</v>
      </c>
      <c r="V14" s="48">
        <f>IFERROR(DL/(RadSpec!J14*IFPU_res_adj*CF_pumpkin),".")</f>
        <v>9.7027895077387534</v>
      </c>
      <c r="W14" s="48">
        <f>IFERROR(DL/(RadSpec!J14*IFSN_res_adj*CF_snap_bean),".")</f>
        <v>12.243116340893744</v>
      </c>
      <c r="X14" s="48">
        <f>IFERROR(DL/(RadSpec!J14*IFST_res_adj*CF_strawberry),".")</f>
        <v>15.809117527850638</v>
      </c>
      <c r="Y14" s="48">
        <f>IFERROR(DL/(RadSpec!J14*IFTO_res_adj*CF_tomato),".")</f>
        <v>8.5200050246218417</v>
      </c>
      <c r="Z14" s="48">
        <f>IFERROR(DL/(RadSpec!J14*IFRI_res_adj*CF_rice),".")</f>
        <v>9.2874926176507415</v>
      </c>
      <c r="AA14" s="48">
        <f>IFERROR(DL/(RadSpec!J14*IFCG_res_adj*CF_cereal),".")</f>
        <v>7.1917753832608202</v>
      </c>
      <c r="AB14" s="48">
        <f t="shared" si="13"/>
        <v>0.41727784256913431</v>
      </c>
      <c r="AC14" s="48">
        <f>IFERROR(DL/(RadSpec!J14*IFAP_far_adj*CF_apple),".")</f>
        <v>6.9288237001135258</v>
      </c>
      <c r="AD14" s="48">
        <f>IFERROR(DL/(RadSpec!J14*IFAS_far_adj*CF_asparagus),".")</f>
        <v>16.61697443546613</v>
      </c>
      <c r="AE14" s="48">
        <f>IFERROR(DL/(RadSpec!J14*IFBT_far_adj*CF_beet),".")</f>
        <v>19.897979081652551</v>
      </c>
      <c r="AF14" s="48">
        <f>IFERROR(DL/(RadSpec!J14*IFBE_far_adj*CF_berries),".")</f>
        <v>17.371955011153229</v>
      </c>
      <c r="AG14" s="48">
        <f>IFERROR(DL/(RadSpec!J14*IFBR_far_adj*CF_broccoli),".")</f>
        <v>18.187489040901138</v>
      </c>
      <c r="AH14" s="48">
        <f>IFERROR(DL/(RadSpec!J14*IFCB_far_adj*CF_cabbage),".")</f>
        <v>7.8449857181250504</v>
      </c>
      <c r="AI14" s="48">
        <f>IFERROR(DL/(RadSpec!J14*IFCR_far_adj*CF_carrot),".")</f>
        <v>25.731277105809763</v>
      </c>
      <c r="AJ14" s="48">
        <f>IFERROR(DL/(RadSpec!J14*IFCI_far_adj*CF_citrus),".")</f>
        <v>2.0023980318349652</v>
      </c>
      <c r="AK14" s="48">
        <f>IFERROR(DL/(RadSpec!J14*IFCO_far_adj*CF_corn),".")</f>
        <v>7.8413053414728902</v>
      </c>
      <c r="AL14" s="48">
        <f>IFERROR(DL/(RadSpec!J14*IFCU_far_adj*CF_cucumber),".")</f>
        <v>11.890255792694816</v>
      </c>
      <c r="AM14" s="48">
        <f>IFERROR(DL/(RadSpec!J14*IFLE_far_adj*CF_lettuce),".")</f>
        <v>17.997249192449928</v>
      </c>
      <c r="AN14" s="48">
        <f>IFERROR(DL/(RadSpec!J14*IFLI_far_adj*CF_lima_bean),".")</f>
        <v>19.693673960632388</v>
      </c>
      <c r="AO14" s="48">
        <f>IFERROR(DL/(RadSpec!J14*IFOK_far_adj*CF_okra),".")</f>
        <v>22.104688645402796</v>
      </c>
      <c r="AP14" s="48">
        <f>IFERROR(DL/(RadSpec!J14*IFON_far_adj*CF_onion),".")</f>
        <v>24.17357789258616</v>
      </c>
      <c r="AQ14" s="48">
        <f>IFERROR(DL/(RadSpec!J14*IFPC_far_adj*CF_peach),".")</f>
        <v>5.7056528333227829</v>
      </c>
      <c r="AR14" s="48">
        <f>IFERROR(DL/(RadSpec!J14*IFPR_far_adj*CF_pear),".")</f>
        <v>9.3675033626995194</v>
      </c>
      <c r="AS14" s="48">
        <f>IFERROR(DL/(RadSpec!J14*IFPE_far_adj*CF_peas),".")</f>
        <v>18.720018720018718</v>
      </c>
      <c r="AT14" s="48">
        <f>IFERROR(DL/(RadSpec!J14*IFPT_far_adj*CF_potato),".")</f>
        <v>4.5304982381458654</v>
      </c>
      <c r="AU14" s="48">
        <f>IFERROR(DL/(RadSpec!J14*IFPU_far_adj*CF_pumpkin),".")</f>
        <v>9.4568474781859848</v>
      </c>
      <c r="AV14" s="48">
        <f>IFERROR(DL/(RadSpec!J14*IFSN_far_adj*CF_snap_bean),".")</f>
        <v>11.654558920222829</v>
      </c>
      <c r="AW14" s="48">
        <f>IFERROR(DL/(RadSpec!J14*IFST_far_adj*CF_strawberry),".")</f>
        <v>15.306137755117348</v>
      </c>
      <c r="AX14" s="48">
        <f>IFERROR(DL/(RadSpec!J14*IFTO_far_adj*CF_tomato),".")</f>
        <v>6.8577525936414627</v>
      </c>
      <c r="AY14" s="48">
        <f>IFERROR(DL/(RadSpec!J14*IFRI_far_adj*CF_rice),".")</f>
        <v>7.2720564982358757</v>
      </c>
      <c r="AZ14" s="48">
        <f>IFERROR(DL/(RadSpec!J14*IFCG_far_adj*CF_cereal),".")</f>
        <v>6.8811455037415143</v>
      </c>
    </row>
    <row r="15" spans="1:52" x14ac:dyDescent="0.25">
      <c r="A15" s="61" t="s">
        <v>13</v>
      </c>
      <c r="B15" s="49" t="s">
        <v>1059</v>
      </c>
      <c r="C15" s="48">
        <f t="shared" ref="C15:C17" si="14">IFERROR(1/SUM(1/D15,1/E15,1/F15,1/G15,1/H15,1/I15,1/J15,1/K15,1/L15,1/M15,1/N15,1/O15,1/P15,1/Q15,1/R15,1/S15,1/T15,1/U15,1/V15,1/W15,1/X15,1/Y15),".")</f>
        <v>7.8058046033918584</v>
      </c>
      <c r="D15" s="48">
        <f>IFERROR(DL/(RadSpec!J15*IFAP_res_adj*CF_apple),".")</f>
        <v>140.92236023379587</v>
      </c>
      <c r="E15" s="48">
        <f>IFERROR(DL/(RadSpec!J15*IFAS_res_adj*CF_asparagus),".")</f>
        <v>313.05410905030425</v>
      </c>
      <c r="F15" s="48">
        <f>IFERROR(DL/(RadSpec!J15*IFBT_res_adj*CF_beet),".")</f>
        <v>382.86517536852199</v>
      </c>
      <c r="G15" s="48">
        <f>IFERROR(DL/(RadSpec!J15*IFBE_res_adj*CF_berries),".")</f>
        <v>315.59638940467391</v>
      </c>
      <c r="H15" s="48">
        <f>IFERROR(DL/(RadSpec!J15*IFBR_res_adj*CF_broccoli),".")</f>
        <v>373.82416862366097</v>
      </c>
      <c r="I15" s="48">
        <f>IFERROR(DL/(RadSpec!J15*IFCB_res_adj*CF_cabbage),".")</f>
        <v>140.17519234873888</v>
      </c>
      <c r="J15" s="48">
        <f>IFERROR(DL/(RadSpec!J15*IFCR_res_adj*CF_carrot),".")</f>
        <v>422.83048654082523</v>
      </c>
      <c r="K15" s="48">
        <f>IFERROR(DL/(RadSpec!J15*IFCI_res_adj*CF_citrus),".")</f>
        <v>36.543139111322773</v>
      </c>
      <c r="L15" s="48">
        <f>IFERROR(DL/(RadSpec!J15*IFCO_res_adj*CF_corn),".")</f>
        <v>200.64751038334813</v>
      </c>
      <c r="M15" s="48">
        <f>IFERROR(DL/(RadSpec!J15*IFCU_res_adj*CF_cucumber),".")</f>
        <v>149.18977825010961</v>
      </c>
      <c r="N15" s="48">
        <f>IFERROR(DL/(RadSpec!J15*IFLE_res_adj*CF_lettuce),".")</f>
        <v>346.41465550585087</v>
      </c>
      <c r="O15" s="48">
        <f>IFERROR(DL/(RadSpec!J15*IFLI_res_adj*CF_lima_bean),".")</f>
        <v>375.61715544311971</v>
      </c>
      <c r="P15" s="48">
        <f>IFERROR(DL/(RadSpec!J15*IFOK_res_adj*CF_okra),".")</f>
        <v>422.39855084992013</v>
      </c>
      <c r="Q15" s="48">
        <f>IFERROR(DL/(RadSpec!J15*IFON_res_adj*CF_onion),".")</f>
        <v>570.49446660872502</v>
      </c>
      <c r="R15" s="48">
        <f>IFERROR(DL/(RadSpec!J15*IFPC_res_adj*CF_peach),".")</f>
        <v>90.116551463679116</v>
      </c>
      <c r="S15" s="48">
        <f>IFERROR(DL/(RadSpec!J15*IFPR_res_adj*CF_pear),".")</f>
        <v>186.91884375361809</v>
      </c>
      <c r="T15" s="48">
        <f>IFERROR(DL/(RadSpec!J15*IFPE_res_adj*CF_peas),".")</f>
        <v>298.41401041973654</v>
      </c>
      <c r="U15" s="48">
        <f>IFERROR(DL/(RadSpec!J15*IFPT_res_adj*CF_potato),".")</f>
        <v>93.722945637234886</v>
      </c>
      <c r="V15" s="48">
        <f>IFERROR(DL/(RadSpec!J15*IFPU_res_adj*CF_pumpkin),".")</f>
        <v>171.4549149961868</v>
      </c>
      <c r="W15" s="48">
        <f>IFERROR(DL/(RadSpec!J15*IFSN_res_adj*CF_snap_bean),".")</f>
        <v>216.34422449772083</v>
      </c>
      <c r="X15" s="48">
        <f>IFERROR(DL/(RadSpec!J15*IFST_res_adj*CF_strawberry),".")</f>
        <v>279.35790009053335</v>
      </c>
      <c r="Y15" s="48">
        <f>IFERROR(DL/(RadSpec!J15*IFTO_res_adj*CF_tomato),".")</f>
        <v>150.55430565596831</v>
      </c>
      <c r="Z15" s="48">
        <f>IFERROR(DL/(RadSpec!J15*IFRI_res_adj*CF_rice),".")</f>
        <v>164.11633541230228</v>
      </c>
      <c r="AA15" s="48">
        <f>IFERROR(DL/(RadSpec!J15*IFCG_res_adj*CF_cereal),".")</f>
        <v>127.08358106966914</v>
      </c>
      <c r="AB15" s="48">
        <f t="shared" ref="AB15:AB17" si="15">IFERROR(1/SUM(1/AC15,1/AD15,1/AE15,1/AF15,1/AG15,1/AH15,1/AI15,1/AJ15,1/AK15,1/AL15,1/AM15,1/AN15,1/AO15,1/AP15,1/AQ15,1/AR15,1/AS15,1/AT15,1/AU15,1/AV15,1/AW15,1/AX15),".")</f>
        <v>7.373584366683497</v>
      </c>
      <c r="AC15" s="48">
        <f>IFERROR(DL/(RadSpec!J15*IFAP_far_adj*CF_apple),".")</f>
        <v>122.43704530321089</v>
      </c>
      <c r="AD15" s="48">
        <f>IFERROR(DL/(RadSpec!J15*IFAS_far_adj*CF_asparagus),".")</f>
        <v>293.63328319699184</v>
      </c>
      <c r="AE15" s="48">
        <f>IFERROR(DL/(RadSpec!J15*IFBT_far_adj*CF_beet),".")</f>
        <v>351.61087533843863</v>
      </c>
      <c r="AF15" s="48">
        <f>IFERROR(DL/(RadSpec!J15*IFBE_far_adj*CF_berries),".")</f>
        <v>306.97430541796871</v>
      </c>
      <c r="AG15" s="48">
        <f>IFERROR(DL/(RadSpec!J15*IFBR_far_adj*CF_broccoli),".")</f>
        <v>321.38534851391569</v>
      </c>
      <c r="AH15" s="48">
        <f>IFERROR(DL/(RadSpec!J15*IFCB_far_adj*CF_cabbage),".")</f>
        <v>138.62625365361535</v>
      </c>
      <c r="AI15" s="48">
        <f>IFERROR(DL/(RadSpec!J15*IFCR_far_adj*CF_carrot),".")</f>
        <v>454.68923399824479</v>
      </c>
      <c r="AJ15" s="48">
        <f>IFERROR(DL/(RadSpec!J15*IFCI_far_adj*CF_citrus),".")</f>
        <v>35.383740321581719</v>
      </c>
      <c r="AK15" s="48">
        <f>IFERROR(DL/(RadSpec!J15*IFCO_far_adj*CF_corn),".")</f>
        <v>138.56121888546474</v>
      </c>
      <c r="AL15" s="48">
        <f>IFERROR(DL/(RadSpec!J15*IFCU_far_adj*CF_cucumber),".")</f>
        <v>210.10893770223774</v>
      </c>
      <c r="AM15" s="48">
        <f>IFERROR(DL/(RadSpec!J15*IFLE_far_adj*CF_lettuce),".")</f>
        <v>318.02368050915544</v>
      </c>
      <c r="AN15" s="48">
        <f>IFERROR(DL/(RadSpec!J15*IFLI_far_adj*CF_lima_bean),".")</f>
        <v>348.00066436458837</v>
      </c>
      <c r="AO15" s="48">
        <f>IFERROR(DL/(RadSpec!J15*IFOK_far_adj*CF_okra),".")</f>
        <v>390.60493991876427</v>
      </c>
      <c r="AP15" s="48">
        <f>IFERROR(DL/(RadSpec!J15*IFON_far_adj*CF_onion),".")</f>
        <v>427.16362541116104</v>
      </c>
      <c r="AQ15" s="48">
        <f>IFERROR(DL/(RadSpec!J15*IFPC_far_adj*CF_peach),".")</f>
        <v>100.82278099044277</v>
      </c>
      <c r="AR15" s="48">
        <f>IFERROR(DL/(RadSpec!J15*IFPR_far_adj*CF_pear),".")</f>
        <v>165.53017990312404</v>
      </c>
      <c r="AS15" s="48">
        <f>IFERROR(DL/(RadSpec!J15*IFPE_far_adj*CF_peas),".")</f>
        <v>330.79551151840309</v>
      </c>
      <c r="AT15" s="48">
        <f>IFERROR(DL/(RadSpec!J15*IFPT_far_adj*CF_potato),".")</f>
        <v>80.056996979284364</v>
      </c>
      <c r="AU15" s="48">
        <f>IFERROR(DL/(RadSpec!J15*IFPU_far_adj*CF_pumpkin),".")</f>
        <v>167.10895142176037</v>
      </c>
      <c r="AV15" s="48">
        <f>IFERROR(DL/(RadSpec!J15*IFSN_far_adj*CF_snap_bean),".")</f>
        <v>205.94401304811427</v>
      </c>
      <c r="AW15" s="48">
        <f>IFERROR(DL/(RadSpec!J15*IFST_far_adj*CF_strawberry),".")</f>
        <v>270.4699041064913</v>
      </c>
      <c r="AX15" s="48">
        <f>IFERROR(DL/(RadSpec!J15*IFTO_far_adj*CF_tomato),".")</f>
        <v>121.18117032940737</v>
      </c>
      <c r="AY15" s="48">
        <f>IFERROR(DL/(RadSpec!J15*IFRI_far_adj*CF_rice),".")</f>
        <v>128.50220318167811</v>
      </c>
      <c r="AZ15" s="48">
        <f>IFERROR(DL/(RadSpec!J15*IFCG_far_adj*CF_cereal),".")</f>
        <v>121.59453902193843</v>
      </c>
    </row>
    <row r="16" spans="1:52" x14ac:dyDescent="0.25">
      <c r="A16" s="61" t="s">
        <v>14</v>
      </c>
      <c r="B16" s="49" t="s">
        <v>1059</v>
      </c>
      <c r="C16" s="48">
        <f t="shared" si="14"/>
        <v>5.7166039595428616E-4</v>
      </c>
      <c r="D16" s="48">
        <f>IFERROR(DL/(RadSpec!J16*IFAP_res_adj*CF_apple),".")</f>
        <v>1.032049049947505E-2</v>
      </c>
      <c r="E16" s="48">
        <f>IFERROR(DL/(RadSpec!J16*IFAS_res_adj*CF_asparagus),".")</f>
        <v>2.292660975103699E-2</v>
      </c>
      <c r="F16" s="48">
        <f>IFERROR(DL/(RadSpec!J16*IFBT_res_adj*CF_beet),".")</f>
        <v>2.8039243725518231E-2</v>
      </c>
      <c r="G16" s="48">
        <f>IFERROR(DL/(RadSpec!J16*IFBE_res_adj*CF_berries),".")</f>
        <v>2.311279440051877E-2</v>
      </c>
      <c r="H16" s="48">
        <f>IFERROR(DL/(RadSpec!J16*IFBR_res_adj*CF_broccoli),".")</f>
        <v>2.73771229374387E-2</v>
      </c>
      <c r="I16" s="48">
        <f>IFERROR(DL/(RadSpec!J16*IFCB_res_adj*CF_cabbage),".")</f>
        <v>1.0265771439657642E-2</v>
      </c>
      <c r="J16" s="48">
        <f>IFERROR(DL/(RadSpec!J16*IFCR_res_adj*CF_carrot),".")</f>
        <v>3.0966115043725144E-2</v>
      </c>
      <c r="K16" s="48">
        <f>IFERROR(DL/(RadSpec!J16*IFCI_res_adj*CF_citrus),".")</f>
        <v>2.6762475407998147E-3</v>
      </c>
      <c r="L16" s="48">
        <f>IFERROR(DL/(RadSpec!J16*IFCO_res_adj*CF_corn),".")</f>
        <v>1.4694479436898144E-2</v>
      </c>
      <c r="M16" s="48">
        <f>IFERROR(DL/(RadSpec!J16*IFCU_res_adj*CF_cucumber),".")</f>
        <v>1.0925957289493322E-2</v>
      </c>
      <c r="N16" s="48">
        <f>IFERROR(DL/(RadSpec!J16*IFLE_res_adj*CF_lettuce),".")</f>
        <v>2.5369779182634371E-2</v>
      </c>
      <c r="O16" s="48">
        <f>IFERROR(DL/(RadSpec!J16*IFLI_res_adj*CF_lima_bean),".")</f>
        <v>2.7508432854510826E-2</v>
      </c>
      <c r="P16" s="48">
        <f>IFERROR(DL/(RadSpec!J16*IFOK_res_adj*CF_okra),".")</f>
        <v>3.0934482106361797E-2</v>
      </c>
      <c r="Q16" s="48">
        <f>IFERROR(DL/(RadSpec!J16*IFON_res_adj*CF_onion),".")</f>
        <v>4.178033005458015E-2</v>
      </c>
      <c r="R16" s="48">
        <f>IFERROR(DL/(RadSpec!J16*IFPC_res_adj*CF_peach),".")</f>
        <v>6.5997121513106166E-3</v>
      </c>
      <c r="S16" s="48">
        <f>IFERROR(DL/(RadSpec!J16*IFPR_res_adj*CF_pear),".")</f>
        <v>1.3689056498426739E-2</v>
      </c>
      <c r="T16" s="48">
        <f>IFERROR(DL/(RadSpec!J16*IFPE_res_adj*CF_peas),".")</f>
        <v>2.1854437821916001E-2</v>
      </c>
      <c r="U16" s="48">
        <f>IFERROR(DL/(RadSpec!J16*IFPT_res_adj*CF_potato),".")</f>
        <v>6.8638274893151443E-3</v>
      </c>
      <c r="V16" s="48">
        <f>IFERROR(DL/(RadSpec!J16*IFPU_res_adj*CF_pumpkin),".")</f>
        <v>1.2556551127661915E-2</v>
      </c>
      <c r="W16" s="48">
        <f>IFERROR(DL/(RadSpec!J16*IFSN_res_adj*CF_snap_bean),".")</f>
        <v>1.5844032911744847E-2</v>
      </c>
      <c r="X16" s="48">
        <f>IFERROR(DL/(RadSpec!J16*IFST_res_adj*CF_strawberry),".")</f>
        <v>2.0458857977218473E-2</v>
      </c>
      <c r="Y16" s="48">
        <f>IFERROR(DL/(RadSpec!J16*IFTO_res_adj*CF_tomato),".")</f>
        <v>1.1025888855392973E-2</v>
      </c>
      <c r="Z16" s="48">
        <f>IFERROR(DL/(RadSpec!J16*IFRI_res_adj*CF_rice),".")</f>
        <v>1.2019108093430372E-2</v>
      </c>
      <c r="AA16" s="48">
        <f>IFERROR(DL/(RadSpec!J16*IFCG_res_adj*CF_cereal),".")</f>
        <v>9.307003437161062E-3</v>
      </c>
      <c r="AB16" s="48">
        <f t="shared" si="15"/>
        <v>5.4000661979535024E-4</v>
      </c>
      <c r="AC16" s="48">
        <f>IFERROR(DL/(RadSpec!J16*IFAP_far_adj*CF_apple),".")</f>
        <v>8.9667130236763277E-3</v>
      </c>
      <c r="AD16" s="48">
        <f>IFERROR(DL/(RadSpec!J16*IFAS_far_adj*CF_asparagus),".")</f>
        <v>2.150431985766205E-2</v>
      </c>
      <c r="AE16" s="48">
        <f>IFERROR(DL/(RadSpec!J16*IFBT_far_adj*CF_beet),".")</f>
        <v>2.5750325870373889E-2</v>
      </c>
      <c r="AF16" s="48">
        <f>IFERROR(DL/(RadSpec!J16*IFBE_far_adj*CF_berries),".")</f>
        <v>2.2481353543845357E-2</v>
      </c>
      <c r="AG16" s="48">
        <f>IFERROR(DL/(RadSpec!J16*IFBR_far_adj*CF_broccoli),".")</f>
        <v>2.3536750523519123E-2</v>
      </c>
      <c r="AH16" s="48">
        <f>IFERROR(DL/(RadSpec!J16*IFCB_far_adj*CF_cabbage),".")</f>
        <v>1.0152334458750066E-2</v>
      </c>
      <c r="AI16" s="48">
        <f>IFERROR(DL/(RadSpec!J16*IFCR_far_adj*CF_carrot),".")</f>
        <v>3.3299299783989107E-2</v>
      </c>
      <c r="AJ16" s="48">
        <f>IFERROR(DL/(RadSpec!J16*IFCI_far_adj*CF_citrus),".")</f>
        <v>2.5913386294334844E-3</v>
      </c>
      <c r="AK16" s="48">
        <f>IFERROR(DL/(RadSpec!J16*IFCO_far_adj*CF_corn),".")</f>
        <v>1.0147571618376683E-2</v>
      </c>
      <c r="AL16" s="48">
        <f>IFERROR(DL/(RadSpec!J16*IFCU_far_adj*CF_cucumber),".")</f>
        <v>1.5387389849369763E-2</v>
      </c>
      <c r="AM16" s="48">
        <f>IFERROR(DL/(RadSpec!J16*IFLE_far_adj*CF_lettuce),".")</f>
        <v>2.3290557778464619E-2</v>
      </c>
      <c r="AN16" s="48">
        <f>IFERROR(DL/(RadSpec!J16*IFLI_far_adj*CF_lima_bean),".")</f>
        <v>2.5485931007877206E-2</v>
      </c>
      <c r="AO16" s="48">
        <f>IFERROR(DL/(RadSpec!J16*IFOK_far_adj*CF_okra),".")</f>
        <v>2.8606067658756559E-2</v>
      </c>
      <c r="AP16" s="48">
        <f>IFERROR(DL/(RadSpec!J16*IFON_far_adj*CF_onion),".")</f>
        <v>3.128345374334679E-2</v>
      </c>
      <c r="AQ16" s="48">
        <f>IFERROR(DL/(RadSpec!J16*IFPC_far_adj*CF_peach),".")</f>
        <v>7.3837860195941898E-3</v>
      </c>
      <c r="AR16" s="48">
        <f>IFERROR(DL/(RadSpec!J16*IFPR_far_adj*CF_pear),".")</f>
        <v>1.2122651410552319E-2</v>
      </c>
      <c r="AS16" s="48">
        <f>IFERROR(DL/(RadSpec!J16*IFPE_far_adj*CF_peas),".")</f>
        <v>2.4225906578847753E-2</v>
      </c>
      <c r="AT16" s="48">
        <f>IFERROR(DL/(RadSpec!J16*IFPT_far_adj*CF_potato),".")</f>
        <v>5.8629977199534727E-3</v>
      </c>
      <c r="AU16" s="48">
        <f>IFERROR(DL/(RadSpec!J16*IFPU_far_adj*CF_pumpkin),".")</f>
        <v>1.2238273207064214E-2</v>
      </c>
      <c r="AV16" s="48">
        <f>IFERROR(DL/(RadSpec!J16*IFSN_far_adj*CF_snap_bean),".")</f>
        <v>1.5082370367347192E-2</v>
      </c>
      <c r="AW16" s="48">
        <f>IFERROR(DL/(RadSpec!J16*IFST_far_adj*CF_strawberry),".")</f>
        <v>1.9807942977210686E-2</v>
      </c>
      <c r="AX16" s="48">
        <f>IFERROR(DL/(RadSpec!J16*IFTO_far_adj*CF_tomato),".")</f>
        <v>8.874738650594835E-3</v>
      </c>
      <c r="AY16" s="48">
        <f>IFERROR(DL/(RadSpec!J16*IFRI_far_adj*CF_rice),".")</f>
        <v>9.4108966447758388E-3</v>
      </c>
      <c r="AZ16" s="48">
        <f>IFERROR(DL/(RadSpec!J16*IFCG_far_adj*CF_cereal),".")</f>
        <v>8.9050118283713724E-3</v>
      </c>
    </row>
    <row r="17" spans="1:52" x14ac:dyDescent="0.25">
      <c r="A17" s="61" t="s">
        <v>15</v>
      </c>
      <c r="B17" s="49" t="s">
        <v>1059</v>
      </c>
      <c r="C17" s="48">
        <f t="shared" si="14"/>
        <v>2.9301186124290033</v>
      </c>
      <c r="D17" s="48">
        <f>IFERROR(DL/(RadSpec!J17*IFAP_res_adj*CF_apple),".")</f>
        <v>52.898996529972621</v>
      </c>
      <c r="E17" s="48">
        <f>IFERROR(DL/(RadSpec!J17*IFAS_res_adj*CF_asparagus),".")</f>
        <v>117.51327611084285</v>
      </c>
      <c r="F17" s="48">
        <f>IFERROR(DL/(RadSpec!J17*IFBT_res_adj*CF_beet),".")</f>
        <v>143.71873668356076</v>
      </c>
      <c r="G17" s="48">
        <f>IFERROR(DL/(RadSpec!J17*IFBE_res_adj*CF_berries),".")</f>
        <v>118.46758938959368</v>
      </c>
      <c r="H17" s="48">
        <f>IFERROR(DL/(RadSpec!J17*IFBR_res_adj*CF_broccoli),".")</f>
        <v>140.32495173963557</v>
      </c>
      <c r="I17" s="48">
        <f>IFERROR(DL/(RadSpec!J17*IFCB_res_adj*CF_cabbage),".")</f>
        <v>52.618526977139666</v>
      </c>
      <c r="J17" s="48">
        <f>IFERROR(DL/(RadSpec!J17*IFCR_res_adj*CF_carrot),".")</f>
        <v>158.72079067638012</v>
      </c>
      <c r="K17" s="48">
        <f>IFERROR(DL/(RadSpec!J17*IFCI_res_adj*CF_citrus),".")</f>
        <v>13.717449706612115</v>
      </c>
      <c r="L17" s="48">
        <f>IFERROR(DL/(RadSpec!J17*IFCO_res_adj*CF_corn),".")</f>
        <v>75.318437314754291</v>
      </c>
      <c r="M17" s="48">
        <f>IFERROR(DL/(RadSpec!J17*IFCU_res_adj*CF_cucumber),".")</f>
        <v>56.002394147151691</v>
      </c>
      <c r="N17" s="48">
        <f>IFERROR(DL/(RadSpec!J17*IFLE_res_adj*CF_lettuce),".")</f>
        <v>130.03605410194501</v>
      </c>
      <c r="O17" s="48">
        <f>IFERROR(DL/(RadSpec!J17*IFLI_res_adj*CF_lima_bean),".")</f>
        <v>140.99799754573388</v>
      </c>
      <c r="P17" s="48">
        <f>IFERROR(DL/(RadSpec!J17*IFOK_res_adj*CF_okra),".")</f>
        <v>158.55865200245745</v>
      </c>
      <c r="Q17" s="48">
        <f>IFERROR(DL/(RadSpec!J17*IFON_res_adj*CF_onion),".")</f>
        <v>214.15043545563697</v>
      </c>
      <c r="R17" s="48">
        <f>IFERROR(DL/(RadSpec!J17*IFPC_res_adj*CF_peach),".")</f>
        <v>33.827670323300651</v>
      </c>
      <c r="S17" s="48">
        <f>IFERROR(DL/(RadSpec!J17*IFPR_res_adj*CF_pear),".")</f>
        <v>70.165013208016433</v>
      </c>
      <c r="T17" s="48">
        <f>IFERROR(DL/(RadSpec!J17*IFPE_res_adj*CF_peas),".")</f>
        <v>112.01772149926794</v>
      </c>
      <c r="U17" s="48">
        <f>IFERROR(DL/(RadSpec!J17*IFPT_res_adj*CF_potato),".")</f>
        <v>35.18142733216807</v>
      </c>
      <c r="V17" s="48">
        <f>IFERROR(DL/(RadSpec!J17*IFPU_res_adj*CF_pumpkin),".")</f>
        <v>64.360211810126387</v>
      </c>
      <c r="W17" s="48">
        <f>IFERROR(DL/(RadSpec!J17*IFSN_res_adj*CF_snap_bean),".")</f>
        <v>81.210620954672081</v>
      </c>
      <c r="X17" s="48">
        <f>IFERROR(DL/(RadSpec!J17*IFST_res_adj*CF_strawberry),".")</f>
        <v>104.86449817468765</v>
      </c>
      <c r="Y17" s="48">
        <f>IFERROR(DL/(RadSpec!J17*IFTO_res_adj*CF_tomato),".")</f>
        <v>56.514606193471515</v>
      </c>
      <c r="Z17" s="48">
        <f>IFERROR(DL/(RadSpec!J17*IFRI_res_adj*CF_rice),".")</f>
        <v>61.605478669844111</v>
      </c>
      <c r="AA17" s="48">
        <f>IFERROR(DL/(RadSpec!J17*IFCG_res_adj*CF_cereal),".")</f>
        <v>47.704238723137095</v>
      </c>
      <c r="AB17" s="48">
        <f t="shared" si="15"/>
        <v>2.7678731265892331</v>
      </c>
      <c r="AC17" s="48">
        <f>IFERROR(DL/(RadSpec!J17*IFAP_far_adj*CF_apple),".")</f>
        <v>45.96003660376811</v>
      </c>
      <c r="AD17" s="48">
        <f>IFERROR(DL/(RadSpec!J17*IFAS_far_adj*CF_asparagus),".")</f>
        <v>110.22314700912206</v>
      </c>
      <c r="AE17" s="48">
        <f>IFERROR(DL/(RadSpec!J17*IFBT_far_adj*CF_beet),".")</f>
        <v>131.98659491347419</v>
      </c>
      <c r="AF17" s="48">
        <f>IFERROR(DL/(RadSpec!J17*IFBE_far_adj*CF_berries),".")</f>
        <v>115.2310583654385</v>
      </c>
      <c r="AG17" s="48">
        <f>IFERROR(DL/(RadSpec!J17*IFBR_far_adj*CF_broccoli),".")</f>
        <v>120.64063082406784</v>
      </c>
      <c r="AH17" s="48">
        <f>IFERROR(DL/(RadSpec!J17*IFCB_far_adj*CF_cabbage),".")</f>
        <v>52.037091195603345</v>
      </c>
      <c r="AI17" s="48">
        <f>IFERROR(DL/(RadSpec!J17*IFCR_far_adj*CF_carrot),".")</f>
        <v>170.67982803853712</v>
      </c>
      <c r="AJ17" s="48">
        <f>IFERROR(DL/(RadSpec!J17*IFCI_far_adj*CF_citrus),".")</f>
        <v>13.282238201116352</v>
      </c>
      <c r="AK17" s="48">
        <f>IFERROR(DL/(RadSpec!J17*IFCO_far_adj*CF_corn),".")</f>
        <v>52.012678646955855</v>
      </c>
      <c r="AL17" s="48">
        <f>IFERROR(DL/(RadSpec!J17*IFCU_far_adj*CF_cucumber),".")</f>
        <v>78.870038423905314</v>
      </c>
      <c r="AM17" s="48">
        <f>IFERROR(DL/(RadSpec!J17*IFLE_far_adj*CF_lettuce),".")</f>
        <v>119.37873836197943</v>
      </c>
      <c r="AN17" s="48">
        <f>IFERROR(DL/(RadSpec!J17*IFLI_far_adj*CF_lima_bean),".")</f>
        <v>130.63140516600379</v>
      </c>
      <c r="AO17" s="48">
        <f>IFERROR(DL/(RadSpec!J17*IFOK_far_adj*CF_okra),".")</f>
        <v>146.62406538659138</v>
      </c>
      <c r="AP17" s="48">
        <f>IFERROR(DL/(RadSpec!J17*IFON_far_adj*CF_onion),".")</f>
        <v>160.3473508452951</v>
      </c>
      <c r="AQ17" s="48">
        <f>IFERROR(DL/(RadSpec!J17*IFPC_far_adj*CF_peach),".")</f>
        <v>37.846541406965194</v>
      </c>
      <c r="AR17" s="48">
        <f>IFERROR(DL/(RadSpec!J17*IFPR_far_adj*CF_pear),".")</f>
        <v>62.13620320986616</v>
      </c>
      <c r="AS17" s="48">
        <f>IFERROR(DL/(RadSpec!J17*IFPE_far_adj*CF_peas),".")</f>
        <v>124.17298849459652</v>
      </c>
      <c r="AT17" s="48">
        <f>IFERROR(DL/(RadSpec!J17*IFPT_far_adj*CF_potato),".")</f>
        <v>30.051546102274081</v>
      </c>
      <c r="AU17" s="48">
        <f>IFERROR(DL/(RadSpec!J17*IFPU_far_adj*CF_pumpkin),".")</f>
        <v>62.728837543746224</v>
      </c>
      <c r="AV17" s="48">
        <f>IFERROR(DL/(RadSpec!J17*IFSN_far_adj*CF_snap_bean),".")</f>
        <v>77.306621983387615</v>
      </c>
      <c r="AW17" s="48">
        <f>IFERROR(DL/(RadSpec!J17*IFST_far_adj*CF_strawberry),".")</f>
        <v>101.52814993344168</v>
      </c>
      <c r="AX17" s="48">
        <f>IFERROR(DL/(RadSpec!J17*IFTO_far_adj*CF_tomato),".")</f>
        <v>45.48861016887804</v>
      </c>
      <c r="AY17" s="48">
        <f>IFERROR(DL/(RadSpec!J17*IFRI_far_adj*CF_rice),".")</f>
        <v>48.236756671715355</v>
      </c>
      <c r="AZ17" s="48">
        <f>IFERROR(DL/(RadSpec!J17*IFCG_far_adj*CF_cereal),".")</f>
        <v>45.643779220797988</v>
      </c>
    </row>
    <row r="18" spans="1:52" x14ac:dyDescent="0.25">
      <c r="A18" s="61" t="s">
        <v>16</v>
      </c>
      <c r="B18" s="49" t="s">
        <v>1059</v>
      </c>
      <c r="C18" s="48">
        <f t="shared" ref="C18:C21" si="16">IFERROR(1/SUM(1/D18,1/E18,1/F18,1/G18,1/H18,1/I18,1/J18,1/K18,1/L18,1/M18,1/N18,1/O18,1/P18,1/Q18,1/R18,1/S18,1/T18,1/U18,1/V18,1/W18,1/X18,1/Y18),".")</f>
        <v>3.3319634507049818E-4</v>
      </c>
      <c r="D18" s="48">
        <f>IFERROR(DL/(RadSpec!J18*IFAP_res_adj*CF_apple),".")</f>
        <v>6.0153716054083149E-3</v>
      </c>
      <c r="E18" s="48">
        <f>IFERROR(DL/(RadSpec!J18*IFAS_res_adj*CF_asparagus),".")</f>
        <v>1.3362938254890131E-2</v>
      </c>
      <c r="F18" s="48">
        <f>IFERROR(DL/(RadSpec!J18*IFBT_res_adj*CF_beet),".")</f>
        <v>1.6342873485730627E-2</v>
      </c>
      <c r="G18" s="48">
        <f>IFERROR(DL/(RadSpec!J18*IFBE_res_adj*CF_berries),".")</f>
        <v>1.3471457307730941E-2</v>
      </c>
      <c r="H18" s="48">
        <f>IFERROR(DL/(RadSpec!J18*IFBR_res_adj*CF_broccoli),".")</f>
        <v>1.5956951654964274E-2</v>
      </c>
      <c r="I18" s="48">
        <f>IFERROR(DL/(RadSpec!J18*IFCB_res_adj*CF_cabbage),".")</f>
        <v>5.9834782105433106E-3</v>
      </c>
      <c r="J18" s="48">
        <f>IFERROR(DL/(RadSpec!J18*IFCR_res_adj*CF_carrot),".")</f>
        <v>1.8048821339771225E-2</v>
      </c>
      <c r="K18" s="48">
        <f>IFERROR(DL/(RadSpec!J18*IFCI_res_adj*CF_citrus),".")</f>
        <v>1.5598699952090349E-3</v>
      </c>
      <c r="L18" s="48">
        <f>IFERROR(DL/(RadSpec!J18*IFCO_res_adj*CF_corn),".")</f>
        <v>8.5647823003634892E-3</v>
      </c>
      <c r="M18" s="48">
        <f>IFERROR(DL/(RadSpec!J18*IFCU_res_adj*CF_cucumber),".")</f>
        <v>6.3682722487332505E-3</v>
      </c>
      <c r="N18" s="48">
        <f>IFERROR(DL/(RadSpec!J18*IFLE_res_adj*CF_lettuce),".")</f>
        <v>1.4786957009306892E-2</v>
      </c>
      <c r="O18" s="48">
        <f>IFERROR(DL/(RadSpec!J18*IFLI_res_adj*CF_lima_bean),".")</f>
        <v>1.603348657805774E-2</v>
      </c>
      <c r="P18" s="48">
        <f>IFERROR(DL/(RadSpec!J18*IFOK_res_adj*CF_okra),".")</f>
        <v>1.8030383856279447E-2</v>
      </c>
      <c r="Q18" s="48">
        <f>IFERROR(DL/(RadSpec!J18*IFON_res_adj*CF_onion),".")</f>
        <v>2.4351963803241002E-2</v>
      </c>
      <c r="R18" s="48">
        <f>IFERROR(DL/(RadSpec!J18*IFPC_res_adj*CF_peach),".")</f>
        <v>3.8466893681924747E-3</v>
      </c>
      <c r="S18" s="48">
        <f>IFERROR(DL/(RadSpec!J18*IFPR_res_adj*CF_pear),".")</f>
        <v>7.9787643590830126E-3</v>
      </c>
      <c r="T18" s="48">
        <f>IFERROR(DL/(RadSpec!J18*IFPE_res_adj*CF_peas),".")</f>
        <v>1.2738015187631041E-2</v>
      </c>
      <c r="U18" s="48">
        <f>IFERROR(DL/(RadSpec!J18*IFPT_res_adj*CF_potato),".")</f>
        <v>4.0006308794865407E-3</v>
      </c>
      <c r="V18" s="48">
        <f>IFERROR(DL/(RadSpec!J18*IFPU_res_adj*CF_pumpkin),".")</f>
        <v>7.3186755144086599E-3</v>
      </c>
      <c r="W18" s="48">
        <f>IFERROR(DL/(RadSpec!J18*IFSN_res_adj*CF_snap_bean),".")</f>
        <v>9.2348077542741391E-3</v>
      </c>
      <c r="X18" s="48">
        <f>IFERROR(DL/(RadSpec!J18*IFST_res_adj*CF_strawberry),".")</f>
        <v>1.1924591506721625E-2</v>
      </c>
      <c r="Y18" s="48">
        <f>IFERROR(DL/(RadSpec!J18*IFTO_res_adj*CF_tomato),".")</f>
        <v>6.4265180757147617E-3</v>
      </c>
      <c r="Z18" s="48">
        <f>IFERROR(DL/(RadSpec!J18*IFRI_res_adj*CF_rice),".")</f>
        <v>7.0054230030279878E-3</v>
      </c>
      <c r="AA18" s="48">
        <f>IFERROR(DL/(RadSpec!J18*IFCG_res_adj*CF_cereal),".")</f>
        <v>5.4246534319453048E-3</v>
      </c>
      <c r="AB18" s="48">
        <f t="shared" ref="AB18:AB21" si="17">IFERROR(1/SUM(1/AC18,1/AD18,1/AE18,1/AF18,1/AG18,1/AH18,1/AI18,1/AJ18,1/AK18,1/AL18,1/AM18,1/AN18,1/AO18,1/AP18,1/AQ18,1/AR18,1/AS18,1/AT18,1/AU18,1/AV18,1/AW18,1/AX18),".")</f>
        <v>3.1474671553786136E-4</v>
      </c>
      <c r="AC18" s="48">
        <f>IFERROR(DL/(RadSpec!J18*IFAP_far_adj*CF_apple),".")</f>
        <v>5.226312733799917E-3</v>
      </c>
      <c r="AD18" s="48">
        <f>IFERROR(DL/(RadSpec!J18*IFAS_far_adj*CF_asparagus),".")</f>
        <v>1.2533946431323023E-2</v>
      </c>
      <c r="AE18" s="48">
        <f>IFERROR(DL/(RadSpec!J18*IFBT_far_adj*CF_beet),".")</f>
        <v>1.5008761364446498E-2</v>
      </c>
      <c r="AF18" s="48">
        <f>IFERROR(DL/(RadSpec!J18*IFBE_far_adj*CF_berries),".")</f>
        <v>1.3103417494127008E-2</v>
      </c>
      <c r="AG18" s="48">
        <f>IFERROR(DL/(RadSpec!J18*IFBR_far_adj*CF_broccoli),".")</f>
        <v>1.3718563162279717E-2</v>
      </c>
      <c r="AH18" s="48">
        <f>IFERROR(DL/(RadSpec!J18*IFCB_far_adj*CF_cabbage),".")</f>
        <v>5.9173606559571809E-3</v>
      </c>
      <c r="AI18" s="48">
        <f>IFERROR(DL/(RadSpec!J18*IFCR_far_adj*CF_carrot),".")</f>
        <v>1.9408734731239368E-2</v>
      </c>
      <c r="AJ18" s="48">
        <f>IFERROR(DL/(RadSpec!J18*IFCI_far_adj*CF_citrus),".")</f>
        <v>1.5103802297269451E-3</v>
      </c>
      <c r="AK18" s="48">
        <f>IFERROR(DL/(RadSpec!J18*IFCO_far_adj*CF_corn),".")</f>
        <v>5.9145846004252664E-3</v>
      </c>
      <c r="AL18" s="48">
        <f>IFERROR(DL/(RadSpec!J18*IFCU_far_adj*CF_cucumber),".")</f>
        <v>8.9686500836326614E-3</v>
      </c>
      <c r="AM18" s="48">
        <f>IFERROR(DL/(RadSpec!J18*IFLE_far_adj*CF_lettuce),".")</f>
        <v>1.3575067962305091E-2</v>
      </c>
      <c r="AN18" s="48">
        <f>IFERROR(DL/(RadSpec!J18*IFLI_far_adj*CF_lima_bean),".")</f>
        <v>1.4854656930305573E-2</v>
      </c>
      <c r="AO18" s="48">
        <f>IFERROR(DL/(RadSpec!J18*IFOK_far_adj*CF_okra),".")</f>
        <v>1.6673250863960966E-2</v>
      </c>
      <c r="AP18" s="48">
        <f>IFERROR(DL/(RadSpec!J18*IFON_far_adj*CF_onion),".")</f>
        <v>1.8233784467550702E-2</v>
      </c>
      <c r="AQ18" s="48">
        <f>IFERROR(DL/(RadSpec!J18*IFPC_far_adj*CF_peach),".")</f>
        <v>4.3036924228491858E-3</v>
      </c>
      <c r="AR18" s="48">
        <f>IFERROR(DL/(RadSpec!J18*IFPR_far_adj*CF_pear),".")</f>
        <v>7.0657739650076381E-3</v>
      </c>
      <c r="AS18" s="48">
        <f>IFERROR(DL/(RadSpec!J18*IFPE_far_adj*CF_peas),".")</f>
        <v>1.4120242691671264E-2</v>
      </c>
      <c r="AT18" s="48">
        <f>IFERROR(DL/(RadSpec!J18*IFPT_far_adj*CF_potato),".")</f>
        <v>3.4172900996300246E-3</v>
      </c>
      <c r="AU18" s="48">
        <f>IFERROR(DL/(RadSpec!J18*IFPU_far_adj*CF_pumpkin),".")</f>
        <v>7.1331649549745716E-3</v>
      </c>
      <c r="AV18" s="48">
        <f>IFERROR(DL/(RadSpec!J18*IFSN_far_adj*CF_snap_bean),".")</f>
        <v>8.790867299825221E-3</v>
      </c>
      <c r="AW18" s="48">
        <f>IFERROR(DL/(RadSpec!J18*IFST_far_adj*CF_strawberry),".")</f>
        <v>1.1545201049574228E-2</v>
      </c>
      <c r="AX18" s="48">
        <f>IFERROR(DL/(RadSpec!J18*IFTO_far_adj*CF_tomato),".")</f>
        <v>5.1727048134895606E-3</v>
      </c>
      <c r="AY18" s="48">
        <f>IFERROR(DL/(RadSpec!J18*IFRI_far_adj*CF_rice),".")</f>
        <v>5.4852083300979178E-3</v>
      </c>
      <c r="AZ18" s="48">
        <f>IFERROR(DL/(RadSpec!J18*IFCG_far_adj*CF_cereal),".")</f>
        <v>5.1903497513935996E-3</v>
      </c>
    </row>
    <row r="19" spans="1:52" x14ac:dyDescent="0.25">
      <c r="A19" s="61" t="s">
        <v>17</v>
      </c>
      <c r="B19" s="49" t="s">
        <v>1059</v>
      </c>
      <c r="C19" s="48" t="str">
        <f t="shared" si="16"/>
        <v>.</v>
      </c>
      <c r="D19" s="48" t="str">
        <f>IFERROR(DL/(RadSpec!J19*IFAP_res_adj*CF_apple),".")</f>
        <v>.</v>
      </c>
      <c r="E19" s="48" t="str">
        <f>IFERROR(DL/(RadSpec!J19*IFAS_res_adj*CF_asparagus),".")</f>
        <v>.</v>
      </c>
      <c r="F19" s="48" t="str">
        <f>IFERROR(DL/(RadSpec!J19*IFBT_res_adj*CF_beet),".")</f>
        <v>.</v>
      </c>
      <c r="G19" s="48" t="str">
        <f>IFERROR(DL/(RadSpec!J19*IFBE_res_adj*CF_berries),".")</f>
        <v>.</v>
      </c>
      <c r="H19" s="48" t="str">
        <f>IFERROR(DL/(RadSpec!J19*IFBR_res_adj*CF_broccoli),".")</f>
        <v>.</v>
      </c>
      <c r="I19" s="48" t="str">
        <f>IFERROR(DL/(RadSpec!J19*IFCB_res_adj*CF_cabbage),".")</f>
        <v>.</v>
      </c>
      <c r="J19" s="48" t="str">
        <f>IFERROR(DL/(RadSpec!J19*IFCR_res_adj*CF_carrot),".")</f>
        <v>.</v>
      </c>
      <c r="K19" s="48" t="str">
        <f>IFERROR(DL/(RadSpec!J19*IFCI_res_adj*CF_citrus),".")</f>
        <v>.</v>
      </c>
      <c r="L19" s="48" t="str">
        <f>IFERROR(DL/(RadSpec!J19*IFCO_res_adj*CF_corn),".")</f>
        <v>.</v>
      </c>
      <c r="M19" s="48" t="str">
        <f>IFERROR(DL/(RadSpec!J19*IFCU_res_adj*CF_cucumber),".")</f>
        <v>.</v>
      </c>
      <c r="N19" s="48" t="str">
        <f>IFERROR(DL/(RadSpec!J19*IFLE_res_adj*CF_lettuce),".")</f>
        <v>.</v>
      </c>
      <c r="O19" s="48" t="str">
        <f>IFERROR(DL/(RadSpec!J19*IFLI_res_adj*CF_lima_bean),".")</f>
        <v>.</v>
      </c>
      <c r="P19" s="48" t="str">
        <f>IFERROR(DL/(RadSpec!J19*IFOK_res_adj*CF_okra),".")</f>
        <v>.</v>
      </c>
      <c r="Q19" s="48" t="str">
        <f>IFERROR(DL/(RadSpec!J19*IFON_res_adj*CF_onion),".")</f>
        <v>.</v>
      </c>
      <c r="R19" s="48" t="str">
        <f>IFERROR(DL/(RadSpec!J19*IFPC_res_adj*CF_peach),".")</f>
        <v>.</v>
      </c>
      <c r="S19" s="48" t="str">
        <f>IFERROR(DL/(RadSpec!J19*IFPR_res_adj*CF_pear),".")</f>
        <v>.</v>
      </c>
      <c r="T19" s="48" t="str">
        <f>IFERROR(DL/(RadSpec!J19*IFPE_res_adj*CF_peas),".")</f>
        <v>.</v>
      </c>
      <c r="U19" s="48" t="str">
        <f>IFERROR(DL/(RadSpec!J19*IFPT_res_adj*CF_potato),".")</f>
        <v>.</v>
      </c>
      <c r="V19" s="48" t="str">
        <f>IFERROR(DL/(RadSpec!J19*IFPU_res_adj*CF_pumpkin),".")</f>
        <v>.</v>
      </c>
      <c r="W19" s="48" t="str">
        <f>IFERROR(DL/(RadSpec!J19*IFSN_res_adj*CF_snap_bean),".")</f>
        <v>.</v>
      </c>
      <c r="X19" s="48" t="str">
        <f>IFERROR(DL/(RadSpec!J19*IFST_res_adj*CF_strawberry),".")</f>
        <v>.</v>
      </c>
      <c r="Y19" s="48" t="str">
        <f>IFERROR(DL/(RadSpec!J19*IFTO_res_adj*CF_tomato),".")</f>
        <v>.</v>
      </c>
      <c r="Z19" s="48" t="str">
        <f>IFERROR(DL/(RadSpec!J19*IFRI_res_adj*CF_rice),".")</f>
        <v>.</v>
      </c>
      <c r="AA19" s="48" t="str">
        <f>IFERROR(DL/(RadSpec!J19*IFCG_res_adj*CF_cereal),".")</f>
        <v>.</v>
      </c>
      <c r="AB19" s="48" t="str">
        <f t="shared" si="17"/>
        <v>.</v>
      </c>
      <c r="AC19" s="48" t="str">
        <f>IFERROR(DL/(RadSpec!J19*IFAP_far_adj*CF_apple),".")</f>
        <v>.</v>
      </c>
      <c r="AD19" s="48" t="str">
        <f>IFERROR(DL/(RadSpec!J19*IFAS_far_adj*CF_asparagus),".")</f>
        <v>.</v>
      </c>
      <c r="AE19" s="48" t="str">
        <f>IFERROR(DL/(RadSpec!J19*IFBT_far_adj*CF_beet),".")</f>
        <v>.</v>
      </c>
      <c r="AF19" s="48" t="str">
        <f>IFERROR(DL/(RadSpec!J19*IFBE_far_adj*CF_berries),".")</f>
        <v>.</v>
      </c>
      <c r="AG19" s="48" t="str">
        <f>IFERROR(DL/(RadSpec!J19*IFBR_far_adj*CF_broccoli),".")</f>
        <v>.</v>
      </c>
      <c r="AH19" s="48" t="str">
        <f>IFERROR(DL/(RadSpec!J19*IFCB_far_adj*CF_cabbage),".")</f>
        <v>.</v>
      </c>
      <c r="AI19" s="48" t="str">
        <f>IFERROR(DL/(RadSpec!J19*IFCR_far_adj*CF_carrot),".")</f>
        <v>.</v>
      </c>
      <c r="AJ19" s="48" t="str">
        <f>IFERROR(DL/(RadSpec!J19*IFCI_far_adj*CF_citrus),".")</f>
        <v>.</v>
      </c>
      <c r="AK19" s="48" t="str">
        <f>IFERROR(DL/(RadSpec!J19*IFCO_far_adj*CF_corn),".")</f>
        <v>.</v>
      </c>
      <c r="AL19" s="48" t="str">
        <f>IFERROR(DL/(RadSpec!J19*IFCU_far_adj*CF_cucumber),".")</f>
        <v>.</v>
      </c>
      <c r="AM19" s="48" t="str">
        <f>IFERROR(DL/(RadSpec!J19*IFLE_far_adj*CF_lettuce),".")</f>
        <v>.</v>
      </c>
      <c r="AN19" s="48" t="str">
        <f>IFERROR(DL/(RadSpec!J19*IFLI_far_adj*CF_lima_bean),".")</f>
        <v>.</v>
      </c>
      <c r="AO19" s="48" t="str">
        <f>IFERROR(DL/(RadSpec!J19*IFOK_far_adj*CF_okra),".")</f>
        <v>.</v>
      </c>
      <c r="AP19" s="48" t="str">
        <f>IFERROR(DL/(RadSpec!J19*IFON_far_adj*CF_onion),".")</f>
        <v>.</v>
      </c>
      <c r="AQ19" s="48" t="str">
        <f>IFERROR(DL/(RadSpec!J19*IFPC_far_adj*CF_peach),".")</f>
        <v>.</v>
      </c>
      <c r="AR19" s="48" t="str">
        <f>IFERROR(DL/(RadSpec!J19*IFPR_far_adj*CF_pear),".")</f>
        <v>.</v>
      </c>
      <c r="AS19" s="48" t="str">
        <f>IFERROR(DL/(RadSpec!J19*IFPE_far_adj*CF_peas),".")</f>
        <v>.</v>
      </c>
      <c r="AT19" s="48" t="str">
        <f>IFERROR(DL/(RadSpec!J19*IFPT_far_adj*CF_potato),".")</f>
        <v>.</v>
      </c>
      <c r="AU19" s="48" t="str">
        <f>IFERROR(DL/(RadSpec!J19*IFPU_far_adj*CF_pumpkin),".")</f>
        <v>.</v>
      </c>
      <c r="AV19" s="48" t="str">
        <f>IFERROR(DL/(RadSpec!J19*IFSN_far_adj*CF_snap_bean),".")</f>
        <v>.</v>
      </c>
      <c r="AW19" s="48" t="str">
        <f>IFERROR(DL/(RadSpec!J19*IFST_far_adj*CF_strawberry),".")</f>
        <v>.</v>
      </c>
      <c r="AX19" s="48" t="str">
        <f>IFERROR(DL/(RadSpec!J19*IFTO_far_adj*CF_tomato),".")</f>
        <v>.</v>
      </c>
      <c r="AY19" s="48" t="str">
        <f>IFERROR(DL/(RadSpec!J19*IFRI_far_adj*CF_rice),".")</f>
        <v>.</v>
      </c>
      <c r="AZ19" s="48" t="str">
        <f>IFERROR(DL/(RadSpec!J19*IFCG_far_adj*CF_cereal),".")</f>
        <v>.</v>
      </c>
    </row>
    <row r="20" spans="1:52" x14ac:dyDescent="0.25">
      <c r="A20" s="61" t="s">
        <v>18</v>
      </c>
      <c r="B20" s="49" t="s">
        <v>1059</v>
      </c>
      <c r="C20" s="48" t="str">
        <f t="shared" si="16"/>
        <v>.</v>
      </c>
      <c r="D20" s="48" t="str">
        <f>IFERROR(DL/(RadSpec!J20*IFAP_res_adj*CF_apple),".")</f>
        <v>.</v>
      </c>
      <c r="E20" s="48" t="str">
        <f>IFERROR(DL/(RadSpec!J20*IFAS_res_adj*CF_asparagus),".")</f>
        <v>.</v>
      </c>
      <c r="F20" s="48" t="str">
        <f>IFERROR(DL/(RadSpec!J20*IFBT_res_adj*CF_beet),".")</f>
        <v>.</v>
      </c>
      <c r="G20" s="48" t="str">
        <f>IFERROR(DL/(RadSpec!J20*IFBE_res_adj*CF_berries),".")</f>
        <v>.</v>
      </c>
      <c r="H20" s="48" t="str">
        <f>IFERROR(DL/(RadSpec!J20*IFBR_res_adj*CF_broccoli),".")</f>
        <v>.</v>
      </c>
      <c r="I20" s="48" t="str">
        <f>IFERROR(DL/(RadSpec!J20*IFCB_res_adj*CF_cabbage),".")</f>
        <v>.</v>
      </c>
      <c r="J20" s="48" t="str">
        <f>IFERROR(DL/(RadSpec!J20*IFCR_res_adj*CF_carrot),".")</f>
        <v>.</v>
      </c>
      <c r="K20" s="48" t="str">
        <f>IFERROR(DL/(RadSpec!J20*IFCI_res_adj*CF_citrus),".")</f>
        <v>.</v>
      </c>
      <c r="L20" s="48" t="str">
        <f>IFERROR(DL/(RadSpec!J20*IFCO_res_adj*CF_corn),".")</f>
        <v>.</v>
      </c>
      <c r="M20" s="48" t="str">
        <f>IFERROR(DL/(RadSpec!J20*IFCU_res_adj*CF_cucumber),".")</f>
        <v>.</v>
      </c>
      <c r="N20" s="48" t="str">
        <f>IFERROR(DL/(RadSpec!J20*IFLE_res_adj*CF_lettuce),".")</f>
        <v>.</v>
      </c>
      <c r="O20" s="48" t="str">
        <f>IFERROR(DL/(RadSpec!J20*IFLI_res_adj*CF_lima_bean),".")</f>
        <v>.</v>
      </c>
      <c r="P20" s="48" t="str">
        <f>IFERROR(DL/(RadSpec!J20*IFOK_res_adj*CF_okra),".")</f>
        <v>.</v>
      </c>
      <c r="Q20" s="48" t="str">
        <f>IFERROR(DL/(RadSpec!J20*IFON_res_adj*CF_onion),".")</f>
        <v>.</v>
      </c>
      <c r="R20" s="48" t="str">
        <f>IFERROR(DL/(RadSpec!J20*IFPC_res_adj*CF_peach),".")</f>
        <v>.</v>
      </c>
      <c r="S20" s="48" t="str">
        <f>IFERROR(DL/(RadSpec!J20*IFPR_res_adj*CF_pear),".")</f>
        <v>.</v>
      </c>
      <c r="T20" s="48" t="str">
        <f>IFERROR(DL/(RadSpec!J20*IFPE_res_adj*CF_peas),".")</f>
        <v>.</v>
      </c>
      <c r="U20" s="48" t="str">
        <f>IFERROR(DL/(RadSpec!J20*IFPT_res_adj*CF_potato),".")</f>
        <v>.</v>
      </c>
      <c r="V20" s="48" t="str">
        <f>IFERROR(DL/(RadSpec!J20*IFPU_res_adj*CF_pumpkin),".")</f>
        <v>.</v>
      </c>
      <c r="W20" s="48" t="str">
        <f>IFERROR(DL/(RadSpec!J20*IFSN_res_adj*CF_snap_bean),".")</f>
        <v>.</v>
      </c>
      <c r="X20" s="48" t="str">
        <f>IFERROR(DL/(RadSpec!J20*IFST_res_adj*CF_strawberry),".")</f>
        <v>.</v>
      </c>
      <c r="Y20" s="48" t="str">
        <f>IFERROR(DL/(RadSpec!J20*IFTO_res_adj*CF_tomato),".")</f>
        <v>.</v>
      </c>
      <c r="Z20" s="48" t="str">
        <f>IFERROR(DL/(RadSpec!J20*IFRI_res_adj*CF_rice),".")</f>
        <v>.</v>
      </c>
      <c r="AA20" s="48" t="str">
        <f>IFERROR(DL/(RadSpec!J20*IFCG_res_adj*CF_cereal),".")</f>
        <v>.</v>
      </c>
      <c r="AB20" s="48" t="str">
        <f t="shared" si="17"/>
        <v>.</v>
      </c>
      <c r="AC20" s="48" t="str">
        <f>IFERROR(DL/(RadSpec!J20*IFAP_far_adj*CF_apple),".")</f>
        <v>.</v>
      </c>
      <c r="AD20" s="48" t="str">
        <f>IFERROR(DL/(RadSpec!J20*IFAS_far_adj*CF_asparagus),".")</f>
        <v>.</v>
      </c>
      <c r="AE20" s="48" t="str">
        <f>IFERROR(DL/(RadSpec!J20*IFBT_far_adj*CF_beet),".")</f>
        <v>.</v>
      </c>
      <c r="AF20" s="48" t="str">
        <f>IFERROR(DL/(RadSpec!J20*IFBE_far_adj*CF_berries),".")</f>
        <v>.</v>
      </c>
      <c r="AG20" s="48" t="str">
        <f>IFERROR(DL/(RadSpec!J20*IFBR_far_adj*CF_broccoli),".")</f>
        <v>.</v>
      </c>
      <c r="AH20" s="48" t="str">
        <f>IFERROR(DL/(RadSpec!J20*IFCB_far_adj*CF_cabbage),".")</f>
        <v>.</v>
      </c>
      <c r="AI20" s="48" t="str">
        <f>IFERROR(DL/(RadSpec!J20*IFCR_far_adj*CF_carrot),".")</f>
        <v>.</v>
      </c>
      <c r="AJ20" s="48" t="str">
        <f>IFERROR(DL/(RadSpec!J20*IFCI_far_adj*CF_citrus),".")</f>
        <v>.</v>
      </c>
      <c r="AK20" s="48" t="str">
        <f>IFERROR(DL/(RadSpec!J20*IFCO_far_adj*CF_corn),".")</f>
        <v>.</v>
      </c>
      <c r="AL20" s="48" t="str">
        <f>IFERROR(DL/(RadSpec!J20*IFCU_far_adj*CF_cucumber),".")</f>
        <v>.</v>
      </c>
      <c r="AM20" s="48" t="str">
        <f>IFERROR(DL/(RadSpec!J20*IFLE_far_adj*CF_lettuce),".")</f>
        <v>.</v>
      </c>
      <c r="AN20" s="48" t="str">
        <f>IFERROR(DL/(RadSpec!J20*IFLI_far_adj*CF_lima_bean),".")</f>
        <v>.</v>
      </c>
      <c r="AO20" s="48" t="str">
        <f>IFERROR(DL/(RadSpec!J20*IFOK_far_adj*CF_okra),".")</f>
        <v>.</v>
      </c>
      <c r="AP20" s="48" t="str">
        <f>IFERROR(DL/(RadSpec!J20*IFON_far_adj*CF_onion),".")</f>
        <v>.</v>
      </c>
      <c r="AQ20" s="48" t="str">
        <f>IFERROR(DL/(RadSpec!J20*IFPC_far_adj*CF_peach),".")</f>
        <v>.</v>
      </c>
      <c r="AR20" s="48" t="str">
        <f>IFERROR(DL/(RadSpec!J20*IFPR_far_adj*CF_pear),".")</f>
        <v>.</v>
      </c>
      <c r="AS20" s="48" t="str">
        <f>IFERROR(DL/(RadSpec!J20*IFPE_far_adj*CF_peas),".")</f>
        <v>.</v>
      </c>
      <c r="AT20" s="48" t="str">
        <f>IFERROR(DL/(RadSpec!J20*IFPT_far_adj*CF_potato),".")</f>
        <v>.</v>
      </c>
      <c r="AU20" s="48" t="str">
        <f>IFERROR(DL/(RadSpec!J20*IFPU_far_adj*CF_pumpkin),".")</f>
        <v>.</v>
      </c>
      <c r="AV20" s="48" t="str">
        <f>IFERROR(DL/(RadSpec!J20*IFSN_far_adj*CF_snap_bean),".")</f>
        <v>.</v>
      </c>
      <c r="AW20" s="48" t="str">
        <f>IFERROR(DL/(RadSpec!J20*IFST_far_adj*CF_strawberry),".")</f>
        <v>.</v>
      </c>
      <c r="AX20" s="48" t="str">
        <f>IFERROR(DL/(RadSpec!J20*IFTO_far_adj*CF_tomato),".")</f>
        <v>.</v>
      </c>
      <c r="AY20" s="48" t="str">
        <f>IFERROR(DL/(RadSpec!J20*IFRI_far_adj*CF_rice),".")</f>
        <v>.</v>
      </c>
      <c r="AZ20" s="48" t="str">
        <f>IFERROR(DL/(RadSpec!J20*IFCG_far_adj*CF_cereal),".")</f>
        <v>.</v>
      </c>
    </row>
    <row r="21" spans="1:52" x14ac:dyDescent="0.25">
      <c r="A21" s="61" t="s">
        <v>19</v>
      </c>
      <c r="B21" s="49" t="s">
        <v>1059</v>
      </c>
      <c r="C21" s="48" t="str">
        <f t="shared" si="16"/>
        <v>.</v>
      </c>
      <c r="D21" s="48" t="str">
        <f>IFERROR(DL/(RadSpec!J21*IFAP_res_adj*CF_apple),".")</f>
        <v>.</v>
      </c>
      <c r="E21" s="48" t="str">
        <f>IFERROR(DL/(RadSpec!J21*IFAS_res_adj*CF_asparagus),".")</f>
        <v>.</v>
      </c>
      <c r="F21" s="48" t="str">
        <f>IFERROR(DL/(RadSpec!J21*IFBT_res_adj*CF_beet),".")</f>
        <v>.</v>
      </c>
      <c r="G21" s="48" t="str">
        <f>IFERROR(DL/(RadSpec!J21*IFBE_res_adj*CF_berries),".")</f>
        <v>.</v>
      </c>
      <c r="H21" s="48" t="str">
        <f>IFERROR(DL/(RadSpec!J21*IFBR_res_adj*CF_broccoli),".")</f>
        <v>.</v>
      </c>
      <c r="I21" s="48" t="str">
        <f>IFERROR(DL/(RadSpec!J21*IFCB_res_adj*CF_cabbage),".")</f>
        <v>.</v>
      </c>
      <c r="J21" s="48" t="str">
        <f>IFERROR(DL/(RadSpec!J21*IFCR_res_adj*CF_carrot),".")</f>
        <v>.</v>
      </c>
      <c r="K21" s="48" t="str">
        <f>IFERROR(DL/(RadSpec!J21*IFCI_res_adj*CF_citrus),".")</f>
        <v>.</v>
      </c>
      <c r="L21" s="48" t="str">
        <f>IFERROR(DL/(RadSpec!J21*IFCO_res_adj*CF_corn),".")</f>
        <v>.</v>
      </c>
      <c r="M21" s="48" t="str">
        <f>IFERROR(DL/(RadSpec!J21*IFCU_res_adj*CF_cucumber),".")</f>
        <v>.</v>
      </c>
      <c r="N21" s="48" t="str">
        <f>IFERROR(DL/(RadSpec!J21*IFLE_res_adj*CF_lettuce),".")</f>
        <v>.</v>
      </c>
      <c r="O21" s="48" t="str">
        <f>IFERROR(DL/(RadSpec!J21*IFLI_res_adj*CF_lima_bean),".")</f>
        <v>.</v>
      </c>
      <c r="P21" s="48" t="str">
        <f>IFERROR(DL/(RadSpec!J21*IFOK_res_adj*CF_okra),".")</f>
        <v>.</v>
      </c>
      <c r="Q21" s="48" t="str">
        <f>IFERROR(DL/(RadSpec!J21*IFON_res_adj*CF_onion),".")</f>
        <v>.</v>
      </c>
      <c r="R21" s="48" t="str">
        <f>IFERROR(DL/(RadSpec!J21*IFPC_res_adj*CF_peach),".")</f>
        <v>.</v>
      </c>
      <c r="S21" s="48" t="str">
        <f>IFERROR(DL/(RadSpec!J21*IFPR_res_adj*CF_pear),".")</f>
        <v>.</v>
      </c>
      <c r="T21" s="48" t="str">
        <f>IFERROR(DL/(RadSpec!J21*IFPE_res_adj*CF_peas),".")</f>
        <v>.</v>
      </c>
      <c r="U21" s="48" t="str">
        <f>IFERROR(DL/(RadSpec!J21*IFPT_res_adj*CF_potato),".")</f>
        <v>.</v>
      </c>
      <c r="V21" s="48" t="str">
        <f>IFERROR(DL/(RadSpec!J21*IFPU_res_adj*CF_pumpkin),".")</f>
        <v>.</v>
      </c>
      <c r="W21" s="48" t="str">
        <f>IFERROR(DL/(RadSpec!J21*IFSN_res_adj*CF_snap_bean),".")</f>
        <v>.</v>
      </c>
      <c r="X21" s="48" t="str">
        <f>IFERROR(DL/(RadSpec!J21*IFST_res_adj*CF_strawberry),".")</f>
        <v>.</v>
      </c>
      <c r="Y21" s="48" t="str">
        <f>IFERROR(DL/(RadSpec!J21*IFTO_res_adj*CF_tomato),".")</f>
        <v>.</v>
      </c>
      <c r="Z21" s="48" t="str">
        <f>IFERROR(DL/(RadSpec!J21*IFRI_res_adj*CF_rice),".")</f>
        <v>.</v>
      </c>
      <c r="AA21" s="48" t="str">
        <f>IFERROR(DL/(RadSpec!J21*IFCG_res_adj*CF_cereal),".")</f>
        <v>.</v>
      </c>
      <c r="AB21" s="48" t="str">
        <f t="shared" si="17"/>
        <v>.</v>
      </c>
      <c r="AC21" s="48" t="str">
        <f>IFERROR(DL/(RadSpec!J21*IFAP_far_adj*CF_apple),".")</f>
        <v>.</v>
      </c>
      <c r="AD21" s="48" t="str">
        <f>IFERROR(DL/(RadSpec!J21*IFAS_far_adj*CF_asparagus),".")</f>
        <v>.</v>
      </c>
      <c r="AE21" s="48" t="str">
        <f>IFERROR(DL/(RadSpec!J21*IFBT_far_adj*CF_beet),".")</f>
        <v>.</v>
      </c>
      <c r="AF21" s="48" t="str">
        <f>IFERROR(DL/(RadSpec!J21*IFBE_far_adj*CF_berries),".")</f>
        <v>.</v>
      </c>
      <c r="AG21" s="48" t="str">
        <f>IFERROR(DL/(RadSpec!J21*IFBR_far_adj*CF_broccoli),".")</f>
        <v>.</v>
      </c>
      <c r="AH21" s="48" t="str">
        <f>IFERROR(DL/(RadSpec!J21*IFCB_far_adj*CF_cabbage),".")</f>
        <v>.</v>
      </c>
      <c r="AI21" s="48" t="str">
        <f>IFERROR(DL/(RadSpec!J21*IFCR_far_adj*CF_carrot),".")</f>
        <v>.</v>
      </c>
      <c r="AJ21" s="48" t="str">
        <f>IFERROR(DL/(RadSpec!J21*IFCI_far_adj*CF_citrus),".")</f>
        <v>.</v>
      </c>
      <c r="AK21" s="48" t="str">
        <f>IFERROR(DL/(RadSpec!J21*IFCO_far_adj*CF_corn),".")</f>
        <v>.</v>
      </c>
      <c r="AL21" s="48" t="str">
        <f>IFERROR(DL/(RadSpec!J21*IFCU_far_adj*CF_cucumber),".")</f>
        <v>.</v>
      </c>
      <c r="AM21" s="48" t="str">
        <f>IFERROR(DL/(RadSpec!J21*IFLE_far_adj*CF_lettuce),".")</f>
        <v>.</v>
      </c>
      <c r="AN21" s="48" t="str">
        <f>IFERROR(DL/(RadSpec!J21*IFLI_far_adj*CF_lima_bean),".")</f>
        <v>.</v>
      </c>
      <c r="AO21" s="48" t="str">
        <f>IFERROR(DL/(RadSpec!J21*IFOK_far_adj*CF_okra),".")</f>
        <v>.</v>
      </c>
      <c r="AP21" s="48" t="str">
        <f>IFERROR(DL/(RadSpec!J21*IFON_far_adj*CF_onion),".")</f>
        <v>.</v>
      </c>
      <c r="AQ21" s="48" t="str">
        <f>IFERROR(DL/(RadSpec!J21*IFPC_far_adj*CF_peach),".")</f>
        <v>.</v>
      </c>
      <c r="AR21" s="48" t="str">
        <f>IFERROR(DL/(RadSpec!J21*IFPR_far_adj*CF_pear),".")</f>
        <v>.</v>
      </c>
      <c r="AS21" s="48" t="str">
        <f>IFERROR(DL/(RadSpec!J21*IFPE_far_adj*CF_peas),".")</f>
        <v>.</v>
      </c>
      <c r="AT21" s="48" t="str">
        <f>IFERROR(DL/(RadSpec!J21*IFPT_far_adj*CF_potato),".")</f>
        <v>.</v>
      </c>
      <c r="AU21" s="48" t="str">
        <f>IFERROR(DL/(RadSpec!J21*IFPU_far_adj*CF_pumpkin),".")</f>
        <v>.</v>
      </c>
      <c r="AV21" s="48" t="str">
        <f>IFERROR(DL/(RadSpec!J21*IFSN_far_adj*CF_snap_bean),".")</f>
        <v>.</v>
      </c>
      <c r="AW21" s="48" t="str">
        <f>IFERROR(DL/(RadSpec!J21*IFST_far_adj*CF_strawberry),".")</f>
        <v>.</v>
      </c>
      <c r="AX21" s="48" t="str">
        <f>IFERROR(DL/(RadSpec!J21*IFTO_far_adj*CF_tomato),".")</f>
        <v>.</v>
      </c>
      <c r="AY21" s="48" t="str">
        <f>IFERROR(DL/(RadSpec!J21*IFRI_far_adj*CF_rice),".")</f>
        <v>.</v>
      </c>
      <c r="AZ21" s="48" t="str">
        <f>IFERROR(DL/(RadSpec!J21*IFCG_far_adj*CF_cereal),".")</f>
        <v>.</v>
      </c>
    </row>
    <row r="22" spans="1:52" x14ac:dyDescent="0.25">
      <c r="A22" s="61" t="s">
        <v>20</v>
      </c>
      <c r="B22" s="49" t="s">
        <v>1059</v>
      </c>
      <c r="C22" s="48">
        <f t="shared" ref="C22:C23" si="18">IFERROR(1/SUM(1/D22,1/E22,1/F22,1/G22,1/H22,1/I22,1/J22,1/K22,1/L22,1/M22,1/N22,1/O22,1/P22,1/Q22,1/R22,1/S22,1/T22,1/U22,1/V22,1/W22,1/X22,1/Y22),".")</f>
        <v>2.4499731255183694E-3</v>
      </c>
      <c r="D22" s="48">
        <f>IFERROR(DL/(RadSpec!J22*IFAP_res_adj*CF_apple),".")</f>
        <v>4.4230673569178786E-2</v>
      </c>
      <c r="E22" s="48">
        <f>IFERROR(DL/(RadSpec!J22*IFAS_res_adj*CF_asparagus),".")</f>
        <v>9.8256898933015674E-2</v>
      </c>
      <c r="F22" s="48">
        <f>IFERROR(DL/(RadSpec!J22*IFBT_res_adj*CF_beet),".")</f>
        <v>0.1201681873950781</v>
      </c>
      <c r="G22" s="48">
        <f>IFERROR(DL/(RadSpec!J22*IFBE_res_adj*CF_berries),".")</f>
        <v>9.9054833145080429E-2</v>
      </c>
      <c r="H22" s="48">
        <f>IFERROR(DL/(RadSpec!J22*IFBR_res_adj*CF_broccoli),".")</f>
        <v>0.11733052687473729</v>
      </c>
      <c r="I22" s="48">
        <f>IFERROR(DL/(RadSpec!J22*IFCB_res_adj*CF_cabbage),".")</f>
        <v>4.3996163312818463E-2</v>
      </c>
      <c r="J22" s="48">
        <f>IFERROR(DL/(RadSpec!J22*IFCR_res_adj*CF_carrot),".")</f>
        <v>0.1327119216159649</v>
      </c>
      <c r="K22" s="48">
        <f>IFERROR(DL/(RadSpec!J22*IFCI_res_adj*CF_citrus),".")</f>
        <v>1.1469632317713491E-2</v>
      </c>
      <c r="L22" s="48">
        <f>IFERROR(DL/(RadSpec!J22*IFCO_res_adj*CF_corn),".")</f>
        <v>6.2976340443849185E-2</v>
      </c>
      <c r="M22" s="48">
        <f>IFERROR(DL/(RadSpec!J22*IFCU_res_adj*CF_cucumber),".")</f>
        <v>4.6825531240685662E-2</v>
      </c>
      <c r="N22" s="48">
        <f>IFERROR(DL/(RadSpec!J22*IFLE_res_adj*CF_lettuce),".")</f>
        <v>0.10872762506843303</v>
      </c>
      <c r="O22" s="48">
        <f>IFERROR(DL/(RadSpec!J22*IFLI_res_adj*CF_lima_bean),".")</f>
        <v>0.11789328366218925</v>
      </c>
      <c r="P22" s="48">
        <f>IFERROR(DL/(RadSpec!J22*IFOK_res_adj*CF_okra),".")</f>
        <v>0.13257635188440769</v>
      </c>
      <c r="Q22" s="48">
        <f>IFERROR(DL/(RadSpec!J22*IFON_res_adj*CF_onion),".")</f>
        <v>0.17905855737677207</v>
      </c>
      <c r="R22" s="48">
        <f>IFERROR(DL/(RadSpec!J22*IFPC_res_adj*CF_peach),".")</f>
        <v>2.8284480648474074E-2</v>
      </c>
      <c r="S22" s="48">
        <f>IFERROR(DL/(RadSpec!J22*IFPR_res_adj*CF_pear),".")</f>
        <v>5.8667384993257438E-2</v>
      </c>
      <c r="T22" s="48">
        <f>IFERROR(DL/(RadSpec!J22*IFPE_res_adj*CF_peas),".")</f>
        <v>9.3661876379639991E-2</v>
      </c>
      <c r="U22" s="48">
        <f>IFERROR(DL/(RadSpec!J22*IFPT_res_adj*CF_potato),".")</f>
        <v>2.941640352563633E-2</v>
      </c>
      <c r="V22" s="48">
        <f>IFERROR(DL/(RadSpec!J22*IFPU_res_adj*CF_pumpkin),".")</f>
        <v>5.3813790547122493E-2</v>
      </c>
      <c r="W22" s="48">
        <f>IFERROR(DL/(RadSpec!J22*IFSN_res_adj*CF_snap_bean),".")</f>
        <v>6.7902998193192204E-2</v>
      </c>
      <c r="X22" s="48">
        <f>IFERROR(DL/(RadSpec!J22*IFST_res_adj*CF_strawberry),".")</f>
        <v>8.7680819902364884E-2</v>
      </c>
      <c r="Y22" s="48">
        <f>IFERROR(DL/(RadSpec!J22*IFTO_res_adj*CF_tomato),".")</f>
        <v>4.7253809380255599E-2</v>
      </c>
      <c r="Z22" s="48">
        <f>IFERROR(DL/(RadSpec!J22*IFRI_res_adj*CF_rice),".")</f>
        <v>5.1510463257558738E-2</v>
      </c>
      <c r="AA22" s="48">
        <f>IFERROR(DL/(RadSpec!J22*IFCG_res_adj*CF_cereal),".")</f>
        <v>3.9887157587833122E-2</v>
      </c>
      <c r="AB22" s="48">
        <f t="shared" ref="AB22:AB23" si="19">IFERROR(1/SUM(1/AC22,1/AD22,1/AE22,1/AF22,1/AG22,1/AH22,1/AI22,1/AJ22,1/AK22,1/AL22,1/AM22,1/AN22,1/AO22,1/AP22,1/AQ22,1/AR22,1/AS22,1/AT22,1/AU22,1/AV22,1/AW22,1/AX22),".")</f>
        <v>2.3143140848372159E-3</v>
      </c>
      <c r="AC22" s="48">
        <f>IFERROR(DL/(RadSpec!J22*IFAP_far_adj*CF_apple),".")</f>
        <v>3.8428770101469972E-2</v>
      </c>
      <c r="AD22" s="48">
        <f>IFERROR(DL/(RadSpec!J22*IFAS_far_adj*CF_asparagus),".")</f>
        <v>9.2161370818551636E-2</v>
      </c>
      <c r="AE22" s="48">
        <f>IFERROR(DL/(RadSpec!J22*IFBT_far_adj*CF_beet),".")</f>
        <v>0.11035853944445952</v>
      </c>
      <c r="AF22" s="48">
        <f>IFERROR(DL/(RadSpec!J22*IFBE_far_adj*CF_berries),".")</f>
        <v>9.6348658045051522E-2</v>
      </c>
      <c r="AG22" s="48">
        <f>IFERROR(DL/(RadSpec!J22*IFBR_far_adj*CF_broccoli),".")</f>
        <v>0.10087178795793908</v>
      </c>
      <c r="AH22" s="48">
        <f>IFERROR(DL/(RadSpec!J22*IFCB_far_adj*CF_cabbage),".")</f>
        <v>4.3510004823214557E-2</v>
      </c>
      <c r="AI22" s="48">
        <f>IFERROR(DL/(RadSpec!J22*IFCR_far_adj*CF_carrot),".")</f>
        <v>0.14271128478852474</v>
      </c>
      <c r="AJ22" s="48">
        <f>IFERROR(DL/(RadSpec!J22*IFCI_far_adj*CF_citrus),".")</f>
        <v>1.1105736983286362E-2</v>
      </c>
      <c r="AK22" s="48">
        <f>IFERROR(DL/(RadSpec!J22*IFCO_far_adj*CF_corn),".")</f>
        <v>4.3489592650185781E-2</v>
      </c>
      <c r="AL22" s="48">
        <f>IFERROR(DL/(RadSpec!J22*IFCU_far_adj*CF_cucumber),".")</f>
        <v>6.594595649729898E-2</v>
      </c>
      <c r="AM22" s="48">
        <f>IFERROR(DL/(RadSpec!J22*IFLE_far_adj*CF_lettuce),".")</f>
        <v>9.9816676193419773E-2</v>
      </c>
      <c r="AN22" s="48">
        <f>IFERROR(DL/(RadSpec!J22*IFLI_far_adj*CF_lima_bean),".")</f>
        <v>0.10922541860518803</v>
      </c>
      <c r="AO22" s="48">
        <f>IFERROR(DL/(RadSpec!J22*IFOK_far_adj*CF_okra),".")</f>
        <v>0.1225974328232424</v>
      </c>
      <c r="AP22" s="48">
        <f>IFERROR(DL/(RadSpec!J22*IFON_far_adj*CF_onion),".")</f>
        <v>0.13407194461434338</v>
      </c>
      <c r="AQ22" s="48">
        <f>IFERROR(DL/(RadSpec!J22*IFPC_far_adj*CF_peach),".")</f>
        <v>3.1644797226832243E-2</v>
      </c>
      <c r="AR22" s="48">
        <f>IFERROR(DL/(RadSpec!J22*IFPR_far_adj*CF_pear),".")</f>
        <v>5.1954220330938508E-2</v>
      </c>
      <c r="AS22" s="48">
        <f>IFERROR(DL/(RadSpec!J22*IFPE_far_adj*CF_peas),".")</f>
        <v>0.10382531390934752</v>
      </c>
      <c r="AT22" s="48">
        <f>IFERROR(DL/(RadSpec!J22*IFPT_far_adj*CF_potato),".")</f>
        <v>2.5127133085514883E-2</v>
      </c>
      <c r="AU22" s="48">
        <f>IFERROR(DL/(RadSpec!J22*IFPU_far_adj*CF_pumpkin),".")</f>
        <v>5.2449742315989492E-2</v>
      </c>
      <c r="AV22" s="48">
        <f>IFERROR(DL/(RadSpec!J22*IFSN_far_adj*CF_snap_bean),".")</f>
        <v>6.4638730145773676E-2</v>
      </c>
      <c r="AW22" s="48">
        <f>IFERROR(DL/(RadSpec!J22*IFST_far_adj*CF_strawberry),".")</f>
        <v>8.4891184188045782E-2</v>
      </c>
      <c r="AX22" s="48">
        <f>IFERROR(DL/(RadSpec!J22*IFTO_far_adj*CF_tomato),".")</f>
        <v>3.8034594216835006E-2</v>
      </c>
      <c r="AY22" s="48">
        <f>IFERROR(DL/(RadSpec!J22*IFRI_far_adj*CF_rice),".")</f>
        <v>4.0332414191896454E-2</v>
      </c>
      <c r="AZ22" s="48">
        <f>IFERROR(DL/(RadSpec!J22*IFCG_far_adj*CF_cereal),".")</f>
        <v>3.8164336407305884E-2</v>
      </c>
    </row>
    <row r="23" spans="1:52" x14ac:dyDescent="0.25">
      <c r="A23" s="63" t="s">
        <v>21</v>
      </c>
      <c r="B23" s="49" t="s">
        <v>336</v>
      </c>
      <c r="C23" s="48">
        <f t="shared" si="18"/>
        <v>1.2871823485063395E-3</v>
      </c>
      <c r="D23" s="48">
        <f>IFERROR(DL/(RadSpec!J23*IFAP_res_adj*CF_apple),".")</f>
        <v>2.3238190528619317E-2</v>
      </c>
      <c r="E23" s="48">
        <f>IFERROR(DL/(RadSpec!J23*IFAS_res_adj*CF_asparagus),".")</f>
        <v>5.1622829902997193E-2</v>
      </c>
      <c r="F23" s="48">
        <f>IFERROR(DL/(RadSpec!J23*IFBT_res_adj*CF_beet),".")</f>
        <v>6.3134720971365549E-2</v>
      </c>
      <c r="G23" s="48">
        <f>IFERROR(DL/(RadSpec!J23*IFBE_res_adj*CF_berries),".")</f>
        <v>5.2042053617062121E-2</v>
      </c>
      <c r="H23" s="48">
        <f>IFERROR(DL/(RadSpec!J23*IFBR_res_adj*CF_broccoli),".")</f>
        <v>6.1643852971716283E-2</v>
      </c>
      <c r="I23" s="48">
        <f>IFERROR(DL/(RadSpec!J23*IFCB_res_adj*CF_cabbage),".")</f>
        <v>2.3114982049560251E-2</v>
      </c>
      <c r="J23" s="48">
        <f>IFERROR(DL/(RadSpec!J23*IFCR_res_adj*CF_carrot),".")</f>
        <v>6.9725027250771843E-2</v>
      </c>
      <c r="K23" s="48">
        <f>IFERROR(DL/(RadSpec!J23*IFCI_res_adj*CF_citrus),".")</f>
        <v>6.0259878402115037E-3</v>
      </c>
      <c r="L23" s="48">
        <f>IFERROR(DL/(RadSpec!J23*IFCO_res_adj*CF_corn),".")</f>
        <v>3.3086907341360057E-2</v>
      </c>
      <c r="M23" s="48">
        <f>IFERROR(DL/(RadSpec!J23*IFCU_res_adj*CF_cucumber),".")</f>
        <v>2.4601493234620724E-2</v>
      </c>
      <c r="N23" s="48">
        <f>IFERROR(DL/(RadSpec!J23*IFLE_res_adj*CF_lettuce),".")</f>
        <v>5.7124006106593954E-2</v>
      </c>
      <c r="O23" s="48">
        <f>IFERROR(DL/(RadSpec!J23*IFLI_res_adj*CF_lima_bean),".")</f>
        <v>6.193951768565352E-2</v>
      </c>
      <c r="P23" s="48">
        <f>IFERROR(DL/(RadSpec!J23*IFOK_res_adj*CF_okra),".")</f>
        <v>6.9653800769291466E-2</v>
      </c>
      <c r="Q23" s="48">
        <f>IFERROR(DL/(RadSpec!J23*IFON_res_adj*CF_onion),".")</f>
        <v>9.4074915354683791E-2</v>
      </c>
      <c r="R23" s="48">
        <f>IFERROR(DL/(RadSpec!J23*IFPC_res_adj*CF_peach),".")</f>
        <v>1.4860279016196092E-2</v>
      </c>
      <c r="S23" s="48">
        <f>IFERROR(DL/(RadSpec!J23*IFPR_res_adj*CF_pear),".")</f>
        <v>3.0823041122285372E-2</v>
      </c>
      <c r="T23" s="48">
        <f>IFERROR(DL/(RadSpec!J23*IFPE_res_adj*CF_peas),".")</f>
        <v>4.9208667943387019E-2</v>
      </c>
      <c r="U23" s="48">
        <f>IFERROR(DL/(RadSpec!J23*IFPT_res_adj*CF_potato),".")</f>
        <v>1.5454975803755953E-2</v>
      </c>
      <c r="V23" s="48">
        <f>IFERROR(DL/(RadSpec!J23*IFPU_res_adj*CF_pumpkin),".")</f>
        <v>2.8273029029172527E-2</v>
      </c>
      <c r="W23" s="48">
        <f>IFERROR(DL/(RadSpec!J23*IFSN_res_adj*CF_snap_bean),".")</f>
        <v>3.5675305893995021E-2</v>
      </c>
      <c r="X23" s="48">
        <f>IFERROR(DL/(RadSpec!J23*IFST_res_adj*CF_strawberry),".")</f>
        <v>4.6066302730160796E-2</v>
      </c>
      <c r="Y23" s="48">
        <f>IFERROR(DL/(RadSpec!J23*IFTO_res_adj*CF_tomato),".")</f>
        <v>2.4826504707507354E-2</v>
      </c>
      <c r="Z23" s="48">
        <f>IFERROR(DL/(RadSpec!J23*IFRI_res_adj*CF_rice),".")</f>
        <v>2.7062892395803485E-2</v>
      </c>
      <c r="AA23" s="48">
        <f>IFERROR(DL/(RadSpec!J23*IFCG_res_adj*CF_cereal),".")</f>
        <v>2.0956166679700405E-2</v>
      </c>
      <c r="AB23" s="48">
        <f t="shared" si="19"/>
        <v>1.2159089452345635E-3</v>
      </c>
      <c r="AC23" s="48">
        <f>IFERROR(DL/(RadSpec!J23*IFAP_far_adj*CF_apple),".")</f>
        <v>2.0189949854635438E-2</v>
      </c>
      <c r="AD23" s="48">
        <f>IFERROR(DL/(RadSpec!J23*IFAS_far_adj*CF_asparagus),".")</f>
        <v>4.8420322858311896E-2</v>
      </c>
      <c r="AE23" s="48">
        <f>IFERROR(DL/(RadSpec!J23*IFBT_far_adj*CF_beet),".")</f>
        <v>5.7980866198192864E-2</v>
      </c>
      <c r="AF23" s="48">
        <f>IFERROR(DL/(RadSpec!J23*IFBE_far_adj*CF_berries),".")</f>
        <v>5.0620266257665039E-2</v>
      </c>
      <c r="AG23" s="48">
        <f>IFERROR(DL/(RadSpec!J23*IFBR_far_adj*CF_broccoli),".")</f>
        <v>5.2996656807923849E-2</v>
      </c>
      <c r="AH23" s="48">
        <f>IFERROR(DL/(RadSpec!J23*IFCB_far_adj*CF_cabbage),".")</f>
        <v>2.2859561032947166E-2</v>
      </c>
      <c r="AI23" s="48">
        <f>IFERROR(DL/(RadSpec!J23*IFCR_far_adj*CF_carrot),".")</f>
        <v>7.497855580500859E-2</v>
      </c>
      <c r="AJ23" s="48">
        <f>IFERROR(DL/(RadSpec!J23*IFCI_far_adj*CF_citrus),".")</f>
        <v>5.8348022119694351E-3</v>
      </c>
      <c r="AK23" s="48">
        <f>IFERROR(DL/(RadSpec!J23*IFCO_far_adj*CF_corn),".")</f>
        <v>2.2848836756609744E-2</v>
      </c>
      <c r="AL23" s="48">
        <f>IFERROR(DL/(RadSpec!J23*IFCU_far_adj*CF_cucumber),".")</f>
        <v>3.4647102972090858E-2</v>
      </c>
      <c r="AM23" s="48">
        <f>IFERROR(DL/(RadSpec!J23*IFLE_far_adj*CF_lettuce),".")</f>
        <v>5.2442315527668669E-2</v>
      </c>
      <c r="AN23" s="48">
        <f>IFERROR(DL/(RadSpec!J23*IFLI_far_adj*CF_lima_bean),".")</f>
        <v>5.7385540017736762E-2</v>
      </c>
      <c r="AO23" s="48">
        <f>IFERROR(DL/(RadSpec!J23*IFOK_far_adj*CF_okra),".")</f>
        <v>6.4411013271372386E-2</v>
      </c>
      <c r="AP23" s="48">
        <f>IFERROR(DL/(RadSpec!J23*IFON_far_adj*CF_onion),".")</f>
        <v>7.04395647201186E-2</v>
      </c>
      <c r="AQ23" s="48">
        <f>IFERROR(DL/(RadSpec!J23*IFPC_far_adj*CF_peach),".")</f>
        <v>1.6625743355377646E-2</v>
      </c>
      <c r="AR23" s="48">
        <f>IFERROR(DL/(RadSpec!J23*IFPR_far_adj*CF_pear),".")</f>
        <v>2.7296036288660851E-2</v>
      </c>
      <c r="AS23" s="48">
        <f>IFERROR(DL/(RadSpec!J23*IFPE_far_adj*CF_peas),".")</f>
        <v>5.4548398919259847E-2</v>
      </c>
      <c r="AT23" s="48">
        <f>IFERROR(DL/(RadSpec!J23*IFPT_far_adj*CF_potato),".")</f>
        <v>1.3201451819762787E-2</v>
      </c>
      <c r="AU23" s="48">
        <f>IFERROR(DL/(RadSpec!J23*IFPU_far_adj*CF_pumpkin),".")</f>
        <v>2.7556376757628037E-2</v>
      </c>
      <c r="AV23" s="48">
        <f>IFERROR(DL/(RadSpec!J23*IFSN_far_adj*CF_snap_bean),".")</f>
        <v>3.3960304138397651E-2</v>
      </c>
      <c r="AW23" s="48">
        <f>IFERROR(DL/(RadSpec!J23*IFST_far_adj*CF_strawberry),".")</f>
        <v>4.4600666306302203E-2</v>
      </c>
      <c r="AX23" s="48">
        <f>IFERROR(DL/(RadSpec!J23*IFTO_far_adj*CF_tomato),".")</f>
        <v>1.9982855239749957E-2</v>
      </c>
      <c r="AY23" s="48">
        <f>IFERROR(DL/(RadSpec!J23*IFRI_far_adj*CF_rice),".")</f>
        <v>2.1190098405455531E-2</v>
      </c>
      <c r="AZ23" s="48">
        <f>IFERROR(DL/(RadSpec!J23*IFCG_far_adj*CF_cereal),".")</f>
        <v>2.0051020010902431E-2</v>
      </c>
    </row>
    <row r="24" spans="1:52" x14ac:dyDescent="0.25">
      <c r="A24" s="61" t="s">
        <v>22</v>
      </c>
      <c r="B24" s="49" t="s">
        <v>1059</v>
      </c>
      <c r="C24" s="48" t="str">
        <f t="shared" ref="C24:C25" si="20">IFERROR(1/SUM(1/D24,1/E24,1/F24,1/G24,1/H24,1/I24,1/J24,1/K24,1/L24,1/M24,1/N24,1/O24,1/P24,1/Q24,1/R24,1/S24,1/T24,1/U24,1/V24,1/W24,1/X24,1/Y24),".")</f>
        <v>.</v>
      </c>
      <c r="D24" s="48" t="str">
        <f>IFERROR(DL/(RadSpec!J24*IFAP_res_adj*CF_apple),".")</f>
        <v>.</v>
      </c>
      <c r="E24" s="48" t="str">
        <f>IFERROR(DL/(RadSpec!J24*IFAS_res_adj*CF_asparagus),".")</f>
        <v>.</v>
      </c>
      <c r="F24" s="48" t="str">
        <f>IFERROR(DL/(RadSpec!J24*IFBT_res_adj*CF_beet),".")</f>
        <v>.</v>
      </c>
      <c r="G24" s="48" t="str">
        <f>IFERROR(DL/(RadSpec!J24*IFBE_res_adj*CF_berries),".")</f>
        <v>.</v>
      </c>
      <c r="H24" s="48" t="str">
        <f>IFERROR(DL/(RadSpec!J24*IFBR_res_adj*CF_broccoli),".")</f>
        <v>.</v>
      </c>
      <c r="I24" s="48" t="str">
        <f>IFERROR(DL/(RadSpec!J24*IFCB_res_adj*CF_cabbage),".")</f>
        <v>.</v>
      </c>
      <c r="J24" s="48" t="str">
        <f>IFERROR(DL/(RadSpec!J24*IFCR_res_adj*CF_carrot),".")</f>
        <v>.</v>
      </c>
      <c r="K24" s="48" t="str">
        <f>IFERROR(DL/(RadSpec!J24*IFCI_res_adj*CF_citrus),".")</f>
        <v>.</v>
      </c>
      <c r="L24" s="48" t="str">
        <f>IFERROR(DL/(RadSpec!J24*IFCO_res_adj*CF_corn),".")</f>
        <v>.</v>
      </c>
      <c r="M24" s="48" t="str">
        <f>IFERROR(DL/(RadSpec!J24*IFCU_res_adj*CF_cucumber),".")</f>
        <v>.</v>
      </c>
      <c r="N24" s="48" t="str">
        <f>IFERROR(DL/(RadSpec!J24*IFLE_res_adj*CF_lettuce),".")</f>
        <v>.</v>
      </c>
      <c r="O24" s="48" t="str">
        <f>IFERROR(DL/(RadSpec!J24*IFLI_res_adj*CF_lima_bean),".")</f>
        <v>.</v>
      </c>
      <c r="P24" s="48" t="str">
        <f>IFERROR(DL/(RadSpec!J24*IFOK_res_adj*CF_okra),".")</f>
        <v>.</v>
      </c>
      <c r="Q24" s="48" t="str">
        <f>IFERROR(DL/(RadSpec!J24*IFON_res_adj*CF_onion),".")</f>
        <v>.</v>
      </c>
      <c r="R24" s="48" t="str">
        <f>IFERROR(DL/(RadSpec!J24*IFPC_res_adj*CF_peach),".")</f>
        <v>.</v>
      </c>
      <c r="S24" s="48" t="str">
        <f>IFERROR(DL/(RadSpec!J24*IFPR_res_adj*CF_pear),".")</f>
        <v>.</v>
      </c>
      <c r="T24" s="48" t="str">
        <f>IFERROR(DL/(RadSpec!J24*IFPE_res_adj*CF_peas),".")</f>
        <v>.</v>
      </c>
      <c r="U24" s="48" t="str">
        <f>IFERROR(DL/(RadSpec!J24*IFPT_res_adj*CF_potato),".")</f>
        <v>.</v>
      </c>
      <c r="V24" s="48" t="str">
        <f>IFERROR(DL/(RadSpec!J24*IFPU_res_adj*CF_pumpkin),".")</f>
        <v>.</v>
      </c>
      <c r="W24" s="48" t="str">
        <f>IFERROR(DL/(RadSpec!J24*IFSN_res_adj*CF_snap_bean),".")</f>
        <v>.</v>
      </c>
      <c r="X24" s="48" t="str">
        <f>IFERROR(DL/(RadSpec!J24*IFST_res_adj*CF_strawberry),".")</f>
        <v>.</v>
      </c>
      <c r="Y24" s="48" t="str">
        <f>IFERROR(DL/(RadSpec!J24*IFTO_res_adj*CF_tomato),".")</f>
        <v>.</v>
      </c>
      <c r="Z24" s="48" t="str">
        <f>IFERROR(DL/(RadSpec!J24*IFRI_res_adj*CF_rice),".")</f>
        <v>.</v>
      </c>
      <c r="AA24" s="48" t="str">
        <f>IFERROR(DL/(RadSpec!J24*IFCG_res_adj*CF_cereal),".")</f>
        <v>.</v>
      </c>
      <c r="AB24" s="48" t="str">
        <f t="shared" ref="AB24:AB25" si="21">IFERROR(1/SUM(1/AC24,1/AD24,1/AE24,1/AF24,1/AG24,1/AH24,1/AI24,1/AJ24,1/AK24,1/AL24,1/AM24,1/AN24,1/AO24,1/AP24,1/AQ24,1/AR24,1/AS24,1/AT24,1/AU24,1/AV24,1/AW24,1/AX24),".")</f>
        <v>.</v>
      </c>
      <c r="AC24" s="48" t="str">
        <f>IFERROR(DL/(RadSpec!J24*IFAP_far_adj*CF_apple),".")</f>
        <v>.</v>
      </c>
      <c r="AD24" s="48" t="str">
        <f>IFERROR(DL/(RadSpec!J24*IFAS_far_adj*CF_asparagus),".")</f>
        <v>.</v>
      </c>
      <c r="AE24" s="48" t="str">
        <f>IFERROR(DL/(RadSpec!J24*IFBT_far_adj*CF_beet),".")</f>
        <v>.</v>
      </c>
      <c r="AF24" s="48" t="str">
        <f>IFERROR(DL/(RadSpec!J24*IFBE_far_adj*CF_berries),".")</f>
        <v>.</v>
      </c>
      <c r="AG24" s="48" t="str">
        <f>IFERROR(DL/(RadSpec!J24*IFBR_far_adj*CF_broccoli),".")</f>
        <v>.</v>
      </c>
      <c r="AH24" s="48" t="str">
        <f>IFERROR(DL/(RadSpec!J24*IFCB_far_adj*CF_cabbage),".")</f>
        <v>.</v>
      </c>
      <c r="AI24" s="48" t="str">
        <f>IFERROR(DL/(RadSpec!J24*IFCR_far_adj*CF_carrot),".")</f>
        <v>.</v>
      </c>
      <c r="AJ24" s="48" t="str">
        <f>IFERROR(DL/(RadSpec!J24*IFCI_far_adj*CF_citrus),".")</f>
        <v>.</v>
      </c>
      <c r="AK24" s="48" t="str">
        <f>IFERROR(DL/(RadSpec!J24*IFCO_far_adj*CF_corn),".")</f>
        <v>.</v>
      </c>
      <c r="AL24" s="48" t="str">
        <f>IFERROR(DL/(RadSpec!J24*IFCU_far_adj*CF_cucumber),".")</f>
        <v>.</v>
      </c>
      <c r="AM24" s="48" t="str">
        <f>IFERROR(DL/(RadSpec!J24*IFLE_far_adj*CF_lettuce),".")</f>
        <v>.</v>
      </c>
      <c r="AN24" s="48" t="str">
        <f>IFERROR(DL/(RadSpec!J24*IFLI_far_adj*CF_lima_bean),".")</f>
        <v>.</v>
      </c>
      <c r="AO24" s="48" t="str">
        <f>IFERROR(DL/(RadSpec!J24*IFOK_far_adj*CF_okra),".")</f>
        <v>.</v>
      </c>
      <c r="AP24" s="48" t="str">
        <f>IFERROR(DL/(RadSpec!J24*IFON_far_adj*CF_onion),".")</f>
        <v>.</v>
      </c>
      <c r="AQ24" s="48" t="str">
        <f>IFERROR(DL/(RadSpec!J24*IFPC_far_adj*CF_peach),".")</f>
        <v>.</v>
      </c>
      <c r="AR24" s="48" t="str">
        <f>IFERROR(DL/(RadSpec!J24*IFPR_far_adj*CF_pear),".")</f>
        <v>.</v>
      </c>
      <c r="AS24" s="48" t="str">
        <f>IFERROR(DL/(RadSpec!J24*IFPE_far_adj*CF_peas),".")</f>
        <v>.</v>
      </c>
      <c r="AT24" s="48" t="str">
        <f>IFERROR(DL/(RadSpec!J24*IFPT_far_adj*CF_potato),".")</f>
        <v>.</v>
      </c>
      <c r="AU24" s="48" t="str">
        <f>IFERROR(DL/(RadSpec!J24*IFPU_far_adj*CF_pumpkin),".")</f>
        <v>.</v>
      </c>
      <c r="AV24" s="48" t="str">
        <f>IFERROR(DL/(RadSpec!J24*IFSN_far_adj*CF_snap_bean),".")</f>
        <v>.</v>
      </c>
      <c r="AW24" s="48" t="str">
        <f>IFERROR(DL/(RadSpec!J24*IFST_far_adj*CF_strawberry),".")</f>
        <v>.</v>
      </c>
      <c r="AX24" s="48" t="str">
        <f>IFERROR(DL/(RadSpec!J24*IFTO_far_adj*CF_tomato),".")</f>
        <v>.</v>
      </c>
      <c r="AY24" s="48" t="str">
        <f>IFERROR(DL/(RadSpec!J24*IFRI_far_adj*CF_rice),".")</f>
        <v>.</v>
      </c>
      <c r="AZ24" s="48" t="str">
        <f>IFERROR(DL/(RadSpec!J24*IFCG_far_adj*CF_cereal),".")</f>
        <v>.</v>
      </c>
    </row>
    <row r="25" spans="1:52" x14ac:dyDescent="0.25">
      <c r="A25" s="63" t="s">
        <v>23</v>
      </c>
      <c r="B25" s="49" t="s">
        <v>336</v>
      </c>
      <c r="C25" s="48" t="str">
        <f t="shared" si="20"/>
        <v>.</v>
      </c>
      <c r="D25" s="48" t="str">
        <f>IFERROR(DL/(RadSpec!J25*IFAP_res_adj*CF_apple),".")</f>
        <v>.</v>
      </c>
      <c r="E25" s="48" t="str">
        <f>IFERROR(DL/(RadSpec!J25*IFAS_res_adj*CF_asparagus),".")</f>
        <v>.</v>
      </c>
      <c r="F25" s="48" t="str">
        <f>IFERROR(DL/(RadSpec!J25*IFBT_res_adj*CF_beet),".")</f>
        <v>.</v>
      </c>
      <c r="G25" s="48" t="str">
        <f>IFERROR(DL/(RadSpec!J25*IFBE_res_adj*CF_berries),".")</f>
        <v>.</v>
      </c>
      <c r="H25" s="48" t="str">
        <f>IFERROR(DL/(RadSpec!J25*IFBR_res_adj*CF_broccoli),".")</f>
        <v>.</v>
      </c>
      <c r="I25" s="48" t="str">
        <f>IFERROR(DL/(RadSpec!J25*IFCB_res_adj*CF_cabbage),".")</f>
        <v>.</v>
      </c>
      <c r="J25" s="48" t="str">
        <f>IFERROR(DL/(RadSpec!J25*IFCR_res_adj*CF_carrot),".")</f>
        <v>.</v>
      </c>
      <c r="K25" s="48" t="str">
        <f>IFERROR(DL/(RadSpec!J25*IFCI_res_adj*CF_citrus),".")</f>
        <v>.</v>
      </c>
      <c r="L25" s="48" t="str">
        <f>IFERROR(DL/(RadSpec!J25*IFCO_res_adj*CF_corn),".")</f>
        <v>.</v>
      </c>
      <c r="M25" s="48" t="str">
        <f>IFERROR(DL/(RadSpec!J25*IFCU_res_adj*CF_cucumber),".")</f>
        <v>.</v>
      </c>
      <c r="N25" s="48" t="str">
        <f>IFERROR(DL/(RadSpec!J25*IFLE_res_adj*CF_lettuce),".")</f>
        <v>.</v>
      </c>
      <c r="O25" s="48" t="str">
        <f>IFERROR(DL/(RadSpec!J25*IFLI_res_adj*CF_lima_bean),".")</f>
        <v>.</v>
      </c>
      <c r="P25" s="48" t="str">
        <f>IFERROR(DL/(RadSpec!J25*IFOK_res_adj*CF_okra),".")</f>
        <v>.</v>
      </c>
      <c r="Q25" s="48" t="str">
        <f>IFERROR(DL/(RadSpec!J25*IFON_res_adj*CF_onion),".")</f>
        <v>.</v>
      </c>
      <c r="R25" s="48" t="str">
        <f>IFERROR(DL/(RadSpec!J25*IFPC_res_adj*CF_peach),".")</f>
        <v>.</v>
      </c>
      <c r="S25" s="48" t="str">
        <f>IFERROR(DL/(RadSpec!J25*IFPR_res_adj*CF_pear),".")</f>
        <v>.</v>
      </c>
      <c r="T25" s="48" t="str">
        <f>IFERROR(DL/(RadSpec!J25*IFPE_res_adj*CF_peas),".")</f>
        <v>.</v>
      </c>
      <c r="U25" s="48" t="str">
        <f>IFERROR(DL/(RadSpec!J25*IFPT_res_adj*CF_potato),".")</f>
        <v>.</v>
      </c>
      <c r="V25" s="48" t="str">
        <f>IFERROR(DL/(RadSpec!J25*IFPU_res_adj*CF_pumpkin),".")</f>
        <v>.</v>
      </c>
      <c r="W25" s="48" t="str">
        <f>IFERROR(DL/(RadSpec!J25*IFSN_res_adj*CF_snap_bean),".")</f>
        <v>.</v>
      </c>
      <c r="X25" s="48" t="str">
        <f>IFERROR(DL/(RadSpec!J25*IFST_res_adj*CF_strawberry),".")</f>
        <v>.</v>
      </c>
      <c r="Y25" s="48" t="str">
        <f>IFERROR(DL/(RadSpec!J25*IFTO_res_adj*CF_tomato),".")</f>
        <v>.</v>
      </c>
      <c r="Z25" s="48" t="str">
        <f>IFERROR(DL/(RadSpec!J25*IFRI_res_adj*CF_rice),".")</f>
        <v>.</v>
      </c>
      <c r="AA25" s="48" t="str">
        <f>IFERROR(DL/(RadSpec!J25*IFCG_res_adj*CF_cereal),".")</f>
        <v>.</v>
      </c>
      <c r="AB25" s="48" t="str">
        <f t="shared" si="21"/>
        <v>.</v>
      </c>
      <c r="AC25" s="48" t="str">
        <f>IFERROR(DL/(RadSpec!J25*IFAP_far_adj*CF_apple),".")</f>
        <v>.</v>
      </c>
      <c r="AD25" s="48" t="str">
        <f>IFERROR(DL/(RadSpec!J25*IFAS_far_adj*CF_asparagus),".")</f>
        <v>.</v>
      </c>
      <c r="AE25" s="48" t="str">
        <f>IFERROR(DL/(RadSpec!J25*IFBT_far_adj*CF_beet),".")</f>
        <v>.</v>
      </c>
      <c r="AF25" s="48" t="str">
        <f>IFERROR(DL/(RadSpec!J25*IFBE_far_adj*CF_berries),".")</f>
        <v>.</v>
      </c>
      <c r="AG25" s="48" t="str">
        <f>IFERROR(DL/(RadSpec!J25*IFBR_far_adj*CF_broccoli),".")</f>
        <v>.</v>
      </c>
      <c r="AH25" s="48" t="str">
        <f>IFERROR(DL/(RadSpec!J25*IFCB_far_adj*CF_cabbage),".")</f>
        <v>.</v>
      </c>
      <c r="AI25" s="48" t="str">
        <f>IFERROR(DL/(RadSpec!J25*IFCR_far_adj*CF_carrot),".")</f>
        <v>.</v>
      </c>
      <c r="AJ25" s="48" t="str">
        <f>IFERROR(DL/(RadSpec!J25*IFCI_far_adj*CF_citrus),".")</f>
        <v>.</v>
      </c>
      <c r="AK25" s="48" t="str">
        <f>IFERROR(DL/(RadSpec!J25*IFCO_far_adj*CF_corn),".")</f>
        <v>.</v>
      </c>
      <c r="AL25" s="48" t="str">
        <f>IFERROR(DL/(RadSpec!J25*IFCU_far_adj*CF_cucumber),".")</f>
        <v>.</v>
      </c>
      <c r="AM25" s="48" t="str">
        <f>IFERROR(DL/(RadSpec!J25*IFLE_far_adj*CF_lettuce),".")</f>
        <v>.</v>
      </c>
      <c r="AN25" s="48" t="str">
        <f>IFERROR(DL/(RadSpec!J25*IFLI_far_adj*CF_lima_bean),".")</f>
        <v>.</v>
      </c>
      <c r="AO25" s="48" t="str">
        <f>IFERROR(DL/(RadSpec!J25*IFOK_far_adj*CF_okra),".")</f>
        <v>.</v>
      </c>
      <c r="AP25" s="48" t="str">
        <f>IFERROR(DL/(RadSpec!J25*IFON_far_adj*CF_onion),".")</f>
        <v>.</v>
      </c>
      <c r="AQ25" s="48" t="str">
        <f>IFERROR(DL/(RadSpec!J25*IFPC_far_adj*CF_peach),".")</f>
        <v>.</v>
      </c>
      <c r="AR25" s="48" t="str">
        <f>IFERROR(DL/(RadSpec!J25*IFPR_far_adj*CF_pear),".")</f>
        <v>.</v>
      </c>
      <c r="AS25" s="48" t="str">
        <f>IFERROR(DL/(RadSpec!J25*IFPE_far_adj*CF_peas),".")</f>
        <v>.</v>
      </c>
      <c r="AT25" s="48" t="str">
        <f>IFERROR(DL/(RadSpec!J25*IFPT_far_adj*CF_potato),".")</f>
        <v>.</v>
      </c>
      <c r="AU25" s="48" t="str">
        <f>IFERROR(DL/(RadSpec!J25*IFPU_far_adj*CF_pumpkin),".")</f>
        <v>.</v>
      </c>
      <c r="AV25" s="48" t="str">
        <f>IFERROR(DL/(RadSpec!J25*IFSN_far_adj*CF_snap_bean),".")</f>
        <v>.</v>
      </c>
      <c r="AW25" s="48" t="str">
        <f>IFERROR(DL/(RadSpec!J25*IFST_far_adj*CF_strawberry),".")</f>
        <v>.</v>
      </c>
      <c r="AX25" s="48" t="str">
        <f>IFERROR(DL/(RadSpec!J25*IFTO_far_adj*CF_tomato),".")</f>
        <v>.</v>
      </c>
      <c r="AY25" s="48" t="str">
        <f>IFERROR(DL/(RadSpec!J25*IFRI_far_adj*CF_rice),".")</f>
        <v>.</v>
      </c>
      <c r="AZ25" s="48" t="str">
        <f>IFERROR(DL/(RadSpec!J25*IFCG_far_adj*CF_cereal),".")</f>
        <v>.</v>
      </c>
    </row>
    <row r="26" spans="1:52" x14ac:dyDescent="0.25">
      <c r="A26" s="61" t="s">
        <v>24</v>
      </c>
      <c r="B26" s="49" t="s">
        <v>1059</v>
      </c>
      <c r="C26" s="48">
        <f t="shared" ref="C26:C29" si="22">IFERROR(1/SUM(1/D26,1/E26,1/F26,1/G26,1/H26,1/I26,1/J26,1/K26,1/L26,1/M26,1/N26,1/O26,1/P26,1/Q26,1/R26,1/S26,1/T26,1/U26,1/V26,1/W26,1/X26,1/Y26),".")</f>
        <v>9.5746076169683379E-4</v>
      </c>
      <c r="D26" s="48">
        <f>IFERROR(DL/(RadSpec!J26*IFAP_res_adj*CF_apple),".")</f>
        <v>1.7285550590253777E-2</v>
      </c>
      <c r="E26" s="48">
        <f>IFERROR(DL/(RadSpec!J26*IFAS_res_adj*CF_asparagus),".")</f>
        <v>3.839924785887968E-2</v>
      </c>
      <c r="F26" s="48">
        <f>IFERROR(DL/(RadSpec!J26*IFBT_res_adj*CF_beet),".")</f>
        <v>4.6962280131409836E-2</v>
      </c>
      <c r="G26" s="48">
        <f>IFERROR(DL/(RadSpec!J26*IFBE_res_adj*CF_berries),".")</f>
        <v>3.8711084217617639E-2</v>
      </c>
      <c r="H26" s="48">
        <f>IFERROR(DL/(RadSpec!J26*IFBR_res_adj*CF_broccoli),".")</f>
        <v>4.5853309353345605E-2</v>
      </c>
      <c r="I26" s="48">
        <f>IFERROR(DL/(RadSpec!J26*IFCB_res_adj*CF_cabbage),".")</f>
        <v>1.7193902903860088E-2</v>
      </c>
      <c r="J26" s="48">
        <f>IFERROR(DL/(RadSpec!J26*IFCR_res_adj*CF_carrot),".")</f>
        <v>5.1864429137273627E-2</v>
      </c>
      <c r="K26" s="48">
        <f>IFERROR(DL/(RadSpec!J26*IFCI_res_adj*CF_citrus),".")</f>
        <v>4.482385043704123E-3</v>
      </c>
      <c r="L26" s="48">
        <f>IFERROR(DL/(RadSpec!J26*IFCO_res_adj*CF_corn),".")</f>
        <v>2.4611443391849105E-2</v>
      </c>
      <c r="M26" s="48">
        <f>IFERROR(DL/(RadSpec!J26*IFCU_res_adj*CF_cucumber),".")</f>
        <v>1.8299632898658765E-2</v>
      </c>
      <c r="N26" s="48">
        <f>IFERROR(DL/(RadSpec!J26*IFLE_res_adj*CF_lettuce),".")</f>
        <v>4.2491255773870376E-2</v>
      </c>
      <c r="O26" s="48">
        <f>IFERROR(DL/(RadSpec!J26*IFLI_res_adj*CF_lima_bean),".")</f>
        <v>4.6073237293269363E-2</v>
      </c>
      <c r="P26" s="48">
        <f>IFERROR(DL/(RadSpec!J26*IFOK_res_adj*CF_okra),".")</f>
        <v>5.1811447862871972E-2</v>
      </c>
      <c r="Q26" s="48">
        <f>IFERROR(DL/(RadSpec!J26*IFON_res_adj*CF_onion),".")</f>
        <v>6.9976907480577583E-2</v>
      </c>
      <c r="R26" s="48">
        <f>IFERROR(DL/(RadSpec!J26*IFPC_res_adj*CF_peach),".")</f>
        <v>1.1053705081012855E-2</v>
      </c>
      <c r="S26" s="48">
        <f>IFERROR(DL/(RadSpec!J26*IFPR_res_adj*CF_pear),".")</f>
        <v>2.2927483790468425E-2</v>
      </c>
      <c r="T26" s="48">
        <f>IFERROR(DL/(RadSpec!J26*IFPE_res_adj*CF_peas),".")</f>
        <v>3.6603491918480002E-2</v>
      </c>
      <c r="U26" s="48">
        <f>IFERROR(DL/(RadSpec!J26*IFPT_res_adj*CF_potato),".")</f>
        <v>1.1496065745650978E-2</v>
      </c>
      <c r="V26" s="48">
        <f>IFERROR(DL/(RadSpec!J26*IFPU_res_adj*CF_pumpkin),".")</f>
        <v>2.1030676765542121E-2</v>
      </c>
      <c r="W26" s="48">
        <f>IFERROR(DL/(RadSpec!J26*IFSN_res_adj*CF_snap_bean),".")</f>
        <v>2.6536803891592353E-2</v>
      </c>
      <c r="X26" s="48">
        <f>IFERROR(DL/(RadSpec!J26*IFST_res_adj*CF_strawberry),".")</f>
        <v>3.4266067548050644E-2</v>
      </c>
      <c r="Y26" s="48">
        <f>IFERROR(DL/(RadSpec!J26*IFTO_res_adj*CF_tomato),".")</f>
        <v>1.8467005964697591E-2</v>
      </c>
      <c r="Z26" s="48">
        <f>IFERROR(DL/(RadSpec!J26*IFRI_res_adj*CF_rice),".")</f>
        <v>2.0130525870770077E-2</v>
      </c>
      <c r="AA26" s="48">
        <f>IFERROR(DL/(RadSpec!J26*IFCG_res_adj*CF_cereal),".")</f>
        <v>1.5588084574555473E-2</v>
      </c>
      <c r="AB26" s="48">
        <f t="shared" ref="AB26:AB29" si="23">IFERROR(1/SUM(1/AC26,1/AD26,1/AE26,1/AF26,1/AG26,1/AH26,1/AI26,1/AJ26,1/AK26,1/AL26,1/AM26,1/AN26,1/AO26,1/AP26,1/AQ26,1/AR26,1/AS26,1/AT26,1/AU26,1/AV26,1/AW26,1/AX26),".")</f>
        <v>9.0444458487891181E-4</v>
      </c>
      <c r="AC26" s="48">
        <f>IFERROR(DL/(RadSpec!J26*IFAP_far_adj*CF_apple),".")</f>
        <v>1.5018140039654933E-2</v>
      </c>
      <c r="AD26" s="48">
        <f>IFERROR(DL/(RadSpec!J26*IFAS_far_adj*CF_asparagus),".")</f>
        <v>3.6017087446330524E-2</v>
      </c>
      <c r="AE26" s="48">
        <f>IFERROR(DL/(RadSpec!J26*IFBT_far_adj*CF_beet),".")</f>
        <v>4.3128624610478436E-2</v>
      </c>
      <c r="AF26" s="48">
        <f>IFERROR(DL/(RadSpec!J26*IFBE_far_adj*CF_berries),".")</f>
        <v>3.7653498546341972E-2</v>
      </c>
      <c r="AG26" s="48">
        <f>IFERROR(DL/(RadSpec!J26*IFBR_far_adj*CF_broccoli),".")</f>
        <v>3.9421158512298028E-2</v>
      </c>
      <c r="AH26" s="48">
        <f>IFERROR(DL/(RadSpec!J26*IFCB_far_adj*CF_cabbage),".")</f>
        <v>1.7003909930911439E-2</v>
      </c>
      <c r="AI26" s="48">
        <f>IFERROR(DL/(RadSpec!J26*IFCR_far_adj*CF_carrot),".")</f>
        <v>5.5772226239193576E-2</v>
      </c>
      <c r="AJ26" s="48">
        <f>IFERROR(DL/(RadSpec!J26*IFCI_far_adj*CF_citrus),".")</f>
        <v>4.3401730739280027E-3</v>
      </c>
      <c r="AK26" s="48">
        <f>IFERROR(DL/(RadSpec!J26*IFCO_far_adj*CF_corn),".")</f>
        <v>1.6995932759842718E-2</v>
      </c>
      <c r="AL26" s="48">
        <f>IFERROR(DL/(RadSpec!J26*IFCU_far_adj*CF_cucumber),".")</f>
        <v>2.5771982998944426E-2</v>
      </c>
      <c r="AM26" s="48">
        <f>IFERROR(DL/(RadSpec!J26*IFLE_far_adj*CF_lettuce),".")</f>
        <v>3.9008815983635314E-2</v>
      </c>
      <c r="AN26" s="48">
        <f>IFERROR(DL/(RadSpec!J26*IFLI_far_adj*CF_lima_bean),".")</f>
        <v>4.268579577674015E-2</v>
      </c>
      <c r="AO26" s="48">
        <f>IFERROR(DL/(RadSpec!J26*IFOK_far_adj*CF_okra),".")</f>
        <v>4.7911640413680935E-2</v>
      </c>
      <c r="AP26" s="48">
        <f>IFERROR(DL/(RadSpec!J26*IFON_far_adj*CF_onion),".")</f>
        <v>5.2395932378019247E-2</v>
      </c>
      <c r="AQ26" s="48">
        <f>IFERROR(DL/(RadSpec!J26*IFPC_far_adj*CF_peach),".")</f>
        <v>1.2366932249566623E-2</v>
      </c>
      <c r="AR26" s="48">
        <f>IFERROR(DL/(RadSpec!J26*IFPR_far_adj*CF_pear),".")</f>
        <v>2.0303948175309304E-2</v>
      </c>
      <c r="AS26" s="48">
        <f>IFERROR(DL/(RadSpec!J26*IFPE_far_adj*CF_peas),".")</f>
        <v>4.0575410033538109E-2</v>
      </c>
      <c r="AT26" s="48">
        <f>IFERROR(DL/(RadSpec!J26*IFPT_far_adj*CF_potato),".")</f>
        <v>9.8197991368678857E-3</v>
      </c>
      <c r="AU26" s="48">
        <f>IFERROR(DL/(RadSpec!J26*IFPU_far_adj*CF_pumpkin),".")</f>
        <v>2.0497600445329226E-2</v>
      </c>
      <c r="AV26" s="48">
        <f>IFERROR(DL/(RadSpec!J26*IFSN_far_adj*CF_snap_bean),".")</f>
        <v>2.526111293053224E-2</v>
      </c>
      <c r="AW26" s="48">
        <f>IFERROR(DL/(RadSpec!J26*IFST_far_adj*CF_strawberry),".")</f>
        <v>3.3175865084983408E-2</v>
      </c>
      <c r="AX26" s="48">
        <f>IFERROR(DL/(RadSpec!J26*IFTO_far_adj*CF_tomato),".")</f>
        <v>1.4864094291636669E-2</v>
      </c>
      <c r="AY26" s="48">
        <f>IFERROR(DL/(RadSpec!J26*IFRI_far_adj*CF_rice),".")</f>
        <v>1.5762092902580221E-2</v>
      </c>
      <c r="AZ26" s="48">
        <f>IFERROR(DL/(RadSpec!J26*IFCG_far_adj*CF_cereal),".")</f>
        <v>1.4914798136188503E-2</v>
      </c>
    </row>
    <row r="27" spans="1:52" x14ac:dyDescent="0.25">
      <c r="A27" s="61" t="s">
        <v>25</v>
      </c>
      <c r="B27" s="49" t="s">
        <v>1059</v>
      </c>
      <c r="C27" s="48" t="str">
        <f t="shared" si="22"/>
        <v>.</v>
      </c>
      <c r="D27" s="48" t="str">
        <f>IFERROR(DL/(RadSpec!J27*IFAP_res_adj*CF_apple),".")</f>
        <v>.</v>
      </c>
      <c r="E27" s="48" t="str">
        <f>IFERROR(DL/(RadSpec!J27*IFAS_res_adj*CF_asparagus),".")</f>
        <v>.</v>
      </c>
      <c r="F27" s="48" t="str">
        <f>IFERROR(DL/(RadSpec!J27*IFBT_res_adj*CF_beet),".")</f>
        <v>.</v>
      </c>
      <c r="G27" s="48" t="str">
        <f>IFERROR(DL/(RadSpec!J27*IFBE_res_adj*CF_berries),".")</f>
        <v>.</v>
      </c>
      <c r="H27" s="48" t="str">
        <f>IFERROR(DL/(RadSpec!J27*IFBR_res_adj*CF_broccoli),".")</f>
        <v>.</v>
      </c>
      <c r="I27" s="48" t="str">
        <f>IFERROR(DL/(RadSpec!J27*IFCB_res_adj*CF_cabbage),".")</f>
        <v>.</v>
      </c>
      <c r="J27" s="48" t="str">
        <f>IFERROR(DL/(RadSpec!J27*IFCR_res_adj*CF_carrot),".")</f>
        <v>.</v>
      </c>
      <c r="K27" s="48" t="str">
        <f>IFERROR(DL/(RadSpec!J27*IFCI_res_adj*CF_citrus),".")</f>
        <v>.</v>
      </c>
      <c r="L27" s="48" t="str">
        <f>IFERROR(DL/(RadSpec!J27*IFCO_res_adj*CF_corn),".")</f>
        <v>.</v>
      </c>
      <c r="M27" s="48" t="str">
        <f>IFERROR(DL/(RadSpec!J27*IFCU_res_adj*CF_cucumber),".")</f>
        <v>.</v>
      </c>
      <c r="N27" s="48" t="str">
        <f>IFERROR(DL/(RadSpec!J27*IFLE_res_adj*CF_lettuce),".")</f>
        <v>.</v>
      </c>
      <c r="O27" s="48" t="str">
        <f>IFERROR(DL/(RadSpec!J27*IFLI_res_adj*CF_lima_bean),".")</f>
        <v>.</v>
      </c>
      <c r="P27" s="48" t="str">
        <f>IFERROR(DL/(RadSpec!J27*IFOK_res_adj*CF_okra),".")</f>
        <v>.</v>
      </c>
      <c r="Q27" s="48" t="str">
        <f>IFERROR(DL/(RadSpec!J27*IFON_res_adj*CF_onion),".")</f>
        <v>.</v>
      </c>
      <c r="R27" s="48" t="str">
        <f>IFERROR(DL/(RadSpec!J27*IFPC_res_adj*CF_peach),".")</f>
        <v>.</v>
      </c>
      <c r="S27" s="48" t="str">
        <f>IFERROR(DL/(RadSpec!J27*IFPR_res_adj*CF_pear),".")</f>
        <v>.</v>
      </c>
      <c r="T27" s="48" t="str">
        <f>IFERROR(DL/(RadSpec!J27*IFPE_res_adj*CF_peas),".")</f>
        <v>.</v>
      </c>
      <c r="U27" s="48" t="str">
        <f>IFERROR(DL/(RadSpec!J27*IFPT_res_adj*CF_potato),".")</f>
        <v>.</v>
      </c>
      <c r="V27" s="48" t="str">
        <f>IFERROR(DL/(RadSpec!J27*IFPU_res_adj*CF_pumpkin),".")</f>
        <v>.</v>
      </c>
      <c r="W27" s="48" t="str">
        <f>IFERROR(DL/(RadSpec!J27*IFSN_res_adj*CF_snap_bean),".")</f>
        <v>.</v>
      </c>
      <c r="X27" s="48" t="str">
        <f>IFERROR(DL/(RadSpec!J27*IFST_res_adj*CF_strawberry),".")</f>
        <v>.</v>
      </c>
      <c r="Y27" s="48" t="str">
        <f>IFERROR(DL/(RadSpec!J27*IFTO_res_adj*CF_tomato),".")</f>
        <v>.</v>
      </c>
      <c r="Z27" s="48" t="str">
        <f>IFERROR(DL/(RadSpec!J27*IFRI_res_adj*CF_rice),".")</f>
        <v>.</v>
      </c>
      <c r="AA27" s="48" t="str">
        <f>IFERROR(DL/(RadSpec!J27*IFCG_res_adj*CF_cereal),".")</f>
        <v>.</v>
      </c>
      <c r="AB27" s="48" t="str">
        <f t="shared" si="23"/>
        <v>.</v>
      </c>
      <c r="AC27" s="48" t="str">
        <f>IFERROR(DL/(RadSpec!J27*IFAP_far_adj*CF_apple),".")</f>
        <v>.</v>
      </c>
      <c r="AD27" s="48" t="str">
        <f>IFERROR(DL/(RadSpec!J27*IFAS_far_adj*CF_asparagus),".")</f>
        <v>.</v>
      </c>
      <c r="AE27" s="48" t="str">
        <f>IFERROR(DL/(RadSpec!J27*IFBT_far_adj*CF_beet),".")</f>
        <v>.</v>
      </c>
      <c r="AF27" s="48" t="str">
        <f>IFERROR(DL/(RadSpec!J27*IFBE_far_adj*CF_berries),".")</f>
        <v>.</v>
      </c>
      <c r="AG27" s="48" t="str">
        <f>IFERROR(DL/(RadSpec!J27*IFBR_far_adj*CF_broccoli),".")</f>
        <v>.</v>
      </c>
      <c r="AH27" s="48" t="str">
        <f>IFERROR(DL/(RadSpec!J27*IFCB_far_adj*CF_cabbage),".")</f>
        <v>.</v>
      </c>
      <c r="AI27" s="48" t="str">
        <f>IFERROR(DL/(RadSpec!J27*IFCR_far_adj*CF_carrot),".")</f>
        <v>.</v>
      </c>
      <c r="AJ27" s="48" t="str">
        <f>IFERROR(DL/(RadSpec!J27*IFCI_far_adj*CF_citrus),".")</f>
        <v>.</v>
      </c>
      <c r="AK27" s="48" t="str">
        <f>IFERROR(DL/(RadSpec!J27*IFCO_far_adj*CF_corn),".")</f>
        <v>.</v>
      </c>
      <c r="AL27" s="48" t="str">
        <f>IFERROR(DL/(RadSpec!J27*IFCU_far_adj*CF_cucumber),".")</f>
        <v>.</v>
      </c>
      <c r="AM27" s="48" t="str">
        <f>IFERROR(DL/(RadSpec!J27*IFLE_far_adj*CF_lettuce),".")</f>
        <v>.</v>
      </c>
      <c r="AN27" s="48" t="str">
        <f>IFERROR(DL/(RadSpec!J27*IFLI_far_adj*CF_lima_bean),".")</f>
        <v>.</v>
      </c>
      <c r="AO27" s="48" t="str">
        <f>IFERROR(DL/(RadSpec!J27*IFOK_far_adj*CF_okra),".")</f>
        <v>.</v>
      </c>
      <c r="AP27" s="48" t="str">
        <f>IFERROR(DL/(RadSpec!J27*IFON_far_adj*CF_onion),".")</f>
        <v>.</v>
      </c>
      <c r="AQ27" s="48" t="str">
        <f>IFERROR(DL/(RadSpec!J27*IFPC_far_adj*CF_peach),".")</f>
        <v>.</v>
      </c>
      <c r="AR27" s="48" t="str">
        <f>IFERROR(DL/(RadSpec!J27*IFPR_far_adj*CF_pear),".")</f>
        <v>.</v>
      </c>
      <c r="AS27" s="48" t="str">
        <f>IFERROR(DL/(RadSpec!J27*IFPE_far_adj*CF_peas),".")</f>
        <v>.</v>
      </c>
      <c r="AT27" s="48" t="str">
        <f>IFERROR(DL/(RadSpec!J27*IFPT_far_adj*CF_potato),".")</f>
        <v>.</v>
      </c>
      <c r="AU27" s="48" t="str">
        <f>IFERROR(DL/(RadSpec!J27*IFPU_far_adj*CF_pumpkin),".")</f>
        <v>.</v>
      </c>
      <c r="AV27" s="48" t="str">
        <f>IFERROR(DL/(RadSpec!J27*IFSN_far_adj*CF_snap_bean),".")</f>
        <v>.</v>
      </c>
      <c r="AW27" s="48" t="str">
        <f>IFERROR(DL/(RadSpec!J27*IFST_far_adj*CF_strawberry),".")</f>
        <v>.</v>
      </c>
      <c r="AX27" s="48" t="str">
        <f>IFERROR(DL/(RadSpec!J27*IFTO_far_adj*CF_tomato),".")</f>
        <v>.</v>
      </c>
      <c r="AY27" s="48" t="str">
        <f>IFERROR(DL/(RadSpec!J27*IFRI_far_adj*CF_rice),".")</f>
        <v>.</v>
      </c>
      <c r="AZ27" s="48" t="str">
        <f>IFERROR(DL/(RadSpec!J27*IFCG_far_adj*CF_cereal),".")</f>
        <v>.</v>
      </c>
    </row>
    <row r="28" spans="1:52" x14ac:dyDescent="0.25">
      <c r="A28" s="61" t="s">
        <v>26</v>
      </c>
      <c r="B28" s="49" t="s">
        <v>1059</v>
      </c>
      <c r="C28" s="48" t="str">
        <f t="shared" si="22"/>
        <v>.</v>
      </c>
      <c r="D28" s="48" t="str">
        <f>IFERROR(DL/(RadSpec!J28*IFAP_res_adj*CF_apple),".")</f>
        <v>.</v>
      </c>
      <c r="E28" s="48" t="str">
        <f>IFERROR(DL/(RadSpec!J28*IFAS_res_adj*CF_asparagus),".")</f>
        <v>.</v>
      </c>
      <c r="F28" s="48" t="str">
        <f>IFERROR(DL/(RadSpec!J28*IFBT_res_adj*CF_beet),".")</f>
        <v>.</v>
      </c>
      <c r="G28" s="48" t="str">
        <f>IFERROR(DL/(RadSpec!J28*IFBE_res_adj*CF_berries),".")</f>
        <v>.</v>
      </c>
      <c r="H28" s="48" t="str">
        <f>IFERROR(DL/(RadSpec!J28*IFBR_res_adj*CF_broccoli),".")</f>
        <v>.</v>
      </c>
      <c r="I28" s="48" t="str">
        <f>IFERROR(DL/(RadSpec!J28*IFCB_res_adj*CF_cabbage),".")</f>
        <v>.</v>
      </c>
      <c r="J28" s="48" t="str">
        <f>IFERROR(DL/(RadSpec!J28*IFCR_res_adj*CF_carrot),".")</f>
        <v>.</v>
      </c>
      <c r="K28" s="48" t="str">
        <f>IFERROR(DL/(RadSpec!J28*IFCI_res_adj*CF_citrus),".")</f>
        <v>.</v>
      </c>
      <c r="L28" s="48" t="str">
        <f>IFERROR(DL/(RadSpec!J28*IFCO_res_adj*CF_corn),".")</f>
        <v>.</v>
      </c>
      <c r="M28" s="48" t="str">
        <f>IFERROR(DL/(RadSpec!J28*IFCU_res_adj*CF_cucumber),".")</f>
        <v>.</v>
      </c>
      <c r="N28" s="48" t="str">
        <f>IFERROR(DL/(RadSpec!J28*IFLE_res_adj*CF_lettuce),".")</f>
        <v>.</v>
      </c>
      <c r="O28" s="48" t="str">
        <f>IFERROR(DL/(RadSpec!J28*IFLI_res_adj*CF_lima_bean),".")</f>
        <v>.</v>
      </c>
      <c r="P28" s="48" t="str">
        <f>IFERROR(DL/(RadSpec!J28*IFOK_res_adj*CF_okra),".")</f>
        <v>.</v>
      </c>
      <c r="Q28" s="48" t="str">
        <f>IFERROR(DL/(RadSpec!J28*IFON_res_adj*CF_onion),".")</f>
        <v>.</v>
      </c>
      <c r="R28" s="48" t="str">
        <f>IFERROR(DL/(RadSpec!J28*IFPC_res_adj*CF_peach),".")</f>
        <v>.</v>
      </c>
      <c r="S28" s="48" t="str">
        <f>IFERROR(DL/(RadSpec!J28*IFPR_res_adj*CF_pear),".")</f>
        <v>.</v>
      </c>
      <c r="T28" s="48" t="str">
        <f>IFERROR(DL/(RadSpec!J28*IFPE_res_adj*CF_peas),".")</f>
        <v>.</v>
      </c>
      <c r="U28" s="48" t="str">
        <f>IFERROR(DL/(RadSpec!J28*IFPT_res_adj*CF_potato),".")</f>
        <v>.</v>
      </c>
      <c r="V28" s="48" t="str">
        <f>IFERROR(DL/(RadSpec!J28*IFPU_res_adj*CF_pumpkin),".")</f>
        <v>.</v>
      </c>
      <c r="W28" s="48" t="str">
        <f>IFERROR(DL/(RadSpec!J28*IFSN_res_adj*CF_snap_bean),".")</f>
        <v>.</v>
      </c>
      <c r="X28" s="48" t="str">
        <f>IFERROR(DL/(RadSpec!J28*IFST_res_adj*CF_strawberry),".")</f>
        <v>.</v>
      </c>
      <c r="Y28" s="48" t="str">
        <f>IFERROR(DL/(RadSpec!J28*IFTO_res_adj*CF_tomato),".")</f>
        <v>.</v>
      </c>
      <c r="Z28" s="48" t="str">
        <f>IFERROR(DL/(RadSpec!J28*IFRI_res_adj*CF_rice),".")</f>
        <v>.</v>
      </c>
      <c r="AA28" s="48" t="str">
        <f>IFERROR(DL/(RadSpec!J28*IFCG_res_adj*CF_cereal),".")</f>
        <v>.</v>
      </c>
      <c r="AB28" s="48" t="str">
        <f t="shared" si="23"/>
        <v>.</v>
      </c>
      <c r="AC28" s="48" t="str">
        <f>IFERROR(DL/(RadSpec!J28*IFAP_far_adj*CF_apple),".")</f>
        <v>.</v>
      </c>
      <c r="AD28" s="48" t="str">
        <f>IFERROR(DL/(RadSpec!J28*IFAS_far_adj*CF_asparagus),".")</f>
        <v>.</v>
      </c>
      <c r="AE28" s="48" t="str">
        <f>IFERROR(DL/(RadSpec!J28*IFBT_far_adj*CF_beet),".")</f>
        <v>.</v>
      </c>
      <c r="AF28" s="48" t="str">
        <f>IFERROR(DL/(RadSpec!J28*IFBE_far_adj*CF_berries),".")</f>
        <v>.</v>
      </c>
      <c r="AG28" s="48" t="str">
        <f>IFERROR(DL/(RadSpec!J28*IFBR_far_adj*CF_broccoli),".")</f>
        <v>.</v>
      </c>
      <c r="AH28" s="48" t="str">
        <f>IFERROR(DL/(RadSpec!J28*IFCB_far_adj*CF_cabbage),".")</f>
        <v>.</v>
      </c>
      <c r="AI28" s="48" t="str">
        <f>IFERROR(DL/(RadSpec!J28*IFCR_far_adj*CF_carrot),".")</f>
        <v>.</v>
      </c>
      <c r="AJ28" s="48" t="str">
        <f>IFERROR(DL/(RadSpec!J28*IFCI_far_adj*CF_citrus),".")</f>
        <v>.</v>
      </c>
      <c r="AK28" s="48" t="str">
        <f>IFERROR(DL/(RadSpec!J28*IFCO_far_adj*CF_corn),".")</f>
        <v>.</v>
      </c>
      <c r="AL28" s="48" t="str">
        <f>IFERROR(DL/(RadSpec!J28*IFCU_far_adj*CF_cucumber),".")</f>
        <v>.</v>
      </c>
      <c r="AM28" s="48" t="str">
        <f>IFERROR(DL/(RadSpec!J28*IFLE_far_adj*CF_lettuce),".")</f>
        <v>.</v>
      </c>
      <c r="AN28" s="48" t="str">
        <f>IFERROR(DL/(RadSpec!J28*IFLI_far_adj*CF_lima_bean),".")</f>
        <v>.</v>
      </c>
      <c r="AO28" s="48" t="str">
        <f>IFERROR(DL/(RadSpec!J28*IFOK_far_adj*CF_okra),".")</f>
        <v>.</v>
      </c>
      <c r="AP28" s="48" t="str">
        <f>IFERROR(DL/(RadSpec!J28*IFON_far_adj*CF_onion),".")</f>
        <v>.</v>
      </c>
      <c r="AQ28" s="48" t="str">
        <f>IFERROR(DL/(RadSpec!J28*IFPC_far_adj*CF_peach),".")</f>
        <v>.</v>
      </c>
      <c r="AR28" s="48" t="str">
        <f>IFERROR(DL/(RadSpec!J28*IFPR_far_adj*CF_pear),".")</f>
        <v>.</v>
      </c>
      <c r="AS28" s="48" t="str">
        <f>IFERROR(DL/(RadSpec!J28*IFPE_far_adj*CF_peas),".")</f>
        <v>.</v>
      </c>
      <c r="AT28" s="48" t="str">
        <f>IFERROR(DL/(RadSpec!J28*IFPT_far_adj*CF_potato),".")</f>
        <v>.</v>
      </c>
      <c r="AU28" s="48" t="str">
        <f>IFERROR(DL/(RadSpec!J28*IFPU_far_adj*CF_pumpkin),".")</f>
        <v>.</v>
      </c>
      <c r="AV28" s="48" t="str">
        <f>IFERROR(DL/(RadSpec!J28*IFSN_far_adj*CF_snap_bean),".")</f>
        <v>.</v>
      </c>
      <c r="AW28" s="48" t="str">
        <f>IFERROR(DL/(RadSpec!J28*IFST_far_adj*CF_strawberry),".")</f>
        <v>.</v>
      </c>
      <c r="AX28" s="48" t="str">
        <f>IFERROR(DL/(RadSpec!J28*IFTO_far_adj*CF_tomato),".")</f>
        <v>.</v>
      </c>
      <c r="AY28" s="48" t="str">
        <f>IFERROR(DL/(RadSpec!J28*IFRI_far_adj*CF_rice),".")</f>
        <v>.</v>
      </c>
      <c r="AZ28" s="48" t="str">
        <f>IFERROR(DL/(RadSpec!J28*IFCG_far_adj*CF_cereal),".")</f>
        <v>.</v>
      </c>
    </row>
    <row r="29" spans="1:52" x14ac:dyDescent="0.25">
      <c r="A29" s="61" t="s">
        <v>27</v>
      </c>
      <c r="B29" s="49" t="s">
        <v>1059</v>
      </c>
      <c r="C29" s="48" t="str">
        <f t="shared" si="22"/>
        <v>.</v>
      </c>
      <c r="D29" s="48" t="str">
        <f>IFERROR(DL/(RadSpec!J29*IFAP_res_adj*CF_apple),".")</f>
        <v>.</v>
      </c>
      <c r="E29" s="48" t="str">
        <f>IFERROR(DL/(RadSpec!J29*IFAS_res_adj*CF_asparagus),".")</f>
        <v>.</v>
      </c>
      <c r="F29" s="48" t="str">
        <f>IFERROR(DL/(RadSpec!J29*IFBT_res_adj*CF_beet),".")</f>
        <v>.</v>
      </c>
      <c r="G29" s="48" t="str">
        <f>IFERROR(DL/(RadSpec!J29*IFBE_res_adj*CF_berries),".")</f>
        <v>.</v>
      </c>
      <c r="H29" s="48" t="str">
        <f>IFERROR(DL/(RadSpec!J29*IFBR_res_adj*CF_broccoli),".")</f>
        <v>.</v>
      </c>
      <c r="I29" s="48" t="str">
        <f>IFERROR(DL/(RadSpec!J29*IFCB_res_adj*CF_cabbage),".")</f>
        <v>.</v>
      </c>
      <c r="J29" s="48" t="str">
        <f>IFERROR(DL/(RadSpec!J29*IFCR_res_adj*CF_carrot),".")</f>
        <v>.</v>
      </c>
      <c r="K29" s="48" t="str">
        <f>IFERROR(DL/(RadSpec!J29*IFCI_res_adj*CF_citrus),".")</f>
        <v>.</v>
      </c>
      <c r="L29" s="48" t="str">
        <f>IFERROR(DL/(RadSpec!J29*IFCO_res_adj*CF_corn),".")</f>
        <v>.</v>
      </c>
      <c r="M29" s="48" t="str">
        <f>IFERROR(DL/(RadSpec!J29*IFCU_res_adj*CF_cucumber),".")</f>
        <v>.</v>
      </c>
      <c r="N29" s="48" t="str">
        <f>IFERROR(DL/(RadSpec!J29*IFLE_res_adj*CF_lettuce),".")</f>
        <v>.</v>
      </c>
      <c r="O29" s="48" t="str">
        <f>IFERROR(DL/(RadSpec!J29*IFLI_res_adj*CF_lima_bean),".")</f>
        <v>.</v>
      </c>
      <c r="P29" s="48" t="str">
        <f>IFERROR(DL/(RadSpec!J29*IFOK_res_adj*CF_okra),".")</f>
        <v>.</v>
      </c>
      <c r="Q29" s="48" t="str">
        <f>IFERROR(DL/(RadSpec!J29*IFON_res_adj*CF_onion),".")</f>
        <v>.</v>
      </c>
      <c r="R29" s="48" t="str">
        <f>IFERROR(DL/(RadSpec!J29*IFPC_res_adj*CF_peach),".")</f>
        <v>.</v>
      </c>
      <c r="S29" s="48" t="str">
        <f>IFERROR(DL/(RadSpec!J29*IFPR_res_adj*CF_pear),".")</f>
        <v>.</v>
      </c>
      <c r="T29" s="48" t="str">
        <f>IFERROR(DL/(RadSpec!J29*IFPE_res_adj*CF_peas),".")</f>
        <v>.</v>
      </c>
      <c r="U29" s="48" t="str">
        <f>IFERROR(DL/(RadSpec!J29*IFPT_res_adj*CF_potato),".")</f>
        <v>.</v>
      </c>
      <c r="V29" s="48" t="str">
        <f>IFERROR(DL/(RadSpec!J29*IFPU_res_adj*CF_pumpkin),".")</f>
        <v>.</v>
      </c>
      <c r="W29" s="48" t="str">
        <f>IFERROR(DL/(RadSpec!J29*IFSN_res_adj*CF_snap_bean),".")</f>
        <v>.</v>
      </c>
      <c r="X29" s="48" t="str">
        <f>IFERROR(DL/(RadSpec!J29*IFST_res_adj*CF_strawberry),".")</f>
        <v>.</v>
      </c>
      <c r="Y29" s="48" t="str">
        <f>IFERROR(DL/(RadSpec!J29*IFTO_res_adj*CF_tomato),".")</f>
        <v>.</v>
      </c>
      <c r="Z29" s="48" t="str">
        <f>IFERROR(DL/(RadSpec!J29*IFRI_res_adj*CF_rice),".")</f>
        <v>.</v>
      </c>
      <c r="AA29" s="48" t="str">
        <f>IFERROR(DL/(RadSpec!J29*IFCG_res_adj*CF_cereal),".")</f>
        <v>.</v>
      </c>
      <c r="AB29" s="48" t="str">
        <f t="shared" si="23"/>
        <v>.</v>
      </c>
      <c r="AC29" s="48" t="str">
        <f>IFERROR(DL/(RadSpec!J29*IFAP_far_adj*CF_apple),".")</f>
        <v>.</v>
      </c>
      <c r="AD29" s="48" t="str">
        <f>IFERROR(DL/(RadSpec!J29*IFAS_far_adj*CF_asparagus),".")</f>
        <v>.</v>
      </c>
      <c r="AE29" s="48" t="str">
        <f>IFERROR(DL/(RadSpec!J29*IFBT_far_adj*CF_beet),".")</f>
        <v>.</v>
      </c>
      <c r="AF29" s="48" t="str">
        <f>IFERROR(DL/(RadSpec!J29*IFBE_far_adj*CF_berries),".")</f>
        <v>.</v>
      </c>
      <c r="AG29" s="48" t="str">
        <f>IFERROR(DL/(RadSpec!J29*IFBR_far_adj*CF_broccoli),".")</f>
        <v>.</v>
      </c>
      <c r="AH29" s="48" t="str">
        <f>IFERROR(DL/(RadSpec!J29*IFCB_far_adj*CF_cabbage),".")</f>
        <v>.</v>
      </c>
      <c r="AI29" s="48" t="str">
        <f>IFERROR(DL/(RadSpec!J29*IFCR_far_adj*CF_carrot),".")</f>
        <v>.</v>
      </c>
      <c r="AJ29" s="48" t="str">
        <f>IFERROR(DL/(RadSpec!J29*IFCI_far_adj*CF_citrus),".")</f>
        <v>.</v>
      </c>
      <c r="AK29" s="48" t="str">
        <f>IFERROR(DL/(RadSpec!J29*IFCO_far_adj*CF_corn),".")</f>
        <v>.</v>
      </c>
      <c r="AL29" s="48" t="str">
        <f>IFERROR(DL/(RadSpec!J29*IFCU_far_adj*CF_cucumber),".")</f>
        <v>.</v>
      </c>
      <c r="AM29" s="48" t="str">
        <f>IFERROR(DL/(RadSpec!J29*IFLE_far_adj*CF_lettuce),".")</f>
        <v>.</v>
      </c>
      <c r="AN29" s="48" t="str">
        <f>IFERROR(DL/(RadSpec!J29*IFLI_far_adj*CF_lima_bean),".")</f>
        <v>.</v>
      </c>
      <c r="AO29" s="48" t="str">
        <f>IFERROR(DL/(RadSpec!J29*IFOK_far_adj*CF_okra),".")</f>
        <v>.</v>
      </c>
      <c r="AP29" s="48" t="str">
        <f>IFERROR(DL/(RadSpec!J29*IFON_far_adj*CF_onion),".")</f>
        <v>.</v>
      </c>
      <c r="AQ29" s="48" t="str">
        <f>IFERROR(DL/(RadSpec!J29*IFPC_far_adj*CF_peach),".")</f>
        <v>.</v>
      </c>
      <c r="AR29" s="48" t="str">
        <f>IFERROR(DL/(RadSpec!J29*IFPR_far_adj*CF_pear),".")</f>
        <v>.</v>
      </c>
      <c r="AS29" s="48" t="str">
        <f>IFERROR(DL/(RadSpec!J29*IFPE_far_adj*CF_peas),".")</f>
        <v>.</v>
      </c>
      <c r="AT29" s="48" t="str">
        <f>IFERROR(DL/(RadSpec!J29*IFPT_far_adj*CF_potato),".")</f>
        <v>.</v>
      </c>
      <c r="AU29" s="48" t="str">
        <f>IFERROR(DL/(RadSpec!J29*IFPU_far_adj*CF_pumpkin),".")</f>
        <v>.</v>
      </c>
      <c r="AV29" s="48" t="str">
        <f>IFERROR(DL/(RadSpec!J29*IFSN_far_adj*CF_snap_bean),".")</f>
        <v>.</v>
      </c>
      <c r="AW29" s="48" t="str">
        <f>IFERROR(DL/(RadSpec!J29*IFST_far_adj*CF_strawberry),".")</f>
        <v>.</v>
      </c>
      <c r="AX29" s="48" t="str">
        <f>IFERROR(DL/(RadSpec!J29*IFTO_far_adj*CF_tomato),".")</f>
        <v>.</v>
      </c>
      <c r="AY29" s="48" t="str">
        <f>IFERROR(DL/(RadSpec!J29*IFRI_far_adj*CF_rice),".")</f>
        <v>.</v>
      </c>
      <c r="AZ29" s="48" t="str">
        <f>IFERROR(DL/(RadSpec!J29*IFCG_far_adj*CF_cereal),".")</f>
        <v>.</v>
      </c>
    </row>
    <row r="30" spans="1:52" x14ac:dyDescent="0.25">
      <c r="A30" s="61" t="s">
        <v>28</v>
      </c>
      <c r="B30" s="49" t="s">
        <v>1059</v>
      </c>
      <c r="C30" s="48">
        <f t="shared" ref="C30:C31" si="24">IFERROR(1/SUM(1/D30,1/E30,1/F30,1/G30,1/H30,1/I30,1/J30,1/K30,1/L30,1/M30,1/N30,1/O30,1/P30,1/Q30,1/R30,1/S30,1/T30,1/U30,1/V30,1/W30,1/X30,1/Y30),".")</f>
        <v>9.685940263677275E-3</v>
      </c>
      <c r="D30" s="48">
        <f>IFERROR(DL/(RadSpec!J30*IFAP_res_adj*CF_apple),".")</f>
        <v>0.17486545364559056</v>
      </c>
      <c r="E30" s="48">
        <f>IFERROR(DL/(RadSpec!J30*IFAS_res_adj*CF_asparagus),".")</f>
        <v>0.38845750740959689</v>
      </c>
      <c r="F30" s="48">
        <f>IFERROR(DL/(RadSpec!J30*IFBT_res_adj*CF_beet),".")</f>
        <v>0.47508353156193672</v>
      </c>
      <c r="G30" s="48">
        <f>IFERROR(DL/(RadSpec!J30*IFBE_res_adj*CF_berries),".")</f>
        <v>0.39161213103869014</v>
      </c>
      <c r="H30" s="48">
        <f>IFERROR(DL/(RadSpec!J30*IFBR_res_adj*CF_broccoli),".")</f>
        <v>0.46386487369082186</v>
      </c>
      <c r="I30" s="48">
        <f>IFERROR(DL/(RadSpec!J30*IFCB_res_adj*CF_cabbage),".")</f>
        <v>0.17393832007393345</v>
      </c>
      <c r="J30" s="48">
        <f>IFERROR(DL/(RadSpec!J30*IFCR_res_adj*CF_carrot),".")</f>
        <v>0.52467503894683798</v>
      </c>
      <c r="K30" s="48">
        <f>IFERROR(DL/(RadSpec!J30*IFCI_res_adj*CF_citrus),".")</f>
        <v>4.5345058000262645E-2</v>
      </c>
      <c r="L30" s="48">
        <f>IFERROR(DL/(RadSpec!J30*IFCO_res_adj*CF_corn),".")</f>
        <v>0.24897622966172936</v>
      </c>
      <c r="M30" s="48">
        <f>IFERROR(DL/(RadSpec!J30*IFCU_res_adj*CF_cucumber),".")</f>
        <v>0.18512419327712937</v>
      </c>
      <c r="N30" s="48">
        <f>IFERROR(DL/(RadSpec!J30*IFLE_res_adj*CF_lettuce),".")</f>
        <v>0.42985340143333983</v>
      </c>
      <c r="O30" s="48">
        <f>IFERROR(DL/(RadSpec!J30*IFLI_res_adj*CF_lima_bean),".")</f>
        <v>0.46608972610632965</v>
      </c>
      <c r="P30" s="48">
        <f>IFERROR(DL/(RadSpec!J30*IFOK_res_adj*CF_okra),".")</f>
        <v>0.52413906558951884</v>
      </c>
      <c r="Q30" s="48">
        <f>IFERROR(DL/(RadSpec!J30*IFON_res_adj*CF_onion),".")</f>
        <v>0.70790592451281986</v>
      </c>
      <c r="R30" s="48">
        <f>IFERROR(DL/(RadSpec!J30*IFPC_res_adj*CF_peach),".")</f>
        <v>0.11182236535443238</v>
      </c>
      <c r="S30" s="48">
        <f>IFERROR(DL/(RadSpec!J30*IFPR_res_adj*CF_pear),".")</f>
        <v>0.23194082439194802</v>
      </c>
      <c r="T30" s="48">
        <f>IFERROR(DL/(RadSpec!J30*IFPE_res_adj*CF_peas),".")</f>
        <v>0.37029113917532097</v>
      </c>
      <c r="U30" s="48">
        <f>IFERROR(DL/(RadSpec!J30*IFPT_res_adj*CF_potato),".")</f>
        <v>0.11629740928739944</v>
      </c>
      <c r="V30" s="48">
        <f>IFERROR(DL/(RadSpec!J30*IFPU_res_adj*CF_pumpkin),".")</f>
        <v>0.21275219518629826</v>
      </c>
      <c r="W30" s="48">
        <f>IFERROR(DL/(RadSpec!J30*IFSN_res_adj*CF_snap_bean),".")</f>
        <v>0.26845371378703897</v>
      </c>
      <c r="X30" s="48">
        <f>IFERROR(DL/(RadSpec!J30*IFST_res_adj*CF_strawberry),".")</f>
        <v>0.34664510193958215</v>
      </c>
      <c r="Y30" s="48">
        <f>IFERROR(DL/(RadSpec!J30*IFTO_res_adj*CF_tomato),".")</f>
        <v>0.18681738592194075</v>
      </c>
      <c r="Z30" s="48">
        <f>IFERROR(DL/(RadSpec!J30*IFRI_res_adj*CF_rice),".")</f>
        <v>0.20364601752988337</v>
      </c>
      <c r="AA30" s="48">
        <f>IFERROR(DL/(RadSpec!J30*IFCG_res_adj*CF_cereal),".")</f>
        <v>0.15769341371934026</v>
      </c>
      <c r="AB30" s="48">
        <f t="shared" ref="AB30" si="25">IFERROR(1/SUM(1/AC30,1/AD30,1/AE30,1/AF30,1/AG30,1/AH30,1/AI30,1/AJ30,1/AK30,1/AL30,1/AM30,1/AN30,1/AO30,1/AP30,1/AQ30,1/AR30,1/AS30,1/AT30,1/AU30,1/AV30,1/AW30,1/AX30),".")</f>
        <v>9.1496138237750387E-3</v>
      </c>
      <c r="AC30" s="48">
        <f>IFERROR(DL/(RadSpec!J30*IFAP_far_adj*CF_apple),".")</f>
        <v>0.15192769574999759</v>
      </c>
      <c r="AD30" s="48">
        <f>IFERROR(DL/(RadSpec!J30*IFAS_far_adj*CF_asparagus),".")</f>
        <v>0.36435890788729719</v>
      </c>
      <c r="AE30" s="48">
        <f>IFERROR(DL/(RadSpec!J30*IFBT_far_adj*CF_beet),".")</f>
        <v>0.43630120245484005</v>
      </c>
      <c r="AF30" s="48">
        <f>IFERROR(DL/(RadSpec!J30*IFBE_far_adj*CF_berries),".")</f>
        <v>0.38091329924787809</v>
      </c>
      <c r="AG30" s="48">
        <f>IFERROR(DL/(RadSpec!J30*IFBR_far_adj*CF_broccoli),".")</f>
        <v>0.39879544076394519</v>
      </c>
      <c r="AH30" s="48">
        <f>IFERROR(DL/(RadSpec!J30*IFCB_far_adj*CF_cabbage),".")</f>
        <v>0.17201629813829014</v>
      </c>
      <c r="AI30" s="48">
        <f>IFERROR(DL/(RadSpec!J30*IFCR_far_adj*CF_carrot),".")</f>
        <v>0.56420740497788846</v>
      </c>
      <c r="AJ30" s="48">
        <f>IFERROR(DL/(RadSpec!J30*IFCI_far_adj*CF_citrus),".")</f>
        <v>4.3906402026946081E-2</v>
      </c>
      <c r="AK30" s="48">
        <f>IFERROR(DL/(RadSpec!J30*IFCO_far_adj*CF_corn),".")</f>
        <v>0.17193559884957169</v>
      </c>
      <c r="AL30" s="48">
        <f>IFERROR(DL/(RadSpec!J30*IFCU_far_adj*CF_cucumber),".")</f>
        <v>0.26071657219862387</v>
      </c>
      <c r="AM30" s="48">
        <f>IFERROR(DL/(RadSpec!J30*IFLE_far_adj*CF_lettuce),".")</f>
        <v>0.39462406867165967</v>
      </c>
      <c r="AN30" s="48">
        <f>IFERROR(DL/(RadSpec!J30*IFLI_far_adj*CF_lima_bean),".")</f>
        <v>0.4318214223926039</v>
      </c>
      <c r="AO30" s="48">
        <f>IFERROR(DL/(RadSpec!J30*IFOK_far_adj*CF_okra),".")</f>
        <v>0.4846875251151444</v>
      </c>
      <c r="AP30" s="48">
        <f>IFERROR(DL/(RadSpec!J30*IFON_far_adj*CF_onion),".")</f>
        <v>0.5300518740567064</v>
      </c>
      <c r="AQ30" s="48">
        <f>IFERROR(DL/(RadSpec!J30*IFPC_far_adj*CF_peach),".")</f>
        <v>0.12510733787352282</v>
      </c>
      <c r="AR30" s="48">
        <f>IFERROR(DL/(RadSpec!J30*IFPR_far_adj*CF_pear),".")</f>
        <v>0.20540040595952433</v>
      </c>
      <c r="AS30" s="48">
        <f>IFERROR(DL/(RadSpec!J30*IFPE_far_adj*CF_peas),".")</f>
        <v>0.41047217126951346</v>
      </c>
      <c r="AT30" s="48">
        <f>IFERROR(DL/(RadSpec!J30*IFPT_far_adj*CF_potato),".")</f>
        <v>9.9339828477616993E-2</v>
      </c>
      <c r="AU30" s="48">
        <f>IFERROR(DL/(RadSpec!J30*IFPU_far_adj*CF_pumpkin),".")</f>
        <v>0.20735944636553985</v>
      </c>
      <c r="AV30" s="48">
        <f>IFERROR(DL/(RadSpec!J30*IFSN_far_adj*CF_snap_bean),".")</f>
        <v>0.25554846801817505</v>
      </c>
      <c r="AW30" s="48">
        <f>IFERROR(DL/(RadSpec!J30*IFST_far_adj*CF_strawberry),".")</f>
        <v>0.33561630958064614</v>
      </c>
      <c r="AX30" s="48">
        <f>IFERROR(DL/(RadSpec!J30*IFTO_far_adj*CF_tomato),".")</f>
        <v>0.15036932597353375</v>
      </c>
      <c r="AY30" s="48">
        <f>IFERROR(DL/(RadSpec!J30*IFRI_far_adj*CF_rice),".")</f>
        <v>0.15945373052610226</v>
      </c>
      <c r="AZ30" s="48">
        <f>IFERROR(DL/(RadSpec!J30*IFCG_far_adj*CF_cereal),".")</f>
        <v>0.15088226021493023</v>
      </c>
    </row>
    <row r="31" spans="1:52" x14ac:dyDescent="0.25">
      <c r="A31" s="64" t="s">
        <v>1</v>
      </c>
      <c r="B31" s="64" t="s">
        <v>1059</v>
      </c>
      <c r="C31" s="65">
        <f t="shared" si="24"/>
        <v>4.4034892538679786E-4</v>
      </c>
      <c r="D31" s="65">
        <f>IFERROR(1/SUM(D32:D44),0)</f>
        <v>7.9498543769541026E-3</v>
      </c>
      <c r="E31" s="65">
        <f>IFERROR(1/SUM(E32:E44),0)</f>
        <v>1.7660324273082836E-2</v>
      </c>
      <c r="F31" s="65">
        <f t="shared" ref="F31:AA31" si="26">IFERROR(1/SUM(F32:F44),0)</f>
        <v>2.1598576585980297E-2</v>
      </c>
      <c r="G31" s="65">
        <f t="shared" si="26"/>
        <v>1.7803741957608553E-2</v>
      </c>
      <c r="H31" s="65">
        <f t="shared" si="26"/>
        <v>2.1088546191063109E-2</v>
      </c>
      <c r="I31" s="65">
        <f t="shared" si="26"/>
        <v>7.9077043883257168E-3</v>
      </c>
      <c r="J31" s="65">
        <f t="shared" si="26"/>
        <v>2.3853140045053508E-2</v>
      </c>
      <c r="K31" s="65">
        <f t="shared" si="26"/>
        <v>2.0615084357785366E-3</v>
      </c>
      <c r="L31" s="65">
        <f t="shared" si="26"/>
        <v>1.1319129810199306E-2</v>
      </c>
      <c r="M31" s="65">
        <f t="shared" si="26"/>
        <v>8.4162443039611512E-3</v>
      </c>
      <c r="N31" s="65">
        <f t="shared" si="26"/>
        <v>1.9542293080710038E-2</v>
      </c>
      <c r="O31" s="65">
        <f t="shared" si="26"/>
        <v>2.118969397265609E-2</v>
      </c>
      <c r="P31" s="65">
        <f t="shared" si="26"/>
        <v>2.3828773253032655E-2</v>
      </c>
      <c r="Q31" s="65">
        <f t="shared" si="26"/>
        <v>3.2183309482420978E-2</v>
      </c>
      <c r="R31" s="65">
        <f t="shared" si="26"/>
        <v>5.0837458292706727E-3</v>
      </c>
      <c r="S31" s="65">
        <f t="shared" si="26"/>
        <v>1.0544654415981992E-2</v>
      </c>
      <c r="T31" s="65">
        <f t="shared" si="26"/>
        <v>1.6834432257194307E-2</v>
      </c>
      <c r="U31" s="65">
        <f t="shared" si="26"/>
        <v>5.2871933762610804E-3</v>
      </c>
      <c r="V31" s="65">
        <f t="shared" si="26"/>
        <v>9.6722876637276595E-3</v>
      </c>
      <c r="W31" s="65">
        <f t="shared" si="26"/>
        <v>1.2204628684891137E-2</v>
      </c>
      <c r="X31" s="65">
        <f t="shared" si="26"/>
        <v>1.5759419733581997E-2</v>
      </c>
      <c r="Y31" s="65">
        <f t="shared" si="26"/>
        <v>8.4932214007961936E-3</v>
      </c>
      <c r="Z31" s="65">
        <f t="shared" si="26"/>
        <v>9.2582963075739551E-3</v>
      </c>
      <c r="AA31" s="65">
        <f t="shared" si="26"/>
        <v>7.1691672033422447E-3</v>
      </c>
      <c r="AB31" s="65">
        <f>IFERROR(1/SUM(1/AC31,1/AD31,1/AE31,1/AF31,1/AG31,1/AH31,1/AI31,1/AJ31,1/AK31,1/AL31,1/AM31,1/AN31,1/AO31,1/AP31,1/AQ31,1/AR31,1/AS31,1/AT31,1/AU31,1/AV31,1/AW31,1/AX31),".")</f>
        <v>4.1596608128098334E-4</v>
      </c>
      <c r="AC31" s="65">
        <f>IFERROR(1/SUM(AC32:AC44),0)</f>
        <v>6.9070421393043731E-3</v>
      </c>
      <c r="AD31" s="65">
        <f>IFERROR(1/SUM(AD32:AD44),0)</f>
        <v>1.6564737049324478E-2</v>
      </c>
      <c r="AE31" s="65">
        <f t="shared" ref="AE31:AZ31" si="27">IFERROR(1/SUM(AE32:AE44),0)</f>
        <v>1.983542747692069E-2</v>
      </c>
      <c r="AF31" s="65">
        <f t="shared" si="27"/>
        <v>1.7317344256019846E-2</v>
      </c>
      <c r="AG31" s="65">
        <f t="shared" si="27"/>
        <v>1.8130314559971029E-2</v>
      </c>
      <c r="AH31" s="65">
        <f t="shared" si="27"/>
        <v>7.82032409576865E-3</v>
      </c>
      <c r="AI31" s="65">
        <f t="shared" si="27"/>
        <v>2.5650387852274827E-2</v>
      </c>
      <c r="AJ31" s="65">
        <f t="shared" si="27"/>
        <v>1.9961032614118374E-3</v>
      </c>
      <c r="AK31" s="65">
        <f t="shared" si="27"/>
        <v>7.8166552888072945E-3</v>
      </c>
      <c r="AL31" s="65">
        <f t="shared" si="27"/>
        <v>1.1852877394745288E-2</v>
      </c>
      <c r="AM31" s="65">
        <f t="shared" si="27"/>
        <v>1.7940672752544781E-2</v>
      </c>
      <c r="AN31" s="65">
        <f t="shared" si="27"/>
        <v>1.9631764612740896E-2</v>
      </c>
      <c r="AO31" s="65">
        <f t="shared" si="27"/>
        <v>2.203519999325404E-2</v>
      </c>
      <c r="AP31" s="65">
        <f t="shared" si="27"/>
        <v>2.4097585447168099E-2</v>
      </c>
      <c r="AQ31" s="65">
        <f t="shared" si="27"/>
        <v>5.6877164519795976E-3</v>
      </c>
      <c r="AR31" s="65">
        <f t="shared" si="27"/>
        <v>9.3380555295671467E-3</v>
      </c>
      <c r="AS31" s="65">
        <f t="shared" si="27"/>
        <v>1.8661170170286984E-2</v>
      </c>
      <c r="AT31" s="65">
        <f t="shared" si="27"/>
        <v>4.5162560915505768E-3</v>
      </c>
      <c r="AU31" s="65">
        <f t="shared" si="27"/>
        <v>9.4271187814656994E-3</v>
      </c>
      <c r="AV31" s="65">
        <f t="shared" si="27"/>
        <v>1.1617921462724735E-2</v>
      </c>
      <c r="AW31" s="65">
        <f t="shared" si="27"/>
        <v>1.5258021136092833E-2</v>
      </c>
      <c r="AX31" s="65">
        <f t="shared" si="27"/>
        <v>6.8361944530973351E-3</v>
      </c>
      <c r="AY31" s="65">
        <f t="shared" si="27"/>
        <v>7.2491959453224956E-3</v>
      </c>
      <c r="AZ31" s="65">
        <f t="shared" si="27"/>
        <v>6.8595138248717068E-3</v>
      </c>
    </row>
    <row r="32" spans="1:52" x14ac:dyDescent="0.25">
      <c r="A32" s="66" t="s">
        <v>1087</v>
      </c>
      <c r="B32" s="49">
        <v>1</v>
      </c>
      <c r="C32" s="67">
        <f t="shared" ref="C32:AZ32" si="28">IFERROR($B32/C3,0)</f>
        <v>408.16774256999997</v>
      </c>
      <c r="D32" s="67">
        <f t="shared" si="28"/>
        <v>22.608744550000001</v>
      </c>
      <c r="E32" s="67">
        <f t="shared" si="28"/>
        <v>10.177402409999999</v>
      </c>
      <c r="F32" s="67">
        <f t="shared" si="28"/>
        <v>8.3216700000000028</v>
      </c>
      <c r="G32" s="67">
        <f t="shared" si="28"/>
        <v>10.095418550000002</v>
      </c>
      <c r="H32" s="67">
        <f t="shared" si="28"/>
        <v>8.5229311299999999</v>
      </c>
      <c r="I32" s="67">
        <f t="shared" si="28"/>
        <v>22.729254659999999</v>
      </c>
      <c r="J32" s="67">
        <f t="shared" si="28"/>
        <v>7.5351180800000002</v>
      </c>
      <c r="K32" s="67">
        <f t="shared" si="28"/>
        <v>87.186753010000004</v>
      </c>
      <c r="L32" s="67">
        <f t="shared" si="28"/>
        <v>15.8789792</v>
      </c>
      <c r="M32" s="67">
        <f t="shared" si="28"/>
        <v>21.355870900000003</v>
      </c>
      <c r="N32" s="67">
        <f t="shared" si="28"/>
        <v>9.1972946100000001</v>
      </c>
      <c r="O32" s="67">
        <f t="shared" si="28"/>
        <v>8.4822474099999994</v>
      </c>
      <c r="P32" s="67">
        <f t="shared" si="28"/>
        <v>7.5428233300000009</v>
      </c>
      <c r="Q32" s="67">
        <f t="shared" si="28"/>
        <v>5.5847652000000005</v>
      </c>
      <c r="R32" s="67">
        <f t="shared" si="28"/>
        <v>35.355077310000006</v>
      </c>
      <c r="S32" s="67">
        <f t="shared" si="28"/>
        <v>17.045245840000003</v>
      </c>
      <c r="T32" s="67">
        <f t="shared" si="28"/>
        <v>10.676702610000003</v>
      </c>
      <c r="U32" s="67">
        <f t="shared" si="28"/>
        <v>33.994638369999997</v>
      </c>
      <c r="V32" s="67">
        <f t="shared" si="28"/>
        <v>18.582597320000005</v>
      </c>
      <c r="W32" s="67">
        <f t="shared" si="28"/>
        <v>14.726890220000001</v>
      </c>
      <c r="X32" s="67">
        <f t="shared" si="28"/>
        <v>11.40500284</v>
      </c>
      <c r="Y32" s="67">
        <f t="shared" si="28"/>
        <v>21.162315020000001</v>
      </c>
      <c r="Z32" s="67">
        <f t="shared" si="28"/>
        <v>19.413531480000003</v>
      </c>
      <c r="AA32" s="67">
        <f t="shared" si="28"/>
        <v>25.070726030000003</v>
      </c>
      <c r="AB32" s="67">
        <f t="shared" si="28"/>
        <v>432.09346844999993</v>
      </c>
      <c r="AC32" s="67">
        <f t="shared" si="28"/>
        <v>26.022170300000003</v>
      </c>
      <c r="AD32" s="67">
        <f t="shared" si="28"/>
        <v>10.850533049999999</v>
      </c>
      <c r="AE32" s="67">
        <f t="shared" si="28"/>
        <v>9.0613740000000007</v>
      </c>
      <c r="AF32" s="67">
        <f t="shared" si="28"/>
        <v>10.37897175</v>
      </c>
      <c r="AG32" s="67">
        <f t="shared" si="28"/>
        <v>9.9135746499999993</v>
      </c>
      <c r="AH32" s="67">
        <f t="shared" si="28"/>
        <v>22.983219700000003</v>
      </c>
      <c r="AI32" s="67">
        <f t="shared" si="28"/>
        <v>7.0071543500000004</v>
      </c>
      <c r="AJ32" s="67">
        <f t="shared" si="28"/>
        <v>90.043551499999992</v>
      </c>
      <c r="AK32" s="67">
        <f t="shared" si="28"/>
        <v>22.99400705</v>
      </c>
      <c r="AL32" s="67">
        <f t="shared" si="28"/>
        <v>15.163932000000001</v>
      </c>
      <c r="AM32" s="67">
        <f t="shared" si="28"/>
        <v>10.018366050000001</v>
      </c>
      <c r="AN32" s="67">
        <f t="shared" si="28"/>
        <v>9.1553780499999995</v>
      </c>
      <c r="AO32" s="67">
        <f t="shared" si="28"/>
        <v>8.1567776500000004</v>
      </c>
      <c r="AP32" s="67">
        <f t="shared" si="28"/>
        <v>7.4586820000000005</v>
      </c>
      <c r="AQ32" s="67">
        <f t="shared" si="28"/>
        <v>31.600771300000002</v>
      </c>
      <c r="AR32" s="67">
        <f t="shared" si="28"/>
        <v>19.247714500000001</v>
      </c>
      <c r="AS32" s="67">
        <f t="shared" si="28"/>
        <v>9.6315625000000011</v>
      </c>
      <c r="AT32" s="67">
        <f t="shared" si="28"/>
        <v>39.797616250000011</v>
      </c>
      <c r="AU32" s="67">
        <f t="shared" si="28"/>
        <v>19.0658706</v>
      </c>
      <c r="AV32" s="67">
        <f t="shared" si="28"/>
        <v>15.470600950000001</v>
      </c>
      <c r="AW32" s="67">
        <f t="shared" si="28"/>
        <v>11.779786200000002</v>
      </c>
      <c r="AX32" s="67">
        <f t="shared" si="28"/>
        <v>26.291854049999998</v>
      </c>
      <c r="AY32" s="67">
        <f t="shared" si="28"/>
        <v>24.79395345</v>
      </c>
      <c r="AZ32" s="67">
        <f t="shared" si="28"/>
        <v>26.202473150000003</v>
      </c>
    </row>
    <row r="33" spans="1:52" x14ac:dyDescent="0.25">
      <c r="A33" s="66" t="s">
        <v>1063</v>
      </c>
      <c r="B33" s="49">
        <v>1</v>
      </c>
      <c r="C33" s="67">
        <f t="shared" ref="C33:AZ34" si="29">IFERROR($B33/C13,0)</f>
        <v>214.37381437500002</v>
      </c>
      <c r="D33" s="67">
        <f t="shared" si="29"/>
        <v>11.874340625</v>
      </c>
      <c r="E33" s="67">
        <f t="shared" si="29"/>
        <v>5.3452743749999998</v>
      </c>
      <c r="F33" s="67">
        <f t="shared" si="29"/>
        <v>4.3706250000000013</v>
      </c>
      <c r="G33" s="67">
        <f t="shared" si="29"/>
        <v>5.3022156250000014</v>
      </c>
      <c r="H33" s="67">
        <f t="shared" si="29"/>
        <v>4.4763293749999997</v>
      </c>
      <c r="I33" s="67">
        <f t="shared" si="29"/>
        <v>11.93763375</v>
      </c>
      <c r="J33" s="67">
        <f t="shared" si="29"/>
        <v>3.957520000000001</v>
      </c>
      <c r="K33" s="67">
        <f t="shared" si="29"/>
        <v>45.791361875</v>
      </c>
      <c r="L33" s="67">
        <f t="shared" si="29"/>
        <v>8.3398000000000003</v>
      </c>
      <c r="M33" s="67">
        <f t="shared" si="29"/>
        <v>11.216318750000003</v>
      </c>
      <c r="N33" s="67">
        <f t="shared" si="29"/>
        <v>4.830511875</v>
      </c>
      <c r="O33" s="67">
        <f t="shared" si="29"/>
        <v>4.4549618749999995</v>
      </c>
      <c r="P33" s="67">
        <f t="shared" si="29"/>
        <v>3.9615668750000004</v>
      </c>
      <c r="Q33" s="67">
        <f t="shared" si="29"/>
        <v>2.9331750000000003</v>
      </c>
      <c r="R33" s="67">
        <f t="shared" si="29"/>
        <v>18.568843125000004</v>
      </c>
      <c r="S33" s="67">
        <f t="shared" si="29"/>
        <v>8.9523350000000015</v>
      </c>
      <c r="T33" s="67">
        <f t="shared" si="29"/>
        <v>5.607511875000001</v>
      </c>
      <c r="U33" s="67">
        <f t="shared" si="29"/>
        <v>17.854326874999998</v>
      </c>
      <c r="V33" s="67">
        <f t="shared" si="29"/>
        <v>9.7597675000000024</v>
      </c>
      <c r="W33" s="67">
        <f t="shared" si="29"/>
        <v>7.734711250000001</v>
      </c>
      <c r="X33" s="67">
        <f t="shared" si="29"/>
        <v>5.9900225000000002</v>
      </c>
      <c r="Y33" s="67">
        <f t="shared" si="29"/>
        <v>11.114661250000001</v>
      </c>
      <c r="Z33" s="67">
        <f t="shared" si="29"/>
        <v>10.196182500000003</v>
      </c>
      <c r="AA33" s="67">
        <f t="shared" si="29"/>
        <v>13.167398125000002</v>
      </c>
      <c r="AB33" s="67">
        <f t="shared" si="29"/>
        <v>226.93984687500003</v>
      </c>
      <c r="AC33" s="67">
        <f t="shared" si="29"/>
        <v>13.667106250000002</v>
      </c>
      <c r="AD33" s="67">
        <f t="shared" si="29"/>
        <v>5.6988093749999997</v>
      </c>
      <c r="AE33" s="67">
        <f t="shared" si="29"/>
        <v>4.759125</v>
      </c>
      <c r="AF33" s="67">
        <f t="shared" si="29"/>
        <v>5.4511406249999999</v>
      </c>
      <c r="AG33" s="67">
        <f t="shared" si="29"/>
        <v>5.2067093749999991</v>
      </c>
      <c r="AH33" s="67">
        <f t="shared" si="29"/>
        <v>12.07101875</v>
      </c>
      <c r="AI33" s="67">
        <f t="shared" si="29"/>
        <v>3.6802281249999997</v>
      </c>
      <c r="AJ33" s="67">
        <f t="shared" si="29"/>
        <v>47.291781249999993</v>
      </c>
      <c r="AK33" s="67">
        <f t="shared" si="29"/>
        <v>12.076684375000001</v>
      </c>
      <c r="AL33" s="67">
        <f t="shared" si="29"/>
        <v>7.9642500000000007</v>
      </c>
      <c r="AM33" s="67">
        <f t="shared" si="29"/>
        <v>5.261746875</v>
      </c>
      <c r="AN33" s="67">
        <f t="shared" si="29"/>
        <v>4.8084968749999994</v>
      </c>
      <c r="AO33" s="67">
        <f t="shared" si="29"/>
        <v>4.2840218750000005</v>
      </c>
      <c r="AP33" s="67">
        <f t="shared" si="29"/>
        <v>3.9173750000000003</v>
      </c>
      <c r="AQ33" s="67">
        <f t="shared" si="29"/>
        <v>16.597043750000001</v>
      </c>
      <c r="AR33" s="67">
        <f t="shared" si="29"/>
        <v>10.109093750000001</v>
      </c>
      <c r="AS33" s="67">
        <f t="shared" si="29"/>
        <v>5.05859375</v>
      </c>
      <c r="AT33" s="67">
        <f t="shared" si="29"/>
        <v>20.902109375000006</v>
      </c>
      <c r="AU33" s="67">
        <f t="shared" si="29"/>
        <v>10.0135875</v>
      </c>
      <c r="AV33" s="67">
        <f t="shared" si="29"/>
        <v>8.1253156250000007</v>
      </c>
      <c r="AW33" s="67">
        <f t="shared" si="29"/>
        <v>6.1868625000000002</v>
      </c>
      <c r="AX33" s="67">
        <f t="shared" si="29"/>
        <v>13.808746875000001</v>
      </c>
      <c r="AY33" s="67">
        <f t="shared" si="29"/>
        <v>13.022034375</v>
      </c>
      <c r="AZ33" s="67">
        <f t="shared" si="29"/>
        <v>13.761803125000002</v>
      </c>
    </row>
    <row r="34" spans="1:52" x14ac:dyDescent="0.25">
      <c r="A34" s="66" t="s">
        <v>1064</v>
      </c>
      <c r="B34" s="49">
        <v>1</v>
      </c>
      <c r="C34" s="67">
        <f t="shared" si="29"/>
        <v>2.2637874798000004</v>
      </c>
      <c r="D34" s="67">
        <f t="shared" si="29"/>
        <v>0.12539303700000001</v>
      </c>
      <c r="E34" s="67">
        <f t="shared" si="29"/>
        <v>5.6446097399999999E-2</v>
      </c>
      <c r="F34" s="67">
        <f t="shared" si="29"/>
        <v>4.6153800000000009E-2</v>
      </c>
      <c r="G34" s="67">
        <f t="shared" si="29"/>
        <v>5.5991397000000012E-2</v>
      </c>
      <c r="H34" s="67">
        <f t="shared" si="29"/>
        <v>4.7270038199999989E-2</v>
      </c>
      <c r="I34" s="67">
        <f t="shared" si="29"/>
        <v>0.12606141239999999</v>
      </c>
      <c r="J34" s="67">
        <f t="shared" si="29"/>
        <v>4.179141120000001E-2</v>
      </c>
      <c r="K34" s="67">
        <f t="shared" si="29"/>
        <v>0.48355678139999997</v>
      </c>
      <c r="L34" s="67">
        <f t="shared" si="29"/>
        <v>8.8068288000000008E-2</v>
      </c>
      <c r="M34" s="67">
        <f t="shared" si="29"/>
        <v>0.118444326</v>
      </c>
      <c r="N34" s="67">
        <f t="shared" si="29"/>
        <v>5.1010205400000001E-2</v>
      </c>
      <c r="O34" s="67">
        <f t="shared" si="29"/>
        <v>4.7044397399999993E-2</v>
      </c>
      <c r="P34" s="67">
        <f t="shared" si="29"/>
        <v>4.1834146200000005E-2</v>
      </c>
      <c r="Q34" s="67">
        <f t="shared" si="29"/>
        <v>3.0974328000000002E-2</v>
      </c>
      <c r="R34" s="67">
        <f t="shared" si="29"/>
        <v>0.19608698340000003</v>
      </c>
      <c r="S34" s="67">
        <f t="shared" si="29"/>
        <v>9.4536657600000004E-2</v>
      </c>
      <c r="T34" s="67">
        <f t="shared" si="29"/>
        <v>5.9215325400000005E-2</v>
      </c>
      <c r="U34" s="67">
        <f t="shared" si="29"/>
        <v>0.18854169179999999</v>
      </c>
      <c r="V34" s="67">
        <f t="shared" si="29"/>
        <v>0.10306314480000002</v>
      </c>
      <c r="W34" s="67">
        <f t="shared" si="29"/>
        <v>8.1678550800000013E-2</v>
      </c>
      <c r="X34" s="67">
        <f t="shared" si="29"/>
        <v>6.3254637599999997E-2</v>
      </c>
      <c r="Y34" s="67">
        <f t="shared" si="29"/>
        <v>0.11737082280000002</v>
      </c>
      <c r="Z34" s="67">
        <f t="shared" si="29"/>
        <v>0.10767168720000002</v>
      </c>
      <c r="AA34" s="67">
        <f t="shared" si="29"/>
        <v>0.13904772420000003</v>
      </c>
      <c r="AB34" s="67">
        <f t="shared" si="29"/>
        <v>2.396484783</v>
      </c>
      <c r="AC34" s="67">
        <f t="shared" si="29"/>
        <v>0.144324642</v>
      </c>
      <c r="AD34" s="67">
        <f t="shared" si="29"/>
        <v>6.0179426999999987E-2</v>
      </c>
      <c r="AE34" s="67">
        <f t="shared" si="29"/>
        <v>5.025636E-2</v>
      </c>
      <c r="AF34" s="67">
        <f t="shared" si="29"/>
        <v>5.7564045000000001E-2</v>
      </c>
      <c r="AG34" s="67">
        <f t="shared" si="29"/>
        <v>5.4982850999999992E-2</v>
      </c>
      <c r="AH34" s="67">
        <f t="shared" si="29"/>
        <v>0.12746995799999999</v>
      </c>
      <c r="AI34" s="67">
        <f t="shared" si="29"/>
        <v>3.8863209000000003E-2</v>
      </c>
      <c r="AJ34" s="67">
        <f t="shared" si="29"/>
        <v>0.49940120999999993</v>
      </c>
      <c r="AK34" s="67">
        <f t="shared" si="29"/>
        <v>0.12752978700000001</v>
      </c>
      <c r="AL34" s="67">
        <f t="shared" si="29"/>
        <v>8.4102480000000007E-2</v>
      </c>
      <c r="AM34" s="67">
        <f t="shared" si="29"/>
        <v>5.5564047000000005E-2</v>
      </c>
      <c r="AN34" s="67">
        <f t="shared" si="29"/>
        <v>5.0777726999999995E-2</v>
      </c>
      <c r="AO34" s="67">
        <f t="shared" si="29"/>
        <v>4.5239271000000005E-2</v>
      </c>
      <c r="AP34" s="67">
        <f t="shared" si="29"/>
        <v>4.1367479999999998E-2</v>
      </c>
      <c r="AQ34" s="67">
        <f t="shared" si="29"/>
        <v>0.17526478200000001</v>
      </c>
      <c r="AR34" s="67">
        <f t="shared" si="29"/>
        <v>0.10675203</v>
      </c>
      <c r="AS34" s="67">
        <f t="shared" si="29"/>
        <v>5.3418750000000008E-2</v>
      </c>
      <c r="AT34" s="67">
        <f t="shared" si="29"/>
        <v>0.22072627500000006</v>
      </c>
      <c r="AU34" s="67">
        <f t="shared" si="29"/>
        <v>0.105743484</v>
      </c>
      <c r="AV34" s="67">
        <f t="shared" si="29"/>
        <v>8.5803333000000009E-2</v>
      </c>
      <c r="AW34" s="67">
        <f t="shared" si="29"/>
        <v>6.5333268E-2</v>
      </c>
      <c r="AX34" s="67">
        <f t="shared" si="29"/>
        <v>0.14582036700000001</v>
      </c>
      <c r="AY34" s="67">
        <f t="shared" si="29"/>
        <v>0.137512683</v>
      </c>
      <c r="AZ34" s="67">
        <f t="shared" si="29"/>
        <v>0.14532464100000003</v>
      </c>
    </row>
    <row r="35" spans="1:52" x14ac:dyDescent="0.25">
      <c r="A35" s="66" t="s">
        <v>1065</v>
      </c>
      <c r="B35" s="49">
        <v>1</v>
      </c>
      <c r="C35" s="67">
        <f t="shared" ref="C35:AZ35" si="30">IFERROR($B35/C30,0)</f>
        <v>103.24242900299998</v>
      </c>
      <c r="D35" s="67">
        <f t="shared" si="30"/>
        <v>5.7186824449999998</v>
      </c>
      <c r="E35" s="67">
        <f t="shared" si="30"/>
        <v>2.5742841389999995</v>
      </c>
      <c r="F35" s="67">
        <f t="shared" si="30"/>
        <v>2.1048930000000006</v>
      </c>
      <c r="G35" s="67">
        <f t="shared" si="30"/>
        <v>2.5535470450000002</v>
      </c>
      <c r="H35" s="67">
        <f t="shared" si="30"/>
        <v>2.1558002269999998</v>
      </c>
      <c r="I35" s="67">
        <f t="shared" si="30"/>
        <v>5.749164414</v>
      </c>
      <c r="J35" s="67">
        <f t="shared" si="30"/>
        <v>1.9059416320000002</v>
      </c>
      <c r="K35" s="67">
        <f t="shared" si="30"/>
        <v>22.053119878999997</v>
      </c>
      <c r="L35" s="67">
        <f t="shared" si="30"/>
        <v>4.0164476799999997</v>
      </c>
      <c r="M35" s="67">
        <f t="shared" si="30"/>
        <v>5.4017791100000005</v>
      </c>
      <c r="N35" s="67">
        <f t="shared" si="30"/>
        <v>2.3263745190000003</v>
      </c>
      <c r="O35" s="67">
        <f t="shared" si="30"/>
        <v>2.1455096389999997</v>
      </c>
      <c r="P35" s="67">
        <f t="shared" si="30"/>
        <v>1.9078906070000001</v>
      </c>
      <c r="Q35" s="67">
        <f t="shared" si="30"/>
        <v>1.41261708</v>
      </c>
      <c r="R35" s="67">
        <f t="shared" si="30"/>
        <v>8.9427548490000017</v>
      </c>
      <c r="S35" s="67">
        <f t="shared" si="30"/>
        <v>4.3114445360000007</v>
      </c>
      <c r="T35" s="67">
        <f t="shared" si="30"/>
        <v>2.7005777190000004</v>
      </c>
      <c r="U35" s="67">
        <f t="shared" si="30"/>
        <v>8.5986438229999997</v>
      </c>
      <c r="V35" s="67">
        <f t="shared" si="30"/>
        <v>4.7003040280000006</v>
      </c>
      <c r="W35" s="67">
        <f t="shared" si="30"/>
        <v>3.7250369379999997</v>
      </c>
      <c r="X35" s="67">
        <f t="shared" si="30"/>
        <v>2.8847948359999998</v>
      </c>
      <c r="Y35" s="67">
        <f t="shared" si="30"/>
        <v>5.3528208580000003</v>
      </c>
      <c r="Z35" s="67">
        <f t="shared" si="30"/>
        <v>4.9104814920000006</v>
      </c>
      <c r="AA35" s="67">
        <f t="shared" si="30"/>
        <v>6.3414189370000003</v>
      </c>
      <c r="AB35" s="67">
        <f t="shared" si="30"/>
        <v>109.29423025499999</v>
      </c>
      <c r="AC35" s="67">
        <f t="shared" si="30"/>
        <v>6.5820783699999996</v>
      </c>
      <c r="AD35" s="67">
        <f t="shared" si="30"/>
        <v>2.7445465949999996</v>
      </c>
      <c r="AE35" s="67">
        <f t="shared" si="30"/>
        <v>2.2919945999999998</v>
      </c>
      <c r="AF35" s="67">
        <f t="shared" si="30"/>
        <v>2.6252693250000001</v>
      </c>
      <c r="AG35" s="67">
        <f t="shared" si="30"/>
        <v>2.5075512349999998</v>
      </c>
      <c r="AH35" s="67">
        <f t="shared" si="30"/>
        <v>5.8134026299999997</v>
      </c>
      <c r="AI35" s="67">
        <f t="shared" si="30"/>
        <v>1.7723978650000003</v>
      </c>
      <c r="AJ35" s="67">
        <f t="shared" si="30"/>
        <v>22.775721849999996</v>
      </c>
      <c r="AK35" s="67">
        <f t="shared" si="30"/>
        <v>5.8161311949999996</v>
      </c>
      <c r="AL35" s="67">
        <f t="shared" si="30"/>
        <v>3.8355828000000005</v>
      </c>
      <c r="AM35" s="67">
        <f t="shared" si="30"/>
        <v>2.5340572949999998</v>
      </c>
      <c r="AN35" s="67">
        <f t="shared" si="30"/>
        <v>2.3157720949999994</v>
      </c>
      <c r="AO35" s="67">
        <f t="shared" si="30"/>
        <v>2.0631849349999998</v>
      </c>
      <c r="AP35" s="67">
        <f t="shared" si="30"/>
        <v>1.8866078000000002</v>
      </c>
      <c r="AQ35" s="67">
        <f t="shared" si="30"/>
        <v>7.9931362700000008</v>
      </c>
      <c r="AR35" s="67">
        <f t="shared" si="30"/>
        <v>4.8685395500000004</v>
      </c>
      <c r="AS35" s="67">
        <f t="shared" si="30"/>
        <v>2.4362187500000001</v>
      </c>
      <c r="AT35" s="67">
        <f t="shared" si="30"/>
        <v>10.066455875000001</v>
      </c>
      <c r="AU35" s="67">
        <f t="shared" si="30"/>
        <v>4.8225437400000004</v>
      </c>
      <c r="AV35" s="67">
        <f t="shared" si="30"/>
        <v>3.9131520049999997</v>
      </c>
      <c r="AW35" s="67">
        <f t="shared" si="30"/>
        <v>2.9795929800000001</v>
      </c>
      <c r="AX35" s="67">
        <f t="shared" si="30"/>
        <v>6.6502924949999995</v>
      </c>
      <c r="AY35" s="67">
        <f t="shared" si="30"/>
        <v>6.2714117549999999</v>
      </c>
      <c r="AZ35" s="67">
        <f t="shared" si="30"/>
        <v>6.6276843850000011</v>
      </c>
    </row>
    <row r="36" spans="1:52" x14ac:dyDescent="0.25">
      <c r="A36" s="66" t="s">
        <v>1066</v>
      </c>
      <c r="B36" s="49">
        <v>1</v>
      </c>
      <c r="C36" s="67">
        <f t="shared" ref="C36:AZ36" si="31">IFERROR($B36/C26,0)</f>
        <v>1044.4292236350002</v>
      </c>
      <c r="D36" s="67">
        <f t="shared" si="31"/>
        <v>57.851787525000013</v>
      </c>
      <c r="E36" s="67">
        <f t="shared" si="31"/>
        <v>26.042176755000003</v>
      </c>
      <c r="F36" s="67">
        <f t="shared" si="31"/>
        <v>21.293685000000007</v>
      </c>
      <c r="G36" s="67">
        <f t="shared" si="31"/>
        <v>25.832394525000005</v>
      </c>
      <c r="H36" s="67">
        <f t="shared" si="31"/>
        <v>21.808676715000001</v>
      </c>
      <c r="I36" s="67">
        <f t="shared" si="31"/>
        <v>58.160151630000001</v>
      </c>
      <c r="J36" s="67">
        <f t="shared" si="31"/>
        <v>19.281037440000006</v>
      </c>
      <c r="K36" s="67">
        <f t="shared" si="31"/>
        <v>223.09551505499999</v>
      </c>
      <c r="L36" s="67">
        <f t="shared" si="31"/>
        <v>40.631505600000004</v>
      </c>
      <c r="M36" s="67">
        <f t="shared" si="31"/>
        <v>54.645904950000009</v>
      </c>
      <c r="N36" s="67">
        <f t="shared" si="31"/>
        <v>23.534253855000003</v>
      </c>
      <c r="O36" s="67">
        <f t="shared" si="31"/>
        <v>21.704574254999997</v>
      </c>
      <c r="P36" s="67">
        <f t="shared" si="31"/>
        <v>19.300753815000004</v>
      </c>
      <c r="Q36" s="67">
        <f t="shared" si="31"/>
        <v>14.290428600000002</v>
      </c>
      <c r="R36" s="67">
        <f t="shared" si="31"/>
        <v>90.467403705000024</v>
      </c>
      <c r="S36" s="67">
        <f t="shared" si="31"/>
        <v>43.615776120000007</v>
      </c>
      <c r="T36" s="67">
        <f t="shared" si="31"/>
        <v>27.319797855000004</v>
      </c>
      <c r="U36" s="67">
        <f t="shared" si="31"/>
        <v>86.986280535000006</v>
      </c>
      <c r="V36" s="67">
        <f t="shared" si="31"/>
        <v>47.549587260000017</v>
      </c>
      <c r="W36" s="67">
        <f t="shared" si="31"/>
        <v>37.683513210000008</v>
      </c>
      <c r="X36" s="67">
        <f t="shared" si="31"/>
        <v>29.18338962</v>
      </c>
      <c r="Y36" s="67">
        <f t="shared" si="31"/>
        <v>54.150629610000003</v>
      </c>
      <c r="Z36" s="67">
        <f t="shared" si="31"/>
        <v>49.675801140000011</v>
      </c>
      <c r="AA36" s="67">
        <f t="shared" si="31"/>
        <v>64.151563665000012</v>
      </c>
      <c r="AB36" s="67">
        <f t="shared" si="31"/>
        <v>1105.650933975</v>
      </c>
      <c r="AC36" s="67">
        <f t="shared" si="31"/>
        <v>66.586141650000002</v>
      </c>
      <c r="AD36" s="67">
        <f t="shared" si="31"/>
        <v>27.764599274999998</v>
      </c>
      <c r="AE36" s="67">
        <f t="shared" si="31"/>
        <v>23.186457000000001</v>
      </c>
      <c r="AF36" s="67">
        <f t="shared" si="31"/>
        <v>26.557957125000001</v>
      </c>
      <c r="AG36" s="67">
        <f t="shared" si="31"/>
        <v>25.367088074999998</v>
      </c>
      <c r="AH36" s="67">
        <f t="shared" si="31"/>
        <v>58.810003350000002</v>
      </c>
      <c r="AI36" s="67">
        <f t="shared" si="31"/>
        <v>17.930071425000001</v>
      </c>
      <c r="AJ36" s="67">
        <f t="shared" si="31"/>
        <v>230.40555825000001</v>
      </c>
      <c r="AK36" s="67">
        <f t="shared" si="31"/>
        <v>58.837606274999999</v>
      </c>
      <c r="AL36" s="67">
        <f t="shared" si="31"/>
        <v>38.801826000000005</v>
      </c>
      <c r="AM36" s="67">
        <f t="shared" si="31"/>
        <v>25.635230775000004</v>
      </c>
      <c r="AN36" s="67">
        <f t="shared" si="31"/>
        <v>23.426996774999996</v>
      </c>
      <c r="AO36" s="67">
        <f t="shared" si="31"/>
        <v>20.871754575000001</v>
      </c>
      <c r="AP36" s="67">
        <f t="shared" si="31"/>
        <v>19.085451000000003</v>
      </c>
      <c r="AQ36" s="67">
        <f t="shared" si="31"/>
        <v>80.86079715000001</v>
      </c>
      <c r="AR36" s="67">
        <f t="shared" si="31"/>
        <v>49.251504750000002</v>
      </c>
      <c r="AS36" s="67">
        <f t="shared" si="31"/>
        <v>24.645468750000003</v>
      </c>
      <c r="AT36" s="67">
        <f t="shared" si="31"/>
        <v>101.83507687500003</v>
      </c>
      <c r="AU36" s="67">
        <f t="shared" si="31"/>
        <v>48.786198300000002</v>
      </c>
      <c r="AV36" s="67">
        <f t="shared" si="31"/>
        <v>39.586537725000007</v>
      </c>
      <c r="AW36" s="67">
        <f t="shared" si="31"/>
        <v>30.142394100000004</v>
      </c>
      <c r="AX36" s="67">
        <f t="shared" si="31"/>
        <v>67.276214775</v>
      </c>
      <c r="AY36" s="67">
        <f t="shared" si="31"/>
        <v>63.443351475000007</v>
      </c>
      <c r="AZ36" s="67">
        <f t="shared" si="31"/>
        <v>67.047504825000019</v>
      </c>
    </row>
    <row r="37" spans="1:52" x14ac:dyDescent="0.25">
      <c r="A37" s="66" t="s">
        <v>1067</v>
      </c>
      <c r="B37" s="49">
        <v>1</v>
      </c>
      <c r="C37" s="67">
        <f t="shared" ref="C37:AZ37" si="32">IFERROR($B37/C22,0)</f>
        <v>408.16774256999997</v>
      </c>
      <c r="D37" s="67">
        <f t="shared" si="32"/>
        <v>22.608744550000001</v>
      </c>
      <c r="E37" s="67">
        <f t="shared" si="32"/>
        <v>10.177402409999999</v>
      </c>
      <c r="F37" s="67">
        <f t="shared" si="32"/>
        <v>8.3216700000000028</v>
      </c>
      <c r="G37" s="67">
        <f t="shared" si="32"/>
        <v>10.095418550000002</v>
      </c>
      <c r="H37" s="67">
        <f t="shared" si="32"/>
        <v>8.5229311299999999</v>
      </c>
      <c r="I37" s="67">
        <f t="shared" si="32"/>
        <v>22.729254659999999</v>
      </c>
      <c r="J37" s="67">
        <f t="shared" si="32"/>
        <v>7.5351180800000002</v>
      </c>
      <c r="K37" s="67">
        <f t="shared" si="32"/>
        <v>87.186753010000004</v>
      </c>
      <c r="L37" s="67">
        <f t="shared" si="32"/>
        <v>15.8789792</v>
      </c>
      <c r="M37" s="67">
        <f t="shared" si="32"/>
        <v>21.355870900000003</v>
      </c>
      <c r="N37" s="67">
        <f t="shared" si="32"/>
        <v>9.1972946100000001</v>
      </c>
      <c r="O37" s="67">
        <f t="shared" si="32"/>
        <v>8.4822474099999994</v>
      </c>
      <c r="P37" s="67">
        <f t="shared" si="32"/>
        <v>7.5428233300000009</v>
      </c>
      <c r="Q37" s="67">
        <f t="shared" si="32"/>
        <v>5.5847652000000005</v>
      </c>
      <c r="R37" s="67">
        <f t="shared" si="32"/>
        <v>35.355077310000006</v>
      </c>
      <c r="S37" s="67">
        <f t="shared" si="32"/>
        <v>17.045245840000003</v>
      </c>
      <c r="T37" s="67">
        <f t="shared" si="32"/>
        <v>10.676702610000003</v>
      </c>
      <c r="U37" s="67">
        <f t="shared" si="32"/>
        <v>33.994638369999997</v>
      </c>
      <c r="V37" s="67">
        <f t="shared" si="32"/>
        <v>18.582597320000005</v>
      </c>
      <c r="W37" s="67">
        <f t="shared" si="32"/>
        <v>14.726890220000001</v>
      </c>
      <c r="X37" s="67">
        <f t="shared" si="32"/>
        <v>11.40500284</v>
      </c>
      <c r="Y37" s="67">
        <f t="shared" si="32"/>
        <v>21.162315020000001</v>
      </c>
      <c r="Z37" s="67">
        <f t="shared" si="32"/>
        <v>19.413531480000003</v>
      </c>
      <c r="AA37" s="67">
        <f t="shared" si="32"/>
        <v>25.070726030000003</v>
      </c>
      <c r="AB37" s="67">
        <f t="shared" si="32"/>
        <v>432.09346844999993</v>
      </c>
      <c r="AC37" s="67">
        <f t="shared" si="32"/>
        <v>26.022170300000003</v>
      </c>
      <c r="AD37" s="67">
        <f t="shared" si="32"/>
        <v>10.850533049999999</v>
      </c>
      <c r="AE37" s="67">
        <f t="shared" si="32"/>
        <v>9.0613740000000007</v>
      </c>
      <c r="AF37" s="67">
        <f t="shared" si="32"/>
        <v>10.37897175</v>
      </c>
      <c r="AG37" s="67">
        <f t="shared" si="32"/>
        <v>9.9135746499999993</v>
      </c>
      <c r="AH37" s="67">
        <f t="shared" si="32"/>
        <v>22.983219700000003</v>
      </c>
      <c r="AI37" s="67">
        <f t="shared" si="32"/>
        <v>7.0071543500000004</v>
      </c>
      <c r="AJ37" s="67">
        <f t="shared" si="32"/>
        <v>90.043551499999992</v>
      </c>
      <c r="AK37" s="67">
        <f t="shared" si="32"/>
        <v>22.99400705</v>
      </c>
      <c r="AL37" s="67">
        <f t="shared" si="32"/>
        <v>15.163932000000001</v>
      </c>
      <c r="AM37" s="67">
        <f t="shared" si="32"/>
        <v>10.018366050000001</v>
      </c>
      <c r="AN37" s="67">
        <f t="shared" si="32"/>
        <v>9.1553780499999995</v>
      </c>
      <c r="AO37" s="67">
        <f t="shared" si="32"/>
        <v>8.1567776500000004</v>
      </c>
      <c r="AP37" s="67">
        <f t="shared" si="32"/>
        <v>7.4586820000000005</v>
      </c>
      <c r="AQ37" s="67">
        <f t="shared" si="32"/>
        <v>31.600771300000002</v>
      </c>
      <c r="AR37" s="67">
        <f t="shared" si="32"/>
        <v>19.247714500000001</v>
      </c>
      <c r="AS37" s="67">
        <f t="shared" si="32"/>
        <v>9.6315625000000011</v>
      </c>
      <c r="AT37" s="67">
        <f t="shared" si="32"/>
        <v>39.797616250000011</v>
      </c>
      <c r="AU37" s="67">
        <f t="shared" si="32"/>
        <v>19.0658706</v>
      </c>
      <c r="AV37" s="67">
        <f t="shared" si="32"/>
        <v>15.470600950000001</v>
      </c>
      <c r="AW37" s="67">
        <f t="shared" si="32"/>
        <v>11.779786200000002</v>
      </c>
      <c r="AX37" s="67">
        <f t="shared" si="32"/>
        <v>26.291854049999998</v>
      </c>
      <c r="AY37" s="67">
        <f t="shared" si="32"/>
        <v>24.79395345</v>
      </c>
      <c r="AZ37" s="67">
        <f t="shared" si="32"/>
        <v>26.202473150000003</v>
      </c>
    </row>
    <row r="38" spans="1:52" x14ac:dyDescent="0.25">
      <c r="A38" s="66" t="s">
        <v>1068</v>
      </c>
      <c r="B38" s="49">
        <v>1</v>
      </c>
      <c r="C38" s="67">
        <f t="shared" ref="C38:AZ38" si="33">IFERROR($B38/C2,0)</f>
        <v>89.694003934500017</v>
      </c>
      <c r="D38" s="67">
        <f t="shared" si="33"/>
        <v>4.9682241175000001</v>
      </c>
      <c r="E38" s="67">
        <f t="shared" si="33"/>
        <v>2.2364627984999998</v>
      </c>
      <c r="F38" s="67">
        <f t="shared" si="33"/>
        <v>1.8286695000000004</v>
      </c>
      <c r="G38" s="67">
        <f t="shared" si="33"/>
        <v>2.2184470175000004</v>
      </c>
      <c r="H38" s="67">
        <f t="shared" si="33"/>
        <v>1.8728962105</v>
      </c>
      <c r="I38" s="67">
        <f t="shared" si="33"/>
        <v>4.9947059610000002</v>
      </c>
      <c r="J38" s="67">
        <f t="shared" si="33"/>
        <v>1.6558263680000003</v>
      </c>
      <c r="K38" s="67">
        <f t="shared" si="33"/>
        <v>19.159105808499998</v>
      </c>
      <c r="L38" s="67">
        <f t="shared" si="33"/>
        <v>3.4893723200000002</v>
      </c>
      <c r="M38" s="67">
        <f t="shared" si="33"/>
        <v>4.6929077650000011</v>
      </c>
      <c r="N38" s="67">
        <f t="shared" si="33"/>
        <v>2.0210861685000001</v>
      </c>
      <c r="O38" s="67">
        <f t="shared" si="33"/>
        <v>1.8639560485</v>
      </c>
      <c r="P38" s="67">
        <f t="shared" si="33"/>
        <v>1.6575195805000003</v>
      </c>
      <c r="Q38" s="67">
        <f t="shared" si="33"/>
        <v>1.22724042</v>
      </c>
      <c r="R38" s="67">
        <f t="shared" si="33"/>
        <v>7.7692039635000008</v>
      </c>
      <c r="S38" s="67">
        <f t="shared" si="33"/>
        <v>3.745656964000001</v>
      </c>
      <c r="T38" s="67">
        <f t="shared" si="33"/>
        <v>2.3461829685000004</v>
      </c>
      <c r="U38" s="67">
        <f t="shared" si="33"/>
        <v>7.4702503645</v>
      </c>
      <c r="V38" s="67">
        <f t="shared" si="33"/>
        <v>4.0834867220000008</v>
      </c>
      <c r="W38" s="67">
        <f t="shared" si="33"/>
        <v>3.2362031870000001</v>
      </c>
      <c r="X38" s="67">
        <f t="shared" si="33"/>
        <v>2.5062254140000002</v>
      </c>
      <c r="Y38" s="67">
        <f t="shared" si="33"/>
        <v>4.6503742670000001</v>
      </c>
      <c r="Z38" s="67">
        <f t="shared" si="33"/>
        <v>4.2660827580000005</v>
      </c>
      <c r="AA38" s="67">
        <f t="shared" si="33"/>
        <v>5.5092393755000009</v>
      </c>
      <c r="AB38" s="67">
        <f t="shared" si="33"/>
        <v>94.951631932499993</v>
      </c>
      <c r="AC38" s="67">
        <f t="shared" si="33"/>
        <v>5.7183172550000005</v>
      </c>
      <c r="AD38" s="67">
        <f t="shared" si="33"/>
        <v>2.3843818424999998</v>
      </c>
      <c r="AE38" s="67">
        <f t="shared" si="33"/>
        <v>1.9912179000000003</v>
      </c>
      <c r="AF38" s="67">
        <f t="shared" si="33"/>
        <v>2.2807572375</v>
      </c>
      <c r="AG38" s="67">
        <f t="shared" si="33"/>
        <v>2.1784872024999999</v>
      </c>
      <c r="AH38" s="67">
        <f t="shared" si="33"/>
        <v>5.0505142450000005</v>
      </c>
      <c r="AI38" s="67">
        <f t="shared" si="33"/>
        <v>1.5398074475000003</v>
      </c>
      <c r="AJ38" s="67">
        <f t="shared" si="33"/>
        <v>19.786881274999999</v>
      </c>
      <c r="AK38" s="67">
        <f t="shared" si="33"/>
        <v>5.0528847424999999</v>
      </c>
      <c r="AL38" s="67">
        <f t="shared" si="33"/>
        <v>3.3322422000000005</v>
      </c>
      <c r="AM38" s="67">
        <f t="shared" si="33"/>
        <v>2.2015148925000001</v>
      </c>
      <c r="AN38" s="67">
        <f t="shared" si="33"/>
        <v>2.0118750925</v>
      </c>
      <c r="AO38" s="67">
        <f t="shared" si="33"/>
        <v>1.7924347525000004</v>
      </c>
      <c r="AP38" s="67">
        <f t="shared" si="33"/>
        <v>1.6390297</v>
      </c>
      <c r="AQ38" s="67">
        <f t="shared" si="33"/>
        <v>6.9442031050000006</v>
      </c>
      <c r="AR38" s="67">
        <f t="shared" si="33"/>
        <v>4.2296448250000003</v>
      </c>
      <c r="AS38" s="67">
        <f t="shared" si="33"/>
        <v>2.1165156249999999</v>
      </c>
      <c r="AT38" s="67">
        <f t="shared" si="33"/>
        <v>8.745442562500001</v>
      </c>
      <c r="AU38" s="67">
        <f t="shared" si="33"/>
        <v>4.1896850099999998</v>
      </c>
      <c r="AV38" s="67">
        <f t="shared" si="33"/>
        <v>3.3996320575000003</v>
      </c>
      <c r="AW38" s="67">
        <f t="shared" si="33"/>
        <v>2.58858327</v>
      </c>
      <c r="AX38" s="67">
        <f t="shared" si="33"/>
        <v>5.7775796925000007</v>
      </c>
      <c r="AY38" s="67">
        <f t="shared" si="33"/>
        <v>5.4484191825000003</v>
      </c>
      <c r="AZ38" s="67">
        <f t="shared" si="33"/>
        <v>5.757938427500001</v>
      </c>
    </row>
    <row r="39" spans="1:52" x14ac:dyDescent="0.25">
      <c r="A39" s="66" t="s">
        <v>1069</v>
      </c>
      <c r="B39" s="49">
        <v>1</v>
      </c>
      <c r="C39" s="67">
        <f t="shared" ref="C39:AZ39" si="34">IFERROR($B39/C11,0)</f>
        <v>0</v>
      </c>
      <c r="D39" s="67">
        <f t="shared" si="34"/>
        <v>0</v>
      </c>
      <c r="E39" s="67">
        <f t="shared" si="34"/>
        <v>0</v>
      </c>
      <c r="F39" s="67">
        <f t="shared" si="34"/>
        <v>0</v>
      </c>
      <c r="G39" s="67">
        <f t="shared" si="34"/>
        <v>0</v>
      </c>
      <c r="H39" s="67">
        <f t="shared" si="34"/>
        <v>0</v>
      </c>
      <c r="I39" s="67">
        <f t="shared" si="34"/>
        <v>0</v>
      </c>
      <c r="J39" s="67">
        <f t="shared" si="34"/>
        <v>0</v>
      </c>
      <c r="K39" s="67">
        <f t="shared" si="34"/>
        <v>0</v>
      </c>
      <c r="L39" s="67">
        <f t="shared" si="34"/>
        <v>0</v>
      </c>
      <c r="M39" s="67">
        <f t="shared" si="34"/>
        <v>0</v>
      </c>
      <c r="N39" s="67">
        <f t="shared" si="34"/>
        <v>0</v>
      </c>
      <c r="O39" s="67">
        <f t="shared" si="34"/>
        <v>0</v>
      </c>
      <c r="P39" s="67">
        <f t="shared" si="34"/>
        <v>0</v>
      </c>
      <c r="Q39" s="67">
        <f t="shared" si="34"/>
        <v>0</v>
      </c>
      <c r="R39" s="67">
        <f t="shared" si="34"/>
        <v>0</v>
      </c>
      <c r="S39" s="67">
        <f t="shared" si="34"/>
        <v>0</v>
      </c>
      <c r="T39" s="67">
        <f t="shared" si="34"/>
        <v>0</v>
      </c>
      <c r="U39" s="67">
        <f t="shared" si="34"/>
        <v>0</v>
      </c>
      <c r="V39" s="67">
        <f t="shared" si="34"/>
        <v>0</v>
      </c>
      <c r="W39" s="67">
        <f t="shared" si="34"/>
        <v>0</v>
      </c>
      <c r="X39" s="67">
        <f t="shared" si="34"/>
        <v>0</v>
      </c>
      <c r="Y39" s="67">
        <f t="shared" si="34"/>
        <v>0</v>
      </c>
      <c r="Z39" s="67">
        <f t="shared" si="34"/>
        <v>0</v>
      </c>
      <c r="AA39" s="67">
        <f t="shared" si="34"/>
        <v>0</v>
      </c>
      <c r="AB39" s="67">
        <f t="shared" si="34"/>
        <v>0</v>
      </c>
      <c r="AC39" s="67">
        <f t="shared" si="34"/>
        <v>0</v>
      </c>
      <c r="AD39" s="67">
        <f t="shared" si="34"/>
        <v>0</v>
      </c>
      <c r="AE39" s="67">
        <f t="shared" si="34"/>
        <v>0</v>
      </c>
      <c r="AF39" s="67">
        <f t="shared" si="34"/>
        <v>0</v>
      </c>
      <c r="AG39" s="67">
        <f t="shared" si="34"/>
        <v>0</v>
      </c>
      <c r="AH39" s="67">
        <f t="shared" si="34"/>
        <v>0</v>
      </c>
      <c r="AI39" s="67">
        <f t="shared" si="34"/>
        <v>0</v>
      </c>
      <c r="AJ39" s="67">
        <f t="shared" si="34"/>
        <v>0</v>
      </c>
      <c r="AK39" s="67">
        <f t="shared" si="34"/>
        <v>0</v>
      </c>
      <c r="AL39" s="67">
        <f t="shared" si="34"/>
        <v>0</v>
      </c>
      <c r="AM39" s="67">
        <f t="shared" si="34"/>
        <v>0</v>
      </c>
      <c r="AN39" s="67">
        <f t="shared" si="34"/>
        <v>0</v>
      </c>
      <c r="AO39" s="67">
        <f t="shared" si="34"/>
        <v>0</v>
      </c>
      <c r="AP39" s="67">
        <f t="shared" si="34"/>
        <v>0</v>
      </c>
      <c r="AQ39" s="67">
        <f t="shared" si="34"/>
        <v>0</v>
      </c>
      <c r="AR39" s="67">
        <f t="shared" si="34"/>
        <v>0</v>
      </c>
      <c r="AS39" s="67">
        <f t="shared" si="34"/>
        <v>0</v>
      </c>
      <c r="AT39" s="67">
        <f t="shared" si="34"/>
        <v>0</v>
      </c>
      <c r="AU39" s="67">
        <f t="shared" si="34"/>
        <v>0</v>
      </c>
      <c r="AV39" s="67">
        <f t="shared" si="34"/>
        <v>0</v>
      </c>
      <c r="AW39" s="67">
        <f t="shared" si="34"/>
        <v>0</v>
      </c>
      <c r="AX39" s="67">
        <f t="shared" si="34"/>
        <v>0</v>
      </c>
      <c r="AY39" s="67">
        <f t="shared" si="34"/>
        <v>0</v>
      </c>
      <c r="AZ39" s="67">
        <f t="shared" si="34"/>
        <v>0</v>
      </c>
    </row>
    <row r="40" spans="1:52" x14ac:dyDescent="0.25">
      <c r="A40" s="66" t="s">
        <v>1070</v>
      </c>
      <c r="B40" s="49">
        <v>1</v>
      </c>
      <c r="C40" s="67">
        <f t="shared" ref="C40:AZ40" si="35">IFERROR($B40/C4,0)</f>
        <v>0</v>
      </c>
      <c r="D40" s="67">
        <f t="shared" si="35"/>
        <v>0</v>
      </c>
      <c r="E40" s="67">
        <f t="shared" si="35"/>
        <v>0</v>
      </c>
      <c r="F40" s="67">
        <f t="shared" si="35"/>
        <v>0</v>
      </c>
      <c r="G40" s="67">
        <f t="shared" si="35"/>
        <v>0</v>
      </c>
      <c r="H40" s="67">
        <f t="shared" si="35"/>
        <v>0</v>
      </c>
      <c r="I40" s="67">
        <f t="shared" si="35"/>
        <v>0</v>
      </c>
      <c r="J40" s="67">
        <f t="shared" si="35"/>
        <v>0</v>
      </c>
      <c r="K40" s="67">
        <f t="shared" si="35"/>
        <v>0</v>
      </c>
      <c r="L40" s="67">
        <f t="shared" si="35"/>
        <v>0</v>
      </c>
      <c r="M40" s="67">
        <f t="shared" si="35"/>
        <v>0</v>
      </c>
      <c r="N40" s="67">
        <f t="shared" si="35"/>
        <v>0</v>
      </c>
      <c r="O40" s="67">
        <f t="shared" si="35"/>
        <v>0</v>
      </c>
      <c r="P40" s="67">
        <f t="shared" si="35"/>
        <v>0</v>
      </c>
      <c r="Q40" s="67">
        <f t="shared" si="35"/>
        <v>0</v>
      </c>
      <c r="R40" s="67">
        <f t="shared" si="35"/>
        <v>0</v>
      </c>
      <c r="S40" s="67">
        <f t="shared" si="35"/>
        <v>0</v>
      </c>
      <c r="T40" s="67">
        <f t="shared" si="35"/>
        <v>0</v>
      </c>
      <c r="U40" s="67">
        <f t="shared" si="35"/>
        <v>0</v>
      </c>
      <c r="V40" s="67">
        <f t="shared" si="35"/>
        <v>0</v>
      </c>
      <c r="W40" s="67">
        <f t="shared" si="35"/>
        <v>0</v>
      </c>
      <c r="X40" s="67">
        <f t="shared" si="35"/>
        <v>0</v>
      </c>
      <c r="Y40" s="67">
        <f t="shared" si="35"/>
        <v>0</v>
      </c>
      <c r="Z40" s="67">
        <f t="shared" si="35"/>
        <v>0</v>
      </c>
      <c r="AA40" s="67">
        <f t="shared" si="35"/>
        <v>0</v>
      </c>
      <c r="AB40" s="67">
        <f t="shared" si="35"/>
        <v>0</v>
      </c>
      <c r="AC40" s="67">
        <f t="shared" si="35"/>
        <v>0</v>
      </c>
      <c r="AD40" s="67">
        <f t="shared" si="35"/>
        <v>0</v>
      </c>
      <c r="AE40" s="67">
        <f t="shared" si="35"/>
        <v>0</v>
      </c>
      <c r="AF40" s="67">
        <f t="shared" si="35"/>
        <v>0</v>
      </c>
      <c r="AG40" s="67">
        <f t="shared" si="35"/>
        <v>0</v>
      </c>
      <c r="AH40" s="67">
        <f t="shared" si="35"/>
        <v>0</v>
      </c>
      <c r="AI40" s="67">
        <f t="shared" si="35"/>
        <v>0</v>
      </c>
      <c r="AJ40" s="67">
        <f t="shared" si="35"/>
        <v>0</v>
      </c>
      <c r="AK40" s="67">
        <f t="shared" si="35"/>
        <v>0</v>
      </c>
      <c r="AL40" s="67">
        <f t="shared" si="35"/>
        <v>0</v>
      </c>
      <c r="AM40" s="67">
        <f t="shared" si="35"/>
        <v>0</v>
      </c>
      <c r="AN40" s="67">
        <f t="shared" si="35"/>
        <v>0</v>
      </c>
      <c r="AO40" s="67">
        <f t="shared" si="35"/>
        <v>0</v>
      </c>
      <c r="AP40" s="67">
        <f t="shared" si="35"/>
        <v>0</v>
      </c>
      <c r="AQ40" s="67">
        <f t="shared" si="35"/>
        <v>0</v>
      </c>
      <c r="AR40" s="67">
        <f t="shared" si="35"/>
        <v>0</v>
      </c>
      <c r="AS40" s="67">
        <f t="shared" si="35"/>
        <v>0</v>
      </c>
      <c r="AT40" s="67">
        <f t="shared" si="35"/>
        <v>0</v>
      </c>
      <c r="AU40" s="67">
        <f t="shared" si="35"/>
        <v>0</v>
      </c>
      <c r="AV40" s="67">
        <f t="shared" si="35"/>
        <v>0</v>
      </c>
      <c r="AW40" s="67">
        <f t="shared" si="35"/>
        <v>0</v>
      </c>
      <c r="AX40" s="67">
        <f t="shared" si="35"/>
        <v>0</v>
      </c>
      <c r="AY40" s="67">
        <f t="shared" si="35"/>
        <v>0</v>
      </c>
      <c r="AZ40" s="67">
        <f t="shared" si="35"/>
        <v>0</v>
      </c>
    </row>
    <row r="41" spans="1:52" x14ac:dyDescent="0.25">
      <c r="A41" s="66" t="s">
        <v>1071</v>
      </c>
      <c r="B41" s="68">
        <v>0.99987999999999999</v>
      </c>
      <c r="C41" s="67">
        <f t="shared" ref="C41:AZ41" si="36">IFERROR($B41/C8,0)</f>
        <v>0.45956230392503755</v>
      </c>
      <c r="D41" s="67">
        <f t="shared" si="36"/>
        <v>2.5455531269643998E-2</v>
      </c>
      <c r="E41" s="67">
        <f t="shared" si="36"/>
        <v>1.1458893027808798E-2</v>
      </c>
      <c r="F41" s="67">
        <f t="shared" si="36"/>
        <v>9.3694955256000013E-3</v>
      </c>
      <c r="G41" s="67">
        <f t="shared" si="36"/>
        <v>1.1366586145964003E-2</v>
      </c>
      <c r="H41" s="67">
        <f t="shared" si="36"/>
        <v>9.5960985099783989E-3</v>
      </c>
      <c r="I41" s="67">
        <f t="shared" si="36"/>
        <v>2.5591215445588799E-2</v>
      </c>
      <c r="J41" s="67">
        <f t="shared" si="36"/>
        <v>8.4839046892544005E-3</v>
      </c>
      <c r="K41" s="67">
        <f t="shared" si="36"/>
        <v>9.816489865841678E-2</v>
      </c>
      <c r="L41" s="67">
        <f t="shared" si="36"/>
        <v>1.7878385536256002E-2</v>
      </c>
      <c r="M41" s="67">
        <f t="shared" si="36"/>
        <v>2.4044901665512004E-2</v>
      </c>
      <c r="N41" s="67">
        <f t="shared" si="36"/>
        <v>1.0355374665904801E-2</v>
      </c>
      <c r="O41" s="67">
        <f t="shared" si="36"/>
        <v>9.5502920874087974E-3</v>
      </c>
      <c r="P41" s="67">
        <f t="shared" si="36"/>
        <v>8.4925801480744013E-3</v>
      </c>
      <c r="Q41" s="67">
        <f t="shared" si="36"/>
        <v>6.2879725527360004E-3</v>
      </c>
      <c r="R41" s="67">
        <f t="shared" si="36"/>
        <v>3.9806822268040803E-2</v>
      </c>
      <c r="S41" s="67">
        <f t="shared" si="36"/>
        <v>1.9191502983251198E-2</v>
      </c>
      <c r="T41" s="67">
        <f t="shared" si="36"/>
        <v>1.20210627593448E-2</v>
      </c>
      <c r="U41" s="67">
        <f t="shared" si="36"/>
        <v>3.8275083258781595E-2</v>
      </c>
      <c r="V41" s="67">
        <f t="shared" si="36"/>
        <v>2.0922430527017605E-2</v>
      </c>
      <c r="W41" s="67">
        <f t="shared" si="36"/>
        <v>1.6581230933489597E-2</v>
      </c>
      <c r="X41" s="67">
        <f t="shared" si="36"/>
        <v>1.2841067127011198E-2</v>
      </c>
      <c r="Y41" s="67">
        <f t="shared" si="36"/>
        <v>2.3826974139953598E-2</v>
      </c>
      <c r="Z41" s="67">
        <f t="shared" si="36"/>
        <v>2.1857992006166404E-2</v>
      </c>
      <c r="AA41" s="67">
        <f t="shared" si="36"/>
        <v>2.8227513871810401E-2</v>
      </c>
      <c r="AB41" s="67">
        <f t="shared" si="36"/>
        <v>0.48650064461619608</v>
      </c>
      <c r="AC41" s="67">
        <f t="shared" si="36"/>
        <v>2.9298759526903997E-2</v>
      </c>
      <c r="AD41" s="67">
        <f t="shared" si="36"/>
        <v>1.2216781110323996E-2</v>
      </c>
      <c r="AE41" s="67">
        <f t="shared" si="36"/>
        <v>1.020233957232E-2</v>
      </c>
      <c r="AF41" s="67">
        <f t="shared" si="36"/>
        <v>1.1685843030540001E-2</v>
      </c>
      <c r="AG41" s="67">
        <f t="shared" si="36"/>
        <v>1.1161845317811997E-2</v>
      </c>
      <c r="AH41" s="67">
        <f t="shared" si="36"/>
        <v>2.5877158568295998E-2</v>
      </c>
      <c r="AI41" s="67">
        <f t="shared" si="36"/>
        <v>7.8894622509079991E-3</v>
      </c>
      <c r="AJ41" s="67">
        <f t="shared" si="36"/>
        <v>0.10138141177051999</v>
      </c>
      <c r="AK41" s="67">
        <f t="shared" si="36"/>
        <v>2.5889304210643997E-2</v>
      </c>
      <c r="AL41" s="67">
        <f t="shared" si="36"/>
        <v>1.7073302957759998E-2</v>
      </c>
      <c r="AM41" s="67">
        <f t="shared" si="36"/>
        <v>1.1279831557763999E-2</v>
      </c>
      <c r="AN41" s="67">
        <f t="shared" si="36"/>
        <v>1.0308180169923999E-2</v>
      </c>
      <c r="AO41" s="67">
        <f t="shared" si="36"/>
        <v>9.1838407068519992E-3</v>
      </c>
      <c r="AP41" s="67">
        <f t="shared" si="36"/>
        <v>8.3978441377599994E-3</v>
      </c>
      <c r="AQ41" s="67">
        <f t="shared" si="36"/>
        <v>3.5579791712583998E-2</v>
      </c>
      <c r="AR41" s="67">
        <f t="shared" si="36"/>
        <v>2.1671296132359998E-2</v>
      </c>
      <c r="AS41" s="67">
        <f t="shared" si="36"/>
        <v>1.0844323525E-2</v>
      </c>
      <c r="AT41" s="67">
        <f t="shared" si="36"/>
        <v>4.4808744805300005E-2</v>
      </c>
      <c r="AU41" s="67">
        <f t="shared" si="36"/>
        <v>2.1466555304208001E-2</v>
      </c>
      <c r="AV41" s="67">
        <f t="shared" si="36"/>
        <v>1.7418586218795998E-2</v>
      </c>
      <c r="AW41" s="67">
        <f t="shared" si="36"/>
        <v>1.3263041444015997E-2</v>
      </c>
      <c r="AX41" s="67">
        <f t="shared" si="36"/>
        <v>2.9602400585604E-2</v>
      </c>
      <c r="AY41" s="67">
        <f t="shared" si="36"/>
        <v>2.7915891390996001E-2</v>
      </c>
      <c r="AZ41" s="67">
        <f t="shared" si="36"/>
        <v>2.9501765263292005E-2</v>
      </c>
    </row>
    <row r="42" spans="1:52" x14ac:dyDescent="0.25">
      <c r="A42" s="66" t="s">
        <v>1072</v>
      </c>
      <c r="B42" s="49">
        <v>0.97898250799999997</v>
      </c>
      <c r="C42" s="67">
        <f t="shared" ref="C42:AZ42" si="37">IFERROR($B42/C19,0)</f>
        <v>0</v>
      </c>
      <c r="D42" s="67">
        <f t="shared" si="37"/>
        <v>0</v>
      </c>
      <c r="E42" s="67">
        <f t="shared" si="37"/>
        <v>0</v>
      </c>
      <c r="F42" s="67">
        <f t="shared" si="37"/>
        <v>0</v>
      </c>
      <c r="G42" s="67">
        <f t="shared" si="37"/>
        <v>0</v>
      </c>
      <c r="H42" s="67">
        <f t="shared" si="37"/>
        <v>0</v>
      </c>
      <c r="I42" s="67">
        <f t="shared" si="37"/>
        <v>0</v>
      </c>
      <c r="J42" s="67">
        <f t="shared" si="37"/>
        <v>0</v>
      </c>
      <c r="K42" s="67">
        <f t="shared" si="37"/>
        <v>0</v>
      </c>
      <c r="L42" s="67">
        <f t="shared" si="37"/>
        <v>0</v>
      </c>
      <c r="M42" s="67">
        <f t="shared" si="37"/>
        <v>0</v>
      </c>
      <c r="N42" s="67">
        <f t="shared" si="37"/>
        <v>0</v>
      </c>
      <c r="O42" s="67">
        <f t="shared" si="37"/>
        <v>0</v>
      </c>
      <c r="P42" s="67">
        <f t="shared" si="37"/>
        <v>0</v>
      </c>
      <c r="Q42" s="67">
        <f t="shared" si="37"/>
        <v>0</v>
      </c>
      <c r="R42" s="67">
        <f t="shared" si="37"/>
        <v>0</v>
      </c>
      <c r="S42" s="67">
        <f t="shared" si="37"/>
        <v>0</v>
      </c>
      <c r="T42" s="67">
        <f t="shared" si="37"/>
        <v>0</v>
      </c>
      <c r="U42" s="67">
        <f t="shared" si="37"/>
        <v>0</v>
      </c>
      <c r="V42" s="67">
        <f t="shared" si="37"/>
        <v>0</v>
      </c>
      <c r="W42" s="67">
        <f t="shared" si="37"/>
        <v>0</v>
      </c>
      <c r="X42" s="67">
        <f t="shared" si="37"/>
        <v>0</v>
      </c>
      <c r="Y42" s="67">
        <f t="shared" si="37"/>
        <v>0</v>
      </c>
      <c r="Z42" s="67">
        <f t="shared" si="37"/>
        <v>0</v>
      </c>
      <c r="AA42" s="67">
        <f t="shared" si="37"/>
        <v>0</v>
      </c>
      <c r="AB42" s="67">
        <f t="shared" si="37"/>
        <v>0</v>
      </c>
      <c r="AC42" s="67">
        <f t="shared" si="37"/>
        <v>0</v>
      </c>
      <c r="AD42" s="67">
        <f t="shared" si="37"/>
        <v>0</v>
      </c>
      <c r="AE42" s="67">
        <f t="shared" si="37"/>
        <v>0</v>
      </c>
      <c r="AF42" s="67">
        <f t="shared" si="37"/>
        <v>0</v>
      </c>
      <c r="AG42" s="67">
        <f t="shared" si="37"/>
        <v>0</v>
      </c>
      <c r="AH42" s="67">
        <f t="shared" si="37"/>
        <v>0</v>
      </c>
      <c r="AI42" s="67">
        <f t="shared" si="37"/>
        <v>0</v>
      </c>
      <c r="AJ42" s="67">
        <f t="shared" si="37"/>
        <v>0</v>
      </c>
      <c r="AK42" s="67">
        <f t="shared" si="37"/>
        <v>0</v>
      </c>
      <c r="AL42" s="67">
        <f t="shared" si="37"/>
        <v>0</v>
      </c>
      <c r="AM42" s="67">
        <f t="shared" si="37"/>
        <v>0</v>
      </c>
      <c r="AN42" s="67">
        <f t="shared" si="37"/>
        <v>0</v>
      </c>
      <c r="AO42" s="67">
        <f t="shared" si="37"/>
        <v>0</v>
      </c>
      <c r="AP42" s="67">
        <f t="shared" si="37"/>
        <v>0</v>
      </c>
      <c r="AQ42" s="67">
        <f t="shared" si="37"/>
        <v>0</v>
      </c>
      <c r="AR42" s="67">
        <f t="shared" si="37"/>
        <v>0</v>
      </c>
      <c r="AS42" s="67">
        <f t="shared" si="37"/>
        <v>0</v>
      </c>
      <c r="AT42" s="67">
        <f t="shared" si="37"/>
        <v>0</v>
      </c>
      <c r="AU42" s="67">
        <f t="shared" si="37"/>
        <v>0</v>
      </c>
      <c r="AV42" s="67">
        <f t="shared" si="37"/>
        <v>0</v>
      </c>
      <c r="AW42" s="67">
        <f t="shared" si="37"/>
        <v>0</v>
      </c>
      <c r="AX42" s="67">
        <f t="shared" si="37"/>
        <v>0</v>
      </c>
      <c r="AY42" s="67">
        <f t="shared" si="37"/>
        <v>0</v>
      </c>
      <c r="AZ42" s="67">
        <f t="shared" si="37"/>
        <v>0</v>
      </c>
    </row>
    <row r="43" spans="1:52" x14ac:dyDescent="0.25">
      <c r="A43" s="66" t="s">
        <v>1073</v>
      </c>
      <c r="B43" s="49">
        <v>2.0897492E-2</v>
      </c>
      <c r="C43" s="67">
        <f t="shared" ref="C43:AZ43" si="38">IFERROR($B43/C28,0)</f>
        <v>0</v>
      </c>
      <c r="D43" s="67">
        <f t="shared" si="38"/>
        <v>0</v>
      </c>
      <c r="E43" s="67">
        <f t="shared" si="38"/>
        <v>0</v>
      </c>
      <c r="F43" s="67">
        <f t="shared" si="38"/>
        <v>0</v>
      </c>
      <c r="G43" s="67">
        <f t="shared" si="38"/>
        <v>0</v>
      </c>
      <c r="H43" s="67">
        <f t="shared" si="38"/>
        <v>0</v>
      </c>
      <c r="I43" s="67">
        <f t="shared" si="38"/>
        <v>0</v>
      </c>
      <c r="J43" s="67">
        <f t="shared" si="38"/>
        <v>0</v>
      </c>
      <c r="K43" s="67">
        <f t="shared" si="38"/>
        <v>0</v>
      </c>
      <c r="L43" s="67">
        <f t="shared" si="38"/>
        <v>0</v>
      </c>
      <c r="M43" s="67">
        <f t="shared" si="38"/>
        <v>0</v>
      </c>
      <c r="N43" s="67">
        <f t="shared" si="38"/>
        <v>0</v>
      </c>
      <c r="O43" s="67">
        <f t="shared" si="38"/>
        <v>0</v>
      </c>
      <c r="P43" s="67">
        <f t="shared" si="38"/>
        <v>0</v>
      </c>
      <c r="Q43" s="67">
        <f t="shared" si="38"/>
        <v>0</v>
      </c>
      <c r="R43" s="67">
        <f t="shared" si="38"/>
        <v>0</v>
      </c>
      <c r="S43" s="67">
        <f t="shared" si="38"/>
        <v>0</v>
      </c>
      <c r="T43" s="67">
        <f t="shared" si="38"/>
        <v>0</v>
      </c>
      <c r="U43" s="67">
        <f t="shared" si="38"/>
        <v>0</v>
      </c>
      <c r="V43" s="67">
        <f t="shared" si="38"/>
        <v>0</v>
      </c>
      <c r="W43" s="67">
        <f t="shared" si="38"/>
        <v>0</v>
      </c>
      <c r="X43" s="67">
        <f t="shared" si="38"/>
        <v>0</v>
      </c>
      <c r="Y43" s="67">
        <f t="shared" si="38"/>
        <v>0</v>
      </c>
      <c r="Z43" s="67">
        <f t="shared" si="38"/>
        <v>0</v>
      </c>
      <c r="AA43" s="67">
        <f t="shared" si="38"/>
        <v>0</v>
      </c>
      <c r="AB43" s="67">
        <f t="shared" si="38"/>
        <v>0</v>
      </c>
      <c r="AC43" s="67">
        <f t="shared" si="38"/>
        <v>0</v>
      </c>
      <c r="AD43" s="67">
        <f t="shared" si="38"/>
        <v>0</v>
      </c>
      <c r="AE43" s="67">
        <f t="shared" si="38"/>
        <v>0</v>
      </c>
      <c r="AF43" s="67">
        <f t="shared" si="38"/>
        <v>0</v>
      </c>
      <c r="AG43" s="67">
        <f t="shared" si="38"/>
        <v>0</v>
      </c>
      <c r="AH43" s="67">
        <f t="shared" si="38"/>
        <v>0</v>
      </c>
      <c r="AI43" s="67">
        <f t="shared" si="38"/>
        <v>0</v>
      </c>
      <c r="AJ43" s="67">
        <f t="shared" si="38"/>
        <v>0</v>
      </c>
      <c r="AK43" s="67">
        <f t="shared" si="38"/>
        <v>0</v>
      </c>
      <c r="AL43" s="67">
        <f t="shared" si="38"/>
        <v>0</v>
      </c>
      <c r="AM43" s="67">
        <f t="shared" si="38"/>
        <v>0</v>
      </c>
      <c r="AN43" s="67">
        <f t="shared" si="38"/>
        <v>0</v>
      </c>
      <c r="AO43" s="67">
        <f t="shared" si="38"/>
        <v>0</v>
      </c>
      <c r="AP43" s="67">
        <f t="shared" si="38"/>
        <v>0</v>
      </c>
      <c r="AQ43" s="67">
        <f t="shared" si="38"/>
        <v>0</v>
      </c>
      <c r="AR43" s="67">
        <f t="shared" si="38"/>
        <v>0</v>
      </c>
      <c r="AS43" s="67">
        <f t="shared" si="38"/>
        <v>0</v>
      </c>
      <c r="AT43" s="67">
        <f t="shared" si="38"/>
        <v>0</v>
      </c>
      <c r="AU43" s="67">
        <f t="shared" si="38"/>
        <v>0</v>
      </c>
      <c r="AV43" s="67">
        <f t="shared" si="38"/>
        <v>0</v>
      </c>
      <c r="AW43" s="67">
        <f t="shared" si="38"/>
        <v>0</v>
      </c>
      <c r="AX43" s="67">
        <f t="shared" si="38"/>
        <v>0</v>
      </c>
      <c r="AY43" s="67">
        <f t="shared" si="38"/>
        <v>0</v>
      </c>
      <c r="AZ43" s="67">
        <f t="shared" si="38"/>
        <v>0</v>
      </c>
    </row>
    <row r="44" spans="1:52" x14ac:dyDescent="0.25">
      <c r="A44" s="66" t="s">
        <v>1074</v>
      </c>
      <c r="B44" s="49">
        <v>0.99987999999999999</v>
      </c>
      <c r="C44" s="67">
        <f t="shared" ref="C44:AZ44" si="39">IFERROR($B44/C15,0)</f>
        <v>0.12809441829552354</v>
      </c>
      <c r="D44" s="67">
        <f t="shared" si="39"/>
        <v>7.0952544247850999E-3</v>
      </c>
      <c r="E44" s="67">
        <f t="shared" si="39"/>
        <v>3.1939526461840198E-3</v>
      </c>
      <c r="F44" s="67">
        <f t="shared" si="39"/>
        <v>2.6115720737400006E-3</v>
      </c>
      <c r="G44" s="67">
        <f t="shared" si="39"/>
        <v>3.1682238250131008E-3</v>
      </c>
      <c r="H44" s="67">
        <f t="shared" si="39"/>
        <v>2.6747334279678598E-3</v>
      </c>
      <c r="I44" s="67">
        <f t="shared" si="39"/>
        <v>7.1330738574085194E-3</v>
      </c>
      <c r="J44" s="67">
        <f t="shared" si="39"/>
        <v>2.3647301503257603E-3</v>
      </c>
      <c r="K44" s="67">
        <f t="shared" si="39"/>
        <v>2.7361634066357218E-2</v>
      </c>
      <c r="L44" s="67">
        <f t="shared" si="39"/>
        <v>4.9832664162624005E-3</v>
      </c>
      <c r="M44" s="67">
        <f t="shared" si="39"/>
        <v>6.7020677403498005E-3</v>
      </c>
      <c r="N44" s="67">
        <f t="shared" si="39"/>
        <v>2.8863674908324202E-3</v>
      </c>
      <c r="O44" s="67">
        <f t="shared" si="39"/>
        <v>2.6619657422740197E-3</v>
      </c>
      <c r="P44" s="67">
        <f t="shared" si="39"/>
        <v>2.3671482726162602E-3</v>
      </c>
      <c r="Q44" s="67">
        <f t="shared" si="39"/>
        <v>1.7526550361543999E-3</v>
      </c>
      <c r="R44" s="67">
        <f t="shared" si="39"/>
        <v>1.1095409042621822E-2</v>
      </c>
      <c r="S44" s="67">
        <f t="shared" si="39"/>
        <v>5.3492734061524804E-3</v>
      </c>
      <c r="T44" s="67">
        <f t="shared" si="39"/>
        <v>3.350646970608421E-3</v>
      </c>
      <c r="U44" s="67">
        <f t="shared" si="39"/>
        <v>1.066846537101114E-2</v>
      </c>
      <c r="V44" s="67">
        <f t="shared" si="39"/>
        <v>5.8317371655530409E-3</v>
      </c>
      <c r="W44" s="67">
        <f t="shared" si="39"/>
        <v>4.6217087713868402E-3</v>
      </c>
      <c r="X44" s="67">
        <f t="shared" si="39"/>
        <v>3.5792078895064802E-3</v>
      </c>
      <c r="Y44" s="67">
        <f t="shared" si="39"/>
        <v>6.6413245084124403E-3</v>
      </c>
      <c r="Z44" s="67">
        <f t="shared" si="39"/>
        <v>6.0925074733605604E-3</v>
      </c>
      <c r="AA44" s="67">
        <f t="shared" si="39"/>
        <v>7.8678928590456606E-3</v>
      </c>
      <c r="AB44" s="67">
        <f t="shared" si="39"/>
        <v>0.13560297818220091</v>
      </c>
      <c r="AC44" s="67">
        <f t="shared" si="39"/>
        <v>8.1664825994766013E-3</v>
      </c>
      <c r="AD44" s="67">
        <f t="shared" si="39"/>
        <v>3.4051998094820997E-3</v>
      </c>
      <c r="AE44" s="67">
        <f t="shared" si="39"/>
        <v>2.8437118136280001E-3</v>
      </c>
      <c r="AF44" s="67">
        <f t="shared" si="39"/>
        <v>3.2572107253035E-3</v>
      </c>
      <c r="AG44" s="67">
        <f t="shared" si="39"/>
        <v>3.1111561389572996E-3</v>
      </c>
      <c r="AH44" s="67">
        <f t="shared" si="39"/>
        <v>7.2127751681033995E-3</v>
      </c>
      <c r="AI44" s="67">
        <f t="shared" si="39"/>
        <v>2.1990404109807002E-3</v>
      </c>
      <c r="AJ44" s="67">
        <f t="shared" si="39"/>
        <v>2.8258177086782993E-2</v>
      </c>
      <c r="AK44" s="67">
        <f t="shared" si="39"/>
        <v>7.2161605393100993E-3</v>
      </c>
      <c r="AL44" s="67">
        <f t="shared" si="39"/>
        <v>4.7588646677039995E-3</v>
      </c>
      <c r="AM44" s="67">
        <f t="shared" si="39"/>
        <v>3.1440426021080996E-3</v>
      </c>
      <c r="AN44" s="67">
        <f t="shared" si="39"/>
        <v>2.8732129055720995E-3</v>
      </c>
      <c r="AO44" s="67">
        <f t="shared" si="39"/>
        <v>2.5598242567232998E-3</v>
      </c>
      <c r="AP44" s="67">
        <f t="shared" si="39"/>
        <v>2.3407423772039996E-3</v>
      </c>
      <c r="AQ44" s="67">
        <f t="shared" si="39"/>
        <v>9.9172031377986001E-3</v>
      </c>
      <c r="AR44" s="67">
        <f t="shared" si="39"/>
        <v>6.0404694816690004E-3</v>
      </c>
      <c r="AS44" s="67">
        <f t="shared" si="39"/>
        <v>3.0226528631250001E-3</v>
      </c>
      <c r="AT44" s="67">
        <f t="shared" si="39"/>
        <v>1.2489601630432504E-2</v>
      </c>
      <c r="AU44" s="67">
        <f t="shared" si="39"/>
        <v>5.9834017956131996E-3</v>
      </c>
      <c r="AV44" s="67">
        <f t="shared" si="39"/>
        <v>4.8551059348659002E-3</v>
      </c>
      <c r="AW44" s="67">
        <f t="shared" si="39"/>
        <v>3.6968253577163994E-3</v>
      </c>
      <c r="AX44" s="67">
        <f t="shared" si="39"/>
        <v>8.2511168796441017E-3</v>
      </c>
      <c r="AY44" s="67">
        <f t="shared" si="39"/>
        <v>7.7810339063709008E-3</v>
      </c>
      <c r="AZ44" s="67">
        <f t="shared" si="39"/>
        <v>8.2230666610743006E-3</v>
      </c>
    </row>
    <row r="45" spans="1:52" x14ac:dyDescent="0.25">
      <c r="A45" s="64" t="s">
        <v>8</v>
      </c>
      <c r="B45" s="64" t="s">
        <v>1059</v>
      </c>
      <c r="C45" s="65">
        <f t="shared" ref="C45" si="40">IFERROR(1/SUM(1/D45,1/E45,1/F45,1/G45,1/H45,1/I45,1/J45,1/K45,1/L45,1/M45,1/N45,1/O45,1/P45,1/Q45,1/R45,1/S45,1/T45,1/U45,1/V45,1/W45,1/X45,1/Y45),".")</f>
        <v>4.3841624351381343E-2</v>
      </c>
      <c r="D45" s="65">
        <f>IFERROR(1/SUM(D46:D47),".")</f>
        <v>0.79149626386951522</v>
      </c>
      <c r="E45" s="65">
        <f t="shared" ref="E45:AA45" si="41">IFERROR(1/SUM(E46:E47),".")</f>
        <v>1.7582813493276488</v>
      </c>
      <c r="F45" s="65">
        <f t="shared" si="41"/>
        <v>2.1503780902277141</v>
      </c>
      <c r="G45" s="65">
        <f t="shared" si="41"/>
        <v>1.7725601720698603</v>
      </c>
      <c r="H45" s="65">
        <f t="shared" si="41"/>
        <v>2.0995989019689834</v>
      </c>
      <c r="I45" s="65">
        <f t="shared" si="41"/>
        <v>0.78729976454517248</v>
      </c>
      <c r="J45" s="65">
        <f t="shared" si="41"/>
        <v>2.3748449131277929</v>
      </c>
      <c r="K45" s="65">
        <f t="shared" si="41"/>
        <v>0.20524605200118881</v>
      </c>
      <c r="L45" s="65">
        <f t="shared" si="41"/>
        <v>1.1269450395215119</v>
      </c>
      <c r="M45" s="65">
        <f t="shared" si="41"/>
        <v>0.83793055904384872</v>
      </c>
      <c r="N45" s="65">
        <f t="shared" si="41"/>
        <v>1.9456522380666965</v>
      </c>
      <c r="O45" s="65">
        <f t="shared" si="41"/>
        <v>2.1096692865865445</v>
      </c>
      <c r="P45" s="65">
        <f t="shared" si="41"/>
        <v>2.3724189284578223</v>
      </c>
      <c r="Q45" s="65">
        <f t="shared" si="41"/>
        <v>3.2042057635843428</v>
      </c>
      <c r="R45" s="65">
        <f t="shared" si="41"/>
        <v>0.50614333792006239</v>
      </c>
      <c r="S45" s="65">
        <f t="shared" si="41"/>
        <v>1.0498374156688175</v>
      </c>
      <c r="T45" s="65">
        <f t="shared" si="41"/>
        <v>1.6760546299514529</v>
      </c>
      <c r="U45" s="65">
        <f t="shared" si="41"/>
        <v>0.52639879993243965</v>
      </c>
      <c r="V45" s="65">
        <f t="shared" si="41"/>
        <v>0.96298362031692886</v>
      </c>
      <c r="W45" s="65">
        <f t="shared" si="41"/>
        <v>1.2151062834571238</v>
      </c>
      <c r="X45" s="65">
        <f t="shared" si="41"/>
        <v>1.5690251982528454</v>
      </c>
      <c r="Y45" s="65">
        <f t="shared" si="41"/>
        <v>0.84559448364667911</v>
      </c>
      <c r="Z45" s="65">
        <f t="shared" si="41"/>
        <v>0.92176618460894577</v>
      </c>
      <c r="AA45" s="65">
        <f t="shared" si="41"/>
        <v>0.71377018841385587</v>
      </c>
      <c r="AB45" s="65">
        <f t="shared" ref="AB45" si="42">IFERROR(1/SUM(1/AC45,1/AD45,1/AE45,1/AF45,1/AG45,1/AH45,1/AI45,1/AJ45,1/AK45,1/AL45,1/AM45,1/AN45,1/AO45,1/AP45,1/AQ45,1/AR45,1/AS45,1/AT45,1/AU45,1/AV45,1/AW45,1/AX45),".")</f>
        <v>4.1414041518139655E-2</v>
      </c>
      <c r="AC45" s="65">
        <f>IFERROR(1/SUM(AC46:AC47),".")</f>
        <v>0.6876727281315681</v>
      </c>
      <c r="AD45" s="65">
        <f t="shared" ref="AD45:AZ45" si="43">IFERROR(1/SUM(AD46:AD47),".")</f>
        <v>1.649203477805661</v>
      </c>
      <c r="AE45" s="65">
        <f t="shared" si="43"/>
        <v>1.9748370216376969</v>
      </c>
      <c r="AF45" s="65">
        <f t="shared" si="43"/>
        <v>1.7241338808061852</v>
      </c>
      <c r="AG45" s="65">
        <f t="shared" si="43"/>
        <v>1.8050741002999628</v>
      </c>
      <c r="AH45" s="65">
        <f t="shared" si="43"/>
        <v>0.77860008631015543</v>
      </c>
      <c r="AI45" s="65">
        <f t="shared" si="43"/>
        <v>2.5537808856893904</v>
      </c>
      <c r="AJ45" s="65">
        <f t="shared" si="43"/>
        <v>0.19873424075354545</v>
      </c>
      <c r="AK45" s="65">
        <f t="shared" si="43"/>
        <v>0.77823481584542975</v>
      </c>
      <c r="AL45" s="65">
        <f t="shared" si="43"/>
        <v>1.1800855373200871</v>
      </c>
      <c r="AM45" s="65">
        <f t="shared" si="43"/>
        <v>1.7861931529348805</v>
      </c>
      <c r="AN45" s="65">
        <f t="shared" si="43"/>
        <v>1.9545601224086282</v>
      </c>
      <c r="AO45" s="65">
        <f t="shared" si="43"/>
        <v>2.1938487978896006</v>
      </c>
      <c r="AP45" s="65">
        <f t="shared" si="43"/>
        <v>2.3991821667829871</v>
      </c>
      <c r="AQ45" s="65">
        <f t="shared" si="43"/>
        <v>0.5662753187959455</v>
      </c>
      <c r="AR45" s="65">
        <f t="shared" si="43"/>
        <v>0.92970710065889961</v>
      </c>
      <c r="AS45" s="65">
        <f t="shared" si="43"/>
        <v>1.8579266699567454</v>
      </c>
      <c r="AT45" s="65">
        <f t="shared" si="43"/>
        <v>0.44964343416184532</v>
      </c>
      <c r="AU45" s="65">
        <f t="shared" si="43"/>
        <v>0.93857433618086472</v>
      </c>
      <c r="AV45" s="65">
        <f t="shared" si="43"/>
        <v>1.1566930657664765</v>
      </c>
      <c r="AW45" s="65">
        <f t="shared" si="43"/>
        <v>1.5191054012597667</v>
      </c>
      <c r="AX45" s="65">
        <f t="shared" si="43"/>
        <v>0.68061905440652115</v>
      </c>
      <c r="AY45" s="65">
        <f t="shared" si="43"/>
        <v>0.72173793817077858</v>
      </c>
      <c r="AZ45" s="65">
        <f t="shared" si="43"/>
        <v>0.6829407567623158</v>
      </c>
    </row>
    <row r="46" spans="1:52" x14ac:dyDescent="0.25">
      <c r="A46" s="66" t="s">
        <v>1086</v>
      </c>
      <c r="B46" s="49">
        <v>1</v>
      </c>
      <c r="C46" s="67">
        <f t="shared" ref="C46:AZ46" si="44">IFERROR($B46/C10,0)</f>
        <v>22.809373849499998</v>
      </c>
      <c r="D46" s="67">
        <f t="shared" si="44"/>
        <v>1.2634298424999999</v>
      </c>
      <c r="E46" s="67">
        <f t="shared" si="44"/>
        <v>0.56873719349999996</v>
      </c>
      <c r="F46" s="67">
        <f t="shared" si="44"/>
        <v>0.46503450000000002</v>
      </c>
      <c r="G46" s="67">
        <f t="shared" si="44"/>
        <v>0.56415574250000011</v>
      </c>
      <c r="H46" s="67">
        <f t="shared" si="44"/>
        <v>0.4762814454999999</v>
      </c>
      <c r="I46" s="67">
        <f t="shared" si="44"/>
        <v>1.2701642309999999</v>
      </c>
      <c r="J46" s="67">
        <f t="shared" si="44"/>
        <v>0.42108012800000005</v>
      </c>
      <c r="K46" s="67">
        <f t="shared" si="44"/>
        <v>4.8722009034999996</v>
      </c>
      <c r="L46" s="67">
        <f t="shared" si="44"/>
        <v>0.88735471999999982</v>
      </c>
      <c r="M46" s="67">
        <f t="shared" si="44"/>
        <v>1.1934163150000001</v>
      </c>
      <c r="N46" s="67">
        <f t="shared" si="44"/>
        <v>0.51396646349999997</v>
      </c>
      <c r="O46" s="67">
        <f t="shared" si="44"/>
        <v>0.47400794349999997</v>
      </c>
      <c r="P46" s="67">
        <f t="shared" si="44"/>
        <v>0.42151071550000002</v>
      </c>
      <c r="Q46" s="67">
        <f t="shared" si="44"/>
        <v>0.31208981999999996</v>
      </c>
      <c r="R46" s="67">
        <f t="shared" si="44"/>
        <v>1.9757249085000004</v>
      </c>
      <c r="S46" s="67">
        <f t="shared" si="44"/>
        <v>0.95252844400000003</v>
      </c>
      <c r="T46" s="67">
        <f t="shared" si="44"/>
        <v>0.59663926350000007</v>
      </c>
      <c r="U46" s="67">
        <f t="shared" si="44"/>
        <v>1.8997003794999996</v>
      </c>
      <c r="V46" s="67">
        <f t="shared" si="44"/>
        <v>1.0384392620000003</v>
      </c>
      <c r="W46" s="67">
        <f t="shared" si="44"/>
        <v>0.822973277</v>
      </c>
      <c r="X46" s="67">
        <f t="shared" si="44"/>
        <v>0.63733839399999992</v>
      </c>
      <c r="Y46" s="67">
        <f t="shared" si="44"/>
        <v>1.1825999570000001</v>
      </c>
      <c r="Z46" s="67">
        <f t="shared" si="44"/>
        <v>1.0848738180000002</v>
      </c>
      <c r="AA46" s="67">
        <f t="shared" si="44"/>
        <v>1.4010111605000002</v>
      </c>
      <c r="AB46" s="67">
        <f t="shared" si="44"/>
        <v>24.146399707499995</v>
      </c>
      <c r="AC46" s="67">
        <f t="shared" si="44"/>
        <v>1.4541801049999998</v>
      </c>
      <c r="AD46" s="67">
        <f t="shared" si="44"/>
        <v>0.60635331749999988</v>
      </c>
      <c r="AE46" s="67">
        <f t="shared" si="44"/>
        <v>0.50637089999999996</v>
      </c>
      <c r="AF46" s="67">
        <f t="shared" si="44"/>
        <v>0.58000136250000001</v>
      </c>
      <c r="AG46" s="67">
        <f t="shared" si="44"/>
        <v>0.55399387749999984</v>
      </c>
      <c r="AH46" s="67">
        <f t="shared" si="44"/>
        <v>1.2843563949999999</v>
      </c>
      <c r="AI46" s="67">
        <f t="shared" si="44"/>
        <v>0.39157627249999999</v>
      </c>
      <c r="AJ46" s="67">
        <f t="shared" si="44"/>
        <v>5.0318455249999987</v>
      </c>
      <c r="AK46" s="67">
        <f t="shared" si="44"/>
        <v>1.2849592175</v>
      </c>
      <c r="AL46" s="67">
        <f t="shared" si="44"/>
        <v>0.84739619999999993</v>
      </c>
      <c r="AM46" s="67">
        <f t="shared" si="44"/>
        <v>0.55984986749999999</v>
      </c>
      <c r="AN46" s="67">
        <f t="shared" si="44"/>
        <v>0.51162406749999989</v>
      </c>
      <c r="AO46" s="67">
        <f t="shared" si="44"/>
        <v>0.45581992750000005</v>
      </c>
      <c r="AP46" s="67">
        <f t="shared" si="44"/>
        <v>0.41680869999999998</v>
      </c>
      <c r="AQ46" s="67">
        <f t="shared" si="44"/>
        <v>1.7659254549999999</v>
      </c>
      <c r="AR46" s="67">
        <f t="shared" si="44"/>
        <v>1.075607575</v>
      </c>
      <c r="AS46" s="67">
        <f t="shared" si="44"/>
        <v>0.53823437499999993</v>
      </c>
      <c r="AT46" s="67">
        <f t="shared" si="44"/>
        <v>2.2239844375000004</v>
      </c>
      <c r="AU46" s="67">
        <f t="shared" si="44"/>
        <v>1.0654457099999999</v>
      </c>
      <c r="AV46" s="67">
        <f t="shared" si="44"/>
        <v>0.86453358250000001</v>
      </c>
      <c r="AW46" s="67">
        <f t="shared" si="44"/>
        <v>0.65828217</v>
      </c>
      <c r="AX46" s="67">
        <f t="shared" si="44"/>
        <v>1.4692506674999999</v>
      </c>
      <c r="AY46" s="67">
        <f t="shared" si="44"/>
        <v>1.3855444575</v>
      </c>
      <c r="AZ46" s="67">
        <f t="shared" si="44"/>
        <v>1.4642558525000002</v>
      </c>
    </row>
    <row r="47" spans="1:52" x14ac:dyDescent="0.25">
      <c r="A47" s="66" t="s">
        <v>1060</v>
      </c>
      <c r="B47" s="49">
        <v>0.94399</v>
      </c>
      <c r="C47" s="67">
        <f t="shared" ref="C47:AZ47" si="45">IFERROR($B47/C6,0)</f>
        <v>0</v>
      </c>
      <c r="D47" s="67">
        <f t="shared" si="45"/>
        <v>0</v>
      </c>
      <c r="E47" s="67">
        <f t="shared" si="45"/>
        <v>0</v>
      </c>
      <c r="F47" s="67">
        <f t="shared" si="45"/>
        <v>0</v>
      </c>
      <c r="G47" s="67">
        <f t="shared" si="45"/>
        <v>0</v>
      </c>
      <c r="H47" s="67">
        <f t="shared" si="45"/>
        <v>0</v>
      </c>
      <c r="I47" s="67">
        <f t="shared" si="45"/>
        <v>0</v>
      </c>
      <c r="J47" s="67">
        <f t="shared" si="45"/>
        <v>0</v>
      </c>
      <c r="K47" s="67">
        <f t="shared" si="45"/>
        <v>0</v>
      </c>
      <c r="L47" s="67">
        <f t="shared" si="45"/>
        <v>0</v>
      </c>
      <c r="M47" s="67">
        <f t="shared" si="45"/>
        <v>0</v>
      </c>
      <c r="N47" s="67">
        <f t="shared" si="45"/>
        <v>0</v>
      </c>
      <c r="O47" s="67">
        <f t="shared" si="45"/>
        <v>0</v>
      </c>
      <c r="P47" s="67">
        <f t="shared" si="45"/>
        <v>0</v>
      </c>
      <c r="Q47" s="67">
        <f t="shared" si="45"/>
        <v>0</v>
      </c>
      <c r="R47" s="67">
        <f t="shared" si="45"/>
        <v>0</v>
      </c>
      <c r="S47" s="67">
        <f t="shared" si="45"/>
        <v>0</v>
      </c>
      <c r="T47" s="67">
        <f t="shared" si="45"/>
        <v>0</v>
      </c>
      <c r="U47" s="67">
        <f t="shared" si="45"/>
        <v>0</v>
      </c>
      <c r="V47" s="67">
        <f t="shared" si="45"/>
        <v>0</v>
      </c>
      <c r="W47" s="67">
        <f t="shared" si="45"/>
        <v>0</v>
      </c>
      <c r="X47" s="67">
        <f t="shared" si="45"/>
        <v>0</v>
      </c>
      <c r="Y47" s="67">
        <f t="shared" si="45"/>
        <v>0</v>
      </c>
      <c r="Z47" s="67">
        <f t="shared" si="45"/>
        <v>0</v>
      </c>
      <c r="AA47" s="67">
        <f t="shared" si="45"/>
        <v>0</v>
      </c>
      <c r="AB47" s="67">
        <f t="shared" si="45"/>
        <v>0</v>
      </c>
      <c r="AC47" s="67">
        <f t="shared" si="45"/>
        <v>0</v>
      </c>
      <c r="AD47" s="67">
        <f t="shared" si="45"/>
        <v>0</v>
      </c>
      <c r="AE47" s="67">
        <f t="shared" si="45"/>
        <v>0</v>
      </c>
      <c r="AF47" s="67">
        <f t="shared" si="45"/>
        <v>0</v>
      </c>
      <c r="AG47" s="67">
        <f t="shared" si="45"/>
        <v>0</v>
      </c>
      <c r="AH47" s="67">
        <f t="shared" si="45"/>
        <v>0</v>
      </c>
      <c r="AI47" s="67">
        <f t="shared" si="45"/>
        <v>0</v>
      </c>
      <c r="AJ47" s="67">
        <f t="shared" si="45"/>
        <v>0</v>
      </c>
      <c r="AK47" s="67">
        <f t="shared" si="45"/>
        <v>0</v>
      </c>
      <c r="AL47" s="67">
        <f t="shared" si="45"/>
        <v>0</v>
      </c>
      <c r="AM47" s="67">
        <f t="shared" si="45"/>
        <v>0</v>
      </c>
      <c r="AN47" s="67">
        <f t="shared" si="45"/>
        <v>0</v>
      </c>
      <c r="AO47" s="67">
        <f t="shared" si="45"/>
        <v>0</v>
      </c>
      <c r="AP47" s="67">
        <f t="shared" si="45"/>
        <v>0</v>
      </c>
      <c r="AQ47" s="67">
        <f t="shared" si="45"/>
        <v>0</v>
      </c>
      <c r="AR47" s="67">
        <f t="shared" si="45"/>
        <v>0</v>
      </c>
      <c r="AS47" s="67">
        <f t="shared" si="45"/>
        <v>0</v>
      </c>
      <c r="AT47" s="67">
        <f t="shared" si="45"/>
        <v>0</v>
      </c>
      <c r="AU47" s="67">
        <f t="shared" si="45"/>
        <v>0</v>
      </c>
      <c r="AV47" s="67">
        <f t="shared" si="45"/>
        <v>0</v>
      </c>
      <c r="AW47" s="67">
        <f t="shared" si="45"/>
        <v>0</v>
      </c>
      <c r="AX47" s="67">
        <f t="shared" si="45"/>
        <v>0</v>
      </c>
      <c r="AY47" s="67">
        <f t="shared" si="45"/>
        <v>0</v>
      </c>
      <c r="AZ47" s="67">
        <f t="shared" si="45"/>
        <v>0</v>
      </c>
    </row>
    <row r="48" spans="1:52" x14ac:dyDescent="0.25">
      <c r="A48" s="64" t="s">
        <v>21</v>
      </c>
      <c r="B48" s="64" t="s">
        <v>1059</v>
      </c>
      <c r="C48" s="65">
        <f t="shared" ref="C48" si="46">IFERROR(1/SUM(1/D48,1/E48,1/F48,1/G48,1/H48,1/I48,1/J48,1/K48,1/L48,1/M48,1/N48,1/O48,1/P48,1/Q48,1/R48,1/S48,1/T48,1/U48,1/V48,1/W48,1/X48,1/Y48),".")</f>
        <v>1.8079592349697985E-4</v>
      </c>
      <c r="D48" s="65">
        <f t="shared" ref="D48:AA48" si="47">IFERROR(1/SUM(D49:D62),0)</f>
        <v>3.2640053850146516E-3</v>
      </c>
      <c r="E48" s="65">
        <f t="shared" si="47"/>
        <v>7.2508741412358746E-3</v>
      </c>
      <c r="F48" s="65">
        <f t="shared" si="47"/>
        <v>8.8678190747314718E-3</v>
      </c>
      <c r="G48" s="65">
        <f t="shared" si="47"/>
        <v>7.3097577474507637E-3</v>
      </c>
      <c r="H48" s="65">
        <f t="shared" si="47"/>
        <v>8.6584137351372291E-3</v>
      </c>
      <c r="I48" s="65">
        <f t="shared" si="47"/>
        <v>3.2466996856473545E-3</v>
      </c>
      <c r="J48" s="65">
        <f t="shared" si="47"/>
        <v>9.7934847438542905E-3</v>
      </c>
      <c r="K48" s="65">
        <f t="shared" si="47"/>
        <v>8.464022504789992E-4</v>
      </c>
      <c r="L48" s="65">
        <f t="shared" si="47"/>
        <v>4.6473430709966955E-3</v>
      </c>
      <c r="M48" s="65">
        <f t="shared" si="47"/>
        <v>3.4554930728496139E-3</v>
      </c>
      <c r="N48" s="65">
        <f t="shared" si="47"/>
        <v>8.02356204610267E-3</v>
      </c>
      <c r="O48" s="65">
        <f t="shared" si="47"/>
        <v>8.6999424082609567E-3</v>
      </c>
      <c r="P48" s="65">
        <f t="shared" si="47"/>
        <v>9.783480366843041E-3</v>
      </c>
      <c r="Q48" s="65">
        <f t="shared" si="47"/>
        <v>1.3213637694136301E-2</v>
      </c>
      <c r="R48" s="65">
        <f t="shared" si="47"/>
        <v>2.0872550585187971E-3</v>
      </c>
      <c r="S48" s="65">
        <f t="shared" si="47"/>
        <v>4.3293634279211223E-3</v>
      </c>
      <c r="T48" s="65">
        <f t="shared" si="47"/>
        <v>6.9117841580136185E-3</v>
      </c>
      <c r="U48" s="65">
        <f t="shared" si="47"/>
        <v>2.1707853796363438E-3</v>
      </c>
      <c r="V48" s="65">
        <f t="shared" si="47"/>
        <v>3.9711921153345346E-3</v>
      </c>
      <c r="W48" s="65">
        <f t="shared" si="47"/>
        <v>5.010906094716625E-3</v>
      </c>
      <c r="X48" s="65">
        <f t="shared" si="47"/>
        <v>6.470411712726996E-3</v>
      </c>
      <c r="Y48" s="65">
        <f t="shared" si="47"/>
        <v>3.4870978855516851E-3</v>
      </c>
      <c r="Z48" s="65">
        <f t="shared" si="47"/>
        <v>3.8012179306812369E-3</v>
      </c>
      <c r="AA48" s="65">
        <f t="shared" si="47"/>
        <v>2.9434753453616135E-3</v>
      </c>
      <c r="AB48" s="65">
        <f t="shared" ref="AB48" si="48">IFERROR(1/SUM(1/AC48,1/AD48,1/AE48,1/AF48,1/AG48,1/AH48,1/AI48,1/AJ48,1/AK48,1/AL48,1/AM48,1/AN48,1/AO48,1/AP48,1/AQ48,1/AR48,1/AS48,1/AT48,1/AU48,1/AV48,1/AW48,1/AX48),".")</f>
        <v>1.7078495591321325E-4</v>
      </c>
      <c r="AC48" s="65">
        <f t="shared" ref="AC48:AZ48" si="49">IFERROR(1/SUM(AC49:AC62),0)</f>
        <v>2.8358535475275348E-3</v>
      </c>
      <c r="AD48" s="65">
        <f t="shared" si="49"/>
        <v>6.8010542541613343E-3</v>
      </c>
      <c r="AE48" s="65">
        <f t="shared" si="49"/>
        <v>8.1439154767942099E-3</v>
      </c>
      <c r="AF48" s="65">
        <f t="shared" si="49"/>
        <v>7.1100553828581971E-3</v>
      </c>
      <c r="AG48" s="65">
        <f t="shared" si="49"/>
        <v>7.4438400440774086E-3</v>
      </c>
      <c r="AH48" s="65">
        <f t="shared" si="49"/>
        <v>3.210823588812522E-3</v>
      </c>
      <c r="AI48" s="65">
        <f t="shared" si="49"/>
        <v>1.0531388388728823E-2</v>
      </c>
      <c r="AJ48" s="65">
        <f t="shared" si="49"/>
        <v>8.1954857100034154E-4</v>
      </c>
      <c r="AK48" s="65">
        <f t="shared" si="49"/>
        <v>3.2093172711983079E-3</v>
      </c>
      <c r="AL48" s="65">
        <f t="shared" si="49"/>
        <v>4.86648607759654E-3</v>
      </c>
      <c r="AM48" s="65">
        <f t="shared" si="49"/>
        <v>7.3659780039301579E-3</v>
      </c>
      <c r="AN48" s="65">
        <f t="shared" si="49"/>
        <v>8.0602967519861918E-3</v>
      </c>
      <c r="AO48" s="65">
        <f t="shared" si="49"/>
        <v>9.0470853964764678E-3</v>
      </c>
      <c r="AP48" s="65">
        <f t="shared" si="49"/>
        <v>9.8938477280061891E-3</v>
      </c>
      <c r="AQ48" s="65">
        <f t="shared" si="49"/>
        <v>2.3352298353433117E-3</v>
      </c>
      <c r="AR48" s="65">
        <f t="shared" si="49"/>
        <v>3.8339650122938313E-3</v>
      </c>
      <c r="AS48" s="65">
        <f t="shared" si="49"/>
        <v>7.6617956805679916E-3</v>
      </c>
      <c r="AT48" s="65">
        <f t="shared" si="49"/>
        <v>1.8542583931674714E-3</v>
      </c>
      <c r="AU48" s="65">
        <f t="shared" si="49"/>
        <v>3.8705320888740668E-3</v>
      </c>
      <c r="AV48" s="65">
        <f t="shared" si="49"/>
        <v>4.7700192253760289E-3</v>
      </c>
      <c r="AW48" s="65">
        <f t="shared" si="49"/>
        <v>6.2645503667647772E-3</v>
      </c>
      <c r="AX48" s="65">
        <f t="shared" si="49"/>
        <v>2.8067653129095569E-3</v>
      </c>
      <c r="AY48" s="65">
        <f t="shared" si="49"/>
        <v>2.9763330849369106E-3</v>
      </c>
      <c r="AZ48" s="65">
        <f t="shared" si="49"/>
        <v>2.8163396461536169E-3</v>
      </c>
    </row>
    <row r="49" spans="1:52" x14ac:dyDescent="0.25">
      <c r="A49" s="66" t="s">
        <v>1088</v>
      </c>
      <c r="B49" s="49">
        <v>1</v>
      </c>
      <c r="C49" s="67">
        <f t="shared" ref="C49:AZ49" si="50">IFERROR($B49/C23,0)</f>
        <v>776.89070329500009</v>
      </c>
      <c r="D49" s="67">
        <f t="shared" si="50"/>
        <v>43.032610425000001</v>
      </c>
      <c r="E49" s="67">
        <f t="shared" si="50"/>
        <v>19.371274334999999</v>
      </c>
      <c r="F49" s="67">
        <f t="shared" si="50"/>
        <v>15.839145000000004</v>
      </c>
      <c r="G49" s="67">
        <f t="shared" si="50"/>
        <v>19.215229425000004</v>
      </c>
      <c r="H49" s="67">
        <f t="shared" si="50"/>
        <v>16.222217654999998</v>
      </c>
      <c r="I49" s="67">
        <f t="shared" si="50"/>
        <v>43.26198471</v>
      </c>
      <c r="J49" s="67">
        <f t="shared" si="50"/>
        <v>14.342052480000001</v>
      </c>
      <c r="K49" s="67">
        <f t="shared" si="50"/>
        <v>165.94789543499999</v>
      </c>
      <c r="L49" s="67">
        <f t="shared" si="50"/>
        <v>30.223435200000001</v>
      </c>
      <c r="M49" s="67">
        <f t="shared" si="50"/>
        <v>40.647939150000006</v>
      </c>
      <c r="N49" s="67">
        <f t="shared" si="50"/>
        <v>17.505775034999999</v>
      </c>
      <c r="O49" s="67">
        <f t="shared" si="50"/>
        <v>16.144781834999996</v>
      </c>
      <c r="P49" s="67">
        <f t="shared" si="50"/>
        <v>14.356718355000002</v>
      </c>
      <c r="Q49" s="67">
        <f t="shared" si="50"/>
        <v>10.6298262</v>
      </c>
      <c r="R49" s="67">
        <f t="shared" si="50"/>
        <v>67.293487485000014</v>
      </c>
      <c r="S49" s="67">
        <f t="shared" si="50"/>
        <v>32.44326204</v>
      </c>
      <c r="T49" s="67">
        <f t="shared" si="50"/>
        <v>20.321623035000005</v>
      </c>
      <c r="U49" s="67">
        <f t="shared" si="50"/>
        <v>64.704080594999994</v>
      </c>
      <c r="V49" s="67">
        <f t="shared" si="50"/>
        <v>35.369397420000006</v>
      </c>
      <c r="W49" s="67">
        <f t="shared" si="50"/>
        <v>28.030593570000001</v>
      </c>
      <c r="X49" s="67">
        <f t="shared" si="50"/>
        <v>21.70784154</v>
      </c>
      <c r="Y49" s="67">
        <f t="shared" si="50"/>
        <v>40.279532370000005</v>
      </c>
      <c r="Z49" s="67">
        <f t="shared" si="50"/>
        <v>36.950965380000007</v>
      </c>
      <c r="AA49" s="67">
        <f t="shared" si="50"/>
        <v>47.718650805000003</v>
      </c>
      <c r="AB49" s="67">
        <f t="shared" si="50"/>
        <v>822.43000507500005</v>
      </c>
      <c r="AC49" s="67">
        <f t="shared" si="50"/>
        <v>49.52959305000001</v>
      </c>
      <c r="AD49" s="67">
        <f t="shared" si="50"/>
        <v>20.652485174999999</v>
      </c>
      <c r="AE49" s="67">
        <f t="shared" si="50"/>
        <v>17.247069</v>
      </c>
      <c r="AF49" s="67">
        <f t="shared" si="50"/>
        <v>19.754933625</v>
      </c>
      <c r="AG49" s="67">
        <f t="shared" si="50"/>
        <v>18.869114774999996</v>
      </c>
      <c r="AH49" s="67">
        <f t="shared" si="50"/>
        <v>43.745371949999999</v>
      </c>
      <c r="AI49" s="67">
        <f t="shared" si="50"/>
        <v>13.337146724999998</v>
      </c>
      <c r="AJ49" s="67">
        <f t="shared" si="50"/>
        <v>171.38541524999997</v>
      </c>
      <c r="AK49" s="67">
        <f t="shared" si="50"/>
        <v>43.765904175000003</v>
      </c>
      <c r="AL49" s="67">
        <f t="shared" si="50"/>
        <v>28.862441999999998</v>
      </c>
      <c r="AM49" s="67">
        <f t="shared" si="50"/>
        <v>19.068570675</v>
      </c>
      <c r="AN49" s="67">
        <f t="shared" si="50"/>
        <v>17.425992674999996</v>
      </c>
      <c r="AO49" s="67">
        <f t="shared" si="50"/>
        <v>15.525295275</v>
      </c>
      <c r="AP49" s="67">
        <f t="shared" si="50"/>
        <v>14.196567</v>
      </c>
      <c r="AQ49" s="67">
        <f t="shared" si="50"/>
        <v>60.147686550000003</v>
      </c>
      <c r="AR49" s="67">
        <f t="shared" si="50"/>
        <v>36.635355750000002</v>
      </c>
      <c r="AS49" s="67">
        <f t="shared" si="50"/>
        <v>18.33234375</v>
      </c>
      <c r="AT49" s="67">
        <f t="shared" si="50"/>
        <v>75.749244375000018</v>
      </c>
      <c r="AU49" s="67">
        <f t="shared" si="50"/>
        <v>36.289241099999998</v>
      </c>
      <c r="AV49" s="67">
        <f t="shared" si="50"/>
        <v>29.446143825</v>
      </c>
      <c r="AW49" s="67">
        <f t="shared" si="50"/>
        <v>22.421189699999999</v>
      </c>
      <c r="AX49" s="67">
        <f t="shared" si="50"/>
        <v>50.042898675000004</v>
      </c>
      <c r="AY49" s="67">
        <f t="shared" si="50"/>
        <v>47.191852574999999</v>
      </c>
      <c r="AZ49" s="67">
        <f t="shared" si="50"/>
        <v>49.872774525000004</v>
      </c>
    </row>
    <row r="50" spans="1:52" x14ac:dyDescent="0.25">
      <c r="A50" s="66" t="s">
        <v>1075</v>
      </c>
      <c r="B50" s="49">
        <v>1</v>
      </c>
      <c r="C50" s="67">
        <f t="shared" ref="C50:AZ50" si="51">IFERROR($B50/C25,0)</f>
        <v>0</v>
      </c>
      <c r="D50" s="67">
        <f t="shared" si="51"/>
        <v>0</v>
      </c>
      <c r="E50" s="67">
        <f t="shared" si="51"/>
        <v>0</v>
      </c>
      <c r="F50" s="67">
        <f t="shared" si="51"/>
        <v>0</v>
      </c>
      <c r="G50" s="67">
        <f t="shared" si="51"/>
        <v>0</v>
      </c>
      <c r="H50" s="67">
        <f t="shared" si="51"/>
        <v>0</v>
      </c>
      <c r="I50" s="67">
        <f t="shared" si="51"/>
        <v>0</v>
      </c>
      <c r="J50" s="67">
        <f t="shared" si="51"/>
        <v>0</v>
      </c>
      <c r="K50" s="67">
        <f t="shared" si="51"/>
        <v>0</v>
      </c>
      <c r="L50" s="67">
        <f t="shared" si="51"/>
        <v>0</v>
      </c>
      <c r="M50" s="67">
        <f t="shared" si="51"/>
        <v>0</v>
      </c>
      <c r="N50" s="67">
        <f t="shared" si="51"/>
        <v>0</v>
      </c>
      <c r="O50" s="67">
        <f t="shared" si="51"/>
        <v>0</v>
      </c>
      <c r="P50" s="67">
        <f t="shared" si="51"/>
        <v>0</v>
      </c>
      <c r="Q50" s="67">
        <f t="shared" si="51"/>
        <v>0</v>
      </c>
      <c r="R50" s="67">
        <f t="shared" si="51"/>
        <v>0</v>
      </c>
      <c r="S50" s="67">
        <f t="shared" si="51"/>
        <v>0</v>
      </c>
      <c r="T50" s="67">
        <f t="shared" si="51"/>
        <v>0</v>
      </c>
      <c r="U50" s="67">
        <f t="shared" si="51"/>
        <v>0</v>
      </c>
      <c r="V50" s="67">
        <f t="shared" si="51"/>
        <v>0</v>
      </c>
      <c r="W50" s="67">
        <f t="shared" si="51"/>
        <v>0</v>
      </c>
      <c r="X50" s="67">
        <f t="shared" si="51"/>
        <v>0</v>
      </c>
      <c r="Y50" s="67">
        <f t="shared" si="51"/>
        <v>0</v>
      </c>
      <c r="Z50" s="67">
        <f t="shared" si="51"/>
        <v>0</v>
      </c>
      <c r="AA50" s="67">
        <f t="shared" si="51"/>
        <v>0</v>
      </c>
      <c r="AB50" s="67">
        <f t="shared" si="51"/>
        <v>0</v>
      </c>
      <c r="AC50" s="67">
        <f t="shared" si="51"/>
        <v>0</v>
      </c>
      <c r="AD50" s="67">
        <f t="shared" si="51"/>
        <v>0</v>
      </c>
      <c r="AE50" s="67">
        <f t="shared" si="51"/>
        <v>0</v>
      </c>
      <c r="AF50" s="67">
        <f t="shared" si="51"/>
        <v>0</v>
      </c>
      <c r="AG50" s="67">
        <f t="shared" si="51"/>
        <v>0</v>
      </c>
      <c r="AH50" s="67">
        <f t="shared" si="51"/>
        <v>0</v>
      </c>
      <c r="AI50" s="67">
        <f t="shared" si="51"/>
        <v>0</v>
      </c>
      <c r="AJ50" s="67">
        <f t="shared" si="51"/>
        <v>0</v>
      </c>
      <c r="AK50" s="67">
        <f t="shared" si="51"/>
        <v>0</v>
      </c>
      <c r="AL50" s="67">
        <f t="shared" si="51"/>
        <v>0</v>
      </c>
      <c r="AM50" s="67">
        <f t="shared" si="51"/>
        <v>0</v>
      </c>
      <c r="AN50" s="67">
        <f t="shared" si="51"/>
        <v>0</v>
      </c>
      <c r="AO50" s="67">
        <f t="shared" si="51"/>
        <v>0</v>
      </c>
      <c r="AP50" s="67">
        <f t="shared" si="51"/>
        <v>0</v>
      </c>
      <c r="AQ50" s="67">
        <f t="shared" si="51"/>
        <v>0</v>
      </c>
      <c r="AR50" s="67">
        <f t="shared" si="51"/>
        <v>0</v>
      </c>
      <c r="AS50" s="67">
        <f t="shared" si="51"/>
        <v>0</v>
      </c>
      <c r="AT50" s="67">
        <f t="shared" si="51"/>
        <v>0</v>
      </c>
      <c r="AU50" s="67">
        <f t="shared" si="51"/>
        <v>0</v>
      </c>
      <c r="AV50" s="67">
        <f t="shared" si="51"/>
        <v>0</v>
      </c>
      <c r="AW50" s="67">
        <f t="shared" si="51"/>
        <v>0</v>
      </c>
      <c r="AX50" s="67">
        <f t="shared" si="51"/>
        <v>0</v>
      </c>
      <c r="AY50" s="67">
        <f t="shared" si="51"/>
        <v>0</v>
      </c>
      <c r="AZ50" s="67">
        <f t="shared" si="51"/>
        <v>0</v>
      </c>
    </row>
    <row r="51" spans="1:52" x14ac:dyDescent="0.25">
      <c r="A51" s="66" t="s">
        <v>1061</v>
      </c>
      <c r="B51" s="49">
        <v>1</v>
      </c>
      <c r="C51" s="67">
        <f t="shared" ref="C51:AZ51" si="52">IFERROR($B51/C21,0)</f>
        <v>0</v>
      </c>
      <c r="D51" s="67">
        <f t="shared" si="52"/>
        <v>0</v>
      </c>
      <c r="E51" s="67">
        <f t="shared" si="52"/>
        <v>0</v>
      </c>
      <c r="F51" s="67">
        <f t="shared" si="52"/>
        <v>0</v>
      </c>
      <c r="G51" s="67">
        <f t="shared" si="52"/>
        <v>0</v>
      </c>
      <c r="H51" s="67">
        <f t="shared" si="52"/>
        <v>0</v>
      </c>
      <c r="I51" s="67">
        <f t="shared" si="52"/>
        <v>0</v>
      </c>
      <c r="J51" s="67">
        <f t="shared" si="52"/>
        <v>0</v>
      </c>
      <c r="K51" s="67">
        <f t="shared" si="52"/>
        <v>0</v>
      </c>
      <c r="L51" s="67">
        <f t="shared" si="52"/>
        <v>0</v>
      </c>
      <c r="M51" s="67">
        <f t="shared" si="52"/>
        <v>0</v>
      </c>
      <c r="N51" s="67">
        <f t="shared" si="52"/>
        <v>0</v>
      </c>
      <c r="O51" s="67">
        <f t="shared" si="52"/>
        <v>0</v>
      </c>
      <c r="P51" s="67">
        <f t="shared" si="52"/>
        <v>0</v>
      </c>
      <c r="Q51" s="67">
        <f t="shared" si="52"/>
        <v>0</v>
      </c>
      <c r="R51" s="67">
        <f t="shared" si="52"/>
        <v>0</v>
      </c>
      <c r="S51" s="67">
        <f t="shared" si="52"/>
        <v>0</v>
      </c>
      <c r="T51" s="67">
        <f t="shared" si="52"/>
        <v>0</v>
      </c>
      <c r="U51" s="67">
        <f t="shared" si="52"/>
        <v>0</v>
      </c>
      <c r="V51" s="67">
        <f t="shared" si="52"/>
        <v>0</v>
      </c>
      <c r="W51" s="67">
        <f t="shared" si="52"/>
        <v>0</v>
      </c>
      <c r="X51" s="67">
        <f t="shared" si="52"/>
        <v>0</v>
      </c>
      <c r="Y51" s="67">
        <f t="shared" si="52"/>
        <v>0</v>
      </c>
      <c r="Z51" s="67">
        <f t="shared" si="52"/>
        <v>0</v>
      </c>
      <c r="AA51" s="67">
        <f t="shared" si="52"/>
        <v>0</v>
      </c>
      <c r="AB51" s="67">
        <f t="shared" si="52"/>
        <v>0</v>
      </c>
      <c r="AC51" s="67">
        <f t="shared" si="52"/>
        <v>0</v>
      </c>
      <c r="AD51" s="67">
        <f t="shared" si="52"/>
        <v>0</v>
      </c>
      <c r="AE51" s="67">
        <f t="shared" si="52"/>
        <v>0</v>
      </c>
      <c r="AF51" s="67">
        <f t="shared" si="52"/>
        <v>0</v>
      </c>
      <c r="AG51" s="67">
        <f t="shared" si="52"/>
        <v>0</v>
      </c>
      <c r="AH51" s="67">
        <f t="shared" si="52"/>
        <v>0</v>
      </c>
      <c r="AI51" s="67">
        <f t="shared" si="52"/>
        <v>0</v>
      </c>
      <c r="AJ51" s="67">
        <f t="shared" si="52"/>
        <v>0</v>
      </c>
      <c r="AK51" s="67">
        <f t="shared" si="52"/>
        <v>0</v>
      </c>
      <c r="AL51" s="67">
        <f t="shared" si="52"/>
        <v>0</v>
      </c>
      <c r="AM51" s="67">
        <f t="shared" si="52"/>
        <v>0</v>
      </c>
      <c r="AN51" s="67">
        <f t="shared" si="52"/>
        <v>0</v>
      </c>
      <c r="AO51" s="67">
        <f t="shared" si="52"/>
        <v>0</v>
      </c>
      <c r="AP51" s="67">
        <f t="shared" si="52"/>
        <v>0</v>
      </c>
      <c r="AQ51" s="67">
        <f t="shared" si="52"/>
        <v>0</v>
      </c>
      <c r="AR51" s="67">
        <f t="shared" si="52"/>
        <v>0</v>
      </c>
      <c r="AS51" s="67">
        <f t="shared" si="52"/>
        <v>0</v>
      </c>
      <c r="AT51" s="67">
        <f t="shared" si="52"/>
        <v>0</v>
      </c>
      <c r="AU51" s="67">
        <f t="shared" si="52"/>
        <v>0</v>
      </c>
      <c r="AV51" s="67">
        <f t="shared" si="52"/>
        <v>0</v>
      </c>
      <c r="AW51" s="67">
        <f t="shared" si="52"/>
        <v>0</v>
      </c>
      <c r="AX51" s="67">
        <f t="shared" si="52"/>
        <v>0</v>
      </c>
      <c r="AY51" s="67">
        <f t="shared" si="52"/>
        <v>0</v>
      </c>
      <c r="AZ51" s="67">
        <f t="shared" si="52"/>
        <v>0</v>
      </c>
    </row>
    <row r="52" spans="1:52" x14ac:dyDescent="0.25">
      <c r="A52" s="66" t="s">
        <v>1062</v>
      </c>
      <c r="B52" s="49">
        <v>0.99980000000000002</v>
      </c>
      <c r="C52" s="67">
        <f t="shared" ref="C52:AZ52" si="53">IFERROR($B52/C17,0)</f>
        <v>0.34121485586250311</v>
      </c>
      <c r="D52" s="67">
        <f t="shared" si="53"/>
        <v>1.8900169484945002E-2</v>
      </c>
      <c r="E52" s="67">
        <f t="shared" si="53"/>
        <v>8.5079748696389994E-3</v>
      </c>
      <c r="F52" s="67">
        <f t="shared" si="53"/>
        <v>6.9566433930000025E-3</v>
      </c>
      <c r="G52" s="67">
        <f t="shared" si="53"/>
        <v>8.4394390495450018E-3</v>
      </c>
      <c r="H52" s="67">
        <f t="shared" si="53"/>
        <v>7.1248911017269987E-3</v>
      </c>
      <c r="I52" s="67">
        <f t="shared" si="53"/>
        <v>1.9000911987414E-2</v>
      </c>
      <c r="J52" s="67">
        <f t="shared" si="53"/>
        <v>6.299111765632001E-3</v>
      </c>
      <c r="K52" s="67">
        <f t="shared" si="53"/>
        <v>7.2885268135379003E-2</v>
      </c>
      <c r="L52" s="67">
        <f t="shared" si="53"/>
        <v>1.3274306207680003E-2</v>
      </c>
      <c r="M52" s="67">
        <f t="shared" si="53"/>
        <v>1.7852808174110005E-2</v>
      </c>
      <c r="N52" s="67">
        <f t="shared" si="53"/>
        <v>7.6886368700190017E-3</v>
      </c>
      <c r="O52" s="67">
        <f t="shared" si="53"/>
        <v>7.0908808451389995E-3</v>
      </c>
      <c r="P52" s="67">
        <f t="shared" si="53"/>
        <v>6.305553102107001E-3</v>
      </c>
      <c r="Q52" s="67">
        <f t="shared" si="53"/>
        <v>4.6686806770800003E-3</v>
      </c>
      <c r="R52" s="67">
        <f t="shared" si="53"/>
        <v>2.9555685935349005E-2</v>
      </c>
      <c r="S52" s="67">
        <f t="shared" si="53"/>
        <v>1.4249266896536003E-2</v>
      </c>
      <c r="T52" s="67">
        <f t="shared" si="53"/>
        <v>8.9253734732190025E-3</v>
      </c>
      <c r="U52" s="67">
        <f t="shared" si="53"/>
        <v>2.8418403567323003E-2</v>
      </c>
      <c r="V52" s="67">
        <f t="shared" si="53"/>
        <v>1.5534442350028007E-2</v>
      </c>
      <c r="W52" s="67">
        <f t="shared" si="53"/>
        <v>1.2311197577938001E-2</v>
      </c>
      <c r="X52" s="67">
        <f t="shared" si="53"/>
        <v>9.5342085968359996E-3</v>
      </c>
      <c r="Y52" s="67">
        <f t="shared" si="53"/>
        <v>1.7691001801858001E-2</v>
      </c>
      <c r="Z52" s="67">
        <f t="shared" si="53"/>
        <v>1.6229076075492004E-2</v>
      </c>
      <c r="AA52" s="67">
        <f t="shared" si="53"/>
        <v>2.0958305315437006E-2</v>
      </c>
      <c r="AB52" s="67">
        <f t="shared" si="53"/>
        <v>0.36121597857775495</v>
      </c>
      <c r="AC52" s="67">
        <f t="shared" si="53"/>
        <v>2.1753681543370002E-2</v>
      </c>
      <c r="AD52" s="67">
        <f t="shared" si="53"/>
        <v>9.0706900240949996E-3</v>
      </c>
      <c r="AE52" s="67">
        <f t="shared" si="53"/>
        <v>7.5750116946000012E-3</v>
      </c>
      <c r="AF52" s="67">
        <f t="shared" si="53"/>
        <v>8.6764802318250005E-3</v>
      </c>
      <c r="AG52" s="67">
        <f t="shared" si="53"/>
        <v>8.2874235087349989E-3</v>
      </c>
      <c r="AH52" s="67">
        <f t="shared" si="53"/>
        <v>1.9213218437630002E-2</v>
      </c>
      <c r="AI52" s="67">
        <f t="shared" si="53"/>
        <v>5.8577513903650003E-3</v>
      </c>
      <c r="AJ52" s="67">
        <f t="shared" si="53"/>
        <v>7.5273458046849998E-2</v>
      </c>
      <c r="AK52" s="67">
        <f t="shared" si="53"/>
        <v>1.9222236308695E-2</v>
      </c>
      <c r="AL52" s="67">
        <f t="shared" si="53"/>
        <v>1.2676550182800001E-2</v>
      </c>
      <c r="AM52" s="67">
        <f t="shared" si="53"/>
        <v>8.3750256847950014E-3</v>
      </c>
      <c r="AN52" s="67">
        <f t="shared" si="53"/>
        <v>7.6535959995949988E-3</v>
      </c>
      <c r="AO52" s="67">
        <f t="shared" si="53"/>
        <v>6.8187987924350013E-3</v>
      </c>
      <c r="AP52" s="67">
        <f t="shared" si="53"/>
        <v>6.2352137078000008E-3</v>
      </c>
      <c r="AQ52" s="67">
        <f t="shared" si="53"/>
        <v>2.6417209151270004E-2</v>
      </c>
      <c r="AR52" s="67">
        <f t="shared" si="53"/>
        <v>1.6090458514550002E-2</v>
      </c>
      <c r="AS52" s="67">
        <f t="shared" si="53"/>
        <v>8.0516705937500009E-3</v>
      </c>
      <c r="AT52" s="67">
        <f t="shared" si="53"/>
        <v>3.3269502893375012E-2</v>
      </c>
      <c r="AU52" s="67">
        <f t="shared" si="53"/>
        <v>1.5938442973740002E-2</v>
      </c>
      <c r="AV52" s="67">
        <f t="shared" si="53"/>
        <v>1.2932915374505001E-2</v>
      </c>
      <c r="AW52" s="67">
        <f t="shared" si="53"/>
        <v>9.847515202980002E-3</v>
      </c>
      <c r="AX52" s="67">
        <f t="shared" si="53"/>
        <v>2.1979128319995003E-2</v>
      </c>
      <c r="AY52" s="67">
        <f t="shared" si="53"/>
        <v>2.0726932509254999E-2</v>
      </c>
      <c r="AZ52" s="67">
        <f t="shared" si="53"/>
        <v>2.1904408816885004E-2</v>
      </c>
    </row>
    <row r="53" spans="1:52" x14ac:dyDescent="0.25">
      <c r="A53" s="66" t="s">
        <v>1076</v>
      </c>
      <c r="B53" s="49">
        <v>2.0000000000000001E-4</v>
      </c>
      <c r="C53" s="67">
        <f t="shared" ref="C53:AZ53" si="54">IFERROR($B53/C5,0)</f>
        <v>0</v>
      </c>
      <c r="D53" s="67">
        <f t="shared" si="54"/>
        <v>0</v>
      </c>
      <c r="E53" s="67">
        <f t="shared" si="54"/>
        <v>0</v>
      </c>
      <c r="F53" s="67">
        <f t="shared" si="54"/>
        <v>0</v>
      </c>
      <c r="G53" s="67">
        <f t="shared" si="54"/>
        <v>0</v>
      </c>
      <c r="H53" s="67">
        <f t="shared" si="54"/>
        <v>0</v>
      </c>
      <c r="I53" s="67">
        <f t="shared" si="54"/>
        <v>0</v>
      </c>
      <c r="J53" s="67">
        <f t="shared" si="54"/>
        <v>0</v>
      </c>
      <c r="K53" s="67">
        <f t="shared" si="54"/>
        <v>0</v>
      </c>
      <c r="L53" s="67">
        <f t="shared" si="54"/>
        <v>0</v>
      </c>
      <c r="M53" s="67">
        <f t="shared" si="54"/>
        <v>0</v>
      </c>
      <c r="N53" s="67">
        <f t="shared" si="54"/>
        <v>0</v>
      </c>
      <c r="O53" s="67">
        <f t="shared" si="54"/>
        <v>0</v>
      </c>
      <c r="P53" s="67">
        <f t="shared" si="54"/>
        <v>0</v>
      </c>
      <c r="Q53" s="67">
        <f t="shared" si="54"/>
        <v>0</v>
      </c>
      <c r="R53" s="67">
        <f t="shared" si="54"/>
        <v>0</v>
      </c>
      <c r="S53" s="67">
        <f t="shared" si="54"/>
        <v>0</v>
      </c>
      <c r="T53" s="67">
        <f t="shared" si="54"/>
        <v>0</v>
      </c>
      <c r="U53" s="67">
        <f t="shared" si="54"/>
        <v>0</v>
      </c>
      <c r="V53" s="67">
        <f t="shared" si="54"/>
        <v>0</v>
      </c>
      <c r="W53" s="67">
        <f t="shared" si="54"/>
        <v>0</v>
      </c>
      <c r="X53" s="67">
        <f t="shared" si="54"/>
        <v>0</v>
      </c>
      <c r="Y53" s="67">
        <f t="shared" si="54"/>
        <v>0</v>
      </c>
      <c r="Z53" s="67">
        <f t="shared" si="54"/>
        <v>0</v>
      </c>
      <c r="AA53" s="67">
        <f t="shared" si="54"/>
        <v>0</v>
      </c>
      <c r="AB53" s="67">
        <f t="shared" si="54"/>
        <v>0</v>
      </c>
      <c r="AC53" s="67">
        <f t="shared" si="54"/>
        <v>0</v>
      </c>
      <c r="AD53" s="67">
        <f t="shared" si="54"/>
        <v>0</v>
      </c>
      <c r="AE53" s="67">
        <f t="shared" si="54"/>
        <v>0</v>
      </c>
      <c r="AF53" s="67">
        <f t="shared" si="54"/>
        <v>0</v>
      </c>
      <c r="AG53" s="67">
        <f t="shared" si="54"/>
        <v>0</v>
      </c>
      <c r="AH53" s="67">
        <f t="shared" si="54"/>
        <v>0</v>
      </c>
      <c r="AI53" s="67">
        <f t="shared" si="54"/>
        <v>0</v>
      </c>
      <c r="AJ53" s="67">
        <f t="shared" si="54"/>
        <v>0</v>
      </c>
      <c r="AK53" s="67">
        <f t="shared" si="54"/>
        <v>0</v>
      </c>
      <c r="AL53" s="67">
        <f t="shared" si="54"/>
        <v>0</v>
      </c>
      <c r="AM53" s="67">
        <f t="shared" si="54"/>
        <v>0</v>
      </c>
      <c r="AN53" s="67">
        <f t="shared" si="54"/>
        <v>0</v>
      </c>
      <c r="AO53" s="67">
        <f t="shared" si="54"/>
        <v>0</v>
      </c>
      <c r="AP53" s="67">
        <f t="shared" si="54"/>
        <v>0</v>
      </c>
      <c r="AQ53" s="67">
        <f t="shared" si="54"/>
        <v>0</v>
      </c>
      <c r="AR53" s="67">
        <f t="shared" si="54"/>
        <v>0</v>
      </c>
      <c r="AS53" s="67">
        <f t="shared" si="54"/>
        <v>0</v>
      </c>
      <c r="AT53" s="67">
        <f t="shared" si="54"/>
        <v>0</v>
      </c>
      <c r="AU53" s="67">
        <f t="shared" si="54"/>
        <v>0</v>
      </c>
      <c r="AV53" s="67">
        <f t="shared" si="54"/>
        <v>0</v>
      </c>
      <c r="AW53" s="67">
        <f t="shared" si="54"/>
        <v>0</v>
      </c>
      <c r="AX53" s="67">
        <f t="shared" si="54"/>
        <v>0</v>
      </c>
      <c r="AY53" s="67">
        <f t="shared" si="54"/>
        <v>0</v>
      </c>
      <c r="AZ53" s="67">
        <f t="shared" si="54"/>
        <v>0</v>
      </c>
    </row>
    <row r="54" spans="1:52" x14ac:dyDescent="0.25">
      <c r="A54" s="66" t="s">
        <v>1077</v>
      </c>
      <c r="B54" s="49">
        <v>0.99999979999999999</v>
      </c>
      <c r="C54" s="67">
        <f t="shared" ref="C54:AZ54" si="55">IFERROR($B54/C9,0)</f>
        <v>0.25553353562828263</v>
      </c>
      <c r="D54" s="67">
        <f t="shared" si="55"/>
        <v>1.4154211194157195E-2</v>
      </c>
      <c r="E54" s="67">
        <f t="shared" si="55"/>
        <v>6.3715657806865875E-3</v>
      </c>
      <c r="F54" s="67">
        <f t="shared" si="55"/>
        <v>5.2097839580430008E-3</v>
      </c>
      <c r="G54" s="67">
        <f t="shared" si="55"/>
        <v>6.3202397609517956E-3</v>
      </c>
      <c r="H54" s="67">
        <f t="shared" si="55"/>
        <v>5.3357835478430758E-3</v>
      </c>
      <c r="I54" s="67">
        <f t="shared" si="55"/>
        <v>1.4229656584068114E-2</v>
      </c>
      <c r="J54" s="67">
        <f t="shared" si="55"/>
        <v>4.7173628965272319E-3</v>
      </c>
      <c r="K54" s="67">
        <f t="shared" si="55"/>
        <v>5.4583292438339322E-2</v>
      </c>
      <c r="L54" s="67">
        <f t="shared" si="55"/>
        <v>9.9410396117916803E-3</v>
      </c>
      <c r="M54" s="67">
        <f t="shared" si="55"/>
        <v>1.3369849276029612E-2</v>
      </c>
      <c r="N54" s="67">
        <f t="shared" si="55"/>
        <v>5.757969003405969E-3</v>
      </c>
      <c r="O54" s="67">
        <f t="shared" si="55"/>
        <v>5.3103134929370884E-3</v>
      </c>
      <c r="P54" s="67">
        <f t="shared" si="55"/>
        <v>4.7221867705624582E-3</v>
      </c>
      <c r="Q54" s="67">
        <f t="shared" si="55"/>
        <v>3.4963439007310803E-3</v>
      </c>
      <c r="R54" s="67">
        <f t="shared" si="55"/>
        <v>2.2134056578187802E-2</v>
      </c>
      <c r="S54" s="67">
        <f t="shared" si="55"/>
        <v>1.0671181185763337E-2</v>
      </c>
      <c r="T54" s="67">
        <f t="shared" si="55"/>
        <v>6.6841528181691709E-3</v>
      </c>
      <c r="U54" s="67">
        <f t="shared" si="55"/>
        <v>2.1282353378528473E-2</v>
      </c>
      <c r="V54" s="67">
        <f t="shared" si="55"/>
        <v>1.1633640533271431E-2</v>
      </c>
      <c r="W54" s="67">
        <f t="shared" si="55"/>
        <v>9.2197739660448384E-3</v>
      </c>
      <c r="X54" s="67">
        <f t="shared" si="55"/>
        <v>7.1401053919786361E-3</v>
      </c>
      <c r="Y54" s="67">
        <f t="shared" si="55"/>
        <v>1.3248673560264759E-2</v>
      </c>
      <c r="Z54" s="67">
        <f t="shared" si="55"/>
        <v>1.2153847109230094E-2</v>
      </c>
      <c r="AA54" s="67">
        <f t="shared" si="55"/>
        <v>1.569553542589229E-2</v>
      </c>
      <c r="AB54" s="67">
        <f t="shared" si="55"/>
        <v>0.27051224337254043</v>
      </c>
      <c r="AC54" s="67">
        <f t="shared" si="55"/>
        <v>1.6291187391761872E-2</v>
      </c>
      <c r="AD54" s="67">
        <f t="shared" si="55"/>
        <v>6.7929794164038448E-3</v>
      </c>
      <c r="AE54" s="67">
        <f t="shared" si="55"/>
        <v>5.6728758654246E-3</v>
      </c>
      <c r="AF54" s="67">
        <f t="shared" si="55"/>
        <v>6.4977583254480758E-3</v>
      </c>
      <c r="AG54" s="67">
        <f t="shared" si="55"/>
        <v>6.2063963337204847E-3</v>
      </c>
      <c r="AH54" s="67">
        <f t="shared" si="55"/>
        <v>1.4388651472269129E-2</v>
      </c>
      <c r="AI54" s="67">
        <f t="shared" si="55"/>
        <v>4.3868310476336148E-3</v>
      </c>
      <c r="AJ54" s="67">
        <f t="shared" si="55"/>
        <v>5.6371791975639338E-2</v>
      </c>
      <c r="AK54" s="67">
        <f t="shared" si="55"/>
        <v>1.4395404895918446E-2</v>
      </c>
      <c r="AL54" s="67">
        <f t="shared" si="55"/>
        <v>9.4933841013227997E-3</v>
      </c>
      <c r="AM54" s="67">
        <f t="shared" si="55"/>
        <v>6.2720010205995448E-3</v>
      </c>
      <c r="AN54" s="67">
        <f t="shared" si="55"/>
        <v>5.7317271286543448E-3</v>
      </c>
      <c r="AO54" s="67">
        <f t="shared" si="55"/>
        <v>5.1065530536891848E-3</v>
      </c>
      <c r="AP54" s="67">
        <f t="shared" si="55"/>
        <v>4.6695100660978008E-3</v>
      </c>
      <c r="AQ54" s="67">
        <f t="shared" si="55"/>
        <v>1.9783672193264771E-2</v>
      </c>
      <c r="AR54" s="67">
        <f t="shared" si="55"/>
        <v>1.2050037339992051E-2</v>
      </c>
      <c r="AS54" s="67">
        <f t="shared" si="55"/>
        <v>6.0298425440312511E-3</v>
      </c>
      <c r="AT54" s="67">
        <f t="shared" si="55"/>
        <v>2.4915309391937132E-2</v>
      </c>
      <c r="AU54" s="67">
        <f t="shared" si="55"/>
        <v>1.1936193912760741E-2</v>
      </c>
      <c r="AV54" s="67">
        <f t="shared" si="55"/>
        <v>9.6853742879247553E-3</v>
      </c>
      <c r="AW54" s="67">
        <f t="shared" si="55"/>
        <v>7.3747386250519794E-3</v>
      </c>
      <c r="AX54" s="67">
        <f t="shared" si="55"/>
        <v>1.6460022982994746E-2</v>
      </c>
      <c r="AY54" s="67">
        <f t="shared" si="55"/>
        <v>1.5522261870547005E-2</v>
      </c>
      <c r="AZ54" s="67">
        <f t="shared" si="55"/>
        <v>1.6404066044186139E-2</v>
      </c>
    </row>
    <row r="55" spans="1:52" x14ac:dyDescent="0.25">
      <c r="A55" s="66" t="s">
        <v>1078</v>
      </c>
      <c r="B55" s="49">
        <v>1.9999999999999999E-7</v>
      </c>
      <c r="C55" s="67">
        <f t="shared" ref="C55:AZ55" si="56">IFERROR($B55/C24,0)</f>
        <v>0</v>
      </c>
      <c r="D55" s="67">
        <f t="shared" si="56"/>
        <v>0</v>
      </c>
      <c r="E55" s="67">
        <f t="shared" si="56"/>
        <v>0</v>
      </c>
      <c r="F55" s="67">
        <f t="shared" si="56"/>
        <v>0</v>
      </c>
      <c r="G55" s="67">
        <f t="shared" si="56"/>
        <v>0</v>
      </c>
      <c r="H55" s="67">
        <f t="shared" si="56"/>
        <v>0</v>
      </c>
      <c r="I55" s="67">
        <f t="shared" si="56"/>
        <v>0</v>
      </c>
      <c r="J55" s="67">
        <f t="shared" si="56"/>
        <v>0</v>
      </c>
      <c r="K55" s="67">
        <f t="shared" si="56"/>
        <v>0</v>
      </c>
      <c r="L55" s="67">
        <f t="shared" si="56"/>
        <v>0</v>
      </c>
      <c r="M55" s="67">
        <f t="shared" si="56"/>
        <v>0</v>
      </c>
      <c r="N55" s="67">
        <f t="shared" si="56"/>
        <v>0</v>
      </c>
      <c r="O55" s="67">
        <f t="shared" si="56"/>
        <v>0</v>
      </c>
      <c r="P55" s="67">
        <f t="shared" si="56"/>
        <v>0</v>
      </c>
      <c r="Q55" s="67">
        <f t="shared" si="56"/>
        <v>0</v>
      </c>
      <c r="R55" s="67">
        <f t="shared" si="56"/>
        <v>0</v>
      </c>
      <c r="S55" s="67">
        <f t="shared" si="56"/>
        <v>0</v>
      </c>
      <c r="T55" s="67">
        <f t="shared" si="56"/>
        <v>0</v>
      </c>
      <c r="U55" s="67">
        <f t="shared" si="56"/>
        <v>0</v>
      </c>
      <c r="V55" s="67">
        <f t="shared" si="56"/>
        <v>0</v>
      </c>
      <c r="W55" s="67">
        <f t="shared" si="56"/>
        <v>0</v>
      </c>
      <c r="X55" s="67">
        <f t="shared" si="56"/>
        <v>0</v>
      </c>
      <c r="Y55" s="67">
        <f t="shared" si="56"/>
        <v>0</v>
      </c>
      <c r="Z55" s="67">
        <f t="shared" si="56"/>
        <v>0</v>
      </c>
      <c r="AA55" s="67">
        <f t="shared" si="56"/>
        <v>0</v>
      </c>
      <c r="AB55" s="67">
        <f t="shared" si="56"/>
        <v>0</v>
      </c>
      <c r="AC55" s="67">
        <f t="shared" si="56"/>
        <v>0</v>
      </c>
      <c r="AD55" s="67">
        <f t="shared" si="56"/>
        <v>0</v>
      </c>
      <c r="AE55" s="67">
        <f t="shared" si="56"/>
        <v>0</v>
      </c>
      <c r="AF55" s="67">
        <f t="shared" si="56"/>
        <v>0</v>
      </c>
      <c r="AG55" s="67">
        <f t="shared" si="56"/>
        <v>0</v>
      </c>
      <c r="AH55" s="67">
        <f t="shared" si="56"/>
        <v>0</v>
      </c>
      <c r="AI55" s="67">
        <f t="shared" si="56"/>
        <v>0</v>
      </c>
      <c r="AJ55" s="67">
        <f t="shared" si="56"/>
        <v>0</v>
      </c>
      <c r="AK55" s="67">
        <f t="shared" si="56"/>
        <v>0</v>
      </c>
      <c r="AL55" s="67">
        <f t="shared" si="56"/>
        <v>0</v>
      </c>
      <c r="AM55" s="67">
        <f t="shared" si="56"/>
        <v>0</v>
      </c>
      <c r="AN55" s="67">
        <f t="shared" si="56"/>
        <v>0</v>
      </c>
      <c r="AO55" s="67">
        <f t="shared" si="56"/>
        <v>0</v>
      </c>
      <c r="AP55" s="67">
        <f t="shared" si="56"/>
        <v>0</v>
      </c>
      <c r="AQ55" s="67">
        <f t="shared" si="56"/>
        <v>0</v>
      </c>
      <c r="AR55" s="67">
        <f t="shared" si="56"/>
        <v>0</v>
      </c>
      <c r="AS55" s="67">
        <f t="shared" si="56"/>
        <v>0</v>
      </c>
      <c r="AT55" s="67">
        <f t="shared" si="56"/>
        <v>0</v>
      </c>
      <c r="AU55" s="67">
        <f t="shared" si="56"/>
        <v>0</v>
      </c>
      <c r="AV55" s="67">
        <f t="shared" si="56"/>
        <v>0</v>
      </c>
      <c r="AW55" s="67">
        <f t="shared" si="56"/>
        <v>0</v>
      </c>
      <c r="AX55" s="67">
        <f t="shared" si="56"/>
        <v>0</v>
      </c>
      <c r="AY55" s="67">
        <f t="shared" si="56"/>
        <v>0</v>
      </c>
      <c r="AZ55" s="67">
        <f t="shared" si="56"/>
        <v>0</v>
      </c>
    </row>
    <row r="56" spans="1:52" x14ac:dyDescent="0.25">
      <c r="A56" s="66" t="s">
        <v>1079</v>
      </c>
      <c r="B56" s="49">
        <v>0.99979000004200003</v>
      </c>
      <c r="C56" s="67">
        <f t="shared" ref="C56:AZ56" si="57">IFERROR($B56/C20,0)</f>
        <v>0</v>
      </c>
      <c r="D56" s="67">
        <f t="shared" si="57"/>
        <v>0</v>
      </c>
      <c r="E56" s="67">
        <f t="shared" si="57"/>
        <v>0</v>
      </c>
      <c r="F56" s="67">
        <f t="shared" si="57"/>
        <v>0</v>
      </c>
      <c r="G56" s="67">
        <f t="shared" si="57"/>
        <v>0</v>
      </c>
      <c r="H56" s="67">
        <f t="shared" si="57"/>
        <v>0</v>
      </c>
      <c r="I56" s="67">
        <f t="shared" si="57"/>
        <v>0</v>
      </c>
      <c r="J56" s="67">
        <f t="shared" si="57"/>
        <v>0</v>
      </c>
      <c r="K56" s="67">
        <f t="shared" si="57"/>
        <v>0</v>
      </c>
      <c r="L56" s="67">
        <f t="shared" si="57"/>
        <v>0</v>
      </c>
      <c r="M56" s="67">
        <f t="shared" si="57"/>
        <v>0</v>
      </c>
      <c r="N56" s="67">
        <f t="shared" si="57"/>
        <v>0</v>
      </c>
      <c r="O56" s="67">
        <f t="shared" si="57"/>
        <v>0</v>
      </c>
      <c r="P56" s="67">
        <f t="shared" si="57"/>
        <v>0</v>
      </c>
      <c r="Q56" s="67">
        <f t="shared" si="57"/>
        <v>0</v>
      </c>
      <c r="R56" s="67">
        <f t="shared" si="57"/>
        <v>0</v>
      </c>
      <c r="S56" s="67">
        <f t="shared" si="57"/>
        <v>0</v>
      </c>
      <c r="T56" s="67">
        <f t="shared" si="57"/>
        <v>0</v>
      </c>
      <c r="U56" s="67">
        <f t="shared" si="57"/>
        <v>0</v>
      </c>
      <c r="V56" s="67">
        <f t="shared" si="57"/>
        <v>0</v>
      </c>
      <c r="W56" s="67">
        <f t="shared" si="57"/>
        <v>0</v>
      </c>
      <c r="X56" s="67">
        <f t="shared" si="57"/>
        <v>0</v>
      </c>
      <c r="Y56" s="67">
        <f t="shared" si="57"/>
        <v>0</v>
      </c>
      <c r="Z56" s="67">
        <f t="shared" si="57"/>
        <v>0</v>
      </c>
      <c r="AA56" s="67">
        <f t="shared" si="57"/>
        <v>0</v>
      </c>
      <c r="AB56" s="67">
        <f t="shared" si="57"/>
        <v>0</v>
      </c>
      <c r="AC56" s="67">
        <f t="shared" si="57"/>
        <v>0</v>
      </c>
      <c r="AD56" s="67">
        <f t="shared" si="57"/>
        <v>0</v>
      </c>
      <c r="AE56" s="67">
        <f t="shared" si="57"/>
        <v>0</v>
      </c>
      <c r="AF56" s="67">
        <f t="shared" si="57"/>
        <v>0</v>
      </c>
      <c r="AG56" s="67">
        <f t="shared" si="57"/>
        <v>0</v>
      </c>
      <c r="AH56" s="67">
        <f t="shared" si="57"/>
        <v>0</v>
      </c>
      <c r="AI56" s="67">
        <f t="shared" si="57"/>
        <v>0</v>
      </c>
      <c r="AJ56" s="67">
        <f t="shared" si="57"/>
        <v>0</v>
      </c>
      <c r="AK56" s="67">
        <f t="shared" si="57"/>
        <v>0</v>
      </c>
      <c r="AL56" s="67">
        <f t="shared" si="57"/>
        <v>0</v>
      </c>
      <c r="AM56" s="67">
        <f t="shared" si="57"/>
        <v>0</v>
      </c>
      <c r="AN56" s="67">
        <f t="shared" si="57"/>
        <v>0</v>
      </c>
      <c r="AO56" s="67">
        <f t="shared" si="57"/>
        <v>0</v>
      </c>
      <c r="AP56" s="67">
        <f t="shared" si="57"/>
        <v>0</v>
      </c>
      <c r="AQ56" s="67">
        <f t="shared" si="57"/>
        <v>0</v>
      </c>
      <c r="AR56" s="67">
        <f t="shared" si="57"/>
        <v>0</v>
      </c>
      <c r="AS56" s="67">
        <f t="shared" si="57"/>
        <v>0</v>
      </c>
      <c r="AT56" s="67">
        <f t="shared" si="57"/>
        <v>0</v>
      </c>
      <c r="AU56" s="67">
        <f t="shared" si="57"/>
        <v>0</v>
      </c>
      <c r="AV56" s="67">
        <f t="shared" si="57"/>
        <v>0</v>
      </c>
      <c r="AW56" s="67">
        <f t="shared" si="57"/>
        <v>0</v>
      </c>
      <c r="AX56" s="67">
        <f t="shared" si="57"/>
        <v>0</v>
      </c>
      <c r="AY56" s="67">
        <f t="shared" si="57"/>
        <v>0</v>
      </c>
      <c r="AZ56" s="67">
        <f t="shared" si="57"/>
        <v>0</v>
      </c>
    </row>
    <row r="57" spans="1:52" x14ac:dyDescent="0.25">
      <c r="A57" s="66" t="s">
        <v>1080</v>
      </c>
      <c r="B57" s="49">
        <v>2.0999995799999999E-4</v>
      </c>
      <c r="C57" s="67">
        <f t="shared" ref="C57:AZ57" si="58">IFERROR($B57/C29,0)</f>
        <v>0</v>
      </c>
      <c r="D57" s="67">
        <f t="shared" si="58"/>
        <v>0</v>
      </c>
      <c r="E57" s="67">
        <f t="shared" si="58"/>
        <v>0</v>
      </c>
      <c r="F57" s="67">
        <f t="shared" si="58"/>
        <v>0</v>
      </c>
      <c r="G57" s="67">
        <f t="shared" si="58"/>
        <v>0</v>
      </c>
      <c r="H57" s="67">
        <f t="shared" si="58"/>
        <v>0</v>
      </c>
      <c r="I57" s="67">
        <f t="shared" si="58"/>
        <v>0</v>
      </c>
      <c r="J57" s="67">
        <f t="shared" si="58"/>
        <v>0</v>
      </c>
      <c r="K57" s="67">
        <f t="shared" si="58"/>
        <v>0</v>
      </c>
      <c r="L57" s="67">
        <f t="shared" si="58"/>
        <v>0</v>
      </c>
      <c r="M57" s="67">
        <f t="shared" si="58"/>
        <v>0</v>
      </c>
      <c r="N57" s="67">
        <f t="shared" si="58"/>
        <v>0</v>
      </c>
      <c r="O57" s="67">
        <f t="shared" si="58"/>
        <v>0</v>
      </c>
      <c r="P57" s="67">
        <f t="shared" si="58"/>
        <v>0</v>
      </c>
      <c r="Q57" s="67">
        <f t="shared" si="58"/>
        <v>0</v>
      </c>
      <c r="R57" s="67">
        <f t="shared" si="58"/>
        <v>0</v>
      </c>
      <c r="S57" s="67">
        <f t="shared" si="58"/>
        <v>0</v>
      </c>
      <c r="T57" s="67">
        <f t="shared" si="58"/>
        <v>0</v>
      </c>
      <c r="U57" s="67">
        <f t="shared" si="58"/>
        <v>0</v>
      </c>
      <c r="V57" s="67">
        <f t="shared" si="58"/>
        <v>0</v>
      </c>
      <c r="W57" s="67">
        <f t="shared" si="58"/>
        <v>0</v>
      </c>
      <c r="X57" s="67">
        <f t="shared" si="58"/>
        <v>0</v>
      </c>
      <c r="Y57" s="67">
        <f t="shared" si="58"/>
        <v>0</v>
      </c>
      <c r="Z57" s="67">
        <f t="shared" si="58"/>
        <v>0</v>
      </c>
      <c r="AA57" s="67">
        <f t="shared" si="58"/>
        <v>0</v>
      </c>
      <c r="AB57" s="67">
        <f t="shared" si="58"/>
        <v>0</v>
      </c>
      <c r="AC57" s="67">
        <f t="shared" si="58"/>
        <v>0</v>
      </c>
      <c r="AD57" s="67">
        <f t="shared" si="58"/>
        <v>0</v>
      </c>
      <c r="AE57" s="67">
        <f t="shared" si="58"/>
        <v>0</v>
      </c>
      <c r="AF57" s="67">
        <f t="shared" si="58"/>
        <v>0</v>
      </c>
      <c r="AG57" s="67">
        <f t="shared" si="58"/>
        <v>0</v>
      </c>
      <c r="AH57" s="67">
        <f t="shared" si="58"/>
        <v>0</v>
      </c>
      <c r="AI57" s="67">
        <f t="shared" si="58"/>
        <v>0</v>
      </c>
      <c r="AJ57" s="67">
        <f t="shared" si="58"/>
        <v>0</v>
      </c>
      <c r="AK57" s="67">
        <f t="shared" si="58"/>
        <v>0</v>
      </c>
      <c r="AL57" s="67">
        <f t="shared" si="58"/>
        <v>0</v>
      </c>
      <c r="AM57" s="67">
        <f t="shared" si="58"/>
        <v>0</v>
      </c>
      <c r="AN57" s="67">
        <f t="shared" si="58"/>
        <v>0</v>
      </c>
      <c r="AO57" s="67">
        <f t="shared" si="58"/>
        <v>0</v>
      </c>
      <c r="AP57" s="67">
        <f t="shared" si="58"/>
        <v>0</v>
      </c>
      <c r="AQ57" s="67">
        <f t="shared" si="58"/>
        <v>0</v>
      </c>
      <c r="AR57" s="67">
        <f t="shared" si="58"/>
        <v>0</v>
      </c>
      <c r="AS57" s="67">
        <f t="shared" si="58"/>
        <v>0</v>
      </c>
      <c r="AT57" s="67">
        <f t="shared" si="58"/>
        <v>0</v>
      </c>
      <c r="AU57" s="67">
        <f t="shared" si="58"/>
        <v>0</v>
      </c>
      <c r="AV57" s="67">
        <f t="shared" si="58"/>
        <v>0</v>
      </c>
      <c r="AW57" s="67">
        <f t="shared" si="58"/>
        <v>0</v>
      </c>
      <c r="AX57" s="67">
        <f t="shared" si="58"/>
        <v>0</v>
      </c>
      <c r="AY57" s="67">
        <f t="shared" si="58"/>
        <v>0</v>
      </c>
      <c r="AZ57" s="67">
        <f t="shared" si="58"/>
        <v>0</v>
      </c>
    </row>
    <row r="58" spans="1:52" x14ac:dyDescent="0.25">
      <c r="A58" s="66" t="s">
        <v>1081</v>
      </c>
      <c r="B58" s="49">
        <v>1</v>
      </c>
      <c r="C58" s="67">
        <f t="shared" ref="C58:AZ58" si="59">IFERROR($B58/C16,0)</f>
        <v>1749.2903252999999</v>
      </c>
      <c r="D58" s="67">
        <f t="shared" si="59"/>
        <v>96.894619500000005</v>
      </c>
      <c r="E58" s="67">
        <f t="shared" si="59"/>
        <v>43.617438899999996</v>
      </c>
      <c r="F58" s="67">
        <f t="shared" si="59"/>
        <v>35.664300000000004</v>
      </c>
      <c r="G58" s="67">
        <f t="shared" si="59"/>
        <v>43.266079500000004</v>
      </c>
      <c r="H58" s="67">
        <f t="shared" si="59"/>
        <v>36.526847699999998</v>
      </c>
      <c r="I58" s="67">
        <f t="shared" si="59"/>
        <v>97.411091399999989</v>
      </c>
      <c r="J58" s="67">
        <f t="shared" si="59"/>
        <v>32.293363200000002</v>
      </c>
      <c r="K58" s="67">
        <f t="shared" si="59"/>
        <v>373.65751289999997</v>
      </c>
      <c r="L58" s="67">
        <f t="shared" si="59"/>
        <v>68.052768</v>
      </c>
      <c r="M58" s="67">
        <f t="shared" si="59"/>
        <v>91.525161000000011</v>
      </c>
      <c r="N58" s="67">
        <f t="shared" si="59"/>
        <v>39.416976900000002</v>
      </c>
      <c r="O58" s="67">
        <f t="shared" si="59"/>
        <v>36.352488899999997</v>
      </c>
      <c r="P58" s="67">
        <f t="shared" si="59"/>
        <v>32.326385700000003</v>
      </c>
      <c r="Q58" s="67">
        <f t="shared" si="59"/>
        <v>23.934708000000001</v>
      </c>
      <c r="R58" s="67">
        <f t="shared" si="59"/>
        <v>151.52175990000003</v>
      </c>
      <c r="S58" s="67">
        <f t="shared" si="59"/>
        <v>73.051053600000003</v>
      </c>
      <c r="T58" s="67">
        <f t="shared" si="59"/>
        <v>45.757296900000007</v>
      </c>
      <c r="U58" s="67">
        <f t="shared" si="59"/>
        <v>145.69130729999998</v>
      </c>
      <c r="V58" s="67">
        <f t="shared" si="59"/>
        <v>79.639702800000023</v>
      </c>
      <c r="W58" s="67">
        <f t="shared" si="59"/>
        <v>63.115243800000002</v>
      </c>
      <c r="X58" s="67">
        <f t="shared" si="59"/>
        <v>48.878583599999999</v>
      </c>
      <c r="Y58" s="67">
        <f t="shared" si="59"/>
        <v>90.695635800000005</v>
      </c>
      <c r="Z58" s="67">
        <f t="shared" si="59"/>
        <v>83.200849200000007</v>
      </c>
      <c r="AA58" s="67">
        <f t="shared" si="59"/>
        <v>107.44596870000001</v>
      </c>
      <c r="AB58" s="67">
        <f t="shared" si="59"/>
        <v>1851.8291505000002</v>
      </c>
      <c r="AC58" s="67">
        <f t="shared" si="59"/>
        <v>111.52358700000001</v>
      </c>
      <c r="AD58" s="67">
        <f t="shared" si="59"/>
        <v>46.502284499999995</v>
      </c>
      <c r="AE58" s="67">
        <f t="shared" si="59"/>
        <v>38.83446</v>
      </c>
      <c r="AF58" s="67">
        <f t="shared" si="59"/>
        <v>44.4813075</v>
      </c>
      <c r="AG58" s="67">
        <f t="shared" si="59"/>
        <v>42.48674849999999</v>
      </c>
      <c r="AH58" s="67">
        <f t="shared" si="59"/>
        <v>98.499512999999993</v>
      </c>
      <c r="AI58" s="67">
        <f t="shared" si="59"/>
        <v>30.030661500000001</v>
      </c>
      <c r="AJ58" s="67">
        <f t="shared" si="59"/>
        <v>385.90093499999995</v>
      </c>
      <c r="AK58" s="67">
        <f t="shared" si="59"/>
        <v>98.545744499999998</v>
      </c>
      <c r="AL58" s="67">
        <f t="shared" si="59"/>
        <v>64.988280000000003</v>
      </c>
      <c r="AM58" s="67">
        <f t="shared" si="59"/>
        <v>42.935854499999998</v>
      </c>
      <c r="AN58" s="67">
        <f t="shared" si="59"/>
        <v>39.237334499999996</v>
      </c>
      <c r="AO58" s="67">
        <f t="shared" si="59"/>
        <v>34.957618500000002</v>
      </c>
      <c r="AP58" s="67">
        <f t="shared" si="59"/>
        <v>31.965780000000002</v>
      </c>
      <c r="AQ58" s="67">
        <f t="shared" si="59"/>
        <v>135.43187700000001</v>
      </c>
      <c r="AR58" s="67">
        <f t="shared" si="59"/>
        <v>82.490205000000003</v>
      </c>
      <c r="AS58" s="67">
        <f t="shared" si="59"/>
        <v>41.278125000000003</v>
      </c>
      <c r="AT58" s="67">
        <f t="shared" si="59"/>
        <v>170.56121250000004</v>
      </c>
      <c r="AU58" s="67">
        <f t="shared" si="59"/>
        <v>81.710874000000004</v>
      </c>
      <c r="AV58" s="67">
        <f t="shared" si="59"/>
        <v>66.302575500000003</v>
      </c>
      <c r="AW58" s="67">
        <f t="shared" si="59"/>
        <v>50.484797999999998</v>
      </c>
      <c r="AX58" s="67">
        <f t="shared" si="59"/>
        <v>112.67937449999999</v>
      </c>
      <c r="AY58" s="67">
        <f t="shared" si="59"/>
        <v>106.2598005</v>
      </c>
      <c r="AZ58" s="67">
        <f t="shared" si="59"/>
        <v>112.29631350000002</v>
      </c>
    </row>
    <row r="59" spans="1:52" x14ac:dyDescent="0.25">
      <c r="A59" s="66" t="s">
        <v>1082</v>
      </c>
      <c r="B59" s="49">
        <v>1</v>
      </c>
      <c r="C59" s="67">
        <f t="shared" ref="C59:AZ59" si="60">IFERROR($B59/C7,0)</f>
        <v>3.0869829269999998</v>
      </c>
      <c r="D59" s="67">
        <f t="shared" si="60"/>
        <v>0.17099050499999999</v>
      </c>
      <c r="E59" s="67">
        <f t="shared" si="60"/>
        <v>7.6971950999999983E-2</v>
      </c>
      <c r="F59" s="67">
        <f t="shared" si="60"/>
        <v>6.2937000000000007E-2</v>
      </c>
      <c r="G59" s="67">
        <f t="shared" si="60"/>
        <v>7.6351905000000012E-2</v>
      </c>
      <c r="H59" s="67">
        <f t="shared" si="60"/>
        <v>6.4459142999999997E-2</v>
      </c>
      <c r="I59" s="67">
        <f t="shared" si="60"/>
        <v>0.17190192599999998</v>
      </c>
      <c r="J59" s="67">
        <f t="shared" si="60"/>
        <v>5.6988288000000012E-2</v>
      </c>
      <c r="K59" s="67">
        <f t="shared" si="60"/>
        <v>0.65939561099999988</v>
      </c>
      <c r="L59" s="67">
        <f t="shared" si="60"/>
        <v>0.12009312000000001</v>
      </c>
      <c r="M59" s="67">
        <f t="shared" si="60"/>
        <v>0.16151499000000002</v>
      </c>
      <c r="N59" s="67">
        <f t="shared" si="60"/>
        <v>6.9559370999999995E-2</v>
      </c>
      <c r="O59" s="67">
        <f t="shared" si="60"/>
        <v>6.4151450999999984E-2</v>
      </c>
      <c r="P59" s="67">
        <f t="shared" si="60"/>
        <v>5.7046563000000015E-2</v>
      </c>
      <c r="Q59" s="67">
        <f t="shared" si="60"/>
        <v>4.2237719999999999E-2</v>
      </c>
      <c r="R59" s="67">
        <f t="shared" si="60"/>
        <v>0.267391341</v>
      </c>
      <c r="S59" s="67">
        <f t="shared" si="60"/>
        <v>0.128913624</v>
      </c>
      <c r="T59" s="67">
        <f t="shared" si="60"/>
        <v>8.0748171000000007E-2</v>
      </c>
      <c r="U59" s="67">
        <f t="shared" si="60"/>
        <v>0.25710230699999997</v>
      </c>
      <c r="V59" s="67">
        <f t="shared" si="60"/>
        <v>0.14054065200000002</v>
      </c>
      <c r="W59" s="67">
        <f t="shared" si="60"/>
        <v>0.11137984199999999</v>
      </c>
      <c r="X59" s="67">
        <f t="shared" si="60"/>
        <v>8.6256323999999995E-2</v>
      </c>
      <c r="Y59" s="67">
        <f t="shared" si="60"/>
        <v>0.16005112199999999</v>
      </c>
      <c r="Z59" s="67">
        <f t="shared" si="60"/>
        <v>0.14682502800000002</v>
      </c>
      <c r="AA59" s="67">
        <f t="shared" si="60"/>
        <v>0.18961053300000003</v>
      </c>
      <c r="AB59" s="67">
        <f t="shared" si="60"/>
        <v>3.2679337950000007</v>
      </c>
      <c r="AC59" s="67">
        <f t="shared" si="60"/>
        <v>0.19680633000000003</v>
      </c>
      <c r="AD59" s="67">
        <f t="shared" si="60"/>
        <v>8.206285499999999E-2</v>
      </c>
      <c r="AE59" s="67">
        <f t="shared" si="60"/>
        <v>6.8531399999999992E-2</v>
      </c>
      <c r="AF59" s="67">
        <f t="shared" si="60"/>
        <v>7.8496424999999995E-2</v>
      </c>
      <c r="AG59" s="67">
        <f t="shared" si="60"/>
        <v>7.4976614999999983E-2</v>
      </c>
      <c r="AH59" s="67">
        <f t="shared" si="60"/>
        <v>0.17382266999999998</v>
      </c>
      <c r="AI59" s="67">
        <f t="shared" si="60"/>
        <v>5.2995284999999989E-2</v>
      </c>
      <c r="AJ59" s="67">
        <f t="shared" si="60"/>
        <v>0.6810016499999999</v>
      </c>
      <c r="AK59" s="67">
        <f t="shared" si="60"/>
        <v>0.17390425500000001</v>
      </c>
      <c r="AL59" s="67">
        <f t="shared" si="60"/>
        <v>0.1146852</v>
      </c>
      <c r="AM59" s="67">
        <f t="shared" si="60"/>
        <v>7.5769154999999991E-2</v>
      </c>
      <c r="AN59" s="67">
        <f t="shared" si="60"/>
        <v>6.9242354999999992E-2</v>
      </c>
      <c r="AO59" s="67">
        <f t="shared" si="60"/>
        <v>6.1689914999999991E-2</v>
      </c>
      <c r="AP59" s="67">
        <f t="shared" si="60"/>
        <v>5.6410200000000001E-2</v>
      </c>
      <c r="AQ59" s="67">
        <f t="shared" si="60"/>
        <v>0.23899742999999996</v>
      </c>
      <c r="AR59" s="67">
        <f t="shared" si="60"/>
        <v>0.14557095</v>
      </c>
      <c r="AS59" s="67">
        <f t="shared" si="60"/>
        <v>7.2843749999999999E-2</v>
      </c>
      <c r="AT59" s="67">
        <f t="shared" si="60"/>
        <v>0.30099037500000003</v>
      </c>
      <c r="AU59" s="67">
        <f t="shared" si="60"/>
        <v>0.14419566</v>
      </c>
      <c r="AV59" s="67">
        <f t="shared" si="60"/>
        <v>0.117004545</v>
      </c>
      <c r="AW59" s="67">
        <f t="shared" si="60"/>
        <v>8.9090820000000001E-2</v>
      </c>
      <c r="AX59" s="67">
        <f t="shared" si="60"/>
        <v>0.19884595499999999</v>
      </c>
      <c r="AY59" s="67">
        <f t="shared" si="60"/>
        <v>0.18751729500000003</v>
      </c>
      <c r="AZ59" s="67">
        <f t="shared" si="60"/>
        <v>0.198169965</v>
      </c>
    </row>
    <row r="60" spans="1:52" x14ac:dyDescent="0.25">
      <c r="A60" s="66" t="s">
        <v>1083</v>
      </c>
      <c r="B60" s="49">
        <v>1.9000000000000001E-8</v>
      </c>
      <c r="C60" s="67">
        <f t="shared" ref="C60:AZ60" si="61">IFERROR($B60/C12,0)</f>
        <v>0</v>
      </c>
      <c r="D60" s="67">
        <f t="shared" si="61"/>
        <v>0</v>
      </c>
      <c r="E60" s="67">
        <f t="shared" si="61"/>
        <v>0</v>
      </c>
      <c r="F60" s="67">
        <f t="shared" si="61"/>
        <v>0</v>
      </c>
      <c r="G60" s="67">
        <f t="shared" si="61"/>
        <v>0</v>
      </c>
      <c r="H60" s="67">
        <f t="shared" si="61"/>
        <v>0</v>
      </c>
      <c r="I60" s="67">
        <f t="shared" si="61"/>
        <v>0</v>
      </c>
      <c r="J60" s="67">
        <f t="shared" si="61"/>
        <v>0</v>
      </c>
      <c r="K60" s="67">
        <f t="shared" si="61"/>
        <v>0</v>
      </c>
      <c r="L60" s="67">
        <f t="shared" si="61"/>
        <v>0</v>
      </c>
      <c r="M60" s="67">
        <f t="shared" si="61"/>
        <v>0</v>
      </c>
      <c r="N60" s="67">
        <f t="shared" si="61"/>
        <v>0</v>
      </c>
      <c r="O60" s="67">
        <f t="shared" si="61"/>
        <v>0</v>
      </c>
      <c r="P60" s="67">
        <f t="shared" si="61"/>
        <v>0</v>
      </c>
      <c r="Q60" s="67">
        <f t="shared" si="61"/>
        <v>0</v>
      </c>
      <c r="R60" s="67">
        <f t="shared" si="61"/>
        <v>0</v>
      </c>
      <c r="S60" s="67">
        <f t="shared" si="61"/>
        <v>0</v>
      </c>
      <c r="T60" s="67">
        <f t="shared" si="61"/>
        <v>0</v>
      </c>
      <c r="U60" s="67">
        <f t="shared" si="61"/>
        <v>0</v>
      </c>
      <c r="V60" s="67">
        <f t="shared" si="61"/>
        <v>0</v>
      </c>
      <c r="W60" s="67">
        <f t="shared" si="61"/>
        <v>0</v>
      </c>
      <c r="X60" s="67">
        <f t="shared" si="61"/>
        <v>0</v>
      </c>
      <c r="Y60" s="67">
        <f t="shared" si="61"/>
        <v>0</v>
      </c>
      <c r="Z60" s="67">
        <f t="shared" si="61"/>
        <v>0</v>
      </c>
      <c r="AA60" s="67">
        <f t="shared" si="61"/>
        <v>0</v>
      </c>
      <c r="AB60" s="67">
        <f t="shared" si="61"/>
        <v>0</v>
      </c>
      <c r="AC60" s="67">
        <f t="shared" si="61"/>
        <v>0</v>
      </c>
      <c r="AD60" s="67">
        <f t="shared" si="61"/>
        <v>0</v>
      </c>
      <c r="AE60" s="67">
        <f t="shared" si="61"/>
        <v>0</v>
      </c>
      <c r="AF60" s="67">
        <f t="shared" si="61"/>
        <v>0</v>
      </c>
      <c r="AG60" s="67">
        <f t="shared" si="61"/>
        <v>0</v>
      </c>
      <c r="AH60" s="67">
        <f t="shared" si="61"/>
        <v>0</v>
      </c>
      <c r="AI60" s="67">
        <f t="shared" si="61"/>
        <v>0</v>
      </c>
      <c r="AJ60" s="67">
        <f t="shared" si="61"/>
        <v>0</v>
      </c>
      <c r="AK60" s="67">
        <f t="shared" si="61"/>
        <v>0</v>
      </c>
      <c r="AL60" s="67">
        <f t="shared" si="61"/>
        <v>0</v>
      </c>
      <c r="AM60" s="67">
        <f t="shared" si="61"/>
        <v>0</v>
      </c>
      <c r="AN60" s="67">
        <f t="shared" si="61"/>
        <v>0</v>
      </c>
      <c r="AO60" s="67">
        <f t="shared" si="61"/>
        <v>0</v>
      </c>
      <c r="AP60" s="67">
        <f t="shared" si="61"/>
        <v>0</v>
      </c>
      <c r="AQ60" s="67">
        <f t="shared" si="61"/>
        <v>0</v>
      </c>
      <c r="AR60" s="67">
        <f t="shared" si="61"/>
        <v>0</v>
      </c>
      <c r="AS60" s="67">
        <f t="shared" si="61"/>
        <v>0</v>
      </c>
      <c r="AT60" s="67">
        <f t="shared" si="61"/>
        <v>0</v>
      </c>
      <c r="AU60" s="67">
        <f t="shared" si="61"/>
        <v>0</v>
      </c>
      <c r="AV60" s="67">
        <f t="shared" si="61"/>
        <v>0</v>
      </c>
      <c r="AW60" s="67">
        <f t="shared" si="61"/>
        <v>0</v>
      </c>
      <c r="AX60" s="67">
        <f t="shared" si="61"/>
        <v>0</v>
      </c>
      <c r="AY60" s="67">
        <f t="shared" si="61"/>
        <v>0</v>
      </c>
      <c r="AZ60" s="67">
        <f t="shared" si="61"/>
        <v>0</v>
      </c>
    </row>
    <row r="61" spans="1:52" x14ac:dyDescent="0.25">
      <c r="A61" s="66" t="s">
        <v>1084</v>
      </c>
      <c r="B61" s="49">
        <v>1</v>
      </c>
      <c r="C61" s="67">
        <f t="shared" ref="C61:AZ61" si="62">IFERROR($B61/C18,0)</f>
        <v>3001.23340125</v>
      </c>
      <c r="D61" s="67">
        <f t="shared" si="62"/>
        <v>166.24076875</v>
      </c>
      <c r="E61" s="67">
        <f t="shared" si="62"/>
        <v>74.833841249999992</v>
      </c>
      <c r="F61" s="67">
        <f t="shared" si="62"/>
        <v>61.188750000000006</v>
      </c>
      <c r="G61" s="67">
        <f t="shared" si="62"/>
        <v>74.231018750000004</v>
      </c>
      <c r="H61" s="67">
        <f t="shared" si="62"/>
        <v>62.668611249999984</v>
      </c>
      <c r="I61" s="67">
        <f t="shared" si="62"/>
        <v>167.12687249999999</v>
      </c>
      <c r="J61" s="67">
        <f t="shared" si="62"/>
        <v>55.405280000000012</v>
      </c>
      <c r="K61" s="67">
        <f t="shared" si="62"/>
        <v>641.07906624999998</v>
      </c>
      <c r="L61" s="67">
        <f t="shared" si="62"/>
        <v>116.7572</v>
      </c>
      <c r="M61" s="67">
        <f t="shared" si="62"/>
        <v>157.02846250000002</v>
      </c>
      <c r="N61" s="67">
        <f t="shared" si="62"/>
        <v>67.627166250000002</v>
      </c>
      <c r="O61" s="67">
        <f t="shared" si="62"/>
        <v>62.369466249999988</v>
      </c>
      <c r="P61" s="67">
        <f t="shared" si="62"/>
        <v>55.461936250000008</v>
      </c>
      <c r="Q61" s="67">
        <f t="shared" si="62"/>
        <v>41.064450000000001</v>
      </c>
      <c r="R61" s="67">
        <f t="shared" si="62"/>
        <v>259.96380375000001</v>
      </c>
      <c r="S61" s="67">
        <f t="shared" si="62"/>
        <v>125.33269000000001</v>
      </c>
      <c r="T61" s="67">
        <f t="shared" si="62"/>
        <v>78.505166250000016</v>
      </c>
      <c r="U61" s="67">
        <f t="shared" si="62"/>
        <v>249.96057625</v>
      </c>
      <c r="V61" s="67">
        <f t="shared" si="62"/>
        <v>136.63674500000002</v>
      </c>
      <c r="W61" s="67">
        <f t="shared" si="62"/>
        <v>108.28595750000001</v>
      </c>
      <c r="X61" s="67">
        <f t="shared" si="62"/>
        <v>83.860315</v>
      </c>
      <c r="Y61" s="67">
        <f t="shared" si="62"/>
        <v>155.60525749999999</v>
      </c>
      <c r="Z61" s="67">
        <f t="shared" si="62"/>
        <v>142.74655500000003</v>
      </c>
      <c r="AA61" s="67">
        <f t="shared" si="62"/>
        <v>184.34357375000002</v>
      </c>
      <c r="AB61" s="67">
        <f t="shared" si="62"/>
        <v>3177.1578562499994</v>
      </c>
      <c r="AC61" s="67">
        <f t="shared" si="62"/>
        <v>191.33948749999999</v>
      </c>
      <c r="AD61" s="67">
        <f t="shared" si="62"/>
        <v>79.783331249999989</v>
      </c>
      <c r="AE61" s="67">
        <f t="shared" si="62"/>
        <v>66.627749999999992</v>
      </c>
      <c r="AF61" s="67">
        <f t="shared" si="62"/>
        <v>76.315968749999996</v>
      </c>
      <c r="AG61" s="67">
        <f t="shared" si="62"/>
        <v>72.89393124999998</v>
      </c>
      <c r="AH61" s="67">
        <f t="shared" si="62"/>
        <v>168.99426249999999</v>
      </c>
      <c r="AI61" s="67">
        <f t="shared" si="62"/>
        <v>51.52319374999999</v>
      </c>
      <c r="AJ61" s="67">
        <f t="shared" si="62"/>
        <v>662.08493749999991</v>
      </c>
      <c r="AK61" s="67">
        <f t="shared" si="62"/>
        <v>169.07358124999999</v>
      </c>
      <c r="AL61" s="67">
        <f t="shared" si="62"/>
        <v>111.49950000000001</v>
      </c>
      <c r="AM61" s="67">
        <f t="shared" si="62"/>
        <v>73.664456250000001</v>
      </c>
      <c r="AN61" s="67">
        <f t="shared" si="62"/>
        <v>67.318956249999985</v>
      </c>
      <c r="AO61" s="67">
        <f t="shared" si="62"/>
        <v>59.97630625</v>
      </c>
      <c r="AP61" s="67">
        <f t="shared" si="62"/>
        <v>54.843249999999998</v>
      </c>
      <c r="AQ61" s="67">
        <f t="shared" si="62"/>
        <v>232.35861249999996</v>
      </c>
      <c r="AR61" s="67">
        <f t="shared" si="62"/>
        <v>141.52731249999999</v>
      </c>
      <c r="AS61" s="67">
        <f t="shared" si="62"/>
        <v>70.8203125</v>
      </c>
      <c r="AT61" s="67">
        <f t="shared" si="62"/>
        <v>292.62953125000001</v>
      </c>
      <c r="AU61" s="67">
        <f t="shared" si="62"/>
        <v>140.190225</v>
      </c>
      <c r="AV61" s="67">
        <f t="shared" si="62"/>
        <v>113.75441875</v>
      </c>
      <c r="AW61" s="67">
        <f t="shared" si="62"/>
        <v>86.616074999999995</v>
      </c>
      <c r="AX61" s="67">
        <f t="shared" si="62"/>
        <v>193.32245624999999</v>
      </c>
      <c r="AY61" s="67">
        <f t="shared" si="62"/>
        <v>182.30848125</v>
      </c>
      <c r="AZ61" s="67">
        <f t="shared" si="62"/>
        <v>192.66524375000003</v>
      </c>
    </row>
    <row r="62" spans="1:52" x14ac:dyDescent="0.25">
      <c r="A62" s="66" t="s">
        <v>1085</v>
      </c>
      <c r="B62" s="49">
        <v>1.339E-6</v>
      </c>
      <c r="C62" s="67">
        <f t="shared" ref="C62:AZ62" si="63">IFERROR($B62/C27,0)</f>
        <v>0</v>
      </c>
      <c r="D62" s="67">
        <f t="shared" si="63"/>
        <v>0</v>
      </c>
      <c r="E62" s="67">
        <f t="shared" si="63"/>
        <v>0</v>
      </c>
      <c r="F62" s="67">
        <f t="shared" si="63"/>
        <v>0</v>
      </c>
      <c r="G62" s="67">
        <f t="shared" si="63"/>
        <v>0</v>
      </c>
      <c r="H62" s="67">
        <f t="shared" si="63"/>
        <v>0</v>
      </c>
      <c r="I62" s="67">
        <f t="shared" si="63"/>
        <v>0</v>
      </c>
      <c r="J62" s="67">
        <f t="shared" si="63"/>
        <v>0</v>
      </c>
      <c r="K62" s="67">
        <f t="shared" si="63"/>
        <v>0</v>
      </c>
      <c r="L62" s="67">
        <f t="shared" si="63"/>
        <v>0</v>
      </c>
      <c r="M62" s="67">
        <f t="shared" si="63"/>
        <v>0</v>
      </c>
      <c r="N62" s="67">
        <f t="shared" si="63"/>
        <v>0</v>
      </c>
      <c r="O62" s="67">
        <f t="shared" si="63"/>
        <v>0</v>
      </c>
      <c r="P62" s="67">
        <f t="shared" si="63"/>
        <v>0</v>
      </c>
      <c r="Q62" s="67">
        <f t="shared" si="63"/>
        <v>0</v>
      </c>
      <c r="R62" s="67">
        <f t="shared" si="63"/>
        <v>0</v>
      </c>
      <c r="S62" s="67">
        <f t="shared" si="63"/>
        <v>0</v>
      </c>
      <c r="T62" s="67">
        <f t="shared" si="63"/>
        <v>0</v>
      </c>
      <c r="U62" s="67">
        <f t="shared" si="63"/>
        <v>0</v>
      </c>
      <c r="V62" s="67">
        <f t="shared" si="63"/>
        <v>0</v>
      </c>
      <c r="W62" s="67">
        <f t="shared" si="63"/>
        <v>0</v>
      </c>
      <c r="X62" s="67">
        <f t="shared" si="63"/>
        <v>0</v>
      </c>
      <c r="Y62" s="67">
        <f t="shared" si="63"/>
        <v>0</v>
      </c>
      <c r="Z62" s="67">
        <f t="shared" si="63"/>
        <v>0</v>
      </c>
      <c r="AA62" s="67">
        <f t="shared" si="63"/>
        <v>0</v>
      </c>
      <c r="AB62" s="67">
        <f t="shared" si="63"/>
        <v>0</v>
      </c>
      <c r="AC62" s="67">
        <f t="shared" si="63"/>
        <v>0</v>
      </c>
      <c r="AD62" s="67">
        <f t="shared" si="63"/>
        <v>0</v>
      </c>
      <c r="AE62" s="67">
        <f t="shared" si="63"/>
        <v>0</v>
      </c>
      <c r="AF62" s="67">
        <f t="shared" si="63"/>
        <v>0</v>
      </c>
      <c r="AG62" s="67">
        <f t="shared" si="63"/>
        <v>0</v>
      </c>
      <c r="AH62" s="67">
        <f t="shared" si="63"/>
        <v>0</v>
      </c>
      <c r="AI62" s="67">
        <f t="shared" si="63"/>
        <v>0</v>
      </c>
      <c r="AJ62" s="67">
        <f t="shared" si="63"/>
        <v>0</v>
      </c>
      <c r="AK62" s="67">
        <f t="shared" si="63"/>
        <v>0</v>
      </c>
      <c r="AL62" s="67">
        <f t="shared" si="63"/>
        <v>0</v>
      </c>
      <c r="AM62" s="67">
        <f t="shared" si="63"/>
        <v>0</v>
      </c>
      <c r="AN62" s="67">
        <f t="shared" si="63"/>
        <v>0</v>
      </c>
      <c r="AO62" s="67">
        <f t="shared" si="63"/>
        <v>0</v>
      </c>
      <c r="AP62" s="67">
        <f t="shared" si="63"/>
        <v>0</v>
      </c>
      <c r="AQ62" s="67">
        <f t="shared" si="63"/>
        <v>0</v>
      </c>
      <c r="AR62" s="67">
        <f t="shared" si="63"/>
        <v>0</v>
      </c>
      <c r="AS62" s="67">
        <f t="shared" si="63"/>
        <v>0</v>
      </c>
      <c r="AT62" s="67">
        <f t="shared" si="63"/>
        <v>0</v>
      </c>
      <c r="AU62" s="67">
        <f t="shared" si="63"/>
        <v>0</v>
      </c>
      <c r="AV62" s="67">
        <f t="shared" si="63"/>
        <v>0</v>
      </c>
      <c r="AW62" s="67">
        <f t="shared" si="63"/>
        <v>0</v>
      </c>
      <c r="AX62" s="67">
        <f t="shared" si="63"/>
        <v>0</v>
      </c>
      <c r="AY62" s="67">
        <f t="shared" si="63"/>
        <v>0</v>
      </c>
      <c r="AZ62" s="67">
        <f t="shared" si="63"/>
        <v>0</v>
      </c>
    </row>
    <row r="63" spans="1:52" x14ac:dyDescent="0.25">
      <c r="A63" s="64" t="s">
        <v>23</v>
      </c>
      <c r="B63" s="64" t="s">
        <v>1059</v>
      </c>
      <c r="C63" s="65">
        <f t="shared" ref="C63" si="64">IFERROR(1/SUM(1/D63,1/E63,1/F63,1/G63,1/H63,1/I63,1/J63,1/K63,1/L63,1/M63,1/N63,1/O63,1/P63,1/Q63,1/R63,1/S63,1/T63,1/U63,1/V63,1/W63,1/X63,1/Y63),".")</f>
        <v>2.1034000069663377E-4</v>
      </c>
      <c r="D63" s="65">
        <f t="shared" ref="D63:AA63" si="65">IFERROR(1/SUM(D64:D76),0)</f>
        <v>3.7973803926462275E-3</v>
      </c>
      <c r="E63" s="65">
        <f t="shared" si="65"/>
        <v>8.4357481209704124E-3</v>
      </c>
      <c r="F63" s="65">
        <f t="shared" si="65"/>
        <v>1.0316919951946814E-2</v>
      </c>
      <c r="G63" s="65">
        <f t="shared" si="65"/>
        <v>8.5042539674115084E-3</v>
      </c>
      <c r="H63" s="65">
        <f t="shared" si="65"/>
        <v>1.0073295436392583E-2</v>
      </c>
      <c r="I63" s="65">
        <f t="shared" si="65"/>
        <v>3.7772467483329808E-3</v>
      </c>
      <c r="J63" s="65">
        <f t="shared" si="65"/>
        <v>1.1393849750595712E-2</v>
      </c>
      <c r="K63" s="65">
        <f t="shared" si="65"/>
        <v>9.8471385035602964E-4</v>
      </c>
      <c r="L63" s="65">
        <f t="shared" si="65"/>
        <v>5.406770937549767E-3</v>
      </c>
      <c r="M63" s="65">
        <f t="shared" si="65"/>
        <v>4.0201593116259773E-3</v>
      </c>
      <c r="N63" s="65">
        <f t="shared" si="65"/>
        <v>9.3347018766986346E-3</v>
      </c>
      <c r="O63" s="65">
        <f t="shared" si="65"/>
        <v>1.0121610359455109E-2</v>
      </c>
      <c r="P63" s="65">
        <f t="shared" si="65"/>
        <v>1.1382210546421115E-2</v>
      </c>
      <c r="Q63" s="65">
        <f t="shared" si="65"/>
        <v>1.5372893968132673E-2</v>
      </c>
      <c r="R63" s="65">
        <f t="shared" si="65"/>
        <v>2.4283358937029925E-3</v>
      </c>
      <c r="S63" s="65">
        <f t="shared" si="65"/>
        <v>5.0368298622624763E-3</v>
      </c>
      <c r="T63" s="65">
        <f t="shared" si="65"/>
        <v>8.0412470397091297E-3</v>
      </c>
      <c r="U63" s="65">
        <f t="shared" si="65"/>
        <v>2.5255160040850069E-3</v>
      </c>
      <c r="V63" s="65">
        <f t="shared" si="65"/>
        <v>4.6201293488781917E-3</v>
      </c>
      <c r="W63" s="65">
        <f t="shared" si="65"/>
        <v>5.8297442280056087E-3</v>
      </c>
      <c r="X63" s="65">
        <f t="shared" si="65"/>
        <v>7.5277493974317379E-3</v>
      </c>
      <c r="Y63" s="65">
        <f t="shared" si="65"/>
        <v>4.0569287044153095E-3</v>
      </c>
      <c r="Z63" s="65">
        <f t="shared" si="65"/>
        <v>4.4223794802591603E-3</v>
      </c>
      <c r="AA63" s="65">
        <f t="shared" si="65"/>
        <v>3.4244721574390419E-3</v>
      </c>
      <c r="AB63" s="65">
        <f t="shared" ref="AB63" si="66">IFERROR(1/SUM(1/AC63,1/AD63,1/AE63,1/AF63,1/AG63,1/AH63,1/AI63,1/AJ63,1/AK63,1/AL63,1/AM63,1/AN63,1/AO63,1/AP63,1/AQ63,1/AR63,1/AS63,1/AT63,1/AU63,1/AV63,1/AW63,1/AX63),".")</f>
        <v>1.98693128976218E-4</v>
      </c>
      <c r="AC63" s="65">
        <f t="shared" ref="AC63:AZ63" si="67">IFERROR(1/SUM(AC64:AC76),0)</f>
        <v>3.2992637534355563E-3</v>
      </c>
      <c r="AD63" s="65">
        <f t="shared" si="67"/>
        <v>7.9124226303810257E-3</v>
      </c>
      <c r="AE63" s="65">
        <f t="shared" si="67"/>
        <v>9.4747224048491174E-3</v>
      </c>
      <c r="AF63" s="65">
        <f t="shared" si="67"/>
        <v>8.2719180015609212E-3</v>
      </c>
      <c r="AG63" s="65">
        <f t="shared" si="67"/>
        <v>8.6602468118316209E-3</v>
      </c>
      <c r="AH63" s="65">
        <f t="shared" si="67"/>
        <v>3.7355080957833442E-3</v>
      </c>
      <c r="AI63" s="65">
        <f t="shared" si="67"/>
        <v>1.2252335108975764E-2</v>
      </c>
      <c r="AJ63" s="65">
        <f t="shared" si="67"/>
        <v>9.534719791290914E-4</v>
      </c>
      <c r="AK63" s="65">
        <f t="shared" si="67"/>
        <v>3.7337556290136585E-3</v>
      </c>
      <c r="AL63" s="65">
        <f t="shared" si="67"/>
        <v>5.6617243638732518E-3</v>
      </c>
      <c r="AM63" s="65">
        <f t="shared" si="67"/>
        <v>8.5696612429645904E-3</v>
      </c>
      <c r="AN63" s="65">
        <f t="shared" si="67"/>
        <v>9.3774394446242745E-3</v>
      </c>
      <c r="AO63" s="65">
        <f t="shared" si="67"/>
        <v>1.0525480396847309E-2</v>
      </c>
      <c r="AP63" s="65">
        <f t="shared" si="67"/>
        <v>1.1510613169527438E-2</v>
      </c>
      <c r="AQ63" s="65">
        <f t="shared" si="67"/>
        <v>2.7168325241642833E-3</v>
      </c>
      <c r="AR63" s="65">
        <f t="shared" si="67"/>
        <v>4.4604778014822096E-3</v>
      </c>
      <c r="AS63" s="65">
        <f t="shared" si="67"/>
        <v>8.9138188384820464E-3</v>
      </c>
      <c r="AT63" s="65">
        <f t="shared" si="67"/>
        <v>2.1572649657507371E-3</v>
      </c>
      <c r="AU63" s="65">
        <f t="shared" si="67"/>
        <v>4.5030203476004527E-3</v>
      </c>
      <c r="AV63" s="65">
        <f t="shared" si="67"/>
        <v>5.5494937484323941E-3</v>
      </c>
      <c r="AW63" s="65">
        <f t="shared" si="67"/>
        <v>7.2882480037300881E-3</v>
      </c>
      <c r="AX63" s="65">
        <f t="shared" si="67"/>
        <v>3.2654221757524647E-3</v>
      </c>
      <c r="AY63" s="65">
        <f t="shared" si="67"/>
        <v>3.4626992193742801E-3</v>
      </c>
      <c r="AZ63" s="65">
        <f t="shared" si="67"/>
        <v>3.2765610621956591E-3</v>
      </c>
    </row>
    <row r="64" spans="1:52" x14ac:dyDescent="0.25">
      <c r="A64" s="66" t="s">
        <v>1075</v>
      </c>
      <c r="B64" s="49">
        <v>1</v>
      </c>
      <c r="C64" s="67">
        <f t="shared" ref="C64:AZ64" si="68">IFERROR($B64/C25,0)</f>
        <v>0</v>
      </c>
      <c r="D64" s="67">
        <f t="shared" si="68"/>
        <v>0</v>
      </c>
      <c r="E64" s="67">
        <f t="shared" si="68"/>
        <v>0</v>
      </c>
      <c r="F64" s="67">
        <f t="shared" si="68"/>
        <v>0</v>
      </c>
      <c r="G64" s="67">
        <f t="shared" si="68"/>
        <v>0</v>
      </c>
      <c r="H64" s="67">
        <f t="shared" si="68"/>
        <v>0</v>
      </c>
      <c r="I64" s="67">
        <f t="shared" si="68"/>
        <v>0</v>
      </c>
      <c r="J64" s="67">
        <f t="shared" si="68"/>
        <v>0</v>
      </c>
      <c r="K64" s="67">
        <f t="shared" si="68"/>
        <v>0</v>
      </c>
      <c r="L64" s="67">
        <f t="shared" si="68"/>
        <v>0</v>
      </c>
      <c r="M64" s="67">
        <f t="shared" si="68"/>
        <v>0</v>
      </c>
      <c r="N64" s="67">
        <f t="shared" si="68"/>
        <v>0</v>
      </c>
      <c r="O64" s="67">
        <f t="shared" si="68"/>
        <v>0</v>
      </c>
      <c r="P64" s="67">
        <f t="shared" si="68"/>
        <v>0</v>
      </c>
      <c r="Q64" s="67">
        <f t="shared" si="68"/>
        <v>0</v>
      </c>
      <c r="R64" s="67">
        <f t="shared" si="68"/>
        <v>0</v>
      </c>
      <c r="S64" s="67">
        <f t="shared" si="68"/>
        <v>0</v>
      </c>
      <c r="T64" s="67">
        <f t="shared" si="68"/>
        <v>0</v>
      </c>
      <c r="U64" s="67">
        <f t="shared" si="68"/>
        <v>0</v>
      </c>
      <c r="V64" s="67">
        <f t="shared" si="68"/>
        <v>0</v>
      </c>
      <c r="W64" s="67">
        <f t="shared" si="68"/>
        <v>0</v>
      </c>
      <c r="X64" s="67">
        <f t="shared" si="68"/>
        <v>0</v>
      </c>
      <c r="Y64" s="67">
        <f t="shared" si="68"/>
        <v>0</v>
      </c>
      <c r="Z64" s="67">
        <f t="shared" si="68"/>
        <v>0</v>
      </c>
      <c r="AA64" s="67">
        <f t="shared" si="68"/>
        <v>0</v>
      </c>
      <c r="AB64" s="67">
        <f t="shared" si="68"/>
        <v>0</v>
      </c>
      <c r="AC64" s="67">
        <f t="shared" si="68"/>
        <v>0</v>
      </c>
      <c r="AD64" s="67">
        <f t="shared" si="68"/>
        <v>0</v>
      </c>
      <c r="AE64" s="67">
        <f t="shared" si="68"/>
        <v>0</v>
      </c>
      <c r="AF64" s="67">
        <f t="shared" si="68"/>
        <v>0</v>
      </c>
      <c r="AG64" s="67">
        <f t="shared" si="68"/>
        <v>0</v>
      </c>
      <c r="AH64" s="67">
        <f t="shared" si="68"/>
        <v>0</v>
      </c>
      <c r="AI64" s="67">
        <f t="shared" si="68"/>
        <v>0</v>
      </c>
      <c r="AJ64" s="67">
        <f t="shared" si="68"/>
        <v>0</v>
      </c>
      <c r="AK64" s="67">
        <f t="shared" si="68"/>
        <v>0</v>
      </c>
      <c r="AL64" s="67">
        <f t="shared" si="68"/>
        <v>0</v>
      </c>
      <c r="AM64" s="67">
        <f t="shared" si="68"/>
        <v>0</v>
      </c>
      <c r="AN64" s="67">
        <f t="shared" si="68"/>
        <v>0</v>
      </c>
      <c r="AO64" s="67">
        <f t="shared" si="68"/>
        <v>0</v>
      </c>
      <c r="AP64" s="67">
        <f t="shared" si="68"/>
        <v>0</v>
      </c>
      <c r="AQ64" s="67">
        <f t="shared" si="68"/>
        <v>0</v>
      </c>
      <c r="AR64" s="67">
        <f t="shared" si="68"/>
        <v>0</v>
      </c>
      <c r="AS64" s="67">
        <f t="shared" si="68"/>
        <v>0</v>
      </c>
      <c r="AT64" s="67">
        <f t="shared" si="68"/>
        <v>0</v>
      </c>
      <c r="AU64" s="67">
        <f t="shared" si="68"/>
        <v>0</v>
      </c>
      <c r="AV64" s="67">
        <f t="shared" si="68"/>
        <v>0</v>
      </c>
      <c r="AW64" s="67">
        <f t="shared" si="68"/>
        <v>0</v>
      </c>
      <c r="AX64" s="67">
        <f t="shared" si="68"/>
        <v>0</v>
      </c>
      <c r="AY64" s="67">
        <f t="shared" si="68"/>
        <v>0</v>
      </c>
      <c r="AZ64" s="67">
        <f t="shared" si="68"/>
        <v>0</v>
      </c>
    </row>
    <row r="65" spans="1:52" x14ac:dyDescent="0.25">
      <c r="A65" s="66" t="s">
        <v>1061</v>
      </c>
      <c r="B65" s="49">
        <v>1</v>
      </c>
      <c r="C65" s="67">
        <f t="shared" ref="C65:AZ65" si="69">IFERROR($B65/C21,0)</f>
        <v>0</v>
      </c>
      <c r="D65" s="67">
        <f t="shared" si="69"/>
        <v>0</v>
      </c>
      <c r="E65" s="67">
        <f t="shared" si="69"/>
        <v>0</v>
      </c>
      <c r="F65" s="67">
        <f t="shared" si="69"/>
        <v>0</v>
      </c>
      <c r="G65" s="67">
        <f t="shared" si="69"/>
        <v>0</v>
      </c>
      <c r="H65" s="67">
        <f t="shared" si="69"/>
        <v>0</v>
      </c>
      <c r="I65" s="67">
        <f t="shared" si="69"/>
        <v>0</v>
      </c>
      <c r="J65" s="67">
        <f t="shared" si="69"/>
        <v>0</v>
      </c>
      <c r="K65" s="67">
        <f t="shared" si="69"/>
        <v>0</v>
      </c>
      <c r="L65" s="67">
        <f t="shared" si="69"/>
        <v>0</v>
      </c>
      <c r="M65" s="67">
        <f t="shared" si="69"/>
        <v>0</v>
      </c>
      <c r="N65" s="67">
        <f t="shared" si="69"/>
        <v>0</v>
      </c>
      <c r="O65" s="67">
        <f t="shared" si="69"/>
        <v>0</v>
      </c>
      <c r="P65" s="67">
        <f t="shared" si="69"/>
        <v>0</v>
      </c>
      <c r="Q65" s="67">
        <f t="shared" si="69"/>
        <v>0</v>
      </c>
      <c r="R65" s="67">
        <f t="shared" si="69"/>
        <v>0</v>
      </c>
      <c r="S65" s="67">
        <f t="shared" si="69"/>
        <v>0</v>
      </c>
      <c r="T65" s="67">
        <f t="shared" si="69"/>
        <v>0</v>
      </c>
      <c r="U65" s="67">
        <f t="shared" si="69"/>
        <v>0</v>
      </c>
      <c r="V65" s="67">
        <f t="shared" si="69"/>
        <v>0</v>
      </c>
      <c r="W65" s="67">
        <f t="shared" si="69"/>
        <v>0</v>
      </c>
      <c r="X65" s="67">
        <f t="shared" si="69"/>
        <v>0</v>
      </c>
      <c r="Y65" s="67">
        <f t="shared" si="69"/>
        <v>0</v>
      </c>
      <c r="Z65" s="67">
        <f t="shared" si="69"/>
        <v>0</v>
      </c>
      <c r="AA65" s="67">
        <f t="shared" si="69"/>
        <v>0</v>
      </c>
      <c r="AB65" s="67">
        <f t="shared" si="69"/>
        <v>0</v>
      </c>
      <c r="AC65" s="67">
        <f t="shared" si="69"/>
        <v>0</v>
      </c>
      <c r="AD65" s="67">
        <f t="shared" si="69"/>
        <v>0</v>
      </c>
      <c r="AE65" s="67">
        <f t="shared" si="69"/>
        <v>0</v>
      </c>
      <c r="AF65" s="67">
        <f t="shared" si="69"/>
        <v>0</v>
      </c>
      <c r="AG65" s="67">
        <f t="shared" si="69"/>
        <v>0</v>
      </c>
      <c r="AH65" s="67">
        <f t="shared" si="69"/>
        <v>0</v>
      </c>
      <c r="AI65" s="67">
        <f t="shared" si="69"/>
        <v>0</v>
      </c>
      <c r="AJ65" s="67">
        <f t="shared" si="69"/>
        <v>0</v>
      </c>
      <c r="AK65" s="67">
        <f t="shared" si="69"/>
        <v>0</v>
      </c>
      <c r="AL65" s="67">
        <f t="shared" si="69"/>
        <v>0</v>
      </c>
      <c r="AM65" s="67">
        <f t="shared" si="69"/>
        <v>0</v>
      </c>
      <c r="AN65" s="67">
        <f t="shared" si="69"/>
        <v>0</v>
      </c>
      <c r="AO65" s="67">
        <f t="shared" si="69"/>
        <v>0</v>
      </c>
      <c r="AP65" s="67">
        <f t="shared" si="69"/>
        <v>0</v>
      </c>
      <c r="AQ65" s="67">
        <f t="shared" si="69"/>
        <v>0</v>
      </c>
      <c r="AR65" s="67">
        <f t="shared" si="69"/>
        <v>0</v>
      </c>
      <c r="AS65" s="67">
        <f t="shared" si="69"/>
        <v>0</v>
      </c>
      <c r="AT65" s="67">
        <f t="shared" si="69"/>
        <v>0</v>
      </c>
      <c r="AU65" s="67">
        <f t="shared" si="69"/>
        <v>0</v>
      </c>
      <c r="AV65" s="67">
        <f t="shared" si="69"/>
        <v>0</v>
      </c>
      <c r="AW65" s="67">
        <f t="shared" si="69"/>
        <v>0</v>
      </c>
      <c r="AX65" s="67">
        <f t="shared" si="69"/>
        <v>0</v>
      </c>
      <c r="AY65" s="67">
        <f t="shared" si="69"/>
        <v>0</v>
      </c>
      <c r="AZ65" s="67">
        <f t="shared" si="69"/>
        <v>0</v>
      </c>
    </row>
    <row r="66" spans="1:52" x14ac:dyDescent="0.25">
      <c r="A66" s="66" t="s">
        <v>1062</v>
      </c>
      <c r="B66" s="49">
        <v>0.99980000000000002</v>
      </c>
      <c r="C66" s="67">
        <f t="shared" ref="C66:AZ66" si="70">IFERROR($B66/C17,0)</f>
        <v>0.34121485586250311</v>
      </c>
      <c r="D66" s="67">
        <f t="shared" si="70"/>
        <v>1.8900169484945002E-2</v>
      </c>
      <c r="E66" s="67">
        <f t="shared" si="70"/>
        <v>8.5079748696389994E-3</v>
      </c>
      <c r="F66" s="67">
        <f t="shared" si="70"/>
        <v>6.9566433930000025E-3</v>
      </c>
      <c r="G66" s="67">
        <f t="shared" si="70"/>
        <v>8.4394390495450018E-3</v>
      </c>
      <c r="H66" s="67">
        <f t="shared" si="70"/>
        <v>7.1248911017269987E-3</v>
      </c>
      <c r="I66" s="67">
        <f t="shared" si="70"/>
        <v>1.9000911987414E-2</v>
      </c>
      <c r="J66" s="67">
        <f t="shared" si="70"/>
        <v>6.299111765632001E-3</v>
      </c>
      <c r="K66" s="67">
        <f t="shared" si="70"/>
        <v>7.2885268135379003E-2</v>
      </c>
      <c r="L66" s="67">
        <f t="shared" si="70"/>
        <v>1.3274306207680003E-2</v>
      </c>
      <c r="M66" s="67">
        <f t="shared" si="70"/>
        <v>1.7852808174110005E-2</v>
      </c>
      <c r="N66" s="67">
        <f t="shared" si="70"/>
        <v>7.6886368700190017E-3</v>
      </c>
      <c r="O66" s="67">
        <f t="shared" si="70"/>
        <v>7.0908808451389995E-3</v>
      </c>
      <c r="P66" s="67">
        <f t="shared" si="70"/>
        <v>6.305553102107001E-3</v>
      </c>
      <c r="Q66" s="67">
        <f t="shared" si="70"/>
        <v>4.6686806770800003E-3</v>
      </c>
      <c r="R66" s="67">
        <f t="shared" si="70"/>
        <v>2.9555685935349005E-2</v>
      </c>
      <c r="S66" s="67">
        <f t="shared" si="70"/>
        <v>1.4249266896536003E-2</v>
      </c>
      <c r="T66" s="67">
        <f t="shared" si="70"/>
        <v>8.9253734732190025E-3</v>
      </c>
      <c r="U66" s="67">
        <f t="shared" si="70"/>
        <v>2.8418403567323003E-2</v>
      </c>
      <c r="V66" s="67">
        <f t="shared" si="70"/>
        <v>1.5534442350028007E-2</v>
      </c>
      <c r="W66" s="67">
        <f t="shared" si="70"/>
        <v>1.2311197577938001E-2</v>
      </c>
      <c r="X66" s="67">
        <f t="shared" si="70"/>
        <v>9.5342085968359996E-3</v>
      </c>
      <c r="Y66" s="67">
        <f t="shared" si="70"/>
        <v>1.7691001801858001E-2</v>
      </c>
      <c r="Z66" s="67">
        <f t="shared" si="70"/>
        <v>1.6229076075492004E-2</v>
      </c>
      <c r="AA66" s="67">
        <f t="shared" si="70"/>
        <v>2.0958305315437006E-2</v>
      </c>
      <c r="AB66" s="67">
        <f t="shared" si="70"/>
        <v>0.36121597857775495</v>
      </c>
      <c r="AC66" s="67">
        <f t="shared" si="70"/>
        <v>2.1753681543370002E-2</v>
      </c>
      <c r="AD66" s="67">
        <f t="shared" si="70"/>
        <v>9.0706900240949996E-3</v>
      </c>
      <c r="AE66" s="67">
        <f t="shared" si="70"/>
        <v>7.5750116946000012E-3</v>
      </c>
      <c r="AF66" s="67">
        <f t="shared" si="70"/>
        <v>8.6764802318250005E-3</v>
      </c>
      <c r="AG66" s="67">
        <f t="shared" si="70"/>
        <v>8.2874235087349989E-3</v>
      </c>
      <c r="AH66" s="67">
        <f t="shared" si="70"/>
        <v>1.9213218437630002E-2</v>
      </c>
      <c r="AI66" s="67">
        <f t="shared" si="70"/>
        <v>5.8577513903650003E-3</v>
      </c>
      <c r="AJ66" s="67">
        <f t="shared" si="70"/>
        <v>7.5273458046849998E-2</v>
      </c>
      <c r="AK66" s="67">
        <f t="shared" si="70"/>
        <v>1.9222236308695E-2</v>
      </c>
      <c r="AL66" s="67">
        <f t="shared" si="70"/>
        <v>1.2676550182800001E-2</v>
      </c>
      <c r="AM66" s="67">
        <f t="shared" si="70"/>
        <v>8.3750256847950014E-3</v>
      </c>
      <c r="AN66" s="67">
        <f t="shared" si="70"/>
        <v>7.6535959995949988E-3</v>
      </c>
      <c r="AO66" s="67">
        <f t="shared" si="70"/>
        <v>6.8187987924350013E-3</v>
      </c>
      <c r="AP66" s="67">
        <f t="shared" si="70"/>
        <v>6.2352137078000008E-3</v>
      </c>
      <c r="AQ66" s="67">
        <f t="shared" si="70"/>
        <v>2.6417209151270004E-2</v>
      </c>
      <c r="AR66" s="67">
        <f t="shared" si="70"/>
        <v>1.6090458514550002E-2</v>
      </c>
      <c r="AS66" s="67">
        <f t="shared" si="70"/>
        <v>8.0516705937500009E-3</v>
      </c>
      <c r="AT66" s="67">
        <f t="shared" si="70"/>
        <v>3.3269502893375012E-2</v>
      </c>
      <c r="AU66" s="67">
        <f t="shared" si="70"/>
        <v>1.5938442973740002E-2</v>
      </c>
      <c r="AV66" s="67">
        <f t="shared" si="70"/>
        <v>1.2932915374505001E-2</v>
      </c>
      <c r="AW66" s="67">
        <f t="shared" si="70"/>
        <v>9.847515202980002E-3</v>
      </c>
      <c r="AX66" s="67">
        <f t="shared" si="70"/>
        <v>2.1979128319995003E-2</v>
      </c>
      <c r="AY66" s="67">
        <f t="shared" si="70"/>
        <v>2.0726932509254999E-2</v>
      </c>
      <c r="AZ66" s="67">
        <f t="shared" si="70"/>
        <v>2.1904408816885004E-2</v>
      </c>
    </row>
    <row r="67" spans="1:52" x14ac:dyDescent="0.25">
      <c r="A67" s="66" t="s">
        <v>1076</v>
      </c>
      <c r="B67" s="49">
        <v>2.0000000000000001E-4</v>
      </c>
      <c r="C67" s="67">
        <f t="shared" ref="C67:AZ67" si="71">IFERROR($B67/C5,0)</f>
        <v>0</v>
      </c>
      <c r="D67" s="67">
        <f t="shared" si="71"/>
        <v>0</v>
      </c>
      <c r="E67" s="67">
        <f t="shared" si="71"/>
        <v>0</v>
      </c>
      <c r="F67" s="67">
        <f t="shared" si="71"/>
        <v>0</v>
      </c>
      <c r="G67" s="67">
        <f t="shared" si="71"/>
        <v>0</v>
      </c>
      <c r="H67" s="67">
        <f t="shared" si="71"/>
        <v>0</v>
      </c>
      <c r="I67" s="67">
        <f t="shared" si="71"/>
        <v>0</v>
      </c>
      <c r="J67" s="67">
        <f t="shared" si="71"/>
        <v>0</v>
      </c>
      <c r="K67" s="67">
        <f t="shared" si="71"/>
        <v>0</v>
      </c>
      <c r="L67" s="67">
        <f t="shared" si="71"/>
        <v>0</v>
      </c>
      <c r="M67" s="67">
        <f t="shared" si="71"/>
        <v>0</v>
      </c>
      <c r="N67" s="67">
        <f t="shared" si="71"/>
        <v>0</v>
      </c>
      <c r="O67" s="67">
        <f t="shared" si="71"/>
        <v>0</v>
      </c>
      <c r="P67" s="67">
        <f t="shared" si="71"/>
        <v>0</v>
      </c>
      <c r="Q67" s="67">
        <f t="shared" si="71"/>
        <v>0</v>
      </c>
      <c r="R67" s="67">
        <f t="shared" si="71"/>
        <v>0</v>
      </c>
      <c r="S67" s="67">
        <f t="shared" si="71"/>
        <v>0</v>
      </c>
      <c r="T67" s="67">
        <f t="shared" si="71"/>
        <v>0</v>
      </c>
      <c r="U67" s="67">
        <f t="shared" si="71"/>
        <v>0</v>
      </c>
      <c r="V67" s="67">
        <f t="shared" si="71"/>
        <v>0</v>
      </c>
      <c r="W67" s="67">
        <f t="shared" si="71"/>
        <v>0</v>
      </c>
      <c r="X67" s="67">
        <f t="shared" si="71"/>
        <v>0</v>
      </c>
      <c r="Y67" s="67">
        <f t="shared" si="71"/>
        <v>0</v>
      </c>
      <c r="Z67" s="67">
        <f t="shared" si="71"/>
        <v>0</v>
      </c>
      <c r="AA67" s="67">
        <f t="shared" si="71"/>
        <v>0</v>
      </c>
      <c r="AB67" s="67">
        <f t="shared" si="71"/>
        <v>0</v>
      </c>
      <c r="AC67" s="67">
        <f t="shared" si="71"/>
        <v>0</v>
      </c>
      <c r="AD67" s="67">
        <f t="shared" si="71"/>
        <v>0</v>
      </c>
      <c r="AE67" s="67">
        <f t="shared" si="71"/>
        <v>0</v>
      </c>
      <c r="AF67" s="67">
        <f t="shared" si="71"/>
        <v>0</v>
      </c>
      <c r="AG67" s="67">
        <f t="shared" si="71"/>
        <v>0</v>
      </c>
      <c r="AH67" s="67">
        <f t="shared" si="71"/>
        <v>0</v>
      </c>
      <c r="AI67" s="67">
        <f t="shared" si="71"/>
        <v>0</v>
      </c>
      <c r="AJ67" s="67">
        <f t="shared" si="71"/>
        <v>0</v>
      </c>
      <c r="AK67" s="67">
        <f t="shared" si="71"/>
        <v>0</v>
      </c>
      <c r="AL67" s="67">
        <f t="shared" si="71"/>
        <v>0</v>
      </c>
      <c r="AM67" s="67">
        <f t="shared" si="71"/>
        <v>0</v>
      </c>
      <c r="AN67" s="67">
        <f t="shared" si="71"/>
        <v>0</v>
      </c>
      <c r="AO67" s="67">
        <f t="shared" si="71"/>
        <v>0</v>
      </c>
      <c r="AP67" s="67">
        <f t="shared" si="71"/>
        <v>0</v>
      </c>
      <c r="AQ67" s="67">
        <f t="shared" si="71"/>
        <v>0</v>
      </c>
      <c r="AR67" s="67">
        <f t="shared" si="71"/>
        <v>0</v>
      </c>
      <c r="AS67" s="67">
        <f t="shared" si="71"/>
        <v>0</v>
      </c>
      <c r="AT67" s="67">
        <f t="shared" si="71"/>
        <v>0</v>
      </c>
      <c r="AU67" s="67">
        <f t="shared" si="71"/>
        <v>0</v>
      </c>
      <c r="AV67" s="67">
        <f t="shared" si="71"/>
        <v>0</v>
      </c>
      <c r="AW67" s="67">
        <f t="shared" si="71"/>
        <v>0</v>
      </c>
      <c r="AX67" s="67">
        <f t="shared" si="71"/>
        <v>0</v>
      </c>
      <c r="AY67" s="67">
        <f t="shared" si="71"/>
        <v>0</v>
      </c>
      <c r="AZ67" s="67">
        <f t="shared" si="71"/>
        <v>0</v>
      </c>
    </row>
    <row r="68" spans="1:52" x14ac:dyDescent="0.25">
      <c r="A68" s="66" t="s">
        <v>1077</v>
      </c>
      <c r="B68" s="49">
        <v>0.99999979999999999</v>
      </c>
      <c r="C68" s="67">
        <f t="shared" ref="C68:AZ68" si="72">IFERROR($B68/C9,0)</f>
        <v>0.25553353562828263</v>
      </c>
      <c r="D68" s="67">
        <f t="shared" si="72"/>
        <v>1.4154211194157195E-2</v>
      </c>
      <c r="E68" s="67">
        <f t="shared" si="72"/>
        <v>6.3715657806865875E-3</v>
      </c>
      <c r="F68" s="67">
        <f t="shared" si="72"/>
        <v>5.2097839580430008E-3</v>
      </c>
      <c r="G68" s="67">
        <f t="shared" si="72"/>
        <v>6.3202397609517956E-3</v>
      </c>
      <c r="H68" s="67">
        <f t="shared" si="72"/>
        <v>5.3357835478430758E-3</v>
      </c>
      <c r="I68" s="67">
        <f t="shared" si="72"/>
        <v>1.4229656584068114E-2</v>
      </c>
      <c r="J68" s="67">
        <f t="shared" si="72"/>
        <v>4.7173628965272319E-3</v>
      </c>
      <c r="K68" s="67">
        <f t="shared" si="72"/>
        <v>5.4583292438339322E-2</v>
      </c>
      <c r="L68" s="67">
        <f t="shared" si="72"/>
        <v>9.9410396117916803E-3</v>
      </c>
      <c r="M68" s="67">
        <f t="shared" si="72"/>
        <v>1.3369849276029612E-2</v>
      </c>
      <c r="N68" s="67">
        <f t="shared" si="72"/>
        <v>5.757969003405969E-3</v>
      </c>
      <c r="O68" s="67">
        <f t="shared" si="72"/>
        <v>5.3103134929370884E-3</v>
      </c>
      <c r="P68" s="67">
        <f t="shared" si="72"/>
        <v>4.7221867705624582E-3</v>
      </c>
      <c r="Q68" s="67">
        <f t="shared" si="72"/>
        <v>3.4963439007310803E-3</v>
      </c>
      <c r="R68" s="67">
        <f t="shared" si="72"/>
        <v>2.2134056578187802E-2</v>
      </c>
      <c r="S68" s="67">
        <f t="shared" si="72"/>
        <v>1.0671181185763337E-2</v>
      </c>
      <c r="T68" s="67">
        <f t="shared" si="72"/>
        <v>6.6841528181691709E-3</v>
      </c>
      <c r="U68" s="67">
        <f t="shared" si="72"/>
        <v>2.1282353378528473E-2</v>
      </c>
      <c r="V68" s="67">
        <f t="shared" si="72"/>
        <v>1.1633640533271431E-2</v>
      </c>
      <c r="W68" s="67">
        <f t="shared" si="72"/>
        <v>9.2197739660448384E-3</v>
      </c>
      <c r="X68" s="67">
        <f t="shared" si="72"/>
        <v>7.1401053919786361E-3</v>
      </c>
      <c r="Y68" s="67">
        <f t="shared" si="72"/>
        <v>1.3248673560264759E-2</v>
      </c>
      <c r="Z68" s="67">
        <f t="shared" si="72"/>
        <v>1.2153847109230094E-2</v>
      </c>
      <c r="AA68" s="67">
        <f t="shared" si="72"/>
        <v>1.569553542589229E-2</v>
      </c>
      <c r="AB68" s="67">
        <f t="shared" si="72"/>
        <v>0.27051224337254043</v>
      </c>
      <c r="AC68" s="67">
        <f t="shared" si="72"/>
        <v>1.6291187391761872E-2</v>
      </c>
      <c r="AD68" s="67">
        <f t="shared" si="72"/>
        <v>6.7929794164038448E-3</v>
      </c>
      <c r="AE68" s="67">
        <f t="shared" si="72"/>
        <v>5.6728758654246E-3</v>
      </c>
      <c r="AF68" s="67">
        <f t="shared" si="72"/>
        <v>6.4977583254480758E-3</v>
      </c>
      <c r="AG68" s="67">
        <f t="shared" si="72"/>
        <v>6.2063963337204847E-3</v>
      </c>
      <c r="AH68" s="67">
        <f t="shared" si="72"/>
        <v>1.4388651472269129E-2</v>
      </c>
      <c r="AI68" s="67">
        <f t="shared" si="72"/>
        <v>4.3868310476336148E-3</v>
      </c>
      <c r="AJ68" s="67">
        <f t="shared" si="72"/>
        <v>5.6371791975639338E-2</v>
      </c>
      <c r="AK68" s="67">
        <f t="shared" si="72"/>
        <v>1.4395404895918446E-2</v>
      </c>
      <c r="AL68" s="67">
        <f t="shared" si="72"/>
        <v>9.4933841013227997E-3</v>
      </c>
      <c r="AM68" s="67">
        <f t="shared" si="72"/>
        <v>6.2720010205995448E-3</v>
      </c>
      <c r="AN68" s="67">
        <f t="shared" si="72"/>
        <v>5.7317271286543448E-3</v>
      </c>
      <c r="AO68" s="67">
        <f t="shared" si="72"/>
        <v>5.1065530536891848E-3</v>
      </c>
      <c r="AP68" s="67">
        <f t="shared" si="72"/>
        <v>4.6695100660978008E-3</v>
      </c>
      <c r="AQ68" s="67">
        <f t="shared" si="72"/>
        <v>1.9783672193264771E-2</v>
      </c>
      <c r="AR68" s="67">
        <f t="shared" si="72"/>
        <v>1.2050037339992051E-2</v>
      </c>
      <c r="AS68" s="67">
        <f t="shared" si="72"/>
        <v>6.0298425440312511E-3</v>
      </c>
      <c r="AT68" s="67">
        <f t="shared" si="72"/>
        <v>2.4915309391937132E-2</v>
      </c>
      <c r="AU68" s="67">
        <f t="shared" si="72"/>
        <v>1.1936193912760741E-2</v>
      </c>
      <c r="AV68" s="67">
        <f t="shared" si="72"/>
        <v>9.6853742879247553E-3</v>
      </c>
      <c r="AW68" s="67">
        <f t="shared" si="72"/>
        <v>7.3747386250519794E-3</v>
      </c>
      <c r="AX68" s="67">
        <f t="shared" si="72"/>
        <v>1.6460022982994746E-2</v>
      </c>
      <c r="AY68" s="67">
        <f t="shared" si="72"/>
        <v>1.5522261870547005E-2</v>
      </c>
      <c r="AZ68" s="67">
        <f t="shared" si="72"/>
        <v>1.6404066044186139E-2</v>
      </c>
    </row>
    <row r="69" spans="1:52" x14ac:dyDescent="0.25">
      <c r="A69" s="66" t="s">
        <v>1078</v>
      </c>
      <c r="B69" s="49">
        <v>1.9999999999999999E-7</v>
      </c>
      <c r="C69" s="67">
        <f t="shared" ref="C69:AZ69" si="73">IFERROR($B69/C24,0)</f>
        <v>0</v>
      </c>
      <c r="D69" s="67">
        <f t="shared" si="73"/>
        <v>0</v>
      </c>
      <c r="E69" s="67">
        <f t="shared" si="73"/>
        <v>0</v>
      </c>
      <c r="F69" s="67">
        <f t="shared" si="73"/>
        <v>0</v>
      </c>
      <c r="G69" s="67">
        <f t="shared" si="73"/>
        <v>0</v>
      </c>
      <c r="H69" s="67">
        <f t="shared" si="73"/>
        <v>0</v>
      </c>
      <c r="I69" s="67">
        <f t="shared" si="73"/>
        <v>0</v>
      </c>
      <c r="J69" s="67">
        <f t="shared" si="73"/>
        <v>0</v>
      </c>
      <c r="K69" s="67">
        <f t="shared" si="73"/>
        <v>0</v>
      </c>
      <c r="L69" s="67">
        <f t="shared" si="73"/>
        <v>0</v>
      </c>
      <c r="M69" s="67">
        <f t="shared" si="73"/>
        <v>0</v>
      </c>
      <c r="N69" s="67">
        <f t="shared" si="73"/>
        <v>0</v>
      </c>
      <c r="O69" s="67">
        <f t="shared" si="73"/>
        <v>0</v>
      </c>
      <c r="P69" s="67">
        <f t="shared" si="73"/>
        <v>0</v>
      </c>
      <c r="Q69" s="67">
        <f t="shared" si="73"/>
        <v>0</v>
      </c>
      <c r="R69" s="67">
        <f t="shared" si="73"/>
        <v>0</v>
      </c>
      <c r="S69" s="67">
        <f t="shared" si="73"/>
        <v>0</v>
      </c>
      <c r="T69" s="67">
        <f t="shared" si="73"/>
        <v>0</v>
      </c>
      <c r="U69" s="67">
        <f t="shared" si="73"/>
        <v>0</v>
      </c>
      <c r="V69" s="67">
        <f t="shared" si="73"/>
        <v>0</v>
      </c>
      <c r="W69" s="67">
        <f t="shared" si="73"/>
        <v>0</v>
      </c>
      <c r="X69" s="67">
        <f t="shared" si="73"/>
        <v>0</v>
      </c>
      <c r="Y69" s="67">
        <f t="shared" si="73"/>
        <v>0</v>
      </c>
      <c r="Z69" s="67">
        <f t="shared" si="73"/>
        <v>0</v>
      </c>
      <c r="AA69" s="67">
        <f t="shared" si="73"/>
        <v>0</v>
      </c>
      <c r="AB69" s="67">
        <f t="shared" si="73"/>
        <v>0</v>
      </c>
      <c r="AC69" s="67">
        <f t="shared" si="73"/>
        <v>0</v>
      </c>
      <c r="AD69" s="67">
        <f t="shared" si="73"/>
        <v>0</v>
      </c>
      <c r="AE69" s="67">
        <f t="shared" si="73"/>
        <v>0</v>
      </c>
      <c r="AF69" s="67">
        <f t="shared" si="73"/>
        <v>0</v>
      </c>
      <c r="AG69" s="67">
        <f t="shared" si="73"/>
        <v>0</v>
      </c>
      <c r="AH69" s="67">
        <f t="shared" si="73"/>
        <v>0</v>
      </c>
      <c r="AI69" s="67">
        <f t="shared" si="73"/>
        <v>0</v>
      </c>
      <c r="AJ69" s="67">
        <f t="shared" si="73"/>
        <v>0</v>
      </c>
      <c r="AK69" s="67">
        <f t="shared" si="73"/>
        <v>0</v>
      </c>
      <c r="AL69" s="67">
        <f t="shared" si="73"/>
        <v>0</v>
      </c>
      <c r="AM69" s="67">
        <f t="shared" si="73"/>
        <v>0</v>
      </c>
      <c r="AN69" s="67">
        <f t="shared" si="73"/>
        <v>0</v>
      </c>
      <c r="AO69" s="67">
        <f t="shared" si="73"/>
        <v>0</v>
      </c>
      <c r="AP69" s="67">
        <f t="shared" si="73"/>
        <v>0</v>
      </c>
      <c r="AQ69" s="67">
        <f t="shared" si="73"/>
        <v>0</v>
      </c>
      <c r="AR69" s="67">
        <f t="shared" si="73"/>
        <v>0</v>
      </c>
      <c r="AS69" s="67">
        <f t="shared" si="73"/>
        <v>0</v>
      </c>
      <c r="AT69" s="67">
        <f t="shared" si="73"/>
        <v>0</v>
      </c>
      <c r="AU69" s="67">
        <f t="shared" si="73"/>
        <v>0</v>
      </c>
      <c r="AV69" s="67">
        <f t="shared" si="73"/>
        <v>0</v>
      </c>
      <c r="AW69" s="67">
        <f t="shared" si="73"/>
        <v>0</v>
      </c>
      <c r="AX69" s="67">
        <f t="shared" si="73"/>
        <v>0</v>
      </c>
      <c r="AY69" s="67">
        <f t="shared" si="73"/>
        <v>0</v>
      </c>
      <c r="AZ69" s="67">
        <f t="shared" si="73"/>
        <v>0</v>
      </c>
    </row>
    <row r="70" spans="1:52" x14ac:dyDescent="0.25">
      <c r="A70" s="66" t="s">
        <v>1079</v>
      </c>
      <c r="B70" s="49">
        <v>0.99979000004200003</v>
      </c>
      <c r="C70" s="67">
        <f t="shared" ref="C70:AZ70" si="74">IFERROR($B70/C20,0)</f>
        <v>0</v>
      </c>
      <c r="D70" s="67">
        <f t="shared" si="74"/>
        <v>0</v>
      </c>
      <c r="E70" s="67">
        <f t="shared" si="74"/>
        <v>0</v>
      </c>
      <c r="F70" s="67">
        <f t="shared" si="74"/>
        <v>0</v>
      </c>
      <c r="G70" s="67">
        <f t="shared" si="74"/>
        <v>0</v>
      </c>
      <c r="H70" s="67">
        <f t="shared" si="74"/>
        <v>0</v>
      </c>
      <c r="I70" s="67">
        <f t="shared" si="74"/>
        <v>0</v>
      </c>
      <c r="J70" s="67">
        <f t="shared" si="74"/>
        <v>0</v>
      </c>
      <c r="K70" s="67">
        <f t="shared" si="74"/>
        <v>0</v>
      </c>
      <c r="L70" s="67">
        <f t="shared" si="74"/>
        <v>0</v>
      </c>
      <c r="M70" s="67">
        <f t="shared" si="74"/>
        <v>0</v>
      </c>
      <c r="N70" s="67">
        <f t="shared" si="74"/>
        <v>0</v>
      </c>
      <c r="O70" s="67">
        <f t="shared" si="74"/>
        <v>0</v>
      </c>
      <c r="P70" s="67">
        <f t="shared" si="74"/>
        <v>0</v>
      </c>
      <c r="Q70" s="67">
        <f t="shared" si="74"/>
        <v>0</v>
      </c>
      <c r="R70" s="67">
        <f t="shared" si="74"/>
        <v>0</v>
      </c>
      <c r="S70" s="67">
        <f t="shared" si="74"/>
        <v>0</v>
      </c>
      <c r="T70" s="67">
        <f t="shared" si="74"/>
        <v>0</v>
      </c>
      <c r="U70" s="67">
        <f t="shared" si="74"/>
        <v>0</v>
      </c>
      <c r="V70" s="67">
        <f t="shared" si="74"/>
        <v>0</v>
      </c>
      <c r="W70" s="67">
        <f t="shared" si="74"/>
        <v>0</v>
      </c>
      <c r="X70" s="67">
        <f t="shared" si="74"/>
        <v>0</v>
      </c>
      <c r="Y70" s="67">
        <f t="shared" si="74"/>
        <v>0</v>
      </c>
      <c r="Z70" s="67">
        <f t="shared" si="74"/>
        <v>0</v>
      </c>
      <c r="AA70" s="67">
        <f t="shared" si="74"/>
        <v>0</v>
      </c>
      <c r="AB70" s="67">
        <f t="shared" si="74"/>
        <v>0</v>
      </c>
      <c r="AC70" s="67">
        <f t="shared" si="74"/>
        <v>0</v>
      </c>
      <c r="AD70" s="67">
        <f t="shared" si="74"/>
        <v>0</v>
      </c>
      <c r="AE70" s="67">
        <f t="shared" si="74"/>
        <v>0</v>
      </c>
      <c r="AF70" s="67">
        <f t="shared" si="74"/>
        <v>0</v>
      </c>
      <c r="AG70" s="67">
        <f t="shared" si="74"/>
        <v>0</v>
      </c>
      <c r="AH70" s="67">
        <f t="shared" si="74"/>
        <v>0</v>
      </c>
      <c r="AI70" s="67">
        <f t="shared" si="74"/>
        <v>0</v>
      </c>
      <c r="AJ70" s="67">
        <f t="shared" si="74"/>
        <v>0</v>
      </c>
      <c r="AK70" s="67">
        <f t="shared" si="74"/>
        <v>0</v>
      </c>
      <c r="AL70" s="67">
        <f t="shared" si="74"/>
        <v>0</v>
      </c>
      <c r="AM70" s="67">
        <f t="shared" si="74"/>
        <v>0</v>
      </c>
      <c r="AN70" s="67">
        <f t="shared" si="74"/>
        <v>0</v>
      </c>
      <c r="AO70" s="67">
        <f t="shared" si="74"/>
        <v>0</v>
      </c>
      <c r="AP70" s="67">
        <f t="shared" si="74"/>
        <v>0</v>
      </c>
      <c r="AQ70" s="67">
        <f t="shared" si="74"/>
        <v>0</v>
      </c>
      <c r="AR70" s="67">
        <f t="shared" si="74"/>
        <v>0</v>
      </c>
      <c r="AS70" s="67">
        <f t="shared" si="74"/>
        <v>0</v>
      </c>
      <c r="AT70" s="67">
        <f t="shared" si="74"/>
        <v>0</v>
      </c>
      <c r="AU70" s="67">
        <f t="shared" si="74"/>
        <v>0</v>
      </c>
      <c r="AV70" s="67">
        <f t="shared" si="74"/>
        <v>0</v>
      </c>
      <c r="AW70" s="67">
        <f t="shared" si="74"/>
        <v>0</v>
      </c>
      <c r="AX70" s="67">
        <f t="shared" si="74"/>
        <v>0</v>
      </c>
      <c r="AY70" s="67">
        <f t="shared" si="74"/>
        <v>0</v>
      </c>
      <c r="AZ70" s="67">
        <f t="shared" si="74"/>
        <v>0</v>
      </c>
    </row>
    <row r="71" spans="1:52" x14ac:dyDescent="0.25">
      <c r="A71" s="66" t="s">
        <v>1080</v>
      </c>
      <c r="B71" s="49">
        <v>2.0999995799999999E-4</v>
      </c>
      <c r="C71" s="67">
        <f t="shared" ref="C71:AZ71" si="75">IFERROR($B71/C29,0)</f>
        <v>0</v>
      </c>
      <c r="D71" s="67">
        <f t="shared" si="75"/>
        <v>0</v>
      </c>
      <c r="E71" s="67">
        <f t="shared" si="75"/>
        <v>0</v>
      </c>
      <c r="F71" s="67">
        <f t="shared" si="75"/>
        <v>0</v>
      </c>
      <c r="G71" s="67">
        <f t="shared" si="75"/>
        <v>0</v>
      </c>
      <c r="H71" s="67">
        <f t="shared" si="75"/>
        <v>0</v>
      </c>
      <c r="I71" s="67">
        <f t="shared" si="75"/>
        <v>0</v>
      </c>
      <c r="J71" s="67">
        <f t="shared" si="75"/>
        <v>0</v>
      </c>
      <c r="K71" s="67">
        <f t="shared" si="75"/>
        <v>0</v>
      </c>
      <c r="L71" s="67">
        <f t="shared" si="75"/>
        <v>0</v>
      </c>
      <c r="M71" s="67">
        <f t="shared" si="75"/>
        <v>0</v>
      </c>
      <c r="N71" s="67">
        <f t="shared" si="75"/>
        <v>0</v>
      </c>
      <c r="O71" s="67">
        <f t="shared" si="75"/>
        <v>0</v>
      </c>
      <c r="P71" s="67">
        <f t="shared" si="75"/>
        <v>0</v>
      </c>
      <c r="Q71" s="67">
        <f t="shared" si="75"/>
        <v>0</v>
      </c>
      <c r="R71" s="67">
        <f t="shared" si="75"/>
        <v>0</v>
      </c>
      <c r="S71" s="67">
        <f t="shared" si="75"/>
        <v>0</v>
      </c>
      <c r="T71" s="67">
        <f t="shared" si="75"/>
        <v>0</v>
      </c>
      <c r="U71" s="67">
        <f t="shared" si="75"/>
        <v>0</v>
      </c>
      <c r="V71" s="67">
        <f t="shared" si="75"/>
        <v>0</v>
      </c>
      <c r="W71" s="67">
        <f t="shared" si="75"/>
        <v>0</v>
      </c>
      <c r="X71" s="67">
        <f t="shared" si="75"/>
        <v>0</v>
      </c>
      <c r="Y71" s="67">
        <f t="shared" si="75"/>
        <v>0</v>
      </c>
      <c r="Z71" s="67">
        <f t="shared" si="75"/>
        <v>0</v>
      </c>
      <c r="AA71" s="67">
        <f t="shared" si="75"/>
        <v>0</v>
      </c>
      <c r="AB71" s="67">
        <f t="shared" si="75"/>
        <v>0</v>
      </c>
      <c r="AC71" s="67">
        <f t="shared" si="75"/>
        <v>0</v>
      </c>
      <c r="AD71" s="67">
        <f t="shared" si="75"/>
        <v>0</v>
      </c>
      <c r="AE71" s="67">
        <f t="shared" si="75"/>
        <v>0</v>
      </c>
      <c r="AF71" s="67">
        <f t="shared" si="75"/>
        <v>0</v>
      </c>
      <c r="AG71" s="67">
        <f t="shared" si="75"/>
        <v>0</v>
      </c>
      <c r="AH71" s="67">
        <f t="shared" si="75"/>
        <v>0</v>
      </c>
      <c r="AI71" s="67">
        <f t="shared" si="75"/>
        <v>0</v>
      </c>
      <c r="AJ71" s="67">
        <f t="shared" si="75"/>
        <v>0</v>
      </c>
      <c r="AK71" s="67">
        <f t="shared" si="75"/>
        <v>0</v>
      </c>
      <c r="AL71" s="67">
        <f t="shared" si="75"/>
        <v>0</v>
      </c>
      <c r="AM71" s="67">
        <f t="shared" si="75"/>
        <v>0</v>
      </c>
      <c r="AN71" s="67">
        <f t="shared" si="75"/>
        <v>0</v>
      </c>
      <c r="AO71" s="67">
        <f t="shared" si="75"/>
        <v>0</v>
      </c>
      <c r="AP71" s="67">
        <f t="shared" si="75"/>
        <v>0</v>
      </c>
      <c r="AQ71" s="67">
        <f t="shared" si="75"/>
        <v>0</v>
      </c>
      <c r="AR71" s="67">
        <f t="shared" si="75"/>
        <v>0</v>
      </c>
      <c r="AS71" s="67">
        <f t="shared" si="75"/>
        <v>0</v>
      </c>
      <c r="AT71" s="67">
        <f t="shared" si="75"/>
        <v>0</v>
      </c>
      <c r="AU71" s="67">
        <f t="shared" si="75"/>
        <v>0</v>
      </c>
      <c r="AV71" s="67">
        <f t="shared" si="75"/>
        <v>0</v>
      </c>
      <c r="AW71" s="67">
        <f t="shared" si="75"/>
        <v>0</v>
      </c>
      <c r="AX71" s="67">
        <f t="shared" si="75"/>
        <v>0</v>
      </c>
      <c r="AY71" s="67">
        <f t="shared" si="75"/>
        <v>0</v>
      </c>
      <c r="AZ71" s="67">
        <f t="shared" si="75"/>
        <v>0</v>
      </c>
    </row>
    <row r="72" spans="1:52" x14ac:dyDescent="0.25">
      <c r="A72" s="66" t="s">
        <v>1081</v>
      </c>
      <c r="B72" s="49">
        <v>1</v>
      </c>
      <c r="C72" s="67">
        <f t="shared" ref="C72:AZ72" si="76">IFERROR($B72/C16,0)</f>
        <v>1749.2903252999999</v>
      </c>
      <c r="D72" s="67">
        <f t="shared" si="76"/>
        <v>96.894619500000005</v>
      </c>
      <c r="E72" s="67">
        <f t="shared" si="76"/>
        <v>43.617438899999996</v>
      </c>
      <c r="F72" s="67">
        <f t="shared" si="76"/>
        <v>35.664300000000004</v>
      </c>
      <c r="G72" s="67">
        <f t="shared" si="76"/>
        <v>43.266079500000004</v>
      </c>
      <c r="H72" s="67">
        <f t="shared" si="76"/>
        <v>36.526847699999998</v>
      </c>
      <c r="I72" s="67">
        <f t="shared" si="76"/>
        <v>97.411091399999989</v>
      </c>
      <c r="J72" s="67">
        <f t="shared" si="76"/>
        <v>32.293363200000002</v>
      </c>
      <c r="K72" s="67">
        <f t="shared" si="76"/>
        <v>373.65751289999997</v>
      </c>
      <c r="L72" s="67">
        <f t="shared" si="76"/>
        <v>68.052768</v>
      </c>
      <c r="M72" s="67">
        <f t="shared" si="76"/>
        <v>91.525161000000011</v>
      </c>
      <c r="N72" s="67">
        <f t="shared" si="76"/>
        <v>39.416976900000002</v>
      </c>
      <c r="O72" s="67">
        <f t="shared" si="76"/>
        <v>36.352488899999997</v>
      </c>
      <c r="P72" s="67">
        <f t="shared" si="76"/>
        <v>32.326385700000003</v>
      </c>
      <c r="Q72" s="67">
        <f t="shared" si="76"/>
        <v>23.934708000000001</v>
      </c>
      <c r="R72" s="67">
        <f t="shared" si="76"/>
        <v>151.52175990000003</v>
      </c>
      <c r="S72" s="67">
        <f t="shared" si="76"/>
        <v>73.051053600000003</v>
      </c>
      <c r="T72" s="67">
        <f t="shared" si="76"/>
        <v>45.757296900000007</v>
      </c>
      <c r="U72" s="67">
        <f t="shared" si="76"/>
        <v>145.69130729999998</v>
      </c>
      <c r="V72" s="67">
        <f t="shared" si="76"/>
        <v>79.639702800000023</v>
      </c>
      <c r="W72" s="67">
        <f t="shared" si="76"/>
        <v>63.115243800000002</v>
      </c>
      <c r="X72" s="67">
        <f t="shared" si="76"/>
        <v>48.878583599999999</v>
      </c>
      <c r="Y72" s="67">
        <f t="shared" si="76"/>
        <v>90.695635800000005</v>
      </c>
      <c r="Z72" s="67">
        <f t="shared" si="76"/>
        <v>83.200849200000007</v>
      </c>
      <c r="AA72" s="67">
        <f t="shared" si="76"/>
        <v>107.44596870000001</v>
      </c>
      <c r="AB72" s="67">
        <f t="shared" si="76"/>
        <v>1851.8291505000002</v>
      </c>
      <c r="AC72" s="67">
        <f t="shared" si="76"/>
        <v>111.52358700000001</v>
      </c>
      <c r="AD72" s="67">
        <f t="shared" si="76"/>
        <v>46.502284499999995</v>
      </c>
      <c r="AE72" s="67">
        <f t="shared" si="76"/>
        <v>38.83446</v>
      </c>
      <c r="AF72" s="67">
        <f t="shared" si="76"/>
        <v>44.4813075</v>
      </c>
      <c r="AG72" s="67">
        <f t="shared" si="76"/>
        <v>42.48674849999999</v>
      </c>
      <c r="AH72" s="67">
        <f t="shared" si="76"/>
        <v>98.499512999999993</v>
      </c>
      <c r="AI72" s="67">
        <f t="shared" si="76"/>
        <v>30.030661500000001</v>
      </c>
      <c r="AJ72" s="67">
        <f t="shared" si="76"/>
        <v>385.90093499999995</v>
      </c>
      <c r="AK72" s="67">
        <f t="shared" si="76"/>
        <v>98.545744499999998</v>
      </c>
      <c r="AL72" s="67">
        <f t="shared" si="76"/>
        <v>64.988280000000003</v>
      </c>
      <c r="AM72" s="67">
        <f t="shared" si="76"/>
        <v>42.935854499999998</v>
      </c>
      <c r="AN72" s="67">
        <f t="shared" si="76"/>
        <v>39.237334499999996</v>
      </c>
      <c r="AO72" s="67">
        <f t="shared" si="76"/>
        <v>34.957618500000002</v>
      </c>
      <c r="AP72" s="67">
        <f t="shared" si="76"/>
        <v>31.965780000000002</v>
      </c>
      <c r="AQ72" s="67">
        <f t="shared" si="76"/>
        <v>135.43187700000001</v>
      </c>
      <c r="AR72" s="67">
        <f t="shared" si="76"/>
        <v>82.490205000000003</v>
      </c>
      <c r="AS72" s="67">
        <f t="shared" si="76"/>
        <v>41.278125000000003</v>
      </c>
      <c r="AT72" s="67">
        <f t="shared" si="76"/>
        <v>170.56121250000004</v>
      </c>
      <c r="AU72" s="67">
        <f t="shared" si="76"/>
        <v>81.710874000000004</v>
      </c>
      <c r="AV72" s="67">
        <f t="shared" si="76"/>
        <v>66.302575500000003</v>
      </c>
      <c r="AW72" s="67">
        <f t="shared" si="76"/>
        <v>50.484797999999998</v>
      </c>
      <c r="AX72" s="67">
        <f t="shared" si="76"/>
        <v>112.67937449999999</v>
      </c>
      <c r="AY72" s="67">
        <f t="shared" si="76"/>
        <v>106.2598005</v>
      </c>
      <c r="AZ72" s="67">
        <f t="shared" si="76"/>
        <v>112.29631350000002</v>
      </c>
    </row>
    <row r="73" spans="1:52" x14ac:dyDescent="0.25">
      <c r="A73" s="66" t="s">
        <v>1082</v>
      </c>
      <c r="B73" s="49">
        <v>1</v>
      </c>
      <c r="C73" s="67">
        <f t="shared" ref="C73:AZ73" si="77">IFERROR($B73/C7,0)</f>
        <v>3.0869829269999998</v>
      </c>
      <c r="D73" s="67">
        <f t="shared" si="77"/>
        <v>0.17099050499999999</v>
      </c>
      <c r="E73" s="67">
        <f t="shared" si="77"/>
        <v>7.6971950999999983E-2</v>
      </c>
      <c r="F73" s="67">
        <f t="shared" si="77"/>
        <v>6.2937000000000007E-2</v>
      </c>
      <c r="G73" s="67">
        <f t="shared" si="77"/>
        <v>7.6351905000000012E-2</v>
      </c>
      <c r="H73" s="67">
        <f t="shared" si="77"/>
        <v>6.4459142999999997E-2</v>
      </c>
      <c r="I73" s="67">
        <f t="shared" si="77"/>
        <v>0.17190192599999998</v>
      </c>
      <c r="J73" s="67">
        <f t="shared" si="77"/>
        <v>5.6988288000000012E-2</v>
      </c>
      <c r="K73" s="67">
        <f t="shared" si="77"/>
        <v>0.65939561099999988</v>
      </c>
      <c r="L73" s="67">
        <f t="shared" si="77"/>
        <v>0.12009312000000001</v>
      </c>
      <c r="M73" s="67">
        <f t="shared" si="77"/>
        <v>0.16151499000000002</v>
      </c>
      <c r="N73" s="67">
        <f t="shared" si="77"/>
        <v>6.9559370999999995E-2</v>
      </c>
      <c r="O73" s="67">
        <f t="shared" si="77"/>
        <v>6.4151450999999984E-2</v>
      </c>
      <c r="P73" s="67">
        <f t="shared" si="77"/>
        <v>5.7046563000000015E-2</v>
      </c>
      <c r="Q73" s="67">
        <f t="shared" si="77"/>
        <v>4.2237719999999999E-2</v>
      </c>
      <c r="R73" s="67">
        <f t="shared" si="77"/>
        <v>0.267391341</v>
      </c>
      <c r="S73" s="67">
        <f t="shared" si="77"/>
        <v>0.128913624</v>
      </c>
      <c r="T73" s="67">
        <f t="shared" si="77"/>
        <v>8.0748171000000007E-2</v>
      </c>
      <c r="U73" s="67">
        <f t="shared" si="77"/>
        <v>0.25710230699999997</v>
      </c>
      <c r="V73" s="67">
        <f t="shared" si="77"/>
        <v>0.14054065200000002</v>
      </c>
      <c r="W73" s="67">
        <f t="shared" si="77"/>
        <v>0.11137984199999999</v>
      </c>
      <c r="X73" s="67">
        <f t="shared" si="77"/>
        <v>8.6256323999999995E-2</v>
      </c>
      <c r="Y73" s="67">
        <f t="shared" si="77"/>
        <v>0.16005112199999999</v>
      </c>
      <c r="Z73" s="67">
        <f t="shared" si="77"/>
        <v>0.14682502800000002</v>
      </c>
      <c r="AA73" s="67">
        <f t="shared" si="77"/>
        <v>0.18961053300000003</v>
      </c>
      <c r="AB73" s="67">
        <f t="shared" si="77"/>
        <v>3.2679337950000007</v>
      </c>
      <c r="AC73" s="67">
        <f t="shared" si="77"/>
        <v>0.19680633000000003</v>
      </c>
      <c r="AD73" s="67">
        <f t="shared" si="77"/>
        <v>8.206285499999999E-2</v>
      </c>
      <c r="AE73" s="67">
        <f t="shared" si="77"/>
        <v>6.8531399999999992E-2</v>
      </c>
      <c r="AF73" s="67">
        <f t="shared" si="77"/>
        <v>7.8496424999999995E-2</v>
      </c>
      <c r="AG73" s="67">
        <f t="shared" si="77"/>
        <v>7.4976614999999983E-2</v>
      </c>
      <c r="AH73" s="67">
        <f t="shared" si="77"/>
        <v>0.17382266999999998</v>
      </c>
      <c r="AI73" s="67">
        <f t="shared" si="77"/>
        <v>5.2995284999999989E-2</v>
      </c>
      <c r="AJ73" s="67">
        <f t="shared" si="77"/>
        <v>0.6810016499999999</v>
      </c>
      <c r="AK73" s="67">
        <f t="shared" si="77"/>
        <v>0.17390425500000001</v>
      </c>
      <c r="AL73" s="67">
        <f t="shared" si="77"/>
        <v>0.1146852</v>
      </c>
      <c r="AM73" s="67">
        <f t="shared" si="77"/>
        <v>7.5769154999999991E-2</v>
      </c>
      <c r="AN73" s="67">
        <f t="shared" si="77"/>
        <v>6.9242354999999992E-2</v>
      </c>
      <c r="AO73" s="67">
        <f t="shared" si="77"/>
        <v>6.1689914999999991E-2</v>
      </c>
      <c r="AP73" s="67">
        <f t="shared" si="77"/>
        <v>5.6410200000000001E-2</v>
      </c>
      <c r="AQ73" s="67">
        <f t="shared" si="77"/>
        <v>0.23899742999999996</v>
      </c>
      <c r="AR73" s="67">
        <f t="shared" si="77"/>
        <v>0.14557095</v>
      </c>
      <c r="AS73" s="67">
        <f t="shared" si="77"/>
        <v>7.2843749999999999E-2</v>
      </c>
      <c r="AT73" s="67">
        <f t="shared" si="77"/>
        <v>0.30099037500000003</v>
      </c>
      <c r="AU73" s="67">
        <f t="shared" si="77"/>
        <v>0.14419566</v>
      </c>
      <c r="AV73" s="67">
        <f t="shared" si="77"/>
        <v>0.117004545</v>
      </c>
      <c r="AW73" s="67">
        <f t="shared" si="77"/>
        <v>8.9090820000000001E-2</v>
      </c>
      <c r="AX73" s="67">
        <f t="shared" si="77"/>
        <v>0.19884595499999999</v>
      </c>
      <c r="AY73" s="67">
        <f t="shared" si="77"/>
        <v>0.18751729500000003</v>
      </c>
      <c r="AZ73" s="67">
        <f t="shared" si="77"/>
        <v>0.198169965</v>
      </c>
    </row>
    <row r="74" spans="1:52" x14ac:dyDescent="0.25">
      <c r="A74" s="66" t="s">
        <v>1083</v>
      </c>
      <c r="B74" s="49">
        <v>1.9000000000000001E-8</v>
      </c>
      <c r="C74" s="67">
        <f t="shared" ref="C74:AZ74" si="78">IFERROR($B74/C12,0)</f>
        <v>0</v>
      </c>
      <c r="D74" s="67">
        <f t="shared" si="78"/>
        <v>0</v>
      </c>
      <c r="E74" s="67">
        <f t="shared" si="78"/>
        <v>0</v>
      </c>
      <c r="F74" s="67">
        <f t="shared" si="78"/>
        <v>0</v>
      </c>
      <c r="G74" s="67">
        <f t="shared" si="78"/>
        <v>0</v>
      </c>
      <c r="H74" s="67">
        <f t="shared" si="78"/>
        <v>0</v>
      </c>
      <c r="I74" s="67">
        <f t="shared" si="78"/>
        <v>0</v>
      </c>
      <c r="J74" s="67">
        <f t="shared" si="78"/>
        <v>0</v>
      </c>
      <c r="K74" s="67">
        <f t="shared" si="78"/>
        <v>0</v>
      </c>
      <c r="L74" s="67">
        <f t="shared" si="78"/>
        <v>0</v>
      </c>
      <c r="M74" s="67">
        <f t="shared" si="78"/>
        <v>0</v>
      </c>
      <c r="N74" s="67">
        <f t="shared" si="78"/>
        <v>0</v>
      </c>
      <c r="O74" s="67">
        <f t="shared" si="78"/>
        <v>0</v>
      </c>
      <c r="P74" s="67">
        <f t="shared" si="78"/>
        <v>0</v>
      </c>
      <c r="Q74" s="67">
        <f t="shared" si="78"/>
        <v>0</v>
      </c>
      <c r="R74" s="67">
        <f t="shared" si="78"/>
        <v>0</v>
      </c>
      <c r="S74" s="67">
        <f t="shared" si="78"/>
        <v>0</v>
      </c>
      <c r="T74" s="67">
        <f t="shared" si="78"/>
        <v>0</v>
      </c>
      <c r="U74" s="67">
        <f t="shared" si="78"/>
        <v>0</v>
      </c>
      <c r="V74" s="67">
        <f t="shared" si="78"/>
        <v>0</v>
      </c>
      <c r="W74" s="67">
        <f t="shared" si="78"/>
        <v>0</v>
      </c>
      <c r="X74" s="67">
        <f t="shared" si="78"/>
        <v>0</v>
      </c>
      <c r="Y74" s="67">
        <f t="shared" si="78"/>
        <v>0</v>
      </c>
      <c r="Z74" s="67">
        <f t="shared" si="78"/>
        <v>0</v>
      </c>
      <c r="AA74" s="67">
        <f t="shared" si="78"/>
        <v>0</v>
      </c>
      <c r="AB74" s="67">
        <f t="shared" si="78"/>
        <v>0</v>
      </c>
      <c r="AC74" s="67">
        <f t="shared" si="78"/>
        <v>0</v>
      </c>
      <c r="AD74" s="67">
        <f t="shared" si="78"/>
        <v>0</v>
      </c>
      <c r="AE74" s="67">
        <f t="shared" si="78"/>
        <v>0</v>
      </c>
      <c r="AF74" s="67">
        <f t="shared" si="78"/>
        <v>0</v>
      </c>
      <c r="AG74" s="67">
        <f t="shared" si="78"/>
        <v>0</v>
      </c>
      <c r="AH74" s="67">
        <f t="shared" si="78"/>
        <v>0</v>
      </c>
      <c r="AI74" s="67">
        <f t="shared" si="78"/>
        <v>0</v>
      </c>
      <c r="AJ74" s="67">
        <f t="shared" si="78"/>
        <v>0</v>
      </c>
      <c r="AK74" s="67">
        <f t="shared" si="78"/>
        <v>0</v>
      </c>
      <c r="AL74" s="67">
        <f t="shared" si="78"/>
        <v>0</v>
      </c>
      <c r="AM74" s="67">
        <f t="shared" si="78"/>
        <v>0</v>
      </c>
      <c r="AN74" s="67">
        <f t="shared" si="78"/>
        <v>0</v>
      </c>
      <c r="AO74" s="67">
        <f t="shared" si="78"/>
        <v>0</v>
      </c>
      <c r="AP74" s="67">
        <f t="shared" si="78"/>
        <v>0</v>
      </c>
      <c r="AQ74" s="67">
        <f t="shared" si="78"/>
        <v>0</v>
      </c>
      <c r="AR74" s="67">
        <f t="shared" si="78"/>
        <v>0</v>
      </c>
      <c r="AS74" s="67">
        <f t="shared" si="78"/>
        <v>0</v>
      </c>
      <c r="AT74" s="67">
        <f t="shared" si="78"/>
        <v>0</v>
      </c>
      <c r="AU74" s="67">
        <f t="shared" si="78"/>
        <v>0</v>
      </c>
      <c r="AV74" s="67">
        <f t="shared" si="78"/>
        <v>0</v>
      </c>
      <c r="AW74" s="67">
        <f t="shared" si="78"/>
        <v>0</v>
      </c>
      <c r="AX74" s="67">
        <f t="shared" si="78"/>
        <v>0</v>
      </c>
      <c r="AY74" s="67">
        <f t="shared" si="78"/>
        <v>0</v>
      </c>
      <c r="AZ74" s="67">
        <f t="shared" si="78"/>
        <v>0</v>
      </c>
    </row>
    <row r="75" spans="1:52" x14ac:dyDescent="0.25">
      <c r="A75" s="66" t="s">
        <v>1084</v>
      </c>
      <c r="B75" s="49">
        <v>1</v>
      </c>
      <c r="C75" s="67">
        <f t="shared" ref="C75:AZ75" si="79">IFERROR($B75/C18,0)</f>
        <v>3001.23340125</v>
      </c>
      <c r="D75" s="67">
        <f t="shared" si="79"/>
        <v>166.24076875</v>
      </c>
      <c r="E75" s="67">
        <f t="shared" si="79"/>
        <v>74.833841249999992</v>
      </c>
      <c r="F75" s="67">
        <f t="shared" si="79"/>
        <v>61.188750000000006</v>
      </c>
      <c r="G75" s="67">
        <f t="shared" si="79"/>
        <v>74.231018750000004</v>
      </c>
      <c r="H75" s="67">
        <f t="shared" si="79"/>
        <v>62.668611249999984</v>
      </c>
      <c r="I75" s="67">
        <f t="shared" si="79"/>
        <v>167.12687249999999</v>
      </c>
      <c r="J75" s="67">
        <f t="shared" si="79"/>
        <v>55.405280000000012</v>
      </c>
      <c r="K75" s="67">
        <f t="shared" si="79"/>
        <v>641.07906624999998</v>
      </c>
      <c r="L75" s="67">
        <f t="shared" si="79"/>
        <v>116.7572</v>
      </c>
      <c r="M75" s="67">
        <f t="shared" si="79"/>
        <v>157.02846250000002</v>
      </c>
      <c r="N75" s="67">
        <f t="shared" si="79"/>
        <v>67.627166250000002</v>
      </c>
      <c r="O75" s="67">
        <f t="shared" si="79"/>
        <v>62.369466249999988</v>
      </c>
      <c r="P75" s="67">
        <f t="shared" si="79"/>
        <v>55.461936250000008</v>
      </c>
      <c r="Q75" s="67">
        <f t="shared" si="79"/>
        <v>41.064450000000001</v>
      </c>
      <c r="R75" s="67">
        <f t="shared" si="79"/>
        <v>259.96380375000001</v>
      </c>
      <c r="S75" s="67">
        <f t="shared" si="79"/>
        <v>125.33269000000001</v>
      </c>
      <c r="T75" s="67">
        <f t="shared" si="79"/>
        <v>78.505166250000016</v>
      </c>
      <c r="U75" s="67">
        <f t="shared" si="79"/>
        <v>249.96057625</v>
      </c>
      <c r="V75" s="67">
        <f t="shared" si="79"/>
        <v>136.63674500000002</v>
      </c>
      <c r="W75" s="67">
        <f t="shared" si="79"/>
        <v>108.28595750000001</v>
      </c>
      <c r="X75" s="67">
        <f t="shared" si="79"/>
        <v>83.860315</v>
      </c>
      <c r="Y75" s="67">
        <f t="shared" si="79"/>
        <v>155.60525749999999</v>
      </c>
      <c r="Z75" s="67">
        <f t="shared" si="79"/>
        <v>142.74655500000003</v>
      </c>
      <c r="AA75" s="67">
        <f t="shared" si="79"/>
        <v>184.34357375000002</v>
      </c>
      <c r="AB75" s="67">
        <f t="shared" si="79"/>
        <v>3177.1578562499994</v>
      </c>
      <c r="AC75" s="67">
        <f t="shared" si="79"/>
        <v>191.33948749999999</v>
      </c>
      <c r="AD75" s="67">
        <f t="shared" si="79"/>
        <v>79.783331249999989</v>
      </c>
      <c r="AE75" s="67">
        <f t="shared" si="79"/>
        <v>66.627749999999992</v>
      </c>
      <c r="AF75" s="67">
        <f t="shared" si="79"/>
        <v>76.315968749999996</v>
      </c>
      <c r="AG75" s="67">
        <f t="shared" si="79"/>
        <v>72.89393124999998</v>
      </c>
      <c r="AH75" s="67">
        <f t="shared" si="79"/>
        <v>168.99426249999999</v>
      </c>
      <c r="AI75" s="67">
        <f t="shared" si="79"/>
        <v>51.52319374999999</v>
      </c>
      <c r="AJ75" s="67">
        <f t="shared" si="79"/>
        <v>662.08493749999991</v>
      </c>
      <c r="AK75" s="67">
        <f t="shared" si="79"/>
        <v>169.07358124999999</v>
      </c>
      <c r="AL75" s="67">
        <f t="shared" si="79"/>
        <v>111.49950000000001</v>
      </c>
      <c r="AM75" s="67">
        <f t="shared" si="79"/>
        <v>73.664456250000001</v>
      </c>
      <c r="AN75" s="67">
        <f t="shared" si="79"/>
        <v>67.318956249999985</v>
      </c>
      <c r="AO75" s="67">
        <f t="shared" si="79"/>
        <v>59.97630625</v>
      </c>
      <c r="AP75" s="67">
        <f t="shared" si="79"/>
        <v>54.843249999999998</v>
      </c>
      <c r="AQ75" s="67">
        <f t="shared" si="79"/>
        <v>232.35861249999996</v>
      </c>
      <c r="AR75" s="67">
        <f t="shared" si="79"/>
        <v>141.52731249999999</v>
      </c>
      <c r="AS75" s="67">
        <f t="shared" si="79"/>
        <v>70.8203125</v>
      </c>
      <c r="AT75" s="67">
        <f t="shared" si="79"/>
        <v>292.62953125000001</v>
      </c>
      <c r="AU75" s="67">
        <f t="shared" si="79"/>
        <v>140.190225</v>
      </c>
      <c r="AV75" s="67">
        <f t="shared" si="79"/>
        <v>113.75441875</v>
      </c>
      <c r="AW75" s="67">
        <f t="shared" si="79"/>
        <v>86.616074999999995</v>
      </c>
      <c r="AX75" s="67">
        <f t="shared" si="79"/>
        <v>193.32245624999999</v>
      </c>
      <c r="AY75" s="67">
        <f t="shared" si="79"/>
        <v>182.30848125</v>
      </c>
      <c r="AZ75" s="67">
        <f t="shared" si="79"/>
        <v>192.66524375000003</v>
      </c>
    </row>
    <row r="76" spans="1:52" x14ac:dyDescent="0.25">
      <c r="A76" s="66" t="s">
        <v>1085</v>
      </c>
      <c r="B76" s="49">
        <v>1.339E-6</v>
      </c>
      <c r="C76" s="67">
        <f t="shared" ref="C76:AZ76" si="80">IFERROR($B76/C27,0)</f>
        <v>0</v>
      </c>
      <c r="D76" s="67">
        <f t="shared" si="80"/>
        <v>0</v>
      </c>
      <c r="E76" s="67">
        <f t="shared" si="80"/>
        <v>0</v>
      </c>
      <c r="F76" s="67">
        <f t="shared" si="80"/>
        <v>0</v>
      </c>
      <c r="G76" s="67">
        <f t="shared" si="80"/>
        <v>0</v>
      </c>
      <c r="H76" s="67">
        <f t="shared" si="80"/>
        <v>0</v>
      </c>
      <c r="I76" s="67">
        <f t="shared" si="80"/>
        <v>0</v>
      </c>
      <c r="J76" s="67">
        <f t="shared" si="80"/>
        <v>0</v>
      </c>
      <c r="K76" s="67">
        <f t="shared" si="80"/>
        <v>0</v>
      </c>
      <c r="L76" s="67">
        <f t="shared" si="80"/>
        <v>0</v>
      </c>
      <c r="M76" s="67">
        <f t="shared" si="80"/>
        <v>0</v>
      </c>
      <c r="N76" s="67">
        <f t="shared" si="80"/>
        <v>0</v>
      </c>
      <c r="O76" s="67">
        <f t="shared" si="80"/>
        <v>0</v>
      </c>
      <c r="P76" s="67">
        <f t="shared" si="80"/>
        <v>0</v>
      </c>
      <c r="Q76" s="67">
        <f t="shared" si="80"/>
        <v>0</v>
      </c>
      <c r="R76" s="67">
        <f t="shared" si="80"/>
        <v>0</v>
      </c>
      <c r="S76" s="67">
        <f t="shared" si="80"/>
        <v>0</v>
      </c>
      <c r="T76" s="67">
        <f t="shared" si="80"/>
        <v>0</v>
      </c>
      <c r="U76" s="67">
        <f t="shared" si="80"/>
        <v>0</v>
      </c>
      <c r="V76" s="67">
        <f t="shared" si="80"/>
        <v>0</v>
      </c>
      <c r="W76" s="67">
        <f t="shared" si="80"/>
        <v>0</v>
      </c>
      <c r="X76" s="67">
        <f t="shared" si="80"/>
        <v>0</v>
      </c>
      <c r="Y76" s="67">
        <f t="shared" si="80"/>
        <v>0</v>
      </c>
      <c r="Z76" s="67">
        <f t="shared" si="80"/>
        <v>0</v>
      </c>
      <c r="AA76" s="67">
        <f t="shared" si="80"/>
        <v>0</v>
      </c>
      <c r="AB76" s="67">
        <f t="shared" si="80"/>
        <v>0</v>
      </c>
      <c r="AC76" s="67">
        <f t="shared" si="80"/>
        <v>0</v>
      </c>
      <c r="AD76" s="67">
        <f t="shared" si="80"/>
        <v>0</v>
      </c>
      <c r="AE76" s="67">
        <f t="shared" si="80"/>
        <v>0</v>
      </c>
      <c r="AF76" s="67">
        <f t="shared" si="80"/>
        <v>0</v>
      </c>
      <c r="AG76" s="67">
        <f t="shared" si="80"/>
        <v>0</v>
      </c>
      <c r="AH76" s="67">
        <f t="shared" si="80"/>
        <v>0</v>
      </c>
      <c r="AI76" s="67">
        <f t="shared" si="80"/>
        <v>0</v>
      </c>
      <c r="AJ76" s="67">
        <f t="shared" si="80"/>
        <v>0</v>
      </c>
      <c r="AK76" s="67">
        <f t="shared" si="80"/>
        <v>0</v>
      </c>
      <c r="AL76" s="67">
        <f t="shared" si="80"/>
        <v>0</v>
      </c>
      <c r="AM76" s="67">
        <f t="shared" si="80"/>
        <v>0</v>
      </c>
      <c r="AN76" s="67">
        <f t="shared" si="80"/>
        <v>0</v>
      </c>
      <c r="AO76" s="67">
        <f t="shared" si="80"/>
        <v>0</v>
      </c>
      <c r="AP76" s="67">
        <f t="shared" si="80"/>
        <v>0</v>
      </c>
      <c r="AQ76" s="67">
        <f t="shared" si="80"/>
        <v>0</v>
      </c>
      <c r="AR76" s="67">
        <f t="shared" si="80"/>
        <v>0</v>
      </c>
      <c r="AS76" s="67">
        <f t="shared" si="80"/>
        <v>0</v>
      </c>
      <c r="AT76" s="67">
        <f t="shared" si="80"/>
        <v>0</v>
      </c>
      <c r="AU76" s="67">
        <f t="shared" si="80"/>
        <v>0</v>
      </c>
      <c r="AV76" s="67">
        <f t="shared" si="80"/>
        <v>0</v>
      </c>
      <c r="AW76" s="67">
        <f t="shared" si="80"/>
        <v>0</v>
      </c>
      <c r="AX76" s="67">
        <f t="shared" si="80"/>
        <v>0</v>
      </c>
      <c r="AY76" s="67">
        <f t="shared" si="80"/>
        <v>0</v>
      </c>
      <c r="AZ76" s="67">
        <f t="shared" si="80"/>
        <v>0</v>
      </c>
    </row>
  </sheetData>
  <sheetProtection algorithmName="SHA-512" hashValue="7GLlwpPDigNhiuA1KmNbuES4rdhutMCWDpNPSZLn2MU/x7rk33NOJJvUdJQG2FG7GHC3UkLOYCcbnh9aOOGMdQ==" saltValue="8XMGXxI7jtAzj8rT/ATyxg==" spinCount="100000" sheet="1" objects="1" scenarios="1" formatColumns="0" formatRows="0" autoFilter="0"/>
  <autoFilter ref="A1:AZ76"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Z76"/>
  <sheetViews>
    <sheetView zoomScale="90" zoomScaleNormal="90" workbookViewId="0">
      <pane xSplit="2" ySplit="1" topLeftCell="C2" activePane="bottomRight" state="frozen"/>
      <selection activeCell="AC53" sqref="AC53"/>
      <selection pane="topRight" activeCell="AC53" sqref="AC53"/>
      <selection pane="bottomLeft" activeCell="AC53" sqref="AC53"/>
      <selection pane="bottomRight" activeCell="C2" sqref="C2"/>
    </sheetView>
  </sheetViews>
  <sheetFormatPr defaultColWidth="9" defaultRowHeight="15" x14ac:dyDescent="0.25"/>
  <cols>
    <col min="1" max="1" width="14.5703125" style="47" bestFit="1" customWidth="1"/>
    <col min="2" max="2" width="11.7109375" style="47" bestFit="1" customWidth="1"/>
    <col min="3" max="3" width="20.85546875" style="49" bestFit="1" customWidth="1"/>
    <col min="4" max="4" width="11" style="49" bestFit="1" customWidth="1"/>
    <col min="5" max="5" width="10.85546875" style="49" bestFit="1" customWidth="1"/>
    <col min="6" max="6" width="10.140625" style="49" bestFit="1" customWidth="1"/>
    <col min="7" max="7" width="10.85546875" style="49" bestFit="1" customWidth="1"/>
    <col min="8" max="8" width="10.140625" style="49" bestFit="1" customWidth="1"/>
    <col min="9" max="9" width="10.28515625" style="49" bestFit="1" customWidth="1"/>
    <col min="10" max="10" width="9.5703125" style="49" bestFit="1" customWidth="1"/>
    <col min="11" max="11" width="11" style="49" bestFit="1" customWidth="1"/>
    <col min="12" max="12" width="10.140625" style="49" bestFit="1" customWidth="1"/>
    <col min="13" max="13" width="11.85546875" style="49" bestFit="1" customWidth="1"/>
    <col min="14" max="14" width="9.28515625" style="49" bestFit="1" customWidth="1"/>
    <col min="15" max="16" width="10" style="49" bestFit="1" customWidth="1"/>
    <col min="17" max="17" width="11.140625" style="49" bestFit="1" customWidth="1"/>
    <col min="18" max="18" width="11.28515625" style="49" bestFit="1" customWidth="1"/>
    <col min="19" max="19" width="10.140625" style="49" bestFit="1" customWidth="1"/>
    <col min="20" max="20" width="9.42578125" style="49" bestFit="1" customWidth="1"/>
    <col min="21" max="21" width="10.85546875" style="49" bestFit="1" customWidth="1"/>
    <col min="22" max="22" width="11.28515625" style="49" bestFit="1" customWidth="1"/>
    <col min="23" max="23" width="10.28515625" style="49" bestFit="1" customWidth="1"/>
    <col min="24" max="24" width="11" style="49" bestFit="1" customWidth="1"/>
    <col min="25" max="25" width="9.85546875" style="49" bestFit="1" customWidth="1"/>
    <col min="26" max="26" width="9.42578125" style="49" bestFit="1" customWidth="1"/>
    <col min="27" max="27" width="11.28515625" style="49" bestFit="1" customWidth="1"/>
    <col min="28" max="28" width="20.5703125" style="49" bestFit="1" customWidth="1"/>
    <col min="29" max="29" width="10.7109375" style="49" bestFit="1" customWidth="1"/>
    <col min="30" max="30" width="10.5703125" style="49" bestFit="1" customWidth="1"/>
    <col min="31" max="31" width="10" style="49" bestFit="1" customWidth="1"/>
    <col min="32" max="32" width="10.5703125" style="49" bestFit="1" customWidth="1"/>
    <col min="33" max="33" width="10" style="49" bestFit="1" customWidth="1"/>
    <col min="34" max="34" width="10.140625" style="49" bestFit="1" customWidth="1"/>
    <col min="35" max="35" width="9.42578125" style="49" bestFit="1" customWidth="1"/>
    <col min="36" max="36" width="10.7109375" style="49" bestFit="1" customWidth="1"/>
    <col min="37" max="37" width="10" style="49" bestFit="1" customWidth="1"/>
    <col min="38" max="38" width="11.5703125" style="49" bestFit="1" customWidth="1"/>
    <col min="39" max="39" width="9.140625" style="49" bestFit="1" customWidth="1"/>
    <col min="40" max="40" width="9.7109375" style="49" bestFit="1" customWidth="1"/>
    <col min="41" max="41" width="9.85546875" style="49" bestFit="1" customWidth="1"/>
    <col min="42" max="42" width="11" style="49" bestFit="1" customWidth="1"/>
    <col min="43" max="43" width="11.140625" style="49" bestFit="1" customWidth="1"/>
    <col min="44" max="44" width="10" style="49" bestFit="1" customWidth="1"/>
    <col min="45" max="45" width="9.28515625" style="49" bestFit="1" customWidth="1"/>
    <col min="46" max="46" width="10.7109375" style="49" bestFit="1" customWidth="1"/>
    <col min="47" max="47" width="11" style="49" bestFit="1" customWidth="1"/>
    <col min="48" max="48" width="10" style="49" bestFit="1" customWidth="1"/>
    <col min="49" max="49" width="10.7109375" style="49" bestFit="1" customWidth="1"/>
    <col min="50" max="50" width="9.5703125" style="49" bestFit="1" customWidth="1"/>
    <col min="51" max="51" width="9.28515625" style="49" bestFit="1" customWidth="1"/>
    <col min="52" max="52" width="10.28515625" style="49" bestFit="1" customWidth="1"/>
    <col min="53" max="16384" width="9" style="49"/>
  </cols>
  <sheetData>
    <row r="1" spans="1:52" x14ac:dyDescent="0.25">
      <c r="A1" s="57" t="s">
        <v>39</v>
      </c>
      <c r="B1" s="58" t="s">
        <v>335</v>
      </c>
      <c r="C1" s="59" t="s">
        <v>626</v>
      </c>
      <c r="D1" s="49" t="s">
        <v>554</v>
      </c>
      <c r="E1" s="49" t="s">
        <v>558</v>
      </c>
      <c r="F1" s="49" t="s">
        <v>555</v>
      </c>
      <c r="G1" s="49" t="s">
        <v>556</v>
      </c>
      <c r="H1" s="49" t="s">
        <v>557</v>
      </c>
      <c r="I1" s="49" t="s">
        <v>559</v>
      </c>
      <c r="J1" s="49" t="s">
        <v>560</v>
      </c>
      <c r="K1" s="49" t="s">
        <v>561</v>
      </c>
      <c r="L1" s="49" t="s">
        <v>562</v>
      </c>
      <c r="M1" s="49" t="s">
        <v>563</v>
      </c>
      <c r="N1" s="49" t="s">
        <v>564</v>
      </c>
      <c r="O1" s="49" t="s">
        <v>565</v>
      </c>
      <c r="P1" s="49" t="s">
        <v>566</v>
      </c>
      <c r="Q1" s="49" t="s">
        <v>567</v>
      </c>
      <c r="R1" s="49" t="s">
        <v>568</v>
      </c>
      <c r="S1" s="49" t="s">
        <v>569</v>
      </c>
      <c r="T1" s="49" t="s">
        <v>570</v>
      </c>
      <c r="U1" s="49" t="s">
        <v>571</v>
      </c>
      <c r="V1" s="49" t="s">
        <v>572</v>
      </c>
      <c r="W1" s="49" t="s">
        <v>573</v>
      </c>
      <c r="X1" s="49" t="s">
        <v>574</v>
      </c>
      <c r="Y1" s="49" t="s">
        <v>575</v>
      </c>
      <c r="Z1" s="49" t="s">
        <v>576</v>
      </c>
      <c r="AA1" s="49" t="s">
        <v>625</v>
      </c>
      <c r="AB1" s="49" t="s">
        <v>627</v>
      </c>
      <c r="AC1" s="49" t="s">
        <v>577</v>
      </c>
      <c r="AD1" s="49" t="s">
        <v>578</v>
      </c>
      <c r="AE1" s="49" t="s">
        <v>579</v>
      </c>
      <c r="AF1" s="49" t="s">
        <v>580</v>
      </c>
      <c r="AG1" s="49" t="s">
        <v>581</v>
      </c>
      <c r="AH1" s="49" t="s">
        <v>582</v>
      </c>
      <c r="AI1" s="49" t="s">
        <v>583</v>
      </c>
      <c r="AJ1" s="49" t="s">
        <v>584</v>
      </c>
      <c r="AK1" s="49" t="s">
        <v>585</v>
      </c>
      <c r="AL1" s="49" t="s">
        <v>586</v>
      </c>
      <c r="AM1" s="49" t="s">
        <v>587</v>
      </c>
      <c r="AN1" s="49" t="s">
        <v>588</v>
      </c>
      <c r="AO1" s="49" t="s">
        <v>589</v>
      </c>
      <c r="AP1" s="49" t="s">
        <v>590</v>
      </c>
      <c r="AQ1" s="49" t="s">
        <v>591</v>
      </c>
      <c r="AR1" s="49" t="s">
        <v>592</v>
      </c>
      <c r="AS1" s="49" t="s">
        <v>593</v>
      </c>
      <c r="AT1" s="49" t="s">
        <v>594</v>
      </c>
      <c r="AU1" s="49" t="s">
        <v>595</v>
      </c>
      <c r="AV1" s="49" t="s">
        <v>596</v>
      </c>
      <c r="AW1" s="49" t="s">
        <v>597</v>
      </c>
      <c r="AX1" s="49" t="s">
        <v>598</v>
      </c>
      <c r="AY1" s="49" t="s">
        <v>599</v>
      </c>
      <c r="AZ1" s="49" t="s">
        <v>600</v>
      </c>
    </row>
    <row r="2" spans="1:52" ht="15" customHeight="1" x14ac:dyDescent="0.25">
      <c r="A2" s="61" t="s">
        <v>0</v>
      </c>
      <c r="B2" s="49" t="s">
        <v>1059</v>
      </c>
      <c r="C2" s="48">
        <f t="shared" ref="C2" si="0">IFERROR(1/SUM(1/D2,1/E2,1/F2,1/G2,1/H2,1/I2,1/J2,1/K2,1/L2,1/M2,1/N2,1/O2,1/P2,1/Q2,1/R2,1/S2,1/T2,1/U2,1/V2,1/W2,1/X2,1/Y2),".")</f>
        <v>6.2498700308535149</v>
      </c>
      <c r="D2" s="48">
        <f>IFERROR((dir!D2/(d_ss_Bv!C2+MLF_apple)),".")</f>
        <v>173.51652122147675</v>
      </c>
      <c r="E2" s="48">
        <f>IFERROR((dir!E2/(d_ss_Bv!D2+MLF_asparagus)),".")</f>
        <v>414.39726157563439</v>
      </c>
      <c r="F2" s="48">
        <f>IFERROR((dir!F2/(d_ss_Bv!E2+MLF_beet)),".")</f>
        <v>480.53222419038116</v>
      </c>
      <c r="G2" s="48">
        <f>IFERROR((dir!G2/(d_ss_Bv!F2+MLF_berries)),".")</f>
        <v>386.59157795488397</v>
      </c>
      <c r="H2" s="48">
        <f>IFERROR((dir!H2/(d_ss_Bv!G2+MLF_broccoli)),".")</f>
        <v>265.6380182851276</v>
      </c>
      <c r="I2" s="48">
        <f>IFERROR((dir!I2/(d_ss_Bv!H2+MLF_cabbage)),".")</f>
        <v>181.18731765831987</v>
      </c>
      <c r="J2" s="48">
        <f>IFERROR((dir!J2/(d_ss_Bv!I2+MLF_carrot)),".")</f>
        <v>550.52694284603137</v>
      </c>
      <c r="K2" s="48">
        <f>IFERROR((dir!K2/(d_ss_Bv!J2+MLF_citrus)),".")</f>
        <v>45.111929738772083</v>
      </c>
      <c r="L2" s="48">
        <f>IFERROR((dir!L2/(d_ss_Bv!K2+MLF_corn)),".")</f>
        <v>250.29213432140915</v>
      </c>
      <c r="M2" s="48">
        <f>IFERROR((dir!M2/(d_ss_Bv!L2+MLF_cucumber)),".")</f>
        <v>204.8918303295188</v>
      </c>
      <c r="N2" s="48">
        <f>IFERROR((dir!N2/(d_ss_Bv!M2+MLF_lettuce)),".")</f>
        <v>34.122996988576595</v>
      </c>
      <c r="O2" s="48">
        <f>IFERROR((dir!O2/(d_ss_Bv!N2+MLF_lima_bean)),".")</f>
        <v>111.07522499832167</v>
      </c>
      <c r="P2" s="48">
        <f>IFERROR((dir!P2/(d_ss_Bv!O2+MLF_okra)),".")</f>
        <v>558.6214104611754</v>
      </c>
      <c r="Q2" s="48">
        <f>IFERROR((dir!Q2/(d_ss_Bv!P2+MLF_onion)),".")</f>
        <v>742.78602089954609</v>
      </c>
      <c r="R2" s="48">
        <f>IFERROR((dir!R2/(d_ss_Bv!Q2+MLF_peach)),".")</f>
        <v>111.92462206894722</v>
      </c>
      <c r="S2" s="48">
        <f>IFERROR((dir!S2/(d_ss_Bv!R2+MLF_pear)),".")</f>
        <v>230.15160592726428</v>
      </c>
      <c r="T2" s="48">
        <f>IFERROR((dir!T2/(d_ss_Bv!S2+MLF_peas)),".")</f>
        <v>361.82021864121907</v>
      </c>
      <c r="U2" s="48">
        <f>IFERROR((dir!U2/(d_ss_Bv!T2+MLF_potato)),".")</f>
        <v>110.63167105069995</v>
      </c>
      <c r="V2" s="48">
        <f>IFERROR((dir!V2/(d_ss_Bv!U2+MLF_pumpkin)),".")</f>
        <v>231.46385637273607</v>
      </c>
      <c r="W2" s="48">
        <f>IFERROR((dir!W2/(d_ss_Bv!V2+MLF_snap_bean)),".")</f>
        <v>51.500680592669674</v>
      </c>
      <c r="X2" s="48">
        <f>IFERROR((dir!X2/(d_ss_Bv!W2+MLF_strawberry)),".")</f>
        <v>369.4503777487933</v>
      </c>
      <c r="Y2" s="48">
        <f>IFERROR((dir!Y2/(d_ss_Bv!X2+MLF_tomato)),".")</f>
        <v>83.02565856693144</v>
      </c>
      <c r="Z2" s="48">
        <f>IFERROR((dir!Z2/(d_ss_Bv!D2+MLF_rice)),".")</f>
        <v>0.9338927468176228</v>
      </c>
      <c r="AA2" s="48">
        <f>IFERROR((dir!AA2/(d_ss_Bv!Z2+MLF_cereal)),".")</f>
        <v>0.72316039900850004</v>
      </c>
      <c r="AB2" s="48">
        <f t="shared" ref="AB2:AB3" si="1">IFERROR(1/SUM(1/AC2,1/AD2,1/AE2,1/AF2,1/AG2,1/AH2,1/AI2,1/AJ2,1/AK2,1/AL2,1/AM2,1/AN2,1/AO2,1/AP2,1/AQ2,1/AR2,1/AS2,1/AT2,1/AU2,1/AV2,1/AW2,1/AX2),".")</f>
        <v>5.8188478017415148</v>
      </c>
      <c r="AC2" s="48">
        <f>IFERROR((dir!AC2/(d_ss_Bv!C2+MLF_apple))*1,".")</f>
        <v>150.7557078550447</v>
      </c>
      <c r="AD2" s="48">
        <f>IFERROR((dir!AD2/(d_ss_Bv!D2+MLF_asparagus))*1,".")</f>
        <v>388.68944679701815</v>
      </c>
      <c r="AE2" s="48">
        <f>IFERROR((dir!AE2/(d_ss_Bv!E2+MLF_beet))*1,".")</f>
        <v>441.30510384830922</v>
      </c>
      <c r="AF2" s="48">
        <f>IFERROR((dir!AF2/(d_ss_Bv!F2+MLF_berries))*1,".")</f>
        <v>376.02990752523317</v>
      </c>
      <c r="AG2" s="48">
        <f>IFERROR((dir!AG2/(d_ss_Bv!G2+MLF_broccoli))*1,".")</f>
        <v>228.37519414390283</v>
      </c>
      <c r="AH2" s="48">
        <f>IFERROR((dir!AH2/(d_ss_Bv!H2+MLF_cabbage))*1,".")</f>
        <v>179.18519415355311</v>
      </c>
      <c r="AI2" s="48">
        <f>IFERROR((dir!AI2/(d_ss_Bv!I2+MLF_carrot))*1,".")</f>
        <v>592.00715630964476</v>
      </c>
      <c r="AJ2" s="48">
        <f>IFERROR((dir!AJ2/(d_ss_Bv!J2+MLF_citrus))*1,".")</f>
        <v>43.680670191455015</v>
      </c>
      <c r="AK2" s="48">
        <f>IFERROR((dir!AK2/(d_ss_Bv!K2+MLF_corn))*1,".")</f>
        <v>172.84432357400979</v>
      </c>
      <c r="AL2" s="48">
        <f>IFERROR((dir!AL2/(d_ss_Bv!L2+MLF_cucumber))*1,".")</f>
        <v>288.55599438073898</v>
      </c>
      <c r="AM2" s="48">
        <f>IFERROR((dir!AM2/(d_ss_Bv!M2+MLF_lettuce))*1,".")</f>
        <v>31.326391420892609</v>
      </c>
      <c r="AN2" s="48">
        <f>IFERROR((dir!AN2/(d_ss_Bv!N2+MLF_lima_bean))*1,".")</f>
        <v>102.90864390435317</v>
      </c>
      <c r="AO2" s="48">
        <f>IFERROR((dir!AO2/(d_ss_Bv!O2+MLF_okra))*1,".")</f>
        <v>516.57441066375759</v>
      </c>
      <c r="AP2" s="48">
        <f>IFERROR((dir!AP2/(d_ss_Bv!P2+MLF_onion))*1,".")</f>
        <v>556.16870655784203</v>
      </c>
      <c r="AQ2" s="48">
        <f>IFERROR((dir!AQ2/(d_ss_Bv!Q2+MLF_peach))*1,".")</f>
        <v>125.22174312055986</v>
      </c>
      <c r="AR2" s="48">
        <f>IFERROR((dir!AR2/(d_ss_Bv!R2+MLF_pear))*1,".")</f>
        <v>203.81592336591555</v>
      </c>
      <c r="AS2" s="48">
        <f>IFERROR((dir!AS2/(d_ss_Bv!S2+MLF_peas))*1,".")</f>
        <v>401.08205420641514</v>
      </c>
      <c r="AT2" s="48">
        <f>IFERROR((dir!AT2/(d_ss_Bv!T2+MLF_potato))*1,".")</f>
        <v>94.500223983574458</v>
      </c>
      <c r="AU2" s="48">
        <f>IFERROR((dir!AU2/(d_ss_Bv!U2+MLF_pumpkin))*1,".")</f>
        <v>225.59681261598783</v>
      </c>
      <c r="AV2" s="48">
        <f>IFERROR((dir!AV2/(d_ss_Bv!V2+MLF_snap_bean))*1,".")</f>
        <v>49.024913239943068</v>
      </c>
      <c r="AW2" s="48">
        <f>IFERROR((dir!AW2/(d_ss_Bv!W2+MLF_strawberry))*1,".")</f>
        <v>357.69601722177782</v>
      </c>
      <c r="AX2" s="48">
        <f>IFERROR((dir!AX2/(d_ss_Bv!X2+MLF_tomato))*1,".")</f>
        <v>66.827357933563633</v>
      </c>
      <c r="AY2" s="48">
        <f>IFERROR((dir!AY2/(d_ss_Bv!Y2+MLF_rice))*1,".")</f>
        <v>0.73123297080674288</v>
      </c>
      <c r="AZ2" s="48">
        <f>IFERROR((dir!AZ2/(d_ss_Bv!Z2+MLF_cereal))*1,".")</f>
        <v>0.6919253818331873</v>
      </c>
    </row>
    <row r="3" spans="1:52" x14ac:dyDescent="0.25">
      <c r="A3" s="63" t="s">
        <v>1</v>
      </c>
      <c r="B3" s="49" t="s">
        <v>336</v>
      </c>
      <c r="C3" s="48">
        <f>IFERROR(1/SUM(1/D3,1/E3,1/F3,1/G3,1/H3,1/I3,1/J3,1/K3,1/L3,1/M3,1/N3,1/O3,1/P3,1/Q3,1/R3,1/S3,1/T3,1/U3,1/V3,1/W3,1/X3,1/Y3),".")</f>
        <v>2.4575733430661169</v>
      </c>
      <c r="D3" s="48">
        <f>IFERROR((dir!D3/(d_ss_Bv!C3+MLF_apple)),".")</f>
        <v>231.57420716847531</v>
      </c>
      <c r="E3" s="48">
        <f>IFERROR((dir!E3/(d_ss_Bv!D3+MLF_asparagus)),".")</f>
        <v>281.53839235821107</v>
      </c>
      <c r="F3" s="48">
        <f>IFERROR((dir!F3/(d_ss_Bv!E3+MLF_beet)),".")</f>
        <v>148.72300420182933</v>
      </c>
      <c r="G3" s="48">
        <f>IFERROR((dir!G3/(d_ss_Bv!F3+MLF_berries)),".")</f>
        <v>102.54123513983481</v>
      </c>
      <c r="H3" s="48">
        <f>IFERROR((dir!H3/(d_ss_Bv!G3+MLF_broccoli)),".")</f>
        <v>85.642720346523561</v>
      </c>
      <c r="I3" s="48">
        <f>IFERROR((dir!I3/(d_ss_Bv!H3+MLF_cabbage)),".")</f>
        <v>117.3231021675159</v>
      </c>
      <c r="J3" s="48">
        <f>IFERROR((dir!J3/(d_ss_Bv!I3+MLF_carrot)),".")</f>
        <v>173.02727720464785</v>
      </c>
      <c r="K3" s="48">
        <f>IFERROR((dir!K3/(d_ss_Bv!J3+MLF_citrus)),".")</f>
        <v>61.008682541029216</v>
      </c>
      <c r="L3" s="48">
        <f>IFERROR((dir!L3/(d_ss_Bv!K3+MLF_corn)),".")</f>
        <v>322.95559201973941</v>
      </c>
      <c r="M3" s="48">
        <f>IFERROR((dir!M3/(d_ss_Bv!L3+MLF_cucumber)),".")</f>
        <v>117.06382810171415</v>
      </c>
      <c r="N3" s="48">
        <f>IFERROR((dir!N3/(d_ss_Bv!M3+MLF_lettuce)),".")</f>
        <v>7.8959785815855508</v>
      </c>
      <c r="O3" s="48">
        <f>IFERROR((dir!O3/(d_ss_Bv!N3+MLF_lima_bean)),".")</f>
        <v>28.003155264177966</v>
      </c>
      <c r="P3" s="48">
        <f>IFERROR((dir!P3/(d_ss_Bv!O3+MLF_okra)),".")</f>
        <v>301.30989064638112</v>
      </c>
      <c r="Q3" s="48">
        <f>IFERROR((dir!Q3/(d_ss_Bv!P3+MLF_onion)),".")</f>
        <v>391.81303583538738</v>
      </c>
      <c r="R3" s="48">
        <f>IFERROR((dir!R3/(d_ss_Bv!Q3+MLF_peach)),".")</f>
        <v>156.26784888659711</v>
      </c>
      <c r="S3" s="48">
        <f>IFERROR((dir!S3/(d_ss_Bv!R3+MLF_pear)),".")</f>
        <v>307.15908373433211</v>
      </c>
      <c r="T3" s="48">
        <f>IFERROR((dir!T3/(d_ss_Bv!S3+MLF_peas)),".")</f>
        <v>167.85282505311827</v>
      </c>
      <c r="U3" s="48">
        <f>IFERROR((dir!U3/(d_ss_Bv!T3+MLF_potato)),".")</f>
        <v>70.039056013419838</v>
      </c>
      <c r="V3" s="48">
        <f>IFERROR((dir!V3/(d_ss_Bv!U3+MLF_pumpkin)),".")</f>
        <v>128.74112571081935</v>
      </c>
      <c r="W3" s="48">
        <f>IFERROR((dir!W3/(d_ss_Bv!V3+MLF_snap_bean)),".")</f>
        <v>12.621375128846134</v>
      </c>
      <c r="X3" s="48">
        <f>IFERROR((dir!X3/(d_ss_Bv!W3+MLF_strawberry)),".")</f>
        <v>461.47799948613095</v>
      </c>
      <c r="Y3" s="48">
        <f>IFERROR((dir!Y3/(d_ss_Bv!X3+MLF_tomato)),".")</f>
        <v>24.232722759105435</v>
      </c>
      <c r="Z3" s="48">
        <f>IFERROR((dir!Z3/(d_ss_Bv!D3+MLF_rice)),".")</f>
        <v>0.20581956789690631</v>
      </c>
      <c r="AA3" s="48">
        <f>IFERROR((dir!AA3/(d_ss_Bv!Z3+MLF_cereal)),".")</f>
        <v>0.15953459130729744</v>
      </c>
      <c r="AB3" s="48">
        <f t="shared" si="1"/>
        <v>2.2683664471320366</v>
      </c>
      <c r="AC3" s="48">
        <f>IFERROR((dir!AC3/(d_ss_Bv!C3+MLF_apple))*1,".")</f>
        <v>201.19774922235587</v>
      </c>
      <c r="AD3" s="48">
        <f>IFERROR((dir!AD3/(d_ss_Bv!D3+MLF_asparagus))*1,".")</f>
        <v>264.07269575516227</v>
      </c>
      <c r="AE3" s="48">
        <f>IFERROR((dir!AE3/(d_ss_Bv!E3+MLF_beet))*1,".")</f>
        <v>136.58235079759842</v>
      </c>
      <c r="AF3" s="48">
        <f>IFERROR((dir!AF3/(d_ss_Bv!F3+MLF_berries))*1,".")</f>
        <v>99.739811640840074</v>
      </c>
      <c r="AG3" s="48">
        <f>IFERROR((dir!AG3/(d_ss_Bv!G3+MLF_broccoli))*1,".")</f>
        <v>73.629042305065013</v>
      </c>
      <c r="AH3" s="48">
        <f>IFERROR((dir!AH3/(d_ss_Bv!H3+MLF_cabbage))*1,".")</f>
        <v>116.02667952857215</v>
      </c>
      <c r="AI3" s="48">
        <f>IFERROR((dir!AI3/(d_ss_Bv!I3+MLF_carrot))*1,".")</f>
        <v>186.06425656913265</v>
      </c>
      <c r="AJ3" s="48">
        <f>IFERROR((dir!AJ3/(d_ss_Bv!J3+MLF_citrus))*1,".")</f>
        <v>59.073069060033845</v>
      </c>
      <c r="AK3" s="48">
        <f>IFERROR((dir!AK3/(d_ss_Bv!K3+MLF_corn))*1,".")</f>
        <v>223.02355205223478</v>
      </c>
      <c r="AL3" s="48">
        <f>IFERROR((dir!AL3/(d_ss_Bv!L3+MLF_cucumber))*1,".")</f>
        <v>164.86489124324743</v>
      </c>
      <c r="AM3" s="48">
        <f>IFERROR((dir!AM3/(d_ss_Bv!M3+MLF_lettuce))*1,".")</f>
        <v>7.2488508491953363</v>
      </c>
      <c r="AN3" s="48">
        <f>IFERROR((dir!AN3/(d_ss_Bv!N3+MLF_lima_bean))*1,".")</f>
        <v>25.944279953726372</v>
      </c>
      <c r="AO3" s="48">
        <f>IFERROR((dir!AO3/(d_ss_Bv!O3+MLF_okra))*1,".")</f>
        <v>278.6305291437327</v>
      </c>
      <c r="AP3" s="48">
        <f>IFERROR((dir!AP3/(d_ss_Bv!P3+MLF_onion))*1,".")</f>
        <v>293.37405823707519</v>
      </c>
      <c r="AQ3" s="48">
        <f>IFERROR((dir!AQ3/(d_ss_Bv!Q3+MLF_peach))*1,".")</f>
        <v>174.83313384990191</v>
      </c>
      <c r="AR3" s="48">
        <f>IFERROR((dir!AR3/(d_ss_Bv!R3+MLF_pear))*1,".")</f>
        <v>272.01162476931154</v>
      </c>
      <c r="AS3" s="48">
        <f>IFERROR((dir!AS3/(d_ss_Bv!S3+MLF_peas))*1,".")</f>
        <v>186.06687080528229</v>
      </c>
      <c r="AT3" s="48">
        <f>IFERROR((dir!AT3/(d_ss_Bv!T3+MLF_potato))*1,".")</f>
        <v>59.826507346464005</v>
      </c>
      <c r="AU3" s="48">
        <f>IFERROR((dir!AU3/(d_ss_Bv!U3+MLF_pumpkin))*1,".")</f>
        <v>125.47785243059687</v>
      </c>
      <c r="AV3" s="48">
        <f>IFERROR((dir!AV3/(d_ss_Bv!V3+MLF_snap_bean))*1,".")</f>
        <v>12.014633856091761</v>
      </c>
      <c r="AW3" s="48">
        <f>IFERROR((dir!AW3/(d_ss_Bv!W3+MLF_strawberry))*1,".")</f>
        <v>446.79570625287249</v>
      </c>
      <c r="AX3" s="48">
        <f>IFERROR((dir!AX3/(d_ss_Bv!X3+MLF_tomato))*1,".")</f>
        <v>19.504920111197439</v>
      </c>
      <c r="AY3" s="48">
        <f>IFERROR((dir!AY3/(d_ss_Bv!Y3+MLF_rice))*1,".")</f>
        <v>0.16068690913106157</v>
      </c>
      <c r="AZ3" s="48">
        <f>IFERROR((dir!AZ3/(d_ss_Bv!Z3+MLF_cereal))*1,".")</f>
        <v>0.15264391296488261</v>
      </c>
    </row>
    <row r="4" spans="1:52" ht="15" customHeight="1" x14ac:dyDescent="0.25">
      <c r="A4" s="61" t="s">
        <v>2</v>
      </c>
      <c r="B4" s="49" t="s">
        <v>1059</v>
      </c>
      <c r="C4" s="48" t="str">
        <f t="shared" ref="C4:C5" si="2">IFERROR(1/SUM(1/D4,1/E4,1/F4,1/G4,1/H4,1/I4,1/J4,1/K4,1/L4,1/M4,1/N4,1/O4,1/P4,1/Q4,1/R4,1/S4,1/T4,1/U4,1/V4,1/W4,1/X4,1/Y4),".")</f>
        <v>.</v>
      </c>
      <c r="D4" s="48" t="str">
        <f>IFERROR((dir!D4/(d_ss_Bv!C4+MLF_apple)),".")</f>
        <v>.</v>
      </c>
      <c r="E4" s="48" t="str">
        <f>IFERROR((dir!E4/(d_ss_Bv!D4+MLF_asparagus)),".")</f>
        <v>.</v>
      </c>
      <c r="F4" s="48" t="str">
        <f>IFERROR((dir!F4/(d_ss_Bv!E4+MLF_beet)),".")</f>
        <v>.</v>
      </c>
      <c r="G4" s="48" t="str">
        <f>IFERROR((dir!G4/(d_ss_Bv!F4+MLF_berries)),".")</f>
        <v>.</v>
      </c>
      <c r="H4" s="48" t="str">
        <f>IFERROR((dir!H4/(d_ss_Bv!G4+MLF_broccoli)),".")</f>
        <v>.</v>
      </c>
      <c r="I4" s="48" t="str">
        <f>IFERROR((dir!I4/(d_ss_Bv!H4+MLF_cabbage)),".")</f>
        <v>.</v>
      </c>
      <c r="J4" s="48" t="str">
        <f>IFERROR((dir!J4/(d_ss_Bv!I4+MLF_carrot)),".")</f>
        <v>.</v>
      </c>
      <c r="K4" s="48" t="str">
        <f>IFERROR((dir!K4/(d_ss_Bv!J4+MLF_citrus)),".")</f>
        <v>.</v>
      </c>
      <c r="L4" s="48" t="str">
        <f>IFERROR((dir!L4/(d_ss_Bv!K4+MLF_corn)),".")</f>
        <v>.</v>
      </c>
      <c r="M4" s="48" t="str">
        <f>IFERROR((dir!M4/(d_ss_Bv!L4+MLF_cucumber)),".")</f>
        <v>.</v>
      </c>
      <c r="N4" s="48" t="str">
        <f>IFERROR((dir!N4/(d_ss_Bv!M4+MLF_lettuce)),".")</f>
        <v>.</v>
      </c>
      <c r="O4" s="48" t="str">
        <f>IFERROR((dir!O4/(d_ss_Bv!N4+MLF_lima_bean)),".")</f>
        <v>.</v>
      </c>
      <c r="P4" s="48" t="str">
        <f>IFERROR((dir!P4/(d_ss_Bv!O4+MLF_okra)),".")</f>
        <v>.</v>
      </c>
      <c r="Q4" s="48" t="str">
        <f>IFERROR((dir!Q4/(d_ss_Bv!P4+MLF_onion)),".")</f>
        <v>.</v>
      </c>
      <c r="R4" s="48" t="str">
        <f>IFERROR((dir!R4/(d_ss_Bv!Q4+MLF_peach)),".")</f>
        <v>.</v>
      </c>
      <c r="S4" s="48" t="str">
        <f>IFERROR((dir!S4/(d_ss_Bv!R4+MLF_pear)),".")</f>
        <v>.</v>
      </c>
      <c r="T4" s="48" t="str">
        <f>IFERROR((dir!T4/(d_ss_Bv!S4+MLF_peas)),".")</f>
        <v>.</v>
      </c>
      <c r="U4" s="48" t="str">
        <f>IFERROR((dir!U4/(d_ss_Bv!T4+MLF_potato)),".")</f>
        <v>.</v>
      </c>
      <c r="V4" s="48" t="str">
        <f>IFERROR((dir!V4/(d_ss_Bv!U4+MLF_pumpkin)),".")</f>
        <v>.</v>
      </c>
      <c r="W4" s="48" t="str">
        <f>IFERROR((dir!W4/(d_ss_Bv!V4+MLF_snap_bean)),".")</f>
        <v>.</v>
      </c>
      <c r="X4" s="48" t="str">
        <f>IFERROR((dir!X4/(d_ss_Bv!W4+MLF_strawberry)),".")</f>
        <v>.</v>
      </c>
      <c r="Y4" s="48" t="str">
        <f>IFERROR((dir!Y4/(d_ss_Bv!X4+MLF_tomato)),".")</f>
        <v>.</v>
      </c>
      <c r="Z4" s="48" t="str">
        <f>IFERROR((dir!Z4/(d_ss_Bv!D4+MLF_rice)),".")</f>
        <v>.</v>
      </c>
      <c r="AA4" s="48" t="str">
        <f>IFERROR((dir!AA4/(d_ss_Bv!Z4+MLF_cereal)),".")</f>
        <v>.</v>
      </c>
      <c r="AB4" s="48" t="str">
        <f t="shared" ref="AB4:AB5" si="3">IFERROR(1/SUM(1/AC4,1/AD4,1/AE4,1/AF4,1/AG4,1/AH4,1/AI4,1/AJ4,1/AK4,1/AL4,1/AM4,1/AN4,1/AO4,1/AP4,1/AQ4,1/AR4,1/AS4,1/AT4,1/AU4,1/AV4,1/AW4,1/AX4),".")</f>
        <v>.</v>
      </c>
      <c r="AC4" s="48" t="str">
        <f>IFERROR((dir!AC4/(d_ss_Bv!C4+MLF_apple))*1,".")</f>
        <v>.</v>
      </c>
      <c r="AD4" s="48" t="str">
        <f>IFERROR((dir!AD4/(d_ss_Bv!D4+MLF_asparagus))*1,".")</f>
        <v>.</v>
      </c>
      <c r="AE4" s="48" t="str">
        <f>IFERROR((dir!AE4/(d_ss_Bv!E4+MLF_beet))*1,".")</f>
        <v>.</v>
      </c>
      <c r="AF4" s="48" t="str">
        <f>IFERROR((dir!AF4/(d_ss_Bv!F4+MLF_berries))*1,".")</f>
        <v>.</v>
      </c>
      <c r="AG4" s="48" t="str">
        <f>IFERROR((dir!AG4/(d_ss_Bv!G4+MLF_broccoli))*1,".")</f>
        <v>.</v>
      </c>
      <c r="AH4" s="48" t="str">
        <f>IFERROR((dir!AH4/(d_ss_Bv!H4+MLF_cabbage))*1,".")</f>
        <v>.</v>
      </c>
      <c r="AI4" s="48" t="str">
        <f>IFERROR((dir!AI4/(d_ss_Bv!I4+MLF_carrot))*1,".")</f>
        <v>.</v>
      </c>
      <c r="AJ4" s="48" t="str">
        <f>IFERROR((dir!AJ4/(d_ss_Bv!J4+MLF_citrus))*1,".")</f>
        <v>.</v>
      </c>
      <c r="AK4" s="48" t="str">
        <f>IFERROR((dir!AK4/(d_ss_Bv!K4+MLF_corn))*1,".")</f>
        <v>.</v>
      </c>
      <c r="AL4" s="48" t="str">
        <f>IFERROR((dir!AL4/(d_ss_Bv!L4+MLF_cucumber))*1,".")</f>
        <v>.</v>
      </c>
      <c r="AM4" s="48" t="str">
        <f>IFERROR((dir!AM4/(d_ss_Bv!M4+MLF_lettuce))*1,".")</f>
        <v>.</v>
      </c>
      <c r="AN4" s="48" t="str">
        <f>IFERROR((dir!AN4/(d_ss_Bv!N4+MLF_lima_bean))*1,".")</f>
        <v>.</v>
      </c>
      <c r="AO4" s="48" t="str">
        <f>IFERROR((dir!AO4/(d_ss_Bv!O4+MLF_okra))*1,".")</f>
        <v>.</v>
      </c>
      <c r="AP4" s="48" t="str">
        <f>IFERROR((dir!AP4/(d_ss_Bv!P4+MLF_onion))*1,".")</f>
        <v>.</v>
      </c>
      <c r="AQ4" s="48" t="str">
        <f>IFERROR((dir!AQ4/(d_ss_Bv!Q4+MLF_peach))*1,".")</f>
        <v>.</v>
      </c>
      <c r="AR4" s="48" t="str">
        <f>IFERROR((dir!AR4/(d_ss_Bv!R4+MLF_pear))*1,".")</f>
        <v>.</v>
      </c>
      <c r="AS4" s="48" t="str">
        <f>IFERROR((dir!AS4/(d_ss_Bv!S4+MLF_peas))*1,".")</f>
        <v>.</v>
      </c>
      <c r="AT4" s="48" t="str">
        <f>IFERROR((dir!AT4/(d_ss_Bv!T4+MLF_potato))*1,".")</f>
        <v>.</v>
      </c>
      <c r="AU4" s="48" t="str">
        <f>IFERROR((dir!AU4/(d_ss_Bv!U4+MLF_pumpkin))*1,".")</f>
        <v>.</v>
      </c>
      <c r="AV4" s="48" t="str">
        <f>IFERROR((dir!AV4/(d_ss_Bv!V4+MLF_snap_bean))*1,".")</f>
        <v>.</v>
      </c>
      <c r="AW4" s="48" t="str">
        <f>IFERROR((dir!AW4/(d_ss_Bv!W4+MLF_strawberry))*1,".")</f>
        <v>.</v>
      </c>
      <c r="AX4" s="48" t="str">
        <f>IFERROR((dir!AX4/(d_ss_Bv!X4+MLF_tomato))*1,".")</f>
        <v>.</v>
      </c>
      <c r="AY4" s="48" t="str">
        <f>IFERROR((dir!AY4/(d_ss_Bv!Y4+MLF_rice))*1,".")</f>
        <v>.</v>
      </c>
      <c r="AZ4" s="48" t="str">
        <f>IFERROR((dir!AZ4/(d_ss_Bv!Z4+MLF_cereal))*1,".")</f>
        <v>.</v>
      </c>
    </row>
    <row r="5" spans="1:52" ht="15" customHeight="1" x14ac:dyDescent="0.25">
      <c r="A5" s="61" t="s">
        <v>3</v>
      </c>
      <c r="B5" s="49" t="s">
        <v>1059</v>
      </c>
      <c r="C5" s="48" t="str">
        <f t="shared" si="2"/>
        <v>.</v>
      </c>
      <c r="D5" s="48" t="str">
        <f>IFERROR((dir!D5/(d_ss_Bv!C5+MLF_apple)),".")</f>
        <v>.</v>
      </c>
      <c r="E5" s="48" t="str">
        <f>IFERROR((dir!E5/(d_ss_Bv!D5+MLF_asparagus)),".")</f>
        <v>.</v>
      </c>
      <c r="F5" s="48" t="str">
        <f>IFERROR((dir!F5/(d_ss_Bv!E5+MLF_beet)),".")</f>
        <v>.</v>
      </c>
      <c r="G5" s="48" t="str">
        <f>IFERROR((dir!G5/(d_ss_Bv!F5+MLF_berries)),".")</f>
        <v>.</v>
      </c>
      <c r="H5" s="48" t="str">
        <f>IFERROR((dir!H5/(d_ss_Bv!G5+MLF_broccoli)),".")</f>
        <v>.</v>
      </c>
      <c r="I5" s="48" t="str">
        <f>IFERROR((dir!I5/(d_ss_Bv!H5+MLF_cabbage)),".")</f>
        <v>.</v>
      </c>
      <c r="J5" s="48" t="str">
        <f>IFERROR((dir!J5/(d_ss_Bv!I5+MLF_carrot)),".")</f>
        <v>.</v>
      </c>
      <c r="K5" s="48" t="str">
        <f>IFERROR((dir!K5/(d_ss_Bv!J5+MLF_citrus)),".")</f>
        <v>.</v>
      </c>
      <c r="L5" s="48" t="str">
        <f>IFERROR((dir!L5/(d_ss_Bv!K5+MLF_corn)),".")</f>
        <v>.</v>
      </c>
      <c r="M5" s="48" t="str">
        <f>IFERROR((dir!M5/(d_ss_Bv!L5+MLF_cucumber)),".")</f>
        <v>.</v>
      </c>
      <c r="N5" s="48" t="str">
        <f>IFERROR((dir!N5/(d_ss_Bv!M5+MLF_lettuce)),".")</f>
        <v>.</v>
      </c>
      <c r="O5" s="48" t="str">
        <f>IFERROR((dir!O5/(d_ss_Bv!N5+MLF_lima_bean)),".")</f>
        <v>.</v>
      </c>
      <c r="P5" s="48" t="str">
        <f>IFERROR((dir!P5/(d_ss_Bv!O5+MLF_okra)),".")</f>
        <v>.</v>
      </c>
      <c r="Q5" s="48" t="str">
        <f>IFERROR((dir!Q5/(d_ss_Bv!P5+MLF_onion)),".")</f>
        <v>.</v>
      </c>
      <c r="R5" s="48" t="str">
        <f>IFERROR((dir!R5/(d_ss_Bv!Q5+MLF_peach)),".")</f>
        <v>.</v>
      </c>
      <c r="S5" s="48" t="str">
        <f>IFERROR((dir!S5/(d_ss_Bv!R5+MLF_pear)),".")</f>
        <v>.</v>
      </c>
      <c r="T5" s="48" t="str">
        <f>IFERROR((dir!T5/(d_ss_Bv!S5+MLF_peas)),".")</f>
        <v>.</v>
      </c>
      <c r="U5" s="48" t="str">
        <f>IFERROR((dir!U5/(d_ss_Bv!T5+MLF_potato)),".")</f>
        <v>.</v>
      </c>
      <c r="V5" s="48" t="str">
        <f>IFERROR((dir!V5/(d_ss_Bv!U5+MLF_pumpkin)),".")</f>
        <v>.</v>
      </c>
      <c r="W5" s="48" t="str">
        <f>IFERROR((dir!W5/(d_ss_Bv!V5+MLF_snap_bean)),".")</f>
        <v>.</v>
      </c>
      <c r="X5" s="48" t="str">
        <f>IFERROR((dir!X5/(d_ss_Bv!W5+MLF_strawberry)),".")</f>
        <v>.</v>
      </c>
      <c r="Y5" s="48" t="str">
        <f>IFERROR((dir!Y5/(d_ss_Bv!X5+MLF_tomato)),".")</f>
        <v>.</v>
      </c>
      <c r="Z5" s="48" t="str">
        <f>IFERROR((dir!Z5/(d_ss_Bv!D5+MLF_rice)),".")</f>
        <v>.</v>
      </c>
      <c r="AA5" s="48" t="str">
        <f>IFERROR((dir!AA5/(d_ss_Bv!Z5+MLF_cereal)),".")</f>
        <v>.</v>
      </c>
      <c r="AB5" s="48" t="str">
        <f t="shared" si="3"/>
        <v>.</v>
      </c>
      <c r="AC5" s="48" t="str">
        <f>IFERROR((dir!AC5/(d_ss_Bv!C5+MLF_apple))*1,".")</f>
        <v>.</v>
      </c>
      <c r="AD5" s="48" t="str">
        <f>IFERROR((dir!AD5/(d_ss_Bv!D5+MLF_asparagus))*1,".")</f>
        <v>.</v>
      </c>
      <c r="AE5" s="48" t="str">
        <f>IFERROR((dir!AE5/(d_ss_Bv!E5+MLF_beet))*1,".")</f>
        <v>.</v>
      </c>
      <c r="AF5" s="48" t="str">
        <f>IFERROR((dir!AF5/(d_ss_Bv!F5+MLF_berries))*1,".")</f>
        <v>.</v>
      </c>
      <c r="AG5" s="48" t="str">
        <f>IFERROR((dir!AG5/(d_ss_Bv!G5+MLF_broccoli))*1,".")</f>
        <v>.</v>
      </c>
      <c r="AH5" s="48" t="str">
        <f>IFERROR((dir!AH5/(d_ss_Bv!H5+MLF_cabbage))*1,".")</f>
        <v>.</v>
      </c>
      <c r="AI5" s="48" t="str">
        <f>IFERROR((dir!AI5/(d_ss_Bv!I5+MLF_carrot))*1,".")</f>
        <v>.</v>
      </c>
      <c r="AJ5" s="48" t="str">
        <f>IFERROR((dir!AJ5/(d_ss_Bv!J5+MLF_citrus))*1,".")</f>
        <v>.</v>
      </c>
      <c r="AK5" s="48" t="str">
        <f>IFERROR((dir!AK5/(d_ss_Bv!K5+MLF_corn))*1,".")</f>
        <v>.</v>
      </c>
      <c r="AL5" s="48" t="str">
        <f>IFERROR((dir!AL5/(d_ss_Bv!L5+MLF_cucumber))*1,".")</f>
        <v>.</v>
      </c>
      <c r="AM5" s="48" t="str">
        <f>IFERROR((dir!AM5/(d_ss_Bv!M5+MLF_lettuce))*1,".")</f>
        <v>.</v>
      </c>
      <c r="AN5" s="48" t="str">
        <f>IFERROR((dir!AN5/(d_ss_Bv!N5+MLF_lima_bean))*1,".")</f>
        <v>.</v>
      </c>
      <c r="AO5" s="48" t="str">
        <f>IFERROR((dir!AO5/(d_ss_Bv!O5+MLF_okra))*1,".")</f>
        <v>.</v>
      </c>
      <c r="AP5" s="48" t="str">
        <f>IFERROR((dir!AP5/(d_ss_Bv!P5+MLF_onion))*1,".")</f>
        <v>.</v>
      </c>
      <c r="AQ5" s="48" t="str">
        <f>IFERROR((dir!AQ5/(d_ss_Bv!Q5+MLF_peach))*1,".")</f>
        <v>.</v>
      </c>
      <c r="AR5" s="48" t="str">
        <f>IFERROR((dir!AR5/(d_ss_Bv!R5+MLF_pear))*1,".")</f>
        <v>.</v>
      </c>
      <c r="AS5" s="48" t="str">
        <f>IFERROR((dir!AS5/(d_ss_Bv!S5+MLF_peas))*1,".")</f>
        <v>.</v>
      </c>
      <c r="AT5" s="48" t="str">
        <f>IFERROR((dir!AT5/(d_ss_Bv!T5+MLF_potato))*1,".")</f>
        <v>.</v>
      </c>
      <c r="AU5" s="48" t="str">
        <f>IFERROR((dir!AU5/(d_ss_Bv!U5+MLF_pumpkin))*1,".")</f>
        <v>.</v>
      </c>
      <c r="AV5" s="48" t="str">
        <f>IFERROR((dir!AV5/(d_ss_Bv!V5+MLF_snap_bean))*1,".")</f>
        <v>.</v>
      </c>
      <c r="AW5" s="48" t="str">
        <f>IFERROR((dir!AW5/(d_ss_Bv!W5+MLF_strawberry))*1,".")</f>
        <v>.</v>
      </c>
      <c r="AX5" s="48" t="str">
        <f>IFERROR((dir!AX5/(d_ss_Bv!X5+MLF_tomato))*1,".")</f>
        <v>.</v>
      </c>
      <c r="AY5" s="48" t="str">
        <f>IFERROR((dir!AY5/(d_ss_Bv!Y5+MLF_rice))*1,".")</f>
        <v>.</v>
      </c>
      <c r="AZ5" s="48" t="str">
        <f>IFERROR((dir!AZ5/(d_ss_Bv!Z5+MLF_cereal))*1,".")</f>
        <v>.</v>
      </c>
    </row>
    <row r="6" spans="1:52" ht="15" customHeight="1" x14ac:dyDescent="0.25">
      <c r="A6" s="61" t="s">
        <v>4</v>
      </c>
      <c r="B6" s="49" t="s">
        <v>1059</v>
      </c>
      <c r="C6" s="48" t="str">
        <f t="shared" ref="C6:C9" si="4">IFERROR(1/SUM(1/D6,1/E6,1/F6,1/G6,1/H6,1/I6,1/J6,1/K6,1/L6,1/M6,1/N6,1/O6,1/P6,1/Q6,1/R6,1/S6,1/T6,1/U6,1/V6,1/W6,1/X6,1/Y6),".")</f>
        <v>.</v>
      </c>
      <c r="D6" s="48" t="str">
        <f>IFERROR((dir!D6/(d_ss_Bv!C6+MLF_apple)),".")</f>
        <v>.</v>
      </c>
      <c r="E6" s="48" t="str">
        <f>IFERROR((dir!E6/(d_ss_Bv!D6+MLF_asparagus)),".")</f>
        <v>.</v>
      </c>
      <c r="F6" s="48" t="str">
        <f>IFERROR((dir!F6/(d_ss_Bv!E6+MLF_beet)),".")</f>
        <v>.</v>
      </c>
      <c r="G6" s="48" t="str">
        <f>IFERROR((dir!G6/(d_ss_Bv!F6+MLF_berries)),".")</f>
        <v>.</v>
      </c>
      <c r="H6" s="48" t="str">
        <f>IFERROR((dir!H6/(d_ss_Bv!G6+MLF_broccoli)),".")</f>
        <v>.</v>
      </c>
      <c r="I6" s="48" t="str">
        <f>IFERROR((dir!I6/(d_ss_Bv!H6+MLF_cabbage)),".")</f>
        <v>.</v>
      </c>
      <c r="J6" s="48" t="str">
        <f>IFERROR((dir!J6/(d_ss_Bv!I6+MLF_carrot)),".")</f>
        <v>.</v>
      </c>
      <c r="K6" s="48" t="str">
        <f>IFERROR((dir!K6/(d_ss_Bv!J6+MLF_citrus)),".")</f>
        <v>.</v>
      </c>
      <c r="L6" s="48" t="str">
        <f>IFERROR((dir!L6/(d_ss_Bv!K6+MLF_corn)),".")</f>
        <v>.</v>
      </c>
      <c r="M6" s="48" t="str">
        <f>IFERROR((dir!M6/(d_ss_Bv!L6+MLF_cucumber)),".")</f>
        <v>.</v>
      </c>
      <c r="N6" s="48" t="str">
        <f>IFERROR((dir!N6/(d_ss_Bv!M6+MLF_lettuce)),".")</f>
        <v>.</v>
      </c>
      <c r="O6" s="48" t="str">
        <f>IFERROR((dir!O6/(d_ss_Bv!N6+MLF_lima_bean)),".")</f>
        <v>.</v>
      </c>
      <c r="P6" s="48" t="str">
        <f>IFERROR((dir!P6/(d_ss_Bv!O6+MLF_okra)),".")</f>
        <v>.</v>
      </c>
      <c r="Q6" s="48" t="str">
        <f>IFERROR((dir!Q6/(d_ss_Bv!P6+MLF_onion)),".")</f>
        <v>.</v>
      </c>
      <c r="R6" s="48" t="str">
        <f>IFERROR((dir!R6/(d_ss_Bv!Q6+MLF_peach)),".")</f>
        <v>.</v>
      </c>
      <c r="S6" s="48" t="str">
        <f>IFERROR((dir!S6/(d_ss_Bv!R6+MLF_pear)),".")</f>
        <v>.</v>
      </c>
      <c r="T6" s="48" t="str">
        <f>IFERROR((dir!T6/(d_ss_Bv!S6+MLF_peas)),".")</f>
        <v>.</v>
      </c>
      <c r="U6" s="48" t="str">
        <f>IFERROR((dir!U6/(d_ss_Bv!T6+MLF_potato)),".")</f>
        <v>.</v>
      </c>
      <c r="V6" s="48" t="str">
        <f>IFERROR((dir!V6/(d_ss_Bv!U6+MLF_pumpkin)),".")</f>
        <v>.</v>
      </c>
      <c r="W6" s="48" t="str">
        <f>IFERROR((dir!W6/(d_ss_Bv!V6+MLF_snap_bean)),".")</f>
        <v>.</v>
      </c>
      <c r="X6" s="48" t="str">
        <f>IFERROR((dir!X6/(d_ss_Bv!W6+MLF_strawberry)),".")</f>
        <v>.</v>
      </c>
      <c r="Y6" s="48" t="str">
        <f>IFERROR((dir!Y6/(d_ss_Bv!X6+MLF_tomato)),".")</f>
        <v>.</v>
      </c>
      <c r="Z6" s="48" t="str">
        <f>IFERROR((dir!Z6/(d_ss_Bv!D6+MLF_rice)),".")</f>
        <v>.</v>
      </c>
      <c r="AA6" s="48" t="str">
        <f>IFERROR((dir!AA6/(d_ss_Bv!Z6+MLF_cereal)),".")</f>
        <v>.</v>
      </c>
      <c r="AB6" s="48" t="str">
        <f t="shared" ref="AB6:AB9" si="5">IFERROR(1/SUM(1/AC6,1/AD6,1/AE6,1/AF6,1/AG6,1/AH6,1/AI6,1/AJ6,1/AK6,1/AL6,1/AM6,1/AN6,1/AO6,1/AP6,1/AQ6,1/AR6,1/AS6,1/AT6,1/AU6,1/AV6,1/AW6,1/AX6),".")</f>
        <v>.</v>
      </c>
      <c r="AC6" s="48" t="str">
        <f>IFERROR((dir!AC6/(d_ss_Bv!C6+MLF_apple))*1,".")</f>
        <v>.</v>
      </c>
      <c r="AD6" s="48" t="str">
        <f>IFERROR((dir!AD6/(d_ss_Bv!D6+MLF_asparagus))*1,".")</f>
        <v>.</v>
      </c>
      <c r="AE6" s="48" t="str">
        <f>IFERROR((dir!AE6/(d_ss_Bv!E6+MLF_beet))*1,".")</f>
        <v>.</v>
      </c>
      <c r="AF6" s="48" t="str">
        <f>IFERROR((dir!AF6/(d_ss_Bv!F6+MLF_berries))*1,".")</f>
        <v>.</v>
      </c>
      <c r="AG6" s="48" t="str">
        <f>IFERROR((dir!AG6/(d_ss_Bv!G6+MLF_broccoli))*1,".")</f>
        <v>.</v>
      </c>
      <c r="AH6" s="48" t="str">
        <f>IFERROR((dir!AH6/(d_ss_Bv!H6+MLF_cabbage))*1,".")</f>
        <v>.</v>
      </c>
      <c r="AI6" s="48" t="str">
        <f>IFERROR((dir!AI6/(d_ss_Bv!I6+MLF_carrot))*1,".")</f>
        <v>.</v>
      </c>
      <c r="AJ6" s="48" t="str">
        <f>IFERROR((dir!AJ6/(d_ss_Bv!J6+MLF_citrus))*1,".")</f>
        <v>.</v>
      </c>
      <c r="AK6" s="48" t="str">
        <f>IFERROR((dir!AK6/(d_ss_Bv!K6+MLF_corn))*1,".")</f>
        <v>.</v>
      </c>
      <c r="AL6" s="48" t="str">
        <f>IFERROR((dir!AL6/(d_ss_Bv!L6+MLF_cucumber))*1,".")</f>
        <v>.</v>
      </c>
      <c r="AM6" s="48" t="str">
        <f>IFERROR((dir!AM6/(d_ss_Bv!M6+MLF_lettuce))*1,".")</f>
        <v>.</v>
      </c>
      <c r="AN6" s="48" t="str">
        <f>IFERROR((dir!AN6/(d_ss_Bv!N6+MLF_lima_bean))*1,".")</f>
        <v>.</v>
      </c>
      <c r="AO6" s="48" t="str">
        <f>IFERROR((dir!AO6/(d_ss_Bv!O6+MLF_okra))*1,".")</f>
        <v>.</v>
      </c>
      <c r="AP6" s="48" t="str">
        <f>IFERROR((dir!AP6/(d_ss_Bv!P6+MLF_onion))*1,".")</f>
        <v>.</v>
      </c>
      <c r="AQ6" s="48" t="str">
        <f>IFERROR((dir!AQ6/(d_ss_Bv!Q6+MLF_peach))*1,".")</f>
        <v>.</v>
      </c>
      <c r="AR6" s="48" t="str">
        <f>IFERROR((dir!AR6/(d_ss_Bv!R6+MLF_pear))*1,".")</f>
        <v>.</v>
      </c>
      <c r="AS6" s="48" t="str">
        <f>IFERROR((dir!AS6/(d_ss_Bv!S6+MLF_peas))*1,".")</f>
        <v>.</v>
      </c>
      <c r="AT6" s="48" t="str">
        <f>IFERROR((dir!AT6/(d_ss_Bv!T6+MLF_potato))*1,".")</f>
        <v>.</v>
      </c>
      <c r="AU6" s="48" t="str">
        <f>IFERROR((dir!AU6/(d_ss_Bv!U6+MLF_pumpkin))*1,".")</f>
        <v>.</v>
      </c>
      <c r="AV6" s="48" t="str">
        <f>IFERROR((dir!AV6/(d_ss_Bv!V6+MLF_snap_bean))*1,".")</f>
        <v>.</v>
      </c>
      <c r="AW6" s="48" t="str">
        <f>IFERROR((dir!AW6/(d_ss_Bv!W6+MLF_strawberry))*1,".")</f>
        <v>.</v>
      </c>
      <c r="AX6" s="48" t="str">
        <f>IFERROR((dir!AX6/(d_ss_Bv!X6+MLF_tomato))*1,".")</f>
        <v>.</v>
      </c>
      <c r="AY6" s="48" t="str">
        <f>IFERROR((dir!AY6/(d_ss_Bv!Y6+MLF_rice))*1,".")</f>
        <v>.</v>
      </c>
      <c r="AZ6" s="48" t="str">
        <f>IFERROR((dir!AZ6/(d_ss_Bv!Z6+MLF_cereal))*1,".")</f>
        <v>.</v>
      </c>
    </row>
    <row r="7" spans="1:52" ht="15" customHeight="1" x14ac:dyDescent="0.25">
      <c r="A7" s="61" t="s">
        <v>5</v>
      </c>
      <c r="B7" s="49" t="s">
        <v>1059</v>
      </c>
      <c r="C7" s="48">
        <f>IFERROR(1/SUM(1/D7,1/E7,1/F7,1/G7,1/H7,1/I7,1/J7,1/K7,1/L7,1/M7,1/N7,1/O7,1/P7,1/Q7,1/R7,1/S7,1/T7,1/U7,1/V7,1/W7,1/X7,1/Y7),".")</f>
        <v>3.2142133393479835</v>
      </c>
      <c r="D7" s="48">
        <f>IFERROR((dir!D7/(d_ss_Bv!C7+MLF_apple)),".")</f>
        <v>58.389356526582766</v>
      </c>
      <c r="E7" s="48">
        <f>IFERROR((dir!E7/(d_ss_Bv!D7+MLF_asparagus)),".")</f>
        <v>129.81490148370415</v>
      </c>
      <c r="F7" s="48">
        <f>IFERROR((dir!F7/(d_ss_Bv!E7+MLF_beet)),".")</f>
        <v>158.67008306330928</v>
      </c>
      <c r="G7" s="48">
        <f>IFERROR((dir!G7/(d_ss_Bv!F7+MLF_berries)),".")</f>
        <v>130.7554475599901</v>
      </c>
      <c r="H7" s="48">
        <f>IFERROR((dir!H7/(d_ss_Bv!G7+MLF_broccoli)),".")</f>
        <v>153.58581326484438</v>
      </c>
      <c r="I7" s="48">
        <f>IFERROR((dir!I7/(d_ss_Bv!H7+MLF_cabbage)),".")</f>
        <v>58.111687552796198</v>
      </c>
      <c r="J7" s="48">
        <f>IFERROR((dir!J7/(d_ss_Bv!I7+MLF_carrot)),".")</f>
        <v>175.30460644618964</v>
      </c>
      <c r="K7" s="48">
        <f>IFERROR((dir!K7/(d_ss_Bv!J7+MLF_citrus)),".")</f>
        <v>15.141630371515671</v>
      </c>
      <c r="L7" s="48">
        <f>IFERROR((dir!L7/(d_ss_Bv!K7+MLF_corn)),".")</f>
        <v>83.148151988705848</v>
      </c>
      <c r="M7" s="48">
        <f>IFERROR((dir!M7/(d_ss_Bv!L7+MLF_cucumber)),".")</f>
        <v>61.889002372846349</v>
      </c>
      <c r="N7" s="48">
        <f>IFERROR((dir!N7/(d_ss_Bv!M7+MLF_lettuce)),".")</f>
        <v>126.66262734354902</v>
      </c>
      <c r="O7" s="48">
        <f>IFERROR((dir!O7/(d_ss_Bv!N7+MLF_lima_bean)),".")</f>
        <v>150.13109843869276</v>
      </c>
      <c r="P7" s="48">
        <f>IFERROR((dir!P7/(d_ss_Bv!O7+MLF_okra)),".")</f>
        <v>175.15527438321027</v>
      </c>
      <c r="Q7" s="48">
        <f>IFERROR((dir!Q7/(d_ss_Bv!P7+MLF_onion)),".")</f>
        <v>236.52577364218794</v>
      </c>
      <c r="R7" s="48">
        <f>IFERROR((dir!R7/(d_ss_Bv!Q7+MLF_peach)),".")</f>
        <v>37.342355324440177</v>
      </c>
      <c r="S7" s="48">
        <f>IFERROR((dir!S7/(d_ss_Bv!R7+MLF_pear)),".")</f>
        <v>77.447404310854154</v>
      </c>
      <c r="T7" s="48">
        <f>IFERROR((dir!T7/(d_ss_Bv!S7+MLF_peas)),".")</f>
        <v>123.62176757790202</v>
      </c>
      <c r="U7" s="48">
        <f>IFERROR((dir!U7/(d_ss_Bv!T7+MLF_potato)),".")</f>
        <v>38.813514059926632</v>
      </c>
      <c r="V7" s="48">
        <f>IFERROR((dir!V7/(d_ss_Bv!U7+MLF_pumpkin)),".")</f>
        <v>71.112544447637887</v>
      </c>
      <c r="W7" s="48">
        <f>IFERROR((dir!W7/(d_ss_Bv!V7+MLF_snap_bean)),".")</f>
        <v>85.507479206242039</v>
      </c>
      <c r="X7" s="48">
        <f>IFERROR((dir!X7/(d_ss_Bv!W7+MLF_strawberry)),".")</f>
        <v>115.84085585288904</v>
      </c>
      <c r="Y7" s="48">
        <f>IFERROR((dir!Y7/(d_ss_Bv!X7+MLF_tomato)),".")</f>
        <v>61.502152620559954</v>
      </c>
      <c r="Z7" s="48">
        <f>IFERROR((dir!Z7/(d_ss_Bv!D7+MLF_rice)),".")</f>
        <v>19.459508341744414</v>
      </c>
      <c r="AA7" s="48">
        <f>IFERROR((dir!AA7/(d_ss_Bv!Z7+MLF_cereal)),".")</f>
        <v>15.068481755403626</v>
      </c>
      <c r="AB7" s="48">
        <f>IFERROR(1/SUM(1/AC7,1/AD7,1/AE7,1/AF7,1/AG7,1/AH7,1/AI7,1/AJ7,1/AK7,1/AL7,1/AM7,1/AN7,1/AO7,1/AP7,1/AQ7,1/AR7,1/AS7,1/AT7,1/AU7,1/AV7,1/AW7,1/AX7),".")</f>
        <v>3.0354526237905737</v>
      </c>
      <c r="AC7" s="48">
        <f>IFERROR((dir!AC7/(d_ss_Bv!C7+MLF_apple))*1,".")</f>
        <v>50.730205472077195</v>
      </c>
      <c r="AD7" s="48">
        <f>IFERROR((dir!AD7/(d_ss_Bv!D7+MLF_asparagus))*1,".")</f>
        <v>121.76162084628305</v>
      </c>
      <c r="AE7" s="48">
        <f>IFERROR((dir!AE7/(d_ss_Bv!E7+MLF_beet))*1,".")</f>
        <v>145.71742322140651</v>
      </c>
      <c r="AF7" s="48">
        <f>IFERROR((dir!AF7/(d_ss_Bv!F7+MLF_berries))*1,".")</f>
        <v>127.18321261551527</v>
      </c>
      <c r="AG7" s="48">
        <f>IFERROR((dir!AG7/(d_ss_Bv!G7+MLF_broccoli))*1,".")</f>
        <v>132.04130247824475</v>
      </c>
      <c r="AH7" s="48">
        <f>IFERROR((dir!AH7/(d_ss_Bv!H7+MLF_cabbage))*1,".")</f>
        <v>57.469552236402151</v>
      </c>
      <c r="AI7" s="48">
        <f>IFERROR((dir!AI7/(d_ss_Bv!I7+MLF_carrot))*1,".")</f>
        <v>188.51317433017135</v>
      </c>
      <c r="AJ7" s="48">
        <f>IFERROR((dir!AJ7/(d_ss_Bv!J7+MLF_citrus))*1,".")</f>
        <v>14.661234095925806</v>
      </c>
      <c r="AK7" s="48">
        <f>IFERROR((dir!AK7/(d_ss_Bv!K7+MLF_corn))*1,".")</f>
        <v>57.419647348812084</v>
      </c>
      <c r="AL7" s="48">
        <f>IFERROR((dir!AL7/(d_ss_Bv!L7+MLF_cucumber))*1,".")</f>
        <v>87.160345008425281</v>
      </c>
      <c r="AM7" s="48">
        <f>IFERROR((dir!AM7/(d_ss_Bv!M7+MLF_lettuce))*1,".")</f>
        <v>116.28178626546213</v>
      </c>
      <c r="AN7" s="48">
        <f>IFERROR((dir!AN7/(d_ss_Bv!N7+MLF_lima_bean))*1,".")</f>
        <v>139.09301330184354</v>
      </c>
      <c r="AO7" s="48">
        <f>IFERROR((dir!AO7/(d_ss_Bv!O7+MLF_okra))*1,".")</f>
        <v>161.9714728879768</v>
      </c>
      <c r="AP7" s="48">
        <f>IFERROR((dir!AP7/(d_ss_Bv!P7+MLF_onion))*1,".")</f>
        <v>177.10111646266301</v>
      </c>
      <c r="AQ7" s="48">
        <f>IFERROR((dir!AQ7/(d_ss_Bv!Q7+MLF_peach))*1,".")</f>
        <v>41.778785932135548</v>
      </c>
      <c r="AR7" s="48">
        <f>IFERROR((dir!AR7/(d_ss_Bv!R7+MLF_pear))*1,".")</f>
        <v>68.585288198678583</v>
      </c>
      <c r="AS7" s="48">
        <f>IFERROR((dir!AS7/(d_ss_Bv!S7+MLF_peas))*1,".")</f>
        <v>137.03621282131533</v>
      </c>
      <c r="AT7" s="48">
        <f>IFERROR((dir!AT7/(d_ss_Bv!T7+MLF_potato))*1,".")</f>
        <v>33.15403028280911</v>
      </c>
      <c r="AU7" s="48">
        <f>IFERROR((dir!AU7/(d_ss_Bv!U7+MLF_pumpkin))*1,".")</f>
        <v>69.310015031312389</v>
      </c>
      <c r="AV7" s="48">
        <f>IFERROR((dir!AV7/(d_ss_Bv!V7+MLF_snap_bean))*1,".")</f>
        <v>81.396919442826103</v>
      </c>
      <c r="AW7" s="48">
        <f>IFERROR((dir!AW7/(d_ss_Bv!W7+MLF_strawberry))*1,".")</f>
        <v>112.15528597541353</v>
      </c>
      <c r="AX7" s="48">
        <f>IFERROR((dir!AX7/(d_ss_Bv!X7+MLF_tomato))*1,".")</f>
        <v>49.503086609611245</v>
      </c>
      <c r="AY7" s="48">
        <f>IFERROR((dir!AY7/(d_ss_Bv!Y7+MLF_rice))*1,".")</f>
        <v>15.236689805827549</v>
      </c>
      <c r="AZ7" s="48">
        <f>IFERROR((dir!AZ7/(d_ss_Bv!Z7+MLF_cereal))*1,".")</f>
        <v>14.417638198315558</v>
      </c>
    </row>
    <row r="8" spans="1:52" ht="15" customHeight="1" x14ac:dyDescent="0.25">
      <c r="A8" s="61" t="s">
        <v>6</v>
      </c>
      <c r="B8" s="49" t="s">
        <v>1059</v>
      </c>
      <c r="C8" s="48">
        <f t="shared" si="4"/>
        <v>21.588000040396899</v>
      </c>
      <c r="D8" s="48">
        <f>IFERROR((dir!D8/(d_ss_Bv!C8+MLF_apple)),".")</f>
        <v>392.16731995466029</v>
      </c>
      <c r="E8" s="48">
        <f>IFERROR((dir!E8/(d_ss_Bv!D8+MLF_asparagus)),".")</f>
        <v>871.89112936816218</v>
      </c>
      <c r="F8" s="48">
        <f>IFERROR((dir!F8/(d_ss_Bv!E8+MLF_beet)),".")</f>
        <v>1065.6945877386443</v>
      </c>
      <c r="G8" s="48">
        <f>IFERROR((dir!G8/(d_ss_Bv!F8+MLF_berries)),".")</f>
        <v>878.20822988053044</v>
      </c>
      <c r="H8" s="48">
        <f>IFERROR((dir!H8/(d_ss_Bv!G8+MLF_broccoli)),".")</f>
        <v>1031.5465070026862</v>
      </c>
      <c r="I8" s="48">
        <f>IFERROR((dir!I8/(d_ss_Bv!H8+MLF_cabbage)),".")</f>
        <v>390.30237908594461</v>
      </c>
      <c r="J8" s="48">
        <f>IFERROR((dir!J8/(d_ss_Bv!I8+MLF_carrot)),".")</f>
        <v>1177.4189985191842</v>
      </c>
      <c r="K8" s="48">
        <f>IFERROR((dir!K8/(d_ss_Bv!J8+MLF_citrus)),".")</f>
        <v>101.69751742062763</v>
      </c>
      <c r="L8" s="48">
        <f>IFERROR((dir!L8/(d_ss_Bv!K8+MLF_corn)),".")</f>
        <v>558.45773723757657</v>
      </c>
      <c r="M8" s="48">
        <f>IFERROR((dir!M8/(d_ss_Bv!L8+MLF_cucumber)),".")</f>
        <v>415.6724039967292</v>
      </c>
      <c r="N8" s="48">
        <f>IFERROR((dir!N8/(d_ss_Bv!M8+MLF_lettuce)),".")</f>
        <v>850.71913887458277</v>
      </c>
      <c r="O8" s="48">
        <f>IFERROR((dir!O8/(d_ss_Bv!N8+MLF_lima_bean)),".")</f>
        <v>1008.343198468832</v>
      </c>
      <c r="P8" s="48">
        <f>IFERROR((dir!P8/(d_ss_Bv!O8+MLF_okra)),".")</f>
        <v>1176.4160219767855</v>
      </c>
      <c r="Q8" s="48">
        <f>IFERROR((dir!Q8/(d_ss_Bv!P8+MLF_onion)),".")</f>
        <v>1588.6059423729039</v>
      </c>
      <c r="R8" s="48">
        <f>IFERROR((dir!R8/(d_ss_Bv!Q8+MLF_peach)),".")</f>
        <v>250.8068641193743</v>
      </c>
      <c r="S8" s="48">
        <f>IFERROR((dir!S8/(d_ss_Bv!R8+MLF_pear)),".")</f>
        <v>520.16913343111003</v>
      </c>
      <c r="T8" s="48">
        <f>IFERROR((dir!T8/(d_ss_Bv!S8+MLF_peas)),".")</f>
        <v>830.29545388143151</v>
      </c>
      <c r="U8" s="48">
        <f>IFERROR((dir!U8/(d_ss_Bv!T8+MLF_potato)),".")</f>
        <v>260.6877809995072</v>
      </c>
      <c r="V8" s="48">
        <f>IFERROR((dir!V8/(d_ss_Bv!U8+MLF_pumpkin)),".")</f>
        <v>477.62156718562755</v>
      </c>
      <c r="W8" s="48">
        <f>IFERROR((dir!W8/(d_ss_Bv!V8+MLF_snap_bean)),".")</f>
        <v>574.3039648180436</v>
      </c>
      <c r="X8" s="48">
        <f>IFERROR((dir!X8/(d_ss_Bv!W8+MLF_strawberry)),".")</f>
        <v>778.03559901194137</v>
      </c>
      <c r="Y8" s="48">
        <f>IFERROR((dir!Y8/(d_ss_Bv!X8+MLF_tomato)),".")</f>
        <v>413.07415939182056</v>
      </c>
      <c r="Z8" s="48">
        <f>IFERROR((dir!Z8/(d_ss_Bv!D8+MLF_rice)),".")</f>
        <v>130.69819035499978</v>
      </c>
      <c r="AA8" s="48">
        <f>IFERROR((dir!AA8/(d_ss_Bv!Z8+MLF_cereal)),".")</f>
        <v>101.20622074524825</v>
      </c>
      <c r="AB8" s="48">
        <f t="shared" si="5"/>
        <v>20.38736836874266</v>
      </c>
      <c r="AC8" s="48">
        <f>IFERROR((dir!AC8/(d_ss_Bv!C8+MLF_apple))*1,".")</f>
        <v>340.72526063335437</v>
      </c>
      <c r="AD8" s="48">
        <f>IFERROR((dir!AD8/(d_ss_Bv!D8+MLF_asparagus))*1,".")</f>
        <v>817.8019310571251</v>
      </c>
      <c r="AE8" s="48">
        <f>IFERROR((dir!AE8/(d_ss_Bv!E8+MLF_beet))*1,".")</f>
        <v>978.699111188551</v>
      </c>
      <c r="AF8" s="48">
        <f>IFERROR((dir!AF8/(d_ss_Bv!F8+MLF_berries))*1,".")</f>
        <v>854.2156071191323</v>
      </c>
      <c r="AG8" s="48">
        <f>IFERROR((dir!AG8/(d_ss_Bv!G8+MLF_broccoli))*1,".")</f>
        <v>886.84456888373336</v>
      </c>
      <c r="AH8" s="48">
        <f>IFERROR((dir!AH8/(d_ss_Bv!H8+MLF_cabbage))*1,".")</f>
        <v>385.9895299459846</v>
      </c>
      <c r="AI8" s="48">
        <f>IFERROR((dir!AI8/(d_ss_Bv!I8+MLF_carrot))*1,".")</f>
        <v>1266.133260426524</v>
      </c>
      <c r="AJ8" s="48">
        <f>IFERROR((dir!AJ8/(d_ss_Bv!J8+MLF_citrus))*1,".")</f>
        <v>98.470975271143473</v>
      </c>
      <c r="AK8" s="48">
        <f>IFERROR((dir!AK8/(d_ss_Bv!K8+MLF_corn))*1,".")</f>
        <v>385.65434786515578</v>
      </c>
      <c r="AL8" s="48">
        <f>IFERROR((dir!AL8/(d_ss_Bv!L8+MLF_cucumber))*1,".")</f>
        <v>585.40530229539377</v>
      </c>
      <c r="AM8" s="48">
        <f>IFERROR((dir!AM8/(d_ss_Bv!M8+MLF_lettuce))*1,".")</f>
        <v>780.9970719322082</v>
      </c>
      <c r="AN8" s="48">
        <f>IFERROR((dir!AN8/(d_ss_Bv!N8+MLF_lima_bean))*1,".")</f>
        <v>934.20680575865072</v>
      </c>
      <c r="AO8" s="48">
        <f>IFERROR((dir!AO8/(d_ss_Bv!O8+MLF_okra))*1,".")</f>
        <v>1087.8681014864114</v>
      </c>
      <c r="AP8" s="48">
        <f>IFERROR((dir!AP8/(d_ss_Bv!P8+MLF_onion))*1,".")</f>
        <v>1189.4851105701248</v>
      </c>
      <c r="AQ8" s="48">
        <f>IFERROR((dir!AQ8/(d_ss_Bv!Q8+MLF_peach))*1,".")</f>
        <v>280.60378611135815</v>
      </c>
      <c r="AR8" s="48">
        <f>IFERROR((dir!AR8/(d_ss_Bv!R8+MLF_pear))*1,".")</f>
        <v>460.6474580508264</v>
      </c>
      <c r="AS8" s="48">
        <f>IFERROR((dir!AS8/(d_ss_Bv!S8+MLF_peas))*1,".")</f>
        <v>920.39247417301351</v>
      </c>
      <c r="AT8" s="48">
        <f>IFERROR((dir!AT8/(d_ss_Bv!T8+MLF_potato))*1,".")</f>
        <v>222.67632279498659</v>
      </c>
      <c r="AU8" s="48">
        <f>IFERROR((dir!AU8/(d_ss_Bv!U8+MLF_pumpkin))*1,".")</f>
        <v>465.51502632971005</v>
      </c>
      <c r="AV8" s="48">
        <f>IFERROR((dir!AV8/(d_ss_Bv!V8+MLF_snap_bean))*1,".")</f>
        <v>546.69572760107087</v>
      </c>
      <c r="AW8" s="48">
        <f>IFERROR((dir!AW8/(d_ss_Bv!W8+MLF_strawberry))*1,".")</f>
        <v>753.28177147665826</v>
      </c>
      <c r="AX8" s="48">
        <f>IFERROR((dir!AX8/(d_ss_Bv!X8+MLF_tomato))*1,".")</f>
        <v>332.48341752723968</v>
      </c>
      <c r="AY8" s="48">
        <f>IFERROR((dir!AY8/(d_ss_Bv!Y8+MLF_rice))*1,".")</f>
        <v>102.33597630779697</v>
      </c>
      <c r="AZ8" s="48">
        <f>IFERROR((dir!AZ8/(d_ss_Bv!Z8+MLF_cereal))*1,".")</f>
        <v>96.834883421522392</v>
      </c>
    </row>
    <row r="9" spans="1:52" ht="15" customHeight="1" x14ac:dyDescent="0.25">
      <c r="A9" s="61" t="s">
        <v>7</v>
      </c>
      <c r="B9" s="49" t="s">
        <v>1059</v>
      </c>
      <c r="C9" s="48">
        <f t="shared" si="4"/>
        <v>38.82942289145214</v>
      </c>
      <c r="D9" s="48">
        <f>IFERROR((dir!D9/(d_ss_Bv!C9+MLF_apple)),".")</f>
        <v>705.37477683120107</v>
      </c>
      <c r="E9" s="48">
        <f>IFERROR((dir!E9/(d_ss_Bv!D9+MLF_asparagus)),".")</f>
        <v>1568.2337091991105</v>
      </c>
      <c r="F9" s="48">
        <f>IFERROR((dir!F9/(d_ss_Bv!E9+MLF_beet)),".")</f>
        <v>1916.8197953956824</v>
      </c>
      <c r="G9" s="48">
        <f>IFERROR((dir!G9/(d_ss_Bv!F9+MLF_berries)),".")</f>
        <v>1579.5960107918268</v>
      </c>
      <c r="H9" s="48">
        <f>IFERROR((dir!H9/(d_ss_Bv!G9+MLF_broccoli)),".")</f>
        <v>1855.3990864209388</v>
      </c>
      <c r="I9" s="48">
        <f>IFERROR((dir!I9/(d_ss_Bv!H9+MLF_cabbage)),".")</f>
        <v>702.02038654384671</v>
      </c>
      <c r="J9" s="48">
        <f>IFERROR((dir!J9/(d_ss_Bv!I9+MLF_carrot)),".")</f>
        <v>2117.7737691486</v>
      </c>
      <c r="K9" s="48">
        <f>IFERROR((dir!K9/(d_ss_Bv!J9+MLF_citrus)),".")</f>
        <v>182.91902462233696</v>
      </c>
      <c r="L9" s="48">
        <f>IFERROR((dir!L9/(d_ss_Bv!K9+MLF_corn)),".")</f>
        <v>1004.4743193266478</v>
      </c>
      <c r="M9" s="48">
        <f>IFERROR((dir!M9/(d_ss_Bv!L9+MLF_cucumber)),".")</f>
        <v>747.65237765854647</v>
      </c>
      <c r="N9" s="48">
        <f>IFERROR((dir!N9/(d_ss_Bv!M9+MLF_lettuce)),".")</f>
        <v>1530.1525450898537</v>
      </c>
      <c r="O9" s="48">
        <f>IFERROR((dir!O9/(d_ss_Bv!N9+MLF_lima_bean)),".")</f>
        <v>1813.6642764405835</v>
      </c>
      <c r="P9" s="48">
        <f>IFERROR((dir!P9/(d_ss_Bv!O9+MLF_okra)),".")</f>
        <v>2115.96975764952</v>
      </c>
      <c r="Q9" s="48">
        <f>IFERROR((dir!Q9/(d_ss_Bv!P9+MLF_onion)),".")</f>
        <v>2857.3583393015988</v>
      </c>
      <c r="R9" s="48">
        <f>IFERROR((dir!R9/(d_ss_Bv!Q9+MLF_peach)),".")</f>
        <v>451.1157019059886</v>
      </c>
      <c r="S9" s="48">
        <f>IFERROR((dir!S9/(d_ss_Bv!R9+MLF_pear)),".")</f>
        <v>935.60622657407691</v>
      </c>
      <c r="T9" s="48">
        <f>IFERROR((dir!T9/(d_ss_Bv!S9+MLF_peas)),".")</f>
        <v>1493.4173264444537</v>
      </c>
      <c r="U9" s="48">
        <f>IFERROR((dir!U9/(d_ss_Bv!T9+MLF_potato)),".")</f>
        <v>468.88808931454992</v>
      </c>
      <c r="V9" s="48">
        <f>IFERROR((dir!V9/(d_ss_Bv!U9+MLF_pumpkin)),".")</f>
        <v>859.07771815938372</v>
      </c>
      <c r="W9" s="48">
        <f>IFERROR((dir!W9/(d_ss_Bv!V9+MLF_snap_bean)),".")</f>
        <v>1032.9762588673534</v>
      </c>
      <c r="X9" s="48">
        <f>IFERROR((dir!X9/(d_ss_Bv!W9+MLF_strawberry)),".")</f>
        <v>1399.4197351355722</v>
      </c>
      <c r="Y9" s="48">
        <f>IFERROR((dir!Y9/(d_ss_Bv!X9+MLF_tomato)),".")</f>
        <v>742.97902494636173</v>
      </c>
      <c r="Z9" s="48">
        <f>IFERROR((dir!Z9/(d_ss_Bv!D9+MLF_rice)),".")</f>
        <v>235.08130882644255</v>
      </c>
      <c r="AA9" s="48">
        <f>IFERROR((dir!AA9/(d_ss_Bv!Z9+MLF_cereal)),".")</f>
        <v>182.03535006527866</v>
      </c>
      <c r="AB9" s="48">
        <f t="shared" si="5"/>
        <v>36.669897468610955</v>
      </c>
      <c r="AC9" s="48">
        <f>IFERROR((dir!AC9/(d_ss_Bv!C9+MLF_apple))*1,".")</f>
        <v>612.84811979690573</v>
      </c>
      <c r="AD9" s="48">
        <f>IFERROR((dir!AD9/(d_ss_Bv!D9+MLF_asparagus))*1,".")</f>
        <v>1470.9457551899964</v>
      </c>
      <c r="AE9" s="48">
        <f>IFERROR((dir!AE9/(d_ss_Bv!E9+MLF_beet))*1,".")</f>
        <v>1760.3447100572596</v>
      </c>
      <c r="AF9" s="48">
        <f>IFERROR((dir!AF9/(d_ss_Bv!F9+MLF_berries))*1,".")</f>
        <v>1536.4414946840768</v>
      </c>
      <c r="AG9" s="48">
        <f>IFERROR((dir!AG9/(d_ss_Bv!G9+MLF_broccoli))*1,".")</f>
        <v>1595.129828596245</v>
      </c>
      <c r="AH9" s="48">
        <f>IFERROR((dir!AH9/(d_ss_Bv!H9+MLF_cabbage))*1,".")</f>
        <v>694.26304715116692</v>
      </c>
      <c r="AI9" s="48">
        <f>IFERROR((dir!AI9/(d_ss_Bv!I9+MLF_carrot))*1,".")</f>
        <v>2277.3403610356268</v>
      </c>
      <c r="AJ9" s="48">
        <f>IFERROR((dir!AJ9/(d_ss_Bv!J9+MLF_citrus))*1,".")</f>
        <v>177.11557968232518</v>
      </c>
      <c r="AK9" s="48">
        <f>IFERROR((dir!AK9/(d_ss_Bv!K9+MLF_corn))*1,".")</f>
        <v>693.66016931450827</v>
      </c>
      <c r="AL9" s="48">
        <f>IFERROR((dir!AL9/(d_ss_Bv!L9+MLF_cucumber))*1,".")</f>
        <v>1052.9437652024533</v>
      </c>
      <c r="AM9" s="48">
        <f>IFERROR((dir!AM9/(d_ss_Bv!M9+MLF_lettuce))*1,".")</f>
        <v>1404.7464112606162</v>
      </c>
      <c r="AN9" s="48">
        <f>IFERROR((dir!AN9/(d_ss_Bv!N9+MLF_lima_bean))*1,".")</f>
        <v>1680.3182814987811</v>
      </c>
      <c r="AO9" s="48">
        <f>IFERROR((dir!AO9/(d_ss_Bv!O9+MLF_okra))*1,".")</f>
        <v>1956.7023570359613</v>
      </c>
      <c r="AP9" s="48">
        <f>IFERROR((dir!AP9/(d_ss_Bv!P9+MLF_onion))*1,".")</f>
        <v>2139.4765747167344</v>
      </c>
      <c r="AQ9" s="48">
        <f>IFERROR((dir!AQ9/(d_ss_Bv!Q9+MLF_peach))*1,".")</f>
        <v>504.71016562311388</v>
      </c>
      <c r="AR9" s="48">
        <f>IFERROR((dir!AR9/(d_ss_Bv!R9+MLF_pear))*1,".")</f>
        <v>828.54710575584875</v>
      </c>
      <c r="AS9" s="48">
        <f>IFERROR((dir!AS9/(d_ss_Bv!S9+MLF_peas))*1,".")</f>
        <v>1655.4710273715943</v>
      </c>
      <c r="AT9" s="48">
        <f>IFERROR((dir!AT9/(d_ss_Bv!T9+MLF_potato))*1,".")</f>
        <v>400.51848663796238</v>
      </c>
      <c r="AU9" s="48">
        <f>IFERROR((dir!AU9/(d_ss_Bv!U9+MLF_pumpkin))*1,".")</f>
        <v>837.30219500914291</v>
      </c>
      <c r="AV9" s="48">
        <f>IFERROR((dir!AV9/(d_ss_Bv!V9+MLF_snap_bean))*1,".")</f>
        <v>983.31848991333561</v>
      </c>
      <c r="AW9" s="48">
        <f>IFERROR((dir!AW9/(d_ss_Bv!W9+MLF_strawberry))*1,".")</f>
        <v>1354.896072186204</v>
      </c>
      <c r="AX9" s="48">
        <f>IFERROR((dir!AX9/(d_ss_Bv!X9+MLF_tomato))*1,".")</f>
        <v>598.02386508255188</v>
      </c>
      <c r="AY9" s="48">
        <f>IFERROR((dir!AY9/(d_ss_Bv!Y9+MLF_rice))*1,".")</f>
        <v>184.0673936274469</v>
      </c>
      <c r="AZ9" s="48">
        <f>IFERROR((dir!AZ9/(d_ss_Bv!Z9+MLF_cereal))*1,".")</f>
        <v>174.17281044944966</v>
      </c>
    </row>
    <row r="10" spans="1:52" x14ac:dyDescent="0.25">
      <c r="A10" s="63" t="s">
        <v>8</v>
      </c>
      <c r="B10" s="49" t="s">
        <v>336</v>
      </c>
      <c r="C10" s="48">
        <f>IFERROR(1/SUM(1/D10,1/E10,1/F10,1/G10,1/H10,1/I10,1/J10,1/K10,1/L10,1/M10,1/N10,1/O10,1/P10,1/Q10,1/R10,1/S10,1/T10,1/U10,1/V10,1/W10,1/X10,1/Y10),".")</f>
        <v>1.7844585787159419</v>
      </c>
      <c r="D10" s="48">
        <f>IFERROR((dir!D10/(d_ss_Bv!C10+MLF_apple)),".")</f>
        <v>132.80138655528779</v>
      </c>
      <c r="E10" s="48">
        <f>IFERROR((dir!E10/(d_ss_Bv!D10+MLF_asparagus)),".")</f>
        <v>29.266155384204943</v>
      </c>
      <c r="F10" s="48">
        <f>IFERROR((dir!F10/(d_ss_Bv!E10+MLF_beet)),".")</f>
        <v>51.031802416529359</v>
      </c>
      <c r="G10" s="48">
        <f>IFERROR((dir!G10/(d_ss_Bv!F10+MLF_berries)),".")</f>
        <v>782.24191176957652</v>
      </c>
      <c r="H10" s="48">
        <f>IFERROR((dir!H10/(d_ss_Bv!G10+MLF_broccoli)),".")</f>
        <v>95.392953292548071</v>
      </c>
      <c r="I10" s="48">
        <f>IFERROR((dir!I10/(d_ss_Bv!H10+MLF_cabbage)),".")</f>
        <v>13.098739947511397</v>
      </c>
      <c r="J10" s="48">
        <f>IFERROR((dir!J10/(d_ss_Bv!I10+MLF_carrot)),".")</f>
        <v>56.413637863215733</v>
      </c>
      <c r="K10" s="48">
        <f>IFERROR((dir!K10/(d_ss_Bv!J10+MLF_citrus)),".")</f>
        <v>34.454599966625622</v>
      </c>
      <c r="L10" s="48">
        <f>IFERROR((dir!L10/(d_ss_Bv!K10+MLF_corn)),".")</f>
        <v>34.000453749329068</v>
      </c>
      <c r="M10" s="48">
        <f>IFERROR((dir!M10/(d_ss_Bv!L10+MLF_cucumber)),".")</f>
        <v>39.825596912730454</v>
      </c>
      <c r="N10" s="48">
        <f>IFERROR((dir!N10/(d_ss_Bv!M10+MLF_lettuce)),".")</f>
        <v>26.471459021315599</v>
      </c>
      <c r="O10" s="48">
        <f>IFERROR((dir!O10/(d_ss_Bv!N10+MLF_lima_bean)),".")</f>
        <v>48.132997640578246</v>
      </c>
      <c r="P10" s="48">
        <f>IFERROR((dir!P10/(d_ss_Bv!O10+MLF_okra)),".")</f>
        <v>112.54359243158549</v>
      </c>
      <c r="Q10" s="48">
        <f>IFERROR((dir!Q10/(d_ss_Bv!P10+MLF_onion)),".")</f>
        <v>151.87968732920996</v>
      </c>
      <c r="R10" s="48">
        <f>IFERROR((dir!R10/(d_ss_Bv!Q10+MLF_peach)),".")</f>
        <v>85.066107213455865</v>
      </c>
      <c r="S10" s="48">
        <f>IFERROR((dir!S10/(d_ss_Bv!R10+MLF_pear)),".")</f>
        <v>176.14721739409688</v>
      </c>
      <c r="T10" s="48">
        <f>IFERROR((dir!T10/(d_ss_Bv!S10+MLF_peas)),".")</f>
        <v>41.715730746962343</v>
      </c>
      <c r="U10" s="48">
        <f>IFERROR((dir!U10/(d_ss_Bv!T10+MLF_potato)),".")</f>
        <v>9.3648603439323903</v>
      </c>
      <c r="V10" s="48">
        <f>IFERROR((dir!V10/(d_ss_Bv!U10+MLF_pumpkin)),".")</f>
        <v>45.730060799550238</v>
      </c>
      <c r="W10" s="48">
        <f>IFERROR((dir!W10/(d_ss_Bv!V10+MLF_snap_bean)),".")</f>
        <v>27.002361854602754</v>
      </c>
      <c r="X10" s="48">
        <f>IFERROR((dir!X10/(d_ss_Bv!W10+MLF_strawberry)),".")</f>
        <v>526.51852290363934</v>
      </c>
      <c r="Y10" s="48">
        <f>IFERROR((dir!Y10/(d_ss_Bv!X10+MLF_tomato)),".")</f>
        <v>37.432248058728597</v>
      </c>
      <c r="Z10" s="48">
        <f>IFERROR((dir!Z10/(d_ss_Bv!D10+MLF_rice)),".")</f>
        <v>2.9734393051901478</v>
      </c>
      <c r="AA10" s="48">
        <f>IFERROR((dir!AA10/(d_ss_Bv!Z10+MLF_cereal)),".")</f>
        <v>2.5583160875048594</v>
      </c>
      <c r="AB10" s="48">
        <f t="shared" ref="AB10" si="6">IFERROR(1/SUM(1/AC10,1/AD10,1/AE10,1/AF10,1/AG10,1/AH10,1/AI10,1/AJ10,1/AK10,1/AL10,1/AM10,1/AN10,1/AO10,1/AP10,1/AQ10,1/AR10,1/AS10,1/AT10,1/AU10,1/AV10,1/AW10,1/AX10),".")</f>
        <v>1.6500657141256105</v>
      </c>
      <c r="AC10" s="48">
        <f>IFERROR((dir!AC10/(d_ss_Bv!C10+MLF_apple))*1,".")</f>
        <v>115.38133022341746</v>
      </c>
      <c r="AD10" s="48">
        <f>IFERROR((dir!AD10/(d_ss_Bv!D10+MLF_asparagus))*1,".")</f>
        <v>27.450581364630921</v>
      </c>
      <c r="AE10" s="48">
        <f>IFERROR((dir!AE10/(d_ss_Bv!E10+MLF_beet))*1,".")</f>
        <v>46.865940994771861</v>
      </c>
      <c r="AF10" s="48">
        <f>IFERROR((dir!AF10/(d_ss_Bv!F10+MLF_berries))*1,".")</f>
        <v>760.8710859691904</v>
      </c>
      <c r="AG10" s="48">
        <f>IFERROR((dir!AG10/(d_ss_Bv!G10+MLF_broccoli))*1,".")</f>
        <v>82.011544766013756</v>
      </c>
      <c r="AH10" s="48">
        <f>IFERROR((dir!AH10/(d_ss_Bv!H10+MLF_cabbage))*1,".")</f>
        <v>12.953998607605946</v>
      </c>
      <c r="AI10" s="48">
        <f>IFERROR((dir!AI10/(d_ss_Bv!I10+MLF_carrot))*1,".")</f>
        <v>60.664201384644755</v>
      </c>
      <c r="AJ10" s="48">
        <f>IFERROR((dir!AJ10/(d_ss_Bv!J10+MLF_citrus))*1,".")</f>
        <v>33.361463950569998</v>
      </c>
      <c r="AK10" s="48">
        <f>IFERROR((dir!AK10/(d_ss_Bv!K10+MLF_corn))*1,".")</f>
        <v>23.479704807525412</v>
      </c>
      <c r="AL10" s="48">
        <f>IFERROR((dir!AL10/(d_ss_Bv!L10+MLF_cucumber))*1,".")</f>
        <v>56.087715652095397</v>
      </c>
      <c r="AM10" s="48">
        <f>IFERROR((dir!AM10/(d_ss_Bv!M10+MLF_lettuce))*1,".")</f>
        <v>24.301947658977966</v>
      </c>
      <c r="AN10" s="48">
        <f>IFERROR((dir!AN10/(d_ss_Bv!N10+MLF_lima_bean))*1,".")</f>
        <v>44.594116413612326</v>
      </c>
      <c r="AO10" s="48">
        <f>IFERROR((dir!AO10/(d_ss_Bv!O10+MLF_okra))*1,".")</f>
        <v>104.07252361905125</v>
      </c>
      <c r="AP10" s="48">
        <f>IFERROR((dir!AP10/(d_ss_Bv!P10+MLF_onion))*1,".")</f>
        <v>113.72148489278035</v>
      </c>
      <c r="AQ10" s="48">
        <f>IFERROR((dir!AQ10/(d_ss_Bv!Q10+MLF_peach))*1,".")</f>
        <v>95.17232248671354</v>
      </c>
      <c r="AR10" s="48">
        <f>IFERROR((dir!AR10/(d_ss_Bv!R10+MLF_pear))*1,".")</f>
        <v>155.99112427162746</v>
      </c>
      <c r="AS10" s="48">
        <f>IFERROR((dir!AS10/(d_ss_Bv!S10+MLF_peas))*1,".")</f>
        <v>46.242388121776727</v>
      </c>
      <c r="AT10" s="48">
        <f>IFERROR((dir!AT10/(d_ss_Bv!T10+MLF_potato))*1,".")</f>
        <v>7.9993494780616494</v>
      </c>
      <c r="AU10" s="48">
        <f>IFERROR((dir!AU10/(d_ss_Bv!U10+MLF_pumpkin))*1,".")</f>
        <v>44.570915385167858</v>
      </c>
      <c r="AV10" s="48">
        <f>IFERROR((dir!AV10/(d_ss_Bv!V10+MLF_snap_bean))*1,".")</f>
        <v>25.704290350366144</v>
      </c>
      <c r="AW10" s="48">
        <f>IFERROR((dir!AW10/(d_ss_Bv!W10+MLF_strawberry))*1,".")</f>
        <v>509.76691317441833</v>
      </c>
      <c r="AX10" s="48">
        <f>IFERROR((dir!AX10/(d_ss_Bv!X10+MLF_tomato))*1,".")</f>
        <v>30.129218875897347</v>
      </c>
      <c r="AY10" s="48">
        <f>IFERROR((dir!AY10/(d_ss_Bv!Y10+MLF_rice))*1,".")</f>
        <v>2.8785463972032805</v>
      </c>
      <c r="AZ10" s="48">
        <f>IFERROR((dir!AZ10/(d_ss_Bv!Z10+MLF_cereal))*1,".")</f>
        <v>2.4478163324814184</v>
      </c>
    </row>
    <row r="11" spans="1:52" ht="15" customHeight="1" x14ac:dyDescent="0.25">
      <c r="A11" s="61" t="s">
        <v>9</v>
      </c>
      <c r="B11" s="49" t="s">
        <v>1059</v>
      </c>
      <c r="C11" s="48" t="str">
        <f t="shared" ref="C11" si="7">IFERROR(1/SUM(1/D11,1/E11,1/F11,1/G11,1/H11,1/I11,1/J11,1/K11,1/L11,1/M11,1/N11,1/O11,1/P11,1/Q11,1/R11,1/S11,1/T11,1/U11,1/V11,1/W11,1/X11,1/Y11),".")</f>
        <v>.</v>
      </c>
      <c r="D11" s="48" t="str">
        <f>IFERROR((dir!D11/(d_ss_Bv!C11+MLF_apple)),".")</f>
        <v>.</v>
      </c>
      <c r="E11" s="48" t="str">
        <f>IFERROR((dir!E11/(d_ss_Bv!D11+MLF_asparagus)),".")</f>
        <v>.</v>
      </c>
      <c r="F11" s="48" t="str">
        <f>IFERROR((dir!F11/(d_ss_Bv!E11+MLF_beet)),".")</f>
        <v>.</v>
      </c>
      <c r="G11" s="48" t="str">
        <f>IFERROR((dir!G11/(d_ss_Bv!F11+MLF_berries)),".")</f>
        <v>.</v>
      </c>
      <c r="H11" s="48" t="str">
        <f>IFERROR((dir!H11/(d_ss_Bv!G11+MLF_broccoli)),".")</f>
        <v>.</v>
      </c>
      <c r="I11" s="48" t="str">
        <f>IFERROR((dir!I11/(d_ss_Bv!H11+MLF_cabbage)),".")</f>
        <v>.</v>
      </c>
      <c r="J11" s="48" t="str">
        <f>IFERROR((dir!J11/(d_ss_Bv!I11+MLF_carrot)),".")</f>
        <v>.</v>
      </c>
      <c r="K11" s="48" t="str">
        <f>IFERROR((dir!K11/(d_ss_Bv!J11+MLF_citrus)),".")</f>
        <v>.</v>
      </c>
      <c r="L11" s="48" t="str">
        <f>IFERROR((dir!L11/(d_ss_Bv!K11+MLF_corn)),".")</f>
        <v>.</v>
      </c>
      <c r="M11" s="48" t="str">
        <f>IFERROR((dir!M11/(d_ss_Bv!L11+MLF_cucumber)),".")</f>
        <v>.</v>
      </c>
      <c r="N11" s="48" t="str">
        <f>IFERROR((dir!N11/(d_ss_Bv!M11+MLF_lettuce)),".")</f>
        <v>.</v>
      </c>
      <c r="O11" s="48" t="str">
        <f>IFERROR((dir!O11/(d_ss_Bv!N11+MLF_lima_bean)),".")</f>
        <v>.</v>
      </c>
      <c r="P11" s="48" t="str">
        <f>IFERROR((dir!P11/(d_ss_Bv!O11+MLF_okra)),".")</f>
        <v>.</v>
      </c>
      <c r="Q11" s="48" t="str">
        <f>IFERROR((dir!Q11/(d_ss_Bv!P11+MLF_onion)),".")</f>
        <v>.</v>
      </c>
      <c r="R11" s="48" t="str">
        <f>IFERROR((dir!R11/(d_ss_Bv!Q11+MLF_peach)),".")</f>
        <v>.</v>
      </c>
      <c r="S11" s="48" t="str">
        <f>IFERROR((dir!S11/(d_ss_Bv!R11+MLF_pear)),".")</f>
        <v>.</v>
      </c>
      <c r="T11" s="48" t="str">
        <f>IFERROR((dir!T11/(d_ss_Bv!S11+MLF_peas)),".")</f>
        <v>.</v>
      </c>
      <c r="U11" s="48" t="str">
        <f>IFERROR((dir!U11/(d_ss_Bv!T11+MLF_potato)),".")</f>
        <v>.</v>
      </c>
      <c r="V11" s="48" t="str">
        <f>IFERROR((dir!V11/(d_ss_Bv!U11+MLF_pumpkin)),".")</f>
        <v>.</v>
      </c>
      <c r="W11" s="48" t="str">
        <f>IFERROR((dir!W11/(d_ss_Bv!V11+MLF_snap_bean)),".")</f>
        <v>.</v>
      </c>
      <c r="X11" s="48" t="str">
        <f>IFERROR((dir!X11/(d_ss_Bv!W11+MLF_strawberry)),".")</f>
        <v>.</v>
      </c>
      <c r="Y11" s="48" t="str">
        <f>IFERROR((dir!Y11/(d_ss_Bv!X11+MLF_tomato)),".")</f>
        <v>.</v>
      </c>
      <c r="Z11" s="48" t="str">
        <f>IFERROR((dir!Z11/(d_ss_Bv!D11+MLF_rice)),".")</f>
        <v>.</v>
      </c>
      <c r="AA11" s="48" t="str">
        <f>IFERROR((dir!AA11/(d_ss_Bv!Z11+MLF_cereal)),".")</f>
        <v>.</v>
      </c>
      <c r="AB11" s="48" t="str">
        <f t="shared" ref="AB11" si="8">IFERROR(1/SUM(1/AC11,1/AD11,1/AE11,1/AF11,1/AG11,1/AH11,1/AI11,1/AJ11,1/AK11,1/AL11,1/AM11,1/AN11,1/AO11,1/AP11,1/AQ11,1/AR11,1/AS11,1/AT11,1/AU11,1/AV11,1/AW11,1/AX11),".")</f>
        <v>.</v>
      </c>
      <c r="AC11" s="48" t="str">
        <f>IFERROR((dir!AC11/(d_ss_Bv!C11+MLF_apple))*1,".")</f>
        <v>.</v>
      </c>
      <c r="AD11" s="48" t="str">
        <f>IFERROR((dir!AD11/(d_ss_Bv!D11+MLF_asparagus))*1,".")</f>
        <v>.</v>
      </c>
      <c r="AE11" s="48" t="str">
        <f>IFERROR((dir!AE11/(d_ss_Bv!E11+MLF_beet))*1,".")</f>
        <v>.</v>
      </c>
      <c r="AF11" s="48" t="str">
        <f>IFERROR((dir!AF11/(d_ss_Bv!F11+MLF_berries))*1,".")</f>
        <v>.</v>
      </c>
      <c r="AG11" s="48" t="str">
        <f>IFERROR((dir!AG11/(d_ss_Bv!G11+MLF_broccoli))*1,".")</f>
        <v>.</v>
      </c>
      <c r="AH11" s="48" t="str">
        <f>IFERROR((dir!AH11/(d_ss_Bv!H11+MLF_cabbage))*1,".")</f>
        <v>.</v>
      </c>
      <c r="AI11" s="48" t="str">
        <f>IFERROR((dir!AI11/(d_ss_Bv!I11+MLF_carrot))*1,".")</f>
        <v>.</v>
      </c>
      <c r="AJ11" s="48" t="str">
        <f>IFERROR((dir!AJ11/(d_ss_Bv!J11+MLF_citrus))*1,".")</f>
        <v>.</v>
      </c>
      <c r="AK11" s="48" t="str">
        <f>IFERROR((dir!AK11/(d_ss_Bv!K11+MLF_corn))*1,".")</f>
        <v>.</v>
      </c>
      <c r="AL11" s="48" t="str">
        <f>IFERROR((dir!AL11/(d_ss_Bv!L11+MLF_cucumber))*1,".")</f>
        <v>.</v>
      </c>
      <c r="AM11" s="48" t="str">
        <f>IFERROR((dir!AM11/(d_ss_Bv!M11+MLF_lettuce))*1,".")</f>
        <v>.</v>
      </c>
      <c r="AN11" s="48" t="str">
        <f>IFERROR((dir!AN11/(d_ss_Bv!N11+MLF_lima_bean))*1,".")</f>
        <v>.</v>
      </c>
      <c r="AO11" s="48" t="str">
        <f>IFERROR((dir!AO11/(d_ss_Bv!O11+MLF_okra))*1,".")</f>
        <v>.</v>
      </c>
      <c r="AP11" s="48" t="str">
        <f>IFERROR((dir!AP11/(d_ss_Bv!P11+MLF_onion))*1,".")</f>
        <v>.</v>
      </c>
      <c r="AQ11" s="48" t="str">
        <f>IFERROR((dir!AQ11/(d_ss_Bv!Q11+MLF_peach))*1,".")</f>
        <v>.</v>
      </c>
      <c r="AR11" s="48" t="str">
        <f>IFERROR((dir!AR11/(d_ss_Bv!R11+MLF_pear))*1,".")</f>
        <v>.</v>
      </c>
      <c r="AS11" s="48" t="str">
        <f>IFERROR((dir!AS11/(d_ss_Bv!S11+MLF_peas))*1,".")</f>
        <v>.</v>
      </c>
      <c r="AT11" s="48" t="str">
        <f>IFERROR((dir!AT11/(d_ss_Bv!T11+MLF_potato))*1,".")</f>
        <v>.</v>
      </c>
      <c r="AU11" s="48" t="str">
        <f>IFERROR((dir!AU11/(d_ss_Bv!U11+MLF_pumpkin))*1,".")</f>
        <v>.</v>
      </c>
      <c r="AV11" s="48" t="str">
        <f>IFERROR((dir!AV11/(d_ss_Bv!V11+MLF_snap_bean))*1,".")</f>
        <v>.</v>
      </c>
      <c r="AW11" s="48" t="str">
        <f>IFERROR((dir!AW11/(d_ss_Bv!W11+MLF_strawberry))*1,".")</f>
        <v>.</v>
      </c>
      <c r="AX11" s="48" t="str">
        <f>IFERROR((dir!AX11/(d_ss_Bv!X11+MLF_tomato))*1,".")</f>
        <v>.</v>
      </c>
      <c r="AY11" s="48" t="str">
        <f>IFERROR((dir!AY11/(d_ss_Bv!Y11+MLF_rice))*1,".")</f>
        <v>.</v>
      </c>
      <c r="AZ11" s="48" t="str">
        <f>IFERROR((dir!AZ11/(d_ss_Bv!Z11+MLF_cereal))*1,".")</f>
        <v>.</v>
      </c>
    </row>
    <row r="12" spans="1:52" ht="15" customHeight="1" x14ac:dyDescent="0.25">
      <c r="A12" s="61" t="s">
        <v>10</v>
      </c>
      <c r="B12" s="49" t="s">
        <v>1059</v>
      </c>
      <c r="C12" s="48" t="str">
        <f t="shared" ref="C12" si="9">IFERROR(1/SUM(1/D12,1/E12,1/F12,1/G12,1/H12,1/I12,1/J12,1/K12,1/L12,1/M12,1/N12,1/O12,1/P12,1/Q12,1/R12,1/S12,1/T12,1/U12,1/V12,1/W12,1/X12,1/Y12),".")</f>
        <v>.</v>
      </c>
      <c r="D12" s="48" t="str">
        <f>IFERROR((dir!D12/(d_ss_Bv!C12+MLF_apple)),".")</f>
        <v>.</v>
      </c>
      <c r="E12" s="48" t="str">
        <f>IFERROR((dir!E12/(d_ss_Bv!D12+MLF_asparagus)),".")</f>
        <v>.</v>
      </c>
      <c r="F12" s="48" t="str">
        <f>IFERROR((dir!F12/(d_ss_Bv!E12+MLF_beet)),".")</f>
        <v>.</v>
      </c>
      <c r="G12" s="48" t="str">
        <f>IFERROR((dir!G12/(d_ss_Bv!F12+MLF_berries)),".")</f>
        <v>.</v>
      </c>
      <c r="H12" s="48" t="str">
        <f>IFERROR((dir!H12/(d_ss_Bv!G12+MLF_broccoli)),".")</f>
        <v>.</v>
      </c>
      <c r="I12" s="48" t="str">
        <f>IFERROR((dir!I12/(d_ss_Bv!H12+MLF_cabbage)),".")</f>
        <v>.</v>
      </c>
      <c r="J12" s="48" t="str">
        <f>IFERROR((dir!J12/(d_ss_Bv!I12+MLF_carrot)),".")</f>
        <v>.</v>
      </c>
      <c r="K12" s="48" t="str">
        <f>IFERROR((dir!K12/(d_ss_Bv!J12+MLF_citrus)),".")</f>
        <v>.</v>
      </c>
      <c r="L12" s="48" t="str">
        <f>IFERROR((dir!L12/(d_ss_Bv!K12+MLF_corn)),".")</f>
        <v>.</v>
      </c>
      <c r="M12" s="48" t="str">
        <f>IFERROR((dir!M12/(d_ss_Bv!L12+MLF_cucumber)),".")</f>
        <v>.</v>
      </c>
      <c r="N12" s="48" t="str">
        <f>IFERROR((dir!N12/(d_ss_Bv!M12+MLF_lettuce)),".")</f>
        <v>.</v>
      </c>
      <c r="O12" s="48" t="str">
        <f>IFERROR((dir!O12/(d_ss_Bv!N12+MLF_lima_bean)),".")</f>
        <v>.</v>
      </c>
      <c r="P12" s="48" t="str">
        <f>IFERROR((dir!P12/(d_ss_Bv!O12+MLF_okra)),".")</f>
        <v>.</v>
      </c>
      <c r="Q12" s="48" t="str">
        <f>IFERROR((dir!Q12/(d_ss_Bv!P12+MLF_onion)),".")</f>
        <v>.</v>
      </c>
      <c r="R12" s="48" t="str">
        <f>IFERROR((dir!R12/(d_ss_Bv!Q12+MLF_peach)),".")</f>
        <v>.</v>
      </c>
      <c r="S12" s="48" t="str">
        <f>IFERROR((dir!S12/(d_ss_Bv!R12+MLF_pear)),".")</f>
        <v>.</v>
      </c>
      <c r="T12" s="48" t="str">
        <f>IFERROR((dir!T12/(d_ss_Bv!S12+MLF_peas)),".")</f>
        <v>.</v>
      </c>
      <c r="U12" s="48" t="str">
        <f>IFERROR((dir!U12/(d_ss_Bv!T12+MLF_potato)),".")</f>
        <v>.</v>
      </c>
      <c r="V12" s="48" t="str">
        <f>IFERROR((dir!V12/(d_ss_Bv!U12+MLF_pumpkin)),".")</f>
        <v>.</v>
      </c>
      <c r="W12" s="48" t="str">
        <f>IFERROR((dir!W12/(d_ss_Bv!V12+MLF_snap_bean)),".")</f>
        <v>.</v>
      </c>
      <c r="X12" s="48" t="str">
        <f>IFERROR((dir!X12/(d_ss_Bv!W12+MLF_strawberry)),".")</f>
        <v>.</v>
      </c>
      <c r="Y12" s="48" t="str">
        <f>IFERROR((dir!Y12/(d_ss_Bv!X12+MLF_tomato)),".")</f>
        <v>.</v>
      </c>
      <c r="Z12" s="48" t="str">
        <f>IFERROR((dir!Z12/(d_ss_Bv!D12+MLF_rice)),".")</f>
        <v>.</v>
      </c>
      <c r="AA12" s="48" t="str">
        <f>IFERROR((dir!AA12/(d_ss_Bv!Z12+MLF_cereal)),".")</f>
        <v>.</v>
      </c>
      <c r="AB12" s="48" t="str">
        <f t="shared" ref="AB12" si="10">IFERROR(1/SUM(1/AC12,1/AD12,1/AE12,1/AF12,1/AG12,1/AH12,1/AI12,1/AJ12,1/AK12,1/AL12,1/AM12,1/AN12,1/AO12,1/AP12,1/AQ12,1/AR12,1/AS12,1/AT12,1/AU12,1/AV12,1/AW12,1/AX12),".")</f>
        <v>.</v>
      </c>
      <c r="AC12" s="48" t="str">
        <f>IFERROR((dir!AC12/(d_ss_Bv!C12+MLF_apple))*1,".")</f>
        <v>.</v>
      </c>
      <c r="AD12" s="48" t="str">
        <f>IFERROR((dir!AD12/(d_ss_Bv!D12+MLF_asparagus))*1,".")</f>
        <v>.</v>
      </c>
      <c r="AE12" s="48" t="str">
        <f>IFERROR((dir!AE12/(d_ss_Bv!E12+MLF_beet))*1,".")</f>
        <v>.</v>
      </c>
      <c r="AF12" s="48" t="str">
        <f>IFERROR((dir!AF12/(d_ss_Bv!F12+MLF_berries))*1,".")</f>
        <v>.</v>
      </c>
      <c r="AG12" s="48" t="str">
        <f>IFERROR((dir!AG12/(d_ss_Bv!G12+MLF_broccoli))*1,".")</f>
        <v>.</v>
      </c>
      <c r="AH12" s="48" t="str">
        <f>IFERROR((dir!AH12/(d_ss_Bv!H12+MLF_cabbage))*1,".")</f>
        <v>.</v>
      </c>
      <c r="AI12" s="48" t="str">
        <f>IFERROR((dir!AI12/(d_ss_Bv!I12+MLF_carrot))*1,".")</f>
        <v>.</v>
      </c>
      <c r="AJ12" s="48" t="str">
        <f>IFERROR((dir!AJ12/(d_ss_Bv!J12+MLF_citrus))*1,".")</f>
        <v>.</v>
      </c>
      <c r="AK12" s="48" t="str">
        <f>IFERROR((dir!AK12/(d_ss_Bv!K12+MLF_corn))*1,".")</f>
        <v>.</v>
      </c>
      <c r="AL12" s="48" t="str">
        <f>IFERROR((dir!AL12/(d_ss_Bv!L12+MLF_cucumber))*1,".")</f>
        <v>.</v>
      </c>
      <c r="AM12" s="48" t="str">
        <f>IFERROR((dir!AM12/(d_ss_Bv!M12+MLF_lettuce))*1,".")</f>
        <v>.</v>
      </c>
      <c r="AN12" s="48" t="str">
        <f>IFERROR((dir!AN12/(d_ss_Bv!N12+MLF_lima_bean))*1,".")</f>
        <v>.</v>
      </c>
      <c r="AO12" s="48" t="str">
        <f>IFERROR((dir!AO12/(d_ss_Bv!O12+MLF_okra))*1,".")</f>
        <v>.</v>
      </c>
      <c r="AP12" s="48" t="str">
        <f>IFERROR((dir!AP12/(d_ss_Bv!P12+MLF_onion))*1,".")</f>
        <v>.</v>
      </c>
      <c r="AQ12" s="48" t="str">
        <f>IFERROR((dir!AQ12/(d_ss_Bv!Q12+MLF_peach))*1,".")</f>
        <v>.</v>
      </c>
      <c r="AR12" s="48" t="str">
        <f>IFERROR((dir!AR12/(d_ss_Bv!R12+MLF_pear))*1,".")</f>
        <v>.</v>
      </c>
      <c r="AS12" s="48" t="str">
        <f>IFERROR((dir!AS12/(d_ss_Bv!S12+MLF_peas))*1,".")</f>
        <v>.</v>
      </c>
      <c r="AT12" s="48" t="str">
        <f>IFERROR((dir!AT12/(d_ss_Bv!T12+MLF_potato))*1,".")</f>
        <v>.</v>
      </c>
      <c r="AU12" s="48" t="str">
        <f>IFERROR((dir!AU12/(d_ss_Bv!U12+MLF_pumpkin))*1,".")</f>
        <v>.</v>
      </c>
      <c r="AV12" s="48" t="str">
        <f>IFERROR((dir!AV12/(d_ss_Bv!V12+MLF_snap_bean))*1,".")</f>
        <v>.</v>
      </c>
      <c r="AW12" s="48" t="str">
        <f>IFERROR((dir!AW12/(d_ss_Bv!W12+MLF_strawberry))*1,".")</f>
        <v>.</v>
      </c>
      <c r="AX12" s="48" t="str">
        <f>IFERROR((dir!AX12/(d_ss_Bv!X12+MLF_tomato))*1,".")</f>
        <v>.</v>
      </c>
      <c r="AY12" s="48" t="str">
        <f>IFERROR((dir!AY12/(d_ss_Bv!Y12+MLF_rice))*1,".")</f>
        <v>.</v>
      </c>
      <c r="AZ12" s="48" t="str">
        <f>IFERROR((dir!AZ12/(d_ss_Bv!Z12+MLF_cereal))*1,".")</f>
        <v>.</v>
      </c>
    </row>
    <row r="13" spans="1:52" ht="15" customHeight="1" x14ac:dyDescent="0.25">
      <c r="A13" s="61" t="s">
        <v>11</v>
      </c>
      <c r="B13" s="49" t="s">
        <v>1059</v>
      </c>
      <c r="C13" s="48">
        <f t="shared" ref="C13:C14" si="11">IFERROR(1/SUM(1/D13,1/E13,1/F13,1/G13,1/H13,1/I13,1/J13,1/K13,1/L13,1/M13,1/N13,1/O13,1/P13,1/Q13,1/R13,1/S13,1/T13,1/U13,1/V13,1/W13,1/X13,1/Y13),".")</f>
        <v>0.4537340610744483</v>
      </c>
      <c r="D13" s="48">
        <f>IFERROR((dir!D13/(d_ss_Bv!C13+MLF_apple)),".")</f>
        <v>183.07652712112264</v>
      </c>
      <c r="E13" s="48">
        <f>IFERROR((dir!E13/(d_ss_Bv!D13+MLF_asparagus)),".")</f>
        <v>6.9087165540995539</v>
      </c>
      <c r="F13" s="48">
        <f>IFERROR((dir!F13/(d_ss_Bv!E13+MLF_beet)),".")</f>
        <v>10.33518063060027</v>
      </c>
      <c r="G13" s="48">
        <f>IFERROR((dir!G13/(d_ss_Bv!F13+MLF_berries)),".")</f>
        <v>404.72189336530721</v>
      </c>
      <c r="H13" s="48">
        <f>IFERROR((dir!H13/(d_ss_Bv!G13+MLF_broccoli)),".")</f>
        <v>11.751568814807987</v>
      </c>
      <c r="I13" s="48">
        <f>IFERROR((dir!I13/(d_ss_Bv!H13+MLF_cabbage)),".")</f>
        <v>3.0905255468587471</v>
      </c>
      <c r="J13" s="48">
        <f>IFERROR((dir!J13/(d_ss_Bv!I13+MLF_carrot)),".")</f>
        <v>11.435194766565468</v>
      </c>
      <c r="K13" s="48">
        <f>IFERROR((dir!K13/(d_ss_Bv!J13+MLF_citrus)),".")</f>
        <v>47.785951713187075</v>
      </c>
      <c r="L13" s="48">
        <f>IFERROR((dir!L13/(d_ss_Bv!K13+MLF_corn)),".")</f>
        <v>24.248119758359728</v>
      </c>
      <c r="M13" s="48">
        <f>IFERROR((dir!M13/(d_ss_Bv!L13+MLF_cucumber)),".")</f>
        <v>4.9421181531189307</v>
      </c>
      <c r="N13" s="48">
        <f>IFERROR((dir!N13/(d_ss_Bv!M13+MLF_lettuce)),".")</f>
        <v>5.111540694575222</v>
      </c>
      <c r="O13" s="48">
        <f>IFERROR((dir!O13/(d_ss_Bv!N13+MLF_lima_bean)),".")</f>
        <v>10.776227176803088</v>
      </c>
      <c r="P13" s="48">
        <f>IFERROR((dir!P13/(d_ss_Bv!O13+MLF_okra)),".")</f>
        <v>13.961580419685413</v>
      </c>
      <c r="Q13" s="48">
        <f>IFERROR((dir!Q13/(d_ss_Bv!P13+MLF_onion)),".")</f>
        <v>18.838895576359288</v>
      </c>
      <c r="R13" s="48">
        <f>IFERROR((dir!R13/(d_ss_Bv!Q13+MLF_peach)),".")</f>
        <v>119.67478034376586</v>
      </c>
      <c r="S13" s="48">
        <f>IFERROR((dir!S13/(d_ss_Bv!R13+MLF_pear)),".")</f>
        <v>242.83195875470034</v>
      </c>
      <c r="T13" s="48">
        <f>IFERROR((dir!T13/(d_ss_Bv!S13+MLF_peas)),".")</f>
        <v>10.381430470766944</v>
      </c>
      <c r="U13" s="48">
        <f>IFERROR((dir!U13/(d_ss_Bv!T13+MLF_potato)),".")</f>
        <v>9.4769597822016198</v>
      </c>
      <c r="V13" s="48">
        <f>IFERROR((dir!V13/(d_ss_Bv!U13+MLF_pumpkin)),".")</f>
        <v>5.6740202238188751</v>
      </c>
      <c r="W13" s="48">
        <f>IFERROR((dir!W13/(d_ss_Bv!V13+MLF_snap_bean)),".")</f>
        <v>5.8766958436289967</v>
      </c>
      <c r="X13" s="48">
        <f>IFERROR((dir!X13/(d_ss_Bv!W13+MLF_strawberry)),".")</f>
        <v>439.3270555107967</v>
      </c>
      <c r="Y13" s="48">
        <f>IFERROR((dir!Y13/(d_ss_Bv!X13+MLF_tomato)),".")</f>
        <v>4.5927132751407171</v>
      </c>
      <c r="Z13" s="48">
        <f>IFERROR((dir!Z13/(d_ss_Bv!D13+MLF_rice)),".")</f>
        <v>0.35406470051404987</v>
      </c>
      <c r="AA13" s="48">
        <f>IFERROR((dir!AA13/(d_ss_Bv!Z13+MLF_cereal)),".")</f>
        <v>0.30029714530341739</v>
      </c>
      <c r="AB13" s="48">
        <f t="shared" ref="AB13:AB14" si="12">IFERROR(1/SUM(1/AC13,1/AD13,1/AE13,1/AF13,1/AG13,1/AH13,1/AI13,1/AJ13,1/AK13,1/AL13,1/AM13,1/AN13,1/AO13,1/AP13,1/AQ13,1/AR13,1/AS13,1/AT13,1/AU13,1/AV13,1/AW13,1/AX13),".")</f>
        <v>0.43148104815464566</v>
      </c>
      <c r="AC13" s="48">
        <f>IFERROR((dir!AC13/(d_ss_Bv!C13+MLF_apple))*1,".")</f>
        <v>159.06169189825832</v>
      </c>
      <c r="AD13" s="48">
        <f>IFERROR((dir!AD13/(d_ss_Bv!D13+MLF_asparagus))*1,".")</f>
        <v>6.4801229749445071</v>
      </c>
      <c r="AE13" s="48">
        <f>IFERROR((dir!AE13/(d_ss_Bv!E13+MLF_beet))*1,".")</f>
        <v>9.4914924158573939</v>
      </c>
      <c r="AF13" s="48">
        <f>IFERROR((dir!AF13/(d_ss_Bv!F13+MLF_berries))*1,".")</f>
        <v>393.66490325703461</v>
      </c>
      <c r="AG13" s="48">
        <f>IFERROR((dir!AG13/(d_ss_Bv!G13+MLF_broccoli))*1,".")</f>
        <v>10.103097541920885</v>
      </c>
      <c r="AH13" s="48">
        <f>IFERROR((dir!AH13/(d_ss_Bv!H13+MLF_cabbage))*1,".")</f>
        <v>3.0563751773990235</v>
      </c>
      <c r="AI13" s="48">
        <f>IFERROR((dir!AI13/(d_ss_Bv!I13+MLF_carrot))*1,".")</f>
        <v>12.296795322322087</v>
      </c>
      <c r="AJ13" s="48">
        <f>IFERROR((dir!AJ13/(d_ss_Bv!J13+MLF_citrus))*1,".")</f>
        <v>46.269853864720432</v>
      </c>
      <c r="AK13" s="48">
        <f>IFERROR((dir!AK13/(d_ss_Bv!K13+MLF_corn))*1,".")</f>
        <v>16.745032235784372</v>
      </c>
      <c r="AL13" s="48">
        <f>IFERROR((dir!AL13/(d_ss_Bv!L13+MLF_cucumber))*1,".")</f>
        <v>6.9601497323091612</v>
      </c>
      <c r="AM13" s="48">
        <f>IFERROR((dir!AM13/(d_ss_Bv!M13+MLF_lettuce))*1,".")</f>
        <v>4.6926160857350929</v>
      </c>
      <c r="AN13" s="48">
        <f>IFERROR((dir!AN13/(d_ss_Bv!N13+MLF_lima_bean))*1,".")</f>
        <v>9.9839268854670191</v>
      </c>
      <c r="AO13" s="48">
        <f>IFERROR((dir!AO13/(d_ss_Bv!O13+MLF_okra))*1,".")</f>
        <v>12.910703102624641</v>
      </c>
      <c r="AP13" s="48">
        <f>IFERROR((dir!AP13/(d_ss_Bv!P13+MLF_onion))*1,".")</f>
        <v>14.105817679488855</v>
      </c>
      <c r="AQ13" s="48">
        <f>IFERROR((dir!AQ13/(d_ss_Bv!Q13+MLF_peach))*1,".")</f>
        <v>133.89265315530798</v>
      </c>
      <c r="AR13" s="48">
        <f>IFERROR((dir!AR13/(d_ss_Bv!R13+MLF_pear))*1,".")</f>
        <v>215.04529458718895</v>
      </c>
      <c r="AS13" s="48">
        <f>IFERROR((dir!AS13/(d_ss_Bv!S13+MLF_peas))*1,".")</f>
        <v>11.507940254010808</v>
      </c>
      <c r="AT13" s="48">
        <f>IFERROR((dir!AT13/(d_ss_Bv!T13+MLF_potato))*1,".")</f>
        <v>8.0951034509002255</v>
      </c>
      <c r="AU13" s="48">
        <f>IFERROR((dir!AU13/(d_ss_Bv!U13+MLF_pumpkin))*1,".")</f>
        <v>5.5301976614045856</v>
      </c>
      <c r="AV13" s="48">
        <f>IFERROR((dir!AV13/(d_ss_Bv!V13+MLF_snap_bean))*1,".")</f>
        <v>5.5941882817069573</v>
      </c>
      <c r="AW13" s="48">
        <f>IFERROR((dir!AW13/(d_ss_Bv!W13+MLF_strawberry))*1,".")</f>
        <v>425.34951235273468</v>
      </c>
      <c r="AX13" s="48">
        <f>IFERROR((dir!AX13/(d_ss_Bv!X13+MLF_tomato))*1,".")</f>
        <v>3.6966752112738055</v>
      </c>
      <c r="AY13" s="48">
        <f>IFERROR((dir!AY13/(d_ss_Bv!Y13+MLF_rice))*1,".")</f>
        <v>0.2844182097087809</v>
      </c>
      <c r="AZ13" s="48">
        <f>IFERROR((dir!AZ13/(d_ss_Bv!Z13+MLF_cereal))*1,".")</f>
        <v>0.28732659754650214</v>
      </c>
    </row>
    <row r="14" spans="1:52" ht="15" customHeight="1" x14ac:dyDescent="0.25">
      <c r="A14" s="61" t="s">
        <v>12</v>
      </c>
      <c r="B14" s="49" t="s">
        <v>1059</v>
      </c>
      <c r="C14" s="48">
        <f t="shared" si="11"/>
        <v>40.962768908969636</v>
      </c>
      <c r="D14" s="48">
        <f>IFERROR((dir!D14/(d_ss_Bv!C14+MLF_apple)),".")</f>
        <v>784.93351150266574</v>
      </c>
      <c r="E14" s="48">
        <f>IFERROR((dir!E14/(d_ss_Bv!D14+MLF_asparagus)),".")</f>
        <v>1757.7157084831144</v>
      </c>
      <c r="F14" s="48">
        <f>IFERROR((dir!F14/(d_ss_Bv!E14+MLF_beet)),".")</f>
        <v>2137.1758071961926</v>
      </c>
      <c r="G14" s="48">
        <f>IFERROR((dir!G14/(d_ss_Bv!F14+MLF_berries)),".")</f>
        <v>1756.8253572908764</v>
      </c>
      <c r="H14" s="48">
        <f>IFERROR((dir!H14/(d_ss_Bv!G14+MLF_broccoli)),".")</f>
        <v>1921.4395588161917</v>
      </c>
      <c r="I14" s="48">
        <f>IFERROR((dir!I14/(d_ss_Bv!H14+MLF_cabbage)),".")</f>
        <v>785.02143166830069</v>
      </c>
      <c r="J14" s="48">
        <f>IFERROR((dir!J14/(d_ss_Bv!I14+MLF_carrot)),".")</f>
        <v>2369.8486307513813</v>
      </c>
      <c r="K14" s="48">
        <f>IFERROR((dir!K14/(d_ss_Bv!J14+MLF_citrus)),".")</f>
        <v>203.60435791526155</v>
      </c>
      <c r="L14" s="48">
        <f>IFERROR((dir!L14/(d_ss_Bv!K14+MLF_corn)),".")</f>
        <v>1119.2533286763226</v>
      </c>
      <c r="M14" s="48">
        <f>IFERROR((dir!M14/(d_ss_Bv!L14+MLF_cucumber)),".")</f>
        <v>840.91485839092024</v>
      </c>
      <c r="N14" s="48">
        <f>IFERROR((dir!N14/(d_ss_Bv!M14+MLF_lettuce)),".")</f>
        <v>834.2093735102211</v>
      </c>
      <c r="O14" s="48">
        <f>IFERROR((dir!O14/(d_ss_Bv!N14+MLF_lima_bean)),".")</f>
        <v>1536.9859939745088</v>
      </c>
      <c r="P14" s="48">
        <f>IFERROR((dir!P14/(d_ss_Bv!O14+MLF_okra)),".")</f>
        <v>2371.4204356428145</v>
      </c>
      <c r="Q14" s="48">
        <f>IFERROR((dir!Q14/(d_ss_Bv!P14+MLF_onion)),".")</f>
        <v>3197.4646426385088</v>
      </c>
      <c r="R14" s="48">
        <f>IFERROR((dir!R14/(d_ss_Bv!Q14+MLF_peach)),".")</f>
        <v>502.44114004603887</v>
      </c>
      <c r="S14" s="48">
        <f>IFERROR((dir!S14/(d_ss_Bv!R14+MLF_pear)),".")</f>
        <v>1041.1326077006734</v>
      </c>
      <c r="T14" s="48">
        <f>IFERROR((dir!T14/(d_ss_Bv!S14+MLF_peas)),".")</f>
        <v>1659.2179342814809</v>
      </c>
      <c r="U14" s="48">
        <f>IFERROR((dir!U14/(d_ss_Bv!T14+MLF_potato)),".")</f>
        <v>519.4776392055802</v>
      </c>
      <c r="V14" s="48">
        <f>IFERROR((dir!V14/(d_ss_Bv!U14+MLF_pumpkin)),".")</f>
        <v>964.68378482190815</v>
      </c>
      <c r="W14" s="48">
        <f>IFERROR((dir!W14/(d_ss_Bv!V14+MLF_snap_bean)),".")</f>
        <v>816.20775605958295</v>
      </c>
      <c r="X14" s="48">
        <f>IFERROR((dir!X14/(d_ss_Bv!W14+MLF_strawberry)),".")</f>
        <v>1568.3648341121664</v>
      </c>
      <c r="Y14" s="48">
        <f>IFERROR((dir!Y14/(d_ss_Bv!X14+MLF_tomato)),".")</f>
        <v>735.11691325468871</v>
      </c>
      <c r="Z14" s="48">
        <f>IFERROR((dir!Z14/(d_ss_Bv!D14+MLF_rice)),".")</f>
        <v>35.721125452502854</v>
      </c>
      <c r="AA14" s="48">
        <f>IFERROR((dir!AA14/(d_ss_Bv!Z14+MLF_cereal)),".")</f>
        <v>27.660674551003154</v>
      </c>
      <c r="AB14" s="48">
        <f t="shared" si="12"/>
        <v>38.601363487451657</v>
      </c>
      <c r="AC14" s="48">
        <f>IFERROR((dir!AC14/(d_ss_Bv!C14+MLF_apple))*1,".")</f>
        <v>681.97083662534703</v>
      </c>
      <c r="AD14" s="48">
        <f>IFERROR((dir!AD14/(d_ss_Bv!D14+MLF_asparagus))*1,".")</f>
        <v>1648.6729274199952</v>
      </c>
      <c r="AE14" s="48">
        <f>IFERROR((dir!AE14/(d_ss_Bv!E14+MLF_beet))*1,".")</f>
        <v>1962.7124759965034</v>
      </c>
      <c r="AF14" s="48">
        <f>IFERROR((dir!AF14/(d_ss_Bv!F14+MLF_berries))*1,".")</f>
        <v>1708.8289406997078</v>
      </c>
      <c r="AG14" s="48">
        <f>IFERROR((dir!AG14/(d_ss_Bv!G14+MLF_broccoli))*1,".")</f>
        <v>1651.9063615714022</v>
      </c>
      <c r="AH14" s="48">
        <f>IFERROR((dir!AH14/(d_ss_Bv!H14+MLF_cabbage))*1,".")</f>
        <v>776.34692905740235</v>
      </c>
      <c r="AI14" s="48">
        <f>IFERROR((dir!AI14/(d_ss_Bv!I14+MLF_carrot))*1,".")</f>
        <v>2548.4081515113166</v>
      </c>
      <c r="AJ14" s="48">
        <f>IFERROR((dir!AJ14/(d_ss_Bv!J14+MLF_citrus))*1,".")</f>
        <v>197.14463245396922</v>
      </c>
      <c r="AK14" s="48">
        <f>IFERROR((dir!AK14/(d_ss_Bv!K14+MLF_corn))*1,".")</f>
        <v>772.92314849412423</v>
      </c>
      <c r="AL14" s="48">
        <f>IFERROR((dir!AL14/(d_ss_Bv!L14+MLF_cucumber))*1,".")</f>
        <v>1184.2884255672127</v>
      </c>
      <c r="AM14" s="48">
        <f>IFERROR((dir!AM14/(d_ss_Bv!M14+MLF_lettuce))*1,".")</f>
        <v>765.84039116808208</v>
      </c>
      <c r="AN14" s="48">
        <f>IFERROR((dir!AN14/(d_ss_Bv!N14+MLF_lima_bean))*1,".")</f>
        <v>1423.9822097348076</v>
      </c>
      <c r="AO14" s="48">
        <f>IFERROR((dir!AO14/(d_ss_Bv!O14+MLF_okra))*1,".")</f>
        <v>2192.925460853452</v>
      </c>
      <c r="AP14" s="48">
        <f>IFERROR((dir!AP14/(d_ss_Bv!P14+MLF_onion))*1,".")</f>
        <v>2394.1346828351152</v>
      </c>
      <c r="AQ14" s="48">
        <f>IFERROR((dir!AQ14/(d_ss_Bv!Q14+MLF_peach))*1,".")</f>
        <v>562.13328407121014</v>
      </c>
      <c r="AR14" s="48">
        <f>IFERROR((dir!AR14/(d_ss_Bv!R14+MLF_pear))*1,".")</f>
        <v>921.99836247042504</v>
      </c>
      <c r="AS14" s="48">
        <f>IFERROR((dir!AS14/(d_ss_Bv!S14+MLF_peas))*1,".")</f>
        <v>1839.2629907662329</v>
      </c>
      <c r="AT14" s="48">
        <f>IFERROR((dir!AT14/(d_ss_Bv!T14+MLF_potato))*1,".")</f>
        <v>443.73146308970274</v>
      </c>
      <c r="AU14" s="48">
        <f>IFERROR((dir!AU14/(d_ss_Bv!U14+MLF_pumpkin))*1,".")</f>
        <v>940.23140566573716</v>
      </c>
      <c r="AV14" s="48">
        <f>IFERROR((dir!AV14/(d_ss_Bv!V14+MLF_snap_bean))*1,".")</f>
        <v>776.97059468152202</v>
      </c>
      <c r="AW14" s="48">
        <f>IFERROR((dir!AW14/(d_ss_Bv!W14+MLF_strawberry))*1,".")</f>
        <v>1518.4660471346574</v>
      </c>
      <c r="AX14" s="48">
        <f>IFERROR((dir!AX14/(d_ss_Bv!X14+MLF_tomato))*1,".")</f>
        <v>591.69565087501837</v>
      </c>
      <c r="AY14" s="48">
        <f>IFERROR((dir!AY14/(d_ss_Bv!Y14+MLF_rice))*1,".")</f>
        <v>27.969448070137982</v>
      </c>
      <c r="AZ14" s="48">
        <f>IFERROR((dir!AZ14/(d_ss_Bv!Z14+MLF_cereal))*1,".")</f>
        <v>26.465944245159669</v>
      </c>
    </row>
    <row r="15" spans="1:52" ht="15" customHeight="1" x14ac:dyDescent="0.25">
      <c r="A15" s="61" t="s">
        <v>13</v>
      </c>
      <c r="B15" s="49" t="s">
        <v>1059</v>
      </c>
      <c r="C15" s="48">
        <f t="shared" ref="C15:C17" si="13">IFERROR(1/SUM(1/D15,1/E15,1/F15,1/G15,1/H15,1/I15,1/J15,1/K15,1/L15,1/M15,1/N15,1/O15,1/P15,1/Q15,1/R15,1/S15,1/T15,1/U15,1/V15,1/W15,1/X15,1/Y15),".")</f>
        <v>439.21689632482821</v>
      </c>
      <c r="D15" s="48">
        <f>IFERROR((dir!D15/(d_ss_Bv!C15+MLF_apple)),".")</f>
        <v>13870.311046633451</v>
      </c>
      <c r="E15" s="48">
        <f>IFERROR((dir!E15/(d_ss_Bv!D15+MLF_asparagus)),".")</f>
        <v>3909.3159136640602</v>
      </c>
      <c r="F15" s="48">
        <f>IFERROR((dir!F15/(d_ss_Bv!E15+MLF_beet)),".")</f>
        <v>25291.661736591494</v>
      </c>
      <c r="G15" s="48">
        <f>IFERROR((dir!G15/(d_ss_Bv!F15+MLF_berries)),".")</f>
        <v>31044.303502328734</v>
      </c>
      <c r="H15" s="48">
        <f>IFERROR((dir!H15/(d_ss_Bv!G15+MLF_broccoli)),".")</f>
        <v>23349.417153258026</v>
      </c>
      <c r="I15" s="48">
        <f>IFERROR((dir!I15/(d_ss_Bv!H15+MLF_cabbage)),".")</f>
        <v>1749.8931695741699</v>
      </c>
      <c r="J15" s="48">
        <f>IFERROR((dir!J15/(d_ss_Bv!I15+MLF_carrot)),".")</f>
        <v>28007.583396755996</v>
      </c>
      <c r="K15" s="48">
        <f>IFERROR((dir!K15/(d_ss_Bv!J15+MLF_citrus)),".")</f>
        <v>3597.8280113540195</v>
      </c>
      <c r="L15" s="48">
        <f>IFERROR((dir!L15/(d_ss_Bv!K15+MLF_corn)),".")</f>
        <v>149180.30511773098</v>
      </c>
      <c r="M15" s="48">
        <f>IFERROR((dir!M15/(d_ss_Bv!L15+MLF_cucumber)),".")</f>
        <v>9919.5331283317555</v>
      </c>
      <c r="N15" s="48">
        <f>IFERROR((dir!N15/(d_ss_Bv!M15+MLF_lettuce)),".")</f>
        <v>3704.9695776026833</v>
      </c>
      <c r="O15" s="48">
        <f>IFERROR((dir!O15/(d_ss_Bv!N15+MLF_lima_bean)),".")</f>
        <v>41140.980880955067</v>
      </c>
      <c r="P15" s="48">
        <f>IFERROR((dir!P15/(d_ss_Bv!O15+MLF_okra)),".")</f>
        <v>28010.513982090193</v>
      </c>
      <c r="Q15" s="48">
        <f>IFERROR((dir!Q15/(d_ss_Bv!P15+MLF_onion)),".")</f>
        <v>37788.598172400147</v>
      </c>
      <c r="R15" s="48">
        <f>IFERROR((dir!R15/(d_ss_Bv!Q15+MLF_peach)),".")</f>
        <v>8878.4779767171531</v>
      </c>
      <c r="S15" s="48">
        <f>IFERROR((dir!S15/(d_ss_Bv!R15+MLF_pear)),".")</f>
        <v>18397.523991497841</v>
      </c>
      <c r="T15" s="48">
        <f>IFERROR((dir!T15/(d_ss_Bv!S15+MLF_peas)),".")</f>
        <v>54474.992774687205</v>
      </c>
      <c r="U15" s="48">
        <f>IFERROR((dir!U15/(d_ss_Bv!T15+MLF_potato)),".")</f>
        <v>54808.740138733847</v>
      </c>
      <c r="V15" s="48">
        <f>IFERROR((dir!V15/(d_ss_Bv!U15+MLF_pumpkin)),".")</f>
        <v>11386.300637281631</v>
      </c>
      <c r="W15" s="48">
        <f>IFERROR((dir!W15/(d_ss_Bv!V15+MLF_snap_bean)),".")</f>
        <v>21004.293640555421</v>
      </c>
      <c r="X15" s="48">
        <f>IFERROR((dir!X15/(d_ss_Bv!W15+MLF_strawberry)),".")</f>
        <v>27714.077389933864</v>
      </c>
      <c r="Y15" s="48">
        <f>IFERROR((dir!Y15/(d_ss_Bv!X15+MLF_tomato)),".")</f>
        <v>9075.003354790133</v>
      </c>
      <c r="Z15" s="48">
        <f>IFERROR((dir!Z15/(d_ss_Bv!D15+MLF_rice)),".")</f>
        <v>497.32222852212811</v>
      </c>
      <c r="AA15" s="48">
        <f>IFERROR((dir!AA15/(d_ss_Bv!Z15+MLF_cereal)),".")</f>
        <v>486.91027229758288</v>
      </c>
      <c r="AB15" s="48">
        <f t="shared" ref="AB15:AB21" si="14">IFERROR(1/SUM(1/AC15,1/AD15,1/AE15,1/AF15,1/AG15,1/AH15,1/AI15,1/AJ15,1/AK15,1/AL15,1/AM15,1/AN15,1/AO15,1/AP15,1/AQ15,1/AR15,1/AS15,1/AT15,1/AU15,1/AV15,1/AW15,1/AX15),".")</f>
        <v>422.02471167580512</v>
      </c>
      <c r="AC15" s="48">
        <f>IFERROR((dir!AC15/(d_ss_Bv!C15+MLF_apple))*1,".")</f>
        <v>12050.890285749103</v>
      </c>
      <c r="AD15" s="48">
        <f>IFERROR((dir!AD15/(d_ss_Bv!D15+MLF_asparagus))*1,".")</f>
        <v>3666.795079821075</v>
      </c>
      <c r="AE15" s="48">
        <f>IFERROR((dir!AE15/(d_ss_Bv!E15+MLF_beet))*1,".")</f>
        <v>23227.036288706477</v>
      </c>
      <c r="AF15" s="48">
        <f>IFERROR((dir!AF15/(d_ss_Bv!F15+MLF_berries))*1,".")</f>
        <v>30196.174052524959</v>
      </c>
      <c r="AG15" s="48">
        <f>IFERROR((dir!AG15/(d_ss_Bv!G15+MLF_broccoli))*1,".")</f>
        <v>20074.038008364503</v>
      </c>
      <c r="AH15" s="48">
        <f>IFERROR((dir!AH15/(d_ss_Bv!H15+MLF_cabbage))*1,".")</f>
        <v>1730.5568148507004</v>
      </c>
      <c r="AI15" s="48">
        <f>IFERROR((dir!AI15/(d_ss_Bv!I15+MLF_carrot))*1,".")</f>
        <v>30117.853480707745</v>
      </c>
      <c r="AJ15" s="48">
        <f>IFERROR((dir!AJ15/(d_ss_Bv!J15+MLF_citrus))*1,".")</f>
        <v>3483.6802521986533</v>
      </c>
      <c r="AK15" s="48">
        <f>IFERROR((dir!AK15/(d_ss_Bv!K15+MLF_corn))*1,".")</f>
        <v>103019.49359514109</v>
      </c>
      <c r="AL15" s="48">
        <f>IFERROR((dir!AL15/(d_ss_Bv!L15+MLF_cucumber))*1,".")</f>
        <v>13970.009155733893</v>
      </c>
      <c r="AM15" s="48">
        <f>IFERROR((dir!AM15/(d_ss_Bv!M15+MLF_lettuce))*1,".")</f>
        <v>3401.3227861941759</v>
      </c>
      <c r="AN15" s="48">
        <f>IFERROR((dir!AN15/(d_ss_Bv!N15+MLF_lima_bean))*1,".")</f>
        <v>38116.173533908914</v>
      </c>
      <c r="AO15" s="48">
        <f>IFERROR((dir!AO15/(d_ss_Bv!O15+MLF_okra))*1,".")</f>
        <v>25902.184344745641</v>
      </c>
      <c r="AP15" s="48">
        <f>IFERROR((dir!AP15/(d_ss_Bv!P15+MLF_onion))*1,".")</f>
        <v>28294.603259664906</v>
      </c>
      <c r="AQ15" s="48">
        <f>IFERROR((dir!AQ15/(d_ss_Bv!Q15+MLF_peach))*1,".")</f>
        <v>9933.2789153145568</v>
      </c>
      <c r="AR15" s="48">
        <f>IFERROR((dir!AR15/(d_ss_Bv!R15+MLF_pear))*1,".")</f>
        <v>16292.340541646066</v>
      </c>
      <c r="AS15" s="48">
        <f>IFERROR((dir!AS15/(d_ss_Bv!S15+MLF_peas))*1,".")</f>
        <v>60386.183190654083</v>
      </c>
      <c r="AT15" s="48">
        <f>IFERROR((dir!AT15/(d_ss_Bv!T15+MLF_potato))*1,".")</f>
        <v>46816.95729782711</v>
      </c>
      <c r="AU15" s="48">
        <f>IFERROR((dir!AU15/(d_ss_Bv!U15+MLF_pumpkin))*1,".")</f>
        <v>11097.685710038542</v>
      </c>
      <c r="AV15" s="48">
        <f>IFERROR((dir!AV15/(d_ss_Bv!V15+MLF_snap_bean))*1,".")</f>
        <v>19994.564373603327</v>
      </c>
      <c r="AW15" s="48">
        <f>IFERROR((dir!AW15/(d_ss_Bv!W15+MLF_strawberry))*1,".")</f>
        <v>26832.331756596359</v>
      </c>
      <c r="AX15" s="48">
        <f>IFERROR((dir!AX15/(d_ss_Bv!X15+MLF_tomato))*1,".")</f>
        <v>7304.470785377177</v>
      </c>
      <c r="AY15" s="48">
        <f>IFERROR((dir!AY15/(d_ss_Bv!Y15+MLF_rice))*1,".")</f>
        <v>513.41325335282318</v>
      </c>
      <c r="AZ15" s="48">
        <f>IFERROR((dir!AZ15/(d_ss_Bv!Z15+MLF_cereal))*1,".")</f>
        <v>465.87945985417019</v>
      </c>
    </row>
    <row r="16" spans="1:52" ht="15" customHeight="1" x14ac:dyDescent="0.25">
      <c r="A16" s="61" t="s">
        <v>14</v>
      </c>
      <c r="B16" s="49" t="s">
        <v>1059</v>
      </c>
      <c r="C16" s="48">
        <f t="shared" si="13"/>
        <v>3.2166178583788889E-2</v>
      </c>
      <c r="D16" s="48">
        <f>IFERROR((dir!D16/(d_ss_Bv!C16+MLF_apple)),".")</f>
        <v>1.0157963090034496</v>
      </c>
      <c r="E16" s="48">
        <f>IFERROR((dir!E16/(d_ss_Bv!D16+MLF_asparagus)),".")</f>
        <v>0.2862999007359856</v>
      </c>
      <c r="F16" s="48">
        <f>IFERROR((dir!F16/(d_ss_Bv!E16+MLF_beet)),".")</f>
        <v>1.8522422860033183</v>
      </c>
      <c r="G16" s="48">
        <f>IFERROR((dir!G16/(d_ss_Bv!F16+MLF_berries)),".")</f>
        <v>2.2735386976705461</v>
      </c>
      <c r="H16" s="48">
        <f>IFERROR((dir!H16/(d_ss_Bv!G16+MLF_broccoli)),".")</f>
        <v>1.7100014326944848</v>
      </c>
      <c r="I16" s="48">
        <f>IFERROR((dir!I16/(d_ss_Bv!H16+MLF_cabbage)),".")</f>
        <v>0.12815394094822599</v>
      </c>
      <c r="J16" s="48">
        <f>IFERROR((dir!J16/(d_ss_Bv!I16+MLF_carrot)),".")</f>
        <v>2.0511436075859537</v>
      </c>
      <c r="K16" s="48">
        <f>IFERROR((dir!K16/(d_ss_Bv!J16+MLF_citrus)),".")</f>
        <v>0.2634879925962208</v>
      </c>
      <c r="L16" s="48">
        <f>IFERROR((dir!L16/(d_ss_Bv!K16+MLF_corn)),".")</f>
        <v>10.925263521857358</v>
      </c>
      <c r="M16" s="48">
        <f>IFERROR((dir!M16/(d_ss_Bv!L16+MLF_cucumber)),".")</f>
        <v>0.72645992616311983</v>
      </c>
      <c r="N16" s="48">
        <f>IFERROR((dir!N16/(d_ss_Bv!M16+MLF_lettuce)),".")</f>
        <v>0.27133453671266705</v>
      </c>
      <c r="O16" s="48">
        <f>IFERROR((dir!O16/(d_ss_Bv!N16+MLF_lima_bean)),".")</f>
        <v>3.0129718351052386</v>
      </c>
      <c r="P16" s="48">
        <f>IFERROR((dir!P16/(d_ss_Bv!O16+MLF_okra)),".")</f>
        <v>2.0513582298648405</v>
      </c>
      <c r="Q16" s="48">
        <f>IFERROR((dir!Q16/(d_ss_Bv!P16+MLF_onion)),".")</f>
        <v>2.7674591014493046</v>
      </c>
      <c r="R16" s="48">
        <f>IFERROR((dir!R16/(d_ss_Bv!Q16+MLF_peach)),".")</f>
        <v>0.65021794594193261</v>
      </c>
      <c r="S16" s="48">
        <f>IFERROR((dir!S16/(d_ss_Bv!R16+MLF_pear)),".")</f>
        <v>1.3473480805538127</v>
      </c>
      <c r="T16" s="48">
        <f>IFERROR((dir!T16/(d_ss_Bv!S16+MLF_peas)),".")</f>
        <v>3.9894921179109164</v>
      </c>
      <c r="U16" s="48">
        <f>IFERROR((dir!U16/(d_ss_Bv!T16+MLF_potato)),".")</f>
        <v>4.0139342042778621</v>
      </c>
      <c r="V16" s="48">
        <f>IFERROR((dir!V16/(d_ss_Bv!U16+MLF_pumpkin)),".")</f>
        <v>0.83387907608327227</v>
      </c>
      <c r="W16" s="48">
        <f>IFERROR((dir!W16/(d_ss_Bv!V16+MLF_snap_bean)),".")</f>
        <v>1.5382556224994997</v>
      </c>
      <c r="X16" s="48">
        <f>IFERROR((dir!X16/(d_ss_Bv!W16+MLF_strawberry)),".")</f>
        <v>2.0296486088510388</v>
      </c>
      <c r="Y16" s="48">
        <f>IFERROR((dir!Y16/(d_ss_Bv!X16+MLF_tomato)),".")</f>
        <v>0.66461053980668916</v>
      </c>
      <c r="Z16" s="48">
        <f>IFERROR((dir!Z16/(d_ss_Bv!D16+MLF_rice)),".")</f>
        <v>3.6421539677061729E-2</v>
      </c>
      <c r="AA16" s="48">
        <f>IFERROR((dir!AA16/(d_ss_Bv!Z16+MLF_cereal)),".")</f>
        <v>3.5659017000617098E-2</v>
      </c>
      <c r="AB16" s="48">
        <f t="shared" si="14"/>
        <v>3.0907103884492783E-2</v>
      </c>
      <c r="AC16" s="48">
        <f>IFERROR((dir!AC16/(d_ss_Bv!C16+MLF_apple))*1,".")</f>
        <v>0.88255049445633138</v>
      </c>
      <c r="AD16" s="48">
        <f>IFERROR((dir!AD16/(d_ss_Bv!D16+MLF_asparagus))*1,".")</f>
        <v>0.26853881613983754</v>
      </c>
      <c r="AE16" s="48">
        <f>IFERROR((dir!AE16/(d_ss_Bv!E16+MLF_beet))*1,".")</f>
        <v>1.7010388340846803</v>
      </c>
      <c r="AF16" s="48">
        <f>IFERROR((dir!AF16/(d_ss_Bv!F16+MLF_berries))*1,".")</f>
        <v>2.2114256879643279</v>
      </c>
      <c r="AG16" s="48">
        <f>IFERROR((dir!AG16/(d_ss_Bv!G16+MLF_broccoli))*1,".")</f>
        <v>1.4701280776714005</v>
      </c>
      <c r="AH16" s="48">
        <f>IFERROR((dir!AH16/(d_ss_Bv!H16+MLF_cabbage))*1,".")</f>
        <v>0.12673783732288954</v>
      </c>
      <c r="AI16" s="48">
        <f>IFERROR((dir!AI16/(d_ss_Bv!I16+MLF_carrot))*1,".")</f>
        <v>2.2056898578518322</v>
      </c>
      <c r="AJ16" s="48">
        <f>IFERROR((dir!AJ16/(d_ss_Bv!J16+MLF_citrus))*1,".")</f>
        <v>0.25512834788160721</v>
      </c>
      <c r="AK16" s="48">
        <f>IFERROR((dir!AK16/(d_ss_Bv!K16+MLF_corn))*1,".")</f>
        <v>7.5446629132912149</v>
      </c>
      <c r="AL16" s="48">
        <f>IFERROR((dir!AL16/(d_ss_Bv!L16+MLF_cucumber))*1,".")</f>
        <v>1.0230977293463939</v>
      </c>
      <c r="AM16" s="48">
        <f>IFERROR((dir!AM16/(d_ss_Bv!M16+MLF_lettuce))*1,".")</f>
        <v>0.24909687463598523</v>
      </c>
      <c r="AN16" s="48">
        <f>IFERROR((dir!AN16/(d_ss_Bv!N16+MLF_lima_bean))*1,".")</f>
        <v>2.791449179395094</v>
      </c>
      <c r="AO16" s="48">
        <f>IFERROR((dir!AO16/(d_ss_Bv!O16+MLF_okra))*1,".")</f>
        <v>1.8969540887769603</v>
      </c>
      <c r="AP16" s="48">
        <f>IFERROR((dir!AP16/(d_ss_Bv!P16+MLF_onion))*1,".")</f>
        <v>2.0721635916636942</v>
      </c>
      <c r="AQ16" s="48">
        <f>IFERROR((dir!AQ16/(d_ss_Bv!Q16+MLF_peach))*1,".")</f>
        <v>0.72746660291568366</v>
      </c>
      <c r="AR16" s="48">
        <f>IFERROR((dir!AR16/(d_ss_Bv!R16+MLF_pear))*1,".")</f>
        <v>1.1931743514323148</v>
      </c>
      <c r="AS16" s="48">
        <f>IFERROR((dir!AS16/(d_ss_Bv!S16+MLF_peas))*1,".")</f>
        <v>4.4223998866096661</v>
      </c>
      <c r="AT16" s="48">
        <f>IFERROR((dir!AT16/(d_ss_Bv!T16+MLF_potato))*1,".")</f>
        <v>3.4286536373996914</v>
      </c>
      <c r="AU16" s="48">
        <f>IFERROR((dir!AU16/(d_ss_Bv!U16+MLF_pumpkin))*1,".")</f>
        <v>0.81274227699988133</v>
      </c>
      <c r="AV16" s="48">
        <f>IFERROR((dir!AV16/(d_ss_Bv!V16+MLF_snap_bean))*1,".")</f>
        <v>1.4643078026550671</v>
      </c>
      <c r="AW16" s="48">
        <f>IFERROR((dir!AW16/(d_ss_Bv!W16+MLF_strawberry))*1,".")</f>
        <v>1.9650737080566156</v>
      </c>
      <c r="AX16" s="48">
        <f>IFERROR((dir!AX16/(d_ss_Bv!X16+MLF_tomato))*1,".")</f>
        <v>0.53494506634085803</v>
      </c>
      <c r="AY16" s="48">
        <f>IFERROR((dir!AY16/(d_ss_Bv!Y16+MLF_rice))*1,".")</f>
        <v>3.7599970613192049E-2</v>
      </c>
      <c r="AZ16" s="48">
        <f>IFERROR((dir!AZ16/(d_ss_Bv!Z16+MLF_cereal))*1,".")</f>
        <v>3.4118819265790697E-2</v>
      </c>
    </row>
    <row r="17" spans="1:52" ht="15" customHeight="1" x14ac:dyDescent="0.25">
      <c r="A17" s="61" t="s">
        <v>15</v>
      </c>
      <c r="B17" s="49" t="s">
        <v>1059</v>
      </c>
      <c r="C17" s="48">
        <f t="shared" si="13"/>
        <v>164.87187012796318</v>
      </c>
      <c r="D17" s="48">
        <f>IFERROR((dir!D17/(d_ss_Bv!C17+MLF_apple)),".")</f>
        <v>5206.5941466508484</v>
      </c>
      <c r="E17" s="48">
        <f>IFERROR((dir!E17/(d_ss_Bv!D17+MLF_asparagus)),".")</f>
        <v>1467.4668278929914</v>
      </c>
      <c r="F17" s="48">
        <f>IFERROR((dir!F17/(d_ss_Bv!E17+MLF_beet)),".")</f>
        <v>9493.9051845396207</v>
      </c>
      <c r="G17" s="48">
        <f>IFERROR((dir!G17/(d_ss_Bv!F17+MLF_berries)),".")</f>
        <v>11653.313927758576</v>
      </c>
      <c r="H17" s="48">
        <f>IFERROR((dir!H17/(d_ss_Bv!G17+MLF_broccoli)),".")</f>
        <v>8764.8314640621848</v>
      </c>
      <c r="I17" s="48">
        <f>IFERROR((dir!I17/(d_ss_Bv!H17+MLF_cabbage)),".")</f>
        <v>656.8694460662839</v>
      </c>
      <c r="J17" s="48">
        <f>IFERROR((dir!J17/(d_ss_Bv!I17+MLF_carrot)),".")</f>
        <v>10513.399395666696</v>
      </c>
      <c r="K17" s="48">
        <f>IFERROR((dir!K17/(d_ss_Bv!J17+MLF_citrus)),".")</f>
        <v>1350.5414695886695</v>
      </c>
      <c r="L17" s="48">
        <f>IFERROR((dir!L17/(d_ss_Bv!K17+MLF_corn)),".")</f>
        <v>55998.838152233679</v>
      </c>
      <c r="M17" s="48">
        <f>IFERROR((dir!M17/(d_ss_Bv!L17+MLF_cucumber)),".")</f>
        <v>3723.563440635086</v>
      </c>
      <c r="N17" s="48">
        <f>IFERROR((dir!N17/(d_ss_Bv!M17+MLF_lettuce)),".")</f>
        <v>1390.759936919198</v>
      </c>
      <c r="O17" s="48">
        <f>IFERROR((dir!O17/(d_ss_Bv!N17+MLF_lima_bean)),".")</f>
        <v>15443.37322516253</v>
      </c>
      <c r="P17" s="48">
        <f>IFERROR((dir!P17/(d_ss_Bv!O17+MLF_okra)),".")</f>
        <v>10514.499469658982</v>
      </c>
      <c r="Q17" s="48">
        <f>IFERROR((dir!Q17/(d_ss_Bv!P17+MLF_onion)),".")</f>
        <v>14184.966248634628</v>
      </c>
      <c r="R17" s="48">
        <f>IFERROR((dir!R17/(d_ss_Bv!Q17+MLF_peach)),".")</f>
        <v>3332.7754013104086</v>
      </c>
      <c r="S17" s="48">
        <f>IFERROR((dir!S17/(d_ss_Bv!R17+MLF_pear)),".")</f>
        <v>6906.0052370094909</v>
      </c>
      <c r="T17" s="48">
        <f>IFERROR((dir!T17/(d_ss_Bv!S17+MLF_peas)),".")</f>
        <v>20448.653066679068</v>
      </c>
      <c r="U17" s="48">
        <f>IFERROR((dir!U17/(d_ss_Bv!T17+MLF_potato)),".")</f>
        <v>20573.934112378985</v>
      </c>
      <c r="V17" s="48">
        <f>IFERROR((dir!V17/(d_ss_Bv!U17+MLF_pumpkin)),".")</f>
        <v>4274.1540583162696</v>
      </c>
      <c r="W17" s="48">
        <f>IFERROR((dir!W17/(d_ss_Bv!V17+MLF_snap_bean)),".")</f>
        <v>7884.5263062788426</v>
      </c>
      <c r="X17" s="48">
        <f>IFERROR((dir!X17/(d_ss_Bv!W17+MLF_strawberry)),".")</f>
        <v>10403.224025266632</v>
      </c>
      <c r="Y17" s="48">
        <f>IFERROR((dir!Y17/(d_ss_Bv!X17+MLF_tomato)),".")</f>
        <v>3406.5464854413208</v>
      </c>
      <c r="Z17" s="48">
        <f>IFERROR((dir!Z17/(d_ss_Bv!D17+MLF_rice)),".")</f>
        <v>186.68326869649729</v>
      </c>
      <c r="AA17" s="48">
        <f>IFERROR((dir!AA17/(d_ss_Bv!Z17+MLF_cereal)),".")</f>
        <v>182.77486100818811</v>
      </c>
      <c r="AB17" s="48">
        <f t="shared" si="14"/>
        <v>158.41832141800322</v>
      </c>
      <c r="AC17" s="48">
        <f>IFERROR((dir!AC17/(d_ss_Bv!C17+MLF_apple))*1,".")</f>
        <v>4523.6256499771762</v>
      </c>
      <c r="AD17" s="48">
        <f>IFERROR((dir!AD17/(d_ss_Bv!D17+MLF_asparagus))*1,".")</f>
        <v>1376.4301128775592</v>
      </c>
      <c r="AE17" s="48">
        <f>IFERROR((dir!AE17/(d_ss_Bv!E17+MLF_beet))*1,".")</f>
        <v>8718.8925164139382</v>
      </c>
      <c r="AF17" s="48">
        <f>IFERROR((dir!AF17/(d_ss_Bv!F17+MLF_berries))*1,".")</f>
        <v>11334.945737304593</v>
      </c>
      <c r="AG17" s="48">
        <f>IFERROR((dir!AG17/(d_ss_Bv!G17+MLF_broccoli))*1,".")</f>
        <v>7535.329845350896</v>
      </c>
      <c r="AH17" s="48">
        <f>IFERROR((dir!AH17/(d_ss_Bv!H17+MLF_cabbage))*1,".")</f>
        <v>649.61102547410712</v>
      </c>
      <c r="AI17" s="48">
        <f>IFERROR((dir!AI17/(d_ss_Bv!I17+MLF_carrot))*1,".")</f>
        <v>11305.546005069691</v>
      </c>
      <c r="AJ17" s="48">
        <f>IFERROR((dir!AJ17/(d_ss_Bv!J17+MLF_citrus))*1,".")</f>
        <v>1307.6930393931625</v>
      </c>
      <c r="AK17" s="48">
        <f>IFERROR((dir!AK17/(d_ss_Bv!K17+MLF_corn))*1,".")</f>
        <v>38671.136540487627</v>
      </c>
      <c r="AL17" s="48">
        <f>IFERROR((dir!AL17/(d_ss_Bv!L17+MLF_cucumber))*1,".")</f>
        <v>5244.0185122277471</v>
      </c>
      <c r="AM17" s="48">
        <f>IFERROR((dir!AM17/(d_ss_Bv!M17+MLF_lettuce))*1,".")</f>
        <v>1276.7779503955019</v>
      </c>
      <c r="AN17" s="48">
        <f>IFERROR((dir!AN17/(d_ss_Bv!N17+MLF_lima_bean))*1,".")</f>
        <v>14307.930467251237</v>
      </c>
      <c r="AO17" s="48">
        <f>IFERROR((dir!AO17/(d_ss_Bv!O17+MLF_okra))*1,".")</f>
        <v>9723.0812590577843</v>
      </c>
      <c r="AP17" s="48">
        <f>IFERROR((dir!AP17/(d_ss_Bv!P17+MLF_onion))*1,".")</f>
        <v>10621.140017572703</v>
      </c>
      <c r="AQ17" s="48">
        <f>IFERROR((dir!AQ17/(d_ss_Bv!Q17+MLF_peach))*1,".")</f>
        <v>3728.7232913266198</v>
      </c>
      <c r="AR17" s="48">
        <f>IFERROR((dir!AR17/(d_ss_Bv!R17+MLF_pear))*1,".")</f>
        <v>6115.768032467141</v>
      </c>
      <c r="AS17" s="48">
        <f>IFERROR((dir!AS17/(d_ss_Bv!S17+MLF_peas))*1,".")</f>
        <v>22667.577308250551</v>
      </c>
      <c r="AT17" s="48">
        <f>IFERROR((dir!AT17/(d_ss_Bv!T17+MLF_potato))*1,".")</f>
        <v>17574.003568581331</v>
      </c>
      <c r="AU17" s="48">
        <f>IFERROR((dir!AU17/(d_ss_Bv!U17+MLF_pumpkin))*1,".")</f>
        <v>4165.8146861300456</v>
      </c>
      <c r="AV17" s="48">
        <f>IFERROR((dir!AV17/(d_ss_Bv!V17+MLF_snap_bean))*1,".")</f>
        <v>7505.497279940545</v>
      </c>
      <c r="AW17" s="48">
        <f>IFERROR((dir!AW17/(d_ss_Bv!W17+MLF_strawberry))*1,".")</f>
        <v>10072.237096571595</v>
      </c>
      <c r="AX17" s="48">
        <f>IFERROR((dir!AX17/(d_ss_Bv!X17+MLF_tomato))*1,".")</f>
        <v>2741.9294857672116</v>
      </c>
      <c r="AY17" s="48">
        <f>IFERROR((dir!AY17/(d_ss_Bv!Y17+MLF_rice))*1,".")</f>
        <v>192.72346746460246</v>
      </c>
      <c r="AZ17" s="48">
        <f>IFERROR((dir!AZ17/(d_ss_Bv!Z17+MLF_cereal))*1,".")</f>
        <v>174.88038015631412</v>
      </c>
    </row>
    <row r="18" spans="1:52" ht="15" customHeight="1" x14ac:dyDescent="0.25">
      <c r="A18" s="61" t="s">
        <v>16</v>
      </c>
      <c r="B18" s="49" t="s">
        <v>1059</v>
      </c>
      <c r="C18" s="48">
        <f t="shared" ref="C18:C21" si="15">IFERROR(1/SUM(1/D18,1/E18,1/F18,1/G18,1/H18,1/I18,1/J18,1/K18,1/L18,1/M18,1/N18,1/O18,1/P18,1/Q18,1/R18,1/S18,1/T18,1/U18,1/V18,1/W18,1/X18,1/Y18),".")</f>
        <v>0.15427752863046693</v>
      </c>
      <c r="D18" s="48">
        <f>IFERROR((dir!D18/(d_ss_Bv!C18+MLF_apple)),".")</f>
        <v>16.709365570578651</v>
      </c>
      <c r="E18" s="48">
        <f>IFERROR((dir!E18/(d_ss_Bv!D18+MLF_asparagus)),".")</f>
        <v>1.7867279388808839</v>
      </c>
      <c r="F18" s="48">
        <f>IFERROR((dir!F18/(d_ss_Bv!E18+MLF_beet)),".")</f>
        <v>2.7522521868862628</v>
      </c>
      <c r="G18" s="48">
        <f>IFERROR((dir!G18/(d_ss_Bv!F18+MLF_berries)),".")</f>
        <v>36.807260403636448</v>
      </c>
      <c r="H18" s="48">
        <f>IFERROR((dir!H18/(d_ss_Bv!G18+MLF_broccoli)),".")</f>
        <v>13.187563351210143</v>
      </c>
      <c r="I18" s="48">
        <f>IFERROR((dir!I18/(d_ss_Bv!H18+MLF_cabbage)),".")</f>
        <v>0.79726558434954165</v>
      </c>
      <c r="J18" s="48">
        <f>IFERROR((dir!J18/(d_ss_Bv!I18+MLF_carrot)),".")</f>
        <v>3.060678538200988</v>
      </c>
      <c r="K18" s="48">
        <f>IFERROR((dir!K18/(d_ss_Bv!J18+MLF_citrus)),".")</f>
        <v>4.3693837400813305</v>
      </c>
      <c r="L18" s="48">
        <f>IFERROR((dir!L18/(d_ss_Bv!K18+MLF_corn)),".")</f>
        <v>22.246187793151918</v>
      </c>
      <c r="M18" s="48">
        <f>IFERROR((dir!M18/(d_ss_Bv!L18+MLF_cucumber)),".")</f>
        <v>26.53446770305521</v>
      </c>
      <c r="N18" s="48">
        <f>IFERROR((dir!N18/(d_ss_Bv!M18+MLF_lettuce)),".")</f>
        <v>0.70750990475152586</v>
      </c>
      <c r="O18" s="48">
        <f>IFERROR((dir!O18/(d_ss_Bv!N18+MLF_lima_bean)),".")</f>
        <v>3.9106064824531068</v>
      </c>
      <c r="P18" s="48">
        <f>IFERROR((dir!P18/(d_ss_Bv!O18+MLF_okra)),".")</f>
        <v>64.394228058140882</v>
      </c>
      <c r="Q18" s="48">
        <f>IFERROR((dir!Q18/(d_ss_Bv!P18+MLF_onion)),".")</f>
        <v>81.993144118656573</v>
      </c>
      <c r="R18" s="48">
        <f>IFERROR((dir!R18/(d_ss_Bv!Q18+MLF_peach)),".")</f>
        <v>10.9905410519785</v>
      </c>
      <c r="S18" s="48">
        <f>IFERROR((dir!S18/(d_ss_Bv!R18+MLF_pear)),".")</f>
        <v>22.163234330786146</v>
      </c>
      <c r="T18" s="48">
        <f>IFERROR((dir!T18/(d_ss_Bv!S18+MLF_peas)),".")</f>
        <v>28.433069615247859</v>
      </c>
      <c r="U18" s="48">
        <f>IFERROR((dir!U18/(d_ss_Bv!T18+MLF_potato)),".")</f>
        <v>1.3747872438098077</v>
      </c>
      <c r="V18" s="48">
        <f>IFERROR((dir!V18/(d_ss_Bv!U18+MLF_pumpkin)),".")</f>
        <v>28.366959358173101</v>
      </c>
      <c r="W18" s="48">
        <f>IFERROR((dir!W18/(d_ss_Bv!V18+MLF_snap_bean)),".")</f>
        <v>1.7523354372436695</v>
      </c>
      <c r="X18" s="48">
        <f>IFERROR((dir!X18/(d_ss_Bv!W18+MLF_strawberry)),".")</f>
        <v>42.587826809720084</v>
      </c>
      <c r="Y18" s="48">
        <f>IFERROR((dir!Y18/(d_ss_Bv!X18+MLF_tomato)),".")</f>
        <v>3.590233561851822</v>
      </c>
      <c r="Z18" s="48">
        <f>IFERROR((dir!Z18/(d_ss_Bv!D18+MLF_rice)),".")</f>
        <v>2.7216095582859312E-2</v>
      </c>
      <c r="AA18" s="48">
        <f>IFERROR((dir!AA18/(d_ss_Bv!Z18+MLF_cereal)),".")</f>
        <v>2.1677803036865825E-2</v>
      </c>
      <c r="AB18" s="48">
        <f t="shared" si="14"/>
        <v>0.14392862177490903</v>
      </c>
      <c r="AC18" s="48">
        <f>IFERROR((dir!AC18/(d_ss_Bv!C18+MLF_apple))*1,".")</f>
        <v>14.517535371666435</v>
      </c>
      <c r="AD18" s="48">
        <f>IFERROR((dir!AD18/(d_ss_Bv!D18+MLF_asparagus))*1,".")</f>
        <v>1.6758853364518014</v>
      </c>
      <c r="AE18" s="48">
        <f>IFERROR((dir!AE18/(d_ss_Bv!E18+MLF_beet))*1,".")</f>
        <v>2.5275785389771808</v>
      </c>
      <c r="AF18" s="48">
        <f>IFERROR((dir!AF18/(d_ss_Bv!F18+MLF_berries))*1,".")</f>
        <v>35.801687142423518</v>
      </c>
      <c r="AG18" s="48">
        <f>IFERROR((dir!AG18/(d_ss_Bv!G18+MLF_broccoli))*1,".")</f>
        <v>11.337655506016294</v>
      </c>
      <c r="AH18" s="48">
        <f>IFERROR((dir!AH18/(d_ss_Bv!H18+MLF_cabbage))*1,".")</f>
        <v>0.78845578360522062</v>
      </c>
      <c r="AI18" s="48">
        <f>IFERROR((dir!AI18/(d_ss_Bv!I18+MLF_carrot))*1,".")</f>
        <v>3.2912895932235662</v>
      </c>
      <c r="AJ18" s="48">
        <f>IFERROR((dir!AJ18/(d_ss_Bv!J18+MLF_citrus))*1,".")</f>
        <v>4.2307569460138517</v>
      </c>
      <c r="AK18" s="48">
        <f>IFERROR((dir!AK18/(d_ss_Bv!K18+MLF_corn))*1,".")</f>
        <v>15.36255740370199</v>
      </c>
      <c r="AL18" s="48">
        <f>IFERROR((dir!AL18/(d_ss_Bv!L18+MLF_cucumber))*1,".")</f>
        <v>37.369375348469418</v>
      </c>
      <c r="AM18" s="48">
        <f>IFERROR((dir!AM18/(d_ss_Bv!M18+MLF_lettuce))*1,".")</f>
        <v>0.64952478288541105</v>
      </c>
      <c r="AN18" s="48">
        <f>IFERROR((dir!AN18/(d_ss_Bv!N18+MLF_lima_bean))*1,".")</f>
        <v>3.6230870561720905</v>
      </c>
      <c r="AO18" s="48">
        <f>IFERROR((dir!AO18/(d_ss_Bv!O18+MLF_okra))*1,".")</f>
        <v>59.547324514146297</v>
      </c>
      <c r="AP18" s="48">
        <f>IFERROR((dir!AP18/(d_ss_Bv!P18+MLF_onion))*1,".")</f>
        <v>61.393213695456907</v>
      </c>
      <c r="AQ18" s="48">
        <f>IFERROR((dir!AQ18/(d_ss_Bv!Q18+MLF_peach))*1,".")</f>
        <v>12.296264065283388</v>
      </c>
      <c r="AR18" s="48">
        <f>IFERROR((dir!AR18/(d_ss_Bv!R18+MLF_pear))*1,".")</f>
        <v>19.627149902798994</v>
      </c>
      <c r="AS18" s="48">
        <f>IFERROR((dir!AS18/(d_ss_Bv!S18+MLF_peas))*1,".")</f>
        <v>31.518398865337641</v>
      </c>
      <c r="AT18" s="48">
        <f>IFERROR((dir!AT18/(d_ss_Bv!T18+MLF_potato))*1,".")</f>
        <v>1.1743264947182215</v>
      </c>
      <c r="AU18" s="48">
        <f>IFERROR((dir!AU18/(d_ss_Bv!U18+MLF_pumpkin))*1,".")</f>
        <v>27.647926182071984</v>
      </c>
      <c r="AV18" s="48">
        <f>IFERROR((dir!AV18/(d_ss_Bv!V18+MLF_snap_bean))*1,".")</f>
        <v>1.6680962618264175</v>
      </c>
      <c r="AW18" s="48">
        <f>IFERROR((dir!AW18/(d_ss_Bv!W18+MLF_strawberry))*1,".")</f>
        <v>41.232860891336522</v>
      </c>
      <c r="AX18" s="48">
        <f>IFERROR((dir!AX18/(d_ss_Bv!X18+MLF_tomato))*1,".")</f>
        <v>2.8897792254131622</v>
      </c>
      <c r="AY18" s="48">
        <f>IFERROR((dir!AY18/(d_ss_Bv!Y18+MLF_rice))*1,".")</f>
        <v>2.0856305437634667E-2</v>
      </c>
      <c r="AZ18" s="48">
        <f>IFERROR((dir!AZ18/(d_ss_Bv!Z18+MLF_cereal))*1,".")</f>
        <v>2.0741487177883627E-2</v>
      </c>
    </row>
    <row r="19" spans="1:52" ht="15" customHeight="1" x14ac:dyDescent="0.25">
      <c r="A19" s="61" t="s">
        <v>17</v>
      </c>
      <c r="B19" s="49" t="s">
        <v>1059</v>
      </c>
      <c r="C19" s="48" t="str">
        <f t="shared" si="15"/>
        <v>.</v>
      </c>
      <c r="D19" s="48" t="str">
        <f>IFERROR((dir!D19/(d_ss_Bv!C19+MLF_apple)),".")</f>
        <v>.</v>
      </c>
      <c r="E19" s="48" t="str">
        <f>IFERROR((dir!E19/(d_ss_Bv!D19+MLF_asparagus)),".")</f>
        <v>.</v>
      </c>
      <c r="F19" s="48" t="str">
        <f>IFERROR((dir!F19/(d_ss_Bv!E19+MLF_beet)),".")</f>
        <v>.</v>
      </c>
      <c r="G19" s="48" t="str">
        <f>IFERROR((dir!G19/(d_ss_Bv!F19+MLF_berries)),".")</f>
        <v>.</v>
      </c>
      <c r="H19" s="48" t="str">
        <f>IFERROR((dir!H19/(d_ss_Bv!G19+MLF_broccoli)),".")</f>
        <v>.</v>
      </c>
      <c r="I19" s="48" t="str">
        <f>IFERROR((dir!I19/(d_ss_Bv!H19+MLF_cabbage)),".")</f>
        <v>.</v>
      </c>
      <c r="J19" s="48" t="str">
        <f>IFERROR((dir!J19/(d_ss_Bv!I19+MLF_carrot)),".")</f>
        <v>.</v>
      </c>
      <c r="K19" s="48" t="str">
        <f>IFERROR((dir!K19/(d_ss_Bv!J19+MLF_citrus)),".")</f>
        <v>.</v>
      </c>
      <c r="L19" s="48" t="str">
        <f>IFERROR((dir!L19/(d_ss_Bv!K19+MLF_corn)),".")</f>
        <v>.</v>
      </c>
      <c r="M19" s="48" t="str">
        <f>IFERROR((dir!M19/(d_ss_Bv!L19+MLF_cucumber)),".")</f>
        <v>.</v>
      </c>
      <c r="N19" s="48" t="str">
        <f>IFERROR((dir!N19/(d_ss_Bv!M19+MLF_lettuce)),".")</f>
        <v>.</v>
      </c>
      <c r="O19" s="48" t="str">
        <f>IFERROR((dir!O19/(d_ss_Bv!N19+MLF_lima_bean)),".")</f>
        <v>.</v>
      </c>
      <c r="P19" s="48" t="str">
        <f>IFERROR((dir!P19/(d_ss_Bv!O19+MLF_okra)),".")</f>
        <v>.</v>
      </c>
      <c r="Q19" s="48" t="str">
        <f>IFERROR((dir!Q19/(d_ss_Bv!P19+MLF_onion)),".")</f>
        <v>.</v>
      </c>
      <c r="R19" s="48" t="str">
        <f>IFERROR((dir!R19/(d_ss_Bv!Q19+MLF_peach)),".")</f>
        <v>.</v>
      </c>
      <c r="S19" s="48" t="str">
        <f>IFERROR((dir!S19/(d_ss_Bv!R19+MLF_pear)),".")</f>
        <v>.</v>
      </c>
      <c r="T19" s="48" t="str">
        <f>IFERROR((dir!T19/(d_ss_Bv!S19+MLF_peas)),".")</f>
        <v>.</v>
      </c>
      <c r="U19" s="48" t="str">
        <f>IFERROR((dir!U19/(d_ss_Bv!T19+MLF_potato)),".")</f>
        <v>.</v>
      </c>
      <c r="V19" s="48" t="str">
        <f>IFERROR((dir!V19/(d_ss_Bv!U19+MLF_pumpkin)),".")</f>
        <v>.</v>
      </c>
      <c r="W19" s="48" t="str">
        <f>IFERROR((dir!W19/(d_ss_Bv!V19+MLF_snap_bean)),".")</f>
        <v>.</v>
      </c>
      <c r="X19" s="48" t="str">
        <f>IFERROR((dir!X19/(d_ss_Bv!W19+MLF_strawberry)),".")</f>
        <v>.</v>
      </c>
      <c r="Y19" s="48" t="str">
        <f>IFERROR((dir!Y19/(d_ss_Bv!X19+MLF_tomato)),".")</f>
        <v>.</v>
      </c>
      <c r="Z19" s="48" t="str">
        <f>IFERROR((dir!Z19/(d_ss_Bv!D19+MLF_rice)),".")</f>
        <v>.</v>
      </c>
      <c r="AA19" s="48" t="str">
        <f>IFERROR((dir!AA19/(d_ss_Bv!Z19+MLF_cereal)),".")</f>
        <v>.</v>
      </c>
      <c r="AB19" s="48" t="str">
        <f t="shared" si="14"/>
        <v>.</v>
      </c>
      <c r="AC19" s="48" t="str">
        <f>IFERROR((dir!AC19/(d_ss_Bv!C19+MLF_apple))*1,".")</f>
        <v>.</v>
      </c>
      <c r="AD19" s="48" t="str">
        <f>IFERROR((dir!AD19/(d_ss_Bv!D19+MLF_asparagus))*1,".")</f>
        <v>.</v>
      </c>
      <c r="AE19" s="48" t="str">
        <f>IFERROR((dir!AE19/(d_ss_Bv!E19+MLF_beet))*1,".")</f>
        <v>.</v>
      </c>
      <c r="AF19" s="48" t="str">
        <f>IFERROR((dir!AF19/(d_ss_Bv!F19+MLF_berries))*1,".")</f>
        <v>.</v>
      </c>
      <c r="AG19" s="48" t="str">
        <f>IFERROR((dir!AG19/(d_ss_Bv!G19+MLF_broccoli))*1,".")</f>
        <v>.</v>
      </c>
      <c r="AH19" s="48" t="str">
        <f>IFERROR((dir!AH19/(d_ss_Bv!H19+MLF_cabbage))*1,".")</f>
        <v>.</v>
      </c>
      <c r="AI19" s="48" t="str">
        <f>IFERROR((dir!AI19/(d_ss_Bv!I19+MLF_carrot))*1,".")</f>
        <v>.</v>
      </c>
      <c r="AJ19" s="48" t="str">
        <f>IFERROR((dir!AJ19/(d_ss_Bv!J19+MLF_citrus))*1,".")</f>
        <v>.</v>
      </c>
      <c r="AK19" s="48" t="str">
        <f>IFERROR((dir!AK19/(d_ss_Bv!K19+MLF_corn))*1,".")</f>
        <v>.</v>
      </c>
      <c r="AL19" s="48" t="str">
        <f>IFERROR((dir!AL19/(d_ss_Bv!L19+MLF_cucumber))*1,".")</f>
        <v>.</v>
      </c>
      <c r="AM19" s="48" t="str">
        <f>IFERROR((dir!AM19/(d_ss_Bv!M19+MLF_lettuce))*1,".")</f>
        <v>.</v>
      </c>
      <c r="AN19" s="48" t="str">
        <f>IFERROR((dir!AN19/(d_ss_Bv!N19+MLF_lima_bean))*1,".")</f>
        <v>.</v>
      </c>
      <c r="AO19" s="48" t="str">
        <f>IFERROR((dir!AO19/(d_ss_Bv!O19+MLF_okra))*1,".")</f>
        <v>.</v>
      </c>
      <c r="AP19" s="48" t="str">
        <f>IFERROR((dir!AP19/(d_ss_Bv!P19+MLF_onion))*1,".")</f>
        <v>.</v>
      </c>
      <c r="AQ19" s="48" t="str">
        <f>IFERROR((dir!AQ19/(d_ss_Bv!Q19+MLF_peach))*1,".")</f>
        <v>.</v>
      </c>
      <c r="AR19" s="48" t="str">
        <f>IFERROR((dir!AR19/(d_ss_Bv!R19+MLF_pear))*1,".")</f>
        <v>.</v>
      </c>
      <c r="AS19" s="48" t="str">
        <f>IFERROR((dir!AS19/(d_ss_Bv!S19+MLF_peas))*1,".")</f>
        <v>.</v>
      </c>
      <c r="AT19" s="48" t="str">
        <f>IFERROR((dir!AT19/(d_ss_Bv!T19+MLF_potato))*1,".")</f>
        <v>.</v>
      </c>
      <c r="AU19" s="48" t="str">
        <f>IFERROR((dir!AU19/(d_ss_Bv!U19+MLF_pumpkin))*1,".")</f>
        <v>.</v>
      </c>
      <c r="AV19" s="48" t="str">
        <f>IFERROR((dir!AV19/(d_ss_Bv!V19+MLF_snap_bean))*1,".")</f>
        <v>.</v>
      </c>
      <c r="AW19" s="48" t="str">
        <f>IFERROR((dir!AW19/(d_ss_Bv!W19+MLF_strawberry))*1,".")</f>
        <v>.</v>
      </c>
      <c r="AX19" s="48" t="str">
        <f>IFERROR((dir!AX19/(d_ss_Bv!X19+MLF_tomato))*1,".")</f>
        <v>.</v>
      </c>
      <c r="AY19" s="48" t="str">
        <f>IFERROR((dir!AY19/(d_ss_Bv!Y19+MLF_rice))*1,".")</f>
        <v>.</v>
      </c>
      <c r="AZ19" s="48" t="str">
        <f>IFERROR((dir!AZ19/(d_ss_Bv!Z19+MLF_cereal))*1,".")</f>
        <v>.</v>
      </c>
    </row>
    <row r="20" spans="1:52" ht="15" customHeight="1" x14ac:dyDescent="0.25">
      <c r="A20" s="61" t="s">
        <v>18</v>
      </c>
      <c r="B20" s="49" t="s">
        <v>1059</v>
      </c>
      <c r="C20" s="48" t="str">
        <f t="shared" si="15"/>
        <v>.</v>
      </c>
      <c r="D20" s="48" t="str">
        <f>IFERROR((dir!D20/(d_ss_Bv!C20+MLF_apple)),".")</f>
        <v>.</v>
      </c>
      <c r="E20" s="48" t="str">
        <f>IFERROR((dir!E20/(d_ss_Bv!D20+MLF_asparagus)),".")</f>
        <v>.</v>
      </c>
      <c r="F20" s="48" t="str">
        <f>IFERROR((dir!F20/(d_ss_Bv!E20+MLF_beet)),".")</f>
        <v>.</v>
      </c>
      <c r="G20" s="48" t="str">
        <f>IFERROR((dir!G20/(d_ss_Bv!F20+MLF_berries)),".")</f>
        <v>.</v>
      </c>
      <c r="H20" s="48" t="str">
        <f>IFERROR((dir!H20/(d_ss_Bv!G20+MLF_broccoli)),".")</f>
        <v>.</v>
      </c>
      <c r="I20" s="48" t="str">
        <f>IFERROR((dir!I20/(d_ss_Bv!H20+MLF_cabbage)),".")</f>
        <v>.</v>
      </c>
      <c r="J20" s="48" t="str">
        <f>IFERROR((dir!J20/(d_ss_Bv!I20+MLF_carrot)),".")</f>
        <v>.</v>
      </c>
      <c r="K20" s="48" t="str">
        <f>IFERROR((dir!K20/(d_ss_Bv!J20+MLF_citrus)),".")</f>
        <v>.</v>
      </c>
      <c r="L20" s="48" t="str">
        <f>IFERROR((dir!L20/(d_ss_Bv!K20+MLF_corn)),".")</f>
        <v>.</v>
      </c>
      <c r="M20" s="48" t="str">
        <f>IFERROR((dir!M20/(d_ss_Bv!L20+MLF_cucumber)),".")</f>
        <v>.</v>
      </c>
      <c r="N20" s="48" t="str">
        <f>IFERROR((dir!N20/(d_ss_Bv!M20+MLF_lettuce)),".")</f>
        <v>.</v>
      </c>
      <c r="O20" s="48" t="str">
        <f>IFERROR((dir!O20/(d_ss_Bv!N20+MLF_lima_bean)),".")</f>
        <v>.</v>
      </c>
      <c r="P20" s="48" t="str">
        <f>IFERROR((dir!P20/(d_ss_Bv!O20+MLF_okra)),".")</f>
        <v>.</v>
      </c>
      <c r="Q20" s="48" t="str">
        <f>IFERROR((dir!Q20/(d_ss_Bv!P20+MLF_onion)),".")</f>
        <v>.</v>
      </c>
      <c r="R20" s="48" t="str">
        <f>IFERROR((dir!R20/(d_ss_Bv!Q20+MLF_peach)),".")</f>
        <v>.</v>
      </c>
      <c r="S20" s="48" t="str">
        <f>IFERROR((dir!S20/(d_ss_Bv!R20+MLF_pear)),".")</f>
        <v>.</v>
      </c>
      <c r="T20" s="48" t="str">
        <f>IFERROR((dir!T20/(d_ss_Bv!S20+MLF_peas)),".")</f>
        <v>.</v>
      </c>
      <c r="U20" s="48" t="str">
        <f>IFERROR((dir!U20/(d_ss_Bv!T20+MLF_potato)),".")</f>
        <v>.</v>
      </c>
      <c r="V20" s="48" t="str">
        <f>IFERROR((dir!V20/(d_ss_Bv!U20+MLF_pumpkin)),".")</f>
        <v>.</v>
      </c>
      <c r="W20" s="48" t="str">
        <f>IFERROR((dir!W20/(d_ss_Bv!V20+MLF_snap_bean)),".")</f>
        <v>.</v>
      </c>
      <c r="X20" s="48" t="str">
        <f>IFERROR((dir!X20/(d_ss_Bv!W20+MLF_strawberry)),".")</f>
        <v>.</v>
      </c>
      <c r="Y20" s="48" t="str">
        <f>IFERROR((dir!Y20/(d_ss_Bv!X20+MLF_tomato)),".")</f>
        <v>.</v>
      </c>
      <c r="Z20" s="48" t="str">
        <f>IFERROR((dir!Z20/(d_ss_Bv!D20+MLF_rice)),".")</f>
        <v>.</v>
      </c>
      <c r="AA20" s="48" t="str">
        <f>IFERROR((dir!AA20/(d_ss_Bv!Z20+MLF_cereal)),".")</f>
        <v>.</v>
      </c>
      <c r="AB20" s="48" t="str">
        <f t="shared" si="14"/>
        <v>.</v>
      </c>
      <c r="AC20" s="48" t="str">
        <f>IFERROR((dir!AC20/(d_ss_Bv!C20+MLF_apple))*1,".")</f>
        <v>.</v>
      </c>
      <c r="AD20" s="48" t="str">
        <f>IFERROR((dir!AD20/(d_ss_Bv!D20+MLF_asparagus))*1,".")</f>
        <v>.</v>
      </c>
      <c r="AE20" s="48" t="str">
        <f>IFERROR((dir!AE20/(d_ss_Bv!E20+MLF_beet))*1,".")</f>
        <v>.</v>
      </c>
      <c r="AF20" s="48" t="str">
        <f>IFERROR((dir!AF20/(d_ss_Bv!F20+MLF_berries))*1,".")</f>
        <v>.</v>
      </c>
      <c r="AG20" s="48" t="str">
        <f>IFERROR((dir!AG20/(d_ss_Bv!G20+MLF_broccoli))*1,".")</f>
        <v>.</v>
      </c>
      <c r="AH20" s="48" t="str">
        <f>IFERROR((dir!AH20/(d_ss_Bv!H20+MLF_cabbage))*1,".")</f>
        <v>.</v>
      </c>
      <c r="AI20" s="48" t="str">
        <f>IFERROR((dir!AI20/(d_ss_Bv!I20+MLF_carrot))*1,".")</f>
        <v>.</v>
      </c>
      <c r="AJ20" s="48" t="str">
        <f>IFERROR((dir!AJ20/(d_ss_Bv!J20+MLF_citrus))*1,".")</f>
        <v>.</v>
      </c>
      <c r="AK20" s="48" t="str">
        <f>IFERROR((dir!AK20/(d_ss_Bv!K20+MLF_corn))*1,".")</f>
        <v>.</v>
      </c>
      <c r="AL20" s="48" t="str">
        <f>IFERROR((dir!AL20/(d_ss_Bv!L20+MLF_cucumber))*1,".")</f>
        <v>.</v>
      </c>
      <c r="AM20" s="48" t="str">
        <f>IFERROR((dir!AM20/(d_ss_Bv!M20+MLF_lettuce))*1,".")</f>
        <v>.</v>
      </c>
      <c r="AN20" s="48" t="str">
        <f>IFERROR((dir!AN20/(d_ss_Bv!N20+MLF_lima_bean))*1,".")</f>
        <v>.</v>
      </c>
      <c r="AO20" s="48" t="str">
        <f>IFERROR((dir!AO20/(d_ss_Bv!O20+MLF_okra))*1,".")</f>
        <v>.</v>
      </c>
      <c r="AP20" s="48" t="str">
        <f>IFERROR((dir!AP20/(d_ss_Bv!P20+MLF_onion))*1,".")</f>
        <v>.</v>
      </c>
      <c r="AQ20" s="48" t="str">
        <f>IFERROR((dir!AQ20/(d_ss_Bv!Q20+MLF_peach))*1,".")</f>
        <v>.</v>
      </c>
      <c r="AR20" s="48" t="str">
        <f>IFERROR((dir!AR20/(d_ss_Bv!R20+MLF_pear))*1,".")</f>
        <v>.</v>
      </c>
      <c r="AS20" s="48" t="str">
        <f>IFERROR((dir!AS20/(d_ss_Bv!S20+MLF_peas))*1,".")</f>
        <v>.</v>
      </c>
      <c r="AT20" s="48" t="str">
        <f>IFERROR((dir!AT20/(d_ss_Bv!T20+MLF_potato))*1,".")</f>
        <v>.</v>
      </c>
      <c r="AU20" s="48" t="str">
        <f>IFERROR((dir!AU20/(d_ss_Bv!U20+MLF_pumpkin))*1,".")</f>
        <v>.</v>
      </c>
      <c r="AV20" s="48" t="str">
        <f>IFERROR((dir!AV20/(d_ss_Bv!V20+MLF_snap_bean))*1,".")</f>
        <v>.</v>
      </c>
      <c r="AW20" s="48" t="str">
        <f>IFERROR((dir!AW20/(d_ss_Bv!W20+MLF_strawberry))*1,".")</f>
        <v>.</v>
      </c>
      <c r="AX20" s="48" t="str">
        <f>IFERROR((dir!AX20/(d_ss_Bv!X20+MLF_tomato))*1,".")</f>
        <v>.</v>
      </c>
      <c r="AY20" s="48" t="str">
        <f>IFERROR((dir!AY20/(d_ss_Bv!Y20+MLF_rice))*1,".")</f>
        <v>.</v>
      </c>
      <c r="AZ20" s="48" t="str">
        <f>IFERROR((dir!AZ20/(d_ss_Bv!Z20+MLF_cereal))*1,".")</f>
        <v>.</v>
      </c>
    </row>
    <row r="21" spans="1:52" ht="15" customHeight="1" x14ac:dyDescent="0.25">
      <c r="A21" s="61" t="s">
        <v>19</v>
      </c>
      <c r="B21" s="49" t="s">
        <v>1059</v>
      </c>
      <c r="C21" s="48" t="str">
        <f t="shared" si="15"/>
        <v>.</v>
      </c>
      <c r="D21" s="48" t="str">
        <f>IFERROR((dir!D21/(d_ss_Bv!C21+MLF_apple)),".")</f>
        <v>.</v>
      </c>
      <c r="E21" s="48" t="str">
        <f>IFERROR((dir!E21/(d_ss_Bv!D21+MLF_asparagus)),".")</f>
        <v>.</v>
      </c>
      <c r="F21" s="48" t="str">
        <f>IFERROR((dir!F21/(d_ss_Bv!E21+MLF_beet)),".")</f>
        <v>.</v>
      </c>
      <c r="G21" s="48" t="str">
        <f>IFERROR((dir!G21/(d_ss_Bv!F21+MLF_berries)),".")</f>
        <v>.</v>
      </c>
      <c r="H21" s="48" t="str">
        <f>IFERROR((dir!H21/(d_ss_Bv!G21+MLF_broccoli)),".")</f>
        <v>.</v>
      </c>
      <c r="I21" s="48" t="str">
        <f>IFERROR((dir!I21/(d_ss_Bv!H21+MLF_cabbage)),".")</f>
        <v>.</v>
      </c>
      <c r="J21" s="48" t="str">
        <f>IFERROR((dir!J21/(d_ss_Bv!I21+MLF_carrot)),".")</f>
        <v>.</v>
      </c>
      <c r="K21" s="48" t="str">
        <f>IFERROR((dir!K21/(d_ss_Bv!J21+MLF_citrus)),".")</f>
        <v>.</v>
      </c>
      <c r="L21" s="48" t="str">
        <f>IFERROR((dir!L21/(d_ss_Bv!K21+MLF_corn)),".")</f>
        <v>.</v>
      </c>
      <c r="M21" s="48" t="str">
        <f>IFERROR((dir!M21/(d_ss_Bv!L21+MLF_cucumber)),".")</f>
        <v>.</v>
      </c>
      <c r="N21" s="48" t="str">
        <f>IFERROR((dir!N21/(d_ss_Bv!M21+MLF_lettuce)),".")</f>
        <v>.</v>
      </c>
      <c r="O21" s="48" t="str">
        <f>IFERROR((dir!O21/(d_ss_Bv!N21+MLF_lima_bean)),".")</f>
        <v>.</v>
      </c>
      <c r="P21" s="48" t="str">
        <f>IFERROR((dir!P21/(d_ss_Bv!O21+MLF_okra)),".")</f>
        <v>.</v>
      </c>
      <c r="Q21" s="48" t="str">
        <f>IFERROR((dir!Q21/(d_ss_Bv!P21+MLF_onion)),".")</f>
        <v>.</v>
      </c>
      <c r="R21" s="48" t="str">
        <f>IFERROR((dir!R21/(d_ss_Bv!Q21+MLF_peach)),".")</f>
        <v>.</v>
      </c>
      <c r="S21" s="48" t="str">
        <f>IFERROR((dir!S21/(d_ss_Bv!R21+MLF_pear)),".")</f>
        <v>.</v>
      </c>
      <c r="T21" s="48" t="str">
        <f>IFERROR((dir!T21/(d_ss_Bv!S21+MLF_peas)),".")</f>
        <v>.</v>
      </c>
      <c r="U21" s="48" t="str">
        <f>IFERROR((dir!U21/(d_ss_Bv!T21+MLF_potato)),".")</f>
        <v>.</v>
      </c>
      <c r="V21" s="48" t="str">
        <f>IFERROR((dir!V21/(d_ss_Bv!U21+MLF_pumpkin)),".")</f>
        <v>.</v>
      </c>
      <c r="W21" s="48" t="str">
        <f>IFERROR((dir!W21/(d_ss_Bv!V21+MLF_snap_bean)),".")</f>
        <v>.</v>
      </c>
      <c r="X21" s="48" t="str">
        <f>IFERROR((dir!X21/(d_ss_Bv!W21+MLF_strawberry)),".")</f>
        <v>.</v>
      </c>
      <c r="Y21" s="48" t="str">
        <f>IFERROR((dir!Y21/(d_ss_Bv!X21+MLF_tomato)),".")</f>
        <v>.</v>
      </c>
      <c r="Z21" s="48" t="str">
        <f>IFERROR((dir!Z21/(d_ss_Bv!D21+MLF_rice)),".")</f>
        <v>.</v>
      </c>
      <c r="AA21" s="48" t="str">
        <f>IFERROR((dir!AA21/(d_ss_Bv!Z21+MLF_cereal)),".")</f>
        <v>.</v>
      </c>
      <c r="AB21" s="48" t="str">
        <f t="shared" si="14"/>
        <v>.</v>
      </c>
      <c r="AC21" s="48" t="str">
        <f>IFERROR((dir!AC21/(d_ss_Bv!C21+MLF_apple))*1,".")</f>
        <v>.</v>
      </c>
      <c r="AD21" s="48" t="str">
        <f>IFERROR((dir!AD21/(d_ss_Bv!D21+MLF_asparagus))*1,".")</f>
        <v>.</v>
      </c>
      <c r="AE21" s="48" t="str">
        <f>IFERROR((dir!AE21/(d_ss_Bv!E21+MLF_beet))*1,".")</f>
        <v>.</v>
      </c>
      <c r="AF21" s="48" t="str">
        <f>IFERROR((dir!AF21/(d_ss_Bv!F21+MLF_berries))*1,".")</f>
        <v>.</v>
      </c>
      <c r="AG21" s="48" t="str">
        <f>IFERROR((dir!AG21/(d_ss_Bv!G21+MLF_broccoli))*1,".")</f>
        <v>.</v>
      </c>
      <c r="AH21" s="48" t="str">
        <f>IFERROR((dir!AH21/(d_ss_Bv!H21+MLF_cabbage))*1,".")</f>
        <v>.</v>
      </c>
      <c r="AI21" s="48" t="str">
        <f>IFERROR((dir!AI21/(d_ss_Bv!I21+MLF_carrot))*1,".")</f>
        <v>.</v>
      </c>
      <c r="AJ21" s="48" t="str">
        <f>IFERROR((dir!AJ21/(d_ss_Bv!J21+MLF_citrus))*1,".")</f>
        <v>.</v>
      </c>
      <c r="AK21" s="48" t="str">
        <f>IFERROR((dir!AK21/(d_ss_Bv!K21+MLF_corn))*1,".")</f>
        <v>.</v>
      </c>
      <c r="AL21" s="48" t="str">
        <f>IFERROR((dir!AL21/(d_ss_Bv!L21+MLF_cucumber))*1,".")</f>
        <v>.</v>
      </c>
      <c r="AM21" s="48" t="str">
        <f>IFERROR((dir!AM21/(d_ss_Bv!M21+MLF_lettuce))*1,".")</f>
        <v>.</v>
      </c>
      <c r="AN21" s="48" t="str">
        <f>IFERROR((dir!AN21/(d_ss_Bv!N21+MLF_lima_bean))*1,".")</f>
        <v>.</v>
      </c>
      <c r="AO21" s="48" t="str">
        <f>IFERROR((dir!AO21/(d_ss_Bv!O21+MLF_okra))*1,".")</f>
        <v>.</v>
      </c>
      <c r="AP21" s="48" t="str">
        <f>IFERROR((dir!AP21/(d_ss_Bv!P21+MLF_onion))*1,".")</f>
        <v>.</v>
      </c>
      <c r="AQ21" s="48" t="str">
        <f>IFERROR((dir!AQ21/(d_ss_Bv!Q21+MLF_peach))*1,".")</f>
        <v>.</v>
      </c>
      <c r="AR21" s="48" t="str">
        <f>IFERROR((dir!AR21/(d_ss_Bv!R21+MLF_pear))*1,".")</f>
        <v>.</v>
      </c>
      <c r="AS21" s="48" t="str">
        <f>IFERROR((dir!AS21/(d_ss_Bv!S21+MLF_peas))*1,".")</f>
        <v>.</v>
      </c>
      <c r="AT21" s="48" t="str">
        <f>IFERROR((dir!AT21/(d_ss_Bv!T21+MLF_potato))*1,".")</f>
        <v>.</v>
      </c>
      <c r="AU21" s="48" t="str">
        <f>IFERROR((dir!AU21/(d_ss_Bv!U21+MLF_pumpkin))*1,".")</f>
        <v>.</v>
      </c>
      <c r="AV21" s="48" t="str">
        <f>IFERROR((dir!AV21/(d_ss_Bv!V21+MLF_snap_bean))*1,".")</f>
        <v>.</v>
      </c>
      <c r="AW21" s="48" t="str">
        <f>IFERROR((dir!AW21/(d_ss_Bv!W21+MLF_strawberry))*1,".")</f>
        <v>.</v>
      </c>
      <c r="AX21" s="48" t="str">
        <f>IFERROR((dir!AX21/(d_ss_Bv!X21+MLF_tomato))*1,".")</f>
        <v>.</v>
      </c>
      <c r="AY21" s="48" t="str">
        <f>IFERROR((dir!AY21/(d_ss_Bv!Y21+MLF_rice))*1,".")</f>
        <v>.</v>
      </c>
      <c r="AZ21" s="48" t="str">
        <f>IFERROR((dir!AZ21/(d_ss_Bv!Z21+MLF_cereal))*1,".")</f>
        <v>.</v>
      </c>
    </row>
    <row r="22" spans="1:52" ht="15" customHeight="1" x14ac:dyDescent="0.25">
      <c r="A22" s="61" t="s">
        <v>20</v>
      </c>
      <c r="B22" s="49" t="s">
        <v>1059</v>
      </c>
      <c r="C22" s="48">
        <f t="shared" ref="C22:C23" si="16">IFERROR(1/SUM(1/D22,1/E22,1/F22,1/G22,1/H22,1/I22,1/J22,1/K22,1/L22,1/M22,1/N22,1/O22,1/P22,1/Q22,1/R22,1/S22,1/T22,1/U22,1/V22,1/W22,1/X22,1/Y22),".")</f>
        <v>0.10647839982126531</v>
      </c>
      <c r="D22" s="48">
        <f>IFERROR((dir!D22/(d_ss_Bv!C22+MLF_apple)),".")</f>
        <v>4.3534127528719271</v>
      </c>
      <c r="E22" s="48">
        <f>IFERROR((dir!E22/(d_ss_Bv!D22+MLF_asparagus)),".")</f>
        <v>1.0788095931336057</v>
      </c>
      <c r="F22" s="48">
        <f>IFERROR((dir!F22/(d_ss_Bv!E22+MLF_beet)),".")</f>
        <v>1.7133107216498631</v>
      </c>
      <c r="G22" s="48">
        <f>IFERROR((dir!G22/(d_ss_Bv!F22+MLF_berries)),".")</f>
        <v>9.7437372757309095</v>
      </c>
      <c r="H22" s="48">
        <f>IFERROR((dir!H22/(d_ss_Bv!G22+MLF_broccoli)),".")</f>
        <v>6.5147433023174504</v>
      </c>
      <c r="I22" s="48">
        <f>IFERROR((dir!I22/(d_ss_Bv!H22+MLF_cabbage)),".")</f>
        <v>0.48291711006880489</v>
      </c>
      <c r="J22" s="48">
        <f>IFERROR((dir!J22/(d_ss_Bv!I22+MLF_carrot)),".")</f>
        <v>1.8932610755947457</v>
      </c>
      <c r="K22" s="48">
        <f>IFERROR((dir!K22/(d_ss_Bv!J22+MLF_citrus)),".")</f>
        <v>1.1292342539838034</v>
      </c>
      <c r="L22" s="48">
        <f>IFERROR((dir!L22/(d_ss_Bv!K22+MLF_corn)),".")</f>
        <v>24.745123946502627</v>
      </c>
      <c r="M22" s="48">
        <f>IFERROR((dir!M22/(d_ss_Bv!L22+MLF_cucumber)),".")</f>
        <v>2.7479771854862478</v>
      </c>
      <c r="N22" s="48">
        <f>IFERROR((dir!N22/(d_ss_Bv!M22+MLF_lettuce)),".")</f>
        <v>1.0404557422816558</v>
      </c>
      <c r="O22" s="48">
        <f>IFERROR((dir!O22/(d_ss_Bv!N22+MLF_lima_bean)),".")</f>
        <v>6.6120742379242436</v>
      </c>
      <c r="P22" s="48">
        <f>IFERROR((dir!P22/(d_ss_Bv!O22+MLF_okra)),".")</f>
        <v>7.7620814920613395</v>
      </c>
      <c r="Q22" s="48">
        <f>IFERROR((dir!Q22/(d_ss_Bv!P22+MLF_onion)),".")</f>
        <v>10.473098050931277</v>
      </c>
      <c r="R22" s="48">
        <f>IFERROR((dir!R22/(d_ss_Bv!Q22+MLF_peach)),".")</f>
        <v>2.7866483397511401</v>
      </c>
      <c r="S22" s="48">
        <f>IFERROR((dir!S22/(d_ss_Bv!R22+MLF_pear)),".")</f>
        <v>5.7743489166591964</v>
      </c>
      <c r="T22" s="48">
        <f>IFERROR((dir!T22/(d_ss_Bv!S22+MLF_peas)),".")</f>
        <v>6.6061416546508669</v>
      </c>
      <c r="U22" s="48">
        <f>IFERROR((dir!U22/(d_ss_Bv!T22+MLF_potato)),".")</f>
        <v>2.6241216347579241</v>
      </c>
      <c r="V22" s="48">
        <f>IFERROR((dir!V22/(d_ss_Bv!U22+MLF_pumpkin)),".")</f>
        <v>3.1547538132912707</v>
      </c>
      <c r="W22" s="48">
        <f>IFERROR((dir!W22/(d_ss_Bv!V22+MLF_snap_bean)),".")</f>
        <v>3.5738420101680108</v>
      </c>
      <c r="X22" s="48">
        <f>IFERROR((dir!X22/(d_ss_Bv!W22+MLF_strawberry)),".")</f>
        <v>8.698494037933024</v>
      </c>
      <c r="Y22" s="48">
        <f>IFERROR((dir!Y22/(d_ss_Bv!X22+MLF_tomato)),".")</f>
        <v>2.5418939957103599</v>
      </c>
      <c r="Z22" s="48">
        <f>IFERROR((dir!Z22/(d_ss_Bv!D22+MLF_rice)),".")</f>
        <v>0.15105707700163853</v>
      </c>
      <c r="AA22" s="48">
        <f>IFERROR((dir!AA22/(d_ss_Bv!Z22+MLF_cereal)),".")</f>
        <v>0.14939010332521768</v>
      </c>
      <c r="AB22" s="48">
        <f t="shared" ref="AB22:AB23" si="17">IFERROR(1/SUM(1/AC22,1/AD22,1/AE22,1/AF22,1/AG22,1/AH22,1/AI22,1/AJ22,1/AK22,1/AL22,1/AM22,1/AN22,1/AO22,1/AP22,1/AQ22,1/AR22,1/AS22,1/AT22,1/AU22,1/AV22,1/AW22,1/AX22),".")</f>
        <v>0.10212982082054942</v>
      </c>
      <c r="AC22" s="48">
        <f>IFERROR((dir!AC22/(d_ss_Bv!C22+MLF_apple))*1,".")</f>
        <v>3.7823592619557056</v>
      </c>
      <c r="AD22" s="48">
        <f>IFERROR((dir!AD22/(d_ss_Bv!D22+MLF_asparagus))*1,".")</f>
        <v>1.0118838680546738</v>
      </c>
      <c r="AE22" s="48">
        <f>IFERROR((dir!AE22/(d_ss_Bv!E22+MLF_beet))*1,".")</f>
        <v>1.5734486219233441</v>
      </c>
      <c r="AF22" s="48">
        <f>IFERROR((dir!AF22/(d_ss_Bv!F22+MLF_berries))*1,".")</f>
        <v>9.4775386627042622</v>
      </c>
      <c r="AG22" s="48">
        <f>IFERROR((dir!AG22/(d_ss_Bv!G22+MLF_broccoli))*1,".")</f>
        <v>5.6008766217623025</v>
      </c>
      <c r="AH22" s="48">
        <f>IFERROR((dir!AH22/(d_ss_Bv!H22+MLF_cabbage))*1,".")</f>
        <v>0.47758086628850843</v>
      </c>
      <c r="AI22" s="48">
        <f>IFERROR((dir!AI22/(d_ss_Bv!I22+MLF_carrot))*1,".")</f>
        <v>2.0359114482577674</v>
      </c>
      <c r="AJ22" s="48">
        <f>IFERROR((dir!AJ22/(d_ss_Bv!J22+MLF_citrus))*1,".")</f>
        <v>1.0934072052068882</v>
      </c>
      <c r="AK22" s="48">
        <f>IFERROR((dir!AK22/(d_ss_Bv!K22+MLF_corn))*1,".")</f>
        <v>17.088248585534689</v>
      </c>
      <c r="AL22" s="48">
        <f>IFERROR((dir!AL22/(d_ss_Bv!L22+MLF_cucumber))*1,".")</f>
        <v>3.8700678695597994</v>
      </c>
      <c r="AM22" s="48">
        <f>IFERROR((dir!AM22/(d_ss_Bv!M22+MLF_lettuce))*1,".")</f>
        <v>0.95518350424325149</v>
      </c>
      <c r="AN22" s="48">
        <f>IFERROR((dir!AN22/(d_ss_Bv!N22+MLF_lima_bean))*1,".")</f>
        <v>6.1259348628821106</v>
      </c>
      <c r="AO22" s="48">
        <f>IFERROR((dir!AO22/(d_ss_Bv!O22+MLF_okra))*1,".")</f>
        <v>7.1778356453888987</v>
      </c>
      <c r="AP22" s="48">
        <f>IFERROR((dir!AP22/(d_ss_Bv!P22+MLF_onion))*1,".")</f>
        <v>7.8418403587964773</v>
      </c>
      <c r="AQ22" s="48">
        <f>IFERROR((dir!AQ22/(d_ss_Bv!Q22+MLF_peach))*1,".")</f>
        <v>3.1177140124957869</v>
      </c>
      <c r="AR22" s="48">
        <f>IFERROR((dir!AR22/(d_ss_Bv!R22+MLF_pear))*1,".")</f>
        <v>5.1136043632813486</v>
      </c>
      <c r="AS22" s="48">
        <f>IFERROR((dir!AS22/(d_ss_Bv!S22+MLF_peas))*1,".")</f>
        <v>7.3229872978803439</v>
      </c>
      <c r="AT22" s="48">
        <f>IFERROR((dir!AT22/(d_ss_Bv!T22+MLF_potato))*1,".")</f>
        <v>2.2414926927310335</v>
      </c>
      <c r="AU22" s="48">
        <f>IFERROR((dir!AU22/(d_ss_Bv!U22+MLF_pumpkin))*1,".")</f>
        <v>3.0747885048651362</v>
      </c>
      <c r="AV22" s="48">
        <f>IFERROR((dir!AV22/(d_ss_Bv!V22+MLF_snap_bean))*1,".")</f>
        <v>3.4020384287249303</v>
      </c>
      <c r="AW22" s="48">
        <f>IFERROR((dir!AW22/(d_ss_Bv!W22+MLF_strawberry))*1,".")</f>
        <v>8.4217444630997793</v>
      </c>
      <c r="AX22" s="48">
        <f>IFERROR((dir!AX22/(d_ss_Bv!X22+MLF_tomato))*1,".")</f>
        <v>2.0459706410346961</v>
      </c>
      <c r="AY22" s="48">
        <f>IFERROR((dir!AY22/(d_ss_Bv!Y22+MLF_rice))*1,".")</f>
        <v>0.16077017655318077</v>
      </c>
      <c r="AZ22" s="48">
        <f>IFERROR((dir!AZ22/(d_ss_Bv!Z22+MLF_cereal))*1,".")</f>
        <v>0.14293758954047148</v>
      </c>
    </row>
    <row r="23" spans="1:52" x14ac:dyDescent="0.25">
      <c r="A23" s="63" t="s">
        <v>21</v>
      </c>
      <c r="B23" s="49" t="s">
        <v>336</v>
      </c>
      <c r="C23" s="48">
        <f t="shared" si="16"/>
        <v>5.5942293945830328E-2</v>
      </c>
      <c r="D23" s="48">
        <f>IFERROR((dir!D23/(d_ss_Bv!C23+MLF_apple)),".")</f>
        <v>2.2872234772263105</v>
      </c>
      <c r="E23" s="48">
        <f>IFERROR((dir!E23/(d_ss_Bv!D23+MLF_asparagus)),".")</f>
        <v>0.56679179506798705</v>
      </c>
      <c r="F23" s="48">
        <f>IFERROR((dir!F23/(d_ss_Bv!E23+MLF_beet)),".")</f>
        <v>0.90015000386902311</v>
      </c>
      <c r="G23" s="48">
        <f>IFERROR((dir!G23/(d_ss_Bv!F23+MLF_berries)),".")</f>
        <v>5.1192262066754006</v>
      </c>
      <c r="H23" s="48">
        <f>IFERROR((dir!H23/(d_ss_Bv!G23+MLF_broccoli)),".")</f>
        <v>3.4227569667804705</v>
      </c>
      <c r="I23" s="48">
        <f>IFERROR((dir!I23/(d_ss_Bv!H23+MLF_cabbage)),".")</f>
        <v>0.25371804016859945</v>
      </c>
      <c r="J23" s="48">
        <f>IFERROR((dir!J23/(d_ss_Bv!I23+MLF_carrot)),".")</f>
        <v>0.99469345693498779</v>
      </c>
      <c r="K23" s="48">
        <f>IFERROR((dir!K23/(d_ss_Bv!J23+MLF_citrus)),".")</f>
        <v>0.59328422173983497</v>
      </c>
      <c r="L23" s="48">
        <f>IFERROR((dir!L23/(d_ss_Bv!K23+MLF_corn)),".")</f>
        <v>13.000749446506898</v>
      </c>
      <c r="M23" s="48">
        <f>IFERROR((dir!M23/(d_ss_Bv!L23+MLF_cucumber)),".")</f>
        <v>1.4437496029706998</v>
      </c>
      <c r="N23" s="48">
        <f>IFERROR((dir!N23/(d_ss_Bv!M23+MLF_lettuce)),".")</f>
        <v>0.54664120676166461</v>
      </c>
      <c r="O23" s="48">
        <f>IFERROR((dir!O23/(d_ss_Bv!N23+MLF_lima_bean)),".")</f>
        <v>3.4738933082250996</v>
      </c>
      <c r="P23" s="48">
        <f>IFERROR((dir!P23/(d_ss_Bv!O23+MLF_okra)),".")</f>
        <v>4.0780913799350973</v>
      </c>
      <c r="Q23" s="48">
        <f>IFERROR((dir!Q23/(d_ss_Bv!P23+MLF_onion)),".")</f>
        <v>5.5024223755444686</v>
      </c>
      <c r="R23" s="48">
        <f>IFERROR((dir!R23/(d_ss_Bv!Q23+MLF_peach)),".")</f>
        <v>1.4640668981473981</v>
      </c>
      <c r="S23" s="48">
        <f>IFERROR((dir!S23/(d_ss_Bv!R23+MLF_pear)),".")</f>
        <v>3.0337638899887174</v>
      </c>
      <c r="T23" s="48">
        <f>IFERROR((dir!T23/(d_ss_Bv!S23+MLF_peas)),".")</f>
        <v>3.4707764101697713</v>
      </c>
      <c r="U23" s="48">
        <f>IFERROR((dir!U23/(d_ss_Bv!T23+MLF_potato)),".")</f>
        <v>1.3786775917712715</v>
      </c>
      <c r="V23" s="48">
        <f>IFERROR((dir!V23/(d_ss_Bv!U23+MLF_pumpkin)),".")</f>
        <v>1.6574644758572239</v>
      </c>
      <c r="W23" s="48">
        <f>IFERROR((dir!W23/(d_ss_Bv!V23+MLF_snap_bean)),".")</f>
        <v>1.877647678631317</v>
      </c>
      <c r="X23" s="48">
        <f>IFERROR((dir!X23/(d_ss_Bv!W23+MLF_strawberry)),".")</f>
        <v>4.5700697152937293</v>
      </c>
      <c r="Y23" s="48">
        <f>IFERROR((dir!Y23/(d_ss_Bv!X23+MLF_tomato)),".")</f>
        <v>1.3354763156270764</v>
      </c>
      <c r="Z23" s="48">
        <f>IFERROR((dir!Z23/(d_ss_Bv!D23+MLF_rice)),".")</f>
        <v>7.9363320808807883E-2</v>
      </c>
      <c r="AA23" s="48">
        <f>IFERROR((dir!AA23/(d_ss_Bv!Z23+MLF_cereal)),".")</f>
        <v>7.8487515654308629E-2</v>
      </c>
      <c r="AB23" s="48">
        <f t="shared" si="17"/>
        <v>5.3657610055829502E-2</v>
      </c>
      <c r="AC23" s="48">
        <f>IFERROR((dir!AC23/(d_ss_Bv!C23+MLF_apple))*1,".")</f>
        <v>1.9871997888420705</v>
      </c>
      <c r="AD23" s="48">
        <f>IFERROR((dir!AD23/(d_ss_Bv!D23+MLF_asparagus))*1,".")</f>
        <v>0.53162993509274259</v>
      </c>
      <c r="AE23" s="48">
        <f>IFERROR((dir!AE23/(d_ss_Bv!E23+MLF_beet))*1,".")</f>
        <v>0.82666837090012346</v>
      </c>
      <c r="AF23" s="48">
        <f>IFERROR((dir!AF23/(d_ss_Bv!F23+MLF_berries))*1,".")</f>
        <v>4.9793690987276253</v>
      </c>
      <c r="AG23" s="48">
        <f>IFERROR((dir!AG23/(d_ss_Bv!G23+MLF_broccoli))*1,".")</f>
        <v>2.9426239204843889</v>
      </c>
      <c r="AH23" s="48">
        <f>IFERROR((dir!AH23/(d_ss_Bv!H23+MLF_cabbage))*1,".")</f>
        <v>0.25091445072111485</v>
      </c>
      <c r="AI23" s="48">
        <f>IFERROR((dir!AI23/(d_ss_Bv!I23+MLF_carrot))*1,".")</f>
        <v>1.0696400103429331</v>
      </c>
      <c r="AJ23" s="48">
        <f>IFERROR((dir!AJ23/(d_ss_Bv!J23+MLF_citrus))*1,".")</f>
        <v>0.57446118066057261</v>
      </c>
      <c r="AK23" s="48">
        <f>IFERROR((dir!AK23/(d_ss_Bv!K23+MLF_corn))*1,".")</f>
        <v>8.9779319279409613</v>
      </c>
      <c r="AL23" s="48">
        <f>IFERROR((dir!AL23/(d_ss_Bv!L23+MLF_cucumber))*1,".")</f>
        <v>2.0332806908504026</v>
      </c>
      <c r="AM23" s="48">
        <f>IFERROR((dir!AM23/(d_ss_Bv!M23+MLF_lettuce))*1,".")</f>
        <v>0.50184033997769062</v>
      </c>
      <c r="AN23" s="48">
        <f>IFERROR((dir!AN23/(d_ss_Bv!N23+MLF_lima_bean))*1,".")</f>
        <v>3.2184823341411537</v>
      </c>
      <c r="AO23" s="48">
        <f>IFERROR((dir!AO23/(d_ss_Bv!O23+MLF_okra))*1,".")</f>
        <v>3.7711366083941673</v>
      </c>
      <c r="AP23" s="48">
        <f>IFERROR((dir!AP23/(d_ss_Bv!P23+MLF_onion))*1,".")</f>
        <v>4.1199955968952793</v>
      </c>
      <c r="AQ23" s="48">
        <f>IFERROR((dir!AQ23/(d_ss_Bv!Q23+MLF_peach))*1,".")</f>
        <v>1.6380042714657777</v>
      </c>
      <c r="AR23" s="48">
        <f>IFERROR((dir!AR23/(d_ss_Bv!R23+MLF_pear))*1,".")</f>
        <v>2.6866177449469339</v>
      </c>
      <c r="AS23" s="48">
        <f>IFERROR((dir!AS23/(d_ss_Bv!S23+MLF_peas))*1,".")</f>
        <v>3.8473972999901149</v>
      </c>
      <c r="AT23" s="48">
        <f>IFERROR((dir!AT23/(d_ss_Bv!T23+MLF_potato))*1,".")</f>
        <v>1.1776495824944502</v>
      </c>
      <c r="AU23" s="48">
        <f>IFERROR((dir!AU23/(d_ss_Bv!U23+MLF_pumpkin))*1,".")</f>
        <v>1.6154517972580629</v>
      </c>
      <c r="AV23" s="48">
        <f>IFERROR((dir!AV23/(d_ss_Bv!V23+MLF_snap_bean))*1,".")</f>
        <v>1.7873844283367186</v>
      </c>
      <c r="AW23" s="48">
        <f>IFERROR((dir!AW23/(d_ss_Bv!W23+MLF_strawberry))*1,".")</f>
        <v>4.4246692764188689</v>
      </c>
      <c r="AX23" s="48">
        <f>IFERROR((dir!AX23/(d_ss_Bv!X23+MLF_tomato))*1,".")</f>
        <v>1.074924972552445</v>
      </c>
      <c r="AY23" s="48">
        <f>IFERROR((dir!AY23/(d_ss_Bv!Y23+MLF_rice))*1,".")</f>
        <v>8.4466450374518803E-2</v>
      </c>
      <c r="AZ23" s="48">
        <f>IFERROR((dir!AZ23/(d_ss_Bv!Z23+MLF_cereal))*1,".")</f>
        <v>7.5097453224353669E-2</v>
      </c>
    </row>
    <row r="24" spans="1:52" ht="15" customHeight="1" x14ac:dyDescent="0.25">
      <c r="A24" s="61" t="s">
        <v>22</v>
      </c>
      <c r="B24" s="49" t="s">
        <v>1059</v>
      </c>
      <c r="C24" s="48" t="str">
        <f t="shared" ref="C24:C25" si="18">IFERROR(1/SUM(1/D24,1/E24,1/F24,1/G24,1/H24,1/I24,1/J24,1/K24,1/L24,1/M24,1/N24,1/O24,1/P24,1/Q24,1/R24,1/S24,1/T24,1/U24,1/V24,1/W24,1/X24,1/Y24),".")</f>
        <v>.</v>
      </c>
      <c r="D24" s="48" t="str">
        <f>IFERROR((dir!D24/(d_ss_Bv!C24+MLF_apple)),".")</f>
        <v>.</v>
      </c>
      <c r="E24" s="48" t="str">
        <f>IFERROR((dir!E24/(d_ss_Bv!D24+MLF_asparagus)),".")</f>
        <v>.</v>
      </c>
      <c r="F24" s="48" t="str">
        <f>IFERROR((dir!F24/(d_ss_Bv!E24+MLF_beet)),".")</f>
        <v>.</v>
      </c>
      <c r="G24" s="48" t="str">
        <f>IFERROR((dir!G24/(d_ss_Bv!F24+MLF_berries)),".")</f>
        <v>.</v>
      </c>
      <c r="H24" s="48" t="str">
        <f>IFERROR((dir!H24/(d_ss_Bv!G24+MLF_broccoli)),".")</f>
        <v>.</v>
      </c>
      <c r="I24" s="48" t="str">
        <f>IFERROR((dir!I24/(d_ss_Bv!H24+MLF_cabbage)),".")</f>
        <v>.</v>
      </c>
      <c r="J24" s="48" t="str">
        <f>IFERROR((dir!J24/(d_ss_Bv!I24+MLF_carrot)),".")</f>
        <v>.</v>
      </c>
      <c r="K24" s="48" t="str">
        <f>IFERROR((dir!K24/(d_ss_Bv!J24+MLF_citrus)),".")</f>
        <v>.</v>
      </c>
      <c r="L24" s="48" t="str">
        <f>IFERROR((dir!L24/(d_ss_Bv!K24+MLF_corn)),".")</f>
        <v>.</v>
      </c>
      <c r="M24" s="48" t="str">
        <f>IFERROR((dir!M24/(d_ss_Bv!L24+MLF_cucumber)),".")</f>
        <v>.</v>
      </c>
      <c r="N24" s="48" t="str">
        <f>IFERROR((dir!N24/(d_ss_Bv!M24+MLF_lettuce)),".")</f>
        <v>.</v>
      </c>
      <c r="O24" s="48" t="str">
        <f>IFERROR((dir!O24/(d_ss_Bv!N24+MLF_lima_bean)),".")</f>
        <v>.</v>
      </c>
      <c r="P24" s="48" t="str">
        <f>IFERROR((dir!P24/(d_ss_Bv!O24+MLF_okra)),".")</f>
        <v>.</v>
      </c>
      <c r="Q24" s="48" t="str">
        <f>IFERROR((dir!Q24/(d_ss_Bv!P24+MLF_onion)),".")</f>
        <v>.</v>
      </c>
      <c r="R24" s="48" t="str">
        <f>IFERROR((dir!R24/(d_ss_Bv!Q24+MLF_peach)),".")</f>
        <v>.</v>
      </c>
      <c r="S24" s="48" t="str">
        <f>IFERROR((dir!S24/(d_ss_Bv!R24+MLF_pear)),".")</f>
        <v>.</v>
      </c>
      <c r="T24" s="48" t="str">
        <f>IFERROR((dir!T24/(d_ss_Bv!S24+MLF_peas)),".")</f>
        <v>.</v>
      </c>
      <c r="U24" s="48" t="str">
        <f>IFERROR((dir!U24/(d_ss_Bv!T24+MLF_potato)),".")</f>
        <v>.</v>
      </c>
      <c r="V24" s="48" t="str">
        <f>IFERROR((dir!V24/(d_ss_Bv!U24+MLF_pumpkin)),".")</f>
        <v>.</v>
      </c>
      <c r="W24" s="48" t="str">
        <f>IFERROR((dir!W24/(d_ss_Bv!V24+MLF_snap_bean)),".")</f>
        <v>.</v>
      </c>
      <c r="X24" s="48" t="str">
        <f>IFERROR((dir!X24/(d_ss_Bv!W24+MLF_strawberry)),".")</f>
        <v>.</v>
      </c>
      <c r="Y24" s="48" t="str">
        <f>IFERROR((dir!Y24/(d_ss_Bv!X24+MLF_tomato)),".")</f>
        <v>.</v>
      </c>
      <c r="Z24" s="48" t="str">
        <f>IFERROR((dir!Z24/(d_ss_Bv!D24+MLF_rice)),".")</f>
        <v>.</v>
      </c>
      <c r="AA24" s="48" t="str">
        <f>IFERROR((dir!AA24/(d_ss_Bv!Z24+MLF_cereal)),".")</f>
        <v>.</v>
      </c>
      <c r="AB24" s="48" t="str">
        <f t="shared" ref="AB24:AB25" si="19">IFERROR(1/SUM(1/AC24,1/AD24,1/AE24,1/AF24,1/AG24,1/AH24,1/AI24,1/AJ24,1/AK24,1/AL24,1/AM24,1/AN24,1/AO24,1/AP24,1/AQ24,1/AR24,1/AS24,1/AT24,1/AU24,1/AV24,1/AW24,1/AX24),".")</f>
        <v>.</v>
      </c>
      <c r="AC24" s="48" t="str">
        <f>IFERROR((dir!AC24/(d_ss_Bv!C24+MLF_apple))*1,".")</f>
        <v>.</v>
      </c>
      <c r="AD24" s="48" t="str">
        <f>IFERROR((dir!AD24/(d_ss_Bv!D24+MLF_asparagus))*1,".")</f>
        <v>.</v>
      </c>
      <c r="AE24" s="48" t="str">
        <f>IFERROR((dir!AE24/(d_ss_Bv!E24+MLF_beet))*1,".")</f>
        <v>.</v>
      </c>
      <c r="AF24" s="48" t="str">
        <f>IFERROR((dir!AF24/(d_ss_Bv!F24+MLF_berries))*1,".")</f>
        <v>.</v>
      </c>
      <c r="AG24" s="48" t="str">
        <f>IFERROR((dir!AG24/(d_ss_Bv!G24+MLF_broccoli))*1,".")</f>
        <v>.</v>
      </c>
      <c r="AH24" s="48" t="str">
        <f>IFERROR((dir!AH24/(d_ss_Bv!H24+MLF_cabbage))*1,".")</f>
        <v>.</v>
      </c>
      <c r="AI24" s="48" t="str">
        <f>IFERROR((dir!AI24/(d_ss_Bv!I24+MLF_carrot))*1,".")</f>
        <v>.</v>
      </c>
      <c r="AJ24" s="48" t="str">
        <f>IFERROR((dir!AJ24/(d_ss_Bv!J24+MLF_citrus))*1,".")</f>
        <v>.</v>
      </c>
      <c r="AK24" s="48" t="str">
        <f>IFERROR((dir!AK24/(d_ss_Bv!K24+MLF_corn))*1,".")</f>
        <v>.</v>
      </c>
      <c r="AL24" s="48" t="str">
        <f>IFERROR((dir!AL24/(d_ss_Bv!L24+MLF_cucumber))*1,".")</f>
        <v>.</v>
      </c>
      <c r="AM24" s="48" t="str">
        <f>IFERROR((dir!AM24/(d_ss_Bv!M24+MLF_lettuce))*1,".")</f>
        <v>.</v>
      </c>
      <c r="AN24" s="48" t="str">
        <f>IFERROR((dir!AN24/(d_ss_Bv!N24+MLF_lima_bean))*1,".")</f>
        <v>.</v>
      </c>
      <c r="AO24" s="48" t="str">
        <f>IFERROR((dir!AO24/(d_ss_Bv!O24+MLF_okra))*1,".")</f>
        <v>.</v>
      </c>
      <c r="AP24" s="48" t="str">
        <f>IFERROR((dir!AP24/(d_ss_Bv!P24+MLF_onion))*1,".")</f>
        <v>.</v>
      </c>
      <c r="AQ24" s="48" t="str">
        <f>IFERROR((dir!AQ24/(d_ss_Bv!Q24+MLF_peach))*1,".")</f>
        <v>.</v>
      </c>
      <c r="AR24" s="48" t="str">
        <f>IFERROR((dir!AR24/(d_ss_Bv!R24+MLF_pear))*1,".")</f>
        <v>.</v>
      </c>
      <c r="AS24" s="48" t="str">
        <f>IFERROR((dir!AS24/(d_ss_Bv!S24+MLF_peas))*1,".")</f>
        <v>.</v>
      </c>
      <c r="AT24" s="48" t="str">
        <f>IFERROR((dir!AT24/(d_ss_Bv!T24+MLF_potato))*1,".")</f>
        <v>.</v>
      </c>
      <c r="AU24" s="48" t="str">
        <f>IFERROR((dir!AU24/(d_ss_Bv!U24+MLF_pumpkin))*1,".")</f>
        <v>.</v>
      </c>
      <c r="AV24" s="48" t="str">
        <f>IFERROR((dir!AV24/(d_ss_Bv!V24+MLF_snap_bean))*1,".")</f>
        <v>.</v>
      </c>
      <c r="AW24" s="48" t="str">
        <f>IFERROR((dir!AW24/(d_ss_Bv!W24+MLF_strawberry))*1,".")</f>
        <v>.</v>
      </c>
      <c r="AX24" s="48" t="str">
        <f>IFERROR((dir!AX24/(d_ss_Bv!X24+MLF_tomato))*1,".")</f>
        <v>.</v>
      </c>
      <c r="AY24" s="48" t="str">
        <f>IFERROR((dir!AY24/(d_ss_Bv!Y24+MLF_rice))*1,".")</f>
        <v>.</v>
      </c>
      <c r="AZ24" s="48" t="str">
        <f>IFERROR((dir!AZ24/(d_ss_Bv!Z24+MLF_cereal))*1,".")</f>
        <v>.</v>
      </c>
    </row>
    <row r="25" spans="1:52" x14ac:dyDescent="0.25">
      <c r="A25" s="63" t="s">
        <v>23</v>
      </c>
      <c r="B25" s="49" t="s">
        <v>336</v>
      </c>
      <c r="C25" s="48" t="str">
        <f t="shared" si="18"/>
        <v>.</v>
      </c>
      <c r="D25" s="48" t="str">
        <f>IFERROR((dir!D25/(d_ss_Bv!C25+MLF_apple)),".")</f>
        <v>.</v>
      </c>
      <c r="E25" s="48" t="str">
        <f>IFERROR((dir!E25/(d_ss_Bv!D25+MLF_asparagus)),".")</f>
        <v>.</v>
      </c>
      <c r="F25" s="48" t="str">
        <f>IFERROR((dir!F25/(d_ss_Bv!E25+MLF_beet)),".")</f>
        <v>.</v>
      </c>
      <c r="G25" s="48" t="str">
        <f>IFERROR((dir!G25/(d_ss_Bv!F25+MLF_berries)),".")</f>
        <v>.</v>
      </c>
      <c r="H25" s="48" t="str">
        <f>IFERROR((dir!H25/(d_ss_Bv!G25+MLF_broccoli)),".")</f>
        <v>.</v>
      </c>
      <c r="I25" s="48" t="str">
        <f>IFERROR((dir!I25/(d_ss_Bv!H25+MLF_cabbage)),".")</f>
        <v>.</v>
      </c>
      <c r="J25" s="48" t="str">
        <f>IFERROR((dir!J25/(d_ss_Bv!I25+MLF_carrot)),".")</f>
        <v>.</v>
      </c>
      <c r="K25" s="48" t="str">
        <f>IFERROR((dir!K25/(d_ss_Bv!J25+MLF_citrus)),".")</f>
        <v>.</v>
      </c>
      <c r="L25" s="48" t="str">
        <f>IFERROR((dir!L25/(d_ss_Bv!K25+MLF_corn)),".")</f>
        <v>.</v>
      </c>
      <c r="M25" s="48" t="str">
        <f>IFERROR((dir!M25/(d_ss_Bv!L25+MLF_cucumber)),".")</f>
        <v>.</v>
      </c>
      <c r="N25" s="48" t="str">
        <f>IFERROR((dir!N25/(d_ss_Bv!M25+MLF_lettuce)),".")</f>
        <v>.</v>
      </c>
      <c r="O25" s="48" t="str">
        <f>IFERROR((dir!O25/(d_ss_Bv!N25+MLF_lima_bean)),".")</f>
        <v>.</v>
      </c>
      <c r="P25" s="48" t="str">
        <f>IFERROR((dir!P25/(d_ss_Bv!O25+MLF_okra)),".")</f>
        <v>.</v>
      </c>
      <c r="Q25" s="48" t="str">
        <f>IFERROR((dir!Q25/(d_ss_Bv!P25+MLF_onion)),".")</f>
        <v>.</v>
      </c>
      <c r="R25" s="48" t="str">
        <f>IFERROR((dir!R25/(d_ss_Bv!Q25+MLF_peach)),".")</f>
        <v>.</v>
      </c>
      <c r="S25" s="48" t="str">
        <f>IFERROR((dir!S25/(d_ss_Bv!R25+MLF_pear)),".")</f>
        <v>.</v>
      </c>
      <c r="T25" s="48" t="str">
        <f>IFERROR((dir!T25/(d_ss_Bv!S25+MLF_peas)),".")</f>
        <v>.</v>
      </c>
      <c r="U25" s="48" t="str">
        <f>IFERROR((dir!U25/(d_ss_Bv!T25+MLF_potato)),".")</f>
        <v>.</v>
      </c>
      <c r="V25" s="48" t="str">
        <f>IFERROR((dir!V25/(d_ss_Bv!U25+MLF_pumpkin)),".")</f>
        <v>.</v>
      </c>
      <c r="W25" s="48" t="str">
        <f>IFERROR((dir!W25/(d_ss_Bv!V25+MLF_snap_bean)),".")</f>
        <v>.</v>
      </c>
      <c r="X25" s="48" t="str">
        <f>IFERROR((dir!X25/(d_ss_Bv!W25+MLF_strawberry)),".")</f>
        <v>.</v>
      </c>
      <c r="Y25" s="48" t="str">
        <f>IFERROR((dir!Y25/(d_ss_Bv!X25+MLF_tomato)),".")</f>
        <v>.</v>
      </c>
      <c r="Z25" s="48" t="str">
        <f>IFERROR((dir!Z25/(d_ss_Bv!D25+MLF_rice)),".")</f>
        <v>.</v>
      </c>
      <c r="AA25" s="48" t="str">
        <f>IFERROR((dir!AA25/(d_ss_Bv!Z25+MLF_cereal)),".")</f>
        <v>.</v>
      </c>
      <c r="AB25" s="48" t="str">
        <f t="shared" si="19"/>
        <v>.</v>
      </c>
      <c r="AC25" s="48" t="str">
        <f>IFERROR((dir!AC25/(d_ss_Bv!C25+MLF_apple))*1,".")</f>
        <v>.</v>
      </c>
      <c r="AD25" s="48" t="str">
        <f>IFERROR((dir!AD25/(d_ss_Bv!D25+MLF_asparagus))*1,".")</f>
        <v>.</v>
      </c>
      <c r="AE25" s="48" t="str">
        <f>IFERROR((dir!AE25/(d_ss_Bv!E25+MLF_beet))*1,".")</f>
        <v>.</v>
      </c>
      <c r="AF25" s="48" t="str">
        <f>IFERROR((dir!AF25/(d_ss_Bv!F25+MLF_berries))*1,".")</f>
        <v>.</v>
      </c>
      <c r="AG25" s="48" t="str">
        <f>IFERROR((dir!AG25/(d_ss_Bv!G25+MLF_broccoli))*1,".")</f>
        <v>.</v>
      </c>
      <c r="AH25" s="48" t="str">
        <f>IFERROR((dir!AH25/(d_ss_Bv!H25+MLF_cabbage))*1,".")</f>
        <v>.</v>
      </c>
      <c r="AI25" s="48" t="str">
        <f>IFERROR((dir!AI25/(d_ss_Bv!I25+MLF_carrot))*1,".")</f>
        <v>.</v>
      </c>
      <c r="AJ25" s="48" t="str">
        <f>IFERROR((dir!AJ25/(d_ss_Bv!J25+MLF_citrus))*1,".")</f>
        <v>.</v>
      </c>
      <c r="AK25" s="48" t="str">
        <f>IFERROR((dir!AK25/(d_ss_Bv!K25+MLF_corn))*1,".")</f>
        <v>.</v>
      </c>
      <c r="AL25" s="48" t="str">
        <f>IFERROR((dir!AL25/(d_ss_Bv!L25+MLF_cucumber))*1,".")</f>
        <v>.</v>
      </c>
      <c r="AM25" s="48" t="str">
        <f>IFERROR((dir!AM25/(d_ss_Bv!M25+MLF_lettuce))*1,".")</f>
        <v>.</v>
      </c>
      <c r="AN25" s="48" t="str">
        <f>IFERROR((dir!AN25/(d_ss_Bv!N25+MLF_lima_bean))*1,".")</f>
        <v>.</v>
      </c>
      <c r="AO25" s="48" t="str">
        <f>IFERROR((dir!AO25/(d_ss_Bv!O25+MLF_okra))*1,".")</f>
        <v>.</v>
      </c>
      <c r="AP25" s="48" t="str">
        <f>IFERROR((dir!AP25/(d_ss_Bv!P25+MLF_onion))*1,".")</f>
        <v>.</v>
      </c>
      <c r="AQ25" s="48" t="str">
        <f>IFERROR((dir!AQ25/(d_ss_Bv!Q25+MLF_peach))*1,".")</f>
        <v>.</v>
      </c>
      <c r="AR25" s="48" t="str">
        <f>IFERROR((dir!AR25/(d_ss_Bv!R25+MLF_pear))*1,".")</f>
        <v>.</v>
      </c>
      <c r="AS25" s="48" t="str">
        <f>IFERROR((dir!AS25/(d_ss_Bv!S25+MLF_peas))*1,".")</f>
        <v>.</v>
      </c>
      <c r="AT25" s="48" t="str">
        <f>IFERROR((dir!AT25/(d_ss_Bv!T25+MLF_potato))*1,".")</f>
        <v>.</v>
      </c>
      <c r="AU25" s="48" t="str">
        <f>IFERROR((dir!AU25/(d_ss_Bv!U25+MLF_pumpkin))*1,".")</f>
        <v>.</v>
      </c>
      <c r="AV25" s="48" t="str">
        <f>IFERROR((dir!AV25/(d_ss_Bv!V25+MLF_snap_bean))*1,".")</f>
        <v>.</v>
      </c>
      <c r="AW25" s="48" t="str">
        <f>IFERROR((dir!AW25/(d_ss_Bv!W25+MLF_strawberry))*1,".")</f>
        <v>.</v>
      </c>
      <c r="AX25" s="48" t="str">
        <f>IFERROR((dir!AX25/(d_ss_Bv!X25+MLF_tomato))*1,".")</f>
        <v>.</v>
      </c>
      <c r="AY25" s="48" t="str">
        <f>IFERROR((dir!AY25/(d_ss_Bv!Y25+MLF_rice))*1,".")</f>
        <v>.</v>
      </c>
      <c r="AZ25" s="48" t="str">
        <f>IFERROR((dir!AZ25/(d_ss_Bv!Z25+MLF_cereal))*1,".")</f>
        <v>.</v>
      </c>
    </row>
    <row r="26" spans="1:52" ht="15" customHeight="1" x14ac:dyDescent="0.25">
      <c r="A26" s="61" t="s">
        <v>24</v>
      </c>
      <c r="B26" s="49" t="s">
        <v>1059</v>
      </c>
      <c r="C26" s="48">
        <f t="shared" ref="C26:C29" si="20">IFERROR(1/SUM(1/D26,1/E26,1/F26,1/G26,1/H26,1/I26,1/J26,1/K26,1/L26,1/M26,1/N26,1/O26,1/P26,1/Q26,1/R26,1/S26,1/T26,1/U26,1/V26,1/W26,1/X26,1/Y26),".")</f>
        <v>0.68027566816216034</v>
      </c>
      <c r="D26" s="48">
        <f>IFERROR((dir!D26/(d_ss_Bv!C26+MLF_apple)),".")</f>
        <v>26.190228167051178</v>
      </c>
      <c r="E26" s="48">
        <f>IFERROR((dir!E26/(d_ss_Bv!D26+MLF_asparagus)),".")</f>
        <v>30.022867755183487</v>
      </c>
      <c r="F26" s="48">
        <f>IFERROR((dir!F26/(d_ss_Bv!E26+MLF_beet)),".")</f>
        <v>50.066396728581914</v>
      </c>
      <c r="G26" s="48">
        <f>IFERROR((dir!G26/(d_ss_Bv!F26+MLF_berries)),".")</f>
        <v>58.124751077503959</v>
      </c>
      <c r="H26" s="48">
        <f>IFERROR((dir!H26/(d_ss_Bv!G26+MLF_broccoli)),".")</f>
        <v>25.61637394041654</v>
      </c>
      <c r="I26" s="48">
        <f>IFERROR((dir!I26/(d_ss_Bv!H26+MLF_cabbage)),".")</f>
        <v>13.17540452403072</v>
      </c>
      <c r="J26" s="48">
        <f>IFERROR((dir!J26/(d_ss_Bv!I26+MLF_carrot)),".")</f>
        <v>57.819876407216974</v>
      </c>
      <c r="K26" s="48">
        <f>IFERROR((dir!K26/(d_ss_Bv!J26+MLF_citrus)),".")</f>
        <v>6.8225038716957727</v>
      </c>
      <c r="L26" s="48">
        <f>IFERROR((dir!L26/(d_ss_Bv!K26+MLF_corn)),".")</f>
        <v>31.352157187068919</v>
      </c>
      <c r="M26" s="48">
        <f>IFERROR((dir!M26/(d_ss_Bv!L26+MLF_cucumber)),".")</f>
        <v>22.316625486169226</v>
      </c>
      <c r="N26" s="48">
        <f>IFERROR((dir!N26/(d_ss_Bv!M26+MLF_lettuce)),".")</f>
        <v>2.8905616172700936</v>
      </c>
      <c r="O26" s="48">
        <f>IFERROR((dir!O26/(d_ss_Bv!N26+MLF_lima_bean)),".")</f>
        <v>10.567256259924166</v>
      </c>
      <c r="P26" s="48">
        <f>IFERROR((dir!P26/(d_ss_Bv!O26+MLF_okra)),".")</f>
        <v>60.245869607990663</v>
      </c>
      <c r="Q26" s="48">
        <f>IFERROR((dir!Q26/(d_ss_Bv!P26+MLF_onion)),".")</f>
        <v>79.791228598150042</v>
      </c>
      <c r="R26" s="48">
        <f>IFERROR((dir!R26/(d_ss_Bv!Q26+MLF_peach)),".")</f>
        <v>17.005700124635162</v>
      </c>
      <c r="S26" s="48">
        <f>IFERROR((dir!S26/(d_ss_Bv!R26+MLF_pear)),".")</f>
        <v>34.738611803740035</v>
      </c>
      <c r="T26" s="48">
        <f>IFERROR((dir!T26/(d_ss_Bv!S26+MLF_peas)),".")</f>
        <v>51.699847342485882</v>
      </c>
      <c r="U26" s="48">
        <f>IFERROR((dir!U26/(d_ss_Bv!T26+MLF_potato)),".")</f>
        <v>28.039184745490193</v>
      </c>
      <c r="V26" s="48">
        <f>IFERROR((dir!V26/(d_ss_Bv!U26+MLF_pumpkin)),".")</f>
        <v>25.096272989907067</v>
      </c>
      <c r="W26" s="48">
        <f>IFERROR((dir!W26/(d_ss_Bv!V26+MLF_snap_bean)),".")</f>
        <v>4.7986987145736624</v>
      </c>
      <c r="X26" s="48">
        <f>IFERROR((dir!X26/(d_ss_Bv!W26+MLF_strawberry)),".")</f>
        <v>59.079426806983868</v>
      </c>
      <c r="Y26" s="48">
        <f>IFERROR((dir!Y26/(d_ss_Bv!X26+MLF_tomato)),".")</f>
        <v>7.791985639112907</v>
      </c>
      <c r="Z26" s="48">
        <f>IFERROR((dir!Z26/(d_ss_Bv!D26+MLF_rice)),".")</f>
        <v>8.0137443753065599E-2</v>
      </c>
      <c r="AA26" s="48">
        <f>IFERROR((dir!AA26/(d_ss_Bv!Z26+MLF_cereal)),".")</f>
        <v>6.183294158887534E-2</v>
      </c>
      <c r="AB26" s="48">
        <f t="shared" ref="AB26" si="21">IFERROR(1/SUM(1/AC26,1/AD26,1/AE26,1/AF26,1/AG26,1/AH26,1/AI26,1/AJ26,1/AK26,1/AL26,1/AM26,1/AN26,1/AO26,1/AP26,1/AQ26,1/AR26,1/AS26,1/AT26,1/AU26,1/AV26,1/AW26,1/AX26),".")</f>
        <v>0.63244270591067919</v>
      </c>
      <c r="AC26" s="48">
        <f>IFERROR((dir!AC26/(d_ss_Bv!C26+MLF_apple))*1,".")</f>
        <v>22.754757635840807</v>
      </c>
      <c r="AD26" s="48">
        <f>IFERROR((dir!AD26/(d_ss_Bv!D26+MLF_asparagus))*1,".")</f>
        <v>28.160349840758816</v>
      </c>
      <c r="AE26" s="48">
        <f>IFERROR((dir!AE26/(d_ss_Bv!E26+MLF_beet))*1,".")</f>
        <v>45.979343934411979</v>
      </c>
      <c r="AF26" s="48">
        <f>IFERROR((dir!AF26/(d_ss_Bv!F26+MLF_berries))*1,".")</f>
        <v>56.536784604117074</v>
      </c>
      <c r="AG26" s="48">
        <f>IFERROR((dir!AG26/(d_ss_Bv!G26+MLF_broccoli))*1,".")</f>
        <v>22.022993582289402</v>
      </c>
      <c r="AH26" s="48">
        <f>IFERROR((dir!AH26/(d_ss_Bv!H26+MLF_cabbage))*1,".")</f>
        <v>13.029816039012598</v>
      </c>
      <c r="AI26" s="48">
        <f>IFERROR((dir!AI26/(d_ss_Bv!I26+MLF_carrot))*1,".")</f>
        <v>62.176394915488935</v>
      </c>
      <c r="AJ26" s="48">
        <f>IFERROR((dir!AJ26/(d_ss_Bv!J26+MLF_citrus))*1,".")</f>
        <v>6.6060472966940678</v>
      </c>
      <c r="AK26" s="48">
        <f>IFERROR((dir!AK26/(d_ss_Bv!K26+MLF_corn))*1,".")</f>
        <v>21.65086975776142</v>
      </c>
      <c r="AL26" s="48">
        <f>IFERROR((dir!AL26/(d_ss_Bv!L26+MLF_cucumber))*1,".")</f>
        <v>31.429247559688324</v>
      </c>
      <c r="AM26" s="48">
        <f>IFERROR((dir!AM26/(d_ss_Bv!M26+MLF_lettuce))*1,".")</f>
        <v>2.6536609512677085</v>
      </c>
      <c r="AN26" s="48">
        <f>IFERROR((dir!AN26/(d_ss_Bv!N26+MLF_lima_bean))*1,".")</f>
        <v>9.7903201322798505</v>
      </c>
      <c r="AO26" s="48">
        <f>IFERROR((dir!AO26/(d_ss_Bv!O26+MLF_okra))*1,".")</f>
        <v>55.711209783349929</v>
      </c>
      <c r="AP26" s="48">
        <f>IFERROR((dir!AP26/(d_ss_Bv!P26+MLF_onion))*1,".")</f>
        <v>59.744506702416473</v>
      </c>
      <c r="AQ26" s="48">
        <f>IFERROR((dir!AQ26/(d_ss_Bv!Q26+MLF_peach))*1,".")</f>
        <v>19.026049614717884</v>
      </c>
      <c r="AR26" s="48">
        <f>IFERROR((dir!AR26/(d_ss_Bv!R26+MLF_pear))*1,".")</f>
        <v>30.763557841377732</v>
      </c>
      <c r="AS26" s="48">
        <f>IFERROR((dir!AS26/(d_ss_Bv!S26+MLF_peas))*1,".")</f>
        <v>57.309901177313719</v>
      </c>
      <c r="AT26" s="48">
        <f>IFERROR((dir!AT26/(d_ss_Bv!T26+MLF_potato))*1,".")</f>
        <v>23.950729602116795</v>
      </c>
      <c r="AU26" s="48">
        <f>IFERROR((dir!AU26/(d_ss_Bv!U26+MLF_pumpkin))*1,".")</f>
        <v>24.460143729509817</v>
      </c>
      <c r="AV26" s="48">
        <f>IFERROR((dir!AV26/(d_ss_Bv!V26+MLF_snap_bean))*1,".")</f>
        <v>4.5680131881613457</v>
      </c>
      <c r="AW26" s="48">
        <f>IFERROR((dir!AW26/(d_ss_Bv!W26+MLF_strawberry))*1,".")</f>
        <v>57.199767387902426</v>
      </c>
      <c r="AX26" s="48">
        <f>IFERROR((dir!AX26/(d_ss_Bv!X26+MLF_tomato))*1,".")</f>
        <v>6.2717697433066109</v>
      </c>
      <c r="AY26" s="48">
        <f>IFERROR((dir!AY26/(d_ss_Bv!Y26+MLF_rice))*1,".")</f>
        <v>6.3008046460586109E-2</v>
      </c>
      <c r="AZ26" s="48">
        <f>IFERROR((dir!AZ26/(d_ss_Bv!Z26+MLF_cereal))*1,".")</f>
        <v>5.916222981431378E-2</v>
      </c>
    </row>
    <row r="27" spans="1:52" ht="15" customHeight="1" x14ac:dyDescent="0.25">
      <c r="A27" s="61" t="s">
        <v>25</v>
      </c>
      <c r="B27" s="49" t="s">
        <v>1059</v>
      </c>
      <c r="C27" s="48" t="str">
        <f t="shared" si="20"/>
        <v>.</v>
      </c>
      <c r="D27" s="48" t="str">
        <f>IFERROR((dir!D27/(d_ss_Bv!C27+MLF_apple)),".")</f>
        <v>.</v>
      </c>
      <c r="E27" s="48" t="str">
        <f>IFERROR((dir!E27/(d_ss_Bv!D27+MLF_asparagus)),".")</f>
        <v>.</v>
      </c>
      <c r="F27" s="48" t="str">
        <f>IFERROR((dir!F27/(d_ss_Bv!E27+MLF_beet)),".")</f>
        <v>.</v>
      </c>
      <c r="G27" s="48" t="str">
        <f>IFERROR((dir!G27/(d_ss_Bv!F27+MLF_berries)),".")</f>
        <v>.</v>
      </c>
      <c r="H27" s="48" t="str">
        <f>IFERROR((dir!H27/(d_ss_Bv!G27+MLF_broccoli)),".")</f>
        <v>.</v>
      </c>
      <c r="I27" s="48" t="str">
        <f>IFERROR((dir!I27/(d_ss_Bv!H27+MLF_cabbage)),".")</f>
        <v>.</v>
      </c>
      <c r="J27" s="48" t="str">
        <f>IFERROR((dir!J27/(d_ss_Bv!I27+MLF_carrot)),".")</f>
        <v>.</v>
      </c>
      <c r="K27" s="48" t="str">
        <f>IFERROR((dir!K27/(d_ss_Bv!J27+MLF_citrus)),".")</f>
        <v>.</v>
      </c>
      <c r="L27" s="48" t="str">
        <f>IFERROR((dir!L27/(d_ss_Bv!K27+MLF_corn)),".")</f>
        <v>.</v>
      </c>
      <c r="M27" s="48" t="str">
        <f>IFERROR((dir!M27/(d_ss_Bv!L27+MLF_cucumber)),".")</f>
        <v>.</v>
      </c>
      <c r="N27" s="48" t="str">
        <f>IFERROR((dir!N27/(d_ss_Bv!M27+MLF_lettuce)),".")</f>
        <v>.</v>
      </c>
      <c r="O27" s="48" t="str">
        <f>IFERROR((dir!O27/(d_ss_Bv!N27+MLF_lima_bean)),".")</f>
        <v>.</v>
      </c>
      <c r="P27" s="48" t="str">
        <f>IFERROR((dir!P27/(d_ss_Bv!O27+MLF_okra)),".")</f>
        <v>.</v>
      </c>
      <c r="Q27" s="48" t="str">
        <f>IFERROR((dir!Q27/(d_ss_Bv!P27+MLF_onion)),".")</f>
        <v>.</v>
      </c>
      <c r="R27" s="48" t="str">
        <f>IFERROR((dir!R27/(d_ss_Bv!Q27+MLF_peach)),".")</f>
        <v>.</v>
      </c>
      <c r="S27" s="48" t="str">
        <f>IFERROR((dir!S27/(d_ss_Bv!R27+MLF_pear)),".")</f>
        <v>.</v>
      </c>
      <c r="T27" s="48" t="str">
        <f>IFERROR((dir!T27/(d_ss_Bv!S27+MLF_peas)),".")</f>
        <v>.</v>
      </c>
      <c r="U27" s="48" t="str">
        <f>IFERROR((dir!U27/(d_ss_Bv!T27+MLF_potato)),".")</f>
        <v>.</v>
      </c>
      <c r="V27" s="48" t="str">
        <f>IFERROR((dir!V27/(d_ss_Bv!U27+MLF_pumpkin)),".")</f>
        <v>.</v>
      </c>
      <c r="W27" s="48" t="str">
        <f>IFERROR((dir!W27/(d_ss_Bv!V27+MLF_snap_bean)),".")</f>
        <v>.</v>
      </c>
      <c r="X27" s="48" t="str">
        <f>IFERROR((dir!X27/(d_ss_Bv!W27+MLF_strawberry)),".")</f>
        <v>.</v>
      </c>
      <c r="Y27" s="48" t="str">
        <f>IFERROR((dir!Y27/(d_ss_Bv!X27+MLF_tomato)),".")</f>
        <v>.</v>
      </c>
      <c r="Z27" s="48" t="str">
        <f>IFERROR((dir!Z27/(d_ss_Bv!D27+MLF_rice)),".")</f>
        <v>.</v>
      </c>
      <c r="AA27" s="48" t="str">
        <f>IFERROR((dir!AA27/(d_ss_Bv!Z27+MLF_cereal)),".")</f>
        <v>.</v>
      </c>
      <c r="AB27" s="48" t="str">
        <f t="shared" ref="AB27:AB30" si="22">IFERROR(1/SUM(1/AC27,1/AD27,1/AE27,1/AF27,1/AG27,1/AH27,1/AI27,1/AJ27,1/AK27,1/AL27,1/AM27,1/AN27,1/AO27,1/AP27,1/AQ27,1/AR27,1/AS27,1/AT27,1/AU27,1/AV27,1/AW27,1/AX27),".")</f>
        <v>.</v>
      </c>
      <c r="AC27" s="48" t="str">
        <f>IFERROR((dir!AC27/(d_ss_Bv!C27+MLF_apple))*1,".")</f>
        <v>.</v>
      </c>
      <c r="AD27" s="48" t="str">
        <f>IFERROR((dir!AD27/(d_ss_Bv!D27+MLF_asparagus))*1,".")</f>
        <v>.</v>
      </c>
      <c r="AE27" s="48" t="str">
        <f>IFERROR((dir!AE27/(d_ss_Bv!E27+MLF_beet))*1,".")</f>
        <v>.</v>
      </c>
      <c r="AF27" s="48" t="str">
        <f>IFERROR((dir!AF27/(d_ss_Bv!F27+MLF_berries))*1,".")</f>
        <v>.</v>
      </c>
      <c r="AG27" s="48" t="str">
        <f>IFERROR((dir!AG27/(d_ss_Bv!G27+MLF_broccoli))*1,".")</f>
        <v>.</v>
      </c>
      <c r="AH27" s="48" t="str">
        <f>IFERROR((dir!AH27/(d_ss_Bv!H27+MLF_cabbage))*1,".")</f>
        <v>.</v>
      </c>
      <c r="AI27" s="48" t="str">
        <f>IFERROR((dir!AI27/(d_ss_Bv!I27+MLF_carrot))*1,".")</f>
        <v>.</v>
      </c>
      <c r="AJ27" s="48" t="str">
        <f>IFERROR((dir!AJ27/(d_ss_Bv!J27+MLF_citrus))*1,".")</f>
        <v>.</v>
      </c>
      <c r="AK27" s="48" t="str">
        <f>IFERROR((dir!AK27/(d_ss_Bv!K27+MLF_corn))*1,".")</f>
        <v>.</v>
      </c>
      <c r="AL27" s="48" t="str">
        <f>IFERROR((dir!AL27/(d_ss_Bv!L27+MLF_cucumber))*1,".")</f>
        <v>.</v>
      </c>
      <c r="AM27" s="48" t="str">
        <f>IFERROR((dir!AM27/(d_ss_Bv!M27+MLF_lettuce))*1,".")</f>
        <v>.</v>
      </c>
      <c r="AN27" s="48" t="str">
        <f>IFERROR((dir!AN27/(d_ss_Bv!N27+MLF_lima_bean))*1,".")</f>
        <v>.</v>
      </c>
      <c r="AO27" s="48" t="str">
        <f>IFERROR((dir!AO27/(d_ss_Bv!O27+MLF_okra))*1,".")</f>
        <v>.</v>
      </c>
      <c r="AP27" s="48" t="str">
        <f>IFERROR((dir!AP27/(d_ss_Bv!P27+MLF_onion))*1,".")</f>
        <v>.</v>
      </c>
      <c r="AQ27" s="48" t="str">
        <f>IFERROR((dir!AQ27/(d_ss_Bv!Q27+MLF_peach))*1,".")</f>
        <v>.</v>
      </c>
      <c r="AR27" s="48" t="str">
        <f>IFERROR((dir!AR27/(d_ss_Bv!R27+MLF_pear))*1,".")</f>
        <v>.</v>
      </c>
      <c r="AS27" s="48" t="str">
        <f>IFERROR((dir!AS27/(d_ss_Bv!S27+MLF_peas))*1,".")</f>
        <v>.</v>
      </c>
      <c r="AT27" s="48" t="str">
        <f>IFERROR((dir!AT27/(d_ss_Bv!T27+MLF_potato))*1,".")</f>
        <v>.</v>
      </c>
      <c r="AU27" s="48" t="str">
        <f>IFERROR((dir!AU27/(d_ss_Bv!U27+MLF_pumpkin))*1,".")</f>
        <v>.</v>
      </c>
      <c r="AV27" s="48" t="str">
        <f>IFERROR((dir!AV27/(d_ss_Bv!V27+MLF_snap_bean))*1,".")</f>
        <v>.</v>
      </c>
      <c r="AW27" s="48" t="str">
        <f>IFERROR((dir!AW27/(d_ss_Bv!W27+MLF_strawberry))*1,".")</f>
        <v>.</v>
      </c>
      <c r="AX27" s="48" t="str">
        <f>IFERROR((dir!AX27/(d_ss_Bv!X27+MLF_tomato))*1,".")</f>
        <v>.</v>
      </c>
      <c r="AY27" s="48" t="str">
        <f>IFERROR((dir!AY27/(d_ss_Bv!Y27+MLF_rice))*1,".")</f>
        <v>.</v>
      </c>
      <c r="AZ27" s="48" t="str">
        <f>IFERROR((dir!AZ27/(d_ss_Bv!Z27+MLF_cereal))*1,".")</f>
        <v>.</v>
      </c>
    </row>
    <row r="28" spans="1:52" ht="15" customHeight="1" x14ac:dyDescent="0.25">
      <c r="A28" s="61" t="s">
        <v>26</v>
      </c>
      <c r="B28" s="49" t="s">
        <v>1059</v>
      </c>
      <c r="C28" s="48" t="str">
        <f t="shared" si="20"/>
        <v>.</v>
      </c>
      <c r="D28" s="48" t="str">
        <f>IFERROR((dir!D28/(d_ss_Bv!C28+MLF_apple)),".")</f>
        <v>.</v>
      </c>
      <c r="E28" s="48" t="str">
        <f>IFERROR((dir!E28/(d_ss_Bv!D28+MLF_asparagus)),".")</f>
        <v>.</v>
      </c>
      <c r="F28" s="48" t="str">
        <f>IFERROR((dir!F28/(d_ss_Bv!E28+MLF_beet)),".")</f>
        <v>.</v>
      </c>
      <c r="G28" s="48" t="str">
        <f>IFERROR((dir!G28/(d_ss_Bv!F28+MLF_berries)),".")</f>
        <v>.</v>
      </c>
      <c r="H28" s="48" t="str">
        <f>IFERROR((dir!H28/(d_ss_Bv!G28+MLF_broccoli)),".")</f>
        <v>.</v>
      </c>
      <c r="I28" s="48" t="str">
        <f>IFERROR((dir!I28/(d_ss_Bv!H28+MLF_cabbage)),".")</f>
        <v>.</v>
      </c>
      <c r="J28" s="48" t="str">
        <f>IFERROR((dir!J28/(d_ss_Bv!I28+MLF_carrot)),".")</f>
        <v>.</v>
      </c>
      <c r="K28" s="48" t="str">
        <f>IFERROR((dir!K28/(d_ss_Bv!J28+MLF_citrus)),".")</f>
        <v>.</v>
      </c>
      <c r="L28" s="48" t="str">
        <f>IFERROR((dir!L28/(d_ss_Bv!K28+MLF_corn)),".")</f>
        <v>.</v>
      </c>
      <c r="M28" s="48" t="str">
        <f>IFERROR((dir!M28/(d_ss_Bv!L28+MLF_cucumber)),".")</f>
        <v>.</v>
      </c>
      <c r="N28" s="48" t="str">
        <f>IFERROR((dir!N28/(d_ss_Bv!M28+MLF_lettuce)),".")</f>
        <v>.</v>
      </c>
      <c r="O28" s="48" t="str">
        <f>IFERROR((dir!O28/(d_ss_Bv!N28+MLF_lima_bean)),".")</f>
        <v>.</v>
      </c>
      <c r="P28" s="48" t="str">
        <f>IFERROR((dir!P28/(d_ss_Bv!O28+MLF_okra)),".")</f>
        <v>.</v>
      </c>
      <c r="Q28" s="48" t="str">
        <f>IFERROR((dir!Q28/(d_ss_Bv!P28+MLF_onion)),".")</f>
        <v>.</v>
      </c>
      <c r="R28" s="48" t="str">
        <f>IFERROR((dir!R28/(d_ss_Bv!Q28+MLF_peach)),".")</f>
        <v>.</v>
      </c>
      <c r="S28" s="48" t="str">
        <f>IFERROR((dir!S28/(d_ss_Bv!R28+MLF_pear)),".")</f>
        <v>.</v>
      </c>
      <c r="T28" s="48" t="str">
        <f>IFERROR((dir!T28/(d_ss_Bv!S28+MLF_peas)),".")</f>
        <v>.</v>
      </c>
      <c r="U28" s="48" t="str">
        <f>IFERROR((dir!U28/(d_ss_Bv!T28+MLF_potato)),".")</f>
        <v>.</v>
      </c>
      <c r="V28" s="48" t="str">
        <f>IFERROR((dir!V28/(d_ss_Bv!U28+MLF_pumpkin)),".")</f>
        <v>.</v>
      </c>
      <c r="W28" s="48" t="str">
        <f>IFERROR((dir!W28/(d_ss_Bv!V28+MLF_snap_bean)),".")</f>
        <v>.</v>
      </c>
      <c r="X28" s="48" t="str">
        <f>IFERROR((dir!X28/(d_ss_Bv!W28+MLF_strawberry)),".")</f>
        <v>.</v>
      </c>
      <c r="Y28" s="48" t="str">
        <f>IFERROR((dir!Y28/(d_ss_Bv!X28+MLF_tomato)),".")</f>
        <v>.</v>
      </c>
      <c r="Z28" s="48" t="str">
        <f>IFERROR((dir!Z28/(d_ss_Bv!D28+MLF_rice)),".")</f>
        <v>.</v>
      </c>
      <c r="AA28" s="48" t="str">
        <f>IFERROR((dir!AA28/(d_ss_Bv!Z28+MLF_cereal)),".")</f>
        <v>.</v>
      </c>
      <c r="AB28" s="48" t="str">
        <f t="shared" si="22"/>
        <v>.</v>
      </c>
      <c r="AC28" s="48" t="str">
        <f>IFERROR((dir!AC28/(d_ss_Bv!C28+MLF_apple))*1,".")</f>
        <v>.</v>
      </c>
      <c r="AD28" s="48" t="str">
        <f>IFERROR((dir!AD28/(d_ss_Bv!D28+MLF_asparagus))*1,".")</f>
        <v>.</v>
      </c>
      <c r="AE28" s="48" t="str">
        <f>IFERROR((dir!AE28/(d_ss_Bv!E28+MLF_beet))*1,".")</f>
        <v>.</v>
      </c>
      <c r="AF28" s="48" t="str">
        <f>IFERROR((dir!AF28/(d_ss_Bv!F28+MLF_berries))*1,".")</f>
        <v>.</v>
      </c>
      <c r="AG28" s="48" t="str">
        <f>IFERROR((dir!AG28/(d_ss_Bv!G28+MLF_broccoli))*1,".")</f>
        <v>.</v>
      </c>
      <c r="AH28" s="48" t="str">
        <f>IFERROR((dir!AH28/(d_ss_Bv!H28+MLF_cabbage))*1,".")</f>
        <v>.</v>
      </c>
      <c r="AI28" s="48" t="str">
        <f>IFERROR((dir!AI28/(d_ss_Bv!I28+MLF_carrot))*1,".")</f>
        <v>.</v>
      </c>
      <c r="AJ28" s="48" t="str">
        <f>IFERROR((dir!AJ28/(d_ss_Bv!J28+MLF_citrus))*1,".")</f>
        <v>.</v>
      </c>
      <c r="AK28" s="48" t="str">
        <f>IFERROR((dir!AK28/(d_ss_Bv!K28+MLF_corn))*1,".")</f>
        <v>.</v>
      </c>
      <c r="AL28" s="48" t="str">
        <f>IFERROR((dir!AL28/(d_ss_Bv!L28+MLF_cucumber))*1,".")</f>
        <v>.</v>
      </c>
      <c r="AM28" s="48" t="str">
        <f>IFERROR((dir!AM28/(d_ss_Bv!M28+MLF_lettuce))*1,".")</f>
        <v>.</v>
      </c>
      <c r="AN28" s="48" t="str">
        <f>IFERROR((dir!AN28/(d_ss_Bv!N28+MLF_lima_bean))*1,".")</f>
        <v>.</v>
      </c>
      <c r="AO28" s="48" t="str">
        <f>IFERROR((dir!AO28/(d_ss_Bv!O28+MLF_okra))*1,".")</f>
        <v>.</v>
      </c>
      <c r="AP28" s="48" t="str">
        <f>IFERROR((dir!AP28/(d_ss_Bv!P28+MLF_onion))*1,".")</f>
        <v>.</v>
      </c>
      <c r="AQ28" s="48" t="str">
        <f>IFERROR((dir!AQ28/(d_ss_Bv!Q28+MLF_peach))*1,".")</f>
        <v>.</v>
      </c>
      <c r="AR28" s="48" t="str">
        <f>IFERROR((dir!AR28/(d_ss_Bv!R28+MLF_pear))*1,".")</f>
        <v>.</v>
      </c>
      <c r="AS28" s="48" t="str">
        <f>IFERROR((dir!AS28/(d_ss_Bv!S28+MLF_peas))*1,".")</f>
        <v>.</v>
      </c>
      <c r="AT28" s="48" t="str">
        <f>IFERROR((dir!AT28/(d_ss_Bv!T28+MLF_potato))*1,".")</f>
        <v>.</v>
      </c>
      <c r="AU28" s="48" t="str">
        <f>IFERROR((dir!AU28/(d_ss_Bv!U28+MLF_pumpkin))*1,".")</f>
        <v>.</v>
      </c>
      <c r="AV28" s="48" t="str">
        <f>IFERROR((dir!AV28/(d_ss_Bv!V28+MLF_snap_bean))*1,".")</f>
        <v>.</v>
      </c>
      <c r="AW28" s="48" t="str">
        <f>IFERROR((dir!AW28/(d_ss_Bv!W28+MLF_strawberry))*1,".")</f>
        <v>.</v>
      </c>
      <c r="AX28" s="48" t="str">
        <f>IFERROR((dir!AX28/(d_ss_Bv!X28+MLF_tomato))*1,".")</f>
        <v>.</v>
      </c>
      <c r="AY28" s="48" t="str">
        <f>IFERROR((dir!AY28/(d_ss_Bv!Y28+MLF_rice))*1,".")</f>
        <v>.</v>
      </c>
      <c r="AZ28" s="48" t="str">
        <f>IFERROR((dir!AZ28/(d_ss_Bv!Z28+MLF_cereal))*1,".")</f>
        <v>.</v>
      </c>
    </row>
    <row r="29" spans="1:52" ht="15" customHeight="1" x14ac:dyDescent="0.25">
      <c r="A29" s="61" t="s">
        <v>27</v>
      </c>
      <c r="B29" s="49" t="s">
        <v>1059</v>
      </c>
      <c r="C29" s="48" t="str">
        <f t="shared" si="20"/>
        <v>.</v>
      </c>
      <c r="D29" s="48" t="str">
        <f>IFERROR((dir!D29/(d_ss_Bv!C29+MLF_apple)),".")</f>
        <v>.</v>
      </c>
      <c r="E29" s="48" t="str">
        <f>IFERROR((dir!E29/(d_ss_Bv!D29+MLF_asparagus)),".")</f>
        <v>.</v>
      </c>
      <c r="F29" s="48" t="str">
        <f>IFERROR((dir!F29/(d_ss_Bv!E29+MLF_beet)),".")</f>
        <v>.</v>
      </c>
      <c r="G29" s="48" t="str">
        <f>IFERROR((dir!G29/(d_ss_Bv!F29+MLF_berries)),".")</f>
        <v>.</v>
      </c>
      <c r="H29" s="48" t="str">
        <f>IFERROR((dir!H29/(d_ss_Bv!G29+MLF_broccoli)),".")</f>
        <v>.</v>
      </c>
      <c r="I29" s="48" t="str">
        <f>IFERROR((dir!I29/(d_ss_Bv!H29+MLF_cabbage)),".")</f>
        <v>.</v>
      </c>
      <c r="J29" s="48" t="str">
        <f>IFERROR((dir!J29/(d_ss_Bv!I29+MLF_carrot)),".")</f>
        <v>.</v>
      </c>
      <c r="K29" s="48" t="str">
        <f>IFERROR((dir!K29/(d_ss_Bv!J29+MLF_citrus)),".")</f>
        <v>.</v>
      </c>
      <c r="L29" s="48" t="str">
        <f>IFERROR((dir!L29/(d_ss_Bv!K29+MLF_corn)),".")</f>
        <v>.</v>
      </c>
      <c r="M29" s="48" t="str">
        <f>IFERROR((dir!M29/(d_ss_Bv!L29+MLF_cucumber)),".")</f>
        <v>.</v>
      </c>
      <c r="N29" s="48" t="str">
        <f>IFERROR((dir!N29/(d_ss_Bv!M29+MLF_lettuce)),".")</f>
        <v>.</v>
      </c>
      <c r="O29" s="48" t="str">
        <f>IFERROR((dir!O29/(d_ss_Bv!N29+MLF_lima_bean)),".")</f>
        <v>.</v>
      </c>
      <c r="P29" s="48" t="str">
        <f>IFERROR((dir!P29/(d_ss_Bv!O29+MLF_okra)),".")</f>
        <v>.</v>
      </c>
      <c r="Q29" s="48" t="str">
        <f>IFERROR((dir!Q29/(d_ss_Bv!P29+MLF_onion)),".")</f>
        <v>.</v>
      </c>
      <c r="R29" s="48" t="str">
        <f>IFERROR((dir!R29/(d_ss_Bv!Q29+MLF_peach)),".")</f>
        <v>.</v>
      </c>
      <c r="S29" s="48" t="str">
        <f>IFERROR((dir!S29/(d_ss_Bv!R29+MLF_pear)),".")</f>
        <v>.</v>
      </c>
      <c r="T29" s="48" t="str">
        <f>IFERROR((dir!T29/(d_ss_Bv!S29+MLF_peas)),".")</f>
        <v>.</v>
      </c>
      <c r="U29" s="48" t="str">
        <f>IFERROR((dir!U29/(d_ss_Bv!T29+MLF_potato)),".")</f>
        <v>.</v>
      </c>
      <c r="V29" s="48" t="str">
        <f>IFERROR((dir!V29/(d_ss_Bv!U29+MLF_pumpkin)),".")</f>
        <v>.</v>
      </c>
      <c r="W29" s="48" t="str">
        <f>IFERROR((dir!W29/(d_ss_Bv!V29+MLF_snap_bean)),".")</f>
        <v>.</v>
      </c>
      <c r="X29" s="48" t="str">
        <f>IFERROR((dir!X29/(d_ss_Bv!W29+MLF_strawberry)),".")</f>
        <v>.</v>
      </c>
      <c r="Y29" s="48" t="str">
        <f>IFERROR((dir!Y29/(d_ss_Bv!X29+MLF_tomato)),".")</f>
        <v>.</v>
      </c>
      <c r="Z29" s="48" t="str">
        <f>IFERROR((dir!Z29/(d_ss_Bv!D29+MLF_rice)),".")</f>
        <v>.</v>
      </c>
      <c r="AA29" s="48" t="str">
        <f>IFERROR((dir!AA29/(d_ss_Bv!Z29+MLF_cereal)),".")</f>
        <v>.</v>
      </c>
      <c r="AB29" s="48" t="str">
        <f t="shared" si="22"/>
        <v>.</v>
      </c>
      <c r="AC29" s="48" t="str">
        <f>IFERROR((dir!AC29/(d_ss_Bv!C29+MLF_apple))*1,".")</f>
        <v>.</v>
      </c>
      <c r="AD29" s="48" t="str">
        <f>IFERROR((dir!AD29/(d_ss_Bv!D29+MLF_asparagus))*1,".")</f>
        <v>.</v>
      </c>
      <c r="AE29" s="48" t="str">
        <f>IFERROR((dir!AE29/(d_ss_Bv!E29+MLF_beet))*1,".")</f>
        <v>.</v>
      </c>
      <c r="AF29" s="48" t="str">
        <f>IFERROR((dir!AF29/(d_ss_Bv!F29+MLF_berries))*1,".")</f>
        <v>.</v>
      </c>
      <c r="AG29" s="48" t="str">
        <f>IFERROR((dir!AG29/(d_ss_Bv!G29+MLF_broccoli))*1,".")</f>
        <v>.</v>
      </c>
      <c r="AH29" s="48" t="str">
        <f>IFERROR((dir!AH29/(d_ss_Bv!H29+MLF_cabbage))*1,".")</f>
        <v>.</v>
      </c>
      <c r="AI29" s="48" t="str">
        <f>IFERROR((dir!AI29/(d_ss_Bv!I29+MLF_carrot))*1,".")</f>
        <v>.</v>
      </c>
      <c r="AJ29" s="48" t="str">
        <f>IFERROR((dir!AJ29/(d_ss_Bv!J29+MLF_citrus))*1,".")</f>
        <v>.</v>
      </c>
      <c r="AK29" s="48" t="str">
        <f>IFERROR((dir!AK29/(d_ss_Bv!K29+MLF_corn))*1,".")</f>
        <v>.</v>
      </c>
      <c r="AL29" s="48" t="str">
        <f>IFERROR((dir!AL29/(d_ss_Bv!L29+MLF_cucumber))*1,".")</f>
        <v>.</v>
      </c>
      <c r="AM29" s="48" t="str">
        <f>IFERROR((dir!AM29/(d_ss_Bv!M29+MLF_lettuce))*1,".")</f>
        <v>.</v>
      </c>
      <c r="AN29" s="48" t="str">
        <f>IFERROR((dir!AN29/(d_ss_Bv!N29+MLF_lima_bean))*1,".")</f>
        <v>.</v>
      </c>
      <c r="AO29" s="48" t="str">
        <f>IFERROR((dir!AO29/(d_ss_Bv!O29+MLF_okra))*1,".")</f>
        <v>.</v>
      </c>
      <c r="AP29" s="48" t="str">
        <f>IFERROR((dir!AP29/(d_ss_Bv!P29+MLF_onion))*1,".")</f>
        <v>.</v>
      </c>
      <c r="AQ29" s="48" t="str">
        <f>IFERROR((dir!AQ29/(d_ss_Bv!Q29+MLF_peach))*1,".")</f>
        <v>.</v>
      </c>
      <c r="AR29" s="48" t="str">
        <f>IFERROR((dir!AR29/(d_ss_Bv!R29+MLF_pear))*1,".")</f>
        <v>.</v>
      </c>
      <c r="AS29" s="48" t="str">
        <f>IFERROR((dir!AS29/(d_ss_Bv!S29+MLF_peas))*1,".")</f>
        <v>.</v>
      </c>
      <c r="AT29" s="48" t="str">
        <f>IFERROR((dir!AT29/(d_ss_Bv!T29+MLF_potato))*1,".")</f>
        <v>.</v>
      </c>
      <c r="AU29" s="48" t="str">
        <f>IFERROR((dir!AU29/(d_ss_Bv!U29+MLF_pumpkin))*1,".")</f>
        <v>.</v>
      </c>
      <c r="AV29" s="48" t="str">
        <f>IFERROR((dir!AV29/(d_ss_Bv!V29+MLF_snap_bean))*1,".")</f>
        <v>.</v>
      </c>
      <c r="AW29" s="48" t="str">
        <f>IFERROR((dir!AW29/(d_ss_Bv!W29+MLF_strawberry))*1,".")</f>
        <v>.</v>
      </c>
      <c r="AX29" s="48" t="str">
        <f>IFERROR((dir!AX29/(d_ss_Bv!X29+MLF_tomato))*1,".")</f>
        <v>.</v>
      </c>
      <c r="AY29" s="48" t="str">
        <f>IFERROR((dir!AY29/(d_ss_Bv!Y29+MLF_rice))*1,".")</f>
        <v>.</v>
      </c>
      <c r="AZ29" s="48" t="str">
        <f>IFERROR((dir!AZ29/(d_ss_Bv!Z29+MLF_cereal))*1,".")</f>
        <v>.</v>
      </c>
    </row>
    <row r="30" spans="1:52" ht="15" customHeight="1" x14ac:dyDescent="0.25">
      <c r="A30" s="61" t="s">
        <v>28</v>
      </c>
      <c r="B30" s="49" t="s">
        <v>1059</v>
      </c>
      <c r="C30" s="48">
        <f t="shared" ref="C30" si="23">IFERROR(1/SUM(1/D30,1/E30,1/F30,1/G30,1/H30,1/I30,1/J30,1/K30,1/L30,1/M30,1/N30,1/O30,1/P30,1/Q30,1/R30,1/S30,1/T30,1/U30,1/V30,1/W30,1/X30,1/Y30),".")</f>
        <v>1.2343453178990651</v>
      </c>
      <c r="D30" s="48">
        <f>IFERROR((dir!D30/(d_ss_Bv!C30+MLF_apple)),".")</f>
        <v>150.74608072895737</v>
      </c>
      <c r="E30" s="48">
        <f>IFERROR((dir!E30/(d_ss_Bv!D30+MLF_asparagus)),".")</f>
        <v>19.3464568658597</v>
      </c>
      <c r="F30" s="48">
        <f>IFERROR((dir!F30/(d_ss_Bv!E30+MLF_beet)),".")</f>
        <v>55.643421358858845</v>
      </c>
      <c r="G30" s="48">
        <f>IFERROR((dir!G30/(d_ss_Bv!F30+MLF_berries)),".")</f>
        <v>335.85946058206702</v>
      </c>
      <c r="H30" s="48">
        <f>IFERROR((dir!H30/(d_ss_Bv!G30+MLF_broccoli)),".")</f>
        <v>28.97344620180024</v>
      </c>
      <c r="I30" s="48">
        <f>IFERROR((dir!I30/(d_ss_Bv!H30+MLF_cabbage)),".")</f>
        <v>8.6514956515261598</v>
      </c>
      <c r="J30" s="48">
        <f>IFERROR((dir!J30/(d_ss_Bv!I30+MLF_carrot)),".")</f>
        <v>61.748268676808053</v>
      </c>
      <c r="K30" s="48">
        <f>IFERROR((dir!K30/(d_ss_Bv!J30+MLF_citrus)),".")</f>
        <v>39.191925670062787</v>
      </c>
      <c r="L30" s="48">
        <f>IFERROR((dir!L30/(d_ss_Bv!K30+MLF_corn)),".")</f>
        <v>16.439500142735515</v>
      </c>
      <c r="M30" s="48">
        <f>IFERROR((dir!M30/(d_ss_Bv!L30+MLF_cucumber)),".")</f>
        <v>12.308789446617645</v>
      </c>
      <c r="N30" s="48">
        <f>IFERROR((dir!N30/(d_ss_Bv!M30+MLF_lettuce)),".")</f>
        <v>12.831444818905666</v>
      </c>
      <c r="O30" s="48">
        <f>IFERROR((dir!O30/(d_ss_Bv!N30+MLF_lima_bean)),".")</f>
        <v>77.295145291265271</v>
      </c>
      <c r="P30" s="48">
        <f>IFERROR((dir!P30/(d_ss_Bv!O30+MLF_okra)),".")</f>
        <v>34.757232466148466</v>
      </c>
      <c r="Q30" s="48">
        <f>IFERROR((dir!Q30/(d_ss_Bv!P30+MLF_onion)),".")</f>
        <v>46.890503047812139</v>
      </c>
      <c r="R30" s="48">
        <f>IFERROR((dir!R30/(d_ss_Bv!Q30+MLF_peach)),".")</f>
        <v>97.236839438636849</v>
      </c>
      <c r="S30" s="48">
        <f>IFERROR((dir!S30/(d_ss_Bv!R30+MLF_pear)),".")</f>
        <v>199.94898654478277</v>
      </c>
      <c r="T30" s="48">
        <f>IFERROR((dir!T30/(d_ss_Bv!S30+MLF_peas)),".")</f>
        <v>155.71536550686332</v>
      </c>
      <c r="U30" s="48">
        <f>IFERROR((dir!U30/(d_ss_Bv!T30+MLF_potato)),".")</f>
        <v>22.321959556122732</v>
      </c>
      <c r="V30" s="48">
        <f>IFERROR((dir!V30/(d_ss_Bv!U30+MLF_pumpkin)),".")</f>
        <v>14.12884813297239</v>
      </c>
      <c r="W30" s="48">
        <f>IFERROR((dir!W30/(d_ss_Bv!V30+MLF_snap_bean)),".")</f>
        <v>37.285238025977634</v>
      </c>
      <c r="X30" s="48">
        <f>IFERROR((dir!X30/(d_ss_Bv!W30+MLF_strawberry)),".")</f>
        <v>320.96768698109457</v>
      </c>
      <c r="Y30" s="48">
        <f>IFERROR((dir!Y30/(d_ss_Bv!X30+MLF_tomato)),".")</f>
        <v>11.260843033269484</v>
      </c>
      <c r="Z30" s="48">
        <f>IFERROR((dir!Z30/(d_ss_Bv!D30+MLF_rice)),".")</f>
        <v>0.75424450936993837</v>
      </c>
      <c r="AA30" s="48">
        <f>IFERROR((dir!AA30/(d_ss_Bv!Z30+MLF_cereal)),".")</f>
        <v>0.61550903091077391</v>
      </c>
      <c r="AB30" s="48">
        <f t="shared" si="22"/>
        <v>1.1422703462751311</v>
      </c>
      <c r="AC30" s="48">
        <f>IFERROR((dir!AC30/(d_ss_Bv!C30+MLF_apple))*1,".")</f>
        <v>130.97215150861862</v>
      </c>
      <c r="AD30" s="48">
        <f>IFERROR((dir!AD30/(d_ss_Bv!D30+MLF_asparagus))*1,".")</f>
        <v>18.146267637197926</v>
      </c>
      <c r="AE30" s="48">
        <f>IFERROR((dir!AE30/(d_ss_Bv!E30+MLF_beet))*1,".")</f>
        <v>51.101101247931616</v>
      </c>
      <c r="AF30" s="48">
        <f>IFERROR((dir!AF30/(d_ss_Bv!F30+MLF_berries))*1,".")</f>
        <v>326.68379009251981</v>
      </c>
      <c r="AG30" s="48">
        <f>IFERROR((dir!AG30/(d_ss_Bv!G30+MLF_broccoli))*1,".")</f>
        <v>24.909146830977214</v>
      </c>
      <c r="AH30" s="48">
        <f>IFERROR((dir!AH30/(d_ss_Bv!H30+MLF_cabbage))*1,".")</f>
        <v>8.555896450549124</v>
      </c>
      <c r="AI30" s="48">
        <f>IFERROR((dir!AI30/(d_ss_Bv!I30+MLF_carrot))*1,".")</f>
        <v>66.400777330574144</v>
      </c>
      <c r="AJ30" s="48">
        <f>IFERROR((dir!AJ30/(d_ss_Bv!J30+MLF_citrus))*1,".")</f>
        <v>37.948489219486675</v>
      </c>
      <c r="AK30" s="48">
        <f>IFERROR((dir!AK30/(d_ss_Bv!K30+MLF_corn))*1,".")</f>
        <v>11.352631155468584</v>
      </c>
      <c r="AL30" s="48">
        <f>IFERROR((dir!AL30/(d_ss_Bv!L30+MLF_cucumber))*1,".")</f>
        <v>17.334878470653184</v>
      </c>
      <c r="AM30" s="48">
        <f>IFERROR((dir!AM30/(d_ss_Bv!M30+MLF_lettuce))*1,".")</f>
        <v>11.779822945422676</v>
      </c>
      <c r="AN30" s="48">
        <f>IFERROR((dir!AN30/(d_ss_Bv!N30+MLF_lima_bean))*1,".")</f>
        <v>71.612176184511426</v>
      </c>
      <c r="AO30" s="48">
        <f>IFERROR((dir!AO30/(d_ss_Bv!O30+MLF_okra))*1,".")</f>
        <v>32.14108256731727</v>
      </c>
      <c r="AP30" s="48">
        <f>IFERROR((dir!AP30/(d_ss_Bv!P30+MLF_onion))*1,".")</f>
        <v>35.109748563072557</v>
      </c>
      <c r="AQ30" s="48">
        <f>IFERROR((dir!AQ30/(d_ss_Bv!Q30+MLF_peach))*1,".")</f>
        <v>108.78898945523724</v>
      </c>
      <c r="AR30" s="48">
        <f>IFERROR((dir!AR30/(d_ss_Bv!R30+MLF_pear))*1,".")</f>
        <v>177.06931548234857</v>
      </c>
      <c r="AS30" s="48">
        <f>IFERROR((dir!AS30/(d_ss_Bv!S30+MLF_peas))*1,".")</f>
        <v>172.61235124874409</v>
      </c>
      <c r="AT30" s="48">
        <f>IFERROR((dir!AT30/(d_ss_Bv!T30+MLF_potato))*1,".")</f>
        <v>19.067145581116506</v>
      </c>
      <c r="AU30" s="48">
        <f>IFERROR((dir!AU30/(d_ss_Bv!U30+MLF_pumpkin))*1,".")</f>
        <v>13.77071632126045</v>
      </c>
      <c r="AV30" s="48">
        <f>IFERROR((dir!AV30/(d_ss_Bv!V30+MLF_snap_bean))*1,".")</f>
        <v>35.492842780302091</v>
      </c>
      <c r="AW30" s="48">
        <f>IFERROR((dir!AW30/(d_ss_Bv!W30+MLF_strawberry))*1,".")</f>
        <v>310.75584220430198</v>
      </c>
      <c r="AX30" s="48">
        <f>IFERROR((dir!AX30/(d_ss_Bv!X30+MLF_tomato))*1,".")</f>
        <v>9.0638532835161989</v>
      </c>
      <c r="AY30" s="48">
        <f>IFERROR((dir!AY30/(d_ss_Bv!Y30+MLF_rice))*1,".")</f>
        <v>0.63719556801230115</v>
      </c>
      <c r="AZ30" s="48">
        <f>IFERROR((dir!AZ30/(d_ss_Bv!Z30+MLF_cereal))*1,".")</f>
        <v>0.58892373229871287</v>
      </c>
    </row>
    <row r="31" spans="1:52" x14ac:dyDescent="0.25">
      <c r="A31" s="64" t="s">
        <v>1</v>
      </c>
      <c r="B31" s="64" t="s">
        <v>1059</v>
      </c>
      <c r="C31" s="65">
        <f>IFERROR(1/SUM(1/D31,1/E31,1/F31,1/G31,1/H31,1/I31,1/J31,1/K31,1/L31,1/M31,1/N31,1/O31,1/P31,1/Q31,1/R31,1/S31,1/T31,1/U31,1/V31,1/W31,1/X31,1/Y31),".")</f>
        <v>6.8891575866616123E-2</v>
      </c>
      <c r="D31" s="40">
        <f t="shared" ref="D31:AA31" si="24">1/SUM(1/D32,1/D33,1/D34,1/D35,1/D36,1/D37,1/D38,1/D41,1/D44)</f>
        <v>3.4018232621108622</v>
      </c>
      <c r="E31" s="40">
        <f t="shared" si="24"/>
        <v>0.85864485689116521</v>
      </c>
      <c r="F31" s="40">
        <f t="shared" si="24"/>
        <v>1.3724615559448843</v>
      </c>
      <c r="G31" s="40">
        <f t="shared" si="24"/>
        <v>7.1755822167155037</v>
      </c>
      <c r="H31" s="40">
        <f t="shared" si="24"/>
        <v>3.038420136841018</v>
      </c>
      <c r="I31" s="40">
        <f t="shared" si="24"/>
        <v>0.38398713268227336</v>
      </c>
      <c r="J31" s="40">
        <f t="shared" si="24"/>
        <v>1.5196849498737677</v>
      </c>
      <c r="K31" s="40">
        <f t="shared" si="24"/>
        <v>0.88327423968811736</v>
      </c>
      <c r="L31" s="40">
        <f t="shared" si="24"/>
        <v>5.4300766351814529</v>
      </c>
      <c r="M31" s="40">
        <f t="shared" si="24"/>
        <v>1.409607704691247</v>
      </c>
      <c r="N31" s="40">
        <f t="shared" si="24"/>
        <v>0.57496492038454428</v>
      </c>
      <c r="O31" s="40">
        <f t="shared" si="24"/>
        <v>2.5126613132184934</v>
      </c>
      <c r="P31" s="40">
        <f t="shared" si="24"/>
        <v>3.9644393621422691</v>
      </c>
      <c r="Q31" s="40">
        <f t="shared" si="24"/>
        <v>5.339298546115562</v>
      </c>
      <c r="R31" s="40">
        <f t="shared" si="24"/>
        <v>2.1847350684555242</v>
      </c>
      <c r="S31" s="40">
        <f t="shared" si="24"/>
        <v>4.5121644979050766</v>
      </c>
      <c r="T31" s="40">
        <f t="shared" si="24"/>
        <v>3.5209876897959735</v>
      </c>
      <c r="U31" s="40">
        <f t="shared" si="24"/>
        <v>1.6774081505022285</v>
      </c>
      <c r="V31" s="40">
        <f t="shared" si="24"/>
        <v>1.615108908741246</v>
      </c>
      <c r="W31" s="40">
        <f t="shared" si="24"/>
        <v>1.2708961454331651</v>
      </c>
      <c r="X31" s="40">
        <f t="shared" si="24"/>
        <v>6.938995659445248</v>
      </c>
      <c r="Y31" s="40">
        <f t="shared" si="24"/>
        <v>1.1293233146084247</v>
      </c>
      <c r="Z31" s="40">
        <f t="shared" si="24"/>
        <v>3.4228037348953431E-2</v>
      </c>
      <c r="AA31" s="40">
        <f t="shared" si="24"/>
        <v>2.8152885833627819E-2</v>
      </c>
      <c r="AB31" s="65">
        <f>IFERROR(1/SUM(1/AC31,1/AD31,1/AE31,1/AF31,1/AG31,1/AH31,1/AI31,1/AJ31,1/AK31,1/AL31,1/AM31,1/AN31,1/AO31,1/AP31,1/AQ31,1/AR31,1/AS31,1/AT31,1/AU31,1/AV31,1/AW31,1/AX31),".")</f>
        <v>6.5549273926842455E-2</v>
      </c>
      <c r="AC31" s="40">
        <f t="shared" ref="AC31:AZ31" si="25">1/SUM(1/AC32,1/AC33,1/AC34,1/AC35,1/AC36,1/AC37,1/AC38,1/AC41,1/AC44)</f>
        <v>2.9555933363987017</v>
      </c>
      <c r="AD31" s="40">
        <f t="shared" si="25"/>
        <v>0.8053774128505371</v>
      </c>
      <c r="AE31" s="40">
        <f t="shared" si="25"/>
        <v>1.2604238779085672</v>
      </c>
      <c r="AF31" s="40">
        <f t="shared" si="25"/>
        <v>6.9795455236381985</v>
      </c>
      <c r="AG31" s="40">
        <f t="shared" si="25"/>
        <v>2.6122005920741387</v>
      </c>
      <c r="AH31" s="40">
        <f t="shared" si="25"/>
        <v>0.37974406714210712</v>
      </c>
      <c r="AI31" s="40">
        <f t="shared" si="25"/>
        <v>1.6341877129761979</v>
      </c>
      <c r="AJ31" s="40">
        <f t="shared" si="25"/>
        <v>0.85525072804112412</v>
      </c>
      <c r="AK31" s="40">
        <f t="shared" si="25"/>
        <v>3.7498498524837265</v>
      </c>
      <c r="AL31" s="40">
        <f t="shared" si="25"/>
        <v>1.9851975174401728</v>
      </c>
      <c r="AM31" s="40">
        <f t="shared" si="25"/>
        <v>0.52784273770789691</v>
      </c>
      <c r="AN31" s="40">
        <f t="shared" si="25"/>
        <v>2.3279229759665432</v>
      </c>
      <c r="AO31" s="40">
        <f t="shared" si="25"/>
        <v>3.6660390897301252</v>
      </c>
      <c r="AP31" s="40">
        <f t="shared" si="25"/>
        <v>3.9978549444468583</v>
      </c>
      <c r="AQ31" s="40">
        <f t="shared" si="25"/>
        <v>2.444290884985874</v>
      </c>
      <c r="AR31" s="40">
        <f t="shared" si="25"/>
        <v>3.9958486051584039</v>
      </c>
      <c r="AS31" s="40">
        <f t="shared" si="25"/>
        <v>3.903057105991115</v>
      </c>
      <c r="AT31" s="40">
        <f t="shared" si="25"/>
        <v>1.4328215820015042</v>
      </c>
      <c r="AU31" s="40">
        <f t="shared" si="25"/>
        <v>1.5741698403787137</v>
      </c>
      <c r="AV31" s="40">
        <f t="shared" si="25"/>
        <v>1.2098009686440381</v>
      </c>
      <c r="AW31" s="40">
        <f t="shared" si="25"/>
        <v>6.718225938830769</v>
      </c>
      <c r="AX31" s="40">
        <f t="shared" si="25"/>
        <v>0.90899240874091392</v>
      </c>
      <c r="AY31" s="40">
        <f t="shared" si="25"/>
        <v>2.8723514669600176E-2</v>
      </c>
      <c r="AZ31" s="40">
        <f t="shared" si="25"/>
        <v>2.6936895752100082E-2</v>
      </c>
    </row>
    <row r="32" spans="1:52" x14ac:dyDescent="0.25">
      <c r="A32" s="66" t="s">
        <v>1087</v>
      </c>
      <c r="B32" s="49">
        <v>1</v>
      </c>
      <c r="C32" s="67">
        <f t="shared" ref="C32:AB32" si="26">IFERROR($B32/C3,0)</f>
        <v>0.40690545526197003</v>
      </c>
      <c r="D32" s="42">
        <f t="shared" ref="D32:AA32" si="27">IFERROR(D3/$B32,0)</f>
        <v>231.57420716847531</v>
      </c>
      <c r="E32" s="42">
        <f t="shared" si="27"/>
        <v>281.53839235821107</v>
      </c>
      <c r="F32" s="42">
        <f t="shared" si="27"/>
        <v>148.72300420182933</v>
      </c>
      <c r="G32" s="42">
        <f t="shared" si="27"/>
        <v>102.54123513983481</v>
      </c>
      <c r="H32" s="42">
        <f t="shared" si="27"/>
        <v>85.642720346523561</v>
      </c>
      <c r="I32" s="42">
        <f t="shared" si="27"/>
        <v>117.3231021675159</v>
      </c>
      <c r="J32" s="42">
        <f t="shared" si="27"/>
        <v>173.02727720464785</v>
      </c>
      <c r="K32" s="42">
        <f t="shared" si="27"/>
        <v>61.008682541029216</v>
      </c>
      <c r="L32" s="42">
        <f t="shared" si="27"/>
        <v>322.95559201973941</v>
      </c>
      <c r="M32" s="42">
        <f t="shared" si="27"/>
        <v>117.06382810171415</v>
      </c>
      <c r="N32" s="42">
        <f t="shared" si="27"/>
        <v>7.8959785815855508</v>
      </c>
      <c r="O32" s="42">
        <f t="shared" si="27"/>
        <v>28.003155264177966</v>
      </c>
      <c r="P32" s="42">
        <f t="shared" si="27"/>
        <v>301.30989064638112</v>
      </c>
      <c r="Q32" s="42">
        <f t="shared" si="27"/>
        <v>391.81303583538738</v>
      </c>
      <c r="R32" s="42">
        <f t="shared" si="27"/>
        <v>156.26784888659711</v>
      </c>
      <c r="S32" s="42">
        <f t="shared" si="27"/>
        <v>307.15908373433211</v>
      </c>
      <c r="T32" s="42">
        <f t="shared" si="27"/>
        <v>167.85282505311827</v>
      </c>
      <c r="U32" s="42">
        <f t="shared" si="27"/>
        <v>70.039056013419838</v>
      </c>
      <c r="V32" s="42">
        <f t="shared" si="27"/>
        <v>128.74112571081935</v>
      </c>
      <c r="W32" s="42">
        <f t="shared" si="27"/>
        <v>12.621375128846134</v>
      </c>
      <c r="X32" s="42">
        <f t="shared" si="27"/>
        <v>461.47799948613095</v>
      </c>
      <c r="Y32" s="42">
        <f t="shared" si="27"/>
        <v>24.232722759105435</v>
      </c>
      <c r="Z32" s="42">
        <f t="shared" si="27"/>
        <v>0.20581956789690631</v>
      </c>
      <c r="AA32" s="42">
        <f t="shared" si="27"/>
        <v>0.15953459130729744</v>
      </c>
      <c r="AB32" s="67">
        <f t="shared" si="26"/>
        <v>0.44084587887655008</v>
      </c>
      <c r="AC32" s="42">
        <f t="shared" ref="AC32:AZ32" si="28">IFERROR(AC3/$B32,0)</f>
        <v>201.19774922235587</v>
      </c>
      <c r="AD32" s="42">
        <f t="shared" si="28"/>
        <v>264.07269575516227</v>
      </c>
      <c r="AE32" s="42">
        <f t="shared" si="28"/>
        <v>136.58235079759842</v>
      </c>
      <c r="AF32" s="42">
        <f t="shared" si="28"/>
        <v>99.739811640840074</v>
      </c>
      <c r="AG32" s="42">
        <f t="shared" si="28"/>
        <v>73.629042305065013</v>
      </c>
      <c r="AH32" s="42">
        <f t="shared" si="28"/>
        <v>116.02667952857215</v>
      </c>
      <c r="AI32" s="42">
        <f t="shared" si="28"/>
        <v>186.06425656913265</v>
      </c>
      <c r="AJ32" s="42">
        <f t="shared" si="28"/>
        <v>59.073069060033845</v>
      </c>
      <c r="AK32" s="42">
        <f t="shared" si="28"/>
        <v>223.02355205223478</v>
      </c>
      <c r="AL32" s="42">
        <f t="shared" si="28"/>
        <v>164.86489124324743</v>
      </c>
      <c r="AM32" s="42">
        <f t="shared" si="28"/>
        <v>7.2488508491953363</v>
      </c>
      <c r="AN32" s="42">
        <f t="shared" si="28"/>
        <v>25.944279953726372</v>
      </c>
      <c r="AO32" s="42">
        <f t="shared" si="28"/>
        <v>278.6305291437327</v>
      </c>
      <c r="AP32" s="42">
        <f t="shared" si="28"/>
        <v>293.37405823707519</v>
      </c>
      <c r="AQ32" s="42">
        <f t="shared" si="28"/>
        <v>174.83313384990191</v>
      </c>
      <c r="AR32" s="42">
        <f t="shared" si="28"/>
        <v>272.01162476931154</v>
      </c>
      <c r="AS32" s="42">
        <f t="shared" si="28"/>
        <v>186.06687080528229</v>
      </c>
      <c r="AT32" s="42">
        <f t="shared" si="28"/>
        <v>59.826507346464005</v>
      </c>
      <c r="AU32" s="42">
        <f t="shared" si="28"/>
        <v>125.47785243059687</v>
      </c>
      <c r="AV32" s="42">
        <f t="shared" si="28"/>
        <v>12.014633856091761</v>
      </c>
      <c r="AW32" s="42">
        <f t="shared" si="28"/>
        <v>446.79570625287249</v>
      </c>
      <c r="AX32" s="42">
        <f t="shared" si="28"/>
        <v>19.504920111197439</v>
      </c>
      <c r="AY32" s="42">
        <f t="shared" si="28"/>
        <v>0.16068690913106157</v>
      </c>
      <c r="AZ32" s="42">
        <f t="shared" si="28"/>
        <v>0.15264391296488261</v>
      </c>
    </row>
    <row r="33" spans="1:52" x14ac:dyDescent="0.25">
      <c r="A33" s="66" t="s">
        <v>1063</v>
      </c>
      <c r="B33" s="49">
        <v>1</v>
      </c>
      <c r="C33" s="67">
        <f t="shared" ref="C33:AB34" si="29">IFERROR($B33/C13,0)</f>
        <v>2.20393416714625</v>
      </c>
      <c r="D33" s="42">
        <f t="shared" ref="D33:AA34" si="30">IFERROR(D13/$B33,0)</f>
        <v>183.07652712112264</v>
      </c>
      <c r="E33" s="42">
        <f t="shared" si="30"/>
        <v>6.9087165540995539</v>
      </c>
      <c r="F33" s="42">
        <f t="shared" si="30"/>
        <v>10.33518063060027</v>
      </c>
      <c r="G33" s="42">
        <f t="shared" si="30"/>
        <v>404.72189336530721</v>
      </c>
      <c r="H33" s="42">
        <f t="shared" si="30"/>
        <v>11.751568814807987</v>
      </c>
      <c r="I33" s="42">
        <f t="shared" si="30"/>
        <v>3.0905255468587471</v>
      </c>
      <c r="J33" s="42">
        <f t="shared" si="30"/>
        <v>11.435194766565468</v>
      </c>
      <c r="K33" s="42">
        <f t="shared" si="30"/>
        <v>47.785951713187075</v>
      </c>
      <c r="L33" s="42">
        <f t="shared" si="30"/>
        <v>24.248119758359728</v>
      </c>
      <c r="M33" s="42">
        <f t="shared" si="30"/>
        <v>4.9421181531189307</v>
      </c>
      <c r="N33" s="42">
        <f t="shared" si="30"/>
        <v>5.111540694575222</v>
      </c>
      <c r="O33" s="42">
        <f t="shared" si="30"/>
        <v>10.776227176803088</v>
      </c>
      <c r="P33" s="42">
        <f t="shared" si="30"/>
        <v>13.961580419685413</v>
      </c>
      <c r="Q33" s="42">
        <f t="shared" si="30"/>
        <v>18.838895576359288</v>
      </c>
      <c r="R33" s="42">
        <f t="shared" si="30"/>
        <v>119.67478034376586</v>
      </c>
      <c r="S33" s="42">
        <f t="shared" si="30"/>
        <v>242.83195875470034</v>
      </c>
      <c r="T33" s="42">
        <f t="shared" si="30"/>
        <v>10.381430470766944</v>
      </c>
      <c r="U33" s="42">
        <f t="shared" si="30"/>
        <v>9.4769597822016198</v>
      </c>
      <c r="V33" s="42">
        <f t="shared" si="30"/>
        <v>5.6740202238188751</v>
      </c>
      <c r="W33" s="42">
        <f t="shared" si="30"/>
        <v>5.8766958436289967</v>
      </c>
      <c r="X33" s="42">
        <f t="shared" si="30"/>
        <v>439.3270555107967</v>
      </c>
      <c r="Y33" s="42">
        <f t="shared" si="30"/>
        <v>4.5927132751407171</v>
      </c>
      <c r="Z33" s="42">
        <f t="shared" si="30"/>
        <v>0.35406470051404987</v>
      </c>
      <c r="AA33" s="42">
        <f t="shared" si="30"/>
        <v>0.30029714530341739</v>
      </c>
      <c r="AB33" s="67">
        <f t="shared" si="29"/>
        <v>2.3175988940343757</v>
      </c>
      <c r="AC33" s="42">
        <f t="shared" ref="AC33:AZ34" si="31">IFERROR(AC13/$B33,0)</f>
        <v>159.06169189825832</v>
      </c>
      <c r="AD33" s="42">
        <f t="shared" si="31"/>
        <v>6.4801229749445071</v>
      </c>
      <c r="AE33" s="42">
        <f t="shared" si="31"/>
        <v>9.4914924158573939</v>
      </c>
      <c r="AF33" s="42">
        <f t="shared" si="31"/>
        <v>393.66490325703461</v>
      </c>
      <c r="AG33" s="42">
        <f t="shared" si="31"/>
        <v>10.103097541920885</v>
      </c>
      <c r="AH33" s="42">
        <f t="shared" si="31"/>
        <v>3.0563751773990235</v>
      </c>
      <c r="AI33" s="42">
        <f t="shared" si="31"/>
        <v>12.296795322322087</v>
      </c>
      <c r="AJ33" s="42">
        <f t="shared" si="31"/>
        <v>46.269853864720432</v>
      </c>
      <c r="AK33" s="42">
        <f t="shared" si="31"/>
        <v>16.745032235784372</v>
      </c>
      <c r="AL33" s="42">
        <f t="shared" si="31"/>
        <v>6.9601497323091612</v>
      </c>
      <c r="AM33" s="42">
        <f t="shared" si="31"/>
        <v>4.6926160857350929</v>
      </c>
      <c r="AN33" s="42">
        <f t="shared" si="31"/>
        <v>9.9839268854670191</v>
      </c>
      <c r="AO33" s="42">
        <f t="shared" si="31"/>
        <v>12.910703102624641</v>
      </c>
      <c r="AP33" s="42">
        <f t="shared" si="31"/>
        <v>14.105817679488855</v>
      </c>
      <c r="AQ33" s="42">
        <f t="shared" si="31"/>
        <v>133.89265315530798</v>
      </c>
      <c r="AR33" s="42">
        <f t="shared" si="31"/>
        <v>215.04529458718895</v>
      </c>
      <c r="AS33" s="42">
        <f t="shared" si="31"/>
        <v>11.507940254010808</v>
      </c>
      <c r="AT33" s="42">
        <f t="shared" si="31"/>
        <v>8.0951034509002255</v>
      </c>
      <c r="AU33" s="42">
        <f t="shared" si="31"/>
        <v>5.5301976614045856</v>
      </c>
      <c r="AV33" s="42">
        <f t="shared" si="31"/>
        <v>5.5941882817069573</v>
      </c>
      <c r="AW33" s="42">
        <f t="shared" si="31"/>
        <v>425.34951235273468</v>
      </c>
      <c r="AX33" s="42">
        <f t="shared" si="31"/>
        <v>3.6966752112738055</v>
      </c>
      <c r="AY33" s="42">
        <f t="shared" si="31"/>
        <v>0.2844182097087809</v>
      </c>
      <c r="AZ33" s="42">
        <f t="shared" si="31"/>
        <v>0.28732659754650214</v>
      </c>
    </row>
    <row r="34" spans="1:52" x14ac:dyDescent="0.25">
      <c r="A34" s="66" t="s">
        <v>1064</v>
      </c>
      <c r="B34" s="49">
        <v>1</v>
      </c>
      <c r="C34" s="67">
        <f t="shared" si="29"/>
        <v>2.4412412213204403E-2</v>
      </c>
      <c r="D34" s="42">
        <f t="shared" si="30"/>
        <v>784.93351150266574</v>
      </c>
      <c r="E34" s="42">
        <f t="shared" si="30"/>
        <v>1757.7157084831144</v>
      </c>
      <c r="F34" s="42">
        <f t="shared" si="30"/>
        <v>2137.1758071961926</v>
      </c>
      <c r="G34" s="42">
        <f t="shared" si="30"/>
        <v>1756.8253572908764</v>
      </c>
      <c r="H34" s="42">
        <f t="shared" si="30"/>
        <v>1921.4395588161917</v>
      </c>
      <c r="I34" s="42">
        <f t="shared" si="30"/>
        <v>785.02143166830069</v>
      </c>
      <c r="J34" s="42">
        <f t="shared" si="30"/>
        <v>2369.8486307513813</v>
      </c>
      <c r="K34" s="42">
        <f t="shared" si="30"/>
        <v>203.60435791526155</v>
      </c>
      <c r="L34" s="42">
        <f t="shared" si="30"/>
        <v>1119.2533286763226</v>
      </c>
      <c r="M34" s="42">
        <f t="shared" si="30"/>
        <v>840.91485839092024</v>
      </c>
      <c r="N34" s="42">
        <f t="shared" si="30"/>
        <v>834.2093735102211</v>
      </c>
      <c r="O34" s="42">
        <f t="shared" si="30"/>
        <v>1536.9859939745088</v>
      </c>
      <c r="P34" s="42">
        <f t="shared" si="30"/>
        <v>2371.4204356428145</v>
      </c>
      <c r="Q34" s="42">
        <f t="shared" si="30"/>
        <v>3197.4646426385088</v>
      </c>
      <c r="R34" s="42">
        <f t="shared" si="30"/>
        <v>502.44114004603887</v>
      </c>
      <c r="S34" s="42">
        <f t="shared" si="30"/>
        <v>1041.1326077006734</v>
      </c>
      <c r="T34" s="42">
        <f t="shared" si="30"/>
        <v>1659.2179342814809</v>
      </c>
      <c r="U34" s="42">
        <f t="shared" si="30"/>
        <v>519.4776392055802</v>
      </c>
      <c r="V34" s="42">
        <f t="shared" si="30"/>
        <v>964.68378482190815</v>
      </c>
      <c r="W34" s="42">
        <f t="shared" si="30"/>
        <v>816.20775605958295</v>
      </c>
      <c r="X34" s="42">
        <f t="shared" si="30"/>
        <v>1568.3648341121664</v>
      </c>
      <c r="Y34" s="42">
        <f t="shared" si="30"/>
        <v>735.11691325468871</v>
      </c>
      <c r="Z34" s="42">
        <f t="shared" si="30"/>
        <v>35.721125452502854</v>
      </c>
      <c r="AA34" s="42">
        <f t="shared" si="30"/>
        <v>27.660674551003154</v>
      </c>
      <c r="AB34" s="67">
        <f t="shared" si="29"/>
        <v>2.5905820666803005E-2</v>
      </c>
      <c r="AC34" s="42">
        <f t="shared" si="31"/>
        <v>681.97083662534703</v>
      </c>
      <c r="AD34" s="42">
        <f t="shared" si="31"/>
        <v>1648.6729274199952</v>
      </c>
      <c r="AE34" s="42">
        <f t="shared" si="31"/>
        <v>1962.7124759965034</v>
      </c>
      <c r="AF34" s="42">
        <f t="shared" si="31"/>
        <v>1708.8289406997078</v>
      </c>
      <c r="AG34" s="42">
        <f t="shared" si="31"/>
        <v>1651.9063615714022</v>
      </c>
      <c r="AH34" s="42">
        <f t="shared" si="31"/>
        <v>776.34692905740235</v>
      </c>
      <c r="AI34" s="42">
        <f t="shared" si="31"/>
        <v>2548.4081515113166</v>
      </c>
      <c r="AJ34" s="42">
        <f t="shared" si="31"/>
        <v>197.14463245396922</v>
      </c>
      <c r="AK34" s="42">
        <f t="shared" si="31"/>
        <v>772.92314849412423</v>
      </c>
      <c r="AL34" s="42">
        <f t="shared" si="31"/>
        <v>1184.2884255672127</v>
      </c>
      <c r="AM34" s="42">
        <f t="shared" si="31"/>
        <v>765.84039116808208</v>
      </c>
      <c r="AN34" s="42">
        <f t="shared" si="31"/>
        <v>1423.9822097348076</v>
      </c>
      <c r="AO34" s="42">
        <f t="shared" si="31"/>
        <v>2192.925460853452</v>
      </c>
      <c r="AP34" s="42">
        <f t="shared" si="31"/>
        <v>2394.1346828351152</v>
      </c>
      <c r="AQ34" s="42">
        <f t="shared" si="31"/>
        <v>562.13328407121014</v>
      </c>
      <c r="AR34" s="42">
        <f t="shared" si="31"/>
        <v>921.99836247042504</v>
      </c>
      <c r="AS34" s="42">
        <f t="shared" si="31"/>
        <v>1839.2629907662329</v>
      </c>
      <c r="AT34" s="42">
        <f t="shared" si="31"/>
        <v>443.73146308970274</v>
      </c>
      <c r="AU34" s="42">
        <f t="shared" si="31"/>
        <v>940.23140566573716</v>
      </c>
      <c r="AV34" s="42">
        <f t="shared" si="31"/>
        <v>776.97059468152202</v>
      </c>
      <c r="AW34" s="42">
        <f t="shared" si="31"/>
        <v>1518.4660471346574</v>
      </c>
      <c r="AX34" s="42">
        <f t="shared" si="31"/>
        <v>591.69565087501837</v>
      </c>
      <c r="AY34" s="42">
        <f t="shared" si="31"/>
        <v>27.969448070137982</v>
      </c>
      <c r="AZ34" s="42">
        <f t="shared" si="31"/>
        <v>26.465944245159669</v>
      </c>
    </row>
    <row r="35" spans="1:52" x14ac:dyDescent="0.25">
      <c r="A35" s="66" t="s">
        <v>1065</v>
      </c>
      <c r="B35" s="49">
        <v>1</v>
      </c>
      <c r="C35" s="67">
        <f t="shared" ref="C35:AB35" si="32">IFERROR($B35/C30,0)</f>
        <v>0.81014606326053407</v>
      </c>
      <c r="D35" s="42">
        <f t="shared" ref="D35:AA35" si="33">IFERROR(D30/$B35,0)</f>
        <v>150.74608072895737</v>
      </c>
      <c r="E35" s="42">
        <f t="shared" si="33"/>
        <v>19.3464568658597</v>
      </c>
      <c r="F35" s="42">
        <f t="shared" si="33"/>
        <v>55.643421358858845</v>
      </c>
      <c r="G35" s="42">
        <f t="shared" si="33"/>
        <v>335.85946058206702</v>
      </c>
      <c r="H35" s="42">
        <f t="shared" si="33"/>
        <v>28.97344620180024</v>
      </c>
      <c r="I35" s="42">
        <f t="shared" si="33"/>
        <v>8.6514956515261598</v>
      </c>
      <c r="J35" s="42">
        <f t="shared" si="33"/>
        <v>61.748268676808053</v>
      </c>
      <c r="K35" s="42">
        <f t="shared" si="33"/>
        <v>39.191925670062787</v>
      </c>
      <c r="L35" s="42">
        <f t="shared" si="33"/>
        <v>16.439500142735515</v>
      </c>
      <c r="M35" s="42">
        <f t="shared" si="33"/>
        <v>12.308789446617645</v>
      </c>
      <c r="N35" s="42">
        <f t="shared" si="33"/>
        <v>12.831444818905666</v>
      </c>
      <c r="O35" s="42">
        <f t="shared" si="33"/>
        <v>77.295145291265271</v>
      </c>
      <c r="P35" s="42">
        <f t="shared" si="33"/>
        <v>34.757232466148466</v>
      </c>
      <c r="Q35" s="42">
        <f t="shared" si="33"/>
        <v>46.890503047812139</v>
      </c>
      <c r="R35" s="42">
        <f t="shared" si="33"/>
        <v>97.236839438636849</v>
      </c>
      <c r="S35" s="42">
        <f t="shared" si="33"/>
        <v>199.94898654478277</v>
      </c>
      <c r="T35" s="42">
        <f t="shared" si="33"/>
        <v>155.71536550686332</v>
      </c>
      <c r="U35" s="42">
        <f t="shared" si="33"/>
        <v>22.321959556122732</v>
      </c>
      <c r="V35" s="42">
        <f t="shared" si="33"/>
        <v>14.12884813297239</v>
      </c>
      <c r="W35" s="42">
        <f t="shared" si="33"/>
        <v>37.285238025977634</v>
      </c>
      <c r="X35" s="42">
        <f t="shared" si="33"/>
        <v>320.96768698109457</v>
      </c>
      <c r="Y35" s="42">
        <f t="shared" si="33"/>
        <v>11.260843033269484</v>
      </c>
      <c r="Z35" s="42">
        <f t="shared" si="33"/>
        <v>0.75424450936993837</v>
      </c>
      <c r="AA35" s="42">
        <f t="shared" si="33"/>
        <v>0.61550903091077391</v>
      </c>
      <c r="AB35" s="67">
        <f t="shared" si="32"/>
        <v>0.87544949692595508</v>
      </c>
      <c r="AC35" s="42">
        <f t="shared" ref="AC35:AZ35" si="34">IFERROR(AC30/$B35,0)</f>
        <v>130.97215150861862</v>
      </c>
      <c r="AD35" s="42">
        <f t="shared" si="34"/>
        <v>18.146267637197926</v>
      </c>
      <c r="AE35" s="42">
        <f t="shared" si="34"/>
        <v>51.101101247931616</v>
      </c>
      <c r="AF35" s="42">
        <f t="shared" si="34"/>
        <v>326.68379009251981</v>
      </c>
      <c r="AG35" s="42">
        <f t="shared" si="34"/>
        <v>24.909146830977214</v>
      </c>
      <c r="AH35" s="42">
        <f t="shared" si="34"/>
        <v>8.555896450549124</v>
      </c>
      <c r="AI35" s="42">
        <f t="shared" si="34"/>
        <v>66.400777330574144</v>
      </c>
      <c r="AJ35" s="42">
        <f t="shared" si="34"/>
        <v>37.948489219486675</v>
      </c>
      <c r="AK35" s="42">
        <f t="shared" si="34"/>
        <v>11.352631155468584</v>
      </c>
      <c r="AL35" s="42">
        <f t="shared" si="34"/>
        <v>17.334878470653184</v>
      </c>
      <c r="AM35" s="42">
        <f t="shared" si="34"/>
        <v>11.779822945422676</v>
      </c>
      <c r="AN35" s="42">
        <f t="shared" si="34"/>
        <v>71.612176184511426</v>
      </c>
      <c r="AO35" s="42">
        <f t="shared" si="34"/>
        <v>32.14108256731727</v>
      </c>
      <c r="AP35" s="42">
        <f t="shared" si="34"/>
        <v>35.109748563072557</v>
      </c>
      <c r="AQ35" s="42">
        <f t="shared" si="34"/>
        <v>108.78898945523724</v>
      </c>
      <c r="AR35" s="42">
        <f t="shared" si="34"/>
        <v>177.06931548234857</v>
      </c>
      <c r="AS35" s="42">
        <f t="shared" si="34"/>
        <v>172.61235124874409</v>
      </c>
      <c r="AT35" s="42">
        <f t="shared" si="34"/>
        <v>19.067145581116506</v>
      </c>
      <c r="AU35" s="42">
        <f t="shared" si="34"/>
        <v>13.77071632126045</v>
      </c>
      <c r="AV35" s="42">
        <f t="shared" si="34"/>
        <v>35.492842780302091</v>
      </c>
      <c r="AW35" s="42">
        <f t="shared" si="34"/>
        <v>310.75584220430198</v>
      </c>
      <c r="AX35" s="42">
        <f t="shared" si="34"/>
        <v>9.0638532835161989</v>
      </c>
      <c r="AY35" s="42">
        <f t="shared" si="34"/>
        <v>0.63719556801230115</v>
      </c>
      <c r="AZ35" s="42">
        <f t="shared" si="34"/>
        <v>0.58892373229871287</v>
      </c>
    </row>
    <row r="36" spans="1:52" x14ac:dyDescent="0.25">
      <c r="A36" s="66" t="s">
        <v>1066</v>
      </c>
      <c r="B36" s="49">
        <v>1</v>
      </c>
      <c r="C36" s="67">
        <f t="shared" ref="C36:AB36" si="35">IFERROR($B36/C26,0)</f>
        <v>1.4699923087086302</v>
      </c>
      <c r="D36" s="42">
        <f t="shared" ref="D36:AA36" si="36">IFERROR(D26/$B36,0)</f>
        <v>26.190228167051178</v>
      </c>
      <c r="E36" s="42">
        <f t="shared" si="36"/>
        <v>30.022867755183487</v>
      </c>
      <c r="F36" s="42">
        <f t="shared" si="36"/>
        <v>50.066396728581914</v>
      </c>
      <c r="G36" s="42">
        <f t="shared" si="36"/>
        <v>58.124751077503959</v>
      </c>
      <c r="H36" s="42">
        <f t="shared" si="36"/>
        <v>25.61637394041654</v>
      </c>
      <c r="I36" s="42">
        <f t="shared" si="36"/>
        <v>13.17540452403072</v>
      </c>
      <c r="J36" s="42">
        <f t="shared" si="36"/>
        <v>57.819876407216974</v>
      </c>
      <c r="K36" s="42">
        <f t="shared" si="36"/>
        <v>6.8225038716957727</v>
      </c>
      <c r="L36" s="42">
        <f t="shared" si="36"/>
        <v>31.352157187068919</v>
      </c>
      <c r="M36" s="42">
        <f t="shared" si="36"/>
        <v>22.316625486169226</v>
      </c>
      <c r="N36" s="42">
        <f t="shared" si="36"/>
        <v>2.8905616172700936</v>
      </c>
      <c r="O36" s="42">
        <f t="shared" si="36"/>
        <v>10.567256259924166</v>
      </c>
      <c r="P36" s="42">
        <f t="shared" si="36"/>
        <v>60.245869607990663</v>
      </c>
      <c r="Q36" s="42">
        <f t="shared" si="36"/>
        <v>79.791228598150042</v>
      </c>
      <c r="R36" s="42">
        <f t="shared" si="36"/>
        <v>17.005700124635162</v>
      </c>
      <c r="S36" s="42">
        <f t="shared" si="36"/>
        <v>34.738611803740035</v>
      </c>
      <c r="T36" s="42">
        <f t="shared" si="36"/>
        <v>51.699847342485882</v>
      </c>
      <c r="U36" s="42">
        <f t="shared" si="36"/>
        <v>28.039184745490193</v>
      </c>
      <c r="V36" s="42">
        <f t="shared" si="36"/>
        <v>25.096272989907067</v>
      </c>
      <c r="W36" s="42">
        <f t="shared" si="36"/>
        <v>4.7986987145736624</v>
      </c>
      <c r="X36" s="42">
        <f t="shared" si="36"/>
        <v>59.079426806983868</v>
      </c>
      <c r="Y36" s="42">
        <f t="shared" si="36"/>
        <v>7.791985639112907</v>
      </c>
      <c r="Z36" s="42">
        <f t="shared" si="36"/>
        <v>8.0137443753065599E-2</v>
      </c>
      <c r="AA36" s="42">
        <f t="shared" si="36"/>
        <v>6.183294158887534E-2</v>
      </c>
      <c r="AB36" s="67">
        <f t="shared" si="35"/>
        <v>1.5811708960419752</v>
      </c>
      <c r="AC36" s="42">
        <f t="shared" ref="AC36:AZ36" si="37">IFERROR(AC26/$B36,0)</f>
        <v>22.754757635840807</v>
      </c>
      <c r="AD36" s="42">
        <f t="shared" si="37"/>
        <v>28.160349840758816</v>
      </c>
      <c r="AE36" s="42">
        <f t="shared" si="37"/>
        <v>45.979343934411979</v>
      </c>
      <c r="AF36" s="42">
        <f t="shared" si="37"/>
        <v>56.536784604117074</v>
      </c>
      <c r="AG36" s="42">
        <f t="shared" si="37"/>
        <v>22.022993582289402</v>
      </c>
      <c r="AH36" s="42">
        <f t="shared" si="37"/>
        <v>13.029816039012598</v>
      </c>
      <c r="AI36" s="42">
        <f t="shared" si="37"/>
        <v>62.176394915488935</v>
      </c>
      <c r="AJ36" s="42">
        <f t="shared" si="37"/>
        <v>6.6060472966940678</v>
      </c>
      <c r="AK36" s="42">
        <f t="shared" si="37"/>
        <v>21.65086975776142</v>
      </c>
      <c r="AL36" s="42">
        <f t="shared" si="37"/>
        <v>31.429247559688324</v>
      </c>
      <c r="AM36" s="42">
        <f t="shared" si="37"/>
        <v>2.6536609512677085</v>
      </c>
      <c r="AN36" s="42">
        <f t="shared" si="37"/>
        <v>9.7903201322798505</v>
      </c>
      <c r="AO36" s="42">
        <f t="shared" si="37"/>
        <v>55.711209783349929</v>
      </c>
      <c r="AP36" s="42">
        <f t="shared" si="37"/>
        <v>59.744506702416473</v>
      </c>
      <c r="AQ36" s="42">
        <f t="shared" si="37"/>
        <v>19.026049614717884</v>
      </c>
      <c r="AR36" s="42">
        <f t="shared" si="37"/>
        <v>30.763557841377732</v>
      </c>
      <c r="AS36" s="42">
        <f t="shared" si="37"/>
        <v>57.309901177313719</v>
      </c>
      <c r="AT36" s="42">
        <f t="shared" si="37"/>
        <v>23.950729602116795</v>
      </c>
      <c r="AU36" s="42">
        <f t="shared" si="37"/>
        <v>24.460143729509817</v>
      </c>
      <c r="AV36" s="42">
        <f t="shared" si="37"/>
        <v>4.5680131881613457</v>
      </c>
      <c r="AW36" s="42">
        <f t="shared" si="37"/>
        <v>57.199767387902426</v>
      </c>
      <c r="AX36" s="42">
        <f t="shared" si="37"/>
        <v>6.2717697433066109</v>
      </c>
      <c r="AY36" s="42">
        <f t="shared" si="37"/>
        <v>6.3008046460586109E-2</v>
      </c>
      <c r="AZ36" s="42">
        <f t="shared" si="37"/>
        <v>5.916222981431378E-2</v>
      </c>
    </row>
    <row r="37" spans="1:52" x14ac:dyDescent="0.25">
      <c r="A37" s="66" t="s">
        <v>1067</v>
      </c>
      <c r="B37" s="49">
        <v>1</v>
      </c>
      <c r="C37" s="67">
        <f t="shared" ref="C37:AB37" si="38">IFERROR($B37/C22,0)</f>
        <v>9.3915761476374602</v>
      </c>
      <c r="D37" s="42">
        <f t="shared" ref="D37:AA37" si="39">IFERROR(D22/$B37,0)</f>
        <v>4.3534127528719271</v>
      </c>
      <c r="E37" s="42">
        <f t="shared" si="39"/>
        <v>1.0788095931336057</v>
      </c>
      <c r="F37" s="42">
        <f t="shared" si="39"/>
        <v>1.7133107216498631</v>
      </c>
      <c r="G37" s="42">
        <f t="shared" si="39"/>
        <v>9.7437372757309095</v>
      </c>
      <c r="H37" s="42">
        <f t="shared" si="39"/>
        <v>6.5147433023174504</v>
      </c>
      <c r="I37" s="42">
        <f t="shared" si="39"/>
        <v>0.48291711006880489</v>
      </c>
      <c r="J37" s="42">
        <f t="shared" si="39"/>
        <v>1.8932610755947457</v>
      </c>
      <c r="K37" s="42">
        <f t="shared" si="39"/>
        <v>1.1292342539838034</v>
      </c>
      <c r="L37" s="42">
        <f t="shared" si="39"/>
        <v>24.745123946502627</v>
      </c>
      <c r="M37" s="42">
        <f t="shared" si="39"/>
        <v>2.7479771854862478</v>
      </c>
      <c r="N37" s="42">
        <f t="shared" si="39"/>
        <v>1.0404557422816558</v>
      </c>
      <c r="O37" s="42">
        <f t="shared" si="39"/>
        <v>6.6120742379242436</v>
      </c>
      <c r="P37" s="42">
        <f t="shared" si="39"/>
        <v>7.7620814920613395</v>
      </c>
      <c r="Q37" s="42">
        <f t="shared" si="39"/>
        <v>10.473098050931277</v>
      </c>
      <c r="R37" s="42">
        <f t="shared" si="39"/>
        <v>2.7866483397511401</v>
      </c>
      <c r="S37" s="42">
        <f t="shared" si="39"/>
        <v>5.7743489166591964</v>
      </c>
      <c r="T37" s="42">
        <f t="shared" si="39"/>
        <v>6.6061416546508669</v>
      </c>
      <c r="U37" s="42">
        <f t="shared" si="39"/>
        <v>2.6241216347579241</v>
      </c>
      <c r="V37" s="42">
        <f t="shared" si="39"/>
        <v>3.1547538132912707</v>
      </c>
      <c r="W37" s="42">
        <f t="shared" si="39"/>
        <v>3.5738420101680108</v>
      </c>
      <c r="X37" s="42">
        <f t="shared" si="39"/>
        <v>8.698494037933024</v>
      </c>
      <c r="Y37" s="42">
        <f t="shared" si="39"/>
        <v>2.5418939957103599</v>
      </c>
      <c r="Z37" s="42">
        <f t="shared" si="39"/>
        <v>0.15105707700163853</v>
      </c>
      <c r="AA37" s="42">
        <f t="shared" si="39"/>
        <v>0.14939010332521768</v>
      </c>
      <c r="AB37" s="67">
        <f t="shared" si="38"/>
        <v>9.7914594578314507</v>
      </c>
      <c r="AC37" s="42">
        <f t="shared" ref="AC37:AZ37" si="40">IFERROR(AC22/$B37,0)</f>
        <v>3.7823592619557056</v>
      </c>
      <c r="AD37" s="42">
        <f t="shared" si="40"/>
        <v>1.0118838680546738</v>
      </c>
      <c r="AE37" s="42">
        <f t="shared" si="40"/>
        <v>1.5734486219233441</v>
      </c>
      <c r="AF37" s="42">
        <f t="shared" si="40"/>
        <v>9.4775386627042622</v>
      </c>
      <c r="AG37" s="42">
        <f t="shared" si="40"/>
        <v>5.6008766217623025</v>
      </c>
      <c r="AH37" s="42">
        <f t="shared" si="40"/>
        <v>0.47758086628850843</v>
      </c>
      <c r="AI37" s="42">
        <f t="shared" si="40"/>
        <v>2.0359114482577674</v>
      </c>
      <c r="AJ37" s="42">
        <f t="shared" si="40"/>
        <v>1.0934072052068882</v>
      </c>
      <c r="AK37" s="42">
        <f t="shared" si="40"/>
        <v>17.088248585534689</v>
      </c>
      <c r="AL37" s="42">
        <f t="shared" si="40"/>
        <v>3.8700678695597994</v>
      </c>
      <c r="AM37" s="42">
        <f t="shared" si="40"/>
        <v>0.95518350424325149</v>
      </c>
      <c r="AN37" s="42">
        <f t="shared" si="40"/>
        <v>6.1259348628821106</v>
      </c>
      <c r="AO37" s="42">
        <f t="shared" si="40"/>
        <v>7.1778356453888987</v>
      </c>
      <c r="AP37" s="42">
        <f t="shared" si="40"/>
        <v>7.8418403587964773</v>
      </c>
      <c r="AQ37" s="42">
        <f t="shared" si="40"/>
        <v>3.1177140124957869</v>
      </c>
      <c r="AR37" s="42">
        <f t="shared" si="40"/>
        <v>5.1136043632813486</v>
      </c>
      <c r="AS37" s="42">
        <f t="shared" si="40"/>
        <v>7.3229872978803439</v>
      </c>
      <c r="AT37" s="42">
        <f t="shared" si="40"/>
        <v>2.2414926927310335</v>
      </c>
      <c r="AU37" s="42">
        <f t="shared" si="40"/>
        <v>3.0747885048651362</v>
      </c>
      <c r="AV37" s="42">
        <f t="shared" si="40"/>
        <v>3.4020384287249303</v>
      </c>
      <c r="AW37" s="42">
        <f t="shared" si="40"/>
        <v>8.4217444630997793</v>
      </c>
      <c r="AX37" s="42">
        <f t="shared" si="40"/>
        <v>2.0459706410346961</v>
      </c>
      <c r="AY37" s="42">
        <f t="shared" si="40"/>
        <v>0.16077017655318077</v>
      </c>
      <c r="AZ37" s="42">
        <f t="shared" si="40"/>
        <v>0.14293758954047148</v>
      </c>
    </row>
    <row r="38" spans="1:52" x14ac:dyDescent="0.25">
      <c r="A38" s="66" t="s">
        <v>1068</v>
      </c>
      <c r="B38" s="49">
        <v>1</v>
      </c>
      <c r="C38" s="67">
        <f t="shared" ref="C38:AB38" si="41">IFERROR($B38/C2,0)</f>
        <v>0.160003327279341</v>
      </c>
      <c r="D38" s="42">
        <f t="shared" ref="D38:AA38" si="42">IFERROR(D2/$B38,0)</f>
        <v>173.51652122147675</v>
      </c>
      <c r="E38" s="42">
        <f t="shared" si="42"/>
        <v>414.39726157563439</v>
      </c>
      <c r="F38" s="42">
        <f t="shared" si="42"/>
        <v>480.53222419038116</v>
      </c>
      <c r="G38" s="42">
        <f t="shared" si="42"/>
        <v>386.59157795488397</v>
      </c>
      <c r="H38" s="42">
        <f t="shared" si="42"/>
        <v>265.6380182851276</v>
      </c>
      <c r="I38" s="42">
        <f t="shared" si="42"/>
        <v>181.18731765831987</v>
      </c>
      <c r="J38" s="42">
        <f t="shared" si="42"/>
        <v>550.52694284603137</v>
      </c>
      <c r="K38" s="42">
        <f t="shared" si="42"/>
        <v>45.111929738772083</v>
      </c>
      <c r="L38" s="42">
        <f t="shared" si="42"/>
        <v>250.29213432140915</v>
      </c>
      <c r="M38" s="42">
        <f t="shared" si="42"/>
        <v>204.8918303295188</v>
      </c>
      <c r="N38" s="42">
        <f t="shared" si="42"/>
        <v>34.122996988576595</v>
      </c>
      <c r="O38" s="42">
        <f t="shared" si="42"/>
        <v>111.07522499832167</v>
      </c>
      <c r="P38" s="42">
        <f t="shared" si="42"/>
        <v>558.6214104611754</v>
      </c>
      <c r="Q38" s="42">
        <f t="shared" si="42"/>
        <v>742.78602089954609</v>
      </c>
      <c r="R38" s="42">
        <f t="shared" si="42"/>
        <v>111.92462206894722</v>
      </c>
      <c r="S38" s="42">
        <f t="shared" si="42"/>
        <v>230.15160592726428</v>
      </c>
      <c r="T38" s="42">
        <f t="shared" si="42"/>
        <v>361.82021864121907</v>
      </c>
      <c r="U38" s="42">
        <f t="shared" si="42"/>
        <v>110.63167105069995</v>
      </c>
      <c r="V38" s="42">
        <f t="shared" si="42"/>
        <v>231.46385637273607</v>
      </c>
      <c r="W38" s="42">
        <f t="shared" si="42"/>
        <v>51.500680592669674</v>
      </c>
      <c r="X38" s="42">
        <f t="shared" si="42"/>
        <v>369.4503777487933</v>
      </c>
      <c r="Y38" s="42">
        <f t="shared" si="42"/>
        <v>83.02565856693144</v>
      </c>
      <c r="Z38" s="42">
        <f t="shared" si="42"/>
        <v>0.9338927468176228</v>
      </c>
      <c r="AA38" s="42">
        <f t="shared" si="42"/>
        <v>0.72316039900850004</v>
      </c>
      <c r="AB38" s="67">
        <f t="shared" si="41"/>
        <v>0.17185532842098247</v>
      </c>
      <c r="AC38" s="42">
        <f t="shared" ref="AC38:AZ38" si="43">IFERROR(AC2/$B38,0)</f>
        <v>150.7557078550447</v>
      </c>
      <c r="AD38" s="42">
        <f t="shared" si="43"/>
        <v>388.68944679701815</v>
      </c>
      <c r="AE38" s="42">
        <f t="shared" si="43"/>
        <v>441.30510384830922</v>
      </c>
      <c r="AF38" s="42">
        <f t="shared" si="43"/>
        <v>376.02990752523317</v>
      </c>
      <c r="AG38" s="42">
        <f t="shared" si="43"/>
        <v>228.37519414390283</v>
      </c>
      <c r="AH38" s="42">
        <f t="shared" si="43"/>
        <v>179.18519415355311</v>
      </c>
      <c r="AI38" s="42">
        <f t="shared" si="43"/>
        <v>592.00715630964476</v>
      </c>
      <c r="AJ38" s="42">
        <f t="shared" si="43"/>
        <v>43.680670191455015</v>
      </c>
      <c r="AK38" s="42">
        <f t="shared" si="43"/>
        <v>172.84432357400979</v>
      </c>
      <c r="AL38" s="42">
        <f t="shared" si="43"/>
        <v>288.55599438073898</v>
      </c>
      <c r="AM38" s="42">
        <f t="shared" si="43"/>
        <v>31.326391420892609</v>
      </c>
      <c r="AN38" s="42">
        <f t="shared" si="43"/>
        <v>102.90864390435317</v>
      </c>
      <c r="AO38" s="42">
        <f t="shared" si="43"/>
        <v>516.57441066375759</v>
      </c>
      <c r="AP38" s="42">
        <f t="shared" si="43"/>
        <v>556.16870655784203</v>
      </c>
      <c r="AQ38" s="42">
        <f t="shared" si="43"/>
        <v>125.22174312055986</v>
      </c>
      <c r="AR38" s="42">
        <f t="shared" si="43"/>
        <v>203.81592336591555</v>
      </c>
      <c r="AS38" s="42">
        <f t="shared" si="43"/>
        <v>401.08205420641514</v>
      </c>
      <c r="AT38" s="42">
        <f t="shared" si="43"/>
        <v>94.500223983574458</v>
      </c>
      <c r="AU38" s="42">
        <f t="shared" si="43"/>
        <v>225.59681261598783</v>
      </c>
      <c r="AV38" s="42">
        <f t="shared" si="43"/>
        <v>49.024913239943068</v>
      </c>
      <c r="AW38" s="42">
        <f t="shared" si="43"/>
        <v>357.69601722177782</v>
      </c>
      <c r="AX38" s="42">
        <f t="shared" si="43"/>
        <v>66.827357933563633</v>
      </c>
      <c r="AY38" s="42">
        <f t="shared" si="43"/>
        <v>0.73123297080674288</v>
      </c>
      <c r="AZ38" s="42">
        <f t="shared" si="43"/>
        <v>0.6919253818331873</v>
      </c>
    </row>
    <row r="39" spans="1:52" x14ac:dyDescent="0.25">
      <c r="A39" s="66" t="s">
        <v>1069</v>
      </c>
      <c r="B39" s="49">
        <v>1</v>
      </c>
      <c r="C39" s="67">
        <f t="shared" ref="C39:AB39" si="44">IFERROR($B39/C11,0)</f>
        <v>0</v>
      </c>
      <c r="D39" s="42">
        <f t="shared" ref="D39:AA39" si="45">IFERROR(D11/$B39,0)</f>
        <v>0</v>
      </c>
      <c r="E39" s="42">
        <f t="shared" si="45"/>
        <v>0</v>
      </c>
      <c r="F39" s="42">
        <f t="shared" si="45"/>
        <v>0</v>
      </c>
      <c r="G39" s="42">
        <f t="shared" si="45"/>
        <v>0</v>
      </c>
      <c r="H39" s="42">
        <f t="shared" si="45"/>
        <v>0</v>
      </c>
      <c r="I39" s="42">
        <f t="shared" si="45"/>
        <v>0</v>
      </c>
      <c r="J39" s="42">
        <f t="shared" si="45"/>
        <v>0</v>
      </c>
      <c r="K39" s="42">
        <f t="shared" si="45"/>
        <v>0</v>
      </c>
      <c r="L39" s="42">
        <f t="shared" si="45"/>
        <v>0</v>
      </c>
      <c r="M39" s="42">
        <f t="shared" si="45"/>
        <v>0</v>
      </c>
      <c r="N39" s="42">
        <f t="shared" si="45"/>
        <v>0</v>
      </c>
      <c r="O39" s="42">
        <f t="shared" si="45"/>
        <v>0</v>
      </c>
      <c r="P39" s="42">
        <f t="shared" si="45"/>
        <v>0</v>
      </c>
      <c r="Q39" s="42">
        <f t="shared" si="45"/>
        <v>0</v>
      </c>
      <c r="R39" s="42">
        <f t="shared" si="45"/>
        <v>0</v>
      </c>
      <c r="S39" s="42">
        <f t="shared" si="45"/>
        <v>0</v>
      </c>
      <c r="T39" s="42">
        <f t="shared" si="45"/>
        <v>0</v>
      </c>
      <c r="U39" s="42">
        <f t="shared" si="45"/>
        <v>0</v>
      </c>
      <c r="V39" s="42">
        <f t="shared" si="45"/>
        <v>0</v>
      </c>
      <c r="W39" s="42">
        <f t="shared" si="45"/>
        <v>0</v>
      </c>
      <c r="X39" s="42">
        <f t="shared" si="45"/>
        <v>0</v>
      </c>
      <c r="Y39" s="42">
        <f t="shared" si="45"/>
        <v>0</v>
      </c>
      <c r="Z39" s="42">
        <f t="shared" si="45"/>
        <v>0</v>
      </c>
      <c r="AA39" s="42">
        <f t="shared" si="45"/>
        <v>0</v>
      </c>
      <c r="AB39" s="67">
        <f t="shared" si="44"/>
        <v>0</v>
      </c>
      <c r="AC39" s="42">
        <f t="shared" ref="AC39:AZ39" si="46">IFERROR(AC11/$B39,0)</f>
        <v>0</v>
      </c>
      <c r="AD39" s="42">
        <f t="shared" si="46"/>
        <v>0</v>
      </c>
      <c r="AE39" s="42">
        <f t="shared" si="46"/>
        <v>0</v>
      </c>
      <c r="AF39" s="42">
        <f t="shared" si="46"/>
        <v>0</v>
      </c>
      <c r="AG39" s="42">
        <f t="shared" si="46"/>
        <v>0</v>
      </c>
      <c r="AH39" s="42">
        <f t="shared" si="46"/>
        <v>0</v>
      </c>
      <c r="AI39" s="42">
        <f t="shared" si="46"/>
        <v>0</v>
      </c>
      <c r="AJ39" s="42">
        <f t="shared" si="46"/>
        <v>0</v>
      </c>
      <c r="AK39" s="42">
        <f t="shared" si="46"/>
        <v>0</v>
      </c>
      <c r="AL39" s="42">
        <f t="shared" si="46"/>
        <v>0</v>
      </c>
      <c r="AM39" s="42">
        <f t="shared" si="46"/>
        <v>0</v>
      </c>
      <c r="AN39" s="42">
        <f t="shared" si="46"/>
        <v>0</v>
      </c>
      <c r="AO39" s="42">
        <f t="shared" si="46"/>
        <v>0</v>
      </c>
      <c r="AP39" s="42">
        <f t="shared" si="46"/>
        <v>0</v>
      </c>
      <c r="AQ39" s="42">
        <f t="shared" si="46"/>
        <v>0</v>
      </c>
      <c r="AR39" s="42">
        <f t="shared" si="46"/>
        <v>0</v>
      </c>
      <c r="AS39" s="42">
        <f t="shared" si="46"/>
        <v>0</v>
      </c>
      <c r="AT39" s="42">
        <f t="shared" si="46"/>
        <v>0</v>
      </c>
      <c r="AU39" s="42">
        <f t="shared" si="46"/>
        <v>0</v>
      </c>
      <c r="AV39" s="42">
        <f t="shared" si="46"/>
        <v>0</v>
      </c>
      <c r="AW39" s="42">
        <f t="shared" si="46"/>
        <v>0</v>
      </c>
      <c r="AX39" s="42">
        <f t="shared" si="46"/>
        <v>0</v>
      </c>
      <c r="AY39" s="42">
        <f t="shared" si="46"/>
        <v>0</v>
      </c>
      <c r="AZ39" s="42">
        <f t="shared" si="46"/>
        <v>0</v>
      </c>
    </row>
    <row r="40" spans="1:52" x14ac:dyDescent="0.25">
      <c r="A40" s="66" t="s">
        <v>1070</v>
      </c>
      <c r="B40" s="49">
        <v>1</v>
      </c>
      <c r="C40" s="67">
        <f t="shared" ref="C40:AB40" si="47">IFERROR($B40/C4,0)</f>
        <v>0</v>
      </c>
      <c r="D40" s="42">
        <f t="shared" ref="D40:AA40" si="48">IFERROR(D4/$B40,0)</f>
        <v>0</v>
      </c>
      <c r="E40" s="42">
        <f t="shared" si="48"/>
        <v>0</v>
      </c>
      <c r="F40" s="42">
        <f t="shared" si="48"/>
        <v>0</v>
      </c>
      <c r="G40" s="42">
        <f t="shared" si="48"/>
        <v>0</v>
      </c>
      <c r="H40" s="42">
        <f t="shared" si="48"/>
        <v>0</v>
      </c>
      <c r="I40" s="42">
        <f t="shared" si="48"/>
        <v>0</v>
      </c>
      <c r="J40" s="42">
        <f t="shared" si="48"/>
        <v>0</v>
      </c>
      <c r="K40" s="42">
        <f t="shared" si="48"/>
        <v>0</v>
      </c>
      <c r="L40" s="42">
        <f t="shared" si="48"/>
        <v>0</v>
      </c>
      <c r="M40" s="42">
        <f t="shared" si="48"/>
        <v>0</v>
      </c>
      <c r="N40" s="42">
        <f t="shared" si="48"/>
        <v>0</v>
      </c>
      <c r="O40" s="42">
        <f t="shared" si="48"/>
        <v>0</v>
      </c>
      <c r="P40" s="42">
        <f t="shared" si="48"/>
        <v>0</v>
      </c>
      <c r="Q40" s="42">
        <f t="shared" si="48"/>
        <v>0</v>
      </c>
      <c r="R40" s="42">
        <f t="shared" si="48"/>
        <v>0</v>
      </c>
      <c r="S40" s="42">
        <f t="shared" si="48"/>
        <v>0</v>
      </c>
      <c r="T40" s="42">
        <f t="shared" si="48"/>
        <v>0</v>
      </c>
      <c r="U40" s="42">
        <f t="shared" si="48"/>
        <v>0</v>
      </c>
      <c r="V40" s="42">
        <f t="shared" si="48"/>
        <v>0</v>
      </c>
      <c r="W40" s="42">
        <f t="shared" si="48"/>
        <v>0</v>
      </c>
      <c r="X40" s="42">
        <f t="shared" si="48"/>
        <v>0</v>
      </c>
      <c r="Y40" s="42">
        <f t="shared" si="48"/>
        <v>0</v>
      </c>
      <c r="Z40" s="42">
        <f t="shared" si="48"/>
        <v>0</v>
      </c>
      <c r="AA40" s="42">
        <f t="shared" si="48"/>
        <v>0</v>
      </c>
      <c r="AB40" s="67">
        <f t="shared" si="47"/>
        <v>0</v>
      </c>
      <c r="AC40" s="42">
        <f t="shared" ref="AC40:AZ40" si="49">IFERROR(AC4/$B40,0)</f>
        <v>0</v>
      </c>
      <c r="AD40" s="42">
        <f t="shared" si="49"/>
        <v>0</v>
      </c>
      <c r="AE40" s="42">
        <f t="shared" si="49"/>
        <v>0</v>
      </c>
      <c r="AF40" s="42">
        <f t="shared" si="49"/>
        <v>0</v>
      </c>
      <c r="AG40" s="42">
        <f t="shared" si="49"/>
        <v>0</v>
      </c>
      <c r="AH40" s="42">
        <f t="shared" si="49"/>
        <v>0</v>
      </c>
      <c r="AI40" s="42">
        <f t="shared" si="49"/>
        <v>0</v>
      </c>
      <c r="AJ40" s="42">
        <f t="shared" si="49"/>
        <v>0</v>
      </c>
      <c r="AK40" s="42">
        <f t="shared" si="49"/>
        <v>0</v>
      </c>
      <c r="AL40" s="42">
        <f t="shared" si="49"/>
        <v>0</v>
      </c>
      <c r="AM40" s="42">
        <f t="shared" si="49"/>
        <v>0</v>
      </c>
      <c r="AN40" s="42">
        <f t="shared" si="49"/>
        <v>0</v>
      </c>
      <c r="AO40" s="42">
        <f t="shared" si="49"/>
        <v>0</v>
      </c>
      <c r="AP40" s="42">
        <f t="shared" si="49"/>
        <v>0</v>
      </c>
      <c r="AQ40" s="42">
        <f t="shared" si="49"/>
        <v>0</v>
      </c>
      <c r="AR40" s="42">
        <f t="shared" si="49"/>
        <v>0</v>
      </c>
      <c r="AS40" s="42">
        <f t="shared" si="49"/>
        <v>0</v>
      </c>
      <c r="AT40" s="42">
        <f t="shared" si="49"/>
        <v>0</v>
      </c>
      <c r="AU40" s="42">
        <f t="shared" si="49"/>
        <v>0</v>
      </c>
      <c r="AV40" s="42">
        <f t="shared" si="49"/>
        <v>0</v>
      </c>
      <c r="AW40" s="42">
        <f t="shared" si="49"/>
        <v>0</v>
      </c>
      <c r="AX40" s="42">
        <f t="shared" si="49"/>
        <v>0</v>
      </c>
      <c r="AY40" s="42">
        <f t="shared" si="49"/>
        <v>0</v>
      </c>
      <c r="AZ40" s="42">
        <f t="shared" si="49"/>
        <v>0</v>
      </c>
    </row>
    <row r="41" spans="1:52" x14ac:dyDescent="0.25">
      <c r="A41" s="66" t="s">
        <v>1071</v>
      </c>
      <c r="B41" s="68">
        <v>0.99987999999999999</v>
      </c>
      <c r="C41" s="67">
        <f t="shared" ref="C41:AB41" si="50">IFERROR($B41/C8,0)</f>
        <v>4.6316472027467026E-2</v>
      </c>
      <c r="D41" s="42">
        <f t="shared" ref="D41:AA41" si="51">IFERROR(D8/$B41,0)</f>
        <v>392.21438568094203</v>
      </c>
      <c r="E41" s="42">
        <f t="shared" si="51"/>
        <v>871.99576886042541</v>
      </c>
      <c r="F41" s="42">
        <f t="shared" si="51"/>
        <v>1065.8224864370168</v>
      </c>
      <c r="G41" s="42">
        <f t="shared" si="51"/>
        <v>878.31362751583231</v>
      </c>
      <c r="H41" s="42">
        <f t="shared" si="51"/>
        <v>1031.6703074395789</v>
      </c>
      <c r="I41" s="42">
        <f t="shared" si="51"/>
        <v>390.3492209924637</v>
      </c>
      <c r="J41" s="42">
        <f t="shared" si="51"/>
        <v>1177.5603057558749</v>
      </c>
      <c r="K41" s="42">
        <f t="shared" si="51"/>
        <v>101.70972258733812</v>
      </c>
      <c r="L41" s="42">
        <f t="shared" si="51"/>
        <v>558.52476020880158</v>
      </c>
      <c r="M41" s="42">
        <f t="shared" si="51"/>
        <v>415.72229067160981</v>
      </c>
      <c r="N41" s="42">
        <f t="shared" si="51"/>
        <v>850.82123742307351</v>
      </c>
      <c r="O41" s="42">
        <f t="shared" si="51"/>
        <v>1008.464214174533</v>
      </c>
      <c r="P41" s="42">
        <f t="shared" si="51"/>
        <v>1176.5572088418464</v>
      </c>
      <c r="Q41" s="42">
        <f t="shared" si="51"/>
        <v>1588.7965979646597</v>
      </c>
      <c r="R41" s="42">
        <f t="shared" si="51"/>
        <v>250.83696455512091</v>
      </c>
      <c r="S41" s="42">
        <f t="shared" si="51"/>
        <v>520.23156121845625</v>
      </c>
      <c r="T41" s="42">
        <f t="shared" si="51"/>
        <v>830.39510129358678</v>
      </c>
      <c r="U41" s="42">
        <f t="shared" si="51"/>
        <v>260.71906728758171</v>
      </c>
      <c r="V41" s="42">
        <f t="shared" si="51"/>
        <v>477.67888865226581</v>
      </c>
      <c r="W41" s="42">
        <f t="shared" si="51"/>
        <v>574.37288956479142</v>
      </c>
      <c r="X41" s="42">
        <f t="shared" si="51"/>
        <v>778.12897448888009</v>
      </c>
      <c r="Y41" s="42">
        <f t="shared" si="51"/>
        <v>413.12373423992938</v>
      </c>
      <c r="Z41" s="42">
        <f t="shared" si="51"/>
        <v>130.7138760201222</v>
      </c>
      <c r="AA41" s="42">
        <f t="shared" si="51"/>
        <v>101.21836694928216</v>
      </c>
      <c r="AB41" s="67">
        <f t="shared" si="50"/>
        <v>4.9044093475692913E-2</v>
      </c>
      <c r="AC41" s="42">
        <f t="shared" ref="AC41:AZ41" si="52">IFERROR(AC8/$B41,0)</f>
        <v>340.76615257166299</v>
      </c>
      <c r="AD41" s="42">
        <f t="shared" si="52"/>
        <v>817.9000790666131</v>
      </c>
      <c r="AE41" s="42">
        <f t="shared" si="52"/>
        <v>978.81656917685223</v>
      </c>
      <c r="AF41" s="42">
        <f t="shared" si="52"/>
        <v>854.31812529416766</v>
      </c>
      <c r="AG41" s="42">
        <f t="shared" si="52"/>
        <v>886.95100300409388</v>
      </c>
      <c r="AH41" s="42">
        <f t="shared" si="52"/>
        <v>386.03585424849445</v>
      </c>
      <c r="AI41" s="42">
        <f t="shared" si="52"/>
        <v>1266.2852146522823</v>
      </c>
      <c r="AJ41" s="42">
        <f t="shared" si="52"/>
        <v>98.482793206328239</v>
      </c>
      <c r="AK41" s="42">
        <f t="shared" si="52"/>
        <v>385.70063194098873</v>
      </c>
      <c r="AL41" s="42">
        <f t="shared" si="52"/>
        <v>585.47555936251729</v>
      </c>
      <c r="AM41" s="42">
        <f t="shared" si="52"/>
        <v>781.09080282854768</v>
      </c>
      <c r="AN41" s="42">
        <f t="shared" si="52"/>
        <v>934.31892402953429</v>
      </c>
      <c r="AO41" s="42">
        <f t="shared" si="52"/>
        <v>1087.9986613257706</v>
      </c>
      <c r="AP41" s="42">
        <f t="shared" si="52"/>
        <v>1189.6278659140344</v>
      </c>
      <c r="AQ41" s="42">
        <f t="shared" si="52"/>
        <v>280.637462606871</v>
      </c>
      <c r="AR41" s="42">
        <f t="shared" si="52"/>
        <v>460.70274237991197</v>
      </c>
      <c r="AS41" s="42">
        <f t="shared" si="52"/>
        <v>920.50293452515655</v>
      </c>
      <c r="AT41" s="42">
        <f t="shared" si="52"/>
        <v>222.70304716064587</v>
      </c>
      <c r="AU41" s="42">
        <f t="shared" si="52"/>
        <v>465.57089483709052</v>
      </c>
      <c r="AV41" s="42">
        <f t="shared" si="52"/>
        <v>546.76133896174633</v>
      </c>
      <c r="AW41" s="42">
        <f t="shared" si="52"/>
        <v>753.37217613779478</v>
      </c>
      <c r="AX41" s="42">
        <f t="shared" si="52"/>
        <v>332.52332032567875</v>
      </c>
      <c r="AY41" s="42">
        <f t="shared" si="52"/>
        <v>102.34825809876882</v>
      </c>
      <c r="AZ41" s="42">
        <f t="shared" si="52"/>
        <v>96.84650500212264</v>
      </c>
    </row>
    <row r="42" spans="1:52" x14ac:dyDescent="0.25">
      <c r="A42" s="66" t="s">
        <v>1072</v>
      </c>
      <c r="B42" s="49">
        <v>0.97898250799999997</v>
      </c>
      <c r="C42" s="67">
        <f t="shared" ref="C42:AB42" si="53">IFERROR($B42/C19,0)</f>
        <v>0</v>
      </c>
      <c r="D42" s="42">
        <f t="shared" ref="D42:AA42" si="54">IFERROR(D19/$B42,0)</f>
        <v>0</v>
      </c>
      <c r="E42" s="42">
        <f t="shared" si="54"/>
        <v>0</v>
      </c>
      <c r="F42" s="42">
        <f t="shared" si="54"/>
        <v>0</v>
      </c>
      <c r="G42" s="42">
        <f t="shared" si="54"/>
        <v>0</v>
      </c>
      <c r="H42" s="42">
        <f t="shared" si="54"/>
        <v>0</v>
      </c>
      <c r="I42" s="42">
        <f t="shared" si="54"/>
        <v>0</v>
      </c>
      <c r="J42" s="42">
        <f t="shared" si="54"/>
        <v>0</v>
      </c>
      <c r="K42" s="42">
        <f t="shared" si="54"/>
        <v>0</v>
      </c>
      <c r="L42" s="42">
        <f t="shared" si="54"/>
        <v>0</v>
      </c>
      <c r="M42" s="42">
        <f t="shared" si="54"/>
        <v>0</v>
      </c>
      <c r="N42" s="42">
        <f t="shared" si="54"/>
        <v>0</v>
      </c>
      <c r="O42" s="42">
        <f t="shared" si="54"/>
        <v>0</v>
      </c>
      <c r="P42" s="42">
        <f t="shared" si="54"/>
        <v>0</v>
      </c>
      <c r="Q42" s="42">
        <f t="shared" si="54"/>
        <v>0</v>
      </c>
      <c r="R42" s="42">
        <f t="shared" si="54"/>
        <v>0</v>
      </c>
      <c r="S42" s="42">
        <f t="shared" si="54"/>
        <v>0</v>
      </c>
      <c r="T42" s="42">
        <f t="shared" si="54"/>
        <v>0</v>
      </c>
      <c r="U42" s="42">
        <f t="shared" si="54"/>
        <v>0</v>
      </c>
      <c r="V42" s="42">
        <f t="shared" si="54"/>
        <v>0</v>
      </c>
      <c r="W42" s="42">
        <f t="shared" si="54"/>
        <v>0</v>
      </c>
      <c r="X42" s="42">
        <f t="shared" si="54"/>
        <v>0</v>
      </c>
      <c r="Y42" s="42">
        <f t="shared" si="54"/>
        <v>0</v>
      </c>
      <c r="Z42" s="42">
        <f t="shared" si="54"/>
        <v>0</v>
      </c>
      <c r="AA42" s="42">
        <f t="shared" si="54"/>
        <v>0</v>
      </c>
      <c r="AB42" s="67">
        <f t="shared" si="53"/>
        <v>0</v>
      </c>
      <c r="AC42" s="42">
        <f t="shared" ref="AC42:AZ42" si="55">IFERROR(AC19/$B42,0)</f>
        <v>0</v>
      </c>
      <c r="AD42" s="42">
        <f t="shared" si="55"/>
        <v>0</v>
      </c>
      <c r="AE42" s="42">
        <f t="shared" si="55"/>
        <v>0</v>
      </c>
      <c r="AF42" s="42">
        <f t="shared" si="55"/>
        <v>0</v>
      </c>
      <c r="AG42" s="42">
        <f t="shared" si="55"/>
        <v>0</v>
      </c>
      <c r="AH42" s="42">
        <f t="shared" si="55"/>
        <v>0</v>
      </c>
      <c r="AI42" s="42">
        <f t="shared" si="55"/>
        <v>0</v>
      </c>
      <c r="AJ42" s="42">
        <f t="shared" si="55"/>
        <v>0</v>
      </c>
      <c r="AK42" s="42">
        <f t="shared" si="55"/>
        <v>0</v>
      </c>
      <c r="AL42" s="42">
        <f t="shared" si="55"/>
        <v>0</v>
      </c>
      <c r="AM42" s="42">
        <f t="shared" si="55"/>
        <v>0</v>
      </c>
      <c r="AN42" s="42">
        <f t="shared" si="55"/>
        <v>0</v>
      </c>
      <c r="AO42" s="42">
        <f t="shared" si="55"/>
        <v>0</v>
      </c>
      <c r="AP42" s="42">
        <f t="shared" si="55"/>
        <v>0</v>
      </c>
      <c r="AQ42" s="42">
        <f t="shared" si="55"/>
        <v>0</v>
      </c>
      <c r="AR42" s="42">
        <f t="shared" si="55"/>
        <v>0</v>
      </c>
      <c r="AS42" s="42">
        <f t="shared" si="55"/>
        <v>0</v>
      </c>
      <c r="AT42" s="42">
        <f t="shared" si="55"/>
        <v>0</v>
      </c>
      <c r="AU42" s="42">
        <f t="shared" si="55"/>
        <v>0</v>
      </c>
      <c r="AV42" s="42">
        <f t="shared" si="55"/>
        <v>0</v>
      </c>
      <c r="AW42" s="42">
        <f t="shared" si="55"/>
        <v>0</v>
      </c>
      <c r="AX42" s="42">
        <f t="shared" si="55"/>
        <v>0</v>
      </c>
      <c r="AY42" s="42">
        <f t="shared" si="55"/>
        <v>0</v>
      </c>
      <c r="AZ42" s="42">
        <f t="shared" si="55"/>
        <v>0</v>
      </c>
    </row>
    <row r="43" spans="1:52" x14ac:dyDescent="0.25">
      <c r="A43" s="66" t="s">
        <v>1073</v>
      </c>
      <c r="B43" s="49">
        <v>2.0897492E-2</v>
      </c>
      <c r="C43" s="67">
        <f t="shared" ref="C43:AB43" si="56">IFERROR($B43/C28,0)</f>
        <v>0</v>
      </c>
      <c r="D43" s="42">
        <f t="shared" ref="D43:AA43" si="57">IFERROR(D28/$B43,0)</f>
        <v>0</v>
      </c>
      <c r="E43" s="42">
        <f t="shared" si="57"/>
        <v>0</v>
      </c>
      <c r="F43" s="42">
        <f t="shared" si="57"/>
        <v>0</v>
      </c>
      <c r="G43" s="42">
        <f t="shared" si="57"/>
        <v>0</v>
      </c>
      <c r="H43" s="42">
        <f t="shared" si="57"/>
        <v>0</v>
      </c>
      <c r="I43" s="42">
        <f t="shared" si="57"/>
        <v>0</v>
      </c>
      <c r="J43" s="42">
        <f t="shared" si="57"/>
        <v>0</v>
      </c>
      <c r="K43" s="42">
        <f t="shared" si="57"/>
        <v>0</v>
      </c>
      <c r="L43" s="42">
        <f t="shared" si="57"/>
        <v>0</v>
      </c>
      <c r="M43" s="42">
        <f t="shared" si="57"/>
        <v>0</v>
      </c>
      <c r="N43" s="42">
        <f t="shared" si="57"/>
        <v>0</v>
      </c>
      <c r="O43" s="42">
        <f t="shared" si="57"/>
        <v>0</v>
      </c>
      <c r="P43" s="42">
        <f t="shared" si="57"/>
        <v>0</v>
      </c>
      <c r="Q43" s="42">
        <f t="shared" si="57"/>
        <v>0</v>
      </c>
      <c r="R43" s="42">
        <f t="shared" si="57"/>
        <v>0</v>
      </c>
      <c r="S43" s="42">
        <f t="shared" si="57"/>
        <v>0</v>
      </c>
      <c r="T43" s="42">
        <f t="shared" si="57"/>
        <v>0</v>
      </c>
      <c r="U43" s="42">
        <f t="shared" si="57"/>
        <v>0</v>
      </c>
      <c r="V43" s="42">
        <f t="shared" si="57"/>
        <v>0</v>
      </c>
      <c r="W43" s="42">
        <f t="shared" si="57"/>
        <v>0</v>
      </c>
      <c r="X43" s="42">
        <f t="shared" si="57"/>
        <v>0</v>
      </c>
      <c r="Y43" s="42">
        <f t="shared" si="57"/>
        <v>0</v>
      </c>
      <c r="Z43" s="42">
        <f t="shared" si="57"/>
        <v>0</v>
      </c>
      <c r="AA43" s="42">
        <f t="shared" si="57"/>
        <v>0</v>
      </c>
      <c r="AB43" s="67">
        <f t="shared" si="56"/>
        <v>0</v>
      </c>
      <c r="AC43" s="42">
        <f t="shared" ref="AC43:AZ43" si="58">IFERROR(AC28/$B43,0)</f>
        <v>0</v>
      </c>
      <c r="AD43" s="42">
        <f t="shared" si="58"/>
        <v>0</v>
      </c>
      <c r="AE43" s="42">
        <f t="shared" si="58"/>
        <v>0</v>
      </c>
      <c r="AF43" s="42">
        <f t="shared" si="58"/>
        <v>0</v>
      </c>
      <c r="AG43" s="42">
        <f t="shared" si="58"/>
        <v>0</v>
      </c>
      <c r="AH43" s="42">
        <f t="shared" si="58"/>
        <v>0</v>
      </c>
      <c r="AI43" s="42">
        <f t="shared" si="58"/>
        <v>0</v>
      </c>
      <c r="AJ43" s="42">
        <f t="shared" si="58"/>
        <v>0</v>
      </c>
      <c r="AK43" s="42">
        <f t="shared" si="58"/>
        <v>0</v>
      </c>
      <c r="AL43" s="42">
        <f t="shared" si="58"/>
        <v>0</v>
      </c>
      <c r="AM43" s="42">
        <f t="shared" si="58"/>
        <v>0</v>
      </c>
      <c r="AN43" s="42">
        <f t="shared" si="58"/>
        <v>0</v>
      </c>
      <c r="AO43" s="42">
        <f t="shared" si="58"/>
        <v>0</v>
      </c>
      <c r="AP43" s="42">
        <f t="shared" si="58"/>
        <v>0</v>
      </c>
      <c r="AQ43" s="42">
        <f t="shared" si="58"/>
        <v>0</v>
      </c>
      <c r="AR43" s="42">
        <f t="shared" si="58"/>
        <v>0</v>
      </c>
      <c r="AS43" s="42">
        <f t="shared" si="58"/>
        <v>0</v>
      </c>
      <c r="AT43" s="42">
        <f t="shared" si="58"/>
        <v>0</v>
      </c>
      <c r="AU43" s="42">
        <f t="shared" si="58"/>
        <v>0</v>
      </c>
      <c r="AV43" s="42">
        <f t="shared" si="58"/>
        <v>0</v>
      </c>
      <c r="AW43" s="42">
        <f t="shared" si="58"/>
        <v>0</v>
      </c>
      <c r="AX43" s="42">
        <f t="shared" si="58"/>
        <v>0</v>
      </c>
      <c r="AY43" s="42">
        <f t="shared" si="58"/>
        <v>0</v>
      </c>
      <c r="AZ43" s="42">
        <f t="shared" si="58"/>
        <v>0</v>
      </c>
    </row>
    <row r="44" spans="1:52" x14ac:dyDescent="0.25">
      <c r="A44" s="66" t="s">
        <v>1074</v>
      </c>
      <c r="B44" s="49">
        <v>0.99987999999999999</v>
      </c>
      <c r="C44" s="67">
        <f t="shared" ref="C44:AB44" si="59">IFERROR($B44/C15,0)</f>
        <v>2.2765062281677947E-3</v>
      </c>
      <c r="D44" s="42">
        <f t="shared" ref="D44:AA44" si="60">IFERROR(D15/$B44,0)</f>
        <v>13871.975683715496</v>
      </c>
      <c r="E44" s="42">
        <f t="shared" si="60"/>
        <v>3909.7850878746053</v>
      </c>
      <c r="F44" s="42">
        <f t="shared" si="60"/>
        <v>25294.697100243524</v>
      </c>
      <c r="G44" s="42">
        <f t="shared" si="60"/>
        <v>31048.029265840636</v>
      </c>
      <c r="H44" s="42">
        <f t="shared" si="60"/>
        <v>23352.219419588375</v>
      </c>
      <c r="I44" s="42">
        <f t="shared" si="60"/>
        <v>1750.1031819560046</v>
      </c>
      <c r="J44" s="42">
        <f t="shared" si="60"/>
        <v>28010.94471012121</v>
      </c>
      <c r="K44" s="42">
        <f t="shared" si="60"/>
        <v>3598.2598025303232</v>
      </c>
      <c r="L44" s="42">
        <f t="shared" si="60"/>
        <v>149198.20890279932</v>
      </c>
      <c r="M44" s="42">
        <f t="shared" si="60"/>
        <v>9920.7236151655761</v>
      </c>
      <c r="N44" s="42">
        <f t="shared" si="60"/>
        <v>3705.4142273099606</v>
      </c>
      <c r="O44" s="42">
        <f t="shared" si="60"/>
        <v>41145.918391162006</v>
      </c>
      <c r="P44" s="42">
        <f t="shared" si="60"/>
        <v>28013.875647167853</v>
      </c>
      <c r="Q44" s="42">
        <f t="shared" si="60"/>
        <v>37793.133348401956</v>
      </c>
      <c r="R44" s="42">
        <f t="shared" si="60"/>
        <v>8879.5435219397859</v>
      </c>
      <c r="S44" s="42">
        <f t="shared" si="60"/>
        <v>18399.731959332959</v>
      </c>
      <c r="T44" s="42">
        <f t="shared" si="60"/>
        <v>54481.530558354207</v>
      </c>
      <c r="U44" s="42">
        <f t="shared" si="60"/>
        <v>54815.317976891078</v>
      </c>
      <c r="V44" s="42">
        <f t="shared" si="60"/>
        <v>11387.667157340511</v>
      </c>
      <c r="W44" s="42">
        <f t="shared" si="60"/>
        <v>21006.814458290417</v>
      </c>
      <c r="X44" s="42">
        <f t="shared" si="60"/>
        <v>27717.403478351265</v>
      </c>
      <c r="Y44" s="42">
        <f t="shared" si="60"/>
        <v>9076.0924858884391</v>
      </c>
      <c r="Z44" s="42">
        <f t="shared" si="60"/>
        <v>497.38191435185036</v>
      </c>
      <c r="AA44" s="42">
        <f t="shared" si="60"/>
        <v>486.968708542608</v>
      </c>
      <c r="AB44" s="67">
        <f t="shared" si="59"/>
        <v>2.3692451468768426E-3</v>
      </c>
      <c r="AC44" s="42">
        <f t="shared" ref="AC44:AZ44" si="61">IFERROR(AC15/$B44,0)</f>
        <v>12052.336566137039</v>
      </c>
      <c r="AD44" s="42">
        <f t="shared" si="61"/>
        <v>3667.2351480388397</v>
      </c>
      <c r="AE44" s="42">
        <f t="shared" si="61"/>
        <v>23229.823867570587</v>
      </c>
      <c r="AF44" s="42">
        <f t="shared" si="61"/>
        <v>30199.798028288355</v>
      </c>
      <c r="AG44" s="42">
        <f t="shared" si="61"/>
        <v>20076.447182026346</v>
      </c>
      <c r="AH44" s="42">
        <f t="shared" si="61"/>
        <v>1730.7645065914915</v>
      </c>
      <c r="AI44" s="42">
        <f t="shared" si="61"/>
        <v>30121.468056874572</v>
      </c>
      <c r="AJ44" s="42">
        <f t="shared" si="61"/>
        <v>3484.0983439999331</v>
      </c>
      <c r="AK44" s="42">
        <f t="shared" si="61"/>
        <v>103031.85741803126</v>
      </c>
      <c r="AL44" s="42">
        <f t="shared" si="61"/>
        <v>13971.685758024856</v>
      </c>
      <c r="AM44" s="42">
        <f t="shared" si="61"/>
        <v>3401.7309939134457</v>
      </c>
      <c r="AN44" s="42">
        <f t="shared" si="61"/>
        <v>38120.748023671753</v>
      </c>
      <c r="AO44" s="42">
        <f t="shared" si="61"/>
        <v>25905.292979903228</v>
      </c>
      <c r="AP44" s="42">
        <f t="shared" si="61"/>
        <v>28297.999019547253</v>
      </c>
      <c r="AQ44" s="42">
        <f t="shared" si="61"/>
        <v>9934.4710518407774</v>
      </c>
      <c r="AR44" s="42">
        <f t="shared" si="61"/>
        <v>16294.295857148925</v>
      </c>
      <c r="AS44" s="42">
        <f t="shared" si="61"/>
        <v>60393.430402302358</v>
      </c>
      <c r="AT44" s="42">
        <f t="shared" si="61"/>
        <v>46822.576006947944</v>
      </c>
      <c r="AU44" s="42">
        <f t="shared" si="61"/>
        <v>11099.017592149601</v>
      </c>
      <c r="AV44" s="42">
        <f t="shared" si="61"/>
        <v>19996.964009284442</v>
      </c>
      <c r="AW44" s="42">
        <f t="shared" si="61"/>
        <v>26835.5520228391</v>
      </c>
      <c r="AX44" s="42">
        <f t="shared" si="61"/>
        <v>7305.3474270684255</v>
      </c>
      <c r="AY44" s="42">
        <f t="shared" si="61"/>
        <v>513.47487033726361</v>
      </c>
      <c r="AZ44" s="42">
        <f t="shared" si="61"/>
        <v>465.93537209882203</v>
      </c>
    </row>
    <row r="45" spans="1:52" x14ac:dyDescent="0.25">
      <c r="A45" s="64" t="s">
        <v>8</v>
      </c>
      <c r="B45" s="64" t="s">
        <v>1059</v>
      </c>
      <c r="C45" s="65">
        <f t="shared" ref="C45" si="62">IFERROR(1/SUM(1/D45,1/E45,1/F45,1/G45,1/H45,1/I45,1/J45,1/K45,1/L45,1/M45,1/N45,1/O45,1/P45,1/Q45,1/R45,1/S45,1/T45,1/U45,1/V45,1/W45,1/X45,1/Y45),".")</f>
        <v>1.7844585787159419</v>
      </c>
      <c r="D45" s="40">
        <f t="shared" ref="D45:AA45" si="63">IFERROR(IF(AND(D46&lt;&gt;0,D47&lt;&gt;0),1/SUM(1/D46,1/D47),IF(AND(D46&lt;&gt;0,D47=0),1/(1/D46),IF(AND(D46=0,D47&lt;&gt;0),1/(1/D47),IF(AND(D46=0,D47=0),".")))),".")</f>
        <v>132.80138655528779</v>
      </c>
      <c r="E45" s="40">
        <f t="shared" si="63"/>
        <v>29.266155384204939</v>
      </c>
      <c r="F45" s="40">
        <f t="shared" si="63"/>
        <v>51.031802416529359</v>
      </c>
      <c r="G45" s="40">
        <f t="shared" si="63"/>
        <v>782.2419117695764</v>
      </c>
      <c r="H45" s="40">
        <f t="shared" si="63"/>
        <v>95.392953292548057</v>
      </c>
      <c r="I45" s="40">
        <f t="shared" si="63"/>
        <v>13.098739947511399</v>
      </c>
      <c r="J45" s="40">
        <f t="shared" si="63"/>
        <v>56.413637863215726</v>
      </c>
      <c r="K45" s="40">
        <f t="shared" si="63"/>
        <v>34.454599966625622</v>
      </c>
      <c r="L45" s="40">
        <f t="shared" si="63"/>
        <v>34.000453749329068</v>
      </c>
      <c r="M45" s="40">
        <f t="shared" si="63"/>
        <v>39.825596912730454</v>
      </c>
      <c r="N45" s="40">
        <f t="shared" si="63"/>
        <v>26.471459021315599</v>
      </c>
      <c r="O45" s="40">
        <f t="shared" si="63"/>
        <v>48.132997640578246</v>
      </c>
      <c r="P45" s="40">
        <f t="shared" si="63"/>
        <v>112.54359243158551</v>
      </c>
      <c r="Q45" s="40">
        <f t="shared" si="63"/>
        <v>151.87968732920996</v>
      </c>
      <c r="R45" s="40">
        <f t="shared" si="63"/>
        <v>85.066107213455865</v>
      </c>
      <c r="S45" s="40">
        <f t="shared" si="63"/>
        <v>176.14721739409688</v>
      </c>
      <c r="T45" s="40">
        <f t="shared" si="63"/>
        <v>41.715730746962343</v>
      </c>
      <c r="U45" s="40">
        <f t="shared" si="63"/>
        <v>9.3648603439323903</v>
      </c>
      <c r="V45" s="40">
        <f t="shared" si="63"/>
        <v>45.730060799550238</v>
      </c>
      <c r="W45" s="40">
        <f t="shared" si="63"/>
        <v>27.00236185460275</v>
      </c>
      <c r="X45" s="40">
        <f t="shared" si="63"/>
        <v>526.51852290363934</v>
      </c>
      <c r="Y45" s="40">
        <f t="shared" si="63"/>
        <v>37.432248058728597</v>
      </c>
      <c r="Z45" s="40">
        <f t="shared" si="63"/>
        <v>2.9734393051901478</v>
      </c>
      <c r="AA45" s="40">
        <f t="shared" si="63"/>
        <v>2.5583160875048594</v>
      </c>
      <c r="AB45" s="65">
        <f t="shared" ref="AB45" si="64">IFERROR(1/SUM(1/AC45,1/AD45,1/AE45,1/AF45,1/AG45,1/AH45,1/AI45,1/AJ45,1/AK45,1/AL45,1/AM45,1/AN45,1/AO45,1/AP45,1/AQ45,1/AR45,1/AS45,1/AT45,1/AU45,1/AV45,1/AW45,1/AX45),".")</f>
        <v>1.6500657141256105</v>
      </c>
      <c r="AC45" s="40">
        <f t="shared" ref="AC45:AZ45" si="65">IFERROR(IF(AND(AC46&lt;&gt;0,AC47&lt;&gt;0),1/SUM(1/AC46,1/AC47),IF(AND(AC46&lt;&gt;0,AC47=0),1/(1/AC46),IF(AND(AC46=0,AC47&lt;&gt;0),1/(1/AC47),IF(AND(AC46=0,AC47=0),".")))),".")</f>
        <v>115.38133022341745</v>
      </c>
      <c r="AD45" s="40">
        <f t="shared" si="65"/>
        <v>27.450581364630924</v>
      </c>
      <c r="AE45" s="40">
        <f t="shared" si="65"/>
        <v>46.865940994771861</v>
      </c>
      <c r="AF45" s="40">
        <f t="shared" si="65"/>
        <v>760.8710859691904</v>
      </c>
      <c r="AG45" s="40">
        <f t="shared" si="65"/>
        <v>82.011544766013756</v>
      </c>
      <c r="AH45" s="40">
        <f t="shared" si="65"/>
        <v>12.953998607605946</v>
      </c>
      <c r="AI45" s="40">
        <f t="shared" si="65"/>
        <v>60.664201384644755</v>
      </c>
      <c r="AJ45" s="40">
        <f t="shared" si="65"/>
        <v>33.361463950569998</v>
      </c>
      <c r="AK45" s="40">
        <f t="shared" si="65"/>
        <v>23.479704807525412</v>
      </c>
      <c r="AL45" s="40">
        <f t="shared" si="65"/>
        <v>56.087715652095397</v>
      </c>
      <c r="AM45" s="40">
        <f t="shared" si="65"/>
        <v>24.301947658977966</v>
      </c>
      <c r="AN45" s="40">
        <f t="shared" si="65"/>
        <v>44.594116413612326</v>
      </c>
      <c r="AO45" s="40">
        <f t="shared" si="65"/>
        <v>104.07252361905125</v>
      </c>
      <c r="AP45" s="40">
        <f t="shared" si="65"/>
        <v>113.72148489278035</v>
      </c>
      <c r="AQ45" s="40">
        <f t="shared" si="65"/>
        <v>95.17232248671354</v>
      </c>
      <c r="AR45" s="40">
        <f t="shared" si="65"/>
        <v>155.99112427162746</v>
      </c>
      <c r="AS45" s="40">
        <f t="shared" si="65"/>
        <v>46.242388121776727</v>
      </c>
      <c r="AT45" s="40">
        <f t="shared" si="65"/>
        <v>7.9993494780616494</v>
      </c>
      <c r="AU45" s="40">
        <f t="shared" si="65"/>
        <v>44.570915385167858</v>
      </c>
      <c r="AV45" s="40">
        <f t="shared" si="65"/>
        <v>25.704290350366144</v>
      </c>
      <c r="AW45" s="40">
        <f t="shared" si="65"/>
        <v>509.76691317441839</v>
      </c>
      <c r="AX45" s="40">
        <f t="shared" si="65"/>
        <v>30.129218875897347</v>
      </c>
      <c r="AY45" s="40">
        <f t="shared" si="65"/>
        <v>2.8785463972032805</v>
      </c>
      <c r="AZ45" s="40">
        <f t="shared" si="65"/>
        <v>2.4478163324814184</v>
      </c>
    </row>
    <row r="46" spans="1:52" x14ac:dyDescent="0.25">
      <c r="A46" s="66" t="s">
        <v>1086</v>
      </c>
      <c r="B46" s="49">
        <v>1</v>
      </c>
      <c r="C46" s="67">
        <f t="shared" ref="C46:AB46" si="66">IFERROR($B46/C10,0)</f>
        <v>0.5603940668208609</v>
      </c>
      <c r="D46" s="42">
        <f t="shared" ref="D46:AA46" si="67">IFERROR(D10/$B46,0)</f>
        <v>132.80138655528779</v>
      </c>
      <c r="E46" s="42">
        <f t="shared" si="67"/>
        <v>29.266155384204943</v>
      </c>
      <c r="F46" s="42">
        <f t="shared" si="67"/>
        <v>51.031802416529359</v>
      </c>
      <c r="G46" s="42">
        <f t="shared" si="67"/>
        <v>782.24191176957652</v>
      </c>
      <c r="H46" s="42">
        <f t="shared" si="67"/>
        <v>95.392953292548071</v>
      </c>
      <c r="I46" s="42">
        <f t="shared" si="67"/>
        <v>13.098739947511397</v>
      </c>
      <c r="J46" s="42">
        <f t="shared" si="67"/>
        <v>56.413637863215733</v>
      </c>
      <c r="K46" s="42">
        <f t="shared" si="67"/>
        <v>34.454599966625622</v>
      </c>
      <c r="L46" s="42">
        <f t="shared" si="67"/>
        <v>34.000453749329068</v>
      </c>
      <c r="M46" s="42">
        <f t="shared" si="67"/>
        <v>39.825596912730454</v>
      </c>
      <c r="N46" s="42">
        <f t="shared" si="67"/>
        <v>26.471459021315599</v>
      </c>
      <c r="O46" s="42">
        <f t="shared" si="67"/>
        <v>48.132997640578246</v>
      </c>
      <c r="P46" s="42">
        <f t="shared" si="67"/>
        <v>112.54359243158549</v>
      </c>
      <c r="Q46" s="42">
        <f t="shared" si="67"/>
        <v>151.87968732920996</v>
      </c>
      <c r="R46" s="42">
        <f t="shared" si="67"/>
        <v>85.066107213455865</v>
      </c>
      <c r="S46" s="42">
        <f t="shared" si="67"/>
        <v>176.14721739409688</v>
      </c>
      <c r="T46" s="42">
        <f t="shared" si="67"/>
        <v>41.715730746962343</v>
      </c>
      <c r="U46" s="42">
        <f t="shared" si="67"/>
        <v>9.3648603439323903</v>
      </c>
      <c r="V46" s="42">
        <f t="shared" si="67"/>
        <v>45.730060799550238</v>
      </c>
      <c r="W46" s="42">
        <f t="shared" si="67"/>
        <v>27.002361854602754</v>
      </c>
      <c r="X46" s="42">
        <f t="shared" si="67"/>
        <v>526.51852290363934</v>
      </c>
      <c r="Y46" s="42">
        <f t="shared" si="67"/>
        <v>37.432248058728597</v>
      </c>
      <c r="Z46" s="42">
        <f t="shared" si="67"/>
        <v>2.9734393051901478</v>
      </c>
      <c r="AA46" s="42">
        <f t="shared" si="67"/>
        <v>2.5583160875048594</v>
      </c>
      <c r="AB46" s="67">
        <f t="shared" si="66"/>
        <v>0.6060364696020073</v>
      </c>
      <c r="AC46" s="42">
        <f t="shared" ref="AC46:AZ46" si="68">IFERROR(AC10/$B46,0)</f>
        <v>115.38133022341746</v>
      </c>
      <c r="AD46" s="42">
        <f t="shared" si="68"/>
        <v>27.450581364630921</v>
      </c>
      <c r="AE46" s="42">
        <f t="shared" si="68"/>
        <v>46.865940994771861</v>
      </c>
      <c r="AF46" s="42">
        <f t="shared" si="68"/>
        <v>760.8710859691904</v>
      </c>
      <c r="AG46" s="42">
        <f t="shared" si="68"/>
        <v>82.011544766013756</v>
      </c>
      <c r="AH46" s="42">
        <f t="shared" si="68"/>
        <v>12.953998607605946</v>
      </c>
      <c r="AI46" s="42">
        <f t="shared" si="68"/>
        <v>60.664201384644755</v>
      </c>
      <c r="AJ46" s="42">
        <f t="shared" si="68"/>
        <v>33.361463950569998</v>
      </c>
      <c r="AK46" s="42">
        <f t="shared" si="68"/>
        <v>23.479704807525412</v>
      </c>
      <c r="AL46" s="42">
        <f t="shared" si="68"/>
        <v>56.087715652095397</v>
      </c>
      <c r="AM46" s="42">
        <f t="shared" si="68"/>
        <v>24.301947658977966</v>
      </c>
      <c r="AN46" s="42">
        <f t="shared" si="68"/>
        <v>44.594116413612326</v>
      </c>
      <c r="AO46" s="42">
        <f t="shared" si="68"/>
        <v>104.07252361905125</v>
      </c>
      <c r="AP46" s="42">
        <f t="shared" si="68"/>
        <v>113.72148489278035</v>
      </c>
      <c r="AQ46" s="42">
        <f t="shared" si="68"/>
        <v>95.17232248671354</v>
      </c>
      <c r="AR46" s="42">
        <f t="shared" si="68"/>
        <v>155.99112427162746</v>
      </c>
      <c r="AS46" s="42">
        <f t="shared" si="68"/>
        <v>46.242388121776727</v>
      </c>
      <c r="AT46" s="42">
        <f t="shared" si="68"/>
        <v>7.9993494780616494</v>
      </c>
      <c r="AU46" s="42">
        <f t="shared" si="68"/>
        <v>44.570915385167858</v>
      </c>
      <c r="AV46" s="42">
        <f t="shared" si="68"/>
        <v>25.704290350366144</v>
      </c>
      <c r="AW46" s="42">
        <f t="shared" si="68"/>
        <v>509.76691317441833</v>
      </c>
      <c r="AX46" s="42">
        <f t="shared" si="68"/>
        <v>30.129218875897347</v>
      </c>
      <c r="AY46" s="42">
        <f t="shared" si="68"/>
        <v>2.8785463972032805</v>
      </c>
      <c r="AZ46" s="42">
        <f t="shared" si="68"/>
        <v>2.4478163324814184</v>
      </c>
    </row>
    <row r="47" spans="1:52" x14ac:dyDescent="0.25">
      <c r="A47" s="66" t="s">
        <v>1060</v>
      </c>
      <c r="B47" s="49">
        <v>0.94399</v>
      </c>
      <c r="C47" s="67">
        <f t="shared" ref="C47:AB47" si="69">IFERROR($B47/C6,0)</f>
        <v>0</v>
      </c>
      <c r="D47" s="42">
        <f t="shared" ref="D47:AA47" si="70">IFERROR(D6/$B$47,0)</f>
        <v>0</v>
      </c>
      <c r="E47" s="42">
        <f t="shared" si="70"/>
        <v>0</v>
      </c>
      <c r="F47" s="42">
        <f t="shared" si="70"/>
        <v>0</v>
      </c>
      <c r="G47" s="42">
        <f t="shared" si="70"/>
        <v>0</v>
      </c>
      <c r="H47" s="42">
        <f t="shared" si="70"/>
        <v>0</v>
      </c>
      <c r="I47" s="42">
        <f t="shared" si="70"/>
        <v>0</v>
      </c>
      <c r="J47" s="42">
        <f t="shared" si="70"/>
        <v>0</v>
      </c>
      <c r="K47" s="42">
        <f t="shared" si="70"/>
        <v>0</v>
      </c>
      <c r="L47" s="42">
        <f t="shared" si="70"/>
        <v>0</v>
      </c>
      <c r="M47" s="42">
        <f t="shared" si="70"/>
        <v>0</v>
      </c>
      <c r="N47" s="42">
        <f t="shared" si="70"/>
        <v>0</v>
      </c>
      <c r="O47" s="42">
        <f t="shared" si="70"/>
        <v>0</v>
      </c>
      <c r="P47" s="42">
        <f t="shared" si="70"/>
        <v>0</v>
      </c>
      <c r="Q47" s="42">
        <f t="shared" si="70"/>
        <v>0</v>
      </c>
      <c r="R47" s="42">
        <f t="shared" si="70"/>
        <v>0</v>
      </c>
      <c r="S47" s="42">
        <f t="shared" si="70"/>
        <v>0</v>
      </c>
      <c r="T47" s="42">
        <f t="shared" si="70"/>
        <v>0</v>
      </c>
      <c r="U47" s="42">
        <f t="shared" si="70"/>
        <v>0</v>
      </c>
      <c r="V47" s="42">
        <f t="shared" si="70"/>
        <v>0</v>
      </c>
      <c r="W47" s="42">
        <f t="shared" si="70"/>
        <v>0</v>
      </c>
      <c r="X47" s="42">
        <f t="shared" si="70"/>
        <v>0</v>
      </c>
      <c r="Y47" s="42">
        <f t="shared" si="70"/>
        <v>0</v>
      </c>
      <c r="Z47" s="42">
        <f t="shared" si="70"/>
        <v>0</v>
      </c>
      <c r="AA47" s="42">
        <f t="shared" si="70"/>
        <v>0</v>
      </c>
      <c r="AB47" s="67">
        <f t="shared" si="69"/>
        <v>0</v>
      </c>
      <c r="AC47" s="42">
        <f t="shared" ref="AC47:AZ47" si="71">IFERROR(AC6/$B$47,0)</f>
        <v>0</v>
      </c>
      <c r="AD47" s="42">
        <f t="shared" si="71"/>
        <v>0</v>
      </c>
      <c r="AE47" s="42">
        <f t="shared" si="71"/>
        <v>0</v>
      </c>
      <c r="AF47" s="42">
        <f t="shared" si="71"/>
        <v>0</v>
      </c>
      <c r="AG47" s="42">
        <f t="shared" si="71"/>
        <v>0</v>
      </c>
      <c r="AH47" s="42">
        <f t="shared" si="71"/>
        <v>0</v>
      </c>
      <c r="AI47" s="42">
        <f t="shared" si="71"/>
        <v>0</v>
      </c>
      <c r="AJ47" s="42">
        <f t="shared" si="71"/>
        <v>0</v>
      </c>
      <c r="AK47" s="42">
        <f t="shared" si="71"/>
        <v>0</v>
      </c>
      <c r="AL47" s="42">
        <f t="shared" si="71"/>
        <v>0</v>
      </c>
      <c r="AM47" s="42">
        <f t="shared" si="71"/>
        <v>0</v>
      </c>
      <c r="AN47" s="42">
        <f t="shared" si="71"/>
        <v>0</v>
      </c>
      <c r="AO47" s="42">
        <f t="shared" si="71"/>
        <v>0</v>
      </c>
      <c r="AP47" s="42">
        <f t="shared" si="71"/>
        <v>0</v>
      </c>
      <c r="AQ47" s="42">
        <f t="shared" si="71"/>
        <v>0</v>
      </c>
      <c r="AR47" s="42">
        <f t="shared" si="71"/>
        <v>0</v>
      </c>
      <c r="AS47" s="42">
        <f t="shared" si="71"/>
        <v>0</v>
      </c>
      <c r="AT47" s="42">
        <f t="shared" si="71"/>
        <v>0</v>
      </c>
      <c r="AU47" s="42">
        <f t="shared" si="71"/>
        <v>0</v>
      </c>
      <c r="AV47" s="42">
        <f t="shared" si="71"/>
        <v>0</v>
      </c>
      <c r="AW47" s="42">
        <f t="shared" si="71"/>
        <v>0</v>
      </c>
      <c r="AX47" s="42">
        <f t="shared" si="71"/>
        <v>0</v>
      </c>
      <c r="AY47" s="42">
        <f t="shared" si="71"/>
        <v>0</v>
      </c>
      <c r="AZ47" s="42">
        <f t="shared" si="71"/>
        <v>0</v>
      </c>
    </row>
    <row r="48" spans="1:52" x14ac:dyDescent="0.25">
      <c r="A48" s="64" t="s">
        <v>21</v>
      </c>
      <c r="B48" s="64" t="s">
        <v>1059</v>
      </c>
      <c r="C48" s="65">
        <f t="shared" ref="C48" si="72">IFERROR(1/SUM(1/D48,1/E48,1/F48,1/G48,1/H48,1/I48,1/J48,1/K48,1/L48,1/M48,1/N48,1/O48,1/P48,1/Q48,1/R48,1/S48,1/T48,1/U48,1/V48,1/W48,1/X48,1/Y48),".")</f>
        <v>1.7924719405951771E-2</v>
      </c>
      <c r="D48" s="40">
        <f t="shared" ref="D48:AA48" si="73">1/SUM(1/D49,1/D52,1/D54,1/D58,1/D59,1/D61)</f>
        <v>0.66655848276560647</v>
      </c>
      <c r="E48" s="40">
        <f t="shared" si="73"/>
        <v>0.17164842669380531</v>
      </c>
      <c r="F48" s="40">
        <f t="shared" si="73"/>
        <v>0.49478488928153297</v>
      </c>
      <c r="G48" s="40">
        <f t="shared" si="73"/>
        <v>1.4909345081369085</v>
      </c>
      <c r="H48" s="40">
        <f t="shared" si="73"/>
        <v>1.0417208727281855</v>
      </c>
      <c r="I48" s="40">
        <f t="shared" si="73"/>
        <v>7.6811165761604128E-2</v>
      </c>
      <c r="J48" s="40">
        <f t="shared" si="73"/>
        <v>0.54768581508253666</v>
      </c>
      <c r="K48" s="40">
        <f t="shared" si="73"/>
        <v>0.17295389711738962</v>
      </c>
      <c r="L48" s="40">
        <f t="shared" si="73"/>
        <v>4.4161562667530845</v>
      </c>
      <c r="M48" s="40">
        <f t="shared" si="73"/>
        <v>0.47067016044965126</v>
      </c>
      <c r="N48" s="40">
        <f t="shared" si="73"/>
        <v>0.14414381146396238</v>
      </c>
      <c r="O48" s="40">
        <f t="shared" si="73"/>
        <v>1.1328217017719764</v>
      </c>
      <c r="P48" s="40">
        <f t="shared" si="73"/>
        <v>1.3253794797353933</v>
      </c>
      <c r="Q48" s="40">
        <f t="shared" si="73"/>
        <v>1.7859538186892441</v>
      </c>
      <c r="R48" s="40">
        <f t="shared" si="73"/>
        <v>0.42712079497240568</v>
      </c>
      <c r="S48" s="40">
        <f t="shared" si="73"/>
        <v>0.88412045246765292</v>
      </c>
      <c r="T48" s="40">
        <f t="shared" si="73"/>
        <v>1.7159827325072328</v>
      </c>
      <c r="U48" s="40">
        <f t="shared" si="73"/>
        <v>0.57810295900538899</v>
      </c>
      <c r="V48" s="40">
        <f t="shared" si="73"/>
        <v>0.53959019703090494</v>
      </c>
      <c r="W48" s="40">
        <f t="shared" si="73"/>
        <v>0.56621132235020766</v>
      </c>
      <c r="X48" s="40">
        <f t="shared" si="73"/>
        <v>1.3433001311889587</v>
      </c>
      <c r="Y48" s="40">
        <f t="shared" si="73"/>
        <v>0.3921769275077388</v>
      </c>
      <c r="Z48" s="40">
        <f t="shared" si="73"/>
        <v>1.3010580574187414E-2</v>
      </c>
      <c r="AA48" s="40">
        <f t="shared" si="73"/>
        <v>1.1495344173826033E-2</v>
      </c>
      <c r="AB48" s="65">
        <f t="shared" ref="AB48" si="74">IFERROR(1/SUM(1/AC48,1/AD48,1/AE48,1/AF48,1/AG48,1/AH48,1/AI48,1/AJ48,1/AK48,1/AL48,1/AM48,1/AN48,1/AO48,1/AP48,1/AQ48,1/AR48,1/AS48,1/AT48,1/AU48,1/AV48,1/AW48,1/AX48),".")</f>
        <v>1.7151888857166106E-2</v>
      </c>
      <c r="AC48" s="40">
        <f t="shared" ref="AC48:AZ48" si="75">1/SUM(1/AC49,1/AC52,1/AC54,1/AC58,1/AC59,1/AC61)</f>
        <v>0.57912350471717489</v>
      </c>
      <c r="AD48" s="40">
        <f t="shared" si="75"/>
        <v>0.16099993460747464</v>
      </c>
      <c r="AE48" s="40">
        <f t="shared" si="75"/>
        <v>0.45439428607487725</v>
      </c>
      <c r="AF48" s="40">
        <f t="shared" si="75"/>
        <v>1.4502022216488328</v>
      </c>
      <c r="AG48" s="40">
        <f t="shared" si="75"/>
        <v>0.89559170817822242</v>
      </c>
      <c r="AH48" s="40">
        <f t="shared" si="75"/>
        <v>7.5962400834856614E-2</v>
      </c>
      <c r="AI48" s="40">
        <f t="shared" si="75"/>
        <v>0.58895195984771753</v>
      </c>
      <c r="AJ48" s="40">
        <f t="shared" si="75"/>
        <v>0.16746661430930784</v>
      </c>
      <c r="AK48" s="40">
        <f t="shared" si="75"/>
        <v>3.0496665218566976</v>
      </c>
      <c r="AL48" s="40">
        <f t="shared" si="75"/>
        <v>0.66286047596659237</v>
      </c>
      <c r="AM48" s="40">
        <f t="shared" si="75"/>
        <v>0.13233027158578994</v>
      </c>
      <c r="AN48" s="40">
        <f t="shared" si="75"/>
        <v>1.0495332790596388</v>
      </c>
      <c r="AO48" s="40">
        <f t="shared" si="75"/>
        <v>1.2256191954492455</v>
      </c>
      <c r="AP48" s="40">
        <f t="shared" si="75"/>
        <v>1.337251371679715</v>
      </c>
      <c r="AQ48" s="40">
        <f t="shared" si="75"/>
        <v>0.47786456170954483</v>
      </c>
      <c r="AR48" s="40">
        <f t="shared" si="75"/>
        <v>0.78295272223012136</v>
      </c>
      <c r="AS48" s="40">
        <f t="shared" si="75"/>
        <v>1.9021874507770582</v>
      </c>
      <c r="AT48" s="40">
        <f t="shared" si="75"/>
        <v>0.49380849618135442</v>
      </c>
      <c r="AU48" s="40">
        <f t="shared" si="75"/>
        <v>0.5259129026735746</v>
      </c>
      <c r="AV48" s="40">
        <f t="shared" si="75"/>
        <v>0.53899211882732578</v>
      </c>
      <c r="AW48" s="40">
        <f t="shared" si="75"/>
        <v>1.3005619585169081</v>
      </c>
      <c r="AX48" s="40">
        <f t="shared" si="75"/>
        <v>0.31566323423640308</v>
      </c>
      <c r="AY48" s="40">
        <f t="shared" si="75"/>
        <v>1.1566287221105337E-2</v>
      </c>
      <c r="AZ48" s="40">
        <f t="shared" si="75"/>
        <v>1.0998832925148866E-2</v>
      </c>
    </row>
    <row r="49" spans="1:52" x14ac:dyDescent="0.25">
      <c r="A49" s="66" t="s">
        <v>1088</v>
      </c>
      <c r="B49" s="49">
        <v>1</v>
      </c>
      <c r="C49" s="67">
        <f t="shared" ref="C49:AB49" si="76">IFERROR($B49/C23,0)</f>
        <v>17.875563003696513</v>
      </c>
      <c r="D49" s="42">
        <f t="shared" ref="D49:AA49" si="77">IFERROR(D23/$B49,0)</f>
        <v>2.2872234772263105</v>
      </c>
      <c r="E49" s="42">
        <f t="shared" si="77"/>
        <v>0.56679179506798705</v>
      </c>
      <c r="F49" s="42">
        <f t="shared" si="77"/>
        <v>0.90015000386902311</v>
      </c>
      <c r="G49" s="42">
        <f t="shared" si="77"/>
        <v>5.1192262066754006</v>
      </c>
      <c r="H49" s="42">
        <f t="shared" si="77"/>
        <v>3.4227569667804705</v>
      </c>
      <c r="I49" s="42">
        <f t="shared" si="77"/>
        <v>0.25371804016859945</v>
      </c>
      <c r="J49" s="42">
        <f t="shared" si="77"/>
        <v>0.99469345693498779</v>
      </c>
      <c r="K49" s="42">
        <f t="shared" si="77"/>
        <v>0.59328422173983497</v>
      </c>
      <c r="L49" s="42">
        <f t="shared" si="77"/>
        <v>13.000749446506898</v>
      </c>
      <c r="M49" s="42">
        <f t="shared" si="77"/>
        <v>1.4437496029706998</v>
      </c>
      <c r="N49" s="42">
        <f t="shared" si="77"/>
        <v>0.54664120676166461</v>
      </c>
      <c r="O49" s="42">
        <f t="shared" si="77"/>
        <v>3.4738933082250996</v>
      </c>
      <c r="P49" s="42">
        <f t="shared" si="77"/>
        <v>4.0780913799350973</v>
      </c>
      <c r="Q49" s="42">
        <f t="shared" si="77"/>
        <v>5.5024223755444686</v>
      </c>
      <c r="R49" s="42">
        <f t="shared" si="77"/>
        <v>1.4640668981473981</v>
      </c>
      <c r="S49" s="42">
        <f t="shared" si="77"/>
        <v>3.0337638899887174</v>
      </c>
      <c r="T49" s="42">
        <f t="shared" si="77"/>
        <v>3.4707764101697713</v>
      </c>
      <c r="U49" s="42">
        <f t="shared" si="77"/>
        <v>1.3786775917712715</v>
      </c>
      <c r="V49" s="42">
        <f t="shared" si="77"/>
        <v>1.6574644758572239</v>
      </c>
      <c r="W49" s="42">
        <f t="shared" si="77"/>
        <v>1.877647678631317</v>
      </c>
      <c r="X49" s="42">
        <f t="shared" si="77"/>
        <v>4.5700697152937293</v>
      </c>
      <c r="Y49" s="42">
        <f t="shared" si="77"/>
        <v>1.3354763156270764</v>
      </c>
      <c r="Z49" s="42">
        <f t="shared" si="77"/>
        <v>7.9363320808807883E-2</v>
      </c>
      <c r="AA49" s="42">
        <f t="shared" si="77"/>
        <v>7.8487515654308629E-2</v>
      </c>
      <c r="AB49" s="67">
        <f t="shared" si="76"/>
        <v>18.636685438645575</v>
      </c>
      <c r="AC49" s="42">
        <f t="shared" ref="AC49:AZ49" si="78">IFERROR(AC23/$B49,0)</f>
        <v>1.9871997888420705</v>
      </c>
      <c r="AD49" s="42">
        <f t="shared" si="78"/>
        <v>0.53162993509274259</v>
      </c>
      <c r="AE49" s="42">
        <f t="shared" si="78"/>
        <v>0.82666837090012346</v>
      </c>
      <c r="AF49" s="42">
        <f t="shared" si="78"/>
        <v>4.9793690987276253</v>
      </c>
      <c r="AG49" s="42">
        <f t="shared" si="78"/>
        <v>2.9426239204843889</v>
      </c>
      <c r="AH49" s="42">
        <f t="shared" si="78"/>
        <v>0.25091445072111485</v>
      </c>
      <c r="AI49" s="42">
        <f t="shared" si="78"/>
        <v>1.0696400103429331</v>
      </c>
      <c r="AJ49" s="42">
        <f t="shared" si="78"/>
        <v>0.57446118066057261</v>
      </c>
      <c r="AK49" s="42">
        <f t="shared" si="78"/>
        <v>8.9779319279409613</v>
      </c>
      <c r="AL49" s="42">
        <f t="shared" si="78"/>
        <v>2.0332806908504026</v>
      </c>
      <c r="AM49" s="42">
        <f t="shared" si="78"/>
        <v>0.50184033997769062</v>
      </c>
      <c r="AN49" s="42">
        <f t="shared" si="78"/>
        <v>3.2184823341411537</v>
      </c>
      <c r="AO49" s="42">
        <f t="shared" si="78"/>
        <v>3.7711366083941673</v>
      </c>
      <c r="AP49" s="42">
        <f t="shared" si="78"/>
        <v>4.1199955968952793</v>
      </c>
      <c r="AQ49" s="42">
        <f t="shared" si="78"/>
        <v>1.6380042714657777</v>
      </c>
      <c r="AR49" s="42">
        <f t="shared" si="78"/>
        <v>2.6866177449469339</v>
      </c>
      <c r="AS49" s="42">
        <f t="shared" si="78"/>
        <v>3.8473972999901149</v>
      </c>
      <c r="AT49" s="42">
        <f t="shared" si="78"/>
        <v>1.1776495824944502</v>
      </c>
      <c r="AU49" s="42">
        <f t="shared" si="78"/>
        <v>1.6154517972580629</v>
      </c>
      <c r="AV49" s="42">
        <f t="shared" si="78"/>
        <v>1.7873844283367186</v>
      </c>
      <c r="AW49" s="42">
        <f t="shared" si="78"/>
        <v>4.4246692764188689</v>
      </c>
      <c r="AX49" s="42">
        <f t="shared" si="78"/>
        <v>1.074924972552445</v>
      </c>
      <c r="AY49" s="42">
        <f t="shared" si="78"/>
        <v>8.4466450374518803E-2</v>
      </c>
      <c r="AZ49" s="42">
        <f t="shared" si="78"/>
        <v>7.5097453224353669E-2</v>
      </c>
    </row>
    <row r="50" spans="1:52" x14ac:dyDescent="0.25">
      <c r="A50" s="66" t="s">
        <v>1075</v>
      </c>
      <c r="B50" s="49">
        <v>1</v>
      </c>
      <c r="C50" s="67">
        <f t="shared" ref="C50:AB50" si="79">IFERROR($B50/C25,0)</f>
        <v>0</v>
      </c>
      <c r="D50" s="42">
        <f t="shared" ref="D50:AA50" si="80">IFERROR(D25/$B50,0)</f>
        <v>0</v>
      </c>
      <c r="E50" s="42">
        <f t="shared" si="80"/>
        <v>0</v>
      </c>
      <c r="F50" s="42">
        <f t="shared" si="80"/>
        <v>0</v>
      </c>
      <c r="G50" s="42">
        <f t="shared" si="80"/>
        <v>0</v>
      </c>
      <c r="H50" s="42">
        <f t="shared" si="80"/>
        <v>0</v>
      </c>
      <c r="I50" s="42">
        <f t="shared" si="80"/>
        <v>0</v>
      </c>
      <c r="J50" s="42">
        <f t="shared" si="80"/>
        <v>0</v>
      </c>
      <c r="K50" s="42">
        <f t="shared" si="80"/>
        <v>0</v>
      </c>
      <c r="L50" s="42">
        <f t="shared" si="80"/>
        <v>0</v>
      </c>
      <c r="M50" s="42">
        <f t="shared" si="80"/>
        <v>0</v>
      </c>
      <c r="N50" s="42">
        <f t="shared" si="80"/>
        <v>0</v>
      </c>
      <c r="O50" s="42">
        <f t="shared" si="80"/>
        <v>0</v>
      </c>
      <c r="P50" s="42">
        <f t="shared" si="80"/>
        <v>0</v>
      </c>
      <c r="Q50" s="42">
        <f t="shared" si="80"/>
        <v>0</v>
      </c>
      <c r="R50" s="42">
        <f t="shared" si="80"/>
        <v>0</v>
      </c>
      <c r="S50" s="42">
        <f t="shared" si="80"/>
        <v>0</v>
      </c>
      <c r="T50" s="42">
        <f t="shared" si="80"/>
        <v>0</v>
      </c>
      <c r="U50" s="42">
        <f t="shared" si="80"/>
        <v>0</v>
      </c>
      <c r="V50" s="42">
        <f t="shared" si="80"/>
        <v>0</v>
      </c>
      <c r="W50" s="42">
        <f t="shared" si="80"/>
        <v>0</v>
      </c>
      <c r="X50" s="42">
        <f t="shared" si="80"/>
        <v>0</v>
      </c>
      <c r="Y50" s="42">
        <f t="shared" si="80"/>
        <v>0</v>
      </c>
      <c r="Z50" s="42">
        <f t="shared" si="80"/>
        <v>0</v>
      </c>
      <c r="AA50" s="42">
        <f t="shared" si="80"/>
        <v>0</v>
      </c>
      <c r="AB50" s="67">
        <f t="shared" si="79"/>
        <v>0</v>
      </c>
      <c r="AC50" s="42">
        <f t="shared" ref="AC50:AZ50" si="81">IFERROR(AC25/$B50,0)</f>
        <v>0</v>
      </c>
      <c r="AD50" s="42">
        <f t="shared" si="81"/>
        <v>0</v>
      </c>
      <c r="AE50" s="42">
        <f t="shared" si="81"/>
        <v>0</v>
      </c>
      <c r="AF50" s="42">
        <f t="shared" si="81"/>
        <v>0</v>
      </c>
      <c r="AG50" s="42">
        <f t="shared" si="81"/>
        <v>0</v>
      </c>
      <c r="AH50" s="42">
        <f t="shared" si="81"/>
        <v>0</v>
      </c>
      <c r="AI50" s="42">
        <f t="shared" si="81"/>
        <v>0</v>
      </c>
      <c r="AJ50" s="42">
        <f t="shared" si="81"/>
        <v>0</v>
      </c>
      <c r="AK50" s="42">
        <f t="shared" si="81"/>
        <v>0</v>
      </c>
      <c r="AL50" s="42">
        <f t="shared" si="81"/>
        <v>0</v>
      </c>
      <c r="AM50" s="42">
        <f t="shared" si="81"/>
        <v>0</v>
      </c>
      <c r="AN50" s="42">
        <f t="shared" si="81"/>
        <v>0</v>
      </c>
      <c r="AO50" s="42">
        <f t="shared" si="81"/>
        <v>0</v>
      </c>
      <c r="AP50" s="42">
        <f t="shared" si="81"/>
        <v>0</v>
      </c>
      <c r="AQ50" s="42">
        <f t="shared" si="81"/>
        <v>0</v>
      </c>
      <c r="AR50" s="42">
        <f t="shared" si="81"/>
        <v>0</v>
      </c>
      <c r="AS50" s="42">
        <f t="shared" si="81"/>
        <v>0</v>
      </c>
      <c r="AT50" s="42">
        <f t="shared" si="81"/>
        <v>0</v>
      </c>
      <c r="AU50" s="42">
        <f t="shared" si="81"/>
        <v>0</v>
      </c>
      <c r="AV50" s="42">
        <f t="shared" si="81"/>
        <v>0</v>
      </c>
      <c r="AW50" s="42">
        <f t="shared" si="81"/>
        <v>0</v>
      </c>
      <c r="AX50" s="42">
        <f t="shared" si="81"/>
        <v>0</v>
      </c>
      <c r="AY50" s="42">
        <f t="shared" si="81"/>
        <v>0</v>
      </c>
      <c r="AZ50" s="42">
        <f t="shared" si="81"/>
        <v>0</v>
      </c>
    </row>
    <row r="51" spans="1:52" x14ac:dyDescent="0.25">
      <c r="A51" s="66" t="s">
        <v>1061</v>
      </c>
      <c r="B51" s="49">
        <v>1</v>
      </c>
      <c r="C51" s="67">
        <f t="shared" ref="C51:AB51" si="82">IFERROR($B51/C21,0)</f>
        <v>0</v>
      </c>
      <c r="D51" s="42">
        <f t="shared" ref="D51:AA51" si="83">IFERROR(D21/$B51,0)</f>
        <v>0</v>
      </c>
      <c r="E51" s="42">
        <f t="shared" si="83"/>
        <v>0</v>
      </c>
      <c r="F51" s="42">
        <f t="shared" si="83"/>
        <v>0</v>
      </c>
      <c r="G51" s="42">
        <f t="shared" si="83"/>
        <v>0</v>
      </c>
      <c r="H51" s="42">
        <f t="shared" si="83"/>
        <v>0</v>
      </c>
      <c r="I51" s="42">
        <f t="shared" si="83"/>
        <v>0</v>
      </c>
      <c r="J51" s="42">
        <f t="shared" si="83"/>
        <v>0</v>
      </c>
      <c r="K51" s="42">
        <f t="shared" si="83"/>
        <v>0</v>
      </c>
      <c r="L51" s="42">
        <f t="shared" si="83"/>
        <v>0</v>
      </c>
      <c r="M51" s="42">
        <f t="shared" si="83"/>
        <v>0</v>
      </c>
      <c r="N51" s="42">
        <f t="shared" si="83"/>
        <v>0</v>
      </c>
      <c r="O51" s="42">
        <f t="shared" si="83"/>
        <v>0</v>
      </c>
      <c r="P51" s="42">
        <f t="shared" si="83"/>
        <v>0</v>
      </c>
      <c r="Q51" s="42">
        <f t="shared" si="83"/>
        <v>0</v>
      </c>
      <c r="R51" s="42">
        <f t="shared" si="83"/>
        <v>0</v>
      </c>
      <c r="S51" s="42">
        <f t="shared" si="83"/>
        <v>0</v>
      </c>
      <c r="T51" s="42">
        <f t="shared" si="83"/>
        <v>0</v>
      </c>
      <c r="U51" s="42">
        <f t="shared" si="83"/>
        <v>0</v>
      </c>
      <c r="V51" s="42">
        <f t="shared" si="83"/>
        <v>0</v>
      </c>
      <c r="W51" s="42">
        <f t="shared" si="83"/>
        <v>0</v>
      </c>
      <c r="X51" s="42">
        <f t="shared" si="83"/>
        <v>0</v>
      </c>
      <c r="Y51" s="42">
        <f t="shared" si="83"/>
        <v>0</v>
      </c>
      <c r="Z51" s="42">
        <f t="shared" si="83"/>
        <v>0</v>
      </c>
      <c r="AA51" s="42">
        <f t="shared" si="83"/>
        <v>0</v>
      </c>
      <c r="AB51" s="67">
        <f t="shared" si="82"/>
        <v>0</v>
      </c>
      <c r="AC51" s="42">
        <f t="shared" ref="AC51:AZ51" si="84">IFERROR(AC21/$B51,0)</f>
        <v>0</v>
      </c>
      <c r="AD51" s="42">
        <f t="shared" si="84"/>
        <v>0</v>
      </c>
      <c r="AE51" s="42">
        <f t="shared" si="84"/>
        <v>0</v>
      </c>
      <c r="AF51" s="42">
        <f t="shared" si="84"/>
        <v>0</v>
      </c>
      <c r="AG51" s="42">
        <f t="shared" si="84"/>
        <v>0</v>
      </c>
      <c r="AH51" s="42">
        <f t="shared" si="84"/>
        <v>0</v>
      </c>
      <c r="AI51" s="42">
        <f t="shared" si="84"/>
        <v>0</v>
      </c>
      <c r="AJ51" s="42">
        <f t="shared" si="84"/>
        <v>0</v>
      </c>
      <c r="AK51" s="42">
        <f t="shared" si="84"/>
        <v>0</v>
      </c>
      <c r="AL51" s="42">
        <f t="shared" si="84"/>
        <v>0</v>
      </c>
      <c r="AM51" s="42">
        <f t="shared" si="84"/>
        <v>0</v>
      </c>
      <c r="AN51" s="42">
        <f t="shared" si="84"/>
        <v>0</v>
      </c>
      <c r="AO51" s="42">
        <f t="shared" si="84"/>
        <v>0</v>
      </c>
      <c r="AP51" s="42">
        <f t="shared" si="84"/>
        <v>0</v>
      </c>
      <c r="AQ51" s="42">
        <f t="shared" si="84"/>
        <v>0</v>
      </c>
      <c r="AR51" s="42">
        <f t="shared" si="84"/>
        <v>0</v>
      </c>
      <c r="AS51" s="42">
        <f t="shared" si="84"/>
        <v>0</v>
      </c>
      <c r="AT51" s="42">
        <f t="shared" si="84"/>
        <v>0</v>
      </c>
      <c r="AU51" s="42">
        <f t="shared" si="84"/>
        <v>0</v>
      </c>
      <c r="AV51" s="42">
        <f t="shared" si="84"/>
        <v>0</v>
      </c>
      <c r="AW51" s="42">
        <f t="shared" si="84"/>
        <v>0</v>
      </c>
      <c r="AX51" s="42">
        <f t="shared" si="84"/>
        <v>0</v>
      </c>
      <c r="AY51" s="42">
        <f t="shared" si="84"/>
        <v>0</v>
      </c>
      <c r="AZ51" s="42">
        <f t="shared" si="84"/>
        <v>0</v>
      </c>
    </row>
    <row r="52" spans="1:52" x14ac:dyDescent="0.25">
      <c r="A52" s="66" t="s">
        <v>1062</v>
      </c>
      <c r="B52" s="49">
        <v>0.99980000000000002</v>
      </c>
      <c r="C52" s="67">
        <f t="shared" ref="C52:AB52" si="85">IFERROR($B52/C17,0)</f>
        <v>6.0641029863009264E-3</v>
      </c>
      <c r="D52" s="42">
        <f t="shared" ref="D52:AA52" si="86">IFERROR(D17/$B52,0)</f>
        <v>5207.6356737856058</v>
      </c>
      <c r="E52" s="42">
        <f t="shared" si="86"/>
        <v>1467.7603799689853</v>
      </c>
      <c r="F52" s="42">
        <f t="shared" si="86"/>
        <v>9495.8043454087019</v>
      </c>
      <c r="G52" s="42">
        <f t="shared" si="86"/>
        <v>11655.64505676993</v>
      </c>
      <c r="H52" s="42">
        <f t="shared" si="86"/>
        <v>8766.5847810183877</v>
      </c>
      <c r="I52" s="42">
        <f t="shared" si="86"/>
        <v>657.00084623553096</v>
      </c>
      <c r="J52" s="42">
        <f t="shared" si="86"/>
        <v>10515.502496165929</v>
      </c>
      <c r="K52" s="42">
        <f t="shared" si="86"/>
        <v>1350.8116319150524</v>
      </c>
      <c r="L52" s="42">
        <f t="shared" si="86"/>
        <v>56010.040160265729</v>
      </c>
      <c r="M52" s="42">
        <f t="shared" si="86"/>
        <v>3724.3083022955448</v>
      </c>
      <c r="N52" s="42">
        <f t="shared" si="86"/>
        <v>1391.0381445481075</v>
      </c>
      <c r="O52" s="42">
        <f t="shared" si="86"/>
        <v>15446.462517666063</v>
      </c>
      <c r="P52" s="42">
        <f t="shared" si="86"/>
        <v>10516.602790217024</v>
      </c>
      <c r="Q52" s="42">
        <f t="shared" si="86"/>
        <v>14187.803809396506</v>
      </c>
      <c r="R52" s="42">
        <f t="shared" si="86"/>
        <v>3333.4420897283544</v>
      </c>
      <c r="S52" s="42">
        <f t="shared" si="86"/>
        <v>6907.3867143523612</v>
      </c>
      <c r="T52" s="42">
        <f t="shared" si="86"/>
        <v>20452.743615402149</v>
      </c>
      <c r="U52" s="42">
        <f t="shared" si="86"/>
        <v>20578.049722323449</v>
      </c>
      <c r="V52" s="42">
        <f t="shared" si="86"/>
        <v>4275.0090601282955</v>
      </c>
      <c r="W52" s="42">
        <f t="shared" si="86"/>
        <v>7886.1035269842396</v>
      </c>
      <c r="X52" s="42">
        <f t="shared" si="86"/>
        <v>10405.305086283888</v>
      </c>
      <c r="Y52" s="42">
        <f t="shared" si="86"/>
        <v>3407.2279310275262</v>
      </c>
      <c r="Z52" s="42">
        <f t="shared" si="86"/>
        <v>186.7206128190611</v>
      </c>
      <c r="AA52" s="42">
        <f t="shared" si="86"/>
        <v>182.81142329284668</v>
      </c>
      <c r="AB52" s="67">
        <f t="shared" si="85"/>
        <v>6.3111387057430291E-3</v>
      </c>
      <c r="AC52" s="42">
        <f t="shared" ref="AC52:AZ52" si="87">IFERROR(AC17/$B52,0)</f>
        <v>4524.5305560883935</v>
      </c>
      <c r="AD52" s="42">
        <f t="shared" si="87"/>
        <v>1376.7054539683529</v>
      </c>
      <c r="AE52" s="42">
        <f t="shared" si="87"/>
        <v>8720.6366437426859</v>
      </c>
      <c r="AF52" s="42">
        <f t="shared" si="87"/>
        <v>11337.213179940582</v>
      </c>
      <c r="AG52" s="42">
        <f t="shared" si="87"/>
        <v>7536.8372127934545</v>
      </c>
      <c r="AH52" s="42">
        <f t="shared" si="87"/>
        <v>649.74097366884087</v>
      </c>
      <c r="AI52" s="42">
        <f t="shared" si="87"/>
        <v>11307.807566583007</v>
      </c>
      <c r="AJ52" s="42">
        <f t="shared" si="87"/>
        <v>1307.9546303192262</v>
      </c>
      <c r="AK52" s="42">
        <f t="shared" si="87"/>
        <v>38678.872314950619</v>
      </c>
      <c r="AL52" s="42">
        <f t="shared" si="87"/>
        <v>5245.067525732894</v>
      </c>
      <c r="AM52" s="42">
        <f t="shared" si="87"/>
        <v>1277.0333570669152</v>
      </c>
      <c r="AN52" s="42">
        <f t="shared" si="87"/>
        <v>14310.792625776392</v>
      </c>
      <c r="AO52" s="42">
        <f t="shared" si="87"/>
        <v>9725.0262643106471</v>
      </c>
      <c r="AP52" s="42">
        <f t="shared" si="87"/>
        <v>10623.264670506804</v>
      </c>
      <c r="AQ52" s="42">
        <f t="shared" si="87"/>
        <v>3729.4691851636526</v>
      </c>
      <c r="AR52" s="42">
        <f t="shared" si="87"/>
        <v>6116.9914307532918</v>
      </c>
      <c r="AS52" s="42">
        <f t="shared" si="87"/>
        <v>22672.111730596669</v>
      </c>
      <c r="AT52" s="42">
        <f t="shared" si="87"/>
        <v>17577.519072395811</v>
      </c>
      <c r="AU52" s="42">
        <f t="shared" si="87"/>
        <v>4166.6480157331926</v>
      </c>
      <c r="AV52" s="42">
        <f t="shared" si="87"/>
        <v>7506.9986796764797</v>
      </c>
      <c r="AW52" s="42">
        <f t="shared" si="87"/>
        <v>10074.251946960987</v>
      </c>
      <c r="AX52" s="42">
        <f t="shared" si="87"/>
        <v>2742.4779813634841</v>
      </c>
      <c r="AY52" s="42">
        <f t="shared" si="87"/>
        <v>192.76201986857617</v>
      </c>
      <c r="AZ52" s="42">
        <f t="shared" si="87"/>
        <v>174.9153632289599</v>
      </c>
    </row>
    <row r="53" spans="1:52" x14ac:dyDescent="0.25">
      <c r="A53" s="66" t="s">
        <v>1076</v>
      </c>
      <c r="B53" s="49">
        <v>2.0000000000000001E-4</v>
      </c>
      <c r="C53" s="67">
        <f t="shared" ref="C53:AB53" si="88">IFERROR($B53/C5,0)</f>
        <v>0</v>
      </c>
      <c r="D53" s="42">
        <f t="shared" ref="D53:AA53" si="89">IFERROR(D5/$B53,0)</f>
        <v>0</v>
      </c>
      <c r="E53" s="42">
        <f t="shared" si="89"/>
        <v>0</v>
      </c>
      <c r="F53" s="42">
        <f t="shared" si="89"/>
        <v>0</v>
      </c>
      <c r="G53" s="42">
        <f t="shared" si="89"/>
        <v>0</v>
      </c>
      <c r="H53" s="42">
        <f t="shared" si="89"/>
        <v>0</v>
      </c>
      <c r="I53" s="42">
        <f t="shared" si="89"/>
        <v>0</v>
      </c>
      <c r="J53" s="42">
        <f t="shared" si="89"/>
        <v>0</v>
      </c>
      <c r="K53" s="42">
        <f t="shared" si="89"/>
        <v>0</v>
      </c>
      <c r="L53" s="42">
        <f t="shared" si="89"/>
        <v>0</v>
      </c>
      <c r="M53" s="42">
        <f t="shared" si="89"/>
        <v>0</v>
      </c>
      <c r="N53" s="42">
        <f t="shared" si="89"/>
        <v>0</v>
      </c>
      <c r="O53" s="42">
        <f t="shared" si="89"/>
        <v>0</v>
      </c>
      <c r="P53" s="42">
        <f t="shared" si="89"/>
        <v>0</v>
      </c>
      <c r="Q53" s="42">
        <f t="shared" si="89"/>
        <v>0</v>
      </c>
      <c r="R53" s="42">
        <f t="shared" si="89"/>
        <v>0</v>
      </c>
      <c r="S53" s="42">
        <f t="shared" si="89"/>
        <v>0</v>
      </c>
      <c r="T53" s="42">
        <f t="shared" si="89"/>
        <v>0</v>
      </c>
      <c r="U53" s="42">
        <f t="shared" si="89"/>
        <v>0</v>
      </c>
      <c r="V53" s="42">
        <f t="shared" si="89"/>
        <v>0</v>
      </c>
      <c r="W53" s="42">
        <f t="shared" si="89"/>
        <v>0</v>
      </c>
      <c r="X53" s="42">
        <f t="shared" si="89"/>
        <v>0</v>
      </c>
      <c r="Y53" s="42">
        <f t="shared" si="89"/>
        <v>0</v>
      </c>
      <c r="Z53" s="42">
        <f t="shared" si="89"/>
        <v>0</v>
      </c>
      <c r="AA53" s="42">
        <f t="shared" si="89"/>
        <v>0</v>
      </c>
      <c r="AB53" s="67">
        <f t="shared" si="88"/>
        <v>0</v>
      </c>
      <c r="AC53" s="42">
        <f t="shared" ref="AC53:AZ53" si="90">IFERROR(AC5/$B53,0)</f>
        <v>0</v>
      </c>
      <c r="AD53" s="42">
        <f t="shared" si="90"/>
        <v>0</v>
      </c>
      <c r="AE53" s="42">
        <f t="shared" si="90"/>
        <v>0</v>
      </c>
      <c r="AF53" s="42">
        <f t="shared" si="90"/>
        <v>0</v>
      </c>
      <c r="AG53" s="42">
        <f t="shared" si="90"/>
        <v>0</v>
      </c>
      <c r="AH53" s="42">
        <f t="shared" si="90"/>
        <v>0</v>
      </c>
      <c r="AI53" s="42">
        <f t="shared" si="90"/>
        <v>0</v>
      </c>
      <c r="AJ53" s="42">
        <f t="shared" si="90"/>
        <v>0</v>
      </c>
      <c r="AK53" s="42">
        <f t="shared" si="90"/>
        <v>0</v>
      </c>
      <c r="AL53" s="42">
        <f t="shared" si="90"/>
        <v>0</v>
      </c>
      <c r="AM53" s="42">
        <f t="shared" si="90"/>
        <v>0</v>
      </c>
      <c r="AN53" s="42">
        <f t="shared" si="90"/>
        <v>0</v>
      </c>
      <c r="AO53" s="42">
        <f t="shared" si="90"/>
        <v>0</v>
      </c>
      <c r="AP53" s="42">
        <f t="shared" si="90"/>
        <v>0</v>
      </c>
      <c r="AQ53" s="42">
        <f t="shared" si="90"/>
        <v>0</v>
      </c>
      <c r="AR53" s="42">
        <f t="shared" si="90"/>
        <v>0</v>
      </c>
      <c r="AS53" s="42">
        <f t="shared" si="90"/>
        <v>0</v>
      </c>
      <c r="AT53" s="42">
        <f t="shared" si="90"/>
        <v>0</v>
      </c>
      <c r="AU53" s="42">
        <f t="shared" si="90"/>
        <v>0</v>
      </c>
      <c r="AV53" s="42">
        <f t="shared" si="90"/>
        <v>0</v>
      </c>
      <c r="AW53" s="42">
        <f t="shared" si="90"/>
        <v>0</v>
      </c>
      <c r="AX53" s="42">
        <f t="shared" si="90"/>
        <v>0</v>
      </c>
      <c r="AY53" s="42">
        <f t="shared" si="90"/>
        <v>0</v>
      </c>
      <c r="AZ53" s="42">
        <f t="shared" si="90"/>
        <v>0</v>
      </c>
    </row>
    <row r="54" spans="1:52" x14ac:dyDescent="0.25">
      <c r="A54" s="66" t="s">
        <v>1077</v>
      </c>
      <c r="B54" s="49">
        <v>0.99999979999999999</v>
      </c>
      <c r="C54" s="67">
        <f t="shared" ref="C54:AB54" si="91">IFERROR($B54/C9,0)</f>
        <v>2.5753661155240571E-2</v>
      </c>
      <c r="D54" s="42">
        <f t="shared" ref="D54:AA54" si="92">IFERROR(D9/$B54,0)</f>
        <v>705.37491790618469</v>
      </c>
      <c r="E54" s="42">
        <f t="shared" si="92"/>
        <v>1568.2340228459152</v>
      </c>
      <c r="F54" s="42">
        <f t="shared" si="92"/>
        <v>1916.8201787597181</v>
      </c>
      <c r="G54" s="42">
        <f t="shared" si="92"/>
        <v>1579.5963267110922</v>
      </c>
      <c r="H54" s="42">
        <f t="shared" si="92"/>
        <v>1855.3994575008303</v>
      </c>
      <c r="I54" s="42">
        <f t="shared" si="92"/>
        <v>702.02052694795213</v>
      </c>
      <c r="J54" s="42">
        <f t="shared" si="92"/>
        <v>2117.7741927034385</v>
      </c>
      <c r="K54" s="42">
        <f t="shared" si="92"/>
        <v>182.91906120614919</v>
      </c>
      <c r="L54" s="42">
        <f t="shared" si="92"/>
        <v>1004.4745202215519</v>
      </c>
      <c r="M54" s="42">
        <f t="shared" si="92"/>
        <v>747.65252718905197</v>
      </c>
      <c r="N54" s="42">
        <f t="shared" si="92"/>
        <v>1530.152851120424</v>
      </c>
      <c r="O54" s="42">
        <f t="shared" si="92"/>
        <v>1813.6646391735114</v>
      </c>
      <c r="P54" s="42">
        <f t="shared" si="92"/>
        <v>2115.9701808435561</v>
      </c>
      <c r="Q54" s="42">
        <f t="shared" si="92"/>
        <v>2857.358910773381</v>
      </c>
      <c r="R54" s="42">
        <f t="shared" si="92"/>
        <v>451.11579212914705</v>
      </c>
      <c r="S54" s="42">
        <f t="shared" si="92"/>
        <v>935.60641369535961</v>
      </c>
      <c r="T54" s="42">
        <f t="shared" si="92"/>
        <v>1493.4176251279787</v>
      </c>
      <c r="U54" s="42">
        <f t="shared" si="92"/>
        <v>468.88818309218652</v>
      </c>
      <c r="V54" s="42">
        <f t="shared" si="92"/>
        <v>859.07788997496175</v>
      </c>
      <c r="W54" s="42">
        <f t="shared" si="92"/>
        <v>1032.9764654626465</v>
      </c>
      <c r="X54" s="42">
        <f t="shared" si="92"/>
        <v>1399.4200150195752</v>
      </c>
      <c r="Y54" s="42">
        <f t="shared" si="92"/>
        <v>742.97917354219646</v>
      </c>
      <c r="Z54" s="42">
        <f t="shared" si="92"/>
        <v>235.08135584271372</v>
      </c>
      <c r="AA54" s="42">
        <f t="shared" si="92"/>
        <v>182.03538647235595</v>
      </c>
      <c r="AB54" s="67">
        <f t="shared" si="91"/>
        <v>2.7270318954559097E-2</v>
      </c>
      <c r="AC54" s="42">
        <f t="shared" ref="AC54:AZ54" si="93">IFERROR(AC9/$B54,0)</f>
        <v>612.84824236655425</v>
      </c>
      <c r="AD54" s="42">
        <f t="shared" si="93"/>
        <v>1470.9460493792062</v>
      </c>
      <c r="AE54" s="42">
        <f t="shared" si="93"/>
        <v>1760.3450621262721</v>
      </c>
      <c r="AF54" s="42">
        <f t="shared" si="93"/>
        <v>1536.4418019724371</v>
      </c>
      <c r="AG54" s="42">
        <f t="shared" si="93"/>
        <v>1595.1301476222745</v>
      </c>
      <c r="AH54" s="42">
        <f t="shared" si="93"/>
        <v>694.26318600380409</v>
      </c>
      <c r="AI54" s="42">
        <f t="shared" si="93"/>
        <v>2277.3408165037899</v>
      </c>
      <c r="AJ54" s="42">
        <f t="shared" si="93"/>
        <v>177.1156151054482</v>
      </c>
      <c r="AK54" s="42">
        <f t="shared" si="93"/>
        <v>693.66030804656987</v>
      </c>
      <c r="AL54" s="42">
        <f t="shared" si="93"/>
        <v>1052.9439757912485</v>
      </c>
      <c r="AM54" s="42">
        <f t="shared" si="93"/>
        <v>1404.7466922099547</v>
      </c>
      <c r="AN54" s="42">
        <f t="shared" si="93"/>
        <v>1680.3186175625046</v>
      </c>
      <c r="AO54" s="42">
        <f t="shared" si="93"/>
        <v>1956.702748376511</v>
      </c>
      <c r="AP54" s="42">
        <f t="shared" si="93"/>
        <v>2139.477002612135</v>
      </c>
      <c r="AQ54" s="42">
        <f t="shared" si="93"/>
        <v>504.71026656516722</v>
      </c>
      <c r="AR54" s="42">
        <f t="shared" si="93"/>
        <v>828.54727146530308</v>
      </c>
      <c r="AS54" s="42">
        <f t="shared" si="93"/>
        <v>1655.4713584658662</v>
      </c>
      <c r="AT54" s="42">
        <f t="shared" si="93"/>
        <v>400.51856674167573</v>
      </c>
      <c r="AU54" s="42">
        <f t="shared" si="93"/>
        <v>837.30236246961545</v>
      </c>
      <c r="AV54" s="42">
        <f t="shared" si="93"/>
        <v>983.31868657707298</v>
      </c>
      <c r="AW54" s="42">
        <f t="shared" si="93"/>
        <v>1354.8963431654727</v>
      </c>
      <c r="AX54" s="42">
        <f t="shared" si="93"/>
        <v>598.02398468734884</v>
      </c>
      <c r="AY54" s="42">
        <f t="shared" si="93"/>
        <v>184.06743044093298</v>
      </c>
      <c r="AZ54" s="42">
        <f t="shared" si="93"/>
        <v>174.17284528401871</v>
      </c>
    </row>
    <row r="55" spans="1:52" x14ac:dyDescent="0.25">
      <c r="A55" s="66" t="s">
        <v>1078</v>
      </c>
      <c r="B55" s="49">
        <v>1.9999999999999999E-7</v>
      </c>
      <c r="C55" s="67">
        <f t="shared" ref="C55:AB55" si="94">IFERROR($B55/C24,0)</f>
        <v>0</v>
      </c>
      <c r="D55" s="42">
        <f t="shared" ref="D55:AA55" si="95">IFERROR(D24/$B55,0)</f>
        <v>0</v>
      </c>
      <c r="E55" s="42">
        <f t="shared" si="95"/>
        <v>0</v>
      </c>
      <c r="F55" s="42">
        <f t="shared" si="95"/>
        <v>0</v>
      </c>
      <c r="G55" s="42">
        <f t="shared" si="95"/>
        <v>0</v>
      </c>
      <c r="H55" s="42">
        <f t="shared" si="95"/>
        <v>0</v>
      </c>
      <c r="I55" s="42">
        <f t="shared" si="95"/>
        <v>0</v>
      </c>
      <c r="J55" s="42">
        <f t="shared" si="95"/>
        <v>0</v>
      </c>
      <c r="K55" s="42">
        <f t="shared" si="95"/>
        <v>0</v>
      </c>
      <c r="L55" s="42">
        <f t="shared" si="95"/>
        <v>0</v>
      </c>
      <c r="M55" s="42">
        <f t="shared" si="95"/>
        <v>0</v>
      </c>
      <c r="N55" s="42">
        <f t="shared" si="95"/>
        <v>0</v>
      </c>
      <c r="O55" s="42">
        <f t="shared" si="95"/>
        <v>0</v>
      </c>
      <c r="P55" s="42">
        <f t="shared" si="95"/>
        <v>0</v>
      </c>
      <c r="Q55" s="42">
        <f t="shared" si="95"/>
        <v>0</v>
      </c>
      <c r="R55" s="42">
        <f t="shared" si="95"/>
        <v>0</v>
      </c>
      <c r="S55" s="42">
        <f t="shared" si="95"/>
        <v>0</v>
      </c>
      <c r="T55" s="42">
        <f t="shared" si="95"/>
        <v>0</v>
      </c>
      <c r="U55" s="42">
        <f t="shared" si="95"/>
        <v>0</v>
      </c>
      <c r="V55" s="42">
        <f t="shared" si="95"/>
        <v>0</v>
      </c>
      <c r="W55" s="42">
        <f t="shared" si="95"/>
        <v>0</v>
      </c>
      <c r="X55" s="42">
        <f t="shared" si="95"/>
        <v>0</v>
      </c>
      <c r="Y55" s="42">
        <f t="shared" si="95"/>
        <v>0</v>
      </c>
      <c r="Z55" s="42">
        <f t="shared" si="95"/>
        <v>0</v>
      </c>
      <c r="AA55" s="42">
        <f t="shared" si="95"/>
        <v>0</v>
      </c>
      <c r="AB55" s="67">
        <f t="shared" si="94"/>
        <v>0</v>
      </c>
      <c r="AC55" s="42">
        <f t="shared" ref="AC55:AZ55" si="96">IFERROR(AC24/$B55,0)</f>
        <v>0</v>
      </c>
      <c r="AD55" s="42">
        <f t="shared" si="96"/>
        <v>0</v>
      </c>
      <c r="AE55" s="42">
        <f t="shared" si="96"/>
        <v>0</v>
      </c>
      <c r="AF55" s="42">
        <f t="shared" si="96"/>
        <v>0</v>
      </c>
      <c r="AG55" s="42">
        <f t="shared" si="96"/>
        <v>0</v>
      </c>
      <c r="AH55" s="42">
        <f t="shared" si="96"/>
        <v>0</v>
      </c>
      <c r="AI55" s="42">
        <f t="shared" si="96"/>
        <v>0</v>
      </c>
      <c r="AJ55" s="42">
        <f t="shared" si="96"/>
        <v>0</v>
      </c>
      <c r="AK55" s="42">
        <f t="shared" si="96"/>
        <v>0</v>
      </c>
      <c r="AL55" s="42">
        <f t="shared" si="96"/>
        <v>0</v>
      </c>
      <c r="AM55" s="42">
        <f t="shared" si="96"/>
        <v>0</v>
      </c>
      <c r="AN55" s="42">
        <f t="shared" si="96"/>
        <v>0</v>
      </c>
      <c r="AO55" s="42">
        <f t="shared" si="96"/>
        <v>0</v>
      </c>
      <c r="AP55" s="42">
        <f t="shared" si="96"/>
        <v>0</v>
      </c>
      <c r="AQ55" s="42">
        <f t="shared" si="96"/>
        <v>0</v>
      </c>
      <c r="AR55" s="42">
        <f t="shared" si="96"/>
        <v>0</v>
      </c>
      <c r="AS55" s="42">
        <f t="shared" si="96"/>
        <v>0</v>
      </c>
      <c r="AT55" s="42">
        <f t="shared" si="96"/>
        <v>0</v>
      </c>
      <c r="AU55" s="42">
        <f t="shared" si="96"/>
        <v>0</v>
      </c>
      <c r="AV55" s="42">
        <f t="shared" si="96"/>
        <v>0</v>
      </c>
      <c r="AW55" s="42">
        <f t="shared" si="96"/>
        <v>0</v>
      </c>
      <c r="AX55" s="42">
        <f t="shared" si="96"/>
        <v>0</v>
      </c>
      <c r="AY55" s="42">
        <f t="shared" si="96"/>
        <v>0</v>
      </c>
      <c r="AZ55" s="42">
        <f t="shared" si="96"/>
        <v>0</v>
      </c>
    </row>
    <row r="56" spans="1:52" x14ac:dyDescent="0.25">
      <c r="A56" s="66" t="s">
        <v>1079</v>
      </c>
      <c r="B56" s="49">
        <v>0.99979000004200003</v>
      </c>
      <c r="C56" s="67">
        <f t="shared" ref="C56:AB56" si="97">IFERROR($B56/C20,0)</f>
        <v>0</v>
      </c>
      <c r="D56" s="42">
        <f t="shared" ref="D56:AA56" si="98">IFERROR(D20/$B56,0)</f>
        <v>0</v>
      </c>
      <c r="E56" s="42">
        <f t="shared" si="98"/>
        <v>0</v>
      </c>
      <c r="F56" s="42">
        <f t="shared" si="98"/>
        <v>0</v>
      </c>
      <c r="G56" s="42">
        <f t="shared" si="98"/>
        <v>0</v>
      </c>
      <c r="H56" s="42">
        <f t="shared" si="98"/>
        <v>0</v>
      </c>
      <c r="I56" s="42">
        <f t="shared" si="98"/>
        <v>0</v>
      </c>
      <c r="J56" s="42">
        <f t="shared" si="98"/>
        <v>0</v>
      </c>
      <c r="K56" s="42">
        <f t="shared" si="98"/>
        <v>0</v>
      </c>
      <c r="L56" s="42">
        <f t="shared" si="98"/>
        <v>0</v>
      </c>
      <c r="M56" s="42">
        <f t="shared" si="98"/>
        <v>0</v>
      </c>
      <c r="N56" s="42">
        <f t="shared" si="98"/>
        <v>0</v>
      </c>
      <c r="O56" s="42">
        <f t="shared" si="98"/>
        <v>0</v>
      </c>
      <c r="P56" s="42">
        <f t="shared" si="98"/>
        <v>0</v>
      </c>
      <c r="Q56" s="42">
        <f t="shared" si="98"/>
        <v>0</v>
      </c>
      <c r="R56" s="42">
        <f t="shared" si="98"/>
        <v>0</v>
      </c>
      <c r="S56" s="42">
        <f t="shared" si="98"/>
        <v>0</v>
      </c>
      <c r="T56" s="42">
        <f t="shared" si="98"/>
        <v>0</v>
      </c>
      <c r="U56" s="42">
        <f t="shared" si="98"/>
        <v>0</v>
      </c>
      <c r="V56" s="42">
        <f t="shared" si="98"/>
        <v>0</v>
      </c>
      <c r="W56" s="42">
        <f t="shared" si="98"/>
        <v>0</v>
      </c>
      <c r="X56" s="42">
        <f t="shared" si="98"/>
        <v>0</v>
      </c>
      <c r="Y56" s="42">
        <f t="shared" si="98"/>
        <v>0</v>
      </c>
      <c r="Z56" s="42">
        <f t="shared" si="98"/>
        <v>0</v>
      </c>
      <c r="AA56" s="42">
        <f t="shared" si="98"/>
        <v>0</v>
      </c>
      <c r="AB56" s="67">
        <f t="shared" si="97"/>
        <v>0</v>
      </c>
      <c r="AC56" s="42">
        <f t="shared" ref="AC56:AZ56" si="99">IFERROR(AC20/$B56,0)</f>
        <v>0</v>
      </c>
      <c r="AD56" s="42">
        <f t="shared" si="99"/>
        <v>0</v>
      </c>
      <c r="AE56" s="42">
        <f t="shared" si="99"/>
        <v>0</v>
      </c>
      <c r="AF56" s="42">
        <f t="shared" si="99"/>
        <v>0</v>
      </c>
      <c r="AG56" s="42">
        <f t="shared" si="99"/>
        <v>0</v>
      </c>
      <c r="AH56" s="42">
        <f t="shared" si="99"/>
        <v>0</v>
      </c>
      <c r="AI56" s="42">
        <f t="shared" si="99"/>
        <v>0</v>
      </c>
      <c r="AJ56" s="42">
        <f t="shared" si="99"/>
        <v>0</v>
      </c>
      <c r="AK56" s="42">
        <f t="shared" si="99"/>
        <v>0</v>
      </c>
      <c r="AL56" s="42">
        <f t="shared" si="99"/>
        <v>0</v>
      </c>
      <c r="AM56" s="42">
        <f t="shared" si="99"/>
        <v>0</v>
      </c>
      <c r="AN56" s="42">
        <f t="shared" si="99"/>
        <v>0</v>
      </c>
      <c r="AO56" s="42">
        <f t="shared" si="99"/>
        <v>0</v>
      </c>
      <c r="AP56" s="42">
        <f t="shared" si="99"/>
        <v>0</v>
      </c>
      <c r="AQ56" s="42">
        <f t="shared" si="99"/>
        <v>0</v>
      </c>
      <c r="AR56" s="42">
        <f t="shared" si="99"/>
        <v>0</v>
      </c>
      <c r="AS56" s="42">
        <f t="shared" si="99"/>
        <v>0</v>
      </c>
      <c r="AT56" s="42">
        <f t="shared" si="99"/>
        <v>0</v>
      </c>
      <c r="AU56" s="42">
        <f t="shared" si="99"/>
        <v>0</v>
      </c>
      <c r="AV56" s="42">
        <f t="shared" si="99"/>
        <v>0</v>
      </c>
      <c r="AW56" s="42">
        <f t="shared" si="99"/>
        <v>0</v>
      </c>
      <c r="AX56" s="42">
        <f t="shared" si="99"/>
        <v>0</v>
      </c>
      <c r="AY56" s="42">
        <f t="shared" si="99"/>
        <v>0</v>
      </c>
      <c r="AZ56" s="42">
        <f t="shared" si="99"/>
        <v>0</v>
      </c>
    </row>
    <row r="57" spans="1:52" x14ac:dyDescent="0.25">
      <c r="A57" s="66" t="s">
        <v>1080</v>
      </c>
      <c r="B57" s="49">
        <v>2.0999995799999999E-4</v>
      </c>
      <c r="C57" s="67">
        <f t="shared" ref="C57:AB57" si="100">IFERROR($B57/C29,0)</f>
        <v>0</v>
      </c>
      <c r="D57" s="42">
        <f t="shared" ref="D57:AA57" si="101">IFERROR(D29/$B57,0)</f>
        <v>0</v>
      </c>
      <c r="E57" s="42">
        <f t="shared" si="101"/>
        <v>0</v>
      </c>
      <c r="F57" s="42">
        <f t="shared" si="101"/>
        <v>0</v>
      </c>
      <c r="G57" s="42">
        <f t="shared" si="101"/>
        <v>0</v>
      </c>
      <c r="H57" s="42">
        <f t="shared" si="101"/>
        <v>0</v>
      </c>
      <c r="I57" s="42">
        <f t="shared" si="101"/>
        <v>0</v>
      </c>
      <c r="J57" s="42">
        <f t="shared" si="101"/>
        <v>0</v>
      </c>
      <c r="K57" s="42">
        <f t="shared" si="101"/>
        <v>0</v>
      </c>
      <c r="L57" s="42">
        <f t="shared" si="101"/>
        <v>0</v>
      </c>
      <c r="M57" s="42">
        <f t="shared" si="101"/>
        <v>0</v>
      </c>
      <c r="N57" s="42">
        <f t="shared" si="101"/>
        <v>0</v>
      </c>
      <c r="O57" s="42">
        <f t="shared" si="101"/>
        <v>0</v>
      </c>
      <c r="P57" s="42">
        <f t="shared" si="101"/>
        <v>0</v>
      </c>
      <c r="Q57" s="42">
        <f t="shared" si="101"/>
        <v>0</v>
      </c>
      <c r="R57" s="42">
        <f t="shared" si="101"/>
        <v>0</v>
      </c>
      <c r="S57" s="42">
        <f t="shared" si="101"/>
        <v>0</v>
      </c>
      <c r="T57" s="42">
        <f t="shared" si="101"/>
        <v>0</v>
      </c>
      <c r="U57" s="42">
        <f t="shared" si="101"/>
        <v>0</v>
      </c>
      <c r="V57" s="42">
        <f t="shared" si="101"/>
        <v>0</v>
      </c>
      <c r="W57" s="42">
        <f t="shared" si="101"/>
        <v>0</v>
      </c>
      <c r="X57" s="42">
        <f t="shared" si="101"/>
        <v>0</v>
      </c>
      <c r="Y57" s="42">
        <f t="shared" si="101"/>
        <v>0</v>
      </c>
      <c r="Z57" s="42">
        <f t="shared" si="101"/>
        <v>0</v>
      </c>
      <c r="AA57" s="42">
        <f t="shared" si="101"/>
        <v>0</v>
      </c>
      <c r="AB57" s="67">
        <f t="shared" si="100"/>
        <v>0</v>
      </c>
      <c r="AC57" s="42">
        <f t="shared" ref="AC57:AZ57" si="102">IFERROR(AC29/$B57,0)</f>
        <v>0</v>
      </c>
      <c r="AD57" s="42">
        <f t="shared" si="102"/>
        <v>0</v>
      </c>
      <c r="AE57" s="42">
        <f t="shared" si="102"/>
        <v>0</v>
      </c>
      <c r="AF57" s="42">
        <f t="shared" si="102"/>
        <v>0</v>
      </c>
      <c r="AG57" s="42">
        <f t="shared" si="102"/>
        <v>0</v>
      </c>
      <c r="AH57" s="42">
        <f t="shared" si="102"/>
        <v>0</v>
      </c>
      <c r="AI57" s="42">
        <f t="shared" si="102"/>
        <v>0</v>
      </c>
      <c r="AJ57" s="42">
        <f t="shared" si="102"/>
        <v>0</v>
      </c>
      <c r="AK57" s="42">
        <f t="shared" si="102"/>
        <v>0</v>
      </c>
      <c r="AL57" s="42">
        <f t="shared" si="102"/>
        <v>0</v>
      </c>
      <c r="AM57" s="42">
        <f t="shared" si="102"/>
        <v>0</v>
      </c>
      <c r="AN57" s="42">
        <f t="shared" si="102"/>
        <v>0</v>
      </c>
      <c r="AO57" s="42">
        <f t="shared" si="102"/>
        <v>0</v>
      </c>
      <c r="AP57" s="42">
        <f t="shared" si="102"/>
        <v>0</v>
      </c>
      <c r="AQ57" s="42">
        <f t="shared" si="102"/>
        <v>0</v>
      </c>
      <c r="AR57" s="42">
        <f t="shared" si="102"/>
        <v>0</v>
      </c>
      <c r="AS57" s="42">
        <f t="shared" si="102"/>
        <v>0</v>
      </c>
      <c r="AT57" s="42">
        <f t="shared" si="102"/>
        <v>0</v>
      </c>
      <c r="AU57" s="42">
        <f t="shared" si="102"/>
        <v>0</v>
      </c>
      <c r="AV57" s="42">
        <f t="shared" si="102"/>
        <v>0</v>
      </c>
      <c r="AW57" s="42">
        <f t="shared" si="102"/>
        <v>0</v>
      </c>
      <c r="AX57" s="42">
        <f t="shared" si="102"/>
        <v>0</v>
      </c>
      <c r="AY57" s="42">
        <f t="shared" si="102"/>
        <v>0</v>
      </c>
      <c r="AZ57" s="42">
        <f t="shared" si="102"/>
        <v>0</v>
      </c>
    </row>
    <row r="58" spans="1:52" x14ac:dyDescent="0.25">
      <c r="A58" s="66" t="s">
        <v>1081</v>
      </c>
      <c r="B58" s="49">
        <v>1</v>
      </c>
      <c r="C58" s="67">
        <f t="shared" ref="C58:AB58" si="103">IFERROR($B58/C16,0)</f>
        <v>31.0885546256334</v>
      </c>
      <c r="D58" s="42">
        <f t="shared" ref="D58:AA58" si="104">IFERROR(D16/$B58,0)</f>
        <v>1.0157963090034496</v>
      </c>
      <c r="E58" s="42">
        <f t="shared" si="104"/>
        <v>0.2862999007359856</v>
      </c>
      <c r="F58" s="42">
        <f t="shared" si="104"/>
        <v>1.8522422860033183</v>
      </c>
      <c r="G58" s="42">
        <f t="shared" si="104"/>
        <v>2.2735386976705461</v>
      </c>
      <c r="H58" s="42">
        <f t="shared" si="104"/>
        <v>1.7100014326944848</v>
      </c>
      <c r="I58" s="42">
        <f t="shared" si="104"/>
        <v>0.12815394094822599</v>
      </c>
      <c r="J58" s="42">
        <f t="shared" si="104"/>
        <v>2.0511436075859537</v>
      </c>
      <c r="K58" s="42">
        <f t="shared" si="104"/>
        <v>0.2634879925962208</v>
      </c>
      <c r="L58" s="42">
        <f t="shared" si="104"/>
        <v>10.925263521857358</v>
      </c>
      <c r="M58" s="42">
        <f t="shared" si="104"/>
        <v>0.72645992616311983</v>
      </c>
      <c r="N58" s="42">
        <f t="shared" si="104"/>
        <v>0.27133453671266705</v>
      </c>
      <c r="O58" s="42">
        <f t="shared" si="104"/>
        <v>3.0129718351052386</v>
      </c>
      <c r="P58" s="42">
        <f t="shared" si="104"/>
        <v>2.0513582298648405</v>
      </c>
      <c r="Q58" s="42">
        <f t="shared" si="104"/>
        <v>2.7674591014493046</v>
      </c>
      <c r="R58" s="42">
        <f t="shared" si="104"/>
        <v>0.65021794594193261</v>
      </c>
      <c r="S58" s="42">
        <f t="shared" si="104"/>
        <v>1.3473480805538127</v>
      </c>
      <c r="T58" s="42">
        <f t="shared" si="104"/>
        <v>3.9894921179109164</v>
      </c>
      <c r="U58" s="42">
        <f t="shared" si="104"/>
        <v>4.0139342042778621</v>
      </c>
      <c r="V58" s="42">
        <f t="shared" si="104"/>
        <v>0.83387907608327227</v>
      </c>
      <c r="W58" s="42">
        <f t="shared" si="104"/>
        <v>1.5382556224994997</v>
      </c>
      <c r="X58" s="42">
        <f t="shared" si="104"/>
        <v>2.0296486088510388</v>
      </c>
      <c r="Y58" s="42">
        <f t="shared" si="104"/>
        <v>0.66461053980668916</v>
      </c>
      <c r="Z58" s="42">
        <f t="shared" si="104"/>
        <v>3.6421539677061729E-2</v>
      </c>
      <c r="AA58" s="42">
        <f t="shared" si="104"/>
        <v>3.5659017000617098E-2</v>
      </c>
      <c r="AB58" s="67">
        <f t="shared" si="103"/>
        <v>32.355021154270503</v>
      </c>
      <c r="AC58" s="42">
        <f t="shared" ref="AC58:AZ58" si="105">IFERROR(AC16/$B58,0)</f>
        <v>0.88255049445633138</v>
      </c>
      <c r="AD58" s="42">
        <f t="shared" si="105"/>
        <v>0.26853881613983754</v>
      </c>
      <c r="AE58" s="42">
        <f t="shared" si="105"/>
        <v>1.7010388340846803</v>
      </c>
      <c r="AF58" s="42">
        <f t="shared" si="105"/>
        <v>2.2114256879643279</v>
      </c>
      <c r="AG58" s="42">
        <f t="shared" si="105"/>
        <v>1.4701280776714005</v>
      </c>
      <c r="AH58" s="42">
        <f t="shared" si="105"/>
        <v>0.12673783732288954</v>
      </c>
      <c r="AI58" s="42">
        <f t="shared" si="105"/>
        <v>2.2056898578518322</v>
      </c>
      <c r="AJ58" s="42">
        <f t="shared" si="105"/>
        <v>0.25512834788160721</v>
      </c>
      <c r="AK58" s="42">
        <f t="shared" si="105"/>
        <v>7.5446629132912149</v>
      </c>
      <c r="AL58" s="42">
        <f t="shared" si="105"/>
        <v>1.0230977293463939</v>
      </c>
      <c r="AM58" s="42">
        <f t="shared" si="105"/>
        <v>0.24909687463598523</v>
      </c>
      <c r="AN58" s="42">
        <f t="shared" si="105"/>
        <v>2.791449179395094</v>
      </c>
      <c r="AO58" s="42">
        <f t="shared" si="105"/>
        <v>1.8969540887769603</v>
      </c>
      <c r="AP58" s="42">
        <f t="shared" si="105"/>
        <v>2.0721635916636942</v>
      </c>
      <c r="AQ58" s="42">
        <f t="shared" si="105"/>
        <v>0.72746660291568366</v>
      </c>
      <c r="AR58" s="42">
        <f t="shared" si="105"/>
        <v>1.1931743514323148</v>
      </c>
      <c r="AS58" s="42">
        <f t="shared" si="105"/>
        <v>4.4223998866096661</v>
      </c>
      <c r="AT58" s="42">
        <f t="shared" si="105"/>
        <v>3.4286536373996914</v>
      </c>
      <c r="AU58" s="42">
        <f t="shared" si="105"/>
        <v>0.81274227699988133</v>
      </c>
      <c r="AV58" s="42">
        <f t="shared" si="105"/>
        <v>1.4643078026550671</v>
      </c>
      <c r="AW58" s="42">
        <f t="shared" si="105"/>
        <v>1.9650737080566156</v>
      </c>
      <c r="AX58" s="42">
        <f t="shared" si="105"/>
        <v>0.53494506634085803</v>
      </c>
      <c r="AY58" s="42">
        <f t="shared" si="105"/>
        <v>3.7599970613192049E-2</v>
      </c>
      <c r="AZ58" s="42">
        <f t="shared" si="105"/>
        <v>3.4118819265790697E-2</v>
      </c>
    </row>
    <row r="59" spans="1:52" x14ac:dyDescent="0.25">
      <c r="A59" s="66" t="s">
        <v>1082</v>
      </c>
      <c r="B59" s="49">
        <v>1</v>
      </c>
      <c r="C59" s="67">
        <f t="shared" ref="C59:AB59" si="106">IFERROR($B59/C7,0)</f>
        <v>0.31111811644800597</v>
      </c>
      <c r="D59" s="42">
        <f t="shared" ref="D59:AA59" si="107">IFERROR(D7/$B59,0)</f>
        <v>58.389356526582766</v>
      </c>
      <c r="E59" s="42">
        <f t="shared" si="107"/>
        <v>129.81490148370415</v>
      </c>
      <c r="F59" s="42">
        <f t="shared" si="107"/>
        <v>158.67008306330928</v>
      </c>
      <c r="G59" s="42">
        <f t="shared" si="107"/>
        <v>130.7554475599901</v>
      </c>
      <c r="H59" s="42">
        <f t="shared" si="107"/>
        <v>153.58581326484438</v>
      </c>
      <c r="I59" s="42">
        <f t="shared" si="107"/>
        <v>58.111687552796198</v>
      </c>
      <c r="J59" s="42">
        <f t="shared" si="107"/>
        <v>175.30460644618964</v>
      </c>
      <c r="K59" s="42">
        <f t="shared" si="107"/>
        <v>15.141630371515671</v>
      </c>
      <c r="L59" s="42">
        <f t="shared" si="107"/>
        <v>83.148151988705848</v>
      </c>
      <c r="M59" s="42">
        <f t="shared" si="107"/>
        <v>61.889002372846349</v>
      </c>
      <c r="N59" s="42">
        <f t="shared" si="107"/>
        <v>126.66262734354902</v>
      </c>
      <c r="O59" s="42">
        <f t="shared" si="107"/>
        <v>150.13109843869276</v>
      </c>
      <c r="P59" s="42">
        <f t="shared" si="107"/>
        <v>175.15527438321027</v>
      </c>
      <c r="Q59" s="42">
        <f t="shared" si="107"/>
        <v>236.52577364218794</v>
      </c>
      <c r="R59" s="42">
        <f t="shared" si="107"/>
        <v>37.342355324440177</v>
      </c>
      <c r="S59" s="42">
        <f t="shared" si="107"/>
        <v>77.447404310854154</v>
      </c>
      <c r="T59" s="42">
        <f t="shared" si="107"/>
        <v>123.62176757790202</v>
      </c>
      <c r="U59" s="42">
        <f t="shared" si="107"/>
        <v>38.813514059926632</v>
      </c>
      <c r="V59" s="42">
        <f t="shared" si="107"/>
        <v>71.112544447637887</v>
      </c>
      <c r="W59" s="42">
        <f t="shared" si="107"/>
        <v>85.507479206242039</v>
      </c>
      <c r="X59" s="42">
        <f t="shared" si="107"/>
        <v>115.84085585288904</v>
      </c>
      <c r="Y59" s="42">
        <f t="shared" si="107"/>
        <v>61.502152620559954</v>
      </c>
      <c r="Z59" s="42">
        <f t="shared" si="107"/>
        <v>19.459508341744414</v>
      </c>
      <c r="AA59" s="42">
        <f t="shared" si="107"/>
        <v>15.068481755403626</v>
      </c>
      <c r="AB59" s="67">
        <f t="shared" si="106"/>
        <v>0.32944016064109505</v>
      </c>
      <c r="AC59" s="42">
        <f t="shared" ref="AC59:AZ59" si="108">IFERROR(AC7/$B59,0)</f>
        <v>50.730205472077195</v>
      </c>
      <c r="AD59" s="42">
        <f t="shared" si="108"/>
        <v>121.76162084628305</v>
      </c>
      <c r="AE59" s="42">
        <f t="shared" si="108"/>
        <v>145.71742322140651</v>
      </c>
      <c r="AF59" s="42">
        <f t="shared" si="108"/>
        <v>127.18321261551527</v>
      </c>
      <c r="AG59" s="42">
        <f t="shared" si="108"/>
        <v>132.04130247824475</v>
      </c>
      <c r="AH59" s="42">
        <f t="shared" si="108"/>
        <v>57.469552236402151</v>
      </c>
      <c r="AI59" s="42">
        <f t="shared" si="108"/>
        <v>188.51317433017135</v>
      </c>
      <c r="AJ59" s="42">
        <f t="shared" si="108"/>
        <v>14.661234095925806</v>
      </c>
      <c r="AK59" s="42">
        <f t="shared" si="108"/>
        <v>57.419647348812084</v>
      </c>
      <c r="AL59" s="42">
        <f t="shared" si="108"/>
        <v>87.160345008425281</v>
      </c>
      <c r="AM59" s="42">
        <f t="shared" si="108"/>
        <v>116.28178626546213</v>
      </c>
      <c r="AN59" s="42">
        <f t="shared" si="108"/>
        <v>139.09301330184354</v>
      </c>
      <c r="AO59" s="42">
        <f t="shared" si="108"/>
        <v>161.9714728879768</v>
      </c>
      <c r="AP59" s="42">
        <f t="shared" si="108"/>
        <v>177.10111646266301</v>
      </c>
      <c r="AQ59" s="42">
        <f t="shared" si="108"/>
        <v>41.778785932135548</v>
      </c>
      <c r="AR59" s="42">
        <f t="shared" si="108"/>
        <v>68.585288198678583</v>
      </c>
      <c r="AS59" s="42">
        <f t="shared" si="108"/>
        <v>137.03621282131533</v>
      </c>
      <c r="AT59" s="42">
        <f t="shared" si="108"/>
        <v>33.15403028280911</v>
      </c>
      <c r="AU59" s="42">
        <f t="shared" si="108"/>
        <v>69.310015031312389</v>
      </c>
      <c r="AV59" s="42">
        <f t="shared" si="108"/>
        <v>81.396919442826103</v>
      </c>
      <c r="AW59" s="42">
        <f t="shared" si="108"/>
        <v>112.15528597541353</v>
      </c>
      <c r="AX59" s="42">
        <f t="shared" si="108"/>
        <v>49.503086609611245</v>
      </c>
      <c r="AY59" s="42">
        <f t="shared" si="108"/>
        <v>15.236689805827549</v>
      </c>
      <c r="AZ59" s="42">
        <f t="shared" si="108"/>
        <v>14.417638198315558</v>
      </c>
    </row>
    <row r="60" spans="1:52" x14ac:dyDescent="0.25">
      <c r="A60" s="66" t="s">
        <v>1083</v>
      </c>
      <c r="B60" s="49">
        <v>1.9000000000000001E-8</v>
      </c>
      <c r="C60" s="67">
        <f t="shared" ref="C60:AB60" si="109">IFERROR($B60/C12,0)</f>
        <v>0</v>
      </c>
      <c r="D60" s="42">
        <f t="shared" ref="D60:AA60" si="110">IFERROR(D12/$B60,0)</f>
        <v>0</v>
      </c>
      <c r="E60" s="42">
        <f t="shared" si="110"/>
        <v>0</v>
      </c>
      <c r="F60" s="42">
        <f t="shared" si="110"/>
        <v>0</v>
      </c>
      <c r="G60" s="42">
        <f t="shared" si="110"/>
        <v>0</v>
      </c>
      <c r="H60" s="42">
        <f t="shared" si="110"/>
        <v>0</v>
      </c>
      <c r="I60" s="42">
        <f t="shared" si="110"/>
        <v>0</v>
      </c>
      <c r="J60" s="42">
        <f t="shared" si="110"/>
        <v>0</v>
      </c>
      <c r="K60" s="42">
        <f t="shared" si="110"/>
        <v>0</v>
      </c>
      <c r="L60" s="42">
        <f t="shared" si="110"/>
        <v>0</v>
      </c>
      <c r="M60" s="42">
        <f t="shared" si="110"/>
        <v>0</v>
      </c>
      <c r="N60" s="42">
        <f t="shared" si="110"/>
        <v>0</v>
      </c>
      <c r="O60" s="42">
        <f t="shared" si="110"/>
        <v>0</v>
      </c>
      <c r="P60" s="42">
        <f t="shared" si="110"/>
        <v>0</v>
      </c>
      <c r="Q60" s="42">
        <f t="shared" si="110"/>
        <v>0</v>
      </c>
      <c r="R60" s="42">
        <f t="shared" si="110"/>
        <v>0</v>
      </c>
      <c r="S60" s="42">
        <f t="shared" si="110"/>
        <v>0</v>
      </c>
      <c r="T60" s="42">
        <f t="shared" si="110"/>
        <v>0</v>
      </c>
      <c r="U60" s="42">
        <f t="shared" si="110"/>
        <v>0</v>
      </c>
      <c r="V60" s="42">
        <f t="shared" si="110"/>
        <v>0</v>
      </c>
      <c r="W60" s="42">
        <f t="shared" si="110"/>
        <v>0</v>
      </c>
      <c r="X60" s="42">
        <f t="shared" si="110"/>
        <v>0</v>
      </c>
      <c r="Y60" s="42">
        <f t="shared" si="110"/>
        <v>0</v>
      </c>
      <c r="Z60" s="42">
        <f t="shared" si="110"/>
        <v>0</v>
      </c>
      <c r="AA60" s="42">
        <f t="shared" si="110"/>
        <v>0</v>
      </c>
      <c r="AB60" s="67">
        <f t="shared" si="109"/>
        <v>0</v>
      </c>
      <c r="AC60" s="42">
        <f t="shared" ref="AC60:AZ60" si="111">IFERROR(AC12/$B60,0)</f>
        <v>0</v>
      </c>
      <c r="AD60" s="42">
        <f t="shared" si="111"/>
        <v>0</v>
      </c>
      <c r="AE60" s="42">
        <f t="shared" si="111"/>
        <v>0</v>
      </c>
      <c r="AF60" s="42">
        <f t="shared" si="111"/>
        <v>0</v>
      </c>
      <c r="AG60" s="42">
        <f t="shared" si="111"/>
        <v>0</v>
      </c>
      <c r="AH60" s="42">
        <f t="shared" si="111"/>
        <v>0</v>
      </c>
      <c r="AI60" s="42">
        <f t="shared" si="111"/>
        <v>0</v>
      </c>
      <c r="AJ60" s="42">
        <f t="shared" si="111"/>
        <v>0</v>
      </c>
      <c r="AK60" s="42">
        <f t="shared" si="111"/>
        <v>0</v>
      </c>
      <c r="AL60" s="42">
        <f t="shared" si="111"/>
        <v>0</v>
      </c>
      <c r="AM60" s="42">
        <f t="shared" si="111"/>
        <v>0</v>
      </c>
      <c r="AN60" s="42">
        <f t="shared" si="111"/>
        <v>0</v>
      </c>
      <c r="AO60" s="42">
        <f t="shared" si="111"/>
        <v>0</v>
      </c>
      <c r="AP60" s="42">
        <f t="shared" si="111"/>
        <v>0</v>
      </c>
      <c r="AQ60" s="42">
        <f t="shared" si="111"/>
        <v>0</v>
      </c>
      <c r="AR60" s="42">
        <f t="shared" si="111"/>
        <v>0</v>
      </c>
      <c r="AS60" s="42">
        <f t="shared" si="111"/>
        <v>0</v>
      </c>
      <c r="AT60" s="42">
        <f t="shared" si="111"/>
        <v>0</v>
      </c>
      <c r="AU60" s="42">
        <f t="shared" si="111"/>
        <v>0</v>
      </c>
      <c r="AV60" s="42">
        <f t="shared" si="111"/>
        <v>0</v>
      </c>
      <c r="AW60" s="42">
        <f t="shared" si="111"/>
        <v>0</v>
      </c>
      <c r="AX60" s="42">
        <f t="shared" si="111"/>
        <v>0</v>
      </c>
      <c r="AY60" s="42">
        <f t="shared" si="111"/>
        <v>0</v>
      </c>
      <c r="AZ60" s="42">
        <f t="shared" si="111"/>
        <v>0</v>
      </c>
    </row>
    <row r="61" spans="1:52" x14ac:dyDescent="0.25">
      <c r="A61" s="66" t="s">
        <v>1084</v>
      </c>
      <c r="B61" s="49">
        <v>1</v>
      </c>
      <c r="C61" s="67">
        <f t="shared" ref="C61:AB61" si="112">IFERROR($B61/C18,0)</f>
        <v>6.4818253758475022</v>
      </c>
      <c r="D61" s="42">
        <f t="shared" ref="D61:AA61" si="113">IFERROR(D18/$B61,0)</f>
        <v>16.709365570578651</v>
      </c>
      <c r="E61" s="42">
        <f t="shared" si="113"/>
        <v>1.7867279388808839</v>
      </c>
      <c r="F61" s="42">
        <f t="shared" si="113"/>
        <v>2.7522521868862628</v>
      </c>
      <c r="G61" s="42">
        <f t="shared" si="113"/>
        <v>36.807260403636448</v>
      </c>
      <c r="H61" s="42">
        <f t="shared" si="113"/>
        <v>13.187563351210143</v>
      </c>
      <c r="I61" s="42">
        <f t="shared" si="113"/>
        <v>0.79726558434954165</v>
      </c>
      <c r="J61" s="42">
        <f t="shared" si="113"/>
        <v>3.060678538200988</v>
      </c>
      <c r="K61" s="42">
        <f t="shared" si="113"/>
        <v>4.3693837400813305</v>
      </c>
      <c r="L61" s="42">
        <f t="shared" si="113"/>
        <v>22.246187793151918</v>
      </c>
      <c r="M61" s="42">
        <f t="shared" si="113"/>
        <v>26.53446770305521</v>
      </c>
      <c r="N61" s="42">
        <f t="shared" si="113"/>
        <v>0.70750990475152586</v>
      </c>
      <c r="O61" s="42">
        <f t="shared" si="113"/>
        <v>3.9106064824531068</v>
      </c>
      <c r="P61" s="42">
        <f t="shared" si="113"/>
        <v>64.394228058140882</v>
      </c>
      <c r="Q61" s="42">
        <f t="shared" si="113"/>
        <v>81.993144118656573</v>
      </c>
      <c r="R61" s="42">
        <f t="shared" si="113"/>
        <v>10.9905410519785</v>
      </c>
      <c r="S61" s="42">
        <f t="shared" si="113"/>
        <v>22.163234330786146</v>
      </c>
      <c r="T61" s="42">
        <f t="shared" si="113"/>
        <v>28.433069615247859</v>
      </c>
      <c r="U61" s="42">
        <f t="shared" si="113"/>
        <v>1.3747872438098077</v>
      </c>
      <c r="V61" s="42">
        <f t="shared" si="113"/>
        <v>28.366959358173101</v>
      </c>
      <c r="W61" s="42">
        <f t="shared" si="113"/>
        <v>1.7523354372436695</v>
      </c>
      <c r="X61" s="42">
        <f t="shared" si="113"/>
        <v>42.587826809720084</v>
      </c>
      <c r="Y61" s="42">
        <f t="shared" si="113"/>
        <v>3.590233561851822</v>
      </c>
      <c r="Z61" s="42">
        <f t="shared" si="113"/>
        <v>2.7216095582859312E-2</v>
      </c>
      <c r="AA61" s="42">
        <f t="shared" si="113"/>
        <v>2.1677803036865825E-2</v>
      </c>
      <c r="AB61" s="67">
        <f t="shared" si="112"/>
        <v>6.9478883884812497</v>
      </c>
      <c r="AC61" s="42">
        <f t="shared" ref="AC61:AZ61" si="114">IFERROR(AC18/$B61,0)</f>
        <v>14.517535371666435</v>
      </c>
      <c r="AD61" s="42">
        <f t="shared" si="114"/>
        <v>1.6758853364518014</v>
      </c>
      <c r="AE61" s="42">
        <f t="shared" si="114"/>
        <v>2.5275785389771808</v>
      </c>
      <c r="AF61" s="42">
        <f t="shared" si="114"/>
        <v>35.801687142423518</v>
      </c>
      <c r="AG61" s="42">
        <f t="shared" si="114"/>
        <v>11.337655506016294</v>
      </c>
      <c r="AH61" s="42">
        <f t="shared" si="114"/>
        <v>0.78845578360522062</v>
      </c>
      <c r="AI61" s="42">
        <f t="shared" si="114"/>
        <v>3.2912895932235662</v>
      </c>
      <c r="AJ61" s="42">
        <f t="shared" si="114"/>
        <v>4.2307569460138517</v>
      </c>
      <c r="AK61" s="42">
        <f t="shared" si="114"/>
        <v>15.36255740370199</v>
      </c>
      <c r="AL61" s="42">
        <f t="shared" si="114"/>
        <v>37.369375348469418</v>
      </c>
      <c r="AM61" s="42">
        <f t="shared" si="114"/>
        <v>0.64952478288541105</v>
      </c>
      <c r="AN61" s="42">
        <f t="shared" si="114"/>
        <v>3.6230870561720905</v>
      </c>
      <c r="AO61" s="42">
        <f t="shared" si="114"/>
        <v>59.547324514146297</v>
      </c>
      <c r="AP61" s="42">
        <f t="shared" si="114"/>
        <v>61.393213695456907</v>
      </c>
      <c r="AQ61" s="42">
        <f t="shared" si="114"/>
        <v>12.296264065283388</v>
      </c>
      <c r="AR61" s="42">
        <f t="shared" si="114"/>
        <v>19.627149902798994</v>
      </c>
      <c r="AS61" s="42">
        <f t="shared" si="114"/>
        <v>31.518398865337641</v>
      </c>
      <c r="AT61" s="42">
        <f t="shared" si="114"/>
        <v>1.1743264947182215</v>
      </c>
      <c r="AU61" s="42">
        <f t="shared" si="114"/>
        <v>27.647926182071984</v>
      </c>
      <c r="AV61" s="42">
        <f t="shared" si="114"/>
        <v>1.6680962618264175</v>
      </c>
      <c r="AW61" s="42">
        <f t="shared" si="114"/>
        <v>41.232860891336522</v>
      </c>
      <c r="AX61" s="42">
        <f t="shared" si="114"/>
        <v>2.8897792254131622</v>
      </c>
      <c r="AY61" s="42">
        <f t="shared" si="114"/>
        <v>2.0856305437634667E-2</v>
      </c>
      <c r="AZ61" s="42">
        <f t="shared" si="114"/>
        <v>2.0741487177883627E-2</v>
      </c>
    </row>
    <row r="62" spans="1:52" x14ac:dyDescent="0.25">
      <c r="A62" s="66" t="s">
        <v>1085</v>
      </c>
      <c r="B62" s="49">
        <v>1.339E-6</v>
      </c>
      <c r="C62" s="67">
        <f t="shared" ref="C62:AB62" si="115">IFERROR($B62/C27,0)</f>
        <v>0</v>
      </c>
      <c r="D62" s="42">
        <f t="shared" ref="D62:AA62" si="116">IFERROR(D27/$B62,0)</f>
        <v>0</v>
      </c>
      <c r="E62" s="42">
        <f t="shared" si="116"/>
        <v>0</v>
      </c>
      <c r="F62" s="42">
        <f t="shared" si="116"/>
        <v>0</v>
      </c>
      <c r="G62" s="42">
        <f t="shared" si="116"/>
        <v>0</v>
      </c>
      <c r="H62" s="42">
        <f t="shared" si="116"/>
        <v>0</v>
      </c>
      <c r="I62" s="42">
        <f t="shared" si="116"/>
        <v>0</v>
      </c>
      <c r="J62" s="42">
        <f t="shared" si="116"/>
        <v>0</v>
      </c>
      <c r="K62" s="42">
        <f t="shared" si="116"/>
        <v>0</v>
      </c>
      <c r="L62" s="42">
        <f t="shared" si="116"/>
        <v>0</v>
      </c>
      <c r="M62" s="42">
        <f t="shared" si="116"/>
        <v>0</v>
      </c>
      <c r="N62" s="42">
        <f t="shared" si="116"/>
        <v>0</v>
      </c>
      <c r="O62" s="42">
        <f t="shared" si="116"/>
        <v>0</v>
      </c>
      <c r="P62" s="42">
        <f t="shared" si="116"/>
        <v>0</v>
      </c>
      <c r="Q62" s="42">
        <f t="shared" si="116"/>
        <v>0</v>
      </c>
      <c r="R62" s="42">
        <f t="shared" si="116"/>
        <v>0</v>
      </c>
      <c r="S62" s="42">
        <f t="shared" si="116"/>
        <v>0</v>
      </c>
      <c r="T62" s="42">
        <f t="shared" si="116"/>
        <v>0</v>
      </c>
      <c r="U62" s="42">
        <f t="shared" si="116"/>
        <v>0</v>
      </c>
      <c r="V62" s="42">
        <f t="shared" si="116"/>
        <v>0</v>
      </c>
      <c r="W62" s="42">
        <f t="shared" si="116"/>
        <v>0</v>
      </c>
      <c r="X62" s="42">
        <f t="shared" si="116"/>
        <v>0</v>
      </c>
      <c r="Y62" s="42">
        <f t="shared" si="116"/>
        <v>0</v>
      </c>
      <c r="Z62" s="42">
        <f t="shared" si="116"/>
        <v>0</v>
      </c>
      <c r="AA62" s="42">
        <f t="shared" si="116"/>
        <v>0</v>
      </c>
      <c r="AB62" s="67">
        <f t="shared" si="115"/>
        <v>0</v>
      </c>
      <c r="AC62" s="42">
        <f t="shared" ref="AC62:AZ62" si="117">IFERROR(AC27/$B62,0)</f>
        <v>0</v>
      </c>
      <c r="AD62" s="42">
        <f t="shared" si="117"/>
        <v>0</v>
      </c>
      <c r="AE62" s="42">
        <f t="shared" si="117"/>
        <v>0</v>
      </c>
      <c r="AF62" s="42">
        <f t="shared" si="117"/>
        <v>0</v>
      </c>
      <c r="AG62" s="42">
        <f t="shared" si="117"/>
        <v>0</v>
      </c>
      <c r="AH62" s="42">
        <f t="shared" si="117"/>
        <v>0</v>
      </c>
      <c r="AI62" s="42">
        <f t="shared" si="117"/>
        <v>0</v>
      </c>
      <c r="AJ62" s="42">
        <f t="shared" si="117"/>
        <v>0</v>
      </c>
      <c r="AK62" s="42">
        <f t="shared" si="117"/>
        <v>0</v>
      </c>
      <c r="AL62" s="42">
        <f t="shared" si="117"/>
        <v>0</v>
      </c>
      <c r="AM62" s="42">
        <f t="shared" si="117"/>
        <v>0</v>
      </c>
      <c r="AN62" s="42">
        <f t="shared" si="117"/>
        <v>0</v>
      </c>
      <c r="AO62" s="42">
        <f t="shared" si="117"/>
        <v>0</v>
      </c>
      <c r="AP62" s="42">
        <f t="shared" si="117"/>
        <v>0</v>
      </c>
      <c r="AQ62" s="42">
        <f t="shared" si="117"/>
        <v>0</v>
      </c>
      <c r="AR62" s="42">
        <f t="shared" si="117"/>
        <v>0</v>
      </c>
      <c r="AS62" s="42">
        <f t="shared" si="117"/>
        <v>0</v>
      </c>
      <c r="AT62" s="42">
        <f t="shared" si="117"/>
        <v>0</v>
      </c>
      <c r="AU62" s="42">
        <f t="shared" si="117"/>
        <v>0</v>
      </c>
      <c r="AV62" s="42">
        <f t="shared" si="117"/>
        <v>0</v>
      </c>
      <c r="AW62" s="42">
        <f t="shared" si="117"/>
        <v>0</v>
      </c>
      <c r="AX62" s="42">
        <f t="shared" si="117"/>
        <v>0</v>
      </c>
      <c r="AY62" s="42">
        <f t="shared" si="117"/>
        <v>0</v>
      </c>
      <c r="AZ62" s="42">
        <f t="shared" si="117"/>
        <v>0</v>
      </c>
    </row>
    <row r="63" spans="1:52" x14ac:dyDescent="0.25">
      <c r="A63" s="64" t="s">
        <v>23</v>
      </c>
      <c r="B63" s="64" t="s">
        <v>1059</v>
      </c>
      <c r="C63" s="65">
        <f t="shared" ref="C63" si="118">IFERROR(1/SUM(1/D63,1/E63,1/F63,1/G63,1/H63,1/I63,1/J63,1/K63,1/L63,1/M63,1/N63,1/O63,1/P63,1/Q63,1/R63,1/S63,1/T63,1/U63,1/V63,1/W63,1/X63,1/Y63),".")</f>
        <v>2.6375957278717194E-2</v>
      </c>
      <c r="D63" s="40">
        <f t="shared" ref="D63:AA63" si="119">1/SUM(1/D66,1/D68,1/D72,1/D73,1/D75)</f>
        <v>0.94070533758468866</v>
      </c>
      <c r="E63" s="40">
        <f t="shared" si="119"/>
        <v>0.2462116985201426</v>
      </c>
      <c r="F63" s="40">
        <f t="shared" si="119"/>
        <v>1.0987147240194477</v>
      </c>
      <c r="G63" s="40">
        <f t="shared" si="119"/>
        <v>2.1035880355390311</v>
      </c>
      <c r="H63" s="40">
        <f t="shared" si="119"/>
        <v>1.4974814466179751</v>
      </c>
      <c r="I63" s="40">
        <f t="shared" si="119"/>
        <v>0.11016179278180166</v>
      </c>
      <c r="J63" s="40">
        <f t="shared" si="119"/>
        <v>1.2187252425060922</v>
      </c>
      <c r="K63" s="40">
        <f t="shared" si="119"/>
        <v>0.2441194751778388</v>
      </c>
      <c r="L63" s="40">
        <f t="shared" si="119"/>
        <v>6.6879513028157964</v>
      </c>
      <c r="M63" s="40">
        <f t="shared" si="119"/>
        <v>0.69832927054631577</v>
      </c>
      <c r="N63" s="40">
        <f t="shared" si="119"/>
        <v>0.19576511044899195</v>
      </c>
      <c r="O63" s="40">
        <f t="shared" si="119"/>
        <v>1.6809830670494008</v>
      </c>
      <c r="P63" s="40">
        <f t="shared" si="119"/>
        <v>1.9635249991325456</v>
      </c>
      <c r="Q63" s="40">
        <f t="shared" si="119"/>
        <v>2.6441962587086136</v>
      </c>
      <c r="R63" s="40">
        <f t="shared" si="119"/>
        <v>0.60305296052978286</v>
      </c>
      <c r="S63" s="40">
        <f t="shared" si="119"/>
        <v>1.2477477223803859</v>
      </c>
      <c r="T63" s="40">
        <f t="shared" si="119"/>
        <v>3.3940129053679651</v>
      </c>
      <c r="U63" s="40">
        <f t="shared" si="119"/>
        <v>0.99555689463180053</v>
      </c>
      <c r="V63" s="40">
        <f t="shared" si="119"/>
        <v>0.80004666002202374</v>
      </c>
      <c r="W63" s="40">
        <f t="shared" si="119"/>
        <v>0.81067248893452826</v>
      </c>
      <c r="X63" s="40">
        <f t="shared" si="119"/>
        <v>1.9025142911776705</v>
      </c>
      <c r="Y63" s="40">
        <f t="shared" si="119"/>
        <v>0.55522457113660606</v>
      </c>
      <c r="Z63" s="40">
        <f t="shared" si="119"/>
        <v>1.5561721736992037E-2</v>
      </c>
      <c r="AA63" s="40">
        <f t="shared" si="119"/>
        <v>1.3467857301172777E-2</v>
      </c>
      <c r="AB63" s="65">
        <f t="shared" ref="AB63" si="120">IFERROR(1/SUM(1/AC63,1/AD63,1/AE63,1/AF63,1/AG63,1/AH63,1/AI63,1/AJ63,1/AK63,1/AL63,1/AM63,1/AN63,1/AO63,1/AP63,1/AQ63,1/AR63,1/AS63,1/AT63,1/AU63,1/AV63,1/AW63,1/AX63),".")</f>
        <v>2.5210551491650642E-2</v>
      </c>
      <c r="AC63" s="40">
        <f t="shared" ref="AC63:AZ63" si="121">1/SUM(1/AC66,1/AC68,1/AC72,1/AC73,1/AC75)</f>
        <v>0.81730948760541122</v>
      </c>
      <c r="AD63" s="40">
        <f t="shared" si="121"/>
        <v>0.23093755139422323</v>
      </c>
      <c r="AE63" s="40">
        <f t="shared" si="121"/>
        <v>1.0090237261403092</v>
      </c>
      <c r="AF63" s="40">
        <f t="shared" si="121"/>
        <v>2.0461180728754553</v>
      </c>
      <c r="AG63" s="40">
        <f t="shared" si="121"/>
        <v>1.2874196935590507</v>
      </c>
      <c r="AH63" s="40">
        <f t="shared" si="121"/>
        <v>0.10894450275562217</v>
      </c>
      <c r="AI63" s="40">
        <f t="shared" si="121"/>
        <v>1.3105517804613567</v>
      </c>
      <c r="AJ63" s="40">
        <f t="shared" si="121"/>
        <v>0.23637433256129461</v>
      </c>
      <c r="AK63" s="40">
        <f t="shared" si="121"/>
        <v>4.6185007857525617</v>
      </c>
      <c r="AL63" s="40">
        <f t="shared" si="121"/>
        <v>0.98348038935272819</v>
      </c>
      <c r="AM63" s="40">
        <f t="shared" si="121"/>
        <v>0.17972086327975298</v>
      </c>
      <c r="AN63" s="40">
        <f t="shared" si="121"/>
        <v>1.5573921894720271</v>
      </c>
      <c r="AO63" s="40">
        <f t="shared" si="121"/>
        <v>1.815731997119622</v>
      </c>
      <c r="AP63" s="40">
        <f t="shared" si="121"/>
        <v>1.9798692647851273</v>
      </c>
      <c r="AQ63" s="40">
        <f t="shared" si="121"/>
        <v>0.67469821667152974</v>
      </c>
      <c r="AR63" s="40">
        <f t="shared" si="121"/>
        <v>1.104971017430342</v>
      </c>
      <c r="AS63" s="40">
        <f t="shared" si="121"/>
        <v>3.762304033755254</v>
      </c>
      <c r="AT63" s="40">
        <f t="shared" si="121"/>
        <v>0.85039255610612741</v>
      </c>
      <c r="AU63" s="40">
        <f t="shared" si="121"/>
        <v>0.77976743010099991</v>
      </c>
      <c r="AV63" s="40">
        <f t="shared" si="121"/>
        <v>0.77170142178044898</v>
      </c>
      <c r="AW63" s="40">
        <f t="shared" si="121"/>
        <v>1.8419842708199508</v>
      </c>
      <c r="AX63" s="40">
        <f t="shared" si="121"/>
        <v>0.44690029310569895</v>
      </c>
      <c r="AY63" s="40">
        <f t="shared" si="121"/>
        <v>1.3401385995844371E-2</v>
      </c>
      <c r="AZ63" s="40">
        <f t="shared" si="121"/>
        <v>1.2886148520252863E-2</v>
      </c>
    </row>
    <row r="64" spans="1:52" x14ac:dyDescent="0.25">
      <c r="A64" s="66" t="s">
        <v>1075</v>
      </c>
      <c r="B64" s="49">
        <v>1</v>
      </c>
      <c r="C64" s="67">
        <f t="shared" ref="C64:AB64" si="122">IFERROR($B64/C25,0)</f>
        <v>0</v>
      </c>
      <c r="D64" s="42">
        <f t="shared" ref="D64:AA64" si="123">IFERROR(D25/$B50,0)</f>
        <v>0</v>
      </c>
      <c r="E64" s="42">
        <f t="shared" si="123"/>
        <v>0</v>
      </c>
      <c r="F64" s="42">
        <f t="shared" si="123"/>
        <v>0</v>
      </c>
      <c r="G64" s="42">
        <f t="shared" si="123"/>
        <v>0</v>
      </c>
      <c r="H64" s="42">
        <f t="shared" si="123"/>
        <v>0</v>
      </c>
      <c r="I64" s="42">
        <f t="shared" si="123"/>
        <v>0</v>
      </c>
      <c r="J64" s="42">
        <f t="shared" si="123"/>
        <v>0</v>
      </c>
      <c r="K64" s="42">
        <f t="shared" si="123"/>
        <v>0</v>
      </c>
      <c r="L64" s="42">
        <f t="shared" si="123"/>
        <v>0</v>
      </c>
      <c r="M64" s="42">
        <f t="shared" si="123"/>
        <v>0</v>
      </c>
      <c r="N64" s="42">
        <f t="shared" si="123"/>
        <v>0</v>
      </c>
      <c r="O64" s="42">
        <f t="shared" si="123"/>
        <v>0</v>
      </c>
      <c r="P64" s="42">
        <f t="shared" si="123"/>
        <v>0</v>
      </c>
      <c r="Q64" s="42">
        <f t="shared" si="123"/>
        <v>0</v>
      </c>
      <c r="R64" s="42">
        <f t="shared" si="123"/>
        <v>0</v>
      </c>
      <c r="S64" s="42">
        <f t="shared" si="123"/>
        <v>0</v>
      </c>
      <c r="T64" s="42">
        <f t="shared" si="123"/>
        <v>0</v>
      </c>
      <c r="U64" s="42">
        <f t="shared" si="123"/>
        <v>0</v>
      </c>
      <c r="V64" s="42">
        <f t="shared" si="123"/>
        <v>0</v>
      </c>
      <c r="W64" s="42">
        <f t="shared" si="123"/>
        <v>0</v>
      </c>
      <c r="X64" s="42">
        <f t="shared" si="123"/>
        <v>0</v>
      </c>
      <c r="Y64" s="42">
        <f t="shared" si="123"/>
        <v>0</v>
      </c>
      <c r="Z64" s="42">
        <f t="shared" si="123"/>
        <v>0</v>
      </c>
      <c r="AA64" s="42">
        <f t="shared" si="123"/>
        <v>0</v>
      </c>
      <c r="AB64" s="67">
        <f t="shared" si="122"/>
        <v>0</v>
      </c>
      <c r="AC64" s="42">
        <f t="shared" ref="AC64:AZ64" si="124">IFERROR(AC25/$B50,0)</f>
        <v>0</v>
      </c>
      <c r="AD64" s="42">
        <f t="shared" si="124"/>
        <v>0</v>
      </c>
      <c r="AE64" s="42">
        <f t="shared" si="124"/>
        <v>0</v>
      </c>
      <c r="AF64" s="42">
        <f t="shared" si="124"/>
        <v>0</v>
      </c>
      <c r="AG64" s="42">
        <f t="shared" si="124"/>
        <v>0</v>
      </c>
      <c r="AH64" s="42">
        <f t="shared" si="124"/>
        <v>0</v>
      </c>
      <c r="AI64" s="42">
        <f t="shared" si="124"/>
        <v>0</v>
      </c>
      <c r="AJ64" s="42">
        <f t="shared" si="124"/>
        <v>0</v>
      </c>
      <c r="AK64" s="42">
        <f t="shared" si="124"/>
        <v>0</v>
      </c>
      <c r="AL64" s="42">
        <f t="shared" si="124"/>
        <v>0</v>
      </c>
      <c r="AM64" s="42">
        <f t="shared" si="124"/>
        <v>0</v>
      </c>
      <c r="AN64" s="42">
        <f t="shared" si="124"/>
        <v>0</v>
      </c>
      <c r="AO64" s="42">
        <f t="shared" si="124"/>
        <v>0</v>
      </c>
      <c r="AP64" s="42">
        <f t="shared" si="124"/>
        <v>0</v>
      </c>
      <c r="AQ64" s="42">
        <f t="shared" si="124"/>
        <v>0</v>
      </c>
      <c r="AR64" s="42">
        <f t="shared" si="124"/>
        <v>0</v>
      </c>
      <c r="AS64" s="42">
        <f t="shared" si="124"/>
        <v>0</v>
      </c>
      <c r="AT64" s="42">
        <f t="shared" si="124"/>
        <v>0</v>
      </c>
      <c r="AU64" s="42">
        <f t="shared" si="124"/>
        <v>0</v>
      </c>
      <c r="AV64" s="42">
        <f t="shared" si="124"/>
        <v>0</v>
      </c>
      <c r="AW64" s="42">
        <f t="shared" si="124"/>
        <v>0</v>
      </c>
      <c r="AX64" s="42">
        <f t="shared" si="124"/>
        <v>0</v>
      </c>
      <c r="AY64" s="42">
        <f t="shared" si="124"/>
        <v>0</v>
      </c>
      <c r="AZ64" s="42">
        <f t="shared" si="124"/>
        <v>0</v>
      </c>
    </row>
    <row r="65" spans="1:52" x14ac:dyDescent="0.25">
      <c r="A65" s="66" t="s">
        <v>1061</v>
      </c>
      <c r="B65" s="49">
        <v>1</v>
      </c>
      <c r="C65" s="67">
        <f t="shared" ref="C65:AB65" si="125">IFERROR($B65/C21,0)</f>
        <v>0</v>
      </c>
      <c r="D65" s="42">
        <f t="shared" ref="D65:AA65" si="126">IFERROR(D21/$B51,0)</f>
        <v>0</v>
      </c>
      <c r="E65" s="42">
        <f t="shared" si="126"/>
        <v>0</v>
      </c>
      <c r="F65" s="42">
        <f t="shared" si="126"/>
        <v>0</v>
      </c>
      <c r="G65" s="42">
        <f t="shared" si="126"/>
        <v>0</v>
      </c>
      <c r="H65" s="42">
        <f t="shared" si="126"/>
        <v>0</v>
      </c>
      <c r="I65" s="42">
        <f t="shared" si="126"/>
        <v>0</v>
      </c>
      <c r="J65" s="42">
        <f t="shared" si="126"/>
        <v>0</v>
      </c>
      <c r="K65" s="42">
        <f t="shared" si="126"/>
        <v>0</v>
      </c>
      <c r="L65" s="42">
        <f t="shared" si="126"/>
        <v>0</v>
      </c>
      <c r="M65" s="42">
        <f t="shared" si="126"/>
        <v>0</v>
      </c>
      <c r="N65" s="42">
        <f t="shared" si="126"/>
        <v>0</v>
      </c>
      <c r="O65" s="42">
        <f t="shared" si="126"/>
        <v>0</v>
      </c>
      <c r="P65" s="42">
        <f t="shared" si="126"/>
        <v>0</v>
      </c>
      <c r="Q65" s="42">
        <f t="shared" si="126"/>
        <v>0</v>
      </c>
      <c r="R65" s="42">
        <f t="shared" si="126"/>
        <v>0</v>
      </c>
      <c r="S65" s="42">
        <f t="shared" si="126"/>
        <v>0</v>
      </c>
      <c r="T65" s="42">
        <f t="shared" si="126"/>
        <v>0</v>
      </c>
      <c r="U65" s="42">
        <f t="shared" si="126"/>
        <v>0</v>
      </c>
      <c r="V65" s="42">
        <f t="shared" si="126"/>
        <v>0</v>
      </c>
      <c r="W65" s="42">
        <f t="shared" si="126"/>
        <v>0</v>
      </c>
      <c r="X65" s="42">
        <f t="shared" si="126"/>
        <v>0</v>
      </c>
      <c r="Y65" s="42">
        <f t="shared" si="126"/>
        <v>0</v>
      </c>
      <c r="Z65" s="42">
        <f t="shared" si="126"/>
        <v>0</v>
      </c>
      <c r="AA65" s="42">
        <f t="shared" si="126"/>
        <v>0</v>
      </c>
      <c r="AB65" s="67">
        <f t="shared" si="125"/>
        <v>0</v>
      </c>
      <c r="AC65" s="42">
        <f t="shared" ref="AC65:AZ65" si="127">IFERROR(AC21/$B51,0)</f>
        <v>0</v>
      </c>
      <c r="AD65" s="42">
        <f t="shared" si="127"/>
        <v>0</v>
      </c>
      <c r="AE65" s="42">
        <f t="shared" si="127"/>
        <v>0</v>
      </c>
      <c r="AF65" s="42">
        <f t="shared" si="127"/>
        <v>0</v>
      </c>
      <c r="AG65" s="42">
        <f t="shared" si="127"/>
        <v>0</v>
      </c>
      <c r="AH65" s="42">
        <f t="shared" si="127"/>
        <v>0</v>
      </c>
      <c r="AI65" s="42">
        <f t="shared" si="127"/>
        <v>0</v>
      </c>
      <c r="AJ65" s="42">
        <f t="shared" si="127"/>
        <v>0</v>
      </c>
      <c r="AK65" s="42">
        <f t="shared" si="127"/>
        <v>0</v>
      </c>
      <c r="AL65" s="42">
        <f t="shared" si="127"/>
        <v>0</v>
      </c>
      <c r="AM65" s="42">
        <f t="shared" si="127"/>
        <v>0</v>
      </c>
      <c r="AN65" s="42">
        <f t="shared" si="127"/>
        <v>0</v>
      </c>
      <c r="AO65" s="42">
        <f t="shared" si="127"/>
        <v>0</v>
      </c>
      <c r="AP65" s="42">
        <f t="shared" si="127"/>
        <v>0</v>
      </c>
      <c r="AQ65" s="42">
        <f t="shared" si="127"/>
        <v>0</v>
      </c>
      <c r="AR65" s="42">
        <f t="shared" si="127"/>
        <v>0</v>
      </c>
      <c r="AS65" s="42">
        <f t="shared" si="127"/>
        <v>0</v>
      </c>
      <c r="AT65" s="42">
        <f t="shared" si="127"/>
        <v>0</v>
      </c>
      <c r="AU65" s="42">
        <f t="shared" si="127"/>
        <v>0</v>
      </c>
      <c r="AV65" s="42">
        <f t="shared" si="127"/>
        <v>0</v>
      </c>
      <c r="AW65" s="42">
        <f t="shared" si="127"/>
        <v>0</v>
      </c>
      <c r="AX65" s="42">
        <f t="shared" si="127"/>
        <v>0</v>
      </c>
      <c r="AY65" s="42">
        <f t="shared" si="127"/>
        <v>0</v>
      </c>
      <c r="AZ65" s="42">
        <f t="shared" si="127"/>
        <v>0</v>
      </c>
    </row>
    <row r="66" spans="1:52" x14ac:dyDescent="0.25">
      <c r="A66" s="66" t="s">
        <v>1062</v>
      </c>
      <c r="B66" s="49">
        <v>0.99980000000000002</v>
      </c>
      <c r="C66" s="67">
        <f t="shared" ref="C66:AB66" si="128">IFERROR($B66/C17,0)</f>
        <v>6.0641029863009264E-3</v>
      </c>
      <c r="D66" s="42">
        <f t="shared" ref="D66:AA66" si="129">IFERROR(D17/$B52,0)</f>
        <v>5207.6356737856058</v>
      </c>
      <c r="E66" s="42">
        <f t="shared" si="129"/>
        <v>1467.7603799689853</v>
      </c>
      <c r="F66" s="42">
        <f t="shared" si="129"/>
        <v>9495.8043454087019</v>
      </c>
      <c r="G66" s="42">
        <f t="shared" si="129"/>
        <v>11655.64505676993</v>
      </c>
      <c r="H66" s="42">
        <f t="shared" si="129"/>
        <v>8766.5847810183877</v>
      </c>
      <c r="I66" s="42">
        <f t="shared" si="129"/>
        <v>657.00084623553096</v>
      </c>
      <c r="J66" s="42">
        <f t="shared" si="129"/>
        <v>10515.502496165929</v>
      </c>
      <c r="K66" s="42">
        <f t="shared" si="129"/>
        <v>1350.8116319150524</v>
      </c>
      <c r="L66" s="42">
        <f t="shared" si="129"/>
        <v>56010.040160265729</v>
      </c>
      <c r="M66" s="42">
        <f t="shared" si="129"/>
        <v>3724.3083022955448</v>
      </c>
      <c r="N66" s="42">
        <f t="shared" si="129"/>
        <v>1391.0381445481075</v>
      </c>
      <c r="O66" s="42">
        <f t="shared" si="129"/>
        <v>15446.462517666063</v>
      </c>
      <c r="P66" s="42">
        <f t="shared" si="129"/>
        <v>10516.602790217024</v>
      </c>
      <c r="Q66" s="42">
        <f t="shared" si="129"/>
        <v>14187.803809396506</v>
      </c>
      <c r="R66" s="42">
        <f t="shared" si="129"/>
        <v>3333.4420897283544</v>
      </c>
      <c r="S66" s="42">
        <f t="shared" si="129"/>
        <v>6907.3867143523612</v>
      </c>
      <c r="T66" s="42">
        <f t="shared" si="129"/>
        <v>20452.743615402149</v>
      </c>
      <c r="U66" s="42">
        <f t="shared" si="129"/>
        <v>20578.049722323449</v>
      </c>
      <c r="V66" s="42">
        <f t="shared" si="129"/>
        <v>4275.0090601282955</v>
      </c>
      <c r="W66" s="42">
        <f t="shared" si="129"/>
        <v>7886.1035269842396</v>
      </c>
      <c r="X66" s="42">
        <f t="shared" si="129"/>
        <v>10405.305086283888</v>
      </c>
      <c r="Y66" s="42">
        <f t="shared" si="129"/>
        <v>3407.2279310275262</v>
      </c>
      <c r="Z66" s="42">
        <f t="shared" si="129"/>
        <v>186.7206128190611</v>
      </c>
      <c r="AA66" s="42">
        <f t="shared" si="129"/>
        <v>182.81142329284668</v>
      </c>
      <c r="AB66" s="67">
        <f t="shared" si="128"/>
        <v>6.3111387057430291E-3</v>
      </c>
      <c r="AC66" s="42">
        <f t="shared" ref="AC66:AZ66" si="130">IFERROR(AC17/$B52,0)</f>
        <v>4524.5305560883935</v>
      </c>
      <c r="AD66" s="42">
        <f t="shared" si="130"/>
        <v>1376.7054539683529</v>
      </c>
      <c r="AE66" s="42">
        <f t="shared" si="130"/>
        <v>8720.6366437426859</v>
      </c>
      <c r="AF66" s="42">
        <f t="shared" si="130"/>
        <v>11337.213179940582</v>
      </c>
      <c r="AG66" s="42">
        <f t="shared" si="130"/>
        <v>7536.8372127934545</v>
      </c>
      <c r="AH66" s="42">
        <f t="shared" si="130"/>
        <v>649.74097366884087</v>
      </c>
      <c r="AI66" s="42">
        <f t="shared" si="130"/>
        <v>11307.807566583007</v>
      </c>
      <c r="AJ66" s="42">
        <f t="shared" si="130"/>
        <v>1307.9546303192262</v>
      </c>
      <c r="AK66" s="42">
        <f t="shared" si="130"/>
        <v>38678.872314950619</v>
      </c>
      <c r="AL66" s="42">
        <f t="shared" si="130"/>
        <v>5245.067525732894</v>
      </c>
      <c r="AM66" s="42">
        <f t="shared" si="130"/>
        <v>1277.0333570669152</v>
      </c>
      <c r="AN66" s="42">
        <f t="shared" si="130"/>
        <v>14310.792625776392</v>
      </c>
      <c r="AO66" s="42">
        <f t="shared" si="130"/>
        <v>9725.0262643106471</v>
      </c>
      <c r="AP66" s="42">
        <f t="shared" si="130"/>
        <v>10623.264670506804</v>
      </c>
      <c r="AQ66" s="42">
        <f t="shared" si="130"/>
        <v>3729.4691851636526</v>
      </c>
      <c r="AR66" s="42">
        <f t="shared" si="130"/>
        <v>6116.9914307532918</v>
      </c>
      <c r="AS66" s="42">
        <f t="shared" si="130"/>
        <v>22672.111730596669</v>
      </c>
      <c r="AT66" s="42">
        <f t="shared" si="130"/>
        <v>17577.519072395811</v>
      </c>
      <c r="AU66" s="42">
        <f t="shared" si="130"/>
        <v>4166.6480157331926</v>
      </c>
      <c r="AV66" s="42">
        <f t="shared" si="130"/>
        <v>7506.9986796764797</v>
      </c>
      <c r="AW66" s="42">
        <f t="shared" si="130"/>
        <v>10074.251946960987</v>
      </c>
      <c r="AX66" s="42">
        <f t="shared" si="130"/>
        <v>2742.4779813634841</v>
      </c>
      <c r="AY66" s="42">
        <f t="shared" si="130"/>
        <v>192.76201986857617</v>
      </c>
      <c r="AZ66" s="42">
        <f t="shared" si="130"/>
        <v>174.9153632289599</v>
      </c>
    </row>
    <row r="67" spans="1:52" x14ac:dyDescent="0.25">
      <c r="A67" s="66" t="s">
        <v>1076</v>
      </c>
      <c r="B67" s="49">
        <v>2.0000000000000001E-4</v>
      </c>
      <c r="C67" s="67">
        <f t="shared" ref="C67:AB67" si="131">IFERROR($B67/C5,0)</f>
        <v>0</v>
      </c>
      <c r="D67" s="42">
        <f t="shared" ref="D67:AA67" si="132">IFERROR(D5/$B53,0)</f>
        <v>0</v>
      </c>
      <c r="E67" s="42">
        <f t="shared" si="132"/>
        <v>0</v>
      </c>
      <c r="F67" s="42">
        <f t="shared" si="132"/>
        <v>0</v>
      </c>
      <c r="G67" s="42">
        <f t="shared" si="132"/>
        <v>0</v>
      </c>
      <c r="H67" s="42">
        <f t="shared" si="132"/>
        <v>0</v>
      </c>
      <c r="I67" s="42">
        <f t="shared" si="132"/>
        <v>0</v>
      </c>
      <c r="J67" s="42">
        <f t="shared" si="132"/>
        <v>0</v>
      </c>
      <c r="K67" s="42">
        <f t="shared" si="132"/>
        <v>0</v>
      </c>
      <c r="L67" s="42">
        <f t="shared" si="132"/>
        <v>0</v>
      </c>
      <c r="M67" s="42">
        <f t="shared" si="132"/>
        <v>0</v>
      </c>
      <c r="N67" s="42">
        <f t="shared" si="132"/>
        <v>0</v>
      </c>
      <c r="O67" s="42">
        <f t="shared" si="132"/>
        <v>0</v>
      </c>
      <c r="P67" s="42">
        <f t="shared" si="132"/>
        <v>0</v>
      </c>
      <c r="Q67" s="42">
        <f t="shared" si="132"/>
        <v>0</v>
      </c>
      <c r="R67" s="42">
        <f t="shared" si="132"/>
        <v>0</v>
      </c>
      <c r="S67" s="42">
        <f t="shared" si="132"/>
        <v>0</v>
      </c>
      <c r="T67" s="42">
        <f t="shared" si="132"/>
        <v>0</v>
      </c>
      <c r="U67" s="42">
        <f t="shared" si="132"/>
        <v>0</v>
      </c>
      <c r="V67" s="42">
        <f t="shared" si="132"/>
        <v>0</v>
      </c>
      <c r="W67" s="42">
        <f t="shared" si="132"/>
        <v>0</v>
      </c>
      <c r="X67" s="42">
        <f t="shared" si="132"/>
        <v>0</v>
      </c>
      <c r="Y67" s="42">
        <f t="shared" si="132"/>
        <v>0</v>
      </c>
      <c r="Z67" s="42">
        <f t="shared" si="132"/>
        <v>0</v>
      </c>
      <c r="AA67" s="42">
        <f t="shared" si="132"/>
        <v>0</v>
      </c>
      <c r="AB67" s="67">
        <f t="shared" si="131"/>
        <v>0</v>
      </c>
      <c r="AC67" s="42">
        <f t="shared" ref="AC67:AZ67" si="133">IFERROR(AC5/$B53,0)</f>
        <v>0</v>
      </c>
      <c r="AD67" s="42">
        <f t="shared" si="133"/>
        <v>0</v>
      </c>
      <c r="AE67" s="42">
        <f t="shared" si="133"/>
        <v>0</v>
      </c>
      <c r="AF67" s="42">
        <f t="shared" si="133"/>
        <v>0</v>
      </c>
      <c r="AG67" s="42">
        <f t="shared" si="133"/>
        <v>0</v>
      </c>
      <c r="AH67" s="42">
        <f t="shared" si="133"/>
        <v>0</v>
      </c>
      <c r="AI67" s="42">
        <f t="shared" si="133"/>
        <v>0</v>
      </c>
      <c r="AJ67" s="42">
        <f t="shared" si="133"/>
        <v>0</v>
      </c>
      <c r="AK67" s="42">
        <f t="shared" si="133"/>
        <v>0</v>
      </c>
      <c r="AL67" s="42">
        <f t="shared" si="133"/>
        <v>0</v>
      </c>
      <c r="AM67" s="42">
        <f t="shared" si="133"/>
        <v>0</v>
      </c>
      <c r="AN67" s="42">
        <f t="shared" si="133"/>
        <v>0</v>
      </c>
      <c r="AO67" s="42">
        <f t="shared" si="133"/>
        <v>0</v>
      </c>
      <c r="AP67" s="42">
        <f t="shared" si="133"/>
        <v>0</v>
      </c>
      <c r="AQ67" s="42">
        <f t="shared" si="133"/>
        <v>0</v>
      </c>
      <c r="AR67" s="42">
        <f t="shared" si="133"/>
        <v>0</v>
      </c>
      <c r="AS67" s="42">
        <f t="shared" si="133"/>
        <v>0</v>
      </c>
      <c r="AT67" s="42">
        <f t="shared" si="133"/>
        <v>0</v>
      </c>
      <c r="AU67" s="42">
        <f t="shared" si="133"/>
        <v>0</v>
      </c>
      <c r="AV67" s="42">
        <f t="shared" si="133"/>
        <v>0</v>
      </c>
      <c r="AW67" s="42">
        <f t="shared" si="133"/>
        <v>0</v>
      </c>
      <c r="AX67" s="42">
        <f t="shared" si="133"/>
        <v>0</v>
      </c>
      <c r="AY67" s="42">
        <f t="shared" si="133"/>
        <v>0</v>
      </c>
      <c r="AZ67" s="42">
        <f t="shared" si="133"/>
        <v>0</v>
      </c>
    </row>
    <row r="68" spans="1:52" x14ac:dyDescent="0.25">
      <c r="A68" s="66" t="s">
        <v>1077</v>
      </c>
      <c r="B68" s="49">
        <v>0.99999979999999999</v>
      </c>
      <c r="C68" s="67">
        <f t="shared" ref="C68:AB68" si="134">IFERROR($B68/C9,0)</f>
        <v>2.5753661155240571E-2</v>
      </c>
      <c r="D68" s="42">
        <f t="shared" ref="D68:AA68" si="135">IFERROR(D9/$B54,0)</f>
        <v>705.37491790618469</v>
      </c>
      <c r="E68" s="42">
        <f t="shared" si="135"/>
        <v>1568.2340228459152</v>
      </c>
      <c r="F68" s="42">
        <f t="shared" si="135"/>
        <v>1916.8201787597181</v>
      </c>
      <c r="G68" s="42">
        <f t="shared" si="135"/>
        <v>1579.5963267110922</v>
      </c>
      <c r="H68" s="42">
        <f t="shared" si="135"/>
        <v>1855.3994575008303</v>
      </c>
      <c r="I68" s="42">
        <f t="shared" si="135"/>
        <v>702.02052694795213</v>
      </c>
      <c r="J68" s="42">
        <f t="shared" si="135"/>
        <v>2117.7741927034385</v>
      </c>
      <c r="K68" s="42">
        <f t="shared" si="135"/>
        <v>182.91906120614919</v>
      </c>
      <c r="L68" s="42">
        <f t="shared" si="135"/>
        <v>1004.4745202215519</v>
      </c>
      <c r="M68" s="42">
        <f t="shared" si="135"/>
        <v>747.65252718905197</v>
      </c>
      <c r="N68" s="42">
        <f t="shared" si="135"/>
        <v>1530.152851120424</v>
      </c>
      <c r="O68" s="42">
        <f t="shared" si="135"/>
        <v>1813.6646391735114</v>
      </c>
      <c r="P68" s="42">
        <f t="shared" si="135"/>
        <v>2115.9701808435561</v>
      </c>
      <c r="Q68" s="42">
        <f t="shared" si="135"/>
        <v>2857.358910773381</v>
      </c>
      <c r="R68" s="42">
        <f t="shared" si="135"/>
        <v>451.11579212914705</v>
      </c>
      <c r="S68" s="42">
        <f t="shared" si="135"/>
        <v>935.60641369535961</v>
      </c>
      <c r="T68" s="42">
        <f t="shared" si="135"/>
        <v>1493.4176251279787</v>
      </c>
      <c r="U68" s="42">
        <f t="shared" si="135"/>
        <v>468.88818309218652</v>
      </c>
      <c r="V68" s="42">
        <f t="shared" si="135"/>
        <v>859.07788997496175</v>
      </c>
      <c r="W68" s="42">
        <f t="shared" si="135"/>
        <v>1032.9764654626465</v>
      </c>
      <c r="X68" s="42">
        <f t="shared" si="135"/>
        <v>1399.4200150195752</v>
      </c>
      <c r="Y68" s="42">
        <f t="shared" si="135"/>
        <v>742.97917354219646</v>
      </c>
      <c r="Z68" s="42">
        <f t="shared" si="135"/>
        <v>235.08135584271372</v>
      </c>
      <c r="AA68" s="42">
        <f t="shared" si="135"/>
        <v>182.03538647235595</v>
      </c>
      <c r="AB68" s="67">
        <f t="shared" si="134"/>
        <v>2.7270318954559097E-2</v>
      </c>
      <c r="AC68" s="42">
        <f t="shared" ref="AC68:AZ68" si="136">IFERROR(AC9/$B54,0)</f>
        <v>612.84824236655425</v>
      </c>
      <c r="AD68" s="42">
        <f t="shared" si="136"/>
        <v>1470.9460493792062</v>
      </c>
      <c r="AE68" s="42">
        <f t="shared" si="136"/>
        <v>1760.3450621262721</v>
      </c>
      <c r="AF68" s="42">
        <f t="shared" si="136"/>
        <v>1536.4418019724371</v>
      </c>
      <c r="AG68" s="42">
        <f t="shared" si="136"/>
        <v>1595.1301476222745</v>
      </c>
      <c r="AH68" s="42">
        <f t="shared" si="136"/>
        <v>694.26318600380409</v>
      </c>
      <c r="AI68" s="42">
        <f t="shared" si="136"/>
        <v>2277.3408165037899</v>
      </c>
      <c r="AJ68" s="42">
        <f t="shared" si="136"/>
        <v>177.1156151054482</v>
      </c>
      <c r="AK68" s="42">
        <f t="shared" si="136"/>
        <v>693.66030804656987</v>
      </c>
      <c r="AL68" s="42">
        <f t="shared" si="136"/>
        <v>1052.9439757912485</v>
      </c>
      <c r="AM68" s="42">
        <f t="shared" si="136"/>
        <v>1404.7466922099547</v>
      </c>
      <c r="AN68" s="42">
        <f t="shared" si="136"/>
        <v>1680.3186175625046</v>
      </c>
      <c r="AO68" s="42">
        <f t="shared" si="136"/>
        <v>1956.702748376511</v>
      </c>
      <c r="AP68" s="42">
        <f t="shared" si="136"/>
        <v>2139.477002612135</v>
      </c>
      <c r="AQ68" s="42">
        <f t="shared" si="136"/>
        <v>504.71026656516722</v>
      </c>
      <c r="AR68" s="42">
        <f t="shared" si="136"/>
        <v>828.54727146530308</v>
      </c>
      <c r="AS68" s="42">
        <f t="shared" si="136"/>
        <v>1655.4713584658662</v>
      </c>
      <c r="AT68" s="42">
        <f t="shared" si="136"/>
        <v>400.51856674167573</v>
      </c>
      <c r="AU68" s="42">
        <f t="shared" si="136"/>
        <v>837.30236246961545</v>
      </c>
      <c r="AV68" s="42">
        <f t="shared" si="136"/>
        <v>983.31868657707298</v>
      </c>
      <c r="AW68" s="42">
        <f t="shared" si="136"/>
        <v>1354.8963431654727</v>
      </c>
      <c r="AX68" s="42">
        <f t="shared" si="136"/>
        <v>598.02398468734884</v>
      </c>
      <c r="AY68" s="42">
        <f t="shared" si="136"/>
        <v>184.06743044093298</v>
      </c>
      <c r="AZ68" s="42">
        <f t="shared" si="136"/>
        <v>174.17284528401871</v>
      </c>
    </row>
    <row r="69" spans="1:52" x14ac:dyDescent="0.25">
      <c r="A69" s="66" t="s">
        <v>1078</v>
      </c>
      <c r="B69" s="49">
        <v>1.9999999999999999E-7</v>
      </c>
      <c r="C69" s="67">
        <f t="shared" ref="C69:AB69" si="137">IFERROR($B69/C24,0)</f>
        <v>0</v>
      </c>
      <c r="D69" s="42">
        <f t="shared" ref="D69:AA69" si="138">IFERROR(D24/$B55,0)</f>
        <v>0</v>
      </c>
      <c r="E69" s="42">
        <f t="shared" si="138"/>
        <v>0</v>
      </c>
      <c r="F69" s="42">
        <f t="shared" si="138"/>
        <v>0</v>
      </c>
      <c r="G69" s="42">
        <f t="shared" si="138"/>
        <v>0</v>
      </c>
      <c r="H69" s="42">
        <f t="shared" si="138"/>
        <v>0</v>
      </c>
      <c r="I69" s="42">
        <f t="shared" si="138"/>
        <v>0</v>
      </c>
      <c r="J69" s="42">
        <f t="shared" si="138"/>
        <v>0</v>
      </c>
      <c r="K69" s="42">
        <f t="shared" si="138"/>
        <v>0</v>
      </c>
      <c r="L69" s="42">
        <f t="shared" si="138"/>
        <v>0</v>
      </c>
      <c r="M69" s="42">
        <f t="shared" si="138"/>
        <v>0</v>
      </c>
      <c r="N69" s="42">
        <f t="shared" si="138"/>
        <v>0</v>
      </c>
      <c r="O69" s="42">
        <f t="shared" si="138"/>
        <v>0</v>
      </c>
      <c r="P69" s="42">
        <f t="shared" si="138"/>
        <v>0</v>
      </c>
      <c r="Q69" s="42">
        <f t="shared" si="138"/>
        <v>0</v>
      </c>
      <c r="R69" s="42">
        <f t="shared" si="138"/>
        <v>0</v>
      </c>
      <c r="S69" s="42">
        <f t="shared" si="138"/>
        <v>0</v>
      </c>
      <c r="T69" s="42">
        <f t="shared" si="138"/>
        <v>0</v>
      </c>
      <c r="U69" s="42">
        <f t="shared" si="138"/>
        <v>0</v>
      </c>
      <c r="V69" s="42">
        <f t="shared" si="138"/>
        <v>0</v>
      </c>
      <c r="W69" s="42">
        <f t="shared" si="138"/>
        <v>0</v>
      </c>
      <c r="X69" s="42">
        <f t="shared" si="138"/>
        <v>0</v>
      </c>
      <c r="Y69" s="42">
        <f t="shared" si="138"/>
        <v>0</v>
      </c>
      <c r="Z69" s="42">
        <f t="shared" si="138"/>
        <v>0</v>
      </c>
      <c r="AA69" s="42">
        <f t="shared" si="138"/>
        <v>0</v>
      </c>
      <c r="AB69" s="67">
        <f t="shared" si="137"/>
        <v>0</v>
      </c>
      <c r="AC69" s="42">
        <f t="shared" ref="AC69:AZ69" si="139">IFERROR(AC24/$B55,0)</f>
        <v>0</v>
      </c>
      <c r="AD69" s="42">
        <f t="shared" si="139"/>
        <v>0</v>
      </c>
      <c r="AE69" s="42">
        <f t="shared" si="139"/>
        <v>0</v>
      </c>
      <c r="AF69" s="42">
        <f t="shared" si="139"/>
        <v>0</v>
      </c>
      <c r="AG69" s="42">
        <f t="shared" si="139"/>
        <v>0</v>
      </c>
      <c r="AH69" s="42">
        <f t="shared" si="139"/>
        <v>0</v>
      </c>
      <c r="AI69" s="42">
        <f t="shared" si="139"/>
        <v>0</v>
      </c>
      <c r="AJ69" s="42">
        <f t="shared" si="139"/>
        <v>0</v>
      </c>
      <c r="AK69" s="42">
        <f t="shared" si="139"/>
        <v>0</v>
      </c>
      <c r="AL69" s="42">
        <f t="shared" si="139"/>
        <v>0</v>
      </c>
      <c r="AM69" s="42">
        <f t="shared" si="139"/>
        <v>0</v>
      </c>
      <c r="AN69" s="42">
        <f t="shared" si="139"/>
        <v>0</v>
      </c>
      <c r="AO69" s="42">
        <f t="shared" si="139"/>
        <v>0</v>
      </c>
      <c r="AP69" s="42">
        <f t="shared" si="139"/>
        <v>0</v>
      </c>
      <c r="AQ69" s="42">
        <f t="shared" si="139"/>
        <v>0</v>
      </c>
      <c r="AR69" s="42">
        <f t="shared" si="139"/>
        <v>0</v>
      </c>
      <c r="AS69" s="42">
        <f t="shared" si="139"/>
        <v>0</v>
      </c>
      <c r="AT69" s="42">
        <f t="shared" si="139"/>
        <v>0</v>
      </c>
      <c r="AU69" s="42">
        <f t="shared" si="139"/>
        <v>0</v>
      </c>
      <c r="AV69" s="42">
        <f t="shared" si="139"/>
        <v>0</v>
      </c>
      <c r="AW69" s="42">
        <f t="shared" si="139"/>
        <v>0</v>
      </c>
      <c r="AX69" s="42">
        <f t="shared" si="139"/>
        <v>0</v>
      </c>
      <c r="AY69" s="42">
        <f t="shared" si="139"/>
        <v>0</v>
      </c>
      <c r="AZ69" s="42">
        <f t="shared" si="139"/>
        <v>0</v>
      </c>
    </row>
    <row r="70" spans="1:52" x14ac:dyDescent="0.25">
      <c r="A70" s="66" t="s">
        <v>1079</v>
      </c>
      <c r="B70" s="49">
        <v>0.99979000004200003</v>
      </c>
      <c r="C70" s="67">
        <f t="shared" ref="C70:AB70" si="140">IFERROR($B70/C20,0)</f>
        <v>0</v>
      </c>
      <c r="D70" s="42">
        <f t="shared" ref="D70:AA70" si="141">IFERROR(D20/$B56,0)</f>
        <v>0</v>
      </c>
      <c r="E70" s="42">
        <f t="shared" si="141"/>
        <v>0</v>
      </c>
      <c r="F70" s="42">
        <f t="shared" si="141"/>
        <v>0</v>
      </c>
      <c r="G70" s="42">
        <f t="shared" si="141"/>
        <v>0</v>
      </c>
      <c r="H70" s="42">
        <f t="shared" si="141"/>
        <v>0</v>
      </c>
      <c r="I70" s="42">
        <f t="shared" si="141"/>
        <v>0</v>
      </c>
      <c r="J70" s="42">
        <f t="shared" si="141"/>
        <v>0</v>
      </c>
      <c r="K70" s="42">
        <f t="shared" si="141"/>
        <v>0</v>
      </c>
      <c r="L70" s="42">
        <f t="shared" si="141"/>
        <v>0</v>
      </c>
      <c r="M70" s="42">
        <f t="shared" si="141"/>
        <v>0</v>
      </c>
      <c r="N70" s="42">
        <f t="shared" si="141"/>
        <v>0</v>
      </c>
      <c r="O70" s="42">
        <f t="shared" si="141"/>
        <v>0</v>
      </c>
      <c r="P70" s="42">
        <f t="shared" si="141"/>
        <v>0</v>
      </c>
      <c r="Q70" s="42">
        <f t="shared" si="141"/>
        <v>0</v>
      </c>
      <c r="R70" s="42">
        <f t="shared" si="141"/>
        <v>0</v>
      </c>
      <c r="S70" s="42">
        <f t="shared" si="141"/>
        <v>0</v>
      </c>
      <c r="T70" s="42">
        <f t="shared" si="141"/>
        <v>0</v>
      </c>
      <c r="U70" s="42">
        <f t="shared" si="141"/>
        <v>0</v>
      </c>
      <c r="V70" s="42">
        <f t="shared" si="141"/>
        <v>0</v>
      </c>
      <c r="W70" s="42">
        <f t="shared" si="141"/>
        <v>0</v>
      </c>
      <c r="X70" s="42">
        <f t="shared" si="141"/>
        <v>0</v>
      </c>
      <c r="Y70" s="42">
        <f t="shared" si="141"/>
        <v>0</v>
      </c>
      <c r="Z70" s="42">
        <f t="shared" si="141"/>
        <v>0</v>
      </c>
      <c r="AA70" s="42">
        <f t="shared" si="141"/>
        <v>0</v>
      </c>
      <c r="AB70" s="67">
        <f t="shared" si="140"/>
        <v>0</v>
      </c>
      <c r="AC70" s="42">
        <f t="shared" ref="AC70:AZ70" si="142">IFERROR(AC20/$B56,0)</f>
        <v>0</v>
      </c>
      <c r="AD70" s="42">
        <f t="shared" si="142"/>
        <v>0</v>
      </c>
      <c r="AE70" s="42">
        <f t="shared" si="142"/>
        <v>0</v>
      </c>
      <c r="AF70" s="42">
        <f t="shared" si="142"/>
        <v>0</v>
      </c>
      <c r="AG70" s="42">
        <f t="shared" si="142"/>
        <v>0</v>
      </c>
      <c r="AH70" s="42">
        <f t="shared" si="142"/>
        <v>0</v>
      </c>
      <c r="AI70" s="42">
        <f t="shared" si="142"/>
        <v>0</v>
      </c>
      <c r="AJ70" s="42">
        <f t="shared" si="142"/>
        <v>0</v>
      </c>
      <c r="AK70" s="42">
        <f t="shared" si="142"/>
        <v>0</v>
      </c>
      <c r="AL70" s="42">
        <f t="shared" si="142"/>
        <v>0</v>
      </c>
      <c r="AM70" s="42">
        <f t="shared" si="142"/>
        <v>0</v>
      </c>
      <c r="AN70" s="42">
        <f t="shared" si="142"/>
        <v>0</v>
      </c>
      <c r="AO70" s="42">
        <f t="shared" si="142"/>
        <v>0</v>
      </c>
      <c r="AP70" s="42">
        <f t="shared" si="142"/>
        <v>0</v>
      </c>
      <c r="AQ70" s="42">
        <f t="shared" si="142"/>
        <v>0</v>
      </c>
      <c r="AR70" s="42">
        <f t="shared" si="142"/>
        <v>0</v>
      </c>
      <c r="AS70" s="42">
        <f t="shared" si="142"/>
        <v>0</v>
      </c>
      <c r="AT70" s="42">
        <f t="shared" si="142"/>
        <v>0</v>
      </c>
      <c r="AU70" s="42">
        <f t="shared" si="142"/>
        <v>0</v>
      </c>
      <c r="AV70" s="42">
        <f t="shared" si="142"/>
        <v>0</v>
      </c>
      <c r="AW70" s="42">
        <f t="shared" si="142"/>
        <v>0</v>
      </c>
      <c r="AX70" s="42">
        <f t="shared" si="142"/>
        <v>0</v>
      </c>
      <c r="AY70" s="42">
        <f t="shared" si="142"/>
        <v>0</v>
      </c>
      <c r="AZ70" s="42">
        <f t="shared" si="142"/>
        <v>0</v>
      </c>
    </row>
    <row r="71" spans="1:52" x14ac:dyDescent="0.25">
      <c r="A71" s="66" t="s">
        <v>1080</v>
      </c>
      <c r="B71" s="49">
        <v>2.0999995799999999E-4</v>
      </c>
      <c r="C71" s="67">
        <f t="shared" ref="C71:AB71" si="143">IFERROR($B71/C29,0)</f>
        <v>0</v>
      </c>
      <c r="D71" s="42">
        <f t="shared" ref="D71:AA71" si="144">IFERROR(D29/$B57,0)</f>
        <v>0</v>
      </c>
      <c r="E71" s="42">
        <f t="shared" si="144"/>
        <v>0</v>
      </c>
      <c r="F71" s="42">
        <f t="shared" si="144"/>
        <v>0</v>
      </c>
      <c r="G71" s="42">
        <f t="shared" si="144"/>
        <v>0</v>
      </c>
      <c r="H71" s="42">
        <f t="shared" si="144"/>
        <v>0</v>
      </c>
      <c r="I71" s="42">
        <f t="shared" si="144"/>
        <v>0</v>
      </c>
      <c r="J71" s="42">
        <f t="shared" si="144"/>
        <v>0</v>
      </c>
      <c r="K71" s="42">
        <f t="shared" si="144"/>
        <v>0</v>
      </c>
      <c r="L71" s="42">
        <f t="shared" si="144"/>
        <v>0</v>
      </c>
      <c r="M71" s="42">
        <f t="shared" si="144"/>
        <v>0</v>
      </c>
      <c r="N71" s="42">
        <f t="shared" si="144"/>
        <v>0</v>
      </c>
      <c r="O71" s="42">
        <f t="shared" si="144"/>
        <v>0</v>
      </c>
      <c r="P71" s="42">
        <f t="shared" si="144"/>
        <v>0</v>
      </c>
      <c r="Q71" s="42">
        <f t="shared" si="144"/>
        <v>0</v>
      </c>
      <c r="R71" s="42">
        <f t="shared" si="144"/>
        <v>0</v>
      </c>
      <c r="S71" s="42">
        <f t="shared" si="144"/>
        <v>0</v>
      </c>
      <c r="T71" s="42">
        <f t="shared" si="144"/>
        <v>0</v>
      </c>
      <c r="U71" s="42">
        <f t="shared" si="144"/>
        <v>0</v>
      </c>
      <c r="V71" s="42">
        <f t="shared" si="144"/>
        <v>0</v>
      </c>
      <c r="W71" s="42">
        <f t="shared" si="144"/>
        <v>0</v>
      </c>
      <c r="X71" s="42">
        <f t="shared" si="144"/>
        <v>0</v>
      </c>
      <c r="Y71" s="42">
        <f t="shared" si="144"/>
        <v>0</v>
      </c>
      <c r="Z71" s="42">
        <f t="shared" si="144"/>
        <v>0</v>
      </c>
      <c r="AA71" s="42">
        <f t="shared" si="144"/>
        <v>0</v>
      </c>
      <c r="AB71" s="67">
        <f t="shared" si="143"/>
        <v>0</v>
      </c>
      <c r="AC71" s="42">
        <f t="shared" ref="AC71:AZ71" si="145">IFERROR(AC29/$B57,0)</f>
        <v>0</v>
      </c>
      <c r="AD71" s="42">
        <f t="shared" si="145"/>
        <v>0</v>
      </c>
      <c r="AE71" s="42">
        <f t="shared" si="145"/>
        <v>0</v>
      </c>
      <c r="AF71" s="42">
        <f t="shared" si="145"/>
        <v>0</v>
      </c>
      <c r="AG71" s="42">
        <f t="shared" si="145"/>
        <v>0</v>
      </c>
      <c r="AH71" s="42">
        <f t="shared" si="145"/>
        <v>0</v>
      </c>
      <c r="AI71" s="42">
        <f t="shared" si="145"/>
        <v>0</v>
      </c>
      <c r="AJ71" s="42">
        <f t="shared" si="145"/>
        <v>0</v>
      </c>
      <c r="AK71" s="42">
        <f t="shared" si="145"/>
        <v>0</v>
      </c>
      <c r="AL71" s="42">
        <f t="shared" si="145"/>
        <v>0</v>
      </c>
      <c r="AM71" s="42">
        <f t="shared" si="145"/>
        <v>0</v>
      </c>
      <c r="AN71" s="42">
        <f t="shared" si="145"/>
        <v>0</v>
      </c>
      <c r="AO71" s="42">
        <f t="shared" si="145"/>
        <v>0</v>
      </c>
      <c r="AP71" s="42">
        <f t="shared" si="145"/>
        <v>0</v>
      </c>
      <c r="AQ71" s="42">
        <f t="shared" si="145"/>
        <v>0</v>
      </c>
      <c r="AR71" s="42">
        <f t="shared" si="145"/>
        <v>0</v>
      </c>
      <c r="AS71" s="42">
        <f t="shared" si="145"/>
        <v>0</v>
      </c>
      <c r="AT71" s="42">
        <f t="shared" si="145"/>
        <v>0</v>
      </c>
      <c r="AU71" s="42">
        <f t="shared" si="145"/>
        <v>0</v>
      </c>
      <c r="AV71" s="42">
        <f t="shared" si="145"/>
        <v>0</v>
      </c>
      <c r="AW71" s="42">
        <f t="shared" si="145"/>
        <v>0</v>
      </c>
      <c r="AX71" s="42">
        <f t="shared" si="145"/>
        <v>0</v>
      </c>
      <c r="AY71" s="42">
        <f t="shared" si="145"/>
        <v>0</v>
      </c>
      <c r="AZ71" s="42">
        <f t="shared" si="145"/>
        <v>0</v>
      </c>
    </row>
    <row r="72" spans="1:52" x14ac:dyDescent="0.25">
      <c r="A72" s="66" t="s">
        <v>1081</v>
      </c>
      <c r="B72" s="49">
        <v>1</v>
      </c>
      <c r="C72" s="67">
        <f t="shared" ref="C72:AB72" si="146">IFERROR($B72/C16,0)</f>
        <v>31.0885546256334</v>
      </c>
      <c r="D72" s="42">
        <f t="shared" ref="D72:AA72" si="147">IFERROR(D16/$B58,0)</f>
        <v>1.0157963090034496</v>
      </c>
      <c r="E72" s="42">
        <f t="shared" si="147"/>
        <v>0.2862999007359856</v>
      </c>
      <c r="F72" s="42">
        <f t="shared" si="147"/>
        <v>1.8522422860033183</v>
      </c>
      <c r="G72" s="42">
        <f t="shared" si="147"/>
        <v>2.2735386976705461</v>
      </c>
      <c r="H72" s="42">
        <f t="shared" si="147"/>
        <v>1.7100014326944848</v>
      </c>
      <c r="I72" s="42">
        <f t="shared" si="147"/>
        <v>0.12815394094822599</v>
      </c>
      <c r="J72" s="42">
        <f t="shared" si="147"/>
        <v>2.0511436075859537</v>
      </c>
      <c r="K72" s="42">
        <f t="shared" si="147"/>
        <v>0.2634879925962208</v>
      </c>
      <c r="L72" s="42">
        <f t="shared" si="147"/>
        <v>10.925263521857358</v>
      </c>
      <c r="M72" s="42">
        <f t="shared" si="147"/>
        <v>0.72645992616311983</v>
      </c>
      <c r="N72" s="42">
        <f t="shared" si="147"/>
        <v>0.27133453671266705</v>
      </c>
      <c r="O72" s="42">
        <f t="shared" si="147"/>
        <v>3.0129718351052386</v>
      </c>
      <c r="P72" s="42">
        <f t="shared" si="147"/>
        <v>2.0513582298648405</v>
      </c>
      <c r="Q72" s="42">
        <f t="shared" si="147"/>
        <v>2.7674591014493046</v>
      </c>
      <c r="R72" s="42">
        <f t="shared" si="147"/>
        <v>0.65021794594193261</v>
      </c>
      <c r="S72" s="42">
        <f t="shared" si="147"/>
        <v>1.3473480805538127</v>
      </c>
      <c r="T72" s="42">
        <f t="shared" si="147"/>
        <v>3.9894921179109164</v>
      </c>
      <c r="U72" s="42">
        <f t="shared" si="147"/>
        <v>4.0139342042778621</v>
      </c>
      <c r="V72" s="42">
        <f t="shared" si="147"/>
        <v>0.83387907608327227</v>
      </c>
      <c r="W72" s="42">
        <f t="shared" si="147"/>
        <v>1.5382556224994997</v>
      </c>
      <c r="X72" s="42">
        <f t="shared" si="147"/>
        <v>2.0296486088510388</v>
      </c>
      <c r="Y72" s="42">
        <f t="shared" si="147"/>
        <v>0.66461053980668916</v>
      </c>
      <c r="Z72" s="42">
        <f t="shared" si="147"/>
        <v>3.6421539677061729E-2</v>
      </c>
      <c r="AA72" s="42">
        <f t="shared" si="147"/>
        <v>3.5659017000617098E-2</v>
      </c>
      <c r="AB72" s="67">
        <f t="shared" si="146"/>
        <v>32.355021154270503</v>
      </c>
      <c r="AC72" s="42">
        <f t="shared" ref="AC72:AZ72" si="148">IFERROR(AC16/$B58,0)</f>
        <v>0.88255049445633138</v>
      </c>
      <c r="AD72" s="42">
        <f t="shared" si="148"/>
        <v>0.26853881613983754</v>
      </c>
      <c r="AE72" s="42">
        <f t="shared" si="148"/>
        <v>1.7010388340846803</v>
      </c>
      <c r="AF72" s="42">
        <f t="shared" si="148"/>
        <v>2.2114256879643279</v>
      </c>
      <c r="AG72" s="42">
        <f t="shared" si="148"/>
        <v>1.4701280776714005</v>
      </c>
      <c r="AH72" s="42">
        <f t="shared" si="148"/>
        <v>0.12673783732288954</v>
      </c>
      <c r="AI72" s="42">
        <f t="shared" si="148"/>
        <v>2.2056898578518322</v>
      </c>
      <c r="AJ72" s="42">
        <f t="shared" si="148"/>
        <v>0.25512834788160721</v>
      </c>
      <c r="AK72" s="42">
        <f t="shared" si="148"/>
        <v>7.5446629132912149</v>
      </c>
      <c r="AL72" s="42">
        <f t="shared" si="148"/>
        <v>1.0230977293463939</v>
      </c>
      <c r="AM72" s="42">
        <f t="shared" si="148"/>
        <v>0.24909687463598523</v>
      </c>
      <c r="AN72" s="42">
        <f t="shared" si="148"/>
        <v>2.791449179395094</v>
      </c>
      <c r="AO72" s="42">
        <f t="shared" si="148"/>
        <v>1.8969540887769603</v>
      </c>
      <c r="AP72" s="42">
        <f t="shared" si="148"/>
        <v>2.0721635916636942</v>
      </c>
      <c r="AQ72" s="42">
        <f t="shared" si="148"/>
        <v>0.72746660291568366</v>
      </c>
      <c r="AR72" s="42">
        <f t="shared" si="148"/>
        <v>1.1931743514323148</v>
      </c>
      <c r="AS72" s="42">
        <f t="shared" si="148"/>
        <v>4.4223998866096661</v>
      </c>
      <c r="AT72" s="42">
        <f t="shared" si="148"/>
        <v>3.4286536373996914</v>
      </c>
      <c r="AU72" s="42">
        <f t="shared" si="148"/>
        <v>0.81274227699988133</v>
      </c>
      <c r="AV72" s="42">
        <f t="shared" si="148"/>
        <v>1.4643078026550671</v>
      </c>
      <c r="AW72" s="42">
        <f t="shared" si="148"/>
        <v>1.9650737080566156</v>
      </c>
      <c r="AX72" s="42">
        <f t="shared" si="148"/>
        <v>0.53494506634085803</v>
      </c>
      <c r="AY72" s="42">
        <f t="shared" si="148"/>
        <v>3.7599970613192049E-2</v>
      </c>
      <c r="AZ72" s="42">
        <f t="shared" si="148"/>
        <v>3.4118819265790697E-2</v>
      </c>
    </row>
    <row r="73" spans="1:52" x14ac:dyDescent="0.25">
      <c r="A73" s="66" t="s">
        <v>1082</v>
      </c>
      <c r="B73" s="49">
        <v>1</v>
      </c>
      <c r="C73" s="67">
        <f t="shared" ref="C73:AB73" si="149">IFERROR($B73/C7,0)</f>
        <v>0.31111811644800597</v>
      </c>
      <c r="D73" s="42">
        <f t="shared" ref="D73:AA73" si="150">IFERROR(D7/$B59,0)</f>
        <v>58.389356526582766</v>
      </c>
      <c r="E73" s="42">
        <f t="shared" si="150"/>
        <v>129.81490148370415</v>
      </c>
      <c r="F73" s="42">
        <f t="shared" si="150"/>
        <v>158.67008306330928</v>
      </c>
      <c r="G73" s="42">
        <f t="shared" si="150"/>
        <v>130.7554475599901</v>
      </c>
      <c r="H73" s="42">
        <f t="shared" si="150"/>
        <v>153.58581326484438</v>
      </c>
      <c r="I73" s="42">
        <f t="shared" si="150"/>
        <v>58.111687552796198</v>
      </c>
      <c r="J73" s="42">
        <f t="shared" si="150"/>
        <v>175.30460644618964</v>
      </c>
      <c r="K73" s="42">
        <f t="shared" si="150"/>
        <v>15.141630371515671</v>
      </c>
      <c r="L73" s="42">
        <f t="shared" si="150"/>
        <v>83.148151988705848</v>
      </c>
      <c r="M73" s="42">
        <f t="shared" si="150"/>
        <v>61.889002372846349</v>
      </c>
      <c r="N73" s="42">
        <f t="shared" si="150"/>
        <v>126.66262734354902</v>
      </c>
      <c r="O73" s="42">
        <f t="shared" si="150"/>
        <v>150.13109843869276</v>
      </c>
      <c r="P73" s="42">
        <f t="shared" si="150"/>
        <v>175.15527438321027</v>
      </c>
      <c r="Q73" s="42">
        <f t="shared" si="150"/>
        <v>236.52577364218794</v>
      </c>
      <c r="R73" s="42">
        <f t="shared" si="150"/>
        <v>37.342355324440177</v>
      </c>
      <c r="S73" s="42">
        <f t="shared" si="150"/>
        <v>77.447404310854154</v>
      </c>
      <c r="T73" s="42">
        <f t="shared" si="150"/>
        <v>123.62176757790202</v>
      </c>
      <c r="U73" s="42">
        <f t="shared" si="150"/>
        <v>38.813514059926632</v>
      </c>
      <c r="V73" s="42">
        <f t="shared" si="150"/>
        <v>71.112544447637887</v>
      </c>
      <c r="W73" s="42">
        <f t="shared" si="150"/>
        <v>85.507479206242039</v>
      </c>
      <c r="X73" s="42">
        <f t="shared" si="150"/>
        <v>115.84085585288904</v>
      </c>
      <c r="Y73" s="42">
        <f t="shared" si="150"/>
        <v>61.502152620559954</v>
      </c>
      <c r="Z73" s="42">
        <f t="shared" si="150"/>
        <v>19.459508341744414</v>
      </c>
      <c r="AA73" s="42">
        <f t="shared" si="150"/>
        <v>15.068481755403626</v>
      </c>
      <c r="AB73" s="67">
        <f t="shared" si="149"/>
        <v>0.32944016064109505</v>
      </c>
      <c r="AC73" s="42">
        <f t="shared" ref="AC73:AZ73" si="151">IFERROR(AC7/$B59,0)</f>
        <v>50.730205472077195</v>
      </c>
      <c r="AD73" s="42">
        <f t="shared" si="151"/>
        <v>121.76162084628305</v>
      </c>
      <c r="AE73" s="42">
        <f t="shared" si="151"/>
        <v>145.71742322140651</v>
      </c>
      <c r="AF73" s="42">
        <f t="shared" si="151"/>
        <v>127.18321261551527</v>
      </c>
      <c r="AG73" s="42">
        <f t="shared" si="151"/>
        <v>132.04130247824475</v>
      </c>
      <c r="AH73" s="42">
        <f t="shared" si="151"/>
        <v>57.469552236402151</v>
      </c>
      <c r="AI73" s="42">
        <f t="shared" si="151"/>
        <v>188.51317433017135</v>
      </c>
      <c r="AJ73" s="42">
        <f t="shared" si="151"/>
        <v>14.661234095925806</v>
      </c>
      <c r="AK73" s="42">
        <f t="shared" si="151"/>
        <v>57.419647348812084</v>
      </c>
      <c r="AL73" s="42">
        <f t="shared" si="151"/>
        <v>87.160345008425281</v>
      </c>
      <c r="AM73" s="42">
        <f t="shared" si="151"/>
        <v>116.28178626546213</v>
      </c>
      <c r="AN73" s="42">
        <f t="shared" si="151"/>
        <v>139.09301330184354</v>
      </c>
      <c r="AO73" s="42">
        <f t="shared" si="151"/>
        <v>161.9714728879768</v>
      </c>
      <c r="AP73" s="42">
        <f t="shared" si="151"/>
        <v>177.10111646266301</v>
      </c>
      <c r="AQ73" s="42">
        <f t="shared" si="151"/>
        <v>41.778785932135548</v>
      </c>
      <c r="AR73" s="42">
        <f t="shared" si="151"/>
        <v>68.585288198678583</v>
      </c>
      <c r="AS73" s="42">
        <f t="shared" si="151"/>
        <v>137.03621282131533</v>
      </c>
      <c r="AT73" s="42">
        <f t="shared" si="151"/>
        <v>33.15403028280911</v>
      </c>
      <c r="AU73" s="42">
        <f t="shared" si="151"/>
        <v>69.310015031312389</v>
      </c>
      <c r="AV73" s="42">
        <f t="shared" si="151"/>
        <v>81.396919442826103</v>
      </c>
      <c r="AW73" s="42">
        <f t="shared" si="151"/>
        <v>112.15528597541353</v>
      </c>
      <c r="AX73" s="42">
        <f t="shared" si="151"/>
        <v>49.503086609611245</v>
      </c>
      <c r="AY73" s="42">
        <f t="shared" si="151"/>
        <v>15.236689805827549</v>
      </c>
      <c r="AZ73" s="42">
        <f t="shared" si="151"/>
        <v>14.417638198315558</v>
      </c>
    </row>
    <row r="74" spans="1:52" x14ac:dyDescent="0.25">
      <c r="A74" s="66" t="s">
        <v>1083</v>
      </c>
      <c r="B74" s="49">
        <v>1.9000000000000001E-8</v>
      </c>
      <c r="C74" s="67">
        <f t="shared" ref="C74:AB74" si="152">IFERROR($B74/C12,0)</f>
        <v>0</v>
      </c>
      <c r="D74" s="42">
        <f t="shared" ref="D74:AA74" si="153">IFERROR(D12/$B60,0)</f>
        <v>0</v>
      </c>
      <c r="E74" s="42">
        <f t="shared" si="153"/>
        <v>0</v>
      </c>
      <c r="F74" s="42">
        <f t="shared" si="153"/>
        <v>0</v>
      </c>
      <c r="G74" s="42">
        <f t="shared" si="153"/>
        <v>0</v>
      </c>
      <c r="H74" s="42">
        <f t="shared" si="153"/>
        <v>0</v>
      </c>
      <c r="I74" s="42">
        <f t="shared" si="153"/>
        <v>0</v>
      </c>
      <c r="J74" s="42">
        <f t="shared" si="153"/>
        <v>0</v>
      </c>
      <c r="K74" s="42">
        <f t="shared" si="153"/>
        <v>0</v>
      </c>
      <c r="L74" s="42">
        <f t="shared" si="153"/>
        <v>0</v>
      </c>
      <c r="M74" s="42">
        <f t="shared" si="153"/>
        <v>0</v>
      </c>
      <c r="N74" s="42">
        <f t="shared" si="153"/>
        <v>0</v>
      </c>
      <c r="O74" s="42">
        <f t="shared" si="153"/>
        <v>0</v>
      </c>
      <c r="P74" s="42">
        <f t="shared" si="153"/>
        <v>0</v>
      </c>
      <c r="Q74" s="42">
        <f t="shared" si="153"/>
        <v>0</v>
      </c>
      <c r="R74" s="42">
        <f t="shared" si="153"/>
        <v>0</v>
      </c>
      <c r="S74" s="42">
        <f t="shared" si="153"/>
        <v>0</v>
      </c>
      <c r="T74" s="42">
        <f t="shared" si="153"/>
        <v>0</v>
      </c>
      <c r="U74" s="42">
        <f t="shared" si="153"/>
        <v>0</v>
      </c>
      <c r="V74" s="42">
        <f t="shared" si="153"/>
        <v>0</v>
      </c>
      <c r="W74" s="42">
        <f t="shared" si="153"/>
        <v>0</v>
      </c>
      <c r="X74" s="42">
        <f t="shared" si="153"/>
        <v>0</v>
      </c>
      <c r="Y74" s="42">
        <f t="shared" si="153"/>
        <v>0</v>
      </c>
      <c r="Z74" s="42">
        <f t="shared" si="153"/>
        <v>0</v>
      </c>
      <c r="AA74" s="42">
        <f t="shared" si="153"/>
        <v>0</v>
      </c>
      <c r="AB74" s="67">
        <f t="shared" si="152"/>
        <v>0</v>
      </c>
      <c r="AC74" s="42">
        <f t="shared" ref="AC74:AZ74" si="154">IFERROR(AC12/$B60,0)</f>
        <v>0</v>
      </c>
      <c r="AD74" s="42">
        <f t="shared" si="154"/>
        <v>0</v>
      </c>
      <c r="AE74" s="42">
        <f t="shared" si="154"/>
        <v>0</v>
      </c>
      <c r="AF74" s="42">
        <f t="shared" si="154"/>
        <v>0</v>
      </c>
      <c r="AG74" s="42">
        <f t="shared" si="154"/>
        <v>0</v>
      </c>
      <c r="AH74" s="42">
        <f t="shared" si="154"/>
        <v>0</v>
      </c>
      <c r="AI74" s="42">
        <f t="shared" si="154"/>
        <v>0</v>
      </c>
      <c r="AJ74" s="42">
        <f t="shared" si="154"/>
        <v>0</v>
      </c>
      <c r="AK74" s="42">
        <f t="shared" si="154"/>
        <v>0</v>
      </c>
      <c r="AL74" s="42">
        <f t="shared" si="154"/>
        <v>0</v>
      </c>
      <c r="AM74" s="42">
        <f t="shared" si="154"/>
        <v>0</v>
      </c>
      <c r="AN74" s="42">
        <f t="shared" si="154"/>
        <v>0</v>
      </c>
      <c r="AO74" s="42">
        <f t="shared" si="154"/>
        <v>0</v>
      </c>
      <c r="AP74" s="42">
        <f t="shared" si="154"/>
        <v>0</v>
      </c>
      <c r="AQ74" s="42">
        <f t="shared" si="154"/>
        <v>0</v>
      </c>
      <c r="AR74" s="42">
        <f t="shared" si="154"/>
        <v>0</v>
      </c>
      <c r="AS74" s="42">
        <f t="shared" si="154"/>
        <v>0</v>
      </c>
      <c r="AT74" s="42">
        <f t="shared" si="154"/>
        <v>0</v>
      </c>
      <c r="AU74" s="42">
        <f t="shared" si="154"/>
        <v>0</v>
      </c>
      <c r="AV74" s="42">
        <f t="shared" si="154"/>
        <v>0</v>
      </c>
      <c r="AW74" s="42">
        <f t="shared" si="154"/>
        <v>0</v>
      </c>
      <c r="AX74" s="42">
        <f t="shared" si="154"/>
        <v>0</v>
      </c>
      <c r="AY74" s="42">
        <f t="shared" si="154"/>
        <v>0</v>
      </c>
      <c r="AZ74" s="42">
        <f t="shared" si="154"/>
        <v>0</v>
      </c>
    </row>
    <row r="75" spans="1:52" x14ac:dyDescent="0.25">
      <c r="A75" s="66" t="s">
        <v>1084</v>
      </c>
      <c r="B75" s="49">
        <v>1</v>
      </c>
      <c r="C75" s="67">
        <f t="shared" ref="C75:AB75" si="155">IFERROR($B75/C18,0)</f>
        <v>6.4818253758475022</v>
      </c>
      <c r="D75" s="42">
        <f t="shared" ref="D75:AA75" si="156">IFERROR(D18/$B61,0)</f>
        <v>16.709365570578651</v>
      </c>
      <c r="E75" s="42">
        <f t="shared" si="156"/>
        <v>1.7867279388808839</v>
      </c>
      <c r="F75" s="42">
        <f t="shared" si="156"/>
        <v>2.7522521868862628</v>
      </c>
      <c r="G75" s="42">
        <f t="shared" si="156"/>
        <v>36.807260403636448</v>
      </c>
      <c r="H75" s="42">
        <f t="shared" si="156"/>
        <v>13.187563351210143</v>
      </c>
      <c r="I75" s="42">
        <f t="shared" si="156"/>
        <v>0.79726558434954165</v>
      </c>
      <c r="J75" s="42">
        <f t="shared" si="156"/>
        <v>3.060678538200988</v>
      </c>
      <c r="K75" s="42">
        <f t="shared" si="156"/>
        <v>4.3693837400813305</v>
      </c>
      <c r="L75" s="42">
        <f t="shared" si="156"/>
        <v>22.246187793151918</v>
      </c>
      <c r="M75" s="42">
        <f t="shared" si="156"/>
        <v>26.53446770305521</v>
      </c>
      <c r="N75" s="42">
        <f t="shared" si="156"/>
        <v>0.70750990475152586</v>
      </c>
      <c r="O75" s="42">
        <f t="shared" si="156"/>
        <v>3.9106064824531068</v>
      </c>
      <c r="P75" s="42">
        <f t="shared" si="156"/>
        <v>64.394228058140882</v>
      </c>
      <c r="Q75" s="42">
        <f t="shared" si="156"/>
        <v>81.993144118656573</v>
      </c>
      <c r="R75" s="42">
        <f t="shared" si="156"/>
        <v>10.9905410519785</v>
      </c>
      <c r="S75" s="42">
        <f t="shared" si="156"/>
        <v>22.163234330786146</v>
      </c>
      <c r="T75" s="42">
        <f t="shared" si="156"/>
        <v>28.433069615247859</v>
      </c>
      <c r="U75" s="42">
        <f t="shared" si="156"/>
        <v>1.3747872438098077</v>
      </c>
      <c r="V75" s="42">
        <f t="shared" si="156"/>
        <v>28.366959358173101</v>
      </c>
      <c r="W75" s="42">
        <f t="shared" si="156"/>
        <v>1.7523354372436695</v>
      </c>
      <c r="X75" s="42">
        <f t="shared" si="156"/>
        <v>42.587826809720084</v>
      </c>
      <c r="Y75" s="42">
        <f t="shared" si="156"/>
        <v>3.590233561851822</v>
      </c>
      <c r="Z75" s="42">
        <f t="shared" si="156"/>
        <v>2.7216095582859312E-2</v>
      </c>
      <c r="AA75" s="42">
        <f t="shared" si="156"/>
        <v>2.1677803036865825E-2</v>
      </c>
      <c r="AB75" s="67">
        <f t="shared" si="155"/>
        <v>6.9478883884812497</v>
      </c>
      <c r="AC75" s="42">
        <f t="shared" ref="AC75:AZ75" si="157">IFERROR(AC18/$B61,0)</f>
        <v>14.517535371666435</v>
      </c>
      <c r="AD75" s="42">
        <f t="shared" si="157"/>
        <v>1.6758853364518014</v>
      </c>
      <c r="AE75" s="42">
        <f t="shared" si="157"/>
        <v>2.5275785389771808</v>
      </c>
      <c r="AF75" s="42">
        <f t="shared" si="157"/>
        <v>35.801687142423518</v>
      </c>
      <c r="AG75" s="42">
        <f t="shared" si="157"/>
        <v>11.337655506016294</v>
      </c>
      <c r="AH75" s="42">
        <f t="shared" si="157"/>
        <v>0.78845578360522062</v>
      </c>
      <c r="AI75" s="42">
        <f t="shared" si="157"/>
        <v>3.2912895932235662</v>
      </c>
      <c r="AJ75" s="42">
        <f t="shared" si="157"/>
        <v>4.2307569460138517</v>
      </c>
      <c r="AK75" s="42">
        <f t="shared" si="157"/>
        <v>15.36255740370199</v>
      </c>
      <c r="AL75" s="42">
        <f t="shared" si="157"/>
        <v>37.369375348469418</v>
      </c>
      <c r="AM75" s="42">
        <f t="shared" si="157"/>
        <v>0.64952478288541105</v>
      </c>
      <c r="AN75" s="42">
        <f t="shared" si="157"/>
        <v>3.6230870561720905</v>
      </c>
      <c r="AO75" s="42">
        <f t="shared" si="157"/>
        <v>59.547324514146297</v>
      </c>
      <c r="AP75" s="42">
        <f t="shared" si="157"/>
        <v>61.393213695456907</v>
      </c>
      <c r="AQ75" s="42">
        <f t="shared" si="157"/>
        <v>12.296264065283388</v>
      </c>
      <c r="AR75" s="42">
        <f t="shared" si="157"/>
        <v>19.627149902798994</v>
      </c>
      <c r="AS75" s="42">
        <f t="shared" si="157"/>
        <v>31.518398865337641</v>
      </c>
      <c r="AT75" s="42">
        <f t="shared" si="157"/>
        <v>1.1743264947182215</v>
      </c>
      <c r="AU75" s="42">
        <f t="shared" si="157"/>
        <v>27.647926182071984</v>
      </c>
      <c r="AV75" s="42">
        <f t="shared" si="157"/>
        <v>1.6680962618264175</v>
      </c>
      <c r="AW75" s="42">
        <f t="shared" si="157"/>
        <v>41.232860891336522</v>
      </c>
      <c r="AX75" s="42">
        <f t="shared" si="157"/>
        <v>2.8897792254131622</v>
      </c>
      <c r="AY75" s="42">
        <f t="shared" si="157"/>
        <v>2.0856305437634667E-2</v>
      </c>
      <c r="AZ75" s="42">
        <f t="shared" si="157"/>
        <v>2.0741487177883627E-2</v>
      </c>
    </row>
    <row r="76" spans="1:52" x14ac:dyDescent="0.25">
      <c r="A76" s="66" t="s">
        <v>1085</v>
      </c>
      <c r="B76" s="49">
        <v>1.339E-6</v>
      </c>
      <c r="C76" s="67">
        <f t="shared" ref="C76:AB76" si="158">IFERROR($B76/C27,0)</f>
        <v>0</v>
      </c>
      <c r="D76" s="42">
        <f t="shared" ref="D76:AA76" si="159">IFERROR(D27/$B62,0)</f>
        <v>0</v>
      </c>
      <c r="E76" s="42">
        <f t="shared" si="159"/>
        <v>0</v>
      </c>
      <c r="F76" s="42">
        <f t="shared" si="159"/>
        <v>0</v>
      </c>
      <c r="G76" s="42">
        <f t="shared" si="159"/>
        <v>0</v>
      </c>
      <c r="H76" s="42">
        <f t="shared" si="159"/>
        <v>0</v>
      </c>
      <c r="I76" s="42">
        <f t="shared" si="159"/>
        <v>0</v>
      </c>
      <c r="J76" s="42">
        <f t="shared" si="159"/>
        <v>0</v>
      </c>
      <c r="K76" s="42">
        <f t="shared" si="159"/>
        <v>0</v>
      </c>
      <c r="L76" s="42">
        <f t="shared" si="159"/>
        <v>0</v>
      </c>
      <c r="M76" s="42">
        <f t="shared" si="159"/>
        <v>0</v>
      </c>
      <c r="N76" s="42">
        <f t="shared" si="159"/>
        <v>0</v>
      </c>
      <c r="O76" s="42">
        <f t="shared" si="159"/>
        <v>0</v>
      </c>
      <c r="P76" s="42">
        <f t="shared" si="159"/>
        <v>0</v>
      </c>
      <c r="Q76" s="42">
        <f t="shared" si="159"/>
        <v>0</v>
      </c>
      <c r="R76" s="42">
        <f t="shared" si="159"/>
        <v>0</v>
      </c>
      <c r="S76" s="42">
        <f t="shared" si="159"/>
        <v>0</v>
      </c>
      <c r="T76" s="42">
        <f t="shared" si="159"/>
        <v>0</v>
      </c>
      <c r="U76" s="42">
        <f t="shared" si="159"/>
        <v>0</v>
      </c>
      <c r="V76" s="42">
        <f t="shared" si="159"/>
        <v>0</v>
      </c>
      <c r="W76" s="42">
        <f t="shared" si="159"/>
        <v>0</v>
      </c>
      <c r="X76" s="42">
        <f t="shared" si="159"/>
        <v>0</v>
      </c>
      <c r="Y76" s="42">
        <f t="shared" si="159"/>
        <v>0</v>
      </c>
      <c r="Z76" s="42">
        <f t="shared" si="159"/>
        <v>0</v>
      </c>
      <c r="AA76" s="42">
        <f t="shared" si="159"/>
        <v>0</v>
      </c>
      <c r="AB76" s="67">
        <f t="shared" si="158"/>
        <v>0</v>
      </c>
      <c r="AC76" s="42">
        <f t="shared" ref="AC76:AZ76" si="160">IFERROR(AC27/$B62,0)</f>
        <v>0</v>
      </c>
      <c r="AD76" s="42">
        <f t="shared" si="160"/>
        <v>0</v>
      </c>
      <c r="AE76" s="42">
        <f t="shared" si="160"/>
        <v>0</v>
      </c>
      <c r="AF76" s="42">
        <f t="shared" si="160"/>
        <v>0</v>
      </c>
      <c r="AG76" s="42">
        <f t="shared" si="160"/>
        <v>0</v>
      </c>
      <c r="AH76" s="42">
        <f t="shared" si="160"/>
        <v>0</v>
      </c>
      <c r="AI76" s="42">
        <f t="shared" si="160"/>
        <v>0</v>
      </c>
      <c r="AJ76" s="42">
        <f t="shared" si="160"/>
        <v>0</v>
      </c>
      <c r="AK76" s="42">
        <f t="shared" si="160"/>
        <v>0</v>
      </c>
      <c r="AL76" s="42">
        <f t="shared" si="160"/>
        <v>0</v>
      </c>
      <c r="AM76" s="42">
        <f t="shared" si="160"/>
        <v>0</v>
      </c>
      <c r="AN76" s="42">
        <f t="shared" si="160"/>
        <v>0</v>
      </c>
      <c r="AO76" s="42">
        <f t="shared" si="160"/>
        <v>0</v>
      </c>
      <c r="AP76" s="42">
        <f t="shared" si="160"/>
        <v>0</v>
      </c>
      <c r="AQ76" s="42">
        <f t="shared" si="160"/>
        <v>0</v>
      </c>
      <c r="AR76" s="42">
        <f t="shared" si="160"/>
        <v>0</v>
      </c>
      <c r="AS76" s="42">
        <f t="shared" si="160"/>
        <v>0</v>
      </c>
      <c r="AT76" s="42">
        <f t="shared" si="160"/>
        <v>0</v>
      </c>
      <c r="AU76" s="42">
        <f t="shared" si="160"/>
        <v>0</v>
      </c>
      <c r="AV76" s="42">
        <f t="shared" si="160"/>
        <v>0</v>
      </c>
      <c r="AW76" s="42">
        <f t="shared" si="160"/>
        <v>0</v>
      </c>
      <c r="AX76" s="42">
        <f t="shared" si="160"/>
        <v>0</v>
      </c>
      <c r="AY76" s="42">
        <f t="shared" si="160"/>
        <v>0</v>
      </c>
      <c r="AZ76" s="42">
        <f t="shared" si="160"/>
        <v>0</v>
      </c>
    </row>
  </sheetData>
  <sheetProtection algorithmName="SHA-512" hashValue="PhxO8FDelOu8zDwrDxiEkyA9ZlpWIUP7iVWt8ujogWy5JlT6cvVl8JvApCby9786cmZxl8lUkDXaFv/RM6DPdA==" saltValue="O8iFbe2PfSKM+ewVfHNRgA==" spinCount="100000" sheet="1" objects="1" scenarios="1" formatColumns="0" formatRows="0" autoFilter="0"/>
  <autoFilter ref="A1:AZ76" xr:uid="{00000000-0009-0000-0000-000004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Z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 defaultRowHeight="15" x14ac:dyDescent="0.25"/>
  <cols>
    <col min="1" max="1" width="14.5703125" style="47" bestFit="1" customWidth="1"/>
    <col min="2" max="2" width="11.7109375" style="47" bestFit="1" customWidth="1"/>
    <col min="3" max="3" width="21.140625" style="49" bestFit="1" customWidth="1"/>
    <col min="4" max="4" width="11" style="49" bestFit="1" customWidth="1"/>
    <col min="5" max="5" width="10.85546875" style="49" bestFit="1" customWidth="1"/>
    <col min="6" max="6" width="10.140625" style="49" bestFit="1" customWidth="1"/>
    <col min="7" max="7" width="10.85546875" style="49" bestFit="1" customWidth="1"/>
    <col min="8" max="8" width="10.140625" style="49" bestFit="1" customWidth="1"/>
    <col min="9" max="9" width="10.28515625" style="49" bestFit="1" customWidth="1"/>
    <col min="10" max="10" width="9.5703125" style="49" bestFit="1" customWidth="1"/>
    <col min="11" max="11" width="11" style="49" bestFit="1" customWidth="1"/>
    <col min="12" max="12" width="10.140625" style="49" bestFit="1" customWidth="1"/>
    <col min="13" max="13" width="11.85546875" style="49" bestFit="1" customWidth="1"/>
    <col min="14" max="14" width="9.28515625" style="49" bestFit="1" customWidth="1"/>
    <col min="15" max="16" width="10" style="49" bestFit="1" customWidth="1"/>
    <col min="17" max="17" width="11.140625" style="49" bestFit="1" customWidth="1"/>
    <col min="18" max="18" width="11.28515625" style="49" bestFit="1" customWidth="1"/>
    <col min="19" max="19" width="10.140625" style="49" bestFit="1" customWidth="1"/>
    <col min="20" max="20" width="9.42578125" style="49" bestFit="1" customWidth="1"/>
    <col min="21" max="21" width="10.85546875" style="49" bestFit="1" customWidth="1"/>
    <col min="22" max="22" width="11.28515625" style="49" bestFit="1" customWidth="1"/>
    <col min="23" max="23" width="10.28515625" style="49" bestFit="1" customWidth="1"/>
    <col min="24" max="24" width="11" style="49" bestFit="1" customWidth="1"/>
    <col min="25" max="25" width="9.85546875" style="49" bestFit="1" customWidth="1"/>
    <col min="26" max="26" width="9.42578125" style="49" bestFit="1" customWidth="1"/>
    <col min="27" max="27" width="11.28515625" style="49" bestFit="1" customWidth="1"/>
    <col min="28" max="28" width="20.85546875" style="49" bestFit="1" customWidth="1"/>
    <col min="29" max="29" width="10.7109375" style="49" bestFit="1" customWidth="1"/>
    <col min="30" max="30" width="10.5703125" style="49" bestFit="1" customWidth="1"/>
    <col min="31" max="31" width="10" style="49" bestFit="1" customWidth="1"/>
    <col min="32" max="32" width="10.5703125" style="49" bestFit="1" customWidth="1"/>
    <col min="33" max="33" width="10" style="49" bestFit="1" customWidth="1"/>
    <col min="34" max="34" width="10.140625" style="49" bestFit="1" customWidth="1"/>
    <col min="35" max="35" width="9.42578125" style="49" bestFit="1" customWidth="1"/>
    <col min="36" max="36" width="10.7109375" style="49" bestFit="1" customWidth="1"/>
    <col min="37" max="37" width="10" style="49" bestFit="1" customWidth="1"/>
    <col min="38" max="38" width="11.5703125" style="49" bestFit="1" customWidth="1"/>
    <col min="39" max="39" width="9.140625" style="49" bestFit="1" customWidth="1"/>
    <col min="40" max="40" width="9.7109375" style="49" bestFit="1" customWidth="1"/>
    <col min="41" max="41" width="9.85546875" style="49" bestFit="1" customWidth="1"/>
    <col min="42" max="42" width="11" style="49" bestFit="1" customWidth="1"/>
    <col min="43" max="43" width="11.140625" style="49" bestFit="1" customWidth="1"/>
    <col min="44" max="44" width="10" style="49" bestFit="1" customWidth="1"/>
    <col min="45" max="45" width="9.28515625" style="49" bestFit="1" customWidth="1"/>
    <col min="46" max="46" width="10.7109375" style="49" bestFit="1" customWidth="1"/>
    <col min="47" max="47" width="11" style="49" bestFit="1" customWidth="1"/>
    <col min="48" max="48" width="10" style="49" bestFit="1" customWidth="1"/>
    <col min="49" max="49" width="10.7109375" style="49" bestFit="1" customWidth="1"/>
    <col min="50" max="50" width="9.5703125" style="49" bestFit="1" customWidth="1"/>
    <col min="51" max="51" width="9.28515625" style="49" bestFit="1" customWidth="1"/>
    <col min="52" max="52" width="10.28515625" style="49" bestFit="1" customWidth="1"/>
    <col min="53" max="16384" width="9" style="49"/>
  </cols>
  <sheetData>
    <row r="1" spans="1:52" x14ac:dyDescent="0.25">
      <c r="A1" s="57" t="s">
        <v>39</v>
      </c>
      <c r="B1" s="58" t="s">
        <v>335</v>
      </c>
      <c r="C1" s="59" t="s">
        <v>724</v>
      </c>
      <c r="D1" s="49" t="s">
        <v>554</v>
      </c>
      <c r="E1" s="49" t="s">
        <v>558</v>
      </c>
      <c r="F1" s="49" t="s">
        <v>555</v>
      </c>
      <c r="G1" s="49" t="s">
        <v>556</v>
      </c>
      <c r="H1" s="49" t="s">
        <v>557</v>
      </c>
      <c r="I1" s="49" t="s">
        <v>559</v>
      </c>
      <c r="J1" s="49" t="s">
        <v>560</v>
      </c>
      <c r="K1" s="49" t="s">
        <v>561</v>
      </c>
      <c r="L1" s="49" t="s">
        <v>562</v>
      </c>
      <c r="M1" s="49" t="s">
        <v>563</v>
      </c>
      <c r="N1" s="49" t="s">
        <v>564</v>
      </c>
      <c r="O1" s="49" t="s">
        <v>565</v>
      </c>
      <c r="P1" s="49" t="s">
        <v>566</v>
      </c>
      <c r="Q1" s="49" t="s">
        <v>567</v>
      </c>
      <c r="R1" s="49" t="s">
        <v>568</v>
      </c>
      <c r="S1" s="49" t="s">
        <v>569</v>
      </c>
      <c r="T1" s="49" t="s">
        <v>570</v>
      </c>
      <c r="U1" s="49" t="s">
        <v>571</v>
      </c>
      <c r="V1" s="49" t="s">
        <v>572</v>
      </c>
      <c r="W1" s="49" t="s">
        <v>573</v>
      </c>
      <c r="X1" s="49" t="s">
        <v>574</v>
      </c>
      <c r="Y1" s="49" t="s">
        <v>575</v>
      </c>
      <c r="Z1" s="49" t="s">
        <v>576</v>
      </c>
      <c r="AA1" s="49" t="s">
        <v>625</v>
      </c>
      <c r="AB1" s="49" t="s">
        <v>725</v>
      </c>
      <c r="AC1" s="49" t="s">
        <v>577</v>
      </c>
      <c r="AD1" s="49" t="s">
        <v>578</v>
      </c>
      <c r="AE1" s="49" t="s">
        <v>579</v>
      </c>
      <c r="AF1" s="49" t="s">
        <v>580</v>
      </c>
      <c r="AG1" s="49" t="s">
        <v>581</v>
      </c>
      <c r="AH1" s="49" t="s">
        <v>582</v>
      </c>
      <c r="AI1" s="49" t="s">
        <v>583</v>
      </c>
      <c r="AJ1" s="49" t="s">
        <v>584</v>
      </c>
      <c r="AK1" s="49" t="s">
        <v>585</v>
      </c>
      <c r="AL1" s="49" t="s">
        <v>586</v>
      </c>
      <c r="AM1" s="49" t="s">
        <v>587</v>
      </c>
      <c r="AN1" s="49" t="s">
        <v>588</v>
      </c>
      <c r="AO1" s="49" t="s">
        <v>589</v>
      </c>
      <c r="AP1" s="49" t="s">
        <v>590</v>
      </c>
      <c r="AQ1" s="49" t="s">
        <v>591</v>
      </c>
      <c r="AR1" s="49" t="s">
        <v>592</v>
      </c>
      <c r="AS1" s="49" t="s">
        <v>593</v>
      </c>
      <c r="AT1" s="49" t="s">
        <v>594</v>
      </c>
      <c r="AU1" s="49" t="s">
        <v>595</v>
      </c>
      <c r="AV1" s="49" t="s">
        <v>596</v>
      </c>
      <c r="AW1" s="49" t="s">
        <v>597</v>
      </c>
      <c r="AX1" s="49" t="s">
        <v>598</v>
      </c>
      <c r="AY1" s="49" t="s">
        <v>599</v>
      </c>
      <c r="AZ1" s="49" t="s">
        <v>600</v>
      </c>
    </row>
    <row r="2" spans="1:52" ht="15" customHeight="1" x14ac:dyDescent="0.25">
      <c r="A2" s="61" t="s">
        <v>0</v>
      </c>
      <c r="B2" s="49" t="s">
        <v>1059</v>
      </c>
      <c r="C2" s="48">
        <f t="shared" ref="C2" si="0">IFERROR(1/SUM(1/D2,1/E2,1/F2,1/G2,1/H2,1/I2,1/J2,1/K2,1/L2,1/M2,1/N2,1/O2,1/P2,1/Q2,1/R2,1/S2,1/T2,1/U2,1/V2,1/W2,1/X2,1/Y2),".")</f>
        <v>3.0084110580217227</v>
      </c>
      <c r="D2" s="48">
        <f>IFERROR(IF(AND(Irr!C2&lt;&gt;".",Irr!AA2&lt;&gt;".",Irr!AY2&lt;&gt;"."),dir!D2/((1/1000)*(Irr!C2+Irr!AA2+Irr!AY2)),IF(AND(Irr!C2&lt;&gt;".",Irr!AA2&lt;&gt;".",Irr!AY2="."),dir!D2/((1/1000)*(Irr!C2+Irr!AA2)),IF(AND(Irr!C2&lt;&gt;".",Irr!AA2=".",Irr!AY2&lt;&gt;"."),dir!D2/((1/1000)*(Irr!C2+Irr!AY2)),IF(AND(Irr!C2=".",Irr!AA2&lt;&gt;".",Irr!AY2&lt;&gt;"."),dir!D2/((1/1000)*(Irr!AA2+Irr!AY2)),IF(AND(Irr!C2=".",Irr!AA2=".",Irr!AY2&lt;&gt;"."),dir!D2/((1/1000)*(Irr!AY2)),IF(AND(Irr!C2=".",Irr!AA2&lt;&gt;".",Irr!AY2="."),dir!D2/((1/1000)*(Irr!AA2)),IF(AND(Irr!C2&lt;&gt;".",Irr!AA2=".",Irr!AY2="."),dir!D2/((1/1000)*(Irr!C2)),IF(AND(Irr!C2=".",Irr!AA2=".",Irr!AY2="."),dir!D2*1000)))))))),".")</f>
        <v>54.637726583364781</v>
      </c>
      <c r="E2" s="48">
        <f>IFERROR(IF(AND(Irr!D2&lt;&gt;".",Irr!AB2&lt;&gt;".",Irr!AZ2&lt;&gt;"."),dir!E2/((1/1000)*(Irr!D2+Irr!AB2+Irr!AZ2)),IF(AND(Irr!D2&lt;&gt;".",Irr!AB2&lt;&gt;".",Irr!AZ2="."),dir!E2/((1/1000)*(Irr!D2+Irr!AB2)),IF(AND(Irr!D2&lt;&gt;".",Irr!AB2=".",Irr!AZ2&lt;&gt;"."),dir!E2/((1/1000)*(Irr!D2+Irr!AZ2)),IF(AND(Irr!D2=".",Irr!AB2&lt;&gt;".",Irr!AZ2&lt;&gt;"."),dir!E2/((1/1000)*(Irr!AB2+Irr!AZ2)),IF(AND(Irr!D2=".",Irr!AB2=".",Irr!AZ2&lt;&gt;"."),dir!E2/((1/1000)*(Irr!AZ2)),IF(AND(Irr!D2=".",Irr!AB2&lt;&gt;".",Irr!AZ2="."),dir!E2/((1/1000)*(Irr!AB2)),IF(AND(Irr!D2&lt;&gt;".",Irr!AB2=".",Irr!AZ2="."),dir!E2/((1/1000)*(Irr!D2)),IF(AND(Irr!D2=".",Irr!AB2=".",Irr!AZ2="."),dir!E2*1000)))))))),".")</f>
        <v>121.47127823539485</v>
      </c>
      <c r="F2" s="48">
        <f>IFERROR(IF(AND(Irr!E2&lt;&gt;".",Irr!AC2&lt;&gt;".",Irr!BA2&lt;&gt;"."),dir!F2/((1/1000)*(Irr!E2+Irr!AC2+Irr!BA2)),IF(AND(Irr!E2&lt;&gt;".",Irr!AC2&lt;&gt;".",Irr!BA2="."),dir!F2/((1/1000)*(Irr!E2+Irr!AC2)),IF(AND(Irr!E2&lt;&gt;".",Irr!AC2=".",Irr!BA2&lt;&gt;"."),dir!F2/((1/1000)*(Irr!E2+Irr!BA2)),IF(AND(Irr!E2=".",Irr!AC2&lt;&gt;".",Irr!BA2&lt;&gt;"."),dir!F2/((1/1000)*(Irr!AC2+Irr!BA2)),IF(AND(Irr!E2=".",Irr!AC2=".",Irr!BA2&lt;&gt;"."),dir!F2/((1/1000)*(Irr!BA2)),IF(AND(Irr!E2=".",Irr!AC2&lt;&gt;".",Irr!BA2="."),dir!F2/((1/1000)*(Irr!AC2)),IF(AND(Irr!E2&lt;&gt;".",Irr!AC2=".",Irr!BA2="."),dir!F2/((1/1000)*(Irr!E2)),IF(AND(Irr!E2=".",Irr!AC2=".",Irr!BA2="."),dir!F2*1000)))))))),".")</f>
        <v>148.47430433972849</v>
      </c>
      <c r="G2" s="48">
        <f>IFERROR(IF(AND(Irr!F2&lt;&gt;".",Irr!AD2&lt;&gt;".",Irr!BB2&lt;&gt;"."),dir!G2/((1/1000)*(Irr!F2+Irr!AD2+Irr!BB2)),IF(AND(Irr!F2&lt;&gt;".",Irr!AD2&lt;&gt;".",Irr!BB2="."),dir!G2/((1/1000)*(Irr!F2+Irr!AD2)),IF(AND(Irr!F2&lt;&gt;".",Irr!AD2=".",Irr!BB2&lt;&gt;"."),dir!G2/((1/1000)*(Irr!F2+Irr!BB2)),IF(AND(Irr!F2=".",Irr!AD2&lt;&gt;".",Irr!BB2&lt;&gt;"."),dir!G2/((1/1000)*(Irr!AD2+Irr!BB2)),IF(AND(Irr!F2=".",Irr!AD2=".",Irr!BB2&lt;&gt;"."),dir!G2/((1/1000)*(Irr!BB2)),IF(AND(Irr!F2=".",Irr!AD2&lt;&gt;".",Irr!BB2="."),dir!G2/((1/1000)*(Irr!AD2)),IF(AND(Irr!F2&lt;&gt;".",Irr!AD2=".",Irr!BB2="."),dir!G2/((1/1000)*(Irr!F2)),IF(AND(Irr!F2=".",Irr!AD2=".",Irr!BB2="."),dir!G2*1000)))))))),".")</f>
        <v>122.35436120869856</v>
      </c>
      <c r="H2" s="48">
        <f>IFERROR(IF(AND(Irr!G2&lt;&gt;".",Irr!AE2&lt;&gt;".",Irr!BC2&lt;&gt;"."),dir!H2/((1/1000)*(Irr!G2+Irr!AE2+Irr!BC2)),IF(AND(Irr!G2&lt;&gt;".",Irr!AE2&lt;&gt;".",Irr!BC2="."),dir!H2/((1/1000)*(Irr!G2+Irr!AE2)),IF(AND(Irr!G2&lt;&gt;".",Irr!AE2=".",Irr!BC2&lt;&gt;"."),dir!H2/((1/1000)*(Irr!G2+Irr!BC2)),IF(AND(Irr!G2=".",Irr!AE2&lt;&gt;".",Irr!BC2&lt;&gt;"."),dir!H2/((1/1000)*(Irr!AE2+Irr!BC2)),IF(AND(Irr!G2=".",Irr!AE2=".",Irr!BC2&lt;&gt;"."),dir!H2/((1/1000)*(Irr!BC2)),IF(AND(Irr!G2=".",Irr!AE2&lt;&gt;".",Irr!BC2="."),dir!H2/((1/1000)*(Irr!AE2)),IF(AND(Irr!G2&lt;&gt;".",Irr!AE2=".",Irr!BC2="."),dir!H2/((1/1000)*(Irr!G2)),IF(AND(Irr!G2=".",Irr!AE2=".",Irr!BC2="."),dir!H2*1000)))))))),".")</f>
        <v>143.75161999564818</v>
      </c>
      <c r="I2" s="48">
        <f>IFERROR(IF(AND(Irr!H2&lt;&gt;".",Irr!AF2&lt;&gt;".",Irr!BD2&lt;&gt;"."),dir!I2/((1/1000)*(Irr!H2+Irr!AF2+Irr!BD2)),IF(AND(Irr!H2&lt;&gt;".",Irr!AF2&lt;&gt;".",Irr!BD2="."),dir!I2/((1/1000)*(Irr!H2+Irr!AF2)),IF(AND(Irr!H2&lt;&gt;".",Irr!AF2=".",Irr!BD2&lt;&gt;"."),dir!I2/((1/1000)*(Irr!H2+Irr!BD2)),IF(AND(Irr!H2=".",Irr!AF2&lt;&gt;".",Irr!BD2&lt;&gt;"."),dir!I2/((1/1000)*(Irr!AF2+Irr!BD2)),IF(AND(Irr!H2=".",Irr!AF2=".",Irr!BD2&lt;&gt;"."),dir!I2/((1/1000)*(Irr!BD2)),IF(AND(Irr!H2=".",Irr!AF2&lt;&gt;".",Irr!BD2="."),dir!I2/((1/1000)*(Irr!AF2)),IF(AND(Irr!H2&lt;&gt;".",Irr!AF2=".",Irr!BD2="."),dir!I2/((1/1000)*(Irr!H2)),IF(AND(Irr!H2=".",Irr!AF2=".",Irr!BD2="."),dir!I2*1000)))))))),".")</f>
        <v>54.377058797737611</v>
      </c>
      <c r="J2" s="48">
        <f>IFERROR(IF(AND(Irr!I2&lt;&gt;".",Irr!AG2&lt;&gt;".",Irr!BE2&lt;&gt;"."),dir!J2/((1/1000)*(Irr!I2+Irr!AG2+Irr!BE2)),IF(AND(Irr!I2&lt;&gt;".",Irr!AG2&lt;&gt;".",Irr!BE2="."),dir!J2/((1/1000)*(Irr!I2+Irr!AG2)),IF(AND(Irr!I2&lt;&gt;".",Irr!AG2=".",Irr!BE2&lt;&gt;"."),dir!J2/((1/1000)*(Irr!I2+Irr!BE2)),IF(AND(Irr!I2=".",Irr!AG2&lt;&gt;".",Irr!BE2&lt;&gt;"."),dir!J2/((1/1000)*(Irr!AG2+Irr!BE2)),IF(AND(Irr!I2=".",Irr!AG2=".",Irr!BE2&lt;&gt;"."),dir!J2/((1/1000)*(Irr!BE2)),IF(AND(Irr!I2=".",Irr!AG2&lt;&gt;".",Irr!BE2="."),dir!J2/((1/1000)*(Irr!AG2)),IF(AND(Irr!I2&lt;&gt;".",Irr!AG2=".",Irr!BE2="."),dir!J2/((1/1000)*(Irr!I2)),IF(AND(Irr!I2=".",Irr!AG2=".",Irr!BE2="."),dir!J2*1000)))))))),".")</f>
        <v>164.0380424685072</v>
      </c>
      <c r="K2" s="48">
        <f>IFERROR(IF(AND(Irr!J2&lt;&gt;".",Irr!AH2&lt;&gt;".",Irr!BF2&lt;&gt;"."),dir!K2/((1/1000)*(Irr!J2+Irr!AH2+Irr!BF2)),IF(AND(Irr!J2&lt;&gt;".",Irr!AH2&lt;&gt;".",Irr!BF2="."),dir!K2/((1/1000)*(Irr!J2+Irr!AH2)),IF(AND(Irr!J2&lt;&gt;".",Irr!AH2=".",Irr!BF2&lt;&gt;"."),dir!K2/((1/1000)*(Irr!J2+Irr!BF2)),IF(AND(Irr!J2=".",Irr!AH2&lt;&gt;".",Irr!BF2&lt;&gt;"."),dir!K2/((1/1000)*(Irr!AH2+Irr!BF2)),IF(AND(Irr!J2=".",Irr!AH2=".",Irr!BF2&lt;&gt;"."),dir!K2/((1/1000)*(Irr!BF2)),IF(AND(Irr!J2=".",Irr!AH2&lt;&gt;".",Irr!BF2="."),dir!K2/((1/1000)*(Irr!AH2)),IF(AND(Irr!J2&lt;&gt;".",Irr!AH2=".",Irr!BF2="."),dir!K2/((1/1000)*(Irr!J2)),IF(AND(Irr!J2=".",Irr!AH2=".",Irr!BF2="."),dir!K2*1000)))))))),".")</f>
        <v>14.168739186362791</v>
      </c>
      <c r="L2" s="48">
        <f>IFERROR(IF(AND(Irr!K2&lt;&gt;".",Irr!AI2&lt;&gt;".",Irr!BG2&lt;&gt;"."),dir!L2/((1/1000)*(Irr!K2+Irr!AI2+Irr!BG2)),IF(AND(Irr!K2&lt;&gt;".",Irr!AI2&lt;&gt;".",Irr!BG2="."),dir!L2/((1/1000)*(Irr!K2+Irr!AI2)),IF(AND(Irr!K2&lt;&gt;".",Irr!AI2=".",Irr!BG2&lt;&gt;"."),dir!L2/((1/1000)*(Irr!K2+Irr!BG2)),IF(AND(Irr!K2=".",Irr!AI2&lt;&gt;".",Irr!BG2&lt;&gt;"."),dir!L2/((1/1000)*(Irr!AI2+Irr!BG2)),IF(AND(Irr!K2=".",Irr!AI2=".",Irr!BG2&lt;&gt;"."),dir!L2/((1/1000)*(Irr!BG2)),IF(AND(Irr!K2=".",Irr!AI2&lt;&gt;".",Irr!BG2="."),dir!L2/((1/1000)*(Irr!AI2)),IF(AND(Irr!K2&lt;&gt;".",Irr!AI2=".",Irr!BG2="."),dir!L2/((1/1000)*(Irr!K2)),IF(AND(Irr!K2=".",Irr!AI2=".",Irr!BG2="."),dir!L2*1000)))))))),".")</f>
        <v>77.805393686649836</v>
      </c>
      <c r="M2" s="48">
        <f>IFERROR(IF(AND(Irr!L2&lt;&gt;".",Irr!AJ2&lt;&gt;".",Irr!BH2&lt;&gt;"."),dir!M2/((1/1000)*(Irr!L2+Irr!AJ2+Irr!BH2)),IF(AND(Irr!L2&lt;&gt;".",Irr!AJ2&lt;&gt;".",Irr!BH2="."),dir!M2/((1/1000)*(Irr!L2+Irr!AJ2)),IF(AND(Irr!L2&lt;&gt;".",Irr!AJ2=".",Irr!BH2&lt;&gt;"."),dir!M2/((1/1000)*(Irr!L2+Irr!BH2)),IF(AND(Irr!L2=".",Irr!AJ2&lt;&gt;".",Irr!BH2&lt;&gt;"."),dir!M2/((1/1000)*(Irr!AJ2+Irr!BH2)),IF(AND(Irr!L2=".",Irr!AJ2=".",Irr!BH2&lt;&gt;"."),dir!M2/((1/1000)*(Irr!BH2)),IF(AND(Irr!L2=".",Irr!AJ2&lt;&gt;".",Irr!BH2="."),dir!M2/((1/1000)*(Irr!AJ2)),IF(AND(Irr!L2&lt;&gt;".",Irr!AJ2=".",Irr!BH2="."),dir!M2/((1/1000)*(Irr!L2)),IF(AND(Irr!L2=".",Irr!AJ2=".",Irr!BH2="."),dir!M2*1000)))))))),".")</f>
        <v>57.910561241308876</v>
      </c>
      <c r="N2" s="48">
        <f>IFERROR(IF(AND(Irr!M2&lt;&gt;".",Irr!AK2&lt;&gt;".",Irr!BI2&lt;&gt;"."),dir!N2/((1/1000)*(Irr!M2+Irr!AK2+Irr!BI2)),IF(AND(Irr!M2&lt;&gt;".",Irr!AK2&lt;&gt;".",Irr!BI2="."),dir!N2/((1/1000)*(Irr!M2+Irr!AK2)),IF(AND(Irr!M2&lt;&gt;".",Irr!AK2=".",Irr!BI2&lt;&gt;"."),dir!N2/((1/1000)*(Irr!M2+Irr!BI2)),IF(AND(Irr!M2=".",Irr!AK2&lt;&gt;".",Irr!BI2&lt;&gt;"."),dir!N2/((1/1000)*(Irr!AK2+Irr!BI2)),IF(AND(Irr!M2=".",Irr!AK2=".",Irr!BI2&lt;&gt;"."),dir!N2/((1/1000)*(Irr!BI2)),IF(AND(Irr!M2=".",Irr!AK2&lt;&gt;".",Irr!BI2="."),dir!N2/((1/1000)*(Irr!AK2)),IF(AND(Irr!M2&lt;&gt;".",Irr!AK2=".",Irr!BI2="."),dir!N2/((1/1000)*(Irr!M2)),IF(AND(Irr!M2=".",Irr!AK2=".",Irr!BI2="."),dir!N2*1000)))))))),".")</f>
        <v>118.9170836630222</v>
      </c>
      <c r="O2" s="48">
        <f>IFERROR(IF(AND(Irr!N2&lt;&gt;".",Irr!AL2&lt;&gt;".",Irr!BJ2&lt;&gt;"."),dir!O2/((1/1000)*(Irr!N2+Irr!AL2+Irr!BJ2)),IF(AND(Irr!N2&lt;&gt;".",Irr!AL2&lt;&gt;".",Irr!BJ2="."),dir!O2/((1/1000)*(Irr!N2+Irr!AL2)),IF(AND(Irr!N2&lt;&gt;".",Irr!AL2=".",Irr!BJ2&lt;&gt;"."),dir!O2/((1/1000)*(Irr!N2+Irr!BJ2)),IF(AND(Irr!N2=".",Irr!AL2&lt;&gt;".",Irr!BJ2&lt;&gt;"."),dir!O2/((1/1000)*(Irr!AL2+Irr!BJ2)),IF(AND(Irr!N2=".",Irr!AL2=".",Irr!BJ2&lt;&gt;"."),dir!O2/((1/1000)*(Irr!BJ2)),IF(AND(Irr!N2=".",Irr!AL2&lt;&gt;".",Irr!BJ2="."),dir!O2/((1/1000)*(Irr!AL2)),IF(AND(Irr!N2&lt;&gt;".",Irr!AL2=".",Irr!BJ2="."),dir!O2/((1/1000)*(Irr!N2)),IF(AND(Irr!N2=".",Irr!AL2=".",Irr!BJ2="."),dir!O2*1000)))))))),".")</f>
        <v>140.6245666449166</v>
      </c>
      <c r="P2" s="48">
        <f>IFERROR(IF(AND(Irr!O2&lt;&gt;".",Irr!AM2&lt;&gt;".",Irr!BK2&lt;&gt;"."),dir!P2/((1/1000)*(Irr!O2+Irr!AM2+Irr!BK2)),IF(AND(Irr!O2&lt;&gt;".",Irr!AM2&lt;&gt;".",Irr!BK2="."),dir!P2/((1/1000)*(Irr!O2+Irr!AM2)),IF(AND(Irr!O2&lt;&gt;".",Irr!AM2=".",Irr!BK2&lt;&gt;"."),dir!P2/((1/1000)*(Irr!O2+Irr!BK2)),IF(AND(Irr!O2=".",Irr!AM2&lt;&gt;".",Irr!BK2&lt;&gt;"."),dir!P2/((1/1000)*(Irr!AM2+Irr!BK2)),IF(AND(Irr!O2=".",Irr!AM2=".",Irr!BK2&lt;&gt;"."),dir!P2/((1/1000)*(Irr!BK2)),IF(AND(Irr!O2=".",Irr!AM2&lt;&gt;".",Irr!BK2="."),dir!P2/((1/1000)*(Irr!AM2)),IF(AND(Irr!O2&lt;&gt;".",Irr!AM2=".",Irr!BK2="."),dir!P2/((1/1000)*(Irr!O2)),IF(AND(Irr!O2=".",Irr!AM2=".",Irr!BK2="."),dir!P2*1000)))))))),".")</f>
        <v>163.8975248980237</v>
      </c>
      <c r="Q2" s="48">
        <f>IFERROR(IF(AND(Irr!P2&lt;&gt;".",Irr!AN2&lt;&gt;".",Irr!BL2&lt;&gt;"."),dir!Q2/((1/1000)*(Irr!P2+Irr!AN2+Irr!BL2)),IF(AND(Irr!P2&lt;&gt;".",Irr!AN2&lt;&gt;".",Irr!BL2="."),dir!Q2/((1/1000)*(Irr!P2+Irr!AN2)),IF(AND(Irr!P2&lt;&gt;".",Irr!AN2=".",Irr!BL2&lt;&gt;"."),dir!Q2/((1/1000)*(Irr!P2+Irr!BL2)),IF(AND(Irr!P2=".",Irr!AN2&lt;&gt;".",Irr!BL2&lt;&gt;"."),dir!Q2/((1/1000)*(Irr!AN2+Irr!BL2)),IF(AND(Irr!P2=".",Irr!AN2=".",Irr!BL2&lt;&gt;"."),dir!Q2/((1/1000)*(Irr!BL2)),IF(AND(Irr!P2=".",Irr!AN2&lt;&gt;".",Irr!BL2="."),dir!Q2/((1/1000)*(Irr!AN2)),IF(AND(Irr!P2&lt;&gt;".",Irr!AN2=".",Irr!BL2="."),dir!Q2/((1/1000)*(Irr!P2)),IF(AND(Irr!P2=".",Irr!AN2=".",Irr!BL2="."),dir!Q2*1000)))))))),".")</f>
        <v>221.32461712307199</v>
      </c>
      <c r="R2" s="48">
        <f>IFERROR(IF(AND(Irr!Q2&lt;&gt;".",Irr!AO2&lt;&gt;".",Irr!BM2&lt;&gt;"."),dir!R2/((1/1000)*(Irr!Q2+Irr!AO2+Irr!BM2)),IF(AND(Irr!Q2&lt;&gt;".",Irr!AO2&lt;&gt;".",Irr!BM2="."),dir!R2/((1/1000)*(Irr!Q2+Irr!AO2)),IF(AND(Irr!Q2&lt;&gt;".",Irr!AO2=".",Irr!BM2&lt;&gt;"."),dir!R2/((1/1000)*(Irr!Q2+Irr!BM2)),IF(AND(Irr!Q2=".",Irr!AO2&lt;&gt;".",Irr!BM2&lt;&gt;"."),dir!R2/((1/1000)*(Irr!AO2+Irr!BM2)),IF(AND(Irr!Q2=".",Irr!AO2=".",Irr!BM2&lt;&gt;"."),dir!R2/((1/1000)*(Irr!BM2)),IF(AND(Irr!Q2=".",Irr!AO2&lt;&gt;".",Irr!BM2="."),dir!R2/((1/1000)*(Irr!AO2)),IF(AND(Irr!Q2&lt;&gt;".",Irr!AO2=".",Irr!BM2="."),dir!R2/((1/1000)*(Irr!Q2)),IF(AND(Irr!Q2=".",Irr!AO2=".",Irr!BM2="."),dir!R2*1000)))))))),".")</f>
        <v>34.94293817324963</v>
      </c>
      <c r="S2" s="48">
        <f>IFERROR(IF(AND(Irr!R2&lt;&gt;".",Irr!AP2&lt;&gt;".",Irr!BN2&lt;&gt;"."),dir!S2/((1/1000)*(Irr!R2+Irr!AP2+Irr!BN2)),IF(AND(Irr!R2&lt;&gt;".",Irr!AP2&lt;&gt;".",Irr!BN2="."),dir!S2/((1/1000)*(Irr!R2+Irr!AP2)),IF(AND(Irr!R2&lt;&gt;".",Irr!AP2=".",Irr!BN2&lt;&gt;"."),dir!S2/((1/1000)*(Irr!R2+Irr!BN2)),IF(AND(Irr!R2=".",Irr!AP2&lt;&gt;".",Irr!BN2&lt;&gt;"."),dir!S2/((1/1000)*(Irr!AP2+Irr!BN2)),IF(AND(Irr!R2=".",Irr!AP2=".",Irr!BN2&lt;&gt;"."),dir!S2/((1/1000)*(Irr!BN2)),IF(AND(Irr!R2=".",Irr!AP2&lt;&gt;".",Irr!BN2="."),dir!S2/((1/1000)*(Irr!AP2)),IF(AND(Irr!R2&lt;&gt;".",Irr!AP2=".",Irr!BN2="."),dir!S2/((1/1000)*(Irr!R2)),IF(AND(Irr!R2=".",Irr!AP2=".",Irr!BN2="."),dir!S2*1000)))))))),".")</f>
        <v>72.583948029517813</v>
      </c>
      <c r="T2" s="48">
        <f>IFERROR(IF(AND(Irr!S2&lt;&gt;".",Irr!AQ2&lt;&gt;".",Irr!BO2&lt;&gt;"."),dir!T2/((1/1000)*(Irr!S2+Irr!AQ2+Irr!BO2)),IF(AND(Irr!S2&lt;&gt;".",Irr!AQ2&lt;&gt;".",Irr!BO2="."),dir!T2/((1/1000)*(Irr!S2+Irr!AQ2)),IF(AND(Irr!S2&lt;&gt;".",Irr!AQ2=".",Irr!BO2&lt;&gt;"."),dir!T2/((1/1000)*(Irr!S2+Irr!BO2)),IF(AND(Irr!S2=".",Irr!AQ2&lt;&gt;".",Irr!BO2&lt;&gt;"."),dir!T2/((1/1000)*(Irr!AQ2+Irr!BO2)),IF(AND(Irr!S2=".",Irr!AQ2=".",Irr!BO2&lt;&gt;"."),dir!T2/((1/1000)*(Irr!BO2)),IF(AND(Irr!S2=".",Irr!AQ2&lt;&gt;".",Irr!BO2="."),dir!T2/((1/1000)*(Irr!AQ2)),IF(AND(Irr!S2&lt;&gt;".",Irr!AQ2=".",Irr!BO2="."),dir!T2/((1/1000)*(Irr!S2)),IF(AND(Irr!S2=".",Irr!AQ2=".",Irr!BO2="."),dir!T2*1000)))))))),".")</f>
        <v>115.67941221736262</v>
      </c>
      <c r="U2" s="48">
        <f>IFERROR(IF(AND(Irr!T2&lt;&gt;".",Irr!AR2&lt;&gt;".",Irr!BP2&lt;&gt;"."),dir!U2/((1/1000)*(Irr!T2+Irr!AR2+Irr!BP2)),IF(AND(Irr!T2&lt;&gt;".",Irr!AR2&lt;&gt;".",Irr!BP2="."),dir!U2/((1/1000)*(Irr!T2+Irr!AR2)),IF(AND(Irr!T2&lt;&gt;".",Irr!AR2=".",Irr!BP2&lt;&gt;"."),dir!U2/((1/1000)*(Irr!T2+Irr!BP2)),IF(AND(Irr!T2=".",Irr!AR2&lt;&gt;".",Irr!BP2&lt;&gt;"."),dir!U2/((1/1000)*(Irr!AR2+Irr!BP2)),IF(AND(Irr!T2=".",Irr!AR2=".",Irr!BP2&lt;&gt;"."),dir!U2/((1/1000)*(Irr!BP2)),IF(AND(Irr!T2=".",Irr!AR2&lt;&gt;".",Irr!BP2="."),dir!U2/((1/1000)*(Irr!AR2)),IF(AND(Irr!T2&lt;&gt;".",Irr!AR2=".",Irr!BP2="."),dir!U2/((1/1000)*(Irr!T2)),IF(AND(Irr!T2=".",Irr!AR2=".",Irr!BP2="."),dir!U2*1000)))))))),".")</f>
        <v>36.320179414384548</v>
      </c>
      <c r="V2" s="48">
        <f>IFERROR(IF(AND(Irr!U2&lt;&gt;".",Irr!AS2&lt;&gt;".",Irr!BQ2&lt;&gt;"."),dir!V2/((1/1000)*(Irr!U2+Irr!AS2+Irr!BQ2)),IF(AND(Irr!U2&lt;&gt;".",Irr!AS2&lt;&gt;".",Irr!BQ2="."),dir!V2/((1/1000)*(Irr!U2+Irr!AS2)),IF(AND(Irr!U2&lt;&gt;".",Irr!AS2=".",Irr!BQ2&lt;&gt;"."),dir!V2/((1/1000)*(Irr!U2+Irr!BQ2)),IF(AND(Irr!U2=".",Irr!AS2&lt;&gt;".",Irr!BQ2&lt;&gt;"."),dir!V2/((1/1000)*(Irr!AS2+Irr!BQ2)),IF(AND(Irr!U2=".",Irr!AS2=".",Irr!BQ2&lt;&gt;"."),dir!V2/((1/1000)*(Irr!BQ2)),IF(AND(Irr!U2=".",Irr!AS2&lt;&gt;".",Irr!BQ2="."),dir!V2/((1/1000)*(Irr!AS2)),IF(AND(Irr!U2&lt;&gt;".",Irr!AS2=".",Irr!BQ2="."),dir!V2/((1/1000)*(Irr!U2)),IF(AND(Irr!U2=".",Irr!AS2=".",Irr!BQ2="."),dir!V2*1000)))))))),".")</f>
        <v>66.541518623017737</v>
      </c>
      <c r="W2" s="48">
        <f>IFERROR(IF(AND(Irr!V2&lt;&gt;".",Irr!AT2&lt;&gt;".",Irr!BR2&lt;&gt;"."),dir!W2/((1/1000)*(Irr!V2+Irr!AT2+Irr!BR2)),IF(AND(Irr!V2&lt;&gt;".",Irr!AT2&lt;&gt;".",Irr!BR2="."),dir!W2/((1/1000)*(Irr!V2+Irr!AT2)),IF(AND(Irr!V2&lt;&gt;".",Irr!AT2=".",Irr!BR2&lt;&gt;"."),dir!W2/((1/1000)*(Irr!V2+Irr!BR2)),IF(AND(Irr!V2=".",Irr!AT2&lt;&gt;".",Irr!BR2&lt;&gt;"."),dir!W2/((1/1000)*(Irr!AT2+Irr!BR2)),IF(AND(Irr!V2=".",Irr!AT2=".",Irr!BR2&lt;&gt;"."),dir!W2/((1/1000)*(Irr!BR2)),IF(AND(Irr!V2=".",Irr!AT2&lt;&gt;".",Irr!BR2="."),dir!W2/((1/1000)*(Irr!AT2)),IF(AND(Irr!V2&lt;&gt;".",Irr!AT2=".",Irr!BR2="."),dir!W2/((1/1000)*(Irr!V2)),IF(AND(Irr!V2=".",Irr!AT2=".",Irr!BR2="."),dir!W2*1000)))))))),".")</f>
        <v>80.117239462193268</v>
      </c>
      <c r="X2" s="48">
        <f>IFERROR(IF(AND(Irr!W2&lt;&gt;".",Irr!AU2&lt;&gt;".",Irr!BS2&lt;&gt;"."),dir!X2/((1/1000)*(Irr!W2+Irr!AU2+Irr!BS2)),IF(AND(Irr!W2&lt;&gt;".",Irr!AU2&lt;&gt;".",Irr!BS2="."),dir!X2/((1/1000)*(Irr!W2+Irr!AU2)),IF(AND(Irr!W2&lt;&gt;".",Irr!AU2=".",Irr!BS2&lt;&gt;"."),dir!X2/((1/1000)*(Irr!W2+Irr!BS2)),IF(AND(Irr!W2=".",Irr!AU2&lt;&gt;".",Irr!BS2&lt;&gt;"."),dir!X2/((1/1000)*(Irr!AU2+Irr!BS2)),IF(AND(Irr!W2=".",Irr!AU2=".",Irr!BS2&lt;&gt;"."),dir!X2/((1/1000)*(Irr!BS2)),IF(AND(Irr!W2=".",Irr!AU2&lt;&gt;".",Irr!BS2="."),dir!X2/((1/1000)*(Irr!AU2)),IF(AND(Irr!W2&lt;&gt;".",Irr!AU2=".",Irr!BS2="."),dir!X2/((1/1000)*(Irr!W2)),IF(AND(Irr!W2=".",Irr!AU2=".",Irr!BS2="."),dir!X2*1000)))))))),".")</f>
        <v>108.39542013915616</v>
      </c>
      <c r="Y2" s="48">
        <f>IFERROR(IF(AND(Irr!X2&lt;&gt;".",Irr!AV2&lt;&gt;".",Irr!BT2&lt;&gt;"."),dir!Y2/((1/1000)*(Irr!X2+Irr!AV2+Irr!BT2)),IF(AND(Irr!X2&lt;&gt;".",Irr!AV2&lt;&gt;".",Irr!BT2="."),dir!Y2/((1/1000)*(Irr!X2+Irr!AV2)),IF(AND(Irr!X2&lt;&gt;".",Irr!AV2=".",Irr!BT2&lt;&gt;"."),dir!Y2/((1/1000)*(Irr!X2+Irr!BT2)),IF(AND(Irr!X2=".",Irr!AV2&lt;&gt;".",Irr!BT2&lt;&gt;"."),dir!Y2/((1/1000)*(Irr!AV2+Irr!BT2)),IF(AND(Irr!X2=".",Irr!AV2=".",Irr!BT2&lt;&gt;"."),dir!Y2/((1/1000)*(Irr!BT2)),IF(AND(Irr!X2=".",Irr!AV2&lt;&gt;".",Irr!BT2="."),dir!Y2/((1/1000)*(Irr!AV2)),IF(AND(Irr!X2&lt;&gt;".",Irr!AV2=".",Irr!BT2="."),dir!Y2/((1/1000)*(Irr!X2)),IF(AND(Irr!X2=".",Irr!AV2=".",Irr!BT2="."),dir!Y2*1000)))))))),".")</f>
        <v>57.573293914524143</v>
      </c>
      <c r="Z2" s="48">
        <f>IFERROR(IF(AND(Irr!Y2&lt;&gt;".",Irr!AW2&lt;&gt;".",Irr!BU2&lt;&gt;"."),dir!Z2/((1/1000)*(Irr!Y2+Irr!AW2+Irr!BU2)),IF(AND(Irr!Y2&lt;&gt;".",Irr!AW2&lt;&gt;".",Irr!BU2="."),dir!Z2/((1/1000)*(Irr!Y2+Irr!AW2)),IF(AND(Irr!Y2&lt;&gt;".",Irr!AW2=".",Irr!BU2&lt;&gt;"."),dir!Z2/((1/1000)*(Irr!Y2+Irr!BU2)),IF(AND(Irr!Y2=".",Irr!AW2&lt;&gt;".",Irr!BU2&lt;&gt;"."),dir!Z2/((1/1000)*(Irr!AW2+Irr!BU2)),IF(AND(Irr!Y2=".",Irr!AW2=".",Irr!BU2&lt;&gt;"."),dir!Z2/((1/1000)*(Irr!BU2)),IF(AND(Irr!Y2=".",Irr!AW2&lt;&gt;".",Irr!BU2="."),dir!Z2/((1/1000)*(Irr!AW2)),IF(AND(Irr!Y2&lt;&gt;".",Irr!AW2=".",Irr!BU2="."),dir!Z2/((1/1000)*(Irr!Y2)),IF(AND(Irr!Y2=".",Irr!AW2=".",Irr!BU2="."),dir!Z2*1000)))))))),".")</f>
        <v>18.581955136072654</v>
      </c>
      <c r="AA2" s="48">
        <f>IFERROR(IF(AND(Irr!Z2&lt;&gt;".",Irr!AX2&lt;&gt;".",Irr!BV2&lt;&gt;"."),dir!AA2/((1/1000)*(Irr!Z2+Irr!AX2+Irr!BV2)),IF(AND(Irr!Z2&lt;&gt;".",Irr!AX2&lt;&gt;".",Irr!BV2="."),dir!AA2/((1/1000)*(Irr!Z2+Irr!AX2)),IF(AND(Irr!Z2&lt;&gt;".",Irr!AX2=".",Irr!BV2&lt;&gt;"."),dir!AA2/((1/1000)*(Irr!Z2+Irr!BV2)),IF(AND(Irr!Z2=".",Irr!AX2&lt;&gt;".",Irr!BV2&lt;&gt;"."),dir!AA2/((1/1000)*(Irr!AX2+Irr!BV2)),IF(AND(Irr!Z2=".",Irr!AX2=".",Irr!BV2&lt;&gt;"."),dir!AA2/((1/1000)*(Irr!BV2)),IF(AND(Irr!Z2=".",Irr!AX2&lt;&gt;".",Irr!BV2="."),dir!AA2/((1/1000)*(Irr!AX2)),IF(AND(Irr!Z2&lt;&gt;".",Irr!AX2=".",Irr!BV2="."),dir!AA2/((1/1000)*(Irr!Z2)),IF(AND(Irr!Z2=".",Irr!AX2=".",Irr!BV2="."),dir!AA2*1000)))))))),".")</f>
        <v>14.388947913292407</v>
      </c>
      <c r="AB2" s="48">
        <f t="shared" ref="AB2:AB3" si="1">IFERROR(1/SUM(1/AC2,1/AD2,1/AE2,1/AF2,1/AG2,1/AH2,1/AI2,1/AJ2,1/AK2,1/AL2,1/AM2,1/AN2,1/AO2,1/AP2,1/AQ2,1/AR2,1/AS2,1/AT2,1/AU2,1/AV2,1/AW2,1/AX2),".")</f>
        <v>2.8411288453614101</v>
      </c>
      <c r="AC2" s="48">
        <f>IFERROR(IF(AND(Irr!C2&lt;&gt;".",Irr!AA2&lt;&gt;".",Irr!AY2&lt;&gt;"."),dir!AC2/((1/1000)*(Irr!C2+Irr!AA2+Irr!AY2)),IF(AND(Irr!C2&lt;&gt;".",Irr!AA2&lt;&gt;".",Irr!AY2="."),dir!AC2/((1/1000)*(Irr!C2+Irr!AA2)),IF(AND(Irr!C2&lt;&gt;".",Irr!AA2=".",Irr!AY2&lt;&gt;"."),dir!AC2/((1/1000)*(Irr!C2+Irr!AY2)),IF(AND(Irr!C2=".",Irr!AA2&lt;&gt;".",Irr!AY2&lt;&gt;"."),dir!AC2/((1/1000)*(Irr!AA2+Irr!AY2)),IF(AND(Irr!C2=".",Irr!AA2=".",Irr!AY2&lt;&gt;"."),dir!AC2/((1/1000)*(Irr!AY2)),IF(AND(Irr!C2=".",Irr!AA2&lt;&gt;".",Irr!AY2="."),dir!AC2/((1/1000)*(Irr!AA2)),IF(AND(Irr!C2&lt;&gt;".",Irr!AA2=".",Irr!AY2="."),dir!AC2/((1/1000)*(Irr!C2)),IF(AND(Irr!C2=".",Irr!AA2=".",Irr!AY2="."),dir!AC2*1000)))))))),".")</f>
        <v>47.470690909898408</v>
      </c>
      <c r="AD2" s="48">
        <f>IFERROR(IF(AND(Irr!D2&lt;&gt;".",Irr!AB2&lt;&gt;".",Irr!AZ2&lt;&gt;"."),dir!AD2/((1/1000)*(Irr!D2+Irr!AB2+Irr!AZ2)),IF(AND(Irr!D2&lt;&gt;".",Irr!AB2&lt;&gt;".",Irr!AZ2="."),dir!AD2/((1/1000)*(Irr!D2+Irr!AB2)),IF(AND(Irr!D2&lt;&gt;".",Irr!AB2=".",Irr!AZ2&lt;&gt;"."),dir!AD2/((1/1000)*(Irr!D2+Irr!AZ2)),IF(AND(Irr!D2=".",Irr!AB2&lt;&gt;".",Irr!AZ2&lt;&gt;"."),dir!AD2/((1/1000)*(Irr!AB2+Irr!AZ2)),IF(AND(Irr!D2=".",Irr!AB2=".",Irr!AZ2&lt;&gt;"."),dir!AD2/((1/1000)*(Irr!AZ2)),IF(AND(Irr!D2=".",Irr!AB2&lt;&gt;".",Irr!AZ2="."),dir!AD2/((1/1000)*(Irr!AB2)),IF(AND(Irr!D2&lt;&gt;".",Irr!AB2=".",Irr!AZ2="."),dir!AD2/((1/1000)*(Irr!D2)),IF(AND(Irr!D2=".",Irr!AB2=".",Irr!AZ2="."),dir!AD2*1000)))))))),".")</f>
        <v>113.93560797077045</v>
      </c>
      <c r="AE2" s="48">
        <f>IFERROR(IF(AND(Irr!E2&lt;&gt;".",Irr!AC2&lt;&gt;".",Irr!BA2&lt;&gt;"."),dir!AE2/((1/1000)*(Irr!E2+Irr!AC2+Irr!BA2)),IF(AND(Irr!E2&lt;&gt;".",Irr!AC2&lt;&gt;".",Irr!BA2="."),dir!AE2/((1/1000)*(Irr!E2+Irr!AC2)),IF(AND(Irr!E2&lt;&gt;".",Irr!AC2=".",Irr!BA2&lt;&gt;"."),dir!AE2/((1/1000)*(Irr!E2+Irr!BA2)),IF(AND(Irr!E2=".",Irr!AC2&lt;&gt;".",Irr!BA2&lt;&gt;"."),dir!AE2/((1/1000)*(Irr!AC2+Irr!BA2)),IF(AND(Irr!E2=".",Irr!AC2=".",Irr!BA2&lt;&gt;"."),dir!AE2/((1/1000)*(Irr!BA2)),IF(AND(Irr!E2=".",Irr!AC2&lt;&gt;".",Irr!BA2="."),dir!AE2/((1/1000)*(Irr!AC2)),IF(AND(Irr!E2&lt;&gt;".",Irr!AC2=".",Irr!BA2="."),dir!AE2/((1/1000)*(Irr!E2)),IF(AND(Irr!E2=".",Irr!AC2=".",Irr!BA2="."),dir!AE2*1000)))))))),".")</f>
        <v>136.35395296505678</v>
      </c>
      <c r="AF2" s="48">
        <f>IFERROR(IF(AND(Irr!F2&lt;&gt;".",Irr!AD2&lt;&gt;".",Irr!BB2&lt;&gt;"."),dir!AF2/((1/1000)*(Irr!F2+Irr!AD2+Irr!BB2)),IF(AND(Irr!F2&lt;&gt;".",Irr!AD2&lt;&gt;".",Irr!BB2="."),dir!AF2/((1/1000)*(Irr!F2+Irr!AD2)),IF(AND(Irr!F2&lt;&gt;".",Irr!AD2=".",Irr!BB2&lt;&gt;"."),dir!AF2/((1/1000)*(Irr!F2+Irr!BB2)),IF(AND(Irr!F2=".",Irr!AD2&lt;&gt;".",Irr!BB2&lt;&gt;"."),dir!AF2/((1/1000)*(Irr!AD2+Irr!BB2)),IF(AND(Irr!F2=".",Irr!AD2=".",Irr!BB2&lt;&gt;"."),dir!AF2/((1/1000)*(Irr!BB2)),IF(AND(Irr!F2=".",Irr!AD2&lt;&gt;".",Irr!BB2="."),dir!AF2/((1/1000)*(Irr!AD2)),IF(AND(Irr!F2&lt;&gt;".",Irr!AD2=".",Irr!BB2="."),dir!AF2/((1/1000)*(Irr!F2)),IF(AND(Irr!F2=".",Irr!AD2=".",Irr!BB2="."),dir!AF2*1000)))))))),".")</f>
        <v>119.01164369386555</v>
      </c>
      <c r="AG2" s="48">
        <f>IFERROR(IF(AND(Irr!G2&lt;&gt;".",Irr!AE2&lt;&gt;".",Irr!BC2&lt;&gt;"."),dir!AG2/((1/1000)*(Irr!G2+Irr!AE2+Irr!BC2)),IF(AND(Irr!G2&lt;&gt;".",Irr!AE2&lt;&gt;".",Irr!BC2="."),dir!AG2/((1/1000)*(Irr!G2+Irr!AE2)),IF(AND(Irr!G2&lt;&gt;".",Irr!AE2=".",Irr!BC2&lt;&gt;"."),dir!AG2/((1/1000)*(Irr!G2+Irr!BC2)),IF(AND(Irr!G2=".",Irr!AE2&lt;&gt;".",Irr!BC2&lt;&gt;"."),dir!AG2/((1/1000)*(Irr!AE2+Irr!BC2)),IF(AND(Irr!G2=".",Irr!AE2=".",Irr!BC2&lt;&gt;"."),dir!AG2/((1/1000)*(Irr!BC2)),IF(AND(Irr!G2=".",Irr!AE2&lt;&gt;".",Irr!BC2="."),dir!AG2/((1/1000)*(Irr!AE2)),IF(AND(Irr!G2&lt;&gt;".",Irr!AE2=".",Irr!BC2="."),dir!AG2/((1/1000)*(Irr!G2)),IF(AND(Irr!G2=".",Irr!AE2=".",Irr!BC2="."),dir!AG2*1000)))))))),".")</f>
        <v>123.58661737104489</v>
      </c>
      <c r="AH2" s="48">
        <f>IFERROR(IF(AND(Irr!H2&lt;&gt;".",Irr!AF2&lt;&gt;".",Irr!BD2&lt;&gt;"."),dir!AH2/((1/1000)*(Irr!H2+Irr!AF2+Irr!BD2)),IF(AND(Irr!H2&lt;&gt;".",Irr!AF2&lt;&gt;".",Irr!BD2="."),dir!AH2/((1/1000)*(Irr!H2+Irr!AF2)),IF(AND(Irr!H2&lt;&gt;".",Irr!AF2=".",Irr!BD2&lt;&gt;"."),dir!AH2/((1/1000)*(Irr!H2+Irr!BD2)),IF(AND(Irr!H2=".",Irr!AF2&lt;&gt;".",Irr!BD2&lt;&gt;"."),dir!AH2/((1/1000)*(Irr!AF2+Irr!BD2)),IF(AND(Irr!H2=".",Irr!AF2=".",Irr!BD2&lt;&gt;"."),dir!AH2/((1/1000)*(Irr!BD2)),IF(AND(Irr!H2=".",Irr!AF2&lt;&gt;".",Irr!BD2="."),dir!AH2/((1/1000)*(Irr!AF2)),IF(AND(Irr!H2&lt;&gt;".",Irr!AF2=".",Irr!BD2="."),dir!AH2/((1/1000)*(Irr!H2)),IF(AND(Irr!H2=".",Irr!AF2=".",Irr!BD2="."),dir!AH2*1000)))))))),".")</f>
        <v>53.776191204210235</v>
      </c>
      <c r="AI2" s="48">
        <f>IFERROR(IF(AND(Irr!I2&lt;&gt;".",Irr!AG2&lt;&gt;".",Irr!BE2&lt;&gt;"."),dir!AI2/((1/1000)*(Irr!I2+Irr!AG2+Irr!BE2)),IF(AND(Irr!I2&lt;&gt;".",Irr!AG2&lt;&gt;".",Irr!BE2="."),dir!AI2/((1/1000)*(Irr!I2+Irr!AG2)),IF(AND(Irr!I2&lt;&gt;".",Irr!AG2=".",Irr!BE2&lt;&gt;"."),dir!AI2/((1/1000)*(Irr!I2+Irr!BE2)),IF(AND(Irr!I2=".",Irr!AG2&lt;&gt;".",Irr!BE2&lt;&gt;"."),dir!AI2/((1/1000)*(Irr!AG2+Irr!BE2)),IF(AND(Irr!I2=".",Irr!AG2=".",Irr!BE2&lt;&gt;"."),dir!AI2/((1/1000)*(Irr!BE2)),IF(AND(Irr!I2=".",Irr!AG2&lt;&gt;".",Irr!BE2="."),dir!AI2/((1/1000)*(Irr!AG2)),IF(AND(Irr!I2&lt;&gt;".",Irr!AG2=".",Irr!BE2="."),dir!AI2/((1/1000)*(Irr!I2)),IF(AND(Irr!I2=".",Irr!AG2=".",Irr!BE2="."),dir!AI2*1000)))))))),".")</f>
        <v>176.39771551660718</v>
      </c>
      <c r="AJ2" s="48">
        <f>IFERROR(IF(AND(Irr!J2&lt;&gt;".",Irr!AH2&lt;&gt;".",Irr!BF2&lt;&gt;"."),dir!AJ2/((1/1000)*(Irr!J2+Irr!AH2+Irr!BF2)),IF(AND(Irr!J2&lt;&gt;".",Irr!AH2&lt;&gt;".",Irr!BF2="."),dir!AJ2/((1/1000)*(Irr!J2+Irr!AH2)),IF(AND(Irr!J2&lt;&gt;".",Irr!AH2=".",Irr!BF2&lt;&gt;"."),dir!AJ2/((1/1000)*(Irr!J2+Irr!BF2)),IF(AND(Irr!J2=".",Irr!AH2&lt;&gt;".",Irr!BF2&lt;&gt;"."),dir!AJ2/((1/1000)*(Irr!AH2+Irr!BF2)),IF(AND(Irr!J2=".",Irr!AH2=".",Irr!BF2&lt;&gt;"."),dir!AJ2/((1/1000)*(Irr!BF2)),IF(AND(Irr!J2=".",Irr!AH2&lt;&gt;".",Irr!BF2="."),dir!AJ2/((1/1000)*(Irr!AH2)),IF(AND(Irr!J2&lt;&gt;".",Irr!AH2=".",Irr!BF2="."),dir!AJ2/((1/1000)*(Irr!J2)),IF(AND(Irr!J2=".",Irr!AH2=".",Irr!BF2="."),dir!AJ2*1000)))))))),".")</f>
        <v>13.719209686043103</v>
      </c>
      <c r="AK2" s="48">
        <f>IFERROR(IF(AND(Irr!K2&lt;&gt;".",Irr!AI2&lt;&gt;".",Irr!BG2&lt;&gt;"."),dir!AK2/((1/1000)*(Irr!K2+Irr!AI2+Irr!BG2)),IF(AND(Irr!K2&lt;&gt;".",Irr!AI2&lt;&gt;".",Irr!BG2="."),dir!AK2/((1/1000)*(Irr!K2+Irr!AI2)),IF(AND(Irr!K2&lt;&gt;".",Irr!AI2=".",Irr!BG2&lt;&gt;"."),dir!AK2/((1/1000)*(Irr!K2+Irr!BG2)),IF(AND(Irr!K2=".",Irr!AI2&lt;&gt;".",Irr!BG2&lt;&gt;"."),dir!AK2/((1/1000)*(Irr!AI2+Irr!BG2)),IF(AND(Irr!K2=".",Irr!AI2=".",Irr!BG2&lt;&gt;"."),dir!AK2/((1/1000)*(Irr!BG2)),IF(AND(Irr!K2=".",Irr!AI2&lt;&gt;".",Irr!BG2="."),dir!AK2/((1/1000)*(Irr!AI2)),IF(AND(Irr!K2&lt;&gt;".",Irr!AI2=".",Irr!BG2="."),dir!AK2/((1/1000)*(Irr!K2)),IF(AND(Irr!K2=".",Irr!AI2=".",Irr!BG2="."),dir!AK2*1000)))))))),".")</f>
        <v>53.730096947070564</v>
      </c>
      <c r="AL2" s="48">
        <f>IFERROR(IF(AND(Irr!L2&lt;&gt;".",Irr!AJ2&lt;&gt;".",Irr!BH2&lt;&gt;"."),dir!AL2/((1/1000)*(Irr!L2+Irr!AJ2+Irr!BH2)),IF(AND(Irr!L2&lt;&gt;".",Irr!AJ2&lt;&gt;".",Irr!BH2="."),dir!AL2/((1/1000)*(Irr!L2+Irr!AJ2)),IF(AND(Irr!L2&lt;&gt;".",Irr!AJ2=".",Irr!BH2&lt;&gt;"."),dir!AL2/((1/1000)*(Irr!L2+Irr!BH2)),IF(AND(Irr!L2=".",Irr!AJ2&lt;&gt;".",Irr!BH2&lt;&gt;"."),dir!AL2/((1/1000)*(Irr!AJ2+Irr!BH2)),IF(AND(Irr!L2=".",Irr!AJ2=".",Irr!BH2&lt;&gt;"."),dir!AL2/((1/1000)*(Irr!BH2)),IF(AND(Irr!L2=".",Irr!AJ2&lt;&gt;".",Irr!BH2="."),dir!AL2/((1/1000)*(Irr!AJ2)),IF(AND(Irr!L2&lt;&gt;".",Irr!AJ2=".",Irr!BH2="."),dir!AL2/((1/1000)*(Irr!L2)),IF(AND(Irr!L2=".",Irr!AJ2=".",Irr!BH2="."),dir!AL2*1000)))))))),".")</f>
        <v>81.557373748176673</v>
      </c>
      <c r="AM2" s="48">
        <f>IFERROR(IF(AND(Irr!M2&lt;&gt;".",Irr!AK2&lt;&gt;".",Irr!BI2&lt;&gt;"."),dir!AM2/((1/1000)*(Irr!M2+Irr!AK2+Irr!BI2)),IF(AND(Irr!M2&lt;&gt;".",Irr!AK2&lt;&gt;".",Irr!BI2="."),dir!AM2/((1/1000)*(Irr!M2+Irr!AK2)),IF(AND(Irr!M2&lt;&gt;".",Irr!AK2=".",Irr!BI2&lt;&gt;"."),dir!AM2/((1/1000)*(Irr!M2+Irr!BI2)),IF(AND(Irr!M2=".",Irr!AK2&lt;&gt;".",Irr!BI2&lt;&gt;"."),dir!AM2/((1/1000)*(Irr!AK2+Irr!BI2)),IF(AND(Irr!M2=".",Irr!AK2=".",Irr!BI2&lt;&gt;"."),dir!AM2/((1/1000)*(Irr!BI2)),IF(AND(Irr!M2=".",Irr!AK2&lt;&gt;".",Irr!BI2="."),dir!AM2/((1/1000)*(Irr!AK2)),IF(AND(Irr!M2&lt;&gt;".",Irr!AK2=".",Irr!BI2="."),dir!AM2/((1/1000)*(Irr!M2)),IF(AND(Irr!M2=".",Irr!AK2=".",Irr!BI2="."),dir!AM2*1000)))))))),".")</f>
        <v>109.17104118099509</v>
      </c>
      <c r="AN2" s="48">
        <f>IFERROR(IF(AND(Irr!N2&lt;&gt;".",Irr!AL2&lt;&gt;".",Irr!BJ2&lt;&gt;"."),dir!AN2/((1/1000)*(Irr!N2+Irr!AL2+Irr!BJ2)),IF(AND(Irr!N2&lt;&gt;".",Irr!AL2&lt;&gt;".",Irr!BJ2="."),dir!AN2/((1/1000)*(Irr!N2+Irr!AL2)),IF(AND(Irr!N2&lt;&gt;".",Irr!AL2=".",Irr!BJ2&lt;&gt;"."),dir!AN2/((1/1000)*(Irr!N2+Irr!BJ2)),IF(AND(Irr!N2=".",Irr!AL2&lt;&gt;".",Irr!BJ2&lt;&gt;"."),dir!AN2/((1/1000)*(Irr!AL2+Irr!BJ2)),IF(AND(Irr!N2=".",Irr!AL2=".",Irr!BJ2&lt;&gt;"."),dir!AN2/((1/1000)*(Irr!BJ2)),IF(AND(Irr!N2=".",Irr!AL2&lt;&gt;".",Irr!BJ2="."),dir!AN2/((1/1000)*(Irr!AL2)),IF(AND(Irr!N2&lt;&gt;".",Irr!AL2=".",Irr!BJ2="."),dir!AN2/((1/1000)*(Irr!N2)),IF(AND(Irr!N2=".",Irr!AL2=".",Irr!BJ2="."),dir!AN2*1000)))))))),".")</f>
        <v>130.28543001631877</v>
      </c>
      <c r="AO2" s="48">
        <f>IFERROR(IF(AND(Irr!O2&lt;&gt;".",Irr!AM2&lt;&gt;".",Irr!BK2&lt;&gt;"."),dir!AO2/((1/1000)*(Irr!O2+Irr!AM2+Irr!BK2)),IF(AND(Irr!O2&lt;&gt;".",Irr!AM2&lt;&gt;".",Irr!BK2="."),dir!AO2/((1/1000)*(Irr!O2+Irr!AM2)),IF(AND(Irr!O2&lt;&gt;".",Irr!AM2=".",Irr!BK2&lt;&gt;"."),dir!AO2/((1/1000)*(Irr!O2+Irr!BK2)),IF(AND(Irr!O2=".",Irr!AM2&lt;&gt;".",Irr!BK2&lt;&gt;"."),dir!AO2/((1/1000)*(Irr!AM2+Irr!BK2)),IF(AND(Irr!O2=".",Irr!AM2=".",Irr!BK2&lt;&gt;"."),dir!AO2/((1/1000)*(Irr!BK2)),IF(AND(Irr!O2=".",Irr!AM2&lt;&gt;".",Irr!BK2="."),dir!AO2/((1/1000)*(Irr!AM2)),IF(AND(Irr!O2&lt;&gt;".",Irr!AM2=".",Irr!BK2="."),dir!AO2/((1/1000)*(Irr!O2)),IF(AND(Irr!O2=".",Irr!AM2=".",Irr!BK2="."),dir!AO2*1000)))))))),".")</f>
        <v>151.56108546492857</v>
      </c>
      <c r="AP2" s="48">
        <f>IFERROR(IF(AND(Irr!P2&lt;&gt;".",Irr!AN2&lt;&gt;".",Irr!BL2&lt;&gt;"."),dir!AP2/((1/1000)*(Irr!P2+Irr!AN2+Irr!BL2)),IF(AND(Irr!P2&lt;&gt;".",Irr!AN2&lt;&gt;".",Irr!BL2="."),dir!AP2/((1/1000)*(Irr!P2+Irr!AN2)),IF(AND(Irr!P2&lt;&gt;".",Irr!AN2=".",Irr!BL2&lt;&gt;"."),dir!AP2/((1/1000)*(Irr!P2+Irr!BL2)),IF(AND(Irr!P2=".",Irr!AN2&lt;&gt;".",Irr!BL2&lt;&gt;"."),dir!AP2/((1/1000)*(Irr!AN2+Irr!BL2)),IF(AND(Irr!P2=".",Irr!AN2=".",Irr!BL2&lt;&gt;"."),dir!AP2/((1/1000)*(Irr!BL2)),IF(AND(Irr!P2=".",Irr!AN2&lt;&gt;".",Irr!BL2="."),dir!AP2/((1/1000)*(Irr!AN2)),IF(AND(Irr!P2&lt;&gt;".",Irr!AN2=".",Irr!BL2="."),dir!AP2/((1/1000)*(Irr!P2)),IF(AND(Irr!P2=".",Irr!AN2=".",Irr!BL2="."),dir!AP2*1000)))))))),".")</f>
        <v>165.71909348223409</v>
      </c>
      <c r="AQ2" s="48">
        <f>IFERROR(IF(AND(Irr!Q2&lt;&gt;".",Irr!AO2&lt;&gt;".",Irr!BM2&lt;&gt;"."),dir!AQ2/((1/1000)*(Irr!Q2+Irr!AO2+Irr!BM2)),IF(AND(Irr!Q2&lt;&gt;".",Irr!AO2&lt;&gt;".",Irr!BM2="."),dir!AQ2/((1/1000)*(Irr!Q2+Irr!AO2)),IF(AND(Irr!Q2&lt;&gt;".",Irr!AO2=".",Irr!BM2&lt;&gt;"."),dir!AQ2/((1/1000)*(Irr!Q2+Irr!BM2)),IF(AND(Irr!Q2=".",Irr!AO2&lt;&gt;".",Irr!BM2&lt;&gt;"."),dir!AQ2/((1/1000)*(Irr!AO2+Irr!BM2)),IF(AND(Irr!Q2=".",Irr!AO2=".",Irr!BM2&lt;&gt;"."),dir!AQ2/((1/1000)*(Irr!BM2)),IF(AND(Irr!Q2=".",Irr!AO2&lt;&gt;".",Irr!BM2="."),dir!AQ2/((1/1000)*(Irr!AO2)),IF(AND(Irr!Q2&lt;&gt;".",Irr!AO2=".",Irr!BM2="."),dir!AQ2/((1/1000)*(Irr!Q2)),IF(AND(Irr!Q2=".",Irr!AO2=".",Irr!BM2="."),dir!AQ2*1000)))))))),".")</f>
        <v>39.094307820068643</v>
      </c>
      <c r="AR2" s="48">
        <f>IFERROR(IF(AND(Irr!R2&lt;&gt;".",Irr!AP2&lt;&gt;".",Irr!BN2&lt;&gt;"."),dir!AR2/((1/1000)*(Irr!R2+Irr!AP2+Irr!BN2)),IF(AND(Irr!R2&lt;&gt;".",Irr!AP2&lt;&gt;".",Irr!BN2="."),dir!AR2/((1/1000)*(Irr!R2+Irr!AP2)),IF(AND(Irr!R2&lt;&gt;".",Irr!AP2=".",Irr!BN2&lt;&gt;"."),dir!AR2/((1/1000)*(Irr!R2+Irr!BN2)),IF(AND(Irr!R2=".",Irr!AP2&lt;&gt;".",Irr!BN2&lt;&gt;"."),dir!AR2/((1/1000)*(Irr!AP2+Irr!BN2)),IF(AND(Irr!R2=".",Irr!AP2=".",Irr!BN2&lt;&gt;"."),dir!AR2/((1/1000)*(Irr!BN2)),IF(AND(Irr!R2=".",Irr!AP2&lt;&gt;".",Irr!BN2="."),dir!AR2/((1/1000)*(Irr!AP2)),IF(AND(Irr!R2&lt;&gt;".",Irr!AP2=".",Irr!BN2="."),dir!AR2/((1/1000)*(Irr!R2)),IF(AND(Irr!R2=".",Irr!AP2=".",Irr!BN2="."),dir!AR2*1000)))))))),".")</f>
        <v>64.278345265403587</v>
      </c>
      <c r="AS2" s="48">
        <f>IFERROR(IF(AND(Irr!S2&lt;&gt;".",Irr!AQ2&lt;&gt;".",Irr!BO2&lt;&gt;"."),dir!AS2/((1/1000)*(Irr!S2+Irr!AQ2+Irr!BO2)),IF(AND(Irr!S2&lt;&gt;".",Irr!AQ2&lt;&gt;".",Irr!BO2="."),dir!AS2/((1/1000)*(Irr!S2+Irr!AQ2)),IF(AND(Irr!S2&lt;&gt;".",Irr!AQ2=".",Irr!BO2&lt;&gt;"."),dir!AS2/((1/1000)*(Irr!S2+Irr!BO2)),IF(AND(Irr!S2=".",Irr!AQ2&lt;&gt;".",Irr!BO2&lt;&gt;"."),dir!AS2/((1/1000)*(Irr!AQ2+Irr!BO2)),IF(AND(Irr!S2=".",Irr!AQ2=".",Irr!BO2&lt;&gt;"."),dir!AS2/((1/1000)*(Irr!BO2)),IF(AND(Irr!S2=".",Irr!AQ2&lt;&gt;".",Irr!BO2="."),dir!AS2/((1/1000)*(Irr!AQ2)),IF(AND(Irr!S2&lt;&gt;".",Irr!AQ2=".",Irr!BO2="."),dir!AS2/((1/1000)*(Irr!S2)),IF(AND(Irr!S2=".",Irr!AQ2=".",Irr!BO2="."),dir!AS2*1000)))))))),".")</f>
        <v>128.2320165958931</v>
      </c>
      <c r="AT2" s="48">
        <f>IFERROR(IF(AND(Irr!T2&lt;&gt;".",Irr!AR2&lt;&gt;".",Irr!BP2&lt;&gt;"."),dir!AT2/((1/1000)*(Irr!T2+Irr!AR2+Irr!BP2)),IF(AND(Irr!T2&lt;&gt;".",Irr!AR2&lt;&gt;".",Irr!BP2="."),dir!AT2/((1/1000)*(Irr!T2+Irr!AR2)),IF(AND(Irr!T2&lt;&gt;".",Irr!AR2=".",Irr!BP2&lt;&gt;"."),dir!AT2/((1/1000)*(Irr!T2+Irr!BP2)),IF(AND(Irr!T2=".",Irr!AR2&lt;&gt;".",Irr!BP2&lt;&gt;"."),dir!AT2/((1/1000)*(Irr!AR2+Irr!BP2)),IF(AND(Irr!T2=".",Irr!AR2=".",Irr!BP2&lt;&gt;"."),dir!AT2/((1/1000)*(Irr!BP2)),IF(AND(Irr!T2=".",Irr!AR2&lt;&gt;".",Irr!BP2="."),dir!AT2/((1/1000)*(Irr!AR2)),IF(AND(Irr!T2&lt;&gt;".",Irr!AR2=".",Irr!BP2="."),dir!AT2/((1/1000)*(Irr!T2)),IF(AND(Irr!T2=".",Irr!AR2=".",Irr!BP2="."),dir!AT2*1000)))))))),".")</f>
        <v>31.024254240994168</v>
      </c>
      <c r="AU2" s="48">
        <f>IFERROR(IF(AND(Irr!U2&lt;&gt;".",Irr!AS2&lt;&gt;".",Irr!BQ2&lt;&gt;"."),dir!AU2/((1/1000)*(Irr!U2+Irr!AS2+Irr!BQ2)),IF(AND(Irr!U2&lt;&gt;".",Irr!AS2&lt;&gt;".",Irr!BQ2="."),dir!AU2/((1/1000)*(Irr!U2+Irr!AS2)),IF(AND(Irr!U2&lt;&gt;".",Irr!AS2=".",Irr!BQ2&lt;&gt;"."),dir!AU2/((1/1000)*(Irr!U2+Irr!BQ2)),IF(AND(Irr!U2=".",Irr!AS2&lt;&gt;".",Irr!BQ2&lt;&gt;"."),dir!AU2/((1/1000)*(Irr!AS2+Irr!BQ2)),IF(AND(Irr!U2=".",Irr!AS2=".",Irr!BQ2&lt;&gt;"."),dir!AU2/((1/1000)*(Irr!BQ2)),IF(AND(Irr!U2=".",Irr!AS2&lt;&gt;".",Irr!BQ2="."),dir!AU2/((1/1000)*(Irr!AS2)),IF(AND(Irr!U2&lt;&gt;".",Irr!AS2=".",Irr!BQ2="."),dir!AU2/((1/1000)*(Irr!U2)),IF(AND(Irr!U2=".",Irr!AS2=".",Irr!BQ2="."),dir!AU2*1000)))))))),".")</f>
        <v>64.854853553491552</v>
      </c>
      <c r="AV2" s="48">
        <f>IFERROR(IF(AND(Irr!V2&lt;&gt;".",Irr!AT2&lt;&gt;".",Irr!BR2&lt;&gt;"."),dir!AV2/((1/1000)*(Irr!V2+Irr!AT2+Irr!BR2)),IF(AND(Irr!V2&lt;&gt;".",Irr!AT2&lt;&gt;".",Irr!BR2="."),dir!AV2/((1/1000)*(Irr!V2+Irr!AT2)),IF(AND(Irr!V2&lt;&gt;".",Irr!AT2=".",Irr!BR2&lt;&gt;"."),dir!AV2/((1/1000)*(Irr!V2+Irr!BR2)),IF(AND(Irr!V2=".",Irr!AT2&lt;&gt;".",Irr!BR2&lt;&gt;"."),dir!AV2/((1/1000)*(Irr!AT2+Irr!BR2)),IF(AND(Irr!V2=".",Irr!AT2=".",Irr!BR2&lt;&gt;"."),dir!AV2/((1/1000)*(Irr!BR2)),IF(AND(Irr!V2=".",Irr!AT2&lt;&gt;".",Irr!BR2="."),dir!AV2/((1/1000)*(Irr!AT2)),IF(AND(Irr!V2&lt;&gt;".",Irr!AT2=".",Irr!BR2="."),dir!AV2/((1/1000)*(Irr!V2)),IF(AND(Irr!V2=".",Irr!AT2=".",Irr!BR2="."),dir!AV2*1000)))))))),".")</f>
        <v>76.265802091493541</v>
      </c>
      <c r="AW2" s="48">
        <f>IFERROR(IF(AND(Irr!W2&lt;&gt;".",Irr!AU2&lt;&gt;".",Irr!BS2&lt;&gt;"."),dir!AW2/((1/1000)*(Irr!W2+Irr!AU2+Irr!BS2)),IF(AND(Irr!W2&lt;&gt;".",Irr!AU2&lt;&gt;".",Irr!BS2="."),dir!AW2/((1/1000)*(Irr!W2+Irr!AU2)),IF(AND(Irr!W2&lt;&gt;".",Irr!AU2=".",Irr!BS2&lt;&gt;"."),dir!AW2/((1/1000)*(Irr!W2+Irr!BS2)),IF(AND(Irr!W2=".",Irr!AU2&lt;&gt;".",Irr!BS2&lt;&gt;"."),dir!AW2/((1/1000)*(Irr!AU2+Irr!BS2)),IF(AND(Irr!W2=".",Irr!AU2=".",Irr!BS2&lt;&gt;"."),dir!AW2/((1/1000)*(Irr!BS2)),IF(AND(Irr!W2=".",Irr!AU2&lt;&gt;".",Irr!BS2="."),dir!AW2/((1/1000)*(Irr!AU2)),IF(AND(Irr!W2&lt;&gt;".",Irr!AU2=".",Irr!BS2="."),dir!AW2/((1/1000)*(Irr!W2)),IF(AND(Irr!W2=".",Irr!AU2=".",Irr!BS2="."),dir!AW2*1000)))))))),".")</f>
        <v>104.94673277941745</v>
      </c>
      <c r="AX2" s="48">
        <f>IFERROR(IF(AND(Irr!X2&lt;&gt;".",Irr!AV2&lt;&gt;".",Irr!BT2&lt;&gt;"."),dir!AX2/((1/1000)*(Irr!X2+Irr!AV2+Irr!BT2)),IF(AND(Irr!X2&lt;&gt;".",Irr!AV2&lt;&gt;".",Irr!BT2="."),dir!AX2/((1/1000)*(Irr!X2+Irr!AV2)),IF(AND(Irr!X2&lt;&gt;".",Irr!AV2=".",Irr!BT2&lt;&gt;"."),dir!AX2/((1/1000)*(Irr!X2+Irr!BT2)),IF(AND(Irr!X2=".",Irr!AV2&lt;&gt;".",Irr!BT2&lt;&gt;"."),dir!AX2/((1/1000)*(Irr!AV2+Irr!BT2)),IF(AND(Irr!X2=".",Irr!AV2=".",Irr!BT2&lt;&gt;"."),dir!AX2/((1/1000)*(Irr!BT2)),IF(AND(Irr!X2=".",Irr!AV2&lt;&gt;".",Irr!BT2="."),dir!AX2/((1/1000)*(Irr!AV2)),IF(AND(Irr!X2&lt;&gt;".",Irr!AV2=".",Irr!BT2="."),dir!AX2/((1/1000)*(Irr!X2)),IF(AND(Irr!X2=".",Irr!AV2=".",Irr!BT2="."),dir!AX2*1000)))))))),".")</f>
        <v>46.340747983811696</v>
      </c>
      <c r="AY2" s="48">
        <f>IFERROR(IF(AND(Irr!Y2&lt;&gt;".",Irr!AW2&lt;&gt;".",Irr!BU2&lt;&gt;"."),dir!AY2/((1/1000)*(Irr!Y2+Irr!AW2+Irr!BU2)),IF(AND(Irr!Y2&lt;&gt;".",Irr!AW2&lt;&gt;".",Irr!BU2="."),dir!AY2/((1/1000)*(Irr!Y2+Irr!AW2)),IF(AND(Irr!Y2&lt;&gt;".",Irr!AW2=".",Irr!BU2&lt;&gt;"."),dir!AY2/((1/1000)*(Irr!Y2+Irr!BU2)),IF(AND(Irr!Y2=".",Irr!AW2&lt;&gt;".",Irr!BU2&lt;&gt;"."),dir!AY2/((1/1000)*(Irr!AW2+Irr!BU2)),IF(AND(Irr!Y2=".",Irr!AW2=".",Irr!BU2&lt;&gt;"."),dir!AY2/((1/1000)*(Irr!BU2)),IF(AND(Irr!Y2=".",Irr!AW2&lt;&gt;".",Irr!BU2="."),dir!AY2/((1/1000)*(Irr!AW2)),IF(AND(Irr!Y2&lt;&gt;".",Irr!AW2=".",Irr!BU2="."),dir!AY2/((1/1000)*(Irr!Y2)),IF(AND(Irr!Y2=".",Irr!AW2=".",Irr!BU2="."),dir!AY2*1000)))))))),".")</f>
        <v>14.549570391086387</v>
      </c>
      <c r="AZ2" s="48">
        <f>IFERROR(IF(AND(Irr!Z2&lt;&gt;".",Irr!AX2&lt;&gt;".",Irr!BV2&lt;&gt;"."),dir!AZ2/((1/1000)*(Irr!Z2+Irr!AX2+Irr!BV2)),IF(AND(Irr!Z2&lt;&gt;".",Irr!AX2&lt;&gt;".",Irr!BV2="."),dir!AZ2/((1/1000)*(Irr!Z2+Irr!AX2)),IF(AND(Irr!Z2&lt;&gt;".",Irr!AX2=".",Irr!BV2&lt;&gt;"."),dir!AZ2/((1/1000)*(Irr!Z2+Irr!BV2)),IF(AND(Irr!Z2=".",Irr!AX2&lt;&gt;".",Irr!BV2&lt;&gt;"."),dir!AZ2/((1/1000)*(Irr!AX2+Irr!BV2)),IF(AND(Irr!Z2=".",Irr!AX2=".",Irr!BV2&lt;&gt;"."),dir!AZ2/((1/1000)*(Irr!BV2)),IF(AND(Irr!Z2=".",Irr!AX2&lt;&gt;".",Irr!BV2="."),dir!AZ2/((1/1000)*(Irr!AX2)),IF(AND(Irr!Z2&lt;&gt;".",Irr!AX2=".",Irr!BV2="."),dir!AZ2/((1/1000)*(Irr!Z2)),IF(AND(Irr!Z2=".",Irr!AX2=".",Irr!BV2="."),dir!AZ2*1000)))))))),".")</f>
        <v>13.767455038651347</v>
      </c>
    </row>
    <row r="3" spans="1:52" x14ac:dyDescent="0.25">
      <c r="A3" s="63" t="s">
        <v>1</v>
      </c>
      <c r="B3" s="49" t="s">
        <v>336</v>
      </c>
      <c r="C3" s="48">
        <f>IFERROR(1/SUM(1/D3,1/E3,1/F3,1/G3,1/H3,1/I3,1/J3,1/K3,1/L3,1/M3,1/N3,1/O3,1/P3,1/Q3,1/R3,1/S3,1/T3,1/U3,1/V3,1/W3,1/X3,1/Y3),".")</f>
        <v>0.66610541099455989</v>
      </c>
      <c r="D3" s="48">
        <f>IFERROR(IF(AND(Irr!C3&lt;&gt;".",Irr!AA3&lt;&gt;".",Irr!AY3&lt;&gt;"."),dir!D3/((1/1000)*(Irr!C3+Irr!AA3+Irr!AY3)),IF(AND(Irr!C3&lt;&gt;".",Irr!AA3&lt;&gt;".",Irr!AY3="."),dir!D3/((1/1000)*(Irr!C3+Irr!AA3)),IF(AND(Irr!C3&lt;&gt;".",Irr!AA3=".",Irr!AY3&lt;&gt;"."),dir!D3/((1/1000)*(Irr!C3+Irr!AY3)),IF(AND(Irr!C3=".",Irr!AA3&lt;&gt;".",Irr!AY3&lt;&gt;"."),dir!D3/((1/1000)*(Irr!AA3+Irr!AY3)),IF(AND(Irr!C3=".",Irr!AA3=".",Irr!AY3&lt;&gt;"."),dir!D3/((1/1000)*(Irr!AY3)),IF(AND(Irr!C3=".",Irr!AA3&lt;&gt;".",Irr!AY3="."),dir!D3/((1/1000)*(Irr!AA3)),IF(AND(Irr!C3&lt;&gt;".",Irr!AA3=".",Irr!AY3="."),dir!D3/((1/1000)*(Irr!C3)),IF(AND(Irr!C3=".",Irr!AA3=".",Irr!AY3="."),dir!D3*1000)))))))),".")</f>
        <v>12.12049029332627</v>
      </c>
      <c r="E3" s="48">
        <f>IFERROR(IF(AND(Irr!D3&lt;&gt;".",Irr!AB3&lt;&gt;".",Irr!AZ3&lt;&gt;"."),dir!E3/((1/1000)*(Irr!D3+Irr!AB3+Irr!AZ3)),IF(AND(Irr!D3&lt;&gt;".",Irr!AB3&lt;&gt;".",Irr!AZ3="."),dir!E3/((1/1000)*(Irr!D3+Irr!AB3)),IF(AND(Irr!D3&lt;&gt;".",Irr!AB3=".",Irr!AZ3&lt;&gt;"."),dir!E3/((1/1000)*(Irr!D3+Irr!AZ3)),IF(AND(Irr!D3=".",Irr!AB3&lt;&gt;".",Irr!AZ3&lt;&gt;"."),dir!E3/((1/1000)*(Irr!AB3+Irr!AZ3)),IF(AND(Irr!D3=".",Irr!AB3=".",Irr!AZ3&lt;&gt;"."),dir!E3/((1/1000)*(Irr!AZ3)),IF(AND(Irr!D3=".",Irr!AB3&lt;&gt;".",Irr!AZ3="."),dir!E3/((1/1000)*(Irr!AB3)),IF(AND(Irr!D3&lt;&gt;".",Irr!AB3=".",Irr!AZ3="."),dir!E3/((1/1000)*(Irr!D3)),IF(AND(Irr!D3=".",Irr!AB3=".",Irr!AZ3="."),dir!E3*1000)))))))),".")</f>
        <v>26.883638775518019</v>
      </c>
      <c r="F3" s="48">
        <f>IFERROR(IF(AND(Irr!E3&lt;&gt;".",Irr!AC3&lt;&gt;".",Irr!BA3&lt;&gt;"."),dir!F3/((1/1000)*(Irr!E3+Irr!AC3+Irr!BA3)),IF(AND(Irr!E3&lt;&gt;".",Irr!AC3&lt;&gt;".",Irr!BA3="."),dir!F3/((1/1000)*(Irr!E3+Irr!AC3)),IF(AND(Irr!E3&lt;&gt;".",Irr!AC3=".",Irr!BA3&lt;&gt;"."),dir!F3/((1/1000)*(Irr!E3+Irr!BA3)),IF(AND(Irr!E3=".",Irr!AC3&lt;&gt;".",Irr!BA3&lt;&gt;"."),dir!F3/((1/1000)*(Irr!AC3+Irr!BA3)),IF(AND(Irr!E3=".",Irr!AC3=".",Irr!BA3&lt;&gt;"."),dir!F3/((1/1000)*(Irr!BA3)),IF(AND(Irr!E3=".",Irr!AC3&lt;&gt;".",Irr!BA3="."),dir!F3/((1/1000)*(Irr!AC3)),IF(AND(Irr!E3&lt;&gt;".",Irr!AC3=".",Irr!BA3="."),dir!F3/((1/1000)*(Irr!E3)),IF(AND(Irr!E3=".",Irr!AC3=".",Irr!BA3="."),dir!F3*1000)))))))),".")</f>
        <v>32.731750452188798</v>
      </c>
      <c r="G3" s="48">
        <f>IFERROR(IF(AND(Irr!F3&lt;&gt;".",Irr!AD3&lt;&gt;".",Irr!BB3&lt;&gt;"."),dir!G3/((1/1000)*(Irr!F3+Irr!AD3+Irr!BB3)),IF(AND(Irr!F3&lt;&gt;".",Irr!AD3&lt;&gt;".",Irr!BB3="."),dir!G3/((1/1000)*(Irr!F3+Irr!AD3)),IF(AND(Irr!F3&lt;&gt;".",Irr!AD3=".",Irr!BB3&lt;&gt;"."),dir!G3/((1/1000)*(Irr!F3+Irr!BB3)),IF(AND(Irr!F3=".",Irr!AD3&lt;&gt;".",Irr!BB3&lt;&gt;"."),dir!G3/((1/1000)*(Irr!AD3+Irr!BB3)),IF(AND(Irr!F3=".",Irr!AD3=".",Irr!BB3&lt;&gt;"."),dir!G3/((1/1000)*(Irr!BB3)),IF(AND(Irr!F3=".",Irr!AD3&lt;&gt;".",Irr!BB3="."),dir!G3/((1/1000)*(Irr!AD3)),IF(AND(Irr!F3&lt;&gt;".",Irr!AD3=".",Irr!BB3="."),dir!G3/((1/1000)*(Irr!F3)),IF(AND(Irr!F3=".",Irr!AD3=".",Irr!BB3="."),dir!G3*1000)))))))),".")</f>
        <v>26.939391801484462</v>
      </c>
      <c r="H3" s="48">
        <f>IFERROR(IF(AND(Irr!G3&lt;&gt;".",Irr!AE3&lt;&gt;".",Irr!BC3&lt;&gt;"."),dir!H3/((1/1000)*(Irr!G3+Irr!AE3+Irr!BC3)),IF(AND(Irr!G3&lt;&gt;".",Irr!AE3&lt;&gt;".",Irr!BC3="."),dir!H3/((1/1000)*(Irr!G3+Irr!AE3)),IF(AND(Irr!G3&lt;&gt;".",Irr!AE3=".",Irr!BC3&lt;&gt;"."),dir!H3/((1/1000)*(Irr!G3+Irr!BC3)),IF(AND(Irr!G3=".",Irr!AE3&lt;&gt;".",Irr!BC3&lt;&gt;"."),dir!H3/((1/1000)*(Irr!AE3+Irr!BC3)),IF(AND(Irr!G3=".",Irr!AE3=".",Irr!BC3&lt;&gt;"."),dir!H3/((1/1000)*(Irr!BC3)),IF(AND(Irr!G3=".",Irr!AE3&lt;&gt;".",Irr!BC3="."),dir!H3/((1/1000)*(Irr!AE3)),IF(AND(Irr!G3&lt;&gt;".",Irr!AE3=".",Irr!BC3="."),dir!H3/((1/1000)*(Irr!G3)),IF(AND(Irr!G3=".",Irr!AE3=".",Irr!BC3="."),dir!H3*1000)))))))),".")</f>
        <v>31.784892571942578</v>
      </c>
      <c r="I3" s="48">
        <f>IFERROR(IF(AND(Irr!H3&lt;&gt;".",Irr!AF3&lt;&gt;".",Irr!BD3&lt;&gt;"."),dir!I3/((1/1000)*(Irr!H3+Irr!AF3+Irr!BD3)),IF(AND(Irr!H3&lt;&gt;".",Irr!AF3&lt;&gt;".",Irr!BD3="."),dir!I3/((1/1000)*(Irr!H3+Irr!AF3)),IF(AND(Irr!H3&lt;&gt;".",Irr!AF3=".",Irr!BD3&lt;&gt;"."),dir!I3/((1/1000)*(Irr!H3+Irr!BD3)),IF(AND(Irr!H3=".",Irr!AF3&lt;&gt;".",Irr!BD3&lt;&gt;"."),dir!I3/((1/1000)*(Irr!AF3+Irr!BD3)),IF(AND(Irr!H3=".",Irr!AF3=".",Irr!BD3&lt;&gt;"."),dir!I3/((1/1000)*(Irr!BD3)),IF(AND(Irr!H3=".",Irr!AF3&lt;&gt;".",Irr!BD3="."),dir!I3/((1/1000)*(Irr!AF3)),IF(AND(Irr!H3&lt;&gt;".",Irr!AF3=".",Irr!BD3="."),dir!I3/((1/1000)*(Irr!H3)),IF(AND(Irr!H3=".",Irr!AF3=".",Irr!BD3="."),dir!I3*1000)))))))),".")</f>
        <v>12.034536830677562</v>
      </c>
      <c r="J3" s="48">
        <f>IFERROR(IF(AND(Irr!I3&lt;&gt;".",Irr!AG3&lt;&gt;".",Irr!BE3&lt;&gt;"."),dir!J3/((1/1000)*(Irr!I3+Irr!AG3+Irr!BE3)),IF(AND(Irr!I3&lt;&gt;".",Irr!AG3&lt;&gt;".",Irr!BE3="."),dir!J3/((1/1000)*(Irr!I3+Irr!AG3)),IF(AND(Irr!I3&lt;&gt;".",Irr!AG3=".",Irr!BE3&lt;&gt;"."),dir!J3/((1/1000)*(Irr!I3+Irr!BE3)),IF(AND(Irr!I3=".",Irr!AG3&lt;&gt;".",Irr!BE3&lt;&gt;"."),dir!J3/((1/1000)*(Irr!AG3+Irr!BE3)),IF(AND(Irr!I3=".",Irr!AG3=".",Irr!BE3&lt;&gt;"."),dir!J3/((1/1000)*(Irr!BE3)),IF(AND(Irr!I3=".",Irr!AG3&lt;&gt;".",Irr!BE3="."),dir!J3/((1/1000)*(Irr!AG3)),IF(AND(Irr!I3&lt;&gt;".",Irr!AG3=".",Irr!BE3="."),dir!J3/((1/1000)*(Irr!I3)),IF(AND(Irr!I3=".",Irr!AG3=".",Irr!BE3="."),dir!J3*1000)))))))),".")</f>
        <v>36.162884631103722</v>
      </c>
      <c r="K3" s="48">
        <f>IFERROR(IF(AND(Irr!J3&lt;&gt;".",Irr!AH3&lt;&gt;".",Irr!BF3&lt;&gt;"."),dir!K3/((1/1000)*(Irr!J3+Irr!AH3+Irr!BF3)),IF(AND(Irr!J3&lt;&gt;".",Irr!AH3&lt;&gt;".",Irr!BF3="."),dir!K3/((1/1000)*(Irr!J3+Irr!AH3)),IF(AND(Irr!J3&lt;&gt;".",Irr!AH3=".",Irr!BF3&lt;&gt;"."),dir!K3/((1/1000)*(Irr!J3+Irr!BF3)),IF(AND(Irr!J3=".",Irr!AH3&lt;&gt;".",Irr!BF3&lt;&gt;"."),dir!K3/((1/1000)*(Irr!AH3+Irr!BF3)),IF(AND(Irr!J3=".",Irr!AH3=".",Irr!BF3&lt;&gt;"."),dir!K3/((1/1000)*(Irr!BF3)),IF(AND(Irr!J3=".",Irr!AH3&lt;&gt;".",Irr!BF3="."),dir!K3/((1/1000)*(Irr!AH3)),IF(AND(Irr!J3&lt;&gt;".",Irr!AH3=".",Irr!BF3="."),dir!K3/((1/1000)*(Irr!J3)),IF(AND(Irr!J3=".",Irr!AH3=".",Irr!BF3="."),dir!K3*1000)))))))),".")</f>
        <v>3.143105029599802</v>
      </c>
      <c r="L3" s="48">
        <f>IFERROR(IF(AND(Irr!K3&lt;&gt;".",Irr!AI3&lt;&gt;".",Irr!BG3&lt;&gt;"."),dir!L3/((1/1000)*(Irr!K3+Irr!AI3+Irr!BG3)),IF(AND(Irr!K3&lt;&gt;".",Irr!AI3&lt;&gt;".",Irr!BG3="."),dir!L3/((1/1000)*(Irr!K3+Irr!AI3)),IF(AND(Irr!K3&lt;&gt;".",Irr!AI3=".",Irr!BG3&lt;&gt;"."),dir!L3/((1/1000)*(Irr!K3+Irr!BG3)),IF(AND(Irr!K3=".",Irr!AI3&lt;&gt;".",Irr!BG3&lt;&gt;"."),dir!L3/((1/1000)*(Irr!AI3+Irr!BG3)),IF(AND(Irr!K3=".",Irr!AI3=".",Irr!BG3&lt;&gt;"."),dir!L3/((1/1000)*(Irr!BG3)),IF(AND(Irr!K3=".",Irr!AI3&lt;&gt;".",Irr!BG3="."),dir!L3/((1/1000)*(Irr!AI3)),IF(AND(Irr!K3&lt;&gt;".",Irr!AI3=".",Irr!BG3="."),dir!L3/((1/1000)*(Irr!K3)),IF(AND(Irr!K3=".",Irr!AI3=".",Irr!BG3="."),dir!L3*1000)))))))),".")</f>
        <v>17.25667177744473</v>
      </c>
      <c r="M3" s="48">
        <f>IFERROR(IF(AND(Irr!L3&lt;&gt;".",Irr!AJ3&lt;&gt;".",Irr!BH3&lt;&gt;"."),dir!M3/((1/1000)*(Irr!L3+Irr!AJ3+Irr!BH3)),IF(AND(Irr!L3&lt;&gt;".",Irr!AJ3&lt;&gt;".",Irr!BH3="."),dir!M3/((1/1000)*(Irr!L3+Irr!AJ3)),IF(AND(Irr!L3&lt;&gt;".",Irr!AJ3=".",Irr!BH3&lt;&gt;"."),dir!M3/((1/1000)*(Irr!L3+Irr!BH3)),IF(AND(Irr!L3=".",Irr!AJ3&lt;&gt;".",Irr!BH3&lt;&gt;"."),dir!M3/((1/1000)*(Irr!AJ3+Irr!BH3)),IF(AND(Irr!L3=".",Irr!AJ3=".",Irr!BH3&lt;&gt;"."),dir!M3/((1/1000)*(Irr!BH3)),IF(AND(Irr!L3=".",Irr!AJ3&lt;&gt;".",Irr!BH3="."),dir!M3/((1/1000)*(Irr!AJ3)),IF(AND(Irr!L3&lt;&gt;".",Irr!AJ3=".",Irr!BH3="."),dir!M3/((1/1000)*(Irr!L3)),IF(AND(Irr!L3=".",Irr!AJ3=".",Irr!BH3="."),dir!M3*1000)))))))),".")</f>
        <v>12.805340720485354</v>
      </c>
      <c r="N3" s="48">
        <f>IFERROR(IF(AND(Irr!M3&lt;&gt;".",Irr!AK3&lt;&gt;".",Irr!BI3&lt;&gt;"."),dir!N3/((1/1000)*(Irr!M3+Irr!AK3+Irr!BI3)),IF(AND(Irr!M3&lt;&gt;".",Irr!AK3&lt;&gt;".",Irr!BI3="."),dir!N3/((1/1000)*(Irr!M3+Irr!AK3)),IF(AND(Irr!M3&lt;&gt;".",Irr!AK3=".",Irr!BI3&lt;&gt;"."),dir!N3/((1/1000)*(Irr!M3+Irr!BI3)),IF(AND(Irr!M3=".",Irr!AK3&lt;&gt;".",Irr!BI3&lt;&gt;"."),dir!N3/((1/1000)*(Irr!AK3+Irr!BI3)),IF(AND(Irr!M3=".",Irr!AK3=".",Irr!BI3&lt;&gt;"."),dir!N3/((1/1000)*(Irr!BI3)),IF(AND(Irr!M3=".",Irr!AK3&lt;&gt;".",Irr!BI3="."),dir!N3/((1/1000)*(Irr!AK3)),IF(AND(Irr!M3&lt;&gt;".",Irr!AK3=".",Irr!BI3="."),dir!N3/((1/1000)*(Irr!M3)),IF(AND(Irr!M3=".",Irr!AK3=".",Irr!BI3="."),dir!N3*1000)))))))),".")</f>
        <v>26.296704007947373</v>
      </c>
      <c r="O3" s="48">
        <f>IFERROR(IF(AND(Irr!N3&lt;&gt;".",Irr!AL3&lt;&gt;".",Irr!BJ3&lt;&gt;"."),dir!O3/((1/1000)*(Irr!N3+Irr!AL3+Irr!BJ3)),IF(AND(Irr!N3&lt;&gt;".",Irr!AL3&lt;&gt;".",Irr!BJ3="."),dir!O3/((1/1000)*(Irr!N3+Irr!AL3)),IF(AND(Irr!N3&lt;&gt;".",Irr!AL3=".",Irr!BJ3&lt;&gt;"."),dir!O3/((1/1000)*(Irr!N3+Irr!BJ3)),IF(AND(Irr!N3=".",Irr!AL3&lt;&gt;".",Irr!BJ3&lt;&gt;"."),dir!O3/((1/1000)*(Irr!AL3+Irr!BJ3)),IF(AND(Irr!N3=".",Irr!AL3=".",Irr!BJ3&lt;&gt;"."),dir!O3/((1/1000)*(Irr!BJ3)),IF(AND(Irr!N3=".",Irr!AL3&lt;&gt;".",Irr!BJ3="."),dir!O3/((1/1000)*(Irr!AL3)),IF(AND(Irr!N3&lt;&gt;".",Irr!AL3=".",Irr!BJ3="."),dir!O3/((1/1000)*(Irr!N3)),IF(AND(Irr!N3=".",Irr!AL3=".",Irr!BJ3="."),dir!O3*1000)))))))),".")</f>
        <v>31.082519603759351</v>
      </c>
      <c r="P3" s="48">
        <f>IFERROR(IF(AND(Irr!O3&lt;&gt;".",Irr!AM3&lt;&gt;".",Irr!BK3&lt;&gt;"."),dir!P3/((1/1000)*(Irr!O3+Irr!AM3+Irr!BK3)),IF(AND(Irr!O3&lt;&gt;".",Irr!AM3&lt;&gt;".",Irr!BK3="."),dir!P3/((1/1000)*(Irr!O3+Irr!AM3)),IF(AND(Irr!O3&lt;&gt;".",Irr!AM3=".",Irr!BK3&lt;&gt;"."),dir!P3/((1/1000)*(Irr!O3+Irr!BK3)),IF(AND(Irr!O3=".",Irr!AM3&lt;&gt;".",Irr!BK3&lt;&gt;"."),dir!P3/((1/1000)*(Irr!AM3+Irr!BK3)),IF(AND(Irr!O3=".",Irr!AM3=".",Irr!BK3&lt;&gt;"."),dir!P3/((1/1000)*(Irr!BK3)),IF(AND(Irr!O3=".",Irr!AM3&lt;&gt;".",Irr!BK3="."),dir!P3/((1/1000)*(Irr!AM3)),IF(AND(Irr!O3&lt;&gt;".",Irr!AM3=".",Irr!BK3="."),dir!P3/((1/1000)*(Irr!O3)),IF(AND(Irr!O3=".",Irr!AM3=".",Irr!BK3="."),dir!P3*1000)))))))),".")</f>
        <v>36.241378155321073</v>
      </c>
      <c r="Q3" s="48">
        <f>IFERROR(IF(AND(Irr!P3&lt;&gt;".",Irr!AN3&lt;&gt;".",Irr!BL3&lt;&gt;"."),dir!Q3/((1/1000)*(Irr!P3+Irr!AN3+Irr!BL3)),IF(AND(Irr!P3&lt;&gt;".",Irr!AN3&lt;&gt;".",Irr!BL3="."),dir!Q3/((1/1000)*(Irr!P3+Irr!AN3)),IF(AND(Irr!P3&lt;&gt;".",Irr!AN3=".",Irr!BL3&lt;&gt;"."),dir!Q3/((1/1000)*(Irr!P3+Irr!BL3)),IF(AND(Irr!P3=".",Irr!AN3&lt;&gt;".",Irr!BL3&lt;&gt;"."),dir!Q3/((1/1000)*(Irr!AN3+Irr!BL3)),IF(AND(Irr!P3=".",Irr!AN3=".",Irr!BL3&lt;&gt;"."),dir!Q3/((1/1000)*(Irr!BL3)),IF(AND(Irr!P3=".",Irr!AN3&lt;&gt;".",Irr!BL3="."),dir!Q3/((1/1000)*(Irr!AN3)),IF(AND(Irr!P3&lt;&gt;".",Irr!AN3=".",Irr!BL3="."),dir!Q3/((1/1000)*(Irr!P3)),IF(AND(Irr!P3=".",Irr!AN3=".",Irr!BL3="."),dir!Q3*1000)))))))),".")</f>
        <v>48.939731514046315</v>
      </c>
      <c r="R3" s="48">
        <f>IFERROR(IF(AND(Irr!Q3&lt;&gt;".",Irr!AO3&lt;&gt;".",Irr!BM3&lt;&gt;"."),dir!R3/((1/1000)*(Irr!Q3+Irr!AO3+Irr!BM3)),IF(AND(Irr!Q3&lt;&gt;".",Irr!AO3&lt;&gt;".",Irr!BM3="."),dir!R3/((1/1000)*(Irr!Q3+Irr!AO3)),IF(AND(Irr!Q3&lt;&gt;".",Irr!AO3=".",Irr!BM3&lt;&gt;"."),dir!R3/((1/1000)*(Irr!Q3+Irr!BM3)),IF(AND(Irr!Q3=".",Irr!AO3&lt;&gt;".",Irr!BM3&lt;&gt;"."),dir!R3/((1/1000)*(Irr!AO3+Irr!BM3)),IF(AND(Irr!Q3=".",Irr!AO3=".",Irr!BM3&lt;&gt;"."),dir!R3/((1/1000)*(Irr!BM3)),IF(AND(Irr!Q3=".",Irr!AO3&lt;&gt;".",Irr!BM3="."),dir!R3/((1/1000)*(Irr!AO3)),IF(AND(Irr!Q3&lt;&gt;".",Irr!AO3=".",Irr!BM3="."),dir!R3/((1/1000)*(Irr!Q3)),IF(AND(Irr!Q3=".",Irr!AO3=".",Irr!BM3="."),dir!R3*1000)))))))),".")</f>
        <v>7.7515292007197578</v>
      </c>
      <c r="S3" s="48">
        <f>IFERROR(IF(AND(Irr!R3&lt;&gt;".",Irr!AP3&lt;&gt;".",Irr!BN3&lt;&gt;"."),dir!S3/((1/1000)*(Irr!R3+Irr!AP3+Irr!BN3)),IF(AND(Irr!R3&lt;&gt;".",Irr!AP3&lt;&gt;".",Irr!BN3="."),dir!S3/((1/1000)*(Irr!R3+Irr!AP3)),IF(AND(Irr!R3&lt;&gt;".",Irr!AP3=".",Irr!BN3&lt;&gt;"."),dir!S3/((1/1000)*(Irr!R3+Irr!BN3)),IF(AND(Irr!R3=".",Irr!AP3&lt;&gt;".",Irr!BN3&lt;&gt;"."),dir!S3/((1/1000)*(Irr!AP3+Irr!BN3)),IF(AND(Irr!R3=".",Irr!AP3=".",Irr!BN3&lt;&gt;"."),dir!S3/((1/1000)*(Irr!BN3)),IF(AND(Irr!R3=".",Irr!AP3&lt;&gt;".",Irr!BN3="."),dir!S3/((1/1000)*(Irr!AP3)),IF(AND(Irr!R3&lt;&gt;".",Irr!AP3=".",Irr!BN3="."),dir!S3/((1/1000)*(Irr!R3)),IF(AND(Irr!R3=".",Irr!AP3=".",Irr!BN3="."),dir!S3*1000)))))))),".")</f>
        <v>16.076568882304144</v>
      </c>
      <c r="T3" s="48">
        <f>IFERROR(IF(AND(Irr!S3&lt;&gt;".",Irr!AQ3&lt;&gt;".",Irr!BO3&lt;&gt;"."),dir!T3/((1/1000)*(Irr!S3+Irr!AQ3+Irr!BO3)),IF(AND(Irr!S3&lt;&gt;".",Irr!AQ3&lt;&gt;".",Irr!BO3="."),dir!T3/((1/1000)*(Irr!S3+Irr!AQ3)),IF(AND(Irr!S3&lt;&gt;".",Irr!AQ3=".",Irr!BO3&lt;&gt;"."),dir!T3/((1/1000)*(Irr!S3+Irr!BO3)),IF(AND(Irr!S3=".",Irr!AQ3&lt;&gt;".",Irr!BO3&lt;&gt;"."),dir!T3/((1/1000)*(Irr!AQ3+Irr!BO3)),IF(AND(Irr!S3=".",Irr!AQ3=".",Irr!BO3&lt;&gt;"."),dir!T3/((1/1000)*(Irr!BO3)),IF(AND(Irr!S3=".",Irr!AQ3&lt;&gt;".",Irr!BO3="."),dir!T3/((1/1000)*(Irr!AQ3)),IF(AND(Irr!S3&lt;&gt;".",Irr!AQ3=".",Irr!BO3="."),dir!T3/((1/1000)*(Irr!S3)),IF(AND(Irr!S3=".",Irr!AQ3=".",Irr!BO3="."),dir!T3*1000)))))))),".")</f>
        <v>25.574138538879946</v>
      </c>
      <c r="U3" s="48">
        <f>IFERROR(IF(AND(Irr!T3&lt;&gt;".",Irr!AR3&lt;&gt;".",Irr!BP3&lt;&gt;"."),dir!U3/((1/1000)*(Irr!T3+Irr!AR3+Irr!BP3)),IF(AND(Irr!T3&lt;&gt;".",Irr!AR3&lt;&gt;".",Irr!BP3="."),dir!U3/((1/1000)*(Irr!T3+Irr!AR3)),IF(AND(Irr!T3&lt;&gt;".",Irr!AR3=".",Irr!BP3&lt;&gt;"."),dir!U3/((1/1000)*(Irr!T3+Irr!BP3)),IF(AND(Irr!T3=".",Irr!AR3&lt;&gt;".",Irr!BP3&lt;&gt;"."),dir!U3/((1/1000)*(Irr!AR3+Irr!BP3)),IF(AND(Irr!T3=".",Irr!AR3=".",Irr!BP3&lt;&gt;"."),dir!U3/((1/1000)*(Irr!BP3)),IF(AND(Irr!T3=".",Irr!AR3&lt;&gt;".",Irr!BP3="."),dir!U3/((1/1000)*(Irr!AR3)),IF(AND(Irr!T3&lt;&gt;".",Irr!AR3=".",Irr!BP3="."),dir!U3/((1/1000)*(Irr!T3)),IF(AND(Irr!T3=".",Irr!AR3=".",Irr!BP3="."),dir!U3*1000)))))))),".")</f>
        <v>8.0429079590811998</v>
      </c>
      <c r="V3" s="48">
        <f>IFERROR(IF(AND(Irr!U3&lt;&gt;".",Irr!AS3&lt;&gt;".",Irr!BQ3&lt;&gt;"."),dir!V3/((1/1000)*(Irr!U3+Irr!AS3+Irr!BQ3)),IF(AND(Irr!U3&lt;&gt;".",Irr!AS3&lt;&gt;".",Irr!BQ3="."),dir!V3/((1/1000)*(Irr!U3+Irr!AS3)),IF(AND(Irr!U3&lt;&gt;".",Irr!AS3=".",Irr!BQ3&lt;&gt;"."),dir!V3/((1/1000)*(Irr!U3+Irr!BQ3)),IF(AND(Irr!U3=".",Irr!AS3&lt;&gt;".",Irr!BQ3&lt;&gt;"."),dir!V3/((1/1000)*(Irr!AS3+Irr!BQ3)),IF(AND(Irr!U3=".",Irr!AS3=".",Irr!BQ3&lt;&gt;"."),dir!V3/((1/1000)*(Irr!BQ3)),IF(AND(Irr!U3=".",Irr!AS3&lt;&gt;".",Irr!BQ3="."),dir!V3/((1/1000)*(Irr!AS3)),IF(AND(Irr!U3&lt;&gt;".",Irr!AS3=".",Irr!BQ3="."),dir!V3/((1/1000)*(Irr!U3)),IF(AND(Irr!U3=".",Irr!AS3=".",Irr!BQ3="."),dir!V3*1000)))))))),".")</f>
        <v>14.713825383922345</v>
      </c>
      <c r="W3" s="48">
        <f>IFERROR(IF(AND(Irr!V3&lt;&gt;".",Irr!AT3&lt;&gt;".",Irr!BR3&lt;&gt;"."),dir!W3/((1/1000)*(Irr!V3+Irr!AT3+Irr!BR3)),IF(AND(Irr!V3&lt;&gt;".",Irr!AT3&lt;&gt;".",Irr!BR3="."),dir!W3/((1/1000)*(Irr!V3+Irr!AT3)),IF(AND(Irr!V3&lt;&gt;".",Irr!AT3=".",Irr!BR3&lt;&gt;"."),dir!W3/((1/1000)*(Irr!V3+Irr!BR3)),IF(AND(Irr!V3=".",Irr!AT3&lt;&gt;".",Irr!BR3&lt;&gt;"."),dir!W3/((1/1000)*(Irr!AT3+Irr!BR3)),IF(AND(Irr!V3=".",Irr!AT3=".",Irr!BR3&lt;&gt;"."),dir!W3/((1/1000)*(Irr!BR3)),IF(AND(Irr!V3=".",Irr!AT3&lt;&gt;".",Irr!BR3="."),dir!W3/((1/1000)*(Irr!AT3)),IF(AND(Irr!V3&lt;&gt;".",Irr!AT3=".",Irr!BR3="."),dir!W3/((1/1000)*(Irr!V3)),IF(AND(Irr!V3=".",Irr!AT3=".",Irr!BR3="."),dir!W3*1000)))))))),".")</f>
        <v>17.707346217998989</v>
      </c>
      <c r="X3" s="48">
        <f>IFERROR(IF(AND(Irr!W3&lt;&gt;".",Irr!AU3&lt;&gt;".",Irr!BS3&lt;&gt;"."),dir!X3/((1/1000)*(Irr!W3+Irr!AU3+Irr!BS3)),IF(AND(Irr!W3&lt;&gt;".",Irr!AU3&lt;&gt;".",Irr!BS3="."),dir!X3/((1/1000)*(Irr!W3+Irr!AU3)),IF(AND(Irr!W3&lt;&gt;".",Irr!AU3=".",Irr!BS3&lt;&gt;"."),dir!X3/((1/1000)*(Irr!W3+Irr!BS3)),IF(AND(Irr!W3=".",Irr!AU3&lt;&gt;".",Irr!BS3&lt;&gt;"."),dir!X3/((1/1000)*(Irr!AU3+Irr!BS3)),IF(AND(Irr!W3=".",Irr!AU3=".",Irr!BS3&lt;&gt;"."),dir!X3/((1/1000)*(Irr!BS3)),IF(AND(Irr!W3=".",Irr!AU3&lt;&gt;".",Irr!BS3="."),dir!X3/((1/1000)*(Irr!AU3)),IF(AND(Irr!W3&lt;&gt;".",Irr!AU3=".",Irr!BS3="."),dir!X3/((1/1000)*(Irr!W3)),IF(AND(Irr!W3=".",Irr!AU3=".",Irr!BS3="."),dir!X3*1000)))))))),".")</f>
        <v>24.027328795988083</v>
      </c>
      <c r="Y3" s="48">
        <f>IFERROR(IF(AND(Irr!X3&lt;&gt;".",Irr!AV3&lt;&gt;".",Irr!BT3&lt;&gt;"."),dir!Y3/((1/1000)*(Irr!X3+Irr!AV3+Irr!BT3)),IF(AND(Irr!X3&lt;&gt;".",Irr!AV3&lt;&gt;".",Irr!BT3="."),dir!Y3/((1/1000)*(Irr!X3+Irr!AV3)),IF(AND(Irr!X3&lt;&gt;".",Irr!AV3=".",Irr!BT3&lt;&gt;"."),dir!Y3/((1/1000)*(Irr!X3+Irr!BT3)),IF(AND(Irr!X3=".",Irr!AV3&lt;&gt;".",Irr!BT3&lt;&gt;"."),dir!Y3/((1/1000)*(Irr!AV3+Irr!BT3)),IF(AND(Irr!X3=".",Irr!AV3=".",Irr!BT3&lt;&gt;"."),dir!Y3/((1/1000)*(Irr!BT3)),IF(AND(Irr!X3=".",Irr!AV3&lt;&gt;".",Irr!BT3="."),dir!Y3/((1/1000)*(Irr!AV3)),IF(AND(Irr!X3&lt;&gt;".",Irr!AV3=".",Irr!BT3="."),dir!Y3/((1/1000)*(Irr!X3)),IF(AND(Irr!X3=".",Irr!AV3=".",Irr!BT3="."),dir!Y3*1000)))))))),".")</f>
        <v>12.729581822099185</v>
      </c>
      <c r="Z3" s="48">
        <f>IFERROR(IF(AND(Irr!Y3&lt;&gt;".",Irr!AW3&lt;&gt;".",Irr!BU3&lt;&gt;"."),dir!Z3/((1/1000)*(Irr!Y3+Irr!AW3+Irr!BU3)),IF(AND(Irr!Y3&lt;&gt;".",Irr!AW3&lt;&gt;".",Irr!BU3="."),dir!Z3/((1/1000)*(Irr!Y3+Irr!AW3)),IF(AND(Irr!Y3&lt;&gt;".",Irr!AW3=".",Irr!BU3&lt;&gt;"."),dir!Z3/((1/1000)*(Irr!Y3+Irr!BU3)),IF(AND(Irr!Y3=".",Irr!AW3&lt;&gt;".",Irr!BU3&lt;&gt;"."),dir!Z3/((1/1000)*(Irr!AW3+Irr!BU3)),IF(AND(Irr!Y3=".",Irr!AW3=".",Irr!BU3&lt;&gt;"."),dir!Z3/((1/1000)*(Irr!BU3)),IF(AND(Irr!Y3=".",Irr!AW3&lt;&gt;".",Irr!BU3="."),dir!Z3/((1/1000)*(Irr!AW3)),IF(AND(Irr!Y3&lt;&gt;".",Irr!AW3=".",Irr!BU3="."),dir!Z3/((1/1000)*(Irr!Y3)),IF(AND(Irr!Y3=".",Irr!AW3=".",Irr!BU3="."),dir!Z3*1000)))))))),".")</f>
        <v>4.0833456034310913</v>
      </c>
      <c r="AA3" s="48">
        <f>IFERROR(IF(AND(Irr!Z3&lt;&gt;".",Irr!AX3&lt;&gt;".",Irr!BV3&lt;&gt;"."),dir!AA3/((1/1000)*(Irr!Z3+Irr!AX3+Irr!BV3)),IF(AND(Irr!Z3&lt;&gt;".",Irr!AX3&lt;&gt;".",Irr!BV3="."),dir!AA3/((1/1000)*(Irr!Z3+Irr!AX3)),IF(AND(Irr!Z3&lt;&gt;".",Irr!AX3=".",Irr!BV3&lt;&gt;"."),dir!AA3/((1/1000)*(Irr!Z3+Irr!BV3)),IF(AND(Irr!Z3=".",Irr!AX3&lt;&gt;".",Irr!BV3&lt;&gt;"."),dir!AA3/((1/1000)*(Irr!AX3+Irr!BV3)),IF(AND(Irr!Z3=".",Irr!AX3=".",Irr!BV3&lt;&gt;"."),dir!AA3/((1/1000)*(Irr!BV3)),IF(AND(Irr!Z3=".",Irr!AX3&lt;&gt;".",Irr!BV3="."),dir!AA3/((1/1000)*(Irr!AX3)),IF(AND(Irr!Z3&lt;&gt;".",Irr!AX3=".",Irr!BV3="."),dir!AA3/((1/1000)*(Irr!Z3)),IF(AND(Irr!Z3=".",Irr!AX3=".",Irr!BV3="."),dir!AA3*1000)))))))),".")</f>
        <v>3.1707282850841758</v>
      </c>
      <c r="AB3" s="48">
        <f t="shared" si="1"/>
        <v>0.62907930890654051</v>
      </c>
      <c r="AC3" s="48">
        <f>IFERROR(IF(AND(Irr!C3&lt;&gt;".",Irr!AA3&lt;&gt;".",Irr!AY3&lt;&gt;"."),dir!AC3/((1/1000)*(Irr!C3+Irr!AA3+Irr!AY3)),IF(AND(Irr!C3&lt;&gt;".",Irr!AA3&lt;&gt;".",Irr!AY3="."),dir!AC3/((1/1000)*(Irr!C3+Irr!AA3)),IF(AND(Irr!C3&lt;&gt;".",Irr!AA3=".",Irr!AY3&lt;&gt;"."),dir!AC3/((1/1000)*(Irr!C3+Irr!AY3)),IF(AND(Irr!C3=".",Irr!AA3&lt;&gt;".",Irr!AY3&lt;&gt;"."),dir!AC3/((1/1000)*(Irr!AA3+Irr!AY3)),IF(AND(Irr!C3=".",Irr!AA3=".",Irr!AY3&lt;&gt;"."),dir!AC3/((1/1000)*(Irr!AY3)),IF(AND(Irr!C3=".",Irr!AA3&lt;&gt;".",Irr!AY3="."),dir!AC3/((1/1000)*(Irr!AA3)),IF(AND(Irr!C3&lt;&gt;".",Irr!AA3=".",Irr!AY3="."),dir!AC3/((1/1000)*(Irr!C3)),IF(AND(Irr!C3=".",Irr!AA3=".",Irr!AY3="."),dir!AC3*1000)))))))),".")</f>
        <v>10.530600088439519</v>
      </c>
      <c r="AD3" s="48">
        <f>IFERROR(IF(AND(Irr!D3&lt;&gt;".",Irr!AB3&lt;&gt;".",Irr!AZ3&lt;&gt;"."),dir!AD3/((1/1000)*(Irr!D3+Irr!AB3+Irr!AZ3)),IF(AND(Irr!D3&lt;&gt;".",Irr!AB3&lt;&gt;".",Irr!AZ3="."),dir!AD3/((1/1000)*(Irr!D3+Irr!AB3)),IF(AND(Irr!D3&lt;&gt;".",Irr!AB3=".",Irr!AZ3&lt;&gt;"."),dir!AD3/((1/1000)*(Irr!D3+Irr!AZ3)),IF(AND(Irr!D3=".",Irr!AB3&lt;&gt;".",Irr!AZ3&lt;&gt;"."),dir!AD3/((1/1000)*(Irr!AB3+Irr!AZ3)),IF(AND(Irr!D3=".",Irr!AB3=".",Irr!AZ3&lt;&gt;"."),dir!AD3/((1/1000)*(Irr!AZ3)),IF(AND(Irr!D3=".",Irr!AB3&lt;&gt;".",Irr!AZ3="."),dir!AD3/((1/1000)*(Irr!AB3)),IF(AND(Irr!D3&lt;&gt;".",Irr!AB3=".",Irr!AZ3="."),dir!AD3/((1/1000)*(Irr!D3)),IF(AND(Irr!D3=".",Irr!AB3=".",Irr!AZ3="."),dir!AD3*1000)))))))),".")</f>
        <v>25.215868087100709</v>
      </c>
      <c r="AE3" s="48">
        <f>IFERROR(IF(AND(Irr!E3&lt;&gt;".",Irr!AC3&lt;&gt;".",Irr!BA3&lt;&gt;"."),dir!AE3/((1/1000)*(Irr!E3+Irr!AC3+Irr!BA3)),IF(AND(Irr!E3&lt;&gt;".",Irr!AC3&lt;&gt;".",Irr!BA3="."),dir!AE3/((1/1000)*(Irr!E3+Irr!AC3)),IF(AND(Irr!E3&lt;&gt;".",Irr!AC3=".",Irr!BA3&lt;&gt;"."),dir!AE3/((1/1000)*(Irr!E3+Irr!BA3)),IF(AND(Irr!E3=".",Irr!AC3&lt;&gt;".",Irr!BA3&lt;&gt;"."),dir!AE3/((1/1000)*(Irr!AC3+Irr!BA3)),IF(AND(Irr!E3=".",Irr!AC3=".",Irr!BA3&lt;&gt;"."),dir!AE3/((1/1000)*(Irr!BA3)),IF(AND(Irr!E3=".",Irr!AC3&lt;&gt;".",Irr!BA3="."),dir!AE3/((1/1000)*(Irr!AC3)),IF(AND(Irr!E3&lt;&gt;".",Irr!AC3=".",Irr!BA3="."),dir!AE3/((1/1000)*(Irr!E3)),IF(AND(Irr!E3=".",Irr!AC3=".",Irr!BA3="."),dir!AE3*1000)))))))),".")</f>
        <v>30.059770823438704</v>
      </c>
      <c r="AF3" s="48">
        <f>IFERROR(IF(AND(Irr!F3&lt;&gt;".",Irr!AD3&lt;&gt;".",Irr!BB3&lt;&gt;"."),dir!AF3/((1/1000)*(Irr!F3+Irr!AD3+Irr!BB3)),IF(AND(Irr!F3&lt;&gt;".",Irr!AD3&lt;&gt;".",Irr!BB3="."),dir!AF3/((1/1000)*(Irr!F3+Irr!AD3)),IF(AND(Irr!F3&lt;&gt;".",Irr!AD3=".",Irr!BB3&lt;&gt;"."),dir!AF3/((1/1000)*(Irr!F3+Irr!BB3)),IF(AND(Irr!F3=".",Irr!AD3&lt;&gt;".",Irr!BB3&lt;&gt;"."),dir!AF3/((1/1000)*(Irr!AD3+Irr!BB3)),IF(AND(Irr!F3=".",Irr!AD3=".",Irr!BB3&lt;&gt;"."),dir!AF3/((1/1000)*(Irr!BB3)),IF(AND(Irr!F3=".",Irr!AD3&lt;&gt;".",Irr!BB3="."),dir!AF3/((1/1000)*(Irr!AD3)),IF(AND(Irr!F3&lt;&gt;".",Irr!AD3=".",Irr!BB3="."),dir!AF3/((1/1000)*(Irr!F3)),IF(AND(Irr!F3=".",Irr!AD3=".",Irr!BB3="."),dir!AF3*1000)))))))),".")</f>
        <v>26.20340841744985</v>
      </c>
      <c r="AG3" s="48">
        <f>IFERROR(IF(AND(Irr!G3&lt;&gt;".",Irr!AE3&lt;&gt;".",Irr!BC3&lt;&gt;"."),dir!AG3/((1/1000)*(Irr!G3+Irr!AE3+Irr!BC3)),IF(AND(Irr!G3&lt;&gt;".",Irr!AE3&lt;&gt;".",Irr!BC3="."),dir!AG3/((1/1000)*(Irr!G3+Irr!AE3)),IF(AND(Irr!G3&lt;&gt;".",Irr!AE3=".",Irr!BC3&lt;&gt;"."),dir!AG3/((1/1000)*(Irr!G3+Irr!BC3)),IF(AND(Irr!G3=".",Irr!AE3&lt;&gt;".",Irr!BC3&lt;&gt;"."),dir!AG3/((1/1000)*(Irr!AE3+Irr!BC3)),IF(AND(Irr!G3=".",Irr!AE3=".",Irr!BC3&lt;&gt;"."),dir!AG3/((1/1000)*(Irr!BC3)),IF(AND(Irr!G3=".",Irr!AE3&lt;&gt;".",Irr!BC3="."),dir!AG3/((1/1000)*(Irr!AE3)),IF(AND(Irr!G3&lt;&gt;".",Irr!AE3=".",Irr!BC3="."),dir!AG3/((1/1000)*(Irr!G3)),IF(AND(Irr!G3=".",Irr!AE3=".",Irr!BC3="."),dir!AG3*1000)))))))),".")</f>
        <v>27.326212786940097</v>
      </c>
      <c r="AH3" s="48">
        <f>IFERROR(IF(AND(Irr!H3&lt;&gt;".",Irr!AF3&lt;&gt;".",Irr!BD3&lt;&gt;"."),dir!AH3/((1/1000)*(Irr!H3+Irr!AF3+Irr!BD3)),IF(AND(Irr!H3&lt;&gt;".",Irr!AF3&lt;&gt;".",Irr!BD3="."),dir!AH3/((1/1000)*(Irr!H3+Irr!AF3)),IF(AND(Irr!H3&lt;&gt;".",Irr!AF3=".",Irr!BD3&lt;&gt;"."),dir!AH3/((1/1000)*(Irr!H3+Irr!BD3)),IF(AND(Irr!H3=".",Irr!AF3&lt;&gt;".",Irr!BD3&lt;&gt;"."),dir!AH3/((1/1000)*(Irr!AF3+Irr!BD3)),IF(AND(Irr!H3=".",Irr!AF3=".",Irr!BD3&lt;&gt;"."),dir!AH3/((1/1000)*(Irr!BD3)),IF(AND(Irr!H3=".",Irr!AF3&lt;&gt;".",Irr!BD3="."),dir!AH3/((1/1000)*(Irr!AF3)),IF(AND(Irr!H3&lt;&gt;".",Irr!AF3=".",Irr!BD3="."),dir!AH3/((1/1000)*(Irr!H3)),IF(AND(Irr!H3=".",Irr!AF3=".",Irr!BD3="."),dir!AH3*1000)))))))),".")</f>
        <v>11.901554956619917</v>
      </c>
      <c r="AI3" s="48">
        <f>IFERROR(IF(AND(Irr!I3&lt;&gt;".",Irr!AG3&lt;&gt;".",Irr!BE3&lt;&gt;"."),dir!AI3/((1/1000)*(Irr!I3+Irr!AG3+Irr!BE3)),IF(AND(Irr!I3&lt;&gt;".",Irr!AG3&lt;&gt;".",Irr!BE3="."),dir!AI3/((1/1000)*(Irr!I3+Irr!AG3)),IF(AND(Irr!I3&lt;&gt;".",Irr!AG3=".",Irr!BE3&lt;&gt;"."),dir!AI3/((1/1000)*(Irr!I3+Irr!BE3)),IF(AND(Irr!I3=".",Irr!AG3&lt;&gt;".",Irr!BE3&lt;&gt;"."),dir!AI3/((1/1000)*(Irr!AG3+Irr!BE3)),IF(AND(Irr!I3=".",Irr!AG3=".",Irr!BE3&lt;&gt;"."),dir!AI3/((1/1000)*(Irr!BE3)),IF(AND(Irr!I3=".",Irr!AG3&lt;&gt;".",Irr!BE3="."),dir!AI3/((1/1000)*(Irr!AG3)),IF(AND(Irr!I3&lt;&gt;".",Irr!AG3=".",Irr!BE3="."),dir!AI3/((1/1000)*(Irr!I3)),IF(AND(Irr!I3=".",Irr!AG3=".",Irr!BE3="."),dir!AI3*1000)))))))),".")</f>
        <v>38.887627159059768</v>
      </c>
      <c r="AJ3" s="48">
        <f>IFERROR(IF(AND(Irr!J3&lt;&gt;".",Irr!AH3&lt;&gt;".",Irr!BF3&lt;&gt;"."),dir!AJ3/((1/1000)*(Irr!J3+Irr!AH3+Irr!BF3)),IF(AND(Irr!J3&lt;&gt;".",Irr!AH3&lt;&gt;".",Irr!BF3="."),dir!AJ3/((1/1000)*(Irr!J3+Irr!AH3)),IF(AND(Irr!J3&lt;&gt;".",Irr!AH3=".",Irr!BF3&lt;&gt;"."),dir!AJ3/((1/1000)*(Irr!J3+Irr!BF3)),IF(AND(Irr!J3=".",Irr!AH3&lt;&gt;".",Irr!BF3&lt;&gt;"."),dir!AJ3/((1/1000)*(Irr!AH3+Irr!BF3)),IF(AND(Irr!J3=".",Irr!AH3=".",Irr!BF3&lt;&gt;"."),dir!AJ3/((1/1000)*(Irr!BF3)),IF(AND(Irr!J3=".",Irr!AH3&lt;&gt;".",Irr!BF3="."),dir!AJ3/((1/1000)*(Irr!AH3)),IF(AND(Irr!J3&lt;&gt;".",Irr!AH3=".",Irr!BF3="."),dir!AJ3/((1/1000)*(Irr!J3)),IF(AND(Irr!J3=".",Irr!AH3=".",Irr!BF3="."),dir!AJ3*1000)))))))),".")</f>
        <v>3.0433841994804784</v>
      </c>
      <c r="AK3" s="48">
        <f>IFERROR(IF(AND(Irr!K3&lt;&gt;".",Irr!AI3&lt;&gt;".",Irr!BG3&lt;&gt;"."),dir!AK3/((1/1000)*(Irr!K3+Irr!AI3+Irr!BG3)),IF(AND(Irr!K3&lt;&gt;".",Irr!AI3&lt;&gt;".",Irr!BG3="."),dir!AK3/((1/1000)*(Irr!K3+Irr!AI3)),IF(AND(Irr!K3&lt;&gt;".",Irr!AI3=".",Irr!BG3&lt;&gt;"."),dir!AK3/((1/1000)*(Irr!K3+Irr!BG3)),IF(AND(Irr!K3=".",Irr!AI3&lt;&gt;".",Irr!BG3&lt;&gt;"."),dir!AK3/((1/1000)*(Irr!AI3+Irr!BG3)),IF(AND(Irr!K3=".",Irr!AI3=".",Irr!BG3&lt;&gt;"."),dir!AK3/((1/1000)*(Irr!BG3)),IF(AND(Irr!K3=".",Irr!AI3&lt;&gt;".",Irr!BG3="."),dir!AK3/((1/1000)*(Irr!AI3)),IF(AND(Irr!K3&lt;&gt;".",Irr!AI3=".",Irr!BG3="."),dir!AK3/((1/1000)*(Irr!K3)),IF(AND(Irr!K3=".",Irr!AI3=".",Irr!BG3="."),dir!AK3*1000)))))))),".")</f>
        <v>11.916945646725454</v>
      </c>
      <c r="AL3" s="48">
        <f>IFERROR(IF(AND(Irr!L3&lt;&gt;".",Irr!AJ3&lt;&gt;".",Irr!BH3&lt;&gt;"."),dir!AL3/((1/1000)*(Irr!L3+Irr!AJ3+Irr!BH3)),IF(AND(Irr!L3&lt;&gt;".",Irr!AJ3&lt;&gt;".",Irr!BH3="."),dir!AL3/((1/1000)*(Irr!L3+Irr!AJ3)),IF(AND(Irr!L3&lt;&gt;".",Irr!AJ3=".",Irr!BH3&lt;&gt;"."),dir!AL3/((1/1000)*(Irr!L3+Irr!BH3)),IF(AND(Irr!L3=".",Irr!AJ3&lt;&gt;".",Irr!BH3&lt;&gt;"."),dir!AL3/((1/1000)*(Irr!AJ3+Irr!BH3)),IF(AND(Irr!L3=".",Irr!AJ3=".",Irr!BH3&lt;&gt;"."),dir!AL3/((1/1000)*(Irr!BH3)),IF(AND(Irr!L3=".",Irr!AJ3&lt;&gt;".",Irr!BH3="."),dir!AL3/((1/1000)*(Irr!AJ3)),IF(AND(Irr!L3&lt;&gt;".",Irr!AJ3=".",Irr!BH3="."),dir!AL3/((1/1000)*(Irr!L3)),IF(AND(Irr!L3=".",Irr!AJ3=".",Irr!BH3="."),dir!AL3*1000)))))))),".")</f>
        <v>18.034188181350206</v>
      </c>
      <c r="AM3" s="48">
        <f>IFERROR(IF(AND(Irr!M3&lt;&gt;".",Irr!AK3&lt;&gt;".",Irr!BI3&lt;&gt;"."),dir!AM3/((1/1000)*(Irr!M3+Irr!AK3+Irr!BI3)),IF(AND(Irr!M3&lt;&gt;".",Irr!AK3&lt;&gt;".",Irr!BI3="."),dir!AM3/((1/1000)*(Irr!M3+Irr!AK3)),IF(AND(Irr!M3&lt;&gt;".",Irr!AK3=".",Irr!BI3&lt;&gt;"."),dir!AM3/((1/1000)*(Irr!M3+Irr!BI3)),IF(AND(Irr!M3=".",Irr!AK3&lt;&gt;".",Irr!BI3&lt;&gt;"."),dir!AM3/((1/1000)*(Irr!AK3+Irr!BI3)),IF(AND(Irr!M3=".",Irr!AK3=".",Irr!BI3&lt;&gt;"."),dir!AM3/((1/1000)*(Irr!BI3)),IF(AND(Irr!M3=".",Irr!AK3&lt;&gt;".",Irr!BI3="."),dir!AM3/((1/1000)*(Irr!AK3)),IF(AND(Irr!M3&lt;&gt;".",Irr!AK3=".",Irr!BI3="."),dir!AM3/((1/1000)*(Irr!M3)),IF(AND(Irr!M3=".",Irr!AK3=".",Irr!BI3="."),dir!AM3*1000)))))))),".")</f>
        <v>24.141514976193122</v>
      </c>
      <c r="AN3" s="48">
        <f>IFERROR(IF(AND(Irr!N3&lt;&gt;".",Irr!AL3&lt;&gt;".",Irr!BJ3&lt;&gt;"."),dir!AN3/((1/1000)*(Irr!N3+Irr!AL3+Irr!BJ3)),IF(AND(Irr!N3&lt;&gt;".",Irr!AL3&lt;&gt;".",Irr!BJ3="."),dir!AN3/((1/1000)*(Irr!N3+Irr!AL3)),IF(AND(Irr!N3&lt;&gt;".",Irr!AL3=".",Irr!BJ3&lt;&gt;"."),dir!AN3/((1/1000)*(Irr!N3+Irr!BJ3)),IF(AND(Irr!N3=".",Irr!AL3&lt;&gt;".",Irr!BJ3&lt;&gt;"."),dir!AN3/((1/1000)*(Irr!AL3+Irr!BJ3)),IF(AND(Irr!N3=".",Irr!AL3=".",Irr!BJ3&lt;&gt;"."),dir!AN3/((1/1000)*(Irr!BJ3)),IF(AND(Irr!N3=".",Irr!AL3&lt;&gt;".",Irr!BJ3="."),dir!AN3/((1/1000)*(Irr!AL3)),IF(AND(Irr!N3&lt;&gt;".",Irr!AL3=".",Irr!BJ3="."),dir!AN3/((1/1000)*(Irr!N3)),IF(AND(Irr!N3=".",Irr!AL3=".",Irr!BJ3="."),dir!AN3*1000)))))))),".")</f>
        <v>28.79724026308908</v>
      </c>
      <c r="AO3" s="48">
        <f>IFERROR(IF(AND(Irr!O3&lt;&gt;".",Irr!AM3&lt;&gt;".",Irr!BK3&lt;&gt;"."),dir!AO3/((1/1000)*(Irr!O3+Irr!AM3+Irr!BK3)),IF(AND(Irr!O3&lt;&gt;".",Irr!AM3&lt;&gt;".",Irr!BK3="."),dir!AO3/((1/1000)*(Irr!O3+Irr!AM3)),IF(AND(Irr!O3&lt;&gt;".",Irr!AM3=".",Irr!BK3&lt;&gt;"."),dir!AO3/((1/1000)*(Irr!O3+Irr!BK3)),IF(AND(Irr!O3=".",Irr!AM3&lt;&gt;".",Irr!BK3&lt;&gt;"."),dir!AO3/((1/1000)*(Irr!AM3+Irr!BK3)),IF(AND(Irr!O3=".",Irr!AM3=".",Irr!BK3&lt;&gt;"."),dir!AO3/((1/1000)*(Irr!BK3)),IF(AND(Irr!O3=".",Irr!AM3&lt;&gt;".",Irr!BK3="."),dir!AO3/((1/1000)*(Irr!AM3)),IF(AND(Irr!O3&lt;&gt;".",Irr!AM3=".",Irr!BK3="."),dir!AO3/((1/1000)*(Irr!O3)),IF(AND(Irr!O3=".",Irr!AM3=".",Irr!BK3="."),dir!AO3*1000)))))))),".")</f>
        <v>33.513517762900918</v>
      </c>
      <c r="AP3" s="48">
        <f>IFERROR(IF(AND(Irr!P3&lt;&gt;".",Irr!AN3&lt;&gt;".",Irr!BL3&lt;&gt;"."),dir!AP3/((1/1000)*(Irr!P3+Irr!AN3+Irr!BL3)),IF(AND(Irr!P3&lt;&gt;".",Irr!AN3&lt;&gt;".",Irr!BL3="."),dir!AP3/((1/1000)*(Irr!P3+Irr!AN3)),IF(AND(Irr!P3&lt;&gt;".",Irr!AN3=".",Irr!BL3&lt;&gt;"."),dir!AP3/((1/1000)*(Irr!P3+Irr!BL3)),IF(AND(Irr!P3=".",Irr!AN3&lt;&gt;".",Irr!BL3&lt;&gt;"."),dir!AP3/((1/1000)*(Irr!AN3+Irr!BL3)),IF(AND(Irr!P3=".",Irr!AN3=".",Irr!BL3&lt;&gt;"."),dir!AP3/((1/1000)*(Irr!BL3)),IF(AND(Irr!P3=".",Irr!AN3&lt;&gt;".",Irr!BL3="."),dir!AP3/((1/1000)*(Irr!AN3)),IF(AND(Irr!P3&lt;&gt;".",Irr!AN3=".",Irr!BL3="."),dir!AP3/((1/1000)*(Irr!P3)),IF(AND(Irr!P3=".",Irr!AN3=".",Irr!BL3="."),dir!AP3*1000)))))))),".")</f>
        <v>36.644129546880961</v>
      </c>
      <c r="AQ3" s="48">
        <f>IFERROR(IF(AND(Irr!Q3&lt;&gt;".",Irr!AO3&lt;&gt;".",Irr!BM3&lt;&gt;"."),dir!AQ3/((1/1000)*(Irr!Q3+Irr!AO3+Irr!BM3)),IF(AND(Irr!Q3&lt;&gt;".",Irr!AO3&lt;&gt;".",Irr!BM3="."),dir!AQ3/((1/1000)*(Irr!Q3+Irr!AO3)),IF(AND(Irr!Q3&lt;&gt;".",Irr!AO3=".",Irr!BM3&lt;&gt;"."),dir!AQ3/((1/1000)*(Irr!Q3+Irr!BM3)),IF(AND(Irr!Q3=".",Irr!AO3&lt;&gt;".",Irr!BM3&lt;&gt;"."),dir!AQ3/((1/1000)*(Irr!AO3+Irr!BM3)),IF(AND(Irr!Q3=".",Irr!AO3=".",Irr!BM3&lt;&gt;"."),dir!AQ3/((1/1000)*(Irr!BM3)),IF(AND(Irr!Q3=".",Irr!AO3&lt;&gt;".",Irr!BM3="."),dir!AQ3/((1/1000)*(Irr!AO3)),IF(AND(Irr!Q3&lt;&gt;".",Irr!AO3=".",Irr!BM3="."),dir!AQ3/((1/1000)*(Irr!Q3)),IF(AND(Irr!Q3=".",Irr!AO3=".",Irr!BM3="."),dir!AQ3*1000)))))))),".")</f>
        <v>8.6724438324759987</v>
      </c>
      <c r="AR3" s="48">
        <f>IFERROR(IF(AND(Irr!R3&lt;&gt;".",Irr!AP3&lt;&gt;".",Irr!BN3&lt;&gt;"."),dir!AR3/((1/1000)*(Irr!R3+Irr!AP3+Irr!BN3)),IF(AND(Irr!R3&lt;&gt;".",Irr!AP3&lt;&gt;".",Irr!BN3="."),dir!AR3/((1/1000)*(Irr!R3+Irr!AP3)),IF(AND(Irr!R3&lt;&gt;".",Irr!AP3=".",Irr!BN3&lt;&gt;"."),dir!AR3/((1/1000)*(Irr!R3+Irr!BN3)),IF(AND(Irr!R3=".",Irr!AP3&lt;&gt;".",Irr!BN3&lt;&gt;"."),dir!AR3/((1/1000)*(Irr!AP3+Irr!BN3)),IF(AND(Irr!R3=".",Irr!AP3=".",Irr!BN3&lt;&gt;"."),dir!AR3/((1/1000)*(Irr!BN3)),IF(AND(Irr!R3=".",Irr!AP3&lt;&gt;".",Irr!BN3="."),dir!AR3/((1/1000)*(Irr!AP3)),IF(AND(Irr!R3&lt;&gt;".",Irr!AP3=".",Irr!BN3="."),dir!AR3/((1/1000)*(Irr!R3)),IF(AND(Irr!R3=".",Irr!AP3=".",Irr!BN3="."),dir!AR3*1000)))))))),".")</f>
        <v>14.236966620767792</v>
      </c>
      <c r="AS3" s="48">
        <f>IFERROR(IF(AND(Irr!S3&lt;&gt;".",Irr!AQ3&lt;&gt;".",Irr!BO3&lt;&gt;"."),dir!AS3/((1/1000)*(Irr!S3+Irr!AQ3+Irr!BO3)),IF(AND(Irr!S3&lt;&gt;".",Irr!AQ3&lt;&gt;".",Irr!BO3="."),dir!AS3/((1/1000)*(Irr!S3+Irr!AQ3)),IF(AND(Irr!S3&lt;&gt;".",Irr!AQ3=".",Irr!BO3&lt;&gt;"."),dir!AS3/((1/1000)*(Irr!S3+Irr!BO3)),IF(AND(Irr!S3=".",Irr!AQ3&lt;&gt;".",Irr!BO3&lt;&gt;"."),dir!AS3/((1/1000)*(Irr!AQ3+Irr!BO3)),IF(AND(Irr!S3=".",Irr!AQ3=".",Irr!BO3&lt;&gt;"."),dir!AS3/((1/1000)*(Irr!BO3)),IF(AND(Irr!S3=".",Irr!AQ3&lt;&gt;".",Irr!BO3="."),dir!AS3/((1/1000)*(Irr!AQ3)),IF(AND(Irr!S3&lt;&gt;".",Irr!AQ3=".",Irr!BO3="."),dir!AS3/((1/1000)*(Irr!S3)),IF(AND(Irr!S3=".",Irr!AQ3=".",Irr!BO3="."),dir!AS3*1000)))))))),".")</f>
        <v>28.349239460010896</v>
      </c>
      <c r="AT3" s="48">
        <f>IFERROR(IF(AND(Irr!T3&lt;&gt;".",Irr!AR3&lt;&gt;".",Irr!BP3&lt;&gt;"."),dir!AT3/((1/1000)*(Irr!T3+Irr!AR3+Irr!BP3)),IF(AND(Irr!T3&lt;&gt;".",Irr!AR3&lt;&gt;".",Irr!BP3="."),dir!AT3/((1/1000)*(Irr!T3+Irr!AR3)),IF(AND(Irr!T3&lt;&gt;".",Irr!AR3=".",Irr!BP3&lt;&gt;"."),dir!AT3/((1/1000)*(Irr!T3+Irr!BP3)),IF(AND(Irr!T3=".",Irr!AR3&lt;&gt;".",Irr!BP3&lt;&gt;"."),dir!AT3/((1/1000)*(Irr!AR3+Irr!BP3)),IF(AND(Irr!T3=".",Irr!AR3=".",Irr!BP3&lt;&gt;"."),dir!AT3/((1/1000)*(Irr!BP3)),IF(AND(Irr!T3=".",Irr!AR3&lt;&gt;".",Irr!BP3="."),dir!AT3/((1/1000)*(Irr!AR3)),IF(AND(Irr!T3&lt;&gt;".",Irr!AR3=".",Irr!BP3="."),dir!AT3/((1/1000)*(Irr!T3)),IF(AND(Irr!T3=".",Irr!AR3=".",Irr!BP3="."),dir!AT3*1000)))))))),".")</f>
        <v>6.8701538754135818</v>
      </c>
      <c r="AU3" s="48">
        <f>IFERROR(IF(AND(Irr!U3&lt;&gt;".",Irr!AS3&lt;&gt;".",Irr!BQ3&lt;&gt;"."),dir!AU3/((1/1000)*(Irr!U3+Irr!AS3+Irr!BQ3)),IF(AND(Irr!U3&lt;&gt;".",Irr!AS3&lt;&gt;".",Irr!BQ3="."),dir!AU3/((1/1000)*(Irr!U3+Irr!AS3)),IF(AND(Irr!U3&lt;&gt;".",Irr!AS3=".",Irr!BQ3&lt;&gt;"."),dir!AU3/((1/1000)*(Irr!U3+Irr!BQ3)),IF(AND(Irr!U3=".",Irr!AS3&lt;&gt;".",Irr!BQ3&lt;&gt;"."),dir!AU3/((1/1000)*(Irr!AS3+Irr!BQ3)),IF(AND(Irr!U3=".",Irr!AS3=".",Irr!BQ3&lt;&gt;"."),dir!AU3/((1/1000)*(Irr!BQ3)),IF(AND(Irr!U3=".",Irr!AS3&lt;&gt;".",Irr!BQ3="."),dir!AU3/((1/1000)*(Irr!AS3)),IF(AND(Irr!U3&lt;&gt;".",Irr!AS3=".",Irr!BQ3="."),dir!AU3/((1/1000)*(Irr!U3)),IF(AND(Irr!U3=".",Irr!AS3=".",Irr!BQ3="."),dir!AU3*1000)))))))),".")</f>
        <v>14.340865826825835</v>
      </c>
      <c r="AV3" s="48">
        <f>IFERROR(IF(AND(Irr!V3&lt;&gt;".",Irr!AT3&lt;&gt;".",Irr!BR3&lt;&gt;"."),dir!AV3/((1/1000)*(Irr!V3+Irr!AT3+Irr!BR3)),IF(AND(Irr!V3&lt;&gt;".",Irr!AT3&lt;&gt;".",Irr!BR3="."),dir!AV3/((1/1000)*(Irr!V3+Irr!AT3)),IF(AND(Irr!V3&lt;&gt;".",Irr!AT3=".",Irr!BR3&lt;&gt;"."),dir!AV3/((1/1000)*(Irr!V3+Irr!BR3)),IF(AND(Irr!V3=".",Irr!AT3&lt;&gt;".",Irr!BR3&lt;&gt;"."),dir!AV3/((1/1000)*(Irr!AT3+Irr!BR3)),IF(AND(Irr!V3=".",Irr!AT3=".",Irr!BR3&lt;&gt;"."),dir!AV3/((1/1000)*(Irr!BR3)),IF(AND(Irr!V3=".",Irr!AT3&lt;&gt;".",Irr!BR3="."),dir!AV3/((1/1000)*(Irr!AT3)),IF(AND(Irr!V3&lt;&gt;".",Irr!AT3=".",Irr!BR3="."),dir!AV3/((1/1000)*(Irr!V3)),IF(AND(Irr!V3=".",Irr!AT3=".",Irr!BR3="."),dir!AV3*1000)))))))),".")</f>
        <v>16.856109512669143</v>
      </c>
      <c r="AW3" s="48">
        <f>IFERROR(IF(AND(Irr!W3&lt;&gt;".",Irr!AU3&lt;&gt;".",Irr!BS3&lt;&gt;"."),dir!AW3/((1/1000)*(Irr!W3+Irr!AU3+Irr!BS3)),IF(AND(Irr!W3&lt;&gt;".",Irr!AU3&lt;&gt;".",Irr!BS3="."),dir!AW3/((1/1000)*(Irr!W3+Irr!AU3)),IF(AND(Irr!W3&lt;&gt;".",Irr!AU3=".",Irr!BS3&lt;&gt;"."),dir!AW3/((1/1000)*(Irr!W3+Irr!BS3)),IF(AND(Irr!W3=".",Irr!AU3&lt;&gt;".",Irr!BS3&lt;&gt;"."),dir!AW3/((1/1000)*(Irr!AU3+Irr!BS3)),IF(AND(Irr!W3=".",Irr!AU3=".",Irr!BS3&lt;&gt;"."),dir!AW3/((1/1000)*(Irr!BS3)),IF(AND(Irr!W3=".",Irr!AU3&lt;&gt;".",Irr!BS3="."),dir!AW3/((1/1000)*(Irr!AU3)),IF(AND(Irr!W3&lt;&gt;".",Irr!AU3=".",Irr!BS3="."),dir!AW3/((1/1000)*(Irr!W3)),IF(AND(Irr!W3=".",Irr!AU3=".",Irr!BS3="."),dir!AW3*1000)))))))),".")</f>
        <v>23.262880030527025</v>
      </c>
      <c r="AX3" s="48">
        <f>IFERROR(IF(AND(Irr!X3&lt;&gt;".",Irr!AV3&lt;&gt;".",Irr!BT3&lt;&gt;"."),dir!AX3/((1/1000)*(Irr!X3+Irr!AV3+Irr!BT3)),IF(AND(Irr!X3&lt;&gt;".",Irr!AV3&lt;&gt;".",Irr!BT3="."),dir!AX3/((1/1000)*(Irr!X3+Irr!AV3)),IF(AND(Irr!X3&lt;&gt;".",Irr!AV3=".",Irr!BT3&lt;&gt;"."),dir!AX3/((1/1000)*(Irr!X3+Irr!BT3)),IF(AND(Irr!X3=".",Irr!AV3&lt;&gt;".",Irr!BT3&lt;&gt;"."),dir!AX3/((1/1000)*(Irr!AV3+Irr!BT3)),IF(AND(Irr!X3=".",Irr!AV3=".",Irr!BT3&lt;&gt;"."),dir!AX3/((1/1000)*(Irr!BT3)),IF(AND(Irr!X3=".",Irr!AV3&lt;&gt;".",Irr!BT3="."),dir!AX3/((1/1000)*(Irr!AV3)),IF(AND(Irr!X3&lt;&gt;".",Irr!AV3=".",Irr!BT3="."),dir!AX3/((1/1000)*(Irr!X3)),IF(AND(Irr!X3=".",Irr!AV3=".",Irr!BT3="."),dir!AX3*1000)))))))),".")</f>
        <v>10.246041229341472</v>
      </c>
      <c r="AY3" s="48">
        <f>IFERROR(IF(AND(Irr!Y3&lt;&gt;".",Irr!AW3&lt;&gt;".",Irr!BU3&lt;&gt;"."),dir!AY3/((1/1000)*(Irr!Y3+Irr!AW3+Irr!BU3)),IF(AND(Irr!Y3&lt;&gt;".",Irr!AW3&lt;&gt;".",Irr!BU3="."),dir!AY3/((1/1000)*(Irr!Y3+Irr!AW3)),IF(AND(Irr!Y3&lt;&gt;".",Irr!AW3=".",Irr!BU3&lt;&gt;"."),dir!AY3/((1/1000)*(Irr!Y3+Irr!BU3)),IF(AND(Irr!Y3=".",Irr!AW3&lt;&gt;".",Irr!BU3&lt;&gt;"."),dir!AY3/((1/1000)*(Irr!AW3+Irr!BU3)),IF(AND(Irr!Y3=".",Irr!AW3=".",Irr!BU3&lt;&gt;"."),dir!AY3/((1/1000)*(Irr!BU3)),IF(AND(Irr!Y3=".",Irr!AW3&lt;&gt;".",Irr!BU3="."),dir!AY3/((1/1000)*(Irr!AW3)),IF(AND(Irr!Y3&lt;&gt;".",Irr!AW3=".",Irr!BU3="."),dir!AY3/((1/1000)*(Irr!Y3)),IF(AND(Irr!Y3=".",Irr!AW3=".",Irr!BU3="."),dir!AY3*1000)))))))),".")</f>
        <v>3.1972375271168829</v>
      </c>
      <c r="AZ3" s="48">
        <f>IFERROR(IF(AND(Irr!Z3&lt;&gt;".",Irr!AX3&lt;&gt;".",Irr!BV3&lt;&gt;"."),dir!AZ3/((1/1000)*(Irr!Z3+Irr!AX3+Irr!BV3)),IF(AND(Irr!Z3&lt;&gt;".",Irr!AX3&lt;&gt;".",Irr!BV3="."),dir!AZ3/((1/1000)*(Irr!Z3+Irr!AX3)),IF(AND(Irr!Z3&lt;&gt;".",Irr!AX3=".",Irr!BV3&lt;&gt;"."),dir!AZ3/((1/1000)*(Irr!Z3+Irr!BV3)),IF(AND(Irr!Z3=".",Irr!AX3&lt;&gt;".",Irr!BV3&lt;&gt;"."),dir!AZ3/((1/1000)*(Irr!AX3+Irr!BV3)),IF(AND(Irr!Z3=".",Irr!AX3=".",Irr!BV3&lt;&gt;"."),dir!AZ3/((1/1000)*(Irr!BV3)),IF(AND(Irr!Z3=".",Irr!AX3&lt;&gt;".",Irr!BV3="."),dir!AZ3/((1/1000)*(Irr!AX3)),IF(AND(Irr!Z3&lt;&gt;".",Irr!AX3=".",Irr!BV3="."),dir!AZ3/((1/1000)*(Irr!Z3)),IF(AND(Irr!Z3=".",Irr!AX3=".",Irr!BV3="."),dir!AZ3*1000)))))))),".")</f>
        <v>3.0337769910439585</v>
      </c>
    </row>
    <row r="4" spans="1:52" ht="15" customHeight="1" x14ac:dyDescent="0.25">
      <c r="A4" s="61" t="s">
        <v>2</v>
      </c>
      <c r="B4" s="49" t="s">
        <v>1059</v>
      </c>
      <c r="C4" s="48" t="str">
        <f t="shared" ref="C4:C5" si="2">IFERROR(1/SUM(1/D4,1/E4,1/F4,1/G4,1/H4,1/I4,1/J4,1/K4,1/L4,1/M4,1/N4,1/O4,1/P4,1/Q4,1/R4,1/S4,1/T4,1/U4,1/V4,1/W4,1/X4,1/Y4),".")</f>
        <v>.</v>
      </c>
      <c r="D4" s="48" t="str">
        <f>IFERROR(IF(AND(Irr!C4&lt;&gt;".",Irr!AA4&lt;&gt;".",Irr!AY4&lt;&gt;"."),dir!D4/((1/1000)*(Irr!C4+Irr!AA4+Irr!AY4)),IF(AND(Irr!C4&lt;&gt;".",Irr!AA4&lt;&gt;".",Irr!AY4="."),dir!D4/((1/1000)*(Irr!C4+Irr!AA4)),IF(AND(Irr!C4&lt;&gt;".",Irr!AA4=".",Irr!AY4&lt;&gt;"."),dir!D4/((1/1000)*(Irr!C4+Irr!AY4)),IF(AND(Irr!C4=".",Irr!AA4&lt;&gt;".",Irr!AY4&lt;&gt;"."),dir!D4/((1/1000)*(Irr!AA4+Irr!AY4)),IF(AND(Irr!C4=".",Irr!AA4=".",Irr!AY4&lt;&gt;"."),dir!D4/((1/1000)*(Irr!AY4)),IF(AND(Irr!C4=".",Irr!AA4&lt;&gt;".",Irr!AY4="."),dir!D4/((1/1000)*(Irr!AA4)),IF(AND(Irr!C4&lt;&gt;".",Irr!AA4=".",Irr!AY4="."),dir!D4/((1/1000)*(Irr!C4)),IF(AND(Irr!C4=".",Irr!AA4=".",Irr!AY4="."),dir!D4*1000)))))))),".")</f>
        <v>.</v>
      </c>
      <c r="E4" s="48" t="str">
        <f>IFERROR(IF(AND(Irr!D4&lt;&gt;".",Irr!AB4&lt;&gt;".",Irr!AZ4&lt;&gt;"."),dir!E4/((1/1000)*(Irr!D4+Irr!AB4+Irr!AZ4)),IF(AND(Irr!D4&lt;&gt;".",Irr!AB4&lt;&gt;".",Irr!AZ4="."),dir!E4/((1/1000)*(Irr!D4+Irr!AB4)),IF(AND(Irr!D4&lt;&gt;".",Irr!AB4=".",Irr!AZ4&lt;&gt;"."),dir!E4/((1/1000)*(Irr!D4+Irr!AZ4)),IF(AND(Irr!D4=".",Irr!AB4&lt;&gt;".",Irr!AZ4&lt;&gt;"."),dir!E4/((1/1000)*(Irr!AB4+Irr!AZ4)),IF(AND(Irr!D4=".",Irr!AB4=".",Irr!AZ4&lt;&gt;"."),dir!E4/((1/1000)*(Irr!AZ4)),IF(AND(Irr!D4=".",Irr!AB4&lt;&gt;".",Irr!AZ4="."),dir!E4/((1/1000)*(Irr!AB4)),IF(AND(Irr!D4&lt;&gt;".",Irr!AB4=".",Irr!AZ4="."),dir!E4/((1/1000)*(Irr!D4)),IF(AND(Irr!D4=".",Irr!AB4=".",Irr!AZ4="."),dir!E4*1000)))))))),".")</f>
        <v>.</v>
      </c>
      <c r="F4" s="48" t="str">
        <f>IFERROR(IF(AND(Irr!E4&lt;&gt;".",Irr!AC4&lt;&gt;".",Irr!BA4&lt;&gt;"."),dir!F4/((1/1000)*(Irr!E4+Irr!AC4+Irr!BA4)),IF(AND(Irr!E4&lt;&gt;".",Irr!AC4&lt;&gt;".",Irr!BA4="."),dir!F4/((1/1000)*(Irr!E4+Irr!AC4)),IF(AND(Irr!E4&lt;&gt;".",Irr!AC4=".",Irr!BA4&lt;&gt;"."),dir!F4/((1/1000)*(Irr!E4+Irr!BA4)),IF(AND(Irr!E4=".",Irr!AC4&lt;&gt;".",Irr!BA4&lt;&gt;"."),dir!F4/((1/1000)*(Irr!AC4+Irr!BA4)),IF(AND(Irr!E4=".",Irr!AC4=".",Irr!BA4&lt;&gt;"."),dir!F4/((1/1000)*(Irr!BA4)),IF(AND(Irr!E4=".",Irr!AC4&lt;&gt;".",Irr!BA4="."),dir!F4/((1/1000)*(Irr!AC4)),IF(AND(Irr!E4&lt;&gt;".",Irr!AC4=".",Irr!BA4="."),dir!F4/((1/1000)*(Irr!E4)),IF(AND(Irr!E4=".",Irr!AC4=".",Irr!BA4="."),dir!F4*1000)))))))),".")</f>
        <v>.</v>
      </c>
      <c r="G4" s="48" t="str">
        <f>IFERROR(IF(AND(Irr!F4&lt;&gt;".",Irr!AD4&lt;&gt;".",Irr!BB4&lt;&gt;"."),dir!G4/((1/1000)*(Irr!F4+Irr!AD4+Irr!BB4)),IF(AND(Irr!F4&lt;&gt;".",Irr!AD4&lt;&gt;".",Irr!BB4="."),dir!G4/((1/1000)*(Irr!F4+Irr!AD4)),IF(AND(Irr!F4&lt;&gt;".",Irr!AD4=".",Irr!BB4&lt;&gt;"."),dir!G4/((1/1000)*(Irr!F4+Irr!BB4)),IF(AND(Irr!F4=".",Irr!AD4&lt;&gt;".",Irr!BB4&lt;&gt;"."),dir!G4/((1/1000)*(Irr!AD4+Irr!BB4)),IF(AND(Irr!F4=".",Irr!AD4=".",Irr!BB4&lt;&gt;"."),dir!G4/((1/1000)*(Irr!BB4)),IF(AND(Irr!F4=".",Irr!AD4&lt;&gt;".",Irr!BB4="."),dir!G4/((1/1000)*(Irr!AD4)),IF(AND(Irr!F4&lt;&gt;".",Irr!AD4=".",Irr!BB4="."),dir!G4/((1/1000)*(Irr!F4)),IF(AND(Irr!F4=".",Irr!AD4=".",Irr!BB4="."),dir!G4*1000)))))))),".")</f>
        <v>.</v>
      </c>
      <c r="H4" s="48" t="str">
        <f>IFERROR(IF(AND(Irr!G4&lt;&gt;".",Irr!AE4&lt;&gt;".",Irr!BC4&lt;&gt;"."),dir!H4/((1/1000)*(Irr!G4+Irr!AE4+Irr!BC4)),IF(AND(Irr!G4&lt;&gt;".",Irr!AE4&lt;&gt;".",Irr!BC4="."),dir!H4/((1/1000)*(Irr!G4+Irr!AE4)),IF(AND(Irr!G4&lt;&gt;".",Irr!AE4=".",Irr!BC4&lt;&gt;"."),dir!H4/((1/1000)*(Irr!G4+Irr!BC4)),IF(AND(Irr!G4=".",Irr!AE4&lt;&gt;".",Irr!BC4&lt;&gt;"."),dir!H4/((1/1000)*(Irr!AE4+Irr!BC4)),IF(AND(Irr!G4=".",Irr!AE4=".",Irr!BC4&lt;&gt;"."),dir!H4/((1/1000)*(Irr!BC4)),IF(AND(Irr!G4=".",Irr!AE4&lt;&gt;".",Irr!BC4="."),dir!H4/((1/1000)*(Irr!AE4)),IF(AND(Irr!G4&lt;&gt;".",Irr!AE4=".",Irr!BC4="."),dir!H4/((1/1000)*(Irr!G4)),IF(AND(Irr!G4=".",Irr!AE4=".",Irr!BC4="."),dir!H4*1000)))))))),".")</f>
        <v>.</v>
      </c>
      <c r="I4" s="48" t="str">
        <f>IFERROR(IF(AND(Irr!H4&lt;&gt;".",Irr!AF4&lt;&gt;".",Irr!BD4&lt;&gt;"."),dir!I4/((1/1000)*(Irr!H4+Irr!AF4+Irr!BD4)),IF(AND(Irr!H4&lt;&gt;".",Irr!AF4&lt;&gt;".",Irr!BD4="."),dir!I4/((1/1000)*(Irr!H4+Irr!AF4)),IF(AND(Irr!H4&lt;&gt;".",Irr!AF4=".",Irr!BD4&lt;&gt;"."),dir!I4/((1/1000)*(Irr!H4+Irr!BD4)),IF(AND(Irr!H4=".",Irr!AF4&lt;&gt;".",Irr!BD4&lt;&gt;"."),dir!I4/((1/1000)*(Irr!AF4+Irr!BD4)),IF(AND(Irr!H4=".",Irr!AF4=".",Irr!BD4&lt;&gt;"."),dir!I4/((1/1000)*(Irr!BD4)),IF(AND(Irr!H4=".",Irr!AF4&lt;&gt;".",Irr!BD4="."),dir!I4/((1/1000)*(Irr!AF4)),IF(AND(Irr!H4&lt;&gt;".",Irr!AF4=".",Irr!BD4="."),dir!I4/((1/1000)*(Irr!H4)),IF(AND(Irr!H4=".",Irr!AF4=".",Irr!BD4="."),dir!I4*1000)))))))),".")</f>
        <v>.</v>
      </c>
      <c r="J4" s="48" t="str">
        <f>IFERROR(IF(AND(Irr!I4&lt;&gt;".",Irr!AG4&lt;&gt;".",Irr!BE4&lt;&gt;"."),dir!J4/((1/1000)*(Irr!I4+Irr!AG4+Irr!BE4)),IF(AND(Irr!I4&lt;&gt;".",Irr!AG4&lt;&gt;".",Irr!BE4="."),dir!J4/((1/1000)*(Irr!I4+Irr!AG4)),IF(AND(Irr!I4&lt;&gt;".",Irr!AG4=".",Irr!BE4&lt;&gt;"."),dir!J4/((1/1000)*(Irr!I4+Irr!BE4)),IF(AND(Irr!I4=".",Irr!AG4&lt;&gt;".",Irr!BE4&lt;&gt;"."),dir!J4/((1/1000)*(Irr!AG4+Irr!BE4)),IF(AND(Irr!I4=".",Irr!AG4=".",Irr!BE4&lt;&gt;"."),dir!J4/((1/1000)*(Irr!BE4)),IF(AND(Irr!I4=".",Irr!AG4&lt;&gt;".",Irr!BE4="."),dir!J4/((1/1000)*(Irr!AG4)),IF(AND(Irr!I4&lt;&gt;".",Irr!AG4=".",Irr!BE4="."),dir!J4/((1/1000)*(Irr!I4)),IF(AND(Irr!I4=".",Irr!AG4=".",Irr!BE4="."),dir!J4*1000)))))))),".")</f>
        <v>.</v>
      </c>
      <c r="K4" s="48" t="str">
        <f>IFERROR(IF(AND(Irr!J4&lt;&gt;".",Irr!AH4&lt;&gt;".",Irr!BF4&lt;&gt;"."),dir!K4/((1/1000)*(Irr!J4+Irr!AH4+Irr!BF4)),IF(AND(Irr!J4&lt;&gt;".",Irr!AH4&lt;&gt;".",Irr!BF4="."),dir!K4/((1/1000)*(Irr!J4+Irr!AH4)),IF(AND(Irr!J4&lt;&gt;".",Irr!AH4=".",Irr!BF4&lt;&gt;"."),dir!K4/((1/1000)*(Irr!J4+Irr!BF4)),IF(AND(Irr!J4=".",Irr!AH4&lt;&gt;".",Irr!BF4&lt;&gt;"."),dir!K4/((1/1000)*(Irr!AH4+Irr!BF4)),IF(AND(Irr!J4=".",Irr!AH4=".",Irr!BF4&lt;&gt;"."),dir!K4/((1/1000)*(Irr!BF4)),IF(AND(Irr!J4=".",Irr!AH4&lt;&gt;".",Irr!BF4="."),dir!K4/((1/1000)*(Irr!AH4)),IF(AND(Irr!J4&lt;&gt;".",Irr!AH4=".",Irr!BF4="."),dir!K4/((1/1000)*(Irr!J4)),IF(AND(Irr!J4=".",Irr!AH4=".",Irr!BF4="."),dir!K4*1000)))))))),".")</f>
        <v>.</v>
      </c>
      <c r="L4" s="48" t="str">
        <f>IFERROR(IF(AND(Irr!K4&lt;&gt;".",Irr!AI4&lt;&gt;".",Irr!BG4&lt;&gt;"."),dir!L4/((1/1000)*(Irr!K4+Irr!AI4+Irr!BG4)),IF(AND(Irr!K4&lt;&gt;".",Irr!AI4&lt;&gt;".",Irr!BG4="."),dir!L4/((1/1000)*(Irr!K4+Irr!AI4)),IF(AND(Irr!K4&lt;&gt;".",Irr!AI4=".",Irr!BG4&lt;&gt;"."),dir!L4/((1/1000)*(Irr!K4+Irr!BG4)),IF(AND(Irr!K4=".",Irr!AI4&lt;&gt;".",Irr!BG4&lt;&gt;"."),dir!L4/((1/1000)*(Irr!AI4+Irr!BG4)),IF(AND(Irr!K4=".",Irr!AI4=".",Irr!BG4&lt;&gt;"."),dir!L4/((1/1000)*(Irr!BG4)),IF(AND(Irr!K4=".",Irr!AI4&lt;&gt;".",Irr!BG4="."),dir!L4/((1/1000)*(Irr!AI4)),IF(AND(Irr!K4&lt;&gt;".",Irr!AI4=".",Irr!BG4="."),dir!L4/((1/1000)*(Irr!K4)),IF(AND(Irr!K4=".",Irr!AI4=".",Irr!BG4="."),dir!L4*1000)))))))),".")</f>
        <v>.</v>
      </c>
      <c r="M4" s="48" t="str">
        <f>IFERROR(IF(AND(Irr!L4&lt;&gt;".",Irr!AJ4&lt;&gt;".",Irr!BH4&lt;&gt;"."),dir!M4/((1/1000)*(Irr!L4+Irr!AJ4+Irr!BH4)),IF(AND(Irr!L4&lt;&gt;".",Irr!AJ4&lt;&gt;".",Irr!BH4="."),dir!M4/((1/1000)*(Irr!L4+Irr!AJ4)),IF(AND(Irr!L4&lt;&gt;".",Irr!AJ4=".",Irr!BH4&lt;&gt;"."),dir!M4/((1/1000)*(Irr!L4+Irr!BH4)),IF(AND(Irr!L4=".",Irr!AJ4&lt;&gt;".",Irr!BH4&lt;&gt;"."),dir!M4/((1/1000)*(Irr!AJ4+Irr!BH4)),IF(AND(Irr!L4=".",Irr!AJ4=".",Irr!BH4&lt;&gt;"."),dir!M4/((1/1000)*(Irr!BH4)),IF(AND(Irr!L4=".",Irr!AJ4&lt;&gt;".",Irr!BH4="."),dir!M4/((1/1000)*(Irr!AJ4)),IF(AND(Irr!L4&lt;&gt;".",Irr!AJ4=".",Irr!BH4="."),dir!M4/((1/1000)*(Irr!L4)),IF(AND(Irr!L4=".",Irr!AJ4=".",Irr!BH4="."),dir!M4*1000)))))))),".")</f>
        <v>.</v>
      </c>
      <c r="N4" s="48" t="str">
        <f>IFERROR(IF(AND(Irr!M4&lt;&gt;".",Irr!AK4&lt;&gt;".",Irr!BI4&lt;&gt;"."),dir!N4/((1/1000)*(Irr!M4+Irr!AK4+Irr!BI4)),IF(AND(Irr!M4&lt;&gt;".",Irr!AK4&lt;&gt;".",Irr!BI4="."),dir!N4/((1/1000)*(Irr!M4+Irr!AK4)),IF(AND(Irr!M4&lt;&gt;".",Irr!AK4=".",Irr!BI4&lt;&gt;"."),dir!N4/((1/1000)*(Irr!M4+Irr!BI4)),IF(AND(Irr!M4=".",Irr!AK4&lt;&gt;".",Irr!BI4&lt;&gt;"."),dir!N4/((1/1000)*(Irr!AK4+Irr!BI4)),IF(AND(Irr!M4=".",Irr!AK4=".",Irr!BI4&lt;&gt;"."),dir!N4/((1/1000)*(Irr!BI4)),IF(AND(Irr!M4=".",Irr!AK4&lt;&gt;".",Irr!BI4="."),dir!N4/((1/1000)*(Irr!AK4)),IF(AND(Irr!M4&lt;&gt;".",Irr!AK4=".",Irr!BI4="."),dir!N4/((1/1000)*(Irr!M4)),IF(AND(Irr!M4=".",Irr!AK4=".",Irr!BI4="."),dir!N4*1000)))))))),".")</f>
        <v>.</v>
      </c>
      <c r="O4" s="48" t="str">
        <f>IFERROR(IF(AND(Irr!N4&lt;&gt;".",Irr!AL4&lt;&gt;".",Irr!BJ4&lt;&gt;"."),dir!O4/((1/1000)*(Irr!N4+Irr!AL4+Irr!BJ4)),IF(AND(Irr!N4&lt;&gt;".",Irr!AL4&lt;&gt;".",Irr!BJ4="."),dir!O4/((1/1000)*(Irr!N4+Irr!AL4)),IF(AND(Irr!N4&lt;&gt;".",Irr!AL4=".",Irr!BJ4&lt;&gt;"."),dir!O4/((1/1000)*(Irr!N4+Irr!BJ4)),IF(AND(Irr!N4=".",Irr!AL4&lt;&gt;".",Irr!BJ4&lt;&gt;"."),dir!O4/((1/1000)*(Irr!AL4+Irr!BJ4)),IF(AND(Irr!N4=".",Irr!AL4=".",Irr!BJ4&lt;&gt;"."),dir!O4/((1/1000)*(Irr!BJ4)),IF(AND(Irr!N4=".",Irr!AL4&lt;&gt;".",Irr!BJ4="."),dir!O4/((1/1000)*(Irr!AL4)),IF(AND(Irr!N4&lt;&gt;".",Irr!AL4=".",Irr!BJ4="."),dir!O4/((1/1000)*(Irr!N4)),IF(AND(Irr!N4=".",Irr!AL4=".",Irr!BJ4="."),dir!O4*1000)))))))),".")</f>
        <v>.</v>
      </c>
      <c r="P4" s="48" t="str">
        <f>IFERROR(IF(AND(Irr!O4&lt;&gt;".",Irr!AM4&lt;&gt;".",Irr!BK4&lt;&gt;"."),dir!P4/((1/1000)*(Irr!O4+Irr!AM4+Irr!BK4)),IF(AND(Irr!O4&lt;&gt;".",Irr!AM4&lt;&gt;".",Irr!BK4="."),dir!P4/((1/1000)*(Irr!O4+Irr!AM4)),IF(AND(Irr!O4&lt;&gt;".",Irr!AM4=".",Irr!BK4&lt;&gt;"."),dir!P4/((1/1000)*(Irr!O4+Irr!BK4)),IF(AND(Irr!O4=".",Irr!AM4&lt;&gt;".",Irr!BK4&lt;&gt;"."),dir!P4/((1/1000)*(Irr!AM4+Irr!BK4)),IF(AND(Irr!O4=".",Irr!AM4=".",Irr!BK4&lt;&gt;"."),dir!P4/((1/1000)*(Irr!BK4)),IF(AND(Irr!O4=".",Irr!AM4&lt;&gt;".",Irr!BK4="."),dir!P4/((1/1000)*(Irr!AM4)),IF(AND(Irr!O4&lt;&gt;".",Irr!AM4=".",Irr!BK4="."),dir!P4/((1/1000)*(Irr!O4)),IF(AND(Irr!O4=".",Irr!AM4=".",Irr!BK4="."),dir!P4*1000)))))))),".")</f>
        <v>.</v>
      </c>
      <c r="Q4" s="48" t="str">
        <f>IFERROR(IF(AND(Irr!P4&lt;&gt;".",Irr!AN4&lt;&gt;".",Irr!BL4&lt;&gt;"."),dir!Q4/((1/1000)*(Irr!P4+Irr!AN4+Irr!BL4)),IF(AND(Irr!P4&lt;&gt;".",Irr!AN4&lt;&gt;".",Irr!BL4="."),dir!Q4/((1/1000)*(Irr!P4+Irr!AN4)),IF(AND(Irr!P4&lt;&gt;".",Irr!AN4=".",Irr!BL4&lt;&gt;"."),dir!Q4/((1/1000)*(Irr!P4+Irr!BL4)),IF(AND(Irr!P4=".",Irr!AN4&lt;&gt;".",Irr!BL4&lt;&gt;"."),dir!Q4/((1/1000)*(Irr!AN4+Irr!BL4)),IF(AND(Irr!P4=".",Irr!AN4=".",Irr!BL4&lt;&gt;"."),dir!Q4/((1/1000)*(Irr!BL4)),IF(AND(Irr!P4=".",Irr!AN4&lt;&gt;".",Irr!BL4="."),dir!Q4/((1/1000)*(Irr!AN4)),IF(AND(Irr!P4&lt;&gt;".",Irr!AN4=".",Irr!BL4="."),dir!Q4/((1/1000)*(Irr!P4)),IF(AND(Irr!P4=".",Irr!AN4=".",Irr!BL4="."),dir!Q4*1000)))))))),".")</f>
        <v>.</v>
      </c>
      <c r="R4" s="48" t="str">
        <f>IFERROR(IF(AND(Irr!Q4&lt;&gt;".",Irr!AO4&lt;&gt;".",Irr!BM4&lt;&gt;"."),dir!R4/((1/1000)*(Irr!Q4+Irr!AO4+Irr!BM4)),IF(AND(Irr!Q4&lt;&gt;".",Irr!AO4&lt;&gt;".",Irr!BM4="."),dir!R4/((1/1000)*(Irr!Q4+Irr!AO4)),IF(AND(Irr!Q4&lt;&gt;".",Irr!AO4=".",Irr!BM4&lt;&gt;"."),dir!R4/((1/1000)*(Irr!Q4+Irr!BM4)),IF(AND(Irr!Q4=".",Irr!AO4&lt;&gt;".",Irr!BM4&lt;&gt;"."),dir!R4/((1/1000)*(Irr!AO4+Irr!BM4)),IF(AND(Irr!Q4=".",Irr!AO4=".",Irr!BM4&lt;&gt;"."),dir!R4/((1/1000)*(Irr!BM4)),IF(AND(Irr!Q4=".",Irr!AO4&lt;&gt;".",Irr!BM4="."),dir!R4/((1/1000)*(Irr!AO4)),IF(AND(Irr!Q4&lt;&gt;".",Irr!AO4=".",Irr!BM4="."),dir!R4/((1/1000)*(Irr!Q4)),IF(AND(Irr!Q4=".",Irr!AO4=".",Irr!BM4="."),dir!R4*1000)))))))),".")</f>
        <v>.</v>
      </c>
      <c r="S4" s="48" t="str">
        <f>IFERROR(IF(AND(Irr!R4&lt;&gt;".",Irr!AP4&lt;&gt;".",Irr!BN4&lt;&gt;"."),dir!S4/((1/1000)*(Irr!R4+Irr!AP4+Irr!BN4)),IF(AND(Irr!R4&lt;&gt;".",Irr!AP4&lt;&gt;".",Irr!BN4="."),dir!S4/((1/1000)*(Irr!R4+Irr!AP4)),IF(AND(Irr!R4&lt;&gt;".",Irr!AP4=".",Irr!BN4&lt;&gt;"."),dir!S4/((1/1000)*(Irr!R4+Irr!BN4)),IF(AND(Irr!R4=".",Irr!AP4&lt;&gt;".",Irr!BN4&lt;&gt;"."),dir!S4/((1/1000)*(Irr!AP4+Irr!BN4)),IF(AND(Irr!R4=".",Irr!AP4=".",Irr!BN4&lt;&gt;"."),dir!S4/((1/1000)*(Irr!BN4)),IF(AND(Irr!R4=".",Irr!AP4&lt;&gt;".",Irr!BN4="."),dir!S4/((1/1000)*(Irr!AP4)),IF(AND(Irr!R4&lt;&gt;".",Irr!AP4=".",Irr!BN4="."),dir!S4/((1/1000)*(Irr!R4)),IF(AND(Irr!R4=".",Irr!AP4=".",Irr!BN4="."),dir!S4*1000)))))))),".")</f>
        <v>.</v>
      </c>
      <c r="T4" s="48" t="str">
        <f>IFERROR(IF(AND(Irr!S4&lt;&gt;".",Irr!AQ4&lt;&gt;".",Irr!BO4&lt;&gt;"."),dir!T4/((1/1000)*(Irr!S4+Irr!AQ4+Irr!BO4)),IF(AND(Irr!S4&lt;&gt;".",Irr!AQ4&lt;&gt;".",Irr!BO4="."),dir!T4/((1/1000)*(Irr!S4+Irr!AQ4)),IF(AND(Irr!S4&lt;&gt;".",Irr!AQ4=".",Irr!BO4&lt;&gt;"."),dir!T4/((1/1000)*(Irr!S4+Irr!BO4)),IF(AND(Irr!S4=".",Irr!AQ4&lt;&gt;".",Irr!BO4&lt;&gt;"."),dir!T4/((1/1000)*(Irr!AQ4+Irr!BO4)),IF(AND(Irr!S4=".",Irr!AQ4=".",Irr!BO4&lt;&gt;"."),dir!T4/((1/1000)*(Irr!BO4)),IF(AND(Irr!S4=".",Irr!AQ4&lt;&gt;".",Irr!BO4="."),dir!T4/((1/1000)*(Irr!AQ4)),IF(AND(Irr!S4&lt;&gt;".",Irr!AQ4=".",Irr!BO4="."),dir!T4/((1/1000)*(Irr!S4)),IF(AND(Irr!S4=".",Irr!AQ4=".",Irr!BO4="."),dir!T4*1000)))))))),".")</f>
        <v>.</v>
      </c>
      <c r="U4" s="48" t="str">
        <f>IFERROR(IF(AND(Irr!T4&lt;&gt;".",Irr!AR4&lt;&gt;".",Irr!BP4&lt;&gt;"."),dir!U4/((1/1000)*(Irr!T4+Irr!AR4+Irr!BP4)),IF(AND(Irr!T4&lt;&gt;".",Irr!AR4&lt;&gt;".",Irr!BP4="."),dir!U4/((1/1000)*(Irr!T4+Irr!AR4)),IF(AND(Irr!T4&lt;&gt;".",Irr!AR4=".",Irr!BP4&lt;&gt;"."),dir!U4/((1/1000)*(Irr!T4+Irr!BP4)),IF(AND(Irr!T4=".",Irr!AR4&lt;&gt;".",Irr!BP4&lt;&gt;"."),dir!U4/((1/1000)*(Irr!AR4+Irr!BP4)),IF(AND(Irr!T4=".",Irr!AR4=".",Irr!BP4&lt;&gt;"."),dir!U4/((1/1000)*(Irr!BP4)),IF(AND(Irr!T4=".",Irr!AR4&lt;&gt;".",Irr!BP4="."),dir!U4/((1/1000)*(Irr!AR4)),IF(AND(Irr!T4&lt;&gt;".",Irr!AR4=".",Irr!BP4="."),dir!U4/((1/1000)*(Irr!T4)),IF(AND(Irr!T4=".",Irr!AR4=".",Irr!BP4="."),dir!U4*1000)))))))),".")</f>
        <v>.</v>
      </c>
      <c r="V4" s="48" t="str">
        <f>IFERROR(IF(AND(Irr!U4&lt;&gt;".",Irr!AS4&lt;&gt;".",Irr!BQ4&lt;&gt;"."),dir!V4/((1/1000)*(Irr!U4+Irr!AS4+Irr!BQ4)),IF(AND(Irr!U4&lt;&gt;".",Irr!AS4&lt;&gt;".",Irr!BQ4="."),dir!V4/((1/1000)*(Irr!U4+Irr!AS4)),IF(AND(Irr!U4&lt;&gt;".",Irr!AS4=".",Irr!BQ4&lt;&gt;"."),dir!V4/((1/1000)*(Irr!U4+Irr!BQ4)),IF(AND(Irr!U4=".",Irr!AS4&lt;&gt;".",Irr!BQ4&lt;&gt;"."),dir!V4/((1/1000)*(Irr!AS4+Irr!BQ4)),IF(AND(Irr!U4=".",Irr!AS4=".",Irr!BQ4&lt;&gt;"."),dir!V4/((1/1000)*(Irr!BQ4)),IF(AND(Irr!U4=".",Irr!AS4&lt;&gt;".",Irr!BQ4="."),dir!V4/((1/1000)*(Irr!AS4)),IF(AND(Irr!U4&lt;&gt;".",Irr!AS4=".",Irr!BQ4="."),dir!V4/((1/1000)*(Irr!U4)),IF(AND(Irr!U4=".",Irr!AS4=".",Irr!BQ4="."),dir!V4*1000)))))))),".")</f>
        <v>.</v>
      </c>
      <c r="W4" s="48" t="str">
        <f>IFERROR(IF(AND(Irr!V4&lt;&gt;".",Irr!AT4&lt;&gt;".",Irr!BR4&lt;&gt;"."),dir!W4/((1/1000)*(Irr!V4+Irr!AT4+Irr!BR4)),IF(AND(Irr!V4&lt;&gt;".",Irr!AT4&lt;&gt;".",Irr!BR4="."),dir!W4/((1/1000)*(Irr!V4+Irr!AT4)),IF(AND(Irr!V4&lt;&gt;".",Irr!AT4=".",Irr!BR4&lt;&gt;"."),dir!W4/((1/1000)*(Irr!V4+Irr!BR4)),IF(AND(Irr!V4=".",Irr!AT4&lt;&gt;".",Irr!BR4&lt;&gt;"."),dir!W4/((1/1000)*(Irr!AT4+Irr!BR4)),IF(AND(Irr!V4=".",Irr!AT4=".",Irr!BR4&lt;&gt;"."),dir!W4/((1/1000)*(Irr!BR4)),IF(AND(Irr!V4=".",Irr!AT4&lt;&gt;".",Irr!BR4="."),dir!W4/((1/1000)*(Irr!AT4)),IF(AND(Irr!V4&lt;&gt;".",Irr!AT4=".",Irr!BR4="."),dir!W4/((1/1000)*(Irr!V4)),IF(AND(Irr!V4=".",Irr!AT4=".",Irr!BR4="."),dir!W4*1000)))))))),".")</f>
        <v>.</v>
      </c>
      <c r="X4" s="48" t="str">
        <f>IFERROR(IF(AND(Irr!W4&lt;&gt;".",Irr!AU4&lt;&gt;".",Irr!BS4&lt;&gt;"."),dir!X4/((1/1000)*(Irr!W4+Irr!AU4+Irr!BS4)),IF(AND(Irr!W4&lt;&gt;".",Irr!AU4&lt;&gt;".",Irr!BS4="."),dir!X4/((1/1000)*(Irr!W4+Irr!AU4)),IF(AND(Irr!W4&lt;&gt;".",Irr!AU4=".",Irr!BS4&lt;&gt;"."),dir!X4/((1/1000)*(Irr!W4+Irr!BS4)),IF(AND(Irr!W4=".",Irr!AU4&lt;&gt;".",Irr!BS4&lt;&gt;"."),dir!X4/((1/1000)*(Irr!AU4+Irr!BS4)),IF(AND(Irr!W4=".",Irr!AU4=".",Irr!BS4&lt;&gt;"."),dir!X4/((1/1000)*(Irr!BS4)),IF(AND(Irr!W4=".",Irr!AU4&lt;&gt;".",Irr!BS4="."),dir!X4/((1/1000)*(Irr!AU4)),IF(AND(Irr!W4&lt;&gt;".",Irr!AU4=".",Irr!BS4="."),dir!X4/((1/1000)*(Irr!W4)),IF(AND(Irr!W4=".",Irr!AU4=".",Irr!BS4="."),dir!X4*1000)))))))),".")</f>
        <v>.</v>
      </c>
      <c r="Y4" s="48" t="str">
        <f>IFERROR(IF(AND(Irr!X4&lt;&gt;".",Irr!AV4&lt;&gt;".",Irr!BT4&lt;&gt;"."),dir!Y4/((1/1000)*(Irr!X4+Irr!AV4+Irr!BT4)),IF(AND(Irr!X4&lt;&gt;".",Irr!AV4&lt;&gt;".",Irr!BT4="."),dir!Y4/((1/1000)*(Irr!X4+Irr!AV4)),IF(AND(Irr!X4&lt;&gt;".",Irr!AV4=".",Irr!BT4&lt;&gt;"."),dir!Y4/((1/1000)*(Irr!X4+Irr!BT4)),IF(AND(Irr!X4=".",Irr!AV4&lt;&gt;".",Irr!BT4&lt;&gt;"."),dir!Y4/((1/1000)*(Irr!AV4+Irr!BT4)),IF(AND(Irr!X4=".",Irr!AV4=".",Irr!BT4&lt;&gt;"."),dir!Y4/((1/1000)*(Irr!BT4)),IF(AND(Irr!X4=".",Irr!AV4&lt;&gt;".",Irr!BT4="."),dir!Y4/((1/1000)*(Irr!AV4)),IF(AND(Irr!X4&lt;&gt;".",Irr!AV4=".",Irr!BT4="."),dir!Y4/((1/1000)*(Irr!X4)),IF(AND(Irr!X4=".",Irr!AV4=".",Irr!BT4="."),dir!Y4*1000)))))))),".")</f>
        <v>.</v>
      </c>
      <c r="Z4" s="48" t="str">
        <f>IFERROR(IF(AND(Irr!Y4&lt;&gt;".",Irr!AW4&lt;&gt;".",Irr!BU4&lt;&gt;"."),dir!Z4/((1/1000)*(Irr!Y4+Irr!AW4+Irr!BU4)),IF(AND(Irr!Y4&lt;&gt;".",Irr!AW4&lt;&gt;".",Irr!BU4="."),dir!Z4/((1/1000)*(Irr!Y4+Irr!AW4)),IF(AND(Irr!Y4&lt;&gt;".",Irr!AW4=".",Irr!BU4&lt;&gt;"."),dir!Z4/((1/1000)*(Irr!Y4+Irr!BU4)),IF(AND(Irr!Y4=".",Irr!AW4&lt;&gt;".",Irr!BU4&lt;&gt;"."),dir!Z4/((1/1000)*(Irr!AW4+Irr!BU4)),IF(AND(Irr!Y4=".",Irr!AW4=".",Irr!BU4&lt;&gt;"."),dir!Z4/((1/1000)*(Irr!BU4)),IF(AND(Irr!Y4=".",Irr!AW4&lt;&gt;".",Irr!BU4="."),dir!Z4/((1/1000)*(Irr!AW4)),IF(AND(Irr!Y4&lt;&gt;".",Irr!AW4=".",Irr!BU4="."),dir!Z4/((1/1000)*(Irr!Y4)),IF(AND(Irr!Y4=".",Irr!AW4=".",Irr!BU4="."),dir!Z4*1000)))))))),".")</f>
        <v>.</v>
      </c>
      <c r="AA4" s="48" t="str">
        <f>IFERROR(IF(AND(Irr!Z4&lt;&gt;".",Irr!AX4&lt;&gt;".",Irr!BV4&lt;&gt;"."),dir!AA4/((1/1000)*(Irr!Z4+Irr!AX4+Irr!BV4)),IF(AND(Irr!Z4&lt;&gt;".",Irr!AX4&lt;&gt;".",Irr!BV4="."),dir!AA4/((1/1000)*(Irr!Z4+Irr!AX4)),IF(AND(Irr!Z4&lt;&gt;".",Irr!AX4=".",Irr!BV4&lt;&gt;"."),dir!AA4/((1/1000)*(Irr!Z4+Irr!BV4)),IF(AND(Irr!Z4=".",Irr!AX4&lt;&gt;".",Irr!BV4&lt;&gt;"."),dir!AA4/((1/1000)*(Irr!AX4+Irr!BV4)),IF(AND(Irr!Z4=".",Irr!AX4=".",Irr!BV4&lt;&gt;"."),dir!AA4/((1/1000)*(Irr!BV4)),IF(AND(Irr!Z4=".",Irr!AX4&lt;&gt;".",Irr!BV4="."),dir!AA4/((1/1000)*(Irr!AX4)),IF(AND(Irr!Z4&lt;&gt;".",Irr!AX4=".",Irr!BV4="."),dir!AA4/((1/1000)*(Irr!Z4)),IF(AND(Irr!Z4=".",Irr!AX4=".",Irr!BV4="."),dir!AA4*1000)))))))),".")</f>
        <v>.</v>
      </c>
      <c r="AB4" s="48" t="str">
        <f t="shared" ref="AB4:AB5" si="3">IFERROR(1/SUM(1/AC4,1/AD4,1/AE4,1/AF4,1/AG4,1/AH4,1/AI4,1/AJ4,1/AK4,1/AL4,1/AM4,1/AN4,1/AO4,1/AP4,1/AQ4,1/AR4,1/AS4,1/AT4,1/AU4,1/AV4,1/AW4,1/AX4),".")</f>
        <v>.</v>
      </c>
      <c r="AC4" s="48" t="str">
        <f>IFERROR(IF(AND(Irr!C4&lt;&gt;".",Irr!AA4&lt;&gt;".",Irr!AY4&lt;&gt;"."),dir!AC4/((1/1000)*(Irr!C4+Irr!AA4+Irr!AY4)),IF(AND(Irr!C4&lt;&gt;".",Irr!AA4&lt;&gt;".",Irr!AY4="."),dir!AC4/((1/1000)*(Irr!C4+Irr!AA4)),IF(AND(Irr!C4&lt;&gt;".",Irr!AA4=".",Irr!AY4&lt;&gt;"."),dir!AC4/((1/1000)*(Irr!C4+Irr!AY4)),IF(AND(Irr!C4=".",Irr!AA4&lt;&gt;".",Irr!AY4&lt;&gt;"."),dir!AC4/((1/1000)*(Irr!AA4+Irr!AY4)),IF(AND(Irr!C4=".",Irr!AA4=".",Irr!AY4&lt;&gt;"."),dir!AC4/((1/1000)*(Irr!AY4)),IF(AND(Irr!C4=".",Irr!AA4&lt;&gt;".",Irr!AY4="."),dir!AC4/((1/1000)*(Irr!AA4)),IF(AND(Irr!C4&lt;&gt;".",Irr!AA4=".",Irr!AY4="."),dir!AC4/((1/1000)*(Irr!C4)),IF(AND(Irr!C4=".",Irr!AA4=".",Irr!AY4="."),dir!AC4*1000)))))))),".")</f>
        <v>.</v>
      </c>
      <c r="AD4" s="48" t="str">
        <f>IFERROR(IF(AND(Irr!D4&lt;&gt;".",Irr!AB4&lt;&gt;".",Irr!AZ4&lt;&gt;"."),dir!AD4/((1/1000)*(Irr!D4+Irr!AB4+Irr!AZ4)),IF(AND(Irr!D4&lt;&gt;".",Irr!AB4&lt;&gt;".",Irr!AZ4="."),dir!AD4/((1/1000)*(Irr!D4+Irr!AB4)),IF(AND(Irr!D4&lt;&gt;".",Irr!AB4=".",Irr!AZ4&lt;&gt;"."),dir!AD4/((1/1000)*(Irr!D4+Irr!AZ4)),IF(AND(Irr!D4=".",Irr!AB4&lt;&gt;".",Irr!AZ4&lt;&gt;"."),dir!AD4/((1/1000)*(Irr!AB4+Irr!AZ4)),IF(AND(Irr!D4=".",Irr!AB4=".",Irr!AZ4&lt;&gt;"."),dir!AD4/((1/1000)*(Irr!AZ4)),IF(AND(Irr!D4=".",Irr!AB4&lt;&gt;".",Irr!AZ4="."),dir!AD4/((1/1000)*(Irr!AB4)),IF(AND(Irr!D4&lt;&gt;".",Irr!AB4=".",Irr!AZ4="."),dir!AD4/((1/1000)*(Irr!D4)),IF(AND(Irr!D4=".",Irr!AB4=".",Irr!AZ4="."),dir!AD4*1000)))))))),".")</f>
        <v>.</v>
      </c>
      <c r="AE4" s="48" t="str">
        <f>IFERROR(IF(AND(Irr!E4&lt;&gt;".",Irr!AC4&lt;&gt;".",Irr!BA4&lt;&gt;"."),dir!AE4/((1/1000)*(Irr!E4+Irr!AC4+Irr!BA4)),IF(AND(Irr!E4&lt;&gt;".",Irr!AC4&lt;&gt;".",Irr!BA4="."),dir!AE4/((1/1000)*(Irr!E4+Irr!AC4)),IF(AND(Irr!E4&lt;&gt;".",Irr!AC4=".",Irr!BA4&lt;&gt;"."),dir!AE4/((1/1000)*(Irr!E4+Irr!BA4)),IF(AND(Irr!E4=".",Irr!AC4&lt;&gt;".",Irr!BA4&lt;&gt;"."),dir!AE4/((1/1000)*(Irr!AC4+Irr!BA4)),IF(AND(Irr!E4=".",Irr!AC4=".",Irr!BA4&lt;&gt;"."),dir!AE4/((1/1000)*(Irr!BA4)),IF(AND(Irr!E4=".",Irr!AC4&lt;&gt;".",Irr!BA4="."),dir!AE4/((1/1000)*(Irr!AC4)),IF(AND(Irr!E4&lt;&gt;".",Irr!AC4=".",Irr!BA4="."),dir!AE4/((1/1000)*(Irr!E4)),IF(AND(Irr!E4=".",Irr!AC4=".",Irr!BA4="."),dir!AE4*1000)))))))),".")</f>
        <v>.</v>
      </c>
      <c r="AF4" s="48" t="str">
        <f>IFERROR(IF(AND(Irr!F4&lt;&gt;".",Irr!AD4&lt;&gt;".",Irr!BB4&lt;&gt;"."),dir!AF4/((1/1000)*(Irr!F4+Irr!AD4+Irr!BB4)),IF(AND(Irr!F4&lt;&gt;".",Irr!AD4&lt;&gt;".",Irr!BB4="."),dir!AF4/((1/1000)*(Irr!F4+Irr!AD4)),IF(AND(Irr!F4&lt;&gt;".",Irr!AD4=".",Irr!BB4&lt;&gt;"."),dir!AF4/((1/1000)*(Irr!F4+Irr!BB4)),IF(AND(Irr!F4=".",Irr!AD4&lt;&gt;".",Irr!BB4&lt;&gt;"."),dir!AF4/((1/1000)*(Irr!AD4+Irr!BB4)),IF(AND(Irr!F4=".",Irr!AD4=".",Irr!BB4&lt;&gt;"."),dir!AF4/((1/1000)*(Irr!BB4)),IF(AND(Irr!F4=".",Irr!AD4&lt;&gt;".",Irr!BB4="."),dir!AF4/((1/1000)*(Irr!AD4)),IF(AND(Irr!F4&lt;&gt;".",Irr!AD4=".",Irr!BB4="."),dir!AF4/((1/1000)*(Irr!F4)),IF(AND(Irr!F4=".",Irr!AD4=".",Irr!BB4="."),dir!AF4*1000)))))))),".")</f>
        <v>.</v>
      </c>
      <c r="AG4" s="48" t="str">
        <f>IFERROR(IF(AND(Irr!G4&lt;&gt;".",Irr!AE4&lt;&gt;".",Irr!BC4&lt;&gt;"."),dir!AG4/((1/1000)*(Irr!G4+Irr!AE4+Irr!BC4)),IF(AND(Irr!G4&lt;&gt;".",Irr!AE4&lt;&gt;".",Irr!BC4="."),dir!AG4/((1/1000)*(Irr!G4+Irr!AE4)),IF(AND(Irr!G4&lt;&gt;".",Irr!AE4=".",Irr!BC4&lt;&gt;"."),dir!AG4/((1/1000)*(Irr!G4+Irr!BC4)),IF(AND(Irr!G4=".",Irr!AE4&lt;&gt;".",Irr!BC4&lt;&gt;"."),dir!AG4/((1/1000)*(Irr!AE4+Irr!BC4)),IF(AND(Irr!G4=".",Irr!AE4=".",Irr!BC4&lt;&gt;"."),dir!AG4/((1/1000)*(Irr!BC4)),IF(AND(Irr!G4=".",Irr!AE4&lt;&gt;".",Irr!BC4="."),dir!AG4/((1/1000)*(Irr!AE4)),IF(AND(Irr!G4&lt;&gt;".",Irr!AE4=".",Irr!BC4="."),dir!AG4/((1/1000)*(Irr!G4)),IF(AND(Irr!G4=".",Irr!AE4=".",Irr!BC4="."),dir!AG4*1000)))))))),".")</f>
        <v>.</v>
      </c>
      <c r="AH4" s="48" t="str">
        <f>IFERROR(IF(AND(Irr!H4&lt;&gt;".",Irr!AF4&lt;&gt;".",Irr!BD4&lt;&gt;"."),dir!AH4/((1/1000)*(Irr!H4+Irr!AF4+Irr!BD4)),IF(AND(Irr!H4&lt;&gt;".",Irr!AF4&lt;&gt;".",Irr!BD4="."),dir!AH4/((1/1000)*(Irr!H4+Irr!AF4)),IF(AND(Irr!H4&lt;&gt;".",Irr!AF4=".",Irr!BD4&lt;&gt;"."),dir!AH4/((1/1000)*(Irr!H4+Irr!BD4)),IF(AND(Irr!H4=".",Irr!AF4&lt;&gt;".",Irr!BD4&lt;&gt;"."),dir!AH4/((1/1000)*(Irr!AF4+Irr!BD4)),IF(AND(Irr!H4=".",Irr!AF4=".",Irr!BD4&lt;&gt;"."),dir!AH4/((1/1000)*(Irr!BD4)),IF(AND(Irr!H4=".",Irr!AF4&lt;&gt;".",Irr!BD4="."),dir!AH4/((1/1000)*(Irr!AF4)),IF(AND(Irr!H4&lt;&gt;".",Irr!AF4=".",Irr!BD4="."),dir!AH4/((1/1000)*(Irr!H4)),IF(AND(Irr!H4=".",Irr!AF4=".",Irr!BD4="."),dir!AH4*1000)))))))),".")</f>
        <v>.</v>
      </c>
      <c r="AI4" s="48" t="str">
        <f>IFERROR(IF(AND(Irr!I4&lt;&gt;".",Irr!AG4&lt;&gt;".",Irr!BE4&lt;&gt;"."),dir!AI4/((1/1000)*(Irr!I4+Irr!AG4+Irr!BE4)),IF(AND(Irr!I4&lt;&gt;".",Irr!AG4&lt;&gt;".",Irr!BE4="."),dir!AI4/((1/1000)*(Irr!I4+Irr!AG4)),IF(AND(Irr!I4&lt;&gt;".",Irr!AG4=".",Irr!BE4&lt;&gt;"."),dir!AI4/((1/1000)*(Irr!I4+Irr!BE4)),IF(AND(Irr!I4=".",Irr!AG4&lt;&gt;".",Irr!BE4&lt;&gt;"."),dir!AI4/((1/1000)*(Irr!AG4+Irr!BE4)),IF(AND(Irr!I4=".",Irr!AG4=".",Irr!BE4&lt;&gt;"."),dir!AI4/((1/1000)*(Irr!BE4)),IF(AND(Irr!I4=".",Irr!AG4&lt;&gt;".",Irr!BE4="."),dir!AI4/((1/1000)*(Irr!AG4)),IF(AND(Irr!I4&lt;&gt;".",Irr!AG4=".",Irr!BE4="."),dir!AI4/((1/1000)*(Irr!I4)),IF(AND(Irr!I4=".",Irr!AG4=".",Irr!BE4="."),dir!AI4*1000)))))))),".")</f>
        <v>.</v>
      </c>
      <c r="AJ4" s="48" t="str">
        <f>IFERROR(IF(AND(Irr!J4&lt;&gt;".",Irr!AH4&lt;&gt;".",Irr!BF4&lt;&gt;"."),dir!AJ4/((1/1000)*(Irr!J4+Irr!AH4+Irr!BF4)),IF(AND(Irr!J4&lt;&gt;".",Irr!AH4&lt;&gt;".",Irr!BF4="."),dir!AJ4/((1/1000)*(Irr!J4+Irr!AH4)),IF(AND(Irr!J4&lt;&gt;".",Irr!AH4=".",Irr!BF4&lt;&gt;"."),dir!AJ4/((1/1000)*(Irr!J4+Irr!BF4)),IF(AND(Irr!J4=".",Irr!AH4&lt;&gt;".",Irr!BF4&lt;&gt;"."),dir!AJ4/((1/1000)*(Irr!AH4+Irr!BF4)),IF(AND(Irr!J4=".",Irr!AH4=".",Irr!BF4&lt;&gt;"."),dir!AJ4/((1/1000)*(Irr!BF4)),IF(AND(Irr!J4=".",Irr!AH4&lt;&gt;".",Irr!BF4="."),dir!AJ4/((1/1000)*(Irr!AH4)),IF(AND(Irr!J4&lt;&gt;".",Irr!AH4=".",Irr!BF4="."),dir!AJ4/((1/1000)*(Irr!J4)),IF(AND(Irr!J4=".",Irr!AH4=".",Irr!BF4="."),dir!AJ4*1000)))))))),".")</f>
        <v>.</v>
      </c>
      <c r="AK4" s="48" t="str">
        <f>IFERROR(IF(AND(Irr!K4&lt;&gt;".",Irr!AI4&lt;&gt;".",Irr!BG4&lt;&gt;"."),dir!AK4/((1/1000)*(Irr!K4+Irr!AI4+Irr!BG4)),IF(AND(Irr!K4&lt;&gt;".",Irr!AI4&lt;&gt;".",Irr!BG4="."),dir!AK4/((1/1000)*(Irr!K4+Irr!AI4)),IF(AND(Irr!K4&lt;&gt;".",Irr!AI4=".",Irr!BG4&lt;&gt;"."),dir!AK4/((1/1000)*(Irr!K4+Irr!BG4)),IF(AND(Irr!K4=".",Irr!AI4&lt;&gt;".",Irr!BG4&lt;&gt;"."),dir!AK4/((1/1000)*(Irr!AI4+Irr!BG4)),IF(AND(Irr!K4=".",Irr!AI4=".",Irr!BG4&lt;&gt;"."),dir!AK4/((1/1000)*(Irr!BG4)),IF(AND(Irr!K4=".",Irr!AI4&lt;&gt;".",Irr!BG4="."),dir!AK4/((1/1000)*(Irr!AI4)),IF(AND(Irr!K4&lt;&gt;".",Irr!AI4=".",Irr!BG4="."),dir!AK4/((1/1000)*(Irr!K4)),IF(AND(Irr!K4=".",Irr!AI4=".",Irr!BG4="."),dir!AK4*1000)))))))),".")</f>
        <v>.</v>
      </c>
      <c r="AL4" s="48" t="str">
        <f>IFERROR(IF(AND(Irr!L4&lt;&gt;".",Irr!AJ4&lt;&gt;".",Irr!BH4&lt;&gt;"."),dir!AL4/((1/1000)*(Irr!L4+Irr!AJ4+Irr!BH4)),IF(AND(Irr!L4&lt;&gt;".",Irr!AJ4&lt;&gt;".",Irr!BH4="."),dir!AL4/((1/1000)*(Irr!L4+Irr!AJ4)),IF(AND(Irr!L4&lt;&gt;".",Irr!AJ4=".",Irr!BH4&lt;&gt;"."),dir!AL4/((1/1000)*(Irr!L4+Irr!BH4)),IF(AND(Irr!L4=".",Irr!AJ4&lt;&gt;".",Irr!BH4&lt;&gt;"."),dir!AL4/((1/1000)*(Irr!AJ4+Irr!BH4)),IF(AND(Irr!L4=".",Irr!AJ4=".",Irr!BH4&lt;&gt;"."),dir!AL4/((1/1000)*(Irr!BH4)),IF(AND(Irr!L4=".",Irr!AJ4&lt;&gt;".",Irr!BH4="."),dir!AL4/((1/1000)*(Irr!AJ4)),IF(AND(Irr!L4&lt;&gt;".",Irr!AJ4=".",Irr!BH4="."),dir!AL4/((1/1000)*(Irr!L4)),IF(AND(Irr!L4=".",Irr!AJ4=".",Irr!BH4="."),dir!AL4*1000)))))))),".")</f>
        <v>.</v>
      </c>
      <c r="AM4" s="48" t="str">
        <f>IFERROR(IF(AND(Irr!M4&lt;&gt;".",Irr!AK4&lt;&gt;".",Irr!BI4&lt;&gt;"."),dir!AM4/((1/1000)*(Irr!M4+Irr!AK4+Irr!BI4)),IF(AND(Irr!M4&lt;&gt;".",Irr!AK4&lt;&gt;".",Irr!BI4="."),dir!AM4/((1/1000)*(Irr!M4+Irr!AK4)),IF(AND(Irr!M4&lt;&gt;".",Irr!AK4=".",Irr!BI4&lt;&gt;"."),dir!AM4/((1/1000)*(Irr!M4+Irr!BI4)),IF(AND(Irr!M4=".",Irr!AK4&lt;&gt;".",Irr!BI4&lt;&gt;"."),dir!AM4/((1/1000)*(Irr!AK4+Irr!BI4)),IF(AND(Irr!M4=".",Irr!AK4=".",Irr!BI4&lt;&gt;"."),dir!AM4/((1/1000)*(Irr!BI4)),IF(AND(Irr!M4=".",Irr!AK4&lt;&gt;".",Irr!BI4="."),dir!AM4/((1/1000)*(Irr!AK4)),IF(AND(Irr!M4&lt;&gt;".",Irr!AK4=".",Irr!BI4="."),dir!AM4/((1/1000)*(Irr!M4)),IF(AND(Irr!M4=".",Irr!AK4=".",Irr!BI4="."),dir!AM4*1000)))))))),".")</f>
        <v>.</v>
      </c>
      <c r="AN4" s="48" t="str">
        <f>IFERROR(IF(AND(Irr!N4&lt;&gt;".",Irr!AL4&lt;&gt;".",Irr!BJ4&lt;&gt;"."),dir!AN4/((1/1000)*(Irr!N4+Irr!AL4+Irr!BJ4)),IF(AND(Irr!N4&lt;&gt;".",Irr!AL4&lt;&gt;".",Irr!BJ4="."),dir!AN4/((1/1000)*(Irr!N4+Irr!AL4)),IF(AND(Irr!N4&lt;&gt;".",Irr!AL4=".",Irr!BJ4&lt;&gt;"."),dir!AN4/((1/1000)*(Irr!N4+Irr!BJ4)),IF(AND(Irr!N4=".",Irr!AL4&lt;&gt;".",Irr!BJ4&lt;&gt;"."),dir!AN4/((1/1000)*(Irr!AL4+Irr!BJ4)),IF(AND(Irr!N4=".",Irr!AL4=".",Irr!BJ4&lt;&gt;"."),dir!AN4/((1/1000)*(Irr!BJ4)),IF(AND(Irr!N4=".",Irr!AL4&lt;&gt;".",Irr!BJ4="."),dir!AN4/((1/1000)*(Irr!AL4)),IF(AND(Irr!N4&lt;&gt;".",Irr!AL4=".",Irr!BJ4="."),dir!AN4/((1/1000)*(Irr!N4)),IF(AND(Irr!N4=".",Irr!AL4=".",Irr!BJ4="."),dir!AN4*1000)))))))),".")</f>
        <v>.</v>
      </c>
      <c r="AO4" s="48" t="str">
        <f>IFERROR(IF(AND(Irr!O4&lt;&gt;".",Irr!AM4&lt;&gt;".",Irr!BK4&lt;&gt;"."),dir!AO4/((1/1000)*(Irr!O4+Irr!AM4+Irr!BK4)),IF(AND(Irr!O4&lt;&gt;".",Irr!AM4&lt;&gt;".",Irr!BK4="."),dir!AO4/((1/1000)*(Irr!O4+Irr!AM4)),IF(AND(Irr!O4&lt;&gt;".",Irr!AM4=".",Irr!BK4&lt;&gt;"."),dir!AO4/((1/1000)*(Irr!O4+Irr!BK4)),IF(AND(Irr!O4=".",Irr!AM4&lt;&gt;".",Irr!BK4&lt;&gt;"."),dir!AO4/((1/1000)*(Irr!AM4+Irr!BK4)),IF(AND(Irr!O4=".",Irr!AM4=".",Irr!BK4&lt;&gt;"."),dir!AO4/((1/1000)*(Irr!BK4)),IF(AND(Irr!O4=".",Irr!AM4&lt;&gt;".",Irr!BK4="."),dir!AO4/((1/1000)*(Irr!AM4)),IF(AND(Irr!O4&lt;&gt;".",Irr!AM4=".",Irr!BK4="."),dir!AO4/((1/1000)*(Irr!O4)),IF(AND(Irr!O4=".",Irr!AM4=".",Irr!BK4="."),dir!AO4*1000)))))))),".")</f>
        <v>.</v>
      </c>
      <c r="AP4" s="48" t="str">
        <f>IFERROR(IF(AND(Irr!P4&lt;&gt;".",Irr!AN4&lt;&gt;".",Irr!BL4&lt;&gt;"."),dir!AP4/((1/1000)*(Irr!P4+Irr!AN4+Irr!BL4)),IF(AND(Irr!P4&lt;&gt;".",Irr!AN4&lt;&gt;".",Irr!BL4="."),dir!AP4/((1/1000)*(Irr!P4+Irr!AN4)),IF(AND(Irr!P4&lt;&gt;".",Irr!AN4=".",Irr!BL4&lt;&gt;"."),dir!AP4/((1/1000)*(Irr!P4+Irr!BL4)),IF(AND(Irr!P4=".",Irr!AN4&lt;&gt;".",Irr!BL4&lt;&gt;"."),dir!AP4/((1/1000)*(Irr!AN4+Irr!BL4)),IF(AND(Irr!P4=".",Irr!AN4=".",Irr!BL4&lt;&gt;"."),dir!AP4/((1/1000)*(Irr!BL4)),IF(AND(Irr!P4=".",Irr!AN4&lt;&gt;".",Irr!BL4="."),dir!AP4/((1/1000)*(Irr!AN4)),IF(AND(Irr!P4&lt;&gt;".",Irr!AN4=".",Irr!BL4="."),dir!AP4/((1/1000)*(Irr!P4)),IF(AND(Irr!P4=".",Irr!AN4=".",Irr!BL4="."),dir!AP4*1000)))))))),".")</f>
        <v>.</v>
      </c>
      <c r="AQ4" s="48" t="str">
        <f>IFERROR(IF(AND(Irr!Q4&lt;&gt;".",Irr!AO4&lt;&gt;".",Irr!BM4&lt;&gt;"."),dir!AQ4/((1/1000)*(Irr!Q4+Irr!AO4+Irr!BM4)),IF(AND(Irr!Q4&lt;&gt;".",Irr!AO4&lt;&gt;".",Irr!BM4="."),dir!AQ4/((1/1000)*(Irr!Q4+Irr!AO4)),IF(AND(Irr!Q4&lt;&gt;".",Irr!AO4=".",Irr!BM4&lt;&gt;"."),dir!AQ4/((1/1000)*(Irr!Q4+Irr!BM4)),IF(AND(Irr!Q4=".",Irr!AO4&lt;&gt;".",Irr!BM4&lt;&gt;"."),dir!AQ4/((1/1000)*(Irr!AO4+Irr!BM4)),IF(AND(Irr!Q4=".",Irr!AO4=".",Irr!BM4&lt;&gt;"."),dir!AQ4/((1/1000)*(Irr!BM4)),IF(AND(Irr!Q4=".",Irr!AO4&lt;&gt;".",Irr!BM4="."),dir!AQ4/((1/1000)*(Irr!AO4)),IF(AND(Irr!Q4&lt;&gt;".",Irr!AO4=".",Irr!BM4="."),dir!AQ4/((1/1000)*(Irr!Q4)),IF(AND(Irr!Q4=".",Irr!AO4=".",Irr!BM4="."),dir!AQ4*1000)))))))),".")</f>
        <v>.</v>
      </c>
      <c r="AR4" s="48" t="str">
        <f>IFERROR(IF(AND(Irr!R4&lt;&gt;".",Irr!AP4&lt;&gt;".",Irr!BN4&lt;&gt;"."),dir!AR4/((1/1000)*(Irr!R4+Irr!AP4+Irr!BN4)),IF(AND(Irr!R4&lt;&gt;".",Irr!AP4&lt;&gt;".",Irr!BN4="."),dir!AR4/((1/1000)*(Irr!R4+Irr!AP4)),IF(AND(Irr!R4&lt;&gt;".",Irr!AP4=".",Irr!BN4&lt;&gt;"."),dir!AR4/((1/1000)*(Irr!R4+Irr!BN4)),IF(AND(Irr!R4=".",Irr!AP4&lt;&gt;".",Irr!BN4&lt;&gt;"."),dir!AR4/((1/1000)*(Irr!AP4+Irr!BN4)),IF(AND(Irr!R4=".",Irr!AP4=".",Irr!BN4&lt;&gt;"."),dir!AR4/((1/1000)*(Irr!BN4)),IF(AND(Irr!R4=".",Irr!AP4&lt;&gt;".",Irr!BN4="."),dir!AR4/((1/1000)*(Irr!AP4)),IF(AND(Irr!R4&lt;&gt;".",Irr!AP4=".",Irr!BN4="."),dir!AR4/((1/1000)*(Irr!R4)),IF(AND(Irr!R4=".",Irr!AP4=".",Irr!BN4="."),dir!AR4*1000)))))))),".")</f>
        <v>.</v>
      </c>
      <c r="AS4" s="48" t="str">
        <f>IFERROR(IF(AND(Irr!S4&lt;&gt;".",Irr!AQ4&lt;&gt;".",Irr!BO4&lt;&gt;"."),dir!AS4/((1/1000)*(Irr!S4+Irr!AQ4+Irr!BO4)),IF(AND(Irr!S4&lt;&gt;".",Irr!AQ4&lt;&gt;".",Irr!BO4="."),dir!AS4/((1/1000)*(Irr!S4+Irr!AQ4)),IF(AND(Irr!S4&lt;&gt;".",Irr!AQ4=".",Irr!BO4&lt;&gt;"."),dir!AS4/((1/1000)*(Irr!S4+Irr!BO4)),IF(AND(Irr!S4=".",Irr!AQ4&lt;&gt;".",Irr!BO4&lt;&gt;"."),dir!AS4/((1/1000)*(Irr!AQ4+Irr!BO4)),IF(AND(Irr!S4=".",Irr!AQ4=".",Irr!BO4&lt;&gt;"."),dir!AS4/((1/1000)*(Irr!BO4)),IF(AND(Irr!S4=".",Irr!AQ4&lt;&gt;".",Irr!BO4="."),dir!AS4/((1/1000)*(Irr!AQ4)),IF(AND(Irr!S4&lt;&gt;".",Irr!AQ4=".",Irr!BO4="."),dir!AS4/((1/1000)*(Irr!S4)),IF(AND(Irr!S4=".",Irr!AQ4=".",Irr!BO4="."),dir!AS4*1000)))))))),".")</f>
        <v>.</v>
      </c>
      <c r="AT4" s="48" t="str">
        <f>IFERROR(IF(AND(Irr!T4&lt;&gt;".",Irr!AR4&lt;&gt;".",Irr!BP4&lt;&gt;"."),dir!AT4/((1/1000)*(Irr!T4+Irr!AR4+Irr!BP4)),IF(AND(Irr!T4&lt;&gt;".",Irr!AR4&lt;&gt;".",Irr!BP4="."),dir!AT4/((1/1000)*(Irr!T4+Irr!AR4)),IF(AND(Irr!T4&lt;&gt;".",Irr!AR4=".",Irr!BP4&lt;&gt;"."),dir!AT4/((1/1000)*(Irr!T4+Irr!BP4)),IF(AND(Irr!T4=".",Irr!AR4&lt;&gt;".",Irr!BP4&lt;&gt;"."),dir!AT4/((1/1000)*(Irr!AR4+Irr!BP4)),IF(AND(Irr!T4=".",Irr!AR4=".",Irr!BP4&lt;&gt;"."),dir!AT4/((1/1000)*(Irr!BP4)),IF(AND(Irr!T4=".",Irr!AR4&lt;&gt;".",Irr!BP4="."),dir!AT4/((1/1000)*(Irr!AR4)),IF(AND(Irr!T4&lt;&gt;".",Irr!AR4=".",Irr!BP4="."),dir!AT4/((1/1000)*(Irr!T4)),IF(AND(Irr!T4=".",Irr!AR4=".",Irr!BP4="."),dir!AT4*1000)))))))),".")</f>
        <v>.</v>
      </c>
      <c r="AU4" s="48" t="str">
        <f>IFERROR(IF(AND(Irr!U4&lt;&gt;".",Irr!AS4&lt;&gt;".",Irr!BQ4&lt;&gt;"."),dir!AU4/((1/1000)*(Irr!U4+Irr!AS4+Irr!BQ4)),IF(AND(Irr!U4&lt;&gt;".",Irr!AS4&lt;&gt;".",Irr!BQ4="."),dir!AU4/((1/1000)*(Irr!U4+Irr!AS4)),IF(AND(Irr!U4&lt;&gt;".",Irr!AS4=".",Irr!BQ4&lt;&gt;"."),dir!AU4/((1/1000)*(Irr!U4+Irr!BQ4)),IF(AND(Irr!U4=".",Irr!AS4&lt;&gt;".",Irr!BQ4&lt;&gt;"."),dir!AU4/((1/1000)*(Irr!AS4+Irr!BQ4)),IF(AND(Irr!U4=".",Irr!AS4=".",Irr!BQ4&lt;&gt;"."),dir!AU4/((1/1000)*(Irr!BQ4)),IF(AND(Irr!U4=".",Irr!AS4&lt;&gt;".",Irr!BQ4="."),dir!AU4/((1/1000)*(Irr!AS4)),IF(AND(Irr!U4&lt;&gt;".",Irr!AS4=".",Irr!BQ4="."),dir!AU4/((1/1000)*(Irr!U4)),IF(AND(Irr!U4=".",Irr!AS4=".",Irr!BQ4="."),dir!AU4*1000)))))))),".")</f>
        <v>.</v>
      </c>
      <c r="AV4" s="48" t="str">
        <f>IFERROR(IF(AND(Irr!V4&lt;&gt;".",Irr!AT4&lt;&gt;".",Irr!BR4&lt;&gt;"."),dir!AV4/((1/1000)*(Irr!V4+Irr!AT4+Irr!BR4)),IF(AND(Irr!V4&lt;&gt;".",Irr!AT4&lt;&gt;".",Irr!BR4="."),dir!AV4/((1/1000)*(Irr!V4+Irr!AT4)),IF(AND(Irr!V4&lt;&gt;".",Irr!AT4=".",Irr!BR4&lt;&gt;"."),dir!AV4/((1/1000)*(Irr!V4+Irr!BR4)),IF(AND(Irr!V4=".",Irr!AT4&lt;&gt;".",Irr!BR4&lt;&gt;"."),dir!AV4/((1/1000)*(Irr!AT4+Irr!BR4)),IF(AND(Irr!V4=".",Irr!AT4=".",Irr!BR4&lt;&gt;"."),dir!AV4/((1/1000)*(Irr!BR4)),IF(AND(Irr!V4=".",Irr!AT4&lt;&gt;".",Irr!BR4="."),dir!AV4/((1/1000)*(Irr!AT4)),IF(AND(Irr!V4&lt;&gt;".",Irr!AT4=".",Irr!BR4="."),dir!AV4/((1/1000)*(Irr!V4)),IF(AND(Irr!V4=".",Irr!AT4=".",Irr!BR4="."),dir!AV4*1000)))))))),".")</f>
        <v>.</v>
      </c>
      <c r="AW4" s="48" t="str">
        <f>IFERROR(IF(AND(Irr!W4&lt;&gt;".",Irr!AU4&lt;&gt;".",Irr!BS4&lt;&gt;"."),dir!AW4/((1/1000)*(Irr!W4+Irr!AU4+Irr!BS4)),IF(AND(Irr!W4&lt;&gt;".",Irr!AU4&lt;&gt;".",Irr!BS4="."),dir!AW4/((1/1000)*(Irr!W4+Irr!AU4)),IF(AND(Irr!W4&lt;&gt;".",Irr!AU4=".",Irr!BS4&lt;&gt;"."),dir!AW4/((1/1000)*(Irr!W4+Irr!BS4)),IF(AND(Irr!W4=".",Irr!AU4&lt;&gt;".",Irr!BS4&lt;&gt;"."),dir!AW4/((1/1000)*(Irr!AU4+Irr!BS4)),IF(AND(Irr!W4=".",Irr!AU4=".",Irr!BS4&lt;&gt;"."),dir!AW4/((1/1000)*(Irr!BS4)),IF(AND(Irr!W4=".",Irr!AU4&lt;&gt;".",Irr!BS4="."),dir!AW4/((1/1000)*(Irr!AU4)),IF(AND(Irr!W4&lt;&gt;".",Irr!AU4=".",Irr!BS4="."),dir!AW4/((1/1000)*(Irr!W4)),IF(AND(Irr!W4=".",Irr!AU4=".",Irr!BS4="."),dir!AW4*1000)))))))),".")</f>
        <v>.</v>
      </c>
      <c r="AX4" s="48" t="str">
        <f>IFERROR(IF(AND(Irr!X4&lt;&gt;".",Irr!AV4&lt;&gt;".",Irr!BT4&lt;&gt;"."),dir!AX4/((1/1000)*(Irr!X4+Irr!AV4+Irr!BT4)),IF(AND(Irr!X4&lt;&gt;".",Irr!AV4&lt;&gt;".",Irr!BT4="."),dir!AX4/((1/1000)*(Irr!X4+Irr!AV4)),IF(AND(Irr!X4&lt;&gt;".",Irr!AV4=".",Irr!BT4&lt;&gt;"."),dir!AX4/((1/1000)*(Irr!X4+Irr!BT4)),IF(AND(Irr!X4=".",Irr!AV4&lt;&gt;".",Irr!BT4&lt;&gt;"."),dir!AX4/((1/1000)*(Irr!AV4+Irr!BT4)),IF(AND(Irr!X4=".",Irr!AV4=".",Irr!BT4&lt;&gt;"."),dir!AX4/((1/1000)*(Irr!BT4)),IF(AND(Irr!X4=".",Irr!AV4&lt;&gt;".",Irr!BT4="."),dir!AX4/((1/1000)*(Irr!AV4)),IF(AND(Irr!X4&lt;&gt;".",Irr!AV4=".",Irr!BT4="."),dir!AX4/((1/1000)*(Irr!X4)),IF(AND(Irr!X4=".",Irr!AV4=".",Irr!BT4="."),dir!AX4*1000)))))))),".")</f>
        <v>.</v>
      </c>
      <c r="AY4" s="48" t="str">
        <f>IFERROR(IF(AND(Irr!Y4&lt;&gt;".",Irr!AW4&lt;&gt;".",Irr!BU4&lt;&gt;"."),dir!AY4/((1/1000)*(Irr!Y4+Irr!AW4+Irr!BU4)),IF(AND(Irr!Y4&lt;&gt;".",Irr!AW4&lt;&gt;".",Irr!BU4="."),dir!AY4/((1/1000)*(Irr!Y4+Irr!AW4)),IF(AND(Irr!Y4&lt;&gt;".",Irr!AW4=".",Irr!BU4&lt;&gt;"."),dir!AY4/((1/1000)*(Irr!Y4+Irr!BU4)),IF(AND(Irr!Y4=".",Irr!AW4&lt;&gt;".",Irr!BU4&lt;&gt;"."),dir!AY4/((1/1000)*(Irr!AW4+Irr!BU4)),IF(AND(Irr!Y4=".",Irr!AW4=".",Irr!BU4&lt;&gt;"."),dir!AY4/((1/1000)*(Irr!BU4)),IF(AND(Irr!Y4=".",Irr!AW4&lt;&gt;".",Irr!BU4="."),dir!AY4/((1/1000)*(Irr!AW4)),IF(AND(Irr!Y4&lt;&gt;".",Irr!AW4=".",Irr!BU4="."),dir!AY4/((1/1000)*(Irr!Y4)),IF(AND(Irr!Y4=".",Irr!AW4=".",Irr!BU4="."),dir!AY4*1000)))))))),".")</f>
        <v>.</v>
      </c>
      <c r="AZ4" s="48" t="str">
        <f>IFERROR(IF(AND(Irr!Z4&lt;&gt;".",Irr!AX4&lt;&gt;".",Irr!BV4&lt;&gt;"."),dir!AZ4/((1/1000)*(Irr!Z4+Irr!AX4+Irr!BV4)),IF(AND(Irr!Z4&lt;&gt;".",Irr!AX4&lt;&gt;".",Irr!BV4="."),dir!AZ4/((1/1000)*(Irr!Z4+Irr!AX4)),IF(AND(Irr!Z4&lt;&gt;".",Irr!AX4=".",Irr!BV4&lt;&gt;"."),dir!AZ4/((1/1000)*(Irr!Z4+Irr!BV4)),IF(AND(Irr!Z4=".",Irr!AX4&lt;&gt;".",Irr!BV4&lt;&gt;"."),dir!AZ4/((1/1000)*(Irr!AX4+Irr!BV4)),IF(AND(Irr!Z4=".",Irr!AX4=".",Irr!BV4&lt;&gt;"."),dir!AZ4/((1/1000)*(Irr!BV4)),IF(AND(Irr!Z4=".",Irr!AX4&lt;&gt;".",Irr!BV4="."),dir!AZ4/((1/1000)*(Irr!AX4)),IF(AND(Irr!Z4&lt;&gt;".",Irr!AX4=".",Irr!BV4="."),dir!AZ4/((1/1000)*(Irr!Z4)),IF(AND(Irr!Z4=".",Irr!AX4=".",Irr!BV4="."),dir!AZ4*1000)))))))),".")</f>
        <v>.</v>
      </c>
    </row>
    <row r="5" spans="1:52" ht="15" customHeight="1" x14ac:dyDescent="0.25">
      <c r="A5" s="61" t="s">
        <v>3</v>
      </c>
      <c r="B5" s="49" t="s">
        <v>1059</v>
      </c>
      <c r="C5" s="48" t="str">
        <f t="shared" si="2"/>
        <v>.</v>
      </c>
      <c r="D5" s="48" t="str">
        <f>IFERROR(IF(AND(Irr!C5&lt;&gt;".",Irr!AA5&lt;&gt;".",Irr!AY5&lt;&gt;"."),dir!D5/((1/1000)*(Irr!C5+Irr!AA5+Irr!AY5)),IF(AND(Irr!C5&lt;&gt;".",Irr!AA5&lt;&gt;".",Irr!AY5="."),dir!D5/((1/1000)*(Irr!C5+Irr!AA5)),IF(AND(Irr!C5&lt;&gt;".",Irr!AA5=".",Irr!AY5&lt;&gt;"."),dir!D5/((1/1000)*(Irr!C5+Irr!AY5)),IF(AND(Irr!C5=".",Irr!AA5&lt;&gt;".",Irr!AY5&lt;&gt;"."),dir!D5/((1/1000)*(Irr!AA5+Irr!AY5)),IF(AND(Irr!C5=".",Irr!AA5=".",Irr!AY5&lt;&gt;"."),dir!D5/((1/1000)*(Irr!AY5)),IF(AND(Irr!C5=".",Irr!AA5&lt;&gt;".",Irr!AY5="."),dir!D5/((1/1000)*(Irr!AA5)),IF(AND(Irr!C5&lt;&gt;".",Irr!AA5=".",Irr!AY5="."),dir!D5/((1/1000)*(Irr!C5)),IF(AND(Irr!C5=".",Irr!AA5=".",Irr!AY5="."),dir!D5*1000)))))))),".")</f>
        <v>.</v>
      </c>
      <c r="E5" s="48" t="str">
        <f>IFERROR(IF(AND(Irr!D5&lt;&gt;".",Irr!AB5&lt;&gt;".",Irr!AZ5&lt;&gt;"."),dir!E5/((1/1000)*(Irr!D5+Irr!AB5+Irr!AZ5)),IF(AND(Irr!D5&lt;&gt;".",Irr!AB5&lt;&gt;".",Irr!AZ5="."),dir!E5/((1/1000)*(Irr!D5+Irr!AB5)),IF(AND(Irr!D5&lt;&gt;".",Irr!AB5=".",Irr!AZ5&lt;&gt;"."),dir!E5/((1/1000)*(Irr!D5+Irr!AZ5)),IF(AND(Irr!D5=".",Irr!AB5&lt;&gt;".",Irr!AZ5&lt;&gt;"."),dir!E5/((1/1000)*(Irr!AB5+Irr!AZ5)),IF(AND(Irr!D5=".",Irr!AB5=".",Irr!AZ5&lt;&gt;"."),dir!E5/((1/1000)*(Irr!AZ5)),IF(AND(Irr!D5=".",Irr!AB5&lt;&gt;".",Irr!AZ5="."),dir!E5/((1/1000)*(Irr!AB5)),IF(AND(Irr!D5&lt;&gt;".",Irr!AB5=".",Irr!AZ5="."),dir!E5/((1/1000)*(Irr!D5)),IF(AND(Irr!D5=".",Irr!AB5=".",Irr!AZ5="."),dir!E5*1000)))))))),".")</f>
        <v>.</v>
      </c>
      <c r="F5" s="48" t="str">
        <f>IFERROR(IF(AND(Irr!E5&lt;&gt;".",Irr!AC5&lt;&gt;".",Irr!BA5&lt;&gt;"."),dir!F5/((1/1000)*(Irr!E5+Irr!AC5+Irr!BA5)),IF(AND(Irr!E5&lt;&gt;".",Irr!AC5&lt;&gt;".",Irr!BA5="."),dir!F5/((1/1000)*(Irr!E5+Irr!AC5)),IF(AND(Irr!E5&lt;&gt;".",Irr!AC5=".",Irr!BA5&lt;&gt;"."),dir!F5/((1/1000)*(Irr!E5+Irr!BA5)),IF(AND(Irr!E5=".",Irr!AC5&lt;&gt;".",Irr!BA5&lt;&gt;"."),dir!F5/((1/1000)*(Irr!AC5+Irr!BA5)),IF(AND(Irr!E5=".",Irr!AC5=".",Irr!BA5&lt;&gt;"."),dir!F5/((1/1000)*(Irr!BA5)),IF(AND(Irr!E5=".",Irr!AC5&lt;&gt;".",Irr!BA5="."),dir!F5/((1/1000)*(Irr!AC5)),IF(AND(Irr!E5&lt;&gt;".",Irr!AC5=".",Irr!BA5="."),dir!F5/((1/1000)*(Irr!E5)),IF(AND(Irr!E5=".",Irr!AC5=".",Irr!BA5="."),dir!F5*1000)))))))),".")</f>
        <v>.</v>
      </c>
      <c r="G5" s="48" t="str">
        <f>IFERROR(IF(AND(Irr!F5&lt;&gt;".",Irr!AD5&lt;&gt;".",Irr!BB5&lt;&gt;"."),dir!G5/((1/1000)*(Irr!F5+Irr!AD5+Irr!BB5)),IF(AND(Irr!F5&lt;&gt;".",Irr!AD5&lt;&gt;".",Irr!BB5="."),dir!G5/((1/1000)*(Irr!F5+Irr!AD5)),IF(AND(Irr!F5&lt;&gt;".",Irr!AD5=".",Irr!BB5&lt;&gt;"."),dir!G5/((1/1000)*(Irr!F5+Irr!BB5)),IF(AND(Irr!F5=".",Irr!AD5&lt;&gt;".",Irr!BB5&lt;&gt;"."),dir!G5/((1/1000)*(Irr!AD5+Irr!BB5)),IF(AND(Irr!F5=".",Irr!AD5=".",Irr!BB5&lt;&gt;"."),dir!G5/((1/1000)*(Irr!BB5)),IF(AND(Irr!F5=".",Irr!AD5&lt;&gt;".",Irr!BB5="."),dir!G5/((1/1000)*(Irr!AD5)),IF(AND(Irr!F5&lt;&gt;".",Irr!AD5=".",Irr!BB5="."),dir!G5/((1/1000)*(Irr!F5)),IF(AND(Irr!F5=".",Irr!AD5=".",Irr!BB5="."),dir!G5*1000)))))))),".")</f>
        <v>.</v>
      </c>
      <c r="H5" s="48" t="str">
        <f>IFERROR(IF(AND(Irr!G5&lt;&gt;".",Irr!AE5&lt;&gt;".",Irr!BC5&lt;&gt;"."),dir!H5/((1/1000)*(Irr!G5+Irr!AE5+Irr!BC5)),IF(AND(Irr!G5&lt;&gt;".",Irr!AE5&lt;&gt;".",Irr!BC5="."),dir!H5/((1/1000)*(Irr!G5+Irr!AE5)),IF(AND(Irr!G5&lt;&gt;".",Irr!AE5=".",Irr!BC5&lt;&gt;"."),dir!H5/((1/1000)*(Irr!G5+Irr!BC5)),IF(AND(Irr!G5=".",Irr!AE5&lt;&gt;".",Irr!BC5&lt;&gt;"."),dir!H5/((1/1000)*(Irr!AE5+Irr!BC5)),IF(AND(Irr!G5=".",Irr!AE5=".",Irr!BC5&lt;&gt;"."),dir!H5/((1/1000)*(Irr!BC5)),IF(AND(Irr!G5=".",Irr!AE5&lt;&gt;".",Irr!BC5="."),dir!H5/((1/1000)*(Irr!AE5)),IF(AND(Irr!G5&lt;&gt;".",Irr!AE5=".",Irr!BC5="."),dir!H5/((1/1000)*(Irr!G5)),IF(AND(Irr!G5=".",Irr!AE5=".",Irr!BC5="."),dir!H5*1000)))))))),".")</f>
        <v>.</v>
      </c>
      <c r="I5" s="48" t="str">
        <f>IFERROR(IF(AND(Irr!H5&lt;&gt;".",Irr!AF5&lt;&gt;".",Irr!BD5&lt;&gt;"."),dir!I5/((1/1000)*(Irr!H5+Irr!AF5+Irr!BD5)),IF(AND(Irr!H5&lt;&gt;".",Irr!AF5&lt;&gt;".",Irr!BD5="."),dir!I5/((1/1000)*(Irr!H5+Irr!AF5)),IF(AND(Irr!H5&lt;&gt;".",Irr!AF5=".",Irr!BD5&lt;&gt;"."),dir!I5/((1/1000)*(Irr!H5+Irr!BD5)),IF(AND(Irr!H5=".",Irr!AF5&lt;&gt;".",Irr!BD5&lt;&gt;"."),dir!I5/((1/1000)*(Irr!AF5+Irr!BD5)),IF(AND(Irr!H5=".",Irr!AF5=".",Irr!BD5&lt;&gt;"."),dir!I5/((1/1000)*(Irr!BD5)),IF(AND(Irr!H5=".",Irr!AF5&lt;&gt;".",Irr!BD5="."),dir!I5/((1/1000)*(Irr!AF5)),IF(AND(Irr!H5&lt;&gt;".",Irr!AF5=".",Irr!BD5="."),dir!I5/((1/1000)*(Irr!H5)),IF(AND(Irr!H5=".",Irr!AF5=".",Irr!BD5="."),dir!I5*1000)))))))),".")</f>
        <v>.</v>
      </c>
      <c r="J5" s="48" t="str">
        <f>IFERROR(IF(AND(Irr!I5&lt;&gt;".",Irr!AG5&lt;&gt;".",Irr!BE5&lt;&gt;"."),dir!J5/((1/1000)*(Irr!I5+Irr!AG5+Irr!BE5)),IF(AND(Irr!I5&lt;&gt;".",Irr!AG5&lt;&gt;".",Irr!BE5="."),dir!J5/((1/1000)*(Irr!I5+Irr!AG5)),IF(AND(Irr!I5&lt;&gt;".",Irr!AG5=".",Irr!BE5&lt;&gt;"."),dir!J5/((1/1000)*(Irr!I5+Irr!BE5)),IF(AND(Irr!I5=".",Irr!AG5&lt;&gt;".",Irr!BE5&lt;&gt;"."),dir!J5/((1/1000)*(Irr!AG5+Irr!BE5)),IF(AND(Irr!I5=".",Irr!AG5=".",Irr!BE5&lt;&gt;"."),dir!J5/((1/1000)*(Irr!BE5)),IF(AND(Irr!I5=".",Irr!AG5&lt;&gt;".",Irr!BE5="."),dir!J5/((1/1000)*(Irr!AG5)),IF(AND(Irr!I5&lt;&gt;".",Irr!AG5=".",Irr!BE5="."),dir!J5/((1/1000)*(Irr!I5)),IF(AND(Irr!I5=".",Irr!AG5=".",Irr!BE5="."),dir!J5*1000)))))))),".")</f>
        <v>.</v>
      </c>
      <c r="K5" s="48" t="str">
        <f>IFERROR(IF(AND(Irr!J5&lt;&gt;".",Irr!AH5&lt;&gt;".",Irr!BF5&lt;&gt;"."),dir!K5/((1/1000)*(Irr!J5+Irr!AH5+Irr!BF5)),IF(AND(Irr!J5&lt;&gt;".",Irr!AH5&lt;&gt;".",Irr!BF5="."),dir!K5/((1/1000)*(Irr!J5+Irr!AH5)),IF(AND(Irr!J5&lt;&gt;".",Irr!AH5=".",Irr!BF5&lt;&gt;"."),dir!K5/((1/1000)*(Irr!J5+Irr!BF5)),IF(AND(Irr!J5=".",Irr!AH5&lt;&gt;".",Irr!BF5&lt;&gt;"."),dir!K5/((1/1000)*(Irr!AH5+Irr!BF5)),IF(AND(Irr!J5=".",Irr!AH5=".",Irr!BF5&lt;&gt;"."),dir!K5/((1/1000)*(Irr!BF5)),IF(AND(Irr!J5=".",Irr!AH5&lt;&gt;".",Irr!BF5="."),dir!K5/((1/1000)*(Irr!AH5)),IF(AND(Irr!J5&lt;&gt;".",Irr!AH5=".",Irr!BF5="."),dir!K5/((1/1000)*(Irr!J5)),IF(AND(Irr!J5=".",Irr!AH5=".",Irr!BF5="."),dir!K5*1000)))))))),".")</f>
        <v>.</v>
      </c>
      <c r="L5" s="48" t="str">
        <f>IFERROR(IF(AND(Irr!K5&lt;&gt;".",Irr!AI5&lt;&gt;".",Irr!BG5&lt;&gt;"."),dir!L5/((1/1000)*(Irr!K5+Irr!AI5+Irr!BG5)),IF(AND(Irr!K5&lt;&gt;".",Irr!AI5&lt;&gt;".",Irr!BG5="."),dir!L5/((1/1000)*(Irr!K5+Irr!AI5)),IF(AND(Irr!K5&lt;&gt;".",Irr!AI5=".",Irr!BG5&lt;&gt;"."),dir!L5/((1/1000)*(Irr!K5+Irr!BG5)),IF(AND(Irr!K5=".",Irr!AI5&lt;&gt;".",Irr!BG5&lt;&gt;"."),dir!L5/((1/1000)*(Irr!AI5+Irr!BG5)),IF(AND(Irr!K5=".",Irr!AI5=".",Irr!BG5&lt;&gt;"."),dir!L5/((1/1000)*(Irr!BG5)),IF(AND(Irr!K5=".",Irr!AI5&lt;&gt;".",Irr!BG5="."),dir!L5/((1/1000)*(Irr!AI5)),IF(AND(Irr!K5&lt;&gt;".",Irr!AI5=".",Irr!BG5="."),dir!L5/((1/1000)*(Irr!K5)),IF(AND(Irr!K5=".",Irr!AI5=".",Irr!BG5="."),dir!L5*1000)))))))),".")</f>
        <v>.</v>
      </c>
      <c r="M5" s="48" t="str">
        <f>IFERROR(IF(AND(Irr!L5&lt;&gt;".",Irr!AJ5&lt;&gt;".",Irr!BH5&lt;&gt;"."),dir!M5/((1/1000)*(Irr!L5+Irr!AJ5+Irr!BH5)),IF(AND(Irr!L5&lt;&gt;".",Irr!AJ5&lt;&gt;".",Irr!BH5="."),dir!M5/((1/1000)*(Irr!L5+Irr!AJ5)),IF(AND(Irr!L5&lt;&gt;".",Irr!AJ5=".",Irr!BH5&lt;&gt;"."),dir!M5/((1/1000)*(Irr!L5+Irr!BH5)),IF(AND(Irr!L5=".",Irr!AJ5&lt;&gt;".",Irr!BH5&lt;&gt;"."),dir!M5/((1/1000)*(Irr!AJ5+Irr!BH5)),IF(AND(Irr!L5=".",Irr!AJ5=".",Irr!BH5&lt;&gt;"."),dir!M5/((1/1000)*(Irr!BH5)),IF(AND(Irr!L5=".",Irr!AJ5&lt;&gt;".",Irr!BH5="."),dir!M5/((1/1000)*(Irr!AJ5)),IF(AND(Irr!L5&lt;&gt;".",Irr!AJ5=".",Irr!BH5="."),dir!M5/((1/1000)*(Irr!L5)),IF(AND(Irr!L5=".",Irr!AJ5=".",Irr!BH5="."),dir!M5*1000)))))))),".")</f>
        <v>.</v>
      </c>
      <c r="N5" s="48" t="str">
        <f>IFERROR(IF(AND(Irr!M5&lt;&gt;".",Irr!AK5&lt;&gt;".",Irr!BI5&lt;&gt;"."),dir!N5/((1/1000)*(Irr!M5+Irr!AK5+Irr!BI5)),IF(AND(Irr!M5&lt;&gt;".",Irr!AK5&lt;&gt;".",Irr!BI5="."),dir!N5/((1/1000)*(Irr!M5+Irr!AK5)),IF(AND(Irr!M5&lt;&gt;".",Irr!AK5=".",Irr!BI5&lt;&gt;"."),dir!N5/((1/1000)*(Irr!M5+Irr!BI5)),IF(AND(Irr!M5=".",Irr!AK5&lt;&gt;".",Irr!BI5&lt;&gt;"."),dir!N5/((1/1000)*(Irr!AK5+Irr!BI5)),IF(AND(Irr!M5=".",Irr!AK5=".",Irr!BI5&lt;&gt;"."),dir!N5/((1/1000)*(Irr!BI5)),IF(AND(Irr!M5=".",Irr!AK5&lt;&gt;".",Irr!BI5="."),dir!N5/((1/1000)*(Irr!AK5)),IF(AND(Irr!M5&lt;&gt;".",Irr!AK5=".",Irr!BI5="."),dir!N5/((1/1000)*(Irr!M5)),IF(AND(Irr!M5=".",Irr!AK5=".",Irr!BI5="."),dir!N5*1000)))))))),".")</f>
        <v>.</v>
      </c>
      <c r="O5" s="48" t="str">
        <f>IFERROR(IF(AND(Irr!N5&lt;&gt;".",Irr!AL5&lt;&gt;".",Irr!BJ5&lt;&gt;"."),dir!O5/((1/1000)*(Irr!N5+Irr!AL5+Irr!BJ5)),IF(AND(Irr!N5&lt;&gt;".",Irr!AL5&lt;&gt;".",Irr!BJ5="."),dir!O5/((1/1000)*(Irr!N5+Irr!AL5)),IF(AND(Irr!N5&lt;&gt;".",Irr!AL5=".",Irr!BJ5&lt;&gt;"."),dir!O5/((1/1000)*(Irr!N5+Irr!BJ5)),IF(AND(Irr!N5=".",Irr!AL5&lt;&gt;".",Irr!BJ5&lt;&gt;"."),dir!O5/((1/1000)*(Irr!AL5+Irr!BJ5)),IF(AND(Irr!N5=".",Irr!AL5=".",Irr!BJ5&lt;&gt;"."),dir!O5/((1/1000)*(Irr!BJ5)),IF(AND(Irr!N5=".",Irr!AL5&lt;&gt;".",Irr!BJ5="."),dir!O5/((1/1000)*(Irr!AL5)),IF(AND(Irr!N5&lt;&gt;".",Irr!AL5=".",Irr!BJ5="."),dir!O5/((1/1000)*(Irr!N5)),IF(AND(Irr!N5=".",Irr!AL5=".",Irr!BJ5="."),dir!O5*1000)))))))),".")</f>
        <v>.</v>
      </c>
      <c r="P5" s="48" t="str">
        <f>IFERROR(IF(AND(Irr!O5&lt;&gt;".",Irr!AM5&lt;&gt;".",Irr!BK5&lt;&gt;"."),dir!P5/((1/1000)*(Irr!O5+Irr!AM5+Irr!BK5)),IF(AND(Irr!O5&lt;&gt;".",Irr!AM5&lt;&gt;".",Irr!BK5="."),dir!P5/((1/1000)*(Irr!O5+Irr!AM5)),IF(AND(Irr!O5&lt;&gt;".",Irr!AM5=".",Irr!BK5&lt;&gt;"."),dir!P5/((1/1000)*(Irr!O5+Irr!BK5)),IF(AND(Irr!O5=".",Irr!AM5&lt;&gt;".",Irr!BK5&lt;&gt;"."),dir!P5/((1/1000)*(Irr!AM5+Irr!BK5)),IF(AND(Irr!O5=".",Irr!AM5=".",Irr!BK5&lt;&gt;"."),dir!P5/((1/1000)*(Irr!BK5)),IF(AND(Irr!O5=".",Irr!AM5&lt;&gt;".",Irr!BK5="."),dir!P5/((1/1000)*(Irr!AM5)),IF(AND(Irr!O5&lt;&gt;".",Irr!AM5=".",Irr!BK5="."),dir!P5/((1/1000)*(Irr!O5)),IF(AND(Irr!O5=".",Irr!AM5=".",Irr!BK5="."),dir!P5*1000)))))))),".")</f>
        <v>.</v>
      </c>
      <c r="Q5" s="48" t="str">
        <f>IFERROR(IF(AND(Irr!P5&lt;&gt;".",Irr!AN5&lt;&gt;".",Irr!BL5&lt;&gt;"."),dir!Q5/((1/1000)*(Irr!P5+Irr!AN5+Irr!BL5)),IF(AND(Irr!P5&lt;&gt;".",Irr!AN5&lt;&gt;".",Irr!BL5="."),dir!Q5/((1/1000)*(Irr!P5+Irr!AN5)),IF(AND(Irr!P5&lt;&gt;".",Irr!AN5=".",Irr!BL5&lt;&gt;"."),dir!Q5/((1/1000)*(Irr!P5+Irr!BL5)),IF(AND(Irr!P5=".",Irr!AN5&lt;&gt;".",Irr!BL5&lt;&gt;"."),dir!Q5/((1/1000)*(Irr!AN5+Irr!BL5)),IF(AND(Irr!P5=".",Irr!AN5=".",Irr!BL5&lt;&gt;"."),dir!Q5/((1/1000)*(Irr!BL5)),IF(AND(Irr!P5=".",Irr!AN5&lt;&gt;".",Irr!BL5="."),dir!Q5/((1/1000)*(Irr!AN5)),IF(AND(Irr!P5&lt;&gt;".",Irr!AN5=".",Irr!BL5="."),dir!Q5/((1/1000)*(Irr!P5)),IF(AND(Irr!P5=".",Irr!AN5=".",Irr!BL5="."),dir!Q5*1000)))))))),".")</f>
        <v>.</v>
      </c>
      <c r="R5" s="48" t="str">
        <f>IFERROR(IF(AND(Irr!Q5&lt;&gt;".",Irr!AO5&lt;&gt;".",Irr!BM5&lt;&gt;"."),dir!R5/((1/1000)*(Irr!Q5+Irr!AO5+Irr!BM5)),IF(AND(Irr!Q5&lt;&gt;".",Irr!AO5&lt;&gt;".",Irr!BM5="."),dir!R5/((1/1000)*(Irr!Q5+Irr!AO5)),IF(AND(Irr!Q5&lt;&gt;".",Irr!AO5=".",Irr!BM5&lt;&gt;"."),dir!R5/((1/1000)*(Irr!Q5+Irr!BM5)),IF(AND(Irr!Q5=".",Irr!AO5&lt;&gt;".",Irr!BM5&lt;&gt;"."),dir!R5/((1/1000)*(Irr!AO5+Irr!BM5)),IF(AND(Irr!Q5=".",Irr!AO5=".",Irr!BM5&lt;&gt;"."),dir!R5/((1/1000)*(Irr!BM5)),IF(AND(Irr!Q5=".",Irr!AO5&lt;&gt;".",Irr!BM5="."),dir!R5/((1/1000)*(Irr!AO5)),IF(AND(Irr!Q5&lt;&gt;".",Irr!AO5=".",Irr!BM5="."),dir!R5/((1/1000)*(Irr!Q5)),IF(AND(Irr!Q5=".",Irr!AO5=".",Irr!BM5="."),dir!R5*1000)))))))),".")</f>
        <v>.</v>
      </c>
      <c r="S5" s="48" t="str">
        <f>IFERROR(IF(AND(Irr!R5&lt;&gt;".",Irr!AP5&lt;&gt;".",Irr!BN5&lt;&gt;"."),dir!S5/((1/1000)*(Irr!R5+Irr!AP5+Irr!BN5)),IF(AND(Irr!R5&lt;&gt;".",Irr!AP5&lt;&gt;".",Irr!BN5="."),dir!S5/((1/1000)*(Irr!R5+Irr!AP5)),IF(AND(Irr!R5&lt;&gt;".",Irr!AP5=".",Irr!BN5&lt;&gt;"."),dir!S5/((1/1000)*(Irr!R5+Irr!BN5)),IF(AND(Irr!R5=".",Irr!AP5&lt;&gt;".",Irr!BN5&lt;&gt;"."),dir!S5/((1/1000)*(Irr!AP5+Irr!BN5)),IF(AND(Irr!R5=".",Irr!AP5=".",Irr!BN5&lt;&gt;"."),dir!S5/((1/1000)*(Irr!BN5)),IF(AND(Irr!R5=".",Irr!AP5&lt;&gt;".",Irr!BN5="."),dir!S5/((1/1000)*(Irr!AP5)),IF(AND(Irr!R5&lt;&gt;".",Irr!AP5=".",Irr!BN5="."),dir!S5/((1/1000)*(Irr!R5)),IF(AND(Irr!R5=".",Irr!AP5=".",Irr!BN5="."),dir!S5*1000)))))))),".")</f>
        <v>.</v>
      </c>
      <c r="T5" s="48" t="str">
        <f>IFERROR(IF(AND(Irr!S5&lt;&gt;".",Irr!AQ5&lt;&gt;".",Irr!BO5&lt;&gt;"."),dir!T5/((1/1000)*(Irr!S5+Irr!AQ5+Irr!BO5)),IF(AND(Irr!S5&lt;&gt;".",Irr!AQ5&lt;&gt;".",Irr!BO5="."),dir!T5/((1/1000)*(Irr!S5+Irr!AQ5)),IF(AND(Irr!S5&lt;&gt;".",Irr!AQ5=".",Irr!BO5&lt;&gt;"."),dir!T5/((1/1000)*(Irr!S5+Irr!BO5)),IF(AND(Irr!S5=".",Irr!AQ5&lt;&gt;".",Irr!BO5&lt;&gt;"."),dir!T5/((1/1000)*(Irr!AQ5+Irr!BO5)),IF(AND(Irr!S5=".",Irr!AQ5=".",Irr!BO5&lt;&gt;"."),dir!T5/((1/1000)*(Irr!BO5)),IF(AND(Irr!S5=".",Irr!AQ5&lt;&gt;".",Irr!BO5="."),dir!T5/((1/1000)*(Irr!AQ5)),IF(AND(Irr!S5&lt;&gt;".",Irr!AQ5=".",Irr!BO5="."),dir!T5/((1/1000)*(Irr!S5)),IF(AND(Irr!S5=".",Irr!AQ5=".",Irr!BO5="."),dir!T5*1000)))))))),".")</f>
        <v>.</v>
      </c>
      <c r="U5" s="48" t="str">
        <f>IFERROR(IF(AND(Irr!T5&lt;&gt;".",Irr!AR5&lt;&gt;".",Irr!BP5&lt;&gt;"."),dir!U5/((1/1000)*(Irr!T5+Irr!AR5+Irr!BP5)),IF(AND(Irr!T5&lt;&gt;".",Irr!AR5&lt;&gt;".",Irr!BP5="."),dir!U5/((1/1000)*(Irr!T5+Irr!AR5)),IF(AND(Irr!T5&lt;&gt;".",Irr!AR5=".",Irr!BP5&lt;&gt;"."),dir!U5/((1/1000)*(Irr!T5+Irr!BP5)),IF(AND(Irr!T5=".",Irr!AR5&lt;&gt;".",Irr!BP5&lt;&gt;"."),dir!U5/((1/1000)*(Irr!AR5+Irr!BP5)),IF(AND(Irr!T5=".",Irr!AR5=".",Irr!BP5&lt;&gt;"."),dir!U5/((1/1000)*(Irr!BP5)),IF(AND(Irr!T5=".",Irr!AR5&lt;&gt;".",Irr!BP5="."),dir!U5/((1/1000)*(Irr!AR5)),IF(AND(Irr!T5&lt;&gt;".",Irr!AR5=".",Irr!BP5="."),dir!U5/((1/1000)*(Irr!T5)),IF(AND(Irr!T5=".",Irr!AR5=".",Irr!BP5="."),dir!U5*1000)))))))),".")</f>
        <v>.</v>
      </c>
      <c r="V5" s="48" t="str">
        <f>IFERROR(IF(AND(Irr!U5&lt;&gt;".",Irr!AS5&lt;&gt;".",Irr!BQ5&lt;&gt;"."),dir!V5/((1/1000)*(Irr!U5+Irr!AS5+Irr!BQ5)),IF(AND(Irr!U5&lt;&gt;".",Irr!AS5&lt;&gt;".",Irr!BQ5="."),dir!V5/((1/1000)*(Irr!U5+Irr!AS5)),IF(AND(Irr!U5&lt;&gt;".",Irr!AS5=".",Irr!BQ5&lt;&gt;"."),dir!V5/((1/1000)*(Irr!U5+Irr!BQ5)),IF(AND(Irr!U5=".",Irr!AS5&lt;&gt;".",Irr!BQ5&lt;&gt;"."),dir!V5/((1/1000)*(Irr!AS5+Irr!BQ5)),IF(AND(Irr!U5=".",Irr!AS5=".",Irr!BQ5&lt;&gt;"."),dir!V5/((1/1000)*(Irr!BQ5)),IF(AND(Irr!U5=".",Irr!AS5&lt;&gt;".",Irr!BQ5="."),dir!V5/((1/1000)*(Irr!AS5)),IF(AND(Irr!U5&lt;&gt;".",Irr!AS5=".",Irr!BQ5="."),dir!V5/((1/1000)*(Irr!U5)),IF(AND(Irr!U5=".",Irr!AS5=".",Irr!BQ5="."),dir!V5*1000)))))))),".")</f>
        <v>.</v>
      </c>
      <c r="W5" s="48" t="str">
        <f>IFERROR(IF(AND(Irr!V5&lt;&gt;".",Irr!AT5&lt;&gt;".",Irr!BR5&lt;&gt;"."),dir!W5/((1/1000)*(Irr!V5+Irr!AT5+Irr!BR5)),IF(AND(Irr!V5&lt;&gt;".",Irr!AT5&lt;&gt;".",Irr!BR5="."),dir!W5/((1/1000)*(Irr!V5+Irr!AT5)),IF(AND(Irr!V5&lt;&gt;".",Irr!AT5=".",Irr!BR5&lt;&gt;"."),dir!W5/((1/1000)*(Irr!V5+Irr!BR5)),IF(AND(Irr!V5=".",Irr!AT5&lt;&gt;".",Irr!BR5&lt;&gt;"."),dir!W5/((1/1000)*(Irr!AT5+Irr!BR5)),IF(AND(Irr!V5=".",Irr!AT5=".",Irr!BR5&lt;&gt;"."),dir!W5/((1/1000)*(Irr!BR5)),IF(AND(Irr!V5=".",Irr!AT5&lt;&gt;".",Irr!BR5="."),dir!W5/((1/1000)*(Irr!AT5)),IF(AND(Irr!V5&lt;&gt;".",Irr!AT5=".",Irr!BR5="."),dir!W5/((1/1000)*(Irr!V5)),IF(AND(Irr!V5=".",Irr!AT5=".",Irr!BR5="."),dir!W5*1000)))))))),".")</f>
        <v>.</v>
      </c>
      <c r="X5" s="48" t="str">
        <f>IFERROR(IF(AND(Irr!W5&lt;&gt;".",Irr!AU5&lt;&gt;".",Irr!BS5&lt;&gt;"."),dir!X5/((1/1000)*(Irr!W5+Irr!AU5+Irr!BS5)),IF(AND(Irr!W5&lt;&gt;".",Irr!AU5&lt;&gt;".",Irr!BS5="."),dir!X5/((1/1000)*(Irr!W5+Irr!AU5)),IF(AND(Irr!W5&lt;&gt;".",Irr!AU5=".",Irr!BS5&lt;&gt;"."),dir!X5/((1/1000)*(Irr!W5+Irr!BS5)),IF(AND(Irr!W5=".",Irr!AU5&lt;&gt;".",Irr!BS5&lt;&gt;"."),dir!X5/((1/1000)*(Irr!AU5+Irr!BS5)),IF(AND(Irr!W5=".",Irr!AU5=".",Irr!BS5&lt;&gt;"."),dir!X5/((1/1000)*(Irr!BS5)),IF(AND(Irr!W5=".",Irr!AU5&lt;&gt;".",Irr!BS5="."),dir!X5/((1/1000)*(Irr!AU5)),IF(AND(Irr!W5&lt;&gt;".",Irr!AU5=".",Irr!BS5="."),dir!X5/((1/1000)*(Irr!W5)),IF(AND(Irr!W5=".",Irr!AU5=".",Irr!BS5="."),dir!X5*1000)))))))),".")</f>
        <v>.</v>
      </c>
      <c r="Y5" s="48" t="str">
        <f>IFERROR(IF(AND(Irr!X5&lt;&gt;".",Irr!AV5&lt;&gt;".",Irr!BT5&lt;&gt;"."),dir!Y5/((1/1000)*(Irr!X5+Irr!AV5+Irr!BT5)),IF(AND(Irr!X5&lt;&gt;".",Irr!AV5&lt;&gt;".",Irr!BT5="."),dir!Y5/((1/1000)*(Irr!X5+Irr!AV5)),IF(AND(Irr!X5&lt;&gt;".",Irr!AV5=".",Irr!BT5&lt;&gt;"."),dir!Y5/((1/1000)*(Irr!X5+Irr!BT5)),IF(AND(Irr!X5=".",Irr!AV5&lt;&gt;".",Irr!BT5&lt;&gt;"."),dir!Y5/((1/1000)*(Irr!AV5+Irr!BT5)),IF(AND(Irr!X5=".",Irr!AV5=".",Irr!BT5&lt;&gt;"."),dir!Y5/((1/1000)*(Irr!BT5)),IF(AND(Irr!X5=".",Irr!AV5&lt;&gt;".",Irr!BT5="."),dir!Y5/((1/1000)*(Irr!AV5)),IF(AND(Irr!X5&lt;&gt;".",Irr!AV5=".",Irr!BT5="."),dir!Y5/((1/1000)*(Irr!X5)),IF(AND(Irr!X5=".",Irr!AV5=".",Irr!BT5="."),dir!Y5*1000)))))))),".")</f>
        <v>.</v>
      </c>
      <c r="Z5" s="48" t="str">
        <f>IFERROR(IF(AND(Irr!Y5&lt;&gt;".",Irr!AW5&lt;&gt;".",Irr!BU5&lt;&gt;"."),dir!Z5/((1/1000)*(Irr!Y5+Irr!AW5+Irr!BU5)),IF(AND(Irr!Y5&lt;&gt;".",Irr!AW5&lt;&gt;".",Irr!BU5="."),dir!Z5/((1/1000)*(Irr!Y5+Irr!AW5)),IF(AND(Irr!Y5&lt;&gt;".",Irr!AW5=".",Irr!BU5&lt;&gt;"."),dir!Z5/((1/1000)*(Irr!Y5+Irr!BU5)),IF(AND(Irr!Y5=".",Irr!AW5&lt;&gt;".",Irr!BU5&lt;&gt;"."),dir!Z5/((1/1000)*(Irr!AW5+Irr!BU5)),IF(AND(Irr!Y5=".",Irr!AW5=".",Irr!BU5&lt;&gt;"."),dir!Z5/((1/1000)*(Irr!BU5)),IF(AND(Irr!Y5=".",Irr!AW5&lt;&gt;".",Irr!BU5="."),dir!Z5/((1/1000)*(Irr!AW5)),IF(AND(Irr!Y5&lt;&gt;".",Irr!AW5=".",Irr!BU5="."),dir!Z5/((1/1000)*(Irr!Y5)),IF(AND(Irr!Y5=".",Irr!AW5=".",Irr!BU5="."),dir!Z5*1000)))))))),".")</f>
        <v>.</v>
      </c>
      <c r="AA5" s="48" t="str">
        <f>IFERROR(IF(AND(Irr!Z5&lt;&gt;".",Irr!AX5&lt;&gt;".",Irr!BV5&lt;&gt;"."),dir!AA5/((1/1000)*(Irr!Z5+Irr!AX5+Irr!BV5)),IF(AND(Irr!Z5&lt;&gt;".",Irr!AX5&lt;&gt;".",Irr!BV5="."),dir!AA5/((1/1000)*(Irr!Z5+Irr!AX5)),IF(AND(Irr!Z5&lt;&gt;".",Irr!AX5=".",Irr!BV5&lt;&gt;"."),dir!AA5/((1/1000)*(Irr!Z5+Irr!BV5)),IF(AND(Irr!Z5=".",Irr!AX5&lt;&gt;".",Irr!BV5&lt;&gt;"."),dir!AA5/((1/1000)*(Irr!AX5+Irr!BV5)),IF(AND(Irr!Z5=".",Irr!AX5=".",Irr!BV5&lt;&gt;"."),dir!AA5/((1/1000)*(Irr!BV5)),IF(AND(Irr!Z5=".",Irr!AX5&lt;&gt;".",Irr!BV5="."),dir!AA5/((1/1000)*(Irr!AX5)),IF(AND(Irr!Z5&lt;&gt;".",Irr!AX5=".",Irr!BV5="."),dir!AA5/((1/1000)*(Irr!Z5)),IF(AND(Irr!Z5=".",Irr!AX5=".",Irr!BV5="."),dir!AA5*1000)))))))),".")</f>
        <v>.</v>
      </c>
      <c r="AB5" s="48" t="str">
        <f t="shared" si="3"/>
        <v>.</v>
      </c>
      <c r="AC5" s="48" t="str">
        <f>IFERROR(IF(AND(Irr!C5&lt;&gt;".",Irr!AA5&lt;&gt;".",Irr!AY5&lt;&gt;"."),dir!AC5/((1/1000)*(Irr!C5+Irr!AA5+Irr!AY5)),IF(AND(Irr!C5&lt;&gt;".",Irr!AA5&lt;&gt;".",Irr!AY5="."),dir!AC5/((1/1000)*(Irr!C5+Irr!AA5)),IF(AND(Irr!C5&lt;&gt;".",Irr!AA5=".",Irr!AY5&lt;&gt;"."),dir!AC5/((1/1000)*(Irr!C5+Irr!AY5)),IF(AND(Irr!C5=".",Irr!AA5&lt;&gt;".",Irr!AY5&lt;&gt;"."),dir!AC5/((1/1000)*(Irr!AA5+Irr!AY5)),IF(AND(Irr!C5=".",Irr!AA5=".",Irr!AY5&lt;&gt;"."),dir!AC5/((1/1000)*(Irr!AY5)),IF(AND(Irr!C5=".",Irr!AA5&lt;&gt;".",Irr!AY5="."),dir!AC5/((1/1000)*(Irr!AA5)),IF(AND(Irr!C5&lt;&gt;".",Irr!AA5=".",Irr!AY5="."),dir!AC5/((1/1000)*(Irr!C5)),IF(AND(Irr!C5=".",Irr!AA5=".",Irr!AY5="."),dir!AC5*1000)))))))),".")</f>
        <v>.</v>
      </c>
      <c r="AD5" s="48" t="str">
        <f>IFERROR(IF(AND(Irr!D5&lt;&gt;".",Irr!AB5&lt;&gt;".",Irr!AZ5&lt;&gt;"."),dir!AD5/((1/1000)*(Irr!D5+Irr!AB5+Irr!AZ5)),IF(AND(Irr!D5&lt;&gt;".",Irr!AB5&lt;&gt;".",Irr!AZ5="."),dir!AD5/((1/1000)*(Irr!D5+Irr!AB5)),IF(AND(Irr!D5&lt;&gt;".",Irr!AB5=".",Irr!AZ5&lt;&gt;"."),dir!AD5/((1/1000)*(Irr!D5+Irr!AZ5)),IF(AND(Irr!D5=".",Irr!AB5&lt;&gt;".",Irr!AZ5&lt;&gt;"."),dir!AD5/((1/1000)*(Irr!AB5+Irr!AZ5)),IF(AND(Irr!D5=".",Irr!AB5=".",Irr!AZ5&lt;&gt;"."),dir!AD5/((1/1000)*(Irr!AZ5)),IF(AND(Irr!D5=".",Irr!AB5&lt;&gt;".",Irr!AZ5="."),dir!AD5/((1/1000)*(Irr!AB5)),IF(AND(Irr!D5&lt;&gt;".",Irr!AB5=".",Irr!AZ5="."),dir!AD5/((1/1000)*(Irr!D5)),IF(AND(Irr!D5=".",Irr!AB5=".",Irr!AZ5="."),dir!AD5*1000)))))))),".")</f>
        <v>.</v>
      </c>
      <c r="AE5" s="48" t="str">
        <f>IFERROR(IF(AND(Irr!E5&lt;&gt;".",Irr!AC5&lt;&gt;".",Irr!BA5&lt;&gt;"."),dir!AE5/((1/1000)*(Irr!E5+Irr!AC5+Irr!BA5)),IF(AND(Irr!E5&lt;&gt;".",Irr!AC5&lt;&gt;".",Irr!BA5="."),dir!AE5/((1/1000)*(Irr!E5+Irr!AC5)),IF(AND(Irr!E5&lt;&gt;".",Irr!AC5=".",Irr!BA5&lt;&gt;"."),dir!AE5/((1/1000)*(Irr!E5+Irr!BA5)),IF(AND(Irr!E5=".",Irr!AC5&lt;&gt;".",Irr!BA5&lt;&gt;"."),dir!AE5/((1/1000)*(Irr!AC5+Irr!BA5)),IF(AND(Irr!E5=".",Irr!AC5=".",Irr!BA5&lt;&gt;"."),dir!AE5/((1/1000)*(Irr!BA5)),IF(AND(Irr!E5=".",Irr!AC5&lt;&gt;".",Irr!BA5="."),dir!AE5/((1/1000)*(Irr!AC5)),IF(AND(Irr!E5&lt;&gt;".",Irr!AC5=".",Irr!BA5="."),dir!AE5/((1/1000)*(Irr!E5)),IF(AND(Irr!E5=".",Irr!AC5=".",Irr!BA5="."),dir!AE5*1000)))))))),".")</f>
        <v>.</v>
      </c>
      <c r="AF5" s="48" t="str">
        <f>IFERROR(IF(AND(Irr!F5&lt;&gt;".",Irr!AD5&lt;&gt;".",Irr!BB5&lt;&gt;"."),dir!AF5/((1/1000)*(Irr!F5+Irr!AD5+Irr!BB5)),IF(AND(Irr!F5&lt;&gt;".",Irr!AD5&lt;&gt;".",Irr!BB5="."),dir!AF5/((1/1000)*(Irr!F5+Irr!AD5)),IF(AND(Irr!F5&lt;&gt;".",Irr!AD5=".",Irr!BB5&lt;&gt;"."),dir!AF5/((1/1000)*(Irr!F5+Irr!BB5)),IF(AND(Irr!F5=".",Irr!AD5&lt;&gt;".",Irr!BB5&lt;&gt;"."),dir!AF5/((1/1000)*(Irr!AD5+Irr!BB5)),IF(AND(Irr!F5=".",Irr!AD5=".",Irr!BB5&lt;&gt;"."),dir!AF5/((1/1000)*(Irr!BB5)),IF(AND(Irr!F5=".",Irr!AD5&lt;&gt;".",Irr!BB5="."),dir!AF5/((1/1000)*(Irr!AD5)),IF(AND(Irr!F5&lt;&gt;".",Irr!AD5=".",Irr!BB5="."),dir!AF5/((1/1000)*(Irr!F5)),IF(AND(Irr!F5=".",Irr!AD5=".",Irr!BB5="."),dir!AF5*1000)))))))),".")</f>
        <v>.</v>
      </c>
      <c r="AG5" s="48" t="str">
        <f>IFERROR(IF(AND(Irr!G5&lt;&gt;".",Irr!AE5&lt;&gt;".",Irr!BC5&lt;&gt;"."),dir!AG5/((1/1000)*(Irr!G5+Irr!AE5+Irr!BC5)),IF(AND(Irr!G5&lt;&gt;".",Irr!AE5&lt;&gt;".",Irr!BC5="."),dir!AG5/((1/1000)*(Irr!G5+Irr!AE5)),IF(AND(Irr!G5&lt;&gt;".",Irr!AE5=".",Irr!BC5&lt;&gt;"."),dir!AG5/((1/1000)*(Irr!G5+Irr!BC5)),IF(AND(Irr!G5=".",Irr!AE5&lt;&gt;".",Irr!BC5&lt;&gt;"."),dir!AG5/((1/1000)*(Irr!AE5+Irr!BC5)),IF(AND(Irr!G5=".",Irr!AE5=".",Irr!BC5&lt;&gt;"."),dir!AG5/((1/1000)*(Irr!BC5)),IF(AND(Irr!G5=".",Irr!AE5&lt;&gt;".",Irr!BC5="."),dir!AG5/((1/1000)*(Irr!AE5)),IF(AND(Irr!G5&lt;&gt;".",Irr!AE5=".",Irr!BC5="."),dir!AG5/((1/1000)*(Irr!G5)),IF(AND(Irr!G5=".",Irr!AE5=".",Irr!BC5="."),dir!AG5*1000)))))))),".")</f>
        <v>.</v>
      </c>
      <c r="AH5" s="48" t="str">
        <f>IFERROR(IF(AND(Irr!H5&lt;&gt;".",Irr!AF5&lt;&gt;".",Irr!BD5&lt;&gt;"."),dir!AH5/((1/1000)*(Irr!H5+Irr!AF5+Irr!BD5)),IF(AND(Irr!H5&lt;&gt;".",Irr!AF5&lt;&gt;".",Irr!BD5="."),dir!AH5/((1/1000)*(Irr!H5+Irr!AF5)),IF(AND(Irr!H5&lt;&gt;".",Irr!AF5=".",Irr!BD5&lt;&gt;"."),dir!AH5/((1/1000)*(Irr!H5+Irr!BD5)),IF(AND(Irr!H5=".",Irr!AF5&lt;&gt;".",Irr!BD5&lt;&gt;"."),dir!AH5/((1/1000)*(Irr!AF5+Irr!BD5)),IF(AND(Irr!H5=".",Irr!AF5=".",Irr!BD5&lt;&gt;"."),dir!AH5/((1/1000)*(Irr!BD5)),IF(AND(Irr!H5=".",Irr!AF5&lt;&gt;".",Irr!BD5="."),dir!AH5/((1/1000)*(Irr!AF5)),IF(AND(Irr!H5&lt;&gt;".",Irr!AF5=".",Irr!BD5="."),dir!AH5/((1/1000)*(Irr!H5)),IF(AND(Irr!H5=".",Irr!AF5=".",Irr!BD5="."),dir!AH5*1000)))))))),".")</f>
        <v>.</v>
      </c>
      <c r="AI5" s="48" t="str">
        <f>IFERROR(IF(AND(Irr!I5&lt;&gt;".",Irr!AG5&lt;&gt;".",Irr!BE5&lt;&gt;"."),dir!AI5/((1/1000)*(Irr!I5+Irr!AG5+Irr!BE5)),IF(AND(Irr!I5&lt;&gt;".",Irr!AG5&lt;&gt;".",Irr!BE5="."),dir!AI5/((1/1000)*(Irr!I5+Irr!AG5)),IF(AND(Irr!I5&lt;&gt;".",Irr!AG5=".",Irr!BE5&lt;&gt;"."),dir!AI5/((1/1000)*(Irr!I5+Irr!BE5)),IF(AND(Irr!I5=".",Irr!AG5&lt;&gt;".",Irr!BE5&lt;&gt;"."),dir!AI5/((1/1000)*(Irr!AG5+Irr!BE5)),IF(AND(Irr!I5=".",Irr!AG5=".",Irr!BE5&lt;&gt;"."),dir!AI5/((1/1000)*(Irr!BE5)),IF(AND(Irr!I5=".",Irr!AG5&lt;&gt;".",Irr!BE5="."),dir!AI5/((1/1000)*(Irr!AG5)),IF(AND(Irr!I5&lt;&gt;".",Irr!AG5=".",Irr!BE5="."),dir!AI5/((1/1000)*(Irr!I5)),IF(AND(Irr!I5=".",Irr!AG5=".",Irr!BE5="."),dir!AI5*1000)))))))),".")</f>
        <v>.</v>
      </c>
      <c r="AJ5" s="48" t="str">
        <f>IFERROR(IF(AND(Irr!J5&lt;&gt;".",Irr!AH5&lt;&gt;".",Irr!BF5&lt;&gt;"."),dir!AJ5/((1/1000)*(Irr!J5+Irr!AH5+Irr!BF5)),IF(AND(Irr!J5&lt;&gt;".",Irr!AH5&lt;&gt;".",Irr!BF5="."),dir!AJ5/((1/1000)*(Irr!J5+Irr!AH5)),IF(AND(Irr!J5&lt;&gt;".",Irr!AH5=".",Irr!BF5&lt;&gt;"."),dir!AJ5/((1/1000)*(Irr!J5+Irr!BF5)),IF(AND(Irr!J5=".",Irr!AH5&lt;&gt;".",Irr!BF5&lt;&gt;"."),dir!AJ5/((1/1000)*(Irr!AH5+Irr!BF5)),IF(AND(Irr!J5=".",Irr!AH5=".",Irr!BF5&lt;&gt;"."),dir!AJ5/((1/1000)*(Irr!BF5)),IF(AND(Irr!J5=".",Irr!AH5&lt;&gt;".",Irr!BF5="."),dir!AJ5/((1/1000)*(Irr!AH5)),IF(AND(Irr!J5&lt;&gt;".",Irr!AH5=".",Irr!BF5="."),dir!AJ5/((1/1000)*(Irr!J5)),IF(AND(Irr!J5=".",Irr!AH5=".",Irr!BF5="."),dir!AJ5*1000)))))))),".")</f>
        <v>.</v>
      </c>
      <c r="AK5" s="48" t="str">
        <f>IFERROR(IF(AND(Irr!K5&lt;&gt;".",Irr!AI5&lt;&gt;".",Irr!BG5&lt;&gt;"."),dir!AK5/((1/1000)*(Irr!K5+Irr!AI5+Irr!BG5)),IF(AND(Irr!K5&lt;&gt;".",Irr!AI5&lt;&gt;".",Irr!BG5="."),dir!AK5/((1/1000)*(Irr!K5+Irr!AI5)),IF(AND(Irr!K5&lt;&gt;".",Irr!AI5=".",Irr!BG5&lt;&gt;"."),dir!AK5/((1/1000)*(Irr!K5+Irr!BG5)),IF(AND(Irr!K5=".",Irr!AI5&lt;&gt;".",Irr!BG5&lt;&gt;"."),dir!AK5/((1/1000)*(Irr!AI5+Irr!BG5)),IF(AND(Irr!K5=".",Irr!AI5=".",Irr!BG5&lt;&gt;"."),dir!AK5/((1/1000)*(Irr!BG5)),IF(AND(Irr!K5=".",Irr!AI5&lt;&gt;".",Irr!BG5="."),dir!AK5/((1/1000)*(Irr!AI5)),IF(AND(Irr!K5&lt;&gt;".",Irr!AI5=".",Irr!BG5="."),dir!AK5/((1/1000)*(Irr!K5)),IF(AND(Irr!K5=".",Irr!AI5=".",Irr!BG5="."),dir!AK5*1000)))))))),".")</f>
        <v>.</v>
      </c>
      <c r="AL5" s="48" t="str">
        <f>IFERROR(IF(AND(Irr!L5&lt;&gt;".",Irr!AJ5&lt;&gt;".",Irr!BH5&lt;&gt;"."),dir!AL5/((1/1000)*(Irr!L5+Irr!AJ5+Irr!BH5)),IF(AND(Irr!L5&lt;&gt;".",Irr!AJ5&lt;&gt;".",Irr!BH5="."),dir!AL5/((1/1000)*(Irr!L5+Irr!AJ5)),IF(AND(Irr!L5&lt;&gt;".",Irr!AJ5=".",Irr!BH5&lt;&gt;"."),dir!AL5/((1/1000)*(Irr!L5+Irr!BH5)),IF(AND(Irr!L5=".",Irr!AJ5&lt;&gt;".",Irr!BH5&lt;&gt;"."),dir!AL5/((1/1000)*(Irr!AJ5+Irr!BH5)),IF(AND(Irr!L5=".",Irr!AJ5=".",Irr!BH5&lt;&gt;"."),dir!AL5/((1/1000)*(Irr!BH5)),IF(AND(Irr!L5=".",Irr!AJ5&lt;&gt;".",Irr!BH5="."),dir!AL5/((1/1000)*(Irr!AJ5)),IF(AND(Irr!L5&lt;&gt;".",Irr!AJ5=".",Irr!BH5="."),dir!AL5/((1/1000)*(Irr!L5)),IF(AND(Irr!L5=".",Irr!AJ5=".",Irr!BH5="."),dir!AL5*1000)))))))),".")</f>
        <v>.</v>
      </c>
      <c r="AM5" s="48" t="str">
        <f>IFERROR(IF(AND(Irr!M5&lt;&gt;".",Irr!AK5&lt;&gt;".",Irr!BI5&lt;&gt;"."),dir!AM5/((1/1000)*(Irr!M5+Irr!AK5+Irr!BI5)),IF(AND(Irr!M5&lt;&gt;".",Irr!AK5&lt;&gt;".",Irr!BI5="."),dir!AM5/((1/1000)*(Irr!M5+Irr!AK5)),IF(AND(Irr!M5&lt;&gt;".",Irr!AK5=".",Irr!BI5&lt;&gt;"."),dir!AM5/((1/1000)*(Irr!M5+Irr!BI5)),IF(AND(Irr!M5=".",Irr!AK5&lt;&gt;".",Irr!BI5&lt;&gt;"."),dir!AM5/((1/1000)*(Irr!AK5+Irr!BI5)),IF(AND(Irr!M5=".",Irr!AK5=".",Irr!BI5&lt;&gt;"."),dir!AM5/((1/1000)*(Irr!BI5)),IF(AND(Irr!M5=".",Irr!AK5&lt;&gt;".",Irr!BI5="."),dir!AM5/((1/1000)*(Irr!AK5)),IF(AND(Irr!M5&lt;&gt;".",Irr!AK5=".",Irr!BI5="."),dir!AM5/((1/1000)*(Irr!M5)),IF(AND(Irr!M5=".",Irr!AK5=".",Irr!BI5="."),dir!AM5*1000)))))))),".")</f>
        <v>.</v>
      </c>
      <c r="AN5" s="48" t="str">
        <f>IFERROR(IF(AND(Irr!N5&lt;&gt;".",Irr!AL5&lt;&gt;".",Irr!BJ5&lt;&gt;"."),dir!AN5/((1/1000)*(Irr!N5+Irr!AL5+Irr!BJ5)),IF(AND(Irr!N5&lt;&gt;".",Irr!AL5&lt;&gt;".",Irr!BJ5="."),dir!AN5/((1/1000)*(Irr!N5+Irr!AL5)),IF(AND(Irr!N5&lt;&gt;".",Irr!AL5=".",Irr!BJ5&lt;&gt;"."),dir!AN5/((1/1000)*(Irr!N5+Irr!BJ5)),IF(AND(Irr!N5=".",Irr!AL5&lt;&gt;".",Irr!BJ5&lt;&gt;"."),dir!AN5/((1/1000)*(Irr!AL5+Irr!BJ5)),IF(AND(Irr!N5=".",Irr!AL5=".",Irr!BJ5&lt;&gt;"."),dir!AN5/((1/1000)*(Irr!BJ5)),IF(AND(Irr!N5=".",Irr!AL5&lt;&gt;".",Irr!BJ5="."),dir!AN5/((1/1000)*(Irr!AL5)),IF(AND(Irr!N5&lt;&gt;".",Irr!AL5=".",Irr!BJ5="."),dir!AN5/((1/1000)*(Irr!N5)),IF(AND(Irr!N5=".",Irr!AL5=".",Irr!BJ5="."),dir!AN5*1000)))))))),".")</f>
        <v>.</v>
      </c>
      <c r="AO5" s="48" t="str">
        <f>IFERROR(IF(AND(Irr!O5&lt;&gt;".",Irr!AM5&lt;&gt;".",Irr!BK5&lt;&gt;"."),dir!AO5/((1/1000)*(Irr!O5+Irr!AM5+Irr!BK5)),IF(AND(Irr!O5&lt;&gt;".",Irr!AM5&lt;&gt;".",Irr!BK5="."),dir!AO5/((1/1000)*(Irr!O5+Irr!AM5)),IF(AND(Irr!O5&lt;&gt;".",Irr!AM5=".",Irr!BK5&lt;&gt;"."),dir!AO5/((1/1000)*(Irr!O5+Irr!BK5)),IF(AND(Irr!O5=".",Irr!AM5&lt;&gt;".",Irr!BK5&lt;&gt;"."),dir!AO5/((1/1000)*(Irr!AM5+Irr!BK5)),IF(AND(Irr!O5=".",Irr!AM5=".",Irr!BK5&lt;&gt;"."),dir!AO5/((1/1000)*(Irr!BK5)),IF(AND(Irr!O5=".",Irr!AM5&lt;&gt;".",Irr!BK5="."),dir!AO5/((1/1000)*(Irr!AM5)),IF(AND(Irr!O5&lt;&gt;".",Irr!AM5=".",Irr!BK5="."),dir!AO5/((1/1000)*(Irr!O5)),IF(AND(Irr!O5=".",Irr!AM5=".",Irr!BK5="."),dir!AO5*1000)))))))),".")</f>
        <v>.</v>
      </c>
      <c r="AP5" s="48" t="str">
        <f>IFERROR(IF(AND(Irr!P5&lt;&gt;".",Irr!AN5&lt;&gt;".",Irr!BL5&lt;&gt;"."),dir!AP5/((1/1000)*(Irr!P5+Irr!AN5+Irr!BL5)),IF(AND(Irr!P5&lt;&gt;".",Irr!AN5&lt;&gt;".",Irr!BL5="."),dir!AP5/((1/1000)*(Irr!P5+Irr!AN5)),IF(AND(Irr!P5&lt;&gt;".",Irr!AN5=".",Irr!BL5&lt;&gt;"."),dir!AP5/((1/1000)*(Irr!P5+Irr!BL5)),IF(AND(Irr!P5=".",Irr!AN5&lt;&gt;".",Irr!BL5&lt;&gt;"."),dir!AP5/((1/1000)*(Irr!AN5+Irr!BL5)),IF(AND(Irr!P5=".",Irr!AN5=".",Irr!BL5&lt;&gt;"."),dir!AP5/((1/1000)*(Irr!BL5)),IF(AND(Irr!P5=".",Irr!AN5&lt;&gt;".",Irr!BL5="."),dir!AP5/((1/1000)*(Irr!AN5)),IF(AND(Irr!P5&lt;&gt;".",Irr!AN5=".",Irr!BL5="."),dir!AP5/((1/1000)*(Irr!P5)),IF(AND(Irr!P5=".",Irr!AN5=".",Irr!BL5="."),dir!AP5*1000)))))))),".")</f>
        <v>.</v>
      </c>
      <c r="AQ5" s="48" t="str">
        <f>IFERROR(IF(AND(Irr!Q5&lt;&gt;".",Irr!AO5&lt;&gt;".",Irr!BM5&lt;&gt;"."),dir!AQ5/((1/1000)*(Irr!Q5+Irr!AO5+Irr!BM5)),IF(AND(Irr!Q5&lt;&gt;".",Irr!AO5&lt;&gt;".",Irr!BM5="."),dir!AQ5/((1/1000)*(Irr!Q5+Irr!AO5)),IF(AND(Irr!Q5&lt;&gt;".",Irr!AO5=".",Irr!BM5&lt;&gt;"."),dir!AQ5/((1/1000)*(Irr!Q5+Irr!BM5)),IF(AND(Irr!Q5=".",Irr!AO5&lt;&gt;".",Irr!BM5&lt;&gt;"."),dir!AQ5/((1/1000)*(Irr!AO5+Irr!BM5)),IF(AND(Irr!Q5=".",Irr!AO5=".",Irr!BM5&lt;&gt;"."),dir!AQ5/((1/1000)*(Irr!BM5)),IF(AND(Irr!Q5=".",Irr!AO5&lt;&gt;".",Irr!BM5="."),dir!AQ5/((1/1000)*(Irr!AO5)),IF(AND(Irr!Q5&lt;&gt;".",Irr!AO5=".",Irr!BM5="."),dir!AQ5/((1/1000)*(Irr!Q5)),IF(AND(Irr!Q5=".",Irr!AO5=".",Irr!BM5="."),dir!AQ5*1000)))))))),".")</f>
        <v>.</v>
      </c>
      <c r="AR5" s="48" t="str">
        <f>IFERROR(IF(AND(Irr!R5&lt;&gt;".",Irr!AP5&lt;&gt;".",Irr!BN5&lt;&gt;"."),dir!AR5/((1/1000)*(Irr!R5+Irr!AP5+Irr!BN5)),IF(AND(Irr!R5&lt;&gt;".",Irr!AP5&lt;&gt;".",Irr!BN5="."),dir!AR5/((1/1000)*(Irr!R5+Irr!AP5)),IF(AND(Irr!R5&lt;&gt;".",Irr!AP5=".",Irr!BN5&lt;&gt;"."),dir!AR5/((1/1000)*(Irr!R5+Irr!BN5)),IF(AND(Irr!R5=".",Irr!AP5&lt;&gt;".",Irr!BN5&lt;&gt;"."),dir!AR5/((1/1000)*(Irr!AP5+Irr!BN5)),IF(AND(Irr!R5=".",Irr!AP5=".",Irr!BN5&lt;&gt;"."),dir!AR5/((1/1000)*(Irr!BN5)),IF(AND(Irr!R5=".",Irr!AP5&lt;&gt;".",Irr!BN5="."),dir!AR5/((1/1000)*(Irr!AP5)),IF(AND(Irr!R5&lt;&gt;".",Irr!AP5=".",Irr!BN5="."),dir!AR5/((1/1000)*(Irr!R5)),IF(AND(Irr!R5=".",Irr!AP5=".",Irr!BN5="."),dir!AR5*1000)))))))),".")</f>
        <v>.</v>
      </c>
      <c r="AS5" s="48" t="str">
        <f>IFERROR(IF(AND(Irr!S5&lt;&gt;".",Irr!AQ5&lt;&gt;".",Irr!BO5&lt;&gt;"."),dir!AS5/((1/1000)*(Irr!S5+Irr!AQ5+Irr!BO5)),IF(AND(Irr!S5&lt;&gt;".",Irr!AQ5&lt;&gt;".",Irr!BO5="."),dir!AS5/((1/1000)*(Irr!S5+Irr!AQ5)),IF(AND(Irr!S5&lt;&gt;".",Irr!AQ5=".",Irr!BO5&lt;&gt;"."),dir!AS5/((1/1000)*(Irr!S5+Irr!BO5)),IF(AND(Irr!S5=".",Irr!AQ5&lt;&gt;".",Irr!BO5&lt;&gt;"."),dir!AS5/((1/1000)*(Irr!AQ5+Irr!BO5)),IF(AND(Irr!S5=".",Irr!AQ5=".",Irr!BO5&lt;&gt;"."),dir!AS5/((1/1000)*(Irr!BO5)),IF(AND(Irr!S5=".",Irr!AQ5&lt;&gt;".",Irr!BO5="."),dir!AS5/((1/1000)*(Irr!AQ5)),IF(AND(Irr!S5&lt;&gt;".",Irr!AQ5=".",Irr!BO5="."),dir!AS5/((1/1000)*(Irr!S5)),IF(AND(Irr!S5=".",Irr!AQ5=".",Irr!BO5="."),dir!AS5*1000)))))))),".")</f>
        <v>.</v>
      </c>
      <c r="AT5" s="48" t="str">
        <f>IFERROR(IF(AND(Irr!T5&lt;&gt;".",Irr!AR5&lt;&gt;".",Irr!BP5&lt;&gt;"."),dir!AT5/((1/1000)*(Irr!T5+Irr!AR5+Irr!BP5)),IF(AND(Irr!T5&lt;&gt;".",Irr!AR5&lt;&gt;".",Irr!BP5="."),dir!AT5/((1/1000)*(Irr!T5+Irr!AR5)),IF(AND(Irr!T5&lt;&gt;".",Irr!AR5=".",Irr!BP5&lt;&gt;"."),dir!AT5/((1/1000)*(Irr!T5+Irr!BP5)),IF(AND(Irr!T5=".",Irr!AR5&lt;&gt;".",Irr!BP5&lt;&gt;"."),dir!AT5/((1/1000)*(Irr!AR5+Irr!BP5)),IF(AND(Irr!T5=".",Irr!AR5=".",Irr!BP5&lt;&gt;"."),dir!AT5/((1/1000)*(Irr!BP5)),IF(AND(Irr!T5=".",Irr!AR5&lt;&gt;".",Irr!BP5="."),dir!AT5/((1/1000)*(Irr!AR5)),IF(AND(Irr!T5&lt;&gt;".",Irr!AR5=".",Irr!BP5="."),dir!AT5/((1/1000)*(Irr!T5)),IF(AND(Irr!T5=".",Irr!AR5=".",Irr!BP5="."),dir!AT5*1000)))))))),".")</f>
        <v>.</v>
      </c>
      <c r="AU5" s="48" t="str">
        <f>IFERROR(IF(AND(Irr!U5&lt;&gt;".",Irr!AS5&lt;&gt;".",Irr!BQ5&lt;&gt;"."),dir!AU5/((1/1000)*(Irr!U5+Irr!AS5+Irr!BQ5)),IF(AND(Irr!U5&lt;&gt;".",Irr!AS5&lt;&gt;".",Irr!BQ5="."),dir!AU5/((1/1000)*(Irr!U5+Irr!AS5)),IF(AND(Irr!U5&lt;&gt;".",Irr!AS5=".",Irr!BQ5&lt;&gt;"."),dir!AU5/((1/1000)*(Irr!U5+Irr!BQ5)),IF(AND(Irr!U5=".",Irr!AS5&lt;&gt;".",Irr!BQ5&lt;&gt;"."),dir!AU5/((1/1000)*(Irr!AS5+Irr!BQ5)),IF(AND(Irr!U5=".",Irr!AS5=".",Irr!BQ5&lt;&gt;"."),dir!AU5/((1/1000)*(Irr!BQ5)),IF(AND(Irr!U5=".",Irr!AS5&lt;&gt;".",Irr!BQ5="."),dir!AU5/((1/1000)*(Irr!AS5)),IF(AND(Irr!U5&lt;&gt;".",Irr!AS5=".",Irr!BQ5="."),dir!AU5/((1/1000)*(Irr!U5)),IF(AND(Irr!U5=".",Irr!AS5=".",Irr!BQ5="."),dir!AU5*1000)))))))),".")</f>
        <v>.</v>
      </c>
      <c r="AV5" s="48" t="str">
        <f>IFERROR(IF(AND(Irr!V5&lt;&gt;".",Irr!AT5&lt;&gt;".",Irr!BR5&lt;&gt;"."),dir!AV5/((1/1000)*(Irr!V5+Irr!AT5+Irr!BR5)),IF(AND(Irr!V5&lt;&gt;".",Irr!AT5&lt;&gt;".",Irr!BR5="."),dir!AV5/((1/1000)*(Irr!V5+Irr!AT5)),IF(AND(Irr!V5&lt;&gt;".",Irr!AT5=".",Irr!BR5&lt;&gt;"."),dir!AV5/((1/1000)*(Irr!V5+Irr!BR5)),IF(AND(Irr!V5=".",Irr!AT5&lt;&gt;".",Irr!BR5&lt;&gt;"."),dir!AV5/((1/1000)*(Irr!AT5+Irr!BR5)),IF(AND(Irr!V5=".",Irr!AT5=".",Irr!BR5&lt;&gt;"."),dir!AV5/((1/1000)*(Irr!BR5)),IF(AND(Irr!V5=".",Irr!AT5&lt;&gt;".",Irr!BR5="."),dir!AV5/((1/1000)*(Irr!AT5)),IF(AND(Irr!V5&lt;&gt;".",Irr!AT5=".",Irr!BR5="."),dir!AV5/((1/1000)*(Irr!V5)),IF(AND(Irr!V5=".",Irr!AT5=".",Irr!BR5="."),dir!AV5*1000)))))))),".")</f>
        <v>.</v>
      </c>
      <c r="AW5" s="48" t="str">
        <f>IFERROR(IF(AND(Irr!W5&lt;&gt;".",Irr!AU5&lt;&gt;".",Irr!BS5&lt;&gt;"."),dir!AW5/((1/1000)*(Irr!W5+Irr!AU5+Irr!BS5)),IF(AND(Irr!W5&lt;&gt;".",Irr!AU5&lt;&gt;".",Irr!BS5="."),dir!AW5/((1/1000)*(Irr!W5+Irr!AU5)),IF(AND(Irr!W5&lt;&gt;".",Irr!AU5=".",Irr!BS5&lt;&gt;"."),dir!AW5/((1/1000)*(Irr!W5+Irr!BS5)),IF(AND(Irr!W5=".",Irr!AU5&lt;&gt;".",Irr!BS5&lt;&gt;"."),dir!AW5/((1/1000)*(Irr!AU5+Irr!BS5)),IF(AND(Irr!W5=".",Irr!AU5=".",Irr!BS5&lt;&gt;"."),dir!AW5/((1/1000)*(Irr!BS5)),IF(AND(Irr!W5=".",Irr!AU5&lt;&gt;".",Irr!BS5="."),dir!AW5/((1/1000)*(Irr!AU5)),IF(AND(Irr!W5&lt;&gt;".",Irr!AU5=".",Irr!BS5="."),dir!AW5/((1/1000)*(Irr!W5)),IF(AND(Irr!W5=".",Irr!AU5=".",Irr!BS5="."),dir!AW5*1000)))))))),".")</f>
        <v>.</v>
      </c>
      <c r="AX5" s="48" t="str">
        <f>IFERROR(IF(AND(Irr!X5&lt;&gt;".",Irr!AV5&lt;&gt;".",Irr!BT5&lt;&gt;"."),dir!AX5/((1/1000)*(Irr!X5+Irr!AV5+Irr!BT5)),IF(AND(Irr!X5&lt;&gt;".",Irr!AV5&lt;&gt;".",Irr!BT5="."),dir!AX5/((1/1000)*(Irr!X5+Irr!AV5)),IF(AND(Irr!X5&lt;&gt;".",Irr!AV5=".",Irr!BT5&lt;&gt;"."),dir!AX5/((1/1000)*(Irr!X5+Irr!BT5)),IF(AND(Irr!X5=".",Irr!AV5&lt;&gt;".",Irr!BT5&lt;&gt;"."),dir!AX5/((1/1000)*(Irr!AV5+Irr!BT5)),IF(AND(Irr!X5=".",Irr!AV5=".",Irr!BT5&lt;&gt;"."),dir!AX5/((1/1000)*(Irr!BT5)),IF(AND(Irr!X5=".",Irr!AV5&lt;&gt;".",Irr!BT5="."),dir!AX5/((1/1000)*(Irr!AV5)),IF(AND(Irr!X5&lt;&gt;".",Irr!AV5=".",Irr!BT5="."),dir!AX5/((1/1000)*(Irr!X5)),IF(AND(Irr!X5=".",Irr!AV5=".",Irr!BT5="."),dir!AX5*1000)))))))),".")</f>
        <v>.</v>
      </c>
      <c r="AY5" s="48" t="str">
        <f>IFERROR(IF(AND(Irr!Y5&lt;&gt;".",Irr!AW5&lt;&gt;".",Irr!BU5&lt;&gt;"."),dir!AY5/((1/1000)*(Irr!Y5+Irr!AW5+Irr!BU5)),IF(AND(Irr!Y5&lt;&gt;".",Irr!AW5&lt;&gt;".",Irr!BU5="."),dir!AY5/((1/1000)*(Irr!Y5+Irr!AW5)),IF(AND(Irr!Y5&lt;&gt;".",Irr!AW5=".",Irr!BU5&lt;&gt;"."),dir!AY5/((1/1000)*(Irr!Y5+Irr!BU5)),IF(AND(Irr!Y5=".",Irr!AW5&lt;&gt;".",Irr!BU5&lt;&gt;"."),dir!AY5/((1/1000)*(Irr!AW5+Irr!BU5)),IF(AND(Irr!Y5=".",Irr!AW5=".",Irr!BU5&lt;&gt;"."),dir!AY5/((1/1000)*(Irr!BU5)),IF(AND(Irr!Y5=".",Irr!AW5&lt;&gt;".",Irr!BU5="."),dir!AY5/((1/1000)*(Irr!AW5)),IF(AND(Irr!Y5&lt;&gt;".",Irr!AW5=".",Irr!BU5="."),dir!AY5/((1/1000)*(Irr!Y5)),IF(AND(Irr!Y5=".",Irr!AW5=".",Irr!BU5="."),dir!AY5*1000)))))))),".")</f>
        <v>.</v>
      </c>
      <c r="AZ5" s="48" t="str">
        <f>IFERROR(IF(AND(Irr!Z5&lt;&gt;".",Irr!AX5&lt;&gt;".",Irr!BV5&lt;&gt;"."),dir!AZ5/((1/1000)*(Irr!Z5+Irr!AX5+Irr!BV5)),IF(AND(Irr!Z5&lt;&gt;".",Irr!AX5&lt;&gt;".",Irr!BV5="."),dir!AZ5/((1/1000)*(Irr!Z5+Irr!AX5)),IF(AND(Irr!Z5&lt;&gt;".",Irr!AX5=".",Irr!BV5&lt;&gt;"."),dir!AZ5/((1/1000)*(Irr!Z5+Irr!BV5)),IF(AND(Irr!Z5=".",Irr!AX5&lt;&gt;".",Irr!BV5&lt;&gt;"."),dir!AZ5/((1/1000)*(Irr!AX5+Irr!BV5)),IF(AND(Irr!Z5=".",Irr!AX5=".",Irr!BV5&lt;&gt;"."),dir!AZ5/((1/1000)*(Irr!BV5)),IF(AND(Irr!Z5=".",Irr!AX5&lt;&gt;".",Irr!BV5="."),dir!AZ5/((1/1000)*(Irr!AX5)),IF(AND(Irr!Z5&lt;&gt;".",Irr!AX5=".",Irr!BV5="."),dir!AZ5/((1/1000)*(Irr!Z5)),IF(AND(Irr!Z5=".",Irr!AX5=".",Irr!BV5="."),dir!AZ5*1000)))))))),".")</f>
        <v>.</v>
      </c>
    </row>
    <row r="6" spans="1:52" ht="15" customHeight="1" x14ac:dyDescent="0.25">
      <c r="A6" s="61" t="s">
        <v>4</v>
      </c>
      <c r="B6" s="49" t="s">
        <v>1059</v>
      </c>
      <c r="C6" s="48" t="str">
        <f t="shared" ref="C6:C9" si="4">IFERROR(1/SUM(1/D6,1/E6,1/F6,1/G6,1/H6,1/I6,1/J6,1/K6,1/L6,1/M6,1/N6,1/O6,1/P6,1/Q6,1/R6,1/S6,1/T6,1/U6,1/V6,1/W6,1/X6,1/Y6),".")</f>
        <v>.</v>
      </c>
      <c r="D6" s="48" t="str">
        <f>IFERROR(IF(AND(Irr!C6&lt;&gt;".",Irr!AA6&lt;&gt;".",Irr!AY6&lt;&gt;"."),dir!D6/((1/1000)*(Irr!C6+Irr!AA6+Irr!AY6)),IF(AND(Irr!C6&lt;&gt;".",Irr!AA6&lt;&gt;".",Irr!AY6="."),dir!D6/((1/1000)*(Irr!C6+Irr!AA6)),IF(AND(Irr!C6&lt;&gt;".",Irr!AA6=".",Irr!AY6&lt;&gt;"."),dir!D6/((1/1000)*(Irr!C6+Irr!AY6)),IF(AND(Irr!C6=".",Irr!AA6&lt;&gt;".",Irr!AY6&lt;&gt;"."),dir!D6/((1/1000)*(Irr!AA6+Irr!AY6)),IF(AND(Irr!C6=".",Irr!AA6=".",Irr!AY6&lt;&gt;"."),dir!D6/((1/1000)*(Irr!AY6)),IF(AND(Irr!C6=".",Irr!AA6&lt;&gt;".",Irr!AY6="."),dir!D6/((1/1000)*(Irr!AA6)),IF(AND(Irr!C6&lt;&gt;".",Irr!AA6=".",Irr!AY6="."),dir!D6/((1/1000)*(Irr!C6)),IF(AND(Irr!C6=".",Irr!AA6=".",Irr!AY6="."),dir!D6*1000)))))))),".")</f>
        <v>.</v>
      </c>
      <c r="E6" s="48" t="str">
        <f>IFERROR(IF(AND(Irr!D6&lt;&gt;".",Irr!AB6&lt;&gt;".",Irr!AZ6&lt;&gt;"."),dir!E6/((1/1000)*(Irr!D6+Irr!AB6+Irr!AZ6)),IF(AND(Irr!D6&lt;&gt;".",Irr!AB6&lt;&gt;".",Irr!AZ6="."),dir!E6/((1/1000)*(Irr!D6+Irr!AB6)),IF(AND(Irr!D6&lt;&gt;".",Irr!AB6=".",Irr!AZ6&lt;&gt;"."),dir!E6/((1/1000)*(Irr!D6+Irr!AZ6)),IF(AND(Irr!D6=".",Irr!AB6&lt;&gt;".",Irr!AZ6&lt;&gt;"."),dir!E6/((1/1000)*(Irr!AB6+Irr!AZ6)),IF(AND(Irr!D6=".",Irr!AB6=".",Irr!AZ6&lt;&gt;"."),dir!E6/((1/1000)*(Irr!AZ6)),IF(AND(Irr!D6=".",Irr!AB6&lt;&gt;".",Irr!AZ6="."),dir!E6/((1/1000)*(Irr!AB6)),IF(AND(Irr!D6&lt;&gt;".",Irr!AB6=".",Irr!AZ6="."),dir!E6/((1/1000)*(Irr!D6)),IF(AND(Irr!D6=".",Irr!AB6=".",Irr!AZ6="."),dir!E6*1000)))))))),".")</f>
        <v>.</v>
      </c>
      <c r="F6" s="48" t="str">
        <f>IFERROR(IF(AND(Irr!E6&lt;&gt;".",Irr!AC6&lt;&gt;".",Irr!BA6&lt;&gt;"."),dir!F6/((1/1000)*(Irr!E6+Irr!AC6+Irr!BA6)),IF(AND(Irr!E6&lt;&gt;".",Irr!AC6&lt;&gt;".",Irr!BA6="."),dir!F6/((1/1000)*(Irr!E6+Irr!AC6)),IF(AND(Irr!E6&lt;&gt;".",Irr!AC6=".",Irr!BA6&lt;&gt;"."),dir!F6/((1/1000)*(Irr!E6+Irr!BA6)),IF(AND(Irr!E6=".",Irr!AC6&lt;&gt;".",Irr!BA6&lt;&gt;"."),dir!F6/((1/1000)*(Irr!AC6+Irr!BA6)),IF(AND(Irr!E6=".",Irr!AC6=".",Irr!BA6&lt;&gt;"."),dir!F6/((1/1000)*(Irr!BA6)),IF(AND(Irr!E6=".",Irr!AC6&lt;&gt;".",Irr!BA6="."),dir!F6/((1/1000)*(Irr!AC6)),IF(AND(Irr!E6&lt;&gt;".",Irr!AC6=".",Irr!BA6="."),dir!F6/((1/1000)*(Irr!E6)),IF(AND(Irr!E6=".",Irr!AC6=".",Irr!BA6="."),dir!F6*1000)))))))),".")</f>
        <v>.</v>
      </c>
      <c r="G6" s="48" t="str">
        <f>IFERROR(IF(AND(Irr!F6&lt;&gt;".",Irr!AD6&lt;&gt;".",Irr!BB6&lt;&gt;"."),dir!G6/((1/1000)*(Irr!F6+Irr!AD6+Irr!BB6)),IF(AND(Irr!F6&lt;&gt;".",Irr!AD6&lt;&gt;".",Irr!BB6="."),dir!G6/((1/1000)*(Irr!F6+Irr!AD6)),IF(AND(Irr!F6&lt;&gt;".",Irr!AD6=".",Irr!BB6&lt;&gt;"."),dir!G6/((1/1000)*(Irr!F6+Irr!BB6)),IF(AND(Irr!F6=".",Irr!AD6&lt;&gt;".",Irr!BB6&lt;&gt;"."),dir!G6/((1/1000)*(Irr!AD6+Irr!BB6)),IF(AND(Irr!F6=".",Irr!AD6=".",Irr!BB6&lt;&gt;"."),dir!G6/((1/1000)*(Irr!BB6)),IF(AND(Irr!F6=".",Irr!AD6&lt;&gt;".",Irr!BB6="."),dir!G6/((1/1000)*(Irr!AD6)),IF(AND(Irr!F6&lt;&gt;".",Irr!AD6=".",Irr!BB6="."),dir!G6/((1/1000)*(Irr!F6)),IF(AND(Irr!F6=".",Irr!AD6=".",Irr!BB6="."),dir!G6*1000)))))))),".")</f>
        <v>.</v>
      </c>
      <c r="H6" s="48" t="str">
        <f>IFERROR(IF(AND(Irr!G6&lt;&gt;".",Irr!AE6&lt;&gt;".",Irr!BC6&lt;&gt;"."),dir!H6/((1/1000)*(Irr!G6+Irr!AE6+Irr!BC6)),IF(AND(Irr!G6&lt;&gt;".",Irr!AE6&lt;&gt;".",Irr!BC6="."),dir!H6/((1/1000)*(Irr!G6+Irr!AE6)),IF(AND(Irr!G6&lt;&gt;".",Irr!AE6=".",Irr!BC6&lt;&gt;"."),dir!H6/((1/1000)*(Irr!G6+Irr!BC6)),IF(AND(Irr!G6=".",Irr!AE6&lt;&gt;".",Irr!BC6&lt;&gt;"."),dir!H6/((1/1000)*(Irr!AE6+Irr!BC6)),IF(AND(Irr!G6=".",Irr!AE6=".",Irr!BC6&lt;&gt;"."),dir!H6/((1/1000)*(Irr!BC6)),IF(AND(Irr!G6=".",Irr!AE6&lt;&gt;".",Irr!BC6="."),dir!H6/((1/1000)*(Irr!AE6)),IF(AND(Irr!G6&lt;&gt;".",Irr!AE6=".",Irr!BC6="."),dir!H6/((1/1000)*(Irr!G6)),IF(AND(Irr!G6=".",Irr!AE6=".",Irr!BC6="."),dir!H6*1000)))))))),".")</f>
        <v>.</v>
      </c>
      <c r="I6" s="48" t="str">
        <f>IFERROR(IF(AND(Irr!H6&lt;&gt;".",Irr!AF6&lt;&gt;".",Irr!BD6&lt;&gt;"."),dir!I6/((1/1000)*(Irr!H6+Irr!AF6+Irr!BD6)),IF(AND(Irr!H6&lt;&gt;".",Irr!AF6&lt;&gt;".",Irr!BD6="."),dir!I6/((1/1000)*(Irr!H6+Irr!AF6)),IF(AND(Irr!H6&lt;&gt;".",Irr!AF6=".",Irr!BD6&lt;&gt;"."),dir!I6/((1/1000)*(Irr!H6+Irr!BD6)),IF(AND(Irr!H6=".",Irr!AF6&lt;&gt;".",Irr!BD6&lt;&gt;"."),dir!I6/((1/1000)*(Irr!AF6+Irr!BD6)),IF(AND(Irr!H6=".",Irr!AF6=".",Irr!BD6&lt;&gt;"."),dir!I6/((1/1000)*(Irr!BD6)),IF(AND(Irr!H6=".",Irr!AF6&lt;&gt;".",Irr!BD6="."),dir!I6/((1/1000)*(Irr!AF6)),IF(AND(Irr!H6&lt;&gt;".",Irr!AF6=".",Irr!BD6="."),dir!I6/((1/1000)*(Irr!H6)),IF(AND(Irr!H6=".",Irr!AF6=".",Irr!BD6="."),dir!I6*1000)))))))),".")</f>
        <v>.</v>
      </c>
      <c r="J6" s="48" t="str">
        <f>IFERROR(IF(AND(Irr!I6&lt;&gt;".",Irr!AG6&lt;&gt;".",Irr!BE6&lt;&gt;"."),dir!J6/((1/1000)*(Irr!I6+Irr!AG6+Irr!BE6)),IF(AND(Irr!I6&lt;&gt;".",Irr!AG6&lt;&gt;".",Irr!BE6="."),dir!J6/((1/1000)*(Irr!I6+Irr!AG6)),IF(AND(Irr!I6&lt;&gt;".",Irr!AG6=".",Irr!BE6&lt;&gt;"."),dir!J6/((1/1000)*(Irr!I6+Irr!BE6)),IF(AND(Irr!I6=".",Irr!AG6&lt;&gt;".",Irr!BE6&lt;&gt;"."),dir!J6/((1/1000)*(Irr!AG6+Irr!BE6)),IF(AND(Irr!I6=".",Irr!AG6=".",Irr!BE6&lt;&gt;"."),dir!J6/((1/1000)*(Irr!BE6)),IF(AND(Irr!I6=".",Irr!AG6&lt;&gt;".",Irr!BE6="."),dir!J6/((1/1000)*(Irr!AG6)),IF(AND(Irr!I6&lt;&gt;".",Irr!AG6=".",Irr!BE6="."),dir!J6/((1/1000)*(Irr!I6)),IF(AND(Irr!I6=".",Irr!AG6=".",Irr!BE6="."),dir!J6*1000)))))))),".")</f>
        <v>.</v>
      </c>
      <c r="K6" s="48" t="str">
        <f>IFERROR(IF(AND(Irr!J6&lt;&gt;".",Irr!AH6&lt;&gt;".",Irr!BF6&lt;&gt;"."),dir!K6/((1/1000)*(Irr!J6+Irr!AH6+Irr!BF6)),IF(AND(Irr!J6&lt;&gt;".",Irr!AH6&lt;&gt;".",Irr!BF6="."),dir!K6/((1/1000)*(Irr!J6+Irr!AH6)),IF(AND(Irr!J6&lt;&gt;".",Irr!AH6=".",Irr!BF6&lt;&gt;"."),dir!K6/((1/1000)*(Irr!J6+Irr!BF6)),IF(AND(Irr!J6=".",Irr!AH6&lt;&gt;".",Irr!BF6&lt;&gt;"."),dir!K6/((1/1000)*(Irr!AH6+Irr!BF6)),IF(AND(Irr!J6=".",Irr!AH6=".",Irr!BF6&lt;&gt;"."),dir!K6/((1/1000)*(Irr!BF6)),IF(AND(Irr!J6=".",Irr!AH6&lt;&gt;".",Irr!BF6="."),dir!K6/((1/1000)*(Irr!AH6)),IF(AND(Irr!J6&lt;&gt;".",Irr!AH6=".",Irr!BF6="."),dir!K6/((1/1000)*(Irr!J6)),IF(AND(Irr!J6=".",Irr!AH6=".",Irr!BF6="."),dir!K6*1000)))))))),".")</f>
        <v>.</v>
      </c>
      <c r="L6" s="48" t="str">
        <f>IFERROR(IF(AND(Irr!K6&lt;&gt;".",Irr!AI6&lt;&gt;".",Irr!BG6&lt;&gt;"."),dir!L6/((1/1000)*(Irr!K6+Irr!AI6+Irr!BG6)),IF(AND(Irr!K6&lt;&gt;".",Irr!AI6&lt;&gt;".",Irr!BG6="."),dir!L6/((1/1000)*(Irr!K6+Irr!AI6)),IF(AND(Irr!K6&lt;&gt;".",Irr!AI6=".",Irr!BG6&lt;&gt;"."),dir!L6/((1/1000)*(Irr!K6+Irr!BG6)),IF(AND(Irr!K6=".",Irr!AI6&lt;&gt;".",Irr!BG6&lt;&gt;"."),dir!L6/((1/1000)*(Irr!AI6+Irr!BG6)),IF(AND(Irr!K6=".",Irr!AI6=".",Irr!BG6&lt;&gt;"."),dir!L6/((1/1000)*(Irr!BG6)),IF(AND(Irr!K6=".",Irr!AI6&lt;&gt;".",Irr!BG6="."),dir!L6/((1/1000)*(Irr!AI6)),IF(AND(Irr!K6&lt;&gt;".",Irr!AI6=".",Irr!BG6="."),dir!L6/((1/1000)*(Irr!K6)),IF(AND(Irr!K6=".",Irr!AI6=".",Irr!BG6="."),dir!L6*1000)))))))),".")</f>
        <v>.</v>
      </c>
      <c r="M6" s="48" t="str">
        <f>IFERROR(IF(AND(Irr!L6&lt;&gt;".",Irr!AJ6&lt;&gt;".",Irr!BH6&lt;&gt;"."),dir!M6/((1/1000)*(Irr!L6+Irr!AJ6+Irr!BH6)),IF(AND(Irr!L6&lt;&gt;".",Irr!AJ6&lt;&gt;".",Irr!BH6="."),dir!M6/((1/1000)*(Irr!L6+Irr!AJ6)),IF(AND(Irr!L6&lt;&gt;".",Irr!AJ6=".",Irr!BH6&lt;&gt;"."),dir!M6/((1/1000)*(Irr!L6+Irr!BH6)),IF(AND(Irr!L6=".",Irr!AJ6&lt;&gt;".",Irr!BH6&lt;&gt;"."),dir!M6/((1/1000)*(Irr!AJ6+Irr!BH6)),IF(AND(Irr!L6=".",Irr!AJ6=".",Irr!BH6&lt;&gt;"."),dir!M6/((1/1000)*(Irr!BH6)),IF(AND(Irr!L6=".",Irr!AJ6&lt;&gt;".",Irr!BH6="."),dir!M6/((1/1000)*(Irr!AJ6)),IF(AND(Irr!L6&lt;&gt;".",Irr!AJ6=".",Irr!BH6="."),dir!M6/((1/1000)*(Irr!L6)),IF(AND(Irr!L6=".",Irr!AJ6=".",Irr!BH6="."),dir!M6*1000)))))))),".")</f>
        <v>.</v>
      </c>
      <c r="N6" s="48" t="str">
        <f>IFERROR(IF(AND(Irr!M6&lt;&gt;".",Irr!AK6&lt;&gt;".",Irr!BI6&lt;&gt;"."),dir!N6/((1/1000)*(Irr!M6+Irr!AK6+Irr!BI6)),IF(AND(Irr!M6&lt;&gt;".",Irr!AK6&lt;&gt;".",Irr!BI6="."),dir!N6/((1/1000)*(Irr!M6+Irr!AK6)),IF(AND(Irr!M6&lt;&gt;".",Irr!AK6=".",Irr!BI6&lt;&gt;"."),dir!N6/((1/1000)*(Irr!M6+Irr!BI6)),IF(AND(Irr!M6=".",Irr!AK6&lt;&gt;".",Irr!BI6&lt;&gt;"."),dir!N6/((1/1000)*(Irr!AK6+Irr!BI6)),IF(AND(Irr!M6=".",Irr!AK6=".",Irr!BI6&lt;&gt;"."),dir!N6/((1/1000)*(Irr!BI6)),IF(AND(Irr!M6=".",Irr!AK6&lt;&gt;".",Irr!BI6="."),dir!N6/((1/1000)*(Irr!AK6)),IF(AND(Irr!M6&lt;&gt;".",Irr!AK6=".",Irr!BI6="."),dir!N6/((1/1000)*(Irr!M6)),IF(AND(Irr!M6=".",Irr!AK6=".",Irr!BI6="."),dir!N6*1000)))))))),".")</f>
        <v>.</v>
      </c>
      <c r="O6" s="48" t="str">
        <f>IFERROR(IF(AND(Irr!N6&lt;&gt;".",Irr!AL6&lt;&gt;".",Irr!BJ6&lt;&gt;"."),dir!O6/((1/1000)*(Irr!N6+Irr!AL6+Irr!BJ6)),IF(AND(Irr!N6&lt;&gt;".",Irr!AL6&lt;&gt;".",Irr!BJ6="."),dir!O6/((1/1000)*(Irr!N6+Irr!AL6)),IF(AND(Irr!N6&lt;&gt;".",Irr!AL6=".",Irr!BJ6&lt;&gt;"."),dir!O6/((1/1000)*(Irr!N6+Irr!BJ6)),IF(AND(Irr!N6=".",Irr!AL6&lt;&gt;".",Irr!BJ6&lt;&gt;"."),dir!O6/((1/1000)*(Irr!AL6+Irr!BJ6)),IF(AND(Irr!N6=".",Irr!AL6=".",Irr!BJ6&lt;&gt;"."),dir!O6/((1/1000)*(Irr!BJ6)),IF(AND(Irr!N6=".",Irr!AL6&lt;&gt;".",Irr!BJ6="."),dir!O6/((1/1000)*(Irr!AL6)),IF(AND(Irr!N6&lt;&gt;".",Irr!AL6=".",Irr!BJ6="."),dir!O6/((1/1000)*(Irr!N6)),IF(AND(Irr!N6=".",Irr!AL6=".",Irr!BJ6="."),dir!O6*1000)))))))),".")</f>
        <v>.</v>
      </c>
      <c r="P6" s="48" t="str">
        <f>IFERROR(IF(AND(Irr!O6&lt;&gt;".",Irr!AM6&lt;&gt;".",Irr!BK6&lt;&gt;"."),dir!P6/((1/1000)*(Irr!O6+Irr!AM6+Irr!BK6)),IF(AND(Irr!O6&lt;&gt;".",Irr!AM6&lt;&gt;".",Irr!BK6="."),dir!P6/((1/1000)*(Irr!O6+Irr!AM6)),IF(AND(Irr!O6&lt;&gt;".",Irr!AM6=".",Irr!BK6&lt;&gt;"."),dir!P6/((1/1000)*(Irr!O6+Irr!BK6)),IF(AND(Irr!O6=".",Irr!AM6&lt;&gt;".",Irr!BK6&lt;&gt;"."),dir!P6/((1/1000)*(Irr!AM6+Irr!BK6)),IF(AND(Irr!O6=".",Irr!AM6=".",Irr!BK6&lt;&gt;"."),dir!P6/((1/1000)*(Irr!BK6)),IF(AND(Irr!O6=".",Irr!AM6&lt;&gt;".",Irr!BK6="."),dir!P6/((1/1000)*(Irr!AM6)),IF(AND(Irr!O6&lt;&gt;".",Irr!AM6=".",Irr!BK6="."),dir!P6/((1/1000)*(Irr!O6)),IF(AND(Irr!O6=".",Irr!AM6=".",Irr!BK6="."),dir!P6*1000)))))))),".")</f>
        <v>.</v>
      </c>
      <c r="Q6" s="48" t="str">
        <f>IFERROR(IF(AND(Irr!P6&lt;&gt;".",Irr!AN6&lt;&gt;".",Irr!BL6&lt;&gt;"."),dir!Q6/((1/1000)*(Irr!P6+Irr!AN6+Irr!BL6)),IF(AND(Irr!P6&lt;&gt;".",Irr!AN6&lt;&gt;".",Irr!BL6="."),dir!Q6/((1/1000)*(Irr!P6+Irr!AN6)),IF(AND(Irr!P6&lt;&gt;".",Irr!AN6=".",Irr!BL6&lt;&gt;"."),dir!Q6/((1/1000)*(Irr!P6+Irr!BL6)),IF(AND(Irr!P6=".",Irr!AN6&lt;&gt;".",Irr!BL6&lt;&gt;"."),dir!Q6/((1/1000)*(Irr!AN6+Irr!BL6)),IF(AND(Irr!P6=".",Irr!AN6=".",Irr!BL6&lt;&gt;"."),dir!Q6/((1/1000)*(Irr!BL6)),IF(AND(Irr!P6=".",Irr!AN6&lt;&gt;".",Irr!BL6="."),dir!Q6/((1/1000)*(Irr!AN6)),IF(AND(Irr!P6&lt;&gt;".",Irr!AN6=".",Irr!BL6="."),dir!Q6/((1/1000)*(Irr!P6)),IF(AND(Irr!P6=".",Irr!AN6=".",Irr!BL6="."),dir!Q6*1000)))))))),".")</f>
        <v>.</v>
      </c>
      <c r="R6" s="48" t="str">
        <f>IFERROR(IF(AND(Irr!Q6&lt;&gt;".",Irr!AO6&lt;&gt;".",Irr!BM6&lt;&gt;"."),dir!R6/((1/1000)*(Irr!Q6+Irr!AO6+Irr!BM6)),IF(AND(Irr!Q6&lt;&gt;".",Irr!AO6&lt;&gt;".",Irr!BM6="."),dir!R6/((1/1000)*(Irr!Q6+Irr!AO6)),IF(AND(Irr!Q6&lt;&gt;".",Irr!AO6=".",Irr!BM6&lt;&gt;"."),dir!R6/((1/1000)*(Irr!Q6+Irr!BM6)),IF(AND(Irr!Q6=".",Irr!AO6&lt;&gt;".",Irr!BM6&lt;&gt;"."),dir!R6/((1/1000)*(Irr!AO6+Irr!BM6)),IF(AND(Irr!Q6=".",Irr!AO6=".",Irr!BM6&lt;&gt;"."),dir!R6/((1/1000)*(Irr!BM6)),IF(AND(Irr!Q6=".",Irr!AO6&lt;&gt;".",Irr!BM6="."),dir!R6/((1/1000)*(Irr!AO6)),IF(AND(Irr!Q6&lt;&gt;".",Irr!AO6=".",Irr!BM6="."),dir!R6/((1/1000)*(Irr!Q6)),IF(AND(Irr!Q6=".",Irr!AO6=".",Irr!BM6="."),dir!R6*1000)))))))),".")</f>
        <v>.</v>
      </c>
      <c r="S6" s="48" t="str">
        <f>IFERROR(IF(AND(Irr!R6&lt;&gt;".",Irr!AP6&lt;&gt;".",Irr!BN6&lt;&gt;"."),dir!S6/((1/1000)*(Irr!R6+Irr!AP6+Irr!BN6)),IF(AND(Irr!R6&lt;&gt;".",Irr!AP6&lt;&gt;".",Irr!BN6="."),dir!S6/((1/1000)*(Irr!R6+Irr!AP6)),IF(AND(Irr!R6&lt;&gt;".",Irr!AP6=".",Irr!BN6&lt;&gt;"."),dir!S6/((1/1000)*(Irr!R6+Irr!BN6)),IF(AND(Irr!R6=".",Irr!AP6&lt;&gt;".",Irr!BN6&lt;&gt;"."),dir!S6/((1/1000)*(Irr!AP6+Irr!BN6)),IF(AND(Irr!R6=".",Irr!AP6=".",Irr!BN6&lt;&gt;"."),dir!S6/((1/1000)*(Irr!BN6)),IF(AND(Irr!R6=".",Irr!AP6&lt;&gt;".",Irr!BN6="."),dir!S6/((1/1000)*(Irr!AP6)),IF(AND(Irr!R6&lt;&gt;".",Irr!AP6=".",Irr!BN6="."),dir!S6/((1/1000)*(Irr!R6)),IF(AND(Irr!R6=".",Irr!AP6=".",Irr!BN6="."),dir!S6*1000)))))))),".")</f>
        <v>.</v>
      </c>
      <c r="T6" s="48" t="str">
        <f>IFERROR(IF(AND(Irr!S6&lt;&gt;".",Irr!AQ6&lt;&gt;".",Irr!BO6&lt;&gt;"."),dir!T6/((1/1000)*(Irr!S6+Irr!AQ6+Irr!BO6)),IF(AND(Irr!S6&lt;&gt;".",Irr!AQ6&lt;&gt;".",Irr!BO6="."),dir!T6/((1/1000)*(Irr!S6+Irr!AQ6)),IF(AND(Irr!S6&lt;&gt;".",Irr!AQ6=".",Irr!BO6&lt;&gt;"."),dir!T6/((1/1000)*(Irr!S6+Irr!BO6)),IF(AND(Irr!S6=".",Irr!AQ6&lt;&gt;".",Irr!BO6&lt;&gt;"."),dir!T6/((1/1000)*(Irr!AQ6+Irr!BO6)),IF(AND(Irr!S6=".",Irr!AQ6=".",Irr!BO6&lt;&gt;"."),dir!T6/((1/1000)*(Irr!BO6)),IF(AND(Irr!S6=".",Irr!AQ6&lt;&gt;".",Irr!BO6="."),dir!T6/((1/1000)*(Irr!AQ6)),IF(AND(Irr!S6&lt;&gt;".",Irr!AQ6=".",Irr!BO6="."),dir!T6/((1/1000)*(Irr!S6)),IF(AND(Irr!S6=".",Irr!AQ6=".",Irr!BO6="."),dir!T6*1000)))))))),".")</f>
        <v>.</v>
      </c>
      <c r="U6" s="48" t="str">
        <f>IFERROR(IF(AND(Irr!T6&lt;&gt;".",Irr!AR6&lt;&gt;".",Irr!BP6&lt;&gt;"."),dir!U6/((1/1000)*(Irr!T6+Irr!AR6+Irr!BP6)),IF(AND(Irr!T6&lt;&gt;".",Irr!AR6&lt;&gt;".",Irr!BP6="."),dir!U6/((1/1000)*(Irr!T6+Irr!AR6)),IF(AND(Irr!T6&lt;&gt;".",Irr!AR6=".",Irr!BP6&lt;&gt;"."),dir!U6/((1/1000)*(Irr!T6+Irr!BP6)),IF(AND(Irr!T6=".",Irr!AR6&lt;&gt;".",Irr!BP6&lt;&gt;"."),dir!U6/((1/1000)*(Irr!AR6+Irr!BP6)),IF(AND(Irr!T6=".",Irr!AR6=".",Irr!BP6&lt;&gt;"."),dir!U6/((1/1000)*(Irr!BP6)),IF(AND(Irr!T6=".",Irr!AR6&lt;&gt;".",Irr!BP6="."),dir!U6/((1/1000)*(Irr!AR6)),IF(AND(Irr!T6&lt;&gt;".",Irr!AR6=".",Irr!BP6="."),dir!U6/((1/1000)*(Irr!T6)),IF(AND(Irr!T6=".",Irr!AR6=".",Irr!BP6="."),dir!U6*1000)))))))),".")</f>
        <v>.</v>
      </c>
      <c r="V6" s="48" t="str">
        <f>IFERROR(IF(AND(Irr!U6&lt;&gt;".",Irr!AS6&lt;&gt;".",Irr!BQ6&lt;&gt;"."),dir!V6/((1/1000)*(Irr!U6+Irr!AS6+Irr!BQ6)),IF(AND(Irr!U6&lt;&gt;".",Irr!AS6&lt;&gt;".",Irr!BQ6="."),dir!V6/((1/1000)*(Irr!U6+Irr!AS6)),IF(AND(Irr!U6&lt;&gt;".",Irr!AS6=".",Irr!BQ6&lt;&gt;"."),dir!V6/((1/1000)*(Irr!U6+Irr!BQ6)),IF(AND(Irr!U6=".",Irr!AS6&lt;&gt;".",Irr!BQ6&lt;&gt;"."),dir!V6/((1/1000)*(Irr!AS6+Irr!BQ6)),IF(AND(Irr!U6=".",Irr!AS6=".",Irr!BQ6&lt;&gt;"."),dir!V6/((1/1000)*(Irr!BQ6)),IF(AND(Irr!U6=".",Irr!AS6&lt;&gt;".",Irr!BQ6="."),dir!V6/((1/1000)*(Irr!AS6)),IF(AND(Irr!U6&lt;&gt;".",Irr!AS6=".",Irr!BQ6="."),dir!V6/((1/1000)*(Irr!U6)),IF(AND(Irr!U6=".",Irr!AS6=".",Irr!BQ6="."),dir!V6*1000)))))))),".")</f>
        <v>.</v>
      </c>
      <c r="W6" s="48" t="str">
        <f>IFERROR(IF(AND(Irr!V6&lt;&gt;".",Irr!AT6&lt;&gt;".",Irr!BR6&lt;&gt;"."),dir!W6/((1/1000)*(Irr!V6+Irr!AT6+Irr!BR6)),IF(AND(Irr!V6&lt;&gt;".",Irr!AT6&lt;&gt;".",Irr!BR6="."),dir!W6/((1/1000)*(Irr!V6+Irr!AT6)),IF(AND(Irr!V6&lt;&gt;".",Irr!AT6=".",Irr!BR6&lt;&gt;"."),dir!W6/((1/1000)*(Irr!V6+Irr!BR6)),IF(AND(Irr!V6=".",Irr!AT6&lt;&gt;".",Irr!BR6&lt;&gt;"."),dir!W6/((1/1000)*(Irr!AT6+Irr!BR6)),IF(AND(Irr!V6=".",Irr!AT6=".",Irr!BR6&lt;&gt;"."),dir!W6/((1/1000)*(Irr!BR6)),IF(AND(Irr!V6=".",Irr!AT6&lt;&gt;".",Irr!BR6="."),dir!W6/((1/1000)*(Irr!AT6)),IF(AND(Irr!V6&lt;&gt;".",Irr!AT6=".",Irr!BR6="."),dir!W6/((1/1000)*(Irr!V6)),IF(AND(Irr!V6=".",Irr!AT6=".",Irr!BR6="."),dir!W6*1000)))))))),".")</f>
        <v>.</v>
      </c>
      <c r="X6" s="48" t="str">
        <f>IFERROR(IF(AND(Irr!W6&lt;&gt;".",Irr!AU6&lt;&gt;".",Irr!BS6&lt;&gt;"."),dir!X6/((1/1000)*(Irr!W6+Irr!AU6+Irr!BS6)),IF(AND(Irr!W6&lt;&gt;".",Irr!AU6&lt;&gt;".",Irr!BS6="."),dir!X6/((1/1000)*(Irr!W6+Irr!AU6)),IF(AND(Irr!W6&lt;&gt;".",Irr!AU6=".",Irr!BS6&lt;&gt;"."),dir!X6/((1/1000)*(Irr!W6+Irr!BS6)),IF(AND(Irr!W6=".",Irr!AU6&lt;&gt;".",Irr!BS6&lt;&gt;"."),dir!X6/((1/1000)*(Irr!AU6+Irr!BS6)),IF(AND(Irr!W6=".",Irr!AU6=".",Irr!BS6&lt;&gt;"."),dir!X6/((1/1000)*(Irr!BS6)),IF(AND(Irr!W6=".",Irr!AU6&lt;&gt;".",Irr!BS6="."),dir!X6/((1/1000)*(Irr!AU6)),IF(AND(Irr!W6&lt;&gt;".",Irr!AU6=".",Irr!BS6="."),dir!X6/((1/1000)*(Irr!W6)),IF(AND(Irr!W6=".",Irr!AU6=".",Irr!BS6="."),dir!X6*1000)))))))),".")</f>
        <v>.</v>
      </c>
      <c r="Y6" s="48" t="str">
        <f>IFERROR(IF(AND(Irr!X6&lt;&gt;".",Irr!AV6&lt;&gt;".",Irr!BT6&lt;&gt;"."),dir!Y6/((1/1000)*(Irr!X6+Irr!AV6+Irr!BT6)),IF(AND(Irr!X6&lt;&gt;".",Irr!AV6&lt;&gt;".",Irr!BT6="."),dir!Y6/((1/1000)*(Irr!X6+Irr!AV6)),IF(AND(Irr!X6&lt;&gt;".",Irr!AV6=".",Irr!BT6&lt;&gt;"."),dir!Y6/((1/1000)*(Irr!X6+Irr!BT6)),IF(AND(Irr!X6=".",Irr!AV6&lt;&gt;".",Irr!BT6&lt;&gt;"."),dir!Y6/((1/1000)*(Irr!AV6+Irr!BT6)),IF(AND(Irr!X6=".",Irr!AV6=".",Irr!BT6&lt;&gt;"."),dir!Y6/((1/1000)*(Irr!BT6)),IF(AND(Irr!X6=".",Irr!AV6&lt;&gt;".",Irr!BT6="."),dir!Y6/((1/1000)*(Irr!AV6)),IF(AND(Irr!X6&lt;&gt;".",Irr!AV6=".",Irr!BT6="."),dir!Y6/((1/1000)*(Irr!X6)),IF(AND(Irr!X6=".",Irr!AV6=".",Irr!BT6="."),dir!Y6*1000)))))))),".")</f>
        <v>.</v>
      </c>
      <c r="Z6" s="48" t="str">
        <f>IFERROR(IF(AND(Irr!Y6&lt;&gt;".",Irr!AW6&lt;&gt;".",Irr!BU6&lt;&gt;"."),dir!Z6/((1/1000)*(Irr!Y6+Irr!AW6+Irr!BU6)),IF(AND(Irr!Y6&lt;&gt;".",Irr!AW6&lt;&gt;".",Irr!BU6="."),dir!Z6/((1/1000)*(Irr!Y6+Irr!AW6)),IF(AND(Irr!Y6&lt;&gt;".",Irr!AW6=".",Irr!BU6&lt;&gt;"."),dir!Z6/((1/1000)*(Irr!Y6+Irr!BU6)),IF(AND(Irr!Y6=".",Irr!AW6&lt;&gt;".",Irr!BU6&lt;&gt;"."),dir!Z6/((1/1000)*(Irr!AW6+Irr!BU6)),IF(AND(Irr!Y6=".",Irr!AW6=".",Irr!BU6&lt;&gt;"."),dir!Z6/((1/1000)*(Irr!BU6)),IF(AND(Irr!Y6=".",Irr!AW6&lt;&gt;".",Irr!BU6="."),dir!Z6/((1/1000)*(Irr!AW6)),IF(AND(Irr!Y6&lt;&gt;".",Irr!AW6=".",Irr!BU6="."),dir!Z6/((1/1000)*(Irr!Y6)),IF(AND(Irr!Y6=".",Irr!AW6=".",Irr!BU6="."),dir!Z6*1000)))))))),".")</f>
        <v>.</v>
      </c>
      <c r="AA6" s="48" t="str">
        <f>IFERROR(IF(AND(Irr!Z6&lt;&gt;".",Irr!AX6&lt;&gt;".",Irr!BV6&lt;&gt;"."),dir!AA6/((1/1000)*(Irr!Z6+Irr!AX6+Irr!BV6)),IF(AND(Irr!Z6&lt;&gt;".",Irr!AX6&lt;&gt;".",Irr!BV6="."),dir!AA6/((1/1000)*(Irr!Z6+Irr!AX6)),IF(AND(Irr!Z6&lt;&gt;".",Irr!AX6=".",Irr!BV6&lt;&gt;"."),dir!AA6/((1/1000)*(Irr!Z6+Irr!BV6)),IF(AND(Irr!Z6=".",Irr!AX6&lt;&gt;".",Irr!BV6&lt;&gt;"."),dir!AA6/((1/1000)*(Irr!AX6+Irr!BV6)),IF(AND(Irr!Z6=".",Irr!AX6=".",Irr!BV6&lt;&gt;"."),dir!AA6/((1/1000)*(Irr!BV6)),IF(AND(Irr!Z6=".",Irr!AX6&lt;&gt;".",Irr!BV6="."),dir!AA6/((1/1000)*(Irr!AX6)),IF(AND(Irr!Z6&lt;&gt;".",Irr!AX6=".",Irr!BV6="."),dir!AA6/((1/1000)*(Irr!Z6)),IF(AND(Irr!Z6=".",Irr!AX6=".",Irr!BV6="."),dir!AA6*1000)))))))),".")</f>
        <v>.</v>
      </c>
      <c r="AB6" s="48" t="str">
        <f t="shared" ref="AB6:AB9" si="5">IFERROR(1/SUM(1/AC6,1/AD6,1/AE6,1/AF6,1/AG6,1/AH6,1/AI6,1/AJ6,1/AK6,1/AL6,1/AM6,1/AN6,1/AO6,1/AP6,1/AQ6,1/AR6,1/AS6,1/AT6,1/AU6,1/AV6,1/AW6,1/AX6),".")</f>
        <v>.</v>
      </c>
      <c r="AC6" s="48" t="str">
        <f>IFERROR(IF(AND(Irr!C6&lt;&gt;".",Irr!AA6&lt;&gt;".",Irr!AY6&lt;&gt;"."),dir!AC6/((1/1000)*(Irr!C6+Irr!AA6+Irr!AY6)),IF(AND(Irr!C6&lt;&gt;".",Irr!AA6&lt;&gt;".",Irr!AY6="."),dir!AC6/((1/1000)*(Irr!C6+Irr!AA6)),IF(AND(Irr!C6&lt;&gt;".",Irr!AA6=".",Irr!AY6&lt;&gt;"."),dir!AC6/((1/1000)*(Irr!C6+Irr!AY6)),IF(AND(Irr!C6=".",Irr!AA6&lt;&gt;".",Irr!AY6&lt;&gt;"."),dir!AC6/((1/1000)*(Irr!AA6+Irr!AY6)),IF(AND(Irr!C6=".",Irr!AA6=".",Irr!AY6&lt;&gt;"."),dir!AC6/((1/1000)*(Irr!AY6)),IF(AND(Irr!C6=".",Irr!AA6&lt;&gt;".",Irr!AY6="."),dir!AC6/((1/1000)*(Irr!AA6)),IF(AND(Irr!C6&lt;&gt;".",Irr!AA6=".",Irr!AY6="."),dir!AC6/((1/1000)*(Irr!C6)),IF(AND(Irr!C6=".",Irr!AA6=".",Irr!AY6="."),dir!AC6*1000)))))))),".")</f>
        <v>.</v>
      </c>
      <c r="AD6" s="48" t="str">
        <f>IFERROR(IF(AND(Irr!D6&lt;&gt;".",Irr!AB6&lt;&gt;".",Irr!AZ6&lt;&gt;"."),dir!AD6/((1/1000)*(Irr!D6+Irr!AB6+Irr!AZ6)),IF(AND(Irr!D6&lt;&gt;".",Irr!AB6&lt;&gt;".",Irr!AZ6="."),dir!AD6/((1/1000)*(Irr!D6+Irr!AB6)),IF(AND(Irr!D6&lt;&gt;".",Irr!AB6=".",Irr!AZ6&lt;&gt;"."),dir!AD6/((1/1000)*(Irr!D6+Irr!AZ6)),IF(AND(Irr!D6=".",Irr!AB6&lt;&gt;".",Irr!AZ6&lt;&gt;"."),dir!AD6/((1/1000)*(Irr!AB6+Irr!AZ6)),IF(AND(Irr!D6=".",Irr!AB6=".",Irr!AZ6&lt;&gt;"."),dir!AD6/((1/1000)*(Irr!AZ6)),IF(AND(Irr!D6=".",Irr!AB6&lt;&gt;".",Irr!AZ6="."),dir!AD6/((1/1000)*(Irr!AB6)),IF(AND(Irr!D6&lt;&gt;".",Irr!AB6=".",Irr!AZ6="."),dir!AD6/((1/1000)*(Irr!D6)),IF(AND(Irr!D6=".",Irr!AB6=".",Irr!AZ6="."),dir!AD6*1000)))))))),".")</f>
        <v>.</v>
      </c>
      <c r="AE6" s="48" t="str">
        <f>IFERROR(IF(AND(Irr!E6&lt;&gt;".",Irr!AC6&lt;&gt;".",Irr!BA6&lt;&gt;"."),dir!AE6/((1/1000)*(Irr!E6+Irr!AC6+Irr!BA6)),IF(AND(Irr!E6&lt;&gt;".",Irr!AC6&lt;&gt;".",Irr!BA6="."),dir!AE6/((1/1000)*(Irr!E6+Irr!AC6)),IF(AND(Irr!E6&lt;&gt;".",Irr!AC6=".",Irr!BA6&lt;&gt;"."),dir!AE6/((1/1000)*(Irr!E6+Irr!BA6)),IF(AND(Irr!E6=".",Irr!AC6&lt;&gt;".",Irr!BA6&lt;&gt;"."),dir!AE6/((1/1000)*(Irr!AC6+Irr!BA6)),IF(AND(Irr!E6=".",Irr!AC6=".",Irr!BA6&lt;&gt;"."),dir!AE6/((1/1000)*(Irr!BA6)),IF(AND(Irr!E6=".",Irr!AC6&lt;&gt;".",Irr!BA6="."),dir!AE6/((1/1000)*(Irr!AC6)),IF(AND(Irr!E6&lt;&gt;".",Irr!AC6=".",Irr!BA6="."),dir!AE6/((1/1000)*(Irr!E6)),IF(AND(Irr!E6=".",Irr!AC6=".",Irr!BA6="."),dir!AE6*1000)))))))),".")</f>
        <v>.</v>
      </c>
      <c r="AF6" s="48" t="str">
        <f>IFERROR(IF(AND(Irr!F6&lt;&gt;".",Irr!AD6&lt;&gt;".",Irr!BB6&lt;&gt;"."),dir!AF6/((1/1000)*(Irr!F6+Irr!AD6+Irr!BB6)),IF(AND(Irr!F6&lt;&gt;".",Irr!AD6&lt;&gt;".",Irr!BB6="."),dir!AF6/((1/1000)*(Irr!F6+Irr!AD6)),IF(AND(Irr!F6&lt;&gt;".",Irr!AD6=".",Irr!BB6&lt;&gt;"."),dir!AF6/((1/1000)*(Irr!F6+Irr!BB6)),IF(AND(Irr!F6=".",Irr!AD6&lt;&gt;".",Irr!BB6&lt;&gt;"."),dir!AF6/((1/1000)*(Irr!AD6+Irr!BB6)),IF(AND(Irr!F6=".",Irr!AD6=".",Irr!BB6&lt;&gt;"."),dir!AF6/((1/1000)*(Irr!BB6)),IF(AND(Irr!F6=".",Irr!AD6&lt;&gt;".",Irr!BB6="."),dir!AF6/((1/1000)*(Irr!AD6)),IF(AND(Irr!F6&lt;&gt;".",Irr!AD6=".",Irr!BB6="."),dir!AF6/((1/1000)*(Irr!F6)),IF(AND(Irr!F6=".",Irr!AD6=".",Irr!BB6="."),dir!AF6*1000)))))))),".")</f>
        <v>.</v>
      </c>
      <c r="AG6" s="48" t="str">
        <f>IFERROR(IF(AND(Irr!G6&lt;&gt;".",Irr!AE6&lt;&gt;".",Irr!BC6&lt;&gt;"."),dir!AG6/((1/1000)*(Irr!G6+Irr!AE6+Irr!BC6)),IF(AND(Irr!G6&lt;&gt;".",Irr!AE6&lt;&gt;".",Irr!BC6="."),dir!AG6/((1/1000)*(Irr!G6+Irr!AE6)),IF(AND(Irr!G6&lt;&gt;".",Irr!AE6=".",Irr!BC6&lt;&gt;"."),dir!AG6/((1/1000)*(Irr!G6+Irr!BC6)),IF(AND(Irr!G6=".",Irr!AE6&lt;&gt;".",Irr!BC6&lt;&gt;"."),dir!AG6/((1/1000)*(Irr!AE6+Irr!BC6)),IF(AND(Irr!G6=".",Irr!AE6=".",Irr!BC6&lt;&gt;"."),dir!AG6/((1/1000)*(Irr!BC6)),IF(AND(Irr!G6=".",Irr!AE6&lt;&gt;".",Irr!BC6="."),dir!AG6/((1/1000)*(Irr!AE6)),IF(AND(Irr!G6&lt;&gt;".",Irr!AE6=".",Irr!BC6="."),dir!AG6/((1/1000)*(Irr!G6)),IF(AND(Irr!G6=".",Irr!AE6=".",Irr!BC6="."),dir!AG6*1000)))))))),".")</f>
        <v>.</v>
      </c>
      <c r="AH6" s="48" t="str">
        <f>IFERROR(IF(AND(Irr!H6&lt;&gt;".",Irr!AF6&lt;&gt;".",Irr!BD6&lt;&gt;"."),dir!AH6/((1/1000)*(Irr!H6+Irr!AF6+Irr!BD6)),IF(AND(Irr!H6&lt;&gt;".",Irr!AF6&lt;&gt;".",Irr!BD6="."),dir!AH6/((1/1000)*(Irr!H6+Irr!AF6)),IF(AND(Irr!H6&lt;&gt;".",Irr!AF6=".",Irr!BD6&lt;&gt;"."),dir!AH6/((1/1000)*(Irr!H6+Irr!BD6)),IF(AND(Irr!H6=".",Irr!AF6&lt;&gt;".",Irr!BD6&lt;&gt;"."),dir!AH6/((1/1000)*(Irr!AF6+Irr!BD6)),IF(AND(Irr!H6=".",Irr!AF6=".",Irr!BD6&lt;&gt;"."),dir!AH6/((1/1000)*(Irr!BD6)),IF(AND(Irr!H6=".",Irr!AF6&lt;&gt;".",Irr!BD6="."),dir!AH6/((1/1000)*(Irr!AF6)),IF(AND(Irr!H6&lt;&gt;".",Irr!AF6=".",Irr!BD6="."),dir!AH6/((1/1000)*(Irr!H6)),IF(AND(Irr!H6=".",Irr!AF6=".",Irr!BD6="."),dir!AH6*1000)))))))),".")</f>
        <v>.</v>
      </c>
      <c r="AI6" s="48" t="str">
        <f>IFERROR(IF(AND(Irr!I6&lt;&gt;".",Irr!AG6&lt;&gt;".",Irr!BE6&lt;&gt;"."),dir!AI6/((1/1000)*(Irr!I6+Irr!AG6+Irr!BE6)),IF(AND(Irr!I6&lt;&gt;".",Irr!AG6&lt;&gt;".",Irr!BE6="."),dir!AI6/((1/1000)*(Irr!I6+Irr!AG6)),IF(AND(Irr!I6&lt;&gt;".",Irr!AG6=".",Irr!BE6&lt;&gt;"."),dir!AI6/((1/1000)*(Irr!I6+Irr!BE6)),IF(AND(Irr!I6=".",Irr!AG6&lt;&gt;".",Irr!BE6&lt;&gt;"."),dir!AI6/((1/1000)*(Irr!AG6+Irr!BE6)),IF(AND(Irr!I6=".",Irr!AG6=".",Irr!BE6&lt;&gt;"."),dir!AI6/((1/1000)*(Irr!BE6)),IF(AND(Irr!I6=".",Irr!AG6&lt;&gt;".",Irr!BE6="."),dir!AI6/((1/1000)*(Irr!AG6)),IF(AND(Irr!I6&lt;&gt;".",Irr!AG6=".",Irr!BE6="."),dir!AI6/((1/1000)*(Irr!I6)),IF(AND(Irr!I6=".",Irr!AG6=".",Irr!BE6="."),dir!AI6*1000)))))))),".")</f>
        <v>.</v>
      </c>
      <c r="AJ6" s="48" t="str">
        <f>IFERROR(IF(AND(Irr!J6&lt;&gt;".",Irr!AH6&lt;&gt;".",Irr!BF6&lt;&gt;"."),dir!AJ6/((1/1000)*(Irr!J6+Irr!AH6+Irr!BF6)),IF(AND(Irr!J6&lt;&gt;".",Irr!AH6&lt;&gt;".",Irr!BF6="."),dir!AJ6/((1/1000)*(Irr!J6+Irr!AH6)),IF(AND(Irr!J6&lt;&gt;".",Irr!AH6=".",Irr!BF6&lt;&gt;"."),dir!AJ6/((1/1000)*(Irr!J6+Irr!BF6)),IF(AND(Irr!J6=".",Irr!AH6&lt;&gt;".",Irr!BF6&lt;&gt;"."),dir!AJ6/((1/1000)*(Irr!AH6+Irr!BF6)),IF(AND(Irr!J6=".",Irr!AH6=".",Irr!BF6&lt;&gt;"."),dir!AJ6/((1/1000)*(Irr!BF6)),IF(AND(Irr!J6=".",Irr!AH6&lt;&gt;".",Irr!BF6="."),dir!AJ6/((1/1000)*(Irr!AH6)),IF(AND(Irr!J6&lt;&gt;".",Irr!AH6=".",Irr!BF6="."),dir!AJ6/((1/1000)*(Irr!J6)),IF(AND(Irr!J6=".",Irr!AH6=".",Irr!BF6="."),dir!AJ6*1000)))))))),".")</f>
        <v>.</v>
      </c>
      <c r="AK6" s="48" t="str">
        <f>IFERROR(IF(AND(Irr!K6&lt;&gt;".",Irr!AI6&lt;&gt;".",Irr!BG6&lt;&gt;"."),dir!AK6/((1/1000)*(Irr!K6+Irr!AI6+Irr!BG6)),IF(AND(Irr!K6&lt;&gt;".",Irr!AI6&lt;&gt;".",Irr!BG6="."),dir!AK6/((1/1000)*(Irr!K6+Irr!AI6)),IF(AND(Irr!K6&lt;&gt;".",Irr!AI6=".",Irr!BG6&lt;&gt;"."),dir!AK6/((1/1000)*(Irr!K6+Irr!BG6)),IF(AND(Irr!K6=".",Irr!AI6&lt;&gt;".",Irr!BG6&lt;&gt;"."),dir!AK6/((1/1000)*(Irr!AI6+Irr!BG6)),IF(AND(Irr!K6=".",Irr!AI6=".",Irr!BG6&lt;&gt;"."),dir!AK6/((1/1000)*(Irr!BG6)),IF(AND(Irr!K6=".",Irr!AI6&lt;&gt;".",Irr!BG6="."),dir!AK6/((1/1000)*(Irr!AI6)),IF(AND(Irr!K6&lt;&gt;".",Irr!AI6=".",Irr!BG6="."),dir!AK6/((1/1000)*(Irr!K6)),IF(AND(Irr!K6=".",Irr!AI6=".",Irr!BG6="."),dir!AK6*1000)))))))),".")</f>
        <v>.</v>
      </c>
      <c r="AL6" s="48" t="str">
        <f>IFERROR(IF(AND(Irr!L6&lt;&gt;".",Irr!AJ6&lt;&gt;".",Irr!BH6&lt;&gt;"."),dir!AL6/((1/1000)*(Irr!L6+Irr!AJ6+Irr!BH6)),IF(AND(Irr!L6&lt;&gt;".",Irr!AJ6&lt;&gt;".",Irr!BH6="."),dir!AL6/((1/1000)*(Irr!L6+Irr!AJ6)),IF(AND(Irr!L6&lt;&gt;".",Irr!AJ6=".",Irr!BH6&lt;&gt;"."),dir!AL6/((1/1000)*(Irr!L6+Irr!BH6)),IF(AND(Irr!L6=".",Irr!AJ6&lt;&gt;".",Irr!BH6&lt;&gt;"."),dir!AL6/((1/1000)*(Irr!AJ6+Irr!BH6)),IF(AND(Irr!L6=".",Irr!AJ6=".",Irr!BH6&lt;&gt;"."),dir!AL6/((1/1000)*(Irr!BH6)),IF(AND(Irr!L6=".",Irr!AJ6&lt;&gt;".",Irr!BH6="."),dir!AL6/((1/1000)*(Irr!AJ6)),IF(AND(Irr!L6&lt;&gt;".",Irr!AJ6=".",Irr!BH6="."),dir!AL6/((1/1000)*(Irr!L6)),IF(AND(Irr!L6=".",Irr!AJ6=".",Irr!BH6="."),dir!AL6*1000)))))))),".")</f>
        <v>.</v>
      </c>
      <c r="AM6" s="48" t="str">
        <f>IFERROR(IF(AND(Irr!M6&lt;&gt;".",Irr!AK6&lt;&gt;".",Irr!BI6&lt;&gt;"."),dir!AM6/((1/1000)*(Irr!M6+Irr!AK6+Irr!BI6)),IF(AND(Irr!M6&lt;&gt;".",Irr!AK6&lt;&gt;".",Irr!BI6="."),dir!AM6/((1/1000)*(Irr!M6+Irr!AK6)),IF(AND(Irr!M6&lt;&gt;".",Irr!AK6=".",Irr!BI6&lt;&gt;"."),dir!AM6/((1/1000)*(Irr!M6+Irr!BI6)),IF(AND(Irr!M6=".",Irr!AK6&lt;&gt;".",Irr!BI6&lt;&gt;"."),dir!AM6/((1/1000)*(Irr!AK6+Irr!BI6)),IF(AND(Irr!M6=".",Irr!AK6=".",Irr!BI6&lt;&gt;"."),dir!AM6/((1/1000)*(Irr!BI6)),IF(AND(Irr!M6=".",Irr!AK6&lt;&gt;".",Irr!BI6="."),dir!AM6/((1/1000)*(Irr!AK6)),IF(AND(Irr!M6&lt;&gt;".",Irr!AK6=".",Irr!BI6="."),dir!AM6/((1/1000)*(Irr!M6)),IF(AND(Irr!M6=".",Irr!AK6=".",Irr!BI6="."),dir!AM6*1000)))))))),".")</f>
        <v>.</v>
      </c>
      <c r="AN6" s="48" t="str">
        <f>IFERROR(IF(AND(Irr!N6&lt;&gt;".",Irr!AL6&lt;&gt;".",Irr!BJ6&lt;&gt;"."),dir!AN6/((1/1000)*(Irr!N6+Irr!AL6+Irr!BJ6)),IF(AND(Irr!N6&lt;&gt;".",Irr!AL6&lt;&gt;".",Irr!BJ6="."),dir!AN6/((1/1000)*(Irr!N6+Irr!AL6)),IF(AND(Irr!N6&lt;&gt;".",Irr!AL6=".",Irr!BJ6&lt;&gt;"."),dir!AN6/((1/1000)*(Irr!N6+Irr!BJ6)),IF(AND(Irr!N6=".",Irr!AL6&lt;&gt;".",Irr!BJ6&lt;&gt;"."),dir!AN6/((1/1000)*(Irr!AL6+Irr!BJ6)),IF(AND(Irr!N6=".",Irr!AL6=".",Irr!BJ6&lt;&gt;"."),dir!AN6/((1/1000)*(Irr!BJ6)),IF(AND(Irr!N6=".",Irr!AL6&lt;&gt;".",Irr!BJ6="."),dir!AN6/((1/1000)*(Irr!AL6)),IF(AND(Irr!N6&lt;&gt;".",Irr!AL6=".",Irr!BJ6="."),dir!AN6/((1/1000)*(Irr!N6)),IF(AND(Irr!N6=".",Irr!AL6=".",Irr!BJ6="."),dir!AN6*1000)))))))),".")</f>
        <v>.</v>
      </c>
      <c r="AO6" s="48" t="str">
        <f>IFERROR(IF(AND(Irr!O6&lt;&gt;".",Irr!AM6&lt;&gt;".",Irr!BK6&lt;&gt;"."),dir!AO6/((1/1000)*(Irr!O6+Irr!AM6+Irr!BK6)),IF(AND(Irr!O6&lt;&gt;".",Irr!AM6&lt;&gt;".",Irr!BK6="."),dir!AO6/((1/1000)*(Irr!O6+Irr!AM6)),IF(AND(Irr!O6&lt;&gt;".",Irr!AM6=".",Irr!BK6&lt;&gt;"."),dir!AO6/((1/1000)*(Irr!O6+Irr!BK6)),IF(AND(Irr!O6=".",Irr!AM6&lt;&gt;".",Irr!BK6&lt;&gt;"."),dir!AO6/((1/1000)*(Irr!AM6+Irr!BK6)),IF(AND(Irr!O6=".",Irr!AM6=".",Irr!BK6&lt;&gt;"."),dir!AO6/((1/1000)*(Irr!BK6)),IF(AND(Irr!O6=".",Irr!AM6&lt;&gt;".",Irr!BK6="."),dir!AO6/((1/1000)*(Irr!AM6)),IF(AND(Irr!O6&lt;&gt;".",Irr!AM6=".",Irr!BK6="."),dir!AO6/((1/1000)*(Irr!O6)),IF(AND(Irr!O6=".",Irr!AM6=".",Irr!BK6="."),dir!AO6*1000)))))))),".")</f>
        <v>.</v>
      </c>
      <c r="AP6" s="48" t="str">
        <f>IFERROR(IF(AND(Irr!P6&lt;&gt;".",Irr!AN6&lt;&gt;".",Irr!BL6&lt;&gt;"."),dir!AP6/((1/1000)*(Irr!P6+Irr!AN6+Irr!BL6)),IF(AND(Irr!P6&lt;&gt;".",Irr!AN6&lt;&gt;".",Irr!BL6="."),dir!AP6/((1/1000)*(Irr!P6+Irr!AN6)),IF(AND(Irr!P6&lt;&gt;".",Irr!AN6=".",Irr!BL6&lt;&gt;"."),dir!AP6/((1/1000)*(Irr!P6+Irr!BL6)),IF(AND(Irr!P6=".",Irr!AN6&lt;&gt;".",Irr!BL6&lt;&gt;"."),dir!AP6/((1/1000)*(Irr!AN6+Irr!BL6)),IF(AND(Irr!P6=".",Irr!AN6=".",Irr!BL6&lt;&gt;"."),dir!AP6/((1/1000)*(Irr!BL6)),IF(AND(Irr!P6=".",Irr!AN6&lt;&gt;".",Irr!BL6="."),dir!AP6/((1/1000)*(Irr!AN6)),IF(AND(Irr!P6&lt;&gt;".",Irr!AN6=".",Irr!BL6="."),dir!AP6/((1/1000)*(Irr!P6)),IF(AND(Irr!P6=".",Irr!AN6=".",Irr!BL6="."),dir!AP6*1000)))))))),".")</f>
        <v>.</v>
      </c>
      <c r="AQ6" s="48" t="str">
        <f>IFERROR(IF(AND(Irr!Q6&lt;&gt;".",Irr!AO6&lt;&gt;".",Irr!BM6&lt;&gt;"."),dir!AQ6/((1/1000)*(Irr!Q6+Irr!AO6+Irr!BM6)),IF(AND(Irr!Q6&lt;&gt;".",Irr!AO6&lt;&gt;".",Irr!BM6="."),dir!AQ6/((1/1000)*(Irr!Q6+Irr!AO6)),IF(AND(Irr!Q6&lt;&gt;".",Irr!AO6=".",Irr!BM6&lt;&gt;"."),dir!AQ6/((1/1000)*(Irr!Q6+Irr!BM6)),IF(AND(Irr!Q6=".",Irr!AO6&lt;&gt;".",Irr!BM6&lt;&gt;"."),dir!AQ6/((1/1000)*(Irr!AO6+Irr!BM6)),IF(AND(Irr!Q6=".",Irr!AO6=".",Irr!BM6&lt;&gt;"."),dir!AQ6/((1/1000)*(Irr!BM6)),IF(AND(Irr!Q6=".",Irr!AO6&lt;&gt;".",Irr!BM6="."),dir!AQ6/((1/1000)*(Irr!AO6)),IF(AND(Irr!Q6&lt;&gt;".",Irr!AO6=".",Irr!BM6="."),dir!AQ6/((1/1000)*(Irr!Q6)),IF(AND(Irr!Q6=".",Irr!AO6=".",Irr!BM6="."),dir!AQ6*1000)))))))),".")</f>
        <v>.</v>
      </c>
      <c r="AR6" s="48" t="str">
        <f>IFERROR(IF(AND(Irr!R6&lt;&gt;".",Irr!AP6&lt;&gt;".",Irr!BN6&lt;&gt;"."),dir!AR6/((1/1000)*(Irr!R6+Irr!AP6+Irr!BN6)),IF(AND(Irr!R6&lt;&gt;".",Irr!AP6&lt;&gt;".",Irr!BN6="."),dir!AR6/((1/1000)*(Irr!R6+Irr!AP6)),IF(AND(Irr!R6&lt;&gt;".",Irr!AP6=".",Irr!BN6&lt;&gt;"."),dir!AR6/((1/1000)*(Irr!R6+Irr!BN6)),IF(AND(Irr!R6=".",Irr!AP6&lt;&gt;".",Irr!BN6&lt;&gt;"."),dir!AR6/((1/1000)*(Irr!AP6+Irr!BN6)),IF(AND(Irr!R6=".",Irr!AP6=".",Irr!BN6&lt;&gt;"."),dir!AR6/((1/1000)*(Irr!BN6)),IF(AND(Irr!R6=".",Irr!AP6&lt;&gt;".",Irr!BN6="."),dir!AR6/((1/1000)*(Irr!AP6)),IF(AND(Irr!R6&lt;&gt;".",Irr!AP6=".",Irr!BN6="."),dir!AR6/((1/1000)*(Irr!R6)),IF(AND(Irr!R6=".",Irr!AP6=".",Irr!BN6="."),dir!AR6*1000)))))))),".")</f>
        <v>.</v>
      </c>
      <c r="AS6" s="48" t="str">
        <f>IFERROR(IF(AND(Irr!S6&lt;&gt;".",Irr!AQ6&lt;&gt;".",Irr!BO6&lt;&gt;"."),dir!AS6/((1/1000)*(Irr!S6+Irr!AQ6+Irr!BO6)),IF(AND(Irr!S6&lt;&gt;".",Irr!AQ6&lt;&gt;".",Irr!BO6="."),dir!AS6/((1/1000)*(Irr!S6+Irr!AQ6)),IF(AND(Irr!S6&lt;&gt;".",Irr!AQ6=".",Irr!BO6&lt;&gt;"."),dir!AS6/((1/1000)*(Irr!S6+Irr!BO6)),IF(AND(Irr!S6=".",Irr!AQ6&lt;&gt;".",Irr!BO6&lt;&gt;"."),dir!AS6/((1/1000)*(Irr!AQ6+Irr!BO6)),IF(AND(Irr!S6=".",Irr!AQ6=".",Irr!BO6&lt;&gt;"."),dir!AS6/((1/1000)*(Irr!BO6)),IF(AND(Irr!S6=".",Irr!AQ6&lt;&gt;".",Irr!BO6="."),dir!AS6/((1/1000)*(Irr!AQ6)),IF(AND(Irr!S6&lt;&gt;".",Irr!AQ6=".",Irr!BO6="."),dir!AS6/((1/1000)*(Irr!S6)),IF(AND(Irr!S6=".",Irr!AQ6=".",Irr!BO6="."),dir!AS6*1000)))))))),".")</f>
        <v>.</v>
      </c>
      <c r="AT6" s="48" t="str">
        <f>IFERROR(IF(AND(Irr!T6&lt;&gt;".",Irr!AR6&lt;&gt;".",Irr!BP6&lt;&gt;"."),dir!AT6/((1/1000)*(Irr!T6+Irr!AR6+Irr!BP6)),IF(AND(Irr!T6&lt;&gt;".",Irr!AR6&lt;&gt;".",Irr!BP6="."),dir!AT6/((1/1000)*(Irr!T6+Irr!AR6)),IF(AND(Irr!T6&lt;&gt;".",Irr!AR6=".",Irr!BP6&lt;&gt;"."),dir!AT6/((1/1000)*(Irr!T6+Irr!BP6)),IF(AND(Irr!T6=".",Irr!AR6&lt;&gt;".",Irr!BP6&lt;&gt;"."),dir!AT6/((1/1000)*(Irr!AR6+Irr!BP6)),IF(AND(Irr!T6=".",Irr!AR6=".",Irr!BP6&lt;&gt;"."),dir!AT6/((1/1000)*(Irr!BP6)),IF(AND(Irr!T6=".",Irr!AR6&lt;&gt;".",Irr!BP6="."),dir!AT6/((1/1000)*(Irr!AR6)),IF(AND(Irr!T6&lt;&gt;".",Irr!AR6=".",Irr!BP6="."),dir!AT6/((1/1000)*(Irr!T6)),IF(AND(Irr!T6=".",Irr!AR6=".",Irr!BP6="."),dir!AT6*1000)))))))),".")</f>
        <v>.</v>
      </c>
      <c r="AU6" s="48" t="str">
        <f>IFERROR(IF(AND(Irr!U6&lt;&gt;".",Irr!AS6&lt;&gt;".",Irr!BQ6&lt;&gt;"."),dir!AU6/((1/1000)*(Irr!U6+Irr!AS6+Irr!BQ6)),IF(AND(Irr!U6&lt;&gt;".",Irr!AS6&lt;&gt;".",Irr!BQ6="."),dir!AU6/((1/1000)*(Irr!U6+Irr!AS6)),IF(AND(Irr!U6&lt;&gt;".",Irr!AS6=".",Irr!BQ6&lt;&gt;"."),dir!AU6/((1/1000)*(Irr!U6+Irr!BQ6)),IF(AND(Irr!U6=".",Irr!AS6&lt;&gt;".",Irr!BQ6&lt;&gt;"."),dir!AU6/((1/1000)*(Irr!AS6+Irr!BQ6)),IF(AND(Irr!U6=".",Irr!AS6=".",Irr!BQ6&lt;&gt;"."),dir!AU6/((1/1000)*(Irr!BQ6)),IF(AND(Irr!U6=".",Irr!AS6&lt;&gt;".",Irr!BQ6="."),dir!AU6/((1/1000)*(Irr!AS6)),IF(AND(Irr!U6&lt;&gt;".",Irr!AS6=".",Irr!BQ6="."),dir!AU6/((1/1000)*(Irr!U6)),IF(AND(Irr!U6=".",Irr!AS6=".",Irr!BQ6="."),dir!AU6*1000)))))))),".")</f>
        <v>.</v>
      </c>
      <c r="AV6" s="48" t="str">
        <f>IFERROR(IF(AND(Irr!V6&lt;&gt;".",Irr!AT6&lt;&gt;".",Irr!BR6&lt;&gt;"."),dir!AV6/((1/1000)*(Irr!V6+Irr!AT6+Irr!BR6)),IF(AND(Irr!V6&lt;&gt;".",Irr!AT6&lt;&gt;".",Irr!BR6="."),dir!AV6/((1/1000)*(Irr!V6+Irr!AT6)),IF(AND(Irr!V6&lt;&gt;".",Irr!AT6=".",Irr!BR6&lt;&gt;"."),dir!AV6/((1/1000)*(Irr!V6+Irr!BR6)),IF(AND(Irr!V6=".",Irr!AT6&lt;&gt;".",Irr!BR6&lt;&gt;"."),dir!AV6/((1/1000)*(Irr!AT6+Irr!BR6)),IF(AND(Irr!V6=".",Irr!AT6=".",Irr!BR6&lt;&gt;"."),dir!AV6/((1/1000)*(Irr!BR6)),IF(AND(Irr!V6=".",Irr!AT6&lt;&gt;".",Irr!BR6="."),dir!AV6/((1/1000)*(Irr!AT6)),IF(AND(Irr!V6&lt;&gt;".",Irr!AT6=".",Irr!BR6="."),dir!AV6/((1/1000)*(Irr!V6)),IF(AND(Irr!V6=".",Irr!AT6=".",Irr!BR6="."),dir!AV6*1000)))))))),".")</f>
        <v>.</v>
      </c>
      <c r="AW6" s="48" t="str">
        <f>IFERROR(IF(AND(Irr!W6&lt;&gt;".",Irr!AU6&lt;&gt;".",Irr!BS6&lt;&gt;"."),dir!AW6/((1/1000)*(Irr!W6+Irr!AU6+Irr!BS6)),IF(AND(Irr!W6&lt;&gt;".",Irr!AU6&lt;&gt;".",Irr!BS6="."),dir!AW6/((1/1000)*(Irr!W6+Irr!AU6)),IF(AND(Irr!W6&lt;&gt;".",Irr!AU6=".",Irr!BS6&lt;&gt;"."),dir!AW6/((1/1000)*(Irr!W6+Irr!BS6)),IF(AND(Irr!W6=".",Irr!AU6&lt;&gt;".",Irr!BS6&lt;&gt;"."),dir!AW6/((1/1000)*(Irr!AU6+Irr!BS6)),IF(AND(Irr!W6=".",Irr!AU6=".",Irr!BS6&lt;&gt;"."),dir!AW6/((1/1000)*(Irr!BS6)),IF(AND(Irr!W6=".",Irr!AU6&lt;&gt;".",Irr!BS6="."),dir!AW6/((1/1000)*(Irr!AU6)),IF(AND(Irr!W6&lt;&gt;".",Irr!AU6=".",Irr!BS6="."),dir!AW6/((1/1000)*(Irr!W6)),IF(AND(Irr!W6=".",Irr!AU6=".",Irr!BS6="."),dir!AW6*1000)))))))),".")</f>
        <v>.</v>
      </c>
      <c r="AX6" s="48" t="str">
        <f>IFERROR(IF(AND(Irr!X6&lt;&gt;".",Irr!AV6&lt;&gt;".",Irr!BT6&lt;&gt;"."),dir!AX6/((1/1000)*(Irr!X6+Irr!AV6+Irr!BT6)),IF(AND(Irr!X6&lt;&gt;".",Irr!AV6&lt;&gt;".",Irr!BT6="."),dir!AX6/((1/1000)*(Irr!X6+Irr!AV6)),IF(AND(Irr!X6&lt;&gt;".",Irr!AV6=".",Irr!BT6&lt;&gt;"."),dir!AX6/((1/1000)*(Irr!X6+Irr!BT6)),IF(AND(Irr!X6=".",Irr!AV6&lt;&gt;".",Irr!BT6&lt;&gt;"."),dir!AX6/((1/1000)*(Irr!AV6+Irr!BT6)),IF(AND(Irr!X6=".",Irr!AV6=".",Irr!BT6&lt;&gt;"."),dir!AX6/((1/1000)*(Irr!BT6)),IF(AND(Irr!X6=".",Irr!AV6&lt;&gt;".",Irr!BT6="."),dir!AX6/((1/1000)*(Irr!AV6)),IF(AND(Irr!X6&lt;&gt;".",Irr!AV6=".",Irr!BT6="."),dir!AX6/((1/1000)*(Irr!X6)),IF(AND(Irr!X6=".",Irr!AV6=".",Irr!BT6="."),dir!AX6*1000)))))))),".")</f>
        <v>.</v>
      </c>
      <c r="AY6" s="48" t="str">
        <f>IFERROR(IF(AND(Irr!Y6&lt;&gt;".",Irr!AW6&lt;&gt;".",Irr!BU6&lt;&gt;"."),dir!AY6/((1/1000)*(Irr!Y6+Irr!AW6+Irr!BU6)),IF(AND(Irr!Y6&lt;&gt;".",Irr!AW6&lt;&gt;".",Irr!BU6="."),dir!AY6/((1/1000)*(Irr!Y6+Irr!AW6)),IF(AND(Irr!Y6&lt;&gt;".",Irr!AW6=".",Irr!BU6&lt;&gt;"."),dir!AY6/((1/1000)*(Irr!Y6+Irr!BU6)),IF(AND(Irr!Y6=".",Irr!AW6&lt;&gt;".",Irr!BU6&lt;&gt;"."),dir!AY6/((1/1000)*(Irr!AW6+Irr!BU6)),IF(AND(Irr!Y6=".",Irr!AW6=".",Irr!BU6&lt;&gt;"."),dir!AY6/((1/1000)*(Irr!BU6)),IF(AND(Irr!Y6=".",Irr!AW6&lt;&gt;".",Irr!BU6="."),dir!AY6/((1/1000)*(Irr!AW6)),IF(AND(Irr!Y6&lt;&gt;".",Irr!AW6=".",Irr!BU6="."),dir!AY6/((1/1000)*(Irr!Y6)),IF(AND(Irr!Y6=".",Irr!AW6=".",Irr!BU6="."),dir!AY6*1000)))))))),".")</f>
        <v>.</v>
      </c>
      <c r="AZ6" s="48" t="str">
        <f>IFERROR(IF(AND(Irr!Z6&lt;&gt;".",Irr!AX6&lt;&gt;".",Irr!BV6&lt;&gt;"."),dir!AZ6/((1/1000)*(Irr!Z6+Irr!AX6+Irr!BV6)),IF(AND(Irr!Z6&lt;&gt;".",Irr!AX6&lt;&gt;".",Irr!BV6="."),dir!AZ6/((1/1000)*(Irr!Z6+Irr!AX6)),IF(AND(Irr!Z6&lt;&gt;".",Irr!AX6=".",Irr!BV6&lt;&gt;"."),dir!AZ6/((1/1000)*(Irr!Z6+Irr!BV6)),IF(AND(Irr!Z6=".",Irr!AX6&lt;&gt;".",Irr!BV6&lt;&gt;"."),dir!AZ6/((1/1000)*(Irr!AX6+Irr!BV6)),IF(AND(Irr!Z6=".",Irr!AX6=".",Irr!BV6&lt;&gt;"."),dir!AZ6/((1/1000)*(Irr!BV6)),IF(AND(Irr!Z6=".",Irr!AX6&lt;&gt;".",Irr!BV6="."),dir!AZ6/((1/1000)*(Irr!AX6)),IF(AND(Irr!Z6&lt;&gt;".",Irr!AX6=".",Irr!BV6="."),dir!AZ6/((1/1000)*(Irr!Z6)),IF(AND(Irr!Z6=".",Irr!AX6=".",Irr!BV6="."),dir!AZ6*1000)))))))),".")</f>
        <v>.</v>
      </c>
    </row>
    <row r="7" spans="1:52" ht="15" customHeight="1" x14ac:dyDescent="0.25">
      <c r="A7" s="61" t="s">
        <v>5</v>
      </c>
      <c r="B7" s="49" t="s">
        <v>1059</v>
      </c>
      <c r="C7" s="48">
        <f t="shared" si="4"/>
        <v>44.713304517054127</v>
      </c>
      <c r="D7" s="48">
        <f>IFERROR(IF(AND(Irr!C7&lt;&gt;".",Irr!AA7&lt;&gt;".",Irr!AY7&lt;&gt;"."),dir!D7/((1/1000)*(Irr!C7+Irr!AA7+Irr!AY7)),IF(AND(Irr!C7&lt;&gt;".",Irr!AA7&lt;&gt;".",Irr!AY7="."),dir!D7/((1/1000)*(Irr!C7+Irr!AA7)),IF(AND(Irr!C7&lt;&gt;".",Irr!AA7=".",Irr!AY7&lt;&gt;"."),dir!D7/((1/1000)*(Irr!C7+Irr!AY7)),IF(AND(Irr!C7=".",Irr!AA7&lt;&gt;".",Irr!AY7&lt;&gt;"."),dir!D7/((1/1000)*(Irr!AA7+Irr!AY7)),IF(AND(Irr!C7=".",Irr!AA7=".",Irr!AY7&lt;&gt;"."),dir!D7/((1/1000)*(Irr!AY7)),IF(AND(Irr!C7=".",Irr!AA7&lt;&gt;".",Irr!AY7="."),dir!D7/((1/1000)*(Irr!AA7)),IF(AND(Irr!C7&lt;&gt;".",Irr!AA7=".",Irr!AY7="."),dir!D7/((1/1000)*(Irr!C7)),IF(AND(Irr!C7=".",Irr!AA7=".",Irr!AY7="."),dir!D7*1000)))))))),".")</f>
        <v>809.69893637225857</v>
      </c>
      <c r="E7" s="48">
        <f>IFERROR(IF(AND(Irr!D7&lt;&gt;".",Irr!AB7&lt;&gt;".",Irr!AZ7&lt;&gt;"."),dir!E7/((1/1000)*(Irr!D7+Irr!AB7+Irr!AZ7)),IF(AND(Irr!D7&lt;&gt;".",Irr!AB7&lt;&gt;".",Irr!AZ7="."),dir!E7/((1/1000)*(Irr!D7+Irr!AB7)),IF(AND(Irr!D7&lt;&gt;".",Irr!AB7=".",Irr!AZ7&lt;&gt;"."),dir!E7/((1/1000)*(Irr!D7+Irr!AZ7)),IF(AND(Irr!D7=".",Irr!AB7&lt;&gt;".",Irr!AZ7&lt;&gt;"."),dir!E7/((1/1000)*(Irr!AB7+Irr!AZ7)),IF(AND(Irr!D7=".",Irr!AB7=".",Irr!AZ7&lt;&gt;"."),dir!E7/((1/1000)*(Irr!AZ7)),IF(AND(Irr!D7=".",Irr!AB7&lt;&gt;".",Irr!AZ7="."),dir!E7/((1/1000)*(Irr!AB7)),IF(AND(Irr!D7&lt;&gt;".",Irr!AB7=".",Irr!AZ7="."),dir!E7/((1/1000)*(Irr!D7)),IF(AND(Irr!D7=".",Irr!AB7=".",Irr!AZ7="."),dir!E7*1000)))))))),".")</f>
        <v>1799.4393084952521</v>
      </c>
      <c r="F7" s="48">
        <f>IFERROR(IF(AND(Irr!E7&lt;&gt;".",Irr!AC7&lt;&gt;".",Irr!BA7&lt;&gt;"."),dir!F7/((1/1000)*(Irr!E7+Irr!AC7+Irr!BA7)),IF(AND(Irr!E7&lt;&gt;".",Irr!AC7&lt;&gt;".",Irr!BA7="."),dir!F7/((1/1000)*(Irr!E7+Irr!AC7)),IF(AND(Irr!E7&lt;&gt;".",Irr!AC7=".",Irr!BA7&lt;&gt;"."),dir!F7/((1/1000)*(Irr!E7+Irr!BA7)),IF(AND(Irr!E7=".",Irr!AC7&lt;&gt;".",Irr!BA7&lt;&gt;"."),dir!F7/((1/1000)*(Irr!AC7+Irr!BA7)),IF(AND(Irr!E7=".",Irr!AC7=".",Irr!BA7&lt;&gt;"."),dir!F7/((1/1000)*(Irr!BA7)),IF(AND(Irr!E7=".",Irr!AC7&lt;&gt;".",Irr!BA7="."),dir!F7/((1/1000)*(Irr!AC7)),IF(AND(Irr!E7&lt;&gt;".",Irr!AC7=".",Irr!BA7="."),dir!F7/((1/1000)*(Irr!E7)),IF(AND(Irr!E7=".",Irr!AC7=".",Irr!BA7="."),dir!F7*1000)))))))),".")</f>
        <v>2200.0715999409367</v>
      </c>
      <c r="G7" s="48">
        <f>IFERROR(IF(AND(Irr!F7&lt;&gt;".",Irr!AD7&lt;&gt;".",Irr!BB7&lt;&gt;"."),dir!G7/((1/1000)*(Irr!F7+Irr!AD7+Irr!BB7)),IF(AND(Irr!F7&lt;&gt;".",Irr!AD7&lt;&gt;".",Irr!BB7="."),dir!G7/((1/1000)*(Irr!F7+Irr!AD7)),IF(AND(Irr!F7&lt;&gt;".",Irr!AD7=".",Irr!BB7&lt;&gt;"."),dir!G7/((1/1000)*(Irr!F7+Irr!BB7)),IF(AND(Irr!F7=".",Irr!AD7&lt;&gt;".",Irr!BB7&lt;&gt;"."),dir!G7/((1/1000)*(Irr!AD7+Irr!BB7)),IF(AND(Irr!F7=".",Irr!AD7=".",Irr!BB7&lt;&gt;"."),dir!G7/((1/1000)*(Irr!BB7)),IF(AND(Irr!F7=".",Irr!AD7&lt;&gt;".",Irr!BB7="."),dir!G7/((1/1000)*(Irr!AD7)),IF(AND(Irr!F7&lt;&gt;".",Irr!AD7=".",Irr!BB7="."),dir!G7/((1/1000)*(Irr!F7)),IF(AND(Irr!F7=".",Irr!AD7=".",Irr!BB7="."),dir!G7*1000)))))))),".")</f>
        <v>1813.2713111939129</v>
      </c>
      <c r="H7" s="48">
        <f>IFERROR(IF(AND(Irr!G7&lt;&gt;".",Irr!AE7&lt;&gt;".",Irr!BC7&lt;&gt;"."),dir!H7/((1/1000)*(Irr!G7+Irr!AE7+Irr!BC7)),IF(AND(Irr!G7&lt;&gt;".",Irr!AE7&lt;&gt;".",Irr!BC7="."),dir!H7/((1/1000)*(Irr!G7+Irr!AE7)),IF(AND(Irr!G7&lt;&gt;".",Irr!AE7=".",Irr!BC7&lt;&gt;"."),dir!H7/((1/1000)*(Irr!G7+Irr!BC7)),IF(AND(Irr!G7=".",Irr!AE7&lt;&gt;".",Irr!BC7&lt;&gt;"."),dir!H7/((1/1000)*(Irr!AE7+Irr!BC7)),IF(AND(Irr!G7=".",Irr!AE7=".",Irr!BC7&lt;&gt;"."),dir!H7/((1/1000)*(Irr!BC7)),IF(AND(Irr!G7=".",Irr!AE7&lt;&gt;".",Irr!BC7="."),dir!H7/((1/1000)*(Irr!AE7)),IF(AND(Irr!G7&lt;&gt;".",Irr!AE7=".",Irr!BC7="."),dir!H7/((1/1000)*(Irr!G7)),IF(AND(Irr!G7=".",Irr!AE7=".",Irr!BC7="."),dir!H7*1000)))))))),".")</f>
        <v>2138.8872880544045</v>
      </c>
      <c r="I7" s="48">
        <f>IFERROR(IF(AND(Irr!H7&lt;&gt;".",Irr!AF7&lt;&gt;".",Irr!BD7&lt;&gt;"."),dir!I7/((1/1000)*(Irr!H7+Irr!AF7+Irr!BD7)),IF(AND(Irr!H7&lt;&gt;".",Irr!AF7&lt;&gt;".",Irr!BD7="."),dir!I7/((1/1000)*(Irr!H7+Irr!AF7)),IF(AND(Irr!H7&lt;&gt;".",Irr!AF7=".",Irr!BD7&lt;&gt;"."),dir!I7/((1/1000)*(Irr!H7+Irr!BD7)),IF(AND(Irr!H7=".",Irr!AF7&lt;&gt;".",Irr!BD7&lt;&gt;"."),dir!I7/((1/1000)*(Irr!AF7+Irr!BD7)),IF(AND(Irr!H7=".",Irr!AF7=".",Irr!BD7&lt;&gt;"."),dir!I7/((1/1000)*(Irr!BD7)),IF(AND(Irr!H7=".",Irr!AF7&lt;&gt;".",Irr!BD7="."),dir!I7/((1/1000)*(Irr!AF7)),IF(AND(Irr!H7&lt;&gt;".",Irr!AF7=".",Irr!BD7="."),dir!I7/((1/1000)*(Irr!H7)),IF(AND(Irr!H7=".",Irr!AF7=".",Irr!BD7="."),dir!I7*1000)))))))),".")</f>
        <v>805.62521928155832</v>
      </c>
      <c r="J7" s="48">
        <f>IFERROR(IF(AND(Irr!I7&lt;&gt;".",Irr!AG7&lt;&gt;".",Irr!BE7&lt;&gt;"."),dir!J7/((1/1000)*(Irr!I7+Irr!AG7+Irr!BE7)),IF(AND(Irr!I7&lt;&gt;".",Irr!AG7&lt;&gt;".",Irr!BE7="."),dir!J7/((1/1000)*(Irr!I7+Irr!AG7)),IF(AND(Irr!I7&lt;&gt;".",Irr!AG7=".",Irr!BE7&lt;&gt;"."),dir!J7/((1/1000)*(Irr!I7+Irr!BE7)),IF(AND(Irr!I7=".",Irr!AG7&lt;&gt;".",Irr!BE7&lt;&gt;"."),dir!J7/((1/1000)*(Irr!AG7+Irr!BE7)),IF(AND(Irr!I7=".",Irr!AG7=".",Irr!BE7&lt;&gt;"."),dir!J7/((1/1000)*(Irr!BE7)),IF(AND(Irr!I7=".",Irr!AG7&lt;&gt;".",Irr!BE7="."),dir!J7/((1/1000)*(Irr!AG7)),IF(AND(Irr!I7&lt;&gt;".",Irr!AG7=".",Irr!BE7="."),dir!J7/((1/1000)*(Irr!I7)),IF(AND(Irr!I7=".",Irr!AG7=".",Irr!BE7="."),dir!J7*1000)))))))),".")</f>
        <v>2430.2188497011543</v>
      </c>
      <c r="K7" s="48">
        <f>IFERROR(IF(AND(Irr!J7&lt;&gt;".",Irr!AH7&lt;&gt;".",Irr!BF7&lt;&gt;"."),dir!K7/((1/1000)*(Irr!J7+Irr!AH7+Irr!BF7)),IF(AND(Irr!J7&lt;&gt;".",Irr!AH7&lt;&gt;".",Irr!BF7="."),dir!K7/((1/1000)*(Irr!J7+Irr!AH7)),IF(AND(Irr!J7&lt;&gt;".",Irr!AH7=".",Irr!BF7&lt;&gt;"."),dir!K7/((1/1000)*(Irr!J7+Irr!BF7)),IF(AND(Irr!J7=".",Irr!AH7&lt;&gt;".",Irr!BF7&lt;&gt;"."),dir!K7/((1/1000)*(Irr!AH7+Irr!BF7)),IF(AND(Irr!J7=".",Irr!AH7=".",Irr!BF7&lt;&gt;"."),dir!K7/((1/1000)*(Irr!BF7)),IF(AND(Irr!J7=".",Irr!AH7&lt;&gt;".",Irr!BF7="."),dir!K7/((1/1000)*(Irr!AH7)),IF(AND(Irr!J7&lt;&gt;".",Irr!AH7=".",Irr!BF7="."),dir!K7/((1/1000)*(Irr!J7)),IF(AND(Irr!J7=".",Irr!AH7=".",Irr!BF7="."),dir!K7*1000)))))))),".")</f>
        <v>209.9693770758085</v>
      </c>
      <c r="L7" s="48">
        <f>IFERROR(IF(AND(Irr!K7&lt;&gt;".",Irr!AI7&lt;&gt;".",Irr!BG7&lt;&gt;"."),dir!L7/((1/1000)*(Irr!K7+Irr!AI7+Irr!BG7)),IF(AND(Irr!K7&lt;&gt;".",Irr!AI7&lt;&gt;".",Irr!BG7="."),dir!L7/((1/1000)*(Irr!K7+Irr!AI7)),IF(AND(Irr!K7&lt;&gt;".",Irr!AI7=".",Irr!BG7&lt;&gt;"."),dir!L7/((1/1000)*(Irr!K7+Irr!BG7)),IF(AND(Irr!K7=".",Irr!AI7&lt;&gt;".",Irr!BG7&lt;&gt;"."),dir!L7/((1/1000)*(Irr!AI7+Irr!BG7)),IF(AND(Irr!K7=".",Irr!AI7=".",Irr!BG7&lt;&gt;"."),dir!L7/((1/1000)*(Irr!BG7)),IF(AND(Irr!K7=".",Irr!AI7&lt;&gt;".",Irr!BG7="."),dir!L7/((1/1000)*(Irr!AI7)),IF(AND(Irr!K7&lt;&gt;".",Irr!AI7=".",Irr!BG7="."),dir!L7/((1/1000)*(Irr!K7)),IF(AND(Irr!K7=".",Irr!AI7=".",Irr!BG7="."),dir!L7*1000)))))))),".")</f>
        <v>1152.9478869264706</v>
      </c>
      <c r="M7" s="48">
        <f>IFERROR(IF(AND(Irr!L7&lt;&gt;".",Irr!AJ7&lt;&gt;".",Irr!BH7&lt;&gt;"."),dir!M7/((1/1000)*(Irr!L7+Irr!AJ7+Irr!BH7)),IF(AND(Irr!L7&lt;&gt;".",Irr!AJ7&lt;&gt;".",Irr!BH7="."),dir!M7/((1/1000)*(Irr!L7+Irr!AJ7)),IF(AND(Irr!L7&lt;&gt;".",Irr!AJ7=".",Irr!BH7&lt;&gt;"."),dir!M7/((1/1000)*(Irr!L7+Irr!BH7)),IF(AND(Irr!L7=".",Irr!AJ7&lt;&gt;".",Irr!BH7&lt;&gt;"."),dir!M7/((1/1000)*(Irr!AJ7+Irr!BH7)),IF(AND(Irr!L7=".",Irr!AJ7=".",Irr!BH7&lt;&gt;"."),dir!M7/((1/1000)*(Irr!BH7)),IF(AND(Irr!L7=".",Irr!AJ7&lt;&gt;".",Irr!BH7="."),dir!M7/((1/1000)*(Irr!AJ7)),IF(AND(Irr!L7&lt;&gt;".",Irr!AJ7=".",Irr!BH7="."),dir!M7/((1/1000)*(Irr!L7)),IF(AND(Irr!L7=".",Irr!AJ7=".",Irr!BH7="."),dir!M7*1000)))))))),".")</f>
        <v>857.71050765612961</v>
      </c>
      <c r="N7" s="48">
        <f>IFERROR(IF(AND(Irr!M7&lt;&gt;".",Irr!AK7&lt;&gt;".",Irr!BI7&lt;&gt;"."),dir!N7/((1/1000)*(Irr!M7+Irr!AK7+Irr!BI7)),IF(AND(Irr!M7&lt;&gt;".",Irr!AK7&lt;&gt;".",Irr!BI7="."),dir!N7/((1/1000)*(Irr!M7+Irr!AK7)),IF(AND(Irr!M7&lt;&gt;".",Irr!AK7=".",Irr!BI7&lt;&gt;"."),dir!N7/((1/1000)*(Irr!M7+Irr!BI7)),IF(AND(Irr!M7=".",Irr!AK7&lt;&gt;".",Irr!BI7&lt;&gt;"."),dir!N7/((1/1000)*(Irr!AK7+Irr!BI7)),IF(AND(Irr!M7=".",Irr!AK7=".",Irr!BI7&lt;&gt;"."),dir!N7/((1/1000)*(Irr!BI7)),IF(AND(Irr!M7=".",Irr!AK7&lt;&gt;".",Irr!BI7="."),dir!N7/((1/1000)*(Irr!AK7)),IF(AND(Irr!M7&lt;&gt;".",Irr!AK7=".",Irr!BI7="."),dir!N7/((1/1000)*(Irr!M7)),IF(AND(Irr!M7=".",Irr!AK7=".",Irr!BI7="."),dir!N7*1000)))))))),".")</f>
        <v>1867.12781970848</v>
      </c>
      <c r="O7" s="48">
        <f>IFERROR(IF(AND(Irr!N7&lt;&gt;".",Irr!AL7&lt;&gt;".",Irr!BJ7&lt;&gt;"."),dir!O7/((1/1000)*(Irr!N7+Irr!AL7+Irr!BJ7)),IF(AND(Irr!N7&lt;&gt;".",Irr!AL7&lt;&gt;".",Irr!BJ7="."),dir!O7/((1/1000)*(Irr!N7+Irr!AL7)),IF(AND(Irr!N7&lt;&gt;".",Irr!AL7=".",Irr!BJ7&lt;&gt;"."),dir!O7/((1/1000)*(Irr!N7+Irr!BJ7)),IF(AND(Irr!N7=".",Irr!AL7&lt;&gt;".",Irr!BJ7&lt;&gt;"."),dir!O7/((1/1000)*(Irr!AL7+Irr!BJ7)),IF(AND(Irr!N7=".",Irr!AL7=".",Irr!BJ7&lt;&gt;"."),dir!O7/((1/1000)*(Irr!BJ7)),IF(AND(Irr!N7=".",Irr!AL7&lt;&gt;".",Irr!BJ7="."),dir!O7/((1/1000)*(Irr!AL7)),IF(AND(Irr!N7&lt;&gt;".",Irr!AL7=".",Irr!BJ7="."),dir!O7/((1/1000)*(Irr!N7)),IF(AND(Irr!N7=".",Irr!AL7=".",Irr!BJ7="."),dir!O7*1000)))))))),".")</f>
        <v>2119.6865955050798</v>
      </c>
      <c r="P7" s="48">
        <f>IFERROR(IF(AND(Irr!O7&lt;&gt;".",Irr!AM7&lt;&gt;".",Irr!BK7&lt;&gt;"."),dir!P7/((1/1000)*(Irr!O7+Irr!AM7+Irr!BK7)),IF(AND(Irr!O7&lt;&gt;".",Irr!AM7&lt;&gt;".",Irr!BK7="."),dir!P7/((1/1000)*(Irr!O7+Irr!AM7)),IF(AND(Irr!O7&lt;&gt;".",Irr!AM7=".",Irr!BK7&lt;&gt;"."),dir!P7/((1/1000)*(Irr!O7+Irr!BK7)),IF(AND(Irr!O7=".",Irr!AM7&lt;&gt;".",Irr!BK7&lt;&gt;"."),dir!P7/((1/1000)*(Irr!AM7+Irr!BK7)),IF(AND(Irr!O7=".",Irr!AM7=".",Irr!BK7&lt;&gt;"."),dir!P7/((1/1000)*(Irr!BK7)),IF(AND(Irr!O7=".",Irr!AM7&lt;&gt;".",Irr!BK7="."),dir!P7/((1/1000)*(Irr!AM7)),IF(AND(Irr!O7&lt;&gt;".",Irr!AM7=".",Irr!BK7="."),dir!P7/((1/1000)*(Irr!O7)),IF(AND(Irr!O7=".",Irr!AM7=".",Irr!BK7="."),dir!P7*1000)))))))),".")</f>
        <v>2427.9406372800727</v>
      </c>
      <c r="Q7" s="48">
        <f>IFERROR(IF(AND(Irr!P7&lt;&gt;".",Irr!AN7&lt;&gt;".",Irr!BL7&lt;&gt;"."),dir!Q7/((1/1000)*(Irr!P7+Irr!AN7+Irr!BL7)),IF(AND(Irr!P7&lt;&gt;".",Irr!AN7&lt;&gt;".",Irr!BL7="."),dir!Q7/((1/1000)*(Irr!P7+Irr!AN7)),IF(AND(Irr!P7&lt;&gt;".",Irr!AN7=".",Irr!BL7&lt;&gt;"."),dir!Q7/((1/1000)*(Irr!P7+Irr!BL7)),IF(AND(Irr!P7=".",Irr!AN7&lt;&gt;".",Irr!BL7&lt;&gt;"."),dir!Q7/((1/1000)*(Irr!AN7+Irr!BL7)),IF(AND(Irr!P7=".",Irr!AN7=".",Irr!BL7&lt;&gt;"."),dir!Q7/((1/1000)*(Irr!BL7)),IF(AND(Irr!P7=".",Irr!AN7&lt;&gt;".",Irr!BL7="."),dir!Q7/((1/1000)*(Irr!AN7)),IF(AND(Irr!P7&lt;&gt;".",Irr!AN7=".",Irr!BL7="."),dir!Q7/((1/1000)*(Irr!P7)),IF(AND(Irr!P7=".",Irr!AN7=".",Irr!BL7="."),dir!Q7*1000)))))))),".")</f>
        <v>3278.9177945636775</v>
      </c>
      <c r="R7" s="48">
        <f>IFERROR(IF(AND(Irr!Q7&lt;&gt;".",Irr!AO7&lt;&gt;".",Irr!BM7&lt;&gt;"."),dir!R7/((1/1000)*(Irr!Q7+Irr!AO7+Irr!BM7)),IF(AND(Irr!Q7&lt;&gt;".",Irr!AO7&lt;&gt;".",Irr!BM7="."),dir!R7/((1/1000)*(Irr!Q7+Irr!AO7)),IF(AND(Irr!Q7&lt;&gt;".",Irr!AO7=".",Irr!BM7&lt;&gt;"."),dir!R7/((1/1000)*(Irr!Q7+Irr!BM7)),IF(AND(Irr!Q7=".",Irr!AO7&lt;&gt;".",Irr!BM7&lt;&gt;"."),dir!R7/((1/1000)*(Irr!AO7+Irr!BM7)),IF(AND(Irr!Q7=".",Irr!AO7=".",Irr!BM7&lt;&gt;"."),dir!R7/((1/1000)*(Irr!BM7)),IF(AND(Irr!Q7=".",Irr!AO7&lt;&gt;".",Irr!BM7="."),dir!R7/((1/1000)*(Irr!AO7)),IF(AND(Irr!Q7&lt;&gt;".",Irr!AO7=".",Irr!BM7="."),dir!R7/((1/1000)*(Irr!Q7)),IF(AND(Irr!Q7=".",Irr!AO7=".",Irr!BM7="."),dir!R7*1000)))))))),".")</f>
        <v>517.8091479987113</v>
      </c>
      <c r="S7" s="48">
        <f>IFERROR(IF(AND(Irr!R7&lt;&gt;".",Irr!AP7&lt;&gt;".",Irr!BN7&lt;&gt;"."),dir!S7/((1/1000)*(Irr!R7+Irr!AP7+Irr!BN7)),IF(AND(Irr!R7&lt;&gt;".",Irr!AP7&lt;&gt;".",Irr!BN7="."),dir!S7/((1/1000)*(Irr!R7+Irr!AP7)),IF(AND(Irr!R7&lt;&gt;".",Irr!AP7=".",Irr!BN7&lt;&gt;"."),dir!S7/((1/1000)*(Irr!R7+Irr!BN7)),IF(AND(Irr!R7=".",Irr!AP7&lt;&gt;".",Irr!BN7&lt;&gt;"."),dir!S7/((1/1000)*(Irr!AP7+Irr!BN7)),IF(AND(Irr!R7=".",Irr!AP7=".",Irr!BN7&lt;&gt;"."),dir!S7/((1/1000)*(Irr!BN7)),IF(AND(Irr!R7=".",Irr!AP7&lt;&gt;".",Irr!BN7="."),dir!S7/((1/1000)*(Irr!AP7)),IF(AND(Irr!R7&lt;&gt;".",Irr!AP7=".",Irr!BN7="."),dir!S7/((1/1000)*(Irr!R7)),IF(AND(Irr!R7=".",Irr!AP7=".",Irr!BN7="."),dir!S7*1000)))))))),".")</f>
        <v>1074.8324822537277</v>
      </c>
      <c r="T7" s="48">
        <f>IFERROR(IF(AND(Irr!S7&lt;&gt;".",Irr!AQ7&lt;&gt;".",Irr!BO7&lt;&gt;"."),dir!T7/((1/1000)*(Irr!S7+Irr!AQ7+Irr!BO7)),IF(AND(Irr!S7&lt;&gt;".",Irr!AQ7&lt;&gt;".",Irr!BO7="."),dir!T7/((1/1000)*(Irr!S7+Irr!AQ7)),IF(AND(Irr!S7&lt;&gt;".",Irr!AQ7=".",Irr!BO7&lt;&gt;"."),dir!T7/((1/1000)*(Irr!S7+Irr!BO7)),IF(AND(Irr!S7=".",Irr!AQ7&lt;&gt;".",Irr!BO7&lt;&gt;"."),dir!T7/((1/1000)*(Irr!AQ7+Irr!BO7)),IF(AND(Irr!S7=".",Irr!AQ7=".",Irr!BO7&lt;&gt;"."),dir!T7/((1/1000)*(Irr!BO7)),IF(AND(Irr!S7=".",Irr!AQ7&lt;&gt;".",Irr!BO7="."),dir!T7/((1/1000)*(Irr!AQ7)),IF(AND(Irr!S7&lt;&gt;".",Irr!AQ7=".",Irr!BO7="."),dir!T7/((1/1000)*(Irr!S7)),IF(AND(Irr!S7=".",Irr!AQ7=".",Irr!BO7="."),dir!T7*1000)))))))),".")</f>
        <v>1714.4474684189158</v>
      </c>
      <c r="U7" s="48">
        <f>IFERROR(IF(AND(Irr!T7&lt;&gt;".",Irr!AR7&lt;&gt;".",Irr!BP7&lt;&gt;"."),dir!U7/((1/1000)*(Irr!T7+Irr!AR7+Irr!BP7)),IF(AND(Irr!T7&lt;&gt;".",Irr!AR7&lt;&gt;".",Irr!BP7="."),dir!U7/((1/1000)*(Irr!T7+Irr!AR7)),IF(AND(Irr!T7&lt;&gt;".",Irr!AR7=".",Irr!BP7&lt;&gt;"."),dir!U7/((1/1000)*(Irr!T7+Irr!BP7)),IF(AND(Irr!T7=".",Irr!AR7&lt;&gt;".",Irr!BP7&lt;&gt;"."),dir!U7/((1/1000)*(Irr!AR7+Irr!BP7)),IF(AND(Irr!T7=".",Irr!AR7=".",Irr!BP7&lt;&gt;"."),dir!U7/((1/1000)*(Irr!BP7)),IF(AND(Irr!T7=".",Irr!AR7&lt;&gt;".",Irr!BP7="."),dir!U7/((1/1000)*(Irr!AR7)),IF(AND(Irr!T7&lt;&gt;".",Irr!AR7=".",Irr!BP7="."),dir!U7/((1/1000)*(Irr!T7)),IF(AND(Irr!T7=".",Irr!AR7=".",Irr!BP7="."),dir!U7*1000)))))))),".")</f>
        <v>538.37159078413617</v>
      </c>
      <c r="V7" s="48">
        <f>IFERROR(IF(AND(Irr!U7&lt;&gt;".",Irr!AS7&lt;&gt;".",Irr!BQ7&lt;&gt;"."),dir!V7/((1/1000)*(Irr!U7+Irr!AS7+Irr!BQ7)),IF(AND(Irr!U7&lt;&gt;".",Irr!AS7&lt;&gt;".",Irr!BQ7="."),dir!V7/((1/1000)*(Irr!U7+Irr!AS7)),IF(AND(Irr!U7&lt;&gt;".",Irr!AS7=".",Irr!BQ7&lt;&gt;"."),dir!V7/((1/1000)*(Irr!U7+Irr!BQ7)),IF(AND(Irr!U7=".",Irr!AS7&lt;&gt;".",Irr!BQ7&lt;&gt;"."),dir!V7/((1/1000)*(Irr!AS7+Irr!BQ7)),IF(AND(Irr!U7=".",Irr!AS7=".",Irr!BQ7&lt;&gt;"."),dir!V7/((1/1000)*(Irr!BQ7)),IF(AND(Irr!U7=".",Irr!AS7&lt;&gt;".",Irr!BQ7="."),dir!V7/((1/1000)*(Irr!AS7)),IF(AND(Irr!U7&lt;&gt;".",Irr!AS7=".",Irr!BQ7="."),dir!V7/((1/1000)*(Irr!U7)),IF(AND(Irr!U7=".",Irr!AS7=".",Irr!BQ7="."),dir!V7*1000)))))))),".")</f>
        <v>985.62767965601427</v>
      </c>
      <c r="W7" s="48">
        <f>IFERROR(IF(AND(Irr!V7&lt;&gt;".",Irr!AT7&lt;&gt;".",Irr!BR7&lt;&gt;"."),dir!W7/((1/1000)*(Irr!V7+Irr!AT7+Irr!BR7)),IF(AND(Irr!V7&lt;&gt;".",Irr!AT7&lt;&gt;".",Irr!BR7="."),dir!W7/((1/1000)*(Irr!V7+Irr!AT7)),IF(AND(Irr!V7&lt;&gt;".",Irr!AT7=".",Irr!BR7&lt;&gt;"."),dir!W7/((1/1000)*(Irr!V7+Irr!BR7)),IF(AND(Irr!V7=".",Irr!AT7&lt;&gt;".",Irr!BR7&lt;&gt;"."),dir!W7/((1/1000)*(Irr!AT7+Irr!BR7)),IF(AND(Irr!V7=".",Irr!AT7=".",Irr!BR7&lt;&gt;"."),dir!W7/((1/1000)*(Irr!BR7)),IF(AND(Irr!V7=".",Irr!AT7&lt;&gt;".",Irr!BR7="."),dir!W7/((1/1000)*(Irr!AT7)),IF(AND(Irr!V7&lt;&gt;".",Irr!AT7=".",Irr!BR7="."),dir!W7/((1/1000)*(Irr!V7)),IF(AND(Irr!V7=".",Irr!AT7=".",Irr!BR7="."),dir!W7*1000)))))))),".")</f>
        <v>1213.9718850352685</v>
      </c>
      <c r="X7" s="48">
        <f>IFERROR(IF(AND(Irr!W7&lt;&gt;".",Irr!AU7&lt;&gt;".",Irr!BS7&lt;&gt;"."),dir!X7/((1/1000)*(Irr!W7+Irr!AU7+Irr!BS7)),IF(AND(Irr!W7&lt;&gt;".",Irr!AU7&lt;&gt;".",Irr!BS7="."),dir!X7/((1/1000)*(Irr!W7+Irr!AU7)),IF(AND(Irr!W7&lt;&gt;".",Irr!AU7=".",Irr!BS7&lt;&gt;"."),dir!X7/((1/1000)*(Irr!W7+Irr!BS7)),IF(AND(Irr!W7=".",Irr!AU7&lt;&gt;".",Irr!BS7&lt;&gt;"."),dir!X7/((1/1000)*(Irr!AU7+Irr!BS7)),IF(AND(Irr!W7=".",Irr!AU7=".",Irr!BS7&lt;&gt;"."),dir!X7/((1/1000)*(Irr!BS7)),IF(AND(Irr!W7=".",Irr!AU7&lt;&gt;".",Irr!BS7="."),dir!X7/((1/1000)*(Irr!AU7)),IF(AND(Irr!W7&lt;&gt;".",Irr!AU7=".",Irr!BS7="."),dir!X7/((1/1000)*(Irr!W7)),IF(AND(Irr!W7=".",Irr!AU7=".",Irr!BS7="."),dir!X7*1000)))))))),".")</f>
        <v>1605.7450874542005</v>
      </c>
      <c r="Y7" s="48">
        <f>IFERROR(IF(AND(Irr!X7&lt;&gt;".",Irr!AV7&lt;&gt;".",Irr!BT7&lt;&gt;"."),dir!Y7/((1/1000)*(Irr!X7+Irr!AV7+Irr!BT7)),IF(AND(Irr!X7&lt;&gt;".",Irr!AV7&lt;&gt;".",Irr!BT7="."),dir!Y7/((1/1000)*(Irr!X7+Irr!AV7)),IF(AND(Irr!X7&lt;&gt;".",Irr!AV7=".",Irr!BT7&lt;&gt;"."),dir!Y7/((1/1000)*(Irr!X7+Irr!BT7)),IF(AND(Irr!X7=".",Irr!AV7&lt;&gt;".",Irr!BT7&lt;&gt;"."),dir!Y7/((1/1000)*(Irr!AV7+Irr!BT7)),IF(AND(Irr!X7=".",Irr!AV7=".",Irr!BT7&lt;&gt;"."),dir!Y7/((1/1000)*(Irr!BT7)),IF(AND(Irr!X7=".",Irr!AV7&lt;&gt;".",Irr!BT7="."),dir!Y7/((1/1000)*(Irr!AV7)),IF(AND(Irr!X7&lt;&gt;".",Irr!AV7=".",Irr!BT7="."),dir!Y7/((1/1000)*(Irr!X7)),IF(AND(Irr!X7=".",Irr!AV7=".",Irr!BT7="."),dir!Y7*1000)))))))),".")</f>
        <v>858.96221276891106</v>
      </c>
      <c r="Z7" s="48">
        <f>IFERROR(IF(AND(Irr!Y7&lt;&gt;".",Irr!AW7&lt;&gt;".",Irr!BU7&lt;&gt;"."),dir!Z7/((1/1000)*(Irr!Y7+Irr!AW7+Irr!BU7)),IF(AND(Irr!Y7&lt;&gt;".",Irr!AW7&lt;&gt;".",Irr!BU7="."),dir!Z7/((1/1000)*(Irr!Y7+Irr!AW7)),IF(AND(Irr!Y7&lt;&gt;".",Irr!AW7=".",Irr!BU7&lt;&gt;"."),dir!Z7/((1/1000)*(Irr!Y7+Irr!BU7)),IF(AND(Irr!Y7=".",Irr!AW7&lt;&gt;".",Irr!BU7&lt;&gt;"."),dir!Z7/((1/1000)*(Irr!AW7+Irr!BU7)),IF(AND(Irr!Y7=".",Irr!AW7=".",Irr!BU7&lt;&gt;"."),dir!Z7/((1/1000)*(Irr!BU7)),IF(AND(Irr!Y7=".",Irr!AW7&lt;&gt;".",Irr!BU7="."),dir!Z7/((1/1000)*(Irr!AW7)),IF(AND(Irr!Y7&lt;&gt;".",Irr!AW7=".",Irr!BU7="."),dir!Z7/((1/1000)*(Irr!Y7)),IF(AND(Irr!Y7=".",Irr!AW7=".",Irr!BU7="."),dir!Z7*1000)))))))),".")</f>
        <v>421.62743280632969</v>
      </c>
      <c r="AA7" s="48">
        <f>IFERROR(IF(AND(Irr!Z7&lt;&gt;".",Irr!AX7&lt;&gt;".",Irr!BV7&lt;&gt;"."),dir!AA7/((1/1000)*(Irr!Z7+Irr!AX7+Irr!BV7)),IF(AND(Irr!Z7&lt;&gt;".",Irr!AX7&lt;&gt;".",Irr!BV7="."),dir!AA7/((1/1000)*(Irr!Z7+Irr!AX7)),IF(AND(Irr!Z7&lt;&gt;".",Irr!AX7=".",Irr!BV7&lt;&gt;"."),dir!AA7/((1/1000)*(Irr!Z7+Irr!BV7)),IF(AND(Irr!Z7=".",Irr!AX7&lt;&gt;".",Irr!BV7&lt;&gt;"."),dir!AA7/((1/1000)*(Irr!AX7+Irr!BV7)),IF(AND(Irr!Z7=".",Irr!AX7=".",Irr!BV7&lt;&gt;"."),dir!AA7/((1/1000)*(Irr!BV7)),IF(AND(Irr!Z7=".",Irr!AX7&lt;&gt;".",Irr!BV7="."),dir!AA7/((1/1000)*(Irr!AX7)),IF(AND(Irr!Z7&lt;&gt;".",Irr!AX7=".",Irr!BV7="."),dir!AA7/((1/1000)*(Irr!Z7)),IF(AND(Irr!Z7=".",Irr!AX7=".",Irr!BV7="."),dir!AA7*1000)))))))),".")</f>
        <v>326.48745113414918</v>
      </c>
      <c r="AB7" s="48">
        <f t="shared" si="5"/>
        <v>42.232121011130708</v>
      </c>
      <c r="AC7" s="48">
        <f>IFERROR(IF(AND(Irr!C7&lt;&gt;".",Irr!AA7&lt;&gt;".",Irr!AY7&lt;&gt;"."),dir!AC7/((1/1000)*(Irr!C7+Irr!AA7+Irr!AY7)),IF(AND(Irr!C7&lt;&gt;".",Irr!AA7&lt;&gt;".",Irr!AY7="."),dir!AC7/((1/1000)*(Irr!C7+Irr!AA7)),IF(AND(Irr!C7&lt;&gt;".",Irr!AA7=".",Irr!AY7&lt;&gt;"."),dir!AC7/((1/1000)*(Irr!C7+Irr!AY7)),IF(AND(Irr!C7=".",Irr!AA7&lt;&gt;".",Irr!AY7&lt;&gt;"."),dir!AC7/((1/1000)*(Irr!AA7+Irr!AY7)),IF(AND(Irr!C7=".",Irr!AA7=".",Irr!AY7&lt;&gt;"."),dir!AC7/((1/1000)*(Irr!AY7)),IF(AND(Irr!C7=".",Irr!AA7&lt;&gt;".",Irr!AY7="."),dir!AC7/((1/1000)*(Irr!AA7)),IF(AND(Irr!C7&lt;&gt;".",Irr!AA7=".",Irr!AY7="."),dir!AC7/((1/1000)*(Irr!C7)),IF(AND(Irr!C7=".",Irr!AA7=".",Irr!AY7="."),dir!AC7*1000)))))))),".")</f>
        <v>703.48768776012105</v>
      </c>
      <c r="AD7" s="48">
        <f>IFERROR(IF(AND(Irr!D7&lt;&gt;".",Irr!AB7&lt;&gt;".",Irr!AZ7&lt;&gt;"."),dir!AD7/((1/1000)*(Irr!D7+Irr!AB7+Irr!AZ7)),IF(AND(Irr!D7&lt;&gt;".",Irr!AB7&lt;&gt;".",Irr!AZ7="."),dir!AD7/((1/1000)*(Irr!D7+Irr!AB7)),IF(AND(Irr!D7&lt;&gt;".",Irr!AB7=".",Irr!AZ7&lt;&gt;"."),dir!AD7/((1/1000)*(Irr!D7+Irr!AZ7)),IF(AND(Irr!D7=".",Irr!AB7&lt;&gt;".",Irr!AZ7&lt;&gt;"."),dir!AD7/((1/1000)*(Irr!AB7+Irr!AZ7)),IF(AND(Irr!D7=".",Irr!AB7=".",Irr!AZ7&lt;&gt;"."),dir!AD7/((1/1000)*(Irr!AZ7)),IF(AND(Irr!D7=".",Irr!AB7&lt;&gt;".",Irr!AZ7="."),dir!AD7/((1/1000)*(Irr!AB7)),IF(AND(Irr!D7&lt;&gt;".",Irr!AB7=".",Irr!AZ7="."),dir!AD7/((1/1000)*(Irr!D7)),IF(AND(Irr!D7=".",Irr!AB7=".",Irr!AZ7="."),dir!AD7*1000)))))))),".")</f>
        <v>1687.8081353734331</v>
      </c>
      <c r="AE7" s="48">
        <f>IFERROR(IF(AND(Irr!E7&lt;&gt;".",Irr!AC7&lt;&gt;".",Irr!BA7&lt;&gt;"."),dir!AE7/((1/1000)*(Irr!E7+Irr!AC7+Irr!BA7)),IF(AND(Irr!E7&lt;&gt;".",Irr!AC7&lt;&gt;".",Irr!BA7="."),dir!AE7/((1/1000)*(Irr!E7+Irr!AC7)),IF(AND(Irr!E7&lt;&gt;".",Irr!AC7=".",Irr!BA7&lt;&gt;"."),dir!AE7/((1/1000)*(Irr!E7+Irr!BA7)),IF(AND(Irr!E7=".",Irr!AC7&lt;&gt;".",Irr!BA7&lt;&gt;"."),dir!AE7/((1/1000)*(Irr!AC7+Irr!BA7)),IF(AND(Irr!E7=".",Irr!AC7=".",Irr!BA7&lt;&gt;"."),dir!AE7/((1/1000)*(Irr!BA7)),IF(AND(Irr!E7=".",Irr!AC7&lt;&gt;".",Irr!BA7="."),dir!AE7/((1/1000)*(Irr!AC7)),IF(AND(Irr!E7&lt;&gt;".",Irr!AC7=".",Irr!BA7="."),dir!AE7/((1/1000)*(Irr!E7)),IF(AND(Irr!E7=".",Irr!AC7=".",Irr!BA7="."),dir!AE7*1000)))))))),".")</f>
        <v>2020.4739183131055</v>
      </c>
      <c r="AF7" s="48">
        <f>IFERROR(IF(AND(Irr!F7&lt;&gt;".",Irr!AD7&lt;&gt;".",Irr!BB7&lt;&gt;"."),dir!AF7/((1/1000)*(Irr!F7+Irr!AD7+Irr!BB7)),IF(AND(Irr!F7&lt;&gt;".",Irr!AD7&lt;&gt;".",Irr!BB7="."),dir!AF7/((1/1000)*(Irr!F7+Irr!AD7)),IF(AND(Irr!F7&lt;&gt;".",Irr!AD7=".",Irr!BB7&lt;&gt;"."),dir!AF7/((1/1000)*(Irr!F7+Irr!BB7)),IF(AND(Irr!F7=".",Irr!AD7&lt;&gt;".",Irr!BB7&lt;&gt;"."),dir!AF7/((1/1000)*(Irr!AD7+Irr!BB7)),IF(AND(Irr!F7=".",Irr!AD7=".",Irr!BB7&lt;&gt;"."),dir!AF7/((1/1000)*(Irr!BB7)),IF(AND(Irr!F7=".",Irr!AD7&lt;&gt;".",Irr!BB7="."),dir!AF7/((1/1000)*(Irr!AD7)),IF(AND(Irr!F7&lt;&gt;".",Irr!AD7=".",Irr!BB7="."),dir!AF7/((1/1000)*(Irr!F7)),IF(AND(Irr!F7=".",Irr!AD7=".",Irr!BB7="."),dir!AF7*1000)))))))),".")</f>
        <v>1763.7327928183113</v>
      </c>
      <c r="AG7" s="48">
        <f>IFERROR(IF(AND(Irr!G7&lt;&gt;".",Irr!AE7&lt;&gt;".",Irr!BC7&lt;&gt;"."),dir!AG7/((1/1000)*(Irr!G7+Irr!AE7+Irr!BC7)),IF(AND(Irr!G7&lt;&gt;".",Irr!AE7&lt;&gt;".",Irr!BC7="."),dir!AG7/((1/1000)*(Irr!G7+Irr!AE7)),IF(AND(Irr!G7&lt;&gt;".",Irr!AE7=".",Irr!BC7&lt;&gt;"."),dir!AG7/((1/1000)*(Irr!G7+Irr!BC7)),IF(AND(Irr!G7=".",Irr!AE7&lt;&gt;".",Irr!BC7&lt;&gt;"."),dir!AG7/((1/1000)*(Irr!AE7+Irr!BC7)),IF(AND(Irr!G7=".",Irr!AE7=".",Irr!BC7&lt;&gt;"."),dir!AG7/((1/1000)*(Irr!BC7)),IF(AND(Irr!G7=".",Irr!AE7&lt;&gt;".",Irr!BC7="."),dir!AG7/((1/1000)*(Irr!AE7)),IF(AND(Irr!G7&lt;&gt;".",Irr!AE7=".",Irr!BC7="."),dir!AG7/((1/1000)*(Irr!G7)),IF(AND(Irr!G7=".",Irr!AE7=".",Irr!BC7="."),dir!AG7*1000)))))))),".")</f>
        <v>1838.8512413047863</v>
      </c>
      <c r="AH7" s="48">
        <f>IFERROR(IF(AND(Irr!H7&lt;&gt;".",Irr!AF7&lt;&gt;".",Irr!BD7&lt;&gt;"."),dir!AH7/((1/1000)*(Irr!H7+Irr!AF7+Irr!BD7)),IF(AND(Irr!H7&lt;&gt;".",Irr!AF7&lt;&gt;".",Irr!BD7="."),dir!AH7/((1/1000)*(Irr!H7+Irr!AF7)),IF(AND(Irr!H7&lt;&gt;".",Irr!AF7=".",Irr!BD7&lt;&gt;"."),dir!AH7/((1/1000)*(Irr!H7+Irr!BD7)),IF(AND(Irr!H7=".",Irr!AF7&lt;&gt;".",Irr!BD7&lt;&gt;"."),dir!AH7/((1/1000)*(Irr!AF7+Irr!BD7)),IF(AND(Irr!H7=".",Irr!AF7=".",Irr!BD7&lt;&gt;"."),dir!AH7/((1/1000)*(Irr!BD7)),IF(AND(Irr!H7=".",Irr!AF7&lt;&gt;".",Irr!BD7="."),dir!AH7/((1/1000)*(Irr!AF7)),IF(AND(Irr!H7&lt;&gt;".",Irr!AF7=".",Irr!BD7="."),dir!AH7/((1/1000)*(Irr!H7)),IF(AND(Irr!H7=".",Irr!AF7=".",Irr!BD7="."),dir!AH7*1000)))))))),".")</f>
        <v>796.72304440308164</v>
      </c>
      <c r="AI7" s="48">
        <f>IFERROR(IF(AND(Irr!I7&lt;&gt;".",Irr!AG7&lt;&gt;".",Irr!BE7&lt;&gt;"."),dir!AI7/((1/1000)*(Irr!I7+Irr!AG7+Irr!BE7)),IF(AND(Irr!I7&lt;&gt;".",Irr!AG7&lt;&gt;".",Irr!BE7="."),dir!AI7/((1/1000)*(Irr!I7+Irr!AG7)),IF(AND(Irr!I7&lt;&gt;".",Irr!AG7=".",Irr!BE7&lt;&gt;"."),dir!AI7/((1/1000)*(Irr!I7+Irr!BE7)),IF(AND(Irr!I7=".",Irr!AG7&lt;&gt;".",Irr!BE7&lt;&gt;"."),dir!AI7/((1/1000)*(Irr!AG7+Irr!BE7)),IF(AND(Irr!I7=".",Irr!AG7=".",Irr!BE7&lt;&gt;"."),dir!AI7/((1/1000)*(Irr!BE7)),IF(AND(Irr!I7=".",Irr!AG7&lt;&gt;".",Irr!BE7="."),dir!AI7/((1/1000)*(Irr!AG7)),IF(AND(Irr!I7&lt;&gt;".",Irr!AG7=".",Irr!BE7="."),dir!AI7/((1/1000)*(Irr!I7)),IF(AND(Irr!I7=".",Irr!AG7=".",Irr!BE7="."),dir!AI7*1000)))))))),".")</f>
        <v>2613.3270480533906</v>
      </c>
      <c r="AJ7" s="48">
        <f>IFERROR(IF(AND(Irr!J7&lt;&gt;".",Irr!AH7&lt;&gt;".",Irr!BF7&lt;&gt;"."),dir!AJ7/((1/1000)*(Irr!J7+Irr!AH7+Irr!BF7)),IF(AND(Irr!J7&lt;&gt;".",Irr!AH7&lt;&gt;".",Irr!BF7="."),dir!AJ7/((1/1000)*(Irr!J7+Irr!AH7)),IF(AND(Irr!J7&lt;&gt;".",Irr!AH7=".",Irr!BF7&lt;&gt;"."),dir!AJ7/((1/1000)*(Irr!J7+Irr!BF7)),IF(AND(Irr!J7=".",Irr!AH7&lt;&gt;".",Irr!BF7&lt;&gt;"."),dir!AJ7/((1/1000)*(Irr!AH7+Irr!BF7)),IF(AND(Irr!J7=".",Irr!AH7=".",Irr!BF7&lt;&gt;"."),dir!AJ7/((1/1000)*(Irr!BF7)),IF(AND(Irr!J7=".",Irr!AH7&lt;&gt;".",Irr!BF7="."),dir!AJ7/((1/1000)*(Irr!AH7)),IF(AND(Irr!J7&lt;&gt;".",Irr!AH7=".",Irr!BF7="."),dir!AJ7/((1/1000)*(Irr!J7)),IF(AND(Irr!J7=".",Irr!AH7=".",Irr!BF7="."),dir!AJ7*1000)))))))),".")</f>
        <v>203.30770958953204</v>
      </c>
      <c r="AK7" s="48">
        <f>IFERROR(IF(AND(Irr!K7&lt;&gt;".",Irr!AI7&lt;&gt;".",Irr!BG7&lt;&gt;"."),dir!AK7/((1/1000)*(Irr!K7+Irr!AI7+Irr!BG7)),IF(AND(Irr!K7&lt;&gt;".",Irr!AI7&lt;&gt;".",Irr!BG7="."),dir!AK7/((1/1000)*(Irr!K7+Irr!AI7)),IF(AND(Irr!K7&lt;&gt;".",Irr!AI7=".",Irr!BG7&lt;&gt;"."),dir!AK7/((1/1000)*(Irr!K7+Irr!BG7)),IF(AND(Irr!K7=".",Irr!AI7&lt;&gt;".",Irr!BG7&lt;&gt;"."),dir!AK7/((1/1000)*(Irr!AI7+Irr!BG7)),IF(AND(Irr!K7=".",Irr!AI7=".",Irr!BG7&lt;&gt;"."),dir!AK7/((1/1000)*(Irr!BG7)),IF(AND(Irr!K7=".",Irr!AI7&lt;&gt;".",Irr!BG7="."),dir!AK7/((1/1000)*(Irr!AI7)),IF(AND(Irr!K7&lt;&gt;".",Irr!AI7=".",Irr!BG7="."),dir!AK7/((1/1000)*(Irr!K7)),IF(AND(Irr!K7=".",Irr!AI7=".",Irr!BG7="."),dir!AK7*1000)))))))),".")</f>
        <v>796.19161094366018</v>
      </c>
      <c r="AL7" s="48">
        <f>IFERROR(IF(AND(Irr!L7&lt;&gt;".",Irr!AJ7&lt;&gt;".",Irr!BH7&lt;&gt;"."),dir!AL7/((1/1000)*(Irr!L7+Irr!AJ7+Irr!BH7)),IF(AND(Irr!L7&lt;&gt;".",Irr!AJ7&lt;&gt;".",Irr!BH7="."),dir!AL7/((1/1000)*(Irr!L7+Irr!AJ7)),IF(AND(Irr!L7&lt;&gt;".",Irr!AJ7=".",Irr!BH7&lt;&gt;"."),dir!AL7/((1/1000)*(Irr!L7+Irr!BH7)),IF(AND(Irr!L7=".",Irr!AJ7&lt;&gt;".",Irr!BH7&lt;&gt;"."),dir!AL7/((1/1000)*(Irr!AJ7+Irr!BH7)),IF(AND(Irr!L7=".",Irr!AJ7=".",Irr!BH7&lt;&gt;"."),dir!AL7/((1/1000)*(Irr!BH7)),IF(AND(Irr!L7=".",Irr!AJ7&lt;&gt;".",Irr!BH7="."),dir!AL7/((1/1000)*(Irr!AJ7)),IF(AND(Irr!L7&lt;&gt;".",Irr!AJ7=".",Irr!BH7="."),dir!AL7/((1/1000)*(Irr!L7)),IF(AND(Irr!L7=".",Irr!AJ7=".",Irr!BH7="."),dir!AL7*1000)))))))),".")</f>
        <v>1207.9422982823826</v>
      </c>
      <c r="AM7" s="48">
        <f>IFERROR(IF(AND(Irr!M7&lt;&gt;".",Irr!AK7&lt;&gt;".",Irr!BI7&lt;&gt;"."),dir!AM7/((1/1000)*(Irr!M7+Irr!AK7+Irr!BI7)),IF(AND(Irr!M7&lt;&gt;".",Irr!AK7&lt;&gt;".",Irr!BI7="."),dir!AM7/((1/1000)*(Irr!M7+Irr!AK7)),IF(AND(Irr!M7&lt;&gt;".",Irr!AK7=".",Irr!BI7&lt;&gt;"."),dir!AM7/((1/1000)*(Irr!M7+Irr!BI7)),IF(AND(Irr!M7=".",Irr!AK7&lt;&gt;".",Irr!BI7&lt;&gt;"."),dir!AM7/((1/1000)*(Irr!AK7+Irr!BI7)),IF(AND(Irr!M7=".",Irr!AK7=".",Irr!BI7&lt;&gt;"."),dir!AM7/((1/1000)*(Irr!BI7)),IF(AND(Irr!M7=".",Irr!AK7&lt;&gt;".",Irr!BI7="."),dir!AM7/((1/1000)*(Irr!AK7)),IF(AND(Irr!M7&lt;&gt;".",Irr!AK7=".",Irr!BI7="."),dir!AM7/((1/1000)*(Irr!M7)),IF(AND(Irr!M7=".",Irr!AK7=".",Irr!BI7="."),dir!AM7*1000)))))))),".")</f>
        <v>1714.1043306543843</v>
      </c>
      <c r="AN7" s="48">
        <f>IFERROR(IF(AND(Irr!N7&lt;&gt;".",Irr!AL7&lt;&gt;".",Irr!BJ7&lt;&gt;"."),dir!AN7/((1/1000)*(Irr!N7+Irr!AL7+Irr!BJ7)),IF(AND(Irr!N7&lt;&gt;".",Irr!AL7&lt;&gt;".",Irr!BJ7="."),dir!AN7/((1/1000)*(Irr!N7+Irr!AL7)),IF(AND(Irr!N7&lt;&gt;".",Irr!AL7=".",Irr!BJ7&lt;&gt;"."),dir!AN7/((1/1000)*(Irr!N7+Irr!BJ7)),IF(AND(Irr!N7=".",Irr!AL7&lt;&gt;".",Irr!BJ7&lt;&gt;"."),dir!AN7/((1/1000)*(Irr!AL7+Irr!BJ7)),IF(AND(Irr!N7=".",Irr!AL7=".",Irr!BJ7&lt;&gt;"."),dir!AN7/((1/1000)*(Irr!BJ7)),IF(AND(Irr!N7=".",Irr!AL7&lt;&gt;".",Irr!BJ7="."),dir!AN7/((1/1000)*(Irr!AL7)),IF(AND(Irr!N7&lt;&gt;".",Irr!AL7=".",Irr!BJ7="."),dir!AN7/((1/1000)*(Irr!N7)),IF(AND(Irr!N7=".",Irr!AL7=".",Irr!BJ7="."),dir!AN7*1000)))))))),".")</f>
        <v>1963.840928964662</v>
      </c>
      <c r="AO7" s="48">
        <f>IFERROR(IF(AND(Irr!O7&lt;&gt;".",Irr!AM7&lt;&gt;".",Irr!BK7&lt;&gt;"."),dir!AO7/((1/1000)*(Irr!O7+Irr!AM7+Irr!BK7)),IF(AND(Irr!O7&lt;&gt;".",Irr!AM7&lt;&gt;".",Irr!BK7="."),dir!AO7/((1/1000)*(Irr!O7+Irr!AM7)),IF(AND(Irr!O7&lt;&gt;".",Irr!AM7=".",Irr!BK7&lt;&gt;"."),dir!AO7/((1/1000)*(Irr!O7+Irr!BK7)),IF(AND(Irr!O7=".",Irr!AM7&lt;&gt;".",Irr!BK7&lt;&gt;"."),dir!AO7/((1/1000)*(Irr!AM7+Irr!BK7)),IF(AND(Irr!O7=".",Irr!AM7=".",Irr!BK7&lt;&gt;"."),dir!AO7/((1/1000)*(Irr!BK7)),IF(AND(Irr!O7=".",Irr!AM7&lt;&gt;".",Irr!BK7="."),dir!AO7/((1/1000)*(Irr!AM7)),IF(AND(Irr!O7&lt;&gt;".",Irr!AM7=".",Irr!BK7="."),dir!AO7/((1/1000)*(Irr!O7)),IF(AND(Irr!O7=".",Irr!AM7=".",Irr!BK7="."),dir!AO7*1000)))))))),".")</f>
        <v>2245.191430801256</v>
      </c>
      <c r="AP7" s="48">
        <f>IFERROR(IF(AND(Irr!P7&lt;&gt;".",Irr!AN7&lt;&gt;".",Irr!BL7&lt;&gt;"."),dir!AP7/((1/1000)*(Irr!P7+Irr!AN7+Irr!BL7)),IF(AND(Irr!P7&lt;&gt;".",Irr!AN7&lt;&gt;".",Irr!BL7="."),dir!AP7/((1/1000)*(Irr!P7+Irr!AN7)),IF(AND(Irr!P7&lt;&gt;".",Irr!AN7=".",Irr!BL7&lt;&gt;"."),dir!AP7/((1/1000)*(Irr!P7+Irr!BL7)),IF(AND(Irr!P7=".",Irr!AN7&lt;&gt;".",Irr!BL7&lt;&gt;"."),dir!AP7/((1/1000)*(Irr!AN7+Irr!BL7)),IF(AND(Irr!P7=".",Irr!AN7=".",Irr!BL7&lt;&gt;"."),dir!AP7/((1/1000)*(Irr!BL7)),IF(AND(Irr!P7=".",Irr!AN7&lt;&gt;".",Irr!BL7="."),dir!AP7/((1/1000)*(Irr!AN7)),IF(AND(Irr!P7&lt;&gt;".",Irr!AN7=".",Irr!BL7="."),dir!AP7/((1/1000)*(Irr!P7)),IF(AND(Irr!P7=".",Irr!AN7=".",Irr!BL7="."),dir!AP7*1000)))))))),".")</f>
        <v>2455.1235717972659</v>
      </c>
      <c r="AQ7" s="48">
        <f>IFERROR(IF(AND(Irr!Q7&lt;&gt;".",Irr!AO7&lt;&gt;".",Irr!BM7&lt;&gt;"."),dir!AQ7/((1/1000)*(Irr!Q7+Irr!AO7+Irr!BM7)),IF(AND(Irr!Q7&lt;&gt;".",Irr!AO7&lt;&gt;".",Irr!BM7="."),dir!AQ7/((1/1000)*(Irr!Q7+Irr!AO7)),IF(AND(Irr!Q7&lt;&gt;".",Irr!AO7=".",Irr!BM7&lt;&gt;"."),dir!AQ7/((1/1000)*(Irr!Q7+Irr!BM7)),IF(AND(Irr!Q7=".",Irr!AO7&lt;&gt;".",Irr!BM7&lt;&gt;"."),dir!AQ7/((1/1000)*(Irr!AO7+Irr!BM7)),IF(AND(Irr!Q7=".",Irr!AO7=".",Irr!BM7&lt;&gt;"."),dir!AQ7/((1/1000)*(Irr!BM7)),IF(AND(Irr!Q7=".",Irr!AO7&lt;&gt;".",Irr!BM7="."),dir!AQ7/((1/1000)*(Irr!AO7)),IF(AND(Irr!Q7&lt;&gt;".",Irr!AO7=".",Irr!BM7="."),dir!AQ7/((1/1000)*(Irr!Q7)),IF(AND(Irr!Q7=".",Irr!AO7=".",Irr!BM7="."),dir!AQ7*1000)))))))),".")</f>
        <v>579.32707671979108</v>
      </c>
      <c r="AR7" s="48">
        <f>IFERROR(IF(AND(Irr!R7&lt;&gt;".",Irr!AP7&lt;&gt;".",Irr!BN7&lt;&gt;"."),dir!AR7/((1/1000)*(Irr!R7+Irr!AP7+Irr!BN7)),IF(AND(Irr!R7&lt;&gt;".",Irr!AP7&lt;&gt;".",Irr!BN7="."),dir!AR7/((1/1000)*(Irr!R7+Irr!AP7)),IF(AND(Irr!R7&lt;&gt;".",Irr!AP7=".",Irr!BN7&lt;&gt;"."),dir!AR7/((1/1000)*(Irr!R7+Irr!BN7)),IF(AND(Irr!R7=".",Irr!AP7&lt;&gt;".",Irr!BN7&lt;&gt;"."),dir!AR7/((1/1000)*(Irr!AP7+Irr!BN7)),IF(AND(Irr!R7=".",Irr!AP7=".",Irr!BN7&lt;&gt;"."),dir!AR7/((1/1000)*(Irr!BN7)),IF(AND(Irr!R7=".",Irr!AP7&lt;&gt;".",Irr!BN7="."),dir!AR7/((1/1000)*(Irr!AP7)),IF(AND(Irr!R7&lt;&gt;".",Irr!AP7=".",Irr!BN7="."),dir!AR7/((1/1000)*(Irr!R7)),IF(AND(Irr!R7=".",Irr!AP7=".",Irr!BN7="."),dir!AR7*1000)))))))),".")</f>
        <v>951.84204321153175</v>
      </c>
      <c r="AS7" s="48">
        <f>IFERROR(IF(AND(Irr!S7&lt;&gt;".",Irr!AQ7&lt;&gt;".",Irr!BO7&lt;&gt;"."),dir!AS7/((1/1000)*(Irr!S7+Irr!AQ7+Irr!BO7)),IF(AND(Irr!S7&lt;&gt;".",Irr!AQ7&lt;&gt;".",Irr!BO7="."),dir!AS7/((1/1000)*(Irr!S7+Irr!AQ7)),IF(AND(Irr!S7&lt;&gt;".",Irr!AQ7=".",Irr!BO7&lt;&gt;"."),dir!AS7/((1/1000)*(Irr!S7+Irr!BO7)),IF(AND(Irr!S7=".",Irr!AQ7&lt;&gt;".",Irr!BO7&lt;&gt;"."),dir!AS7/((1/1000)*(Irr!AQ7+Irr!BO7)),IF(AND(Irr!S7=".",Irr!AQ7=".",Irr!BO7&lt;&gt;"."),dir!AS7/((1/1000)*(Irr!BO7)),IF(AND(Irr!S7=".",Irr!AQ7&lt;&gt;".",Irr!BO7="."),dir!AS7/((1/1000)*(Irr!AQ7)),IF(AND(Irr!S7&lt;&gt;".",Irr!AQ7=".",Irr!BO7="."),dir!AS7/((1/1000)*(Irr!S7)),IF(AND(Irr!S7=".",Irr!AQ7=".",Irr!BO7="."),dir!AS7*1000)))))))),".")</f>
        <v>1900.4855921119893</v>
      </c>
      <c r="AT7" s="48">
        <f>IFERROR(IF(AND(Irr!T7&lt;&gt;".",Irr!AR7&lt;&gt;".",Irr!BP7&lt;&gt;"."),dir!AT7/((1/1000)*(Irr!T7+Irr!AR7+Irr!BP7)),IF(AND(Irr!T7&lt;&gt;".",Irr!AR7&lt;&gt;".",Irr!BP7="."),dir!AT7/((1/1000)*(Irr!T7+Irr!AR7)),IF(AND(Irr!T7&lt;&gt;".",Irr!AR7=".",Irr!BP7&lt;&gt;"."),dir!AT7/((1/1000)*(Irr!T7+Irr!BP7)),IF(AND(Irr!T7=".",Irr!AR7&lt;&gt;".",Irr!BP7&lt;&gt;"."),dir!AT7/((1/1000)*(Irr!AR7+Irr!BP7)),IF(AND(Irr!T7=".",Irr!AR7=".",Irr!BP7&lt;&gt;"."),dir!AT7/((1/1000)*(Irr!BP7)),IF(AND(Irr!T7=".",Irr!AR7&lt;&gt;".",Irr!BP7="."),dir!AT7/((1/1000)*(Irr!AR7)),IF(AND(Irr!T7&lt;&gt;".",Irr!AR7=".",Irr!BP7="."),dir!AT7/((1/1000)*(Irr!T7)),IF(AND(Irr!T7=".",Irr!AR7=".",Irr!BP7="."),dir!AT7*1000)))))))),".")</f>
        <v>459.87044606945096</v>
      </c>
      <c r="AU7" s="48">
        <f>IFERROR(IF(AND(Irr!U7&lt;&gt;".",Irr!AS7&lt;&gt;".",Irr!BQ7&lt;&gt;"."),dir!AU7/((1/1000)*(Irr!U7+Irr!AS7+Irr!BQ7)),IF(AND(Irr!U7&lt;&gt;".",Irr!AS7&lt;&gt;".",Irr!BQ7="."),dir!AU7/((1/1000)*(Irr!U7+Irr!AS7)),IF(AND(Irr!U7&lt;&gt;".",Irr!AS7=".",Irr!BQ7&lt;&gt;"."),dir!AU7/((1/1000)*(Irr!U7+Irr!BQ7)),IF(AND(Irr!U7=".",Irr!AS7&lt;&gt;".",Irr!BQ7&lt;&gt;"."),dir!AU7/((1/1000)*(Irr!AS7+Irr!BQ7)),IF(AND(Irr!U7=".",Irr!AS7=".",Irr!BQ7&lt;&gt;"."),dir!AU7/((1/1000)*(Irr!BQ7)),IF(AND(Irr!U7=".",Irr!AS7&lt;&gt;".",Irr!BQ7="."),dir!AU7/((1/1000)*(Irr!AS7)),IF(AND(Irr!U7&lt;&gt;".",Irr!AS7=".",Irr!BQ7="."),dir!AU7/((1/1000)*(Irr!U7)),IF(AND(Irr!U7=".",Irr!AS7=".",Irr!BQ7="."),dir!AU7*1000)))))))),".")</f>
        <v>960.64442388975783</v>
      </c>
      <c r="AV7" s="48">
        <f>IFERROR(IF(AND(Irr!V7&lt;&gt;".",Irr!AT7&lt;&gt;".",Irr!BR7&lt;&gt;"."),dir!AV7/((1/1000)*(Irr!V7+Irr!AT7+Irr!BR7)),IF(AND(Irr!V7&lt;&gt;".",Irr!AT7&lt;&gt;".",Irr!BR7="."),dir!AV7/((1/1000)*(Irr!V7+Irr!AT7)),IF(AND(Irr!V7&lt;&gt;".",Irr!AT7=".",Irr!BR7&lt;&gt;"."),dir!AV7/((1/1000)*(Irr!V7+Irr!BR7)),IF(AND(Irr!V7=".",Irr!AT7&lt;&gt;".",Irr!BR7&lt;&gt;"."),dir!AV7/((1/1000)*(Irr!AT7+Irr!BR7)),IF(AND(Irr!V7=".",Irr!AT7=".",Irr!BR7&lt;&gt;"."),dir!AV7/((1/1000)*(Irr!BR7)),IF(AND(Irr!V7=".",Irr!AT7&lt;&gt;".",Irr!BR7="."),dir!AV7/((1/1000)*(Irr!AT7)),IF(AND(Irr!V7&lt;&gt;".",Irr!AT7=".",Irr!BR7="."),dir!AV7/((1/1000)*(Irr!V7)),IF(AND(Irr!V7=".",Irr!AT7=".",Irr!BR7="."),dir!AV7*1000)))))))),".")</f>
        <v>1155.6132007322483</v>
      </c>
      <c r="AW7" s="48">
        <f>IFERROR(IF(AND(Irr!W7&lt;&gt;".",Irr!AU7&lt;&gt;".",Irr!BS7&lt;&gt;"."),dir!AW7/((1/1000)*(Irr!W7+Irr!AU7+Irr!BS7)),IF(AND(Irr!W7&lt;&gt;".",Irr!AU7&lt;&gt;".",Irr!BS7="."),dir!AW7/((1/1000)*(Irr!W7+Irr!AU7)),IF(AND(Irr!W7&lt;&gt;".",Irr!AU7=".",Irr!BS7&lt;&gt;"."),dir!AW7/((1/1000)*(Irr!W7+Irr!BS7)),IF(AND(Irr!W7=".",Irr!AU7&lt;&gt;".",Irr!BS7&lt;&gt;"."),dir!AW7/((1/1000)*(Irr!AU7+Irr!BS7)),IF(AND(Irr!W7=".",Irr!AU7=".",Irr!BS7&lt;&gt;"."),dir!AW7/((1/1000)*(Irr!BS7)),IF(AND(Irr!W7=".",Irr!AU7&lt;&gt;".",Irr!BS7="."),dir!AW7/((1/1000)*(Irr!AU7)),IF(AND(Irr!W7&lt;&gt;".",Irr!AU7=".",Irr!BS7="."),dir!AW7/((1/1000)*(Irr!W7)),IF(AND(Irr!W7=".",Irr!AU7=".",Irr!BS7="."),dir!AW7*1000)))))))),".")</f>
        <v>1554.6570176911362</v>
      </c>
      <c r="AX7" s="48">
        <f>IFERROR(IF(AND(Irr!X7&lt;&gt;".",Irr!AV7&lt;&gt;".",Irr!BT7&lt;&gt;"."),dir!AX7/((1/1000)*(Irr!X7+Irr!AV7+Irr!BT7)),IF(AND(Irr!X7&lt;&gt;".",Irr!AV7&lt;&gt;".",Irr!BT7="."),dir!AX7/((1/1000)*(Irr!X7+Irr!AV7)),IF(AND(Irr!X7&lt;&gt;".",Irr!AV7=".",Irr!BT7&lt;&gt;"."),dir!AX7/((1/1000)*(Irr!X7+Irr!BT7)),IF(AND(Irr!X7=".",Irr!AV7&lt;&gt;".",Irr!BT7&lt;&gt;"."),dir!AX7/((1/1000)*(Irr!AV7+Irr!BT7)),IF(AND(Irr!X7=".",Irr!AV7=".",Irr!BT7&lt;&gt;"."),dir!AX7/((1/1000)*(Irr!BT7)),IF(AND(Irr!X7=".",Irr!AV7&lt;&gt;".",Irr!BT7="."),dir!AX7/((1/1000)*(Irr!AV7)),IF(AND(Irr!X7&lt;&gt;".",Irr!AV7=".",Irr!BT7="."),dir!AX7/((1/1000)*(Irr!X7)),IF(AND(Irr!X7=".",Irr!AV7=".",Irr!BT7="."),dir!AX7*1000)))))))),".")</f>
        <v>691.3787404388836</v>
      </c>
      <c r="AY7" s="48">
        <f>IFERROR(IF(AND(Irr!Y7&lt;&gt;".",Irr!AW7&lt;&gt;".",Irr!BU7&lt;&gt;"."),dir!AY7/((1/1000)*(Irr!Y7+Irr!AW7+Irr!BU7)),IF(AND(Irr!Y7&lt;&gt;".",Irr!AW7&lt;&gt;".",Irr!BU7="."),dir!AY7/((1/1000)*(Irr!Y7+Irr!AW7)),IF(AND(Irr!Y7&lt;&gt;".",Irr!AW7=".",Irr!BU7&lt;&gt;"."),dir!AY7/((1/1000)*(Irr!Y7+Irr!BU7)),IF(AND(Irr!Y7=".",Irr!AW7&lt;&gt;".",Irr!BU7&lt;&gt;"."),dir!AY7/((1/1000)*(Irr!AW7+Irr!BU7)),IF(AND(Irr!Y7=".",Irr!AW7=".",Irr!BU7&lt;&gt;"."),dir!AY7/((1/1000)*(Irr!BU7)),IF(AND(Irr!Y7=".",Irr!AW7&lt;&gt;".",Irr!BU7="."),dir!AY7/((1/1000)*(Irr!AW7)),IF(AND(Irr!Y7&lt;&gt;".",Irr!AW7=".",Irr!BU7="."),dir!AY7/((1/1000)*(Irr!Y7)),IF(AND(Irr!Y7=".",Irr!AW7=".",Irr!BU7="."),dir!AY7*1000)))))))),".")</f>
        <v>330.13199997022929</v>
      </c>
      <c r="AZ7" s="48">
        <f>IFERROR(IF(AND(Irr!Z7&lt;&gt;".",Irr!AX7&lt;&gt;".",Irr!BV7&lt;&gt;"."),dir!AZ7/((1/1000)*(Irr!Z7+Irr!AX7+Irr!BV7)),IF(AND(Irr!Z7&lt;&gt;".",Irr!AX7&lt;&gt;".",Irr!BV7="."),dir!AZ7/((1/1000)*(Irr!Z7+Irr!AX7)),IF(AND(Irr!Z7&lt;&gt;".",Irr!AX7=".",Irr!BV7&lt;&gt;"."),dir!AZ7/((1/1000)*(Irr!Z7+Irr!BV7)),IF(AND(Irr!Z7=".",Irr!AX7&lt;&gt;".",Irr!BV7&lt;&gt;"."),dir!AZ7/((1/1000)*(Irr!AX7+Irr!BV7)),IF(AND(Irr!Z7=".",Irr!AX7=".",Irr!BV7&lt;&gt;"."),dir!AZ7/((1/1000)*(Irr!BV7)),IF(AND(Irr!Z7=".",Irr!AX7&lt;&gt;".",Irr!BV7="."),dir!AZ7/((1/1000)*(Irr!AX7)),IF(AND(Irr!Z7&lt;&gt;".",Irr!AX7=".",Irr!BV7="."),dir!AZ7/((1/1000)*(Irr!Z7)),IF(AND(Irr!Z7=".",Irr!AX7=".",Irr!BV7="."),dir!AZ7*1000)))))))),".")</f>
        <v>312.38568179268481</v>
      </c>
    </row>
    <row r="8" spans="1:52" ht="15" customHeight="1" x14ac:dyDescent="0.25">
      <c r="A8" s="61" t="s">
        <v>6</v>
      </c>
      <c r="B8" s="49" t="s">
        <v>1059</v>
      </c>
      <c r="C8" s="48">
        <f t="shared" si="4"/>
        <v>300.3132392936472</v>
      </c>
      <c r="D8" s="48">
        <f>IFERROR(IF(AND(Irr!C8&lt;&gt;".",Irr!AA8&lt;&gt;".",Irr!AY8&lt;&gt;"."),dir!D8/((1/1000)*(Irr!C8+Irr!AA8+Irr!AY8)),IF(AND(Irr!C8&lt;&gt;".",Irr!AA8&lt;&gt;".",Irr!AY8="."),dir!D8/((1/1000)*(Irr!C8+Irr!AA8)),IF(AND(Irr!C8&lt;&gt;".",Irr!AA8=".",Irr!AY8&lt;&gt;"."),dir!D8/((1/1000)*(Irr!C8+Irr!AY8)),IF(AND(Irr!C8=".",Irr!AA8&lt;&gt;".",Irr!AY8&lt;&gt;"."),dir!D8/((1/1000)*(Irr!AA8+Irr!AY8)),IF(AND(Irr!C8=".",Irr!AA8=".",Irr!AY8&lt;&gt;"."),dir!D8/((1/1000)*(Irr!AY8)),IF(AND(Irr!C8=".",Irr!AA8&lt;&gt;".",Irr!AY8="."),dir!D8/((1/1000)*(Irr!AA8)),IF(AND(Irr!C8&lt;&gt;".",Irr!AA8=".",Irr!AY8="."),dir!D8/((1/1000)*(Irr!C8)),IF(AND(Irr!C8=".",Irr!AA8=".",Irr!AY8="."),dir!D8*1000)))))))),".")</f>
        <v>5438.2764383211388</v>
      </c>
      <c r="E8" s="48">
        <f>IFERROR(IF(AND(Irr!D8&lt;&gt;".",Irr!AB8&lt;&gt;".",Irr!AZ8&lt;&gt;"."),dir!E8/((1/1000)*(Irr!D8+Irr!AB8+Irr!AZ8)),IF(AND(Irr!D8&lt;&gt;".",Irr!AB8&lt;&gt;".",Irr!AZ8="."),dir!E8/((1/1000)*(Irr!D8+Irr!AB8)),IF(AND(Irr!D8&lt;&gt;".",Irr!AB8=".",Irr!AZ8&lt;&gt;"."),dir!E8/((1/1000)*(Irr!D8+Irr!AZ8)),IF(AND(Irr!D8=".",Irr!AB8&lt;&gt;".",Irr!AZ8&lt;&gt;"."),dir!E8/((1/1000)*(Irr!AB8+Irr!AZ8)),IF(AND(Irr!D8=".",Irr!AB8=".",Irr!AZ8&lt;&gt;"."),dir!E8/((1/1000)*(Irr!AZ8)),IF(AND(Irr!D8=".",Irr!AB8&lt;&gt;".",Irr!AZ8="."),dir!E8/((1/1000)*(Irr!AB8)),IF(AND(Irr!D8&lt;&gt;".",Irr!AB8=".",Irr!AZ8="."),dir!E8/((1/1000)*(Irr!D8)),IF(AND(Irr!D8=".",Irr!AB8=".",Irr!AZ8="."),dir!E8*1000)))))))),".")</f>
        <v>12085.786400341245</v>
      </c>
      <c r="F8" s="48">
        <f>IFERROR(IF(AND(Irr!E8&lt;&gt;".",Irr!AC8&lt;&gt;".",Irr!BA8&lt;&gt;"."),dir!F8/((1/1000)*(Irr!E8+Irr!AC8+Irr!BA8)),IF(AND(Irr!E8&lt;&gt;".",Irr!AC8&lt;&gt;".",Irr!BA8="."),dir!F8/((1/1000)*(Irr!E8+Irr!AC8)),IF(AND(Irr!E8&lt;&gt;".",Irr!AC8=".",Irr!BA8&lt;&gt;"."),dir!F8/((1/1000)*(Irr!E8+Irr!BA8)),IF(AND(Irr!E8=".",Irr!AC8&lt;&gt;".",Irr!BA8&lt;&gt;"."),dir!F8/((1/1000)*(Irr!AC8+Irr!BA8)),IF(AND(Irr!E8=".",Irr!AC8=".",Irr!BA8&lt;&gt;"."),dir!F8/((1/1000)*(Irr!BA8)),IF(AND(Irr!E8=".",Irr!AC8&lt;&gt;".",Irr!BA8="."),dir!F8/((1/1000)*(Irr!AC8)),IF(AND(Irr!E8&lt;&gt;".",Irr!AC8=".",Irr!BA8="."),dir!F8/((1/1000)*(Irr!E8)),IF(AND(Irr!E8=".",Irr!AC8=".",Irr!BA8="."),dir!F8*1000)))))))),".")</f>
        <v>14776.600298110769</v>
      </c>
      <c r="G8" s="48">
        <f>IFERROR(IF(AND(Irr!F8&lt;&gt;".",Irr!AD8&lt;&gt;".",Irr!BB8&lt;&gt;"."),dir!G8/((1/1000)*(Irr!F8+Irr!AD8+Irr!BB8)),IF(AND(Irr!F8&lt;&gt;".",Irr!AD8&lt;&gt;".",Irr!BB8="."),dir!G8/((1/1000)*(Irr!F8+Irr!AD8)),IF(AND(Irr!F8&lt;&gt;".",Irr!AD8=".",Irr!BB8&lt;&gt;"."),dir!G8/((1/1000)*(Irr!F8+Irr!BB8)),IF(AND(Irr!F8=".",Irr!AD8&lt;&gt;".",Irr!BB8&lt;&gt;"."),dir!G8/((1/1000)*(Irr!AD8+Irr!BB8)),IF(AND(Irr!F8=".",Irr!AD8=".",Irr!BB8&lt;&gt;"."),dir!G8/((1/1000)*(Irr!BB8)),IF(AND(Irr!F8=".",Irr!AD8&lt;&gt;".",Irr!BB8="."),dir!G8/((1/1000)*(Irr!AD8)),IF(AND(Irr!F8&lt;&gt;".",Irr!AD8=".",Irr!BB8="."),dir!G8/((1/1000)*(Irr!F8)),IF(AND(Irr!F8=".",Irr!AD8=".",Irr!BB8="."),dir!G8*1000)))))))),".")</f>
        <v>12178.687911003892</v>
      </c>
      <c r="H8" s="48">
        <f>IFERROR(IF(AND(Irr!G8&lt;&gt;".",Irr!AE8&lt;&gt;".",Irr!BC8&lt;&gt;"."),dir!H8/((1/1000)*(Irr!G8+Irr!AE8+Irr!BC8)),IF(AND(Irr!G8&lt;&gt;".",Irr!AE8&lt;&gt;".",Irr!BC8="."),dir!H8/((1/1000)*(Irr!G8+Irr!AE8)),IF(AND(Irr!G8&lt;&gt;".",Irr!AE8=".",Irr!BC8&lt;&gt;"."),dir!H8/((1/1000)*(Irr!G8+Irr!BC8)),IF(AND(Irr!G8=".",Irr!AE8&lt;&gt;".",Irr!BC8&lt;&gt;"."),dir!H8/((1/1000)*(Irr!AE8+Irr!BC8)),IF(AND(Irr!G8=".",Irr!AE8=".",Irr!BC8&lt;&gt;"."),dir!H8/((1/1000)*(Irr!BC8)),IF(AND(Irr!G8=".",Irr!AE8&lt;&gt;".",Irr!BC8="."),dir!H8/((1/1000)*(Irr!AE8)),IF(AND(Irr!G8&lt;&gt;".",Irr!AE8=".",Irr!BC8="."),dir!H8/((1/1000)*(Irr!G8)),IF(AND(Irr!G8=".",Irr!AE8=".",Irr!BC8="."),dir!H8*1000)))))))),".")</f>
        <v>14365.660889917641</v>
      </c>
      <c r="I8" s="48">
        <f>IFERROR(IF(AND(Irr!H8&lt;&gt;".",Irr!AF8&lt;&gt;".",Irr!BD8&lt;&gt;"."),dir!I8/((1/1000)*(Irr!H8+Irr!AF8+Irr!BD8)),IF(AND(Irr!H8&lt;&gt;".",Irr!AF8&lt;&gt;".",Irr!BD8="."),dir!I8/((1/1000)*(Irr!H8+Irr!AF8)),IF(AND(Irr!H8&lt;&gt;".",Irr!AF8=".",Irr!BD8&lt;&gt;"."),dir!I8/((1/1000)*(Irr!H8+Irr!BD8)),IF(AND(Irr!H8=".",Irr!AF8&lt;&gt;".",Irr!BD8&lt;&gt;"."),dir!I8/((1/1000)*(Irr!AF8+Irr!BD8)),IF(AND(Irr!H8=".",Irr!AF8=".",Irr!BD8&lt;&gt;"."),dir!I8/((1/1000)*(Irr!BD8)),IF(AND(Irr!H8=".",Irr!AF8&lt;&gt;".",Irr!BD8="."),dir!I8/((1/1000)*(Irr!AF8)),IF(AND(Irr!H8&lt;&gt;".",Irr!AF8=".",Irr!BD8="."),dir!I8/((1/1000)*(Irr!H8)),IF(AND(Irr!H8=".",Irr!AF8=".",Irr!BD8="."),dir!I8*1000)))))))),".")</f>
        <v>5410.9156518910631</v>
      </c>
      <c r="J8" s="48">
        <f>IFERROR(IF(AND(Irr!I8&lt;&gt;".",Irr!AG8&lt;&gt;".",Irr!BE8&lt;&gt;"."),dir!J8/((1/1000)*(Irr!I8+Irr!AG8+Irr!BE8)),IF(AND(Irr!I8&lt;&gt;".",Irr!AG8&lt;&gt;".",Irr!BE8="."),dir!J8/((1/1000)*(Irr!I8+Irr!AG8)),IF(AND(Irr!I8&lt;&gt;".",Irr!AG8=".",Irr!BE8&lt;&gt;"."),dir!J8/((1/1000)*(Irr!I8+Irr!BE8)),IF(AND(Irr!I8=".",Irr!AG8&lt;&gt;".",Irr!BE8&lt;&gt;"."),dir!J8/((1/1000)*(Irr!AG8+Irr!BE8)),IF(AND(Irr!I8=".",Irr!AG8=".",Irr!BE8&lt;&gt;"."),dir!J8/((1/1000)*(Irr!BE8)),IF(AND(Irr!I8=".",Irr!AG8&lt;&gt;".",Irr!BE8="."),dir!J8/((1/1000)*(Irr!AG8)),IF(AND(Irr!I8&lt;&gt;".",Irr!AG8=".",Irr!BE8="."),dir!J8/((1/1000)*(Irr!I8)),IF(AND(Irr!I8=".",Irr!AG8=".",Irr!BE8="."),dir!J8*1000)))))))),".")</f>
        <v>16322.36540844059</v>
      </c>
      <c r="K8" s="48">
        <f>IFERROR(IF(AND(Irr!J8&lt;&gt;".",Irr!AH8&lt;&gt;".",Irr!BF8&lt;&gt;"."),dir!K8/((1/1000)*(Irr!J8+Irr!AH8+Irr!BF8)),IF(AND(Irr!J8&lt;&gt;".",Irr!AH8&lt;&gt;".",Irr!BF8="."),dir!K8/((1/1000)*(Irr!J8+Irr!AH8)),IF(AND(Irr!J8&lt;&gt;".",Irr!AH8=".",Irr!BF8&lt;&gt;"."),dir!K8/((1/1000)*(Irr!J8+Irr!BF8)),IF(AND(Irr!J8=".",Irr!AH8&lt;&gt;".",Irr!BF8&lt;&gt;"."),dir!K8/((1/1000)*(Irr!AH8+Irr!BF8)),IF(AND(Irr!J8=".",Irr!AH8=".",Irr!BF8&lt;&gt;"."),dir!K8/((1/1000)*(Irr!BF8)),IF(AND(Irr!J8=".",Irr!AH8&lt;&gt;".",Irr!BF8="."),dir!K8/((1/1000)*(Irr!AH8)),IF(AND(Irr!J8&lt;&gt;".",Irr!AH8=".",Irr!BF8="."),dir!K8/((1/1000)*(Irr!J8)),IF(AND(Irr!J8=".",Irr!AH8=".",Irr!BF8="."),dir!K8*1000)))))))),".")</f>
        <v>1410.2420848375198</v>
      </c>
      <c r="L8" s="48">
        <f>IFERROR(IF(AND(Irr!K8&lt;&gt;".",Irr!AI8&lt;&gt;".",Irr!BG8&lt;&gt;"."),dir!L8/((1/1000)*(Irr!K8+Irr!AI8+Irr!BG8)),IF(AND(Irr!K8&lt;&gt;".",Irr!AI8&lt;&gt;".",Irr!BG8="."),dir!L8/((1/1000)*(Irr!K8+Irr!AI8)),IF(AND(Irr!K8&lt;&gt;".",Irr!AI8=".",Irr!BG8&lt;&gt;"."),dir!L8/((1/1000)*(Irr!K8+Irr!BG8)),IF(AND(Irr!K8=".",Irr!AI8&lt;&gt;".",Irr!BG8&lt;&gt;"."),dir!L8/((1/1000)*(Irr!AI8+Irr!BG8)),IF(AND(Irr!K8=".",Irr!AI8=".",Irr!BG8&lt;&gt;"."),dir!L8/((1/1000)*(Irr!BG8)),IF(AND(Irr!K8=".",Irr!AI8&lt;&gt;".",Irr!BG8="."),dir!L8/((1/1000)*(Irr!AI8)),IF(AND(Irr!K8&lt;&gt;".",Irr!AI8=".",Irr!BG8="."),dir!L8/((1/1000)*(Irr!K8)),IF(AND(Irr!K8=".",Irr!AI8=".",Irr!BG8="."),dir!L8*1000)))))))),".")</f>
        <v>7743.6798375658464</v>
      </c>
      <c r="M8" s="48">
        <f>IFERROR(IF(AND(Irr!L8&lt;&gt;".",Irr!AJ8&lt;&gt;".",Irr!BH8&lt;&gt;"."),dir!M8/((1/1000)*(Irr!L8+Irr!AJ8+Irr!BH8)),IF(AND(Irr!L8&lt;&gt;".",Irr!AJ8&lt;&gt;".",Irr!BH8="."),dir!M8/((1/1000)*(Irr!L8+Irr!AJ8)),IF(AND(Irr!L8&lt;&gt;".",Irr!AJ8=".",Irr!BH8&lt;&gt;"."),dir!M8/((1/1000)*(Irr!L8+Irr!BH8)),IF(AND(Irr!L8=".",Irr!AJ8&lt;&gt;".",Irr!BH8&lt;&gt;"."),dir!M8/((1/1000)*(Irr!AJ8+Irr!BH8)),IF(AND(Irr!L8=".",Irr!AJ8=".",Irr!BH8&lt;&gt;"."),dir!M8/((1/1000)*(Irr!BH8)),IF(AND(Irr!L8=".",Irr!AJ8&lt;&gt;".",Irr!BH8="."),dir!M8/((1/1000)*(Irr!AJ8)),IF(AND(Irr!L8&lt;&gt;".",Irr!AJ8=".",Irr!BH8="."),dir!M8/((1/1000)*(Irr!L8)),IF(AND(Irr!L8=".",Irr!AJ8=".",Irr!BH8="."),dir!M8*1000)))))))),".")</f>
        <v>5760.7422156008697</v>
      </c>
      <c r="N8" s="48">
        <f>IFERROR(IF(AND(Irr!M8&lt;&gt;".",Irr!AK8&lt;&gt;".",Irr!BI8&lt;&gt;"."),dir!N8/((1/1000)*(Irr!M8+Irr!AK8+Irr!BI8)),IF(AND(Irr!M8&lt;&gt;".",Irr!AK8&lt;&gt;".",Irr!BI8="."),dir!N8/((1/1000)*(Irr!M8+Irr!AK8)),IF(AND(Irr!M8&lt;&gt;".",Irr!AK8=".",Irr!BI8&lt;&gt;"."),dir!N8/((1/1000)*(Irr!M8+Irr!BI8)),IF(AND(Irr!M8=".",Irr!AK8&lt;&gt;".",Irr!BI8&lt;&gt;"."),dir!N8/((1/1000)*(Irr!AK8+Irr!BI8)),IF(AND(Irr!M8=".",Irr!AK8=".",Irr!BI8&lt;&gt;"."),dir!N8/((1/1000)*(Irr!BI8)),IF(AND(Irr!M8=".",Irr!AK8&lt;&gt;".",Irr!BI8="."),dir!N8/((1/1000)*(Irr!AK8)),IF(AND(Irr!M8&lt;&gt;".",Irr!AK8=".",Irr!BI8="."),dir!N8/((1/1000)*(Irr!M8)),IF(AND(Irr!M8=".",Irr!AK8=".",Irr!BI8="."),dir!N8*1000)))))))),".")</f>
        <v>12540.410729385312</v>
      </c>
      <c r="O8" s="48">
        <f>IFERROR(IF(AND(Irr!N8&lt;&gt;".",Irr!AL8&lt;&gt;".",Irr!BJ8&lt;&gt;"."),dir!O8/((1/1000)*(Irr!N8+Irr!AL8+Irr!BJ8)),IF(AND(Irr!N8&lt;&gt;".",Irr!AL8&lt;&gt;".",Irr!BJ8="."),dir!O8/((1/1000)*(Irr!N8+Irr!AL8)),IF(AND(Irr!N8&lt;&gt;".",Irr!AL8=".",Irr!BJ8&lt;&gt;"."),dir!O8/((1/1000)*(Irr!N8+Irr!BJ8)),IF(AND(Irr!N8=".",Irr!AL8&lt;&gt;".",Irr!BJ8&lt;&gt;"."),dir!O8/((1/1000)*(Irr!AL8+Irr!BJ8)),IF(AND(Irr!N8=".",Irr!AL8=".",Irr!BJ8&lt;&gt;"."),dir!O8/((1/1000)*(Irr!BJ8)),IF(AND(Irr!N8=".",Irr!AL8&lt;&gt;".",Irr!BJ8="."),dir!O8/((1/1000)*(Irr!AL8)),IF(AND(Irr!N8&lt;&gt;".",Irr!AL8=".",Irr!BJ8="."),dir!O8/((1/1000)*(Irr!N8)),IF(AND(Irr!N8=".",Irr!AL8=".",Irr!BJ8="."),dir!O8*1000)))))))),".")</f>
        <v>14236.701014586357</v>
      </c>
      <c r="P8" s="48">
        <f>IFERROR(IF(AND(Irr!O8&lt;&gt;".",Irr!AM8&lt;&gt;".",Irr!BK8&lt;&gt;"."),dir!P8/((1/1000)*(Irr!O8+Irr!AM8+Irr!BK8)),IF(AND(Irr!O8&lt;&gt;".",Irr!AM8&lt;&gt;".",Irr!BK8="."),dir!P8/((1/1000)*(Irr!O8+Irr!AM8)),IF(AND(Irr!O8&lt;&gt;".",Irr!AM8=".",Irr!BK8&lt;&gt;"."),dir!P8/((1/1000)*(Irr!O8+Irr!BK8)),IF(AND(Irr!O8=".",Irr!AM8&lt;&gt;".",Irr!BK8&lt;&gt;"."),dir!P8/((1/1000)*(Irr!AM8+Irr!BK8)),IF(AND(Irr!O8=".",Irr!AM8=".",Irr!BK8&lt;&gt;"."),dir!P8/((1/1000)*(Irr!BK8)),IF(AND(Irr!O8=".",Irr!AM8&lt;&gt;".",Irr!BK8="."),dir!P8/((1/1000)*(Irr!AM8)),IF(AND(Irr!O8&lt;&gt;".",Irr!AM8=".",Irr!BK8="."),dir!P8/((1/1000)*(Irr!O8)),IF(AND(Irr!O8=".",Irr!AM8=".",Irr!BK8="."),dir!P8*1000)))))))),".")</f>
        <v>16307.063981731833</v>
      </c>
      <c r="Q8" s="48">
        <f>IFERROR(IF(AND(Irr!P8&lt;&gt;".",Irr!AN8&lt;&gt;".",Irr!BL8&lt;&gt;"."),dir!Q8/((1/1000)*(Irr!P8+Irr!AN8+Irr!BL8)),IF(AND(Irr!P8&lt;&gt;".",Irr!AN8&lt;&gt;".",Irr!BL8="."),dir!Q8/((1/1000)*(Irr!P8+Irr!AN8)),IF(AND(Irr!P8&lt;&gt;".",Irr!AN8=".",Irr!BL8&lt;&gt;"."),dir!Q8/((1/1000)*(Irr!P8+Irr!BL8)),IF(AND(Irr!P8=".",Irr!AN8&lt;&gt;".",Irr!BL8&lt;&gt;"."),dir!Q8/((1/1000)*(Irr!AN8+Irr!BL8)),IF(AND(Irr!P8=".",Irr!AN8=".",Irr!BL8&lt;&gt;"."),dir!Q8/((1/1000)*(Irr!BL8)),IF(AND(Irr!P8=".",Irr!AN8&lt;&gt;".",Irr!BL8="."),dir!Q8/((1/1000)*(Irr!AN8)),IF(AND(Irr!P8&lt;&gt;".",Irr!AN8=".",Irr!BL8="."),dir!Q8/((1/1000)*(Irr!P8)),IF(AND(Irr!P8=".",Irr!AN8=".",Irr!BL8="."),dir!Q8*1000)))))))),".")</f>
        <v>22022.582202293353</v>
      </c>
      <c r="R8" s="48">
        <f>IFERROR(IF(AND(Irr!Q8&lt;&gt;".",Irr!AO8&lt;&gt;".",Irr!BM8&lt;&gt;"."),dir!R8/((1/1000)*(Irr!Q8+Irr!AO8+Irr!BM8)),IF(AND(Irr!Q8&lt;&gt;".",Irr!AO8&lt;&gt;".",Irr!BM8="."),dir!R8/((1/1000)*(Irr!Q8+Irr!AO8)),IF(AND(Irr!Q8&lt;&gt;".",Irr!AO8=".",Irr!BM8&lt;&gt;"."),dir!R8/((1/1000)*(Irr!Q8+Irr!BM8)),IF(AND(Irr!Q8=".",Irr!AO8&lt;&gt;".",Irr!BM8&lt;&gt;"."),dir!R8/((1/1000)*(Irr!AO8+Irr!BM8)),IF(AND(Irr!Q8=".",Irr!AO8=".",Irr!BM8&lt;&gt;"."),dir!R8/((1/1000)*(Irr!BM8)),IF(AND(Irr!Q8=".",Irr!AO8&lt;&gt;".",Irr!BM8="."),dir!R8/((1/1000)*(Irr!AO8)),IF(AND(Irr!Q8&lt;&gt;".",Irr!AO8=".",Irr!BM8="."),dir!R8/((1/1000)*(Irr!Q8)),IF(AND(Irr!Q8=".",Irr!AO8=".",Irr!BM8="."),dir!R8*1000)))))))),".")</f>
        <v>3477.8226358122397</v>
      </c>
      <c r="S8" s="48">
        <f>IFERROR(IF(AND(Irr!R8&lt;&gt;".",Irr!AP8&lt;&gt;".",Irr!BN8&lt;&gt;"."),dir!S8/((1/1000)*(Irr!R8+Irr!AP8+Irr!BN8)),IF(AND(Irr!R8&lt;&gt;".",Irr!AP8&lt;&gt;".",Irr!BN8="."),dir!S8/((1/1000)*(Irr!R8+Irr!AP8)),IF(AND(Irr!R8&lt;&gt;".",Irr!AP8=".",Irr!BN8&lt;&gt;"."),dir!S8/((1/1000)*(Irr!R8+Irr!BN8)),IF(AND(Irr!R8=".",Irr!AP8&lt;&gt;".",Irr!BN8&lt;&gt;"."),dir!S8/((1/1000)*(Irr!AP8+Irr!BN8)),IF(AND(Irr!R8=".",Irr!AP8=".",Irr!BN8&lt;&gt;"."),dir!S8/((1/1000)*(Irr!BN8)),IF(AND(Irr!R8=".",Irr!AP8&lt;&gt;".",Irr!BN8="."),dir!S8/((1/1000)*(Irr!AP8)),IF(AND(Irr!R8&lt;&gt;".",Irr!AP8=".",Irr!BN8="."),dir!S8/((1/1000)*(Irr!R8)),IF(AND(Irr!R8=".",Irr!AP8=".",Irr!BN8="."),dir!S8*1000)))))))),".")</f>
        <v>7219.0241345399627</v>
      </c>
      <c r="T8" s="48">
        <f>IFERROR(IF(AND(Irr!S8&lt;&gt;".",Irr!AQ8&lt;&gt;".",Irr!BO8&lt;&gt;"."),dir!T8/((1/1000)*(Irr!S8+Irr!AQ8+Irr!BO8)),IF(AND(Irr!S8&lt;&gt;".",Irr!AQ8&lt;&gt;".",Irr!BO8="."),dir!T8/((1/1000)*(Irr!S8+Irr!AQ8)),IF(AND(Irr!S8&lt;&gt;".",Irr!AQ8=".",Irr!BO8&lt;&gt;"."),dir!T8/((1/1000)*(Irr!S8+Irr!BO8)),IF(AND(Irr!S8=".",Irr!AQ8&lt;&gt;".",Irr!BO8&lt;&gt;"."),dir!T8/((1/1000)*(Irr!AQ8+Irr!BO8)),IF(AND(Irr!S8=".",Irr!AQ8=".",Irr!BO8&lt;&gt;"."),dir!T8/((1/1000)*(Irr!BO8)),IF(AND(Irr!S8=".",Irr!AQ8&lt;&gt;".",Irr!BO8="."),dir!T8/((1/1000)*(Irr!AQ8)),IF(AND(Irr!S8&lt;&gt;".",Irr!AQ8=".",Irr!BO8="."),dir!T8/((1/1000)*(Irr!S8)),IF(AND(Irr!S8=".",Irr!AQ8=".",Irr!BO8="."),dir!T8*1000)))))))),".")</f>
        <v>11514.945683410629</v>
      </c>
      <c r="U8" s="48">
        <f>IFERROR(IF(AND(Irr!T8&lt;&gt;".",Irr!AR8&lt;&gt;".",Irr!BP8&lt;&gt;"."),dir!U8/((1/1000)*(Irr!T8+Irr!AR8+Irr!BP8)),IF(AND(Irr!T8&lt;&gt;".",Irr!AR8&lt;&gt;".",Irr!BP8="."),dir!U8/((1/1000)*(Irr!T8+Irr!AR8)),IF(AND(Irr!T8&lt;&gt;".",Irr!AR8=".",Irr!BP8&lt;&gt;"."),dir!U8/((1/1000)*(Irr!T8+Irr!BP8)),IF(AND(Irr!T8=".",Irr!AR8&lt;&gt;".",Irr!BP8&lt;&gt;"."),dir!U8/((1/1000)*(Irr!AR8+Irr!BP8)),IF(AND(Irr!T8=".",Irr!AR8=".",Irr!BP8&lt;&gt;"."),dir!U8/((1/1000)*(Irr!BP8)),IF(AND(Irr!T8=".",Irr!AR8&lt;&gt;".",Irr!BP8="."),dir!U8/((1/1000)*(Irr!AR8)),IF(AND(Irr!T8&lt;&gt;".",Irr!AR8=".",Irr!BP8="."),dir!U8/((1/1000)*(Irr!T8)),IF(AND(Irr!T8=".",Irr!AR8=".",Irr!BP8="."),dir!U8*1000)))))))),".")</f>
        <v>3615.9285948188253</v>
      </c>
      <c r="V8" s="48">
        <f>IFERROR(IF(AND(Irr!U8&lt;&gt;".",Irr!AS8&lt;&gt;".",Irr!BQ8&lt;&gt;"."),dir!V8/((1/1000)*(Irr!U8+Irr!AS8+Irr!BQ8)),IF(AND(Irr!U8&lt;&gt;".",Irr!AS8&lt;&gt;".",Irr!BQ8="."),dir!V8/((1/1000)*(Irr!U8+Irr!AS8)),IF(AND(Irr!U8&lt;&gt;".",Irr!AS8=".",Irr!BQ8&lt;&gt;"."),dir!V8/((1/1000)*(Irr!U8+Irr!BQ8)),IF(AND(Irr!U8=".",Irr!AS8&lt;&gt;".",Irr!BQ8&lt;&gt;"."),dir!V8/((1/1000)*(Irr!AS8+Irr!BQ8)),IF(AND(Irr!U8=".",Irr!AS8=".",Irr!BQ8&lt;&gt;"."),dir!V8/((1/1000)*(Irr!BQ8)),IF(AND(Irr!U8=".",Irr!AS8&lt;&gt;".",Irr!BQ8="."),dir!V8/((1/1000)*(Irr!AS8)),IF(AND(Irr!U8&lt;&gt;".",Irr!AS8=".",Irr!BQ8="."),dir!V8/((1/1000)*(Irr!U8)),IF(AND(Irr!U8=".",Irr!AS8=".",Irr!BQ8="."),dir!V8*1000)))))))),".")</f>
        <v>6619.8874006747219</v>
      </c>
      <c r="W8" s="48">
        <f>IFERROR(IF(AND(Irr!V8&lt;&gt;".",Irr!AT8&lt;&gt;".",Irr!BR8&lt;&gt;"."),dir!W8/((1/1000)*(Irr!V8+Irr!AT8+Irr!BR8)),IF(AND(Irr!V8&lt;&gt;".",Irr!AT8&lt;&gt;".",Irr!BR8="."),dir!W8/((1/1000)*(Irr!V8+Irr!AT8)),IF(AND(Irr!V8&lt;&gt;".",Irr!AT8=".",Irr!BR8&lt;&gt;"."),dir!W8/((1/1000)*(Irr!V8+Irr!BR8)),IF(AND(Irr!V8=".",Irr!AT8&lt;&gt;".",Irr!BR8&lt;&gt;"."),dir!W8/((1/1000)*(Irr!AT8+Irr!BR8)),IF(AND(Irr!V8=".",Irr!AT8=".",Irr!BR8&lt;&gt;"."),dir!W8/((1/1000)*(Irr!BR8)),IF(AND(Irr!V8=".",Irr!AT8&lt;&gt;".",Irr!BR8="."),dir!W8/((1/1000)*(Irr!AT8)),IF(AND(Irr!V8&lt;&gt;".",Irr!AT8=".",Irr!BR8="."),dir!W8/((1/1000)*(Irr!V8)),IF(AND(Irr!V8=".",Irr!AT8=".",Irr!BR8="."),dir!W8*1000)))))))),".")</f>
        <v>8153.5425114309091</v>
      </c>
      <c r="X8" s="48">
        <f>IFERROR(IF(AND(Irr!W8&lt;&gt;".",Irr!AU8&lt;&gt;".",Irr!BS8&lt;&gt;"."),dir!X8/((1/1000)*(Irr!W8+Irr!AU8+Irr!BS8)),IF(AND(Irr!W8&lt;&gt;".",Irr!AU8&lt;&gt;".",Irr!BS8="."),dir!X8/((1/1000)*(Irr!W8+Irr!AU8)),IF(AND(Irr!W8&lt;&gt;".",Irr!AU8=".",Irr!BS8&lt;&gt;"."),dir!X8/((1/1000)*(Irr!W8+Irr!BS8)),IF(AND(Irr!W8=".",Irr!AU8&lt;&gt;".",Irr!BS8&lt;&gt;"."),dir!X8/((1/1000)*(Irr!AU8+Irr!BS8)),IF(AND(Irr!W8=".",Irr!AU8=".",Irr!BS8&lt;&gt;"."),dir!X8/((1/1000)*(Irr!BS8)),IF(AND(Irr!W8=".",Irr!AU8&lt;&gt;".",Irr!BS8="."),dir!X8/((1/1000)*(Irr!AU8)),IF(AND(Irr!W8&lt;&gt;".",Irr!AU8=".",Irr!BS8="."),dir!X8/((1/1000)*(Irr!W8)),IF(AND(Irr!W8=".",Irr!AU8=".",Irr!BS8="."),dir!X8*1000)))))))),".")</f>
        <v>10784.855064990899</v>
      </c>
      <c r="Y8" s="48">
        <f>IFERROR(IF(AND(Irr!X8&lt;&gt;".",Irr!AV8&lt;&gt;".",Irr!BT8&lt;&gt;"."),dir!Y8/((1/1000)*(Irr!X8+Irr!AV8+Irr!BT8)),IF(AND(Irr!X8&lt;&gt;".",Irr!AV8&lt;&gt;".",Irr!BT8="."),dir!Y8/((1/1000)*(Irr!X8+Irr!AV8)),IF(AND(Irr!X8&lt;&gt;".",Irr!AV8=".",Irr!BT8&lt;&gt;"."),dir!Y8/((1/1000)*(Irr!X8+Irr!BT8)),IF(AND(Irr!X8=".",Irr!AV8&lt;&gt;".",Irr!BT8&lt;&gt;"."),dir!Y8/((1/1000)*(Irr!AV8+Irr!BT8)),IF(AND(Irr!X8=".",Irr!AV8=".",Irr!BT8&lt;&gt;"."),dir!Y8/((1/1000)*(Irr!BT8)),IF(AND(Irr!X8=".",Irr!AV8&lt;&gt;".",Irr!BT8="."),dir!Y8/((1/1000)*(Irr!AV8)),IF(AND(Irr!X8&lt;&gt;".",Irr!AV8=".",Irr!BT8="."),dir!Y8/((1/1000)*(Irr!X8)),IF(AND(Irr!X8=".",Irr!AV8=".",Irr!BT8="."),dir!Y8*1000)))))))),".")</f>
        <v>5769.1491902389544</v>
      </c>
      <c r="Z8" s="48">
        <f>IFERROR(IF(AND(Irr!Y8&lt;&gt;".",Irr!AW8&lt;&gt;".",Irr!BU8&lt;&gt;"."),dir!Z8/((1/1000)*(Irr!Y8+Irr!AW8+Irr!BU8)),IF(AND(Irr!Y8&lt;&gt;".",Irr!AW8&lt;&gt;".",Irr!BU8="."),dir!Z8/((1/1000)*(Irr!Y8+Irr!AW8)),IF(AND(Irr!Y8&lt;&gt;".",Irr!AW8=".",Irr!BU8&lt;&gt;"."),dir!Z8/((1/1000)*(Irr!Y8+Irr!BU8)),IF(AND(Irr!Y8=".",Irr!AW8&lt;&gt;".",Irr!BU8&lt;&gt;"."),dir!Z8/((1/1000)*(Irr!AW8+Irr!BU8)),IF(AND(Irr!Y8=".",Irr!AW8=".",Irr!BU8&lt;&gt;"."),dir!Z8/((1/1000)*(Irr!BU8)),IF(AND(Irr!Y8=".",Irr!AW8&lt;&gt;".",Irr!BU8="."),dir!Z8/((1/1000)*(Irr!AW8)),IF(AND(Irr!Y8&lt;&gt;".",Irr!AW8=".",Irr!BU8="."),dir!Z8/((1/1000)*(Irr!Y8)),IF(AND(Irr!Y8=".",Irr!AW8=".",Irr!BU8="."),dir!Z8*1000)))))))),".")</f>
        <v>2831.8260412365426</v>
      </c>
      <c r="AA8" s="48">
        <f>IFERROR(IF(AND(Irr!Z8&lt;&gt;".",Irr!AX8&lt;&gt;".",Irr!BV8&lt;&gt;"."),dir!AA8/((1/1000)*(Irr!Z8+Irr!AX8+Irr!BV8)),IF(AND(Irr!Z8&lt;&gt;".",Irr!AX8&lt;&gt;".",Irr!BV8="."),dir!AA8/((1/1000)*(Irr!Z8+Irr!AX8)),IF(AND(Irr!Z8&lt;&gt;".",Irr!AX8=".",Irr!BV8&lt;&gt;"."),dir!AA8/((1/1000)*(Irr!Z8+Irr!BV8)),IF(AND(Irr!Z8=".",Irr!AX8&lt;&gt;".",Irr!BV8&lt;&gt;"."),dir!AA8/((1/1000)*(Irr!AX8+Irr!BV8)),IF(AND(Irr!Z8=".",Irr!AX8=".",Irr!BV8&lt;&gt;"."),dir!AA8/((1/1000)*(Irr!BV8)),IF(AND(Irr!Z8=".",Irr!AX8&lt;&gt;".",Irr!BV8="."),dir!AA8/((1/1000)*(Irr!AX8)),IF(AND(Irr!Z8&lt;&gt;".",Irr!AX8=".",Irr!BV8="."),dir!AA8/((1/1000)*(Irr!Z8)),IF(AND(Irr!Z8=".",Irr!AX8=".",Irr!BV8="."),dir!AA8*1000)))))))),".")</f>
        <v>2192.8261643338378</v>
      </c>
      <c r="AB8" s="48">
        <f t="shared" si="5"/>
        <v>283.64857395535546</v>
      </c>
      <c r="AC8" s="48">
        <f>IFERROR(IF(AND(Irr!C8&lt;&gt;".",Irr!AA8&lt;&gt;".",Irr!AY8&lt;&gt;"."),dir!AC8/((1/1000)*(Irr!C8+Irr!AA8+Irr!AY8)),IF(AND(Irr!C8&lt;&gt;".",Irr!AA8&lt;&gt;".",Irr!AY8="."),dir!AC8/((1/1000)*(Irr!C8+Irr!AA8)),IF(AND(Irr!C8&lt;&gt;".",Irr!AA8=".",Irr!AY8&lt;&gt;"."),dir!AC8/((1/1000)*(Irr!C8+Irr!AY8)),IF(AND(Irr!C8=".",Irr!AA8&lt;&gt;".",Irr!AY8&lt;&gt;"."),dir!AC8/((1/1000)*(Irr!AA8+Irr!AY8)),IF(AND(Irr!C8=".",Irr!AA8=".",Irr!AY8&lt;&gt;"."),dir!AC8/((1/1000)*(Irr!AY8)),IF(AND(Irr!C8=".",Irr!AA8&lt;&gt;".",Irr!AY8="."),dir!AC8/((1/1000)*(Irr!AA8)),IF(AND(Irr!C8&lt;&gt;".",Irr!AA8=".",Irr!AY8="."),dir!AC8/((1/1000)*(Irr!C8)),IF(AND(Irr!C8=".",Irr!AA8=".",Irr!AY8="."),dir!AC8*1000)))))))),".")</f>
        <v>4724.9173058515598</v>
      </c>
      <c r="AD8" s="48">
        <f>IFERROR(IF(AND(Irr!D8&lt;&gt;".",Irr!AB8&lt;&gt;".",Irr!AZ8&lt;&gt;"."),dir!AD8/((1/1000)*(Irr!D8+Irr!AB8+Irr!AZ8)),IF(AND(Irr!D8&lt;&gt;".",Irr!AB8&lt;&gt;".",Irr!AZ8="."),dir!AD8/((1/1000)*(Irr!D8+Irr!AB8)),IF(AND(Irr!D8&lt;&gt;".",Irr!AB8=".",Irr!AZ8&lt;&gt;"."),dir!AD8/((1/1000)*(Irr!D8+Irr!AZ8)),IF(AND(Irr!D8=".",Irr!AB8&lt;&gt;".",Irr!AZ8&lt;&gt;"."),dir!AD8/((1/1000)*(Irr!AB8+Irr!AZ8)),IF(AND(Irr!D8=".",Irr!AB8=".",Irr!AZ8&lt;&gt;"."),dir!AD8/((1/1000)*(Irr!AZ8)),IF(AND(Irr!D8=".",Irr!AB8&lt;&gt;".",Irr!AZ8="."),dir!AD8/((1/1000)*(Irr!AB8)),IF(AND(Irr!D8&lt;&gt;".",Irr!AB8=".",Irr!AZ8="."),dir!AD8/((1/1000)*(Irr!D8)),IF(AND(Irr!D8=".",Irr!AB8=".",Irr!AZ8="."),dir!AD8*1000)))))))),".")</f>
        <v>11336.024789821568</v>
      </c>
      <c r="AE8" s="48">
        <f>IFERROR(IF(AND(Irr!E8&lt;&gt;".",Irr!AC8&lt;&gt;".",Irr!BA8&lt;&gt;"."),dir!AE8/((1/1000)*(Irr!E8+Irr!AC8+Irr!BA8)),IF(AND(Irr!E8&lt;&gt;".",Irr!AC8&lt;&gt;".",Irr!BA8="."),dir!AE8/((1/1000)*(Irr!E8+Irr!AC8)),IF(AND(Irr!E8&lt;&gt;".",Irr!AC8=".",Irr!BA8&lt;&gt;"."),dir!AE8/((1/1000)*(Irr!E8+Irr!BA8)),IF(AND(Irr!E8=".",Irr!AC8&lt;&gt;".",Irr!BA8&lt;&gt;"."),dir!AE8/((1/1000)*(Irr!AC8+Irr!BA8)),IF(AND(Irr!E8=".",Irr!AC8=".",Irr!BA8&lt;&gt;"."),dir!AE8/((1/1000)*(Irr!BA8)),IF(AND(Irr!E8=".",Irr!AC8&lt;&gt;".",Irr!BA8="."),dir!AE8/((1/1000)*(Irr!AC8)),IF(AND(Irr!E8&lt;&gt;".",Irr!AC8=".",Irr!BA8="."),dir!AE8/((1/1000)*(Irr!E8)),IF(AND(Irr!E8=".",Irr!AC8=".",Irr!BA8="."),dir!AE8*1000)))))))),".")</f>
        <v>13570.347212550707</v>
      </c>
      <c r="AF8" s="48">
        <f>IFERROR(IF(AND(Irr!F8&lt;&gt;".",Irr!AD8&lt;&gt;".",Irr!BB8&lt;&gt;"."),dir!AF8/((1/1000)*(Irr!F8+Irr!AD8+Irr!BB8)),IF(AND(Irr!F8&lt;&gt;".",Irr!AD8&lt;&gt;".",Irr!BB8="."),dir!AF8/((1/1000)*(Irr!F8+Irr!AD8)),IF(AND(Irr!F8&lt;&gt;".",Irr!AD8=".",Irr!BB8&lt;&gt;"."),dir!AF8/((1/1000)*(Irr!F8+Irr!BB8)),IF(AND(Irr!F8=".",Irr!AD8&lt;&gt;".",Irr!BB8&lt;&gt;"."),dir!AF8/((1/1000)*(Irr!AD8+Irr!BB8)),IF(AND(Irr!F8=".",Irr!AD8=".",Irr!BB8&lt;&gt;"."),dir!AF8/((1/1000)*(Irr!BB8)),IF(AND(Irr!F8=".",Irr!AD8&lt;&gt;".",Irr!BB8="."),dir!AF8/((1/1000)*(Irr!AD8)),IF(AND(Irr!F8&lt;&gt;".",Irr!AD8=".",Irr!BB8="."),dir!AF8/((1/1000)*(Irr!F8)),IF(AND(Irr!F8=".",Irr!AD8=".",Irr!BB8="."),dir!AF8*1000)))))))),".")</f>
        <v>11845.966518928954</v>
      </c>
      <c r="AG8" s="48">
        <f>IFERROR(IF(AND(Irr!G8&lt;&gt;".",Irr!AE8&lt;&gt;".",Irr!BC8&lt;&gt;"."),dir!AG8/((1/1000)*(Irr!G8+Irr!AE8+Irr!BC8)),IF(AND(Irr!G8&lt;&gt;".",Irr!AE8&lt;&gt;".",Irr!BC8="."),dir!AG8/((1/1000)*(Irr!G8+Irr!AE8)),IF(AND(Irr!G8&lt;&gt;".",Irr!AE8=".",Irr!BC8&lt;&gt;"."),dir!AG8/((1/1000)*(Irr!G8+Irr!BC8)),IF(AND(Irr!G8=".",Irr!AE8&lt;&gt;".",Irr!BC8&lt;&gt;"."),dir!AG8/((1/1000)*(Irr!AE8+Irr!BC8)),IF(AND(Irr!G8=".",Irr!AE8=".",Irr!BC8&lt;&gt;"."),dir!AG8/((1/1000)*(Irr!BC8)),IF(AND(Irr!G8=".",Irr!AE8&lt;&gt;".",Irr!BC8="."),dir!AG8/((1/1000)*(Irr!AE8)),IF(AND(Irr!G8&lt;&gt;".",Irr!AE8=".",Irr!BC8="."),dir!AG8/((1/1000)*(Irr!G8)),IF(AND(Irr!G8=".",Irr!AE8=".",Irr!BC8="."),dir!AG8*1000)))))))),".")</f>
        <v>12350.493411748566</v>
      </c>
      <c r="AH8" s="48">
        <f>IFERROR(IF(AND(Irr!H8&lt;&gt;".",Irr!AF8&lt;&gt;".",Irr!BD8&lt;&gt;"."),dir!AH8/((1/1000)*(Irr!H8+Irr!AF8+Irr!BD8)),IF(AND(Irr!H8&lt;&gt;".",Irr!AF8&lt;&gt;".",Irr!BD8="."),dir!AH8/((1/1000)*(Irr!H8+Irr!AF8)),IF(AND(Irr!H8&lt;&gt;".",Irr!AF8=".",Irr!BD8&lt;&gt;"."),dir!AH8/((1/1000)*(Irr!H8+Irr!BD8)),IF(AND(Irr!H8=".",Irr!AF8&lt;&gt;".",Irr!BD8&lt;&gt;"."),dir!AH8/((1/1000)*(Irr!AF8+Irr!BD8)),IF(AND(Irr!H8=".",Irr!AF8=".",Irr!BD8&lt;&gt;"."),dir!AH8/((1/1000)*(Irr!BD8)),IF(AND(Irr!H8=".",Irr!AF8&lt;&gt;".",Irr!BD8="."),dir!AH8/((1/1000)*(Irr!AF8)),IF(AND(Irr!H8&lt;&gt;".",Irr!AF8=".",Irr!BD8="."),dir!AH8/((1/1000)*(Irr!H8)),IF(AND(Irr!H8=".",Irr!AF8=".",Irr!BD8="."),dir!AH8*1000)))))))),".")</f>
        <v>5351.1249250953251</v>
      </c>
      <c r="AI8" s="48">
        <f>IFERROR(IF(AND(Irr!I8&lt;&gt;".",Irr!AG8&lt;&gt;".",Irr!BE8&lt;&gt;"."),dir!AI8/((1/1000)*(Irr!I8+Irr!AG8+Irr!BE8)),IF(AND(Irr!I8&lt;&gt;".",Irr!AG8&lt;&gt;".",Irr!BE8="."),dir!AI8/((1/1000)*(Irr!I8+Irr!AG8)),IF(AND(Irr!I8&lt;&gt;".",Irr!AG8=".",Irr!BE8&lt;&gt;"."),dir!AI8/((1/1000)*(Irr!I8+Irr!BE8)),IF(AND(Irr!I8=".",Irr!AG8&lt;&gt;".",Irr!BE8&lt;&gt;"."),dir!AI8/((1/1000)*(Irr!AG8+Irr!BE8)),IF(AND(Irr!I8=".",Irr!AG8=".",Irr!BE8&lt;&gt;"."),dir!AI8/((1/1000)*(Irr!BE8)),IF(AND(Irr!I8=".",Irr!AG8&lt;&gt;".",Irr!BE8="."),dir!AI8/((1/1000)*(Irr!AG8)),IF(AND(Irr!I8&lt;&gt;".",Irr!AG8=".",Irr!BE8="."),dir!AI8/((1/1000)*(Irr!I8)),IF(AND(Irr!I8=".",Irr!AG8=".",Irr!BE8="."),dir!AI8*1000)))))))),".")</f>
        <v>17552.196591403372</v>
      </c>
      <c r="AJ8" s="48">
        <f>IFERROR(IF(AND(Irr!J8&lt;&gt;".",Irr!AH8&lt;&gt;".",Irr!BF8&lt;&gt;"."),dir!AJ8/((1/1000)*(Irr!J8+Irr!AH8+Irr!BF8)),IF(AND(Irr!J8&lt;&gt;".",Irr!AH8&lt;&gt;".",Irr!BF8="."),dir!AJ8/((1/1000)*(Irr!J8+Irr!AH8)),IF(AND(Irr!J8&lt;&gt;".",Irr!AH8=".",Irr!BF8&lt;&gt;"."),dir!AJ8/((1/1000)*(Irr!J8+Irr!BF8)),IF(AND(Irr!J8=".",Irr!AH8&lt;&gt;".",Irr!BF8&lt;&gt;"."),dir!AJ8/((1/1000)*(Irr!AH8+Irr!BF8)),IF(AND(Irr!J8=".",Irr!AH8=".",Irr!BF8&lt;&gt;"."),dir!AJ8/((1/1000)*(Irr!BF8)),IF(AND(Irr!J8=".",Irr!AH8&lt;&gt;".",Irr!BF8="."),dir!AJ8/((1/1000)*(Irr!AH8)),IF(AND(Irr!J8&lt;&gt;".",Irr!AH8=".",Irr!BF8="."),dir!AJ8/((1/1000)*(Irr!J8)),IF(AND(Irr!J8=".",Irr!AH8=".",Irr!BF8="."),dir!AJ8*1000)))))))),".")</f>
        <v>1365.4995420192449</v>
      </c>
      <c r="AK8" s="48">
        <f>IFERROR(IF(AND(Irr!K8&lt;&gt;".",Irr!AI8&lt;&gt;".",Irr!BG8&lt;&gt;"."),dir!AK8/((1/1000)*(Irr!K8+Irr!AI8+Irr!BG8)),IF(AND(Irr!K8&lt;&gt;".",Irr!AI8&lt;&gt;".",Irr!BG8="."),dir!AK8/((1/1000)*(Irr!K8+Irr!AI8)),IF(AND(Irr!K8&lt;&gt;".",Irr!AI8=".",Irr!BG8&lt;&gt;"."),dir!AK8/((1/1000)*(Irr!K8+Irr!BG8)),IF(AND(Irr!K8=".",Irr!AI8&lt;&gt;".",Irr!BG8&lt;&gt;"."),dir!AK8/((1/1000)*(Irr!AI8+Irr!BG8)),IF(AND(Irr!K8=".",Irr!AI8=".",Irr!BG8&lt;&gt;"."),dir!AK8/((1/1000)*(Irr!BG8)),IF(AND(Irr!K8=".",Irr!AI8&lt;&gt;".",Irr!BG8="."),dir!AK8/((1/1000)*(Irr!AI8)),IF(AND(Irr!K8&lt;&gt;".",Irr!AI8=".",Irr!BG8="."),dir!AK8/((1/1000)*(Irr!K8)),IF(AND(Irr!K8=".",Irr!AI8=".",Irr!BG8="."),dir!AK8*1000)))))))),".")</f>
        <v>5347.5555958902551</v>
      </c>
      <c r="AL8" s="48">
        <f>IFERROR(IF(AND(Irr!L8&lt;&gt;".",Irr!AJ8&lt;&gt;".",Irr!BH8&lt;&gt;"."),dir!AL8/((1/1000)*(Irr!L8+Irr!AJ8+Irr!BH8)),IF(AND(Irr!L8&lt;&gt;".",Irr!AJ8&lt;&gt;".",Irr!BH8="."),dir!AL8/((1/1000)*(Irr!L8+Irr!AJ8)),IF(AND(Irr!L8&lt;&gt;".",Irr!AJ8=".",Irr!BH8&lt;&gt;"."),dir!AL8/((1/1000)*(Irr!L8+Irr!BH8)),IF(AND(Irr!L8=".",Irr!AJ8&lt;&gt;".",Irr!BH8&lt;&gt;"."),dir!AL8/((1/1000)*(Irr!AJ8+Irr!BH8)),IF(AND(Irr!L8=".",Irr!AJ8=".",Irr!BH8&lt;&gt;"."),dir!AL8/((1/1000)*(Irr!BH8)),IF(AND(Irr!L8=".",Irr!AJ8&lt;&gt;".",Irr!BH8="."),dir!AL8/((1/1000)*(Irr!AJ8)),IF(AND(Irr!L8&lt;&gt;".",Irr!AJ8=".",Irr!BH8="."),dir!AL8/((1/1000)*(Irr!L8)),IF(AND(Irr!L8=".",Irr!AJ8=".",Irr!BH8="."),dir!AL8*1000)))))))),".")</f>
        <v>8113.0452869712281</v>
      </c>
      <c r="AM8" s="48">
        <f>IFERROR(IF(AND(Irr!M8&lt;&gt;".",Irr!AK8&lt;&gt;".",Irr!BI8&lt;&gt;"."),dir!AM8/((1/1000)*(Irr!M8+Irr!AK8+Irr!BI8)),IF(AND(Irr!M8&lt;&gt;".",Irr!AK8&lt;&gt;".",Irr!BI8="."),dir!AM8/((1/1000)*(Irr!M8+Irr!AK8)),IF(AND(Irr!M8&lt;&gt;".",Irr!AK8=".",Irr!BI8&lt;&gt;"."),dir!AM8/((1/1000)*(Irr!M8+Irr!BI8)),IF(AND(Irr!M8=".",Irr!AK8&lt;&gt;".",Irr!BI8&lt;&gt;"."),dir!AM8/((1/1000)*(Irr!AK8+Irr!BI8)),IF(AND(Irr!M8=".",Irr!AK8=".",Irr!BI8&lt;&gt;"."),dir!AM8/((1/1000)*(Irr!BI8)),IF(AND(Irr!M8=".",Irr!AK8&lt;&gt;".",Irr!BI8="."),dir!AM8/((1/1000)*(Irr!AK8)),IF(AND(Irr!M8&lt;&gt;".",Irr!AK8=".",Irr!BI8="."),dir!AM8/((1/1000)*(Irr!M8)),IF(AND(Irr!M8=".",Irr!AK8=".",Irr!BI8="."),dir!AM8*1000)))))))),".")</f>
        <v>11512.641026783176</v>
      </c>
      <c r="AN8" s="48">
        <f>IFERROR(IF(AND(Irr!N8&lt;&gt;".",Irr!AL8&lt;&gt;".",Irr!BJ8&lt;&gt;"."),dir!AN8/((1/1000)*(Irr!N8+Irr!AL8+Irr!BJ8)),IF(AND(Irr!N8&lt;&gt;".",Irr!AL8&lt;&gt;".",Irr!BJ8="."),dir!AN8/((1/1000)*(Irr!N8+Irr!AL8)),IF(AND(Irr!N8&lt;&gt;".",Irr!AL8=".",Irr!BJ8&lt;&gt;"."),dir!AN8/((1/1000)*(Irr!N8+Irr!BJ8)),IF(AND(Irr!N8=".",Irr!AL8&lt;&gt;".",Irr!BJ8&lt;&gt;"."),dir!AN8/((1/1000)*(Irr!AL8+Irr!BJ8)),IF(AND(Irr!N8=".",Irr!AL8=".",Irr!BJ8&lt;&gt;"."),dir!AN8/((1/1000)*(Irr!BJ8)),IF(AND(Irr!N8=".",Irr!AL8&lt;&gt;".",Irr!BJ8="."),dir!AN8/((1/1000)*(Irr!AL8)),IF(AND(Irr!N8&lt;&gt;".",Irr!AL8=".",Irr!BJ8="."),dir!AN8/((1/1000)*(Irr!N8)),IF(AND(Irr!N8=".",Irr!AL8=".",Irr!BJ8="."),dir!AN8*1000)))))))),".")</f>
        <v>13189.976388568626</v>
      </c>
      <c r="AO8" s="48">
        <f>IFERROR(IF(AND(Irr!O8&lt;&gt;".",Irr!AM8&lt;&gt;".",Irr!BK8&lt;&gt;"."),dir!AO8/((1/1000)*(Irr!O8+Irr!AM8+Irr!BK8)),IF(AND(Irr!O8&lt;&gt;".",Irr!AM8&lt;&gt;".",Irr!BK8="."),dir!AO8/((1/1000)*(Irr!O8+Irr!AM8)),IF(AND(Irr!O8&lt;&gt;".",Irr!AM8=".",Irr!BK8&lt;&gt;"."),dir!AO8/((1/1000)*(Irr!O8+Irr!BK8)),IF(AND(Irr!O8=".",Irr!AM8&lt;&gt;".",Irr!BK8&lt;&gt;"."),dir!AO8/((1/1000)*(Irr!AM8+Irr!BK8)),IF(AND(Irr!O8=".",Irr!AM8=".",Irr!BK8&lt;&gt;"."),dir!AO8/((1/1000)*(Irr!BK8)),IF(AND(Irr!O8=".",Irr!AM8&lt;&gt;".",Irr!BK8="."),dir!AO8/((1/1000)*(Irr!AM8)),IF(AND(Irr!O8&lt;&gt;".",Irr!AM8=".",Irr!BK8="."),dir!AO8/((1/1000)*(Irr!O8)),IF(AND(Irr!O8=".",Irr!AM8=".",Irr!BK8="."),dir!AO8*1000)))))))),".")</f>
        <v>15079.64393821739</v>
      </c>
      <c r="AP8" s="48">
        <f>IFERROR(IF(AND(Irr!P8&lt;&gt;".",Irr!AN8&lt;&gt;".",Irr!BL8&lt;&gt;"."),dir!AP8/((1/1000)*(Irr!P8+Irr!AN8+Irr!BL8)),IF(AND(Irr!P8&lt;&gt;".",Irr!AN8&lt;&gt;".",Irr!BL8="."),dir!AP8/((1/1000)*(Irr!P8+Irr!AN8)),IF(AND(Irr!P8&lt;&gt;".",Irr!AN8=".",Irr!BL8&lt;&gt;"."),dir!AP8/((1/1000)*(Irr!P8+Irr!BL8)),IF(AND(Irr!P8=".",Irr!AN8&lt;&gt;".",Irr!BL8&lt;&gt;"."),dir!AP8/((1/1000)*(Irr!AN8+Irr!BL8)),IF(AND(Irr!P8=".",Irr!AN8=".",Irr!BL8&lt;&gt;"."),dir!AP8/((1/1000)*(Irr!BL8)),IF(AND(Irr!P8=".",Irr!AN8&lt;&gt;".",Irr!BL8="."),dir!AP8/((1/1000)*(Irr!AN8)),IF(AND(Irr!P8&lt;&gt;".",Irr!AN8=".",Irr!BL8="."),dir!AP8/((1/1000)*(Irr!P8)),IF(AND(Irr!P8=".",Irr!AN8=".",Irr!BL8="."),dir!AP8*1000)))))))),".")</f>
        <v>16489.635929981636</v>
      </c>
      <c r="AQ8" s="48">
        <f>IFERROR(IF(AND(Irr!Q8&lt;&gt;".",Irr!AO8&lt;&gt;".",Irr!BM8&lt;&gt;"."),dir!AQ8/((1/1000)*(Irr!Q8+Irr!AO8+Irr!BM8)),IF(AND(Irr!Q8&lt;&gt;".",Irr!AO8&lt;&gt;".",Irr!BM8="."),dir!AQ8/((1/1000)*(Irr!Q8+Irr!AO8)),IF(AND(Irr!Q8&lt;&gt;".",Irr!AO8=".",Irr!BM8&lt;&gt;"."),dir!AQ8/((1/1000)*(Irr!Q8+Irr!BM8)),IF(AND(Irr!Q8=".",Irr!AO8&lt;&gt;".",Irr!BM8&lt;&gt;"."),dir!AQ8/((1/1000)*(Irr!AO8+Irr!BM8)),IF(AND(Irr!Q8=".",Irr!AO8=".",Irr!BM8&lt;&gt;"."),dir!AQ8/((1/1000)*(Irr!BM8)),IF(AND(Irr!Q8=".",Irr!AO8&lt;&gt;".",Irr!BM8="."),dir!AQ8/((1/1000)*(Irr!AO8)),IF(AND(Irr!Q8&lt;&gt;".",Irr!AO8=".",Irr!BM8="."),dir!AQ8/((1/1000)*(Irr!Q8)),IF(AND(Irr!Q8=".",Irr!AO8=".",Irr!BM8="."),dir!AQ8*1000)))))))),".")</f>
        <v>3891.0027540881488</v>
      </c>
      <c r="AR8" s="48">
        <f>IFERROR(IF(AND(Irr!R8&lt;&gt;".",Irr!AP8&lt;&gt;".",Irr!BN8&lt;&gt;"."),dir!AR8/((1/1000)*(Irr!R8+Irr!AP8+Irr!BN8)),IF(AND(Irr!R8&lt;&gt;".",Irr!AP8&lt;&gt;".",Irr!BN8="."),dir!AR8/((1/1000)*(Irr!R8+Irr!AP8)),IF(AND(Irr!R8&lt;&gt;".",Irr!AP8=".",Irr!BN8&lt;&gt;"."),dir!AR8/((1/1000)*(Irr!R8+Irr!BN8)),IF(AND(Irr!R8=".",Irr!AP8&lt;&gt;".",Irr!BN8&lt;&gt;"."),dir!AR8/((1/1000)*(Irr!AP8+Irr!BN8)),IF(AND(Irr!R8=".",Irr!AP8=".",Irr!BN8&lt;&gt;"."),dir!AR8/((1/1000)*(Irr!BN8)),IF(AND(Irr!R8=".",Irr!AP8&lt;&gt;".",Irr!BN8="."),dir!AR8/((1/1000)*(Irr!AP8)),IF(AND(Irr!R8&lt;&gt;".",Irr!AP8=".",Irr!BN8="."),dir!AR8/((1/1000)*(Irr!R8)),IF(AND(Irr!R8=".",Irr!AP8=".",Irr!BN8="."),dir!AR8*1000)))))))),".")</f>
        <v>6392.9689469431241</v>
      </c>
      <c r="AS8" s="48">
        <f>IFERROR(IF(AND(Irr!S8&lt;&gt;".",Irr!AQ8&lt;&gt;".",Irr!BO8&lt;&gt;"."),dir!AS8/((1/1000)*(Irr!S8+Irr!AQ8+Irr!BO8)),IF(AND(Irr!S8&lt;&gt;".",Irr!AQ8&lt;&gt;".",Irr!BO8="."),dir!AS8/((1/1000)*(Irr!S8+Irr!AQ8)),IF(AND(Irr!S8&lt;&gt;".",Irr!AQ8=".",Irr!BO8&lt;&gt;"."),dir!AS8/((1/1000)*(Irr!S8+Irr!BO8)),IF(AND(Irr!S8=".",Irr!AQ8&lt;&gt;".",Irr!BO8&lt;&gt;"."),dir!AS8/((1/1000)*(Irr!AQ8+Irr!BO8)),IF(AND(Irr!S8=".",Irr!AQ8=".",Irr!BO8&lt;&gt;"."),dir!AS8/((1/1000)*(Irr!BO8)),IF(AND(Irr!S8=".",Irr!AQ8&lt;&gt;".",Irr!BO8="."),dir!AS8/((1/1000)*(Irr!AQ8)),IF(AND(Irr!S8&lt;&gt;".",Irr!AQ8=".",Irr!BO8="."),dir!AS8/((1/1000)*(Irr!S8)),IF(AND(Irr!S8=".",Irr!AQ8=".",Irr!BO8="."),dir!AS8*1000)))))))),".")</f>
        <v>12764.455469408886</v>
      </c>
      <c r="AT8" s="48">
        <f>IFERROR(IF(AND(Irr!T8&lt;&gt;".",Irr!AR8&lt;&gt;".",Irr!BP8&lt;&gt;"."),dir!AT8/((1/1000)*(Irr!T8+Irr!AR8+Irr!BP8)),IF(AND(Irr!T8&lt;&gt;".",Irr!AR8&lt;&gt;".",Irr!BP8="."),dir!AT8/((1/1000)*(Irr!T8+Irr!AR8)),IF(AND(Irr!T8&lt;&gt;".",Irr!AR8=".",Irr!BP8&lt;&gt;"."),dir!AT8/((1/1000)*(Irr!T8+Irr!BP8)),IF(AND(Irr!T8=".",Irr!AR8&lt;&gt;".",Irr!BP8&lt;&gt;"."),dir!AT8/((1/1000)*(Irr!AR8+Irr!BP8)),IF(AND(Irr!T8=".",Irr!AR8=".",Irr!BP8&lt;&gt;"."),dir!AT8/((1/1000)*(Irr!BP8)),IF(AND(Irr!T8=".",Irr!AR8&lt;&gt;".",Irr!BP8="."),dir!AT8/((1/1000)*(Irr!AR8)),IF(AND(Irr!T8&lt;&gt;".",Irr!AR8=".",Irr!BP8="."),dir!AT8/((1/1000)*(Irr!T8)),IF(AND(Irr!T8=".",Irr!AR8=".",Irr!BP8="."),dir!AT8*1000)))))))),".")</f>
        <v>3088.6821004664616</v>
      </c>
      <c r="AU8" s="48">
        <f>IFERROR(IF(AND(Irr!U8&lt;&gt;".",Irr!AS8&lt;&gt;".",Irr!BQ8&lt;&gt;"."),dir!AU8/((1/1000)*(Irr!U8+Irr!AS8+Irr!BQ8)),IF(AND(Irr!U8&lt;&gt;".",Irr!AS8&lt;&gt;".",Irr!BQ8="."),dir!AU8/((1/1000)*(Irr!U8+Irr!AS8)),IF(AND(Irr!U8&lt;&gt;".",Irr!AS8=".",Irr!BQ8&lt;&gt;"."),dir!AU8/((1/1000)*(Irr!U8+Irr!BQ8)),IF(AND(Irr!U8=".",Irr!AS8&lt;&gt;".",Irr!BQ8&lt;&gt;"."),dir!AU8/((1/1000)*(Irr!AS8+Irr!BQ8)),IF(AND(Irr!U8=".",Irr!AS8=".",Irr!BQ8&lt;&gt;"."),dir!AU8/((1/1000)*(Irr!BQ8)),IF(AND(Irr!U8=".",Irr!AS8&lt;&gt;".",Irr!BQ8="."),dir!AU8/((1/1000)*(Irr!AS8)),IF(AND(Irr!U8&lt;&gt;".",Irr!AS8=".",Irr!BQ8="."),dir!AU8/((1/1000)*(Irr!U8)),IF(AND(Irr!U8=".",Irr!AS8=".",Irr!BQ8="."),dir!AU8*1000)))))))),".")</f>
        <v>6452.0894141849403</v>
      </c>
      <c r="AV8" s="48">
        <f>IFERROR(IF(AND(Irr!V8&lt;&gt;".",Irr!AT8&lt;&gt;".",Irr!BR8&lt;&gt;"."),dir!AV8/((1/1000)*(Irr!V8+Irr!AT8+Irr!BR8)),IF(AND(Irr!V8&lt;&gt;".",Irr!AT8&lt;&gt;".",Irr!BR8="."),dir!AV8/((1/1000)*(Irr!V8+Irr!AT8)),IF(AND(Irr!V8&lt;&gt;".",Irr!AT8=".",Irr!BR8&lt;&gt;"."),dir!AV8/((1/1000)*(Irr!V8+Irr!BR8)),IF(AND(Irr!V8=".",Irr!AT8&lt;&gt;".",Irr!BR8&lt;&gt;"."),dir!AV8/((1/1000)*(Irr!AT8+Irr!BR8)),IF(AND(Irr!V8=".",Irr!AT8=".",Irr!BR8&lt;&gt;"."),dir!AV8/((1/1000)*(Irr!BR8)),IF(AND(Irr!V8=".",Irr!AT8&lt;&gt;".",Irr!BR8="."),dir!AV8/((1/1000)*(Irr!AT8)),IF(AND(Irr!V8&lt;&gt;".",Irr!AT8=".",Irr!BR8="."),dir!AV8/((1/1000)*(Irr!V8)),IF(AND(Irr!V8=".",Irr!AT8=".",Irr!BR8="."),dir!AV8*1000)))))))),".")</f>
        <v>7761.5811989479362</v>
      </c>
      <c r="AW8" s="48">
        <f>IFERROR(IF(AND(Irr!W8&lt;&gt;".",Irr!AU8&lt;&gt;".",Irr!BS8&lt;&gt;"."),dir!AW8/((1/1000)*(Irr!W8+Irr!AU8+Irr!BS8)),IF(AND(Irr!W8&lt;&gt;".",Irr!AU8&lt;&gt;".",Irr!BS8="."),dir!AW8/((1/1000)*(Irr!W8+Irr!AU8)),IF(AND(Irr!W8&lt;&gt;".",Irr!AU8=".",Irr!BS8&lt;&gt;"."),dir!AW8/((1/1000)*(Irr!W8+Irr!BS8)),IF(AND(Irr!W8=".",Irr!AU8&lt;&gt;".",Irr!BS8&lt;&gt;"."),dir!AW8/((1/1000)*(Irr!AU8+Irr!BS8)),IF(AND(Irr!W8=".",Irr!AU8=".",Irr!BS8&lt;&gt;"."),dir!AW8/((1/1000)*(Irr!BS8)),IF(AND(Irr!W8=".",Irr!AU8&lt;&gt;".",Irr!BS8="."),dir!AW8/((1/1000)*(Irr!AU8)),IF(AND(Irr!W8&lt;&gt;".",Irr!AU8=".",Irr!BS8="."),dir!AW8/((1/1000)*(Irr!W8)),IF(AND(Irr!W8=".",Irr!AU8=".",Irr!BS8="."),dir!AW8*1000)))))))),".")</f>
        <v>10441.726238224051</v>
      </c>
      <c r="AX8" s="48">
        <f>IFERROR(IF(AND(Irr!X8&lt;&gt;".",Irr!AV8&lt;&gt;".",Irr!BT8&lt;&gt;"."),dir!AX8/((1/1000)*(Irr!X8+Irr!AV8+Irr!BT8)),IF(AND(Irr!X8&lt;&gt;".",Irr!AV8&lt;&gt;".",Irr!BT8="."),dir!AX8/((1/1000)*(Irr!X8+Irr!AV8)),IF(AND(Irr!X8&lt;&gt;".",Irr!AV8=".",Irr!BT8&lt;&gt;"."),dir!AX8/((1/1000)*(Irr!X8+Irr!BT8)),IF(AND(Irr!X8=".",Irr!AV8&lt;&gt;".",Irr!BT8&lt;&gt;"."),dir!AX8/((1/1000)*(Irr!AV8+Irr!BT8)),IF(AND(Irr!X8=".",Irr!AV8=".",Irr!BT8&lt;&gt;"."),dir!AX8/((1/1000)*(Irr!BT8)),IF(AND(Irr!X8=".",Irr!AV8&lt;&gt;".",Irr!BT8="."),dir!AX8/((1/1000)*(Irr!AV8)),IF(AND(Irr!X8&lt;&gt;".",Irr!AV8=".",Irr!BT8="."),dir!AX8/((1/1000)*(Irr!X8)),IF(AND(Irr!X8=".",Irr!AV8=".",Irr!BT8="."),dir!AX8*1000)))))))),".")</f>
        <v>4643.5885551865322</v>
      </c>
      <c r="AY8" s="48">
        <f>IFERROR(IF(AND(Irr!Y8&lt;&gt;".",Irr!AW8&lt;&gt;".",Irr!BU8&lt;&gt;"."),dir!AY8/((1/1000)*(Irr!Y8+Irr!AW8+Irr!BU8)),IF(AND(Irr!Y8&lt;&gt;".",Irr!AW8&lt;&gt;".",Irr!BU8="."),dir!AY8/((1/1000)*(Irr!Y8+Irr!AW8)),IF(AND(Irr!Y8&lt;&gt;".",Irr!AW8=".",Irr!BU8&lt;&gt;"."),dir!AY8/((1/1000)*(Irr!Y8+Irr!BU8)),IF(AND(Irr!Y8=".",Irr!AW8&lt;&gt;".",Irr!BU8&lt;&gt;"."),dir!AY8/((1/1000)*(Irr!AW8+Irr!BU8)),IF(AND(Irr!Y8=".",Irr!AW8=".",Irr!BU8&lt;&gt;"."),dir!AY8/((1/1000)*(Irr!BU8)),IF(AND(Irr!Y8=".",Irr!AW8&lt;&gt;".",Irr!BU8="."),dir!AY8/((1/1000)*(Irr!AW8)),IF(AND(Irr!Y8&lt;&gt;".",Irr!AW8=".",Irr!BU8="."),dir!AY8/((1/1000)*(Irr!Y8)),IF(AND(Irr!Y8=".",Irr!AW8=".",Irr!BU8="."),dir!AY8*1000)))))))),".")</f>
        <v>2217.304477411988</v>
      </c>
      <c r="AZ8" s="48">
        <f>IFERROR(IF(AND(Irr!Z8&lt;&gt;".",Irr!AX8&lt;&gt;".",Irr!BV8&lt;&gt;"."),dir!AZ8/((1/1000)*(Irr!Z8+Irr!AX8+Irr!BV8)),IF(AND(Irr!Z8&lt;&gt;".",Irr!AX8&lt;&gt;".",Irr!BV8="."),dir!AZ8/((1/1000)*(Irr!Z8+Irr!AX8)),IF(AND(Irr!Z8&lt;&gt;".",Irr!AX8=".",Irr!BV8&lt;&gt;"."),dir!AZ8/((1/1000)*(Irr!Z8+Irr!BV8)),IF(AND(Irr!Z8=".",Irr!AX8&lt;&gt;".",Irr!BV8&lt;&gt;"."),dir!AZ8/((1/1000)*(Irr!AX8+Irr!BV8)),IF(AND(Irr!Z8=".",Irr!AX8=".",Irr!BV8&lt;&gt;"."),dir!AZ8/((1/1000)*(Irr!BV8)),IF(AND(Irr!Z8=".",Irr!AX8&lt;&gt;".",Irr!BV8="."),dir!AZ8/((1/1000)*(Irr!AX8)),IF(AND(Irr!Z8&lt;&gt;".",Irr!AX8=".",Irr!BV8="."),dir!AZ8/((1/1000)*(Irr!Z8)),IF(AND(Irr!Z8=".",Irr!AX8=".",Irr!BV8="."),dir!AZ8*1000)))))))),".")</f>
        <v>2098.1127881598231</v>
      </c>
    </row>
    <row r="9" spans="1:52" ht="15" customHeight="1" x14ac:dyDescent="0.25">
      <c r="A9" s="61" t="s">
        <v>7</v>
      </c>
      <c r="B9" s="49" t="s">
        <v>1059</v>
      </c>
      <c r="C9" s="48">
        <f t="shared" si="4"/>
        <v>540.16072570937865</v>
      </c>
      <c r="D9" s="48">
        <f>IFERROR(IF(AND(Irr!C9&lt;&gt;".",Irr!AA9&lt;&gt;".",Irr!AY9&lt;&gt;"."),dir!D9/((1/1000)*(Irr!C9+Irr!AA9+Irr!AY9)),IF(AND(Irr!C9&lt;&gt;".",Irr!AA9&lt;&gt;".",Irr!AY9="."),dir!D9/((1/1000)*(Irr!C9+Irr!AA9)),IF(AND(Irr!C9&lt;&gt;".",Irr!AA9=".",Irr!AY9&lt;&gt;"."),dir!D9/((1/1000)*(Irr!C9+Irr!AY9)),IF(AND(Irr!C9=".",Irr!AA9&lt;&gt;".",Irr!AY9&lt;&gt;"."),dir!D9/((1/1000)*(Irr!AA9+Irr!AY9)),IF(AND(Irr!C9=".",Irr!AA9=".",Irr!AY9&lt;&gt;"."),dir!D9/((1/1000)*(Irr!AY9)),IF(AND(Irr!C9=".",Irr!AA9&lt;&gt;".",Irr!AY9="."),dir!D9/((1/1000)*(Irr!AA9)),IF(AND(Irr!C9&lt;&gt;".",Irr!AA9=".",Irr!AY9="."),dir!D9/((1/1000)*(Irr!C9)),IF(AND(Irr!C9=".",Irr!AA9=".",Irr!AY9="."),dir!D9*1000)))))))),".")</f>
        <v>9781.5978890608403</v>
      </c>
      <c r="E9" s="48">
        <f>IFERROR(IF(AND(Irr!D9&lt;&gt;".",Irr!AB9&lt;&gt;".",Irr!AZ9&lt;&gt;"."),dir!E9/((1/1000)*(Irr!D9+Irr!AB9+Irr!AZ9)),IF(AND(Irr!D9&lt;&gt;".",Irr!AB9&lt;&gt;".",Irr!AZ9="."),dir!E9/((1/1000)*(Irr!D9+Irr!AB9)),IF(AND(Irr!D9&lt;&gt;".",Irr!AB9=".",Irr!AZ9&lt;&gt;"."),dir!E9/((1/1000)*(Irr!D9+Irr!AZ9)),IF(AND(Irr!D9=".",Irr!AB9&lt;&gt;".",Irr!AZ9&lt;&gt;"."),dir!E9/((1/1000)*(Irr!AB9+Irr!AZ9)),IF(AND(Irr!D9=".",Irr!AB9=".",Irr!AZ9&lt;&gt;"."),dir!E9/((1/1000)*(Irr!AZ9)),IF(AND(Irr!D9=".",Irr!AB9&lt;&gt;".",Irr!AZ9="."),dir!E9/((1/1000)*(Irr!AB9)),IF(AND(Irr!D9&lt;&gt;".",Irr!AB9=".",Irr!AZ9="."),dir!E9/((1/1000)*(Irr!D9)),IF(AND(Irr!D9=".",Irr!AB9=".",Irr!AZ9="."),dir!E9*1000)))))))),".")</f>
        <v>21738.192988533247</v>
      </c>
      <c r="F9" s="48">
        <f>IFERROR(IF(AND(Irr!E9&lt;&gt;".",Irr!AC9&lt;&gt;".",Irr!BA9&lt;&gt;"."),dir!F9/((1/1000)*(Irr!E9+Irr!AC9+Irr!BA9)),IF(AND(Irr!E9&lt;&gt;".",Irr!AC9&lt;&gt;".",Irr!BA9="."),dir!F9/((1/1000)*(Irr!E9+Irr!AC9)),IF(AND(Irr!E9&lt;&gt;".",Irr!AC9=".",Irr!BA9&lt;&gt;"."),dir!F9/((1/1000)*(Irr!E9+Irr!BA9)),IF(AND(Irr!E9=".",Irr!AC9&lt;&gt;".",Irr!BA9&lt;&gt;"."),dir!F9/((1/1000)*(Irr!AC9+Irr!BA9)),IF(AND(Irr!E9=".",Irr!AC9=".",Irr!BA9&lt;&gt;"."),dir!F9/((1/1000)*(Irr!BA9)),IF(AND(Irr!E9=".",Irr!AC9&lt;&gt;".",Irr!BA9="."),dir!F9/((1/1000)*(Irr!AC9)),IF(AND(Irr!E9&lt;&gt;".",Irr!AC9=".",Irr!BA9="."),dir!F9/((1/1000)*(Irr!E9)),IF(AND(Irr!E9=".",Irr!AC9=".",Irr!BA9="."),dir!F9*1000)))))))),".")</f>
        <v>26578.046173783125</v>
      </c>
      <c r="G9" s="48">
        <f>IFERROR(IF(AND(Irr!F9&lt;&gt;".",Irr!AD9&lt;&gt;".",Irr!BB9&lt;&gt;"."),dir!G9/((1/1000)*(Irr!F9+Irr!AD9+Irr!BB9)),IF(AND(Irr!F9&lt;&gt;".",Irr!AD9&lt;&gt;".",Irr!BB9="."),dir!G9/((1/1000)*(Irr!F9+Irr!AD9)),IF(AND(Irr!F9&lt;&gt;".",Irr!AD9=".",Irr!BB9&lt;&gt;"."),dir!G9/((1/1000)*(Irr!F9+Irr!BB9)),IF(AND(Irr!F9=".",Irr!AD9&lt;&gt;".",Irr!BB9&lt;&gt;"."),dir!G9/((1/1000)*(Irr!AD9+Irr!BB9)),IF(AND(Irr!F9=".",Irr!AD9=".",Irr!BB9&lt;&gt;"."),dir!G9/((1/1000)*(Irr!BB9)),IF(AND(Irr!F9=".",Irr!AD9&lt;&gt;".",Irr!BB9="."),dir!G9/((1/1000)*(Irr!AD9)),IF(AND(Irr!F9&lt;&gt;".",Irr!AD9=".",Irr!BB9="."),dir!G9/((1/1000)*(Irr!F9)),IF(AND(Irr!F9=".",Irr!AD9=".",Irr!BB9="."),dir!G9*1000)))))))),".")</f>
        <v>21905.291007711701</v>
      </c>
      <c r="H9" s="48">
        <f>IFERROR(IF(AND(Irr!G9&lt;&gt;".",Irr!AE9&lt;&gt;".",Irr!BC9&lt;&gt;"."),dir!H9/((1/1000)*(Irr!G9+Irr!AE9+Irr!BC9)),IF(AND(Irr!G9&lt;&gt;".",Irr!AE9&lt;&gt;".",Irr!BC9="."),dir!H9/((1/1000)*(Irr!G9+Irr!AE9)),IF(AND(Irr!G9&lt;&gt;".",Irr!AE9=".",Irr!BC9&lt;&gt;"."),dir!H9/((1/1000)*(Irr!G9+Irr!BC9)),IF(AND(Irr!G9=".",Irr!AE9&lt;&gt;".",Irr!BC9&lt;&gt;"."),dir!H9/((1/1000)*(Irr!AE9+Irr!BC9)),IF(AND(Irr!G9=".",Irr!AE9=".",Irr!BC9&lt;&gt;"."),dir!H9/((1/1000)*(Irr!BC9)),IF(AND(Irr!G9=".",Irr!AE9&lt;&gt;".",Irr!BC9="."),dir!H9/((1/1000)*(Irr!AE9)),IF(AND(Irr!G9&lt;&gt;".",Irr!AE9=".",Irr!BC9="."),dir!H9/((1/1000)*(Irr!G9)),IF(AND(Irr!G9=".",Irr!AE9=".",Irr!BC9="."),dir!H9*1000)))))))),".")</f>
        <v>25838.906835556565</v>
      </c>
      <c r="I9" s="48">
        <f>IFERROR(IF(AND(Irr!H9&lt;&gt;".",Irr!AF9&lt;&gt;".",Irr!BD9&lt;&gt;"."),dir!I9/((1/1000)*(Irr!H9+Irr!AF9+Irr!BD9)),IF(AND(Irr!H9&lt;&gt;".",Irr!AF9&lt;&gt;".",Irr!BD9="."),dir!I9/((1/1000)*(Irr!H9+Irr!AF9)),IF(AND(Irr!H9&lt;&gt;".",Irr!AF9=".",Irr!BD9&lt;&gt;"."),dir!I9/((1/1000)*(Irr!H9+Irr!BD9)),IF(AND(Irr!H9=".",Irr!AF9&lt;&gt;".",Irr!BD9&lt;&gt;"."),dir!I9/((1/1000)*(Irr!AF9+Irr!BD9)),IF(AND(Irr!H9=".",Irr!AF9=".",Irr!BD9&lt;&gt;"."),dir!I9/((1/1000)*(Irr!BD9)),IF(AND(Irr!H9=".",Irr!AF9&lt;&gt;".",Irr!BD9="."),dir!I9/((1/1000)*(Irr!AF9)),IF(AND(Irr!H9&lt;&gt;".",Irr!AF9=".",Irr!BD9="."),dir!I9/((1/1000)*(Irr!H9)),IF(AND(Irr!H9=".",Irr!AF9=".",Irr!BD9="."),dir!I9*1000)))))))),".")</f>
        <v>9732.3851993745302</v>
      </c>
      <c r="J9" s="48">
        <f>IFERROR(IF(AND(Irr!I9&lt;&gt;".",Irr!AG9&lt;&gt;".",Irr!BE9&lt;&gt;"."),dir!J9/((1/1000)*(Irr!I9+Irr!AG9+Irr!BE9)),IF(AND(Irr!I9&lt;&gt;".",Irr!AG9&lt;&gt;".",Irr!BE9="."),dir!J9/((1/1000)*(Irr!I9+Irr!AG9)),IF(AND(Irr!I9&lt;&gt;".",Irr!AG9=".",Irr!BE9&lt;&gt;"."),dir!J9/((1/1000)*(Irr!I9+Irr!BE9)),IF(AND(Irr!I9=".",Irr!AG9&lt;&gt;".",Irr!BE9&lt;&gt;"."),dir!J9/((1/1000)*(Irr!AG9+Irr!BE9)),IF(AND(Irr!I9=".",Irr!AG9=".",Irr!BE9&lt;&gt;"."),dir!J9/((1/1000)*(Irr!BE9)),IF(AND(Irr!I9=".",Irr!AG9&lt;&gt;".",Irr!BE9="."),dir!J9/((1/1000)*(Irr!AG9)),IF(AND(Irr!I9&lt;&gt;".",Irr!AG9=".",Irr!BE9="."),dir!J9/((1/1000)*(Irr!I9)),IF(AND(Irr!I9=".",Irr!AG9=".",Irr!BE9="."),dir!J9*1000)))))))),".")</f>
        <v>29358.348519879721</v>
      </c>
      <c r="K9" s="48">
        <f>IFERROR(IF(AND(Irr!J9&lt;&gt;".",Irr!AH9&lt;&gt;".",Irr!BF9&lt;&gt;"."),dir!K9/((1/1000)*(Irr!J9+Irr!AH9+Irr!BF9)),IF(AND(Irr!J9&lt;&gt;".",Irr!AH9&lt;&gt;".",Irr!BF9="."),dir!K9/((1/1000)*(Irr!J9+Irr!AH9)),IF(AND(Irr!J9&lt;&gt;".",Irr!AH9=".",Irr!BF9&lt;&gt;"."),dir!K9/((1/1000)*(Irr!J9+Irr!BF9)),IF(AND(Irr!J9=".",Irr!AH9&lt;&gt;".",Irr!BF9&lt;&gt;"."),dir!K9/((1/1000)*(Irr!AH9+Irr!BF9)),IF(AND(Irr!J9=".",Irr!AH9=".",Irr!BF9&lt;&gt;"."),dir!K9/((1/1000)*(Irr!BF9)),IF(AND(Irr!J9=".",Irr!AH9&lt;&gt;".",Irr!BF9="."),dir!K9/((1/1000)*(Irr!AH9)),IF(AND(Irr!J9&lt;&gt;".",Irr!AH9=".",Irr!BF9="."),dir!K9/((1/1000)*(Irr!J9)),IF(AND(Irr!J9=".",Irr!AH9=".",Irr!BF9="."),dir!K9*1000)))))))),".")</f>
        <v>2536.5428103117806</v>
      </c>
      <c r="L9" s="48">
        <f>IFERROR(IF(AND(Irr!K9&lt;&gt;".",Irr!AI9&lt;&gt;".",Irr!BG9&lt;&gt;"."),dir!L9/((1/1000)*(Irr!K9+Irr!AI9+Irr!BG9)),IF(AND(Irr!K9&lt;&gt;".",Irr!AI9&lt;&gt;".",Irr!BG9="."),dir!L9/((1/1000)*(Irr!K9+Irr!AI9)),IF(AND(Irr!K9&lt;&gt;".",Irr!AI9=".",Irr!BG9&lt;&gt;"."),dir!L9/((1/1000)*(Irr!K9+Irr!BG9)),IF(AND(Irr!K9=".",Irr!AI9&lt;&gt;".",Irr!BG9&lt;&gt;"."),dir!L9/((1/1000)*(Irr!AI9+Irr!BG9)),IF(AND(Irr!K9=".",Irr!AI9=".",Irr!BG9&lt;&gt;"."),dir!L9/((1/1000)*(Irr!BG9)),IF(AND(Irr!K9=".",Irr!AI9&lt;&gt;".",Irr!BG9="."),dir!L9/((1/1000)*(Irr!AI9)),IF(AND(Irr!K9&lt;&gt;".",Irr!AI9=".",Irr!BG9="."),dir!L9/((1/1000)*(Irr!K9)),IF(AND(Irr!K9=".",Irr!AI9=".",Irr!BG9="."),dir!L9*1000)))))))),".")</f>
        <v>13928.229506494274</v>
      </c>
      <c r="M9" s="48">
        <f>IFERROR(IF(AND(Irr!L9&lt;&gt;".",Irr!AJ9&lt;&gt;".",Irr!BH9&lt;&gt;"."),dir!M9/((1/1000)*(Irr!L9+Irr!AJ9+Irr!BH9)),IF(AND(Irr!L9&lt;&gt;".",Irr!AJ9&lt;&gt;".",Irr!BH9="."),dir!M9/((1/1000)*(Irr!L9+Irr!AJ9)),IF(AND(Irr!L9&lt;&gt;".",Irr!AJ9=".",Irr!BH9&lt;&gt;"."),dir!M9/((1/1000)*(Irr!L9+Irr!BH9)),IF(AND(Irr!L9=".",Irr!AJ9&lt;&gt;".",Irr!BH9&lt;&gt;"."),dir!M9/((1/1000)*(Irr!AJ9+Irr!BH9)),IF(AND(Irr!L9=".",Irr!AJ9=".",Irr!BH9&lt;&gt;"."),dir!M9/((1/1000)*(Irr!BH9)),IF(AND(Irr!L9=".",Irr!AJ9&lt;&gt;".",Irr!BH9="."),dir!M9/((1/1000)*(Irr!AJ9)),IF(AND(Irr!L9&lt;&gt;".",Irr!AJ9=".",Irr!BH9="."),dir!M9/((1/1000)*(Irr!L9)),IF(AND(Irr!L9=".",Irr!AJ9=".",Irr!BH9="."),dir!M9*1000)))))))),".")</f>
        <v>10361.603448194854</v>
      </c>
      <c r="N9" s="48">
        <f>IFERROR(IF(AND(Irr!M9&lt;&gt;".",Irr!AK9&lt;&gt;".",Irr!BI9&lt;&gt;"."),dir!N9/((1/1000)*(Irr!M9+Irr!AK9+Irr!BI9)),IF(AND(Irr!M9&lt;&gt;".",Irr!AK9&lt;&gt;".",Irr!BI9="."),dir!N9/((1/1000)*(Irr!M9+Irr!AK9)),IF(AND(Irr!M9&lt;&gt;".",Irr!AK9=".",Irr!BI9&lt;&gt;"."),dir!N9/((1/1000)*(Irr!M9+Irr!BI9)),IF(AND(Irr!M9=".",Irr!AK9&lt;&gt;".",Irr!BI9&lt;&gt;"."),dir!N9/((1/1000)*(Irr!AK9+Irr!BI9)),IF(AND(Irr!M9=".",Irr!AK9=".",Irr!BI9&lt;&gt;"."),dir!N9/((1/1000)*(Irr!BI9)),IF(AND(Irr!M9=".",Irr!AK9&lt;&gt;".",Irr!BI9="."),dir!N9/((1/1000)*(Irr!AK9)),IF(AND(Irr!M9&lt;&gt;".",Irr!AK9=".",Irr!BI9="."),dir!N9/((1/1000)*(Irr!M9)),IF(AND(Irr!M9=".",Irr!AK9=".",Irr!BI9="."),dir!N9*1000)))))))),".")</f>
        <v>22555.906546813851</v>
      </c>
      <c r="O9" s="48">
        <f>IFERROR(IF(AND(Irr!N9&lt;&gt;".",Irr!AL9&lt;&gt;".",Irr!BJ9&lt;&gt;"."),dir!O9/((1/1000)*(Irr!N9+Irr!AL9+Irr!BJ9)),IF(AND(Irr!N9&lt;&gt;".",Irr!AL9&lt;&gt;".",Irr!BJ9="."),dir!O9/((1/1000)*(Irr!N9+Irr!AL9)),IF(AND(Irr!N9&lt;&gt;".",Irr!AL9=".",Irr!BJ9&lt;&gt;"."),dir!O9/((1/1000)*(Irr!N9+Irr!BJ9)),IF(AND(Irr!N9=".",Irr!AL9&lt;&gt;".",Irr!BJ9&lt;&gt;"."),dir!O9/((1/1000)*(Irr!AL9+Irr!BJ9)),IF(AND(Irr!N9=".",Irr!AL9=".",Irr!BJ9&lt;&gt;"."),dir!O9/((1/1000)*(Irr!BJ9)),IF(AND(Irr!N9=".",Irr!AL9&lt;&gt;".",Irr!BJ9="."),dir!O9/((1/1000)*(Irr!AL9)),IF(AND(Irr!N9&lt;&gt;".",Irr!AL9=".",Irr!BJ9="."),dir!O9/((1/1000)*(Irr!N9)),IF(AND(Irr!N9=".",Irr!AL9=".",Irr!BJ9="."),dir!O9*1000)))))))),".")</f>
        <v>25606.952160464047</v>
      </c>
      <c r="P9" s="48">
        <f>IFERROR(IF(AND(Irr!O9&lt;&gt;".",Irr!AM9&lt;&gt;".",Irr!BK9&lt;&gt;"."),dir!P9/((1/1000)*(Irr!O9+Irr!AM9+Irr!BK9)),IF(AND(Irr!O9&lt;&gt;".",Irr!AM9&lt;&gt;".",Irr!BK9="."),dir!P9/((1/1000)*(Irr!O9+Irr!AM9)),IF(AND(Irr!O9&lt;&gt;".",Irr!AM9=".",Irr!BK9&lt;&gt;"."),dir!P9/((1/1000)*(Irr!O9+Irr!BK9)),IF(AND(Irr!O9=".",Irr!AM9&lt;&gt;".",Irr!BK9&lt;&gt;"."),dir!P9/((1/1000)*(Irr!AM9+Irr!BK9)),IF(AND(Irr!O9=".",Irr!AM9=".",Irr!BK9&lt;&gt;"."),dir!P9/((1/1000)*(Irr!BK9)),IF(AND(Irr!O9=".",Irr!AM9&lt;&gt;".",Irr!BK9="."),dir!P9/((1/1000)*(Irr!AM9)),IF(AND(Irr!O9&lt;&gt;".",Irr!AM9=".",Irr!BK9="."),dir!P9/((1/1000)*(Irr!O9)),IF(AND(Irr!O9=".",Irr!AM9=".",Irr!BK9="."),dir!P9*1000)))))))),".")</f>
        <v>29330.826490631753</v>
      </c>
      <c r="Q9" s="48">
        <f>IFERROR(IF(AND(Irr!P9&lt;&gt;".",Irr!AN9&lt;&gt;".",Irr!BL9&lt;&gt;"."),dir!Q9/((1/1000)*(Irr!P9+Irr!AN9+Irr!BL9)),IF(AND(Irr!P9&lt;&gt;".",Irr!AN9&lt;&gt;".",Irr!BL9="."),dir!Q9/((1/1000)*(Irr!P9+Irr!AN9)),IF(AND(Irr!P9&lt;&gt;".",Irr!AN9=".",Irr!BL9&lt;&gt;"."),dir!Q9/((1/1000)*(Irr!P9+Irr!BL9)),IF(AND(Irr!P9=".",Irr!AN9&lt;&gt;".",Irr!BL9&lt;&gt;"."),dir!Q9/((1/1000)*(Irr!AN9+Irr!BL9)),IF(AND(Irr!P9=".",Irr!AN9=".",Irr!BL9&lt;&gt;"."),dir!Q9/((1/1000)*(Irr!BL9)),IF(AND(Irr!P9=".",Irr!AN9&lt;&gt;".",Irr!BL9="."),dir!Q9/((1/1000)*(Irr!AN9)),IF(AND(Irr!P9&lt;&gt;".",Irr!AN9=".",Irr!BL9="."),dir!Q9/((1/1000)*(Irr!P9)),IF(AND(Irr!P9=".",Irr!AN9=".",Irr!BL9="."),dir!Q9*1000)))))))),".")</f>
        <v>39611.087451104824</v>
      </c>
      <c r="R9" s="48">
        <f>IFERROR(IF(AND(Irr!Q9&lt;&gt;".",Irr!AO9&lt;&gt;".",Irr!BM9&lt;&gt;"."),dir!R9/((1/1000)*(Irr!Q9+Irr!AO9+Irr!BM9)),IF(AND(Irr!Q9&lt;&gt;".",Irr!AO9&lt;&gt;".",Irr!BM9="."),dir!R9/((1/1000)*(Irr!Q9+Irr!AO9)),IF(AND(Irr!Q9&lt;&gt;".",Irr!AO9=".",Irr!BM9&lt;&gt;"."),dir!R9/((1/1000)*(Irr!Q9+Irr!BM9)),IF(AND(Irr!Q9=".",Irr!AO9&lt;&gt;".",Irr!BM9&lt;&gt;"."),dir!R9/((1/1000)*(Irr!AO9+Irr!BM9)),IF(AND(Irr!Q9=".",Irr!AO9=".",Irr!BM9&lt;&gt;"."),dir!R9/((1/1000)*(Irr!BM9)),IF(AND(Irr!Q9=".",Irr!AO9&lt;&gt;".",Irr!BM9="."),dir!R9/((1/1000)*(Irr!AO9)),IF(AND(Irr!Q9&lt;&gt;".",Irr!AO9=".",Irr!BM9="."),dir!R9/((1/1000)*(Irr!Q9)),IF(AND(Irr!Q9=".",Irr!AO9=".",Irr!BM9="."),dir!R9*1000)))))))),".")</f>
        <v>6255.412526158927</v>
      </c>
      <c r="S9" s="48">
        <f>IFERROR(IF(AND(Irr!R9&lt;&gt;".",Irr!AP9&lt;&gt;".",Irr!BN9&lt;&gt;"."),dir!S9/((1/1000)*(Irr!R9+Irr!AP9+Irr!BN9)),IF(AND(Irr!R9&lt;&gt;".",Irr!AP9&lt;&gt;".",Irr!BN9="."),dir!S9/((1/1000)*(Irr!R9+Irr!AP9)),IF(AND(Irr!R9&lt;&gt;".",Irr!AP9=".",Irr!BN9&lt;&gt;"."),dir!S9/((1/1000)*(Irr!R9+Irr!BN9)),IF(AND(Irr!R9=".",Irr!AP9&lt;&gt;".",Irr!BN9&lt;&gt;"."),dir!S9/((1/1000)*(Irr!AP9+Irr!BN9)),IF(AND(Irr!R9=".",Irr!AP9=".",Irr!BN9&lt;&gt;"."),dir!S9/((1/1000)*(Irr!BN9)),IF(AND(Irr!R9=".",Irr!AP9&lt;&gt;".",Irr!BN9="."),dir!S9/((1/1000)*(Irr!AP9)),IF(AND(Irr!R9&lt;&gt;".",Irr!AP9=".",Irr!BN9="."),dir!S9/((1/1000)*(Irr!R9)),IF(AND(Irr!R9=".",Irr!AP9=".",Irr!BN9="."),dir!S9*1000)))))))),".")</f>
        <v>12984.553476890669</v>
      </c>
      <c r="T9" s="48">
        <f>IFERROR(IF(AND(Irr!S9&lt;&gt;".",Irr!AQ9&lt;&gt;".",Irr!BO9&lt;&gt;"."),dir!T9/((1/1000)*(Irr!S9+Irr!AQ9+Irr!BO9)),IF(AND(Irr!S9&lt;&gt;".",Irr!AQ9&lt;&gt;".",Irr!BO9="."),dir!T9/((1/1000)*(Irr!S9+Irr!AQ9)),IF(AND(Irr!S9&lt;&gt;".",Irr!AQ9=".",Irr!BO9&lt;&gt;"."),dir!T9/((1/1000)*(Irr!S9+Irr!BO9)),IF(AND(Irr!S9=".",Irr!AQ9&lt;&gt;".",Irr!BO9&lt;&gt;"."),dir!T9/((1/1000)*(Irr!AQ9+Irr!BO9)),IF(AND(Irr!S9=".",Irr!AQ9=".",Irr!BO9&lt;&gt;"."),dir!T9/((1/1000)*(Irr!BO9)),IF(AND(Irr!S9=".",Irr!AQ9&lt;&gt;".",Irr!BO9="."),dir!T9/((1/1000)*(Irr!AQ9)),IF(AND(Irr!S9&lt;&gt;".",Irr!AQ9=".",Irr!BO9="."),dir!T9/((1/1000)*(Irr!S9)),IF(AND(Irr!S9=".",Irr!AQ9=".",Irr!BO9="."),dir!T9*1000)))))))),".")</f>
        <v>20711.445927208377</v>
      </c>
      <c r="U9" s="48">
        <f>IFERROR(IF(AND(Irr!T9&lt;&gt;".",Irr!AR9&lt;&gt;".",Irr!BP9&lt;&gt;"."),dir!U9/((1/1000)*(Irr!T9+Irr!AR9+Irr!BP9)),IF(AND(Irr!T9&lt;&gt;".",Irr!AR9&lt;&gt;".",Irr!BP9="."),dir!U9/((1/1000)*(Irr!T9+Irr!AR9)),IF(AND(Irr!T9&lt;&gt;".",Irr!AR9=".",Irr!BP9&lt;&gt;"."),dir!U9/((1/1000)*(Irr!T9+Irr!BP9)),IF(AND(Irr!T9=".",Irr!AR9&lt;&gt;".",Irr!BP9&lt;&gt;"."),dir!U9/((1/1000)*(Irr!AR9+Irr!BP9)),IF(AND(Irr!T9=".",Irr!AR9=".",Irr!BP9&lt;&gt;"."),dir!U9/((1/1000)*(Irr!BP9)),IF(AND(Irr!T9=".",Irr!AR9&lt;&gt;".",Irr!BP9="."),dir!U9/((1/1000)*(Irr!AR9)),IF(AND(Irr!T9&lt;&gt;".",Irr!AR9=".",Irr!BP9="."),dir!U9/((1/1000)*(Irr!T9)),IF(AND(Irr!T9=".",Irr!AR9=".",Irr!BP9="."),dir!U9*1000)))))))),".")</f>
        <v>6503.8178752445983</v>
      </c>
      <c r="V9" s="48">
        <f>IFERROR(IF(AND(Irr!U9&lt;&gt;".",Irr!AS9&lt;&gt;".",Irr!BQ9&lt;&gt;"."),dir!V9/((1/1000)*(Irr!U9+Irr!AS9+Irr!BQ9)),IF(AND(Irr!U9&lt;&gt;".",Irr!AS9&lt;&gt;".",Irr!BQ9="."),dir!V9/((1/1000)*(Irr!U9+Irr!AS9)),IF(AND(Irr!U9&lt;&gt;".",Irr!AS9=".",Irr!BQ9&lt;&gt;"."),dir!V9/((1/1000)*(Irr!U9+Irr!BQ9)),IF(AND(Irr!U9=".",Irr!AS9&lt;&gt;".",Irr!BQ9&lt;&gt;"."),dir!V9/((1/1000)*(Irr!AS9+Irr!BQ9)),IF(AND(Irr!U9=".",Irr!AS9=".",Irr!BQ9&lt;&gt;"."),dir!V9/((1/1000)*(Irr!BQ9)),IF(AND(Irr!U9=".",Irr!AS9&lt;&gt;".",Irr!BQ9="."),dir!V9/((1/1000)*(Irr!AS9)),IF(AND(Irr!U9&lt;&gt;".",Irr!AS9=".",Irr!BQ9="."),dir!V9/((1/1000)*(Irr!U9)),IF(AND(Irr!U9=".",Irr!AS9=".",Irr!BQ9="."),dir!V9*1000)))))))),".")</f>
        <v>11906.911566314264</v>
      </c>
      <c r="W9" s="48">
        <f>IFERROR(IF(AND(Irr!V9&lt;&gt;".",Irr!AT9&lt;&gt;".",Irr!BR9&lt;&gt;"."),dir!W9/((1/1000)*(Irr!V9+Irr!AT9+Irr!BR9)),IF(AND(Irr!V9&lt;&gt;".",Irr!AT9&lt;&gt;".",Irr!BR9="."),dir!W9/((1/1000)*(Irr!V9+Irr!AT9)),IF(AND(Irr!V9&lt;&gt;".",Irr!AT9=".",Irr!BR9&lt;&gt;"."),dir!W9/((1/1000)*(Irr!V9+Irr!BR9)),IF(AND(Irr!V9=".",Irr!AT9&lt;&gt;".",Irr!BR9&lt;&gt;"."),dir!W9/((1/1000)*(Irr!AT9+Irr!BR9)),IF(AND(Irr!V9=".",Irr!AT9=".",Irr!BR9&lt;&gt;"."),dir!W9/((1/1000)*(Irr!BR9)),IF(AND(Irr!V9=".",Irr!AT9&lt;&gt;".",Irr!BR9="."),dir!W9/((1/1000)*(Irr!AT9)),IF(AND(Irr!V9&lt;&gt;".",Irr!AT9=".",Irr!BR9="."),dir!W9/((1/1000)*(Irr!V9)),IF(AND(Irr!V9=".",Irr!AT9=".",Irr!BR9="."),dir!W9*1000)))))))),".")</f>
        <v>14665.432168211297</v>
      </c>
      <c r="X9" s="48">
        <f>IFERROR(IF(AND(Irr!W9&lt;&gt;".",Irr!AU9&lt;&gt;".",Irr!BS9&lt;&gt;"."),dir!X9/((1/1000)*(Irr!W9+Irr!AU9+Irr!BS9)),IF(AND(Irr!W9&lt;&gt;".",Irr!AU9&lt;&gt;".",Irr!BS9="."),dir!X9/((1/1000)*(Irr!W9+Irr!AU9)),IF(AND(Irr!W9&lt;&gt;".",Irr!AU9=".",Irr!BS9&lt;&gt;"."),dir!X9/((1/1000)*(Irr!W9+Irr!BS9)),IF(AND(Irr!W9=".",Irr!AU9&lt;&gt;".",Irr!BS9&lt;&gt;"."),dir!X9/((1/1000)*(Irr!AU9+Irr!BS9)),IF(AND(Irr!W9=".",Irr!AU9=".",Irr!BS9&lt;&gt;"."),dir!X9/((1/1000)*(Irr!BS9)),IF(AND(Irr!W9=".",Irr!AU9&lt;&gt;".",Irr!BS9="."),dir!X9/((1/1000)*(Irr!AU9)),IF(AND(Irr!W9&lt;&gt;".",Irr!AU9=".",Irr!BS9="."),dir!X9/((1/1000)*(Irr!W9)),IF(AND(Irr!W9=".",Irr!AU9=".",Irr!BS9="."),dir!X9*1000)))))))),".")</f>
        <v>19398.26280146014</v>
      </c>
      <c r="Y9" s="48">
        <f>IFERROR(IF(AND(Irr!X9&lt;&gt;".",Irr!AV9&lt;&gt;".",Irr!BT9&lt;&gt;"."),dir!Y9/((1/1000)*(Irr!X9+Irr!AV9+Irr!BT9)),IF(AND(Irr!X9&lt;&gt;".",Irr!AV9&lt;&gt;".",Irr!BT9="."),dir!Y9/((1/1000)*(Irr!X9+Irr!AV9)),IF(AND(Irr!X9&lt;&gt;".",Irr!AV9=".",Irr!BT9&lt;&gt;"."),dir!Y9/((1/1000)*(Irr!X9+Irr!BT9)),IF(AND(Irr!X9=".",Irr!AV9&lt;&gt;".",Irr!BT9&lt;&gt;"."),dir!Y9/((1/1000)*(Irr!AV9+Irr!BT9)),IF(AND(Irr!X9=".",Irr!AV9=".",Irr!BT9&lt;&gt;"."),dir!Y9/((1/1000)*(Irr!BT9)),IF(AND(Irr!X9=".",Irr!AV9&lt;&gt;".",Irr!BT9="."),dir!Y9/((1/1000)*(Irr!AV9)),IF(AND(Irr!X9&lt;&gt;".",Irr!AV9=".",Irr!BT9="."),dir!Y9/((1/1000)*(Irr!X9)),IF(AND(Irr!X9=".",Irr!AV9=".",Irr!BT9="."),dir!Y9*1000)))))))),".")</f>
        <v>10376.724718013689</v>
      </c>
      <c r="Z9" s="48">
        <f>IFERROR(IF(AND(Irr!Y9&lt;&gt;".",Irr!AW9&lt;&gt;".",Irr!BU9&lt;&gt;"."),dir!Z9/((1/1000)*(Irr!Y9+Irr!AW9+Irr!BU9)),IF(AND(Irr!Y9&lt;&gt;".",Irr!AW9&lt;&gt;".",Irr!BU9="."),dir!Z9/((1/1000)*(Irr!Y9+Irr!AW9)),IF(AND(Irr!Y9&lt;&gt;".",Irr!AW9=".",Irr!BU9&lt;&gt;"."),dir!Z9/((1/1000)*(Irr!Y9+Irr!BU9)),IF(AND(Irr!Y9=".",Irr!AW9&lt;&gt;".",Irr!BU9&lt;&gt;"."),dir!Z9/((1/1000)*(Irr!AW9+Irr!BU9)),IF(AND(Irr!Y9=".",Irr!AW9=".",Irr!BU9&lt;&gt;"."),dir!Z9/((1/1000)*(Irr!BU9)),IF(AND(Irr!Y9=".",Irr!AW9&lt;&gt;".",Irr!BU9="."),dir!Z9/((1/1000)*(Irr!AW9)),IF(AND(Irr!Y9&lt;&gt;".",Irr!AW9=".",Irr!BU9="."),dir!Z9/((1/1000)*(Irr!Y9)),IF(AND(Irr!Y9=".",Irr!AW9=".",Irr!BU9="."),dir!Z9*1000)))))))),".")</f>
        <v>5093.4857654455927</v>
      </c>
      <c r="AA9" s="48">
        <f>IFERROR(IF(AND(Irr!Z9&lt;&gt;".",Irr!AX9&lt;&gt;".",Irr!BV9&lt;&gt;"."),dir!AA9/((1/1000)*(Irr!Z9+Irr!AX9+Irr!BV9)),IF(AND(Irr!Z9&lt;&gt;".",Irr!AX9&lt;&gt;".",Irr!BV9="."),dir!AA9/((1/1000)*(Irr!Z9+Irr!AX9)),IF(AND(Irr!Z9&lt;&gt;".",Irr!AX9=".",Irr!BV9&lt;&gt;"."),dir!AA9/((1/1000)*(Irr!Z9+Irr!BV9)),IF(AND(Irr!Z9=".",Irr!AX9&lt;&gt;".",Irr!BV9&lt;&gt;"."),dir!AA9/((1/1000)*(Irr!AX9+Irr!BV9)),IF(AND(Irr!Z9=".",Irr!AX9=".",Irr!BV9&lt;&gt;"."),dir!AA9/((1/1000)*(Irr!BV9)),IF(AND(Irr!Z9=".",Irr!AX9&lt;&gt;".",Irr!BV9="."),dir!AA9/((1/1000)*(Irr!AX9)),IF(AND(Irr!Z9&lt;&gt;".",Irr!AX9=".",Irr!BV9="."),dir!AA9/((1/1000)*(Irr!Z9)),IF(AND(Irr!Z9=".",Irr!AX9=".",Irr!BV9="."),dir!AA9*1000)))))))),".")</f>
        <v>3944.1437049762981</v>
      </c>
      <c r="AB9" s="48">
        <f t="shared" si="5"/>
        <v>510.18669677876011</v>
      </c>
      <c r="AC9" s="48">
        <f>IFERROR(IF(AND(Irr!C9&lt;&gt;".",Irr!AA9&lt;&gt;".",Irr!AY9&lt;&gt;"."),dir!AC9/((1/1000)*(Irr!C9+Irr!AA9+Irr!AY9)),IF(AND(Irr!C9&lt;&gt;".",Irr!AA9&lt;&gt;".",Irr!AY9="."),dir!AC9/((1/1000)*(Irr!C9+Irr!AA9)),IF(AND(Irr!C9&lt;&gt;".",Irr!AA9=".",Irr!AY9&lt;&gt;"."),dir!AC9/((1/1000)*(Irr!C9+Irr!AY9)),IF(AND(Irr!C9=".",Irr!AA9&lt;&gt;".",Irr!AY9&lt;&gt;"."),dir!AC9/((1/1000)*(Irr!AA9+Irr!AY9)),IF(AND(Irr!C9=".",Irr!AA9=".",Irr!AY9&lt;&gt;"."),dir!AC9/((1/1000)*(Irr!AY9)),IF(AND(Irr!C9=".",Irr!AA9&lt;&gt;".",Irr!AY9="."),dir!AC9/((1/1000)*(Irr!AA9)),IF(AND(Irr!C9&lt;&gt;".",Irr!AA9=".",Irr!AY9="."),dir!AC9/((1/1000)*(Irr!C9)),IF(AND(Irr!C9=".",Irr!AA9=".",Irr!AY9="."),dir!AC9*1000)))))))),".")</f>
        <v>8498.508979652468</v>
      </c>
      <c r="AD9" s="48">
        <f>IFERROR(IF(AND(Irr!D9&lt;&gt;".",Irr!AB9&lt;&gt;".",Irr!AZ9&lt;&gt;"."),dir!AD9/((1/1000)*(Irr!D9+Irr!AB9+Irr!AZ9)),IF(AND(Irr!D9&lt;&gt;".",Irr!AB9&lt;&gt;".",Irr!AZ9="."),dir!AD9/((1/1000)*(Irr!D9+Irr!AB9)),IF(AND(Irr!D9&lt;&gt;".",Irr!AB9=".",Irr!AZ9&lt;&gt;"."),dir!AD9/((1/1000)*(Irr!D9+Irr!AZ9)),IF(AND(Irr!D9=".",Irr!AB9&lt;&gt;".",Irr!AZ9&lt;&gt;"."),dir!AD9/((1/1000)*(Irr!AB9+Irr!AZ9)),IF(AND(Irr!D9=".",Irr!AB9=".",Irr!AZ9&lt;&gt;"."),dir!AD9/((1/1000)*(Irr!AZ9)),IF(AND(Irr!D9=".",Irr!AB9&lt;&gt;".",Irr!AZ9="."),dir!AD9/((1/1000)*(Irr!AB9)),IF(AND(Irr!D9&lt;&gt;".",Irr!AB9=".",Irr!AZ9="."),dir!AD9/((1/1000)*(Irr!D9)),IF(AND(Irr!D9=".",Irr!AB9=".",Irr!AZ9="."),dir!AD9*1000)))))))),".")</f>
        <v>20389.628481021336</v>
      </c>
      <c r="AE9" s="48">
        <f>IFERROR(IF(AND(Irr!E9&lt;&gt;".",Irr!AC9&lt;&gt;".",Irr!BA9&lt;&gt;"."),dir!AE9/((1/1000)*(Irr!E9+Irr!AC9+Irr!BA9)),IF(AND(Irr!E9&lt;&gt;".",Irr!AC9&lt;&gt;".",Irr!BA9="."),dir!AE9/((1/1000)*(Irr!E9+Irr!AC9)),IF(AND(Irr!E9&lt;&gt;".",Irr!AC9=".",Irr!BA9&lt;&gt;"."),dir!AE9/((1/1000)*(Irr!E9+Irr!BA9)),IF(AND(Irr!E9=".",Irr!AC9&lt;&gt;".",Irr!BA9&lt;&gt;"."),dir!AE9/((1/1000)*(Irr!AC9+Irr!BA9)),IF(AND(Irr!E9=".",Irr!AC9=".",Irr!BA9&lt;&gt;"."),dir!AE9/((1/1000)*(Irr!BA9)),IF(AND(Irr!E9=".",Irr!AC9&lt;&gt;".",Irr!BA9="."),dir!AE9/((1/1000)*(Irr!AC9)),IF(AND(Irr!E9&lt;&gt;".",Irr!AC9=".",Irr!BA9="."),dir!AE9/((1/1000)*(Irr!E9)),IF(AND(Irr!E9=".",Irr!AC9=".",Irr!BA9="."),dir!AE9*1000)))))))),".")</f>
        <v>24408.409751433486</v>
      </c>
      <c r="AF9" s="48">
        <f>IFERROR(IF(AND(Irr!F9&lt;&gt;".",Irr!AD9&lt;&gt;".",Irr!BB9&lt;&gt;"."),dir!AF9/((1/1000)*(Irr!F9+Irr!AD9+Irr!BB9)),IF(AND(Irr!F9&lt;&gt;".",Irr!AD9&lt;&gt;".",Irr!BB9="."),dir!AF9/((1/1000)*(Irr!F9+Irr!AD9)),IF(AND(Irr!F9&lt;&gt;".",Irr!AD9=".",Irr!BB9&lt;&gt;"."),dir!AF9/((1/1000)*(Irr!F9+Irr!BB9)),IF(AND(Irr!F9=".",Irr!AD9&lt;&gt;".",Irr!BB9&lt;&gt;"."),dir!AF9/((1/1000)*(Irr!AD9+Irr!BB9)),IF(AND(Irr!F9=".",Irr!AD9=".",Irr!BB9&lt;&gt;"."),dir!AF9/((1/1000)*(Irr!BB9)),IF(AND(Irr!F9=".",Irr!AD9&lt;&gt;".",Irr!BB9="."),dir!AF9/((1/1000)*(Irr!AD9)),IF(AND(Irr!F9&lt;&gt;".",Irr!AD9=".",Irr!BB9="."),dir!AF9/((1/1000)*(Irr!F9)),IF(AND(Irr!F9=".",Irr!AD9=".",Irr!BB9="."),dir!AF9*1000)))))))),".")</f>
        <v>21306.839107872212</v>
      </c>
      <c r="AG9" s="48">
        <f>IFERROR(IF(AND(Irr!G9&lt;&gt;".",Irr!AE9&lt;&gt;".",Irr!BC9&lt;&gt;"."),dir!AG9/((1/1000)*(Irr!G9+Irr!AE9+Irr!BC9)),IF(AND(Irr!G9&lt;&gt;".",Irr!AE9&lt;&gt;".",Irr!BC9="."),dir!AG9/((1/1000)*(Irr!G9+Irr!AE9)),IF(AND(Irr!G9&lt;&gt;".",Irr!AE9=".",Irr!BC9&lt;&gt;"."),dir!AG9/((1/1000)*(Irr!G9+Irr!BC9)),IF(AND(Irr!G9=".",Irr!AE9&lt;&gt;".",Irr!BC9&lt;&gt;"."),dir!AG9/((1/1000)*(Irr!AE9+Irr!BC9)),IF(AND(Irr!G9=".",Irr!AE9=".",Irr!BC9&lt;&gt;"."),dir!AG9/((1/1000)*(Irr!BC9)),IF(AND(Irr!G9=".",Irr!AE9&lt;&gt;".",Irr!BC9="."),dir!AG9/((1/1000)*(Irr!AE9)),IF(AND(Irr!G9&lt;&gt;".",Irr!AE9=".",Irr!BC9="."),dir!AG9/((1/1000)*(Irr!G9)),IF(AND(Irr!G9=".",Irr!AE9=".",Irr!BC9="."),dir!AG9*1000)))))))),".")</f>
        <v>22214.31029764171</v>
      </c>
      <c r="AH9" s="48">
        <f>IFERROR(IF(AND(Irr!H9&lt;&gt;".",Irr!AF9&lt;&gt;".",Irr!BD9&lt;&gt;"."),dir!AH9/((1/1000)*(Irr!H9+Irr!AF9+Irr!BD9)),IF(AND(Irr!H9&lt;&gt;".",Irr!AF9&lt;&gt;".",Irr!BD9="."),dir!AH9/((1/1000)*(Irr!H9+Irr!AF9)),IF(AND(Irr!H9&lt;&gt;".",Irr!AF9=".",Irr!BD9&lt;&gt;"."),dir!AH9/((1/1000)*(Irr!H9+Irr!BD9)),IF(AND(Irr!H9=".",Irr!AF9&lt;&gt;".",Irr!BD9&lt;&gt;"."),dir!AH9/((1/1000)*(Irr!AF9+Irr!BD9)),IF(AND(Irr!H9=".",Irr!AF9=".",Irr!BD9&lt;&gt;"."),dir!AH9/((1/1000)*(Irr!BD9)),IF(AND(Irr!H9=".",Irr!AF9&lt;&gt;".",Irr!BD9="."),dir!AH9/((1/1000)*(Irr!AF9)),IF(AND(Irr!H9&lt;&gt;".",Irr!AF9=".",Irr!BD9="."),dir!AH9/((1/1000)*(Irr!H9)),IF(AND(Irr!H9=".",Irr!AF9=".",Irr!BD9="."),dir!AH9*1000)))))))),".")</f>
        <v>9624.8421471513229</v>
      </c>
      <c r="AI9" s="48">
        <f>IFERROR(IF(AND(Irr!I9&lt;&gt;".",Irr!AG9&lt;&gt;".",Irr!BE9&lt;&gt;"."),dir!AI9/((1/1000)*(Irr!I9+Irr!AG9+Irr!BE9)),IF(AND(Irr!I9&lt;&gt;".",Irr!AG9&lt;&gt;".",Irr!BE9="."),dir!AI9/((1/1000)*(Irr!I9+Irr!AG9)),IF(AND(Irr!I9&lt;&gt;".",Irr!AG9=".",Irr!BE9&lt;&gt;"."),dir!AI9/((1/1000)*(Irr!I9+Irr!BE9)),IF(AND(Irr!I9=".",Irr!AG9&lt;&gt;".",Irr!BE9&lt;&gt;"."),dir!AI9/((1/1000)*(Irr!AG9+Irr!BE9)),IF(AND(Irr!I9=".",Irr!AG9=".",Irr!BE9&lt;&gt;"."),dir!AI9/((1/1000)*(Irr!BE9)),IF(AND(Irr!I9=".",Irr!AG9&lt;&gt;".",Irr!BE9="."),dir!AI9/((1/1000)*(Irr!AG9)),IF(AND(Irr!I9&lt;&gt;".",Irr!AG9=".",Irr!BE9="."),dir!AI9/((1/1000)*(Irr!I9)),IF(AND(Irr!I9=".",Irr!AG9=".",Irr!BE9="."),dir!AI9*1000)))))))),".")</f>
        <v>31570.393869101361</v>
      </c>
      <c r="AJ9" s="48">
        <f>IFERROR(IF(AND(Irr!J9&lt;&gt;".",Irr!AH9&lt;&gt;".",Irr!BF9&lt;&gt;"."),dir!AJ9/((1/1000)*(Irr!J9+Irr!AH9+Irr!BF9)),IF(AND(Irr!J9&lt;&gt;".",Irr!AH9&lt;&gt;".",Irr!BF9="."),dir!AJ9/((1/1000)*(Irr!J9+Irr!AH9)),IF(AND(Irr!J9&lt;&gt;".",Irr!AH9=".",Irr!BF9&lt;&gt;"."),dir!AJ9/((1/1000)*(Irr!J9+Irr!BF9)),IF(AND(Irr!J9=".",Irr!AH9&lt;&gt;".",Irr!BF9&lt;&gt;"."),dir!AJ9/((1/1000)*(Irr!AH9+Irr!BF9)),IF(AND(Irr!J9=".",Irr!AH9=".",Irr!BF9&lt;&gt;"."),dir!AJ9/((1/1000)*(Irr!BF9)),IF(AND(Irr!J9=".",Irr!AH9&lt;&gt;".",Irr!BF9="."),dir!AJ9/((1/1000)*(Irr!AH9)),IF(AND(Irr!J9&lt;&gt;".",Irr!AH9=".",Irr!BF9="."),dir!AJ9/((1/1000)*(Irr!J9)),IF(AND(Irr!J9=".",Irr!AH9=".",Irr!BF9="."),dir!AJ9*1000)))))))),".")</f>
        <v>2456.0662903433399</v>
      </c>
      <c r="AK9" s="48">
        <f>IFERROR(IF(AND(Irr!K9&lt;&gt;".",Irr!AI9&lt;&gt;".",Irr!BG9&lt;&gt;"."),dir!AK9/((1/1000)*(Irr!K9+Irr!AI9+Irr!BG9)),IF(AND(Irr!K9&lt;&gt;".",Irr!AI9&lt;&gt;".",Irr!BG9="."),dir!AK9/((1/1000)*(Irr!K9+Irr!AI9)),IF(AND(Irr!K9&lt;&gt;".",Irr!AI9=".",Irr!BG9&lt;&gt;"."),dir!AK9/((1/1000)*(Irr!K9+Irr!BG9)),IF(AND(Irr!K9=".",Irr!AI9&lt;&gt;".",Irr!BG9&lt;&gt;"."),dir!AK9/((1/1000)*(Irr!AI9+Irr!BG9)),IF(AND(Irr!K9=".",Irr!AI9=".",Irr!BG9&lt;&gt;"."),dir!AK9/((1/1000)*(Irr!BG9)),IF(AND(Irr!K9=".",Irr!AI9&lt;&gt;".",Irr!BG9="."),dir!AK9/((1/1000)*(Irr!AI9)),IF(AND(Irr!K9&lt;&gt;".",Irr!AI9=".",Irr!BG9="."),dir!AK9/((1/1000)*(Irr!K9)),IF(AND(Irr!K9=".",Irr!AI9=".",Irr!BG9="."),dir!AK9*1000)))))))),".")</f>
        <v>9618.4221456281084</v>
      </c>
      <c r="AL9" s="48">
        <f>IFERROR(IF(AND(Irr!L9&lt;&gt;".",Irr!AJ9&lt;&gt;".",Irr!BH9&lt;&gt;"."),dir!AL9/((1/1000)*(Irr!L9+Irr!AJ9+Irr!BH9)),IF(AND(Irr!L9&lt;&gt;".",Irr!AJ9&lt;&gt;".",Irr!BH9="."),dir!AL9/((1/1000)*(Irr!L9+Irr!AJ9)),IF(AND(Irr!L9&lt;&gt;".",Irr!AJ9=".",Irr!BH9&lt;&gt;"."),dir!AL9/((1/1000)*(Irr!L9+Irr!BH9)),IF(AND(Irr!L9=".",Irr!AJ9&lt;&gt;".",Irr!BH9&lt;&gt;"."),dir!AL9/((1/1000)*(Irr!AJ9+Irr!BH9)),IF(AND(Irr!L9=".",Irr!AJ9=".",Irr!BH9&lt;&gt;"."),dir!AL9/((1/1000)*(Irr!BH9)),IF(AND(Irr!L9=".",Irr!AJ9&lt;&gt;".",Irr!BH9="."),dir!AL9/((1/1000)*(Irr!AJ9)),IF(AND(Irr!L9&lt;&gt;".",Irr!AJ9=".",Irr!BH9="."),dir!AL9/((1/1000)*(Irr!L9)),IF(AND(Irr!L9=".",Irr!AJ9=".",Irr!BH9="."),dir!AL9*1000)))))))),".")</f>
        <v>14592.591522874422</v>
      </c>
      <c r="AM9" s="48">
        <f>IFERROR(IF(AND(Irr!M9&lt;&gt;".",Irr!AK9&lt;&gt;".",Irr!BI9&lt;&gt;"."),dir!AM9/((1/1000)*(Irr!M9+Irr!AK9+Irr!BI9)),IF(AND(Irr!M9&lt;&gt;".",Irr!AK9&lt;&gt;".",Irr!BI9="."),dir!AM9/((1/1000)*(Irr!M9+Irr!AK9)),IF(AND(Irr!M9&lt;&gt;".",Irr!AK9=".",Irr!BI9&lt;&gt;"."),dir!AM9/((1/1000)*(Irr!M9+Irr!BI9)),IF(AND(Irr!M9=".",Irr!AK9&lt;&gt;".",Irr!BI9&lt;&gt;"."),dir!AM9/((1/1000)*(Irr!AK9+Irr!BI9)),IF(AND(Irr!M9=".",Irr!AK9=".",Irr!BI9&lt;&gt;"."),dir!AM9/((1/1000)*(Irr!BI9)),IF(AND(Irr!M9=".",Irr!AK9&lt;&gt;".",Irr!BI9="."),dir!AM9/((1/1000)*(Irr!AK9)),IF(AND(Irr!M9&lt;&gt;".",Irr!AK9=".",Irr!BI9="."),dir!AM9/((1/1000)*(Irr!M9)),IF(AND(Irr!M9=".",Irr!AK9=".",Irr!BI9="."),dir!AM9*1000)))))))),".")</f>
        <v>20707.300638777793</v>
      </c>
      <c r="AN9" s="48">
        <f>IFERROR(IF(AND(Irr!N9&lt;&gt;".",Irr!AL9&lt;&gt;".",Irr!BJ9&lt;&gt;"."),dir!AN9/((1/1000)*(Irr!N9+Irr!AL9+Irr!BJ9)),IF(AND(Irr!N9&lt;&gt;".",Irr!AL9&lt;&gt;".",Irr!BJ9="."),dir!AN9/((1/1000)*(Irr!N9+Irr!AL9)),IF(AND(Irr!N9&lt;&gt;".",Irr!AL9=".",Irr!BJ9&lt;&gt;"."),dir!AN9/((1/1000)*(Irr!N9+Irr!BJ9)),IF(AND(Irr!N9=".",Irr!AL9&lt;&gt;".",Irr!BJ9&lt;&gt;"."),dir!AN9/((1/1000)*(Irr!AL9+Irr!BJ9)),IF(AND(Irr!N9=".",Irr!AL9=".",Irr!BJ9&lt;&gt;"."),dir!AN9/((1/1000)*(Irr!BJ9)),IF(AND(Irr!N9=".",Irr!AL9&lt;&gt;".",Irr!BJ9="."),dir!AN9/((1/1000)*(Irr!AL9)),IF(AND(Irr!N9&lt;&gt;".",Irr!AL9=".",Irr!BJ9="."),dir!AN9/((1/1000)*(Irr!N9)),IF(AND(Irr!N9=".",Irr!AL9=".",Irr!BJ9="."),dir!AN9*1000)))))))),".")</f>
        <v>23724.252833130144</v>
      </c>
      <c r="AO9" s="48">
        <f>IFERROR(IF(AND(Irr!O9&lt;&gt;".",Irr!AM9&lt;&gt;".",Irr!BK9&lt;&gt;"."),dir!AO9/((1/1000)*(Irr!O9+Irr!AM9+Irr!BK9)),IF(AND(Irr!O9&lt;&gt;".",Irr!AM9&lt;&gt;".",Irr!BK9="."),dir!AO9/((1/1000)*(Irr!O9+Irr!AM9)),IF(AND(Irr!O9&lt;&gt;".",Irr!AM9=".",Irr!BK9&lt;&gt;"."),dir!AO9/((1/1000)*(Irr!O9+Irr!BK9)),IF(AND(Irr!O9=".",Irr!AM9&lt;&gt;".",Irr!BK9&lt;&gt;"."),dir!AO9/((1/1000)*(Irr!AM9+Irr!BK9)),IF(AND(Irr!O9=".",Irr!AM9=".",Irr!BK9&lt;&gt;"."),dir!AO9/((1/1000)*(Irr!BK9)),IF(AND(Irr!O9=".",Irr!AM9&lt;&gt;".",Irr!BK9="."),dir!AO9/((1/1000)*(Irr!AM9)),IF(AND(Irr!O9&lt;&gt;".",Irr!AM9=".",Irr!BK9="."),dir!AO9/((1/1000)*(Irr!O9)),IF(AND(Irr!O9=".",Irr!AM9=".",Irr!BK9="."),dir!AO9*1000)))))))),".")</f>
        <v>27123.117955988324</v>
      </c>
      <c r="AP9" s="48">
        <f>IFERROR(IF(AND(Irr!P9&lt;&gt;".",Irr!AN9&lt;&gt;".",Irr!BL9&lt;&gt;"."),dir!AP9/((1/1000)*(Irr!P9+Irr!AN9+Irr!BL9)),IF(AND(Irr!P9&lt;&gt;".",Irr!AN9&lt;&gt;".",Irr!BL9="."),dir!AP9/((1/1000)*(Irr!P9+Irr!AN9)),IF(AND(Irr!P9&lt;&gt;".",Irr!AN9=".",Irr!BL9&lt;&gt;"."),dir!AP9/((1/1000)*(Irr!P9+Irr!BL9)),IF(AND(Irr!P9=".",Irr!AN9&lt;&gt;".",Irr!BL9&lt;&gt;"."),dir!AP9/((1/1000)*(Irr!AN9+Irr!BL9)),IF(AND(Irr!P9=".",Irr!AN9=".",Irr!BL9&lt;&gt;"."),dir!AP9/((1/1000)*(Irr!BL9)),IF(AND(Irr!P9=".",Irr!AN9&lt;&gt;".",Irr!BL9="."),dir!AP9/((1/1000)*(Irr!AN9)),IF(AND(Irr!P9&lt;&gt;".",Irr!AN9=".",Irr!BL9="."),dir!AP9/((1/1000)*(Irr!P9)),IF(AND(Irr!P9=".",Irr!AN9=".",Irr!BL9="."),dir!AP9*1000)))))))),".")</f>
        <v>29659.210934463608</v>
      </c>
      <c r="AQ9" s="48">
        <f>IFERROR(IF(AND(Irr!Q9&lt;&gt;".",Irr!AO9&lt;&gt;".",Irr!BM9&lt;&gt;"."),dir!AQ9/((1/1000)*(Irr!Q9+Irr!AO9+Irr!BM9)),IF(AND(Irr!Q9&lt;&gt;".",Irr!AO9&lt;&gt;".",Irr!BM9="."),dir!AQ9/((1/1000)*(Irr!Q9+Irr!AO9)),IF(AND(Irr!Q9&lt;&gt;".",Irr!AO9=".",Irr!BM9&lt;&gt;"."),dir!AQ9/((1/1000)*(Irr!Q9+Irr!BM9)),IF(AND(Irr!Q9=".",Irr!AO9&lt;&gt;".",Irr!BM9&lt;&gt;"."),dir!AQ9/((1/1000)*(Irr!AO9+Irr!BM9)),IF(AND(Irr!Q9=".",Irr!AO9=".",Irr!BM9&lt;&gt;"."),dir!AQ9/((1/1000)*(Irr!BM9)),IF(AND(Irr!Q9=".",Irr!AO9&lt;&gt;".",Irr!BM9="."),dir!AQ9/((1/1000)*(Irr!AO9)),IF(AND(Irr!Q9&lt;&gt;".",Irr!AO9=".",Irr!BM9="."),dir!AQ9/((1/1000)*(Irr!Q9)),IF(AND(Irr!Q9=".",Irr!AO9=".",Irr!BM9="."),dir!AQ9*1000)))))))),".")</f>
        <v>6998.5821348699583</v>
      </c>
      <c r="AR9" s="48">
        <f>IFERROR(IF(AND(Irr!R9&lt;&gt;".",Irr!AP9&lt;&gt;".",Irr!BN9&lt;&gt;"."),dir!AR9/((1/1000)*(Irr!R9+Irr!AP9+Irr!BN9)),IF(AND(Irr!R9&lt;&gt;".",Irr!AP9&lt;&gt;".",Irr!BN9="."),dir!AR9/((1/1000)*(Irr!R9+Irr!AP9)),IF(AND(Irr!R9&lt;&gt;".",Irr!AP9=".",Irr!BN9&lt;&gt;"."),dir!AR9/((1/1000)*(Irr!R9+Irr!BN9)),IF(AND(Irr!R9=".",Irr!AP9&lt;&gt;".",Irr!BN9&lt;&gt;"."),dir!AR9/((1/1000)*(Irr!AP9+Irr!BN9)),IF(AND(Irr!R9=".",Irr!AP9=".",Irr!BN9&lt;&gt;"."),dir!AR9/((1/1000)*(Irr!BN9)),IF(AND(Irr!R9=".",Irr!AP9&lt;&gt;".",Irr!BN9="."),dir!AR9/((1/1000)*(Irr!AP9)),IF(AND(Irr!R9&lt;&gt;".",Irr!AP9=".",Irr!BN9="."),dir!AR9/((1/1000)*(Irr!R9)),IF(AND(Irr!R9=".",Irr!AP9=".",Irr!BN9="."),dir!AR9*1000)))))))),".")</f>
        <v>11498.762938125887</v>
      </c>
      <c r="AS9" s="48">
        <f>IFERROR(IF(AND(Irr!S9&lt;&gt;".",Irr!AQ9&lt;&gt;".",Irr!BO9&lt;&gt;"."),dir!AS9/((1/1000)*(Irr!S9+Irr!AQ9+Irr!BO9)),IF(AND(Irr!S9&lt;&gt;".",Irr!AQ9&lt;&gt;".",Irr!BO9="."),dir!AS9/((1/1000)*(Irr!S9+Irr!AQ9)),IF(AND(Irr!S9&lt;&gt;".",Irr!AQ9=".",Irr!BO9&lt;&gt;"."),dir!AS9/((1/1000)*(Irr!S9+Irr!BO9)),IF(AND(Irr!S9=".",Irr!AQ9&lt;&gt;".",Irr!BO9&lt;&gt;"."),dir!AS9/((1/1000)*(Irr!AQ9+Irr!BO9)),IF(AND(Irr!S9=".",Irr!AQ9=".",Irr!BO9&lt;&gt;"."),dir!AS9/((1/1000)*(Irr!BO9)),IF(AND(Irr!S9=".",Irr!AQ9&lt;&gt;".",Irr!BO9="."),dir!AS9/((1/1000)*(Irr!AQ9)),IF(AND(Irr!S9&lt;&gt;".",Irr!AQ9=".",Irr!BO9="."),dir!AS9/((1/1000)*(Irr!S9)),IF(AND(Irr!S9=".",Irr!AQ9=".",Irr!BO9="."),dir!AS9*1000)))))))),".")</f>
        <v>22958.886347661613</v>
      </c>
      <c r="AT9" s="48">
        <f>IFERROR(IF(AND(Irr!T9&lt;&gt;".",Irr!AR9&lt;&gt;".",Irr!BP9&lt;&gt;"."),dir!AT9/((1/1000)*(Irr!T9+Irr!AR9+Irr!BP9)),IF(AND(Irr!T9&lt;&gt;".",Irr!AR9&lt;&gt;".",Irr!BP9="."),dir!AT9/((1/1000)*(Irr!T9+Irr!AR9)),IF(AND(Irr!T9&lt;&gt;".",Irr!AR9=".",Irr!BP9&lt;&gt;"."),dir!AT9/((1/1000)*(Irr!T9+Irr!BP9)),IF(AND(Irr!T9=".",Irr!AR9&lt;&gt;".",Irr!BP9&lt;&gt;"."),dir!AT9/((1/1000)*(Irr!AR9+Irr!BP9)),IF(AND(Irr!T9=".",Irr!AR9=".",Irr!BP9&lt;&gt;"."),dir!AT9/((1/1000)*(Irr!BP9)),IF(AND(Irr!T9=".",Irr!AR9&lt;&gt;".",Irr!BP9="."),dir!AT9/((1/1000)*(Irr!AR9)),IF(AND(Irr!T9&lt;&gt;".",Irr!AR9=".",Irr!BP9="."),dir!AT9/((1/1000)*(Irr!T9)),IF(AND(Irr!T9=".",Irr!AR9=".",Irr!BP9="."),dir!AT9*1000)))))))),".")</f>
        <v>5555.481898825582</v>
      </c>
      <c r="AU9" s="48">
        <f>IFERROR(IF(AND(Irr!U9&lt;&gt;".",Irr!AS9&lt;&gt;".",Irr!BQ9&lt;&gt;"."),dir!AU9/((1/1000)*(Irr!U9+Irr!AS9+Irr!BQ9)),IF(AND(Irr!U9&lt;&gt;".",Irr!AS9&lt;&gt;".",Irr!BQ9="."),dir!AU9/((1/1000)*(Irr!U9+Irr!AS9)),IF(AND(Irr!U9&lt;&gt;".",Irr!AS9=".",Irr!BQ9&lt;&gt;"."),dir!AU9/((1/1000)*(Irr!U9+Irr!BQ9)),IF(AND(Irr!U9=".",Irr!AS9&lt;&gt;".",Irr!BQ9&lt;&gt;"."),dir!AU9/((1/1000)*(Irr!AS9+Irr!BQ9)),IF(AND(Irr!U9=".",Irr!AS9=".",Irr!BQ9&lt;&gt;"."),dir!AU9/((1/1000)*(Irr!BQ9)),IF(AND(Irr!U9=".",Irr!AS9&lt;&gt;".",Irr!BQ9="."),dir!AU9/((1/1000)*(Irr!AS9)),IF(AND(Irr!U9&lt;&gt;".",Irr!AS9=".",Irr!BQ9="."),dir!AU9/((1/1000)*(Irr!U9)),IF(AND(Irr!U9=".",Irr!AS9=".",Irr!BQ9="."),dir!AU9*1000)))))))),".")</f>
        <v>11605.100422829288</v>
      </c>
      <c r="AV9" s="48">
        <f>IFERROR(IF(AND(Irr!V9&lt;&gt;".",Irr!AT9&lt;&gt;".",Irr!BR9&lt;&gt;"."),dir!AV9/((1/1000)*(Irr!V9+Irr!AT9+Irr!BR9)),IF(AND(Irr!V9&lt;&gt;".",Irr!AT9&lt;&gt;".",Irr!BR9="."),dir!AV9/((1/1000)*(Irr!V9+Irr!AT9)),IF(AND(Irr!V9&lt;&gt;".",Irr!AT9=".",Irr!BR9&lt;&gt;"."),dir!AV9/((1/1000)*(Irr!V9+Irr!BR9)),IF(AND(Irr!V9=".",Irr!AT9&lt;&gt;".",Irr!BR9&lt;&gt;"."),dir!AV9/((1/1000)*(Irr!AT9+Irr!BR9)),IF(AND(Irr!V9=".",Irr!AT9=".",Irr!BR9&lt;&gt;"."),dir!AV9/((1/1000)*(Irr!BR9)),IF(AND(Irr!V9=".",Irr!AT9&lt;&gt;".",Irr!BR9="."),dir!AV9/((1/1000)*(Irr!AT9)),IF(AND(Irr!V9&lt;&gt;".",Irr!AT9=".",Irr!BR9="."),dir!AV9/((1/1000)*(Irr!V9)),IF(AND(Irr!V9=".",Irr!AT9=".",Irr!BR9="."),dir!AV9*1000)))))))),".")</f>
        <v>13960.42792830904</v>
      </c>
      <c r="AW9" s="48">
        <f>IFERROR(IF(AND(Irr!W9&lt;&gt;".",Irr!AU9&lt;&gt;".",Irr!BS9&lt;&gt;"."),dir!AW9/((1/1000)*(Irr!W9+Irr!AU9+Irr!BS9)),IF(AND(Irr!W9&lt;&gt;".",Irr!AU9&lt;&gt;".",Irr!BS9="."),dir!AW9/((1/1000)*(Irr!W9+Irr!AU9)),IF(AND(Irr!W9&lt;&gt;".",Irr!AU9=".",Irr!BS9&lt;&gt;"."),dir!AW9/((1/1000)*(Irr!W9+Irr!BS9)),IF(AND(Irr!W9=".",Irr!AU9&lt;&gt;".",Irr!BS9&lt;&gt;"."),dir!AW9/((1/1000)*(Irr!AU9+Irr!BS9)),IF(AND(Irr!W9=".",Irr!AU9=".",Irr!BS9&lt;&gt;"."),dir!AW9/((1/1000)*(Irr!BS9)),IF(AND(Irr!W9=".",Irr!AU9&lt;&gt;".",Irr!BS9="."),dir!AW9/((1/1000)*(Irr!AU9)),IF(AND(Irr!W9&lt;&gt;".",Irr!AU9=".",Irr!BS9="."),dir!AW9/((1/1000)*(Irr!W9)),IF(AND(Irr!W9=".",Irr!AU9=".",Irr!BS9="."),dir!AW9*1000)))))))),".")</f>
        <v>18781.091488886213</v>
      </c>
      <c r="AX9" s="48">
        <f>IFERROR(IF(AND(Irr!X9&lt;&gt;".",Irr!AV9&lt;&gt;".",Irr!BT9&lt;&gt;"."),dir!AX9/((1/1000)*(Irr!X9+Irr!AV9+Irr!BT9)),IF(AND(Irr!X9&lt;&gt;".",Irr!AV9&lt;&gt;".",Irr!BT9="."),dir!AX9/((1/1000)*(Irr!X9+Irr!AV9)),IF(AND(Irr!X9&lt;&gt;".",Irr!AV9=".",Irr!BT9&lt;&gt;"."),dir!AX9/((1/1000)*(Irr!X9+Irr!BT9)),IF(AND(Irr!X9=".",Irr!AV9&lt;&gt;".",Irr!BT9&lt;&gt;"."),dir!AX9/((1/1000)*(Irr!AV9+Irr!BT9)),IF(AND(Irr!X9=".",Irr!AV9=".",Irr!BT9&lt;&gt;"."),dir!AX9/((1/1000)*(Irr!BT9)),IF(AND(Irr!X9=".",Irr!AV9&lt;&gt;".",Irr!BT9="."),dir!AX9/((1/1000)*(Irr!AV9)),IF(AND(Irr!X9&lt;&gt;".",Irr!AV9=".",Irr!BT9="."),dir!AX9/((1/1000)*(Irr!X9)),IF(AND(Irr!X9=".",Irr!AV9=".",Irr!BT9="."),dir!AX9*1000)))))))),".")</f>
        <v>8352.2263945636951</v>
      </c>
      <c r="AY9" s="48">
        <f>IFERROR(IF(AND(Irr!Y9&lt;&gt;".",Irr!AW9&lt;&gt;".",Irr!BU9&lt;&gt;"."),dir!AY9/((1/1000)*(Irr!Y9+Irr!AW9+Irr!BU9)),IF(AND(Irr!Y9&lt;&gt;".",Irr!AW9&lt;&gt;".",Irr!BU9="."),dir!AY9/((1/1000)*(Irr!Y9+Irr!AW9)),IF(AND(Irr!Y9&lt;&gt;".",Irr!AW9=".",Irr!BU9&lt;&gt;"."),dir!AY9/((1/1000)*(Irr!Y9+Irr!BU9)),IF(AND(Irr!Y9=".",Irr!AW9&lt;&gt;".",Irr!BU9&lt;&gt;"."),dir!AY9/((1/1000)*(Irr!AW9+Irr!BU9)),IF(AND(Irr!Y9=".",Irr!AW9=".",Irr!BU9&lt;&gt;"."),dir!AY9/((1/1000)*(Irr!BU9)),IF(AND(Irr!Y9=".",Irr!AW9&lt;&gt;".",Irr!BU9="."),dir!AY9/((1/1000)*(Irr!AW9)),IF(AND(Irr!Y9&lt;&gt;".",Irr!AW9=".",Irr!BU9="."),dir!AY9/((1/1000)*(Irr!Y9)),IF(AND(Irr!Y9=".",Irr!AW9=".",Irr!BU9="."),dir!AY9*1000)))))))),".")</f>
        <v>3988.1718117208911</v>
      </c>
      <c r="AZ9" s="48">
        <f>IFERROR(IF(AND(Irr!Z9&lt;&gt;".",Irr!AX9&lt;&gt;".",Irr!BV9&lt;&gt;"."),dir!AZ9/((1/1000)*(Irr!Z9+Irr!AX9+Irr!BV9)),IF(AND(Irr!Z9&lt;&gt;".",Irr!AX9&lt;&gt;".",Irr!BV9="."),dir!AZ9/((1/1000)*(Irr!Z9+Irr!AX9)),IF(AND(Irr!Z9&lt;&gt;".",Irr!AX9=".",Irr!BV9&lt;&gt;"."),dir!AZ9/((1/1000)*(Irr!Z9+Irr!BV9)),IF(AND(Irr!Z9=".",Irr!AX9&lt;&gt;".",Irr!BV9&lt;&gt;"."),dir!AZ9/((1/1000)*(Irr!AX9+Irr!BV9)),IF(AND(Irr!Z9=".",Irr!AX9=".",Irr!BV9&lt;&gt;"."),dir!AZ9/((1/1000)*(Irr!BV9)),IF(AND(Irr!Z9=".",Irr!AX9&lt;&gt;".",Irr!BV9="."),dir!AZ9/((1/1000)*(Irr!AX9)),IF(AND(Irr!Z9&lt;&gt;".",Irr!AX9=".",Irr!BV9="."),dir!AZ9/((1/1000)*(Irr!Z9)),IF(AND(Irr!Z9=".",Irr!AX9=".",Irr!BV9="."),dir!AZ9*1000)))))))),".")</f>
        <v>3773.7867599116275</v>
      </c>
    </row>
    <row r="10" spans="1:52" x14ac:dyDescent="0.25">
      <c r="A10" s="63" t="s">
        <v>8</v>
      </c>
      <c r="B10" s="49" t="s">
        <v>336</v>
      </c>
      <c r="C10" s="48">
        <f t="shared" ref="C10" si="6">IFERROR(1/SUM(1/D10,1/E10,1/F10,1/G10,1/H10,1/I10,1/J10,1/K10,1/L10,1/M10,1/N10,1/O10,1/P10,1/Q10,1/R10,1/S10,1/T10,1/U10,1/V10,1/W10,1/X10,1/Y10),".")</f>
        <v>9.698572686839313</v>
      </c>
      <c r="D10" s="48">
        <f>IFERROR(IF(AND(Irr!C10&lt;&gt;".",Irr!AA10&lt;&gt;".",Irr!AY10&lt;&gt;"."),dir!D10/((1/1000)*(Irr!C10+Irr!AA10+Irr!AY10)),IF(AND(Irr!C10&lt;&gt;".",Irr!AA10&lt;&gt;".",Irr!AY10="."),dir!D10/((1/1000)*(Irr!C10+Irr!AA10)),IF(AND(Irr!C10&lt;&gt;".",Irr!AA10=".",Irr!AY10&lt;&gt;"."),dir!D10/((1/1000)*(Irr!C10+Irr!AY10)),IF(AND(Irr!C10=".",Irr!AA10&lt;&gt;".",Irr!AY10&lt;&gt;"."),dir!D10/((1/1000)*(Irr!AA10+Irr!AY10)),IF(AND(Irr!C10=".",Irr!AA10=".",Irr!AY10&lt;&gt;"."),dir!D10/((1/1000)*(Irr!AY10)),IF(AND(Irr!C10=".",Irr!AA10&lt;&gt;".",Irr!AY10="."),dir!D10/((1/1000)*(Irr!AA10)),IF(AND(Irr!C10&lt;&gt;".",Irr!AA10=".",Irr!AY10="."),dir!D10/((1/1000)*(Irr!C10)),IF(AND(Irr!C10=".",Irr!AA10=".",Irr!AY10="."),dir!D10*1000)))))))),".")</f>
        <v>205.29182791788523</v>
      </c>
      <c r="E10" s="48">
        <f>IFERROR(IF(AND(Irr!D10&lt;&gt;".",Irr!AB10&lt;&gt;".",Irr!AZ10&lt;&gt;"."),dir!E10/((1/1000)*(Irr!D10+Irr!AB10+Irr!AZ10)),IF(AND(Irr!D10&lt;&gt;".",Irr!AB10&lt;&gt;".",Irr!AZ10="."),dir!E10/((1/1000)*(Irr!D10+Irr!AB10)),IF(AND(Irr!D10&lt;&gt;".",Irr!AB10=".",Irr!AZ10&lt;&gt;"."),dir!E10/((1/1000)*(Irr!D10+Irr!AZ10)),IF(AND(Irr!D10=".",Irr!AB10&lt;&gt;".",Irr!AZ10&lt;&gt;"."),dir!E10/((1/1000)*(Irr!AB10+Irr!AZ10)),IF(AND(Irr!D10=".",Irr!AB10=".",Irr!AZ10&lt;&gt;"."),dir!E10/((1/1000)*(Irr!AZ10)),IF(AND(Irr!D10=".",Irr!AB10&lt;&gt;".",Irr!AZ10="."),dir!E10/((1/1000)*(Irr!AB10)),IF(AND(Irr!D10&lt;&gt;".",Irr!AB10=".",Irr!AZ10="."),dir!E10/((1/1000)*(Irr!D10)),IF(AND(Irr!D10=".",Irr!AB10=".",Irr!AZ10="."),dir!E10*1000)))))))),".")</f>
        <v>303.6740178204019</v>
      </c>
      <c r="F10" s="48">
        <f>IFERROR(IF(AND(Irr!E10&lt;&gt;".",Irr!AC10&lt;&gt;".",Irr!BA10&lt;&gt;"."),dir!F10/((1/1000)*(Irr!E10+Irr!AC10+Irr!BA10)),IF(AND(Irr!E10&lt;&gt;".",Irr!AC10&lt;&gt;".",Irr!BA10="."),dir!F10/((1/1000)*(Irr!E10+Irr!AC10)),IF(AND(Irr!E10&lt;&gt;".",Irr!AC10=".",Irr!BA10&lt;&gt;"."),dir!F10/((1/1000)*(Irr!E10+Irr!BA10)),IF(AND(Irr!E10=".",Irr!AC10&lt;&gt;".",Irr!BA10&lt;&gt;"."),dir!F10/((1/1000)*(Irr!AC10+Irr!BA10)),IF(AND(Irr!E10=".",Irr!AC10=".",Irr!BA10&lt;&gt;"."),dir!F10/((1/1000)*(Irr!BA10)),IF(AND(Irr!E10=".",Irr!AC10&lt;&gt;".",Irr!BA10="."),dir!F10/((1/1000)*(Irr!AC10)),IF(AND(Irr!E10&lt;&gt;".",Irr!AC10=".",Irr!BA10="."),dir!F10/((1/1000)*(Irr!E10)),IF(AND(Irr!E10=".",Irr!AC10=".",Irr!BA10="."),dir!F10*1000)))))))),".")</f>
        <v>417.65436203138182</v>
      </c>
      <c r="G10" s="48">
        <f>IFERROR(IF(AND(Irr!F10&lt;&gt;".",Irr!AD10&lt;&gt;".",Irr!BB10&lt;&gt;"."),dir!G10/((1/1000)*(Irr!F10+Irr!AD10+Irr!BB10)),IF(AND(Irr!F10&lt;&gt;".",Irr!AD10&lt;&gt;".",Irr!BB10="."),dir!G10/((1/1000)*(Irr!F10+Irr!AD10)),IF(AND(Irr!F10&lt;&gt;".",Irr!AD10=".",Irr!BB10&lt;&gt;"."),dir!G10/((1/1000)*(Irr!F10+Irr!BB10)),IF(AND(Irr!F10=".",Irr!AD10&lt;&gt;".",Irr!BB10&lt;&gt;"."),dir!G10/((1/1000)*(Irr!AD10+Irr!BB10)),IF(AND(Irr!F10=".",Irr!AD10=".",Irr!BB10&lt;&gt;"."),dir!G10/((1/1000)*(Irr!BB10)),IF(AND(Irr!F10=".",Irr!AD10&lt;&gt;".",Irr!BB10="."),dir!G10/((1/1000)*(Irr!AD10)),IF(AND(Irr!F10&lt;&gt;".",Irr!AD10=".",Irr!BB10="."),dir!G10/((1/1000)*(Irr!F10)),IF(AND(Irr!F10=".",Irr!AD10=".",Irr!BB10="."),dir!G10*1000)))))))),".")</f>
        <v>476.05678885569216</v>
      </c>
      <c r="H10" s="48">
        <f>IFERROR(IF(AND(Irr!G10&lt;&gt;".",Irr!AE10&lt;&gt;".",Irr!BC10&lt;&gt;"."),dir!H10/((1/1000)*(Irr!G10+Irr!AE10+Irr!BC10)),IF(AND(Irr!G10&lt;&gt;".",Irr!AE10&lt;&gt;".",Irr!BC10="."),dir!H10/((1/1000)*(Irr!G10+Irr!AE10)),IF(AND(Irr!G10&lt;&gt;".",Irr!AE10=".",Irr!BC10&lt;&gt;"."),dir!H10/((1/1000)*(Irr!G10+Irr!BC10)),IF(AND(Irr!G10=".",Irr!AE10&lt;&gt;".",Irr!BC10&lt;&gt;"."),dir!H10/((1/1000)*(Irr!AE10+Irr!BC10)),IF(AND(Irr!G10=".",Irr!AE10=".",Irr!BC10&lt;&gt;"."),dir!H10/((1/1000)*(Irr!BC10)),IF(AND(Irr!G10=".",Irr!AE10&lt;&gt;".",Irr!BC10="."),dir!H10/((1/1000)*(Irr!AE10)),IF(AND(Irr!G10&lt;&gt;".",Irr!AE10=".",Irr!BC10="."),dir!H10/((1/1000)*(Irr!G10)),IF(AND(Irr!G10=".",Irr!AE10=".",Irr!BC10="."),dir!H10*1000)))))))),".")</f>
        <v>474.03582150580911</v>
      </c>
      <c r="I10" s="48">
        <f>IFERROR(IF(AND(Irr!H10&lt;&gt;".",Irr!AF10&lt;&gt;".",Irr!BD10&lt;&gt;"."),dir!I10/((1/1000)*(Irr!H10+Irr!AF10+Irr!BD10)),IF(AND(Irr!H10&lt;&gt;".",Irr!AF10&lt;&gt;".",Irr!BD10="."),dir!I10/((1/1000)*(Irr!H10+Irr!AF10)),IF(AND(Irr!H10&lt;&gt;".",Irr!AF10=".",Irr!BD10&lt;&gt;"."),dir!I10/((1/1000)*(Irr!H10+Irr!BD10)),IF(AND(Irr!H10=".",Irr!AF10&lt;&gt;".",Irr!BD10&lt;&gt;"."),dir!I10/((1/1000)*(Irr!AF10+Irr!BD10)),IF(AND(Irr!H10=".",Irr!AF10=".",Irr!BD10&lt;&gt;"."),dir!I10/((1/1000)*(Irr!BD10)),IF(AND(Irr!H10=".",Irr!AF10&lt;&gt;".",Irr!BD10="."),dir!I10/((1/1000)*(Irr!AF10)),IF(AND(Irr!H10&lt;&gt;".",Irr!AF10=".",Irr!BD10="."),dir!I10/((1/1000)*(Irr!H10)),IF(AND(Irr!H10=".",Irr!AF10=".",Irr!BD10="."),dir!I10*1000)))))))),".")</f>
        <v>135.95327722774749</v>
      </c>
      <c r="J10" s="48">
        <f>IFERROR(IF(AND(Irr!I10&lt;&gt;".",Irr!AG10&lt;&gt;".",Irr!BE10&lt;&gt;"."),dir!J10/((1/1000)*(Irr!I10+Irr!AG10+Irr!BE10)),IF(AND(Irr!I10&lt;&gt;".",Irr!AG10&lt;&gt;".",Irr!BE10="."),dir!J10/((1/1000)*(Irr!I10+Irr!AG10)),IF(AND(Irr!I10&lt;&gt;".",Irr!AG10=".",Irr!BE10&lt;&gt;"."),dir!J10/((1/1000)*(Irr!I10+Irr!BE10)),IF(AND(Irr!I10=".",Irr!AG10&lt;&gt;".",Irr!BE10&lt;&gt;"."),dir!J10/((1/1000)*(Irr!AG10+Irr!BE10)),IF(AND(Irr!I10=".",Irr!AG10=".",Irr!BE10&lt;&gt;"."),dir!J10/((1/1000)*(Irr!BE10)),IF(AND(Irr!I10=".",Irr!AG10&lt;&gt;".",Irr!BE10="."),dir!J10/((1/1000)*(Irr!AG10)),IF(AND(Irr!I10&lt;&gt;".",Irr!AG10=".",Irr!BE10="."),dir!J10/((1/1000)*(Irr!I10)),IF(AND(Irr!I10=".",Irr!AG10=".",Irr!BE10="."),dir!J10*1000)))))))),".")</f>
        <v>461.38247080797703</v>
      </c>
      <c r="K10" s="48">
        <f>IFERROR(IF(AND(Irr!J10&lt;&gt;".",Irr!AH10&lt;&gt;".",Irr!BF10&lt;&gt;"."),dir!K10/((1/1000)*(Irr!J10+Irr!AH10+Irr!BF10)),IF(AND(Irr!J10&lt;&gt;".",Irr!AH10&lt;&gt;".",Irr!BF10="."),dir!K10/((1/1000)*(Irr!J10+Irr!AH10)),IF(AND(Irr!J10&lt;&gt;".",Irr!AH10=".",Irr!BF10&lt;&gt;"."),dir!K10/((1/1000)*(Irr!J10+Irr!BF10)),IF(AND(Irr!J10=".",Irr!AH10&lt;&gt;".",Irr!BF10&lt;&gt;"."),dir!K10/((1/1000)*(Irr!AH10+Irr!BF10)),IF(AND(Irr!J10=".",Irr!AH10=".",Irr!BF10&lt;&gt;"."),dir!K10/((1/1000)*(Irr!BF10)),IF(AND(Irr!J10=".",Irr!AH10&lt;&gt;".",Irr!BF10="."),dir!K10/((1/1000)*(Irr!AH10)),IF(AND(Irr!J10&lt;&gt;".",Irr!AH10=".",Irr!BF10="."),dir!K10/((1/1000)*(Irr!J10)),IF(AND(Irr!J10=".",Irr!AH10=".",Irr!BF10="."),dir!K10*1000)))))))),".")</f>
        <v>53.236523192550486</v>
      </c>
      <c r="L10" s="48">
        <f>IFERROR(IF(AND(Irr!K10&lt;&gt;".",Irr!AI10&lt;&gt;".",Irr!BG10&lt;&gt;"."),dir!L10/((1/1000)*(Irr!K10+Irr!AI10+Irr!BG10)),IF(AND(Irr!K10&lt;&gt;".",Irr!AI10&lt;&gt;".",Irr!BG10="."),dir!L10/((1/1000)*(Irr!K10+Irr!AI10)),IF(AND(Irr!K10&lt;&gt;".",Irr!AI10=".",Irr!BG10&lt;&gt;"."),dir!L10/((1/1000)*(Irr!K10+Irr!BG10)),IF(AND(Irr!K10=".",Irr!AI10&lt;&gt;".",Irr!BG10&lt;&gt;"."),dir!L10/((1/1000)*(Irr!AI10+Irr!BG10)),IF(AND(Irr!K10=".",Irr!AI10=".",Irr!BG10&lt;&gt;"."),dir!L10/((1/1000)*(Irr!BG10)),IF(AND(Irr!K10=".",Irr!AI10&lt;&gt;".",Irr!BG10="."),dir!L10/((1/1000)*(Irr!AI10)),IF(AND(Irr!K10&lt;&gt;".",Irr!AI10=".",Irr!BG10="."),dir!L10/((1/1000)*(Irr!K10)),IF(AND(Irr!K10=".",Irr!AI10=".",Irr!BG10="."),dir!L10*1000)))))))),".")</f>
        <v>233.4555941292065</v>
      </c>
      <c r="M10" s="48">
        <f>IFERROR(IF(AND(Irr!L10&lt;&gt;".",Irr!AJ10&lt;&gt;".",Irr!BH10&lt;&gt;"."),dir!M10/((1/1000)*(Irr!L10+Irr!AJ10+Irr!BH10)),IF(AND(Irr!L10&lt;&gt;".",Irr!AJ10&lt;&gt;".",Irr!BH10="."),dir!M10/((1/1000)*(Irr!L10+Irr!AJ10)),IF(AND(Irr!L10&lt;&gt;".",Irr!AJ10=".",Irr!BH10&lt;&gt;"."),dir!M10/((1/1000)*(Irr!L10+Irr!BH10)),IF(AND(Irr!L10=".",Irr!AJ10&lt;&gt;".",Irr!BH10&lt;&gt;"."),dir!M10/((1/1000)*(Irr!AJ10+Irr!BH10)),IF(AND(Irr!L10=".",Irr!AJ10=".",Irr!BH10&lt;&gt;"."),dir!M10/((1/1000)*(Irr!BH10)),IF(AND(Irr!L10=".",Irr!AJ10&lt;&gt;".",Irr!BH10="."),dir!M10/((1/1000)*(Irr!AJ10)),IF(AND(Irr!L10&lt;&gt;".",Irr!AJ10=".",Irr!BH10="."),dir!M10/((1/1000)*(Irr!L10)),IF(AND(Irr!L10=".",Irr!AJ10=".",Irr!BH10="."),dir!M10*1000)))))))),".")</f>
        <v>190.67603360836608</v>
      </c>
      <c r="N10" s="48">
        <f>IFERROR(IF(AND(Irr!M10&lt;&gt;".",Irr!AK10&lt;&gt;".",Irr!BI10&lt;&gt;"."),dir!N10/((1/1000)*(Irr!M10+Irr!AK10+Irr!BI10)),IF(AND(Irr!M10&lt;&gt;".",Irr!AK10&lt;&gt;".",Irr!BI10="."),dir!N10/((1/1000)*(Irr!M10+Irr!AK10)),IF(AND(Irr!M10&lt;&gt;".",Irr!AK10=".",Irr!BI10&lt;&gt;"."),dir!N10/((1/1000)*(Irr!M10+Irr!BI10)),IF(AND(Irr!M10=".",Irr!AK10&lt;&gt;".",Irr!BI10&lt;&gt;"."),dir!N10/((1/1000)*(Irr!AK10+Irr!BI10)),IF(AND(Irr!M10=".",Irr!AK10=".",Irr!BI10&lt;&gt;"."),dir!N10/((1/1000)*(Irr!BI10)),IF(AND(Irr!M10=".",Irr!AK10&lt;&gt;".",Irr!BI10="."),dir!N10/((1/1000)*(Irr!AK10)),IF(AND(Irr!M10&lt;&gt;".",Irr!AK10=".",Irr!BI10="."),dir!N10/((1/1000)*(Irr!M10)),IF(AND(Irr!M10=".",Irr!AK10=".",Irr!BI10="."),dir!N10*1000)))))))),".")</f>
        <v>310.32217541329072</v>
      </c>
      <c r="O10" s="48">
        <f>IFERROR(IF(AND(Irr!N10&lt;&gt;".",Irr!AL10&lt;&gt;".",Irr!BJ10&lt;&gt;"."),dir!O10/((1/1000)*(Irr!N10+Irr!AL10+Irr!BJ10)),IF(AND(Irr!N10&lt;&gt;".",Irr!AL10&lt;&gt;".",Irr!BJ10="."),dir!O10/((1/1000)*(Irr!N10+Irr!AL10)),IF(AND(Irr!N10&lt;&gt;".",Irr!AL10=".",Irr!BJ10&lt;&gt;"."),dir!O10/((1/1000)*(Irr!N10+Irr!BJ10)),IF(AND(Irr!N10=".",Irr!AL10&lt;&gt;".",Irr!BJ10&lt;&gt;"."),dir!O10/((1/1000)*(Irr!AL10+Irr!BJ10)),IF(AND(Irr!N10=".",Irr!AL10=".",Irr!BJ10&lt;&gt;"."),dir!O10/((1/1000)*(Irr!BJ10)),IF(AND(Irr!N10=".",Irr!AL10&lt;&gt;".",Irr!BJ10="."),dir!O10/((1/1000)*(Irr!AL10)),IF(AND(Irr!N10&lt;&gt;".",Irr!AL10=".",Irr!BJ10="."),dir!O10/((1/1000)*(Irr!N10)),IF(AND(Irr!N10=".",Irr!AL10=".",Irr!BJ10="."),dir!O10*1000)))))))),".")</f>
        <v>404.99023980340434</v>
      </c>
      <c r="P10" s="48">
        <f>IFERROR(IF(AND(Irr!O10&lt;&gt;".",Irr!AM10&lt;&gt;".",Irr!BK10&lt;&gt;"."),dir!P10/((1/1000)*(Irr!O10+Irr!AM10+Irr!BK10)),IF(AND(Irr!O10&lt;&gt;".",Irr!AM10&lt;&gt;".",Irr!BK10="."),dir!P10/((1/1000)*(Irr!O10+Irr!AM10)),IF(AND(Irr!O10&lt;&gt;".",Irr!AM10=".",Irr!BK10&lt;&gt;"."),dir!P10/((1/1000)*(Irr!O10+Irr!BK10)),IF(AND(Irr!O10=".",Irr!AM10&lt;&gt;".",Irr!BK10&lt;&gt;"."),dir!P10/((1/1000)*(Irr!AM10+Irr!BK10)),IF(AND(Irr!O10=".",Irr!AM10=".",Irr!BK10&lt;&gt;"."),dir!P10/((1/1000)*(Irr!BK10)),IF(AND(Irr!O10=".",Irr!AM10&lt;&gt;".",Irr!BK10="."),dir!P10/((1/1000)*(Irr!AM10)),IF(AND(Irr!O10&lt;&gt;".",Irr!AM10=".",Irr!BK10="."),dir!P10/((1/1000)*(Irr!O10)),IF(AND(Irr!O10=".",Irr!AM10=".",Irr!BK10="."),dir!P10*1000)))))))),".")</f>
        <v>539.6823016197626</v>
      </c>
      <c r="Q10" s="48">
        <f>IFERROR(IF(AND(Irr!P10&lt;&gt;".",Irr!AN10&lt;&gt;".",Irr!BL10&lt;&gt;"."),dir!Q10/((1/1000)*(Irr!P10+Irr!AN10+Irr!BL10)),IF(AND(Irr!P10&lt;&gt;".",Irr!AN10&lt;&gt;".",Irr!BL10="."),dir!Q10/((1/1000)*(Irr!P10+Irr!AN10)),IF(AND(Irr!P10&lt;&gt;".",Irr!AN10=".",Irr!BL10&lt;&gt;"."),dir!Q10/((1/1000)*(Irr!P10+Irr!BL10)),IF(AND(Irr!P10=".",Irr!AN10&lt;&gt;".",Irr!BL10&lt;&gt;"."),dir!Q10/((1/1000)*(Irr!AN10+Irr!BL10)),IF(AND(Irr!P10=".",Irr!AN10=".",Irr!BL10&lt;&gt;"."),dir!Q10/((1/1000)*(Irr!BL10)),IF(AND(Irr!P10=".",Irr!AN10&lt;&gt;".",Irr!BL10="."),dir!Q10/((1/1000)*(Irr!AN10)),IF(AND(Irr!P10&lt;&gt;".",Irr!AN10=".",Irr!BL10="."),dir!Q10/((1/1000)*(Irr!P10)),IF(AND(Irr!P10=".",Irr!AN10=".",Irr!BL10="."),dir!Q10*1000)))))))),".")</f>
        <v>728.79798115139988</v>
      </c>
      <c r="R10" s="48">
        <f>IFERROR(IF(AND(Irr!Q10&lt;&gt;".",Irr!AO10&lt;&gt;".",Irr!BM10&lt;&gt;"."),dir!R10/((1/1000)*(Irr!Q10+Irr!AO10+Irr!BM10)),IF(AND(Irr!Q10&lt;&gt;".",Irr!AO10&lt;&gt;".",Irr!BM10="."),dir!R10/((1/1000)*(Irr!Q10+Irr!AO10)),IF(AND(Irr!Q10&lt;&gt;".",Irr!AO10=".",Irr!BM10&lt;&gt;"."),dir!R10/((1/1000)*(Irr!Q10+Irr!BM10)),IF(AND(Irr!Q10=".",Irr!AO10&lt;&gt;".",Irr!BM10&lt;&gt;"."),dir!R10/((1/1000)*(Irr!AO10+Irr!BM10)),IF(AND(Irr!Q10=".",Irr!AO10=".",Irr!BM10&lt;&gt;"."),dir!R10/((1/1000)*(Irr!BM10)),IF(AND(Irr!Q10=".",Irr!AO10&lt;&gt;".",Irr!BM10="."),dir!R10/((1/1000)*(Irr!AO10)),IF(AND(Irr!Q10&lt;&gt;".",Irr!AO10=".",Irr!BM10="."),dir!R10/((1/1000)*(Irr!Q10)),IF(AND(Irr!Q10=".",Irr!AO10=".",Irr!BM10="."),dir!R10*1000)))))))),".")</f>
        <v>131.29149249211014</v>
      </c>
      <c r="S10" s="48">
        <f>IFERROR(IF(AND(Irr!R10&lt;&gt;".",Irr!AP10&lt;&gt;".",Irr!BN10&lt;&gt;"."),dir!S10/((1/1000)*(Irr!R10+Irr!AP10+Irr!BN10)),IF(AND(Irr!R10&lt;&gt;".",Irr!AP10&lt;&gt;".",Irr!BN10="."),dir!S10/((1/1000)*(Irr!R10+Irr!AP10)),IF(AND(Irr!R10&lt;&gt;".",Irr!AP10=".",Irr!BN10&lt;&gt;"."),dir!S10/((1/1000)*(Irr!R10+Irr!BN10)),IF(AND(Irr!R10=".",Irr!AP10&lt;&gt;".",Irr!BN10&lt;&gt;"."),dir!S10/((1/1000)*(Irr!AP10+Irr!BN10)),IF(AND(Irr!R10=".",Irr!AP10=".",Irr!BN10&lt;&gt;"."),dir!S10/((1/1000)*(Irr!BN10)),IF(AND(Irr!R10=".",Irr!AP10&lt;&gt;".",Irr!BN10="."),dir!S10/((1/1000)*(Irr!AP10)),IF(AND(Irr!R10&lt;&gt;".",Irr!AP10=".",Irr!BN10="."),dir!S10/((1/1000)*(Irr!R10)),IF(AND(Irr!R10=".",Irr!AP10=".",Irr!BN10="."),dir!S10*1000)))))))),".")</f>
        <v>272.70278620345033</v>
      </c>
      <c r="T10" s="48">
        <f>IFERROR(IF(AND(Irr!S10&lt;&gt;".",Irr!AQ10&lt;&gt;".",Irr!BO10&lt;&gt;"."),dir!T10/((1/1000)*(Irr!S10+Irr!AQ10+Irr!BO10)),IF(AND(Irr!S10&lt;&gt;".",Irr!AQ10&lt;&gt;".",Irr!BO10="."),dir!T10/((1/1000)*(Irr!S10+Irr!AQ10)),IF(AND(Irr!S10&lt;&gt;".",Irr!AQ10=".",Irr!BO10&lt;&gt;"."),dir!T10/((1/1000)*(Irr!S10+Irr!BO10)),IF(AND(Irr!S10=".",Irr!AQ10&lt;&gt;".",Irr!BO10&lt;&gt;"."),dir!T10/((1/1000)*(Irr!AQ10+Irr!BO10)),IF(AND(Irr!S10=".",Irr!AQ10=".",Irr!BO10&lt;&gt;"."),dir!T10/((1/1000)*(Irr!BO10)),IF(AND(Irr!S10=".",Irr!AQ10&lt;&gt;".",Irr!BO10="."),dir!T10/((1/1000)*(Irr!AQ10)),IF(AND(Irr!S10&lt;&gt;".",Irr!AQ10=".",Irr!BO10="."),dir!T10/((1/1000)*(Irr!S10)),IF(AND(Irr!S10=".",Irr!AQ10=".",Irr!BO10="."),dir!T10*1000)))))))),".")</f>
        <v>330.02039087603907</v>
      </c>
      <c r="U10" s="48">
        <f>IFERROR(IF(AND(Irr!T10&lt;&gt;".",Irr!AR10&lt;&gt;".",Irr!BP10&lt;&gt;"."),dir!U10/((1/1000)*(Irr!T10+Irr!AR10+Irr!BP10)),IF(AND(Irr!T10&lt;&gt;".",Irr!AR10&lt;&gt;".",Irr!BP10="."),dir!U10/((1/1000)*(Irr!T10+Irr!AR10)),IF(AND(Irr!T10&lt;&gt;".",Irr!AR10=".",Irr!BP10&lt;&gt;"."),dir!U10/((1/1000)*(Irr!T10+Irr!BP10)),IF(AND(Irr!T10=".",Irr!AR10&lt;&gt;".",Irr!BP10&lt;&gt;"."),dir!U10/((1/1000)*(Irr!AR10+Irr!BP10)),IF(AND(Irr!T10=".",Irr!AR10=".",Irr!BP10&lt;&gt;"."),dir!U10/((1/1000)*(Irr!BP10)),IF(AND(Irr!T10=".",Irr!AR10&lt;&gt;".",Irr!BP10="."),dir!U10/((1/1000)*(Irr!AR10)),IF(AND(Irr!T10&lt;&gt;".",Irr!AR10=".",Irr!BP10="."),dir!U10/((1/1000)*(Irr!T10)),IF(AND(Irr!T10=".",Irr!AR10=".",Irr!BP10="."),dir!U10*1000)))))))),".")</f>
        <v>93.139475171158679</v>
      </c>
      <c r="V10" s="48">
        <f>IFERROR(IF(AND(Irr!U10&lt;&gt;".",Irr!AS10&lt;&gt;".",Irr!BQ10&lt;&gt;"."),dir!V10/((1/1000)*(Irr!U10+Irr!AS10+Irr!BQ10)),IF(AND(Irr!U10&lt;&gt;".",Irr!AS10&lt;&gt;".",Irr!BQ10="."),dir!V10/((1/1000)*(Irr!U10+Irr!AS10)),IF(AND(Irr!U10&lt;&gt;".",Irr!AS10=".",Irr!BQ10&lt;&gt;"."),dir!V10/((1/1000)*(Irr!U10+Irr!BQ10)),IF(AND(Irr!U10=".",Irr!AS10&lt;&gt;".",Irr!BQ10&lt;&gt;"."),dir!V10/((1/1000)*(Irr!AS10+Irr!BQ10)),IF(AND(Irr!U10=".",Irr!AS10=".",Irr!BQ10&lt;&gt;"."),dir!V10/((1/1000)*(Irr!BQ10)),IF(AND(Irr!U10=".",Irr!AS10&lt;&gt;".",Irr!BQ10="."),dir!V10/((1/1000)*(Irr!AS10)),IF(AND(Irr!U10&lt;&gt;".",Irr!AS10=".",Irr!BQ10="."),dir!V10/((1/1000)*(Irr!U10)),IF(AND(Irr!U10=".",Irr!AS10=".",Irr!BQ10="."),dir!V10*1000)))))))),".")</f>
        <v>219.10051403459423</v>
      </c>
      <c r="W10" s="48">
        <f>IFERROR(IF(AND(Irr!V10&lt;&gt;".",Irr!AT10&lt;&gt;".",Irr!BR10&lt;&gt;"."),dir!W10/((1/1000)*(Irr!V10+Irr!AT10+Irr!BR10)),IF(AND(Irr!V10&lt;&gt;".",Irr!AT10&lt;&gt;".",Irr!BR10="."),dir!W10/((1/1000)*(Irr!V10+Irr!AT10)),IF(AND(Irr!V10&lt;&gt;".",Irr!AT10=".",Irr!BR10&lt;&gt;"."),dir!W10/((1/1000)*(Irr!V10+Irr!BR10)),IF(AND(Irr!V10=".",Irr!AT10&lt;&gt;".",Irr!BR10&lt;&gt;"."),dir!W10/((1/1000)*(Irr!AT10+Irr!BR10)),IF(AND(Irr!V10=".",Irr!AT10=".",Irr!BR10&lt;&gt;"."),dir!W10/((1/1000)*(Irr!BR10)),IF(AND(Irr!V10=".",Irr!AT10&lt;&gt;".",Irr!BR10="."),dir!W10/((1/1000)*(Irr!AT10)),IF(AND(Irr!V10&lt;&gt;".",Irr!AT10=".",Irr!BR10="."),dir!W10/((1/1000)*(Irr!V10)),IF(AND(Irr!V10=".",Irr!AT10=".",Irr!BR10="."),dir!W10*1000)))))))),".")</f>
        <v>231.40435078186616</v>
      </c>
      <c r="X10" s="48">
        <f>IFERROR(IF(AND(Irr!W10&lt;&gt;".",Irr!AU10&lt;&gt;".",Irr!BS10&lt;&gt;"."),dir!X10/((1/1000)*(Irr!W10+Irr!AU10+Irr!BS10)),IF(AND(Irr!W10&lt;&gt;".",Irr!AU10&lt;&gt;".",Irr!BS10="."),dir!X10/((1/1000)*(Irr!W10+Irr!AU10)),IF(AND(Irr!W10&lt;&gt;".",Irr!AU10=".",Irr!BS10&lt;&gt;"."),dir!X10/((1/1000)*(Irr!W10+Irr!BS10)),IF(AND(Irr!W10=".",Irr!AU10&lt;&gt;".",Irr!BS10&lt;&gt;"."),dir!X10/((1/1000)*(Irr!AU10+Irr!BS10)),IF(AND(Irr!W10=".",Irr!AU10=".",Irr!BS10&lt;&gt;"."),dir!X10/((1/1000)*(Irr!BS10)),IF(AND(Irr!W10=".",Irr!AU10&lt;&gt;".",Irr!BS10="."),dir!X10/((1/1000)*(Irr!AU10)),IF(AND(Irr!W10&lt;&gt;".",Irr!AU10=".",Irr!BS10="."),dir!X10/((1/1000)*(Irr!W10)),IF(AND(Irr!W10=".",Irr!AU10=".",Irr!BS10="."),dir!X10*1000)))))))),".")</f>
        <v>418.52450631373893</v>
      </c>
      <c r="Y10" s="48">
        <f>IFERROR(IF(AND(Irr!X10&lt;&gt;".",Irr!AV10&lt;&gt;".",Irr!BT10&lt;&gt;"."),dir!Y10/((1/1000)*(Irr!X10+Irr!AV10+Irr!BT10)),IF(AND(Irr!X10&lt;&gt;".",Irr!AV10&lt;&gt;".",Irr!BT10="."),dir!Y10/((1/1000)*(Irr!X10+Irr!AV10)),IF(AND(Irr!X10&lt;&gt;".",Irr!AV10=".",Irr!BT10&lt;&gt;"."),dir!Y10/((1/1000)*(Irr!X10+Irr!BT10)),IF(AND(Irr!X10=".",Irr!AV10&lt;&gt;".",Irr!BT10&lt;&gt;"."),dir!Y10/((1/1000)*(Irr!AV10+Irr!BT10)),IF(AND(Irr!X10=".",Irr!AV10=".",Irr!BT10&lt;&gt;"."),dir!Y10/((1/1000)*(Irr!BT10)),IF(AND(Irr!X10=".",Irr!AV10&lt;&gt;".",Irr!BT10="."),dir!Y10/((1/1000)*(Irr!AV10)),IF(AND(Irr!X10&lt;&gt;".",Irr!AV10=".",Irr!BT10="."),dir!Y10/((1/1000)*(Irr!X10)),IF(AND(Irr!X10=".",Irr!AV10=".",Irr!BT10="."),dir!Y10*1000)))))))),".")</f>
        <v>190.02414713287283</v>
      </c>
      <c r="Z10" s="48">
        <f>IFERROR(IF(AND(Irr!Y10&lt;&gt;".",Irr!AW10&lt;&gt;".",Irr!BU10&lt;&gt;"."),dir!Z10/((1/1000)*(Irr!Y10+Irr!AW10+Irr!BU10)),IF(AND(Irr!Y10&lt;&gt;".",Irr!AW10&lt;&gt;".",Irr!BU10="."),dir!Z10/((1/1000)*(Irr!Y10+Irr!AW10)),IF(AND(Irr!Y10&lt;&gt;".",Irr!AW10=".",Irr!BU10&lt;&gt;"."),dir!Z10/((1/1000)*(Irr!Y10+Irr!BU10)),IF(AND(Irr!Y10=".",Irr!AW10&lt;&gt;".",Irr!BU10&lt;&gt;"."),dir!Z10/((1/1000)*(Irr!AW10+Irr!BU10)),IF(AND(Irr!Y10=".",Irr!AW10=".",Irr!BU10&lt;&gt;"."),dir!Z10/((1/1000)*(Irr!BU10)),IF(AND(Irr!Y10=".",Irr!AW10&lt;&gt;".",Irr!BU10="."),dir!Z10/((1/1000)*(Irr!AW10)),IF(AND(Irr!Y10&lt;&gt;".",Irr!AW10=".",Irr!BU10="."),dir!Z10/((1/1000)*(Irr!Y10)),IF(AND(Irr!Y10=".",Irr!AW10=".",Irr!BU10="."),dir!Z10*1000)))))))),".")</f>
        <v>73.126343805265478</v>
      </c>
      <c r="AA10" s="48">
        <f>IFERROR(IF(AND(Irr!Z10&lt;&gt;".",Irr!AX10&lt;&gt;".",Irr!BV10&lt;&gt;"."),dir!AA10/((1/1000)*(Irr!Z10+Irr!AX10+Irr!BV10)),IF(AND(Irr!Z10&lt;&gt;".",Irr!AX10&lt;&gt;".",Irr!BV10="."),dir!AA10/((1/1000)*(Irr!Z10+Irr!AX10)),IF(AND(Irr!Z10&lt;&gt;".",Irr!AX10=".",Irr!BV10&lt;&gt;"."),dir!AA10/((1/1000)*(Irr!Z10+Irr!BV10)),IF(AND(Irr!Z10=".",Irr!AX10&lt;&gt;".",Irr!BV10&lt;&gt;"."),dir!AA10/((1/1000)*(Irr!AX10+Irr!BV10)),IF(AND(Irr!Z10=".",Irr!AX10=".",Irr!BV10&lt;&gt;"."),dir!AA10/((1/1000)*(Irr!BV10)),IF(AND(Irr!Z10=".",Irr!AX10&lt;&gt;".",Irr!BV10="."),dir!AA10/((1/1000)*(Irr!AX10)),IF(AND(Irr!Z10&lt;&gt;".",Irr!AX10=".",Irr!BV10="."),dir!AA10/((1/1000)*(Irr!Z10)),IF(AND(Irr!Z10=".",Irr!AX10=".",Irr!BV10="."),dir!AA10*1000)))))))),".")</f>
        <v>52.422704490911912</v>
      </c>
      <c r="AB10" s="48">
        <f t="shared" ref="AB10" si="7">IFERROR(1/SUM(1/AC10,1/AD10,1/AE10,1/AF10,1/AG10,1/AH10,1/AI10,1/AJ10,1/AK10,1/AL10,1/AM10,1/AN10,1/AO10,1/AP10,1/AQ10,1/AR10,1/AS10,1/AT10,1/AU10,1/AV10,1/AW10,1/AX10),".")</f>
        <v>9.1233539198793867</v>
      </c>
      <c r="AC10" s="48">
        <f>IFERROR(IF(AND(Irr!C10&lt;&gt;".",Irr!AA10&lt;&gt;".",Irr!AY10&lt;&gt;"."),dir!AC10/((1/1000)*(Irr!C10+Irr!AA10+Irr!AY10)),IF(AND(Irr!C10&lt;&gt;".",Irr!AA10&lt;&gt;".",Irr!AY10="."),dir!AC10/((1/1000)*(Irr!C10+Irr!AA10)),IF(AND(Irr!C10&lt;&gt;".",Irr!AA10=".",Irr!AY10&lt;&gt;"."),dir!AC10/((1/1000)*(Irr!C10+Irr!AY10)),IF(AND(Irr!C10=".",Irr!AA10&lt;&gt;".",Irr!AY10&lt;&gt;"."),dir!AC10/((1/1000)*(Irr!AA10+Irr!AY10)),IF(AND(Irr!C10=".",Irr!AA10=".",Irr!AY10&lt;&gt;"."),dir!AC10/((1/1000)*(Irr!AY10)),IF(AND(Irr!C10=".",Irr!AA10&lt;&gt;".",Irr!AY10="."),dir!AC10/((1/1000)*(Irr!AA10)),IF(AND(Irr!C10&lt;&gt;".",Irr!AA10=".",Irr!AY10="."),dir!AC10/((1/1000)*(Irr!C10)),IF(AND(Irr!C10=".",Irr!AA10=".",Irr!AY10="."),dir!AC10*1000)))))))),".")</f>
        <v>178.36292830648432</v>
      </c>
      <c r="AD10" s="48">
        <f>IFERROR(IF(AND(Irr!D10&lt;&gt;".",Irr!AB10&lt;&gt;".",Irr!AZ10&lt;&gt;"."),dir!AD10/((1/1000)*(Irr!D10+Irr!AB10+Irr!AZ10)),IF(AND(Irr!D10&lt;&gt;".",Irr!AB10&lt;&gt;".",Irr!AZ10="."),dir!AD10/((1/1000)*(Irr!D10+Irr!AB10)),IF(AND(Irr!D10&lt;&gt;".",Irr!AB10=".",Irr!AZ10&lt;&gt;"."),dir!AD10/((1/1000)*(Irr!D10+Irr!AZ10)),IF(AND(Irr!D10=".",Irr!AB10&lt;&gt;".",Irr!AZ10&lt;&gt;"."),dir!AD10/((1/1000)*(Irr!AB10+Irr!AZ10)),IF(AND(Irr!D10=".",Irr!AB10=".",Irr!AZ10&lt;&gt;"."),dir!AD10/((1/1000)*(Irr!AZ10)),IF(AND(Irr!D10=".",Irr!AB10&lt;&gt;".",Irr!AZ10="."),dir!AD10/((1/1000)*(Irr!AB10)),IF(AND(Irr!D10&lt;&gt;".",Irr!AB10=".",Irr!AZ10="."),dir!AD10/((1/1000)*(Irr!D10)),IF(AND(Irr!D10=".",Irr!AB10=".",Irr!AZ10="."),dir!AD10*1000)))))))),".")</f>
        <v>284.83510133354616</v>
      </c>
      <c r="AE10" s="48">
        <f>IFERROR(IF(AND(Irr!E10&lt;&gt;".",Irr!AC10&lt;&gt;".",Irr!BA10&lt;&gt;"."),dir!AE10/((1/1000)*(Irr!E10+Irr!AC10+Irr!BA10)),IF(AND(Irr!E10&lt;&gt;".",Irr!AC10&lt;&gt;".",Irr!BA10="."),dir!AE10/((1/1000)*(Irr!E10+Irr!AC10)),IF(AND(Irr!E10&lt;&gt;".",Irr!AC10=".",Irr!BA10&lt;&gt;"."),dir!AE10/((1/1000)*(Irr!E10+Irr!BA10)),IF(AND(Irr!E10=".",Irr!AC10&lt;&gt;".",Irr!BA10&lt;&gt;"."),dir!AE10/((1/1000)*(Irr!AC10+Irr!BA10)),IF(AND(Irr!E10=".",Irr!AC10=".",Irr!BA10&lt;&gt;"."),dir!AE10/((1/1000)*(Irr!BA10)),IF(AND(Irr!E10=".",Irr!AC10&lt;&gt;".",Irr!BA10="."),dir!AE10/((1/1000)*(Irr!AC10)),IF(AND(Irr!E10&lt;&gt;".",Irr!AC10=".",Irr!BA10="."),dir!AE10/((1/1000)*(Irr!E10)),IF(AND(Irr!E10=".",Irr!AC10=".",Irr!BA10="."),dir!AE10*1000)))))))),".")</f>
        <v>383.56012839616704</v>
      </c>
      <c r="AF10" s="48">
        <f>IFERROR(IF(AND(Irr!F10&lt;&gt;".",Irr!AD10&lt;&gt;".",Irr!BB10&lt;&gt;"."),dir!AF10/((1/1000)*(Irr!F10+Irr!AD10+Irr!BB10)),IF(AND(Irr!F10&lt;&gt;".",Irr!AD10&lt;&gt;".",Irr!BB10="."),dir!AF10/((1/1000)*(Irr!F10+Irr!AD10)),IF(AND(Irr!F10&lt;&gt;".",Irr!AD10=".",Irr!BB10&lt;&gt;"."),dir!AF10/((1/1000)*(Irr!F10+Irr!BB10)),IF(AND(Irr!F10=".",Irr!AD10&lt;&gt;".",Irr!BB10&lt;&gt;"."),dir!AF10/((1/1000)*(Irr!AD10+Irr!BB10)),IF(AND(Irr!F10=".",Irr!AD10=".",Irr!BB10&lt;&gt;"."),dir!AF10/((1/1000)*(Irr!BB10)),IF(AND(Irr!F10=".",Irr!AD10&lt;&gt;".",Irr!BB10="."),dir!AF10/((1/1000)*(Irr!AD10)),IF(AND(Irr!F10&lt;&gt;".",Irr!AD10=".",Irr!BB10="."),dir!AF10/((1/1000)*(Irr!F10)),IF(AND(Irr!F10=".",Irr!AD10=".",Irr!BB10="."),dir!AF10*1000)))))))),".")</f>
        <v>463.05093152095623</v>
      </c>
      <c r="AG10" s="48">
        <f>IFERROR(IF(AND(Irr!G10&lt;&gt;".",Irr!AE10&lt;&gt;".",Irr!BC10&lt;&gt;"."),dir!AG10/((1/1000)*(Irr!G10+Irr!AE10+Irr!BC10)),IF(AND(Irr!G10&lt;&gt;".",Irr!AE10&lt;&gt;".",Irr!BC10="."),dir!AG10/((1/1000)*(Irr!G10+Irr!AE10)),IF(AND(Irr!G10&lt;&gt;".",Irr!AE10=".",Irr!BC10&lt;&gt;"."),dir!AG10/((1/1000)*(Irr!G10+Irr!BC10)),IF(AND(Irr!G10=".",Irr!AE10&lt;&gt;".",Irr!BC10&lt;&gt;"."),dir!AG10/((1/1000)*(Irr!AE10+Irr!BC10)),IF(AND(Irr!G10=".",Irr!AE10=".",Irr!BC10&lt;&gt;"."),dir!AG10/((1/1000)*(Irr!BC10)),IF(AND(Irr!G10=".",Irr!AE10&lt;&gt;".",Irr!BC10="."),dir!AG10/((1/1000)*(Irr!AE10)),IF(AND(Irr!G10&lt;&gt;".",Irr!AE10=".",Irr!BC10="."),dir!AG10/((1/1000)*(Irr!G10)),IF(AND(Irr!G10=".",Irr!AE10=".",Irr!BC10="."),dir!AG10*1000)))))))),".")</f>
        <v>407.53964160112361</v>
      </c>
      <c r="AH10" s="48">
        <f>IFERROR(IF(AND(Irr!H10&lt;&gt;".",Irr!AF10&lt;&gt;".",Irr!BD10&lt;&gt;"."),dir!AH10/((1/1000)*(Irr!H10+Irr!AF10+Irr!BD10)),IF(AND(Irr!H10&lt;&gt;".",Irr!AF10&lt;&gt;".",Irr!BD10="."),dir!AH10/((1/1000)*(Irr!H10+Irr!AF10)),IF(AND(Irr!H10&lt;&gt;".",Irr!AF10=".",Irr!BD10&lt;&gt;"."),dir!AH10/((1/1000)*(Irr!H10+Irr!BD10)),IF(AND(Irr!H10=".",Irr!AF10&lt;&gt;".",Irr!BD10&lt;&gt;"."),dir!AH10/((1/1000)*(Irr!AF10+Irr!BD10)),IF(AND(Irr!H10=".",Irr!AF10=".",Irr!BD10&lt;&gt;"."),dir!AH10/((1/1000)*(Irr!BD10)),IF(AND(Irr!H10=".",Irr!AF10&lt;&gt;".",Irr!BD10="."),dir!AH10/((1/1000)*(Irr!AF10)),IF(AND(Irr!H10&lt;&gt;".",Irr!AF10=".",Irr!BD10="."),dir!AH10/((1/1000)*(Irr!H10)),IF(AND(Irr!H10=".",Irr!AF10=".",Irr!BD10="."),dir!AH10*1000)))))))),".")</f>
        <v>134.45099077963613</v>
      </c>
      <c r="AI10" s="48">
        <f>IFERROR(IF(AND(Irr!I10&lt;&gt;".",Irr!AG10&lt;&gt;".",Irr!BE10&lt;&gt;"."),dir!AI10/((1/1000)*(Irr!I10+Irr!AG10+Irr!BE10)),IF(AND(Irr!I10&lt;&gt;".",Irr!AG10&lt;&gt;".",Irr!BE10="."),dir!AI10/((1/1000)*(Irr!I10+Irr!AG10)),IF(AND(Irr!I10&lt;&gt;".",Irr!AG10=".",Irr!BE10&lt;&gt;"."),dir!AI10/((1/1000)*(Irr!I10+Irr!BE10)),IF(AND(Irr!I10=".",Irr!AG10&lt;&gt;".",Irr!BE10&lt;&gt;"."),dir!AI10/((1/1000)*(Irr!AG10+Irr!BE10)),IF(AND(Irr!I10=".",Irr!AG10=".",Irr!BE10&lt;&gt;"."),dir!AI10/((1/1000)*(Irr!BE10)),IF(AND(Irr!I10=".",Irr!AG10&lt;&gt;".",Irr!BE10="."),dir!AI10/((1/1000)*(Irr!AG10)),IF(AND(Irr!I10&lt;&gt;".",Irr!AG10=".",Irr!BE10="."),dir!AI10/((1/1000)*(Irr!I10)),IF(AND(Irr!I10=".",Irr!AG10=".",Irr!BE10="."),dir!AI10*1000)))))))),".")</f>
        <v>496.14597080771603</v>
      </c>
      <c r="AJ10" s="48">
        <f>IFERROR(IF(AND(Irr!J10&lt;&gt;".",Irr!AH10&lt;&gt;".",Irr!BF10&lt;&gt;"."),dir!AJ10/((1/1000)*(Irr!J10+Irr!AH10+Irr!BF10)),IF(AND(Irr!J10&lt;&gt;".",Irr!AH10&lt;&gt;".",Irr!BF10="."),dir!AJ10/((1/1000)*(Irr!J10+Irr!AH10)),IF(AND(Irr!J10&lt;&gt;".",Irr!AH10=".",Irr!BF10&lt;&gt;"."),dir!AJ10/((1/1000)*(Irr!J10+Irr!BF10)),IF(AND(Irr!J10=".",Irr!AH10&lt;&gt;".",Irr!BF10&lt;&gt;"."),dir!AJ10/((1/1000)*(Irr!AH10+Irr!BF10)),IF(AND(Irr!J10=".",Irr!AH10=".",Irr!BF10&lt;&gt;"."),dir!AJ10/((1/1000)*(Irr!BF10)),IF(AND(Irr!J10=".",Irr!AH10&lt;&gt;".",Irr!BF10="."),dir!AJ10/((1/1000)*(Irr!AH10)),IF(AND(Irr!J10&lt;&gt;".",Irr!AH10=".",Irr!BF10="."),dir!AJ10/((1/1000)*(Irr!J10)),IF(AND(Irr!J10=".",Irr!AH10=".",Irr!BF10="."),dir!AJ10*1000)))))))),".")</f>
        <v>51.547495865931459</v>
      </c>
      <c r="AK10" s="48">
        <f>IFERROR(IF(AND(Irr!K10&lt;&gt;".",Irr!AI10&lt;&gt;".",Irr!BG10&lt;&gt;"."),dir!AK10/((1/1000)*(Irr!K10+Irr!AI10+Irr!BG10)),IF(AND(Irr!K10&lt;&gt;".",Irr!AI10&lt;&gt;".",Irr!BG10="."),dir!AK10/((1/1000)*(Irr!K10+Irr!AI10)),IF(AND(Irr!K10&lt;&gt;".",Irr!AI10=".",Irr!BG10&lt;&gt;"."),dir!AK10/((1/1000)*(Irr!K10+Irr!BG10)),IF(AND(Irr!K10=".",Irr!AI10&lt;&gt;".",Irr!BG10&lt;&gt;"."),dir!AK10/((1/1000)*(Irr!AI10+Irr!BG10)),IF(AND(Irr!K10=".",Irr!AI10=".",Irr!BG10&lt;&gt;"."),dir!AK10/((1/1000)*(Irr!BG10)),IF(AND(Irr!K10=".",Irr!AI10&lt;&gt;".",Irr!BG10="."),dir!AK10/((1/1000)*(Irr!AI10)),IF(AND(Irr!K10&lt;&gt;".",Irr!AI10=".",Irr!BG10="."),dir!AK10/((1/1000)*(Irr!K10)),IF(AND(Irr!K10=".",Irr!AI10=".",Irr!BG10="."),dir!AK10*1000)))))))),".")</f>
        <v>161.21750833773498</v>
      </c>
      <c r="AL10" s="48">
        <f>IFERROR(IF(AND(Irr!L10&lt;&gt;".",Irr!AJ10&lt;&gt;".",Irr!BH10&lt;&gt;"."),dir!AL10/((1/1000)*(Irr!L10+Irr!AJ10+Irr!BH10)),IF(AND(Irr!L10&lt;&gt;".",Irr!AJ10&lt;&gt;".",Irr!BH10="."),dir!AL10/((1/1000)*(Irr!L10+Irr!AJ10)),IF(AND(Irr!L10&lt;&gt;".",Irr!AJ10=".",Irr!BH10&lt;&gt;"."),dir!AL10/((1/1000)*(Irr!L10+Irr!BH10)),IF(AND(Irr!L10=".",Irr!AJ10&lt;&gt;".",Irr!BH10&lt;&gt;"."),dir!AL10/((1/1000)*(Irr!AJ10+Irr!BH10)),IF(AND(Irr!L10=".",Irr!AJ10=".",Irr!BH10&lt;&gt;"."),dir!AL10/((1/1000)*(Irr!BH10)),IF(AND(Irr!L10=".",Irr!AJ10&lt;&gt;".",Irr!BH10="."),dir!AL10/((1/1000)*(Irr!AJ10)),IF(AND(Irr!L10&lt;&gt;".",Irr!AJ10=".",Irr!BH10="."),dir!AL10/((1/1000)*(Irr!L10)),IF(AND(Irr!L10=".",Irr!AJ10=".",Irr!BH10="."),dir!AL10*1000)))))))),".")</f>
        <v>268.53541399844897</v>
      </c>
      <c r="AM10" s="48">
        <f>IFERROR(IF(AND(Irr!M10&lt;&gt;".",Irr!AK10&lt;&gt;".",Irr!BI10&lt;&gt;"."),dir!AM10/((1/1000)*(Irr!M10+Irr!AK10+Irr!BI10)),IF(AND(Irr!M10&lt;&gt;".",Irr!AK10&lt;&gt;".",Irr!BI10="."),dir!AM10/((1/1000)*(Irr!M10+Irr!AK10)),IF(AND(Irr!M10&lt;&gt;".",Irr!AK10=".",Irr!BI10&lt;&gt;"."),dir!AM10/((1/1000)*(Irr!M10+Irr!BI10)),IF(AND(Irr!M10=".",Irr!AK10&lt;&gt;".",Irr!BI10&lt;&gt;"."),dir!AM10/((1/1000)*(Irr!AK10+Irr!BI10)),IF(AND(Irr!M10=".",Irr!AK10=".",Irr!BI10&lt;&gt;"."),dir!AM10/((1/1000)*(Irr!BI10)),IF(AND(Irr!M10=".",Irr!AK10&lt;&gt;".",Irr!BI10="."),dir!AM10/((1/1000)*(Irr!AK10)),IF(AND(Irr!M10&lt;&gt;".",Irr!AK10=".",Irr!BI10="."),dir!AM10/((1/1000)*(Irr!M10)),IF(AND(Irr!M10=".",Irr!AK10=".",Irr!BI10="."),dir!AM10*1000)))))))),".")</f>
        <v>284.88921816668233</v>
      </c>
      <c r="AN10" s="48">
        <f>IFERROR(IF(AND(Irr!N10&lt;&gt;".",Irr!AL10&lt;&gt;".",Irr!BJ10&lt;&gt;"."),dir!AN10/((1/1000)*(Irr!N10+Irr!AL10+Irr!BJ10)),IF(AND(Irr!N10&lt;&gt;".",Irr!AL10&lt;&gt;".",Irr!BJ10="."),dir!AN10/((1/1000)*(Irr!N10+Irr!AL10)),IF(AND(Irr!N10&lt;&gt;".",Irr!AL10=".",Irr!BJ10&lt;&gt;"."),dir!AN10/((1/1000)*(Irr!N10+Irr!BJ10)),IF(AND(Irr!N10=".",Irr!AL10&lt;&gt;".",Irr!BJ10&lt;&gt;"."),dir!AN10/((1/1000)*(Irr!AL10+Irr!BJ10)),IF(AND(Irr!N10=".",Irr!AL10=".",Irr!BJ10&lt;&gt;"."),dir!AN10/((1/1000)*(Irr!BJ10)),IF(AND(Irr!N10=".",Irr!AL10&lt;&gt;".",Irr!BJ10="."),dir!AN10/((1/1000)*(Irr!AL10)),IF(AND(Irr!N10&lt;&gt;".",Irr!AL10=".",Irr!BJ10="."),dir!AN10/((1/1000)*(Irr!N10)),IF(AND(Irr!N10=".",Irr!AL10=".",Irr!BJ10="."),dir!AN10*1000)))))))),".")</f>
        <v>375.21415215046261</v>
      </c>
      <c r="AO10" s="48">
        <f>IFERROR(IF(AND(Irr!O10&lt;&gt;".",Irr!AM10&lt;&gt;".",Irr!BK10&lt;&gt;"."),dir!AO10/((1/1000)*(Irr!O10+Irr!AM10+Irr!BK10)),IF(AND(Irr!O10&lt;&gt;".",Irr!AM10&lt;&gt;".",Irr!BK10="."),dir!AO10/((1/1000)*(Irr!O10+Irr!AM10)),IF(AND(Irr!O10&lt;&gt;".",Irr!AM10=".",Irr!BK10&lt;&gt;"."),dir!AO10/((1/1000)*(Irr!O10+Irr!BK10)),IF(AND(Irr!O10=".",Irr!AM10&lt;&gt;".",Irr!BK10&lt;&gt;"."),dir!AO10/((1/1000)*(Irr!AM10+Irr!BK10)),IF(AND(Irr!O10=".",Irr!AM10=".",Irr!BK10&lt;&gt;"."),dir!AO10/((1/1000)*(Irr!BK10)),IF(AND(Irr!O10=".",Irr!AM10&lt;&gt;".",Irr!BK10="."),dir!AO10/((1/1000)*(Irr!AM10)),IF(AND(Irr!O10&lt;&gt;".",Irr!AM10=".",Irr!BK10="."),dir!AO10/((1/1000)*(Irr!O10)),IF(AND(Irr!O10=".",Irr!AM10=".",Irr!BK10="."),dir!AO10*1000)))))))),".")</f>
        <v>499.06083383867173</v>
      </c>
      <c r="AP10" s="48">
        <f>IFERROR(IF(AND(Irr!P10&lt;&gt;".",Irr!AN10&lt;&gt;".",Irr!BL10&lt;&gt;"."),dir!AP10/((1/1000)*(Irr!P10+Irr!AN10+Irr!BL10)),IF(AND(Irr!P10&lt;&gt;".",Irr!AN10&lt;&gt;".",Irr!BL10="."),dir!AP10/((1/1000)*(Irr!P10+Irr!AN10)),IF(AND(Irr!P10&lt;&gt;".",Irr!AN10=".",Irr!BL10&lt;&gt;"."),dir!AP10/((1/1000)*(Irr!P10+Irr!BL10)),IF(AND(Irr!P10=".",Irr!AN10&lt;&gt;".",Irr!BL10&lt;&gt;"."),dir!AP10/((1/1000)*(Irr!AN10+Irr!BL10)),IF(AND(Irr!P10=".",Irr!AN10=".",Irr!BL10&lt;&gt;"."),dir!AP10/((1/1000)*(Irr!BL10)),IF(AND(Irr!P10=".",Irr!AN10&lt;&gt;".",Irr!BL10="."),dir!AP10/((1/1000)*(Irr!AN10)),IF(AND(Irr!P10&lt;&gt;".",Irr!AN10=".",Irr!BL10="."),dir!AP10/((1/1000)*(Irr!P10)),IF(AND(Irr!P10=".",Irr!AN10=".",Irr!BL10="."),dir!AP10*1000)))))))),".")</f>
        <v>545.69501729187459</v>
      </c>
      <c r="AQ10" s="48">
        <f>IFERROR(IF(AND(Irr!Q10&lt;&gt;".",Irr!AO10&lt;&gt;".",Irr!BM10&lt;&gt;"."),dir!AQ10/((1/1000)*(Irr!Q10+Irr!AO10+Irr!BM10)),IF(AND(Irr!Q10&lt;&gt;".",Irr!AO10&lt;&gt;".",Irr!BM10="."),dir!AQ10/((1/1000)*(Irr!Q10+Irr!AO10)),IF(AND(Irr!Q10&lt;&gt;".",Irr!AO10=".",Irr!BM10&lt;&gt;"."),dir!AQ10/((1/1000)*(Irr!Q10+Irr!BM10)),IF(AND(Irr!Q10=".",Irr!AO10&lt;&gt;".",Irr!BM10&lt;&gt;"."),dir!AQ10/((1/1000)*(Irr!AO10+Irr!BM10)),IF(AND(Irr!Q10=".",Irr!AO10=".",Irr!BM10&lt;&gt;"."),dir!AQ10/((1/1000)*(Irr!BM10)),IF(AND(Irr!Q10=".",Irr!AO10&lt;&gt;".",Irr!BM10="."),dir!AQ10/((1/1000)*(Irr!AO10)),IF(AND(Irr!Q10&lt;&gt;".",Irr!AO10=".",Irr!BM10="."),dir!AQ10/((1/1000)*(Irr!Q10)),IF(AND(Irr!Q10=".",Irr!AO10=".",Irr!BM10="."),dir!AQ10*1000)))))))),".")</f>
        <v>146.8894801059441</v>
      </c>
      <c r="AR10" s="48">
        <f>IFERROR(IF(AND(Irr!R10&lt;&gt;".",Irr!AP10&lt;&gt;".",Irr!BN10&lt;&gt;"."),dir!AR10/((1/1000)*(Irr!R10+Irr!AP10+Irr!BN10)),IF(AND(Irr!R10&lt;&gt;".",Irr!AP10&lt;&gt;".",Irr!BN10="."),dir!AR10/((1/1000)*(Irr!R10+Irr!AP10)),IF(AND(Irr!R10&lt;&gt;".",Irr!AP10=".",Irr!BN10&lt;&gt;"."),dir!AR10/((1/1000)*(Irr!R10+Irr!BN10)),IF(AND(Irr!R10=".",Irr!AP10&lt;&gt;".",Irr!BN10&lt;&gt;"."),dir!AR10/((1/1000)*(Irr!AP10+Irr!BN10)),IF(AND(Irr!R10=".",Irr!AP10=".",Irr!BN10&lt;&gt;"."),dir!AR10/((1/1000)*(Irr!BN10)),IF(AND(Irr!R10=".",Irr!AP10&lt;&gt;".",Irr!BN10="."),dir!AR10/((1/1000)*(Irr!AP10)),IF(AND(Irr!R10&lt;&gt;".",Irr!AP10=".",Irr!BN10="."),dir!AR10/((1/1000)*(Irr!R10)),IF(AND(Irr!R10=".",Irr!AP10=".",Irr!BN10="."),dir!AR10*1000)))))))),".")</f>
        <v>241.49807667246785</v>
      </c>
      <c r="AS10" s="48">
        <f>IFERROR(IF(AND(Irr!S10&lt;&gt;".",Irr!AQ10&lt;&gt;".",Irr!BO10&lt;&gt;"."),dir!AS10/((1/1000)*(Irr!S10+Irr!AQ10+Irr!BO10)),IF(AND(Irr!S10&lt;&gt;".",Irr!AQ10&lt;&gt;".",Irr!BO10="."),dir!AS10/((1/1000)*(Irr!S10+Irr!AQ10)),IF(AND(Irr!S10&lt;&gt;".",Irr!AQ10=".",Irr!BO10&lt;&gt;"."),dir!AS10/((1/1000)*(Irr!S10+Irr!BO10)),IF(AND(Irr!S10=".",Irr!AQ10&lt;&gt;".",Irr!BO10&lt;&gt;"."),dir!AS10/((1/1000)*(Irr!AQ10+Irr!BO10)),IF(AND(Irr!S10=".",Irr!AQ10=".",Irr!BO10&lt;&gt;"."),dir!AS10/((1/1000)*(Irr!BO10)),IF(AND(Irr!S10=".",Irr!AQ10&lt;&gt;".",Irr!BO10="."),dir!AS10/((1/1000)*(Irr!AQ10)),IF(AND(Irr!S10&lt;&gt;".",Irr!AQ10=".",Irr!BO10="."),dir!AS10/((1/1000)*(Irr!S10)),IF(AND(Irr!S10=".",Irr!AQ10=".",Irr!BO10="."),dir!AS10*1000)))))))),".")</f>
        <v>365.83156353077993</v>
      </c>
      <c r="AT10" s="48">
        <f>IFERROR(IF(AND(Irr!T10&lt;&gt;".",Irr!AR10&lt;&gt;".",Irr!BP10&lt;&gt;"."),dir!AT10/((1/1000)*(Irr!T10+Irr!AR10+Irr!BP10)),IF(AND(Irr!T10&lt;&gt;".",Irr!AR10&lt;&gt;".",Irr!BP10="."),dir!AT10/((1/1000)*(Irr!T10+Irr!AR10)),IF(AND(Irr!T10&lt;&gt;".",Irr!AR10=".",Irr!BP10&lt;&gt;"."),dir!AT10/((1/1000)*(Irr!T10+Irr!BP10)),IF(AND(Irr!T10=".",Irr!AR10&lt;&gt;".",Irr!BP10&lt;&gt;"."),dir!AT10/((1/1000)*(Irr!AR10+Irr!BP10)),IF(AND(Irr!T10=".",Irr!AR10=".",Irr!BP10&lt;&gt;"."),dir!AT10/((1/1000)*(Irr!BP10)),IF(AND(Irr!T10=".",Irr!AR10&lt;&gt;".",Irr!BP10="."),dir!AT10/((1/1000)*(Irr!AR10)),IF(AND(Irr!T10&lt;&gt;".",Irr!AR10=".",Irr!BP10="."),dir!AT10/((1/1000)*(Irr!T10)),IF(AND(Irr!T10=".",Irr!AR10=".",Irr!BP10="."),dir!AT10*1000)))))))),".")</f>
        <v>79.558603624033196</v>
      </c>
      <c r="AU10" s="48">
        <f>IFERROR(IF(AND(Irr!U10&lt;&gt;".",Irr!AS10&lt;&gt;".",Irr!BQ10&lt;&gt;"."),dir!AU10/((1/1000)*(Irr!U10+Irr!AS10+Irr!BQ10)),IF(AND(Irr!U10&lt;&gt;".",Irr!AS10&lt;&gt;".",Irr!BQ10="."),dir!AU10/((1/1000)*(Irr!U10+Irr!AS10)),IF(AND(Irr!U10&lt;&gt;".",Irr!AS10=".",Irr!BQ10&lt;&gt;"."),dir!AU10/((1/1000)*(Irr!U10+Irr!BQ10)),IF(AND(Irr!U10=".",Irr!AS10&lt;&gt;".",Irr!BQ10&lt;&gt;"."),dir!AU10/((1/1000)*(Irr!AS10+Irr!BQ10)),IF(AND(Irr!U10=".",Irr!AS10=".",Irr!BQ10&lt;&gt;"."),dir!AU10/((1/1000)*(Irr!BQ10)),IF(AND(Irr!U10=".",Irr!AS10&lt;&gt;".",Irr!BQ10="."),dir!AU10/((1/1000)*(Irr!AS10)),IF(AND(Irr!U10&lt;&gt;".",Irr!AS10=".",Irr!BQ10="."),dir!AU10/((1/1000)*(Irr!U10)),IF(AND(Irr!U10=".",Irr!AS10=".",Irr!BQ10="."),dir!AU10*1000)))))))),".")</f>
        <v>213.54685082725118</v>
      </c>
      <c r="AV10" s="48">
        <f>IFERROR(IF(AND(Irr!V10&lt;&gt;".",Irr!AT10&lt;&gt;".",Irr!BR10&lt;&gt;"."),dir!AV10/((1/1000)*(Irr!V10+Irr!AT10+Irr!BR10)),IF(AND(Irr!V10&lt;&gt;".",Irr!AT10&lt;&gt;".",Irr!BR10="."),dir!AV10/((1/1000)*(Irr!V10+Irr!AT10)),IF(AND(Irr!V10&lt;&gt;".",Irr!AT10=".",Irr!BR10&lt;&gt;"."),dir!AV10/((1/1000)*(Irr!V10+Irr!BR10)),IF(AND(Irr!V10=".",Irr!AT10&lt;&gt;".",Irr!BR10&lt;&gt;"."),dir!AV10/((1/1000)*(Irr!AT10+Irr!BR10)),IF(AND(Irr!V10=".",Irr!AT10=".",Irr!BR10&lt;&gt;"."),dir!AV10/((1/1000)*(Irr!BR10)),IF(AND(Irr!V10=".",Irr!AT10&lt;&gt;".",Irr!BR10="."),dir!AV10/((1/1000)*(Irr!AT10)),IF(AND(Irr!V10&lt;&gt;".",Irr!AT10=".",Irr!BR10="."),dir!AV10/((1/1000)*(Irr!V10)),IF(AND(Irr!V10=".",Irr!AT10=".",Irr!BR10="."),dir!AV10*1000)))))))),".")</f>
        <v>220.2801611526871</v>
      </c>
      <c r="AW10" s="48">
        <f>IFERROR(IF(AND(Irr!W10&lt;&gt;".",Irr!AU10&lt;&gt;".",Irr!BS10&lt;&gt;"."),dir!AW10/((1/1000)*(Irr!W10+Irr!AU10+Irr!BS10)),IF(AND(Irr!W10&lt;&gt;".",Irr!AU10&lt;&gt;".",Irr!BS10="."),dir!AW10/((1/1000)*(Irr!W10+Irr!AU10)),IF(AND(Irr!W10&lt;&gt;".",Irr!AU10=".",Irr!BS10&lt;&gt;"."),dir!AW10/((1/1000)*(Irr!W10+Irr!BS10)),IF(AND(Irr!W10=".",Irr!AU10&lt;&gt;".",Irr!BS10&lt;&gt;"."),dir!AW10/((1/1000)*(Irr!AU10+Irr!BS10)),IF(AND(Irr!W10=".",Irr!AU10=".",Irr!BS10&lt;&gt;"."),dir!AW10/((1/1000)*(Irr!BS10)),IF(AND(Irr!W10=".",Irr!AU10&lt;&gt;".",Irr!BS10="."),dir!AW10/((1/1000)*(Irr!AU10)),IF(AND(Irr!W10&lt;&gt;".",Irr!AU10=".",Irr!BS10="."),dir!AW10/((1/1000)*(Irr!W10)),IF(AND(Irr!W10=".",Irr!AU10=".",Irr!BS10="."),dir!AW10*1000)))))))),".")</f>
        <v>405.20881296791191</v>
      </c>
      <c r="AX10" s="48">
        <f>IFERROR(IF(AND(Irr!X10&lt;&gt;".",Irr!AV10&lt;&gt;".",Irr!BT10&lt;&gt;"."),dir!AX10/((1/1000)*(Irr!X10+Irr!AV10+Irr!BT10)),IF(AND(Irr!X10&lt;&gt;".",Irr!AV10&lt;&gt;".",Irr!BT10="."),dir!AX10/((1/1000)*(Irr!X10+Irr!AV10)),IF(AND(Irr!X10&lt;&gt;".",Irr!AV10=".",Irr!BT10&lt;&gt;"."),dir!AX10/((1/1000)*(Irr!X10+Irr!BT10)),IF(AND(Irr!X10=".",Irr!AV10&lt;&gt;".",Irr!BT10&lt;&gt;"."),dir!AX10/((1/1000)*(Irr!AV10+Irr!BT10)),IF(AND(Irr!X10=".",Irr!AV10=".",Irr!BT10&lt;&gt;"."),dir!AX10/((1/1000)*(Irr!BT10)),IF(AND(Irr!X10=".",Irr!AV10&lt;&gt;".",Irr!BT10="."),dir!AX10/((1/1000)*(Irr!AV10)),IF(AND(Irr!X10&lt;&gt;".",Irr!AV10=".",Irr!BT10="."),dir!AX10/((1/1000)*(Irr!X10)),IF(AND(Irr!X10=".",Irr!AV10=".",Irr!BT10="."),dir!AX10*1000)))))))),".")</f>
        <v>152.95044827896743</v>
      </c>
      <c r="AY10" s="48">
        <f>IFERROR(IF(AND(Irr!Y10&lt;&gt;".",Irr!AW10&lt;&gt;".",Irr!BU10&lt;&gt;"."),dir!AY10/((1/1000)*(Irr!Y10+Irr!AW10+Irr!BU10)),IF(AND(Irr!Y10&lt;&gt;".",Irr!AW10&lt;&gt;".",Irr!BU10="."),dir!AY10/((1/1000)*(Irr!Y10+Irr!AW10)),IF(AND(Irr!Y10&lt;&gt;".",Irr!AW10=".",Irr!BU10&lt;&gt;"."),dir!AY10/((1/1000)*(Irr!Y10+Irr!BU10)),IF(AND(Irr!Y10=".",Irr!AW10&lt;&gt;".",Irr!BU10&lt;&gt;"."),dir!AY10/((1/1000)*(Irr!AW10+Irr!BU10)),IF(AND(Irr!Y10=".",Irr!AW10=".",Irr!BU10&lt;&gt;"."),dir!AY10/((1/1000)*(Irr!BU10)),IF(AND(Irr!Y10=".",Irr!AW10&lt;&gt;".",Irr!BU10="."),dir!AY10/((1/1000)*(Irr!AW10)),IF(AND(Irr!Y10&lt;&gt;".",Irr!AW10=".",Irr!BU10="."),dir!AY10/((1/1000)*(Irr!Y10)),IF(AND(Irr!Y10=".",Irr!AW10=".",Irr!BU10="."),dir!AY10*1000)))))))),".")</f>
        <v>57.257531774579682</v>
      </c>
      <c r="AZ10" s="48">
        <f>IFERROR(IF(AND(Irr!Z10&lt;&gt;".",Irr!AX10&lt;&gt;".",Irr!BV10&lt;&gt;"."),dir!AZ10/((1/1000)*(Irr!Z10+Irr!AX10+Irr!BV10)),IF(AND(Irr!Z10&lt;&gt;".",Irr!AX10&lt;&gt;".",Irr!BV10="."),dir!AZ10/((1/1000)*(Irr!Z10+Irr!AX10)),IF(AND(Irr!Z10&lt;&gt;".",Irr!AX10=".",Irr!BV10&lt;&gt;"."),dir!AZ10/((1/1000)*(Irr!Z10+Irr!BV10)),IF(AND(Irr!Z10=".",Irr!AX10&lt;&gt;".",Irr!BV10&lt;&gt;"."),dir!AZ10/((1/1000)*(Irr!AX10+Irr!BV10)),IF(AND(Irr!Z10=".",Irr!AX10=".",Irr!BV10&lt;&gt;"."),dir!AZ10/((1/1000)*(Irr!BV10)),IF(AND(Irr!Z10=".",Irr!AX10&lt;&gt;".",Irr!BV10="."),dir!AZ10/((1/1000)*(Irr!AX10)),IF(AND(Irr!Z10&lt;&gt;".",Irr!AX10=".",Irr!BV10="."),dir!AZ10/((1/1000)*(Irr!Z10)),IF(AND(Irr!Z10=".",Irr!AX10=".",Irr!BV10="."),dir!AZ10*1000)))))))),".")</f>
        <v>50.158443232420716</v>
      </c>
    </row>
    <row r="11" spans="1:52" ht="15" customHeight="1" x14ac:dyDescent="0.25">
      <c r="A11" s="61" t="s">
        <v>9</v>
      </c>
      <c r="B11" s="49" t="s">
        <v>1059</v>
      </c>
      <c r="C11" s="48" t="str">
        <f t="shared" ref="C11" si="8">IFERROR(1/SUM(1/D11,1/E11,1/F11,1/G11,1/H11,1/I11,1/J11,1/K11,1/L11,1/M11,1/N11,1/O11,1/P11,1/Q11,1/R11,1/S11,1/T11,1/U11,1/V11,1/W11,1/X11,1/Y11),".")</f>
        <v>.</v>
      </c>
      <c r="D11" s="48" t="str">
        <f>IFERROR(IF(AND(Irr!C11&lt;&gt;".",Irr!AA11&lt;&gt;".",Irr!AY11&lt;&gt;"."),dir!D11/((1/1000)*(Irr!C11+Irr!AA11+Irr!AY11)),IF(AND(Irr!C11&lt;&gt;".",Irr!AA11&lt;&gt;".",Irr!AY11="."),dir!D11/((1/1000)*(Irr!C11+Irr!AA11)),IF(AND(Irr!C11&lt;&gt;".",Irr!AA11=".",Irr!AY11&lt;&gt;"."),dir!D11/((1/1000)*(Irr!C11+Irr!AY11)),IF(AND(Irr!C11=".",Irr!AA11&lt;&gt;".",Irr!AY11&lt;&gt;"."),dir!D11/((1/1000)*(Irr!AA11+Irr!AY11)),IF(AND(Irr!C11=".",Irr!AA11=".",Irr!AY11&lt;&gt;"."),dir!D11/((1/1000)*(Irr!AY11)),IF(AND(Irr!C11=".",Irr!AA11&lt;&gt;".",Irr!AY11="."),dir!D11/((1/1000)*(Irr!AA11)),IF(AND(Irr!C11&lt;&gt;".",Irr!AA11=".",Irr!AY11="."),dir!D11/((1/1000)*(Irr!C11)),IF(AND(Irr!C11=".",Irr!AA11=".",Irr!AY11="."),dir!D11*1000)))))))),".")</f>
        <v>.</v>
      </c>
      <c r="E11" s="48" t="str">
        <f>IFERROR(IF(AND(Irr!D11&lt;&gt;".",Irr!AB11&lt;&gt;".",Irr!AZ11&lt;&gt;"."),dir!E11/((1/1000)*(Irr!D11+Irr!AB11+Irr!AZ11)),IF(AND(Irr!D11&lt;&gt;".",Irr!AB11&lt;&gt;".",Irr!AZ11="."),dir!E11/((1/1000)*(Irr!D11+Irr!AB11)),IF(AND(Irr!D11&lt;&gt;".",Irr!AB11=".",Irr!AZ11&lt;&gt;"."),dir!E11/((1/1000)*(Irr!D11+Irr!AZ11)),IF(AND(Irr!D11=".",Irr!AB11&lt;&gt;".",Irr!AZ11&lt;&gt;"."),dir!E11/((1/1000)*(Irr!AB11+Irr!AZ11)),IF(AND(Irr!D11=".",Irr!AB11=".",Irr!AZ11&lt;&gt;"."),dir!E11/((1/1000)*(Irr!AZ11)),IF(AND(Irr!D11=".",Irr!AB11&lt;&gt;".",Irr!AZ11="."),dir!E11/((1/1000)*(Irr!AB11)),IF(AND(Irr!D11&lt;&gt;".",Irr!AB11=".",Irr!AZ11="."),dir!E11/((1/1000)*(Irr!D11)),IF(AND(Irr!D11=".",Irr!AB11=".",Irr!AZ11="."),dir!E11*1000)))))))),".")</f>
        <v>.</v>
      </c>
      <c r="F11" s="48" t="str">
        <f>IFERROR(IF(AND(Irr!E11&lt;&gt;".",Irr!AC11&lt;&gt;".",Irr!BA11&lt;&gt;"."),dir!F11/((1/1000)*(Irr!E11+Irr!AC11+Irr!BA11)),IF(AND(Irr!E11&lt;&gt;".",Irr!AC11&lt;&gt;".",Irr!BA11="."),dir!F11/((1/1000)*(Irr!E11+Irr!AC11)),IF(AND(Irr!E11&lt;&gt;".",Irr!AC11=".",Irr!BA11&lt;&gt;"."),dir!F11/((1/1000)*(Irr!E11+Irr!BA11)),IF(AND(Irr!E11=".",Irr!AC11&lt;&gt;".",Irr!BA11&lt;&gt;"."),dir!F11/((1/1000)*(Irr!AC11+Irr!BA11)),IF(AND(Irr!E11=".",Irr!AC11=".",Irr!BA11&lt;&gt;"."),dir!F11/((1/1000)*(Irr!BA11)),IF(AND(Irr!E11=".",Irr!AC11&lt;&gt;".",Irr!BA11="."),dir!F11/((1/1000)*(Irr!AC11)),IF(AND(Irr!E11&lt;&gt;".",Irr!AC11=".",Irr!BA11="."),dir!F11/((1/1000)*(Irr!E11)),IF(AND(Irr!E11=".",Irr!AC11=".",Irr!BA11="."),dir!F11*1000)))))))),".")</f>
        <v>.</v>
      </c>
      <c r="G11" s="48" t="str">
        <f>IFERROR(IF(AND(Irr!F11&lt;&gt;".",Irr!AD11&lt;&gt;".",Irr!BB11&lt;&gt;"."),dir!G11/((1/1000)*(Irr!F11+Irr!AD11+Irr!BB11)),IF(AND(Irr!F11&lt;&gt;".",Irr!AD11&lt;&gt;".",Irr!BB11="."),dir!G11/((1/1000)*(Irr!F11+Irr!AD11)),IF(AND(Irr!F11&lt;&gt;".",Irr!AD11=".",Irr!BB11&lt;&gt;"."),dir!G11/((1/1000)*(Irr!F11+Irr!BB11)),IF(AND(Irr!F11=".",Irr!AD11&lt;&gt;".",Irr!BB11&lt;&gt;"."),dir!G11/((1/1000)*(Irr!AD11+Irr!BB11)),IF(AND(Irr!F11=".",Irr!AD11=".",Irr!BB11&lt;&gt;"."),dir!G11/((1/1000)*(Irr!BB11)),IF(AND(Irr!F11=".",Irr!AD11&lt;&gt;".",Irr!BB11="."),dir!G11/((1/1000)*(Irr!AD11)),IF(AND(Irr!F11&lt;&gt;".",Irr!AD11=".",Irr!BB11="."),dir!G11/((1/1000)*(Irr!F11)),IF(AND(Irr!F11=".",Irr!AD11=".",Irr!BB11="."),dir!G11*1000)))))))),".")</f>
        <v>.</v>
      </c>
      <c r="H11" s="48" t="str">
        <f>IFERROR(IF(AND(Irr!G11&lt;&gt;".",Irr!AE11&lt;&gt;".",Irr!BC11&lt;&gt;"."),dir!H11/((1/1000)*(Irr!G11+Irr!AE11+Irr!BC11)),IF(AND(Irr!G11&lt;&gt;".",Irr!AE11&lt;&gt;".",Irr!BC11="."),dir!H11/((1/1000)*(Irr!G11+Irr!AE11)),IF(AND(Irr!G11&lt;&gt;".",Irr!AE11=".",Irr!BC11&lt;&gt;"."),dir!H11/((1/1000)*(Irr!G11+Irr!BC11)),IF(AND(Irr!G11=".",Irr!AE11&lt;&gt;".",Irr!BC11&lt;&gt;"."),dir!H11/((1/1000)*(Irr!AE11+Irr!BC11)),IF(AND(Irr!G11=".",Irr!AE11=".",Irr!BC11&lt;&gt;"."),dir!H11/((1/1000)*(Irr!BC11)),IF(AND(Irr!G11=".",Irr!AE11&lt;&gt;".",Irr!BC11="."),dir!H11/((1/1000)*(Irr!AE11)),IF(AND(Irr!G11&lt;&gt;".",Irr!AE11=".",Irr!BC11="."),dir!H11/((1/1000)*(Irr!G11)),IF(AND(Irr!G11=".",Irr!AE11=".",Irr!BC11="."),dir!H11*1000)))))))),".")</f>
        <v>.</v>
      </c>
      <c r="I11" s="48" t="str">
        <f>IFERROR(IF(AND(Irr!H11&lt;&gt;".",Irr!AF11&lt;&gt;".",Irr!BD11&lt;&gt;"."),dir!I11/((1/1000)*(Irr!H11+Irr!AF11+Irr!BD11)),IF(AND(Irr!H11&lt;&gt;".",Irr!AF11&lt;&gt;".",Irr!BD11="."),dir!I11/((1/1000)*(Irr!H11+Irr!AF11)),IF(AND(Irr!H11&lt;&gt;".",Irr!AF11=".",Irr!BD11&lt;&gt;"."),dir!I11/((1/1000)*(Irr!H11+Irr!BD11)),IF(AND(Irr!H11=".",Irr!AF11&lt;&gt;".",Irr!BD11&lt;&gt;"."),dir!I11/((1/1000)*(Irr!AF11+Irr!BD11)),IF(AND(Irr!H11=".",Irr!AF11=".",Irr!BD11&lt;&gt;"."),dir!I11/((1/1000)*(Irr!BD11)),IF(AND(Irr!H11=".",Irr!AF11&lt;&gt;".",Irr!BD11="."),dir!I11/((1/1000)*(Irr!AF11)),IF(AND(Irr!H11&lt;&gt;".",Irr!AF11=".",Irr!BD11="."),dir!I11/((1/1000)*(Irr!H11)),IF(AND(Irr!H11=".",Irr!AF11=".",Irr!BD11="."),dir!I11*1000)))))))),".")</f>
        <v>.</v>
      </c>
      <c r="J11" s="48" t="str">
        <f>IFERROR(IF(AND(Irr!I11&lt;&gt;".",Irr!AG11&lt;&gt;".",Irr!BE11&lt;&gt;"."),dir!J11/((1/1000)*(Irr!I11+Irr!AG11+Irr!BE11)),IF(AND(Irr!I11&lt;&gt;".",Irr!AG11&lt;&gt;".",Irr!BE11="."),dir!J11/((1/1000)*(Irr!I11+Irr!AG11)),IF(AND(Irr!I11&lt;&gt;".",Irr!AG11=".",Irr!BE11&lt;&gt;"."),dir!J11/((1/1000)*(Irr!I11+Irr!BE11)),IF(AND(Irr!I11=".",Irr!AG11&lt;&gt;".",Irr!BE11&lt;&gt;"."),dir!J11/((1/1000)*(Irr!AG11+Irr!BE11)),IF(AND(Irr!I11=".",Irr!AG11=".",Irr!BE11&lt;&gt;"."),dir!J11/((1/1000)*(Irr!BE11)),IF(AND(Irr!I11=".",Irr!AG11&lt;&gt;".",Irr!BE11="."),dir!J11/((1/1000)*(Irr!AG11)),IF(AND(Irr!I11&lt;&gt;".",Irr!AG11=".",Irr!BE11="."),dir!J11/((1/1000)*(Irr!I11)),IF(AND(Irr!I11=".",Irr!AG11=".",Irr!BE11="."),dir!J11*1000)))))))),".")</f>
        <v>.</v>
      </c>
      <c r="K11" s="48" t="str">
        <f>IFERROR(IF(AND(Irr!J11&lt;&gt;".",Irr!AH11&lt;&gt;".",Irr!BF11&lt;&gt;"."),dir!K11/((1/1000)*(Irr!J11+Irr!AH11+Irr!BF11)),IF(AND(Irr!J11&lt;&gt;".",Irr!AH11&lt;&gt;".",Irr!BF11="."),dir!K11/((1/1000)*(Irr!J11+Irr!AH11)),IF(AND(Irr!J11&lt;&gt;".",Irr!AH11=".",Irr!BF11&lt;&gt;"."),dir!K11/((1/1000)*(Irr!J11+Irr!BF11)),IF(AND(Irr!J11=".",Irr!AH11&lt;&gt;".",Irr!BF11&lt;&gt;"."),dir!K11/((1/1000)*(Irr!AH11+Irr!BF11)),IF(AND(Irr!J11=".",Irr!AH11=".",Irr!BF11&lt;&gt;"."),dir!K11/((1/1000)*(Irr!BF11)),IF(AND(Irr!J11=".",Irr!AH11&lt;&gt;".",Irr!BF11="."),dir!K11/((1/1000)*(Irr!AH11)),IF(AND(Irr!J11&lt;&gt;".",Irr!AH11=".",Irr!BF11="."),dir!K11/((1/1000)*(Irr!J11)),IF(AND(Irr!J11=".",Irr!AH11=".",Irr!BF11="."),dir!K11*1000)))))))),".")</f>
        <v>.</v>
      </c>
      <c r="L11" s="48" t="str">
        <f>IFERROR(IF(AND(Irr!K11&lt;&gt;".",Irr!AI11&lt;&gt;".",Irr!BG11&lt;&gt;"."),dir!L11/((1/1000)*(Irr!K11+Irr!AI11+Irr!BG11)),IF(AND(Irr!K11&lt;&gt;".",Irr!AI11&lt;&gt;".",Irr!BG11="."),dir!L11/((1/1000)*(Irr!K11+Irr!AI11)),IF(AND(Irr!K11&lt;&gt;".",Irr!AI11=".",Irr!BG11&lt;&gt;"."),dir!L11/((1/1000)*(Irr!K11+Irr!BG11)),IF(AND(Irr!K11=".",Irr!AI11&lt;&gt;".",Irr!BG11&lt;&gt;"."),dir!L11/((1/1000)*(Irr!AI11+Irr!BG11)),IF(AND(Irr!K11=".",Irr!AI11=".",Irr!BG11&lt;&gt;"."),dir!L11/((1/1000)*(Irr!BG11)),IF(AND(Irr!K11=".",Irr!AI11&lt;&gt;".",Irr!BG11="."),dir!L11/((1/1000)*(Irr!AI11)),IF(AND(Irr!K11&lt;&gt;".",Irr!AI11=".",Irr!BG11="."),dir!L11/((1/1000)*(Irr!K11)),IF(AND(Irr!K11=".",Irr!AI11=".",Irr!BG11="."),dir!L11*1000)))))))),".")</f>
        <v>.</v>
      </c>
      <c r="M11" s="48" t="str">
        <f>IFERROR(IF(AND(Irr!L11&lt;&gt;".",Irr!AJ11&lt;&gt;".",Irr!BH11&lt;&gt;"."),dir!M11/((1/1000)*(Irr!L11+Irr!AJ11+Irr!BH11)),IF(AND(Irr!L11&lt;&gt;".",Irr!AJ11&lt;&gt;".",Irr!BH11="."),dir!M11/((1/1000)*(Irr!L11+Irr!AJ11)),IF(AND(Irr!L11&lt;&gt;".",Irr!AJ11=".",Irr!BH11&lt;&gt;"."),dir!M11/((1/1000)*(Irr!L11+Irr!BH11)),IF(AND(Irr!L11=".",Irr!AJ11&lt;&gt;".",Irr!BH11&lt;&gt;"."),dir!M11/((1/1000)*(Irr!AJ11+Irr!BH11)),IF(AND(Irr!L11=".",Irr!AJ11=".",Irr!BH11&lt;&gt;"."),dir!M11/((1/1000)*(Irr!BH11)),IF(AND(Irr!L11=".",Irr!AJ11&lt;&gt;".",Irr!BH11="."),dir!M11/((1/1000)*(Irr!AJ11)),IF(AND(Irr!L11&lt;&gt;".",Irr!AJ11=".",Irr!BH11="."),dir!M11/((1/1000)*(Irr!L11)),IF(AND(Irr!L11=".",Irr!AJ11=".",Irr!BH11="."),dir!M11*1000)))))))),".")</f>
        <v>.</v>
      </c>
      <c r="N11" s="48" t="str">
        <f>IFERROR(IF(AND(Irr!M11&lt;&gt;".",Irr!AK11&lt;&gt;".",Irr!BI11&lt;&gt;"."),dir!N11/((1/1000)*(Irr!M11+Irr!AK11+Irr!BI11)),IF(AND(Irr!M11&lt;&gt;".",Irr!AK11&lt;&gt;".",Irr!BI11="."),dir!N11/((1/1000)*(Irr!M11+Irr!AK11)),IF(AND(Irr!M11&lt;&gt;".",Irr!AK11=".",Irr!BI11&lt;&gt;"."),dir!N11/((1/1000)*(Irr!M11+Irr!BI11)),IF(AND(Irr!M11=".",Irr!AK11&lt;&gt;".",Irr!BI11&lt;&gt;"."),dir!N11/((1/1000)*(Irr!AK11+Irr!BI11)),IF(AND(Irr!M11=".",Irr!AK11=".",Irr!BI11&lt;&gt;"."),dir!N11/((1/1000)*(Irr!BI11)),IF(AND(Irr!M11=".",Irr!AK11&lt;&gt;".",Irr!BI11="."),dir!N11/((1/1000)*(Irr!AK11)),IF(AND(Irr!M11&lt;&gt;".",Irr!AK11=".",Irr!BI11="."),dir!N11/((1/1000)*(Irr!M11)),IF(AND(Irr!M11=".",Irr!AK11=".",Irr!BI11="."),dir!N11*1000)))))))),".")</f>
        <v>.</v>
      </c>
      <c r="O11" s="48" t="str">
        <f>IFERROR(IF(AND(Irr!N11&lt;&gt;".",Irr!AL11&lt;&gt;".",Irr!BJ11&lt;&gt;"."),dir!O11/((1/1000)*(Irr!N11+Irr!AL11+Irr!BJ11)),IF(AND(Irr!N11&lt;&gt;".",Irr!AL11&lt;&gt;".",Irr!BJ11="."),dir!O11/((1/1000)*(Irr!N11+Irr!AL11)),IF(AND(Irr!N11&lt;&gt;".",Irr!AL11=".",Irr!BJ11&lt;&gt;"."),dir!O11/((1/1000)*(Irr!N11+Irr!BJ11)),IF(AND(Irr!N11=".",Irr!AL11&lt;&gt;".",Irr!BJ11&lt;&gt;"."),dir!O11/((1/1000)*(Irr!AL11+Irr!BJ11)),IF(AND(Irr!N11=".",Irr!AL11=".",Irr!BJ11&lt;&gt;"."),dir!O11/((1/1000)*(Irr!BJ11)),IF(AND(Irr!N11=".",Irr!AL11&lt;&gt;".",Irr!BJ11="."),dir!O11/((1/1000)*(Irr!AL11)),IF(AND(Irr!N11&lt;&gt;".",Irr!AL11=".",Irr!BJ11="."),dir!O11/((1/1000)*(Irr!N11)),IF(AND(Irr!N11=".",Irr!AL11=".",Irr!BJ11="."),dir!O11*1000)))))))),".")</f>
        <v>.</v>
      </c>
      <c r="P11" s="48" t="str">
        <f>IFERROR(IF(AND(Irr!O11&lt;&gt;".",Irr!AM11&lt;&gt;".",Irr!BK11&lt;&gt;"."),dir!P11/((1/1000)*(Irr!O11+Irr!AM11+Irr!BK11)),IF(AND(Irr!O11&lt;&gt;".",Irr!AM11&lt;&gt;".",Irr!BK11="."),dir!P11/((1/1000)*(Irr!O11+Irr!AM11)),IF(AND(Irr!O11&lt;&gt;".",Irr!AM11=".",Irr!BK11&lt;&gt;"."),dir!P11/((1/1000)*(Irr!O11+Irr!BK11)),IF(AND(Irr!O11=".",Irr!AM11&lt;&gt;".",Irr!BK11&lt;&gt;"."),dir!P11/((1/1000)*(Irr!AM11+Irr!BK11)),IF(AND(Irr!O11=".",Irr!AM11=".",Irr!BK11&lt;&gt;"."),dir!P11/((1/1000)*(Irr!BK11)),IF(AND(Irr!O11=".",Irr!AM11&lt;&gt;".",Irr!BK11="."),dir!P11/((1/1000)*(Irr!AM11)),IF(AND(Irr!O11&lt;&gt;".",Irr!AM11=".",Irr!BK11="."),dir!P11/((1/1000)*(Irr!O11)),IF(AND(Irr!O11=".",Irr!AM11=".",Irr!BK11="."),dir!P11*1000)))))))),".")</f>
        <v>.</v>
      </c>
      <c r="Q11" s="48" t="str">
        <f>IFERROR(IF(AND(Irr!P11&lt;&gt;".",Irr!AN11&lt;&gt;".",Irr!BL11&lt;&gt;"."),dir!Q11/((1/1000)*(Irr!P11+Irr!AN11+Irr!BL11)),IF(AND(Irr!P11&lt;&gt;".",Irr!AN11&lt;&gt;".",Irr!BL11="."),dir!Q11/((1/1000)*(Irr!P11+Irr!AN11)),IF(AND(Irr!P11&lt;&gt;".",Irr!AN11=".",Irr!BL11&lt;&gt;"."),dir!Q11/((1/1000)*(Irr!P11+Irr!BL11)),IF(AND(Irr!P11=".",Irr!AN11&lt;&gt;".",Irr!BL11&lt;&gt;"."),dir!Q11/((1/1000)*(Irr!AN11+Irr!BL11)),IF(AND(Irr!P11=".",Irr!AN11=".",Irr!BL11&lt;&gt;"."),dir!Q11/((1/1000)*(Irr!BL11)),IF(AND(Irr!P11=".",Irr!AN11&lt;&gt;".",Irr!BL11="."),dir!Q11/((1/1000)*(Irr!AN11)),IF(AND(Irr!P11&lt;&gt;".",Irr!AN11=".",Irr!BL11="."),dir!Q11/((1/1000)*(Irr!P11)),IF(AND(Irr!P11=".",Irr!AN11=".",Irr!BL11="."),dir!Q11*1000)))))))),".")</f>
        <v>.</v>
      </c>
      <c r="R11" s="48" t="str">
        <f>IFERROR(IF(AND(Irr!Q11&lt;&gt;".",Irr!AO11&lt;&gt;".",Irr!BM11&lt;&gt;"."),dir!R11/((1/1000)*(Irr!Q11+Irr!AO11+Irr!BM11)),IF(AND(Irr!Q11&lt;&gt;".",Irr!AO11&lt;&gt;".",Irr!BM11="."),dir!R11/((1/1000)*(Irr!Q11+Irr!AO11)),IF(AND(Irr!Q11&lt;&gt;".",Irr!AO11=".",Irr!BM11&lt;&gt;"."),dir!R11/((1/1000)*(Irr!Q11+Irr!BM11)),IF(AND(Irr!Q11=".",Irr!AO11&lt;&gt;".",Irr!BM11&lt;&gt;"."),dir!R11/((1/1000)*(Irr!AO11+Irr!BM11)),IF(AND(Irr!Q11=".",Irr!AO11=".",Irr!BM11&lt;&gt;"."),dir!R11/((1/1000)*(Irr!BM11)),IF(AND(Irr!Q11=".",Irr!AO11&lt;&gt;".",Irr!BM11="."),dir!R11/((1/1000)*(Irr!AO11)),IF(AND(Irr!Q11&lt;&gt;".",Irr!AO11=".",Irr!BM11="."),dir!R11/((1/1000)*(Irr!Q11)),IF(AND(Irr!Q11=".",Irr!AO11=".",Irr!BM11="."),dir!R11*1000)))))))),".")</f>
        <v>.</v>
      </c>
      <c r="S11" s="48" t="str">
        <f>IFERROR(IF(AND(Irr!R11&lt;&gt;".",Irr!AP11&lt;&gt;".",Irr!BN11&lt;&gt;"."),dir!S11/((1/1000)*(Irr!R11+Irr!AP11+Irr!BN11)),IF(AND(Irr!R11&lt;&gt;".",Irr!AP11&lt;&gt;".",Irr!BN11="."),dir!S11/((1/1000)*(Irr!R11+Irr!AP11)),IF(AND(Irr!R11&lt;&gt;".",Irr!AP11=".",Irr!BN11&lt;&gt;"."),dir!S11/((1/1000)*(Irr!R11+Irr!BN11)),IF(AND(Irr!R11=".",Irr!AP11&lt;&gt;".",Irr!BN11&lt;&gt;"."),dir!S11/((1/1000)*(Irr!AP11+Irr!BN11)),IF(AND(Irr!R11=".",Irr!AP11=".",Irr!BN11&lt;&gt;"."),dir!S11/((1/1000)*(Irr!BN11)),IF(AND(Irr!R11=".",Irr!AP11&lt;&gt;".",Irr!BN11="."),dir!S11/((1/1000)*(Irr!AP11)),IF(AND(Irr!R11&lt;&gt;".",Irr!AP11=".",Irr!BN11="."),dir!S11/((1/1000)*(Irr!R11)),IF(AND(Irr!R11=".",Irr!AP11=".",Irr!BN11="."),dir!S11*1000)))))))),".")</f>
        <v>.</v>
      </c>
      <c r="T11" s="48" t="str">
        <f>IFERROR(IF(AND(Irr!S11&lt;&gt;".",Irr!AQ11&lt;&gt;".",Irr!BO11&lt;&gt;"."),dir!T11/((1/1000)*(Irr!S11+Irr!AQ11+Irr!BO11)),IF(AND(Irr!S11&lt;&gt;".",Irr!AQ11&lt;&gt;".",Irr!BO11="."),dir!T11/((1/1000)*(Irr!S11+Irr!AQ11)),IF(AND(Irr!S11&lt;&gt;".",Irr!AQ11=".",Irr!BO11&lt;&gt;"."),dir!T11/((1/1000)*(Irr!S11+Irr!BO11)),IF(AND(Irr!S11=".",Irr!AQ11&lt;&gt;".",Irr!BO11&lt;&gt;"."),dir!T11/((1/1000)*(Irr!AQ11+Irr!BO11)),IF(AND(Irr!S11=".",Irr!AQ11=".",Irr!BO11&lt;&gt;"."),dir!T11/((1/1000)*(Irr!BO11)),IF(AND(Irr!S11=".",Irr!AQ11&lt;&gt;".",Irr!BO11="."),dir!T11/((1/1000)*(Irr!AQ11)),IF(AND(Irr!S11&lt;&gt;".",Irr!AQ11=".",Irr!BO11="."),dir!T11/((1/1000)*(Irr!S11)),IF(AND(Irr!S11=".",Irr!AQ11=".",Irr!BO11="."),dir!T11*1000)))))))),".")</f>
        <v>.</v>
      </c>
      <c r="U11" s="48" t="str">
        <f>IFERROR(IF(AND(Irr!T11&lt;&gt;".",Irr!AR11&lt;&gt;".",Irr!BP11&lt;&gt;"."),dir!U11/((1/1000)*(Irr!T11+Irr!AR11+Irr!BP11)),IF(AND(Irr!T11&lt;&gt;".",Irr!AR11&lt;&gt;".",Irr!BP11="."),dir!U11/((1/1000)*(Irr!T11+Irr!AR11)),IF(AND(Irr!T11&lt;&gt;".",Irr!AR11=".",Irr!BP11&lt;&gt;"."),dir!U11/((1/1000)*(Irr!T11+Irr!BP11)),IF(AND(Irr!T11=".",Irr!AR11&lt;&gt;".",Irr!BP11&lt;&gt;"."),dir!U11/((1/1000)*(Irr!AR11+Irr!BP11)),IF(AND(Irr!T11=".",Irr!AR11=".",Irr!BP11&lt;&gt;"."),dir!U11/((1/1000)*(Irr!BP11)),IF(AND(Irr!T11=".",Irr!AR11&lt;&gt;".",Irr!BP11="."),dir!U11/((1/1000)*(Irr!AR11)),IF(AND(Irr!T11&lt;&gt;".",Irr!AR11=".",Irr!BP11="."),dir!U11/((1/1000)*(Irr!T11)),IF(AND(Irr!T11=".",Irr!AR11=".",Irr!BP11="."),dir!U11*1000)))))))),".")</f>
        <v>.</v>
      </c>
      <c r="V11" s="48" t="str">
        <f>IFERROR(IF(AND(Irr!U11&lt;&gt;".",Irr!AS11&lt;&gt;".",Irr!BQ11&lt;&gt;"."),dir!V11/((1/1000)*(Irr!U11+Irr!AS11+Irr!BQ11)),IF(AND(Irr!U11&lt;&gt;".",Irr!AS11&lt;&gt;".",Irr!BQ11="."),dir!V11/((1/1000)*(Irr!U11+Irr!AS11)),IF(AND(Irr!U11&lt;&gt;".",Irr!AS11=".",Irr!BQ11&lt;&gt;"."),dir!V11/((1/1000)*(Irr!U11+Irr!BQ11)),IF(AND(Irr!U11=".",Irr!AS11&lt;&gt;".",Irr!BQ11&lt;&gt;"."),dir!V11/((1/1000)*(Irr!AS11+Irr!BQ11)),IF(AND(Irr!U11=".",Irr!AS11=".",Irr!BQ11&lt;&gt;"."),dir!V11/((1/1000)*(Irr!BQ11)),IF(AND(Irr!U11=".",Irr!AS11&lt;&gt;".",Irr!BQ11="."),dir!V11/((1/1000)*(Irr!AS11)),IF(AND(Irr!U11&lt;&gt;".",Irr!AS11=".",Irr!BQ11="."),dir!V11/((1/1000)*(Irr!U11)),IF(AND(Irr!U11=".",Irr!AS11=".",Irr!BQ11="."),dir!V11*1000)))))))),".")</f>
        <v>.</v>
      </c>
      <c r="W11" s="48" t="str">
        <f>IFERROR(IF(AND(Irr!V11&lt;&gt;".",Irr!AT11&lt;&gt;".",Irr!BR11&lt;&gt;"."),dir!W11/((1/1000)*(Irr!V11+Irr!AT11+Irr!BR11)),IF(AND(Irr!V11&lt;&gt;".",Irr!AT11&lt;&gt;".",Irr!BR11="."),dir!W11/((1/1000)*(Irr!V11+Irr!AT11)),IF(AND(Irr!V11&lt;&gt;".",Irr!AT11=".",Irr!BR11&lt;&gt;"."),dir!W11/((1/1000)*(Irr!V11+Irr!BR11)),IF(AND(Irr!V11=".",Irr!AT11&lt;&gt;".",Irr!BR11&lt;&gt;"."),dir!W11/((1/1000)*(Irr!AT11+Irr!BR11)),IF(AND(Irr!V11=".",Irr!AT11=".",Irr!BR11&lt;&gt;"."),dir!W11/((1/1000)*(Irr!BR11)),IF(AND(Irr!V11=".",Irr!AT11&lt;&gt;".",Irr!BR11="."),dir!W11/((1/1000)*(Irr!AT11)),IF(AND(Irr!V11&lt;&gt;".",Irr!AT11=".",Irr!BR11="."),dir!W11/((1/1000)*(Irr!V11)),IF(AND(Irr!V11=".",Irr!AT11=".",Irr!BR11="."),dir!W11*1000)))))))),".")</f>
        <v>.</v>
      </c>
      <c r="X11" s="48" t="str">
        <f>IFERROR(IF(AND(Irr!W11&lt;&gt;".",Irr!AU11&lt;&gt;".",Irr!BS11&lt;&gt;"."),dir!X11/((1/1000)*(Irr!W11+Irr!AU11+Irr!BS11)),IF(AND(Irr!W11&lt;&gt;".",Irr!AU11&lt;&gt;".",Irr!BS11="."),dir!X11/((1/1000)*(Irr!W11+Irr!AU11)),IF(AND(Irr!W11&lt;&gt;".",Irr!AU11=".",Irr!BS11&lt;&gt;"."),dir!X11/((1/1000)*(Irr!W11+Irr!BS11)),IF(AND(Irr!W11=".",Irr!AU11&lt;&gt;".",Irr!BS11&lt;&gt;"."),dir!X11/((1/1000)*(Irr!AU11+Irr!BS11)),IF(AND(Irr!W11=".",Irr!AU11=".",Irr!BS11&lt;&gt;"."),dir!X11/((1/1000)*(Irr!BS11)),IF(AND(Irr!W11=".",Irr!AU11&lt;&gt;".",Irr!BS11="."),dir!X11/((1/1000)*(Irr!AU11)),IF(AND(Irr!W11&lt;&gt;".",Irr!AU11=".",Irr!BS11="."),dir!X11/((1/1000)*(Irr!W11)),IF(AND(Irr!W11=".",Irr!AU11=".",Irr!BS11="."),dir!X11*1000)))))))),".")</f>
        <v>.</v>
      </c>
      <c r="Y11" s="48" t="str">
        <f>IFERROR(IF(AND(Irr!X11&lt;&gt;".",Irr!AV11&lt;&gt;".",Irr!BT11&lt;&gt;"."),dir!Y11/((1/1000)*(Irr!X11+Irr!AV11+Irr!BT11)),IF(AND(Irr!X11&lt;&gt;".",Irr!AV11&lt;&gt;".",Irr!BT11="."),dir!Y11/((1/1000)*(Irr!X11+Irr!AV11)),IF(AND(Irr!X11&lt;&gt;".",Irr!AV11=".",Irr!BT11&lt;&gt;"."),dir!Y11/((1/1000)*(Irr!X11+Irr!BT11)),IF(AND(Irr!X11=".",Irr!AV11&lt;&gt;".",Irr!BT11&lt;&gt;"."),dir!Y11/((1/1000)*(Irr!AV11+Irr!BT11)),IF(AND(Irr!X11=".",Irr!AV11=".",Irr!BT11&lt;&gt;"."),dir!Y11/((1/1000)*(Irr!BT11)),IF(AND(Irr!X11=".",Irr!AV11&lt;&gt;".",Irr!BT11="."),dir!Y11/((1/1000)*(Irr!AV11)),IF(AND(Irr!X11&lt;&gt;".",Irr!AV11=".",Irr!BT11="."),dir!Y11/((1/1000)*(Irr!X11)),IF(AND(Irr!X11=".",Irr!AV11=".",Irr!BT11="."),dir!Y11*1000)))))))),".")</f>
        <v>.</v>
      </c>
      <c r="Z11" s="48" t="str">
        <f>IFERROR(IF(AND(Irr!Y11&lt;&gt;".",Irr!AW11&lt;&gt;".",Irr!BU11&lt;&gt;"."),dir!Z11/((1/1000)*(Irr!Y11+Irr!AW11+Irr!BU11)),IF(AND(Irr!Y11&lt;&gt;".",Irr!AW11&lt;&gt;".",Irr!BU11="."),dir!Z11/((1/1000)*(Irr!Y11+Irr!AW11)),IF(AND(Irr!Y11&lt;&gt;".",Irr!AW11=".",Irr!BU11&lt;&gt;"."),dir!Z11/((1/1000)*(Irr!Y11+Irr!BU11)),IF(AND(Irr!Y11=".",Irr!AW11&lt;&gt;".",Irr!BU11&lt;&gt;"."),dir!Z11/((1/1000)*(Irr!AW11+Irr!BU11)),IF(AND(Irr!Y11=".",Irr!AW11=".",Irr!BU11&lt;&gt;"."),dir!Z11/((1/1000)*(Irr!BU11)),IF(AND(Irr!Y11=".",Irr!AW11&lt;&gt;".",Irr!BU11="."),dir!Z11/((1/1000)*(Irr!AW11)),IF(AND(Irr!Y11&lt;&gt;".",Irr!AW11=".",Irr!BU11="."),dir!Z11/((1/1000)*(Irr!Y11)),IF(AND(Irr!Y11=".",Irr!AW11=".",Irr!BU11="."),dir!Z11*1000)))))))),".")</f>
        <v>.</v>
      </c>
      <c r="AA11" s="48" t="str">
        <f>IFERROR(IF(AND(Irr!Z11&lt;&gt;".",Irr!AX11&lt;&gt;".",Irr!BV11&lt;&gt;"."),dir!AA11/((1/1000)*(Irr!Z11+Irr!AX11+Irr!BV11)),IF(AND(Irr!Z11&lt;&gt;".",Irr!AX11&lt;&gt;".",Irr!BV11="."),dir!AA11/((1/1000)*(Irr!Z11+Irr!AX11)),IF(AND(Irr!Z11&lt;&gt;".",Irr!AX11=".",Irr!BV11&lt;&gt;"."),dir!AA11/((1/1000)*(Irr!Z11+Irr!BV11)),IF(AND(Irr!Z11=".",Irr!AX11&lt;&gt;".",Irr!BV11&lt;&gt;"."),dir!AA11/((1/1000)*(Irr!AX11+Irr!BV11)),IF(AND(Irr!Z11=".",Irr!AX11=".",Irr!BV11&lt;&gt;"."),dir!AA11/((1/1000)*(Irr!BV11)),IF(AND(Irr!Z11=".",Irr!AX11&lt;&gt;".",Irr!BV11="."),dir!AA11/((1/1000)*(Irr!AX11)),IF(AND(Irr!Z11&lt;&gt;".",Irr!AX11=".",Irr!BV11="."),dir!AA11/((1/1000)*(Irr!Z11)),IF(AND(Irr!Z11=".",Irr!AX11=".",Irr!BV11="."),dir!AA11*1000)))))))),".")</f>
        <v>.</v>
      </c>
      <c r="AB11" s="48" t="str">
        <f t="shared" ref="AB11" si="9">IFERROR(1/SUM(1/AC11,1/AD11,1/AE11,1/AF11,1/AG11,1/AH11,1/AI11,1/AJ11,1/AK11,1/AL11,1/AM11,1/AN11,1/AO11,1/AP11,1/AQ11,1/AR11,1/AS11,1/AT11,1/AU11,1/AV11,1/AW11,1/AX11),".")</f>
        <v>.</v>
      </c>
      <c r="AC11" s="48" t="str">
        <f>IFERROR(IF(AND(Irr!C11&lt;&gt;".",Irr!AA11&lt;&gt;".",Irr!AY11&lt;&gt;"."),dir!AC11/((1/1000)*(Irr!C11+Irr!AA11+Irr!AY11)),IF(AND(Irr!C11&lt;&gt;".",Irr!AA11&lt;&gt;".",Irr!AY11="."),dir!AC11/((1/1000)*(Irr!C11+Irr!AA11)),IF(AND(Irr!C11&lt;&gt;".",Irr!AA11=".",Irr!AY11&lt;&gt;"."),dir!AC11/((1/1000)*(Irr!C11+Irr!AY11)),IF(AND(Irr!C11=".",Irr!AA11&lt;&gt;".",Irr!AY11&lt;&gt;"."),dir!AC11/((1/1000)*(Irr!AA11+Irr!AY11)),IF(AND(Irr!C11=".",Irr!AA11=".",Irr!AY11&lt;&gt;"."),dir!AC11/((1/1000)*(Irr!AY11)),IF(AND(Irr!C11=".",Irr!AA11&lt;&gt;".",Irr!AY11="."),dir!AC11/((1/1000)*(Irr!AA11)),IF(AND(Irr!C11&lt;&gt;".",Irr!AA11=".",Irr!AY11="."),dir!AC11/((1/1000)*(Irr!C11)),IF(AND(Irr!C11=".",Irr!AA11=".",Irr!AY11="."),dir!AC11*1000)))))))),".")</f>
        <v>.</v>
      </c>
      <c r="AD11" s="48" t="str">
        <f>IFERROR(IF(AND(Irr!D11&lt;&gt;".",Irr!AB11&lt;&gt;".",Irr!AZ11&lt;&gt;"."),dir!AD11/((1/1000)*(Irr!D11+Irr!AB11+Irr!AZ11)),IF(AND(Irr!D11&lt;&gt;".",Irr!AB11&lt;&gt;".",Irr!AZ11="."),dir!AD11/((1/1000)*(Irr!D11+Irr!AB11)),IF(AND(Irr!D11&lt;&gt;".",Irr!AB11=".",Irr!AZ11&lt;&gt;"."),dir!AD11/((1/1000)*(Irr!D11+Irr!AZ11)),IF(AND(Irr!D11=".",Irr!AB11&lt;&gt;".",Irr!AZ11&lt;&gt;"."),dir!AD11/((1/1000)*(Irr!AB11+Irr!AZ11)),IF(AND(Irr!D11=".",Irr!AB11=".",Irr!AZ11&lt;&gt;"."),dir!AD11/((1/1000)*(Irr!AZ11)),IF(AND(Irr!D11=".",Irr!AB11&lt;&gt;".",Irr!AZ11="."),dir!AD11/((1/1000)*(Irr!AB11)),IF(AND(Irr!D11&lt;&gt;".",Irr!AB11=".",Irr!AZ11="."),dir!AD11/((1/1000)*(Irr!D11)),IF(AND(Irr!D11=".",Irr!AB11=".",Irr!AZ11="."),dir!AD11*1000)))))))),".")</f>
        <v>.</v>
      </c>
      <c r="AE11" s="48" t="str">
        <f>IFERROR(IF(AND(Irr!E11&lt;&gt;".",Irr!AC11&lt;&gt;".",Irr!BA11&lt;&gt;"."),dir!AE11/((1/1000)*(Irr!E11+Irr!AC11+Irr!BA11)),IF(AND(Irr!E11&lt;&gt;".",Irr!AC11&lt;&gt;".",Irr!BA11="."),dir!AE11/((1/1000)*(Irr!E11+Irr!AC11)),IF(AND(Irr!E11&lt;&gt;".",Irr!AC11=".",Irr!BA11&lt;&gt;"."),dir!AE11/((1/1000)*(Irr!E11+Irr!BA11)),IF(AND(Irr!E11=".",Irr!AC11&lt;&gt;".",Irr!BA11&lt;&gt;"."),dir!AE11/((1/1000)*(Irr!AC11+Irr!BA11)),IF(AND(Irr!E11=".",Irr!AC11=".",Irr!BA11&lt;&gt;"."),dir!AE11/((1/1000)*(Irr!BA11)),IF(AND(Irr!E11=".",Irr!AC11&lt;&gt;".",Irr!BA11="."),dir!AE11/((1/1000)*(Irr!AC11)),IF(AND(Irr!E11&lt;&gt;".",Irr!AC11=".",Irr!BA11="."),dir!AE11/((1/1000)*(Irr!E11)),IF(AND(Irr!E11=".",Irr!AC11=".",Irr!BA11="."),dir!AE11*1000)))))))),".")</f>
        <v>.</v>
      </c>
      <c r="AF11" s="48" t="str">
        <f>IFERROR(IF(AND(Irr!F11&lt;&gt;".",Irr!AD11&lt;&gt;".",Irr!BB11&lt;&gt;"."),dir!AF11/((1/1000)*(Irr!F11+Irr!AD11+Irr!BB11)),IF(AND(Irr!F11&lt;&gt;".",Irr!AD11&lt;&gt;".",Irr!BB11="."),dir!AF11/((1/1000)*(Irr!F11+Irr!AD11)),IF(AND(Irr!F11&lt;&gt;".",Irr!AD11=".",Irr!BB11&lt;&gt;"."),dir!AF11/((1/1000)*(Irr!F11+Irr!BB11)),IF(AND(Irr!F11=".",Irr!AD11&lt;&gt;".",Irr!BB11&lt;&gt;"."),dir!AF11/((1/1000)*(Irr!AD11+Irr!BB11)),IF(AND(Irr!F11=".",Irr!AD11=".",Irr!BB11&lt;&gt;"."),dir!AF11/((1/1000)*(Irr!BB11)),IF(AND(Irr!F11=".",Irr!AD11&lt;&gt;".",Irr!BB11="."),dir!AF11/((1/1000)*(Irr!AD11)),IF(AND(Irr!F11&lt;&gt;".",Irr!AD11=".",Irr!BB11="."),dir!AF11/((1/1000)*(Irr!F11)),IF(AND(Irr!F11=".",Irr!AD11=".",Irr!BB11="."),dir!AF11*1000)))))))),".")</f>
        <v>.</v>
      </c>
      <c r="AG11" s="48" t="str">
        <f>IFERROR(IF(AND(Irr!G11&lt;&gt;".",Irr!AE11&lt;&gt;".",Irr!BC11&lt;&gt;"."),dir!AG11/((1/1000)*(Irr!G11+Irr!AE11+Irr!BC11)),IF(AND(Irr!G11&lt;&gt;".",Irr!AE11&lt;&gt;".",Irr!BC11="."),dir!AG11/((1/1000)*(Irr!G11+Irr!AE11)),IF(AND(Irr!G11&lt;&gt;".",Irr!AE11=".",Irr!BC11&lt;&gt;"."),dir!AG11/((1/1000)*(Irr!G11+Irr!BC11)),IF(AND(Irr!G11=".",Irr!AE11&lt;&gt;".",Irr!BC11&lt;&gt;"."),dir!AG11/((1/1000)*(Irr!AE11+Irr!BC11)),IF(AND(Irr!G11=".",Irr!AE11=".",Irr!BC11&lt;&gt;"."),dir!AG11/((1/1000)*(Irr!BC11)),IF(AND(Irr!G11=".",Irr!AE11&lt;&gt;".",Irr!BC11="."),dir!AG11/((1/1000)*(Irr!AE11)),IF(AND(Irr!G11&lt;&gt;".",Irr!AE11=".",Irr!BC11="."),dir!AG11/((1/1000)*(Irr!G11)),IF(AND(Irr!G11=".",Irr!AE11=".",Irr!BC11="."),dir!AG11*1000)))))))),".")</f>
        <v>.</v>
      </c>
      <c r="AH11" s="48" t="str">
        <f>IFERROR(IF(AND(Irr!H11&lt;&gt;".",Irr!AF11&lt;&gt;".",Irr!BD11&lt;&gt;"."),dir!AH11/((1/1000)*(Irr!H11+Irr!AF11+Irr!BD11)),IF(AND(Irr!H11&lt;&gt;".",Irr!AF11&lt;&gt;".",Irr!BD11="."),dir!AH11/((1/1000)*(Irr!H11+Irr!AF11)),IF(AND(Irr!H11&lt;&gt;".",Irr!AF11=".",Irr!BD11&lt;&gt;"."),dir!AH11/((1/1000)*(Irr!H11+Irr!BD11)),IF(AND(Irr!H11=".",Irr!AF11&lt;&gt;".",Irr!BD11&lt;&gt;"."),dir!AH11/((1/1000)*(Irr!AF11+Irr!BD11)),IF(AND(Irr!H11=".",Irr!AF11=".",Irr!BD11&lt;&gt;"."),dir!AH11/((1/1000)*(Irr!BD11)),IF(AND(Irr!H11=".",Irr!AF11&lt;&gt;".",Irr!BD11="."),dir!AH11/((1/1000)*(Irr!AF11)),IF(AND(Irr!H11&lt;&gt;".",Irr!AF11=".",Irr!BD11="."),dir!AH11/((1/1000)*(Irr!H11)),IF(AND(Irr!H11=".",Irr!AF11=".",Irr!BD11="."),dir!AH11*1000)))))))),".")</f>
        <v>.</v>
      </c>
      <c r="AI11" s="48" t="str">
        <f>IFERROR(IF(AND(Irr!I11&lt;&gt;".",Irr!AG11&lt;&gt;".",Irr!BE11&lt;&gt;"."),dir!AI11/((1/1000)*(Irr!I11+Irr!AG11+Irr!BE11)),IF(AND(Irr!I11&lt;&gt;".",Irr!AG11&lt;&gt;".",Irr!BE11="."),dir!AI11/((1/1000)*(Irr!I11+Irr!AG11)),IF(AND(Irr!I11&lt;&gt;".",Irr!AG11=".",Irr!BE11&lt;&gt;"."),dir!AI11/((1/1000)*(Irr!I11+Irr!BE11)),IF(AND(Irr!I11=".",Irr!AG11&lt;&gt;".",Irr!BE11&lt;&gt;"."),dir!AI11/((1/1000)*(Irr!AG11+Irr!BE11)),IF(AND(Irr!I11=".",Irr!AG11=".",Irr!BE11&lt;&gt;"."),dir!AI11/((1/1000)*(Irr!BE11)),IF(AND(Irr!I11=".",Irr!AG11&lt;&gt;".",Irr!BE11="."),dir!AI11/((1/1000)*(Irr!AG11)),IF(AND(Irr!I11&lt;&gt;".",Irr!AG11=".",Irr!BE11="."),dir!AI11/((1/1000)*(Irr!I11)),IF(AND(Irr!I11=".",Irr!AG11=".",Irr!BE11="."),dir!AI11*1000)))))))),".")</f>
        <v>.</v>
      </c>
      <c r="AJ11" s="48" t="str">
        <f>IFERROR(IF(AND(Irr!J11&lt;&gt;".",Irr!AH11&lt;&gt;".",Irr!BF11&lt;&gt;"."),dir!AJ11/((1/1000)*(Irr!J11+Irr!AH11+Irr!BF11)),IF(AND(Irr!J11&lt;&gt;".",Irr!AH11&lt;&gt;".",Irr!BF11="."),dir!AJ11/((1/1000)*(Irr!J11+Irr!AH11)),IF(AND(Irr!J11&lt;&gt;".",Irr!AH11=".",Irr!BF11&lt;&gt;"."),dir!AJ11/((1/1000)*(Irr!J11+Irr!BF11)),IF(AND(Irr!J11=".",Irr!AH11&lt;&gt;".",Irr!BF11&lt;&gt;"."),dir!AJ11/((1/1000)*(Irr!AH11+Irr!BF11)),IF(AND(Irr!J11=".",Irr!AH11=".",Irr!BF11&lt;&gt;"."),dir!AJ11/((1/1000)*(Irr!BF11)),IF(AND(Irr!J11=".",Irr!AH11&lt;&gt;".",Irr!BF11="."),dir!AJ11/((1/1000)*(Irr!AH11)),IF(AND(Irr!J11&lt;&gt;".",Irr!AH11=".",Irr!BF11="."),dir!AJ11/((1/1000)*(Irr!J11)),IF(AND(Irr!J11=".",Irr!AH11=".",Irr!BF11="."),dir!AJ11*1000)))))))),".")</f>
        <v>.</v>
      </c>
      <c r="AK11" s="48" t="str">
        <f>IFERROR(IF(AND(Irr!K11&lt;&gt;".",Irr!AI11&lt;&gt;".",Irr!BG11&lt;&gt;"."),dir!AK11/((1/1000)*(Irr!K11+Irr!AI11+Irr!BG11)),IF(AND(Irr!K11&lt;&gt;".",Irr!AI11&lt;&gt;".",Irr!BG11="."),dir!AK11/((1/1000)*(Irr!K11+Irr!AI11)),IF(AND(Irr!K11&lt;&gt;".",Irr!AI11=".",Irr!BG11&lt;&gt;"."),dir!AK11/((1/1000)*(Irr!K11+Irr!BG11)),IF(AND(Irr!K11=".",Irr!AI11&lt;&gt;".",Irr!BG11&lt;&gt;"."),dir!AK11/((1/1000)*(Irr!AI11+Irr!BG11)),IF(AND(Irr!K11=".",Irr!AI11=".",Irr!BG11&lt;&gt;"."),dir!AK11/((1/1000)*(Irr!BG11)),IF(AND(Irr!K11=".",Irr!AI11&lt;&gt;".",Irr!BG11="."),dir!AK11/((1/1000)*(Irr!AI11)),IF(AND(Irr!K11&lt;&gt;".",Irr!AI11=".",Irr!BG11="."),dir!AK11/((1/1000)*(Irr!K11)),IF(AND(Irr!K11=".",Irr!AI11=".",Irr!BG11="."),dir!AK11*1000)))))))),".")</f>
        <v>.</v>
      </c>
      <c r="AL11" s="48" t="str">
        <f>IFERROR(IF(AND(Irr!L11&lt;&gt;".",Irr!AJ11&lt;&gt;".",Irr!BH11&lt;&gt;"."),dir!AL11/((1/1000)*(Irr!L11+Irr!AJ11+Irr!BH11)),IF(AND(Irr!L11&lt;&gt;".",Irr!AJ11&lt;&gt;".",Irr!BH11="."),dir!AL11/((1/1000)*(Irr!L11+Irr!AJ11)),IF(AND(Irr!L11&lt;&gt;".",Irr!AJ11=".",Irr!BH11&lt;&gt;"."),dir!AL11/((1/1000)*(Irr!L11+Irr!BH11)),IF(AND(Irr!L11=".",Irr!AJ11&lt;&gt;".",Irr!BH11&lt;&gt;"."),dir!AL11/((1/1000)*(Irr!AJ11+Irr!BH11)),IF(AND(Irr!L11=".",Irr!AJ11=".",Irr!BH11&lt;&gt;"."),dir!AL11/((1/1000)*(Irr!BH11)),IF(AND(Irr!L11=".",Irr!AJ11&lt;&gt;".",Irr!BH11="."),dir!AL11/((1/1000)*(Irr!AJ11)),IF(AND(Irr!L11&lt;&gt;".",Irr!AJ11=".",Irr!BH11="."),dir!AL11/((1/1000)*(Irr!L11)),IF(AND(Irr!L11=".",Irr!AJ11=".",Irr!BH11="."),dir!AL11*1000)))))))),".")</f>
        <v>.</v>
      </c>
      <c r="AM11" s="48" t="str">
        <f>IFERROR(IF(AND(Irr!M11&lt;&gt;".",Irr!AK11&lt;&gt;".",Irr!BI11&lt;&gt;"."),dir!AM11/((1/1000)*(Irr!M11+Irr!AK11+Irr!BI11)),IF(AND(Irr!M11&lt;&gt;".",Irr!AK11&lt;&gt;".",Irr!BI11="."),dir!AM11/((1/1000)*(Irr!M11+Irr!AK11)),IF(AND(Irr!M11&lt;&gt;".",Irr!AK11=".",Irr!BI11&lt;&gt;"."),dir!AM11/((1/1000)*(Irr!M11+Irr!BI11)),IF(AND(Irr!M11=".",Irr!AK11&lt;&gt;".",Irr!BI11&lt;&gt;"."),dir!AM11/((1/1000)*(Irr!AK11+Irr!BI11)),IF(AND(Irr!M11=".",Irr!AK11=".",Irr!BI11&lt;&gt;"."),dir!AM11/((1/1000)*(Irr!BI11)),IF(AND(Irr!M11=".",Irr!AK11&lt;&gt;".",Irr!BI11="."),dir!AM11/((1/1000)*(Irr!AK11)),IF(AND(Irr!M11&lt;&gt;".",Irr!AK11=".",Irr!BI11="."),dir!AM11/((1/1000)*(Irr!M11)),IF(AND(Irr!M11=".",Irr!AK11=".",Irr!BI11="."),dir!AM11*1000)))))))),".")</f>
        <v>.</v>
      </c>
      <c r="AN11" s="48" t="str">
        <f>IFERROR(IF(AND(Irr!N11&lt;&gt;".",Irr!AL11&lt;&gt;".",Irr!BJ11&lt;&gt;"."),dir!AN11/((1/1000)*(Irr!N11+Irr!AL11+Irr!BJ11)),IF(AND(Irr!N11&lt;&gt;".",Irr!AL11&lt;&gt;".",Irr!BJ11="."),dir!AN11/((1/1000)*(Irr!N11+Irr!AL11)),IF(AND(Irr!N11&lt;&gt;".",Irr!AL11=".",Irr!BJ11&lt;&gt;"."),dir!AN11/((1/1000)*(Irr!N11+Irr!BJ11)),IF(AND(Irr!N11=".",Irr!AL11&lt;&gt;".",Irr!BJ11&lt;&gt;"."),dir!AN11/((1/1000)*(Irr!AL11+Irr!BJ11)),IF(AND(Irr!N11=".",Irr!AL11=".",Irr!BJ11&lt;&gt;"."),dir!AN11/((1/1000)*(Irr!BJ11)),IF(AND(Irr!N11=".",Irr!AL11&lt;&gt;".",Irr!BJ11="."),dir!AN11/((1/1000)*(Irr!AL11)),IF(AND(Irr!N11&lt;&gt;".",Irr!AL11=".",Irr!BJ11="."),dir!AN11/((1/1000)*(Irr!N11)),IF(AND(Irr!N11=".",Irr!AL11=".",Irr!BJ11="."),dir!AN11*1000)))))))),".")</f>
        <v>.</v>
      </c>
      <c r="AO11" s="48" t="str">
        <f>IFERROR(IF(AND(Irr!O11&lt;&gt;".",Irr!AM11&lt;&gt;".",Irr!BK11&lt;&gt;"."),dir!AO11/((1/1000)*(Irr!O11+Irr!AM11+Irr!BK11)),IF(AND(Irr!O11&lt;&gt;".",Irr!AM11&lt;&gt;".",Irr!BK11="."),dir!AO11/((1/1000)*(Irr!O11+Irr!AM11)),IF(AND(Irr!O11&lt;&gt;".",Irr!AM11=".",Irr!BK11&lt;&gt;"."),dir!AO11/((1/1000)*(Irr!O11+Irr!BK11)),IF(AND(Irr!O11=".",Irr!AM11&lt;&gt;".",Irr!BK11&lt;&gt;"."),dir!AO11/((1/1000)*(Irr!AM11+Irr!BK11)),IF(AND(Irr!O11=".",Irr!AM11=".",Irr!BK11&lt;&gt;"."),dir!AO11/((1/1000)*(Irr!BK11)),IF(AND(Irr!O11=".",Irr!AM11&lt;&gt;".",Irr!BK11="."),dir!AO11/((1/1000)*(Irr!AM11)),IF(AND(Irr!O11&lt;&gt;".",Irr!AM11=".",Irr!BK11="."),dir!AO11/((1/1000)*(Irr!O11)),IF(AND(Irr!O11=".",Irr!AM11=".",Irr!BK11="."),dir!AO11*1000)))))))),".")</f>
        <v>.</v>
      </c>
      <c r="AP11" s="48" t="str">
        <f>IFERROR(IF(AND(Irr!P11&lt;&gt;".",Irr!AN11&lt;&gt;".",Irr!BL11&lt;&gt;"."),dir!AP11/((1/1000)*(Irr!P11+Irr!AN11+Irr!BL11)),IF(AND(Irr!P11&lt;&gt;".",Irr!AN11&lt;&gt;".",Irr!BL11="."),dir!AP11/((1/1000)*(Irr!P11+Irr!AN11)),IF(AND(Irr!P11&lt;&gt;".",Irr!AN11=".",Irr!BL11&lt;&gt;"."),dir!AP11/((1/1000)*(Irr!P11+Irr!BL11)),IF(AND(Irr!P11=".",Irr!AN11&lt;&gt;".",Irr!BL11&lt;&gt;"."),dir!AP11/((1/1000)*(Irr!AN11+Irr!BL11)),IF(AND(Irr!P11=".",Irr!AN11=".",Irr!BL11&lt;&gt;"."),dir!AP11/((1/1000)*(Irr!BL11)),IF(AND(Irr!P11=".",Irr!AN11&lt;&gt;".",Irr!BL11="."),dir!AP11/((1/1000)*(Irr!AN11)),IF(AND(Irr!P11&lt;&gt;".",Irr!AN11=".",Irr!BL11="."),dir!AP11/((1/1000)*(Irr!P11)),IF(AND(Irr!P11=".",Irr!AN11=".",Irr!BL11="."),dir!AP11*1000)))))))),".")</f>
        <v>.</v>
      </c>
      <c r="AQ11" s="48" t="str">
        <f>IFERROR(IF(AND(Irr!Q11&lt;&gt;".",Irr!AO11&lt;&gt;".",Irr!BM11&lt;&gt;"."),dir!AQ11/((1/1000)*(Irr!Q11+Irr!AO11+Irr!BM11)),IF(AND(Irr!Q11&lt;&gt;".",Irr!AO11&lt;&gt;".",Irr!BM11="."),dir!AQ11/((1/1000)*(Irr!Q11+Irr!AO11)),IF(AND(Irr!Q11&lt;&gt;".",Irr!AO11=".",Irr!BM11&lt;&gt;"."),dir!AQ11/((1/1000)*(Irr!Q11+Irr!BM11)),IF(AND(Irr!Q11=".",Irr!AO11&lt;&gt;".",Irr!BM11&lt;&gt;"."),dir!AQ11/((1/1000)*(Irr!AO11+Irr!BM11)),IF(AND(Irr!Q11=".",Irr!AO11=".",Irr!BM11&lt;&gt;"."),dir!AQ11/((1/1000)*(Irr!BM11)),IF(AND(Irr!Q11=".",Irr!AO11&lt;&gt;".",Irr!BM11="."),dir!AQ11/((1/1000)*(Irr!AO11)),IF(AND(Irr!Q11&lt;&gt;".",Irr!AO11=".",Irr!BM11="."),dir!AQ11/((1/1000)*(Irr!Q11)),IF(AND(Irr!Q11=".",Irr!AO11=".",Irr!BM11="."),dir!AQ11*1000)))))))),".")</f>
        <v>.</v>
      </c>
      <c r="AR11" s="48" t="str">
        <f>IFERROR(IF(AND(Irr!R11&lt;&gt;".",Irr!AP11&lt;&gt;".",Irr!BN11&lt;&gt;"."),dir!AR11/((1/1000)*(Irr!R11+Irr!AP11+Irr!BN11)),IF(AND(Irr!R11&lt;&gt;".",Irr!AP11&lt;&gt;".",Irr!BN11="."),dir!AR11/((1/1000)*(Irr!R11+Irr!AP11)),IF(AND(Irr!R11&lt;&gt;".",Irr!AP11=".",Irr!BN11&lt;&gt;"."),dir!AR11/((1/1000)*(Irr!R11+Irr!BN11)),IF(AND(Irr!R11=".",Irr!AP11&lt;&gt;".",Irr!BN11&lt;&gt;"."),dir!AR11/((1/1000)*(Irr!AP11+Irr!BN11)),IF(AND(Irr!R11=".",Irr!AP11=".",Irr!BN11&lt;&gt;"."),dir!AR11/((1/1000)*(Irr!BN11)),IF(AND(Irr!R11=".",Irr!AP11&lt;&gt;".",Irr!BN11="."),dir!AR11/((1/1000)*(Irr!AP11)),IF(AND(Irr!R11&lt;&gt;".",Irr!AP11=".",Irr!BN11="."),dir!AR11/((1/1000)*(Irr!R11)),IF(AND(Irr!R11=".",Irr!AP11=".",Irr!BN11="."),dir!AR11*1000)))))))),".")</f>
        <v>.</v>
      </c>
      <c r="AS11" s="48" t="str">
        <f>IFERROR(IF(AND(Irr!S11&lt;&gt;".",Irr!AQ11&lt;&gt;".",Irr!BO11&lt;&gt;"."),dir!AS11/((1/1000)*(Irr!S11+Irr!AQ11+Irr!BO11)),IF(AND(Irr!S11&lt;&gt;".",Irr!AQ11&lt;&gt;".",Irr!BO11="."),dir!AS11/((1/1000)*(Irr!S11+Irr!AQ11)),IF(AND(Irr!S11&lt;&gt;".",Irr!AQ11=".",Irr!BO11&lt;&gt;"."),dir!AS11/((1/1000)*(Irr!S11+Irr!BO11)),IF(AND(Irr!S11=".",Irr!AQ11&lt;&gt;".",Irr!BO11&lt;&gt;"."),dir!AS11/((1/1000)*(Irr!AQ11+Irr!BO11)),IF(AND(Irr!S11=".",Irr!AQ11=".",Irr!BO11&lt;&gt;"."),dir!AS11/((1/1000)*(Irr!BO11)),IF(AND(Irr!S11=".",Irr!AQ11&lt;&gt;".",Irr!BO11="."),dir!AS11/((1/1000)*(Irr!AQ11)),IF(AND(Irr!S11&lt;&gt;".",Irr!AQ11=".",Irr!BO11="."),dir!AS11/((1/1000)*(Irr!S11)),IF(AND(Irr!S11=".",Irr!AQ11=".",Irr!BO11="."),dir!AS11*1000)))))))),".")</f>
        <v>.</v>
      </c>
      <c r="AT11" s="48" t="str">
        <f>IFERROR(IF(AND(Irr!T11&lt;&gt;".",Irr!AR11&lt;&gt;".",Irr!BP11&lt;&gt;"."),dir!AT11/((1/1000)*(Irr!T11+Irr!AR11+Irr!BP11)),IF(AND(Irr!T11&lt;&gt;".",Irr!AR11&lt;&gt;".",Irr!BP11="."),dir!AT11/((1/1000)*(Irr!T11+Irr!AR11)),IF(AND(Irr!T11&lt;&gt;".",Irr!AR11=".",Irr!BP11&lt;&gt;"."),dir!AT11/((1/1000)*(Irr!T11+Irr!BP11)),IF(AND(Irr!T11=".",Irr!AR11&lt;&gt;".",Irr!BP11&lt;&gt;"."),dir!AT11/((1/1000)*(Irr!AR11+Irr!BP11)),IF(AND(Irr!T11=".",Irr!AR11=".",Irr!BP11&lt;&gt;"."),dir!AT11/((1/1000)*(Irr!BP11)),IF(AND(Irr!T11=".",Irr!AR11&lt;&gt;".",Irr!BP11="."),dir!AT11/((1/1000)*(Irr!AR11)),IF(AND(Irr!T11&lt;&gt;".",Irr!AR11=".",Irr!BP11="."),dir!AT11/((1/1000)*(Irr!T11)),IF(AND(Irr!T11=".",Irr!AR11=".",Irr!BP11="."),dir!AT11*1000)))))))),".")</f>
        <v>.</v>
      </c>
      <c r="AU11" s="48" t="str">
        <f>IFERROR(IF(AND(Irr!U11&lt;&gt;".",Irr!AS11&lt;&gt;".",Irr!BQ11&lt;&gt;"."),dir!AU11/((1/1000)*(Irr!U11+Irr!AS11+Irr!BQ11)),IF(AND(Irr!U11&lt;&gt;".",Irr!AS11&lt;&gt;".",Irr!BQ11="."),dir!AU11/((1/1000)*(Irr!U11+Irr!AS11)),IF(AND(Irr!U11&lt;&gt;".",Irr!AS11=".",Irr!BQ11&lt;&gt;"."),dir!AU11/((1/1000)*(Irr!U11+Irr!BQ11)),IF(AND(Irr!U11=".",Irr!AS11&lt;&gt;".",Irr!BQ11&lt;&gt;"."),dir!AU11/((1/1000)*(Irr!AS11+Irr!BQ11)),IF(AND(Irr!U11=".",Irr!AS11=".",Irr!BQ11&lt;&gt;"."),dir!AU11/((1/1000)*(Irr!BQ11)),IF(AND(Irr!U11=".",Irr!AS11&lt;&gt;".",Irr!BQ11="."),dir!AU11/((1/1000)*(Irr!AS11)),IF(AND(Irr!U11&lt;&gt;".",Irr!AS11=".",Irr!BQ11="."),dir!AU11/((1/1000)*(Irr!U11)),IF(AND(Irr!U11=".",Irr!AS11=".",Irr!BQ11="."),dir!AU11*1000)))))))),".")</f>
        <v>.</v>
      </c>
      <c r="AV11" s="48" t="str">
        <f>IFERROR(IF(AND(Irr!V11&lt;&gt;".",Irr!AT11&lt;&gt;".",Irr!BR11&lt;&gt;"."),dir!AV11/((1/1000)*(Irr!V11+Irr!AT11+Irr!BR11)),IF(AND(Irr!V11&lt;&gt;".",Irr!AT11&lt;&gt;".",Irr!BR11="."),dir!AV11/((1/1000)*(Irr!V11+Irr!AT11)),IF(AND(Irr!V11&lt;&gt;".",Irr!AT11=".",Irr!BR11&lt;&gt;"."),dir!AV11/((1/1000)*(Irr!V11+Irr!BR11)),IF(AND(Irr!V11=".",Irr!AT11&lt;&gt;".",Irr!BR11&lt;&gt;"."),dir!AV11/((1/1000)*(Irr!AT11+Irr!BR11)),IF(AND(Irr!V11=".",Irr!AT11=".",Irr!BR11&lt;&gt;"."),dir!AV11/((1/1000)*(Irr!BR11)),IF(AND(Irr!V11=".",Irr!AT11&lt;&gt;".",Irr!BR11="."),dir!AV11/((1/1000)*(Irr!AT11)),IF(AND(Irr!V11&lt;&gt;".",Irr!AT11=".",Irr!BR11="."),dir!AV11/((1/1000)*(Irr!V11)),IF(AND(Irr!V11=".",Irr!AT11=".",Irr!BR11="."),dir!AV11*1000)))))))),".")</f>
        <v>.</v>
      </c>
      <c r="AW11" s="48" t="str">
        <f>IFERROR(IF(AND(Irr!W11&lt;&gt;".",Irr!AU11&lt;&gt;".",Irr!BS11&lt;&gt;"."),dir!AW11/((1/1000)*(Irr!W11+Irr!AU11+Irr!BS11)),IF(AND(Irr!W11&lt;&gt;".",Irr!AU11&lt;&gt;".",Irr!BS11="."),dir!AW11/((1/1000)*(Irr!W11+Irr!AU11)),IF(AND(Irr!W11&lt;&gt;".",Irr!AU11=".",Irr!BS11&lt;&gt;"."),dir!AW11/((1/1000)*(Irr!W11+Irr!BS11)),IF(AND(Irr!W11=".",Irr!AU11&lt;&gt;".",Irr!BS11&lt;&gt;"."),dir!AW11/((1/1000)*(Irr!AU11+Irr!BS11)),IF(AND(Irr!W11=".",Irr!AU11=".",Irr!BS11&lt;&gt;"."),dir!AW11/((1/1000)*(Irr!BS11)),IF(AND(Irr!W11=".",Irr!AU11&lt;&gt;".",Irr!BS11="."),dir!AW11/((1/1000)*(Irr!AU11)),IF(AND(Irr!W11&lt;&gt;".",Irr!AU11=".",Irr!BS11="."),dir!AW11/((1/1000)*(Irr!W11)),IF(AND(Irr!W11=".",Irr!AU11=".",Irr!BS11="."),dir!AW11*1000)))))))),".")</f>
        <v>.</v>
      </c>
      <c r="AX11" s="48" t="str">
        <f>IFERROR(IF(AND(Irr!X11&lt;&gt;".",Irr!AV11&lt;&gt;".",Irr!BT11&lt;&gt;"."),dir!AX11/((1/1000)*(Irr!X11+Irr!AV11+Irr!BT11)),IF(AND(Irr!X11&lt;&gt;".",Irr!AV11&lt;&gt;".",Irr!BT11="."),dir!AX11/((1/1000)*(Irr!X11+Irr!AV11)),IF(AND(Irr!X11&lt;&gt;".",Irr!AV11=".",Irr!BT11&lt;&gt;"."),dir!AX11/((1/1000)*(Irr!X11+Irr!BT11)),IF(AND(Irr!X11=".",Irr!AV11&lt;&gt;".",Irr!BT11&lt;&gt;"."),dir!AX11/((1/1000)*(Irr!AV11+Irr!BT11)),IF(AND(Irr!X11=".",Irr!AV11=".",Irr!BT11&lt;&gt;"."),dir!AX11/((1/1000)*(Irr!BT11)),IF(AND(Irr!X11=".",Irr!AV11&lt;&gt;".",Irr!BT11="."),dir!AX11/((1/1000)*(Irr!AV11)),IF(AND(Irr!X11&lt;&gt;".",Irr!AV11=".",Irr!BT11="."),dir!AX11/((1/1000)*(Irr!X11)),IF(AND(Irr!X11=".",Irr!AV11=".",Irr!BT11="."),dir!AX11*1000)))))))),".")</f>
        <v>.</v>
      </c>
      <c r="AY11" s="48" t="str">
        <f>IFERROR(IF(AND(Irr!Y11&lt;&gt;".",Irr!AW11&lt;&gt;".",Irr!BU11&lt;&gt;"."),dir!AY11/((1/1000)*(Irr!Y11+Irr!AW11+Irr!BU11)),IF(AND(Irr!Y11&lt;&gt;".",Irr!AW11&lt;&gt;".",Irr!BU11="."),dir!AY11/((1/1000)*(Irr!Y11+Irr!AW11)),IF(AND(Irr!Y11&lt;&gt;".",Irr!AW11=".",Irr!BU11&lt;&gt;"."),dir!AY11/((1/1000)*(Irr!Y11+Irr!BU11)),IF(AND(Irr!Y11=".",Irr!AW11&lt;&gt;".",Irr!BU11&lt;&gt;"."),dir!AY11/((1/1000)*(Irr!AW11+Irr!BU11)),IF(AND(Irr!Y11=".",Irr!AW11=".",Irr!BU11&lt;&gt;"."),dir!AY11/((1/1000)*(Irr!BU11)),IF(AND(Irr!Y11=".",Irr!AW11&lt;&gt;".",Irr!BU11="."),dir!AY11/((1/1000)*(Irr!AW11)),IF(AND(Irr!Y11&lt;&gt;".",Irr!AW11=".",Irr!BU11="."),dir!AY11/((1/1000)*(Irr!Y11)),IF(AND(Irr!Y11=".",Irr!AW11=".",Irr!BU11="."),dir!AY11*1000)))))))),".")</f>
        <v>.</v>
      </c>
      <c r="AZ11" s="48" t="str">
        <f>IFERROR(IF(AND(Irr!Z11&lt;&gt;".",Irr!AX11&lt;&gt;".",Irr!BV11&lt;&gt;"."),dir!AZ11/((1/1000)*(Irr!Z11+Irr!AX11+Irr!BV11)),IF(AND(Irr!Z11&lt;&gt;".",Irr!AX11&lt;&gt;".",Irr!BV11="."),dir!AZ11/((1/1000)*(Irr!Z11+Irr!AX11)),IF(AND(Irr!Z11&lt;&gt;".",Irr!AX11=".",Irr!BV11&lt;&gt;"."),dir!AZ11/((1/1000)*(Irr!Z11+Irr!BV11)),IF(AND(Irr!Z11=".",Irr!AX11&lt;&gt;".",Irr!BV11&lt;&gt;"."),dir!AZ11/((1/1000)*(Irr!AX11+Irr!BV11)),IF(AND(Irr!Z11=".",Irr!AX11=".",Irr!BV11&lt;&gt;"."),dir!AZ11/((1/1000)*(Irr!BV11)),IF(AND(Irr!Z11=".",Irr!AX11&lt;&gt;".",Irr!BV11="."),dir!AZ11/((1/1000)*(Irr!AX11)),IF(AND(Irr!Z11&lt;&gt;".",Irr!AX11=".",Irr!BV11="."),dir!AZ11/((1/1000)*(Irr!Z11)),IF(AND(Irr!Z11=".",Irr!AX11=".",Irr!BV11="."),dir!AZ11*1000)))))))),".")</f>
        <v>.</v>
      </c>
    </row>
    <row r="12" spans="1:52" ht="15" customHeight="1" x14ac:dyDescent="0.25">
      <c r="A12" s="61" t="s">
        <v>10</v>
      </c>
      <c r="B12" s="49" t="s">
        <v>1059</v>
      </c>
      <c r="C12" s="48" t="str">
        <f t="shared" ref="C12" si="10">IFERROR(1/SUM(1/D12,1/E12,1/F12,1/G12,1/H12,1/I12,1/J12,1/K12,1/L12,1/M12,1/N12,1/O12,1/P12,1/Q12,1/R12,1/S12,1/T12,1/U12,1/V12,1/W12,1/X12,1/Y12),".")</f>
        <v>.</v>
      </c>
      <c r="D12" s="48" t="str">
        <f>IFERROR(IF(AND(Irr!C12&lt;&gt;".",Irr!AA12&lt;&gt;".",Irr!AY12&lt;&gt;"."),dir!D12/((1/1000)*(Irr!C12+Irr!AA12+Irr!AY12)),IF(AND(Irr!C12&lt;&gt;".",Irr!AA12&lt;&gt;".",Irr!AY12="."),dir!D12/((1/1000)*(Irr!C12+Irr!AA12)),IF(AND(Irr!C12&lt;&gt;".",Irr!AA12=".",Irr!AY12&lt;&gt;"."),dir!D12/((1/1000)*(Irr!C12+Irr!AY12)),IF(AND(Irr!C12=".",Irr!AA12&lt;&gt;".",Irr!AY12&lt;&gt;"."),dir!D12/((1/1000)*(Irr!AA12+Irr!AY12)),IF(AND(Irr!C12=".",Irr!AA12=".",Irr!AY12&lt;&gt;"."),dir!D12/((1/1000)*(Irr!AY12)),IF(AND(Irr!C12=".",Irr!AA12&lt;&gt;".",Irr!AY12="."),dir!D12/((1/1000)*(Irr!AA12)),IF(AND(Irr!C12&lt;&gt;".",Irr!AA12=".",Irr!AY12="."),dir!D12/((1/1000)*(Irr!C12)),IF(AND(Irr!C12=".",Irr!AA12=".",Irr!AY12="."),dir!D12*1000)))))))),".")</f>
        <v>.</v>
      </c>
      <c r="E12" s="48" t="str">
        <f>IFERROR(IF(AND(Irr!D12&lt;&gt;".",Irr!AB12&lt;&gt;".",Irr!AZ12&lt;&gt;"."),dir!E12/((1/1000)*(Irr!D12+Irr!AB12+Irr!AZ12)),IF(AND(Irr!D12&lt;&gt;".",Irr!AB12&lt;&gt;".",Irr!AZ12="."),dir!E12/((1/1000)*(Irr!D12+Irr!AB12)),IF(AND(Irr!D12&lt;&gt;".",Irr!AB12=".",Irr!AZ12&lt;&gt;"."),dir!E12/((1/1000)*(Irr!D12+Irr!AZ12)),IF(AND(Irr!D12=".",Irr!AB12&lt;&gt;".",Irr!AZ12&lt;&gt;"."),dir!E12/((1/1000)*(Irr!AB12+Irr!AZ12)),IF(AND(Irr!D12=".",Irr!AB12=".",Irr!AZ12&lt;&gt;"."),dir!E12/((1/1000)*(Irr!AZ12)),IF(AND(Irr!D12=".",Irr!AB12&lt;&gt;".",Irr!AZ12="."),dir!E12/((1/1000)*(Irr!AB12)),IF(AND(Irr!D12&lt;&gt;".",Irr!AB12=".",Irr!AZ12="."),dir!E12/((1/1000)*(Irr!D12)),IF(AND(Irr!D12=".",Irr!AB12=".",Irr!AZ12="."),dir!E12*1000)))))))),".")</f>
        <v>.</v>
      </c>
      <c r="F12" s="48" t="str">
        <f>IFERROR(IF(AND(Irr!E12&lt;&gt;".",Irr!AC12&lt;&gt;".",Irr!BA12&lt;&gt;"."),dir!F12/((1/1000)*(Irr!E12+Irr!AC12+Irr!BA12)),IF(AND(Irr!E12&lt;&gt;".",Irr!AC12&lt;&gt;".",Irr!BA12="."),dir!F12/((1/1000)*(Irr!E12+Irr!AC12)),IF(AND(Irr!E12&lt;&gt;".",Irr!AC12=".",Irr!BA12&lt;&gt;"."),dir!F12/((1/1000)*(Irr!E12+Irr!BA12)),IF(AND(Irr!E12=".",Irr!AC12&lt;&gt;".",Irr!BA12&lt;&gt;"."),dir!F12/((1/1000)*(Irr!AC12+Irr!BA12)),IF(AND(Irr!E12=".",Irr!AC12=".",Irr!BA12&lt;&gt;"."),dir!F12/((1/1000)*(Irr!BA12)),IF(AND(Irr!E12=".",Irr!AC12&lt;&gt;".",Irr!BA12="."),dir!F12/((1/1000)*(Irr!AC12)),IF(AND(Irr!E12&lt;&gt;".",Irr!AC12=".",Irr!BA12="."),dir!F12/((1/1000)*(Irr!E12)),IF(AND(Irr!E12=".",Irr!AC12=".",Irr!BA12="."),dir!F12*1000)))))))),".")</f>
        <v>.</v>
      </c>
      <c r="G12" s="48" t="str">
        <f>IFERROR(IF(AND(Irr!F12&lt;&gt;".",Irr!AD12&lt;&gt;".",Irr!BB12&lt;&gt;"."),dir!G12/((1/1000)*(Irr!F12+Irr!AD12+Irr!BB12)),IF(AND(Irr!F12&lt;&gt;".",Irr!AD12&lt;&gt;".",Irr!BB12="."),dir!G12/((1/1000)*(Irr!F12+Irr!AD12)),IF(AND(Irr!F12&lt;&gt;".",Irr!AD12=".",Irr!BB12&lt;&gt;"."),dir!G12/((1/1000)*(Irr!F12+Irr!BB12)),IF(AND(Irr!F12=".",Irr!AD12&lt;&gt;".",Irr!BB12&lt;&gt;"."),dir!G12/((1/1000)*(Irr!AD12+Irr!BB12)),IF(AND(Irr!F12=".",Irr!AD12=".",Irr!BB12&lt;&gt;"."),dir!G12/((1/1000)*(Irr!BB12)),IF(AND(Irr!F12=".",Irr!AD12&lt;&gt;".",Irr!BB12="."),dir!G12/((1/1000)*(Irr!AD12)),IF(AND(Irr!F12&lt;&gt;".",Irr!AD12=".",Irr!BB12="."),dir!G12/((1/1000)*(Irr!F12)),IF(AND(Irr!F12=".",Irr!AD12=".",Irr!BB12="."),dir!G12*1000)))))))),".")</f>
        <v>.</v>
      </c>
      <c r="H12" s="48" t="str">
        <f>IFERROR(IF(AND(Irr!G12&lt;&gt;".",Irr!AE12&lt;&gt;".",Irr!BC12&lt;&gt;"."),dir!H12/((1/1000)*(Irr!G12+Irr!AE12+Irr!BC12)),IF(AND(Irr!G12&lt;&gt;".",Irr!AE12&lt;&gt;".",Irr!BC12="."),dir!H12/((1/1000)*(Irr!G12+Irr!AE12)),IF(AND(Irr!G12&lt;&gt;".",Irr!AE12=".",Irr!BC12&lt;&gt;"."),dir!H12/((1/1000)*(Irr!G12+Irr!BC12)),IF(AND(Irr!G12=".",Irr!AE12&lt;&gt;".",Irr!BC12&lt;&gt;"."),dir!H12/((1/1000)*(Irr!AE12+Irr!BC12)),IF(AND(Irr!G12=".",Irr!AE12=".",Irr!BC12&lt;&gt;"."),dir!H12/((1/1000)*(Irr!BC12)),IF(AND(Irr!G12=".",Irr!AE12&lt;&gt;".",Irr!BC12="."),dir!H12/((1/1000)*(Irr!AE12)),IF(AND(Irr!G12&lt;&gt;".",Irr!AE12=".",Irr!BC12="."),dir!H12/((1/1000)*(Irr!G12)),IF(AND(Irr!G12=".",Irr!AE12=".",Irr!BC12="."),dir!H12*1000)))))))),".")</f>
        <v>.</v>
      </c>
      <c r="I12" s="48" t="str">
        <f>IFERROR(IF(AND(Irr!H12&lt;&gt;".",Irr!AF12&lt;&gt;".",Irr!BD12&lt;&gt;"."),dir!I12/((1/1000)*(Irr!H12+Irr!AF12+Irr!BD12)),IF(AND(Irr!H12&lt;&gt;".",Irr!AF12&lt;&gt;".",Irr!BD12="."),dir!I12/((1/1000)*(Irr!H12+Irr!AF12)),IF(AND(Irr!H12&lt;&gt;".",Irr!AF12=".",Irr!BD12&lt;&gt;"."),dir!I12/((1/1000)*(Irr!H12+Irr!BD12)),IF(AND(Irr!H12=".",Irr!AF12&lt;&gt;".",Irr!BD12&lt;&gt;"."),dir!I12/((1/1000)*(Irr!AF12+Irr!BD12)),IF(AND(Irr!H12=".",Irr!AF12=".",Irr!BD12&lt;&gt;"."),dir!I12/((1/1000)*(Irr!BD12)),IF(AND(Irr!H12=".",Irr!AF12&lt;&gt;".",Irr!BD12="."),dir!I12/((1/1000)*(Irr!AF12)),IF(AND(Irr!H12&lt;&gt;".",Irr!AF12=".",Irr!BD12="."),dir!I12/((1/1000)*(Irr!H12)),IF(AND(Irr!H12=".",Irr!AF12=".",Irr!BD12="."),dir!I12*1000)))))))),".")</f>
        <v>.</v>
      </c>
      <c r="J12" s="48" t="str">
        <f>IFERROR(IF(AND(Irr!I12&lt;&gt;".",Irr!AG12&lt;&gt;".",Irr!BE12&lt;&gt;"."),dir!J12/((1/1000)*(Irr!I12+Irr!AG12+Irr!BE12)),IF(AND(Irr!I12&lt;&gt;".",Irr!AG12&lt;&gt;".",Irr!BE12="."),dir!J12/((1/1000)*(Irr!I12+Irr!AG12)),IF(AND(Irr!I12&lt;&gt;".",Irr!AG12=".",Irr!BE12&lt;&gt;"."),dir!J12/((1/1000)*(Irr!I12+Irr!BE12)),IF(AND(Irr!I12=".",Irr!AG12&lt;&gt;".",Irr!BE12&lt;&gt;"."),dir!J12/((1/1000)*(Irr!AG12+Irr!BE12)),IF(AND(Irr!I12=".",Irr!AG12=".",Irr!BE12&lt;&gt;"."),dir!J12/((1/1000)*(Irr!BE12)),IF(AND(Irr!I12=".",Irr!AG12&lt;&gt;".",Irr!BE12="."),dir!J12/((1/1000)*(Irr!AG12)),IF(AND(Irr!I12&lt;&gt;".",Irr!AG12=".",Irr!BE12="."),dir!J12/((1/1000)*(Irr!I12)),IF(AND(Irr!I12=".",Irr!AG12=".",Irr!BE12="."),dir!J12*1000)))))))),".")</f>
        <v>.</v>
      </c>
      <c r="K12" s="48" t="str">
        <f>IFERROR(IF(AND(Irr!J12&lt;&gt;".",Irr!AH12&lt;&gt;".",Irr!BF12&lt;&gt;"."),dir!K12/((1/1000)*(Irr!J12+Irr!AH12+Irr!BF12)),IF(AND(Irr!J12&lt;&gt;".",Irr!AH12&lt;&gt;".",Irr!BF12="."),dir!K12/((1/1000)*(Irr!J12+Irr!AH12)),IF(AND(Irr!J12&lt;&gt;".",Irr!AH12=".",Irr!BF12&lt;&gt;"."),dir!K12/((1/1000)*(Irr!J12+Irr!BF12)),IF(AND(Irr!J12=".",Irr!AH12&lt;&gt;".",Irr!BF12&lt;&gt;"."),dir!K12/((1/1000)*(Irr!AH12+Irr!BF12)),IF(AND(Irr!J12=".",Irr!AH12=".",Irr!BF12&lt;&gt;"."),dir!K12/((1/1000)*(Irr!BF12)),IF(AND(Irr!J12=".",Irr!AH12&lt;&gt;".",Irr!BF12="."),dir!K12/((1/1000)*(Irr!AH12)),IF(AND(Irr!J12&lt;&gt;".",Irr!AH12=".",Irr!BF12="."),dir!K12/((1/1000)*(Irr!J12)),IF(AND(Irr!J12=".",Irr!AH12=".",Irr!BF12="."),dir!K12*1000)))))))),".")</f>
        <v>.</v>
      </c>
      <c r="L12" s="48" t="str">
        <f>IFERROR(IF(AND(Irr!K12&lt;&gt;".",Irr!AI12&lt;&gt;".",Irr!BG12&lt;&gt;"."),dir!L12/((1/1000)*(Irr!K12+Irr!AI12+Irr!BG12)),IF(AND(Irr!K12&lt;&gt;".",Irr!AI12&lt;&gt;".",Irr!BG12="."),dir!L12/((1/1000)*(Irr!K12+Irr!AI12)),IF(AND(Irr!K12&lt;&gt;".",Irr!AI12=".",Irr!BG12&lt;&gt;"."),dir!L12/((1/1000)*(Irr!K12+Irr!BG12)),IF(AND(Irr!K12=".",Irr!AI12&lt;&gt;".",Irr!BG12&lt;&gt;"."),dir!L12/((1/1000)*(Irr!AI12+Irr!BG12)),IF(AND(Irr!K12=".",Irr!AI12=".",Irr!BG12&lt;&gt;"."),dir!L12/((1/1000)*(Irr!BG12)),IF(AND(Irr!K12=".",Irr!AI12&lt;&gt;".",Irr!BG12="."),dir!L12/((1/1000)*(Irr!AI12)),IF(AND(Irr!K12&lt;&gt;".",Irr!AI12=".",Irr!BG12="."),dir!L12/((1/1000)*(Irr!K12)),IF(AND(Irr!K12=".",Irr!AI12=".",Irr!BG12="."),dir!L12*1000)))))))),".")</f>
        <v>.</v>
      </c>
      <c r="M12" s="48" t="str">
        <f>IFERROR(IF(AND(Irr!L12&lt;&gt;".",Irr!AJ12&lt;&gt;".",Irr!BH12&lt;&gt;"."),dir!M12/((1/1000)*(Irr!L12+Irr!AJ12+Irr!BH12)),IF(AND(Irr!L12&lt;&gt;".",Irr!AJ12&lt;&gt;".",Irr!BH12="."),dir!M12/((1/1000)*(Irr!L12+Irr!AJ12)),IF(AND(Irr!L12&lt;&gt;".",Irr!AJ12=".",Irr!BH12&lt;&gt;"."),dir!M12/((1/1000)*(Irr!L12+Irr!BH12)),IF(AND(Irr!L12=".",Irr!AJ12&lt;&gt;".",Irr!BH12&lt;&gt;"."),dir!M12/((1/1000)*(Irr!AJ12+Irr!BH12)),IF(AND(Irr!L12=".",Irr!AJ12=".",Irr!BH12&lt;&gt;"."),dir!M12/((1/1000)*(Irr!BH12)),IF(AND(Irr!L12=".",Irr!AJ12&lt;&gt;".",Irr!BH12="."),dir!M12/((1/1000)*(Irr!AJ12)),IF(AND(Irr!L12&lt;&gt;".",Irr!AJ12=".",Irr!BH12="."),dir!M12/((1/1000)*(Irr!L12)),IF(AND(Irr!L12=".",Irr!AJ12=".",Irr!BH12="."),dir!M12*1000)))))))),".")</f>
        <v>.</v>
      </c>
      <c r="N12" s="48" t="str">
        <f>IFERROR(IF(AND(Irr!M12&lt;&gt;".",Irr!AK12&lt;&gt;".",Irr!BI12&lt;&gt;"."),dir!N12/((1/1000)*(Irr!M12+Irr!AK12+Irr!BI12)),IF(AND(Irr!M12&lt;&gt;".",Irr!AK12&lt;&gt;".",Irr!BI12="."),dir!N12/((1/1000)*(Irr!M12+Irr!AK12)),IF(AND(Irr!M12&lt;&gt;".",Irr!AK12=".",Irr!BI12&lt;&gt;"."),dir!N12/((1/1000)*(Irr!M12+Irr!BI12)),IF(AND(Irr!M12=".",Irr!AK12&lt;&gt;".",Irr!BI12&lt;&gt;"."),dir!N12/((1/1000)*(Irr!AK12+Irr!BI12)),IF(AND(Irr!M12=".",Irr!AK12=".",Irr!BI12&lt;&gt;"."),dir!N12/((1/1000)*(Irr!BI12)),IF(AND(Irr!M12=".",Irr!AK12&lt;&gt;".",Irr!BI12="."),dir!N12/((1/1000)*(Irr!AK12)),IF(AND(Irr!M12&lt;&gt;".",Irr!AK12=".",Irr!BI12="."),dir!N12/((1/1000)*(Irr!M12)),IF(AND(Irr!M12=".",Irr!AK12=".",Irr!BI12="."),dir!N12*1000)))))))),".")</f>
        <v>.</v>
      </c>
      <c r="O12" s="48" t="str">
        <f>IFERROR(IF(AND(Irr!N12&lt;&gt;".",Irr!AL12&lt;&gt;".",Irr!BJ12&lt;&gt;"."),dir!O12/((1/1000)*(Irr!N12+Irr!AL12+Irr!BJ12)),IF(AND(Irr!N12&lt;&gt;".",Irr!AL12&lt;&gt;".",Irr!BJ12="."),dir!O12/((1/1000)*(Irr!N12+Irr!AL12)),IF(AND(Irr!N12&lt;&gt;".",Irr!AL12=".",Irr!BJ12&lt;&gt;"."),dir!O12/((1/1000)*(Irr!N12+Irr!BJ12)),IF(AND(Irr!N12=".",Irr!AL12&lt;&gt;".",Irr!BJ12&lt;&gt;"."),dir!O12/((1/1000)*(Irr!AL12+Irr!BJ12)),IF(AND(Irr!N12=".",Irr!AL12=".",Irr!BJ12&lt;&gt;"."),dir!O12/((1/1000)*(Irr!BJ12)),IF(AND(Irr!N12=".",Irr!AL12&lt;&gt;".",Irr!BJ12="."),dir!O12/((1/1000)*(Irr!AL12)),IF(AND(Irr!N12&lt;&gt;".",Irr!AL12=".",Irr!BJ12="."),dir!O12/((1/1000)*(Irr!N12)),IF(AND(Irr!N12=".",Irr!AL12=".",Irr!BJ12="."),dir!O12*1000)))))))),".")</f>
        <v>.</v>
      </c>
      <c r="P12" s="48" t="str">
        <f>IFERROR(IF(AND(Irr!O12&lt;&gt;".",Irr!AM12&lt;&gt;".",Irr!BK12&lt;&gt;"."),dir!P12/((1/1000)*(Irr!O12+Irr!AM12+Irr!BK12)),IF(AND(Irr!O12&lt;&gt;".",Irr!AM12&lt;&gt;".",Irr!BK12="."),dir!P12/((1/1000)*(Irr!O12+Irr!AM12)),IF(AND(Irr!O12&lt;&gt;".",Irr!AM12=".",Irr!BK12&lt;&gt;"."),dir!P12/((1/1000)*(Irr!O12+Irr!BK12)),IF(AND(Irr!O12=".",Irr!AM12&lt;&gt;".",Irr!BK12&lt;&gt;"."),dir!P12/((1/1000)*(Irr!AM12+Irr!BK12)),IF(AND(Irr!O12=".",Irr!AM12=".",Irr!BK12&lt;&gt;"."),dir!P12/((1/1000)*(Irr!BK12)),IF(AND(Irr!O12=".",Irr!AM12&lt;&gt;".",Irr!BK12="."),dir!P12/((1/1000)*(Irr!AM12)),IF(AND(Irr!O12&lt;&gt;".",Irr!AM12=".",Irr!BK12="."),dir!P12/((1/1000)*(Irr!O12)),IF(AND(Irr!O12=".",Irr!AM12=".",Irr!BK12="."),dir!P12*1000)))))))),".")</f>
        <v>.</v>
      </c>
      <c r="Q12" s="48" t="str">
        <f>IFERROR(IF(AND(Irr!P12&lt;&gt;".",Irr!AN12&lt;&gt;".",Irr!BL12&lt;&gt;"."),dir!Q12/((1/1000)*(Irr!P12+Irr!AN12+Irr!BL12)),IF(AND(Irr!P12&lt;&gt;".",Irr!AN12&lt;&gt;".",Irr!BL12="."),dir!Q12/((1/1000)*(Irr!P12+Irr!AN12)),IF(AND(Irr!P12&lt;&gt;".",Irr!AN12=".",Irr!BL12&lt;&gt;"."),dir!Q12/((1/1000)*(Irr!P12+Irr!BL12)),IF(AND(Irr!P12=".",Irr!AN12&lt;&gt;".",Irr!BL12&lt;&gt;"."),dir!Q12/((1/1000)*(Irr!AN12+Irr!BL12)),IF(AND(Irr!P12=".",Irr!AN12=".",Irr!BL12&lt;&gt;"."),dir!Q12/((1/1000)*(Irr!BL12)),IF(AND(Irr!P12=".",Irr!AN12&lt;&gt;".",Irr!BL12="."),dir!Q12/((1/1000)*(Irr!AN12)),IF(AND(Irr!P12&lt;&gt;".",Irr!AN12=".",Irr!BL12="."),dir!Q12/((1/1000)*(Irr!P12)),IF(AND(Irr!P12=".",Irr!AN12=".",Irr!BL12="."),dir!Q12*1000)))))))),".")</f>
        <v>.</v>
      </c>
      <c r="R12" s="48" t="str">
        <f>IFERROR(IF(AND(Irr!Q12&lt;&gt;".",Irr!AO12&lt;&gt;".",Irr!BM12&lt;&gt;"."),dir!R12/((1/1000)*(Irr!Q12+Irr!AO12+Irr!BM12)),IF(AND(Irr!Q12&lt;&gt;".",Irr!AO12&lt;&gt;".",Irr!BM12="."),dir!R12/((1/1000)*(Irr!Q12+Irr!AO12)),IF(AND(Irr!Q12&lt;&gt;".",Irr!AO12=".",Irr!BM12&lt;&gt;"."),dir!R12/((1/1000)*(Irr!Q12+Irr!BM12)),IF(AND(Irr!Q12=".",Irr!AO12&lt;&gt;".",Irr!BM12&lt;&gt;"."),dir!R12/((1/1000)*(Irr!AO12+Irr!BM12)),IF(AND(Irr!Q12=".",Irr!AO12=".",Irr!BM12&lt;&gt;"."),dir!R12/((1/1000)*(Irr!BM12)),IF(AND(Irr!Q12=".",Irr!AO12&lt;&gt;".",Irr!BM12="."),dir!R12/((1/1000)*(Irr!AO12)),IF(AND(Irr!Q12&lt;&gt;".",Irr!AO12=".",Irr!BM12="."),dir!R12/((1/1000)*(Irr!Q12)),IF(AND(Irr!Q12=".",Irr!AO12=".",Irr!BM12="."),dir!R12*1000)))))))),".")</f>
        <v>.</v>
      </c>
      <c r="S12" s="48" t="str">
        <f>IFERROR(IF(AND(Irr!R12&lt;&gt;".",Irr!AP12&lt;&gt;".",Irr!BN12&lt;&gt;"."),dir!S12/((1/1000)*(Irr!R12+Irr!AP12+Irr!BN12)),IF(AND(Irr!R12&lt;&gt;".",Irr!AP12&lt;&gt;".",Irr!BN12="."),dir!S12/((1/1000)*(Irr!R12+Irr!AP12)),IF(AND(Irr!R12&lt;&gt;".",Irr!AP12=".",Irr!BN12&lt;&gt;"."),dir!S12/((1/1000)*(Irr!R12+Irr!BN12)),IF(AND(Irr!R12=".",Irr!AP12&lt;&gt;".",Irr!BN12&lt;&gt;"."),dir!S12/((1/1000)*(Irr!AP12+Irr!BN12)),IF(AND(Irr!R12=".",Irr!AP12=".",Irr!BN12&lt;&gt;"."),dir!S12/((1/1000)*(Irr!BN12)),IF(AND(Irr!R12=".",Irr!AP12&lt;&gt;".",Irr!BN12="."),dir!S12/((1/1000)*(Irr!AP12)),IF(AND(Irr!R12&lt;&gt;".",Irr!AP12=".",Irr!BN12="."),dir!S12/((1/1000)*(Irr!R12)),IF(AND(Irr!R12=".",Irr!AP12=".",Irr!BN12="."),dir!S12*1000)))))))),".")</f>
        <v>.</v>
      </c>
      <c r="T12" s="48" t="str">
        <f>IFERROR(IF(AND(Irr!S12&lt;&gt;".",Irr!AQ12&lt;&gt;".",Irr!BO12&lt;&gt;"."),dir!T12/((1/1000)*(Irr!S12+Irr!AQ12+Irr!BO12)),IF(AND(Irr!S12&lt;&gt;".",Irr!AQ12&lt;&gt;".",Irr!BO12="."),dir!T12/((1/1000)*(Irr!S12+Irr!AQ12)),IF(AND(Irr!S12&lt;&gt;".",Irr!AQ12=".",Irr!BO12&lt;&gt;"."),dir!T12/((1/1000)*(Irr!S12+Irr!BO12)),IF(AND(Irr!S12=".",Irr!AQ12&lt;&gt;".",Irr!BO12&lt;&gt;"."),dir!T12/((1/1000)*(Irr!AQ12+Irr!BO12)),IF(AND(Irr!S12=".",Irr!AQ12=".",Irr!BO12&lt;&gt;"."),dir!T12/((1/1000)*(Irr!BO12)),IF(AND(Irr!S12=".",Irr!AQ12&lt;&gt;".",Irr!BO12="."),dir!T12/((1/1000)*(Irr!AQ12)),IF(AND(Irr!S12&lt;&gt;".",Irr!AQ12=".",Irr!BO12="."),dir!T12/((1/1000)*(Irr!S12)),IF(AND(Irr!S12=".",Irr!AQ12=".",Irr!BO12="."),dir!T12*1000)))))))),".")</f>
        <v>.</v>
      </c>
      <c r="U12" s="48" t="str">
        <f>IFERROR(IF(AND(Irr!T12&lt;&gt;".",Irr!AR12&lt;&gt;".",Irr!BP12&lt;&gt;"."),dir!U12/((1/1000)*(Irr!T12+Irr!AR12+Irr!BP12)),IF(AND(Irr!T12&lt;&gt;".",Irr!AR12&lt;&gt;".",Irr!BP12="."),dir!U12/((1/1000)*(Irr!T12+Irr!AR12)),IF(AND(Irr!T12&lt;&gt;".",Irr!AR12=".",Irr!BP12&lt;&gt;"."),dir!U12/((1/1000)*(Irr!T12+Irr!BP12)),IF(AND(Irr!T12=".",Irr!AR12&lt;&gt;".",Irr!BP12&lt;&gt;"."),dir!U12/((1/1000)*(Irr!AR12+Irr!BP12)),IF(AND(Irr!T12=".",Irr!AR12=".",Irr!BP12&lt;&gt;"."),dir!U12/((1/1000)*(Irr!BP12)),IF(AND(Irr!T12=".",Irr!AR12&lt;&gt;".",Irr!BP12="."),dir!U12/((1/1000)*(Irr!AR12)),IF(AND(Irr!T12&lt;&gt;".",Irr!AR12=".",Irr!BP12="."),dir!U12/((1/1000)*(Irr!T12)),IF(AND(Irr!T12=".",Irr!AR12=".",Irr!BP12="."),dir!U12*1000)))))))),".")</f>
        <v>.</v>
      </c>
      <c r="V12" s="48" t="str">
        <f>IFERROR(IF(AND(Irr!U12&lt;&gt;".",Irr!AS12&lt;&gt;".",Irr!BQ12&lt;&gt;"."),dir!V12/((1/1000)*(Irr!U12+Irr!AS12+Irr!BQ12)),IF(AND(Irr!U12&lt;&gt;".",Irr!AS12&lt;&gt;".",Irr!BQ12="."),dir!V12/((1/1000)*(Irr!U12+Irr!AS12)),IF(AND(Irr!U12&lt;&gt;".",Irr!AS12=".",Irr!BQ12&lt;&gt;"."),dir!V12/((1/1000)*(Irr!U12+Irr!BQ12)),IF(AND(Irr!U12=".",Irr!AS12&lt;&gt;".",Irr!BQ12&lt;&gt;"."),dir!V12/((1/1000)*(Irr!AS12+Irr!BQ12)),IF(AND(Irr!U12=".",Irr!AS12=".",Irr!BQ12&lt;&gt;"."),dir!V12/((1/1000)*(Irr!BQ12)),IF(AND(Irr!U12=".",Irr!AS12&lt;&gt;".",Irr!BQ12="."),dir!V12/((1/1000)*(Irr!AS12)),IF(AND(Irr!U12&lt;&gt;".",Irr!AS12=".",Irr!BQ12="."),dir!V12/((1/1000)*(Irr!U12)),IF(AND(Irr!U12=".",Irr!AS12=".",Irr!BQ12="."),dir!V12*1000)))))))),".")</f>
        <v>.</v>
      </c>
      <c r="W12" s="48" t="str">
        <f>IFERROR(IF(AND(Irr!V12&lt;&gt;".",Irr!AT12&lt;&gt;".",Irr!BR12&lt;&gt;"."),dir!W12/((1/1000)*(Irr!V12+Irr!AT12+Irr!BR12)),IF(AND(Irr!V12&lt;&gt;".",Irr!AT12&lt;&gt;".",Irr!BR12="."),dir!W12/((1/1000)*(Irr!V12+Irr!AT12)),IF(AND(Irr!V12&lt;&gt;".",Irr!AT12=".",Irr!BR12&lt;&gt;"."),dir!W12/((1/1000)*(Irr!V12+Irr!BR12)),IF(AND(Irr!V12=".",Irr!AT12&lt;&gt;".",Irr!BR12&lt;&gt;"."),dir!W12/((1/1000)*(Irr!AT12+Irr!BR12)),IF(AND(Irr!V12=".",Irr!AT12=".",Irr!BR12&lt;&gt;"."),dir!W12/((1/1000)*(Irr!BR12)),IF(AND(Irr!V12=".",Irr!AT12&lt;&gt;".",Irr!BR12="."),dir!W12/((1/1000)*(Irr!AT12)),IF(AND(Irr!V12&lt;&gt;".",Irr!AT12=".",Irr!BR12="."),dir!W12/((1/1000)*(Irr!V12)),IF(AND(Irr!V12=".",Irr!AT12=".",Irr!BR12="."),dir!W12*1000)))))))),".")</f>
        <v>.</v>
      </c>
      <c r="X12" s="48" t="str">
        <f>IFERROR(IF(AND(Irr!W12&lt;&gt;".",Irr!AU12&lt;&gt;".",Irr!BS12&lt;&gt;"."),dir!X12/((1/1000)*(Irr!W12+Irr!AU12+Irr!BS12)),IF(AND(Irr!W12&lt;&gt;".",Irr!AU12&lt;&gt;".",Irr!BS12="."),dir!X12/((1/1000)*(Irr!W12+Irr!AU12)),IF(AND(Irr!W12&lt;&gt;".",Irr!AU12=".",Irr!BS12&lt;&gt;"."),dir!X12/((1/1000)*(Irr!W12+Irr!BS12)),IF(AND(Irr!W12=".",Irr!AU12&lt;&gt;".",Irr!BS12&lt;&gt;"."),dir!X12/((1/1000)*(Irr!AU12+Irr!BS12)),IF(AND(Irr!W12=".",Irr!AU12=".",Irr!BS12&lt;&gt;"."),dir!X12/((1/1000)*(Irr!BS12)),IF(AND(Irr!W12=".",Irr!AU12&lt;&gt;".",Irr!BS12="."),dir!X12/((1/1000)*(Irr!AU12)),IF(AND(Irr!W12&lt;&gt;".",Irr!AU12=".",Irr!BS12="."),dir!X12/((1/1000)*(Irr!W12)),IF(AND(Irr!W12=".",Irr!AU12=".",Irr!BS12="."),dir!X12*1000)))))))),".")</f>
        <v>.</v>
      </c>
      <c r="Y12" s="48" t="str">
        <f>IFERROR(IF(AND(Irr!X12&lt;&gt;".",Irr!AV12&lt;&gt;".",Irr!BT12&lt;&gt;"."),dir!Y12/((1/1000)*(Irr!X12+Irr!AV12+Irr!BT12)),IF(AND(Irr!X12&lt;&gt;".",Irr!AV12&lt;&gt;".",Irr!BT12="."),dir!Y12/((1/1000)*(Irr!X12+Irr!AV12)),IF(AND(Irr!X12&lt;&gt;".",Irr!AV12=".",Irr!BT12&lt;&gt;"."),dir!Y12/((1/1000)*(Irr!X12+Irr!BT12)),IF(AND(Irr!X12=".",Irr!AV12&lt;&gt;".",Irr!BT12&lt;&gt;"."),dir!Y12/((1/1000)*(Irr!AV12+Irr!BT12)),IF(AND(Irr!X12=".",Irr!AV12=".",Irr!BT12&lt;&gt;"."),dir!Y12/((1/1000)*(Irr!BT12)),IF(AND(Irr!X12=".",Irr!AV12&lt;&gt;".",Irr!BT12="."),dir!Y12/((1/1000)*(Irr!AV12)),IF(AND(Irr!X12&lt;&gt;".",Irr!AV12=".",Irr!BT12="."),dir!Y12/((1/1000)*(Irr!X12)),IF(AND(Irr!X12=".",Irr!AV12=".",Irr!BT12="."),dir!Y12*1000)))))))),".")</f>
        <v>.</v>
      </c>
      <c r="Z12" s="48" t="str">
        <f>IFERROR(IF(AND(Irr!Y12&lt;&gt;".",Irr!AW12&lt;&gt;".",Irr!BU12&lt;&gt;"."),dir!Z12/((1/1000)*(Irr!Y12+Irr!AW12+Irr!BU12)),IF(AND(Irr!Y12&lt;&gt;".",Irr!AW12&lt;&gt;".",Irr!BU12="."),dir!Z12/((1/1000)*(Irr!Y12+Irr!AW12)),IF(AND(Irr!Y12&lt;&gt;".",Irr!AW12=".",Irr!BU12&lt;&gt;"."),dir!Z12/((1/1000)*(Irr!Y12+Irr!BU12)),IF(AND(Irr!Y12=".",Irr!AW12&lt;&gt;".",Irr!BU12&lt;&gt;"."),dir!Z12/((1/1000)*(Irr!AW12+Irr!BU12)),IF(AND(Irr!Y12=".",Irr!AW12=".",Irr!BU12&lt;&gt;"."),dir!Z12/((1/1000)*(Irr!BU12)),IF(AND(Irr!Y12=".",Irr!AW12&lt;&gt;".",Irr!BU12="."),dir!Z12/((1/1000)*(Irr!AW12)),IF(AND(Irr!Y12&lt;&gt;".",Irr!AW12=".",Irr!BU12="."),dir!Z12/((1/1000)*(Irr!Y12)),IF(AND(Irr!Y12=".",Irr!AW12=".",Irr!BU12="."),dir!Z12*1000)))))))),".")</f>
        <v>.</v>
      </c>
      <c r="AA12" s="48" t="str">
        <f>IFERROR(IF(AND(Irr!Z12&lt;&gt;".",Irr!AX12&lt;&gt;".",Irr!BV12&lt;&gt;"."),dir!AA12/((1/1000)*(Irr!Z12+Irr!AX12+Irr!BV12)),IF(AND(Irr!Z12&lt;&gt;".",Irr!AX12&lt;&gt;".",Irr!BV12="."),dir!AA12/((1/1000)*(Irr!Z12+Irr!AX12)),IF(AND(Irr!Z12&lt;&gt;".",Irr!AX12=".",Irr!BV12&lt;&gt;"."),dir!AA12/((1/1000)*(Irr!Z12+Irr!BV12)),IF(AND(Irr!Z12=".",Irr!AX12&lt;&gt;".",Irr!BV12&lt;&gt;"."),dir!AA12/((1/1000)*(Irr!AX12+Irr!BV12)),IF(AND(Irr!Z12=".",Irr!AX12=".",Irr!BV12&lt;&gt;"."),dir!AA12/((1/1000)*(Irr!BV12)),IF(AND(Irr!Z12=".",Irr!AX12&lt;&gt;".",Irr!BV12="."),dir!AA12/((1/1000)*(Irr!AX12)),IF(AND(Irr!Z12&lt;&gt;".",Irr!AX12=".",Irr!BV12="."),dir!AA12/((1/1000)*(Irr!Z12)),IF(AND(Irr!Z12=".",Irr!AX12=".",Irr!BV12="."),dir!AA12*1000)))))))),".")</f>
        <v>.</v>
      </c>
      <c r="AB12" s="48" t="str">
        <f t="shared" ref="AB12" si="11">IFERROR(1/SUM(1/AC12,1/AD12,1/AE12,1/AF12,1/AG12,1/AH12,1/AI12,1/AJ12,1/AK12,1/AL12,1/AM12,1/AN12,1/AO12,1/AP12,1/AQ12,1/AR12,1/AS12,1/AT12,1/AU12,1/AV12,1/AW12,1/AX12),".")</f>
        <v>.</v>
      </c>
      <c r="AC12" s="48" t="str">
        <f>IFERROR(IF(AND(Irr!C12&lt;&gt;".",Irr!AA12&lt;&gt;".",Irr!AY12&lt;&gt;"."),dir!AC12/((1/1000)*(Irr!C12+Irr!AA12+Irr!AY12)),IF(AND(Irr!C12&lt;&gt;".",Irr!AA12&lt;&gt;".",Irr!AY12="."),dir!AC12/((1/1000)*(Irr!C12+Irr!AA12)),IF(AND(Irr!C12&lt;&gt;".",Irr!AA12=".",Irr!AY12&lt;&gt;"."),dir!AC12/((1/1000)*(Irr!C12+Irr!AY12)),IF(AND(Irr!C12=".",Irr!AA12&lt;&gt;".",Irr!AY12&lt;&gt;"."),dir!AC12/((1/1000)*(Irr!AA12+Irr!AY12)),IF(AND(Irr!C12=".",Irr!AA12=".",Irr!AY12&lt;&gt;"."),dir!AC12/((1/1000)*(Irr!AY12)),IF(AND(Irr!C12=".",Irr!AA12&lt;&gt;".",Irr!AY12="."),dir!AC12/((1/1000)*(Irr!AA12)),IF(AND(Irr!C12&lt;&gt;".",Irr!AA12=".",Irr!AY12="."),dir!AC12/((1/1000)*(Irr!C12)),IF(AND(Irr!C12=".",Irr!AA12=".",Irr!AY12="."),dir!AC12*1000)))))))),".")</f>
        <v>.</v>
      </c>
      <c r="AD12" s="48" t="str">
        <f>IFERROR(IF(AND(Irr!D12&lt;&gt;".",Irr!AB12&lt;&gt;".",Irr!AZ12&lt;&gt;"."),dir!AD12/((1/1000)*(Irr!D12+Irr!AB12+Irr!AZ12)),IF(AND(Irr!D12&lt;&gt;".",Irr!AB12&lt;&gt;".",Irr!AZ12="."),dir!AD12/((1/1000)*(Irr!D12+Irr!AB12)),IF(AND(Irr!D12&lt;&gt;".",Irr!AB12=".",Irr!AZ12&lt;&gt;"."),dir!AD12/((1/1000)*(Irr!D12+Irr!AZ12)),IF(AND(Irr!D12=".",Irr!AB12&lt;&gt;".",Irr!AZ12&lt;&gt;"."),dir!AD12/((1/1000)*(Irr!AB12+Irr!AZ12)),IF(AND(Irr!D12=".",Irr!AB12=".",Irr!AZ12&lt;&gt;"."),dir!AD12/((1/1000)*(Irr!AZ12)),IF(AND(Irr!D12=".",Irr!AB12&lt;&gt;".",Irr!AZ12="."),dir!AD12/((1/1000)*(Irr!AB12)),IF(AND(Irr!D12&lt;&gt;".",Irr!AB12=".",Irr!AZ12="."),dir!AD12/((1/1000)*(Irr!D12)),IF(AND(Irr!D12=".",Irr!AB12=".",Irr!AZ12="."),dir!AD12*1000)))))))),".")</f>
        <v>.</v>
      </c>
      <c r="AE12" s="48" t="str">
        <f>IFERROR(IF(AND(Irr!E12&lt;&gt;".",Irr!AC12&lt;&gt;".",Irr!BA12&lt;&gt;"."),dir!AE12/((1/1000)*(Irr!E12+Irr!AC12+Irr!BA12)),IF(AND(Irr!E12&lt;&gt;".",Irr!AC12&lt;&gt;".",Irr!BA12="."),dir!AE12/((1/1000)*(Irr!E12+Irr!AC12)),IF(AND(Irr!E12&lt;&gt;".",Irr!AC12=".",Irr!BA12&lt;&gt;"."),dir!AE12/((1/1000)*(Irr!E12+Irr!BA12)),IF(AND(Irr!E12=".",Irr!AC12&lt;&gt;".",Irr!BA12&lt;&gt;"."),dir!AE12/((1/1000)*(Irr!AC12+Irr!BA12)),IF(AND(Irr!E12=".",Irr!AC12=".",Irr!BA12&lt;&gt;"."),dir!AE12/((1/1000)*(Irr!BA12)),IF(AND(Irr!E12=".",Irr!AC12&lt;&gt;".",Irr!BA12="."),dir!AE12/((1/1000)*(Irr!AC12)),IF(AND(Irr!E12&lt;&gt;".",Irr!AC12=".",Irr!BA12="."),dir!AE12/((1/1000)*(Irr!E12)),IF(AND(Irr!E12=".",Irr!AC12=".",Irr!BA12="."),dir!AE12*1000)))))))),".")</f>
        <v>.</v>
      </c>
      <c r="AF12" s="48" t="str">
        <f>IFERROR(IF(AND(Irr!F12&lt;&gt;".",Irr!AD12&lt;&gt;".",Irr!BB12&lt;&gt;"."),dir!AF12/((1/1000)*(Irr!F12+Irr!AD12+Irr!BB12)),IF(AND(Irr!F12&lt;&gt;".",Irr!AD12&lt;&gt;".",Irr!BB12="."),dir!AF12/((1/1000)*(Irr!F12+Irr!AD12)),IF(AND(Irr!F12&lt;&gt;".",Irr!AD12=".",Irr!BB12&lt;&gt;"."),dir!AF12/((1/1000)*(Irr!F12+Irr!BB12)),IF(AND(Irr!F12=".",Irr!AD12&lt;&gt;".",Irr!BB12&lt;&gt;"."),dir!AF12/((1/1000)*(Irr!AD12+Irr!BB12)),IF(AND(Irr!F12=".",Irr!AD12=".",Irr!BB12&lt;&gt;"."),dir!AF12/((1/1000)*(Irr!BB12)),IF(AND(Irr!F12=".",Irr!AD12&lt;&gt;".",Irr!BB12="."),dir!AF12/((1/1000)*(Irr!AD12)),IF(AND(Irr!F12&lt;&gt;".",Irr!AD12=".",Irr!BB12="."),dir!AF12/((1/1000)*(Irr!F12)),IF(AND(Irr!F12=".",Irr!AD12=".",Irr!BB12="."),dir!AF12*1000)))))))),".")</f>
        <v>.</v>
      </c>
      <c r="AG12" s="48" t="str">
        <f>IFERROR(IF(AND(Irr!G12&lt;&gt;".",Irr!AE12&lt;&gt;".",Irr!BC12&lt;&gt;"."),dir!AG12/((1/1000)*(Irr!G12+Irr!AE12+Irr!BC12)),IF(AND(Irr!G12&lt;&gt;".",Irr!AE12&lt;&gt;".",Irr!BC12="."),dir!AG12/((1/1000)*(Irr!G12+Irr!AE12)),IF(AND(Irr!G12&lt;&gt;".",Irr!AE12=".",Irr!BC12&lt;&gt;"."),dir!AG12/((1/1000)*(Irr!G12+Irr!BC12)),IF(AND(Irr!G12=".",Irr!AE12&lt;&gt;".",Irr!BC12&lt;&gt;"."),dir!AG12/((1/1000)*(Irr!AE12+Irr!BC12)),IF(AND(Irr!G12=".",Irr!AE12=".",Irr!BC12&lt;&gt;"."),dir!AG12/((1/1000)*(Irr!BC12)),IF(AND(Irr!G12=".",Irr!AE12&lt;&gt;".",Irr!BC12="."),dir!AG12/((1/1000)*(Irr!AE12)),IF(AND(Irr!G12&lt;&gt;".",Irr!AE12=".",Irr!BC12="."),dir!AG12/((1/1000)*(Irr!G12)),IF(AND(Irr!G12=".",Irr!AE12=".",Irr!BC12="."),dir!AG12*1000)))))))),".")</f>
        <v>.</v>
      </c>
      <c r="AH12" s="48" t="str">
        <f>IFERROR(IF(AND(Irr!H12&lt;&gt;".",Irr!AF12&lt;&gt;".",Irr!BD12&lt;&gt;"."),dir!AH12/((1/1000)*(Irr!H12+Irr!AF12+Irr!BD12)),IF(AND(Irr!H12&lt;&gt;".",Irr!AF12&lt;&gt;".",Irr!BD12="."),dir!AH12/((1/1000)*(Irr!H12+Irr!AF12)),IF(AND(Irr!H12&lt;&gt;".",Irr!AF12=".",Irr!BD12&lt;&gt;"."),dir!AH12/((1/1000)*(Irr!H12+Irr!BD12)),IF(AND(Irr!H12=".",Irr!AF12&lt;&gt;".",Irr!BD12&lt;&gt;"."),dir!AH12/((1/1000)*(Irr!AF12+Irr!BD12)),IF(AND(Irr!H12=".",Irr!AF12=".",Irr!BD12&lt;&gt;"."),dir!AH12/((1/1000)*(Irr!BD12)),IF(AND(Irr!H12=".",Irr!AF12&lt;&gt;".",Irr!BD12="."),dir!AH12/((1/1000)*(Irr!AF12)),IF(AND(Irr!H12&lt;&gt;".",Irr!AF12=".",Irr!BD12="."),dir!AH12/((1/1000)*(Irr!H12)),IF(AND(Irr!H12=".",Irr!AF12=".",Irr!BD12="."),dir!AH12*1000)))))))),".")</f>
        <v>.</v>
      </c>
      <c r="AI12" s="48" t="str">
        <f>IFERROR(IF(AND(Irr!I12&lt;&gt;".",Irr!AG12&lt;&gt;".",Irr!BE12&lt;&gt;"."),dir!AI12/((1/1000)*(Irr!I12+Irr!AG12+Irr!BE12)),IF(AND(Irr!I12&lt;&gt;".",Irr!AG12&lt;&gt;".",Irr!BE12="."),dir!AI12/((1/1000)*(Irr!I12+Irr!AG12)),IF(AND(Irr!I12&lt;&gt;".",Irr!AG12=".",Irr!BE12&lt;&gt;"."),dir!AI12/((1/1000)*(Irr!I12+Irr!BE12)),IF(AND(Irr!I12=".",Irr!AG12&lt;&gt;".",Irr!BE12&lt;&gt;"."),dir!AI12/((1/1000)*(Irr!AG12+Irr!BE12)),IF(AND(Irr!I12=".",Irr!AG12=".",Irr!BE12&lt;&gt;"."),dir!AI12/((1/1000)*(Irr!BE12)),IF(AND(Irr!I12=".",Irr!AG12&lt;&gt;".",Irr!BE12="."),dir!AI12/((1/1000)*(Irr!AG12)),IF(AND(Irr!I12&lt;&gt;".",Irr!AG12=".",Irr!BE12="."),dir!AI12/((1/1000)*(Irr!I12)),IF(AND(Irr!I12=".",Irr!AG12=".",Irr!BE12="."),dir!AI12*1000)))))))),".")</f>
        <v>.</v>
      </c>
      <c r="AJ12" s="48" t="str">
        <f>IFERROR(IF(AND(Irr!J12&lt;&gt;".",Irr!AH12&lt;&gt;".",Irr!BF12&lt;&gt;"."),dir!AJ12/((1/1000)*(Irr!J12+Irr!AH12+Irr!BF12)),IF(AND(Irr!J12&lt;&gt;".",Irr!AH12&lt;&gt;".",Irr!BF12="."),dir!AJ12/((1/1000)*(Irr!J12+Irr!AH12)),IF(AND(Irr!J12&lt;&gt;".",Irr!AH12=".",Irr!BF12&lt;&gt;"."),dir!AJ12/((1/1000)*(Irr!J12+Irr!BF12)),IF(AND(Irr!J12=".",Irr!AH12&lt;&gt;".",Irr!BF12&lt;&gt;"."),dir!AJ12/((1/1000)*(Irr!AH12+Irr!BF12)),IF(AND(Irr!J12=".",Irr!AH12=".",Irr!BF12&lt;&gt;"."),dir!AJ12/((1/1000)*(Irr!BF12)),IF(AND(Irr!J12=".",Irr!AH12&lt;&gt;".",Irr!BF12="."),dir!AJ12/((1/1000)*(Irr!AH12)),IF(AND(Irr!J12&lt;&gt;".",Irr!AH12=".",Irr!BF12="."),dir!AJ12/((1/1000)*(Irr!J12)),IF(AND(Irr!J12=".",Irr!AH12=".",Irr!BF12="."),dir!AJ12*1000)))))))),".")</f>
        <v>.</v>
      </c>
      <c r="AK12" s="48" t="str">
        <f>IFERROR(IF(AND(Irr!K12&lt;&gt;".",Irr!AI12&lt;&gt;".",Irr!BG12&lt;&gt;"."),dir!AK12/((1/1000)*(Irr!K12+Irr!AI12+Irr!BG12)),IF(AND(Irr!K12&lt;&gt;".",Irr!AI12&lt;&gt;".",Irr!BG12="."),dir!AK12/((1/1000)*(Irr!K12+Irr!AI12)),IF(AND(Irr!K12&lt;&gt;".",Irr!AI12=".",Irr!BG12&lt;&gt;"."),dir!AK12/((1/1000)*(Irr!K12+Irr!BG12)),IF(AND(Irr!K12=".",Irr!AI12&lt;&gt;".",Irr!BG12&lt;&gt;"."),dir!AK12/((1/1000)*(Irr!AI12+Irr!BG12)),IF(AND(Irr!K12=".",Irr!AI12=".",Irr!BG12&lt;&gt;"."),dir!AK12/((1/1000)*(Irr!BG12)),IF(AND(Irr!K12=".",Irr!AI12&lt;&gt;".",Irr!BG12="."),dir!AK12/((1/1000)*(Irr!AI12)),IF(AND(Irr!K12&lt;&gt;".",Irr!AI12=".",Irr!BG12="."),dir!AK12/((1/1000)*(Irr!K12)),IF(AND(Irr!K12=".",Irr!AI12=".",Irr!BG12="."),dir!AK12*1000)))))))),".")</f>
        <v>.</v>
      </c>
      <c r="AL12" s="48" t="str">
        <f>IFERROR(IF(AND(Irr!L12&lt;&gt;".",Irr!AJ12&lt;&gt;".",Irr!BH12&lt;&gt;"."),dir!AL12/((1/1000)*(Irr!L12+Irr!AJ12+Irr!BH12)),IF(AND(Irr!L12&lt;&gt;".",Irr!AJ12&lt;&gt;".",Irr!BH12="."),dir!AL12/((1/1000)*(Irr!L12+Irr!AJ12)),IF(AND(Irr!L12&lt;&gt;".",Irr!AJ12=".",Irr!BH12&lt;&gt;"."),dir!AL12/((1/1000)*(Irr!L12+Irr!BH12)),IF(AND(Irr!L12=".",Irr!AJ12&lt;&gt;".",Irr!BH12&lt;&gt;"."),dir!AL12/((1/1000)*(Irr!AJ12+Irr!BH12)),IF(AND(Irr!L12=".",Irr!AJ12=".",Irr!BH12&lt;&gt;"."),dir!AL12/((1/1000)*(Irr!BH12)),IF(AND(Irr!L12=".",Irr!AJ12&lt;&gt;".",Irr!BH12="."),dir!AL12/((1/1000)*(Irr!AJ12)),IF(AND(Irr!L12&lt;&gt;".",Irr!AJ12=".",Irr!BH12="."),dir!AL12/((1/1000)*(Irr!L12)),IF(AND(Irr!L12=".",Irr!AJ12=".",Irr!BH12="."),dir!AL12*1000)))))))),".")</f>
        <v>.</v>
      </c>
      <c r="AM12" s="48" t="str">
        <f>IFERROR(IF(AND(Irr!M12&lt;&gt;".",Irr!AK12&lt;&gt;".",Irr!BI12&lt;&gt;"."),dir!AM12/((1/1000)*(Irr!M12+Irr!AK12+Irr!BI12)),IF(AND(Irr!M12&lt;&gt;".",Irr!AK12&lt;&gt;".",Irr!BI12="."),dir!AM12/((1/1000)*(Irr!M12+Irr!AK12)),IF(AND(Irr!M12&lt;&gt;".",Irr!AK12=".",Irr!BI12&lt;&gt;"."),dir!AM12/((1/1000)*(Irr!M12+Irr!BI12)),IF(AND(Irr!M12=".",Irr!AK12&lt;&gt;".",Irr!BI12&lt;&gt;"."),dir!AM12/((1/1000)*(Irr!AK12+Irr!BI12)),IF(AND(Irr!M12=".",Irr!AK12=".",Irr!BI12&lt;&gt;"."),dir!AM12/((1/1000)*(Irr!BI12)),IF(AND(Irr!M12=".",Irr!AK12&lt;&gt;".",Irr!BI12="."),dir!AM12/((1/1000)*(Irr!AK12)),IF(AND(Irr!M12&lt;&gt;".",Irr!AK12=".",Irr!BI12="."),dir!AM12/((1/1000)*(Irr!M12)),IF(AND(Irr!M12=".",Irr!AK12=".",Irr!BI12="."),dir!AM12*1000)))))))),".")</f>
        <v>.</v>
      </c>
      <c r="AN12" s="48" t="str">
        <f>IFERROR(IF(AND(Irr!N12&lt;&gt;".",Irr!AL12&lt;&gt;".",Irr!BJ12&lt;&gt;"."),dir!AN12/((1/1000)*(Irr!N12+Irr!AL12+Irr!BJ12)),IF(AND(Irr!N12&lt;&gt;".",Irr!AL12&lt;&gt;".",Irr!BJ12="."),dir!AN12/((1/1000)*(Irr!N12+Irr!AL12)),IF(AND(Irr!N12&lt;&gt;".",Irr!AL12=".",Irr!BJ12&lt;&gt;"."),dir!AN12/((1/1000)*(Irr!N12+Irr!BJ12)),IF(AND(Irr!N12=".",Irr!AL12&lt;&gt;".",Irr!BJ12&lt;&gt;"."),dir!AN12/((1/1000)*(Irr!AL12+Irr!BJ12)),IF(AND(Irr!N12=".",Irr!AL12=".",Irr!BJ12&lt;&gt;"."),dir!AN12/((1/1000)*(Irr!BJ12)),IF(AND(Irr!N12=".",Irr!AL12&lt;&gt;".",Irr!BJ12="."),dir!AN12/((1/1000)*(Irr!AL12)),IF(AND(Irr!N12&lt;&gt;".",Irr!AL12=".",Irr!BJ12="."),dir!AN12/((1/1000)*(Irr!N12)),IF(AND(Irr!N12=".",Irr!AL12=".",Irr!BJ12="."),dir!AN12*1000)))))))),".")</f>
        <v>.</v>
      </c>
      <c r="AO12" s="48" t="str">
        <f>IFERROR(IF(AND(Irr!O12&lt;&gt;".",Irr!AM12&lt;&gt;".",Irr!BK12&lt;&gt;"."),dir!AO12/((1/1000)*(Irr!O12+Irr!AM12+Irr!BK12)),IF(AND(Irr!O12&lt;&gt;".",Irr!AM12&lt;&gt;".",Irr!BK12="."),dir!AO12/((1/1000)*(Irr!O12+Irr!AM12)),IF(AND(Irr!O12&lt;&gt;".",Irr!AM12=".",Irr!BK12&lt;&gt;"."),dir!AO12/((1/1000)*(Irr!O12+Irr!BK12)),IF(AND(Irr!O12=".",Irr!AM12&lt;&gt;".",Irr!BK12&lt;&gt;"."),dir!AO12/((1/1000)*(Irr!AM12+Irr!BK12)),IF(AND(Irr!O12=".",Irr!AM12=".",Irr!BK12&lt;&gt;"."),dir!AO12/((1/1000)*(Irr!BK12)),IF(AND(Irr!O12=".",Irr!AM12&lt;&gt;".",Irr!BK12="."),dir!AO12/((1/1000)*(Irr!AM12)),IF(AND(Irr!O12&lt;&gt;".",Irr!AM12=".",Irr!BK12="."),dir!AO12/((1/1000)*(Irr!O12)),IF(AND(Irr!O12=".",Irr!AM12=".",Irr!BK12="."),dir!AO12*1000)))))))),".")</f>
        <v>.</v>
      </c>
      <c r="AP12" s="48" t="str">
        <f>IFERROR(IF(AND(Irr!P12&lt;&gt;".",Irr!AN12&lt;&gt;".",Irr!BL12&lt;&gt;"."),dir!AP12/((1/1000)*(Irr!P12+Irr!AN12+Irr!BL12)),IF(AND(Irr!P12&lt;&gt;".",Irr!AN12&lt;&gt;".",Irr!BL12="."),dir!AP12/((1/1000)*(Irr!P12+Irr!AN12)),IF(AND(Irr!P12&lt;&gt;".",Irr!AN12=".",Irr!BL12&lt;&gt;"."),dir!AP12/((1/1000)*(Irr!P12+Irr!BL12)),IF(AND(Irr!P12=".",Irr!AN12&lt;&gt;".",Irr!BL12&lt;&gt;"."),dir!AP12/((1/1000)*(Irr!AN12+Irr!BL12)),IF(AND(Irr!P12=".",Irr!AN12=".",Irr!BL12&lt;&gt;"."),dir!AP12/((1/1000)*(Irr!BL12)),IF(AND(Irr!P12=".",Irr!AN12&lt;&gt;".",Irr!BL12="."),dir!AP12/((1/1000)*(Irr!AN12)),IF(AND(Irr!P12&lt;&gt;".",Irr!AN12=".",Irr!BL12="."),dir!AP12/((1/1000)*(Irr!P12)),IF(AND(Irr!P12=".",Irr!AN12=".",Irr!BL12="."),dir!AP12*1000)))))))),".")</f>
        <v>.</v>
      </c>
      <c r="AQ12" s="48" t="str">
        <f>IFERROR(IF(AND(Irr!Q12&lt;&gt;".",Irr!AO12&lt;&gt;".",Irr!BM12&lt;&gt;"."),dir!AQ12/((1/1000)*(Irr!Q12+Irr!AO12+Irr!BM12)),IF(AND(Irr!Q12&lt;&gt;".",Irr!AO12&lt;&gt;".",Irr!BM12="."),dir!AQ12/((1/1000)*(Irr!Q12+Irr!AO12)),IF(AND(Irr!Q12&lt;&gt;".",Irr!AO12=".",Irr!BM12&lt;&gt;"."),dir!AQ12/((1/1000)*(Irr!Q12+Irr!BM12)),IF(AND(Irr!Q12=".",Irr!AO12&lt;&gt;".",Irr!BM12&lt;&gt;"."),dir!AQ12/((1/1000)*(Irr!AO12+Irr!BM12)),IF(AND(Irr!Q12=".",Irr!AO12=".",Irr!BM12&lt;&gt;"."),dir!AQ12/((1/1000)*(Irr!BM12)),IF(AND(Irr!Q12=".",Irr!AO12&lt;&gt;".",Irr!BM12="."),dir!AQ12/((1/1000)*(Irr!AO12)),IF(AND(Irr!Q12&lt;&gt;".",Irr!AO12=".",Irr!BM12="."),dir!AQ12/((1/1000)*(Irr!Q12)),IF(AND(Irr!Q12=".",Irr!AO12=".",Irr!BM12="."),dir!AQ12*1000)))))))),".")</f>
        <v>.</v>
      </c>
      <c r="AR12" s="48" t="str">
        <f>IFERROR(IF(AND(Irr!R12&lt;&gt;".",Irr!AP12&lt;&gt;".",Irr!BN12&lt;&gt;"."),dir!AR12/((1/1000)*(Irr!R12+Irr!AP12+Irr!BN12)),IF(AND(Irr!R12&lt;&gt;".",Irr!AP12&lt;&gt;".",Irr!BN12="."),dir!AR12/((1/1000)*(Irr!R12+Irr!AP12)),IF(AND(Irr!R12&lt;&gt;".",Irr!AP12=".",Irr!BN12&lt;&gt;"."),dir!AR12/((1/1000)*(Irr!R12+Irr!BN12)),IF(AND(Irr!R12=".",Irr!AP12&lt;&gt;".",Irr!BN12&lt;&gt;"."),dir!AR12/((1/1000)*(Irr!AP12+Irr!BN12)),IF(AND(Irr!R12=".",Irr!AP12=".",Irr!BN12&lt;&gt;"."),dir!AR12/((1/1000)*(Irr!BN12)),IF(AND(Irr!R12=".",Irr!AP12&lt;&gt;".",Irr!BN12="."),dir!AR12/((1/1000)*(Irr!AP12)),IF(AND(Irr!R12&lt;&gt;".",Irr!AP12=".",Irr!BN12="."),dir!AR12/((1/1000)*(Irr!R12)),IF(AND(Irr!R12=".",Irr!AP12=".",Irr!BN12="."),dir!AR12*1000)))))))),".")</f>
        <v>.</v>
      </c>
      <c r="AS12" s="48" t="str">
        <f>IFERROR(IF(AND(Irr!S12&lt;&gt;".",Irr!AQ12&lt;&gt;".",Irr!BO12&lt;&gt;"."),dir!AS12/((1/1000)*(Irr!S12+Irr!AQ12+Irr!BO12)),IF(AND(Irr!S12&lt;&gt;".",Irr!AQ12&lt;&gt;".",Irr!BO12="."),dir!AS12/((1/1000)*(Irr!S12+Irr!AQ12)),IF(AND(Irr!S12&lt;&gt;".",Irr!AQ12=".",Irr!BO12&lt;&gt;"."),dir!AS12/((1/1000)*(Irr!S12+Irr!BO12)),IF(AND(Irr!S12=".",Irr!AQ12&lt;&gt;".",Irr!BO12&lt;&gt;"."),dir!AS12/((1/1000)*(Irr!AQ12+Irr!BO12)),IF(AND(Irr!S12=".",Irr!AQ12=".",Irr!BO12&lt;&gt;"."),dir!AS12/((1/1000)*(Irr!BO12)),IF(AND(Irr!S12=".",Irr!AQ12&lt;&gt;".",Irr!BO12="."),dir!AS12/((1/1000)*(Irr!AQ12)),IF(AND(Irr!S12&lt;&gt;".",Irr!AQ12=".",Irr!BO12="."),dir!AS12/((1/1000)*(Irr!S12)),IF(AND(Irr!S12=".",Irr!AQ12=".",Irr!BO12="."),dir!AS12*1000)))))))),".")</f>
        <v>.</v>
      </c>
      <c r="AT12" s="48" t="str">
        <f>IFERROR(IF(AND(Irr!T12&lt;&gt;".",Irr!AR12&lt;&gt;".",Irr!BP12&lt;&gt;"."),dir!AT12/((1/1000)*(Irr!T12+Irr!AR12+Irr!BP12)),IF(AND(Irr!T12&lt;&gt;".",Irr!AR12&lt;&gt;".",Irr!BP12="."),dir!AT12/((1/1000)*(Irr!T12+Irr!AR12)),IF(AND(Irr!T12&lt;&gt;".",Irr!AR12=".",Irr!BP12&lt;&gt;"."),dir!AT12/((1/1000)*(Irr!T12+Irr!BP12)),IF(AND(Irr!T12=".",Irr!AR12&lt;&gt;".",Irr!BP12&lt;&gt;"."),dir!AT12/((1/1000)*(Irr!AR12+Irr!BP12)),IF(AND(Irr!T12=".",Irr!AR12=".",Irr!BP12&lt;&gt;"."),dir!AT12/((1/1000)*(Irr!BP12)),IF(AND(Irr!T12=".",Irr!AR12&lt;&gt;".",Irr!BP12="."),dir!AT12/((1/1000)*(Irr!AR12)),IF(AND(Irr!T12&lt;&gt;".",Irr!AR12=".",Irr!BP12="."),dir!AT12/((1/1000)*(Irr!T12)),IF(AND(Irr!T12=".",Irr!AR12=".",Irr!BP12="."),dir!AT12*1000)))))))),".")</f>
        <v>.</v>
      </c>
      <c r="AU12" s="48" t="str">
        <f>IFERROR(IF(AND(Irr!U12&lt;&gt;".",Irr!AS12&lt;&gt;".",Irr!BQ12&lt;&gt;"."),dir!AU12/((1/1000)*(Irr!U12+Irr!AS12+Irr!BQ12)),IF(AND(Irr!U12&lt;&gt;".",Irr!AS12&lt;&gt;".",Irr!BQ12="."),dir!AU12/((1/1000)*(Irr!U12+Irr!AS12)),IF(AND(Irr!U12&lt;&gt;".",Irr!AS12=".",Irr!BQ12&lt;&gt;"."),dir!AU12/((1/1000)*(Irr!U12+Irr!BQ12)),IF(AND(Irr!U12=".",Irr!AS12&lt;&gt;".",Irr!BQ12&lt;&gt;"."),dir!AU12/((1/1000)*(Irr!AS12+Irr!BQ12)),IF(AND(Irr!U12=".",Irr!AS12=".",Irr!BQ12&lt;&gt;"."),dir!AU12/((1/1000)*(Irr!BQ12)),IF(AND(Irr!U12=".",Irr!AS12&lt;&gt;".",Irr!BQ12="."),dir!AU12/((1/1000)*(Irr!AS12)),IF(AND(Irr!U12&lt;&gt;".",Irr!AS12=".",Irr!BQ12="."),dir!AU12/((1/1000)*(Irr!U12)),IF(AND(Irr!U12=".",Irr!AS12=".",Irr!BQ12="."),dir!AU12*1000)))))))),".")</f>
        <v>.</v>
      </c>
      <c r="AV12" s="48" t="str">
        <f>IFERROR(IF(AND(Irr!V12&lt;&gt;".",Irr!AT12&lt;&gt;".",Irr!BR12&lt;&gt;"."),dir!AV12/((1/1000)*(Irr!V12+Irr!AT12+Irr!BR12)),IF(AND(Irr!V12&lt;&gt;".",Irr!AT12&lt;&gt;".",Irr!BR12="."),dir!AV12/((1/1000)*(Irr!V12+Irr!AT12)),IF(AND(Irr!V12&lt;&gt;".",Irr!AT12=".",Irr!BR12&lt;&gt;"."),dir!AV12/((1/1000)*(Irr!V12+Irr!BR12)),IF(AND(Irr!V12=".",Irr!AT12&lt;&gt;".",Irr!BR12&lt;&gt;"."),dir!AV12/((1/1000)*(Irr!AT12+Irr!BR12)),IF(AND(Irr!V12=".",Irr!AT12=".",Irr!BR12&lt;&gt;"."),dir!AV12/((1/1000)*(Irr!BR12)),IF(AND(Irr!V12=".",Irr!AT12&lt;&gt;".",Irr!BR12="."),dir!AV12/((1/1000)*(Irr!AT12)),IF(AND(Irr!V12&lt;&gt;".",Irr!AT12=".",Irr!BR12="."),dir!AV12/((1/1000)*(Irr!V12)),IF(AND(Irr!V12=".",Irr!AT12=".",Irr!BR12="."),dir!AV12*1000)))))))),".")</f>
        <v>.</v>
      </c>
      <c r="AW12" s="48" t="str">
        <f>IFERROR(IF(AND(Irr!W12&lt;&gt;".",Irr!AU12&lt;&gt;".",Irr!BS12&lt;&gt;"."),dir!AW12/((1/1000)*(Irr!W12+Irr!AU12+Irr!BS12)),IF(AND(Irr!W12&lt;&gt;".",Irr!AU12&lt;&gt;".",Irr!BS12="."),dir!AW12/((1/1000)*(Irr!W12+Irr!AU12)),IF(AND(Irr!W12&lt;&gt;".",Irr!AU12=".",Irr!BS12&lt;&gt;"."),dir!AW12/((1/1000)*(Irr!W12+Irr!BS12)),IF(AND(Irr!W12=".",Irr!AU12&lt;&gt;".",Irr!BS12&lt;&gt;"."),dir!AW12/((1/1000)*(Irr!AU12+Irr!BS12)),IF(AND(Irr!W12=".",Irr!AU12=".",Irr!BS12&lt;&gt;"."),dir!AW12/((1/1000)*(Irr!BS12)),IF(AND(Irr!W12=".",Irr!AU12&lt;&gt;".",Irr!BS12="."),dir!AW12/((1/1000)*(Irr!AU12)),IF(AND(Irr!W12&lt;&gt;".",Irr!AU12=".",Irr!BS12="."),dir!AW12/((1/1000)*(Irr!W12)),IF(AND(Irr!W12=".",Irr!AU12=".",Irr!BS12="."),dir!AW12*1000)))))))),".")</f>
        <v>.</v>
      </c>
      <c r="AX12" s="48" t="str">
        <f>IFERROR(IF(AND(Irr!X12&lt;&gt;".",Irr!AV12&lt;&gt;".",Irr!BT12&lt;&gt;"."),dir!AX12/((1/1000)*(Irr!X12+Irr!AV12+Irr!BT12)),IF(AND(Irr!X12&lt;&gt;".",Irr!AV12&lt;&gt;".",Irr!BT12="."),dir!AX12/((1/1000)*(Irr!X12+Irr!AV12)),IF(AND(Irr!X12&lt;&gt;".",Irr!AV12=".",Irr!BT12&lt;&gt;"."),dir!AX12/((1/1000)*(Irr!X12+Irr!BT12)),IF(AND(Irr!X12=".",Irr!AV12&lt;&gt;".",Irr!BT12&lt;&gt;"."),dir!AX12/((1/1000)*(Irr!AV12+Irr!BT12)),IF(AND(Irr!X12=".",Irr!AV12=".",Irr!BT12&lt;&gt;"."),dir!AX12/((1/1000)*(Irr!BT12)),IF(AND(Irr!X12=".",Irr!AV12&lt;&gt;".",Irr!BT12="."),dir!AX12/((1/1000)*(Irr!AV12)),IF(AND(Irr!X12&lt;&gt;".",Irr!AV12=".",Irr!BT12="."),dir!AX12/((1/1000)*(Irr!X12)),IF(AND(Irr!X12=".",Irr!AV12=".",Irr!BT12="."),dir!AX12*1000)))))))),".")</f>
        <v>.</v>
      </c>
      <c r="AY12" s="48" t="str">
        <f>IFERROR(IF(AND(Irr!Y12&lt;&gt;".",Irr!AW12&lt;&gt;".",Irr!BU12&lt;&gt;"."),dir!AY12/((1/1000)*(Irr!Y12+Irr!AW12+Irr!BU12)),IF(AND(Irr!Y12&lt;&gt;".",Irr!AW12&lt;&gt;".",Irr!BU12="."),dir!AY12/((1/1000)*(Irr!Y12+Irr!AW12)),IF(AND(Irr!Y12&lt;&gt;".",Irr!AW12=".",Irr!BU12&lt;&gt;"."),dir!AY12/((1/1000)*(Irr!Y12+Irr!BU12)),IF(AND(Irr!Y12=".",Irr!AW12&lt;&gt;".",Irr!BU12&lt;&gt;"."),dir!AY12/((1/1000)*(Irr!AW12+Irr!BU12)),IF(AND(Irr!Y12=".",Irr!AW12=".",Irr!BU12&lt;&gt;"."),dir!AY12/((1/1000)*(Irr!BU12)),IF(AND(Irr!Y12=".",Irr!AW12&lt;&gt;".",Irr!BU12="."),dir!AY12/((1/1000)*(Irr!AW12)),IF(AND(Irr!Y12&lt;&gt;".",Irr!AW12=".",Irr!BU12="."),dir!AY12/((1/1000)*(Irr!Y12)),IF(AND(Irr!Y12=".",Irr!AW12=".",Irr!BU12="."),dir!AY12*1000)))))))),".")</f>
        <v>.</v>
      </c>
      <c r="AZ12" s="48" t="str">
        <f>IFERROR(IF(AND(Irr!Z12&lt;&gt;".",Irr!AX12&lt;&gt;".",Irr!BV12&lt;&gt;"."),dir!AZ12/((1/1000)*(Irr!Z12+Irr!AX12+Irr!BV12)),IF(AND(Irr!Z12&lt;&gt;".",Irr!AX12&lt;&gt;".",Irr!BV12="."),dir!AZ12/((1/1000)*(Irr!Z12+Irr!AX12)),IF(AND(Irr!Z12&lt;&gt;".",Irr!AX12=".",Irr!BV12&lt;&gt;"."),dir!AZ12/((1/1000)*(Irr!Z12+Irr!BV12)),IF(AND(Irr!Z12=".",Irr!AX12&lt;&gt;".",Irr!BV12&lt;&gt;"."),dir!AZ12/((1/1000)*(Irr!AX12+Irr!BV12)),IF(AND(Irr!Z12=".",Irr!AX12=".",Irr!BV12&lt;&gt;"."),dir!AZ12/((1/1000)*(Irr!BV12)),IF(AND(Irr!Z12=".",Irr!AX12&lt;&gt;".",Irr!BV12="."),dir!AZ12/((1/1000)*(Irr!AX12)),IF(AND(Irr!Z12&lt;&gt;".",Irr!AX12=".",Irr!BV12="."),dir!AZ12/((1/1000)*(Irr!Z12)),IF(AND(Irr!Z12=".",Irr!AX12=".",Irr!BV12="."),dir!AZ12*1000)))))))),".")</f>
        <v>.</v>
      </c>
    </row>
    <row r="13" spans="1:52" ht="15" customHeight="1" x14ac:dyDescent="0.25">
      <c r="A13" s="61" t="s">
        <v>11</v>
      </c>
      <c r="B13" s="49" t="s">
        <v>1059</v>
      </c>
      <c r="C13" s="48">
        <f t="shared" ref="C13:C14" si="12">IFERROR(1/SUM(1/D13,1/E13,1/F13,1/G13,1/H13,1/I13,1/J13,1/K13,1/L13,1/M13,1/N13,1/O13,1/P13,1/Q13,1/R13,1/S13,1/T13,1/U13,1/V13,1/W13,1/X13,1/Y13),".")</f>
        <v>1.1633709336508695</v>
      </c>
      <c r="D13" s="48">
        <f>IFERROR(IF(AND(Irr!C13&lt;&gt;".",Irr!AA13&lt;&gt;".",Irr!AY13&lt;&gt;"."),dir!D13/((1/1000)*(Irr!C13+Irr!AA13+Irr!AY13)),IF(AND(Irr!C13&lt;&gt;".",Irr!AA13&lt;&gt;".",Irr!AY13="."),dir!D13/((1/1000)*(Irr!C13+Irr!AA13)),IF(AND(Irr!C13&lt;&gt;".",Irr!AA13=".",Irr!AY13&lt;&gt;"."),dir!D13/((1/1000)*(Irr!C13+Irr!AY13)),IF(AND(Irr!C13=".",Irr!AA13&lt;&gt;".",Irr!AY13&lt;&gt;"."),dir!D13/((1/1000)*(Irr!AA13+Irr!AY13)),IF(AND(Irr!C13=".",Irr!AA13=".",Irr!AY13&lt;&gt;"."),dir!D13/((1/1000)*(Irr!AY13)),IF(AND(Irr!C13=".",Irr!AA13&lt;&gt;".",Irr!AY13="."),dir!D13/((1/1000)*(Irr!AA13)),IF(AND(Irr!C13&lt;&gt;".",Irr!AA13=".",Irr!AY13="."),dir!D13/((1/1000)*(Irr!C13)),IF(AND(Irr!C13=".",Irr!AA13=".",Irr!AY13="."),dir!D13*1000)))))))),".")</f>
        <v>23.01676424179507</v>
      </c>
      <c r="E13" s="48">
        <f>IFERROR(IF(AND(Irr!D13&lt;&gt;".",Irr!AB13&lt;&gt;".",Irr!AZ13&lt;&gt;"."),dir!E13/((1/1000)*(Irr!D13+Irr!AB13+Irr!AZ13)),IF(AND(Irr!D13&lt;&gt;".",Irr!AB13&lt;&gt;".",Irr!AZ13="."),dir!E13/((1/1000)*(Irr!D13+Irr!AB13)),IF(AND(Irr!D13&lt;&gt;".",Irr!AB13=".",Irr!AZ13&lt;&gt;"."),dir!E13/((1/1000)*(Irr!D13+Irr!AZ13)),IF(AND(Irr!D13=".",Irr!AB13&lt;&gt;".",Irr!AZ13&lt;&gt;"."),dir!E13/((1/1000)*(Irr!AB13+Irr!AZ13)),IF(AND(Irr!D13=".",Irr!AB13=".",Irr!AZ13&lt;&gt;"."),dir!E13/((1/1000)*(Irr!AZ13)),IF(AND(Irr!D13=".",Irr!AB13&lt;&gt;".",Irr!AZ13="."),dir!E13/((1/1000)*(Irr!AB13)),IF(AND(Irr!D13&lt;&gt;".",Irr!AB13=".",Irr!AZ13="."),dir!E13/((1/1000)*(Irr!D13)),IF(AND(Irr!D13=".",Irr!AB13=".",Irr!AZ13="."),dir!E13*1000)))))))),".")</f>
        <v>40.578093436074404</v>
      </c>
      <c r="F13" s="48">
        <f>IFERROR(IF(AND(Irr!E13&lt;&gt;".",Irr!AC13&lt;&gt;".",Irr!BA13&lt;&gt;"."),dir!F13/((1/1000)*(Irr!E13+Irr!AC13+Irr!BA13)),IF(AND(Irr!E13&lt;&gt;".",Irr!AC13&lt;&gt;".",Irr!BA13="."),dir!F13/((1/1000)*(Irr!E13+Irr!AC13)),IF(AND(Irr!E13&lt;&gt;".",Irr!AC13=".",Irr!BA13&lt;&gt;"."),dir!F13/((1/1000)*(Irr!E13+Irr!BA13)),IF(AND(Irr!E13=".",Irr!AC13&lt;&gt;".",Irr!BA13&lt;&gt;"."),dir!F13/((1/1000)*(Irr!AC13+Irr!BA13)),IF(AND(Irr!E13=".",Irr!AC13=".",Irr!BA13&lt;&gt;"."),dir!F13/((1/1000)*(Irr!BA13)),IF(AND(Irr!E13=".",Irr!AC13&lt;&gt;".",Irr!BA13="."),dir!F13/((1/1000)*(Irr!AC13)),IF(AND(Irr!E13&lt;&gt;".",Irr!AC13=".",Irr!BA13="."),dir!F13/((1/1000)*(Irr!E13)),IF(AND(Irr!E13=".",Irr!AC13=".",Irr!BA13="."),dir!F13*1000)))))))),".")</f>
        <v>51.603940596627787</v>
      </c>
      <c r="G13" s="48">
        <f>IFERROR(IF(AND(Irr!F13&lt;&gt;".",Irr!AD13&lt;&gt;".",Irr!BB13&lt;&gt;"."),dir!G13/((1/1000)*(Irr!F13+Irr!AD13+Irr!BB13)),IF(AND(Irr!F13&lt;&gt;".",Irr!AD13&lt;&gt;".",Irr!BB13="."),dir!G13/((1/1000)*(Irr!F13+Irr!AD13)),IF(AND(Irr!F13&lt;&gt;".",Irr!AD13=".",Irr!BB13&lt;&gt;"."),dir!G13/((1/1000)*(Irr!F13+Irr!BB13)),IF(AND(Irr!F13=".",Irr!AD13&lt;&gt;".",Irr!BB13&lt;&gt;"."),dir!G13/((1/1000)*(Irr!AD13+Irr!BB13)),IF(AND(Irr!F13=".",Irr!AD13=".",Irr!BB13&lt;&gt;"."),dir!G13/((1/1000)*(Irr!BB13)),IF(AND(Irr!F13=".",Irr!AD13&lt;&gt;".",Irr!BB13="."),dir!G13/((1/1000)*(Irr!AD13)),IF(AND(Irr!F13&lt;&gt;".",Irr!AD13=".",Irr!BB13="."),dir!G13/((1/1000)*(Irr!F13)),IF(AND(Irr!F13=".",Irr!AD13=".",Irr!BB13="."),dir!G13*1000)))))))),".")</f>
        <v>51.54314684662949</v>
      </c>
      <c r="H13" s="48">
        <f>IFERROR(IF(AND(Irr!G13&lt;&gt;".",Irr!AE13&lt;&gt;".",Irr!BC13&lt;&gt;"."),dir!H13/((1/1000)*(Irr!G13+Irr!AE13+Irr!BC13)),IF(AND(Irr!G13&lt;&gt;".",Irr!AE13&lt;&gt;".",Irr!BC13="."),dir!H13/((1/1000)*(Irr!G13+Irr!AE13)),IF(AND(Irr!G13&lt;&gt;".",Irr!AE13=".",Irr!BC13&lt;&gt;"."),dir!H13/((1/1000)*(Irr!G13+Irr!BC13)),IF(AND(Irr!G13=".",Irr!AE13&lt;&gt;".",Irr!BC13&lt;&gt;"."),dir!H13/((1/1000)*(Irr!AE13+Irr!BC13)),IF(AND(Irr!G13=".",Irr!AE13=".",Irr!BC13&lt;&gt;"."),dir!H13/((1/1000)*(Irr!BC13)),IF(AND(Irr!G13=".",Irr!AE13&lt;&gt;".",Irr!BC13="."),dir!H13/((1/1000)*(Irr!AE13)),IF(AND(Irr!G13&lt;&gt;".",Irr!AE13=".",Irr!BC13="."),dir!H13/((1/1000)*(Irr!G13)),IF(AND(Irr!G13=".",Irr!AE13=".",Irr!BC13="."),dir!H13*1000)))))))),".")</f>
        <v>51.68889679726378</v>
      </c>
      <c r="I13" s="48">
        <f>IFERROR(IF(AND(Irr!H13&lt;&gt;".",Irr!AF13&lt;&gt;".",Irr!BD13&lt;&gt;"."),dir!I13/((1/1000)*(Irr!H13+Irr!AF13+Irr!BD13)),IF(AND(Irr!H13&lt;&gt;".",Irr!AF13&lt;&gt;".",Irr!BD13="."),dir!I13/((1/1000)*(Irr!H13+Irr!AF13)),IF(AND(Irr!H13&lt;&gt;".",Irr!AF13=".",Irr!BD13&lt;&gt;"."),dir!I13/((1/1000)*(Irr!H13+Irr!BD13)),IF(AND(Irr!H13=".",Irr!AF13&lt;&gt;".",Irr!BD13&lt;&gt;"."),dir!I13/((1/1000)*(Irr!AF13+Irr!BD13)),IF(AND(Irr!H13=".",Irr!AF13=".",Irr!BD13&lt;&gt;"."),dir!I13/((1/1000)*(Irr!BD13)),IF(AND(Irr!H13=".",Irr!AF13&lt;&gt;".",Irr!BD13="."),dir!I13/((1/1000)*(Irr!AF13)),IF(AND(Irr!H13&lt;&gt;".",Irr!AF13=".",Irr!BD13="."),dir!I13/((1/1000)*(Irr!H13)),IF(AND(Irr!H13=".",Irr!AF13=".",Irr!BD13="."),dir!I13*1000)))))))),".")</f>
        <v>18.16585526576295</v>
      </c>
      <c r="J13" s="48">
        <f>IFERROR(IF(AND(Irr!I13&lt;&gt;".",Irr!AG13&lt;&gt;".",Irr!BE13&lt;&gt;"."),dir!J13/((1/1000)*(Irr!I13+Irr!AG13+Irr!BE13)),IF(AND(Irr!I13&lt;&gt;".",Irr!AG13&lt;&gt;".",Irr!BE13="."),dir!J13/((1/1000)*(Irr!I13+Irr!AG13)),IF(AND(Irr!I13&lt;&gt;".",Irr!AG13=".",Irr!BE13&lt;&gt;"."),dir!J13/((1/1000)*(Irr!I13+Irr!BE13)),IF(AND(Irr!I13=".",Irr!AG13&lt;&gt;".",Irr!BE13&lt;&gt;"."),dir!J13/((1/1000)*(Irr!AG13+Irr!BE13)),IF(AND(Irr!I13=".",Irr!AG13=".",Irr!BE13&lt;&gt;"."),dir!J13/((1/1000)*(Irr!BE13)),IF(AND(Irr!I13=".",Irr!AG13&lt;&gt;".",Irr!BE13="."),dir!J13/((1/1000)*(Irr!AG13)),IF(AND(Irr!I13&lt;&gt;".",Irr!AG13=".",Irr!BE13="."),dir!J13/((1/1000)*(Irr!I13)),IF(AND(Irr!I13=".",Irr!AG13=".",Irr!BE13="."),dir!J13*1000)))))))),".")</f>
        <v>57.00945319511807</v>
      </c>
      <c r="K13" s="48">
        <f>IFERROR(IF(AND(Irr!J13&lt;&gt;".",Irr!AH13&lt;&gt;".",Irr!BF13&lt;&gt;"."),dir!K13/((1/1000)*(Irr!J13+Irr!AH13+Irr!BF13)),IF(AND(Irr!J13&lt;&gt;".",Irr!AH13&lt;&gt;".",Irr!BF13="."),dir!K13/((1/1000)*(Irr!J13+Irr!AH13)),IF(AND(Irr!J13&lt;&gt;".",Irr!AH13=".",Irr!BF13&lt;&gt;"."),dir!K13/((1/1000)*(Irr!J13+Irr!BF13)),IF(AND(Irr!J13=".",Irr!AH13&lt;&gt;".",Irr!BF13&lt;&gt;"."),dir!K13/((1/1000)*(Irr!AH13+Irr!BF13)),IF(AND(Irr!J13=".",Irr!AH13=".",Irr!BF13&lt;&gt;"."),dir!K13/((1/1000)*(Irr!BF13)),IF(AND(Irr!J13=".",Irr!AH13&lt;&gt;".",Irr!BF13="."),dir!K13/((1/1000)*(Irr!AH13)),IF(AND(Irr!J13&lt;&gt;".",Irr!AH13=".",Irr!BF13="."),dir!K13/((1/1000)*(Irr!J13)),IF(AND(Irr!J13=".",Irr!AH13=".",Irr!BF13="."),dir!K13*1000)))))))),".")</f>
        <v>5.9687438474331076</v>
      </c>
      <c r="L13" s="48">
        <f>IFERROR(IF(AND(Irr!K13&lt;&gt;".",Irr!AI13&lt;&gt;".",Irr!BG13&lt;&gt;"."),dir!L13/((1/1000)*(Irr!K13+Irr!AI13+Irr!BG13)),IF(AND(Irr!K13&lt;&gt;".",Irr!AI13&lt;&gt;".",Irr!BG13="."),dir!L13/((1/1000)*(Irr!K13+Irr!AI13)),IF(AND(Irr!K13&lt;&gt;".",Irr!AI13=".",Irr!BG13&lt;&gt;"."),dir!L13/((1/1000)*(Irr!K13+Irr!BG13)),IF(AND(Irr!K13=".",Irr!AI13&lt;&gt;".",Irr!BG13&lt;&gt;"."),dir!L13/((1/1000)*(Irr!AI13+Irr!BG13)),IF(AND(Irr!K13=".",Irr!AI13=".",Irr!BG13&lt;&gt;"."),dir!L13/((1/1000)*(Irr!BG13)),IF(AND(Irr!K13=".",Irr!AI13&lt;&gt;".",Irr!BG13="."),dir!L13/((1/1000)*(Irr!AI13)),IF(AND(Irr!K13&lt;&gt;".",Irr!AI13=".",Irr!BG13="."),dir!L13/((1/1000)*(Irr!K13)),IF(AND(Irr!K13=".",Irr!AI13=".",Irr!BG13="."),dir!L13*1000)))))))),".")</f>
        <v>31.395941988727994</v>
      </c>
      <c r="M13" s="48">
        <f>IFERROR(IF(AND(Irr!L13&lt;&gt;".",Irr!AJ13&lt;&gt;".",Irr!BH13&lt;&gt;"."),dir!M13/((1/1000)*(Irr!L13+Irr!AJ13+Irr!BH13)),IF(AND(Irr!L13&lt;&gt;".",Irr!AJ13&lt;&gt;".",Irr!BH13="."),dir!M13/((1/1000)*(Irr!L13+Irr!AJ13)),IF(AND(Irr!L13&lt;&gt;".",Irr!AJ13=".",Irr!BH13&lt;&gt;"."),dir!M13/((1/1000)*(Irr!L13+Irr!BH13)),IF(AND(Irr!L13=".",Irr!AJ13&lt;&gt;".",Irr!BH13&lt;&gt;"."),dir!M13/((1/1000)*(Irr!AJ13+Irr!BH13)),IF(AND(Irr!L13=".",Irr!AJ13=".",Irr!BH13&lt;&gt;"."),dir!M13/((1/1000)*(Irr!BH13)),IF(AND(Irr!L13=".",Irr!AJ13&lt;&gt;".",Irr!BH13="."),dir!M13/((1/1000)*(Irr!AJ13)),IF(AND(Irr!L13&lt;&gt;".",Irr!AJ13=".",Irr!BH13="."),dir!M13/((1/1000)*(Irr!L13)),IF(AND(Irr!L13=".",Irr!AJ13=".",Irr!BH13="."),dir!M13*1000)))))))),".")</f>
        <v>20.795398396073807</v>
      </c>
      <c r="N13" s="48">
        <f>IFERROR(IF(AND(Irr!M13&lt;&gt;".",Irr!AK13&lt;&gt;".",Irr!BI13&lt;&gt;"."),dir!N13/((1/1000)*(Irr!M13+Irr!AK13+Irr!BI13)),IF(AND(Irr!M13&lt;&gt;".",Irr!AK13&lt;&gt;".",Irr!BI13="."),dir!N13/((1/1000)*(Irr!M13+Irr!AK13)),IF(AND(Irr!M13&lt;&gt;".",Irr!AK13=".",Irr!BI13&lt;&gt;"."),dir!N13/((1/1000)*(Irr!M13+Irr!BI13)),IF(AND(Irr!M13=".",Irr!AK13&lt;&gt;".",Irr!BI13&lt;&gt;"."),dir!N13/((1/1000)*(Irr!AK13+Irr!BI13)),IF(AND(Irr!M13=".",Irr!AK13=".",Irr!BI13&lt;&gt;"."),dir!N13/((1/1000)*(Irr!BI13)),IF(AND(Irr!M13=".",Irr!AK13&lt;&gt;".",Irr!BI13="."),dir!N13/((1/1000)*(Irr!AK13)),IF(AND(Irr!M13&lt;&gt;".",Irr!AK13=".",Irr!BI13="."),dir!N13/((1/1000)*(Irr!M13)),IF(AND(Irr!M13=".",Irr!AK13=".",Irr!BI13="."),dir!N13*1000)))))))),".")</f>
        <v>40.670196339802509</v>
      </c>
      <c r="O13" s="48">
        <f>IFERROR(IF(AND(Irr!N13&lt;&gt;".",Irr!AL13&lt;&gt;".",Irr!BJ13&lt;&gt;"."),dir!O13/((1/1000)*(Irr!N13+Irr!AL13+Irr!BJ13)),IF(AND(Irr!N13&lt;&gt;".",Irr!AL13&lt;&gt;".",Irr!BJ13="."),dir!O13/((1/1000)*(Irr!N13+Irr!AL13)),IF(AND(Irr!N13&lt;&gt;".",Irr!AL13=".",Irr!BJ13&lt;&gt;"."),dir!O13/((1/1000)*(Irr!N13+Irr!BJ13)),IF(AND(Irr!N13=".",Irr!AL13&lt;&gt;".",Irr!BJ13&lt;&gt;"."),dir!O13/((1/1000)*(Irr!AL13+Irr!BJ13)),IF(AND(Irr!N13=".",Irr!AL13=".",Irr!BJ13&lt;&gt;"."),dir!O13/((1/1000)*(Irr!BJ13)),IF(AND(Irr!N13=".",Irr!AL13&lt;&gt;".",Irr!BJ13="."),dir!O13/((1/1000)*(Irr!AL13)),IF(AND(Irr!N13&lt;&gt;".",Irr!AL13=".",Irr!BJ13="."),dir!O13/((1/1000)*(Irr!N13)),IF(AND(Irr!N13=".",Irr!AL13=".",Irr!BJ13="."),dir!O13*1000)))))))),".")</f>
        <v>51.166603188271317</v>
      </c>
      <c r="P13" s="48">
        <f>IFERROR(IF(AND(Irr!O13&lt;&gt;".",Irr!AM13&lt;&gt;".",Irr!BK13&lt;&gt;"."),dir!P13/((1/1000)*(Irr!O13+Irr!AM13+Irr!BK13)),IF(AND(Irr!O13&lt;&gt;".",Irr!AM13&lt;&gt;".",Irr!BK13="."),dir!P13/((1/1000)*(Irr!O13+Irr!AM13)),IF(AND(Irr!O13&lt;&gt;".",Irr!AM13=".",Irr!BK13&lt;&gt;"."),dir!P13/((1/1000)*(Irr!O13+Irr!BK13)),IF(AND(Irr!O13=".",Irr!AM13&lt;&gt;".",Irr!BK13&lt;&gt;"."),dir!P13/((1/1000)*(Irr!AM13+Irr!BK13)),IF(AND(Irr!O13=".",Irr!AM13=".",Irr!BK13&lt;&gt;"."),dir!P13/((1/1000)*(Irr!BK13)),IF(AND(Irr!O13=".",Irr!AM13&lt;&gt;".",Irr!BK13="."),dir!P13/((1/1000)*(Irr!AM13)),IF(AND(Irr!O13&lt;&gt;".",Irr!AM13=".",Irr!BK13="."),dir!P13/((1/1000)*(Irr!O13)),IF(AND(Irr!O13=".",Irr!AM13=".",Irr!BK13="."),dir!P13*1000)))))))),".")</f>
        <v>58.858037627284027</v>
      </c>
      <c r="Q13" s="48">
        <f>IFERROR(IF(AND(Irr!P13&lt;&gt;".",Irr!AN13&lt;&gt;".",Irr!BL13&lt;&gt;"."),dir!Q13/((1/1000)*(Irr!P13+Irr!AN13+Irr!BL13)),IF(AND(Irr!P13&lt;&gt;".",Irr!AN13&lt;&gt;".",Irr!BL13="."),dir!Q13/((1/1000)*(Irr!P13+Irr!AN13)),IF(AND(Irr!P13&lt;&gt;".",Irr!AN13=".",Irr!BL13&lt;&gt;"."),dir!Q13/((1/1000)*(Irr!P13+Irr!BL13)),IF(AND(Irr!P13=".",Irr!AN13&lt;&gt;".",Irr!BL13&lt;&gt;"."),dir!Q13/((1/1000)*(Irr!AN13+Irr!BL13)),IF(AND(Irr!P13=".",Irr!AN13=".",Irr!BL13&lt;&gt;"."),dir!Q13/((1/1000)*(Irr!BL13)),IF(AND(Irr!P13=".",Irr!AN13&lt;&gt;".",Irr!BL13="."),dir!Q13/((1/1000)*(Irr!AN13)),IF(AND(Irr!P13&lt;&gt;".",Irr!AN13=".",Irr!BL13="."),dir!Q13/((1/1000)*(Irr!P13)),IF(AND(Irr!P13=".",Irr!AN13=".",Irr!BL13="."),dir!Q13*1000)))))))),".")</f>
        <v>79.482819085760568</v>
      </c>
      <c r="R13" s="48">
        <f>IFERROR(IF(AND(Irr!Q13&lt;&gt;".",Irr!AO13&lt;&gt;".",Irr!BM13&lt;&gt;"."),dir!R13/((1/1000)*(Irr!Q13+Irr!AO13+Irr!BM13)),IF(AND(Irr!Q13&lt;&gt;".",Irr!AO13&lt;&gt;".",Irr!BM13="."),dir!R13/((1/1000)*(Irr!Q13+Irr!AO13)),IF(AND(Irr!Q13&lt;&gt;".",Irr!AO13=".",Irr!BM13&lt;&gt;"."),dir!R13/((1/1000)*(Irr!Q13+Irr!BM13)),IF(AND(Irr!Q13=".",Irr!AO13&lt;&gt;".",Irr!BM13&lt;&gt;"."),dir!R13/((1/1000)*(Irr!AO13+Irr!BM13)),IF(AND(Irr!Q13=".",Irr!AO13=".",Irr!BM13&lt;&gt;"."),dir!R13/((1/1000)*(Irr!BM13)),IF(AND(Irr!Q13=".",Irr!AO13&lt;&gt;".",Irr!BM13="."),dir!R13/((1/1000)*(Irr!AO13)),IF(AND(Irr!Q13&lt;&gt;".",Irr!AO13=".",Irr!BM13="."),dir!R13/((1/1000)*(Irr!Q13)),IF(AND(Irr!Q13=".",Irr!AO13=".",Irr!BM13="."),dir!R13*1000)))))))),".")</f>
        <v>14.72012021574845</v>
      </c>
      <c r="S13" s="48">
        <f>IFERROR(IF(AND(Irr!R13&lt;&gt;".",Irr!AP13&lt;&gt;".",Irr!BN13&lt;&gt;"."),dir!S13/((1/1000)*(Irr!R13+Irr!AP13+Irr!BN13)),IF(AND(Irr!R13&lt;&gt;".",Irr!AP13&lt;&gt;".",Irr!BN13="."),dir!S13/((1/1000)*(Irr!R13+Irr!AP13)),IF(AND(Irr!R13&lt;&gt;".",Irr!AP13=".",Irr!BN13&lt;&gt;"."),dir!S13/((1/1000)*(Irr!R13+Irr!BN13)),IF(AND(Irr!R13=".",Irr!AP13&lt;&gt;".",Irr!BN13&lt;&gt;"."),dir!S13/((1/1000)*(Irr!AP13+Irr!BN13)),IF(AND(Irr!R13=".",Irr!AP13=".",Irr!BN13&lt;&gt;"."),dir!S13/((1/1000)*(Irr!BN13)),IF(AND(Irr!R13=".",Irr!AP13&lt;&gt;".",Irr!BN13="."),dir!S13/((1/1000)*(Irr!AP13)),IF(AND(Irr!R13&lt;&gt;".",Irr!AP13=".",Irr!BN13="."),dir!S13/((1/1000)*(Irr!R13)),IF(AND(Irr!R13=".",Irr!AP13=".",Irr!BN13="."),dir!S13*1000)))))))),".")</f>
        <v>30.577139464120798</v>
      </c>
      <c r="T13" s="48">
        <f>IFERROR(IF(AND(Irr!S13&lt;&gt;".",Irr!AQ13&lt;&gt;".",Irr!BO13&lt;&gt;"."),dir!T13/((1/1000)*(Irr!S13+Irr!AQ13+Irr!BO13)),IF(AND(Irr!S13&lt;&gt;".",Irr!AQ13&lt;&gt;".",Irr!BO13="."),dir!T13/((1/1000)*(Irr!S13+Irr!AQ13)),IF(AND(Irr!S13&lt;&gt;".",Irr!AQ13=".",Irr!BO13&lt;&gt;"."),dir!T13/((1/1000)*(Irr!S13+Irr!BO13)),IF(AND(Irr!S13=".",Irr!AQ13&lt;&gt;".",Irr!BO13&lt;&gt;"."),dir!T13/((1/1000)*(Irr!AQ13+Irr!BO13)),IF(AND(Irr!S13=".",Irr!AQ13=".",Irr!BO13&lt;&gt;"."),dir!T13/((1/1000)*(Irr!BO13)),IF(AND(Irr!S13=".",Irr!AQ13&lt;&gt;".",Irr!BO13="."),dir!T13/((1/1000)*(Irr!AQ13)),IF(AND(Irr!S13&lt;&gt;".",Irr!AQ13=".",Irr!BO13="."),dir!T13/((1/1000)*(Irr!S13)),IF(AND(Irr!S13=".",Irr!AQ13=".",Irr!BO13="."),dir!T13*1000)))))))),".")</f>
        <v>41.896717686856604</v>
      </c>
      <c r="U13" s="48">
        <f>IFERROR(IF(AND(Irr!T13&lt;&gt;".",Irr!AR13&lt;&gt;".",Irr!BP13&lt;&gt;"."),dir!U13/((1/1000)*(Irr!T13+Irr!AR13+Irr!BP13)),IF(AND(Irr!T13&lt;&gt;".",Irr!AR13&lt;&gt;".",Irr!BP13="."),dir!U13/((1/1000)*(Irr!T13+Irr!AR13)),IF(AND(Irr!T13&lt;&gt;".",Irr!AR13=".",Irr!BP13&lt;&gt;"."),dir!U13/((1/1000)*(Irr!T13+Irr!BP13)),IF(AND(Irr!T13=".",Irr!AR13&lt;&gt;".",Irr!BP13&lt;&gt;"."),dir!U13/((1/1000)*(Irr!AR13+Irr!BP13)),IF(AND(Irr!T13=".",Irr!AR13=".",Irr!BP13&lt;&gt;"."),dir!U13/((1/1000)*(Irr!BP13)),IF(AND(Irr!T13=".",Irr!AR13&lt;&gt;".",Irr!BP13="."),dir!U13/((1/1000)*(Irr!AR13)),IF(AND(Irr!T13&lt;&gt;".",Irr!AR13=".",Irr!BP13="."),dir!U13/((1/1000)*(Irr!T13)),IF(AND(Irr!T13=".",Irr!AR13=".",Irr!BP13="."),dir!U13*1000)))))))),".")</f>
        <v>14.533850485481077</v>
      </c>
      <c r="V13" s="48">
        <f>IFERROR(IF(AND(Irr!U13&lt;&gt;".",Irr!AS13&lt;&gt;".",Irr!BQ13&lt;&gt;"."),dir!V13/((1/1000)*(Irr!U13+Irr!AS13+Irr!BQ13)),IF(AND(Irr!U13&lt;&gt;".",Irr!AS13&lt;&gt;".",Irr!BQ13="."),dir!V13/((1/1000)*(Irr!U13+Irr!AS13)),IF(AND(Irr!U13&lt;&gt;".",Irr!AS13=".",Irr!BQ13&lt;&gt;"."),dir!V13/((1/1000)*(Irr!U13+Irr!BQ13)),IF(AND(Irr!U13=".",Irr!AS13&lt;&gt;".",Irr!BQ13&lt;&gt;"."),dir!V13/((1/1000)*(Irr!AS13+Irr!BQ13)),IF(AND(Irr!U13=".",Irr!AS13=".",Irr!BQ13&lt;&gt;"."),dir!V13/((1/1000)*(Irr!BQ13)),IF(AND(Irr!U13=".",Irr!AS13&lt;&gt;".",Irr!BQ13="."),dir!V13/((1/1000)*(Irr!AS13)),IF(AND(Irr!U13&lt;&gt;".",Irr!AS13=".",Irr!BQ13="."),dir!V13/((1/1000)*(Irr!U13)),IF(AND(Irr!U13=".",Irr!AS13=".",Irr!BQ13="."),dir!V13*1000)))))))),".")</f>
        <v>23.89532500515239</v>
      </c>
      <c r="W13" s="48">
        <f>IFERROR(IF(AND(Irr!V13&lt;&gt;".",Irr!AT13&lt;&gt;".",Irr!BR13&lt;&gt;"."),dir!W13/((1/1000)*(Irr!V13+Irr!AT13+Irr!BR13)),IF(AND(Irr!V13&lt;&gt;".",Irr!AT13&lt;&gt;".",Irr!BR13="."),dir!W13/((1/1000)*(Irr!V13+Irr!AT13)),IF(AND(Irr!V13&lt;&gt;".",Irr!AT13=".",Irr!BR13&lt;&gt;"."),dir!W13/((1/1000)*(Irr!V13+Irr!BR13)),IF(AND(Irr!V13=".",Irr!AT13&lt;&gt;".",Irr!BR13&lt;&gt;"."),dir!W13/((1/1000)*(Irr!AT13+Irr!BR13)),IF(AND(Irr!V13=".",Irr!AT13=".",Irr!BR13&lt;&gt;"."),dir!W13/((1/1000)*(Irr!BR13)),IF(AND(Irr!V13=".",Irr!AT13&lt;&gt;".",Irr!BR13="."),dir!W13/((1/1000)*(Irr!AT13)),IF(AND(Irr!V13&lt;&gt;".",Irr!AT13=".",Irr!BR13="."),dir!W13/((1/1000)*(Irr!V13)),IF(AND(Irr!V13=".",Irr!AT13=".",Irr!BR13="."),dir!W13*1000)))))))),".")</f>
        <v>29.192129075390802</v>
      </c>
      <c r="X13" s="48">
        <f>IFERROR(IF(AND(Irr!W13&lt;&gt;".",Irr!AU13&lt;&gt;".",Irr!BS13&lt;&gt;"."),dir!X13/((1/1000)*(Irr!W13+Irr!AU13+Irr!BS13)),IF(AND(Irr!W13&lt;&gt;".",Irr!AU13&lt;&gt;".",Irr!BS13="."),dir!X13/((1/1000)*(Irr!W13+Irr!AU13)),IF(AND(Irr!W13&lt;&gt;".",Irr!AU13=".",Irr!BS13&lt;&gt;"."),dir!X13/((1/1000)*(Irr!W13+Irr!BS13)),IF(AND(Irr!W13=".",Irr!AU13&lt;&gt;".",Irr!BS13&lt;&gt;"."),dir!X13/((1/1000)*(Irr!AU13+Irr!BS13)),IF(AND(Irr!W13=".",Irr!AU13=".",Irr!BS13&lt;&gt;"."),dir!X13/((1/1000)*(Irr!BS13)),IF(AND(Irr!W13=".",Irr!AU13&lt;&gt;".",Irr!BS13="."),dir!X13/((1/1000)*(Irr!AU13)),IF(AND(Irr!W13&lt;&gt;".",Irr!AU13=".",Irr!BS13="."),dir!X13/((1/1000)*(Irr!W13)),IF(AND(Irr!W13=".",Irr!AU13=".",Irr!BS13="."),dir!X13*1000)))))))),".")</f>
        <v>45.663047160286951</v>
      </c>
      <c r="Y13" s="48">
        <f>IFERROR(IF(AND(Irr!X13&lt;&gt;".",Irr!AV13&lt;&gt;".",Irr!BT13&lt;&gt;"."),dir!Y13/((1/1000)*(Irr!X13+Irr!AV13+Irr!BT13)),IF(AND(Irr!X13&lt;&gt;".",Irr!AV13&lt;&gt;".",Irr!BT13="."),dir!Y13/((1/1000)*(Irr!X13+Irr!AV13)),IF(AND(Irr!X13&lt;&gt;".",Irr!AV13=".",Irr!BT13&lt;&gt;"."),dir!Y13/((1/1000)*(Irr!X13+Irr!BT13)),IF(AND(Irr!X13=".",Irr!AV13&lt;&gt;".",Irr!BT13&lt;&gt;"."),dir!Y13/((1/1000)*(Irr!AV13+Irr!BT13)),IF(AND(Irr!X13=".",Irr!AV13=".",Irr!BT13&lt;&gt;"."),dir!Y13/((1/1000)*(Irr!BT13)),IF(AND(Irr!X13=".",Irr!AV13&lt;&gt;".",Irr!BT13="."),dir!Y13/((1/1000)*(Irr!AV13)),IF(AND(Irr!X13&lt;&gt;".",Irr!AV13=".",Irr!BT13="."),dir!Y13/((1/1000)*(Irr!X13)),IF(AND(Irr!X13=".",Irr!AV13=".",Irr!BT13="."),dir!Y13*1000)))))))),".")</f>
        <v>20.717850251948835</v>
      </c>
      <c r="Z13" s="48">
        <f>IFERROR(IF(AND(Irr!Y13&lt;&gt;".",Irr!AW13&lt;&gt;".",Irr!BU13&lt;&gt;"."),dir!Z13/((1/1000)*(Irr!Y13+Irr!AW13+Irr!BU13)),IF(AND(Irr!Y13&lt;&gt;".",Irr!AW13&lt;&gt;".",Irr!BU13="."),dir!Z13/((1/1000)*(Irr!Y13+Irr!AW13)),IF(AND(Irr!Y13&lt;&gt;".",Irr!AW13=".",Irr!BU13&lt;&gt;"."),dir!Z13/((1/1000)*(Irr!Y13+Irr!BU13)),IF(AND(Irr!Y13=".",Irr!AW13&lt;&gt;".",Irr!BU13&lt;&gt;"."),dir!Z13/((1/1000)*(Irr!AW13+Irr!BU13)),IF(AND(Irr!Y13=".",Irr!AW13=".",Irr!BU13&lt;&gt;"."),dir!Z13/((1/1000)*(Irr!BU13)),IF(AND(Irr!Y13=".",Irr!AW13&lt;&gt;".",Irr!BU13="."),dir!Z13/((1/1000)*(Irr!AW13)),IF(AND(Irr!Y13&lt;&gt;".",Irr!AW13=".",Irr!BU13="."),dir!Z13/((1/1000)*(Irr!Y13)),IF(AND(Irr!Y13=".",Irr!AW13=".",Irr!BU13="."),dir!Z13*1000)))))))),".")</f>
        <v>7.3774847200517382</v>
      </c>
      <c r="AA13" s="48">
        <f>IFERROR(IF(AND(Irr!Z13&lt;&gt;".",Irr!AX13&lt;&gt;".",Irr!BV13&lt;&gt;"."),dir!AA13/((1/1000)*(Irr!Z13+Irr!AX13+Irr!BV13)),IF(AND(Irr!Z13&lt;&gt;".",Irr!AX13&lt;&gt;".",Irr!BV13="."),dir!AA13/((1/1000)*(Irr!Z13+Irr!AX13)),IF(AND(Irr!Z13&lt;&gt;".",Irr!AX13=".",Irr!BV13&lt;&gt;"."),dir!AA13/((1/1000)*(Irr!Z13+Irr!BV13)),IF(AND(Irr!Z13=".",Irr!AX13&lt;&gt;".",Irr!BV13&lt;&gt;"."),dir!AA13/((1/1000)*(Irr!AX13+Irr!BV13)),IF(AND(Irr!Z13=".",Irr!AX13=".",Irr!BV13&lt;&gt;"."),dir!AA13/((1/1000)*(Irr!BV13)),IF(AND(Irr!Z13=".",Irr!AX13&lt;&gt;".",Irr!BV13="."),dir!AA13/((1/1000)*(Irr!AX13)),IF(AND(Irr!Z13&lt;&gt;".",Irr!AX13=".",Irr!BV13="."),dir!AA13/((1/1000)*(Irr!Z13)),IF(AND(Irr!Z13=".",Irr!AX13=".",Irr!BV13="."),dir!AA13*1000)))))))),".")</f>
        <v>5.9880957749573085</v>
      </c>
      <c r="AB13" s="48">
        <f t="shared" ref="AB13:AB14" si="13">IFERROR(1/SUM(1/AC13,1/AD13,1/AE13,1/AF13,1/AG13,1/AH13,1/AI13,1/AJ13,1/AK13,1/AL13,1/AM13,1/AN13,1/AO13,1/AP13,1/AQ13,1/AR13,1/AS13,1/AT13,1/AU13,1/AV13,1/AW13,1/AX13),".")</f>
        <v>1.0996281420252119</v>
      </c>
      <c r="AC13" s="48">
        <f>IFERROR(IF(AND(Irr!C13&lt;&gt;".",Irr!AA13&lt;&gt;".",Irr!AY13&lt;&gt;"."),dir!AC13/((1/1000)*(Irr!C13+Irr!AA13+Irr!AY13)),IF(AND(Irr!C13&lt;&gt;".",Irr!AA13&lt;&gt;".",Irr!AY13="."),dir!AC13/((1/1000)*(Irr!C13+Irr!AA13)),IF(AND(Irr!C13&lt;&gt;".",Irr!AA13=".",Irr!AY13&lt;&gt;"."),dir!AC13/((1/1000)*(Irr!C13+Irr!AY13)),IF(AND(Irr!C13=".",Irr!AA13&lt;&gt;".",Irr!AY13&lt;&gt;"."),dir!AC13/((1/1000)*(Irr!AA13+Irr!AY13)),IF(AND(Irr!C13=".",Irr!AA13=".",Irr!AY13&lt;&gt;"."),dir!AC13/((1/1000)*(Irr!AY13)),IF(AND(Irr!C13=".",Irr!AA13&lt;&gt;".",Irr!AY13="."),dir!AC13/((1/1000)*(Irr!AA13)),IF(AND(Irr!C13&lt;&gt;".",Irr!AA13=".",Irr!AY13="."),dir!AC13/((1/1000)*(Irr!C13)),IF(AND(Irr!C13=".",Irr!AA13=".",Irr!AY13="."),dir!AC13*1000)))))))),".")</f>
        <v>19.997568884956497</v>
      </c>
      <c r="AD13" s="48">
        <f>IFERROR(IF(AND(Irr!D13&lt;&gt;".",Irr!AB13&lt;&gt;".",Irr!AZ13&lt;&gt;"."),dir!AD13/((1/1000)*(Irr!D13+Irr!AB13+Irr!AZ13)),IF(AND(Irr!D13&lt;&gt;".",Irr!AB13&lt;&gt;".",Irr!AZ13="."),dir!AD13/((1/1000)*(Irr!D13+Irr!AB13)),IF(AND(Irr!D13&lt;&gt;".",Irr!AB13=".",Irr!AZ13&lt;&gt;"."),dir!AD13/((1/1000)*(Irr!D13+Irr!AZ13)),IF(AND(Irr!D13=".",Irr!AB13&lt;&gt;".",Irr!AZ13&lt;&gt;"."),dir!AD13/((1/1000)*(Irr!AB13+Irr!AZ13)),IF(AND(Irr!D13=".",Irr!AB13=".",Irr!AZ13&lt;&gt;"."),dir!AD13/((1/1000)*(Irr!AZ13)),IF(AND(Irr!D13=".",Irr!AB13&lt;&gt;".",Irr!AZ13="."),dir!AD13/((1/1000)*(Irr!AB13)),IF(AND(Irr!D13&lt;&gt;".",Irr!AB13=".",Irr!AZ13="."),dir!AD13/((1/1000)*(Irr!D13)),IF(AND(Irr!D13=".",Irr!AB13=".",Irr!AZ13="."),dir!AD13*1000)))))))),".")</f>
        <v>38.060764759341367</v>
      </c>
      <c r="AE13" s="48">
        <f>IFERROR(IF(AND(Irr!E13&lt;&gt;".",Irr!AC13&lt;&gt;".",Irr!BA13&lt;&gt;"."),dir!AE13/((1/1000)*(Irr!E13+Irr!AC13+Irr!BA13)),IF(AND(Irr!E13&lt;&gt;".",Irr!AC13&lt;&gt;".",Irr!BA13="."),dir!AE13/((1/1000)*(Irr!E13+Irr!AC13)),IF(AND(Irr!E13&lt;&gt;".",Irr!AC13=".",Irr!BA13&lt;&gt;"."),dir!AE13/((1/1000)*(Irr!E13+Irr!BA13)),IF(AND(Irr!E13=".",Irr!AC13&lt;&gt;".",Irr!BA13&lt;&gt;"."),dir!AE13/((1/1000)*(Irr!AC13+Irr!BA13)),IF(AND(Irr!E13=".",Irr!AC13=".",Irr!BA13&lt;&gt;"."),dir!AE13/((1/1000)*(Irr!BA13)),IF(AND(Irr!E13=".",Irr!AC13&lt;&gt;".",Irr!BA13="."),dir!AE13/((1/1000)*(Irr!AC13)),IF(AND(Irr!E13&lt;&gt;".",Irr!AC13=".",Irr!BA13="."),dir!AE13/((1/1000)*(Irr!E13)),IF(AND(Irr!E13=".",Irr!AC13=".",Irr!BA13="."),dir!AE13*1000)))))))),".")</f>
        <v>47.391374017311243</v>
      </c>
      <c r="AF13" s="48">
        <f>IFERROR(IF(AND(Irr!F13&lt;&gt;".",Irr!AD13&lt;&gt;".",Irr!BB13&lt;&gt;"."),dir!AF13/((1/1000)*(Irr!F13+Irr!AD13+Irr!BB13)),IF(AND(Irr!F13&lt;&gt;".",Irr!AD13&lt;&gt;".",Irr!BB13="."),dir!AF13/((1/1000)*(Irr!F13+Irr!AD13)),IF(AND(Irr!F13&lt;&gt;".",Irr!AD13=".",Irr!BB13&lt;&gt;"."),dir!AF13/((1/1000)*(Irr!F13+Irr!BB13)),IF(AND(Irr!F13=".",Irr!AD13&lt;&gt;".",Irr!BB13&lt;&gt;"."),dir!AF13/((1/1000)*(Irr!AD13+Irr!BB13)),IF(AND(Irr!F13=".",Irr!AD13=".",Irr!BB13&lt;&gt;"."),dir!AF13/((1/1000)*(Irr!BB13)),IF(AND(Irr!F13=".",Irr!AD13&lt;&gt;".",Irr!BB13="."),dir!AF13/((1/1000)*(Irr!AD13)),IF(AND(Irr!F13&lt;&gt;".",Irr!AD13=".",Irr!BB13="."),dir!AF13/((1/1000)*(Irr!F13)),IF(AND(Irr!F13=".",Irr!AD13=".",Irr!BB13="."),dir!AF13*1000)))))))),".")</f>
        <v>50.134989605385279</v>
      </c>
      <c r="AG13" s="48">
        <f>IFERROR(IF(AND(Irr!G13&lt;&gt;".",Irr!AE13&lt;&gt;".",Irr!BC13&lt;&gt;"."),dir!AG13/((1/1000)*(Irr!G13+Irr!AE13+Irr!BC13)),IF(AND(Irr!G13&lt;&gt;".",Irr!AE13&lt;&gt;".",Irr!BC13="."),dir!AG13/((1/1000)*(Irr!G13+Irr!AE13)),IF(AND(Irr!G13&lt;&gt;".",Irr!AE13=".",Irr!BC13&lt;&gt;"."),dir!AG13/((1/1000)*(Irr!G13+Irr!BC13)),IF(AND(Irr!G13=".",Irr!AE13&lt;&gt;".",Irr!BC13&lt;&gt;"."),dir!AG13/((1/1000)*(Irr!AE13+Irr!BC13)),IF(AND(Irr!G13=".",Irr!AE13=".",Irr!BC13&lt;&gt;"."),dir!AG13/((1/1000)*(Irr!BC13)),IF(AND(Irr!G13=".",Irr!AE13&lt;&gt;".",Irr!BC13="."),dir!AG13/((1/1000)*(Irr!AE13)),IF(AND(Irr!G13&lt;&gt;".",Irr!AE13=".",Irr!BC13="."),dir!AG13/((1/1000)*(Irr!G13)),IF(AND(Irr!G13=".",Irr!AE13=".",Irr!BC13="."),dir!AG13*1000)))))))),".")</f>
        <v>44.438149017091106</v>
      </c>
      <c r="AH13" s="48">
        <f>IFERROR(IF(AND(Irr!H13&lt;&gt;".",Irr!AF13&lt;&gt;".",Irr!BD13&lt;&gt;"."),dir!AH13/((1/1000)*(Irr!H13+Irr!AF13+Irr!BD13)),IF(AND(Irr!H13&lt;&gt;".",Irr!AF13&lt;&gt;".",Irr!BD13="."),dir!AH13/((1/1000)*(Irr!H13+Irr!AF13)),IF(AND(Irr!H13&lt;&gt;".",Irr!AF13=".",Irr!BD13&lt;&gt;"."),dir!AH13/((1/1000)*(Irr!H13+Irr!BD13)),IF(AND(Irr!H13=".",Irr!AF13&lt;&gt;".",Irr!BD13&lt;&gt;"."),dir!AH13/((1/1000)*(Irr!AF13+Irr!BD13)),IF(AND(Irr!H13=".",Irr!AF13=".",Irr!BD13&lt;&gt;"."),dir!AH13/((1/1000)*(Irr!BD13)),IF(AND(Irr!H13=".",Irr!AF13&lt;&gt;".",Irr!BD13="."),dir!AH13/((1/1000)*(Irr!AF13)),IF(AND(Irr!H13&lt;&gt;".",Irr!AF13=".",Irr!BD13="."),dir!AH13/((1/1000)*(Irr!H13)),IF(AND(Irr!H13=".",Irr!AF13=".",Irr!BD13="."),dir!AH13*1000)))))))),".")</f>
        <v>17.965122199664137</v>
      </c>
      <c r="AI13" s="48">
        <f>IFERROR(IF(AND(Irr!I13&lt;&gt;".",Irr!AG13&lt;&gt;".",Irr!BE13&lt;&gt;"."),dir!AI13/((1/1000)*(Irr!I13+Irr!AG13+Irr!BE13)),IF(AND(Irr!I13&lt;&gt;".",Irr!AG13&lt;&gt;".",Irr!BE13="."),dir!AI13/((1/1000)*(Irr!I13+Irr!AG13)),IF(AND(Irr!I13&lt;&gt;".",Irr!AG13=".",Irr!BE13&lt;&gt;"."),dir!AI13/((1/1000)*(Irr!I13+Irr!BE13)),IF(AND(Irr!I13=".",Irr!AG13&lt;&gt;".",Irr!BE13&lt;&gt;"."),dir!AI13/((1/1000)*(Irr!AG13+Irr!BE13)),IF(AND(Irr!I13=".",Irr!AG13=".",Irr!BE13&lt;&gt;"."),dir!AI13/((1/1000)*(Irr!BE13)),IF(AND(Irr!I13=".",Irr!AG13&lt;&gt;".",Irr!BE13="."),dir!AI13/((1/1000)*(Irr!AG13)),IF(AND(Irr!I13&lt;&gt;".",Irr!AG13=".",Irr!BE13="."),dir!AI13/((1/1000)*(Irr!I13)),IF(AND(Irr!I13=".",Irr!AG13=".",Irr!BE13="."),dir!AI13*1000)))))))),".")</f>
        <v>61.304909246283131</v>
      </c>
      <c r="AJ13" s="48">
        <f>IFERROR(IF(AND(Irr!J13&lt;&gt;".",Irr!AH13&lt;&gt;".",Irr!BF13&lt;&gt;"."),dir!AJ13/((1/1000)*(Irr!J13+Irr!AH13+Irr!BF13)),IF(AND(Irr!J13&lt;&gt;".",Irr!AH13&lt;&gt;".",Irr!BF13="."),dir!AJ13/((1/1000)*(Irr!J13+Irr!AH13)),IF(AND(Irr!J13&lt;&gt;".",Irr!AH13=".",Irr!BF13&lt;&gt;"."),dir!AJ13/((1/1000)*(Irr!J13+Irr!BF13)),IF(AND(Irr!J13=".",Irr!AH13&lt;&gt;".",Irr!BF13&lt;&gt;"."),dir!AJ13/((1/1000)*(Irr!AH13+Irr!BF13)),IF(AND(Irr!J13=".",Irr!AH13=".",Irr!BF13&lt;&gt;"."),dir!AJ13/((1/1000)*(Irr!BF13)),IF(AND(Irr!J13=".",Irr!AH13&lt;&gt;".",Irr!BF13="."),dir!AJ13/((1/1000)*(Irr!AH13)),IF(AND(Irr!J13&lt;&gt;".",Irr!AH13=".",Irr!BF13="."),dir!AJ13/((1/1000)*(Irr!J13)),IF(AND(Irr!J13=".",Irr!AH13=".",Irr!BF13="."),dir!AJ13*1000)))))))),".")</f>
        <v>5.7793743909146844</v>
      </c>
      <c r="AK13" s="48">
        <f>IFERROR(IF(AND(Irr!K13&lt;&gt;".",Irr!AI13&lt;&gt;".",Irr!BG13&lt;&gt;"."),dir!AK13/((1/1000)*(Irr!K13+Irr!AI13+Irr!BG13)),IF(AND(Irr!K13&lt;&gt;".",Irr!AI13&lt;&gt;".",Irr!BG13="."),dir!AK13/((1/1000)*(Irr!K13+Irr!AI13)),IF(AND(Irr!K13&lt;&gt;".",Irr!AI13=".",Irr!BG13&lt;&gt;"."),dir!AK13/((1/1000)*(Irr!K13+Irr!BG13)),IF(AND(Irr!K13=".",Irr!AI13&lt;&gt;".",Irr!BG13&lt;&gt;"."),dir!AK13/((1/1000)*(Irr!AI13+Irr!BG13)),IF(AND(Irr!K13=".",Irr!AI13=".",Irr!BG13&lt;&gt;"."),dir!AK13/((1/1000)*(Irr!BG13)),IF(AND(Irr!K13=".",Irr!AI13&lt;&gt;".",Irr!BG13="."),dir!AK13/((1/1000)*(Irr!AI13)),IF(AND(Irr!K13&lt;&gt;".",Irr!AI13=".",Irr!BG13="."),dir!AK13/((1/1000)*(Irr!K13)),IF(AND(Irr!K13=".",Irr!AI13=".",Irr!BG13="."),dir!AK13*1000)))))))),".")</f>
        <v>21.681106243003367</v>
      </c>
      <c r="AL13" s="48">
        <f>IFERROR(IF(AND(Irr!L13&lt;&gt;".",Irr!AJ13&lt;&gt;".",Irr!BH13&lt;&gt;"."),dir!AL13/((1/1000)*(Irr!L13+Irr!AJ13+Irr!BH13)),IF(AND(Irr!L13&lt;&gt;".",Irr!AJ13&lt;&gt;".",Irr!BH13="."),dir!AL13/((1/1000)*(Irr!L13+Irr!AJ13)),IF(AND(Irr!L13&lt;&gt;".",Irr!AJ13=".",Irr!BH13&lt;&gt;"."),dir!AL13/((1/1000)*(Irr!L13+Irr!BH13)),IF(AND(Irr!L13=".",Irr!AJ13&lt;&gt;".",Irr!BH13&lt;&gt;"."),dir!AL13/((1/1000)*(Irr!AJ13+Irr!BH13)),IF(AND(Irr!L13=".",Irr!AJ13=".",Irr!BH13&lt;&gt;"."),dir!AL13/((1/1000)*(Irr!BH13)),IF(AND(Irr!L13=".",Irr!AJ13&lt;&gt;".",Irr!BH13="."),dir!AL13/((1/1000)*(Irr!AJ13)),IF(AND(Irr!L13&lt;&gt;".",Irr!AJ13=".",Irr!BH13="."),dir!AL13/((1/1000)*(Irr!L13)),IF(AND(Irr!L13=".",Irr!AJ13=".",Irr!BH13="."),dir!AL13*1000)))))))),".")</f>
        <v>29.286852741137285</v>
      </c>
      <c r="AM13" s="48">
        <f>IFERROR(IF(AND(Irr!M13&lt;&gt;".",Irr!AK13&lt;&gt;".",Irr!BI13&lt;&gt;"."),dir!AM13/((1/1000)*(Irr!M13+Irr!AK13+Irr!BI13)),IF(AND(Irr!M13&lt;&gt;".",Irr!AK13&lt;&gt;".",Irr!BI13="."),dir!AM13/((1/1000)*(Irr!M13+Irr!AK13)),IF(AND(Irr!M13&lt;&gt;".",Irr!AK13=".",Irr!BI13&lt;&gt;"."),dir!AM13/((1/1000)*(Irr!M13+Irr!BI13)),IF(AND(Irr!M13=".",Irr!AK13&lt;&gt;".",Irr!BI13&lt;&gt;"."),dir!AM13/((1/1000)*(Irr!AK13+Irr!BI13)),IF(AND(Irr!M13=".",Irr!AK13=".",Irr!BI13&lt;&gt;"."),dir!AM13/((1/1000)*(Irr!BI13)),IF(AND(Irr!M13=".",Irr!AK13&lt;&gt;".",Irr!BI13="."),dir!AM13/((1/1000)*(Irr!AK13)),IF(AND(Irr!M13&lt;&gt;".",Irr!AK13=".",Irr!BI13="."),dir!AM13/((1/1000)*(Irr!M13)),IF(AND(Irr!M13=".",Irr!AK13=".",Irr!BI13="."),dir!AM13*1000)))))))),".")</f>
        <v>37.33700442935077</v>
      </c>
      <c r="AN13" s="48">
        <f>IFERROR(IF(AND(Irr!N13&lt;&gt;".",Irr!AL13&lt;&gt;".",Irr!BJ13&lt;&gt;"."),dir!AN13/((1/1000)*(Irr!N13+Irr!AL13+Irr!BJ13)),IF(AND(Irr!N13&lt;&gt;".",Irr!AL13&lt;&gt;".",Irr!BJ13="."),dir!AN13/((1/1000)*(Irr!N13+Irr!AL13)),IF(AND(Irr!N13&lt;&gt;".",Irr!AL13=".",Irr!BJ13&lt;&gt;"."),dir!AN13/((1/1000)*(Irr!N13+Irr!BJ13)),IF(AND(Irr!N13=".",Irr!AL13&lt;&gt;".",Irr!BJ13&lt;&gt;"."),dir!AN13/((1/1000)*(Irr!AL13+Irr!BJ13)),IF(AND(Irr!N13=".",Irr!AL13=".",Irr!BJ13&lt;&gt;"."),dir!AN13/((1/1000)*(Irr!BJ13)),IF(AND(Irr!N13=".",Irr!AL13&lt;&gt;".",Irr!BJ13="."),dir!AN13/((1/1000)*(Irr!AL13)),IF(AND(Irr!N13&lt;&gt;".",Irr!AL13=".",Irr!BJ13="."),dir!AN13/((1/1000)*(Irr!N13)),IF(AND(Irr!N13=".",Irr!AL13=".",Irr!BJ13="."),dir!AN13*1000)))))))),".")</f>
        <v>47.404682253641305</v>
      </c>
      <c r="AO13" s="48">
        <f>IFERROR(IF(AND(Irr!O13&lt;&gt;".",Irr!AM13&lt;&gt;".",Irr!BK13&lt;&gt;"."),dir!AO13/((1/1000)*(Irr!O13+Irr!AM13+Irr!BK13)),IF(AND(Irr!O13&lt;&gt;".",Irr!AM13&lt;&gt;".",Irr!BK13="."),dir!AO13/((1/1000)*(Irr!O13+Irr!AM13)),IF(AND(Irr!O13&lt;&gt;".",Irr!AM13=".",Irr!BK13&lt;&gt;"."),dir!AO13/((1/1000)*(Irr!O13+Irr!BK13)),IF(AND(Irr!O13=".",Irr!AM13&lt;&gt;".",Irr!BK13&lt;&gt;"."),dir!AO13/((1/1000)*(Irr!AM13+Irr!BK13)),IF(AND(Irr!O13=".",Irr!AM13=".",Irr!BK13&lt;&gt;"."),dir!AO13/((1/1000)*(Irr!BK13)),IF(AND(Irr!O13=".",Irr!AM13&lt;&gt;".",Irr!BK13="."),dir!AO13/((1/1000)*(Irr!AM13)),IF(AND(Irr!O13&lt;&gt;".",Irr!AM13=".",Irr!BK13="."),dir!AO13/((1/1000)*(Irr!O13)),IF(AND(Irr!O13=".",Irr!AM13=".",Irr!BK13="."),dir!AO13*1000)))))))),".")</f>
        <v>54.427838838183341</v>
      </c>
      <c r="AP13" s="48">
        <f>IFERROR(IF(AND(Irr!P13&lt;&gt;".",Irr!AN13&lt;&gt;".",Irr!BL13&lt;&gt;"."),dir!AP13/((1/1000)*(Irr!P13+Irr!AN13+Irr!BL13)),IF(AND(Irr!P13&lt;&gt;".",Irr!AN13&lt;&gt;".",Irr!BL13="."),dir!AP13/((1/1000)*(Irr!P13+Irr!AN13)),IF(AND(Irr!P13&lt;&gt;".",Irr!AN13=".",Irr!BL13&lt;&gt;"."),dir!AP13/((1/1000)*(Irr!P13+Irr!BL13)),IF(AND(Irr!P13=".",Irr!AN13&lt;&gt;".",Irr!BL13&lt;&gt;"."),dir!AP13/((1/1000)*(Irr!AN13+Irr!BL13)),IF(AND(Irr!P13=".",Irr!AN13=".",Irr!BL13&lt;&gt;"."),dir!AP13/((1/1000)*(Irr!BL13)),IF(AND(Irr!P13=".",Irr!AN13&lt;&gt;".",Irr!BL13="."),dir!AP13/((1/1000)*(Irr!AN13)),IF(AND(Irr!P13&lt;&gt;".",Irr!AN13=".",Irr!BL13="."),dir!AP13/((1/1000)*(Irr!P13)),IF(AND(Irr!P13=".",Irr!AN13=".",Irr!BL13="."),dir!AP13*1000)))))))),".")</f>
        <v>59.513581893966169</v>
      </c>
      <c r="AQ13" s="48">
        <f>IFERROR(IF(AND(Irr!Q13&lt;&gt;".",Irr!AO13&lt;&gt;".",Irr!BM13&lt;&gt;"."),dir!AQ13/((1/1000)*(Irr!Q13+Irr!AO13+Irr!BM13)),IF(AND(Irr!Q13&lt;&gt;".",Irr!AO13&lt;&gt;".",Irr!BM13="."),dir!AQ13/((1/1000)*(Irr!Q13+Irr!AO13)),IF(AND(Irr!Q13&lt;&gt;".",Irr!AO13=".",Irr!BM13&lt;&gt;"."),dir!AQ13/((1/1000)*(Irr!Q13+Irr!BM13)),IF(AND(Irr!Q13=".",Irr!AO13&lt;&gt;".",Irr!BM13&lt;&gt;"."),dir!AQ13/((1/1000)*(Irr!AO13+Irr!BM13)),IF(AND(Irr!Q13=".",Irr!AO13=".",Irr!BM13&lt;&gt;"."),dir!AQ13/((1/1000)*(Irr!BM13)),IF(AND(Irr!Q13=".",Irr!AO13&lt;&gt;".",Irr!BM13="."),dir!AQ13/((1/1000)*(Irr!AO13)),IF(AND(Irr!Q13&lt;&gt;".",Irr!AO13=".",Irr!BM13="."),dir!AQ13/((1/1000)*(Irr!Q13)),IF(AND(Irr!Q13=".",Irr!AO13=".",Irr!BM13="."),dir!AQ13*1000)))))))),".")</f>
        <v>16.46893309342359</v>
      </c>
      <c r="AR13" s="48">
        <f>IFERROR(IF(AND(Irr!R13&lt;&gt;".",Irr!AP13&lt;&gt;".",Irr!BN13&lt;&gt;"."),dir!AR13/((1/1000)*(Irr!R13+Irr!AP13+Irr!BN13)),IF(AND(Irr!R13&lt;&gt;".",Irr!AP13&lt;&gt;".",Irr!BN13="."),dir!AR13/((1/1000)*(Irr!R13+Irr!AP13)),IF(AND(Irr!R13&lt;&gt;".",Irr!AP13=".",Irr!BN13&lt;&gt;"."),dir!AR13/((1/1000)*(Irr!R13+Irr!BN13)),IF(AND(Irr!R13=".",Irr!AP13&lt;&gt;".",Irr!BN13&lt;&gt;"."),dir!AR13/((1/1000)*(Irr!AP13+Irr!BN13)),IF(AND(Irr!R13=".",Irr!AP13=".",Irr!BN13&lt;&gt;"."),dir!AR13/((1/1000)*(Irr!BN13)),IF(AND(Irr!R13=".",Irr!AP13&lt;&gt;".",Irr!BN13="."),dir!AR13/((1/1000)*(Irr!AP13)),IF(AND(Irr!R13&lt;&gt;".",Irr!AP13=".",Irr!BN13="."),dir!AR13/((1/1000)*(Irr!R13)),IF(AND(Irr!R13=".",Irr!AP13=".",Irr!BN13="."),dir!AR13*1000)))))))),".")</f>
        <v>27.078272552822046</v>
      </c>
      <c r="AS13" s="48">
        <f>IFERROR(IF(AND(Irr!S13&lt;&gt;".",Irr!AQ13&lt;&gt;".",Irr!BO13&lt;&gt;"."),dir!AS13/((1/1000)*(Irr!S13+Irr!AQ13+Irr!BO13)),IF(AND(Irr!S13&lt;&gt;".",Irr!AQ13&lt;&gt;".",Irr!BO13="."),dir!AS13/((1/1000)*(Irr!S13+Irr!AQ13)),IF(AND(Irr!S13&lt;&gt;".",Irr!AQ13=".",Irr!BO13&lt;&gt;"."),dir!AS13/((1/1000)*(Irr!S13+Irr!BO13)),IF(AND(Irr!S13=".",Irr!AQ13&lt;&gt;".",Irr!BO13&lt;&gt;"."),dir!AS13/((1/1000)*(Irr!AQ13+Irr!BO13)),IF(AND(Irr!S13=".",Irr!AQ13=".",Irr!BO13&lt;&gt;"."),dir!AS13/((1/1000)*(Irr!BO13)),IF(AND(Irr!S13=".",Irr!AQ13&lt;&gt;".",Irr!BO13="."),dir!AS13/((1/1000)*(Irr!AQ13)),IF(AND(Irr!S13&lt;&gt;".",Irr!AQ13=".",Irr!BO13="."),dir!AS13/((1/1000)*(Irr!S13)),IF(AND(Irr!S13=".",Irr!AQ13=".",Irr!BO13="."),dir!AS13*1000)))))))),".")</f>
        <v>46.443014316492793</v>
      </c>
      <c r="AT13" s="48">
        <f>IFERROR(IF(AND(Irr!T13&lt;&gt;".",Irr!AR13&lt;&gt;".",Irr!BP13&lt;&gt;"."),dir!AT13/((1/1000)*(Irr!T13+Irr!AR13+Irr!BP13)),IF(AND(Irr!T13&lt;&gt;".",Irr!AR13&lt;&gt;".",Irr!BP13="."),dir!AT13/((1/1000)*(Irr!T13+Irr!AR13)),IF(AND(Irr!T13&lt;&gt;".",Irr!AR13=".",Irr!BP13&lt;&gt;"."),dir!AT13/((1/1000)*(Irr!T13+Irr!BP13)),IF(AND(Irr!T13=".",Irr!AR13&lt;&gt;".",Irr!BP13&lt;&gt;"."),dir!AT13/((1/1000)*(Irr!AR13+Irr!BP13)),IF(AND(Irr!T13=".",Irr!AR13=".",Irr!BP13&lt;&gt;"."),dir!AT13/((1/1000)*(Irr!BP13)),IF(AND(Irr!T13=".",Irr!AR13&lt;&gt;".",Irr!BP13="."),dir!AT13/((1/1000)*(Irr!AR13)),IF(AND(Irr!T13&lt;&gt;".",Irr!AR13=".",Irr!BP13="."),dir!AT13/((1/1000)*(Irr!T13)),IF(AND(Irr!T13=".",Irr!AR13=".",Irr!BP13="."),dir!AT13*1000)))))))),".")</f>
        <v>12.414637808302851</v>
      </c>
      <c r="AU13" s="48">
        <f>IFERROR(IF(AND(Irr!U13&lt;&gt;".",Irr!AS13&lt;&gt;".",Irr!BQ13&lt;&gt;"."),dir!AU13/((1/1000)*(Irr!U13+Irr!AS13+Irr!BQ13)),IF(AND(Irr!U13&lt;&gt;".",Irr!AS13&lt;&gt;".",Irr!BQ13="."),dir!AU13/((1/1000)*(Irr!U13+Irr!AS13)),IF(AND(Irr!U13&lt;&gt;".",Irr!AS13=".",Irr!BQ13&lt;&gt;"."),dir!AU13/((1/1000)*(Irr!U13+Irr!BQ13)),IF(AND(Irr!U13=".",Irr!AS13&lt;&gt;".",Irr!BQ13&lt;&gt;"."),dir!AU13/((1/1000)*(Irr!AS13+Irr!BQ13)),IF(AND(Irr!U13=".",Irr!AS13=".",Irr!BQ13&lt;&gt;"."),dir!AU13/((1/1000)*(Irr!BQ13)),IF(AND(Irr!U13=".",Irr!AS13&lt;&gt;".",Irr!BQ13="."),dir!AU13/((1/1000)*(Irr!AS13)),IF(AND(Irr!U13&lt;&gt;".",Irr!AS13=".",Irr!BQ13="."),dir!AU13/((1/1000)*(Irr!U13)),IF(AND(Irr!U13=".",Irr!AS13=".",Irr!BQ13="."),dir!AU13*1000)))))))),".")</f>
        <v>23.289636844659686</v>
      </c>
      <c r="AV13" s="48">
        <f>IFERROR(IF(AND(Irr!V13&lt;&gt;".",Irr!AT13&lt;&gt;".",Irr!BR13&lt;&gt;"."),dir!AV13/((1/1000)*(Irr!V13+Irr!AT13+Irr!BR13)),IF(AND(Irr!V13&lt;&gt;".",Irr!AT13&lt;&gt;".",Irr!BR13="."),dir!AV13/((1/1000)*(Irr!V13+Irr!AT13)),IF(AND(Irr!V13&lt;&gt;".",Irr!AT13=".",Irr!BR13&lt;&gt;"."),dir!AV13/((1/1000)*(Irr!V13+Irr!BR13)),IF(AND(Irr!V13=".",Irr!AT13&lt;&gt;".",Irr!BR13&lt;&gt;"."),dir!AV13/((1/1000)*(Irr!AT13+Irr!BR13)),IF(AND(Irr!V13=".",Irr!AT13=".",Irr!BR13&lt;&gt;"."),dir!AV13/((1/1000)*(Irr!BR13)),IF(AND(Irr!V13=".",Irr!AT13&lt;&gt;".",Irr!BR13="."),dir!AV13/((1/1000)*(Irr!AT13)),IF(AND(Irr!V13&lt;&gt;".",Irr!AT13=".",Irr!BR13="."),dir!AV13/((1/1000)*(Irr!V13)),IF(AND(Irr!V13=".",Irr!AT13=".",Irr!BR13="."),dir!AV13*1000)))))))),".")</f>
        <v>27.788789948806123</v>
      </c>
      <c r="AW13" s="48">
        <f>IFERROR(IF(AND(Irr!W13&lt;&gt;".",Irr!AU13&lt;&gt;".",Irr!BS13&lt;&gt;"."),dir!AW13/((1/1000)*(Irr!W13+Irr!AU13+Irr!BS13)),IF(AND(Irr!W13&lt;&gt;".",Irr!AU13&lt;&gt;".",Irr!BS13="."),dir!AW13/((1/1000)*(Irr!W13+Irr!AU13)),IF(AND(Irr!W13&lt;&gt;".",Irr!AU13=".",Irr!BS13&lt;&gt;"."),dir!AW13/((1/1000)*(Irr!W13+Irr!BS13)),IF(AND(Irr!W13=".",Irr!AU13&lt;&gt;".",Irr!BS13&lt;&gt;"."),dir!AW13/((1/1000)*(Irr!AU13+Irr!BS13)),IF(AND(Irr!W13=".",Irr!AU13=".",Irr!BS13&lt;&gt;"."),dir!AW13/((1/1000)*(Irr!BS13)),IF(AND(Irr!W13=".",Irr!AU13&lt;&gt;".",Irr!BS13="."),dir!AW13/((1/1000)*(Irr!AU13)),IF(AND(Irr!W13&lt;&gt;".",Irr!AU13=".",Irr!BS13="."),dir!AW13/((1/1000)*(Irr!W13)),IF(AND(Irr!W13=".",Irr!AU13=".",Irr!BS13="."),dir!AW13*1000)))))))),".")</f>
        <v>44.21024063629666</v>
      </c>
      <c r="AX13" s="48">
        <f>IFERROR(IF(AND(Irr!X13&lt;&gt;".",Irr!AV13&lt;&gt;".",Irr!BT13&lt;&gt;"."),dir!AX13/((1/1000)*(Irr!X13+Irr!AV13+Irr!BT13)),IF(AND(Irr!X13&lt;&gt;".",Irr!AV13&lt;&gt;".",Irr!BT13="."),dir!AX13/((1/1000)*(Irr!X13+Irr!AV13)),IF(AND(Irr!X13&lt;&gt;".",Irr!AV13=".",Irr!BT13&lt;&gt;"."),dir!AX13/((1/1000)*(Irr!X13+Irr!BT13)),IF(AND(Irr!X13=".",Irr!AV13&lt;&gt;".",Irr!BT13&lt;&gt;"."),dir!AX13/((1/1000)*(Irr!AV13+Irr!BT13)),IF(AND(Irr!X13=".",Irr!AV13=".",Irr!BT13&lt;&gt;"."),dir!AX13/((1/1000)*(Irr!BT13)),IF(AND(Irr!X13=".",Irr!AV13&lt;&gt;".",Irr!BT13="."),dir!AX13/((1/1000)*(Irr!AV13)),IF(AND(Irr!X13&lt;&gt;".",Irr!AV13=".",Irr!BT13="."),dir!AX13/((1/1000)*(Irr!X13)),IF(AND(Irr!X13=".",Irr!AV13=".",Irr!BT13="."),dir!AX13*1000)))))))),".")</f>
        <v>16.675799003567331</v>
      </c>
      <c r="AY13" s="48">
        <f>IFERROR(IF(AND(Irr!Y13&lt;&gt;".",Irr!AW13&lt;&gt;".",Irr!BU13&lt;&gt;"."),dir!AY13/((1/1000)*(Irr!Y13+Irr!AW13+Irr!BU13)),IF(AND(Irr!Y13&lt;&gt;".",Irr!AW13&lt;&gt;".",Irr!BU13="."),dir!AY13/((1/1000)*(Irr!Y13+Irr!AW13)),IF(AND(Irr!Y13&lt;&gt;".",Irr!AW13=".",Irr!BU13&lt;&gt;"."),dir!AY13/((1/1000)*(Irr!Y13+Irr!BU13)),IF(AND(Irr!Y13=".",Irr!AW13&lt;&gt;".",Irr!BU13&lt;&gt;"."),dir!AY13/((1/1000)*(Irr!AW13+Irr!BU13)),IF(AND(Irr!Y13=".",Irr!AW13=".",Irr!BU13&lt;&gt;"."),dir!AY13/((1/1000)*(Irr!BU13)),IF(AND(Irr!Y13=".",Irr!AW13&lt;&gt;".",Irr!BU13="."),dir!AY13/((1/1000)*(Irr!AW13)),IF(AND(Irr!Y13&lt;&gt;".",Irr!AW13=".",Irr!BU13="."),dir!AY13/((1/1000)*(Irr!Y13)),IF(AND(Irr!Y13=".",Irr!AW13=".",Irr!BU13="."),dir!AY13*1000)))))))),".")</f>
        <v>5.7765306426330909</v>
      </c>
      <c r="AZ13" s="48">
        <f>IFERROR(IF(AND(Irr!Z13&lt;&gt;".",Irr!AX13&lt;&gt;".",Irr!BV13&lt;&gt;"."),dir!AZ13/((1/1000)*(Irr!Z13+Irr!AX13+Irr!BV13)),IF(AND(Irr!Z13&lt;&gt;".",Irr!AX13&lt;&gt;".",Irr!BV13="."),dir!AZ13/((1/1000)*(Irr!Z13+Irr!AX13)),IF(AND(Irr!Z13&lt;&gt;".",Irr!AX13=".",Irr!BV13&lt;&gt;"."),dir!AZ13/((1/1000)*(Irr!Z13+Irr!BV13)),IF(AND(Irr!Z13=".",Irr!AX13&lt;&gt;".",Irr!BV13&lt;&gt;"."),dir!AZ13/((1/1000)*(Irr!AX13+Irr!BV13)),IF(AND(Irr!Z13=".",Irr!AX13=".",Irr!BV13&lt;&gt;"."),dir!AZ13/((1/1000)*(Irr!BV13)),IF(AND(Irr!Z13=".",Irr!AX13&lt;&gt;".",Irr!BV13="."),dir!AZ13/((1/1000)*(Irr!AX13)),IF(AND(Irr!Z13&lt;&gt;".",Irr!AX13=".",Irr!BV13="."),dir!AZ13/((1/1000)*(Irr!Z13)),IF(AND(Irr!Z13=".",Irr!AX13=".",Irr!BV13="."),dir!AZ13*1000)))))))),".")</f>
        <v>5.7294556798488774</v>
      </c>
    </row>
    <row r="14" spans="1:52" ht="15" customHeight="1" x14ac:dyDescent="0.25">
      <c r="A14" s="61" t="s">
        <v>12</v>
      </c>
      <c r="B14" s="49" t="s">
        <v>1059</v>
      </c>
      <c r="C14" s="48">
        <f t="shared" si="12"/>
        <v>109.67580893599528</v>
      </c>
      <c r="D14" s="48">
        <f>IFERROR(IF(AND(Irr!C14&lt;&gt;".",Irr!AA14&lt;&gt;".",Irr!AY14&lt;&gt;"."),dir!D14/((1/1000)*(Irr!C14+Irr!AA14+Irr!AY14)),IF(AND(Irr!C14&lt;&gt;".",Irr!AA14&lt;&gt;".",Irr!AY14="."),dir!D14/((1/1000)*(Irr!C14+Irr!AA14)),IF(AND(Irr!C14&lt;&gt;".",Irr!AA14=".",Irr!AY14&lt;&gt;"."),dir!D14/((1/1000)*(Irr!C14+Irr!AY14)),IF(AND(Irr!C14=".",Irr!AA14&lt;&gt;".",Irr!AY14&lt;&gt;"."),dir!D14/((1/1000)*(Irr!AA14+Irr!AY14)),IF(AND(Irr!C14=".",Irr!AA14=".",Irr!AY14&lt;&gt;"."),dir!D14/((1/1000)*(Irr!AY14)),IF(AND(Irr!C14=".",Irr!AA14&lt;&gt;".",Irr!AY14="."),dir!D14/((1/1000)*(Irr!AA14)),IF(AND(Irr!C14&lt;&gt;".",Irr!AA14=".",Irr!AY14="."),dir!D14/((1/1000)*(Irr!C14)),IF(AND(Irr!C14=".",Irr!AA14=".",Irr!AY14="."),dir!D14*1000)))))))),".")</f>
        <v>1990.9418823188714</v>
      </c>
      <c r="E14" s="48">
        <f>IFERROR(IF(AND(Irr!D14&lt;&gt;".",Irr!AB14&lt;&gt;".",Irr!AZ14&lt;&gt;"."),dir!E14/((1/1000)*(Irr!D14+Irr!AB14+Irr!AZ14)),IF(AND(Irr!D14&lt;&gt;".",Irr!AB14&lt;&gt;".",Irr!AZ14="."),dir!E14/((1/1000)*(Irr!D14+Irr!AB14)),IF(AND(Irr!D14&lt;&gt;".",Irr!AB14=".",Irr!AZ14&lt;&gt;"."),dir!E14/((1/1000)*(Irr!D14+Irr!AZ14)),IF(AND(Irr!D14=".",Irr!AB14&lt;&gt;".",Irr!AZ14&lt;&gt;"."),dir!E14/((1/1000)*(Irr!AB14+Irr!AZ14)),IF(AND(Irr!D14=".",Irr!AB14=".",Irr!AZ14&lt;&gt;"."),dir!E14/((1/1000)*(Irr!AZ14)),IF(AND(Irr!D14=".",Irr!AB14&lt;&gt;".",Irr!AZ14="."),dir!E14/((1/1000)*(Irr!AB14)),IF(AND(Irr!D14&lt;&gt;".",Irr!AB14=".",Irr!AZ14="."),dir!E14/((1/1000)*(Irr!D14)),IF(AND(Irr!D14=".",Irr!AB14=".",Irr!AZ14="."),dir!E14*1000)))))))),".")</f>
        <v>4426.0073127539608</v>
      </c>
      <c r="F14" s="48">
        <f>IFERROR(IF(AND(Irr!E14&lt;&gt;".",Irr!AC14&lt;&gt;".",Irr!BA14&lt;&gt;"."),dir!F14/((1/1000)*(Irr!E14+Irr!AC14+Irr!BA14)),IF(AND(Irr!E14&lt;&gt;".",Irr!AC14&lt;&gt;".",Irr!BA14="."),dir!F14/((1/1000)*(Irr!E14+Irr!AC14)),IF(AND(Irr!E14&lt;&gt;".",Irr!AC14=".",Irr!BA14&lt;&gt;"."),dir!F14/((1/1000)*(Irr!E14+Irr!BA14)),IF(AND(Irr!E14=".",Irr!AC14&lt;&gt;".",Irr!BA14&lt;&gt;"."),dir!F14/((1/1000)*(Irr!AC14+Irr!BA14)),IF(AND(Irr!E14=".",Irr!AC14=".",Irr!BA14&lt;&gt;"."),dir!F14/((1/1000)*(Irr!BA14)),IF(AND(Irr!E14=".",Irr!AC14&lt;&gt;".",Irr!BA14="."),dir!F14/((1/1000)*(Irr!AC14)),IF(AND(Irr!E14&lt;&gt;".",Irr!AC14=".",Irr!BA14="."),dir!F14/((1/1000)*(Irr!E14)),IF(AND(Irr!E14=".",Irr!AC14=".",Irr!BA14="."),dir!F14*1000)))))))),".")</f>
        <v>5410.1563170210575</v>
      </c>
      <c r="G14" s="48">
        <f>IFERROR(IF(AND(Irr!F14&lt;&gt;".",Irr!AD14&lt;&gt;".",Irr!BB14&lt;&gt;"."),dir!G14/((1/1000)*(Irr!F14+Irr!AD14+Irr!BB14)),IF(AND(Irr!F14&lt;&gt;".",Irr!AD14&lt;&gt;".",Irr!BB14="."),dir!G14/((1/1000)*(Irr!F14+Irr!AD14)),IF(AND(Irr!F14&lt;&gt;".",Irr!AD14=".",Irr!BB14&lt;&gt;"."),dir!G14/((1/1000)*(Irr!F14+Irr!BB14)),IF(AND(Irr!F14=".",Irr!AD14&lt;&gt;".",Irr!BB14&lt;&gt;"."),dir!G14/((1/1000)*(Irr!AD14+Irr!BB14)),IF(AND(Irr!F14=".",Irr!AD14=".",Irr!BB14&lt;&gt;"."),dir!G14/((1/1000)*(Irr!BB14)),IF(AND(Irr!F14=".",Irr!AD14&lt;&gt;".",Irr!BB14="."),dir!G14/((1/1000)*(Irr!AD14)),IF(AND(Irr!F14&lt;&gt;".",Irr!AD14=".",Irr!BB14="."),dir!G14/((1/1000)*(Irr!F14)),IF(AND(Irr!F14=".",Irr!AD14=".",Irr!BB14="."),dir!G14*1000)))))))),".")</f>
        <v>4458.4864065263328</v>
      </c>
      <c r="H14" s="48">
        <f>IFERROR(IF(AND(Irr!G14&lt;&gt;".",Irr!AE14&lt;&gt;".",Irr!BC14&lt;&gt;"."),dir!H14/((1/1000)*(Irr!G14+Irr!AE14+Irr!BC14)),IF(AND(Irr!G14&lt;&gt;".",Irr!AE14&lt;&gt;".",Irr!BC14="."),dir!H14/((1/1000)*(Irr!G14+Irr!AE14)),IF(AND(Irr!G14&lt;&gt;".",Irr!AE14=".",Irr!BC14&lt;&gt;"."),dir!H14/((1/1000)*(Irr!G14+Irr!BC14)),IF(AND(Irr!G14=".",Irr!AE14&lt;&gt;".",Irr!BC14&lt;&gt;"."),dir!H14/((1/1000)*(Irr!AE14+Irr!BC14)),IF(AND(Irr!G14=".",Irr!AE14=".",Irr!BC14&lt;&gt;"."),dir!H14/((1/1000)*(Irr!BC14)),IF(AND(Irr!G14=".",Irr!AE14&lt;&gt;".",Irr!BC14="."),dir!H14/((1/1000)*(Irr!AE14)),IF(AND(Irr!G14&lt;&gt;".",Irr!AE14=".",Irr!BC14="."),dir!H14/((1/1000)*(Irr!G14)),IF(AND(Irr!G14=".",Irr!AE14=".",Irr!BC14="."),dir!H14*1000)))))))),".")</f>
        <v>5241.6032836788572</v>
      </c>
      <c r="I14" s="48">
        <f>IFERROR(IF(AND(Irr!H14&lt;&gt;".",Irr!AF14&lt;&gt;".",Irr!BD14&lt;&gt;"."),dir!I14/((1/1000)*(Irr!H14+Irr!AF14+Irr!BD14)),IF(AND(Irr!H14&lt;&gt;".",Irr!AF14&lt;&gt;".",Irr!BD14="."),dir!I14/((1/1000)*(Irr!H14+Irr!AF14)),IF(AND(Irr!H14&lt;&gt;".",Irr!AF14=".",Irr!BD14&lt;&gt;"."),dir!I14/((1/1000)*(Irr!H14+Irr!BD14)),IF(AND(Irr!H14=".",Irr!AF14&lt;&gt;".",Irr!BD14&lt;&gt;"."),dir!I14/((1/1000)*(Irr!AF14+Irr!BD14)),IF(AND(Irr!H14=".",Irr!AF14=".",Irr!BD14&lt;&gt;"."),dir!I14/((1/1000)*(Irr!BD14)),IF(AND(Irr!H14=".",Irr!AF14&lt;&gt;".",Irr!BD14="."),dir!I14/((1/1000)*(Irr!AF14)),IF(AND(Irr!H14&lt;&gt;".",Irr!AF14=".",Irr!BD14="."),dir!I14/((1/1000)*(Irr!H14)),IF(AND(Irr!H14=".",Irr!AF14=".",Irr!BD14="."),dir!I14*1000)))))))),".")</f>
        <v>1981.3584446269085</v>
      </c>
      <c r="J14" s="48">
        <f>IFERROR(IF(AND(Irr!I14&lt;&gt;".",Irr!AG14&lt;&gt;".",Irr!BE14&lt;&gt;"."),dir!J14/((1/1000)*(Irr!I14+Irr!AG14+Irr!BE14)),IF(AND(Irr!I14&lt;&gt;".",Irr!AG14&lt;&gt;".",Irr!BE14="."),dir!J14/((1/1000)*(Irr!I14+Irr!AG14)),IF(AND(Irr!I14&lt;&gt;".",Irr!AG14=".",Irr!BE14&lt;&gt;"."),dir!J14/((1/1000)*(Irr!I14+Irr!BE14)),IF(AND(Irr!I14=".",Irr!AG14&lt;&gt;".",Irr!BE14&lt;&gt;"."),dir!J14/((1/1000)*(Irr!AG14+Irr!BE14)),IF(AND(Irr!I14=".",Irr!AG14=".",Irr!BE14&lt;&gt;"."),dir!J14/((1/1000)*(Irr!BE14)),IF(AND(Irr!I14=".",Irr!AG14&lt;&gt;".",Irr!BE14="."),dir!J14/((1/1000)*(Irr!AG14)),IF(AND(Irr!I14&lt;&gt;".",Irr!AG14=".",Irr!BE14="."),dir!J14/((1/1000)*(Irr!I14)),IF(AND(Irr!I14=".",Irr!AG14=".",Irr!BE14="."),dir!J14*1000)))))))),".")</f>
        <v>5977.0818654442255</v>
      </c>
      <c r="K14" s="48">
        <f>IFERROR(IF(AND(Irr!J14&lt;&gt;".",Irr!AH14&lt;&gt;".",Irr!BF14&lt;&gt;"."),dir!K14/((1/1000)*(Irr!J14+Irr!AH14+Irr!BF14)),IF(AND(Irr!J14&lt;&gt;".",Irr!AH14&lt;&gt;".",Irr!BF14="."),dir!K14/((1/1000)*(Irr!J14+Irr!AH14)),IF(AND(Irr!J14&lt;&gt;".",Irr!AH14=".",Irr!BF14&lt;&gt;"."),dir!K14/((1/1000)*(Irr!J14+Irr!BF14)),IF(AND(Irr!J14=".",Irr!AH14&lt;&gt;".",Irr!BF14&lt;&gt;"."),dir!K14/((1/1000)*(Irr!AH14+Irr!BF14)),IF(AND(Irr!J14=".",Irr!AH14=".",Irr!BF14&lt;&gt;"."),dir!K14/((1/1000)*(Irr!BF14)),IF(AND(Irr!J14=".",Irr!AH14&lt;&gt;".",Irr!BF14="."),dir!K14/((1/1000)*(Irr!AH14)),IF(AND(Irr!J14&lt;&gt;".",Irr!AH14=".",Irr!BF14="."),dir!K14/((1/1000)*(Irr!J14)),IF(AND(Irr!J14=".",Irr!AH14=".",Irr!BF14="."),dir!K14*1000)))))))),".")</f>
        <v>516.29290004417032</v>
      </c>
      <c r="L14" s="48">
        <f>IFERROR(IF(AND(Irr!K14&lt;&gt;".",Irr!AI14&lt;&gt;".",Irr!BG14&lt;&gt;"."),dir!L14/((1/1000)*(Irr!K14+Irr!AI14+Irr!BG14)),IF(AND(Irr!K14&lt;&gt;".",Irr!AI14&lt;&gt;".",Irr!BG14="."),dir!L14/((1/1000)*(Irr!K14+Irr!AI14)),IF(AND(Irr!K14&lt;&gt;".",Irr!AI14=".",Irr!BG14&lt;&gt;"."),dir!L14/((1/1000)*(Irr!K14+Irr!BG14)),IF(AND(Irr!K14=".",Irr!AI14&lt;&gt;".",Irr!BG14&lt;&gt;"."),dir!L14/((1/1000)*(Irr!AI14+Irr!BG14)),IF(AND(Irr!K14=".",Irr!AI14=".",Irr!BG14&lt;&gt;"."),dir!L14/((1/1000)*(Irr!BG14)),IF(AND(Irr!K14=".",Irr!AI14&lt;&gt;".",Irr!BG14="."),dir!L14/((1/1000)*(Irr!AI14)),IF(AND(Irr!K14&lt;&gt;".",Irr!AI14=".",Irr!BG14="."),dir!L14/((1/1000)*(Irr!K14)),IF(AND(Irr!K14=".",Irr!AI14=".",Irr!BG14="."),dir!L14*1000)))))))),".")</f>
        <v>2835.1144074318372</v>
      </c>
      <c r="M14" s="48">
        <f>IFERROR(IF(AND(Irr!L14&lt;&gt;".",Irr!AJ14&lt;&gt;".",Irr!BH14&lt;&gt;"."),dir!M14/((1/1000)*(Irr!L14+Irr!AJ14+Irr!BH14)),IF(AND(Irr!L14&lt;&gt;".",Irr!AJ14&lt;&gt;".",Irr!BH14="."),dir!M14/((1/1000)*(Irr!L14+Irr!AJ14)),IF(AND(Irr!L14&lt;&gt;".",Irr!AJ14=".",Irr!BH14&lt;&gt;"."),dir!M14/((1/1000)*(Irr!L14+Irr!BH14)),IF(AND(Irr!L14=".",Irr!AJ14&lt;&gt;".",Irr!BH14&lt;&gt;"."),dir!M14/((1/1000)*(Irr!AJ14+Irr!BH14)),IF(AND(Irr!L14=".",Irr!AJ14=".",Irr!BH14&lt;&gt;"."),dir!M14/((1/1000)*(Irr!BH14)),IF(AND(Irr!L14=".",Irr!AJ14&lt;&gt;".",Irr!BH14="."),dir!M14/((1/1000)*(Irr!AJ14)),IF(AND(Irr!L14&lt;&gt;".",Irr!AJ14=".",Irr!BH14="."),dir!M14/((1/1000)*(Irr!L14)),IF(AND(Irr!L14=".",Irr!AJ14=".",Irr!BH14="."),dir!M14*1000)))))))),".")</f>
        <v>2110.0030083994329</v>
      </c>
      <c r="N14" s="48">
        <f>IFERROR(IF(AND(Irr!M14&lt;&gt;".",Irr!AK14&lt;&gt;".",Irr!BI14&lt;&gt;"."),dir!N14/((1/1000)*(Irr!M14+Irr!AK14+Irr!BI14)),IF(AND(Irr!M14&lt;&gt;".",Irr!AK14&lt;&gt;".",Irr!BI14="."),dir!N14/((1/1000)*(Irr!M14+Irr!AK14)),IF(AND(Irr!M14&lt;&gt;".",Irr!AK14=".",Irr!BI14&lt;&gt;"."),dir!N14/((1/1000)*(Irr!M14+Irr!BI14)),IF(AND(Irr!M14=".",Irr!AK14&lt;&gt;".",Irr!BI14&lt;&gt;"."),dir!N14/((1/1000)*(Irr!AK14+Irr!BI14)),IF(AND(Irr!M14=".",Irr!AK14=".",Irr!BI14&lt;&gt;"."),dir!N14/((1/1000)*(Irr!BI14)),IF(AND(Irr!M14=".",Irr!AK14&lt;&gt;".",Irr!BI14="."),dir!N14/((1/1000)*(Irr!AK14)),IF(AND(Irr!M14&lt;&gt;".",Irr!AK14=".",Irr!BI14="."),dir!N14/((1/1000)*(Irr!M14)),IF(AND(Irr!M14=".",Irr!AK14=".",Irr!BI14="."),dir!N14*1000)))))))),".")</f>
        <v>4373.4726064919851</v>
      </c>
      <c r="O14" s="48">
        <f>IFERROR(IF(AND(Irr!N14&lt;&gt;".",Irr!AL14&lt;&gt;".",Irr!BJ14&lt;&gt;"."),dir!O14/((1/1000)*(Irr!N14+Irr!AL14+Irr!BJ14)),IF(AND(Irr!N14&lt;&gt;".",Irr!AL14&lt;&gt;".",Irr!BJ14="."),dir!O14/((1/1000)*(Irr!N14+Irr!AL14)),IF(AND(Irr!N14&lt;&gt;".",Irr!AL14=".",Irr!BJ14&lt;&gt;"."),dir!O14/((1/1000)*(Irr!N14+Irr!BJ14)),IF(AND(Irr!N14=".",Irr!AL14&lt;&gt;".",Irr!BJ14&lt;&gt;"."),dir!O14/((1/1000)*(Irr!AL14+Irr!BJ14)),IF(AND(Irr!N14=".",Irr!AL14=".",Irr!BJ14&lt;&gt;"."),dir!O14/((1/1000)*(Irr!BJ14)),IF(AND(Irr!N14=".",Irr!AL14&lt;&gt;".",Irr!BJ14="."),dir!O14/((1/1000)*(Irr!AL14)),IF(AND(Irr!N14&lt;&gt;".",Irr!AL14=".",Irr!BJ14="."),dir!O14/((1/1000)*(Irr!N14)),IF(AND(Irr!N14=".",Irr!AL14=".",Irr!BJ14="."),dir!O14*1000)))))))),".")</f>
        <v>5138.4044026761567</v>
      </c>
      <c r="P14" s="48">
        <f>IFERROR(IF(AND(Irr!O14&lt;&gt;".",Irr!AM14&lt;&gt;".",Irr!BK14&lt;&gt;"."),dir!P14/((1/1000)*(Irr!O14+Irr!AM14+Irr!BK14)),IF(AND(Irr!O14&lt;&gt;".",Irr!AM14&lt;&gt;".",Irr!BK14="."),dir!P14/((1/1000)*(Irr!O14+Irr!AM14)),IF(AND(Irr!O14&lt;&gt;".",Irr!AM14=".",Irr!BK14&lt;&gt;"."),dir!P14/((1/1000)*(Irr!O14+Irr!BK14)),IF(AND(Irr!O14=".",Irr!AM14&lt;&gt;".",Irr!BK14&lt;&gt;"."),dir!P14/((1/1000)*(Irr!AM14+Irr!BK14)),IF(AND(Irr!O14=".",Irr!AM14=".",Irr!BK14&lt;&gt;"."),dir!P14/((1/1000)*(Irr!BK14)),IF(AND(Irr!O14=".",Irr!AM14&lt;&gt;".",Irr!BK14="."),dir!P14/((1/1000)*(Irr!AM14)),IF(AND(Irr!O14&lt;&gt;".",Irr!AM14=".",Irr!BK14="."),dir!P14/((1/1000)*(Irr!O14)),IF(AND(Irr!O14=".",Irr!AM14=".",Irr!BK14="."),dir!P14*1000)))))))),".")</f>
        <v>5971.882575686117</v>
      </c>
      <c r="Q14" s="48">
        <f>IFERROR(IF(AND(Irr!P14&lt;&gt;".",Irr!AN14&lt;&gt;".",Irr!BL14&lt;&gt;"."),dir!Q14/((1/1000)*(Irr!P14+Irr!AN14+Irr!BL14)),IF(AND(Irr!P14&lt;&gt;".",Irr!AN14&lt;&gt;".",Irr!BL14="."),dir!Q14/((1/1000)*(Irr!P14+Irr!AN14)),IF(AND(Irr!P14&lt;&gt;".",Irr!AN14=".",Irr!BL14&lt;&gt;"."),dir!Q14/((1/1000)*(Irr!P14+Irr!BL14)),IF(AND(Irr!P14=".",Irr!AN14&lt;&gt;".",Irr!BL14&lt;&gt;"."),dir!Q14/((1/1000)*(Irr!AN14+Irr!BL14)),IF(AND(Irr!P14=".",Irr!AN14=".",Irr!BL14&lt;&gt;"."),dir!Q14/((1/1000)*(Irr!BL14)),IF(AND(Irr!P14=".",Irr!AN14&lt;&gt;".",Irr!BL14="."),dir!Q14/((1/1000)*(Irr!AN14)),IF(AND(Irr!P14&lt;&gt;".",Irr!AN14=".",Irr!BL14="."),dir!Q14/((1/1000)*(Irr!P14)),IF(AND(Irr!P14=".",Irr!AN14=".",Irr!BL14="."),dir!Q14*1000)))))))),".")</f>
        <v>8064.4424639282806</v>
      </c>
      <c r="R14" s="48">
        <f>IFERROR(IF(AND(Irr!Q14&lt;&gt;".",Irr!AO14&lt;&gt;".",Irr!BM14&lt;&gt;"."),dir!R14/((1/1000)*(Irr!Q14+Irr!AO14+Irr!BM14)),IF(AND(Irr!Q14&lt;&gt;".",Irr!AO14&lt;&gt;".",Irr!BM14="."),dir!R14/((1/1000)*(Irr!Q14+Irr!AO14)),IF(AND(Irr!Q14&lt;&gt;".",Irr!AO14=".",Irr!BM14&lt;&gt;"."),dir!R14/((1/1000)*(Irr!Q14+Irr!BM14)),IF(AND(Irr!Q14=".",Irr!AO14&lt;&gt;".",Irr!BM14&lt;&gt;"."),dir!R14/((1/1000)*(Irr!AO14+Irr!BM14)),IF(AND(Irr!Q14=".",Irr!AO14=".",Irr!BM14&lt;&gt;"."),dir!R14/((1/1000)*(Irr!BM14)),IF(AND(Irr!Q14=".",Irr!AO14&lt;&gt;".",Irr!BM14="."),dir!R14/((1/1000)*(Irr!AO14)),IF(AND(Irr!Q14&lt;&gt;".",Irr!AO14=".",Irr!BM14="."),dir!R14/((1/1000)*(Irr!Q14)),IF(AND(Irr!Q14=".",Irr!AO14=".",Irr!BM14="."),dir!R14*1000)))))))),".")</f>
        <v>1273.2743694276269</v>
      </c>
      <c r="S14" s="48">
        <f>IFERROR(IF(AND(Irr!R14&lt;&gt;".",Irr!AP14&lt;&gt;".",Irr!BN14&lt;&gt;"."),dir!S14/((1/1000)*(Irr!R14+Irr!AP14+Irr!BN14)),IF(AND(Irr!R14&lt;&gt;".",Irr!AP14&lt;&gt;".",Irr!BN14="."),dir!S14/((1/1000)*(Irr!R14+Irr!AP14)),IF(AND(Irr!R14&lt;&gt;".",Irr!AP14=".",Irr!BN14&lt;&gt;"."),dir!S14/((1/1000)*(Irr!R14+Irr!BN14)),IF(AND(Irr!R14=".",Irr!AP14&lt;&gt;".",Irr!BN14&lt;&gt;"."),dir!S14/((1/1000)*(Irr!AP14+Irr!BN14)),IF(AND(Irr!R14=".",Irr!AP14=".",Irr!BN14&lt;&gt;"."),dir!S14/((1/1000)*(Irr!BN14)),IF(AND(Irr!R14=".",Irr!AP14&lt;&gt;".",Irr!BN14="."),dir!S14/((1/1000)*(Irr!AP14)),IF(AND(Irr!R14&lt;&gt;".",Irr!AP14=".",Irr!BN14="."),dir!S14/((1/1000)*(Irr!R14)),IF(AND(Irr!R14=".",Irr!AP14=".",Irr!BN14="."),dir!S14*1000)))))))),".")</f>
        <v>2644.5532324655287</v>
      </c>
      <c r="T14" s="48">
        <f>IFERROR(IF(AND(Irr!S14&lt;&gt;".",Irr!AQ14&lt;&gt;".",Irr!BO14&lt;&gt;"."),dir!T14/((1/1000)*(Irr!S14+Irr!AQ14+Irr!BO14)),IF(AND(Irr!S14&lt;&gt;".",Irr!AQ14&lt;&gt;".",Irr!BO14="."),dir!T14/((1/1000)*(Irr!S14+Irr!AQ14)),IF(AND(Irr!S14&lt;&gt;".",Irr!AQ14=".",Irr!BO14&lt;&gt;"."),dir!T14/((1/1000)*(Irr!S14+Irr!BO14)),IF(AND(Irr!S14=".",Irr!AQ14&lt;&gt;".",Irr!BO14&lt;&gt;"."),dir!T14/((1/1000)*(Irr!AQ14+Irr!BO14)),IF(AND(Irr!S14=".",Irr!AQ14=".",Irr!BO14&lt;&gt;"."),dir!T14/((1/1000)*(Irr!BO14)),IF(AND(Irr!S14=".",Irr!AQ14&lt;&gt;".",Irr!BO14="."),dir!T14/((1/1000)*(Irr!AQ14)),IF(AND(Irr!S14&lt;&gt;".",Irr!AQ14=".",Irr!BO14="."),dir!T14/((1/1000)*(Irr!S14)),IF(AND(Irr!S14=".",Irr!AQ14=".",Irr!BO14="."),dir!T14*1000)))))))),".")</f>
        <v>4215.2964895374635</v>
      </c>
      <c r="U14" s="48">
        <f>IFERROR(IF(AND(Irr!T14&lt;&gt;".",Irr!AR14&lt;&gt;".",Irr!BP14&lt;&gt;"."),dir!U14/((1/1000)*(Irr!T14+Irr!AR14+Irr!BP14)),IF(AND(Irr!T14&lt;&gt;".",Irr!AR14&lt;&gt;".",Irr!BP14="."),dir!U14/((1/1000)*(Irr!T14+Irr!AR14)),IF(AND(Irr!T14&lt;&gt;".",Irr!AR14=".",Irr!BP14&lt;&gt;"."),dir!U14/((1/1000)*(Irr!T14+Irr!BP14)),IF(AND(Irr!T14=".",Irr!AR14&lt;&gt;".",Irr!BP14&lt;&gt;"."),dir!U14/((1/1000)*(Irr!AR14+Irr!BP14)),IF(AND(Irr!T14=".",Irr!AR14=".",Irr!BP14&lt;&gt;"."),dir!U14/((1/1000)*(Irr!BP14)),IF(AND(Irr!T14=".",Irr!AR14&lt;&gt;".",Irr!BP14="."),dir!U14/((1/1000)*(Irr!AR14)),IF(AND(Irr!T14&lt;&gt;".",Irr!AR14=".",Irr!BP14="."),dir!U14/((1/1000)*(Irr!T14)),IF(AND(Irr!T14=".",Irr!AR14=".",Irr!BP14="."),dir!U14*1000)))))))),".")</f>
        <v>1323.5210802515376</v>
      </c>
      <c r="V14" s="48">
        <f>IFERROR(IF(AND(Irr!U14&lt;&gt;".",Irr!AS14&lt;&gt;".",Irr!BQ14&lt;&gt;"."),dir!V14/((1/1000)*(Irr!U14+Irr!AS14+Irr!BQ14)),IF(AND(Irr!U14&lt;&gt;".",Irr!AS14&lt;&gt;".",Irr!BQ14="."),dir!V14/((1/1000)*(Irr!U14+Irr!AS14)),IF(AND(Irr!U14&lt;&gt;".",Irr!AS14=".",Irr!BQ14&lt;&gt;"."),dir!V14/((1/1000)*(Irr!U14+Irr!BQ14)),IF(AND(Irr!U14=".",Irr!AS14&lt;&gt;".",Irr!BQ14&lt;&gt;"."),dir!V14/((1/1000)*(Irr!AS14+Irr!BQ14)),IF(AND(Irr!U14=".",Irr!AS14=".",Irr!BQ14&lt;&gt;"."),dir!V14/((1/1000)*(Irr!BQ14)),IF(AND(Irr!U14=".",Irr!AS14&lt;&gt;".",Irr!BQ14="."),dir!V14/((1/1000)*(Irr!AS14)),IF(AND(Irr!U14&lt;&gt;".",Irr!AS14=".",Irr!BQ14="."),dir!V14/((1/1000)*(Irr!U14)),IF(AND(Irr!U14=".",Irr!AS14=".",Irr!BQ14="."),dir!V14*1000)))))))),".")</f>
        <v>2424.5107485890312</v>
      </c>
      <c r="W14" s="48">
        <f>IFERROR(IF(AND(Irr!V14&lt;&gt;".",Irr!AT14&lt;&gt;".",Irr!BR14&lt;&gt;"."),dir!W14/((1/1000)*(Irr!V14+Irr!AT14+Irr!BR14)),IF(AND(Irr!V14&lt;&gt;".",Irr!AT14&lt;&gt;".",Irr!BR14="."),dir!W14/((1/1000)*(Irr!V14+Irr!AT14)),IF(AND(Irr!V14&lt;&gt;".",Irr!AT14=".",Irr!BR14&lt;&gt;"."),dir!W14/((1/1000)*(Irr!V14+Irr!BR14)),IF(AND(Irr!V14=".",Irr!AT14&lt;&gt;".",Irr!BR14&lt;&gt;"."),dir!W14/((1/1000)*(Irr!AT14+Irr!BR14)),IF(AND(Irr!V14=".",Irr!AT14=".",Irr!BR14&lt;&gt;"."),dir!W14/((1/1000)*(Irr!BR14)),IF(AND(Irr!V14=".",Irr!AT14&lt;&gt;".",Irr!BR14="."),dir!W14/((1/1000)*(Irr!AT14)),IF(AND(Irr!V14&lt;&gt;".",Irr!AT14=".",Irr!BR14="."),dir!W14/((1/1000)*(Irr!V14)),IF(AND(Irr!V14=".",Irr!AT14=".",Irr!BR14="."),dir!W14*1000)))))))),".")</f>
        <v>2929.9449694480677</v>
      </c>
      <c r="X14" s="48">
        <f>IFERROR(IF(AND(Irr!W14&lt;&gt;".",Irr!AU14&lt;&gt;".",Irr!BS14&lt;&gt;"."),dir!X14/((1/1000)*(Irr!W14+Irr!AU14+Irr!BS14)),IF(AND(Irr!W14&lt;&gt;".",Irr!AU14&lt;&gt;".",Irr!BS14="."),dir!X14/((1/1000)*(Irr!W14+Irr!AU14)),IF(AND(Irr!W14&lt;&gt;".",Irr!AU14=".",Irr!BS14&lt;&gt;"."),dir!X14/((1/1000)*(Irr!W14+Irr!BS14)),IF(AND(Irr!W14=".",Irr!AU14&lt;&gt;".",Irr!BS14&lt;&gt;"."),dir!X14/((1/1000)*(Irr!AU14+Irr!BS14)),IF(AND(Irr!W14=".",Irr!AU14=".",Irr!BS14&lt;&gt;"."),dir!X14/((1/1000)*(Irr!BS14)),IF(AND(Irr!W14=".",Irr!AU14&lt;&gt;".",Irr!BS14="."),dir!X14/((1/1000)*(Irr!AU14)),IF(AND(Irr!W14&lt;&gt;".",Irr!AU14=".",Irr!BS14="."),dir!X14/((1/1000)*(Irr!W14)),IF(AND(Irr!W14=".",Irr!AU14=".",Irr!BS14="."),dir!X14*1000)))))))),".")</f>
        <v>3949.5698377139329</v>
      </c>
      <c r="Y14" s="48">
        <f>IFERROR(IF(AND(Irr!X14&lt;&gt;".",Irr!AV14&lt;&gt;".",Irr!BT14&lt;&gt;"."),dir!Y14/((1/1000)*(Irr!X14+Irr!AV14+Irr!BT14)),IF(AND(Irr!X14&lt;&gt;".",Irr!AV14&lt;&gt;".",Irr!BT14="."),dir!Y14/((1/1000)*(Irr!X14+Irr!AV14)),IF(AND(Irr!X14&lt;&gt;".",Irr!AV14=".",Irr!BT14&lt;&gt;"."),dir!Y14/((1/1000)*(Irr!X14+Irr!BT14)),IF(AND(Irr!X14=".",Irr!AV14&lt;&gt;".",Irr!BT14&lt;&gt;"."),dir!Y14/((1/1000)*(Irr!AV14+Irr!BT14)),IF(AND(Irr!X14=".",Irr!AV14=".",Irr!BT14&lt;&gt;"."),dir!Y14/((1/1000)*(Irr!BT14)),IF(AND(Irr!X14=".",Irr!AV14&lt;&gt;".",Irr!BT14="."),dir!Y14/((1/1000)*(Irr!AV14)),IF(AND(Irr!X14&lt;&gt;".",Irr!AV14=".",Irr!BT14="."),dir!Y14/((1/1000)*(Irr!X14)),IF(AND(Irr!X14=".",Irr!AV14=".",Irr!BT14="."),dir!Y14*1000)))))))),".")</f>
        <v>2100.2195023260092</v>
      </c>
      <c r="Z14" s="48">
        <f>IFERROR(IF(AND(Irr!Y14&lt;&gt;".",Irr!AW14&lt;&gt;".",Irr!BU14&lt;&gt;"."),dir!Z14/((1/1000)*(Irr!Y14+Irr!AW14+Irr!BU14)),IF(AND(Irr!Y14&lt;&gt;".",Irr!AW14&lt;&gt;".",Irr!BU14="."),dir!Z14/((1/1000)*(Irr!Y14+Irr!AW14)),IF(AND(Irr!Y14&lt;&gt;".",Irr!AW14=".",Irr!BU14&lt;&gt;"."),dir!Z14/((1/1000)*(Irr!Y14+Irr!BU14)),IF(AND(Irr!Y14=".",Irr!AW14&lt;&gt;".",Irr!BU14&lt;&gt;"."),dir!Z14/((1/1000)*(Irr!AW14+Irr!BU14)),IF(AND(Irr!Y14=".",Irr!AW14=".",Irr!BU14&lt;&gt;"."),dir!Z14/((1/1000)*(Irr!BU14)),IF(AND(Irr!Y14=".",Irr!AW14&lt;&gt;".",Irr!BU14="."),dir!Z14/((1/1000)*(Irr!AW14)),IF(AND(Irr!Y14&lt;&gt;".",Irr!AW14=".",Irr!BU14="."),dir!Z14/((1/1000)*(Irr!Y14)),IF(AND(Irr!Y14=".",Irr!AW14=".",Irr!BU14="."),dir!Z14*1000)))))))),".")</f>
        <v>717.93003249859362</v>
      </c>
      <c r="AA14" s="48">
        <f>IFERROR(IF(AND(Irr!Z14&lt;&gt;".",Irr!AX14&lt;&gt;".",Irr!BV14&lt;&gt;"."),dir!AA14/((1/1000)*(Irr!Z14+Irr!AX14+Irr!BV14)),IF(AND(Irr!Z14&lt;&gt;".",Irr!AX14&lt;&gt;".",Irr!BV14="."),dir!AA14/((1/1000)*(Irr!Z14+Irr!AX14)),IF(AND(Irr!Z14&lt;&gt;".",Irr!AX14=".",Irr!BV14&lt;&gt;"."),dir!AA14/((1/1000)*(Irr!Z14+Irr!BV14)),IF(AND(Irr!Z14=".",Irr!AX14&lt;&gt;".",Irr!BV14&lt;&gt;"."),dir!AA14/((1/1000)*(Irr!AX14+Irr!BV14)),IF(AND(Irr!Z14=".",Irr!AX14=".",Irr!BV14&lt;&gt;"."),dir!AA14/((1/1000)*(Irr!BV14)),IF(AND(Irr!Z14=".",Irr!AX14&lt;&gt;".",Irr!BV14="."),dir!AA14/((1/1000)*(Irr!AX14)),IF(AND(Irr!Z14&lt;&gt;".",Irr!AX14=".",Irr!BV14="."),dir!AA14/((1/1000)*(Irr!Z14)),IF(AND(Irr!Z14=".",Irr!AX14=".",Irr!BV14="."),dir!AA14*1000)))))))),".")</f>
        <v>555.92954387004932</v>
      </c>
      <c r="AB14" s="48">
        <f t="shared" si="13"/>
        <v>103.57934568675314</v>
      </c>
      <c r="AC14" s="48">
        <f>IFERROR(IF(AND(Irr!C14&lt;&gt;".",Irr!AA14&lt;&gt;".",Irr!AY14&lt;&gt;"."),dir!AC14/((1/1000)*(Irr!C14+Irr!AA14+Irr!AY14)),IF(AND(Irr!C14&lt;&gt;".",Irr!AA14&lt;&gt;".",Irr!AY14="."),dir!AC14/((1/1000)*(Irr!C14+Irr!AA14)),IF(AND(Irr!C14&lt;&gt;".",Irr!AA14=".",Irr!AY14&lt;&gt;"."),dir!AC14/((1/1000)*(Irr!C14+Irr!AY14)),IF(AND(Irr!C14=".",Irr!AA14&lt;&gt;".",Irr!AY14&lt;&gt;"."),dir!AC14/((1/1000)*(Irr!AA14+Irr!AY14)),IF(AND(Irr!C14=".",Irr!AA14=".",Irr!AY14&lt;&gt;"."),dir!AC14/((1/1000)*(Irr!AY14)),IF(AND(Irr!C14=".",Irr!AA14&lt;&gt;".",Irr!AY14="."),dir!AC14/((1/1000)*(Irr!AA14)),IF(AND(Irr!C14&lt;&gt;".",Irr!AA14=".",Irr!AY14="."),dir!AC14/((1/1000)*(Irr!C14)),IF(AND(Irr!C14=".",Irr!AA14=".",Irr!AY14="."),dir!AC14*1000)))))))),".")</f>
        <v>1729.7825628035157</v>
      </c>
      <c r="AD14" s="48">
        <f>IFERROR(IF(AND(Irr!D14&lt;&gt;".",Irr!AB14&lt;&gt;".",Irr!AZ14&lt;&gt;"."),dir!AD14/((1/1000)*(Irr!D14+Irr!AB14+Irr!AZ14)),IF(AND(Irr!D14&lt;&gt;".",Irr!AB14&lt;&gt;".",Irr!AZ14="."),dir!AD14/((1/1000)*(Irr!D14+Irr!AB14)),IF(AND(Irr!D14&lt;&gt;".",Irr!AB14=".",Irr!AZ14&lt;&gt;"."),dir!AD14/((1/1000)*(Irr!D14+Irr!AZ14)),IF(AND(Irr!D14=".",Irr!AB14&lt;&gt;".",Irr!AZ14&lt;&gt;"."),dir!AD14/((1/1000)*(Irr!AB14+Irr!AZ14)),IF(AND(Irr!D14=".",Irr!AB14=".",Irr!AZ14&lt;&gt;"."),dir!AD14/((1/1000)*(Irr!AZ14)),IF(AND(Irr!D14=".",Irr!AB14&lt;&gt;".",Irr!AZ14="."),dir!AD14/((1/1000)*(Irr!AB14)),IF(AND(Irr!D14&lt;&gt;".",Irr!AB14=".",Irr!AZ14="."),dir!AD14/((1/1000)*(Irr!D14)),IF(AND(Irr!D14=".",Irr!AB14=".",Irr!AZ14="."),dir!AD14*1000)))))))),".")</f>
        <v>4151.4326792912534</v>
      </c>
      <c r="AE14" s="48">
        <f>IFERROR(IF(AND(Irr!E14&lt;&gt;".",Irr!AC14&lt;&gt;".",Irr!BA14&lt;&gt;"."),dir!AE14/((1/1000)*(Irr!E14+Irr!AC14+Irr!BA14)),IF(AND(Irr!E14&lt;&gt;".",Irr!AC14&lt;&gt;".",Irr!BA14="."),dir!AE14/((1/1000)*(Irr!E14+Irr!AC14)),IF(AND(Irr!E14&lt;&gt;".",Irr!AC14=".",Irr!BA14&lt;&gt;"."),dir!AE14/((1/1000)*(Irr!E14+Irr!BA14)),IF(AND(Irr!E14=".",Irr!AC14&lt;&gt;".",Irr!BA14&lt;&gt;"."),dir!AE14/((1/1000)*(Irr!AC14+Irr!BA14)),IF(AND(Irr!E14=".",Irr!AC14=".",Irr!BA14&lt;&gt;"."),dir!AE14/((1/1000)*(Irr!BA14)),IF(AND(Irr!E14=".",Irr!AC14&lt;&gt;".",Irr!BA14="."),dir!AE14/((1/1000)*(Irr!AC14)),IF(AND(Irr!E14&lt;&gt;".",Irr!AC14=".",Irr!BA14="."),dir!AE14/((1/1000)*(Irr!E14)),IF(AND(Irr!E14=".",Irr!AC14=".",Irr!BA14="."),dir!AE14*1000)))))))),".")</f>
        <v>4968.5109033866866</v>
      </c>
      <c r="AF14" s="48">
        <f>IFERROR(IF(AND(Irr!F14&lt;&gt;".",Irr!AD14&lt;&gt;".",Irr!BB14&lt;&gt;"."),dir!AF14/((1/1000)*(Irr!F14+Irr!AD14+Irr!BB14)),IF(AND(Irr!F14&lt;&gt;".",Irr!AD14&lt;&gt;".",Irr!BB14="."),dir!AF14/((1/1000)*(Irr!F14+Irr!AD14)),IF(AND(Irr!F14&lt;&gt;".",Irr!AD14=".",Irr!BB14&lt;&gt;"."),dir!AF14/((1/1000)*(Irr!F14+Irr!BB14)),IF(AND(Irr!F14=".",Irr!AD14&lt;&gt;".",Irr!BB14&lt;&gt;"."),dir!AF14/((1/1000)*(Irr!AD14+Irr!BB14)),IF(AND(Irr!F14=".",Irr!AD14=".",Irr!BB14&lt;&gt;"."),dir!AF14/((1/1000)*(Irr!BB14)),IF(AND(Irr!F14=".",Irr!AD14&lt;&gt;".",Irr!BB14="."),dir!AF14/((1/1000)*(Irr!AD14)),IF(AND(Irr!F14&lt;&gt;".",Irr!AD14=".",Irr!BB14="."),dir!AF14/((1/1000)*(Irr!F14)),IF(AND(Irr!F14=".",Irr!AD14=".",Irr!BB14="."),dir!AF14*1000)))))))),".")</f>
        <v>4336.6806902975513</v>
      </c>
      <c r="AG14" s="48">
        <f>IFERROR(IF(AND(Irr!G14&lt;&gt;".",Irr!AE14&lt;&gt;".",Irr!BC14&lt;&gt;"."),dir!AG14/((1/1000)*(Irr!G14+Irr!AE14+Irr!BC14)),IF(AND(Irr!G14&lt;&gt;".",Irr!AE14&lt;&gt;".",Irr!BC14="."),dir!AG14/((1/1000)*(Irr!G14+Irr!AE14)),IF(AND(Irr!G14&lt;&gt;".",Irr!AE14=".",Irr!BC14&lt;&gt;"."),dir!AG14/((1/1000)*(Irr!G14+Irr!BC14)),IF(AND(Irr!G14=".",Irr!AE14&lt;&gt;".",Irr!BC14&lt;&gt;"."),dir!AG14/((1/1000)*(Irr!AE14+Irr!BC14)),IF(AND(Irr!G14=".",Irr!AE14=".",Irr!BC14&lt;&gt;"."),dir!AG14/((1/1000)*(Irr!BC14)),IF(AND(Irr!G14=".",Irr!AE14&lt;&gt;".",Irr!BC14="."),dir!AG14/((1/1000)*(Irr!AE14)),IF(AND(Irr!G14&lt;&gt;".",Irr!AE14=".",Irr!BC14="."),dir!AG14/((1/1000)*(Irr!G14)),IF(AND(Irr!G14=".",Irr!AE14=".",Irr!BC14="."),dir!AG14*1000)))))))),".")</f>
        <v>4506.3284813794944</v>
      </c>
      <c r="AH14" s="48">
        <f>IFERROR(IF(AND(Irr!H14&lt;&gt;".",Irr!AF14&lt;&gt;".",Irr!BD14&lt;&gt;"."),dir!AH14/((1/1000)*(Irr!H14+Irr!AF14+Irr!BD14)),IF(AND(Irr!H14&lt;&gt;".",Irr!AF14&lt;&gt;".",Irr!BD14="."),dir!AH14/((1/1000)*(Irr!H14+Irr!AF14)),IF(AND(Irr!H14&lt;&gt;".",Irr!AF14=".",Irr!BD14&lt;&gt;"."),dir!AH14/((1/1000)*(Irr!H14+Irr!BD14)),IF(AND(Irr!H14=".",Irr!AF14&lt;&gt;".",Irr!BD14&lt;&gt;"."),dir!AH14/((1/1000)*(Irr!AF14+Irr!BD14)),IF(AND(Irr!H14=".",Irr!AF14=".",Irr!BD14&lt;&gt;"."),dir!AH14/((1/1000)*(Irr!BD14)),IF(AND(Irr!H14=".",Irr!AF14&lt;&gt;".",Irr!BD14="."),dir!AH14/((1/1000)*(Irr!AF14)),IF(AND(Irr!H14&lt;&gt;".",Irr!AF14=".",Irr!BD14="."),dir!AH14/((1/1000)*(Irr!H14)),IF(AND(Irr!H14=".",Irr!AF14=".",Irr!BD14="."),dir!AH14*1000)))))))),".")</f>
        <v>1959.4643939581063</v>
      </c>
      <c r="AI14" s="48">
        <f>IFERROR(IF(AND(Irr!I14&lt;&gt;".",Irr!AG14&lt;&gt;".",Irr!BE14&lt;&gt;"."),dir!AI14/((1/1000)*(Irr!I14+Irr!AG14+Irr!BE14)),IF(AND(Irr!I14&lt;&gt;".",Irr!AG14&lt;&gt;".",Irr!BE14="."),dir!AI14/((1/1000)*(Irr!I14+Irr!AG14)),IF(AND(Irr!I14&lt;&gt;".",Irr!AG14=".",Irr!BE14&lt;&gt;"."),dir!AI14/((1/1000)*(Irr!I14+Irr!BE14)),IF(AND(Irr!I14=".",Irr!AG14&lt;&gt;".",Irr!BE14&lt;&gt;"."),dir!AI14/((1/1000)*(Irr!AG14+Irr!BE14)),IF(AND(Irr!I14=".",Irr!AG14=".",Irr!BE14&lt;&gt;"."),dir!AI14/((1/1000)*(Irr!BE14)),IF(AND(Irr!I14=".",Irr!AG14&lt;&gt;".",Irr!BE14="."),dir!AI14/((1/1000)*(Irr!AG14)),IF(AND(Irr!I14&lt;&gt;".",Irr!AG14=".",Irr!BE14="."),dir!AI14/((1/1000)*(Irr!I14)),IF(AND(Irr!I14=".",Irr!AG14=".",Irr!BE14="."),dir!AI14*1000)))))))),".")</f>
        <v>6427.4333602982379</v>
      </c>
      <c r="AJ14" s="48">
        <f>IFERROR(IF(AND(Irr!J14&lt;&gt;".",Irr!AH14&lt;&gt;".",Irr!BF14&lt;&gt;"."),dir!AJ14/((1/1000)*(Irr!J14+Irr!AH14+Irr!BF14)),IF(AND(Irr!J14&lt;&gt;".",Irr!AH14&lt;&gt;".",Irr!BF14="."),dir!AJ14/((1/1000)*(Irr!J14+Irr!AH14)),IF(AND(Irr!J14&lt;&gt;".",Irr!AH14=".",Irr!BF14&lt;&gt;"."),dir!AJ14/((1/1000)*(Irr!J14+Irr!BF14)),IF(AND(Irr!J14=".",Irr!AH14&lt;&gt;".",Irr!BF14&lt;&gt;"."),dir!AJ14/((1/1000)*(Irr!AH14+Irr!BF14)),IF(AND(Irr!J14=".",Irr!AH14=".",Irr!BF14&lt;&gt;"."),dir!AJ14/((1/1000)*(Irr!BF14)),IF(AND(Irr!J14=".",Irr!AH14&lt;&gt;".",Irr!BF14="."),dir!AJ14/((1/1000)*(Irr!AH14)),IF(AND(Irr!J14&lt;&gt;".",Irr!AH14=".",Irr!BF14="."),dir!AJ14/((1/1000)*(Irr!J14)),IF(AND(Irr!J14=".",Irr!AH14=".",Irr!BF14="."),dir!AJ14*1000)))))))),".")</f>
        <v>499.91255128322769</v>
      </c>
      <c r="AK14" s="48">
        <f>IFERROR(IF(AND(Irr!K14&lt;&gt;".",Irr!AI14&lt;&gt;".",Irr!BG14&lt;&gt;"."),dir!AK14/((1/1000)*(Irr!K14+Irr!AI14+Irr!BG14)),IF(AND(Irr!K14&lt;&gt;".",Irr!AI14&lt;&gt;".",Irr!BG14="."),dir!AK14/((1/1000)*(Irr!K14+Irr!AI14)),IF(AND(Irr!K14&lt;&gt;".",Irr!AI14=".",Irr!BG14&lt;&gt;"."),dir!AK14/((1/1000)*(Irr!K14+Irr!BG14)),IF(AND(Irr!K14=".",Irr!AI14&lt;&gt;".",Irr!BG14&lt;&gt;"."),dir!AK14/((1/1000)*(Irr!AI14+Irr!BG14)),IF(AND(Irr!K14=".",Irr!AI14=".",Irr!BG14&lt;&gt;"."),dir!AK14/((1/1000)*(Irr!BG14)),IF(AND(Irr!K14=".",Irr!AI14&lt;&gt;".",Irr!BG14="."),dir!AK14/((1/1000)*(Irr!AI14)),IF(AND(Irr!K14&lt;&gt;".",Irr!AI14=".",Irr!BG14="."),dir!AK14/((1/1000)*(Irr!K14)),IF(AND(Irr!K14=".",Irr!AI14=".",Irr!BG14="."),dir!AK14*1000)))))))),".")</f>
        <v>1957.8459120821428</v>
      </c>
      <c r="AL14" s="48">
        <f>IFERROR(IF(AND(Irr!L14&lt;&gt;".",Irr!AJ14&lt;&gt;".",Irr!BH14&lt;&gt;"."),dir!AL14/((1/1000)*(Irr!L14+Irr!AJ14+Irr!BH14)),IF(AND(Irr!L14&lt;&gt;".",Irr!AJ14&lt;&gt;".",Irr!BH14="."),dir!AL14/((1/1000)*(Irr!L14+Irr!AJ14)),IF(AND(Irr!L14&lt;&gt;".",Irr!AJ14=".",Irr!BH14&lt;&gt;"."),dir!AL14/((1/1000)*(Irr!L14+Irr!BH14)),IF(AND(Irr!L14=".",Irr!AJ14&lt;&gt;".",Irr!BH14&lt;&gt;"."),dir!AL14/((1/1000)*(Irr!AJ14+Irr!BH14)),IF(AND(Irr!L14=".",Irr!AJ14=".",Irr!BH14&lt;&gt;"."),dir!AL14/((1/1000)*(Irr!BH14)),IF(AND(Irr!L14=".",Irr!AJ14&lt;&gt;".",Irr!BH14="."),dir!AL14/((1/1000)*(Irr!AJ14)),IF(AND(Irr!L14&lt;&gt;".",Irr!AJ14=".",Irr!BH14="."),dir!AL14/((1/1000)*(Irr!L14)),IF(AND(Irr!L14=".",Irr!AJ14=".",Irr!BH14="."),dir!AL14*1000)))))))),".")</f>
        <v>2971.587570162535</v>
      </c>
      <c r="AM14" s="48">
        <f>IFERROR(IF(AND(Irr!M14&lt;&gt;".",Irr!AK14&lt;&gt;".",Irr!BI14&lt;&gt;"."),dir!AM14/((1/1000)*(Irr!M14+Irr!AK14+Irr!BI14)),IF(AND(Irr!M14&lt;&gt;".",Irr!AK14&lt;&gt;".",Irr!BI14="."),dir!AM14/((1/1000)*(Irr!M14+Irr!AK14)),IF(AND(Irr!M14&lt;&gt;".",Irr!AK14=".",Irr!BI14&lt;&gt;"."),dir!AM14/((1/1000)*(Irr!M14+Irr!BI14)),IF(AND(Irr!M14=".",Irr!AK14&lt;&gt;".",Irr!BI14&lt;&gt;"."),dir!AM14/((1/1000)*(Irr!AK14+Irr!BI14)),IF(AND(Irr!M14=".",Irr!AK14=".",Irr!BI14&lt;&gt;"."),dir!AM14/((1/1000)*(Irr!BI14)),IF(AND(Irr!M14=".",Irr!AK14&lt;&gt;".",Irr!BI14="."),dir!AM14/((1/1000)*(Irr!AK14)),IF(AND(Irr!M14&lt;&gt;".",Irr!AK14=".",Irr!BI14="."),dir!AM14/((1/1000)*(Irr!M14)),IF(AND(Irr!M14=".",Irr!AK14=".",Irr!BI14="."),dir!AM14*1000)))))))),".")</f>
        <v>4015.037565000071</v>
      </c>
      <c r="AN14" s="48">
        <f>IFERROR(IF(AND(Irr!N14&lt;&gt;".",Irr!AL14&lt;&gt;".",Irr!BJ14&lt;&gt;"."),dir!AN14/((1/1000)*(Irr!N14+Irr!AL14+Irr!BJ14)),IF(AND(Irr!N14&lt;&gt;".",Irr!AL14&lt;&gt;".",Irr!BJ14="."),dir!AN14/((1/1000)*(Irr!N14+Irr!AL14)),IF(AND(Irr!N14&lt;&gt;".",Irr!AL14=".",Irr!BJ14&lt;&gt;"."),dir!AN14/((1/1000)*(Irr!N14+Irr!BJ14)),IF(AND(Irr!N14=".",Irr!AL14&lt;&gt;".",Irr!BJ14&lt;&gt;"."),dir!AN14/((1/1000)*(Irr!AL14+Irr!BJ14)),IF(AND(Irr!N14=".",Irr!AL14=".",Irr!BJ14&lt;&gt;"."),dir!AN14/((1/1000)*(Irr!BJ14)),IF(AND(Irr!N14=".",Irr!AL14&lt;&gt;".",Irr!BJ14="."),dir!AN14/((1/1000)*(Irr!AL14)),IF(AND(Irr!N14&lt;&gt;".",Irr!AL14=".",Irr!BJ14="."),dir!AN14/((1/1000)*(Irr!N14)),IF(AND(Irr!N14=".",Irr!AL14=".",Irr!BJ14="."),dir!AN14*1000)))))))),".")</f>
        <v>4760.6136194597048</v>
      </c>
      <c r="AO14" s="48">
        <f>IFERROR(IF(AND(Irr!O14&lt;&gt;".",Irr!AM14&lt;&gt;".",Irr!BK14&lt;&gt;"."),dir!AO14/((1/1000)*(Irr!O14+Irr!AM14+Irr!BK14)),IF(AND(Irr!O14&lt;&gt;".",Irr!AM14&lt;&gt;".",Irr!BK14="."),dir!AO14/((1/1000)*(Irr!O14+Irr!AM14)),IF(AND(Irr!O14&lt;&gt;".",Irr!AM14=".",Irr!BK14&lt;&gt;"."),dir!AO14/((1/1000)*(Irr!O14+Irr!BK14)),IF(AND(Irr!O14=".",Irr!AM14&lt;&gt;".",Irr!BK14&lt;&gt;"."),dir!AO14/((1/1000)*(Irr!AM14+Irr!BK14)),IF(AND(Irr!O14=".",Irr!AM14=".",Irr!BK14&lt;&gt;"."),dir!AO14/((1/1000)*(Irr!BK14)),IF(AND(Irr!O14=".",Irr!AM14&lt;&gt;".",Irr!BK14="."),dir!AO14/((1/1000)*(Irr!AM14)),IF(AND(Irr!O14&lt;&gt;".",Irr!AM14=".",Irr!BK14="."),dir!AO14/((1/1000)*(Irr!O14)),IF(AND(Irr!O14=".",Irr!AM14=".",Irr!BK14="."),dir!AO14*1000)))))))),".")</f>
        <v>5522.3836113646839</v>
      </c>
      <c r="AP14" s="48">
        <f>IFERROR(IF(AND(Irr!P14&lt;&gt;".",Irr!AN14&lt;&gt;".",Irr!BL14&lt;&gt;"."),dir!AP14/((1/1000)*(Irr!P14+Irr!AN14+Irr!BL14)),IF(AND(Irr!P14&lt;&gt;".",Irr!AN14&lt;&gt;".",Irr!BL14="."),dir!AP14/((1/1000)*(Irr!P14+Irr!AN14)),IF(AND(Irr!P14&lt;&gt;".",Irr!AN14=".",Irr!BL14&lt;&gt;"."),dir!AP14/((1/1000)*(Irr!P14+Irr!BL14)),IF(AND(Irr!P14=".",Irr!AN14&lt;&gt;".",Irr!BL14&lt;&gt;"."),dir!AP14/((1/1000)*(Irr!AN14+Irr!BL14)),IF(AND(Irr!P14=".",Irr!AN14=".",Irr!BL14&lt;&gt;"."),dir!AP14/((1/1000)*(Irr!BL14)),IF(AND(Irr!P14=".",Irr!AN14&lt;&gt;".",Irr!BL14="."),dir!AP14/((1/1000)*(Irr!AN14)),IF(AND(Irr!P14&lt;&gt;".",Irr!AN14=".",Irr!BL14="."),dir!AP14/((1/1000)*(Irr!P14)),IF(AND(Irr!P14=".",Irr!AN14=".",Irr!BL14="."),dir!AP14*1000)))))))),".")</f>
        <v>6038.3346052223333</v>
      </c>
      <c r="AQ14" s="48">
        <f>IFERROR(IF(AND(Irr!Q14&lt;&gt;".",Irr!AO14&lt;&gt;".",Irr!BM14&lt;&gt;"."),dir!AQ14/((1/1000)*(Irr!Q14+Irr!AO14+Irr!BM14)),IF(AND(Irr!Q14&lt;&gt;".",Irr!AO14&lt;&gt;".",Irr!BM14="."),dir!AQ14/((1/1000)*(Irr!Q14+Irr!AO14)),IF(AND(Irr!Q14&lt;&gt;".",Irr!AO14=".",Irr!BM14&lt;&gt;"."),dir!AQ14/((1/1000)*(Irr!Q14+Irr!BM14)),IF(AND(Irr!Q14=".",Irr!AO14&lt;&gt;".",Irr!BM14&lt;&gt;"."),dir!AQ14/((1/1000)*(Irr!AO14+Irr!BM14)),IF(AND(Irr!Q14=".",Irr!AO14=".",Irr!BM14&lt;&gt;"."),dir!AQ14/((1/1000)*(Irr!BM14)),IF(AND(Irr!Q14=".",Irr!AO14&lt;&gt;".",Irr!BM14="."),dir!AQ14/((1/1000)*(Irr!AO14)),IF(AND(Irr!Q14&lt;&gt;".",Irr!AO14=".",Irr!BM14="."),dir!AQ14/((1/1000)*(Irr!Q14)),IF(AND(Irr!Q14=".",Irr!AO14=".",Irr!BM14="."),dir!AQ14*1000)))))))),".")</f>
        <v>1424.5447790052913</v>
      </c>
      <c r="AR14" s="48">
        <f>IFERROR(IF(AND(Irr!R14&lt;&gt;".",Irr!AP14&lt;&gt;".",Irr!BN14&lt;&gt;"."),dir!AR14/((1/1000)*(Irr!R14+Irr!AP14+Irr!BN14)),IF(AND(Irr!R14&lt;&gt;".",Irr!AP14&lt;&gt;".",Irr!BN14="."),dir!AR14/((1/1000)*(Irr!R14+Irr!AP14)),IF(AND(Irr!R14&lt;&gt;".",Irr!AP14=".",Irr!BN14&lt;&gt;"."),dir!AR14/((1/1000)*(Irr!R14+Irr!BN14)),IF(AND(Irr!R14=".",Irr!AP14&lt;&gt;".",Irr!BN14&lt;&gt;"."),dir!AR14/((1/1000)*(Irr!AP14+Irr!BN14)),IF(AND(Irr!R14=".",Irr!AP14=".",Irr!BN14&lt;&gt;"."),dir!AR14/((1/1000)*(Irr!BN14)),IF(AND(Irr!R14=".",Irr!AP14&lt;&gt;".",Irr!BN14="."),dir!AR14/((1/1000)*(Irr!AP14)),IF(AND(Irr!R14&lt;&gt;".",Irr!AP14=".",Irr!BN14="."),dir!AR14/((1/1000)*(Irr!R14)),IF(AND(Irr!R14=".",Irr!AP14=".",Irr!BN14="."),dir!AR14*1000)))))))),".")</f>
        <v>2341.9435062974153</v>
      </c>
      <c r="AS14" s="48">
        <f>IFERROR(IF(AND(Irr!S14&lt;&gt;".",Irr!AQ14&lt;&gt;".",Irr!BO14&lt;&gt;"."),dir!AS14/((1/1000)*(Irr!S14+Irr!AQ14+Irr!BO14)),IF(AND(Irr!S14&lt;&gt;".",Irr!AQ14&lt;&gt;".",Irr!BO14="."),dir!AS14/((1/1000)*(Irr!S14+Irr!AQ14)),IF(AND(Irr!S14&lt;&gt;".",Irr!AQ14=".",Irr!BO14&lt;&gt;"."),dir!AS14/((1/1000)*(Irr!S14+Irr!BO14)),IF(AND(Irr!S14=".",Irr!AQ14&lt;&gt;".",Irr!BO14&lt;&gt;"."),dir!AS14/((1/1000)*(Irr!AQ14+Irr!BO14)),IF(AND(Irr!S14=".",Irr!AQ14=".",Irr!BO14&lt;&gt;"."),dir!AS14/((1/1000)*(Irr!BO14)),IF(AND(Irr!S14=".",Irr!AQ14&lt;&gt;".",Irr!BO14="."),dir!AS14/((1/1000)*(Irr!AQ14)),IF(AND(Irr!S14&lt;&gt;".",Irr!AQ14=".",Irr!BO14="."),dir!AS14/((1/1000)*(Irr!S14)),IF(AND(Irr!S14=".",Irr!AQ14=".",Irr!BO14="."),dir!AS14*1000)))))))),".")</f>
        <v>4672.7067422101527</v>
      </c>
      <c r="AT14" s="48">
        <f>IFERROR(IF(AND(Irr!T14&lt;&gt;".",Irr!AR14&lt;&gt;".",Irr!BP14&lt;&gt;"."),dir!AT14/((1/1000)*(Irr!T14+Irr!AR14+Irr!BP14)),IF(AND(Irr!T14&lt;&gt;".",Irr!AR14&lt;&gt;".",Irr!BP14="."),dir!AT14/((1/1000)*(Irr!T14+Irr!AR14)),IF(AND(Irr!T14&lt;&gt;".",Irr!AR14=".",Irr!BP14&lt;&gt;"."),dir!AT14/((1/1000)*(Irr!T14+Irr!BP14)),IF(AND(Irr!T14=".",Irr!AR14&lt;&gt;".",Irr!BP14&lt;&gt;"."),dir!AT14/((1/1000)*(Irr!AR14+Irr!BP14)),IF(AND(Irr!T14=".",Irr!AR14=".",Irr!BP14&lt;&gt;"."),dir!AT14/((1/1000)*(Irr!BP14)),IF(AND(Irr!T14=".",Irr!AR14&lt;&gt;".",Irr!BP14="."),dir!AT14/((1/1000)*(Irr!AR14)),IF(AND(Irr!T14&lt;&gt;".",Irr!AR14=".",Irr!BP14="."),dir!AT14/((1/1000)*(Irr!T14)),IF(AND(Irr!T14=".",Irr!AR14=".",Irr!BP14="."),dir!AT14*1000)))))))),".")</f>
        <v>1130.5355631249085</v>
      </c>
      <c r="AU14" s="48">
        <f>IFERROR(IF(AND(Irr!U14&lt;&gt;".",Irr!AS14&lt;&gt;".",Irr!BQ14&lt;&gt;"."),dir!AU14/((1/1000)*(Irr!U14+Irr!AS14+Irr!BQ14)),IF(AND(Irr!U14&lt;&gt;".",Irr!AS14&lt;&gt;".",Irr!BQ14="."),dir!AU14/((1/1000)*(Irr!U14+Irr!AS14)),IF(AND(Irr!U14&lt;&gt;".",Irr!AS14=".",Irr!BQ14&lt;&gt;"."),dir!AU14/((1/1000)*(Irr!U14+Irr!BQ14)),IF(AND(Irr!U14=".",Irr!AS14&lt;&gt;".",Irr!BQ14&lt;&gt;"."),dir!AU14/((1/1000)*(Irr!AS14+Irr!BQ14)),IF(AND(Irr!U14=".",Irr!AS14=".",Irr!BQ14&lt;&gt;"."),dir!AU14/((1/1000)*(Irr!BQ14)),IF(AND(Irr!U14=".",Irr!AS14&lt;&gt;".",Irr!BQ14="."),dir!AU14/((1/1000)*(Irr!AS14)),IF(AND(Irr!U14&lt;&gt;".",Irr!AS14=".",Irr!BQ14="."),dir!AU14/((1/1000)*(Irr!U14)),IF(AND(Irr!U14=".",Irr!AS14=".",Irr!BQ14="."),dir!AU14*1000)))))))),".")</f>
        <v>2363.0553193328469</v>
      </c>
      <c r="AV14" s="48">
        <f>IFERROR(IF(AND(Irr!V14&lt;&gt;".",Irr!AT14&lt;&gt;".",Irr!BR14&lt;&gt;"."),dir!AV14/((1/1000)*(Irr!V14+Irr!AT14+Irr!BR14)),IF(AND(Irr!V14&lt;&gt;".",Irr!AT14&lt;&gt;".",Irr!BR14="."),dir!AV14/((1/1000)*(Irr!V14+Irr!AT14)),IF(AND(Irr!V14&lt;&gt;".",Irr!AT14=".",Irr!BR14&lt;&gt;"."),dir!AV14/((1/1000)*(Irr!V14+Irr!BR14)),IF(AND(Irr!V14=".",Irr!AT14&lt;&gt;".",Irr!BR14&lt;&gt;"."),dir!AV14/((1/1000)*(Irr!AT14+Irr!BR14)),IF(AND(Irr!V14=".",Irr!AT14=".",Irr!BR14&lt;&gt;"."),dir!AV14/((1/1000)*(Irr!BR14)),IF(AND(Irr!V14=".",Irr!AT14&lt;&gt;".",Irr!BR14="."),dir!AV14/((1/1000)*(Irr!AT14)),IF(AND(Irr!V14&lt;&gt;".",Irr!AT14=".",Irr!BR14="."),dir!AV14/((1/1000)*(Irr!V14)),IF(AND(Irr!V14=".",Irr!AT14=".",Irr!BR14="."),dir!AV14*1000)))))))),".")</f>
        <v>2789.095139559071</v>
      </c>
      <c r="AW14" s="48">
        <f>IFERROR(IF(AND(Irr!W14&lt;&gt;".",Irr!AU14&lt;&gt;".",Irr!BS14&lt;&gt;"."),dir!AW14/((1/1000)*(Irr!W14+Irr!AU14+Irr!BS14)),IF(AND(Irr!W14&lt;&gt;".",Irr!AU14&lt;&gt;".",Irr!BS14="."),dir!AW14/((1/1000)*(Irr!W14+Irr!AU14)),IF(AND(Irr!W14&lt;&gt;".",Irr!AU14=".",Irr!BS14&lt;&gt;"."),dir!AW14/((1/1000)*(Irr!W14+Irr!BS14)),IF(AND(Irr!W14=".",Irr!AU14&lt;&gt;".",Irr!BS14&lt;&gt;"."),dir!AW14/((1/1000)*(Irr!AU14+Irr!BS14)),IF(AND(Irr!W14=".",Irr!AU14=".",Irr!BS14&lt;&gt;"."),dir!AW14/((1/1000)*(Irr!BS14)),IF(AND(Irr!W14=".",Irr!AU14&lt;&gt;".",Irr!BS14="."),dir!AW14/((1/1000)*(Irr!AU14)),IF(AND(Irr!W14&lt;&gt;".",Irr!AU14=".",Irr!BS14="."),dir!AW14/((1/1000)*(Irr!W14)),IF(AND(Irr!W14=".",Irr!AU14=".",Irr!BS14="."),dir!AW14*1000)))))))),".")</f>
        <v>3823.9111008573095</v>
      </c>
      <c r="AX14" s="48">
        <f>IFERROR(IF(AND(Irr!X14&lt;&gt;".",Irr!AV14&lt;&gt;".",Irr!BT14&lt;&gt;"."),dir!AX14/((1/1000)*(Irr!X14+Irr!AV14+Irr!BT14)),IF(AND(Irr!X14&lt;&gt;".",Irr!AV14&lt;&gt;".",Irr!BT14="."),dir!AX14/((1/1000)*(Irr!X14+Irr!AV14)),IF(AND(Irr!X14&lt;&gt;".",Irr!AV14=".",Irr!BT14&lt;&gt;"."),dir!AX14/((1/1000)*(Irr!X14+Irr!BT14)),IF(AND(Irr!X14=".",Irr!AV14&lt;&gt;".",Irr!BT14&lt;&gt;"."),dir!AX14/((1/1000)*(Irr!AV14+Irr!BT14)),IF(AND(Irr!X14=".",Irr!AV14=".",Irr!BT14&lt;&gt;"."),dir!AX14/((1/1000)*(Irr!BT14)),IF(AND(Irr!X14=".",Irr!AV14&lt;&gt;".",Irr!BT14="."),dir!AX14/((1/1000)*(Irr!AV14)),IF(AND(Irr!X14&lt;&gt;".",Irr!AV14=".",Irr!BT14="."),dir!AX14/((1/1000)*(Irr!X14)),IF(AND(Irr!X14=".",Irr!AV14=".",Irr!BT14="."),dir!AX14*1000)))))))),".")</f>
        <v>1690.4668128328756</v>
      </c>
      <c r="AY14" s="48">
        <f>IFERROR(IF(AND(Irr!Y14&lt;&gt;".",Irr!AW14&lt;&gt;".",Irr!BU14&lt;&gt;"."),dir!AY14/((1/1000)*(Irr!Y14+Irr!AW14+Irr!BU14)),IF(AND(Irr!Y14&lt;&gt;".",Irr!AW14&lt;&gt;".",Irr!BU14="."),dir!AY14/((1/1000)*(Irr!Y14+Irr!AW14)),IF(AND(Irr!Y14&lt;&gt;".",Irr!AW14=".",Irr!BU14&lt;&gt;"."),dir!AY14/((1/1000)*(Irr!Y14+Irr!BU14)),IF(AND(Irr!Y14=".",Irr!AW14&lt;&gt;".",Irr!BU14&lt;&gt;"."),dir!AY14/((1/1000)*(Irr!AW14+Irr!BU14)),IF(AND(Irr!Y14=".",Irr!AW14=".",Irr!BU14&lt;&gt;"."),dir!AY14/((1/1000)*(Irr!BU14)),IF(AND(Irr!Y14=".",Irr!AW14&lt;&gt;".",Irr!BU14="."),dir!AY14/((1/1000)*(Irr!AW14)),IF(AND(Irr!Y14&lt;&gt;".",Irr!AW14=".",Irr!BU14="."),dir!AY14/((1/1000)*(Irr!Y14)),IF(AND(Irr!Y14=".",Irr!AW14=".",Irr!BU14="."),dir!AY14*1000)))))))),".")</f>
        <v>562.13533329630718</v>
      </c>
      <c r="AZ14" s="48">
        <f>IFERROR(IF(AND(Irr!Z14&lt;&gt;".",Irr!AX14&lt;&gt;".",Irr!BV14&lt;&gt;"."),dir!AZ14/((1/1000)*(Irr!Z14+Irr!AX14+Irr!BV14)),IF(AND(Irr!Z14&lt;&gt;".",Irr!AX14&lt;&gt;".",Irr!BV14="."),dir!AZ14/((1/1000)*(Irr!Z14+Irr!AX14)),IF(AND(Irr!Z14&lt;&gt;".",Irr!AX14=".",Irr!BV14&lt;&gt;"."),dir!AZ14/((1/1000)*(Irr!Z14+Irr!BV14)),IF(AND(Irr!Z14=".",Irr!AX14&lt;&gt;".",Irr!BV14&lt;&gt;"."),dir!AZ14/((1/1000)*(Irr!AX14+Irr!BV14)),IF(AND(Irr!Z14=".",Irr!AX14=".",Irr!BV14&lt;&gt;"."),dir!AZ14/((1/1000)*(Irr!BV14)),IF(AND(Irr!Z14=".",Irr!AX14&lt;&gt;".",Irr!BV14="."),dir!AZ14/((1/1000)*(Irr!AX14)),IF(AND(Irr!Z14&lt;&gt;".",Irr!AX14=".",Irr!BV14="."),dir!AZ14/((1/1000)*(Irr!Z14)),IF(AND(Irr!Z14=".",Irr!AX14=".",Irr!BV14="."),dir!AZ14*1000)))))))),".")</f>
        <v>531.91762497231559</v>
      </c>
    </row>
    <row r="15" spans="1:52" ht="15" customHeight="1" x14ac:dyDescent="0.25">
      <c r="A15" s="61" t="s">
        <v>13</v>
      </c>
      <c r="B15" s="49" t="s">
        <v>1059</v>
      </c>
      <c r="C15" s="48">
        <f t="shared" ref="C15:C17" si="14">IFERROR(1/SUM(1/D15,1/E15,1/F15,1/G15,1/H15,1/I15,1/J15,1/K15,1/L15,1/M15,1/N15,1/O15,1/P15,1/Q15,1/R15,1/S15,1/T15,1/U15,1/V15,1/W15,1/X15,1/Y15),".")</f>
        <v>1824.8647968352989</v>
      </c>
      <c r="D15" s="48">
        <f>IFERROR(IF(AND(Irr!C15&lt;&gt;".",Irr!AA15&lt;&gt;".",Irr!AY15&lt;&gt;"."),dir!D15/((1/1000)*(Irr!C15+Irr!AA15+Irr!AY15)),IF(AND(Irr!C15&lt;&gt;".",Irr!AA15&lt;&gt;".",Irr!AY15="."),dir!D15/((1/1000)*(Irr!C15+Irr!AA15)),IF(AND(Irr!C15&lt;&gt;".",Irr!AA15=".",Irr!AY15&lt;&gt;"."),dir!D15/((1/1000)*(Irr!C15+Irr!AY15)),IF(AND(Irr!C15=".",Irr!AA15&lt;&gt;".",Irr!AY15&lt;&gt;"."),dir!D15/((1/1000)*(Irr!AA15+Irr!AY15)),IF(AND(Irr!C15=".",Irr!AA15=".",Irr!AY15&lt;&gt;"."),dir!D15/((1/1000)*(Irr!AY15)),IF(AND(Irr!C15=".",Irr!AA15&lt;&gt;".",Irr!AY15="."),dir!D15/((1/1000)*(Irr!AA15)),IF(AND(Irr!C15&lt;&gt;".",Irr!AA15=".",Irr!AY15="."),dir!D15/((1/1000)*(Irr!C15)),IF(AND(Irr!C15=".",Irr!AA15=".",Irr!AY15="."),dir!D15*1000)))))))),".")</f>
        <v>35181.302338164802</v>
      </c>
      <c r="E15" s="48">
        <f>IFERROR(IF(AND(Irr!D15&lt;&gt;".",Irr!AB15&lt;&gt;".",Irr!AZ15&lt;&gt;"."),dir!E15/((1/1000)*(Irr!D15+Irr!AB15+Irr!AZ15)),IF(AND(Irr!D15&lt;&gt;".",Irr!AB15&lt;&gt;".",Irr!AZ15="."),dir!E15/((1/1000)*(Irr!D15+Irr!AB15)),IF(AND(Irr!D15&lt;&gt;".",Irr!AB15=".",Irr!AZ15&lt;&gt;"."),dir!E15/((1/1000)*(Irr!D15+Irr!AZ15)),IF(AND(Irr!D15=".",Irr!AB15&lt;&gt;".",Irr!AZ15&lt;&gt;"."),dir!E15/((1/1000)*(Irr!AB15+Irr!AZ15)),IF(AND(Irr!D15=".",Irr!AB15=".",Irr!AZ15&lt;&gt;"."),dir!E15/((1/1000)*(Irr!AZ15)),IF(AND(Irr!D15=".",Irr!AB15&lt;&gt;".",Irr!AZ15="."),dir!E15/((1/1000)*(Irr!AB15)),IF(AND(Irr!D15&lt;&gt;".",Irr!AB15=".",Irr!AZ15="."),dir!E15/((1/1000)*(Irr!D15)),IF(AND(Irr!D15=".",Irr!AB15=".",Irr!AZ15="."),dir!E15*1000)))))))),".")</f>
        <v>48125.468304282447</v>
      </c>
      <c r="F15" s="48">
        <f>IFERROR(IF(AND(Irr!E15&lt;&gt;".",Irr!AC15&lt;&gt;".",Irr!BA15&lt;&gt;"."),dir!F15/((1/1000)*(Irr!E15+Irr!AC15+Irr!BA15)),IF(AND(Irr!E15&lt;&gt;".",Irr!AC15&lt;&gt;".",Irr!BA15="."),dir!F15/((1/1000)*(Irr!E15+Irr!AC15)),IF(AND(Irr!E15&lt;&gt;".",Irr!AC15=".",Irr!BA15&lt;&gt;"."),dir!F15/((1/1000)*(Irr!E15+Irr!BA15)),IF(AND(Irr!E15=".",Irr!AC15&lt;&gt;".",Irr!BA15&lt;&gt;"."),dir!F15/((1/1000)*(Irr!AC15+Irr!BA15)),IF(AND(Irr!E15=".",Irr!AC15=".",Irr!BA15&lt;&gt;"."),dir!F15/((1/1000)*(Irr!BA15)),IF(AND(Irr!E15=".",Irr!AC15&lt;&gt;".",Irr!BA15="."),dir!F15/((1/1000)*(Irr!AC15)),IF(AND(Irr!E15&lt;&gt;".",Irr!AC15=".",Irr!BA15="."),dir!F15/((1/1000)*(Irr!E15)),IF(AND(Irr!E15=".",Irr!AC15=".",Irr!BA15="."),dir!F15*1000)))))))),".")</f>
        <v>91516.827177650164</v>
      </c>
      <c r="G15" s="48">
        <f>IFERROR(IF(AND(Irr!F15&lt;&gt;".",Irr!AD15&lt;&gt;".",Irr!BB15&lt;&gt;"."),dir!G15/((1/1000)*(Irr!F15+Irr!AD15+Irr!BB15)),IF(AND(Irr!F15&lt;&gt;".",Irr!AD15&lt;&gt;".",Irr!BB15="."),dir!G15/((1/1000)*(Irr!F15+Irr!AD15)),IF(AND(Irr!F15&lt;&gt;".",Irr!AD15=".",Irr!BB15&lt;&gt;"."),dir!G15/((1/1000)*(Irr!F15+Irr!BB15)),IF(AND(Irr!F15=".",Irr!AD15&lt;&gt;".",Irr!BB15&lt;&gt;"."),dir!G15/((1/1000)*(Irr!AD15+Irr!BB15)),IF(AND(Irr!F15=".",Irr!AD15=".",Irr!BB15&lt;&gt;"."),dir!G15/((1/1000)*(Irr!BB15)),IF(AND(Irr!F15=".",Irr!AD15&lt;&gt;".",Irr!BB15="."),dir!G15/((1/1000)*(Irr!AD15)),IF(AND(Irr!F15&lt;&gt;".",Irr!AD15=".",Irr!BB15="."),dir!G15/((1/1000)*(Irr!F15)),IF(AND(Irr!F15=".",Irr!AD15=".",Irr!BB15="."),dir!G15*1000)))))))),".")</f>
        <v>78784.498749862905</v>
      </c>
      <c r="H15" s="48">
        <f>IFERROR(IF(AND(Irr!G15&lt;&gt;".",Irr!AE15&lt;&gt;".",Irr!BC15&lt;&gt;"."),dir!H15/((1/1000)*(Irr!G15+Irr!AE15+Irr!BC15)),IF(AND(Irr!G15&lt;&gt;".",Irr!AE15&lt;&gt;".",Irr!BC15="."),dir!H15/((1/1000)*(Irr!G15+Irr!AE15)),IF(AND(Irr!G15&lt;&gt;".",Irr!AE15=".",Irr!BC15&lt;&gt;"."),dir!H15/((1/1000)*(Irr!G15+Irr!BC15)),IF(AND(Irr!G15=".",Irr!AE15&lt;&gt;".",Irr!BC15&lt;&gt;"."),dir!H15/((1/1000)*(Irr!AE15+Irr!BC15)),IF(AND(Irr!G15=".",Irr!AE15=".",Irr!BC15&lt;&gt;"."),dir!H15/((1/1000)*(Irr!BC15)),IF(AND(Irr!G15=".",Irr!AE15&lt;&gt;".",Irr!BC15="."),dir!H15/((1/1000)*(Irr!AE15)),IF(AND(Irr!G15&lt;&gt;".",Irr!AE15=".",Irr!BC15="."),dir!H15/((1/1000)*(Irr!G15)),IF(AND(Irr!G15=".",Irr!AE15=".",Irr!BC15="."),dir!H15*1000)))))))),".")</f>
        <v>88694.892416319315</v>
      </c>
      <c r="I15" s="48">
        <f>IFERROR(IF(AND(Irr!H15&lt;&gt;".",Irr!AF15&lt;&gt;".",Irr!BD15&lt;&gt;"."),dir!I15/((1/1000)*(Irr!H15+Irr!AF15+Irr!BD15)),IF(AND(Irr!H15&lt;&gt;".",Irr!AF15&lt;&gt;".",Irr!BD15="."),dir!I15/((1/1000)*(Irr!H15+Irr!AF15)),IF(AND(Irr!H15&lt;&gt;".",Irr!AF15=".",Irr!BD15&lt;&gt;"."),dir!I15/((1/1000)*(Irr!H15+Irr!BD15)),IF(AND(Irr!H15=".",Irr!AF15&lt;&gt;".",Irr!BD15&lt;&gt;"."),dir!I15/((1/1000)*(Irr!AF15+Irr!BD15)),IF(AND(Irr!H15=".",Irr!AF15=".",Irr!BD15&lt;&gt;"."),dir!I15/((1/1000)*(Irr!BD15)),IF(AND(Irr!H15=".",Irr!AF15&lt;&gt;".",Irr!BD15="."),dir!I15/((1/1000)*(Irr!AF15)),IF(AND(Irr!H15&lt;&gt;".",Irr!AF15=".",Irr!BD15="."),dir!I15/((1/1000)*(Irr!H15)),IF(AND(Irr!H15=".",Irr!AF15=".",Irr!BD15="."),dir!I15*1000)))))))),".")</f>
        <v>21545.901725927637</v>
      </c>
      <c r="J15" s="48">
        <f>IFERROR(IF(AND(Irr!I15&lt;&gt;".",Irr!AG15&lt;&gt;".",Irr!BE15&lt;&gt;"."),dir!J15/((1/1000)*(Irr!I15+Irr!AG15+Irr!BE15)),IF(AND(Irr!I15&lt;&gt;".",Irr!AG15&lt;&gt;".",Irr!BE15="."),dir!J15/((1/1000)*(Irr!I15+Irr!AG15)),IF(AND(Irr!I15&lt;&gt;".",Irr!AG15=".",Irr!BE15&lt;&gt;"."),dir!J15/((1/1000)*(Irr!I15+Irr!BE15)),IF(AND(Irr!I15=".",Irr!AG15&lt;&gt;".",Irr!BE15&lt;&gt;"."),dir!J15/((1/1000)*(Irr!AG15+Irr!BE15)),IF(AND(Irr!I15=".",Irr!AG15=".",Irr!BE15&lt;&gt;"."),dir!J15/((1/1000)*(Irr!BE15)),IF(AND(Irr!I15=".",Irr!AG15&lt;&gt;".",Irr!BE15="."),dir!J15/((1/1000)*(Irr!AG15)),IF(AND(Irr!I15&lt;&gt;".",Irr!AG15=".",Irr!BE15="."),dir!J15/((1/1000)*(Irr!I15)),IF(AND(Irr!I15=".",Irr!AG15=".",Irr!BE15="."),dir!J15*1000)))))))),".")</f>
        <v>101105.21411758625</v>
      </c>
      <c r="K15" s="48">
        <f>IFERROR(IF(AND(Irr!J15&lt;&gt;".",Irr!AH15&lt;&gt;".",Irr!BF15&lt;&gt;"."),dir!K15/((1/1000)*(Irr!J15+Irr!AH15+Irr!BF15)),IF(AND(Irr!J15&lt;&gt;".",Irr!AH15&lt;&gt;".",Irr!BF15="."),dir!K15/((1/1000)*(Irr!J15+Irr!AH15)),IF(AND(Irr!J15&lt;&gt;".",Irr!AH15=".",Irr!BF15&lt;&gt;"."),dir!K15/((1/1000)*(Irr!J15+Irr!BF15)),IF(AND(Irr!J15=".",Irr!AH15&lt;&gt;".",Irr!BF15&lt;&gt;"."),dir!K15/((1/1000)*(Irr!AH15+Irr!BF15)),IF(AND(Irr!J15=".",Irr!AH15=".",Irr!BF15&lt;&gt;"."),dir!K15/((1/1000)*(Irr!BF15)),IF(AND(Irr!J15=".",Irr!AH15&lt;&gt;".",Irr!BF15="."),dir!K15/((1/1000)*(Irr!AH15)),IF(AND(Irr!J15&lt;&gt;".",Irr!AH15=".",Irr!BF15="."),dir!K15/((1/1000)*(Irr!J15)),IF(AND(Irr!J15=".",Irr!AH15=".",Irr!BF15="."),dir!K15*1000)))))))),".")</f>
        <v>9123.248032909034</v>
      </c>
      <c r="L15" s="48">
        <f>IFERROR(IF(AND(Irr!K15&lt;&gt;".",Irr!AI15&lt;&gt;".",Irr!BG15&lt;&gt;"."),dir!L15/((1/1000)*(Irr!K15+Irr!AI15+Irr!BG15)),IF(AND(Irr!K15&lt;&gt;".",Irr!AI15&lt;&gt;".",Irr!BG15="."),dir!L15/((1/1000)*(Irr!K15+Irr!AI15)),IF(AND(Irr!K15&lt;&gt;".",Irr!AI15=".",Irr!BG15&lt;&gt;"."),dir!L15/((1/1000)*(Irr!K15+Irr!BG15)),IF(AND(Irr!K15=".",Irr!AI15&lt;&gt;".",Irr!BG15&lt;&gt;"."),dir!L15/((1/1000)*(Irr!AI15+Irr!BG15)),IF(AND(Irr!K15=".",Irr!AI15=".",Irr!BG15&lt;&gt;"."),dir!L15/((1/1000)*(Irr!BG15)),IF(AND(Irr!K15=".",Irr!AI15&lt;&gt;".",Irr!BG15="."),dir!L15/((1/1000)*(Irr!AI15)),IF(AND(Irr!K15&lt;&gt;".",Irr!AI15=".",Irr!BG15="."),dir!L15/((1/1000)*(Irr!K15)),IF(AND(Irr!K15=".",Irr!AI15=".",Irr!BG15="."),dir!L15*1000)))))))),".")</f>
        <v>54368.663198602088</v>
      </c>
      <c r="M15" s="48">
        <f>IFERROR(IF(AND(Irr!L15&lt;&gt;".",Irr!AJ15&lt;&gt;".",Irr!BH15&lt;&gt;"."),dir!M15/((1/1000)*(Irr!L15+Irr!AJ15+Irr!BH15)),IF(AND(Irr!L15&lt;&gt;".",Irr!AJ15&lt;&gt;".",Irr!BH15="."),dir!M15/((1/1000)*(Irr!L15+Irr!AJ15)),IF(AND(Irr!L15&lt;&gt;".",Irr!AJ15=".",Irr!BH15&lt;&gt;"."),dir!M15/((1/1000)*(Irr!L15+Irr!BH15)),IF(AND(Irr!L15=".",Irr!AJ15&lt;&gt;".",Irr!BH15&lt;&gt;"."),dir!M15/((1/1000)*(Irr!AJ15+Irr!BH15)),IF(AND(Irr!L15=".",Irr!AJ15=".",Irr!BH15&lt;&gt;"."),dir!M15/((1/1000)*(Irr!BH15)),IF(AND(Irr!L15=".",Irr!AJ15&lt;&gt;".",Irr!BH15="."),dir!M15/((1/1000)*(Irr!AJ15)),IF(AND(Irr!L15&lt;&gt;".",Irr!AJ15=".",Irr!BH15="."),dir!M15/((1/1000)*(Irr!L15)),IF(AND(Irr!L15=".",Irr!AJ15=".",Irr!BH15="."),dir!M15*1000)))))))),".")</f>
        <v>35690.938848211139</v>
      </c>
      <c r="N15" s="48">
        <f>IFERROR(IF(AND(Irr!M15&lt;&gt;".",Irr!AK15&lt;&gt;".",Irr!BI15&lt;&gt;"."),dir!N15/((1/1000)*(Irr!M15+Irr!AK15+Irr!BI15)),IF(AND(Irr!M15&lt;&gt;".",Irr!AK15&lt;&gt;".",Irr!BI15="."),dir!N15/((1/1000)*(Irr!M15+Irr!AK15)),IF(AND(Irr!M15&lt;&gt;".",Irr!AK15=".",Irr!BI15&lt;&gt;"."),dir!N15/((1/1000)*(Irr!M15+Irr!BI15)),IF(AND(Irr!M15=".",Irr!AK15&lt;&gt;".",Irr!BI15&lt;&gt;"."),dir!N15/((1/1000)*(Irr!AK15+Irr!BI15)),IF(AND(Irr!M15=".",Irr!AK15=".",Irr!BI15&lt;&gt;"."),dir!N15/((1/1000)*(Irr!BI15)),IF(AND(Irr!M15=".",Irr!AK15&lt;&gt;".",Irr!BI15="."),dir!N15/((1/1000)*(Irr!AK15)),IF(AND(Irr!M15&lt;&gt;".",Irr!AK15=".",Irr!BI15="."),dir!N15/((1/1000)*(Irr!M15)),IF(AND(Irr!M15=".",Irr!AK15=".",Irr!BI15="."),dir!N15*1000)))))))),".")</f>
        <v>49596.142008735638</v>
      </c>
      <c r="O15" s="48">
        <f>IFERROR(IF(AND(Irr!N15&lt;&gt;".",Irr!AL15&lt;&gt;".",Irr!BJ15&lt;&gt;"."),dir!O15/((1/1000)*(Irr!N15+Irr!AL15+Irr!BJ15)),IF(AND(Irr!N15&lt;&gt;".",Irr!AL15&lt;&gt;".",Irr!BJ15="."),dir!O15/((1/1000)*(Irr!N15+Irr!AL15)),IF(AND(Irr!N15&lt;&gt;".",Irr!AL15=".",Irr!BJ15&lt;&gt;"."),dir!O15/((1/1000)*(Irr!N15+Irr!BJ15)),IF(AND(Irr!N15=".",Irr!AL15&lt;&gt;".",Irr!BJ15&lt;&gt;"."),dir!O15/((1/1000)*(Irr!AL15+Irr!BJ15)),IF(AND(Irr!N15=".",Irr!AL15=".",Irr!BJ15&lt;&gt;"."),dir!O15/((1/1000)*(Irr!BJ15)),IF(AND(Irr!N15=".",Irr!AL15&lt;&gt;".",Irr!BJ15="."),dir!O15/((1/1000)*(Irr!AL15)),IF(AND(Irr!N15&lt;&gt;".",Irr!AL15=".",Irr!BJ15="."),dir!O15/((1/1000)*(Irr!N15)),IF(AND(Irr!N15=".",Irr!AL15=".",Irr!BJ15="."),dir!O15*1000)))))))),".")</f>
        <v>94642.856850716955</v>
      </c>
      <c r="P15" s="48">
        <f>IFERROR(IF(AND(Irr!O15&lt;&gt;".",Irr!AM15&lt;&gt;".",Irr!BK15&lt;&gt;"."),dir!P15/((1/1000)*(Irr!O15+Irr!AM15+Irr!BK15)),IF(AND(Irr!O15&lt;&gt;".",Irr!AM15&lt;&gt;".",Irr!BK15="."),dir!P15/((1/1000)*(Irr!O15+Irr!AM15)),IF(AND(Irr!O15&lt;&gt;".",Irr!AM15=".",Irr!BK15&lt;&gt;"."),dir!P15/((1/1000)*(Irr!O15+Irr!BK15)),IF(AND(Irr!O15=".",Irr!AM15&lt;&gt;".",Irr!BK15&lt;&gt;"."),dir!P15/((1/1000)*(Irr!AM15+Irr!BK15)),IF(AND(Irr!O15=".",Irr!AM15=".",Irr!BK15&lt;&gt;"."),dir!P15/((1/1000)*(Irr!BK15)),IF(AND(Irr!O15=".",Irr!AM15&lt;&gt;".",Irr!BK15="."),dir!P15/((1/1000)*(Irr!AM15)),IF(AND(Irr!O15&lt;&gt;".",Irr!AM15=".",Irr!BK15="."),dir!P15/((1/1000)*(Irr!O15)),IF(AND(Irr!O15=".",Irr!AM15=".",Irr!BK15="."),dir!P15*1000)))))))),".")</f>
        <v>101016.61020143452</v>
      </c>
      <c r="Q15" s="48">
        <f>IFERROR(IF(AND(Irr!P15&lt;&gt;".",Irr!AN15&lt;&gt;".",Irr!BL15&lt;&gt;"."),dir!Q15/((1/1000)*(Irr!P15+Irr!AN15+Irr!BL15)),IF(AND(Irr!P15&lt;&gt;".",Irr!AN15&lt;&gt;".",Irr!BL15="."),dir!Q15/((1/1000)*(Irr!P15+Irr!AN15)),IF(AND(Irr!P15&lt;&gt;".",Irr!AN15=".",Irr!BL15&lt;&gt;"."),dir!Q15/((1/1000)*(Irr!P15+Irr!BL15)),IF(AND(Irr!P15=".",Irr!AN15&lt;&gt;".",Irr!BL15&lt;&gt;"."),dir!Q15/((1/1000)*(Irr!AN15+Irr!BL15)),IF(AND(Irr!P15=".",Irr!AN15=".",Irr!BL15&lt;&gt;"."),dir!Q15/((1/1000)*(Irr!BL15)),IF(AND(Irr!P15=".",Irr!AN15&lt;&gt;".",Irr!BL15="."),dir!Q15/((1/1000)*(Irr!AN15)),IF(AND(Irr!P15&lt;&gt;".",Irr!AN15=".",Irr!BL15="."),dir!Q15/((1/1000)*(Irr!P15)),IF(AND(Irr!P15=".",Irr!AN15=".",Irr!BL15="."),dir!Q15*1000)))))))),".")</f>
        <v>136413.92244739234</v>
      </c>
      <c r="R15" s="48">
        <f>IFERROR(IF(AND(Irr!Q15&lt;&gt;".",Irr!AO15&lt;&gt;".",Irr!BM15&lt;&gt;"."),dir!R15/((1/1000)*(Irr!Q15+Irr!AO15+Irr!BM15)),IF(AND(Irr!Q15&lt;&gt;".",Irr!AO15&lt;&gt;".",Irr!BM15="."),dir!R15/((1/1000)*(Irr!Q15+Irr!AO15)),IF(AND(Irr!Q15&lt;&gt;".",Irr!AO15=".",Irr!BM15&lt;&gt;"."),dir!R15/((1/1000)*(Irr!Q15+Irr!BM15)),IF(AND(Irr!Q15=".",Irr!AO15&lt;&gt;".",Irr!BM15&lt;&gt;"."),dir!R15/((1/1000)*(Irr!AO15+Irr!BM15)),IF(AND(Irr!Q15=".",Irr!AO15=".",Irr!BM15&lt;&gt;"."),dir!R15/((1/1000)*(Irr!BM15)),IF(AND(Irr!Q15=".",Irr!AO15&lt;&gt;".",Irr!BM15="."),dir!R15/((1/1000)*(Irr!AO15)),IF(AND(Irr!Q15&lt;&gt;".",Irr!AO15=".",Irr!BM15="."),dir!R15/((1/1000)*(Irr!Q15)),IF(AND(Irr!Q15=".",Irr!AO15=".",Irr!BM15="."),dir!R15*1000)))))))),".")</f>
        <v>22499.627411572525</v>
      </c>
      <c r="S15" s="48">
        <f>IFERROR(IF(AND(Irr!R15&lt;&gt;".",Irr!AP15&lt;&gt;".",Irr!BN15&lt;&gt;"."),dir!S15/((1/1000)*(Irr!R15+Irr!AP15+Irr!BN15)),IF(AND(Irr!R15&lt;&gt;".",Irr!AP15&lt;&gt;".",Irr!BN15="."),dir!S15/((1/1000)*(Irr!R15+Irr!AP15)),IF(AND(Irr!R15&lt;&gt;".",Irr!AP15=".",Irr!BN15&lt;&gt;"."),dir!S15/((1/1000)*(Irr!R15+Irr!BN15)),IF(AND(Irr!R15=".",Irr!AP15&lt;&gt;".",Irr!BN15&lt;&gt;"."),dir!S15/((1/1000)*(Irr!AP15+Irr!BN15)),IF(AND(Irr!R15=".",Irr!AP15=".",Irr!BN15&lt;&gt;"."),dir!S15/((1/1000)*(Irr!BN15)),IF(AND(Irr!R15=".",Irr!AP15&lt;&gt;".",Irr!BN15="."),dir!S15/((1/1000)*(Irr!AP15)),IF(AND(Irr!R15&lt;&gt;".",Irr!AP15=".",Irr!BN15="."),dir!S15/((1/1000)*(Irr!R15)),IF(AND(Irr!R15=".",Irr!AP15=".",Irr!BN15="."),dir!S15*1000)))))))),".")</f>
        <v>46731.061135937045</v>
      </c>
      <c r="T15" s="48">
        <f>IFERROR(IF(AND(Irr!S15&lt;&gt;".",Irr!AQ15&lt;&gt;".",Irr!BO15&lt;&gt;"."),dir!T15/((1/1000)*(Irr!S15+Irr!AQ15+Irr!BO15)),IF(AND(Irr!S15&lt;&gt;".",Irr!AQ15&lt;&gt;".",Irr!BO15="."),dir!T15/((1/1000)*(Irr!S15+Irr!AQ15)),IF(AND(Irr!S15&lt;&gt;".",Irr!AQ15=".",Irr!BO15&lt;&gt;"."),dir!T15/((1/1000)*(Irr!S15+Irr!BO15)),IF(AND(Irr!S15=".",Irr!AQ15&lt;&gt;".",Irr!BO15&lt;&gt;"."),dir!T15/((1/1000)*(Irr!AQ15+Irr!BO15)),IF(AND(Irr!S15=".",Irr!AQ15=".",Irr!BO15&lt;&gt;"."),dir!T15/((1/1000)*(Irr!BO15)),IF(AND(Irr!S15=".",Irr!AQ15&lt;&gt;".",Irr!BO15="."),dir!T15/((1/1000)*(Irr!AQ15)),IF(AND(Irr!S15&lt;&gt;".",Irr!AQ15=".",Irr!BO15="."),dir!T15/((1/1000)*(Irr!S15)),IF(AND(Irr!S15=".",Irr!AQ15=".",Irr!BO15="."),dir!T15*1000)))))))),".")</f>
        <v>77747.633243818666</v>
      </c>
      <c r="U15" s="48">
        <f>IFERROR(IF(AND(Irr!T15&lt;&gt;".",Irr!AR15&lt;&gt;".",Irr!BP15&lt;&gt;"."),dir!U15/((1/1000)*(Irr!T15+Irr!AR15+Irr!BP15)),IF(AND(Irr!T15&lt;&gt;".",Irr!AR15&lt;&gt;".",Irr!BP15="."),dir!U15/((1/1000)*(Irr!T15+Irr!AR15)),IF(AND(Irr!T15&lt;&gt;".",Irr!AR15=".",Irr!BP15&lt;&gt;"."),dir!U15/((1/1000)*(Irr!T15+Irr!BP15)),IF(AND(Irr!T15=".",Irr!AR15&lt;&gt;".",Irr!BP15&lt;&gt;"."),dir!U15/((1/1000)*(Irr!AR15+Irr!BP15)),IF(AND(Irr!T15=".",Irr!AR15=".",Irr!BP15&lt;&gt;"."),dir!U15/((1/1000)*(Irr!BP15)),IF(AND(Irr!T15=".",Irr!AR15&lt;&gt;".",Irr!BP15="."),dir!U15/((1/1000)*(Irr!AR15)),IF(AND(Irr!T15&lt;&gt;".",Irr!AR15=".",Irr!BP15="."),dir!U15/((1/1000)*(Irr!T15)),IF(AND(Irr!T15=".",Irr!AR15=".",Irr!BP15="."),dir!U15*1000)))))))),".")</f>
        <v>25306.268195962297</v>
      </c>
      <c r="V15" s="48">
        <f>IFERROR(IF(AND(Irr!U15&lt;&gt;".",Irr!AS15&lt;&gt;".",Irr!BQ15&lt;&gt;"."),dir!V15/((1/1000)*(Irr!U15+Irr!AS15+Irr!BQ15)),IF(AND(Irr!U15&lt;&gt;".",Irr!AS15&lt;&gt;".",Irr!BQ15="."),dir!V15/((1/1000)*(Irr!U15+Irr!AS15)),IF(AND(Irr!U15&lt;&gt;".",Irr!AS15=".",Irr!BQ15&lt;&gt;"."),dir!V15/((1/1000)*(Irr!U15+Irr!BQ15)),IF(AND(Irr!U15=".",Irr!AS15&lt;&gt;".",Irr!BQ15&lt;&gt;"."),dir!V15/((1/1000)*(Irr!AS15+Irr!BQ15)),IF(AND(Irr!U15=".",Irr!AS15=".",Irr!BQ15&lt;&gt;"."),dir!V15/((1/1000)*(Irr!BQ15)),IF(AND(Irr!U15=".",Irr!AS15&lt;&gt;".",Irr!BQ15="."),dir!V15/((1/1000)*(Irr!AS15)),IF(AND(Irr!U15&lt;&gt;".",Irr!AS15=".",Irr!BQ15="."),dir!V15/((1/1000)*(Irr!U15)),IF(AND(Irr!U15=".",Irr!AS15=".",Irr!BQ15="."),dir!V15*1000)))))))),".")</f>
        <v>41011.154682372173</v>
      </c>
      <c r="W15" s="48">
        <f>IFERROR(IF(AND(Irr!V15&lt;&gt;".",Irr!AT15&lt;&gt;".",Irr!BR15&lt;&gt;"."),dir!W15/((1/1000)*(Irr!V15+Irr!AT15+Irr!BR15)),IF(AND(Irr!V15&lt;&gt;".",Irr!AT15&lt;&gt;".",Irr!BR15="."),dir!W15/((1/1000)*(Irr!V15+Irr!AT15)),IF(AND(Irr!V15&lt;&gt;".",Irr!AT15=".",Irr!BR15&lt;&gt;"."),dir!W15/((1/1000)*(Irr!V15+Irr!BR15)),IF(AND(Irr!V15=".",Irr!AT15&lt;&gt;".",Irr!BR15&lt;&gt;"."),dir!W15/((1/1000)*(Irr!AT15+Irr!BR15)),IF(AND(Irr!V15=".",Irr!AT15=".",Irr!BR15&lt;&gt;"."),dir!W15/((1/1000)*(Irr!BR15)),IF(AND(Irr!V15=".",Irr!AT15&lt;&gt;".",Irr!BR15="."),dir!W15/((1/1000)*(Irr!AT15)),IF(AND(Irr!V15&lt;&gt;".",Irr!AT15=".",Irr!BR15="."),dir!W15/((1/1000)*(Irr!V15)),IF(AND(Irr!V15=".",Irr!AT15=".",Irr!BR15="."),dir!W15*1000)))))))),".")</f>
        <v>53942.994562785192</v>
      </c>
      <c r="X15" s="48">
        <f>IFERROR(IF(AND(Irr!W15&lt;&gt;".",Irr!AU15&lt;&gt;".",Irr!BS15&lt;&gt;"."),dir!X15/((1/1000)*(Irr!W15+Irr!AU15+Irr!BS15)),IF(AND(Irr!W15&lt;&gt;".",Irr!AU15&lt;&gt;".",Irr!BS15="."),dir!X15/((1/1000)*(Irr!W15+Irr!AU15)),IF(AND(Irr!W15&lt;&gt;".",Irr!AU15=".",Irr!BS15&lt;&gt;"."),dir!X15/((1/1000)*(Irr!W15+Irr!BS15)),IF(AND(Irr!W15=".",Irr!AU15&lt;&gt;".",Irr!BS15&lt;&gt;"."),dir!X15/((1/1000)*(Irr!AU15+Irr!BS15)),IF(AND(Irr!W15=".",Irr!AU15=".",Irr!BS15&lt;&gt;"."),dir!X15/((1/1000)*(Irr!BS15)),IF(AND(Irr!W15=".",Irr!AU15&lt;&gt;".",Irr!BS15="."),dir!X15/((1/1000)*(Irr!AU15)),IF(AND(Irr!W15&lt;&gt;".",Irr!AU15=".",Irr!BS15="."),dir!X15/((1/1000)*(Irr!W15)),IF(AND(Irr!W15=".",Irr!AU15=".",Irr!BS15="."),dir!X15*1000)))))))),".")</f>
        <v>69791.595525868688</v>
      </c>
      <c r="Y15" s="48">
        <f>IFERROR(IF(AND(Irr!X15&lt;&gt;".",Irr!AV15&lt;&gt;".",Irr!BT15&lt;&gt;"."),dir!Y15/((1/1000)*(Irr!X15+Irr!AV15+Irr!BT15)),IF(AND(Irr!X15&lt;&gt;".",Irr!AV15&lt;&gt;".",Irr!BT15="."),dir!Y15/((1/1000)*(Irr!X15+Irr!AV15)),IF(AND(Irr!X15&lt;&gt;".",Irr!AV15=".",Irr!BT15&lt;&gt;"."),dir!Y15/((1/1000)*(Irr!X15+Irr!BT15)),IF(AND(Irr!X15=".",Irr!AV15&lt;&gt;".",Irr!BT15&lt;&gt;"."),dir!Y15/((1/1000)*(Irr!AV15+Irr!BT15)),IF(AND(Irr!X15=".",Irr!AV15=".",Irr!BT15&lt;&gt;"."),dir!Y15/((1/1000)*(Irr!BT15)),IF(AND(Irr!X15=".",Irr!AV15&lt;&gt;".",Irr!BT15="."),dir!Y15/((1/1000)*(Irr!AV15)),IF(AND(Irr!X15&lt;&gt;".",Irr!AV15=".",Irr!BT15="."),dir!Y15/((1/1000)*(Irr!X15)),IF(AND(Irr!X15=".",Irr!AV15=".",Irr!BT15="."),dir!Y15*1000)))))))),".")</f>
        <v>35546.208604908861</v>
      </c>
      <c r="Z15" s="48">
        <f>IFERROR(IF(AND(Irr!Y15&lt;&gt;".",Irr!AW15&lt;&gt;".",Irr!BU15&lt;&gt;"."),dir!Z15/((1/1000)*(Irr!Y15+Irr!AW15+Irr!BU15)),IF(AND(Irr!Y15&lt;&gt;".",Irr!AW15&lt;&gt;".",Irr!BU15="."),dir!Z15/((1/1000)*(Irr!Y15+Irr!AW15)),IF(AND(Irr!Y15&lt;&gt;".",Irr!AW15=".",Irr!BU15&lt;&gt;"."),dir!Z15/((1/1000)*(Irr!Y15+Irr!BU15)),IF(AND(Irr!Y15=".",Irr!AW15&lt;&gt;".",Irr!BU15&lt;&gt;"."),dir!Z15/((1/1000)*(Irr!AW15+Irr!BU15)),IF(AND(Irr!Y15=".",Irr!AW15=".",Irr!BU15&lt;&gt;"."),dir!Z15/((1/1000)*(Irr!BU15)),IF(AND(Irr!Y15=".",Irr!AW15&lt;&gt;".",Irr!BU15="."),dir!Z15/((1/1000)*(Irr!AW15)),IF(AND(Irr!Y15&lt;&gt;".",Irr!AW15=".",Irr!BU15="."),dir!Z15/((1/1000)*(Irr!Y15)),IF(AND(Irr!Y15=".",Irr!AW15=".",Irr!BU15="."),dir!Z15*1000)))))))),".")</f>
        <v>13036.083743290816</v>
      </c>
      <c r="AA15" s="48">
        <f>IFERROR(IF(AND(Irr!Z15&lt;&gt;".",Irr!AX15&lt;&gt;".",Irr!BV15&lt;&gt;"."),dir!AA15/((1/1000)*(Irr!Z15+Irr!AX15+Irr!BV15)),IF(AND(Irr!Z15&lt;&gt;".",Irr!AX15&lt;&gt;".",Irr!BV15="."),dir!AA15/((1/1000)*(Irr!Z15+Irr!AX15)),IF(AND(Irr!Z15&lt;&gt;".",Irr!AX15=".",Irr!BV15&lt;&gt;"."),dir!AA15/((1/1000)*(Irr!Z15+Irr!BV15)),IF(AND(Irr!Z15=".",Irr!AX15&lt;&gt;".",Irr!BV15&lt;&gt;"."),dir!AA15/((1/1000)*(Irr!AX15+Irr!BV15)),IF(AND(Irr!Z15=".",Irr!AX15=".",Irr!BV15&lt;&gt;"."),dir!AA15/((1/1000)*(Irr!BV15)),IF(AND(Irr!Z15=".",Irr!AX15&lt;&gt;".",Irr!BV15="."),dir!AA15/((1/1000)*(Irr!AX15)),IF(AND(Irr!Z15&lt;&gt;".",Irr!AX15=".",Irr!BV15="."),dir!AA15/((1/1000)*(Irr!Z15)),IF(AND(Irr!Z15=".",Irr!AX15=".",Irr!BV15="."),dir!AA15*1000)))))))),".")</f>
        <v>9796.5844339456653</v>
      </c>
      <c r="AB15" s="48">
        <f t="shared" ref="AB15:AB17" si="15">IFERROR(1/SUM(1/AC15,1/AD15,1/AE15,1/AF15,1/AG15,1/AH15,1/AI15,1/AJ15,1/AK15,1/AL15,1/AM15,1/AN15,1/AO15,1/AP15,1/AQ15,1/AR15,1/AS15,1/AT15,1/AU15,1/AV15,1/AW15,1/AX15),".")</f>
        <v>1728.1605421322993</v>
      </c>
      <c r="AC15" s="48">
        <f>IFERROR(IF(AND(Irr!C15&lt;&gt;".",Irr!AA15&lt;&gt;".",Irr!AY15&lt;&gt;"."),dir!AC15/((1/1000)*(Irr!C15+Irr!AA15+Irr!AY15)),IF(AND(Irr!C15&lt;&gt;".",Irr!AA15&lt;&gt;".",Irr!AY15="."),dir!AC15/((1/1000)*(Irr!C15+Irr!AA15)),IF(AND(Irr!C15&lt;&gt;".",Irr!AA15=".",Irr!AY15&lt;&gt;"."),dir!AC15/((1/1000)*(Irr!C15+Irr!AY15)),IF(AND(Irr!C15=".",Irr!AA15&lt;&gt;".",Irr!AY15&lt;&gt;"."),dir!AC15/((1/1000)*(Irr!AA15+Irr!AY15)),IF(AND(Irr!C15=".",Irr!AA15=".",Irr!AY15&lt;&gt;"."),dir!AC15/((1/1000)*(Irr!AY15)),IF(AND(Irr!C15=".",Irr!AA15&lt;&gt;".",Irr!AY15="."),dir!AC15/((1/1000)*(Irr!AA15)),IF(AND(Irr!C15&lt;&gt;".",Irr!AA15=".",Irr!AY15="."),dir!AC15/((1/1000)*(Irr!C15)),IF(AND(Irr!C15=".",Irr!AA15=".",Irr!AY15="."),dir!AC15*1000)))))))),".")</f>
        <v>30566.438860785012</v>
      </c>
      <c r="AD15" s="48">
        <f>IFERROR(IF(AND(Irr!D15&lt;&gt;".",Irr!AB15&lt;&gt;".",Irr!AZ15&lt;&gt;"."),dir!AD15/((1/1000)*(Irr!D15+Irr!AB15+Irr!AZ15)),IF(AND(Irr!D15&lt;&gt;".",Irr!AB15&lt;&gt;".",Irr!AZ15="."),dir!AD15/((1/1000)*(Irr!D15+Irr!AB15)),IF(AND(Irr!D15&lt;&gt;".",Irr!AB15=".",Irr!AZ15&lt;&gt;"."),dir!AD15/((1/1000)*(Irr!D15+Irr!AZ15)),IF(AND(Irr!D15=".",Irr!AB15&lt;&gt;".",Irr!AZ15&lt;&gt;"."),dir!AD15/((1/1000)*(Irr!AB15+Irr!AZ15)),IF(AND(Irr!D15=".",Irr!AB15=".",Irr!AZ15&lt;&gt;"."),dir!AD15/((1/1000)*(Irr!AZ15)),IF(AND(Irr!D15=".",Irr!AB15&lt;&gt;".",Irr!AZ15="."),dir!AD15/((1/1000)*(Irr!AB15)),IF(AND(Irr!D15&lt;&gt;".",Irr!AB15=".",Irr!AZ15="."),dir!AD15/((1/1000)*(Irr!D15)),IF(AND(Irr!D15=".",Irr!AB15=".",Irr!AZ15="."),dir!AD15*1000)))))))),".")</f>
        <v>45139.925830868087</v>
      </c>
      <c r="AE15" s="48">
        <f>IFERROR(IF(AND(Irr!E15&lt;&gt;".",Irr!AC15&lt;&gt;".",Irr!BA15&lt;&gt;"."),dir!AE15/((1/1000)*(Irr!E15+Irr!AC15+Irr!BA15)),IF(AND(Irr!E15&lt;&gt;".",Irr!AC15&lt;&gt;".",Irr!BA15="."),dir!AE15/((1/1000)*(Irr!E15+Irr!AC15)),IF(AND(Irr!E15&lt;&gt;".",Irr!AC15=".",Irr!BA15&lt;&gt;"."),dir!AE15/((1/1000)*(Irr!E15+Irr!BA15)),IF(AND(Irr!E15=".",Irr!AC15&lt;&gt;".",Irr!BA15&lt;&gt;"."),dir!AE15/((1/1000)*(Irr!AC15+Irr!BA15)),IF(AND(Irr!E15=".",Irr!AC15=".",Irr!BA15&lt;&gt;"."),dir!AE15/((1/1000)*(Irr!BA15)),IF(AND(Irr!E15=".",Irr!AC15&lt;&gt;".",Irr!BA15="."),dir!AE15/((1/1000)*(Irr!AC15)),IF(AND(Irr!E15&lt;&gt;".",Irr!AC15=".",Irr!BA15="."),dir!AE15/((1/1000)*(Irr!E15)),IF(AND(Irr!E15=".",Irr!AC15=".",Irr!BA15="."),dir!AE15*1000)))))))),".")</f>
        <v>84046.065775393028</v>
      </c>
      <c r="AF15" s="48">
        <f>IFERROR(IF(AND(Irr!F15&lt;&gt;".",Irr!AD15&lt;&gt;".",Irr!BB15&lt;&gt;"."),dir!AF15/((1/1000)*(Irr!F15+Irr!AD15+Irr!BB15)),IF(AND(Irr!F15&lt;&gt;".",Irr!AD15&lt;&gt;".",Irr!BB15="."),dir!AF15/((1/1000)*(Irr!F15+Irr!AD15)),IF(AND(Irr!F15&lt;&gt;".",Irr!AD15=".",Irr!BB15&lt;&gt;"."),dir!AF15/((1/1000)*(Irr!F15+Irr!BB15)),IF(AND(Irr!F15=".",Irr!AD15&lt;&gt;".",Irr!BB15&lt;&gt;"."),dir!AF15/((1/1000)*(Irr!AD15+Irr!BB15)),IF(AND(Irr!F15=".",Irr!AD15=".",Irr!BB15&lt;&gt;"."),dir!AF15/((1/1000)*(Irr!BB15)),IF(AND(Irr!F15=".",Irr!AD15&lt;&gt;".",Irr!BB15="."),dir!AF15/((1/1000)*(Irr!AD15)),IF(AND(Irr!F15&lt;&gt;".",Irr!AD15=".",Irr!BB15="."),dir!AF15/((1/1000)*(Irr!F15)),IF(AND(Irr!F15=".",Irr!AD15=".",Irr!BB15="."),dir!AF15*1000)))))))),".")</f>
        <v>76632.1085835712</v>
      </c>
      <c r="AG15" s="48">
        <f>IFERROR(IF(AND(Irr!G15&lt;&gt;".",Irr!AE15&lt;&gt;".",Irr!BC15&lt;&gt;"."),dir!AG15/((1/1000)*(Irr!G15+Irr!AE15+Irr!BC15)),IF(AND(Irr!G15&lt;&gt;".",Irr!AE15&lt;&gt;".",Irr!BC15="."),dir!AG15/((1/1000)*(Irr!G15+Irr!AE15)),IF(AND(Irr!G15&lt;&gt;".",Irr!AE15=".",Irr!BC15&lt;&gt;"."),dir!AG15/((1/1000)*(Irr!G15+Irr!BC15)),IF(AND(Irr!G15=".",Irr!AE15&lt;&gt;".",Irr!BC15&lt;&gt;"."),dir!AG15/((1/1000)*(Irr!AE15+Irr!BC15)),IF(AND(Irr!G15=".",Irr!AE15=".",Irr!BC15&lt;&gt;"."),dir!AG15/((1/1000)*(Irr!BC15)),IF(AND(Irr!G15=".",Irr!AE15&lt;&gt;".",Irr!BC15="."),dir!AG15/((1/1000)*(Irr!AE15)),IF(AND(Irr!G15&lt;&gt;".",Irr!AE15=".",Irr!BC15="."),dir!AG15/((1/1000)*(Irr!G15)),IF(AND(Irr!G15=".",Irr!AE15=".",Irr!BC15="."),dir!AG15*1000)))))))),".")</f>
        <v>76253.065754344119</v>
      </c>
      <c r="AH15" s="48">
        <f>IFERROR(IF(AND(Irr!H15&lt;&gt;".",Irr!AF15&lt;&gt;".",Irr!BD15&lt;&gt;"."),dir!AH15/((1/1000)*(Irr!H15+Irr!AF15+Irr!BD15)),IF(AND(Irr!H15&lt;&gt;".",Irr!AF15&lt;&gt;".",Irr!BD15="."),dir!AH15/((1/1000)*(Irr!H15+Irr!AF15)),IF(AND(Irr!H15&lt;&gt;".",Irr!AF15=".",Irr!BD15&lt;&gt;"."),dir!AH15/((1/1000)*(Irr!H15+Irr!BD15)),IF(AND(Irr!H15=".",Irr!AF15&lt;&gt;".",Irr!BD15&lt;&gt;"."),dir!AH15/((1/1000)*(Irr!AF15+Irr!BD15)),IF(AND(Irr!H15=".",Irr!AF15=".",Irr!BD15&lt;&gt;"."),dir!AH15/((1/1000)*(Irr!BD15)),IF(AND(Irr!H15=".",Irr!AF15&lt;&gt;".",Irr!BD15="."),dir!AH15/((1/1000)*(Irr!AF15)),IF(AND(Irr!H15&lt;&gt;".",Irr!AF15=".",Irr!BD15="."),dir!AH15/((1/1000)*(Irr!H15)),IF(AND(Irr!H15=".",Irr!AF15=".",Irr!BD15="."),dir!AH15*1000)))))))),".")</f>
        <v>21307.819078453256</v>
      </c>
      <c r="AI15" s="48">
        <f>IFERROR(IF(AND(Irr!I15&lt;&gt;".",Irr!AG15&lt;&gt;".",Irr!BE15&lt;&gt;"."),dir!AI15/((1/1000)*(Irr!I15+Irr!AG15+Irr!BE15)),IF(AND(Irr!I15&lt;&gt;".",Irr!AG15&lt;&gt;".",Irr!BE15="."),dir!AI15/((1/1000)*(Irr!I15+Irr!AG15)),IF(AND(Irr!I15&lt;&gt;".",Irr!AG15=".",Irr!BE15&lt;&gt;"."),dir!AI15/((1/1000)*(Irr!I15+Irr!BE15)),IF(AND(Irr!I15=".",Irr!AG15&lt;&gt;".",Irr!BE15&lt;&gt;"."),dir!AI15/((1/1000)*(Irr!AG15+Irr!BE15)),IF(AND(Irr!I15=".",Irr!AG15=".",Irr!BE15&lt;&gt;"."),dir!AI15/((1/1000)*(Irr!BE15)),IF(AND(Irr!I15=".",Irr!AG15&lt;&gt;".",Irr!BE15="."),dir!AI15/((1/1000)*(Irr!AG15)),IF(AND(Irr!I15&lt;&gt;".",Irr!AG15=".",Irr!BE15="."),dir!AI15/((1/1000)*(Irr!I15)),IF(AND(Irr!I15=".",Irr!AG15=".",Irr!BE15="."),dir!AI15*1000)))))))),".")</f>
        <v>108723.12622594011</v>
      </c>
      <c r="AJ15" s="48">
        <f>IFERROR(IF(AND(Irr!J15&lt;&gt;".",Irr!AH15&lt;&gt;".",Irr!BF15&lt;&gt;"."),dir!AJ15/((1/1000)*(Irr!J15+Irr!AH15+Irr!BF15)),IF(AND(Irr!J15&lt;&gt;".",Irr!AH15&lt;&gt;".",Irr!BF15="."),dir!AJ15/((1/1000)*(Irr!J15+Irr!AH15)),IF(AND(Irr!J15&lt;&gt;".",Irr!AH15=".",Irr!BF15&lt;&gt;"."),dir!AJ15/((1/1000)*(Irr!J15+Irr!BF15)),IF(AND(Irr!J15=".",Irr!AH15&lt;&gt;".",Irr!BF15&lt;&gt;"."),dir!AJ15/((1/1000)*(Irr!AH15+Irr!BF15)),IF(AND(Irr!J15=".",Irr!AH15=".",Irr!BF15&lt;&gt;"."),dir!AJ15/((1/1000)*(Irr!BF15)),IF(AND(Irr!J15=".",Irr!AH15&lt;&gt;".",Irr!BF15="."),dir!AJ15/((1/1000)*(Irr!AH15)),IF(AND(Irr!J15&lt;&gt;".",Irr!AH15=".",Irr!BF15="."),dir!AJ15/((1/1000)*(Irr!J15)),IF(AND(Irr!J15=".",Irr!AH15=".",Irr!BF15="."),dir!AJ15*1000)))))))),".")</f>
        <v>8833.7960869325379</v>
      </c>
      <c r="AK15" s="48">
        <f>IFERROR(IF(AND(Irr!K15&lt;&gt;".",Irr!AI15&lt;&gt;".",Irr!BG15&lt;&gt;"."),dir!AK15/((1/1000)*(Irr!K15+Irr!AI15+Irr!BG15)),IF(AND(Irr!K15&lt;&gt;".",Irr!AI15&lt;&gt;".",Irr!BG15="."),dir!AK15/((1/1000)*(Irr!K15+Irr!AI15)),IF(AND(Irr!K15&lt;&gt;".",Irr!AI15=".",Irr!BG15&lt;&gt;"."),dir!AK15/((1/1000)*(Irr!K15+Irr!BG15)),IF(AND(Irr!K15=".",Irr!AI15&lt;&gt;".",Irr!BG15&lt;&gt;"."),dir!AK15/((1/1000)*(Irr!AI15+Irr!BG15)),IF(AND(Irr!K15=".",Irr!AI15=".",Irr!BG15&lt;&gt;"."),dir!AK15/((1/1000)*(Irr!BG15)),IF(AND(Irr!K15=".",Irr!AI15&lt;&gt;".",Irr!BG15="."),dir!AK15/((1/1000)*(Irr!AI15)),IF(AND(Irr!K15&lt;&gt;".",Irr!AI15=".",Irr!BG15="."),dir!AK15/((1/1000)*(Irr!K15)),IF(AND(Irr!K15=".",Irr!AI15=".",Irr!BG15="."),dir!AK15*1000)))))))),".")</f>
        <v>37545.386073211979</v>
      </c>
      <c r="AL15" s="48">
        <f>IFERROR(IF(AND(Irr!L15&lt;&gt;".",Irr!AJ15&lt;&gt;".",Irr!BH15&lt;&gt;"."),dir!AL15/((1/1000)*(Irr!L15+Irr!AJ15+Irr!BH15)),IF(AND(Irr!L15&lt;&gt;".",Irr!AJ15&lt;&gt;".",Irr!BH15="."),dir!AL15/((1/1000)*(Irr!L15+Irr!AJ15)),IF(AND(Irr!L15&lt;&gt;".",Irr!AJ15=".",Irr!BH15&lt;&gt;"."),dir!AL15/((1/1000)*(Irr!L15+Irr!BH15)),IF(AND(Irr!L15=".",Irr!AJ15&lt;&gt;".",Irr!BH15&lt;&gt;"."),dir!AL15/((1/1000)*(Irr!AJ15+Irr!BH15)),IF(AND(Irr!L15=".",Irr!AJ15=".",Irr!BH15&lt;&gt;"."),dir!AL15/((1/1000)*(Irr!BH15)),IF(AND(Irr!L15=".",Irr!AJ15&lt;&gt;".",Irr!BH15="."),dir!AL15/((1/1000)*(Irr!AJ15)),IF(AND(Irr!L15&lt;&gt;".",Irr!AJ15=".",Irr!BH15="."),dir!AL15/((1/1000)*(Irr!L15)),IF(AND(Irr!L15=".",Irr!AJ15=".",Irr!BH15="."),dir!AL15*1000)))))))),".")</f>
        <v>50264.738877897362</v>
      </c>
      <c r="AM15" s="48">
        <f>IFERROR(IF(AND(Irr!M15&lt;&gt;".",Irr!AK15&lt;&gt;".",Irr!BI15&lt;&gt;"."),dir!AM15/((1/1000)*(Irr!M15+Irr!AK15+Irr!BI15)),IF(AND(Irr!M15&lt;&gt;".",Irr!AK15&lt;&gt;".",Irr!BI15="."),dir!AM15/((1/1000)*(Irr!M15+Irr!AK15)),IF(AND(Irr!M15&lt;&gt;".",Irr!AK15=".",Irr!BI15&lt;&gt;"."),dir!AM15/((1/1000)*(Irr!M15+Irr!BI15)),IF(AND(Irr!M15=".",Irr!AK15&lt;&gt;".",Irr!BI15&lt;&gt;"."),dir!AM15/((1/1000)*(Irr!AK15+Irr!BI15)),IF(AND(Irr!M15=".",Irr!AK15=".",Irr!BI15&lt;&gt;"."),dir!AM15/((1/1000)*(Irr!BI15)),IF(AND(Irr!M15=".",Irr!AK15&lt;&gt;".",Irr!BI15="."),dir!AM15/((1/1000)*(Irr!AK15)),IF(AND(Irr!M15&lt;&gt;".",Irr!AK15=".",Irr!BI15="."),dir!AM15/((1/1000)*(Irr!M15)),IF(AND(Irr!M15=".",Irr!AK15=".",Irr!BI15="."),dir!AM15*1000)))))))),".")</f>
        <v>45531.409742583615</v>
      </c>
      <c r="AN15" s="48">
        <f>IFERROR(IF(AND(Irr!N15&lt;&gt;".",Irr!AL15&lt;&gt;".",Irr!BJ15&lt;&gt;"."),dir!AN15/((1/1000)*(Irr!N15+Irr!AL15+Irr!BJ15)),IF(AND(Irr!N15&lt;&gt;".",Irr!AL15&lt;&gt;".",Irr!BJ15="."),dir!AN15/((1/1000)*(Irr!N15+Irr!AL15)),IF(AND(Irr!N15&lt;&gt;".",Irr!AL15=".",Irr!BJ15&lt;&gt;"."),dir!AN15/((1/1000)*(Irr!N15+Irr!BJ15)),IF(AND(Irr!N15=".",Irr!AL15&lt;&gt;".",Irr!BJ15&lt;&gt;"."),dir!AN15/((1/1000)*(Irr!AL15+Irr!BJ15)),IF(AND(Irr!N15=".",Irr!AL15=".",Irr!BJ15&lt;&gt;"."),dir!AN15/((1/1000)*(Irr!BJ15)),IF(AND(Irr!N15=".",Irr!AL15&lt;&gt;".",Irr!BJ15="."),dir!AN15/((1/1000)*(Irr!AL15)),IF(AND(Irr!N15&lt;&gt;".",Irr!AL15=".",Irr!BJ15="."),dir!AN15/((1/1000)*(Irr!N15)),IF(AND(Irr!N15=".",Irr!AL15=".",Irr!BJ15="."),dir!AN15*1000)))))))),".")</f>
        <v>87684.432364537322</v>
      </c>
      <c r="AO15" s="48">
        <f>IFERROR(IF(AND(Irr!O15&lt;&gt;".",Irr!AM15&lt;&gt;".",Irr!BK15&lt;&gt;"."),dir!AO15/((1/1000)*(Irr!O15+Irr!AM15+Irr!BK15)),IF(AND(Irr!O15&lt;&gt;".",Irr!AM15&lt;&gt;".",Irr!BK15="."),dir!AO15/((1/1000)*(Irr!O15+Irr!AM15)),IF(AND(Irr!O15&lt;&gt;".",Irr!AM15=".",Irr!BK15&lt;&gt;"."),dir!AO15/((1/1000)*(Irr!O15+Irr!BK15)),IF(AND(Irr!O15=".",Irr!AM15&lt;&gt;".",Irr!BK15&lt;&gt;"."),dir!AO15/((1/1000)*(Irr!AM15+Irr!BK15)),IF(AND(Irr!O15=".",Irr!AM15=".",Irr!BK15&lt;&gt;"."),dir!AO15/((1/1000)*(Irr!BK15)),IF(AND(Irr!O15=".",Irr!AM15&lt;&gt;".",Irr!BK15="."),dir!AO15/((1/1000)*(Irr!AM15)),IF(AND(Irr!O15&lt;&gt;".",Irr!AM15=".",Irr!BK15="."),dir!AO15/((1/1000)*(Irr!O15)),IF(AND(Irr!O15=".",Irr!AM15=".",Irr!BK15="."),dir!AO15*1000)))))))),".")</f>
        <v>93413.168390693652</v>
      </c>
      <c r="AP15" s="48">
        <f>IFERROR(IF(AND(Irr!P15&lt;&gt;".",Irr!AN15&lt;&gt;".",Irr!BL15&lt;&gt;"."),dir!AP15/((1/1000)*(Irr!P15+Irr!AN15+Irr!BL15)),IF(AND(Irr!P15&lt;&gt;".",Irr!AN15&lt;&gt;".",Irr!BL15="."),dir!AP15/((1/1000)*(Irr!P15+Irr!AN15)),IF(AND(Irr!P15&lt;&gt;".",Irr!AN15=".",Irr!BL15&lt;&gt;"."),dir!AP15/((1/1000)*(Irr!P15+Irr!BL15)),IF(AND(Irr!P15=".",Irr!AN15&lt;&gt;".",Irr!BL15&lt;&gt;"."),dir!AP15/((1/1000)*(Irr!AN15+Irr!BL15)),IF(AND(Irr!P15=".",Irr!AN15=".",Irr!BL15&lt;&gt;"."),dir!AP15/((1/1000)*(Irr!BL15)),IF(AND(Irr!P15=".",Irr!AN15&lt;&gt;".",Irr!BL15="."),dir!AP15/((1/1000)*(Irr!AN15)),IF(AND(Irr!P15&lt;&gt;".",Irr!AN15=".",Irr!BL15="."),dir!AP15/((1/1000)*(Irr!P15)),IF(AND(Irr!P15=".",Irr!AN15=".",Irr!BL15="."),dir!AP15*1000)))))))),".")</f>
        <v>102141.33366722103</v>
      </c>
      <c r="AQ15" s="48">
        <f>IFERROR(IF(AND(Irr!Q15&lt;&gt;".",Irr!AO15&lt;&gt;".",Irr!BM15&lt;&gt;"."),dir!AQ15/((1/1000)*(Irr!Q15+Irr!AO15+Irr!BM15)),IF(AND(Irr!Q15&lt;&gt;".",Irr!AO15&lt;&gt;".",Irr!BM15="."),dir!AQ15/((1/1000)*(Irr!Q15+Irr!AO15)),IF(AND(Irr!Q15&lt;&gt;".",Irr!AO15=".",Irr!BM15&lt;&gt;"."),dir!AQ15/((1/1000)*(Irr!Q15+Irr!BM15)),IF(AND(Irr!Q15=".",Irr!AO15&lt;&gt;".",Irr!BM15&lt;&gt;"."),dir!AQ15/((1/1000)*(Irr!AO15+Irr!BM15)),IF(AND(Irr!Q15=".",Irr!AO15=".",Irr!BM15&lt;&gt;"."),dir!AQ15/((1/1000)*(Irr!BM15)),IF(AND(Irr!Q15=".",Irr!AO15&lt;&gt;".",Irr!BM15="."),dir!AQ15/((1/1000)*(Irr!AO15)),IF(AND(Irr!Q15&lt;&gt;".",Irr!AO15=".",Irr!BM15="."),dir!AQ15/((1/1000)*(Irr!Q15)),IF(AND(Irr!Q15=".",Irr!AO15=".",Irr!BM15="."),dir!AQ15*1000)))))))),".")</f>
        <v>25172.678825796316</v>
      </c>
      <c r="AR15" s="48">
        <f>IFERROR(IF(AND(Irr!R15&lt;&gt;".",Irr!AP15&lt;&gt;".",Irr!BN15&lt;&gt;"."),dir!AR15/((1/1000)*(Irr!R15+Irr!AP15+Irr!BN15)),IF(AND(Irr!R15&lt;&gt;".",Irr!AP15&lt;&gt;".",Irr!BN15="."),dir!AR15/((1/1000)*(Irr!R15+Irr!AP15)),IF(AND(Irr!R15&lt;&gt;".",Irr!AP15=".",Irr!BN15&lt;&gt;"."),dir!AR15/((1/1000)*(Irr!R15+Irr!BN15)),IF(AND(Irr!R15=".",Irr!AP15&lt;&gt;".",Irr!BN15&lt;&gt;"."),dir!AR15/((1/1000)*(Irr!AP15+Irr!BN15)),IF(AND(Irr!R15=".",Irr!AP15=".",Irr!BN15&lt;&gt;"."),dir!AR15/((1/1000)*(Irr!BN15)),IF(AND(Irr!R15=".",Irr!AP15&lt;&gt;".",Irr!BN15="."),dir!AR15/((1/1000)*(Irr!AP15)),IF(AND(Irr!R15&lt;&gt;".",Irr!AP15=".",Irr!BN15="."),dir!AR15/((1/1000)*(Irr!R15)),IF(AND(Irr!R15=".",Irr!AP15=".",Irr!BN15="."),dir!AR15*1000)))))))),".")</f>
        <v>41383.740673528628</v>
      </c>
      <c r="AS15" s="48">
        <f>IFERROR(IF(AND(Irr!S15&lt;&gt;".",Irr!AQ15&lt;&gt;".",Irr!BO15&lt;&gt;"."),dir!AS15/((1/1000)*(Irr!S15+Irr!AQ15+Irr!BO15)),IF(AND(Irr!S15&lt;&gt;".",Irr!AQ15&lt;&gt;".",Irr!BO15="."),dir!AS15/((1/1000)*(Irr!S15+Irr!AQ15)),IF(AND(Irr!S15&lt;&gt;".",Irr!AQ15=".",Irr!BO15&lt;&gt;"."),dir!AS15/((1/1000)*(Irr!S15+Irr!BO15)),IF(AND(Irr!S15=".",Irr!AQ15&lt;&gt;".",Irr!BO15&lt;&gt;"."),dir!AS15/((1/1000)*(Irr!AQ15+Irr!BO15)),IF(AND(Irr!S15=".",Irr!AQ15=".",Irr!BO15&lt;&gt;"."),dir!AS15/((1/1000)*(Irr!BO15)),IF(AND(Irr!S15=".",Irr!AQ15&lt;&gt;".",Irr!BO15="."),dir!AS15/((1/1000)*(Irr!AQ15)),IF(AND(Irr!S15&lt;&gt;".",Irr!AQ15=".",Irr!BO15="."),dir!AS15/((1/1000)*(Irr!S15)),IF(AND(Irr!S15=".",Irr!AQ15=".",Irr!BO15="."),dir!AS15*1000)))))))),".")</f>
        <v>86184.184422371938</v>
      </c>
      <c r="AT15" s="48">
        <f>IFERROR(IF(AND(Irr!T15&lt;&gt;".",Irr!AR15&lt;&gt;".",Irr!BP15&lt;&gt;"."),dir!AT15/((1/1000)*(Irr!T15+Irr!AR15+Irr!BP15)),IF(AND(Irr!T15&lt;&gt;".",Irr!AR15&lt;&gt;".",Irr!BP15="."),dir!AT15/((1/1000)*(Irr!T15+Irr!AR15)),IF(AND(Irr!T15&lt;&gt;".",Irr!AR15=".",Irr!BP15&lt;&gt;"."),dir!AT15/((1/1000)*(Irr!T15+Irr!BP15)),IF(AND(Irr!T15=".",Irr!AR15&lt;&gt;".",Irr!BP15&lt;&gt;"."),dir!AT15/((1/1000)*(Irr!AR15+Irr!BP15)),IF(AND(Irr!T15=".",Irr!AR15=".",Irr!BP15&lt;&gt;"."),dir!AT15/((1/1000)*(Irr!BP15)),IF(AND(Irr!T15=".",Irr!AR15&lt;&gt;".",Irr!BP15="."),dir!AT15/((1/1000)*(Irr!AR15)),IF(AND(Irr!T15&lt;&gt;".",Irr!AR15=".",Irr!BP15="."),dir!AT15/((1/1000)*(Irr!T15)),IF(AND(Irr!T15=".",Irr!AR15=".",Irr!BP15="."),dir!AT15*1000)))))))),".")</f>
        <v>21616.305620213381</v>
      </c>
      <c r="AU15" s="48">
        <f>IFERROR(IF(AND(Irr!U15&lt;&gt;".",Irr!AS15&lt;&gt;".",Irr!BQ15&lt;&gt;"."),dir!AU15/((1/1000)*(Irr!U15+Irr!AS15+Irr!BQ15)),IF(AND(Irr!U15&lt;&gt;".",Irr!AS15&lt;&gt;".",Irr!BQ15="."),dir!AU15/((1/1000)*(Irr!U15+Irr!AS15)),IF(AND(Irr!U15&lt;&gt;".",Irr!AS15=".",Irr!BQ15&lt;&gt;"."),dir!AU15/((1/1000)*(Irr!U15+Irr!BQ15)),IF(AND(Irr!U15=".",Irr!AS15&lt;&gt;".",Irr!BQ15&lt;&gt;"."),dir!AU15/((1/1000)*(Irr!AS15+Irr!BQ15)),IF(AND(Irr!U15=".",Irr!AS15=".",Irr!BQ15&lt;&gt;"."),dir!AU15/((1/1000)*(Irr!BQ15)),IF(AND(Irr!U15=".",Irr!AS15&lt;&gt;".",Irr!BQ15="."),dir!AU15/((1/1000)*(Irr!AS15)),IF(AND(Irr!U15&lt;&gt;".",Irr!AS15=".",Irr!BQ15="."),dir!AU15/((1/1000)*(Irr!U15)),IF(AND(Irr!U15=".",Irr!AS15=".",Irr!BQ15="."),dir!AU15*1000)))))))),".")</f>
        <v>39971.622019230257</v>
      </c>
      <c r="AV15" s="48">
        <f>IFERROR(IF(AND(Irr!V15&lt;&gt;".",Irr!AT15&lt;&gt;".",Irr!BR15&lt;&gt;"."),dir!AV15/((1/1000)*(Irr!V15+Irr!AT15+Irr!BR15)),IF(AND(Irr!V15&lt;&gt;".",Irr!AT15&lt;&gt;".",Irr!BR15="."),dir!AV15/((1/1000)*(Irr!V15+Irr!AT15)),IF(AND(Irr!V15&lt;&gt;".",Irr!AT15=".",Irr!BR15&lt;&gt;"."),dir!AV15/((1/1000)*(Irr!V15+Irr!BR15)),IF(AND(Irr!V15=".",Irr!AT15&lt;&gt;".",Irr!BR15&lt;&gt;"."),dir!AV15/((1/1000)*(Irr!AT15+Irr!BR15)),IF(AND(Irr!V15=".",Irr!AT15=".",Irr!BR15&lt;&gt;"."),dir!AV15/((1/1000)*(Irr!BR15)),IF(AND(Irr!V15=".",Irr!AT15&lt;&gt;".",Irr!BR15="."),dir!AV15/((1/1000)*(Irr!AT15)),IF(AND(Irr!V15&lt;&gt;".",Irr!AT15=".",Irr!BR15="."),dir!AV15/((1/1000)*(Irr!V15)),IF(AND(Irr!V15=".",Irr!AT15=".",Irr!BR15="."),dir!AV15*1000)))))))),".")</f>
        <v>51349.819029763952</v>
      </c>
      <c r="AW15" s="48">
        <f>IFERROR(IF(AND(Irr!W15&lt;&gt;".",Irr!AU15&lt;&gt;".",Irr!BS15&lt;&gt;"."),dir!AW15/((1/1000)*(Irr!W15+Irr!AU15+Irr!BS15)),IF(AND(Irr!W15&lt;&gt;".",Irr!AU15&lt;&gt;".",Irr!BS15="."),dir!AW15/((1/1000)*(Irr!W15+Irr!AU15)),IF(AND(Irr!W15&lt;&gt;".",Irr!AU15=".",Irr!BS15&lt;&gt;"."),dir!AW15/((1/1000)*(Irr!W15+Irr!BS15)),IF(AND(Irr!W15=".",Irr!AU15&lt;&gt;".",Irr!BS15&lt;&gt;"."),dir!AW15/((1/1000)*(Irr!AU15+Irr!BS15)),IF(AND(Irr!W15=".",Irr!AU15=".",Irr!BS15&lt;&gt;"."),dir!AW15/((1/1000)*(Irr!BS15)),IF(AND(Irr!W15=".",Irr!AU15&lt;&gt;".",Irr!BS15="."),dir!AW15/((1/1000)*(Irr!AU15)),IF(AND(Irr!W15&lt;&gt;".",Irr!AU15=".",Irr!BS15="."),dir!AW15/((1/1000)*(Irr!W15)),IF(AND(Irr!W15=".",Irr!AU15=".",Irr!BS15="."),dir!AW15*1000)))))))),".")</f>
        <v>67571.119854506673</v>
      </c>
      <c r="AX15" s="48">
        <f>IFERROR(IF(AND(Irr!X15&lt;&gt;".",Irr!AV15&lt;&gt;".",Irr!BT15&lt;&gt;"."),dir!AX15/((1/1000)*(Irr!X15+Irr!AV15+Irr!BT15)),IF(AND(Irr!X15&lt;&gt;".",Irr!AV15&lt;&gt;".",Irr!BT15="."),dir!AX15/((1/1000)*(Irr!X15+Irr!AV15)),IF(AND(Irr!X15&lt;&gt;".",Irr!AV15=".",Irr!BT15&lt;&gt;"."),dir!AX15/((1/1000)*(Irr!X15+Irr!BT15)),IF(AND(Irr!X15=".",Irr!AV15&lt;&gt;".",Irr!BT15&lt;&gt;"."),dir!AX15/((1/1000)*(Irr!AV15+Irr!BT15)),IF(AND(Irr!X15=".",Irr!AV15=".",Irr!BT15&lt;&gt;"."),dir!AX15/((1/1000)*(Irr!BT15)),IF(AND(Irr!X15=".",Irr!AV15&lt;&gt;".",Irr!BT15="."),dir!AX15/((1/1000)*(Irr!AV15)),IF(AND(Irr!X15&lt;&gt;".",Irr!AV15=".",Irr!BT15="."),dir!AX15/((1/1000)*(Irr!X15)),IF(AND(Irr!X15=".",Irr!AV15=".",Irr!BT15="."),dir!AX15*1000)))))))),".")</f>
        <v>28611.145597916322</v>
      </c>
      <c r="AY15" s="48">
        <f>IFERROR(IF(AND(Irr!Y15&lt;&gt;".",Irr!AW15&lt;&gt;".",Irr!BU15&lt;&gt;"."),dir!AY15/((1/1000)*(Irr!Y15+Irr!AW15+Irr!BU15)),IF(AND(Irr!Y15&lt;&gt;".",Irr!AW15&lt;&gt;".",Irr!BU15="."),dir!AY15/((1/1000)*(Irr!Y15+Irr!AW15)),IF(AND(Irr!Y15&lt;&gt;".",Irr!AW15=".",Irr!BU15&lt;&gt;"."),dir!AY15/((1/1000)*(Irr!Y15+Irr!BU15)),IF(AND(Irr!Y15=".",Irr!AW15&lt;&gt;".",Irr!BU15&lt;&gt;"."),dir!AY15/((1/1000)*(Irr!AW15+Irr!BU15)),IF(AND(Irr!Y15=".",Irr!AW15=".",Irr!BU15&lt;&gt;"."),dir!AY15/((1/1000)*(Irr!BU15)),IF(AND(Irr!Y15=".",Irr!AW15&lt;&gt;".",Irr!BU15="."),dir!AY15/((1/1000)*(Irr!AW15)),IF(AND(Irr!Y15&lt;&gt;".",Irr!AW15=".",Irr!BU15="."),dir!AY15/((1/1000)*(Irr!Y15)),IF(AND(Irr!Y15=".",Irr!AW15=".",Irr!BU15="."),dir!AY15*1000)))))))),".")</f>
        <v>10207.183079400857</v>
      </c>
      <c r="AZ15" s="48">
        <f>IFERROR(IF(AND(Irr!Z15&lt;&gt;".",Irr!AX15&lt;&gt;".",Irr!BV15&lt;&gt;"."),dir!AZ15/((1/1000)*(Irr!Z15+Irr!AX15+Irr!BV15)),IF(AND(Irr!Z15&lt;&gt;".",Irr!AX15&lt;&gt;".",Irr!BV15="."),dir!AZ15/((1/1000)*(Irr!Z15+Irr!AX15)),IF(AND(Irr!Z15&lt;&gt;".",Irr!AX15=".",Irr!BV15&lt;&gt;"."),dir!AZ15/((1/1000)*(Irr!Z15+Irr!BV15)),IF(AND(Irr!Z15=".",Irr!AX15&lt;&gt;".",Irr!BV15&lt;&gt;"."),dir!AZ15/((1/1000)*(Irr!AX15+Irr!BV15)),IF(AND(Irr!Z15=".",Irr!AX15=".",Irr!BV15&lt;&gt;"."),dir!AZ15/((1/1000)*(Irr!BV15)),IF(AND(Irr!Z15=".",Irr!AX15&lt;&gt;".",Irr!BV15="."),dir!AZ15/((1/1000)*(Irr!AX15)),IF(AND(Irr!Z15&lt;&gt;".",Irr!AX15=".",Irr!BV15="."),dir!AZ15/((1/1000)*(Irr!Z15)),IF(AND(Irr!Z15=".",Irr!AX15=".",Irr!BV15="."),dir!AZ15*1000)))))))),".")</f>
        <v>9373.4466577714793</v>
      </c>
    </row>
    <row r="16" spans="1:52" ht="15" customHeight="1" x14ac:dyDescent="0.25">
      <c r="A16" s="61" t="s">
        <v>14</v>
      </c>
      <c r="B16" s="49" t="s">
        <v>1059</v>
      </c>
      <c r="C16" s="48">
        <f t="shared" si="14"/>
        <v>0.13364451012117334</v>
      </c>
      <c r="D16" s="48">
        <f>IFERROR(IF(AND(Irr!C16&lt;&gt;".",Irr!AA16&lt;&gt;".",Irr!AY16&lt;&gt;"."),dir!D16/((1/1000)*(Irr!C16+Irr!AA16+Irr!AY16)),IF(AND(Irr!C16&lt;&gt;".",Irr!AA16&lt;&gt;".",Irr!AY16="."),dir!D16/((1/1000)*(Irr!C16+Irr!AA16)),IF(AND(Irr!C16&lt;&gt;".",Irr!AA16=".",Irr!AY16&lt;&gt;"."),dir!D16/((1/1000)*(Irr!C16+Irr!AY16)),IF(AND(Irr!C16=".",Irr!AA16&lt;&gt;".",Irr!AY16&lt;&gt;"."),dir!D16/((1/1000)*(Irr!AA16+Irr!AY16)),IF(AND(Irr!C16=".",Irr!AA16=".",Irr!AY16&lt;&gt;"."),dir!D16/((1/1000)*(Irr!AY16)),IF(AND(Irr!C16=".",Irr!AA16&lt;&gt;".",Irr!AY16="."),dir!D16/((1/1000)*(Irr!AA16)),IF(AND(Irr!C16&lt;&gt;".",Irr!AA16=".",Irr!AY16="."),dir!D16/((1/1000)*(Irr!C16)),IF(AND(Irr!C16=".",Irr!AA16=".",Irr!AY16="."),dir!D16*1000)))))))),".")</f>
        <v>2.5765130241773631</v>
      </c>
      <c r="E16" s="48">
        <f>IFERROR(IF(AND(Irr!D16&lt;&gt;".",Irr!AB16&lt;&gt;".",Irr!AZ16&lt;&gt;"."),dir!E16/((1/1000)*(Irr!D16+Irr!AB16+Irr!AZ16)),IF(AND(Irr!D16&lt;&gt;".",Irr!AB16&lt;&gt;".",Irr!AZ16="."),dir!E16/((1/1000)*(Irr!D16+Irr!AB16)),IF(AND(Irr!D16&lt;&gt;".",Irr!AB16=".",Irr!AZ16&lt;&gt;"."),dir!E16/((1/1000)*(Irr!D16+Irr!AZ16)),IF(AND(Irr!D16=".",Irr!AB16&lt;&gt;".",Irr!AZ16&lt;&gt;"."),dir!E16/((1/1000)*(Irr!AB16+Irr!AZ16)),IF(AND(Irr!D16=".",Irr!AB16=".",Irr!AZ16&lt;&gt;"."),dir!E16/((1/1000)*(Irr!AZ16)),IF(AND(Irr!D16=".",Irr!AB16&lt;&gt;".",Irr!AZ16="."),dir!E16/((1/1000)*(Irr!AB16)),IF(AND(Irr!D16&lt;&gt;".",Irr!AB16=".",Irr!AZ16="."),dir!E16/((1/1000)*(Irr!D16)),IF(AND(Irr!D16=".",Irr!AB16=".",Irr!AZ16="."),dir!E16*1000)))))))),".")</f>
        <v>3.5244828258136267</v>
      </c>
      <c r="F16" s="48">
        <f>IFERROR(IF(AND(Irr!E16&lt;&gt;".",Irr!AC16&lt;&gt;".",Irr!BA16&lt;&gt;"."),dir!F16/((1/1000)*(Irr!E16+Irr!AC16+Irr!BA16)),IF(AND(Irr!E16&lt;&gt;".",Irr!AC16&lt;&gt;".",Irr!BA16="."),dir!F16/((1/1000)*(Irr!E16+Irr!AC16)),IF(AND(Irr!E16&lt;&gt;".",Irr!AC16=".",Irr!BA16&lt;&gt;"."),dir!F16/((1/1000)*(Irr!E16+Irr!BA16)),IF(AND(Irr!E16=".",Irr!AC16&lt;&gt;".",Irr!BA16&lt;&gt;"."),dir!F16/((1/1000)*(Irr!AC16+Irr!BA16)),IF(AND(Irr!E16=".",Irr!AC16=".",Irr!BA16&lt;&gt;"."),dir!F16/((1/1000)*(Irr!BA16)),IF(AND(Irr!E16=".",Irr!AC16&lt;&gt;".",Irr!BA16="."),dir!F16/((1/1000)*(Irr!AC16)),IF(AND(Irr!E16&lt;&gt;".",Irr!AC16=".",Irr!BA16="."),dir!F16/((1/1000)*(Irr!E16)),IF(AND(Irr!E16=".",Irr!AC16=".",Irr!BA16="."),dir!F16*1000)))))))),".")</f>
        <v>6.7022617550690864</v>
      </c>
      <c r="G16" s="48">
        <f>IFERROR(IF(AND(Irr!F16&lt;&gt;".",Irr!AD16&lt;&gt;".",Irr!BB16&lt;&gt;"."),dir!G16/((1/1000)*(Irr!F16+Irr!AD16+Irr!BB16)),IF(AND(Irr!F16&lt;&gt;".",Irr!AD16&lt;&gt;".",Irr!BB16="."),dir!G16/((1/1000)*(Irr!F16+Irr!AD16)),IF(AND(Irr!F16&lt;&gt;".",Irr!AD16=".",Irr!BB16&lt;&gt;"."),dir!G16/((1/1000)*(Irr!F16+Irr!BB16)),IF(AND(Irr!F16=".",Irr!AD16&lt;&gt;".",Irr!BB16&lt;&gt;"."),dir!G16/((1/1000)*(Irr!AD16+Irr!BB16)),IF(AND(Irr!F16=".",Irr!AD16=".",Irr!BB16&lt;&gt;"."),dir!G16/((1/1000)*(Irr!BB16)),IF(AND(Irr!F16=".",Irr!AD16&lt;&gt;".",Irr!BB16="."),dir!G16/((1/1000)*(Irr!AD16)),IF(AND(Irr!F16&lt;&gt;".",Irr!AD16=".",Irr!BB16="."),dir!G16/((1/1000)*(Irr!F16)),IF(AND(Irr!F16=".",Irr!AD16=".",Irr!BB16="."),dir!G16*1000)))))))),".")</f>
        <v>5.7698059378576074</v>
      </c>
      <c r="H16" s="48">
        <f>IFERROR(IF(AND(Irr!G16&lt;&gt;".",Irr!AE16&lt;&gt;".",Irr!BC16&lt;&gt;"."),dir!H16/((1/1000)*(Irr!G16+Irr!AE16+Irr!BC16)),IF(AND(Irr!G16&lt;&gt;".",Irr!AE16&lt;&gt;".",Irr!BC16="."),dir!H16/((1/1000)*(Irr!G16+Irr!AE16)),IF(AND(Irr!G16&lt;&gt;".",Irr!AE16=".",Irr!BC16&lt;&gt;"."),dir!H16/((1/1000)*(Irr!G16+Irr!BC16)),IF(AND(Irr!G16=".",Irr!AE16&lt;&gt;".",Irr!BC16&lt;&gt;"."),dir!H16/((1/1000)*(Irr!AE16+Irr!BC16)),IF(AND(Irr!G16=".",Irr!AE16=".",Irr!BC16&lt;&gt;"."),dir!H16/((1/1000)*(Irr!BC16)),IF(AND(Irr!G16=".",Irr!AE16&lt;&gt;".",Irr!BC16="."),dir!H16/((1/1000)*(Irr!AE16)),IF(AND(Irr!G16&lt;&gt;".",Irr!AE16=".",Irr!BC16="."),dir!H16/((1/1000)*(Irr!G16)),IF(AND(Irr!G16=".",Irr!AE16=".",Irr!BC16="."),dir!H16*1000)))))))),".")</f>
        <v>6.4955965328422094</v>
      </c>
      <c r="I16" s="48">
        <f>IFERROR(IF(AND(Irr!H16&lt;&gt;".",Irr!AF16&lt;&gt;".",Irr!BD16&lt;&gt;"."),dir!I16/((1/1000)*(Irr!H16+Irr!AF16+Irr!BD16)),IF(AND(Irr!H16&lt;&gt;".",Irr!AF16&lt;&gt;".",Irr!BD16="."),dir!I16/((1/1000)*(Irr!H16+Irr!AF16)),IF(AND(Irr!H16&lt;&gt;".",Irr!AF16=".",Irr!BD16&lt;&gt;"."),dir!I16/((1/1000)*(Irr!H16+Irr!BD16)),IF(AND(Irr!H16=".",Irr!AF16&lt;&gt;".",Irr!BD16&lt;&gt;"."),dir!I16/((1/1000)*(Irr!AF16+Irr!BD16)),IF(AND(Irr!H16=".",Irr!AF16=".",Irr!BD16&lt;&gt;"."),dir!I16/((1/1000)*(Irr!BD16)),IF(AND(Irr!H16=".",Irr!AF16&lt;&gt;".",Irr!BD16="."),dir!I16/((1/1000)*(Irr!AF16)),IF(AND(Irr!H16&lt;&gt;".",Irr!AF16=".",Irr!BD16="."),dir!I16/((1/1000)*(Irr!H16)),IF(AND(Irr!H16=".",Irr!AF16=".",Irr!BD16="."),dir!I16*1000)))))))),".")</f>
        <v>1.57792044992823</v>
      </c>
      <c r="J16" s="48">
        <f>IFERROR(IF(AND(Irr!I16&lt;&gt;".",Irr!AG16&lt;&gt;".",Irr!BE16&lt;&gt;"."),dir!J16/((1/1000)*(Irr!I16+Irr!AG16+Irr!BE16)),IF(AND(Irr!I16&lt;&gt;".",Irr!AG16&lt;&gt;".",Irr!BE16="."),dir!J16/((1/1000)*(Irr!I16+Irr!AG16)),IF(AND(Irr!I16&lt;&gt;".",Irr!AG16=".",Irr!BE16&lt;&gt;"."),dir!J16/((1/1000)*(Irr!I16+Irr!BE16)),IF(AND(Irr!I16=".",Irr!AG16&lt;&gt;".",Irr!BE16&lt;&gt;"."),dir!J16/((1/1000)*(Irr!AG16+Irr!BE16)),IF(AND(Irr!I16=".",Irr!AG16=".",Irr!BE16&lt;&gt;"."),dir!J16/((1/1000)*(Irr!BE16)),IF(AND(Irr!I16=".",Irr!AG16&lt;&gt;".",Irr!BE16="."),dir!J16/((1/1000)*(Irr!AG16)),IF(AND(Irr!I16&lt;&gt;".",Irr!AG16=".",Irr!BE16="."),dir!J16/((1/1000)*(Irr!I16)),IF(AND(Irr!I16=".",Irr!AG16=".",Irr!BE16="."),dir!J16*1000)))))))),".")</f>
        <v>7.4044700927291105</v>
      </c>
      <c r="K16" s="48">
        <f>IFERROR(IF(AND(Irr!J16&lt;&gt;".",Irr!AH16&lt;&gt;".",Irr!BF16&lt;&gt;"."),dir!K16/((1/1000)*(Irr!J16+Irr!AH16+Irr!BF16)),IF(AND(Irr!J16&lt;&gt;".",Irr!AH16&lt;&gt;".",Irr!BF16="."),dir!K16/((1/1000)*(Irr!J16+Irr!AH16)),IF(AND(Irr!J16&lt;&gt;".",Irr!AH16=".",Irr!BF16&lt;&gt;"."),dir!K16/((1/1000)*(Irr!J16+Irr!BF16)),IF(AND(Irr!J16=".",Irr!AH16&lt;&gt;".",Irr!BF16&lt;&gt;"."),dir!K16/((1/1000)*(Irr!AH16+Irr!BF16)),IF(AND(Irr!J16=".",Irr!AH16=".",Irr!BF16&lt;&gt;"."),dir!K16/((1/1000)*(Irr!BF16)),IF(AND(Irr!J16=".",Irr!AH16&lt;&gt;".",Irr!BF16="."),dir!K16/((1/1000)*(Irr!AH16)),IF(AND(Irr!J16&lt;&gt;".",Irr!AH16=".",Irr!BF16="."),dir!K16/((1/1000)*(Irr!J16)),IF(AND(Irr!J16=".",Irr!AH16=".",Irr!BF16="."),dir!K16*1000)))))))),".")</f>
        <v>0.66814375299833806</v>
      </c>
      <c r="L16" s="48">
        <f>IFERROR(IF(AND(Irr!K16&lt;&gt;".",Irr!AI16&lt;&gt;".",Irr!BG16&lt;&gt;"."),dir!L16/((1/1000)*(Irr!K16+Irr!AI16+Irr!BG16)),IF(AND(Irr!K16&lt;&gt;".",Irr!AI16&lt;&gt;".",Irr!BG16="."),dir!L16/((1/1000)*(Irr!K16+Irr!AI16)),IF(AND(Irr!K16&lt;&gt;".",Irr!AI16=".",Irr!BG16&lt;&gt;"."),dir!L16/((1/1000)*(Irr!K16+Irr!BG16)),IF(AND(Irr!K16=".",Irr!AI16&lt;&gt;".",Irr!BG16&lt;&gt;"."),dir!L16/((1/1000)*(Irr!AI16+Irr!BG16)),IF(AND(Irr!K16=".",Irr!AI16=".",Irr!BG16&lt;&gt;"."),dir!L16/((1/1000)*(Irr!BG16)),IF(AND(Irr!K16=".",Irr!AI16&lt;&gt;".",Irr!BG16="."),dir!L16/((1/1000)*(Irr!AI16)),IF(AND(Irr!K16&lt;&gt;".",Irr!AI16=".",Irr!BG16="."),dir!L16/((1/1000)*(Irr!K16)),IF(AND(Irr!K16=".",Irr!AI16=".",Irr!BG16="."),dir!L16*1000)))))))),".")</f>
        <v>3.9817050401329181</v>
      </c>
      <c r="M16" s="48">
        <f>IFERROR(IF(AND(Irr!L16&lt;&gt;".",Irr!AJ16&lt;&gt;".",Irr!BH16&lt;&gt;"."),dir!M16/((1/1000)*(Irr!L16+Irr!AJ16+Irr!BH16)),IF(AND(Irr!L16&lt;&gt;".",Irr!AJ16&lt;&gt;".",Irr!BH16="."),dir!M16/((1/1000)*(Irr!L16+Irr!AJ16)),IF(AND(Irr!L16&lt;&gt;".",Irr!AJ16=".",Irr!BH16&lt;&gt;"."),dir!M16/((1/1000)*(Irr!L16+Irr!BH16)),IF(AND(Irr!L16=".",Irr!AJ16&lt;&gt;".",Irr!BH16&lt;&gt;"."),dir!M16/((1/1000)*(Irr!AJ16+Irr!BH16)),IF(AND(Irr!L16=".",Irr!AJ16=".",Irr!BH16&lt;&gt;"."),dir!M16/((1/1000)*(Irr!BH16)),IF(AND(Irr!L16=".",Irr!AJ16&lt;&gt;".",Irr!BH16="."),dir!M16/((1/1000)*(Irr!AJ16)),IF(AND(Irr!L16&lt;&gt;".",Irr!AJ16=".",Irr!BH16="."),dir!M16/((1/1000)*(Irr!L16)),IF(AND(Irr!L16=".",Irr!AJ16=".",Irr!BH16="."),dir!M16*1000)))))))),".")</f>
        <v>2.6138364038836981</v>
      </c>
      <c r="N16" s="48">
        <f>IFERROR(IF(AND(Irr!M16&lt;&gt;".",Irr!AK16&lt;&gt;".",Irr!BI16&lt;&gt;"."),dir!N16/((1/1000)*(Irr!M16+Irr!AK16+Irr!BI16)),IF(AND(Irr!M16&lt;&gt;".",Irr!AK16&lt;&gt;".",Irr!BI16="."),dir!N16/((1/1000)*(Irr!M16+Irr!AK16)),IF(AND(Irr!M16&lt;&gt;".",Irr!AK16=".",Irr!BI16&lt;&gt;"."),dir!N16/((1/1000)*(Irr!M16+Irr!BI16)),IF(AND(Irr!M16=".",Irr!AK16&lt;&gt;".",Irr!BI16&lt;&gt;"."),dir!N16/((1/1000)*(Irr!AK16+Irr!BI16)),IF(AND(Irr!M16=".",Irr!AK16=".",Irr!BI16&lt;&gt;"."),dir!N16/((1/1000)*(Irr!BI16)),IF(AND(Irr!M16=".",Irr!AK16&lt;&gt;".",Irr!BI16="."),dir!N16/((1/1000)*(Irr!AK16)),IF(AND(Irr!M16&lt;&gt;".",Irr!AK16=".",Irr!BI16="."),dir!N16/((1/1000)*(Irr!M16)),IF(AND(Irr!M16=".",Irr!AK16=".",Irr!BI16="."),dir!N16*1000)))))))),".")</f>
        <v>3.6321880471103452</v>
      </c>
      <c r="O16" s="48">
        <f>IFERROR(IF(AND(Irr!N16&lt;&gt;".",Irr!AL16&lt;&gt;".",Irr!BJ16&lt;&gt;"."),dir!O16/((1/1000)*(Irr!N16+Irr!AL16+Irr!BJ16)),IF(AND(Irr!N16&lt;&gt;".",Irr!AL16&lt;&gt;".",Irr!BJ16="."),dir!O16/((1/1000)*(Irr!N16+Irr!AL16)),IF(AND(Irr!N16&lt;&gt;".",Irr!AL16=".",Irr!BJ16&lt;&gt;"."),dir!O16/((1/1000)*(Irr!N16+Irr!BJ16)),IF(AND(Irr!N16=".",Irr!AL16&lt;&gt;".",Irr!BJ16&lt;&gt;"."),dir!O16/((1/1000)*(Irr!AL16+Irr!BJ16)),IF(AND(Irr!N16=".",Irr!AL16=".",Irr!BJ16&lt;&gt;"."),dir!O16/((1/1000)*(Irr!BJ16)),IF(AND(Irr!N16=".",Irr!AL16&lt;&gt;".",Irr!BJ16="."),dir!O16/((1/1000)*(Irr!AL16)),IF(AND(Irr!N16&lt;&gt;".",Irr!AL16=".",Irr!BJ16="."),dir!O16/((1/1000)*(Irr!N16)),IF(AND(Irr!N16=".",Irr!AL16=".",Irr!BJ16="."),dir!O16*1000)))))))),".")</f>
        <v>6.9311974575966238</v>
      </c>
      <c r="P16" s="48">
        <f>IFERROR(IF(AND(Irr!O16&lt;&gt;".",Irr!AM16&lt;&gt;".",Irr!BK16&lt;&gt;"."),dir!P16/((1/1000)*(Irr!O16+Irr!AM16+Irr!BK16)),IF(AND(Irr!O16&lt;&gt;".",Irr!AM16&lt;&gt;".",Irr!BK16="."),dir!P16/((1/1000)*(Irr!O16+Irr!AM16)),IF(AND(Irr!O16&lt;&gt;".",Irr!AM16=".",Irr!BK16&lt;&gt;"."),dir!P16/((1/1000)*(Irr!O16+Irr!BK16)),IF(AND(Irr!O16=".",Irr!AM16&lt;&gt;".",Irr!BK16&lt;&gt;"."),dir!P16/((1/1000)*(Irr!AM16+Irr!BK16)),IF(AND(Irr!O16=".",Irr!AM16=".",Irr!BK16&lt;&gt;"."),dir!P16/((1/1000)*(Irr!BK16)),IF(AND(Irr!O16=".",Irr!AM16&lt;&gt;".",Irr!BK16="."),dir!P16/((1/1000)*(Irr!AM16)),IF(AND(Irr!O16&lt;&gt;".",Irr!AM16=".",Irr!BK16="."),dir!P16/((1/1000)*(Irr!O16)),IF(AND(Irr!O16=".",Irr!AM16=".",Irr!BK16="."),dir!P16*1000)))))))),".")</f>
        <v>7.3979811588697642</v>
      </c>
      <c r="Q16" s="48">
        <f>IFERROR(IF(AND(Irr!P16&lt;&gt;".",Irr!AN16&lt;&gt;".",Irr!BL16&lt;&gt;"."),dir!Q16/((1/1000)*(Irr!P16+Irr!AN16+Irr!BL16)),IF(AND(Irr!P16&lt;&gt;".",Irr!AN16&lt;&gt;".",Irr!BL16="."),dir!Q16/((1/1000)*(Irr!P16+Irr!AN16)),IF(AND(Irr!P16&lt;&gt;".",Irr!AN16=".",Irr!BL16&lt;&gt;"."),dir!Q16/((1/1000)*(Irr!P16+Irr!BL16)),IF(AND(Irr!P16=".",Irr!AN16&lt;&gt;".",Irr!BL16&lt;&gt;"."),dir!Q16/((1/1000)*(Irr!AN16+Irr!BL16)),IF(AND(Irr!P16=".",Irr!AN16=".",Irr!BL16&lt;&gt;"."),dir!Q16/((1/1000)*(Irr!BL16)),IF(AND(Irr!P16=".",Irr!AN16&lt;&gt;".",Irr!BL16="."),dir!Q16/((1/1000)*(Irr!AN16)),IF(AND(Irr!P16&lt;&gt;".",Irr!AN16=".",Irr!BL16="."),dir!Q16/((1/1000)*(Irr!P16)),IF(AND(Irr!P16=".",Irr!AN16=".",Irr!BL16="."),dir!Q16*1000)))))))),".")</f>
        <v>9.9903137321766717</v>
      </c>
      <c r="R16" s="48">
        <f>IFERROR(IF(AND(Irr!Q16&lt;&gt;".",Irr!AO16&lt;&gt;".",Irr!BM16&lt;&gt;"."),dir!R16/((1/1000)*(Irr!Q16+Irr!AO16+Irr!BM16)),IF(AND(Irr!Q16&lt;&gt;".",Irr!AO16&lt;&gt;".",Irr!BM16="."),dir!R16/((1/1000)*(Irr!Q16+Irr!AO16)),IF(AND(Irr!Q16&lt;&gt;".",Irr!AO16=".",Irr!BM16&lt;&gt;"."),dir!R16/((1/1000)*(Irr!Q16+Irr!BM16)),IF(AND(Irr!Q16=".",Irr!AO16&lt;&gt;".",Irr!BM16&lt;&gt;"."),dir!R16/((1/1000)*(Irr!AO16+Irr!BM16)),IF(AND(Irr!Q16=".",Irr!AO16=".",Irr!BM16&lt;&gt;"."),dir!R16/((1/1000)*(Irr!BM16)),IF(AND(Irr!Q16=".",Irr!AO16&lt;&gt;".",Irr!BM16="."),dir!R16/((1/1000)*(Irr!AO16)),IF(AND(Irr!Q16&lt;&gt;".",Irr!AO16=".",Irr!BM16="."),dir!R16/((1/1000)*(Irr!Q16)),IF(AND(Irr!Q16=".",Irr!AO16=".",Irr!BM16="."),dir!R16*1000)))))))),".")</f>
        <v>1.6477668310239877</v>
      </c>
      <c r="S16" s="48">
        <f>IFERROR(IF(AND(Irr!R16&lt;&gt;".",Irr!AP16&lt;&gt;".",Irr!BN16&lt;&gt;"."),dir!S16/((1/1000)*(Irr!R16+Irr!AP16+Irr!BN16)),IF(AND(Irr!R16&lt;&gt;".",Irr!AP16&lt;&gt;".",Irr!BN16="."),dir!S16/((1/1000)*(Irr!R16+Irr!AP16)),IF(AND(Irr!R16&lt;&gt;".",Irr!AP16=".",Irr!BN16&lt;&gt;"."),dir!S16/((1/1000)*(Irr!R16+Irr!BN16)),IF(AND(Irr!R16=".",Irr!AP16&lt;&gt;".",Irr!BN16&lt;&gt;"."),dir!S16/((1/1000)*(Irr!AP16+Irr!BN16)),IF(AND(Irr!R16=".",Irr!AP16=".",Irr!BN16&lt;&gt;"."),dir!S16/((1/1000)*(Irr!BN16)),IF(AND(Irr!R16=".",Irr!AP16&lt;&gt;".",Irr!BN16="."),dir!S16/((1/1000)*(Irr!AP16)),IF(AND(Irr!R16&lt;&gt;".",Irr!AP16=".",Irr!BN16="."),dir!S16/((1/1000)*(Irr!R16)),IF(AND(Irr!R16=".",Irr!AP16=".",Irr!BN16="."),dir!S16*1000)))))))),".")</f>
        <v>3.4223630067200959</v>
      </c>
      <c r="T16" s="48">
        <f>IFERROR(IF(AND(Irr!S16&lt;&gt;".",Irr!AQ16&lt;&gt;".",Irr!BO16&lt;&gt;"."),dir!T16/((1/1000)*(Irr!S16+Irr!AQ16+Irr!BO16)),IF(AND(Irr!S16&lt;&gt;".",Irr!AQ16&lt;&gt;".",Irr!BO16="."),dir!T16/((1/1000)*(Irr!S16+Irr!AQ16)),IF(AND(Irr!S16&lt;&gt;".",Irr!AQ16=".",Irr!BO16&lt;&gt;"."),dir!T16/((1/1000)*(Irr!S16+Irr!BO16)),IF(AND(Irr!S16=".",Irr!AQ16&lt;&gt;".",Irr!BO16&lt;&gt;"."),dir!T16/((1/1000)*(Irr!AQ16+Irr!BO16)),IF(AND(Irr!S16=".",Irr!AQ16=".",Irr!BO16&lt;&gt;"."),dir!T16/((1/1000)*(Irr!BO16)),IF(AND(Irr!S16=".",Irr!AQ16&lt;&gt;".",Irr!BO16="."),dir!T16/((1/1000)*(Irr!AQ16)),IF(AND(Irr!S16&lt;&gt;".",Irr!AQ16=".",Irr!BO16="."),dir!T16/((1/1000)*(Irr!S16)),IF(AND(Irr!S16=".",Irr!AQ16=".",Irr!BO16="."),dir!T16*1000)))))))),".")</f>
        <v>5.6938707875620143</v>
      </c>
      <c r="U16" s="48">
        <f>IFERROR(IF(AND(Irr!T16&lt;&gt;".",Irr!AR16&lt;&gt;".",Irr!BP16&lt;&gt;"."),dir!U16/((1/1000)*(Irr!T16+Irr!AR16+Irr!BP16)),IF(AND(Irr!T16&lt;&gt;".",Irr!AR16&lt;&gt;".",Irr!BP16="."),dir!U16/((1/1000)*(Irr!T16+Irr!AR16)),IF(AND(Irr!T16&lt;&gt;".",Irr!AR16=".",Irr!BP16&lt;&gt;"."),dir!U16/((1/1000)*(Irr!T16+Irr!BP16)),IF(AND(Irr!T16=".",Irr!AR16&lt;&gt;".",Irr!BP16&lt;&gt;"."),dir!U16/((1/1000)*(Irr!AR16+Irr!BP16)),IF(AND(Irr!T16=".",Irr!AR16=".",Irr!BP16&lt;&gt;"."),dir!U16/((1/1000)*(Irr!BP16)),IF(AND(Irr!T16=".",Irr!AR16&lt;&gt;".",Irr!BP16="."),dir!U16/((1/1000)*(Irr!AR16)),IF(AND(Irr!T16&lt;&gt;".",Irr!AR16=".",Irr!BP16="."),dir!U16/((1/1000)*(Irr!T16)),IF(AND(Irr!T16=".",Irr!AR16=".",Irr!BP16="."),dir!U16*1000)))))))),".")</f>
        <v>1.853311994351357</v>
      </c>
      <c r="V16" s="48">
        <f>IFERROR(IF(AND(Irr!U16&lt;&gt;".",Irr!AS16&lt;&gt;".",Irr!BQ16&lt;&gt;"."),dir!V16/((1/1000)*(Irr!U16+Irr!AS16+Irr!BQ16)),IF(AND(Irr!U16&lt;&gt;".",Irr!AS16&lt;&gt;".",Irr!BQ16="."),dir!V16/((1/1000)*(Irr!U16+Irr!AS16)),IF(AND(Irr!U16&lt;&gt;".",Irr!AS16=".",Irr!BQ16&lt;&gt;"."),dir!V16/((1/1000)*(Irr!U16+Irr!BQ16)),IF(AND(Irr!U16=".",Irr!AS16&lt;&gt;".",Irr!BQ16&lt;&gt;"."),dir!V16/((1/1000)*(Irr!AS16+Irr!BQ16)),IF(AND(Irr!U16=".",Irr!AS16=".",Irr!BQ16&lt;&gt;"."),dir!V16/((1/1000)*(Irr!BQ16)),IF(AND(Irr!U16=".",Irr!AS16&lt;&gt;".",Irr!BQ16="."),dir!V16/((1/1000)*(Irr!AS16)),IF(AND(Irr!U16&lt;&gt;".",Irr!AS16=".",Irr!BQ16="."),dir!V16/((1/1000)*(Irr!U16)),IF(AND(Irr!U16=".",Irr!AS16=".",Irr!BQ16="."),dir!V16*1000)))))))),".")</f>
        <v>3.0034639752678443</v>
      </c>
      <c r="W16" s="48">
        <f>IFERROR(IF(AND(Irr!V16&lt;&gt;".",Irr!AT16&lt;&gt;".",Irr!BR16&lt;&gt;"."),dir!W16/((1/1000)*(Irr!V16+Irr!AT16+Irr!BR16)),IF(AND(Irr!V16&lt;&gt;".",Irr!AT16&lt;&gt;".",Irr!BR16="."),dir!W16/((1/1000)*(Irr!V16+Irr!AT16)),IF(AND(Irr!V16&lt;&gt;".",Irr!AT16=".",Irr!BR16&lt;&gt;"."),dir!W16/((1/1000)*(Irr!V16+Irr!BR16)),IF(AND(Irr!V16=".",Irr!AT16&lt;&gt;".",Irr!BR16&lt;&gt;"."),dir!W16/((1/1000)*(Irr!AT16+Irr!BR16)),IF(AND(Irr!V16=".",Irr!AT16=".",Irr!BR16&lt;&gt;"."),dir!W16/((1/1000)*(Irr!BR16)),IF(AND(Irr!V16=".",Irr!AT16&lt;&gt;".",Irr!BR16="."),dir!W16/((1/1000)*(Irr!AT16)),IF(AND(Irr!V16&lt;&gt;".",Irr!AT16=".",Irr!BR16="."),dir!W16/((1/1000)*(Irr!V16)),IF(AND(Irr!V16=".",Irr!AT16=".",Irr!BR16="."),dir!W16*1000)))))))),".")</f>
        <v>3.9505310723922089</v>
      </c>
      <c r="X16" s="48">
        <f>IFERROR(IF(AND(Irr!W16&lt;&gt;".",Irr!AU16&lt;&gt;".",Irr!BS16&lt;&gt;"."),dir!X16/((1/1000)*(Irr!W16+Irr!AU16+Irr!BS16)),IF(AND(Irr!W16&lt;&gt;".",Irr!AU16&lt;&gt;".",Irr!BS16="."),dir!X16/((1/1000)*(Irr!W16+Irr!AU16)),IF(AND(Irr!W16&lt;&gt;".",Irr!AU16=".",Irr!BS16&lt;&gt;"."),dir!X16/((1/1000)*(Irr!W16+Irr!BS16)),IF(AND(Irr!W16=".",Irr!AU16&lt;&gt;".",Irr!BS16&lt;&gt;"."),dir!X16/((1/1000)*(Irr!AU16+Irr!BS16)),IF(AND(Irr!W16=".",Irr!AU16=".",Irr!BS16&lt;&gt;"."),dir!X16/((1/1000)*(Irr!BS16)),IF(AND(Irr!W16=".",Irr!AU16&lt;&gt;".",Irr!BS16="."),dir!X16/((1/1000)*(Irr!AU16)),IF(AND(Irr!W16&lt;&gt;".",Irr!AU16=".",Irr!BS16="."),dir!X16/((1/1000)*(Irr!W16)),IF(AND(Irr!W16=".",Irr!AU16=".",Irr!BS16="."),dir!X16*1000)))))))),".")</f>
        <v>5.1112080252768539</v>
      </c>
      <c r="Y16" s="48">
        <f>IFERROR(IF(AND(Irr!X16&lt;&gt;".",Irr!AV16&lt;&gt;".",Irr!BT16&lt;&gt;"."),dir!Y16/((1/1000)*(Irr!X16+Irr!AV16+Irr!BT16)),IF(AND(Irr!X16&lt;&gt;".",Irr!AV16&lt;&gt;".",Irr!BT16="."),dir!Y16/((1/1000)*(Irr!X16+Irr!AV16)),IF(AND(Irr!X16&lt;&gt;".",Irr!AV16=".",Irr!BT16&lt;&gt;"."),dir!Y16/((1/1000)*(Irr!X16+Irr!BT16)),IF(AND(Irr!X16=".",Irr!AV16&lt;&gt;".",Irr!BT16&lt;&gt;"."),dir!Y16/((1/1000)*(Irr!AV16+Irr!BT16)),IF(AND(Irr!X16=".",Irr!AV16=".",Irr!BT16&lt;&gt;"."),dir!Y16/((1/1000)*(Irr!BT16)),IF(AND(Irr!X16=".",Irr!AV16&lt;&gt;".",Irr!BT16="."),dir!Y16/((1/1000)*(Irr!AV16)),IF(AND(Irr!X16&lt;&gt;".",Irr!AV16=".",Irr!BT16="."),dir!Y16/((1/1000)*(Irr!X16)),IF(AND(Irr!X16=".",Irr!AV16=".",Irr!BT16="."),dir!Y16*1000)))))))),".")</f>
        <v>2.6032370419477369</v>
      </c>
      <c r="Z16" s="48">
        <f>IFERROR(IF(AND(Irr!Y16&lt;&gt;".",Irr!AW16&lt;&gt;".",Irr!BU16&lt;&gt;"."),dir!Z16/((1/1000)*(Irr!Y16+Irr!AW16+Irr!BU16)),IF(AND(Irr!Y16&lt;&gt;".",Irr!AW16&lt;&gt;".",Irr!BU16="."),dir!Z16/((1/1000)*(Irr!Y16+Irr!AW16)),IF(AND(Irr!Y16&lt;&gt;".",Irr!AW16=".",Irr!BU16&lt;&gt;"."),dir!Z16/((1/1000)*(Irr!Y16+Irr!BU16)),IF(AND(Irr!Y16=".",Irr!AW16&lt;&gt;".",Irr!BU16&lt;&gt;"."),dir!Z16/((1/1000)*(Irr!AW16+Irr!BU16)),IF(AND(Irr!Y16=".",Irr!AW16=".",Irr!BU16&lt;&gt;"."),dir!Z16/((1/1000)*(Irr!BU16)),IF(AND(Irr!Y16=".",Irr!AW16&lt;&gt;".",Irr!BU16="."),dir!Z16/((1/1000)*(Irr!AW16)),IF(AND(Irr!Y16&lt;&gt;".",Irr!AW16=".",Irr!BU16="."),dir!Z16/((1/1000)*(Irr!Y16)),IF(AND(Irr!Y16=".",Irr!AW16=".",Irr!BU16="."),dir!Z16*1000)))))))),".")</f>
        <v>0.9547014270821802</v>
      </c>
      <c r="AA16" s="48">
        <f>IFERROR(IF(AND(Irr!Z16&lt;&gt;".",Irr!AX16&lt;&gt;".",Irr!BV16&lt;&gt;"."),dir!AA16/((1/1000)*(Irr!Z16+Irr!AX16+Irr!BV16)),IF(AND(Irr!Z16&lt;&gt;".",Irr!AX16&lt;&gt;".",Irr!BV16="."),dir!AA16/((1/1000)*(Irr!Z16+Irr!AX16)),IF(AND(Irr!Z16&lt;&gt;".",Irr!AX16=".",Irr!BV16&lt;&gt;"."),dir!AA16/((1/1000)*(Irr!Z16+Irr!BV16)),IF(AND(Irr!Z16=".",Irr!AX16&lt;&gt;".",Irr!BV16&lt;&gt;"."),dir!AA16/((1/1000)*(Irr!AX16+Irr!BV16)),IF(AND(Irr!Z16=".",Irr!AX16=".",Irr!BV16&lt;&gt;"."),dir!AA16/((1/1000)*(Irr!BV16)),IF(AND(Irr!Z16=".",Irr!AX16&lt;&gt;".",Irr!BV16="."),dir!AA16/((1/1000)*(Irr!AX16)),IF(AND(Irr!Z16&lt;&gt;".",Irr!AX16=".",Irr!BV16="."),dir!AA16/((1/1000)*(Irr!Z16)),IF(AND(Irr!Z16=".",Irr!AX16=".",Irr!BV16="."),dir!AA16*1000)))))))),".")</f>
        <v>0.71745574236837373</v>
      </c>
      <c r="AB16" s="48">
        <f t="shared" si="15"/>
        <v>0.12656234558557136</v>
      </c>
      <c r="AC16" s="48">
        <f>IFERROR(IF(AND(Irr!C16&lt;&gt;".",Irr!AA16&lt;&gt;".",Irr!AY16&lt;&gt;"."),dir!AC16/((1/1000)*(Irr!C16+Irr!AA16+Irr!AY16)),IF(AND(Irr!C16&lt;&gt;".",Irr!AA16&lt;&gt;".",Irr!AY16="."),dir!AC16/((1/1000)*(Irr!C16+Irr!AA16)),IF(AND(Irr!C16&lt;&gt;".",Irr!AA16=".",Irr!AY16&lt;&gt;"."),dir!AC16/((1/1000)*(Irr!C16+Irr!AY16)),IF(AND(Irr!C16=".",Irr!AA16&lt;&gt;".",Irr!AY16&lt;&gt;"."),dir!AC16/((1/1000)*(Irr!AA16+Irr!AY16)),IF(AND(Irr!C16=".",Irr!AA16=".",Irr!AY16&lt;&gt;"."),dir!AC16/((1/1000)*(Irr!AY16)),IF(AND(Irr!C16=".",Irr!AA16&lt;&gt;".",Irr!AY16="."),dir!AC16/((1/1000)*(Irr!AA16)),IF(AND(Irr!C16&lt;&gt;".",Irr!AA16=".",Irr!AY16="."),dir!AC16/((1/1000)*(Irr!C16)),IF(AND(Irr!C16=".",Irr!AA16=".",Irr!AY16="."),dir!AC16*1000)))))))),".")</f>
        <v>2.2385421400986671</v>
      </c>
      <c r="AD16" s="48">
        <f>IFERROR(IF(AND(Irr!D16&lt;&gt;".",Irr!AB16&lt;&gt;".",Irr!AZ16&lt;&gt;"."),dir!AD16/((1/1000)*(Irr!D16+Irr!AB16+Irr!AZ16)),IF(AND(Irr!D16&lt;&gt;".",Irr!AB16&lt;&gt;".",Irr!AZ16="."),dir!AD16/((1/1000)*(Irr!D16+Irr!AB16)),IF(AND(Irr!D16&lt;&gt;".",Irr!AB16=".",Irr!AZ16&lt;&gt;"."),dir!AD16/((1/1000)*(Irr!D16+Irr!AZ16)),IF(AND(Irr!D16=".",Irr!AB16&lt;&gt;".",Irr!AZ16&lt;&gt;"."),dir!AD16/((1/1000)*(Irr!AB16+Irr!AZ16)),IF(AND(Irr!D16=".",Irr!AB16=".",Irr!AZ16&lt;&gt;"."),dir!AD16/((1/1000)*(Irr!AZ16)),IF(AND(Irr!D16=".",Irr!AB16&lt;&gt;".",Irr!AZ16="."),dir!AD16/((1/1000)*(Irr!AB16)),IF(AND(Irr!D16&lt;&gt;".",Irr!AB16=".",Irr!AZ16="."),dir!AD16/((1/1000)*(Irr!D16)),IF(AND(Irr!D16=".",Irr!AB16=".",Irr!AZ16="."),dir!AD16*1000)))))))),".")</f>
        <v>3.305835744672398</v>
      </c>
      <c r="AE16" s="48">
        <f>IFERROR(IF(AND(Irr!E16&lt;&gt;".",Irr!AC16&lt;&gt;".",Irr!BA16&lt;&gt;"."),dir!AE16/((1/1000)*(Irr!E16+Irr!AC16+Irr!BA16)),IF(AND(Irr!E16&lt;&gt;".",Irr!AC16&lt;&gt;".",Irr!BA16="."),dir!AE16/((1/1000)*(Irr!E16+Irr!AC16)),IF(AND(Irr!E16&lt;&gt;".",Irr!AC16=".",Irr!BA16&lt;&gt;"."),dir!AE16/((1/1000)*(Irr!E16+Irr!BA16)),IF(AND(Irr!E16=".",Irr!AC16&lt;&gt;".",Irr!BA16&lt;&gt;"."),dir!AE16/((1/1000)*(Irr!AC16+Irr!BA16)),IF(AND(Irr!E16=".",Irr!AC16=".",Irr!BA16&lt;&gt;"."),dir!AE16/((1/1000)*(Irr!BA16)),IF(AND(Irr!E16=".",Irr!AC16&lt;&gt;".",Irr!BA16="."),dir!AE16/((1/1000)*(Irr!AC16)),IF(AND(Irr!E16&lt;&gt;".",Irr!AC16=".",Irr!BA16="."),dir!AE16/((1/1000)*(Irr!E16)),IF(AND(Irr!E16=".",Irr!AC16=".",Irr!BA16="."),dir!AE16*1000)))))))),".")</f>
        <v>6.1551383464920182</v>
      </c>
      <c r="AF16" s="48">
        <f>IFERROR(IF(AND(Irr!F16&lt;&gt;".",Irr!AD16&lt;&gt;".",Irr!BB16&lt;&gt;"."),dir!AF16/((1/1000)*(Irr!F16+Irr!AD16+Irr!BB16)),IF(AND(Irr!F16&lt;&gt;".",Irr!AD16&lt;&gt;".",Irr!BB16="."),dir!AF16/((1/1000)*(Irr!F16+Irr!AD16)),IF(AND(Irr!F16&lt;&gt;".",Irr!AD16=".",Irr!BB16&lt;&gt;"."),dir!AF16/((1/1000)*(Irr!F16+Irr!BB16)),IF(AND(Irr!F16=".",Irr!AD16&lt;&gt;".",Irr!BB16&lt;&gt;"."),dir!AF16/((1/1000)*(Irr!AD16+Irr!BB16)),IF(AND(Irr!F16=".",Irr!AD16=".",Irr!BB16&lt;&gt;"."),dir!AF16/((1/1000)*(Irr!BB16)),IF(AND(Irr!F16=".",Irr!AD16&lt;&gt;".",Irr!BB16="."),dir!AF16/((1/1000)*(Irr!AD16)),IF(AND(Irr!F16&lt;&gt;".",Irr!AD16=".",Irr!BB16="."),dir!AF16/((1/1000)*(Irr!F16)),IF(AND(Irr!F16=".",Irr!AD16=".",Irr!BB16="."),dir!AF16*1000)))))))),".")</f>
        <v>5.6121750109733028</v>
      </c>
      <c r="AG16" s="48">
        <f>IFERROR(IF(AND(Irr!G16&lt;&gt;".",Irr!AE16&lt;&gt;".",Irr!BC16&lt;&gt;"."),dir!AG16/((1/1000)*(Irr!G16+Irr!AE16+Irr!BC16)),IF(AND(Irr!G16&lt;&gt;".",Irr!AE16&lt;&gt;".",Irr!BC16="."),dir!AG16/((1/1000)*(Irr!G16+Irr!AE16)),IF(AND(Irr!G16&lt;&gt;".",Irr!AE16=".",Irr!BC16&lt;&gt;"."),dir!AG16/((1/1000)*(Irr!G16+Irr!BC16)),IF(AND(Irr!G16=".",Irr!AE16&lt;&gt;".",Irr!BC16&lt;&gt;"."),dir!AG16/((1/1000)*(Irr!AE16+Irr!BC16)),IF(AND(Irr!G16=".",Irr!AE16=".",Irr!BC16&lt;&gt;"."),dir!AG16/((1/1000)*(Irr!BC16)),IF(AND(Irr!G16=".",Irr!AE16&lt;&gt;".",Irr!BC16="."),dir!AG16/((1/1000)*(Irr!AE16)),IF(AND(Irr!G16&lt;&gt;".",Irr!AE16=".",Irr!BC16="."),dir!AG16/((1/1000)*(Irr!G16)),IF(AND(Irr!G16=".",Irr!AE16=".",Irr!BC16="."),dir!AG16*1000)))))))),".")</f>
        <v>5.5844156978916732</v>
      </c>
      <c r="AH16" s="48">
        <f>IFERROR(IF(AND(Irr!H16&lt;&gt;".",Irr!AF16&lt;&gt;".",Irr!BD16&lt;&gt;"."),dir!AH16/((1/1000)*(Irr!H16+Irr!AF16+Irr!BD16)),IF(AND(Irr!H16&lt;&gt;".",Irr!AF16&lt;&gt;".",Irr!BD16="."),dir!AH16/((1/1000)*(Irr!H16+Irr!AF16)),IF(AND(Irr!H16&lt;&gt;".",Irr!AF16=".",Irr!BD16&lt;&gt;"."),dir!AH16/((1/1000)*(Irr!H16+Irr!BD16)),IF(AND(Irr!H16=".",Irr!AF16&lt;&gt;".",Irr!BD16&lt;&gt;"."),dir!AH16/((1/1000)*(Irr!AF16+Irr!BD16)),IF(AND(Irr!H16=".",Irr!AF16=".",Irr!BD16&lt;&gt;"."),dir!AH16/((1/1000)*(Irr!BD16)),IF(AND(Irr!H16=".",Irr!AF16&lt;&gt;".",Irr!BD16="."),dir!AH16/((1/1000)*(Irr!AF16)),IF(AND(Irr!H16&lt;&gt;".",Irr!AF16=".",Irr!BD16="."),dir!AH16/((1/1000)*(Irr!H16)),IF(AND(Irr!H16=".",Irr!AF16=".",Irr!BD16="."),dir!AH16*1000)))))))),".")</f>
        <v>1.5604843972161357</v>
      </c>
      <c r="AI16" s="48">
        <f>IFERROR(IF(AND(Irr!I16&lt;&gt;".",Irr!AG16&lt;&gt;".",Irr!BE16&lt;&gt;"."),dir!AI16/((1/1000)*(Irr!I16+Irr!AG16+Irr!BE16)),IF(AND(Irr!I16&lt;&gt;".",Irr!AG16&lt;&gt;".",Irr!BE16="."),dir!AI16/((1/1000)*(Irr!I16+Irr!AG16)),IF(AND(Irr!I16&lt;&gt;".",Irr!AG16=".",Irr!BE16&lt;&gt;"."),dir!AI16/((1/1000)*(Irr!I16+Irr!BE16)),IF(AND(Irr!I16=".",Irr!AG16&lt;&gt;".",Irr!BE16&lt;&gt;"."),dir!AI16/((1/1000)*(Irr!AG16+Irr!BE16)),IF(AND(Irr!I16=".",Irr!AG16=".",Irr!BE16&lt;&gt;"."),dir!AI16/((1/1000)*(Irr!BE16)),IF(AND(Irr!I16=".",Irr!AG16&lt;&gt;".",Irr!BE16="."),dir!AI16/((1/1000)*(Irr!AG16)),IF(AND(Irr!I16&lt;&gt;".",Irr!AG16=".",Irr!BE16="."),dir!AI16/((1/1000)*(Irr!I16)),IF(AND(Irr!I16=".",Irr!AG16=".",Irr!BE16="."),dir!AI16*1000)))))))),".")</f>
        <v>7.9623701265467917</v>
      </c>
      <c r="AJ16" s="48">
        <f>IFERROR(IF(AND(Irr!J16&lt;&gt;".",Irr!AH16&lt;&gt;".",Irr!BF16&lt;&gt;"."),dir!AJ16/((1/1000)*(Irr!J16+Irr!AH16+Irr!BF16)),IF(AND(Irr!J16&lt;&gt;".",Irr!AH16&lt;&gt;".",Irr!BF16="."),dir!AJ16/((1/1000)*(Irr!J16+Irr!AH16)),IF(AND(Irr!J16&lt;&gt;".",Irr!AH16=".",Irr!BF16&lt;&gt;"."),dir!AJ16/((1/1000)*(Irr!J16+Irr!BF16)),IF(AND(Irr!J16=".",Irr!AH16&lt;&gt;".",Irr!BF16&lt;&gt;"."),dir!AJ16/((1/1000)*(Irr!AH16+Irr!BF16)),IF(AND(Irr!J16=".",Irr!AH16=".",Irr!BF16&lt;&gt;"."),dir!AJ16/((1/1000)*(Irr!BF16)),IF(AND(Irr!J16=".",Irr!AH16&lt;&gt;".",Irr!BF16="."),dir!AJ16/((1/1000)*(Irr!AH16)),IF(AND(Irr!J16&lt;&gt;".",Irr!AH16=".",Irr!BF16="."),dir!AJ16/((1/1000)*(Irr!J16)),IF(AND(Irr!J16=".",Irr!AH16=".",Irr!BF16="."),dir!AJ16*1000)))))))),".")</f>
        <v>0.64694565460182407</v>
      </c>
      <c r="AK16" s="48">
        <f>IFERROR(IF(AND(Irr!K16&lt;&gt;".",Irr!AI16&lt;&gt;".",Irr!BG16&lt;&gt;"."),dir!AK16/((1/1000)*(Irr!K16+Irr!AI16+Irr!BG16)),IF(AND(Irr!K16&lt;&gt;".",Irr!AI16&lt;&gt;".",Irr!BG16="."),dir!AK16/((1/1000)*(Irr!K16+Irr!AI16)),IF(AND(Irr!K16&lt;&gt;".",Irr!AI16=".",Irr!BG16&lt;&gt;"."),dir!AK16/((1/1000)*(Irr!K16+Irr!BG16)),IF(AND(Irr!K16=".",Irr!AI16&lt;&gt;".",Irr!BG16&lt;&gt;"."),dir!AK16/((1/1000)*(Irr!AI16+Irr!BG16)),IF(AND(Irr!K16=".",Irr!AI16=".",Irr!BG16&lt;&gt;"."),dir!AK16/((1/1000)*(Irr!BG16)),IF(AND(Irr!K16=".",Irr!AI16&lt;&gt;".",Irr!BG16="."),dir!AK16/((1/1000)*(Irr!AI16)),IF(AND(Irr!K16&lt;&gt;".",Irr!AI16=".",Irr!BG16="."),dir!AK16/((1/1000)*(Irr!K16)),IF(AND(Irr!K16=".",Irr!AI16=".",Irr!BG16="."),dir!AK16*1000)))))))),".")</f>
        <v>2.7496473918322892</v>
      </c>
      <c r="AL16" s="48">
        <f>IFERROR(IF(AND(Irr!L16&lt;&gt;".",Irr!AJ16&lt;&gt;".",Irr!BH16&lt;&gt;"."),dir!AL16/((1/1000)*(Irr!L16+Irr!AJ16+Irr!BH16)),IF(AND(Irr!L16&lt;&gt;".",Irr!AJ16&lt;&gt;".",Irr!BH16="."),dir!AL16/((1/1000)*(Irr!L16+Irr!AJ16)),IF(AND(Irr!L16&lt;&gt;".",Irr!AJ16=".",Irr!BH16&lt;&gt;"."),dir!AL16/((1/1000)*(Irr!L16+Irr!BH16)),IF(AND(Irr!L16=".",Irr!AJ16&lt;&gt;".",Irr!BH16&lt;&gt;"."),dir!AL16/((1/1000)*(Irr!AJ16+Irr!BH16)),IF(AND(Irr!L16=".",Irr!AJ16=".",Irr!BH16&lt;&gt;"."),dir!AL16/((1/1000)*(Irr!BH16)),IF(AND(Irr!L16=".",Irr!AJ16&lt;&gt;".",Irr!BH16="."),dir!AL16/((1/1000)*(Irr!AJ16)),IF(AND(Irr!L16&lt;&gt;".",Irr!AJ16=".",Irr!BH16="."),dir!AL16/((1/1000)*(Irr!L16)),IF(AND(Irr!L16=".",Irr!AJ16=".",Irr!BH16="."),dir!AL16*1000)))))))),".")</f>
        <v>3.6811529354695423</v>
      </c>
      <c r="AM16" s="48">
        <f>IFERROR(IF(AND(Irr!M16&lt;&gt;".",Irr!AK16&lt;&gt;".",Irr!BI16&lt;&gt;"."),dir!AM16/((1/1000)*(Irr!M16+Irr!AK16+Irr!BI16)),IF(AND(Irr!M16&lt;&gt;".",Irr!AK16&lt;&gt;".",Irr!BI16="."),dir!AM16/((1/1000)*(Irr!M16+Irr!AK16)),IF(AND(Irr!M16&lt;&gt;".",Irr!AK16=".",Irr!BI16&lt;&gt;"."),dir!AM16/((1/1000)*(Irr!M16+Irr!BI16)),IF(AND(Irr!M16=".",Irr!AK16&lt;&gt;".",Irr!BI16&lt;&gt;"."),dir!AM16/((1/1000)*(Irr!AK16+Irr!BI16)),IF(AND(Irr!M16=".",Irr!AK16=".",Irr!BI16&lt;&gt;"."),dir!AM16/((1/1000)*(Irr!BI16)),IF(AND(Irr!M16=".",Irr!AK16&lt;&gt;".",Irr!BI16="."),dir!AM16/((1/1000)*(Irr!AK16)),IF(AND(Irr!M16&lt;&gt;".",Irr!AK16=".",Irr!BI16="."),dir!AM16/((1/1000)*(Irr!M16)),IF(AND(Irr!M16=".",Irr!AK16=".",Irr!BI16="."),dir!AM16*1000)))))))),".")</f>
        <v>3.3345061840892121</v>
      </c>
      <c r="AN16" s="48">
        <f>IFERROR(IF(AND(Irr!N16&lt;&gt;".",Irr!AL16&lt;&gt;".",Irr!BJ16&lt;&gt;"."),dir!AN16/((1/1000)*(Irr!N16+Irr!AL16+Irr!BJ16)),IF(AND(Irr!N16&lt;&gt;".",Irr!AL16&lt;&gt;".",Irr!BJ16="."),dir!AN16/((1/1000)*(Irr!N16+Irr!AL16)),IF(AND(Irr!N16&lt;&gt;".",Irr!AL16=".",Irr!BJ16&lt;&gt;"."),dir!AN16/((1/1000)*(Irr!N16+Irr!BJ16)),IF(AND(Irr!N16=".",Irr!AL16&lt;&gt;".",Irr!BJ16&lt;&gt;"."),dir!AN16/((1/1000)*(Irr!AL16+Irr!BJ16)),IF(AND(Irr!N16=".",Irr!AL16=".",Irr!BJ16&lt;&gt;"."),dir!AN16/((1/1000)*(Irr!BJ16)),IF(AND(Irr!N16=".",Irr!AL16&lt;&gt;".",Irr!BJ16="."),dir!AN16/((1/1000)*(Irr!AL16)),IF(AND(Irr!N16&lt;&gt;".",Irr!AL16=".",Irr!BJ16="."),dir!AN16/((1/1000)*(Irr!N16)),IF(AND(Irr!N16=".",Irr!AL16=".",Irr!BJ16="."),dir!AN16*1000)))))))),".")</f>
        <v>6.4215951937558211</v>
      </c>
      <c r="AO16" s="48">
        <f>IFERROR(IF(AND(Irr!O16&lt;&gt;".",Irr!AM16&lt;&gt;".",Irr!BK16&lt;&gt;"."),dir!AO16/((1/1000)*(Irr!O16+Irr!AM16+Irr!BK16)),IF(AND(Irr!O16&lt;&gt;".",Irr!AM16&lt;&gt;".",Irr!BK16="."),dir!AO16/((1/1000)*(Irr!O16+Irr!AM16)),IF(AND(Irr!O16&lt;&gt;".",Irr!AM16=".",Irr!BK16&lt;&gt;"."),dir!AO16/((1/1000)*(Irr!O16+Irr!BK16)),IF(AND(Irr!O16=".",Irr!AM16&lt;&gt;".",Irr!BK16&lt;&gt;"."),dir!AO16/((1/1000)*(Irr!AM16+Irr!BK16)),IF(AND(Irr!O16=".",Irr!AM16=".",Irr!BK16&lt;&gt;"."),dir!AO16/((1/1000)*(Irr!BK16)),IF(AND(Irr!O16=".",Irr!AM16&lt;&gt;".",Irr!BK16="."),dir!AO16/((1/1000)*(Irr!AM16)),IF(AND(Irr!O16&lt;&gt;".",Irr!AM16=".",Irr!BK16="."),dir!AO16/((1/1000)*(Irr!O16)),IF(AND(Irr!O16=".",Irr!AM16=".",Irr!BK16="."),dir!AO16*1000)))))))),".")</f>
        <v>6.8411408615537406</v>
      </c>
      <c r="AP16" s="48">
        <f>IFERROR(IF(AND(Irr!P16&lt;&gt;".",Irr!AN16&lt;&gt;".",Irr!BL16&lt;&gt;"."),dir!AP16/((1/1000)*(Irr!P16+Irr!AN16+Irr!BL16)),IF(AND(Irr!P16&lt;&gt;".",Irr!AN16&lt;&gt;".",Irr!BL16="."),dir!AP16/((1/1000)*(Irr!P16+Irr!AN16)),IF(AND(Irr!P16&lt;&gt;".",Irr!AN16=".",Irr!BL16&lt;&gt;"."),dir!AP16/((1/1000)*(Irr!P16+Irr!BL16)),IF(AND(Irr!P16=".",Irr!AN16&lt;&gt;".",Irr!BL16&lt;&gt;"."),dir!AP16/((1/1000)*(Irr!AN16+Irr!BL16)),IF(AND(Irr!P16=".",Irr!AN16=".",Irr!BL16&lt;&gt;"."),dir!AP16/((1/1000)*(Irr!BL16)),IF(AND(Irr!P16=".",Irr!AN16&lt;&gt;".",Irr!BL16="."),dir!AP16/((1/1000)*(Irr!AN16)),IF(AND(Irr!P16&lt;&gt;".",Irr!AN16=".",Irr!BL16="."),dir!AP16/((1/1000)*(Irr!P16)),IF(AND(Irr!P16=".",Irr!AN16=".",Irr!BL16="."),dir!AP16*1000)))))))),".")</f>
        <v>7.4803506126876567</v>
      </c>
      <c r="AQ16" s="48">
        <f>IFERROR(IF(AND(Irr!Q16&lt;&gt;".",Irr!AO16&lt;&gt;".",Irr!BM16&lt;&gt;"."),dir!AQ16/((1/1000)*(Irr!Q16+Irr!AO16+Irr!BM16)),IF(AND(Irr!Q16&lt;&gt;".",Irr!AO16&lt;&gt;".",Irr!BM16="."),dir!AQ16/((1/1000)*(Irr!Q16+Irr!AO16)),IF(AND(Irr!Q16&lt;&gt;".",Irr!AO16=".",Irr!BM16&lt;&gt;"."),dir!AQ16/((1/1000)*(Irr!Q16+Irr!BM16)),IF(AND(Irr!Q16=".",Irr!AO16&lt;&gt;".",Irr!BM16&lt;&gt;"."),dir!AQ16/((1/1000)*(Irr!AO16+Irr!BM16)),IF(AND(Irr!Q16=".",Irr!AO16=".",Irr!BM16&lt;&gt;"."),dir!AQ16/((1/1000)*(Irr!BM16)),IF(AND(Irr!Q16=".",Irr!AO16&lt;&gt;".",Irr!BM16="."),dir!AQ16/((1/1000)*(Irr!AO16)),IF(AND(Irr!Q16&lt;&gt;".",Irr!AO16=".",Irr!BM16="."),dir!AQ16/((1/1000)*(Irr!Q16)),IF(AND(Irr!Q16=".",Irr!AO16=".",Irr!BM16="."),dir!AQ16*1000)))))))),".")</f>
        <v>1.8435285375362593</v>
      </c>
      <c r="AR16" s="48">
        <f>IFERROR(IF(AND(Irr!R16&lt;&gt;".",Irr!AP16&lt;&gt;".",Irr!BN16&lt;&gt;"."),dir!AR16/((1/1000)*(Irr!R16+Irr!AP16+Irr!BN16)),IF(AND(Irr!R16&lt;&gt;".",Irr!AP16&lt;&gt;".",Irr!BN16="."),dir!AR16/((1/1000)*(Irr!R16+Irr!AP16)),IF(AND(Irr!R16&lt;&gt;".",Irr!AP16=".",Irr!BN16&lt;&gt;"."),dir!AR16/((1/1000)*(Irr!R16+Irr!BN16)),IF(AND(Irr!R16=".",Irr!AP16&lt;&gt;".",Irr!BN16&lt;&gt;"."),dir!AR16/((1/1000)*(Irr!AP16+Irr!BN16)),IF(AND(Irr!R16=".",Irr!AP16=".",Irr!BN16&lt;&gt;"."),dir!AR16/((1/1000)*(Irr!BN16)),IF(AND(Irr!R16=".",Irr!AP16&lt;&gt;".",Irr!BN16="."),dir!AR16/((1/1000)*(Irr!AP16)),IF(AND(Irr!R16&lt;&gt;".",Irr!AP16=".",Irr!BN16="."),dir!AR16/((1/1000)*(Irr!R16)),IF(AND(Irr!R16=".",Irr!AP16=".",Irr!BN16="."),dir!AR16*1000)))))))),".")</f>
        <v>3.0307504199143023</v>
      </c>
      <c r="AS16" s="48">
        <f>IFERROR(IF(AND(Irr!S16&lt;&gt;".",Irr!AQ16&lt;&gt;".",Irr!BO16&lt;&gt;"."),dir!AS16/((1/1000)*(Irr!S16+Irr!AQ16+Irr!BO16)),IF(AND(Irr!S16&lt;&gt;".",Irr!AQ16&lt;&gt;".",Irr!BO16="."),dir!AS16/((1/1000)*(Irr!S16+Irr!AQ16)),IF(AND(Irr!S16&lt;&gt;".",Irr!AQ16=".",Irr!BO16&lt;&gt;"."),dir!AS16/((1/1000)*(Irr!S16+Irr!BO16)),IF(AND(Irr!S16=".",Irr!AQ16&lt;&gt;".",Irr!BO16&lt;&gt;"."),dir!AS16/((1/1000)*(Irr!AQ16+Irr!BO16)),IF(AND(Irr!S16=".",Irr!AQ16=".",Irr!BO16&lt;&gt;"."),dir!AS16/((1/1000)*(Irr!BO16)),IF(AND(Irr!S16=".",Irr!AQ16&lt;&gt;".",Irr!BO16="."),dir!AS16/((1/1000)*(Irr!AQ16)),IF(AND(Irr!S16&lt;&gt;".",Irr!AQ16=".",Irr!BO16="."),dir!AS16/((1/1000)*(Irr!S16)),IF(AND(Irr!S16=".",Irr!AQ16=".",Irr!BO16="."),dir!AS16*1000)))))))),".")</f>
        <v>6.3117240944619439</v>
      </c>
      <c r="AT16" s="48">
        <f>IFERROR(IF(AND(Irr!T16&lt;&gt;".",Irr!AR16&lt;&gt;".",Irr!BP16&lt;&gt;"."),dir!AT16/((1/1000)*(Irr!T16+Irr!AR16+Irr!BP16)),IF(AND(Irr!T16&lt;&gt;".",Irr!AR16&lt;&gt;".",Irr!BP16="."),dir!AT16/((1/1000)*(Irr!T16+Irr!AR16)),IF(AND(Irr!T16&lt;&gt;".",Irr!AR16=".",Irr!BP16&lt;&gt;"."),dir!AT16/((1/1000)*(Irr!T16+Irr!BP16)),IF(AND(Irr!T16=".",Irr!AR16&lt;&gt;".",Irr!BP16&lt;&gt;"."),dir!AT16/((1/1000)*(Irr!AR16+Irr!BP16)),IF(AND(Irr!T16=".",Irr!AR16=".",Irr!BP16&lt;&gt;"."),dir!AT16/((1/1000)*(Irr!BP16)),IF(AND(Irr!T16=".",Irr!AR16&lt;&gt;".",Irr!BP16="."),dir!AT16/((1/1000)*(Irr!AR16)),IF(AND(Irr!T16&lt;&gt;".",Irr!AR16=".",Irr!BP16="."),dir!AT16/((1/1000)*(Irr!T16)),IF(AND(Irr!T16=".",Irr!AR16=".",Irr!BP16="."),dir!AT16*1000)))))))),".")</f>
        <v>1.5830764998332743</v>
      </c>
      <c r="AU16" s="48">
        <f>IFERROR(IF(AND(Irr!U16&lt;&gt;".",Irr!AS16&lt;&gt;".",Irr!BQ16&lt;&gt;"."),dir!AU16/((1/1000)*(Irr!U16+Irr!AS16+Irr!BQ16)),IF(AND(Irr!U16&lt;&gt;".",Irr!AS16&lt;&gt;".",Irr!BQ16="."),dir!AU16/((1/1000)*(Irr!U16+Irr!AS16)),IF(AND(Irr!U16&lt;&gt;".",Irr!AS16=".",Irr!BQ16&lt;&gt;"."),dir!AU16/((1/1000)*(Irr!U16+Irr!BQ16)),IF(AND(Irr!U16=".",Irr!AS16&lt;&gt;".",Irr!BQ16&lt;&gt;"."),dir!AU16/((1/1000)*(Irr!AS16+Irr!BQ16)),IF(AND(Irr!U16=".",Irr!AS16=".",Irr!BQ16&lt;&gt;"."),dir!AU16/((1/1000)*(Irr!BQ16)),IF(AND(Irr!U16=".",Irr!AS16&lt;&gt;".",Irr!BQ16="."),dir!AU16/((1/1000)*(Irr!AS16)),IF(AND(Irr!U16&lt;&gt;".",Irr!AS16=".",Irr!BQ16="."),dir!AU16/((1/1000)*(Irr!U16)),IF(AND(Irr!U16=".",Irr!AS16=".",Irr!BQ16="."),dir!AU16*1000)))))))),".")</f>
        <v>2.927333494937745</v>
      </c>
      <c r="AV16" s="48">
        <f>IFERROR(IF(AND(Irr!V16&lt;&gt;".",Irr!AT16&lt;&gt;".",Irr!BR16&lt;&gt;"."),dir!AV16/((1/1000)*(Irr!V16+Irr!AT16+Irr!BR16)),IF(AND(Irr!V16&lt;&gt;".",Irr!AT16&lt;&gt;".",Irr!BR16="."),dir!AV16/((1/1000)*(Irr!V16+Irr!AT16)),IF(AND(Irr!V16&lt;&gt;".",Irr!AT16=".",Irr!BR16&lt;&gt;"."),dir!AV16/((1/1000)*(Irr!V16+Irr!BR16)),IF(AND(Irr!V16=".",Irr!AT16&lt;&gt;".",Irr!BR16&lt;&gt;"."),dir!AV16/((1/1000)*(Irr!AT16+Irr!BR16)),IF(AND(Irr!V16=".",Irr!AT16=".",Irr!BR16&lt;&gt;"."),dir!AV16/((1/1000)*(Irr!BR16)),IF(AND(Irr!V16=".",Irr!AT16&lt;&gt;".",Irr!BR16="."),dir!AV16/((1/1000)*(Irr!AT16)),IF(AND(Irr!V16&lt;&gt;".",Irr!AT16=".",Irr!BR16="."),dir!AV16/((1/1000)*(Irr!V16)),IF(AND(Irr!V16=".",Irr!AT16=".",Irr!BR16="."),dir!AV16*1000)))))))),".")</f>
        <v>3.7606190995327133</v>
      </c>
      <c r="AW16" s="48">
        <f>IFERROR(IF(AND(Irr!W16&lt;&gt;".",Irr!AU16&lt;&gt;".",Irr!BS16&lt;&gt;"."),dir!AW16/((1/1000)*(Irr!W16+Irr!AU16+Irr!BS16)),IF(AND(Irr!W16&lt;&gt;".",Irr!AU16&lt;&gt;".",Irr!BS16="."),dir!AW16/((1/1000)*(Irr!W16+Irr!AU16)),IF(AND(Irr!W16&lt;&gt;".",Irr!AU16=".",Irr!BS16&lt;&gt;"."),dir!AW16/((1/1000)*(Irr!W16+Irr!BS16)),IF(AND(Irr!W16=".",Irr!AU16&lt;&gt;".",Irr!BS16&lt;&gt;"."),dir!AW16/((1/1000)*(Irr!AU16+Irr!BS16)),IF(AND(Irr!W16=".",Irr!AU16=".",Irr!BS16&lt;&gt;"."),dir!AW16/((1/1000)*(Irr!BS16)),IF(AND(Irr!W16=".",Irr!AU16&lt;&gt;".",Irr!BS16="."),dir!AW16/((1/1000)*(Irr!AU16)),IF(AND(Irr!W16&lt;&gt;".",Irr!AU16=".",Irr!BS16="."),dir!AW16/((1/1000)*(Irr!W16)),IF(AND(Irr!W16=".",Irr!AU16=".",Irr!BS16="."),dir!AW16*1000)))))))),".")</f>
        <v>4.9485908364035769</v>
      </c>
      <c r="AX16" s="48">
        <f>IFERROR(IF(AND(Irr!X16&lt;&gt;".",Irr!AV16&lt;&gt;".",Irr!BT16&lt;&gt;"."),dir!AX16/((1/1000)*(Irr!X16+Irr!AV16+Irr!BT16)),IF(AND(Irr!X16&lt;&gt;".",Irr!AV16&lt;&gt;".",Irr!BT16="."),dir!AX16/((1/1000)*(Irr!X16+Irr!AV16)),IF(AND(Irr!X16&lt;&gt;".",Irr!AV16=".",Irr!BT16&lt;&gt;"."),dir!AX16/((1/1000)*(Irr!X16+Irr!BT16)),IF(AND(Irr!X16=".",Irr!AV16&lt;&gt;".",Irr!BT16&lt;&gt;"."),dir!AX16/((1/1000)*(Irr!AV16+Irr!BT16)),IF(AND(Irr!X16=".",Irr!AV16=".",Irr!BT16&lt;&gt;"."),dir!AX16/((1/1000)*(Irr!BT16)),IF(AND(Irr!X16=".",Irr!AV16&lt;&gt;".",Irr!BT16="."),dir!AX16/((1/1000)*(Irr!AV16)),IF(AND(Irr!X16&lt;&gt;".",Irr!AV16=".",Irr!BT16="."),dir!AX16/((1/1000)*(Irr!X16)),IF(AND(Irr!X16=".",Irr!AV16=".",Irr!BT16="."),dir!AX16*1000)))))))),".")</f>
        <v>2.095345662906225</v>
      </c>
      <c r="AY16" s="48">
        <f>IFERROR(IF(AND(Irr!Y16&lt;&gt;".",Irr!AW16&lt;&gt;".",Irr!BU16&lt;&gt;"."),dir!AY16/((1/1000)*(Irr!Y16+Irr!AW16+Irr!BU16)),IF(AND(Irr!Y16&lt;&gt;".",Irr!AW16&lt;&gt;".",Irr!BU16="."),dir!AY16/((1/1000)*(Irr!Y16+Irr!AW16)),IF(AND(Irr!Y16&lt;&gt;".",Irr!AW16=".",Irr!BU16&lt;&gt;"."),dir!AY16/((1/1000)*(Irr!Y16+Irr!BU16)),IF(AND(Irr!Y16=".",Irr!AW16&lt;&gt;".",Irr!BU16&lt;&gt;"."),dir!AY16/((1/1000)*(Irr!AW16+Irr!BU16)),IF(AND(Irr!Y16=".",Irr!AW16=".",Irr!BU16&lt;&gt;"."),dir!AY16/((1/1000)*(Irr!BU16)),IF(AND(Irr!Y16=".",Irr!AW16&lt;&gt;".",Irr!BU16="."),dir!AY16/((1/1000)*(Irr!AW16)),IF(AND(Irr!Y16&lt;&gt;".",Irr!AW16=".",Irr!BU16="."),dir!AY16/((1/1000)*(Irr!Y16)),IF(AND(Irr!Y16=".",Irr!AW16=".",Irr!BU16="."),dir!AY16*1000)))))))),".")</f>
        <v>0.74752605493259217</v>
      </c>
      <c r="AZ16" s="48">
        <f>IFERROR(IF(AND(Irr!Z16&lt;&gt;".",Irr!AX16&lt;&gt;".",Irr!BV16&lt;&gt;"."),dir!AZ16/((1/1000)*(Irr!Z16+Irr!AX16+Irr!BV16)),IF(AND(Irr!Z16&lt;&gt;".",Irr!AX16&lt;&gt;".",Irr!BV16="."),dir!AZ16/((1/1000)*(Irr!Z16+Irr!AX16)),IF(AND(Irr!Z16&lt;&gt;".",Irr!AX16=".",Irr!BV16&lt;&gt;"."),dir!AZ16/((1/1000)*(Irr!Z16+Irr!BV16)),IF(AND(Irr!Z16=".",Irr!AX16&lt;&gt;".",Irr!BV16&lt;&gt;"."),dir!AZ16/((1/1000)*(Irr!AX16+Irr!BV16)),IF(AND(Irr!Z16=".",Irr!AX16=".",Irr!BV16&lt;&gt;"."),dir!AZ16/((1/1000)*(Irr!BV16)),IF(AND(Irr!Z16=".",Irr!AX16&lt;&gt;".",Irr!BV16="."),dir!AZ16/((1/1000)*(Irr!AX16)),IF(AND(Irr!Z16&lt;&gt;".",Irr!AX16=".",Irr!BV16="."),dir!AZ16/((1/1000)*(Irr!Z16)),IF(AND(Irr!Z16=".",Irr!AX16=".",Irr!BV16="."),dir!AZ16*1000)))))))),".")</f>
        <v>0.68646712287796996</v>
      </c>
    </row>
    <row r="17" spans="1:52" ht="15" customHeight="1" x14ac:dyDescent="0.25">
      <c r="A17" s="61" t="s">
        <v>15</v>
      </c>
      <c r="B17" s="49" t="s">
        <v>1059</v>
      </c>
      <c r="C17" s="48">
        <f t="shared" si="14"/>
        <v>685.01206192762209</v>
      </c>
      <c r="D17" s="48">
        <f>IFERROR(IF(AND(Irr!C17&lt;&gt;".",Irr!AA17&lt;&gt;".",Irr!AY17&lt;&gt;"."),dir!D17/((1/1000)*(Irr!C17+Irr!AA17+Irr!AY17)),IF(AND(Irr!C17&lt;&gt;".",Irr!AA17&lt;&gt;".",Irr!AY17="."),dir!D17/((1/1000)*(Irr!C17+Irr!AA17)),IF(AND(Irr!C17&lt;&gt;".",Irr!AA17=".",Irr!AY17&lt;&gt;"."),dir!D17/((1/1000)*(Irr!C17+Irr!AY17)),IF(AND(Irr!C17=".",Irr!AA17&lt;&gt;".",Irr!AY17&lt;&gt;"."),dir!D17/((1/1000)*(Irr!AA17+Irr!AY17)),IF(AND(Irr!C17=".",Irr!AA17=".",Irr!AY17&lt;&gt;"."),dir!D17/((1/1000)*(Irr!AY17)),IF(AND(Irr!C17=".",Irr!AA17&lt;&gt;".",Irr!AY17="."),dir!D17/((1/1000)*(Irr!AA17)),IF(AND(Irr!C17&lt;&gt;".",Irr!AA17=".",Irr!AY17="."),dir!D17/((1/1000)*(Irr!C17)),IF(AND(Irr!C17=".",Irr!AA17=".",Irr!AY17="."),dir!D17*1000)))))))),".")</f>
        <v>13206.247661612615</v>
      </c>
      <c r="E17" s="48">
        <f>IFERROR(IF(AND(Irr!D17&lt;&gt;".",Irr!AB17&lt;&gt;".",Irr!AZ17&lt;&gt;"."),dir!E17/((1/1000)*(Irr!D17+Irr!AB17+Irr!AZ17)),IF(AND(Irr!D17&lt;&gt;".",Irr!AB17&lt;&gt;".",Irr!AZ17="."),dir!E17/((1/1000)*(Irr!D17+Irr!AB17)),IF(AND(Irr!D17&lt;&gt;".",Irr!AB17=".",Irr!AZ17&lt;&gt;"."),dir!E17/((1/1000)*(Irr!D17+Irr!AZ17)),IF(AND(Irr!D17=".",Irr!AB17&lt;&gt;".",Irr!AZ17&lt;&gt;"."),dir!E17/((1/1000)*(Irr!AB17+Irr!AZ17)),IF(AND(Irr!D17=".",Irr!AB17=".",Irr!AZ17&lt;&gt;"."),dir!E17/((1/1000)*(Irr!AZ17)),IF(AND(Irr!D17=".",Irr!AB17&lt;&gt;".",Irr!AZ17="."),dir!E17/((1/1000)*(Irr!AB17)),IF(AND(Irr!D17&lt;&gt;".",Irr!AB17=".",Irr!AZ17="."),dir!E17/((1/1000)*(Irr!D17)),IF(AND(Irr!D17=".",Irr!AB17=".",Irr!AZ17="."),dir!E17*1000)))))))),".")</f>
        <v>18065.188353416579</v>
      </c>
      <c r="F17" s="48">
        <f>IFERROR(IF(AND(Irr!E17&lt;&gt;".",Irr!AC17&lt;&gt;".",Irr!BA17&lt;&gt;"."),dir!F17/((1/1000)*(Irr!E17+Irr!AC17+Irr!BA17)),IF(AND(Irr!E17&lt;&gt;".",Irr!AC17&lt;&gt;".",Irr!BA17="."),dir!F17/((1/1000)*(Irr!E17+Irr!AC17)),IF(AND(Irr!E17&lt;&gt;".",Irr!AC17=".",Irr!BA17&lt;&gt;"."),dir!F17/((1/1000)*(Irr!E17+Irr!BA17)),IF(AND(Irr!E17=".",Irr!AC17&lt;&gt;".",Irr!BA17&lt;&gt;"."),dir!F17/((1/1000)*(Irr!AC17+Irr!BA17)),IF(AND(Irr!E17=".",Irr!AC17=".",Irr!BA17&lt;&gt;"."),dir!F17/((1/1000)*(Irr!BA17)),IF(AND(Irr!E17=".",Irr!AC17&lt;&gt;".",Irr!BA17="."),dir!F17/((1/1000)*(Irr!AC17)),IF(AND(Irr!E17&lt;&gt;".",Irr!AC17=".",Irr!BA17="."),dir!F17/((1/1000)*(Irr!E17)),IF(AND(Irr!E17=".",Irr!AC17=".",Irr!BA17="."),dir!F17*1000)))))))),".")</f>
        <v>34353.301458143047</v>
      </c>
      <c r="G17" s="48">
        <f>IFERROR(IF(AND(Irr!F17&lt;&gt;".",Irr!AD17&lt;&gt;".",Irr!BB17&lt;&gt;"."),dir!G17/((1/1000)*(Irr!F17+Irr!AD17+Irr!BB17)),IF(AND(Irr!F17&lt;&gt;".",Irr!AD17&lt;&gt;".",Irr!BB17="."),dir!G17/((1/1000)*(Irr!F17+Irr!AD17)),IF(AND(Irr!F17&lt;&gt;".",Irr!AD17=".",Irr!BB17&lt;&gt;"."),dir!G17/((1/1000)*(Irr!F17+Irr!BB17)),IF(AND(Irr!F17=".",Irr!AD17&lt;&gt;".",Irr!BB17&lt;&gt;"."),dir!G17/((1/1000)*(Irr!AD17+Irr!BB17)),IF(AND(Irr!F17=".",Irr!AD17=".",Irr!BB17&lt;&gt;"."),dir!G17/((1/1000)*(Irr!BB17)),IF(AND(Irr!F17=".",Irr!AD17&lt;&gt;".",Irr!BB17="."),dir!G17/((1/1000)*(Irr!AD17)),IF(AND(Irr!F17&lt;&gt;".",Irr!AD17=".",Irr!BB17="."),dir!G17/((1/1000)*(Irr!F17)),IF(AND(Irr!F17=".",Irr!AD17=".",Irr!BB17="."),dir!G17*1000)))))))),".")</f>
        <v>29573.879681481201</v>
      </c>
      <c r="H17" s="48">
        <f>IFERROR(IF(AND(Irr!G17&lt;&gt;".",Irr!AE17&lt;&gt;".",Irr!BC17&lt;&gt;"."),dir!H17/((1/1000)*(Irr!G17+Irr!AE17+Irr!BC17)),IF(AND(Irr!G17&lt;&gt;".",Irr!AE17&lt;&gt;".",Irr!BC17="."),dir!H17/((1/1000)*(Irr!G17+Irr!AE17)),IF(AND(Irr!G17&lt;&gt;".",Irr!AE17=".",Irr!BC17&lt;&gt;"."),dir!H17/((1/1000)*(Irr!G17+Irr!BC17)),IF(AND(Irr!G17=".",Irr!AE17&lt;&gt;".",Irr!BC17&lt;&gt;"."),dir!H17/((1/1000)*(Irr!AE17+Irr!BC17)),IF(AND(Irr!G17=".",Irr!AE17=".",Irr!BC17&lt;&gt;"."),dir!H17/((1/1000)*(Irr!BC17)),IF(AND(Irr!G17=".",Irr!AE17&lt;&gt;".",Irr!BC17="."),dir!H17/((1/1000)*(Irr!AE17)),IF(AND(Irr!G17&lt;&gt;".",Irr!AE17=".",Irr!BC17="."),dir!H17/((1/1000)*(Irr!G17)),IF(AND(Irr!G17=".",Irr!AE17=".",Irr!BC17="."),dir!H17*1000)))))))),".")</f>
        <v>33294.012379392232</v>
      </c>
      <c r="I17" s="48">
        <f>IFERROR(IF(AND(Irr!H17&lt;&gt;".",Irr!AF17&lt;&gt;".",Irr!BD17&lt;&gt;"."),dir!I17/((1/1000)*(Irr!H17+Irr!AF17+Irr!BD17)),IF(AND(Irr!H17&lt;&gt;".",Irr!AF17&lt;&gt;".",Irr!BD17="."),dir!I17/((1/1000)*(Irr!H17+Irr!AF17)),IF(AND(Irr!H17&lt;&gt;".",Irr!AF17=".",Irr!BD17&lt;&gt;"."),dir!I17/((1/1000)*(Irr!H17+Irr!BD17)),IF(AND(Irr!H17=".",Irr!AF17&lt;&gt;".",Irr!BD17&lt;&gt;"."),dir!I17/((1/1000)*(Irr!AF17+Irr!BD17)),IF(AND(Irr!H17=".",Irr!AF17=".",Irr!BD17&lt;&gt;"."),dir!I17/((1/1000)*(Irr!BD17)),IF(AND(Irr!H17=".",Irr!AF17&lt;&gt;".",Irr!BD17="."),dir!I17/((1/1000)*(Irr!AF17)),IF(AND(Irr!H17&lt;&gt;".",Irr!AF17=".",Irr!BD17="."),dir!I17/((1/1000)*(Irr!H17)),IF(AND(Irr!H17=".",Irr!AF17=".",Irr!BD17="."),dir!I17*1000)))))))),".")</f>
        <v>8087.8334619436901</v>
      </c>
      <c r="J17" s="48">
        <f>IFERROR(IF(AND(Irr!I17&lt;&gt;".",Irr!AG17&lt;&gt;".",Irr!BE17&lt;&gt;"."),dir!J17/((1/1000)*(Irr!I17+Irr!AG17+Irr!BE17)),IF(AND(Irr!I17&lt;&gt;".",Irr!AG17&lt;&gt;".",Irr!BE17="."),dir!J17/((1/1000)*(Irr!I17+Irr!AG17)),IF(AND(Irr!I17&lt;&gt;".",Irr!AG17=".",Irr!BE17&lt;&gt;"."),dir!J17/((1/1000)*(Irr!I17+Irr!BE17)),IF(AND(Irr!I17=".",Irr!AG17&lt;&gt;".",Irr!BE17&lt;&gt;"."),dir!J17/((1/1000)*(Irr!AG17+Irr!BE17)),IF(AND(Irr!I17=".",Irr!AG17=".",Irr!BE17&lt;&gt;"."),dir!J17/((1/1000)*(Irr!BE17)),IF(AND(Irr!I17=".",Irr!AG17&lt;&gt;".",Irr!BE17="."),dir!J17/((1/1000)*(Irr!AG17)),IF(AND(Irr!I17&lt;&gt;".",Irr!AG17=".",Irr!BE17="."),dir!J17/((1/1000)*(Irr!I17)),IF(AND(Irr!I17=".",Irr!AG17=".",Irr!BE17="."),dir!J17*1000)))))))),".")</f>
        <v>37952.560274289906</v>
      </c>
      <c r="K17" s="48">
        <f>IFERROR(IF(AND(Irr!J17&lt;&gt;".",Irr!AH17&lt;&gt;".",Irr!BF17&lt;&gt;"."),dir!K17/((1/1000)*(Irr!J17+Irr!AH17+Irr!BF17)),IF(AND(Irr!J17&lt;&gt;".",Irr!AH17&lt;&gt;".",Irr!BF17="."),dir!K17/((1/1000)*(Irr!J17+Irr!AH17)),IF(AND(Irr!J17&lt;&gt;".",Irr!AH17=".",Irr!BF17&lt;&gt;"."),dir!K17/((1/1000)*(Irr!J17+Irr!BF17)),IF(AND(Irr!J17=".",Irr!AH17&lt;&gt;".",Irr!BF17&lt;&gt;"."),dir!K17/((1/1000)*(Irr!AH17+Irr!BF17)),IF(AND(Irr!J17=".",Irr!AH17=".",Irr!BF17&lt;&gt;"."),dir!K17/((1/1000)*(Irr!BF17)),IF(AND(Irr!J17=".",Irr!AH17&lt;&gt;".",Irr!BF17="."),dir!K17/((1/1000)*(Irr!AH17)),IF(AND(Irr!J17&lt;&gt;".",Irr!AH17=".",Irr!BF17="."),dir!K17/((1/1000)*(Irr!J17)),IF(AND(Irr!J17=".",Irr!AH17=".",Irr!BF17="."),dir!K17*1000)))))))),".")</f>
        <v>3424.6564224035415</v>
      </c>
      <c r="L17" s="48">
        <f>IFERROR(IF(AND(Irr!K17&lt;&gt;".",Irr!AI17&lt;&gt;".",Irr!BG17&lt;&gt;"."),dir!L17/((1/1000)*(Irr!K17+Irr!AI17+Irr!BG17)),IF(AND(Irr!K17&lt;&gt;".",Irr!AI17&lt;&gt;".",Irr!BG17="."),dir!L17/((1/1000)*(Irr!K17+Irr!AI17)),IF(AND(Irr!K17&lt;&gt;".",Irr!AI17=".",Irr!BG17&lt;&gt;"."),dir!L17/((1/1000)*(Irr!K17+Irr!BG17)),IF(AND(Irr!K17=".",Irr!AI17&lt;&gt;".",Irr!BG17&lt;&gt;"."),dir!L17/((1/1000)*(Irr!AI17+Irr!BG17)),IF(AND(Irr!K17=".",Irr!AI17=".",Irr!BG17&lt;&gt;"."),dir!L17/((1/1000)*(Irr!BG17)),IF(AND(Irr!K17=".",Irr!AI17&lt;&gt;".",Irr!BG17="."),dir!L17/((1/1000)*(Irr!AI17)),IF(AND(Irr!K17&lt;&gt;".",Irr!AI17=".",Irr!BG17="."),dir!L17/((1/1000)*(Irr!K17)),IF(AND(Irr!K17=".",Irr!AI17=".",Irr!BG17="."),dir!L17*1000)))))))),".")</f>
        <v>20408.739401686311</v>
      </c>
      <c r="M17" s="48">
        <f>IFERROR(IF(AND(Irr!L17&lt;&gt;".",Irr!AJ17&lt;&gt;".",Irr!BH17&lt;&gt;"."),dir!M17/((1/1000)*(Irr!L17+Irr!AJ17+Irr!BH17)),IF(AND(Irr!L17&lt;&gt;".",Irr!AJ17&lt;&gt;".",Irr!BH17="."),dir!M17/((1/1000)*(Irr!L17+Irr!AJ17)),IF(AND(Irr!L17&lt;&gt;".",Irr!AJ17=".",Irr!BH17&lt;&gt;"."),dir!M17/((1/1000)*(Irr!L17+Irr!BH17)),IF(AND(Irr!L17=".",Irr!AJ17&lt;&gt;".",Irr!BH17&lt;&gt;"."),dir!M17/((1/1000)*(Irr!AJ17+Irr!BH17)),IF(AND(Irr!L17=".",Irr!AJ17=".",Irr!BH17&lt;&gt;"."),dir!M17/((1/1000)*(Irr!BH17)),IF(AND(Irr!L17=".",Irr!AJ17&lt;&gt;".",Irr!BH17="."),dir!M17/((1/1000)*(Irr!AJ17)),IF(AND(Irr!L17&lt;&gt;".",Irr!AJ17=".",Irr!BH17="."),dir!M17/((1/1000)*(Irr!L17)),IF(AND(Irr!L17=".",Irr!AJ17=".",Irr!BH17="."),dir!M17*1000)))))))),".")</f>
        <v>13397.553426941568</v>
      </c>
      <c r="N17" s="48">
        <f>IFERROR(IF(AND(Irr!M17&lt;&gt;".",Irr!AK17&lt;&gt;".",Irr!BI17&lt;&gt;"."),dir!N17/((1/1000)*(Irr!M17+Irr!AK17+Irr!BI17)),IF(AND(Irr!M17&lt;&gt;".",Irr!AK17&lt;&gt;".",Irr!BI17="."),dir!N17/((1/1000)*(Irr!M17+Irr!AK17)),IF(AND(Irr!M17&lt;&gt;".",Irr!AK17=".",Irr!BI17&lt;&gt;"."),dir!N17/((1/1000)*(Irr!M17+Irr!BI17)),IF(AND(Irr!M17=".",Irr!AK17&lt;&gt;".",Irr!BI17&lt;&gt;"."),dir!N17/((1/1000)*(Irr!AK17+Irr!BI17)),IF(AND(Irr!M17=".",Irr!AK17=".",Irr!BI17&lt;&gt;"."),dir!N17/((1/1000)*(Irr!BI17)),IF(AND(Irr!M17=".",Irr!AK17&lt;&gt;".",Irr!BI17="."),dir!N17/((1/1000)*(Irr!AK17)),IF(AND(Irr!M17&lt;&gt;".",Irr!AK17=".",Irr!BI17="."),dir!N17/((1/1000)*(Irr!M17)),IF(AND(Irr!M17=".",Irr!AK17=".",Irr!BI17="."),dir!N17*1000)))))))),".")</f>
        <v>18617.245266595739</v>
      </c>
      <c r="O17" s="48">
        <f>IFERROR(IF(AND(Irr!N17&lt;&gt;".",Irr!AL17&lt;&gt;".",Irr!BJ17&lt;&gt;"."),dir!O17/((1/1000)*(Irr!N17+Irr!AL17+Irr!BJ17)),IF(AND(Irr!N17&lt;&gt;".",Irr!AL17&lt;&gt;".",Irr!BJ17="."),dir!O17/((1/1000)*(Irr!N17+Irr!AL17)),IF(AND(Irr!N17&lt;&gt;".",Irr!AL17=".",Irr!BJ17&lt;&gt;"."),dir!O17/((1/1000)*(Irr!N17+Irr!BJ17)),IF(AND(Irr!N17=".",Irr!AL17&lt;&gt;".",Irr!BJ17&lt;&gt;"."),dir!O17/((1/1000)*(Irr!AL17+Irr!BJ17)),IF(AND(Irr!N17=".",Irr!AL17=".",Irr!BJ17&lt;&gt;"."),dir!O17/((1/1000)*(Irr!BJ17)),IF(AND(Irr!N17=".",Irr!AL17&lt;&gt;".",Irr!BJ17="."),dir!O17/((1/1000)*(Irr!AL17)),IF(AND(Irr!N17&lt;&gt;".",Irr!AL17=".",Irr!BJ17="."),dir!O17/((1/1000)*(Irr!N17)),IF(AND(Irr!N17=".",Irr!AL17=".",Irr!BJ17="."),dir!O17*1000)))))))),".")</f>
        <v>35526.740737429929</v>
      </c>
      <c r="P17" s="48">
        <f>IFERROR(IF(AND(Irr!O17&lt;&gt;".",Irr!AM17&lt;&gt;".",Irr!BK17&lt;&gt;"."),dir!P17/((1/1000)*(Irr!O17+Irr!AM17+Irr!BK17)),IF(AND(Irr!O17&lt;&gt;".",Irr!AM17&lt;&gt;".",Irr!BK17="."),dir!P17/((1/1000)*(Irr!O17+Irr!AM17)),IF(AND(Irr!O17&lt;&gt;".",Irr!AM17=".",Irr!BK17&lt;&gt;"."),dir!P17/((1/1000)*(Irr!O17+Irr!BK17)),IF(AND(Irr!O17=".",Irr!AM17&lt;&gt;".",Irr!BK17&lt;&gt;"."),dir!P17/((1/1000)*(Irr!AM17+Irr!BK17)),IF(AND(Irr!O17=".",Irr!AM17=".",Irr!BK17&lt;&gt;"."),dir!P17/((1/1000)*(Irr!BK17)),IF(AND(Irr!O17=".",Irr!AM17&lt;&gt;".",Irr!BK17="."),dir!P17/((1/1000)*(Irr!AM17)),IF(AND(Irr!O17&lt;&gt;".",Irr!AM17=".",Irr!BK17="."),dir!P17/((1/1000)*(Irr!O17)),IF(AND(Irr!O17=".",Irr!AM17=".",Irr!BK17="."),dir!P17*1000)))))))),".")</f>
        <v>37919.300412297278</v>
      </c>
      <c r="Q17" s="48">
        <f>IFERROR(IF(AND(Irr!P17&lt;&gt;".",Irr!AN17&lt;&gt;".",Irr!BL17&lt;&gt;"."),dir!Q17/((1/1000)*(Irr!P17+Irr!AN17+Irr!BL17)),IF(AND(Irr!P17&lt;&gt;".",Irr!AN17&lt;&gt;".",Irr!BL17="."),dir!Q17/((1/1000)*(Irr!P17+Irr!AN17)),IF(AND(Irr!P17&lt;&gt;".",Irr!AN17=".",Irr!BL17&lt;&gt;"."),dir!Q17/((1/1000)*(Irr!P17+Irr!BL17)),IF(AND(Irr!P17=".",Irr!AN17&lt;&gt;".",Irr!BL17&lt;&gt;"."),dir!Q17/((1/1000)*(Irr!AN17+Irr!BL17)),IF(AND(Irr!P17=".",Irr!AN17=".",Irr!BL17&lt;&gt;"."),dir!Q17/((1/1000)*(Irr!BL17)),IF(AND(Irr!P17=".",Irr!AN17&lt;&gt;".",Irr!BL17="."),dir!Q17/((1/1000)*(Irr!AN17)),IF(AND(Irr!P17&lt;&gt;".",Irr!AN17=".",Irr!BL17="."),dir!Q17/((1/1000)*(Irr!P17)),IF(AND(Irr!P17=".",Irr!AN17=".",Irr!BL17="."),dir!Q17*1000)))))))),".")</f>
        <v>51206.63320010154</v>
      </c>
      <c r="R17" s="48">
        <f>IFERROR(IF(AND(Irr!Q17&lt;&gt;".",Irr!AO17&lt;&gt;".",Irr!BM17&lt;&gt;"."),dir!R17/((1/1000)*(Irr!Q17+Irr!AO17+Irr!BM17)),IF(AND(Irr!Q17&lt;&gt;".",Irr!AO17&lt;&gt;".",Irr!BM17="."),dir!R17/((1/1000)*(Irr!Q17+Irr!AO17)),IF(AND(Irr!Q17&lt;&gt;".",Irr!AO17=".",Irr!BM17&lt;&gt;"."),dir!R17/((1/1000)*(Irr!Q17+Irr!BM17)),IF(AND(Irr!Q17=".",Irr!AO17&lt;&gt;".",Irr!BM17&lt;&gt;"."),dir!R17/((1/1000)*(Irr!AO17+Irr!BM17)),IF(AND(Irr!Q17=".",Irr!AO17=".",Irr!BM17&lt;&gt;"."),dir!R17/((1/1000)*(Irr!BM17)),IF(AND(Irr!Q17=".",Irr!AO17&lt;&gt;".",Irr!BM17="."),dir!R17/((1/1000)*(Irr!AO17)),IF(AND(Irr!Q17&lt;&gt;".",Irr!AO17=".",Irr!BM17="."),dir!R17/((1/1000)*(Irr!Q17)),IF(AND(Irr!Q17=".",Irr!AO17=".",Irr!BM17="."),dir!R17*1000)))))))),".")</f>
        <v>8445.8400384144097</v>
      </c>
      <c r="S17" s="48">
        <f>IFERROR(IF(AND(Irr!R17&lt;&gt;".",Irr!AP17&lt;&gt;".",Irr!BN17&lt;&gt;"."),dir!S17/((1/1000)*(Irr!R17+Irr!AP17+Irr!BN17)),IF(AND(Irr!R17&lt;&gt;".",Irr!AP17&lt;&gt;".",Irr!BN17="."),dir!S17/((1/1000)*(Irr!R17+Irr!AP17)),IF(AND(Irr!R17&lt;&gt;".",Irr!AP17=".",Irr!BN17&lt;&gt;"."),dir!S17/((1/1000)*(Irr!R17+Irr!BN17)),IF(AND(Irr!R17=".",Irr!AP17&lt;&gt;".",Irr!BN17&lt;&gt;"."),dir!S17/((1/1000)*(Irr!AP17+Irr!BN17)),IF(AND(Irr!R17=".",Irr!AP17=".",Irr!BN17&lt;&gt;"."),dir!S17/((1/1000)*(Irr!BN17)),IF(AND(Irr!R17=".",Irr!AP17&lt;&gt;".",Irr!BN17="."),dir!S17/((1/1000)*(Irr!AP17)),IF(AND(Irr!R17&lt;&gt;".",Irr!AP17=".",Irr!BN17="."),dir!S17/((1/1000)*(Irr!R17)),IF(AND(Irr!R17=".",Irr!AP17=".",Irr!BN17="."),dir!S17*1000)))))))),".")</f>
        <v>17541.760134947221</v>
      </c>
      <c r="T17" s="48">
        <f>IFERROR(IF(AND(Irr!S17&lt;&gt;".",Irr!AQ17&lt;&gt;".",Irr!BO17&lt;&gt;"."),dir!T17/((1/1000)*(Irr!S17+Irr!AQ17+Irr!BO17)),IF(AND(Irr!S17&lt;&gt;".",Irr!AQ17&lt;&gt;".",Irr!BO17="."),dir!T17/((1/1000)*(Irr!S17+Irr!AQ17)),IF(AND(Irr!S17&lt;&gt;".",Irr!AQ17=".",Irr!BO17&lt;&gt;"."),dir!T17/((1/1000)*(Irr!S17+Irr!BO17)),IF(AND(Irr!S17=".",Irr!AQ17&lt;&gt;".",Irr!BO17&lt;&gt;"."),dir!T17/((1/1000)*(Irr!AQ17+Irr!BO17)),IF(AND(Irr!S17=".",Irr!AQ17=".",Irr!BO17&lt;&gt;"."),dir!T17/((1/1000)*(Irr!BO17)),IF(AND(Irr!S17=".",Irr!AQ17&lt;&gt;".",Irr!BO17="."),dir!T17/((1/1000)*(Irr!AQ17)),IF(AND(Irr!S17&lt;&gt;".",Irr!AQ17=".",Irr!BO17="."),dir!T17/((1/1000)*(Irr!S17)),IF(AND(Irr!S17=".",Irr!AQ17=".",Irr!BO17="."),dir!T17*1000)))))))),".")</f>
        <v>29184.664338257557</v>
      </c>
      <c r="U17" s="48">
        <f>IFERROR(IF(AND(Irr!T17&lt;&gt;".",Irr!AR17&lt;&gt;".",Irr!BP17&lt;&gt;"."),dir!U17/((1/1000)*(Irr!T17+Irr!AR17+Irr!BP17)),IF(AND(Irr!T17&lt;&gt;".",Irr!AR17&lt;&gt;".",Irr!BP17="."),dir!U17/((1/1000)*(Irr!T17+Irr!AR17)),IF(AND(Irr!T17&lt;&gt;".",Irr!AR17=".",Irr!BP17&lt;&gt;"."),dir!U17/((1/1000)*(Irr!T17+Irr!BP17)),IF(AND(Irr!T17=".",Irr!AR17&lt;&gt;".",Irr!BP17&lt;&gt;"."),dir!U17/((1/1000)*(Irr!AR17+Irr!BP17)),IF(AND(Irr!T17=".",Irr!AR17=".",Irr!BP17&lt;&gt;"."),dir!U17/((1/1000)*(Irr!BP17)),IF(AND(Irr!T17=".",Irr!AR17&lt;&gt;".",Irr!BP17="."),dir!U17/((1/1000)*(Irr!AR17)),IF(AND(Irr!T17&lt;&gt;".",Irr!AR17=".",Irr!BP17="."),dir!U17/((1/1000)*(Irr!T17)),IF(AND(Irr!T17=".",Irr!AR17=".",Irr!BP17="."),dir!U17*1000)))))))),".")</f>
        <v>9499.3881117506717</v>
      </c>
      <c r="V17" s="48">
        <f>IFERROR(IF(AND(Irr!U17&lt;&gt;".",Irr!AS17&lt;&gt;".",Irr!BQ17&lt;&gt;"."),dir!V17/((1/1000)*(Irr!U17+Irr!AS17+Irr!BQ17)),IF(AND(Irr!U17&lt;&gt;".",Irr!AS17&lt;&gt;".",Irr!BQ17="."),dir!V17/((1/1000)*(Irr!U17+Irr!AS17)),IF(AND(Irr!U17&lt;&gt;".",Irr!AS17=".",Irr!BQ17&lt;&gt;"."),dir!V17/((1/1000)*(Irr!U17+Irr!BQ17)),IF(AND(Irr!U17=".",Irr!AS17&lt;&gt;".",Irr!BQ17&lt;&gt;"."),dir!V17/((1/1000)*(Irr!AS17+Irr!BQ17)),IF(AND(Irr!U17=".",Irr!AS17=".",Irr!BQ17&lt;&gt;"."),dir!V17/((1/1000)*(Irr!BQ17)),IF(AND(Irr!U17=".",Irr!AS17&lt;&gt;".",Irr!BQ17="."),dir!V17/((1/1000)*(Irr!AS17)),IF(AND(Irr!U17&lt;&gt;".",Irr!AS17=".",Irr!BQ17="."),dir!V17/((1/1000)*(Irr!U17)),IF(AND(Irr!U17=".",Irr!AS17=".",Irr!BQ17="."),dir!V17*1000)))))))),".")</f>
        <v>15394.639471222114</v>
      </c>
      <c r="W17" s="48">
        <f>IFERROR(IF(AND(Irr!V17&lt;&gt;".",Irr!AT17&lt;&gt;".",Irr!BR17&lt;&gt;"."),dir!W17/((1/1000)*(Irr!V17+Irr!AT17+Irr!BR17)),IF(AND(Irr!V17&lt;&gt;".",Irr!AT17&lt;&gt;".",Irr!BR17="."),dir!W17/((1/1000)*(Irr!V17+Irr!AT17)),IF(AND(Irr!V17&lt;&gt;".",Irr!AT17=".",Irr!BR17&lt;&gt;"."),dir!W17/((1/1000)*(Irr!V17+Irr!BR17)),IF(AND(Irr!V17=".",Irr!AT17&lt;&gt;".",Irr!BR17&lt;&gt;"."),dir!W17/((1/1000)*(Irr!AT17+Irr!BR17)),IF(AND(Irr!V17=".",Irr!AT17=".",Irr!BR17&lt;&gt;"."),dir!W17/((1/1000)*(Irr!BR17)),IF(AND(Irr!V17=".",Irr!AT17&lt;&gt;".",Irr!BR17="."),dir!W17/((1/1000)*(Irr!AT17)),IF(AND(Irr!V17&lt;&gt;".",Irr!AT17=".",Irr!BR17="."),dir!W17/((1/1000)*(Irr!V17)),IF(AND(Irr!V17=".",Irr!AT17=".",Irr!BR17="."),dir!W17*1000)))))))),".")</f>
        <v>20248.95323537715</v>
      </c>
      <c r="X17" s="48">
        <f>IFERROR(IF(AND(Irr!W17&lt;&gt;".",Irr!AU17&lt;&gt;".",Irr!BS17&lt;&gt;"."),dir!X17/((1/1000)*(Irr!W17+Irr!AU17+Irr!BS17)),IF(AND(Irr!W17&lt;&gt;".",Irr!AU17&lt;&gt;".",Irr!BS17="."),dir!X17/((1/1000)*(Irr!W17+Irr!AU17)),IF(AND(Irr!W17&lt;&gt;".",Irr!AU17=".",Irr!BS17&lt;&gt;"."),dir!X17/((1/1000)*(Irr!W17+Irr!BS17)),IF(AND(Irr!W17=".",Irr!AU17&lt;&gt;".",Irr!BS17&lt;&gt;"."),dir!X17/((1/1000)*(Irr!AU17+Irr!BS17)),IF(AND(Irr!W17=".",Irr!AU17=".",Irr!BS17&lt;&gt;"."),dir!X17/((1/1000)*(Irr!BS17)),IF(AND(Irr!W17=".",Irr!AU17&lt;&gt;".",Irr!BS17="."),dir!X17/((1/1000)*(Irr!AU17)),IF(AND(Irr!W17&lt;&gt;".",Irr!AU17=".",Irr!BS17="."),dir!X17/((1/1000)*(Irr!W17)),IF(AND(Irr!W17=".",Irr!AU17=".",Irr!BS17="."),dir!X17*1000)))))))),".")</f>
        <v>26198.151687348702</v>
      </c>
      <c r="Y17" s="48">
        <f>IFERROR(IF(AND(Irr!X17&lt;&gt;".",Irr!AV17&lt;&gt;".",Irr!BT17&lt;&gt;"."),dir!Y17/((1/1000)*(Irr!X17+Irr!AV17+Irr!BT17)),IF(AND(Irr!X17&lt;&gt;".",Irr!AV17&lt;&gt;".",Irr!BT17="."),dir!Y17/((1/1000)*(Irr!X17+Irr!AV17)),IF(AND(Irr!X17&lt;&gt;".",Irr!AV17=".",Irr!BT17&lt;&gt;"."),dir!Y17/((1/1000)*(Irr!X17+Irr!BT17)),IF(AND(Irr!X17=".",Irr!AV17&lt;&gt;".",Irr!BT17&lt;&gt;"."),dir!Y17/((1/1000)*(Irr!AV17+Irr!BT17)),IF(AND(Irr!X17=".",Irr!AV17=".",Irr!BT17&lt;&gt;"."),dir!Y17/((1/1000)*(Irr!BT17)),IF(AND(Irr!X17=".",Irr!AV17&lt;&gt;".",Irr!BT17="."),dir!Y17/((1/1000)*(Irr!AV17)),IF(AND(Irr!X17&lt;&gt;".",Irr!AV17=".",Irr!BT17="."),dir!Y17/((1/1000)*(Irr!X17)),IF(AND(Irr!X17=".",Irr!AV17=".",Irr!BT17="."),dir!Y17*1000)))))))),".")</f>
        <v>13343.225039129104</v>
      </c>
      <c r="Z17" s="48">
        <f>IFERROR(IF(AND(Irr!Y17&lt;&gt;".",Irr!AW17&lt;&gt;".",Irr!BU17&lt;&gt;"."),dir!Z17/((1/1000)*(Irr!Y17+Irr!AW17+Irr!BU17)),IF(AND(Irr!Y17&lt;&gt;".",Irr!AW17&lt;&gt;".",Irr!BU17="."),dir!Z17/((1/1000)*(Irr!Y17+Irr!AW17)),IF(AND(Irr!Y17&lt;&gt;".",Irr!AW17=".",Irr!BU17&lt;&gt;"."),dir!Z17/((1/1000)*(Irr!Y17+Irr!BU17)),IF(AND(Irr!Y17=".",Irr!AW17&lt;&gt;".",Irr!BU17&lt;&gt;"."),dir!Z17/((1/1000)*(Irr!AW17+Irr!BU17)),IF(AND(Irr!Y17=".",Irr!AW17=".",Irr!BU17&lt;&gt;"."),dir!Z17/((1/1000)*(Irr!BU17)),IF(AND(Irr!Y17=".",Irr!AW17&lt;&gt;".",Irr!BU17="."),dir!Z17/((1/1000)*(Irr!AW17)),IF(AND(Irr!Y17&lt;&gt;".",Irr!AW17=".",Irr!BU17="."),dir!Z17/((1/1000)*(Irr!Y17)),IF(AND(Irr!Y17=".",Irr!AW17=".",Irr!BU17="."),dir!Z17*1000)))))))),".")</f>
        <v>4893.4445006222295</v>
      </c>
      <c r="AA17" s="48">
        <f>IFERROR(IF(AND(Irr!Z17&lt;&gt;".",Irr!AX17&lt;&gt;".",Irr!BV17&lt;&gt;"."),dir!AA17/((1/1000)*(Irr!Z17+Irr!AX17+Irr!BV17)),IF(AND(Irr!Z17&lt;&gt;".",Irr!AX17&lt;&gt;".",Irr!BV17="."),dir!AA17/((1/1000)*(Irr!Z17+Irr!AX17)),IF(AND(Irr!Z17&lt;&gt;".",Irr!AX17=".",Irr!BV17&lt;&gt;"."),dir!AA17/((1/1000)*(Irr!Z17+Irr!BV17)),IF(AND(Irr!Z17=".",Irr!AX17&lt;&gt;".",Irr!BV17&lt;&gt;"."),dir!AA17/((1/1000)*(Irr!AX17+Irr!BV17)),IF(AND(Irr!Z17=".",Irr!AX17=".",Irr!BV17&lt;&gt;"."),dir!AA17/((1/1000)*(Irr!BV17)),IF(AND(Irr!Z17=".",Irr!AX17&lt;&gt;".",Irr!BV17="."),dir!AA17/((1/1000)*(Irr!AX17)),IF(AND(Irr!Z17&lt;&gt;".",Irr!AX17=".",Irr!BV17="."),dir!AA17/((1/1000)*(Irr!Z17)),IF(AND(Irr!Z17=".",Irr!AX17=".",Irr!BV17="."),dir!AA17*1000)))))))),".")</f>
        <v>3677.4113427926686</v>
      </c>
      <c r="AB17" s="48">
        <f t="shared" si="15"/>
        <v>648.71152008684805</v>
      </c>
      <c r="AC17" s="48">
        <f>IFERROR(IF(AND(Irr!C17&lt;&gt;".",Irr!AA17&lt;&gt;".",Irr!AY17&lt;&gt;"."),dir!AC17/((1/1000)*(Irr!C17+Irr!AA17+Irr!AY17)),IF(AND(Irr!C17&lt;&gt;".",Irr!AA17&lt;&gt;".",Irr!AY17="."),dir!AC17/((1/1000)*(Irr!C17+Irr!AA17)),IF(AND(Irr!C17&lt;&gt;".",Irr!AA17=".",Irr!AY17&lt;&gt;"."),dir!AC17/((1/1000)*(Irr!C17+Irr!AY17)),IF(AND(Irr!C17=".",Irr!AA17&lt;&gt;".",Irr!AY17&lt;&gt;"."),dir!AC17/((1/1000)*(Irr!AA17+Irr!AY17)),IF(AND(Irr!C17=".",Irr!AA17=".",Irr!AY17&lt;&gt;"."),dir!AC17/((1/1000)*(Irr!AY17)),IF(AND(Irr!C17=".",Irr!AA17&lt;&gt;".",Irr!AY17="."),dir!AC17/((1/1000)*(Irr!AA17)),IF(AND(Irr!C17&lt;&gt;".",Irr!AA17=".",Irr!AY17="."),dir!AC17/((1/1000)*(Irr!C17)),IF(AND(Irr!C17=".",Irr!AA17=".",Irr!AY17="."),dir!AC17*1000)))))))),".")</f>
        <v>11473.934587440404</v>
      </c>
      <c r="AD17" s="48">
        <f>IFERROR(IF(AND(Irr!D17&lt;&gt;".",Irr!AB17&lt;&gt;".",Irr!AZ17&lt;&gt;"."),dir!AD17/((1/1000)*(Irr!D17+Irr!AB17+Irr!AZ17)),IF(AND(Irr!D17&lt;&gt;".",Irr!AB17&lt;&gt;".",Irr!AZ17="."),dir!AD17/((1/1000)*(Irr!D17+Irr!AB17)),IF(AND(Irr!D17&lt;&gt;".",Irr!AB17=".",Irr!AZ17&lt;&gt;"."),dir!AD17/((1/1000)*(Irr!D17+Irr!AZ17)),IF(AND(Irr!D17=".",Irr!AB17&lt;&gt;".",Irr!AZ17&lt;&gt;"."),dir!AD17/((1/1000)*(Irr!AB17+Irr!AZ17)),IF(AND(Irr!D17=".",Irr!AB17=".",Irr!AZ17&lt;&gt;"."),dir!AD17/((1/1000)*(Irr!AZ17)),IF(AND(Irr!D17=".",Irr!AB17&lt;&gt;".",Irr!AZ17="."),dir!AD17/((1/1000)*(Irr!AB17)),IF(AND(Irr!D17&lt;&gt;".",Irr!AB17=".",Irr!AZ17="."),dir!AD17/((1/1000)*(Irr!D17)),IF(AND(Irr!D17=".",Irr!AB17=".",Irr!AZ17="."),dir!AD17*1000)))))))),".")</f>
        <v>16944.484721436413</v>
      </c>
      <c r="AE17" s="48">
        <f>IFERROR(IF(AND(Irr!E17&lt;&gt;".",Irr!AC17&lt;&gt;".",Irr!BA17&lt;&gt;"."),dir!AE17/((1/1000)*(Irr!E17+Irr!AC17+Irr!BA17)),IF(AND(Irr!E17&lt;&gt;".",Irr!AC17&lt;&gt;".",Irr!BA17="."),dir!AE17/((1/1000)*(Irr!E17+Irr!AC17)),IF(AND(Irr!E17&lt;&gt;".",Irr!AC17=".",Irr!BA17&lt;&gt;"."),dir!AE17/((1/1000)*(Irr!E17+Irr!BA17)),IF(AND(Irr!E17=".",Irr!AC17&lt;&gt;".",Irr!BA17&lt;&gt;"."),dir!AE17/((1/1000)*(Irr!AC17+Irr!BA17)),IF(AND(Irr!E17=".",Irr!AC17=".",Irr!BA17&lt;&gt;"."),dir!AE17/((1/1000)*(Irr!BA17)),IF(AND(Irr!E17=".",Irr!AC17&lt;&gt;".",Irr!BA17="."),dir!AE17/((1/1000)*(Irr!AC17)),IF(AND(Irr!E17&lt;&gt;".",Irr!AC17=".",Irr!BA17="."),dir!AE17/((1/1000)*(Irr!E17)),IF(AND(Irr!E17=".",Irr!AC17=".",Irr!BA17="."),dir!AE17*1000)))))))),".")</f>
        <v>31548.950318702806</v>
      </c>
      <c r="AF17" s="48">
        <f>IFERROR(IF(AND(Irr!F17&lt;&gt;".",Irr!AD17&lt;&gt;".",Irr!BB17&lt;&gt;"."),dir!AF17/((1/1000)*(Irr!F17+Irr!AD17+Irr!BB17)),IF(AND(Irr!F17&lt;&gt;".",Irr!AD17&lt;&gt;".",Irr!BB17="."),dir!AF17/((1/1000)*(Irr!F17+Irr!AD17)),IF(AND(Irr!F17&lt;&gt;".",Irr!AD17=".",Irr!BB17&lt;&gt;"."),dir!AF17/((1/1000)*(Irr!F17+Irr!BB17)),IF(AND(Irr!F17=".",Irr!AD17&lt;&gt;".",Irr!BB17&lt;&gt;"."),dir!AF17/((1/1000)*(Irr!AD17+Irr!BB17)),IF(AND(Irr!F17=".",Irr!AD17=".",Irr!BB17&lt;&gt;"."),dir!AF17/((1/1000)*(Irr!BB17)),IF(AND(Irr!F17=".",Irr!AD17&lt;&gt;".",Irr!BB17="."),dir!AF17/((1/1000)*(Irr!AD17)),IF(AND(Irr!F17&lt;&gt;".",Irr!AD17=".",Irr!BB17="."),dir!AF17/((1/1000)*(Irr!F17)),IF(AND(Irr!F17=".",Irr!AD17=".",Irr!BB17="."),dir!AF17*1000)))))))),".")</f>
        <v>28765.922166797831</v>
      </c>
      <c r="AG17" s="48">
        <f>IFERROR(IF(AND(Irr!G17&lt;&gt;".",Irr!AE17&lt;&gt;".",Irr!BC17&lt;&gt;"."),dir!AG17/((1/1000)*(Irr!G17+Irr!AE17+Irr!BC17)),IF(AND(Irr!G17&lt;&gt;".",Irr!AE17&lt;&gt;".",Irr!BC17="."),dir!AG17/((1/1000)*(Irr!G17+Irr!AE17)),IF(AND(Irr!G17&lt;&gt;".",Irr!AE17=".",Irr!BC17&lt;&gt;"."),dir!AG17/((1/1000)*(Irr!G17+Irr!BC17)),IF(AND(Irr!G17=".",Irr!AE17&lt;&gt;".",Irr!BC17&lt;&gt;"."),dir!AG17/((1/1000)*(Irr!AE17+Irr!BC17)),IF(AND(Irr!G17=".",Irr!AE17=".",Irr!BC17&lt;&gt;"."),dir!AG17/((1/1000)*(Irr!BC17)),IF(AND(Irr!G17=".",Irr!AE17&lt;&gt;".",Irr!BC17="."),dir!AG17/((1/1000)*(Irr!AE17)),IF(AND(Irr!G17&lt;&gt;".",Irr!AE17=".",Irr!BC17="."),dir!AG17/((1/1000)*(Irr!G17)),IF(AND(Irr!G17=".",Irr!AE17=".",Irr!BC17="."),dir!AG17*1000)))))))),".")</f>
        <v>28623.638250500026</v>
      </c>
      <c r="AH17" s="48">
        <f>IFERROR(IF(AND(Irr!H17&lt;&gt;".",Irr!AF17&lt;&gt;".",Irr!BD17&lt;&gt;"."),dir!AH17/((1/1000)*(Irr!H17+Irr!AF17+Irr!BD17)),IF(AND(Irr!H17&lt;&gt;".",Irr!AF17&lt;&gt;".",Irr!BD17="."),dir!AH17/((1/1000)*(Irr!H17+Irr!AF17)),IF(AND(Irr!H17&lt;&gt;".",Irr!AF17=".",Irr!BD17&lt;&gt;"."),dir!AH17/((1/1000)*(Irr!H17+Irr!BD17)),IF(AND(Irr!H17=".",Irr!AF17&lt;&gt;".",Irr!BD17&lt;&gt;"."),dir!AH17/((1/1000)*(Irr!AF17+Irr!BD17)),IF(AND(Irr!H17=".",Irr!AF17=".",Irr!BD17&lt;&gt;"."),dir!AH17/((1/1000)*(Irr!BD17)),IF(AND(Irr!H17=".",Irr!AF17&lt;&gt;".",Irr!BD17="."),dir!AH17/((1/1000)*(Irr!AF17)),IF(AND(Irr!H17&lt;&gt;".",Irr!AF17=".",Irr!BD17="."),dir!AH17/((1/1000)*(Irr!H17)),IF(AND(Irr!H17=".",Irr!AF17=".",Irr!BD17="."),dir!AH17*1000)))))))),".")</f>
        <v>7998.4627394997897</v>
      </c>
      <c r="AI17" s="48">
        <f>IFERROR(IF(AND(Irr!I17&lt;&gt;".",Irr!AG17&lt;&gt;".",Irr!BE17&lt;&gt;"."),dir!AI17/((1/1000)*(Irr!I17+Irr!AG17+Irr!BE17)),IF(AND(Irr!I17&lt;&gt;".",Irr!AG17&lt;&gt;".",Irr!BE17="."),dir!AI17/((1/1000)*(Irr!I17+Irr!AG17)),IF(AND(Irr!I17&lt;&gt;".",Irr!AG17=".",Irr!BE17&lt;&gt;"."),dir!AI17/((1/1000)*(Irr!I17+Irr!BE17)),IF(AND(Irr!I17=".",Irr!AG17&lt;&gt;".",Irr!BE17&lt;&gt;"."),dir!AI17/((1/1000)*(Irr!AG17+Irr!BE17)),IF(AND(Irr!I17=".",Irr!AG17=".",Irr!BE17&lt;&gt;"."),dir!AI17/((1/1000)*(Irr!BE17)),IF(AND(Irr!I17=".",Irr!AG17&lt;&gt;".",Irr!BE17="."),dir!AI17/((1/1000)*(Irr!AG17)),IF(AND(Irr!I17&lt;&gt;".",Irr!AG17=".",Irr!BE17="."),dir!AI17/((1/1000)*(Irr!I17)),IF(AND(Irr!I17=".",Irr!AG17=".",Irr!BE17="."),dir!AI17*1000)))))))),".")</f>
        <v>40812.148387325258</v>
      </c>
      <c r="AJ17" s="48">
        <f>IFERROR(IF(AND(Irr!J17&lt;&gt;".",Irr!AH17&lt;&gt;".",Irr!BF17&lt;&gt;"."),dir!AJ17/((1/1000)*(Irr!J17+Irr!AH17+Irr!BF17)),IF(AND(Irr!J17&lt;&gt;".",Irr!AH17&lt;&gt;".",Irr!BF17="."),dir!AJ17/((1/1000)*(Irr!J17+Irr!AH17)),IF(AND(Irr!J17&lt;&gt;".",Irr!AH17=".",Irr!BF17&lt;&gt;"."),dir!AJ17/((1/1000)*(Irr!J17+Irr!BF17)),IF(AND(Irr!J17=".",Irr!AH17&lt;&gt;".",Irr!BF17&lt;&gt;"."),dir!AJ17/((1/1000)*(Irr!AH17+Irr!BF17)),IF(AND(Irr!J17=".",Irr!AH17=".",Irr!BF17&lt;&gt;"."),dir!AJ17/((1/1000)*(Irr!BF17)),IF(AND(Irr!J17=".",Irr!AH17&lt;&gt;".",Irr!BF17="."),dir!AJ17/((1/1000)*(Irr!AH17)),IF(AND(Irr!J17&lt;&gt;".",Irr!AH17=".",Irr!BF17="."),dir!AJ17/((1/1000)*(Irr!J17)),IF(AND(Irr!J17=".",Irr!AH17=".",Irr!BF17="."),dir!AJ17*1000)))))))),".")</f>
        <v>3316.0028527329673</v>
      </c>
      <c r="AK17" s="48">
        <f>IFERROR(IF(AND(Irr!K17&lt;&gt;".",Irr!AI17&lt;&gt;".",Irr!BG17&lt;&gt;"."),dir!AK17/((1/1000)*(Irr!K17+Irr!AI17+Irr!BG17)),IF(AND(Irr!K17&lt;&gt;".",Irr!AI17&lt;&gt;".",Irr!BG17="."),dir!AK17/((1/1000)*(Irr!K17+Irr!AI17)),IF(AND(Irr!K17&lt;&gt;".",Irr!AI17=".",Irr!BG17&lt;&gt;"."),dir!AK17/((1/1000)*(Irr!K17+Irr!BG17)),IF(AND(Irr!K17=".",Irr!AI17&lt;&gt;".",Irr!BG17&lt;&gt;"."),dir!AK17/((1/1000)*(Irr!AI17+Irr!BG17)),IF(AND(Irr!K17=".",Irr!AI17=".",Irr!BG17&lt;&gt;"."),dir!AK17/((1/1000)*(Irr!BG17)),IF(AND(Irr!K17=".",Irr!AI17&lt;&gt;".",Irr!BG17="."),dir!AK17/((1/1000)*(Irr!AI17)),IF(AND(Irr!K17&lt;&gt;".",Irr!AI17=".",Irr!BG17="."),dir!AK17/((1/1000)*(Irr!K17)),IF(AND(Irr!K17=".",Irr!AI17=".",Irr!BG17="."),dir!AK17*1000)))))))),".")</f>
        <v>14093.670048587612</v>
      </c>
      <c r="AL17" s="48">
        <f>IFERROR(IF(AND(Irr!L17&lt;&gt;".",Irr!AJ17&lt;&gt;".",Irr!BH17&lt;&gt;"."),dir!AL17/((1/1000)*(Irr!L17+Irr!AJ17+Irr!BH17)),IF(AND(Irr!L17&lt;&gt;".",Irr!AJ17&lt;&gt;".",Irr!BH17="."),dir!AL17/((1/1000)*(Irr!L17+Irr!AJ17)),IF(AND(Irr!L17&lt;&gt;".",Irr!AJ17=".",Irr!BH17&lt;&gt;"."),dir!AL17/((1/1000)*(Irr!L17+Irr!BH17)),IF(AND(Irr!L17=".",Irr!AJ17&lt;&gt;".",Irr!BH17&lt;&gt;"."),dir!AL17/((1/1000)*(Irr!AJ17+Irr!BH17)),IF(AND(Irr!L17=".",Irr!AJ17=".",Irr!BH17&lt;&gt;"."),dir!AL17/((1/1000)*(Irr!BH17)),IF(AND(Irr!L17=".",Irr!AJ17&lt;&gt;".",Irr!BH17="."),dir!AL17/((1/1000)*(Irr!AJ17)),IF(AND(Irr!L17&lt;&gt;".",Irr!AJ17=".",Irr!BH17="."),dir!AL17/((1/1000)*(Irr!L17)),IF(AND(Irr!L17=".",Irr!AJ17=".",Irr!BH17="."),dir!AL17*1000)))))))),".")</f>
        <v>18868.221076276044</v>
      </c>
      <c r="AM17" s="48">
        <f>IFERROR(IF(AND(Irr!M17&lt;&gt;".",Irr!AK17&lt;&gt;".",Irr!BI17&lt;&gt;"."),dir!AM17/((1/1000)*(Irr!M17+Irr!AK17+Irr!BI17)),IF(AND(Irr!M17&lt;&gt;".",Irr!AK17&lt;&gt;".",Irr!BI17="."),dir!AM17/((1/1000)*(Irr!M17+Irr!AK17)),IF(AND(Irr!M17&lt;&gt;".",Irr!AK17=".",Irr!BI17&lt;&gt;"."),dir!AM17/((1/1000)*(Irr!M17+Irr!BI17)),IF(AND(Irr!M17=".",Irr!AK17&lt;&gt;".",Irr!BI17&lt;&gt;"."),dir!AM17/((1/1000)*(Irr!AK17+Irr!BI17)),IF(AND(Irr!M17=".",Irr!AK17=".",Irr!BI17&lt;&gt;"."),dir!AM17/((1/1000)*(Irr!BI17)),IF(AND(Irr!M17=".",Irr!AK17&lt;&gt;".",Irr!BI17="."),dir!AM17/((1/1000)*(Irr!AK17)),IF(AND(Irr!M17&lt;&gt;".",Irr!AK17=".",Irr!BI17="."),dir!AM17/((1/1000)*(Irr!M17)),IF(AND(Irr!M17=".",Irr!AK17=".",Irr!BI17="."),dir!AM17*1000)))))))),".")</f>
        <v>17091.438732517563</v>
      </c>
      <c r="AN17" s="48">
        <f>IFERROR(IF(AND(Irr!N17&lt;&gt;".",Irr!AL17&lt;&gt;".",Irr!BJ17&lt;&gt;"."),dir!AN17/((1/1000)*(Irr!N17+Irr!AL17+Irr!BJ17)),IF(AND(Irr!N17&lt;&gt;".",Irr!AL17&lt;&gt;".",Irr!BJ17="."),dir!AN17/((1/1000)*(Irr!N17+Irr!AL17)),IF(AND(Irr!N17&lt;&gt;".",Irr!AL17=".",Irr!BJ17&lt;&gt;"."),dir!AN17/((1/1000)*(Irr!N17+Irr!BJ17)),IF(AND(Irr!N17=".",Irr!AL17&lt;&gt;".",Irr!BJ17&lt;&gt;"."),dir!AN17/((1/1000)*(Irr!AL17+Irr!BJ17)),IF(AND(Irr!N17=".",Irr!AL17=".",Irr!BJ17&lt;&gt;"."),dir!AN17/((1/1000)*(Irr!BJ17)),IF(AND(Irr!N17=".",Irr!AL17&lt;&gt;".",Irr!BJ17="."),dir!AN17/((1/1000)*(Irr!AL17)),IF(AND(Irr!N17&lt;&gt;".",Irr!AL17=".",Irr!BJ17="."),dir!AN17/((1/1000)*(Irr!N17)),IF(AND(Irr!N17=".",Irr!AL17=".",Irr!BJ17="."),dir!AN17*1000)))))))),".")</f>
        <v>32914.709033321298</v>
      </c>
      <c r="AO17" s="48">
        <f>IFERROR(IF(AND(Irr!O17&lt;&gt;".",Irr!AM17&lt;&gt;".",Irr!BK17&lt;&gt;"."),dir!AO17/((1/1000)*(Irr!O17+Irr!AM17+Irr!BK17)),IF(AND(Irr!O17&lt;&gt;".",Irr!AM17&lt;&gt;".",Irr!BK17="."),dir!AO17/((1/1000)*(Irr!O17+Irr!AM17)),IF(AND(Irr!O17&lt;&gt;".",Irr!AM17=".",Irr!BK17&lt;&gt;"."),dir!AO17/((1/1000)*(Irr!O17+Irr!BK17)),IF(AND(Irr!O17=".",Irr!AM17&lt;&gt;".",Irr!BK17&lt;&gt;"."),dir!AO17/((1/1000)*(Irr!AM17+Irr!BK17)),IF(AND(Irr!O17=".",Irr!AM17=".",Irr!BK17&lt;&gt;"."),dir!AO17/((1/1000)*(Irr!BK17)),IF(AND(Irr!O17=".",Irr!AM17&lt;&gt;".",Irr!BK17="."),dir!AO17/((1/1000)*(Irr!AM17)),IF(AND(Irr!O17&lt;&gt;".",Irr!AM17=".",Irr!BK17="."),dir!AO17/((1/1000)*(Irr!O17)),IF(AND(Irr!O17=".",Irr!AM17=".",Irr!BK17="."),dir!AO17*1000)))))))),".")</f>
        <v>35065.144114496557</v>
      </c>
      <c r="AP17" s="48">
        <f>IFERROR(IF(AND(Irr!P17&lt;&gt;".",Irr!AN17&lt;&gt;".",Irr!BL17&lt;&gt;"."),dir!AP17/((1/1000)*(Irr!P17+Irr!AN17+Irr!BL17)),IF(AND(Irr!P17&lt;&gt;".",Irr!AN17&lt;&gt;".",Irr!BL17="."),dir!AP17/((1/1000)*(Irr!P17+Irr!AN17)),IF(AND(Irr!P17&lt;&gt;".",Irr!AN17=".",Irr!BL17&lt;&gt;"."),dir!AP17/((1/1000)*(Irr!P17+Irr!BL17)),IF(AND(Irr!P17=".",Irr!AN17&lt;&gt;".",Irr!BL17&lt;&gt;"."),dir!AP17/((1/1000)*(Irr!AN17+Irr!BL17)),IF(AND(Irr!P17=".",Irr!AN17=".",Irr!BL17&lt;&gt;"."),dir!AP17/((1/1000)*(Irr!BL17)),IF(AND(Irr!P17=".",Irr!AN17&lt;&gt;".",Irr!BL17="."),dir!AP17/((1/1000)*(Irr!AN17)),IF(AND(Irr!P17&lt;&gt;".",Irr!AN17=".",Irr!BL17="."),dir!AP17/((1/1000)*(Irr!P17)),IF(AND(Irr!P17=".",Irr!AN17=".",Irr!BL17="."),dir!AP17*1000)))))))),".")</f>
        <v>38341.49560272065</v>
      </c>
      <c r="AQ17" s="48">
        <f>IFERROR(IF(AND(Irr!Q17&lt;&gt;".",Irr!AO17&lt;&gt;".",Irr!BM17&lt;&gt;"."),dir!AQ17/((1/1000)*(Irr!Q17+Irr!AO17+Irr!BM17)),IF(AND(Irr!Q17&lt;&gt;".",Irr!AO17&lt;&gt;".",Irr!BM17="."),dir!AQ17/((1/1000)*(Irr!Q17+Irr!AO17)),IF(AND(Irr!Q17&lt;&gt;".",Irr!AO17=".",Irr!BM17&lt;&gt;"."),dir!AQ17/((1/1000)*(Irr!Q17+Irr!BM17)),IF(AND(Irr!Q17=".",Irr!AO17&lt;&gt;".",Irr!BM17&lt;&gt;"."),dir!AQ17/((1/1000)*(Irr!AO17+Irr!BM17)),IF(AND(Irr!Q17=".",Irr!AO17=".",Irr!BM17&lt;&gt;"."),dir!AQ17/((1/1000)*(Irr!BM17)),IF(AND(Irr!Q17=".",Irr!AO17&lt;&gt;".",Irr!BM17="."),dir!AQ17/((1/1000)*(Irr!AO17)),IF(AND(Irr!Q17&lt;&gt;".",Irr!AO17=".",Irr!BM17="."),dir!AQ17/((1/1000)*(Irr!Q17)),IF(AND(Irr!Q17=".",Irr!AO17=".",Irr!BM17="."),dir!AQ17*1000)))))))),".")</f>
        <v>9449.2417501858527</v>
      </c>
      <c r="AR17" s="48">
        <f>IFERROR(IF(AND(Irr!R17&lt;&gt;".",Irr!AP17&lt;&gt;".",Irr!BN17&lt;&gt;"."),dir!AR17/((1/1000)*(Irr!R17+Irr!AP17+Irr!BN17)),IF(AND(Irr!R17&lt;&gt;".",Irr!AP17&lt;&gt;".",Irr!BN17="."),dir!AR17/((1/1000)*(Irr!R17+Irr!AP17)),IF(AND(Irr!R17&lt;&gt;".",Irr!AP17=".",Irr!BN17&lt;&gt;"."),dir!AR17/((1/1000)*(Irr!R17+Irr!BN17)),IF(AND(Irr!R17=".",Irr!AP17&lt;&gt;".",Irr!BN17&lt;&gt;"."),dir!AR17/((1/1000)*(Irr!AP17+Irr!BN17)),IF(AND(Irr!R17=".",Irr!AP17=".",Irr!BN17&lt;&gt;"."),dir!AR17/((1/1000)*(Irr!BN17)),IF(AND(Irr!R17=".",Irr!AP17&lt;&gt;".",Irr!BN17="."),dir!AR17/((1/1000)*(Irr!AP17)),IF(AND(Irr!R17&lt;&gt;".",Irr!AP17=".",Irr!BN17="."),dir!AR17/((1/1000)*(Irr!R17)),IF(AND(Irr!R17=".",Irr!AP17=".",Irr!BN17="."),dir!AR17*1000)))))))),".")</f>
        <v>15534.499639761751</v>
      </c>
      <c r="AS17" s="48">
        <f>IFERROR(IF(AND(Irr!S17&lt;&gt;".",Irr!AQ17&lt;&gt;".",Irr!BO17&lt;&gt;"."),dir!AS17/((1/1000)*(Irr!S17+Irr!AQ17+Irr!BO17)),IF(AND(Irr!S17&lt;&gt;".",Irr!AQ17&lt;&gt;".",Irr!BO17="."),dir!AS17/((1/1000)*(Irr!S17+Irr!AQ17)),IF(AND(Irr!S17&lt;&gt;".",Irr!AQ17=".",Irr!BO17&lt;&gt;"."),dir!AS17/((1/1000)*(Irr!S17+Irr!BO17)),IF(AND(Irr!S17=".",Irr!AQ17&lt;&gt;".",Irr!BO17&lt;&gt;"."),dir!AS17/((1/1000)*(Irr!AQ17+Irr!BO17)),IF(AND(Irr!S17=".",Irr!AQ17=".",Irr!BO17&lt;&gt;"."),dir!AS17/((1/1000)*(Irr!BO17)),IF(AND(Irr!S17=".",Irr!AQ17&lt;&gt;".",Irr!BO17="."),dir!AS17/((1/1000)*(Irr!AQ17)),IF(AND(Irr!S17&lt;&gt;".",Irr!AQ17=".",Irr!BO17="."),dir!AS17/((1/1000)*(Irr!S17)),IF(AND(Irr!S17=".",Irr!AQ17=".",Irr!BO17="."),dir!AS17*1000)))))))),".")</f>
        <v>32351.550634930569</v>
      </c>
      <c r="AT17" s="48">
        <f>IFERROR(IF(AND(Irr!T17&lt;&gt;".",Irr!AR17&lt;&gt;".",Irr!BP17&lt;&gt;"."),dir!AT17/((1/1000)*(Irr!T17+Irr!AR17+Irr!BP17)),IF(AND(Irr!T17&lt;&gt;".",Irr!AR17&lt;&gt;".",Irr!BP17="."),dir!AT17/((1/1000)*(Irr!T17+Irr!AR17)),IF(AND(Irr!T17&lt;&gt;".",Irr!AR17=".",Irr!BP17&lt;&gt;"."),dir!AT17/((1/1000)*(Irr!T17+Irr!BP17)),IF(AND(Irr!T17=".",Irr!AR17&lt;&gt;".",Irr!BP17&lt;&gt;"."),dir!AT17/((1/1000)*(Irr!AR17+Irr!BP17)),IF(AND(Irr!T17=".",Irr!AR17=".",Irr!BP17&lt;&gt;"."),dir!AT17/((1/1000)*(Irr!BP17)),IF(AND(Irr!T17=".",Irr!AR17&lt;&gt;".",Irr!BP17="."),dir!AT17/((1/1000)*(Irr!AR17)),IF(AND(Irr!T17&lt;&gt;".",Irr!AR17=".",Irr!BP17="."),dir!AT17/((1/1000)*(Irr!T17)),IF(AND(Irr!T17=".",Irr!AR17=".",Irr!BP17="."),dir!AT17*1000)))))))),".")</f>
        <v>8114.2614564318574</v>
      </c>
      <c r="AU17" s="48">
        <f>IFERROR(IF(AND(Irr!U17&lt;&gt;".",Irr!AS17&lt;&gt;".",Irr!BQ17&lt;&gt;"."),dir!AU17/((1/1000)*(Irr!U17+Irr!AS17+Irr!BQ17)),IF(AND(Irr!U17&lt;&gt;".",Irr!AS17&lt;&gt;".",Irr!BQ17="."),dir!AU17/((1/1000)*(Irr!U17+Irr!AS17)),IF(AND(Irr!U17&lt;&gt;".",Irr!AS17=".",Irr!BQ17&lt;&gt;"."),dir!AU17/((1/1000)*(Irr!U17+Irr!BQ17)),IF(AND(Irr!U17=".",Irr!AS17&lt;&gt;".",Irr!BQ17&lt;&gt;"."),dir!AU17/((1/1000)*(Irr!AS17+Irr!BQ17)),IF(AND(Irr!U17=".",Irr!AS17=".",Irr!BQ17&lt;&gt;"."),dir!AU17/((1/1000)*(Irr!BQ17)),IF(AND(Irr!U17=".",Irr!AS17&lt;&gt;".",Irr!BQ17="."),dir!AU17/((1/1000)*(Irr!AS17)),IF(AND(Irr!U17&lt;&gt;".",Irr!AS17=".",Irr!BQ17="."),dir!AU17/((1/1000)*(Irr!U17)),IF(AND(Irr!U17=".",Irr!AS17=".",Irr!BQ17="."),dir!AU17*1000)))))))),".")</f>
        <v>15004.422938876884</v>
      </c>
      <c r="AV17" s="48">
        <f>IFERROR(IF(AND(Irr!V17&lt;&gt;".",Irr!AT17&lt;&gt;".",Irr!BR17&lt;&gt;"."),dir!AV17/((1/1000)*(Irr!V17+Irr!AT17+Irr!BR17)),IF(AND(Irr!V17&lt;&gt;".",Irr!AT17&lt;&gt;".",Irr!BR17="."),dir!AV17/((1/1000)*(Irr!V17+Irr!AT17)),IF(AND(Irr!V17&lt;&gt;".",Irr!AT17=".",Irr!BR17&lt;&gt;"."),dir!AV17/((1/1000)*(Irr!V17+Irr!BR17)),IF(AND(Irr!V17=".",Irr!AT17&lt;&gt;".",Irr!BR17&lt;&gt;"."),dir!AV17/((1/1000)*(Irr!AT17+Irr!BR17)),IF(AND(Irr!V17=".",Irr!AT17=".",Irr!BR17&lt;&gt;"."),dir!AV17/((1/1000)*(Irr!BR17)),IF(AND(Irr!V17=".",Irr!AT17&lt;&gt;".",Irr!BR17="."),dir!AV17/((1/1000)*(Irr!AT17)),IF(AND(Irr!V17&lt;&gt;".",Irr!AT17=".",Irr!BR17="."),dir!AV17/((1/1000)*(Irr!V17)),IF(AND(Irr!V17=".",Irr!AT17=".",Irr!BR17="."),dir!AV17*1000)))))))),".")</f>
        <v>19275.535083031995</v>
      </c>
      <c r="AW17" s="48">
        <f>IFERROR(IF(AND(Irr!W17&lt;&gt;".",Irr!AU17&lt;&gt;".",Irr!BS17&lt;&gt;"."),dir!AW17/((1/1000)*(Irr!W17+Irr!AU17+Irr!BS17)),IF(AND(Irr!W17&lt;&gt;".",Irr!AU17&lt;&gt;".",Irr!BS17="."),dir!AW17/((1/1000)*(Irr!W17+Irr!AU17)),IF(AND(Irr!W17&lt;&gt;".",Irr!AU17=".",Irr!BS17&lt;&gt;"."),dir!AW17/((1/1000)*(Irr!W17+Irr!BS17)),IF(AND(Irr!W17=".",Irr!AU17&lt;&gt;".",Irr!BS17&lt;&gt;"."),dir!AW17/((1/1000)*(Irr!AU17+Irr!BS17)),IF(AND(Irr!W17=".",Irr!AU17=".",Irr!BS17&lt;&gt;"."),dir!AW17/((1/1000)*(Irr!BS17)),IF(AND(Irr!W17=".",Irr!AU17&lt;&gt;".",Irr!BS17="."),dir!AW17/((1/1000)*(Irr!AU17)),IF(AND(Irr!W17&lt;&gt;".",Irr!AU17=".",Irr!BS17="."),dir!AW17/((1/1000)*(Irr!W17)),IF(AND(Irr!W17=".",Irr!AU17=".",Irr!BS17="."),dir!AW17*1000)))))))),".")</f>
        <v>25364.636447897727</v>
      </c>
      <c r="AX17" s="48">
        <f>IFERROR(IF(AND(Irr!X17&lt;&gt;".",Irr!AV17&lt;&gt;".",Irr!BT17&lt;&gt;"."),dir!AX17/((1/1000)*(Irr!X17+Irr!AV17+Irr!BT17)),IF(AND(Irr!X17&lt;&gt;".",Irr!AV17&lt;&gt;".",Irr!BT17="."),dir!AX17/((1/1000)*(Irr!X17+Irr!AV17)),IF(AND(Irr!X17&lt;&gt;".",Irr!AV17=".",Irr!BT17&lt;&gt;"."),dir!AX17/((1/1000)*(Irr!X17+Irr!BT17)),IF(AND(Irr!X17=".",Irr!AV17&lt;&gt;".",Irr!BT17&lt;&gt;"."),dir!AX17/((1/1000)*(Irr!AV17+Irr!BT17)),IF(AND(Irr!X17=".",Irr!AV17=".",Irr!BT17&lt;&gt;"."),dir!AX17/((1/1000)*(Irr!BT17)),IF(AND(Irr!X17=".",Irr!AV17&lt;&gt;".",Irr!BT17="."),dir!AX17/((1/1000)*(Irr!AV17)),IF(AND(Irr!X17&lt;&gt;".",Irr!AV17=".",Irr!BT17="."),dir!AX17/((1/1000)*(Irr!X17)),IF(AND(Irr!X17=".",Irr!AV17=".",Irr!BT17="."),dir!AX17*1000)))))))),".")</f>
        <v>10739.962694293212</v>
      </c>
      <c r="AY17" s="48">
        <f>IFERROR(IF(AND(Irr!Y17&lt;&gt;".",Irr!AW17&lt;&gt;".",Irr!BU17&lt;&gt;"."),dir!AY17/((1/1000)*(Irr!Y17+Irr!AW17+Irr!BU17)),IF(AND(Irr!Y17&lt;&gt;".",Irr!AW17&lt;&gt;".",Irr!BU17="."),dir!AY17/((1/1000)*(Irr!Y17+Irr!AW17)),IF(AND(Irr!Y17&lt;&gt;".",Irr!AW17=".",Irr!BU17&lt;&gt;"."),dir!AY17/((1/1000)*(Irr!Y17+Irr!BU17)),IF(AND(Irr!Y17=".",Irr!AW17&lt;&gt;".",Irr!BU17&lt;&gt;"."),dir!AY17/((1/1000)*(Irr!AW17+Irr!BU17)),IF(AND(Irr!Y17=".",Irr!AW17=".",Irr!BU17&lt;&gt;"."),dir!AY17/((1/1000)*(Irr!BU17)),IF(AND(Irr!Y17=".",Irr!AW17&lt;&gt;".",Irr!BU17="."),dir!AY17/((1/1000)*(Irr!AW17)),IF(AND(Irr!Y17&lt;&gt;".",Irr!AW17=".",Irr!BU17="."),dir!AY17/((1/1000)*(Irr!Y17)),IF(AND(Irr!Y17=".",Irr!AW17=".",Irr!BU17="."),dir!AY17*1000)))))))),".")</f>
        <v>3831.5405830715777</v>
      </c>
      <c r="AZ17" s="48">
        <f>IFERROR(IF(AND(Irr!Z17&lt;&gt;".",Irr!AX17&lt;&gt;".",Irr!BV17&lt;&gt;"."),dir!AZ17/((1/1000)*(Irr!Z17+Irr!AX17+Irr!BV17)),IF(AND(Irr!Z17&lt;&gt;".",Irr!AX17&lt;&gt;".",Irr!BV17="."),dir!AZ17/((1/1000)*(Irr!Z17+Irr!AX17)),IF(AND(Irr!Z17&lt;&gt;".",Irr!AX17=".",Irr!BV17&lt;&gt;"."),dir!AZ17/((1/1000)*(Irr!Z17+Irr!BV17)),IF(AND(Irr!Z17=".",Irr!AX17&lt;&gt;".",Irr!BV17&lt;&gt;"."),dir!AZ17/((1/1000)*(Irr!AX17+Irr!BV17)),IF(AND(Irr!Z17=".",Irr!AX17=".",Irr!BV17&lt;&gt;"."),dir!AZ17/((1/1000)*(Irr!BV17)),IF(AND(Irr!Z17=".",Irr!AX17&lt;&gt;".",Irr!BV17="."),dir!AZ17/((1/1000)*(Irr!AX17)),IF(AND(Irr!Z17&lt;&gt;".",Irr!AX17=".",Irr!BV17="."),dir!AZ17/((1/1000)*(Irr!Z17)),IF(AND(Irr!Z17=".",Irr!AX17=".",Irr!BV17="."),dir!AZ17*1000)))))))),".")</f>
        <v>3518.5752026911023</v>
      </c>
    </row>
    <row r="18" spans="1:52" ht="15" customHeight="1" x14ac:dyDescent="0.25">
      <c r="A18" s="61" t="s">
        <v>16</v>
      </c>
      <c r="B18" s="49" t="s">
        <v>1059</v>
      </c>
      <c r="C18" s="48">
        <f t="shared" ref="C18:C21" si="16">IFERROR(1/SUM(1/D18,1/E18,1/F18,1/G18,1/H18,1/I18,1/J18,1/K18,1/L18,1/M18,1/N18,1/O18,1/P18,1/Q18,1/R18,1/S18,1/T18,1/U18,1/V18,1/W18,1/X18,1/Y18),".")</f>
        <v>8.9583750713561949E-2</v>
      </c>
      <c r="D18" s="48">
        <f>IFERROR(IF(AND(Irr!C18&lt;&gt;".",Irr!AA18&lt;&gt;".",Irr!AY18&lt;&gt;"."),dir!D18/((1/1000)*(Irr!C18+Irr!AA18+Irr!AY18)),IF(AND(Irr!C18&lt;&gt;".",Irr!AA18&lt;&gt;".",Irr!AY18="."),dir!D18/((1/1000)*(Irr!C18+Irr!AA18)),IF(AND(Irr!C18&lt;&gt;".",Irr!AA18=".",Irr!AY18&lt;&gt;"."),dir!D18/((1/1000)*(Irr!C18+Irr!AY18)),IF(AND(Irr!C18=".",Irr!AA18&lt;&gt;".",Irr!AY18&lt;&gt;"."),dir!D18/((1/1000)*(Irr!AA18+Irr!AY18)),IF(AND(Irr!C18=".",Irr!AA18=".",Irr!AY18&lt;&gt;"."),dir!D18/((1/1000)*(Irr!AY18)),IF(AND(Irr!C18=".",Irr!AA18&lt;&gt;".",Irr!AY18="."),dir!D18/((1/1000)*(Irr!AA18)),IF(AND(Irr!C18&lt;&gt;".",Irr!AA18=".",Irr!AY18="."),dir!D18/((1/1000)*(Irr!C18)),IF(AND(Irr!C18=".",Irr!AA18=".",Irr!AY18="."),dir!D18*1000)))))))),".")</f>
        <v>1.6456623699225557</v>
      </c>
      <c r="E18" s="48">
        <f>IFERROR(IF(AND(Irr!D18&lt;&gt;".",Irr!AB18&lt;&gt;".",Irr!AZ18&lt;&gt;"."),dir!E18/((1/1000)*(Irr!D18+Irr!AB18+Irr!AZ18)),IF(AND(Irr!D18&lt;&gt;".",Irr!AB18&lt;&gt;".",Irr!AZ18="."),dir!E18/((1/1000)*(Irr!D18+Irr!AB18)),IF(AND(Irr!D18&lt;&gt;".",Irr!AB18=".",Irr!AZ18&lt;&gt;"."),dir!E18/((1/1000)*(Irr!D18+Irr!AZ18)),IF(AND(Irr!D18=".",Irr!AB18&lt;&gt;".",Irr!AZ18&lt;&gt;"."),dir!E18/((1/1000)*(Irr!AB18+Irr!AZ18)),IF(AND(Irr!D18=".",Irr!AB18=".",Irr!AZ18&lt;&gt;"."),dir!E18/((1/1000)*(Irr!AZ18)),IF(AND(Irr!D18=".",Irr!AB18&lt;&gt;".",Irr!AZ18="."),dir!E18/((1/1000)*(Irr!AB18)),IF(AND(Irr!D18&lt;&gt;".",Irr!AB18=".",Irr!AZ18="."),dir!E18/((1/1000)*(Irr!D18)),IF(AND(Irr!D18=".",Irr!AB18=".",Irr!AZ18="."),dir!E18*1000)))))))),".")</f>
        <v>3.417834303440562</v>
      </c>
      <c r="F18" s="48">
        <f>IFERROR(IF(AND(Irr!E18&lt;&gt;".",Irr!AC18&lt;&gt;".",Irr!BA18&lt;&gt;"."),dir!F18/((1/1000)*(Irr!E18+Irr!AC18+Irr!BA18)),IF(AND(Irr!E18&lt;&gt;".",Irr!AC18&lt;&gt;".",Irr!BA18="."),dir!F18/((1/1000)*(Irr!E18+Irr!AC18)),IF(AND(Irr!E18&lt;&gt;".",Irr!AC18=".",Irr!BA18&lt;&gt;"."),dir!F18/((1/1000)*(Irr!E18+Irr!BA18)),IF(AND(Irr!E18=".",Irr!AC18&lt;&gt;".",Irr!BA18&lt;&gt;"."),dir!F18/((1/1000)*(Irr!AC18+Irr!BA18)),IF(AND(Irr!E18=".",Irr!AC18=".",Irr!BA18&lt;&gt;"."),dir!F18/((1/1000)*(Irr!BA18)),IF(AND(Irr!E18=".",Irr!AC18&lt;&gt;".",Irr!BA18="."),dir!F18/((1/1000)*(Irr!AC18)),IF(AND(Irr!E18&lt;&gt;".",Irr!AC18=".",Irr!BA18="."),dir!F18/((1/1000)*(Irr!E18)),IF(AND(Irr!E18=".",Irr!AC18=".",Irr!BA18="."),dir!F18*1000)))))))),".")</f>
        <v>4.2397456737120027</v>
      </c>
      <c r="G18" s="48">
        <f>IFERROR(IF(AND(Irr!F18&lt;&gt;".",Irr!AD18&lt;&gt;".",Irr!BB18&lt;&gt;"."),dir!G18/((1/1000)*(Irr!F18+Irr!AD18+Irr!BB18)),IF(AND(Irr!F18&lt;&gt;".",Irr!AD18&lt;&gt;".",Irr!BB18="."),dir!G18/((1/1000)*(Irr!F18+Irr!AD18)),IF(AND(Irr!F18&lt;&gt;".",Irr!AD18=".",Irr!BB18&lt;&gt;"."),dir!G18/((1/1000)*(Irr!F18+Irr!BB18)),IF(AND(Irr!F18=".",Irr!AD18&lt;&gt;".",Irr!BB18&lt;&gt;"."),dir!G18/((1/1000)*(Irr!AD18+Irr!BB18)),IF(AND(Irr!F18=".",Irr!AD18=".",Irr!BB18&lt;&gt;"."),dir!G18/((1/1000)*(Irr!BB18)),IF(AND(Irr!F18=".",Irr!AD18&lt;&gt;".",Irr!BB18="."),dir!G18/((1/1000)*(Irr!AD18)),IF(AND(Irr!F18&lt;&gt;".",Irr!AD18=".",Irr!BB18="."),dir!G18/((1/1000)*(Irr!F18)),IF(AND(Irr!F18=".",Irr!AD18=".",Irr!BB18="."),dir!G18*1000)))))))),".")</f>
        <v>3.6852535586495616</v>
      </c>
      <c r="H18" s="48">
        <f>IFERROR(IF(AND(Irr!G18&lt;&gt;".",Irr!AE18&lt;&gt;".",Irr!BC18&lt;&gt;"."),dir!H18/((1/1000)*(Irr!G18+Irr!AE18+Irr!BC18)),IF(AND(Irr!G18&lt;&gt;".",Irr!AE18&lt;&gt;".",Irr!BC18="."),dir!H18/((1/1000)*(Irr!G18+Irr!AE18)),IF(AND(Irr!G18&lt;&gt;".",Irr!AE18=".",Irr!BC18&lt;&gt;"."),dir!H18/((1/1000)*(Irr!G18+Irr!BC18)),IF(AND(Irr!G18=".",Irr!AE18&lt;&gt;".",Irr!BC18&lt;&gt;"."),dir!H18/((1/1000)*(Irr!AE18+Irr!BC18)),IF(AND(Irr!G18=".",Irr!AE18=".",Irr!BC18&lt;&gt;"."),dir!H18/((1/1000)*(Irr!BC18)),IF(AND(Irr!G18=".",Irr!AE18&lt;&gt;".",Irr!BC18="."),dir!H18/((1/1000)*(Irr!AE18)),IF(AND(Irr!G18&lt;&gt;".",Irr!AE18=".",Irr!BC18="."),dir!H18/((1/1000)*(Irr!G18)),IF(AND(Irr!G18=".",Irr!AE18=".",Irr!BC18="."),dir!H18*1000)))))))),".")</f>
        <v>4.3294534232879078</v>
      </c>
      <c r="I18" s="48">
        <f>IFERROR(IF(AND(Irr!H18&lt;&gt;".",Irr!AF18&lt;&gt;".",Irr!BD18&lt;&gt;"."),dir!I18/((1/1000)*(Irr!H18+Irr!AF18+Irr!BD18)),IF(AND(Irr!H18&lt;&gt;".",Irr!AF18&lt;&gt;".",Irr!BD18="."),dir!I18/((1/1000)*(Irr!H18+Irr!AF18)),IF(AND(Irr!H18&lt;&gt;".",Irr!AF18=".",Irr!BD18&lt;&gt;"."),dir!I18/((1/1000)*(Irr!H18+Irr!BD18)),IF(AND(Irr!H18=".",Irr!AF18&lt;&gt;".",Irr!BD18&lt;&gt;"."),dir!I18/((1/1000)*(Irr!AF18+Irr!BD18)),IF(AND(Irr!H18=".",Irr!AF18=".",Irr!BD18&lt;&gt;"."),dir!I18/((1/1000)*(Irr!BD18)),IF(AND(Irr!H18=".",Irr!AF18&lt;&gt;".",Irr!BD18="."),dir!I18/((1/1000)*(Irr!AF18)),IF(AND(Irr!H18&lt;&gt;".",Irr!AF18=".",Irr!BD18="."),dir!I18/((1/1000)*(Irr!H18)),IF(AND(Irr!H18=".",Irr!AF18=".",Irr!BD18="."),dir!I18*1000)))))))),".")</f>
        <v>1.5300285361990631</v>
      </c>
      <c r="J18" s="48">
        <f>IFERROR(IF(AND(Irr!I18&lt;&gt;".",Irr!AG18&lt;&gt;".",Irr!BE18&lt;&gt;"."),dir!J18/((1/1000)*(Irr!I18+Irr!AG18+Irr!BE18)),IF(AND(Irr!I18&lt;&gt;".",Irr!AG18&lt;&gt;".",Irr!BE18="."),dir!J18/((1/1000)*(Irr!I18+Irr!AG18)),IF(AND(Irr!I18&lt;&gt;".",Irr!AG18=".",Irr!BE18&lt;&gt;"."),dir!J18/((1/1000)*(Irr!I18+Irr!BE18)),IF(AND(Irr!I18=".",Irr!AG18&lt;&gt;".",Irr!BE18&lt;&gt;"."),dir!J18/((1/1000)*(Irr!AG18+Irr!BE18)),IF(AND(Irr!I18=".",Irr!AG18=".",Irr!BE18&lt;&gt;"."),dir!J18/((1/1000)*(Irr!BE18)),IF(AND(Irr!I18=".",Irr!AG18&lt;&gt;".",Irr!BE18="."),dir!J18/((1/1000)*(Irr!AG18)),IF(AND(Irr!I18&lt;&gt;".",Irr!AG18=".",Irr!BE18="."),dir!J18/((1/1000)*(Irr!I18)),IF(AND(Irr!I18=".",Irr!AG18=".",Irr!BE18="."),dir!J18*1000)))))))),".")</f>
        <v>4.6840917044710713</v>
      </c>
      <c r="K18" s="48">
        <f>IFERROR(IF(AND(Irr!J18&lt;&gt;".",Irr!AH18&lt;&gt;".",Irr!BF18&lt;&gt;"."),dir!K18/((1/1000)*(Irr!J18+Irr!AH18+Irr!BF18)),IF(AND(Irr!J18&lt;&gt;".",Irr!AH18&lt;&gt;".",Irr!BF18="."),dir!K18/((1/1000)*(Irr!J18+Irr!AH18)),IF(AND(Irr!J18&lt;&gt;".",Irr!AH18=".",Irr!BF18&lt;&gt;"."),dir!K18/((1/1000)*(Irr!J18+Irr!BF18)),IF(AND(Irr!J18=".",Irr!AH18&lt;&gt;".",Irr!BF18&lt;&gt;"."),dir!K18/((1/1000)*(Irr!AH18+Irr!BF18)),IF(AND(Irr!J18=".",Irr!AH18=".",Irr!BF18&lt;&gt;"."),dir!K18/((1/1000)*(Irr!BF18)),IF(AND(Irr!J18=".",Irr!AH18&lt;&gt;".",Irr!BF18="."),dir!K18/((1/1000)*(Irr!AH18)),IF(AND(Irr!J18&lt;&gt;".",Irr!AH18=".",Irr!BF18="."),dir!K18/((1/1000)*(Irr!J18)),IF(AND(Irr!J18=".",Irr!AH18=".",Irr!BF18="."),dir!K18*1000)))))))),".")</f>
        <v>0.42675579085702048</v>
      </c>
      <c r="L18" s="48">
        <f>IFERROR(IF(AND(Irr!K18&lt;&gt;".",Irr!AI18&lt;&gt;".",Irr!BG18&lt;&gt;"."),dir!L18/((1/1000)*(Irr!K18+Irr!AI18+Irr!BG18)),IF(AND(Irr!K18&lt;&gt;".",Irr!AI18&lt;&gt;".",Irr!BG18="."),dir!L18/((1/1000)*(Irr!K18+Irr!AI18)),IF(AND(Irr!K18&lt;&gt;".",Irr!AI18=".",Irr!BG18&lt;&gt;"."),dir!L18/((1/1000)*(Irr!K18+Irr!BG18)),IF(AND(Irr!K18=".",Irr!AI18&lt;&gt;".",Irr!BG18&lt;&gt;"."),dir!L18/((1/1000)*(Irr!AI18+Irr!BG18)),IF(AND(Irr!K18=".",Irr!AI18=".",Irr!BG18&lt;&gt;"."),dir!L18/((1/1000)*(Irr!BG18)),IF(AND(Irr!K18=".",Irr!AI18&lt;&gt;".",Irr!BG18="."),dir!L18/((1/1000)*(Irr!AI18)),IF(AND(Irr!K18&lt;&gt;".",Irr!AI18=".",Irr!BG18="."),dir!L18/((1/1000)*(Irr!K18)),IF(AND(Irr!K18=".",Irr!AI18=".",Irr!BG18="."),dir!L18*1000)))))))),".")</f>
        <v>2.3425476868677886</v>
      </c>
      <c r="M18" s="48">
        <f>IFERROR(IF(AND(Irr!L18&lt;&gt;".",Irr!AJ18&lt;&gt;".",Irr!BH18&lt;&gt;"."),dir!M18/((1/1000)*(Irr!L18+Irr!AJ18+Irr!BH18)),IF(AND(Irr!L18&lt;&gt;".",Irr!AJ18&lt;&gt;".",Irr!BH18="."),dir!M18/((1/1000)*(Irr!L18+Irr!AJ18)),IF(AND(Irr!L18&lt;&gt;".",Irr!AJ18=".",Irr!BH18&lt;&gt;"."),dir!M18/((1/1000)*(Irr!L18+Irr!BH18)),IF(AND(Irr!L18=".",Irr!AJ18&lt;&gt;".",Irr!BH18&lt;&gt;"."),dir!M18/((1/1000)*(Irr!AJ18+Irr!BH18)),IF(AND(Irr!L18=".",Irr!AJ18=".",Irr!BH18&lt;&gt;"."),dir!M18/((1/1000)*(Irr!BH18)),IF(AND(Irr!L18=".",Irr!AJ18&lt;&gt;".",Irr!BH18="."),dir!M18/((1/1000)*(Irr!AJ18)),IF(AND(Irr!L18&lt;&gt;".",Irr!AJ18=".",Irr!BH18="."),dir!M18/((1/1000)*(Irr!L18)),IF(AND(Irr!L18=".",Irr!AJ18=".",Irr!BH18="."),dir!M18*1000)))))))),".")</f>
        <v>1.7442545034224144</v>
      </c>
      <c r="N18" s="48">
        <f>IFERROR(IF(AND(Irr!M18&lt;&gt;".",Irr!AK18&lt;&gt;".",Irr!BI18&lt;&gt;"."),dir!N18/((1/1000)*(Irr!M18+Irr!AK18+Irr!BI18)),IF(AND(Irr!M18&lt;&gt;".",Irr!AK18&lt;&gt;".",Irr!BI18="."),dir!N18/((1/1000)*(Irr!M18+Irr!AK18)),IF(AND(Irr!M18&lt;&gt;".",Irr!AK18=".",Irr!BI18&lt;&gt;"."),dir!N18/((1/1000)*(Irr!M18+Irr!BI18)),IF(AND(Irr!M18=".",Irr!AK18&lt;&gt;".",Irr!BI18&lt;&gt;"."),dir!N18/((1/1000)*(Irr!AK18+Irr!BI18)),IF(AND(Irr!M18=".",Irr!AK18=".",Irr!BI18&lt;&gt;"."),dir!N18/((1/1000)*(Irr!BI18)),IF(AND(Irr!M18=".",Irr!AK18&lt;&gt;".",Irr!BI18="."),dir!N18/((1/1000)*(Irr!AK18)),IF(AND(Irr!M18&lt;&gt;".",Irr!AK18=".",Irr!BI18="."),dir!N18/((1/1000)*(Irr!M18)),IF(AND(Irr!M18=".",Irr!AK18=".",Irr!BI18="."),dir!N18*1000)))))))),".")</f>
        <v>3.3686954336560353</v>
      </c>
      <c r="O18" s="48">
        <f>IFERROR(IF(AND(Irr!N18&lt;&gt;".",Irr!AL18&lt;&gt;".",Irr!BJ18&lt;&gt;"."),dir!O18/((1/1000)*(Irr!N18+Irr!AL18+Irr!BJ18)),IF(AND(Irr!N18&lt;&gt;".",Irr!AL18&lt;&gt;".",Irr!BJ18="."),dir!O18/((1/1000)*(Irr!N18+Irr!AL18)),IF(AND(Irr!N18&lt;&gt;".",Irr!AL18=".",Irr!BJ18&lt;&gt;"."),dir!O18/((1/1000)*(Irr!N18+Irr!BJ18)),IF(AND(Irr!N18=".",Irr!AL18&lt;&gt;".",Irr!BJ18&lt;&gt;"."),dir!O18/((1/1000)*(Irr!AL18+Irr!BJ18)),IF(AND(Irr!N18=".",Irr!AL18=".",Irr!BJ18&lt;&gt;"."),dir!O18/((1/1000)*(Irr!BJ18)),IF(AND(Irr!N18=".",Irr!AL18&lt;&gt;".",Irr!BJ18="."),dir!O18/((1/1000)*(Irr!AL18)),IF(AND(Irr!N18&lt;&gt;".",Irr!AL18=".",Irr!BJ18="."),dir!O18/((1/1000)*(Irr!N18)),IF(AND(Irr!N18=".",Irr!AL18=".",Irr!BJ18="."),dir!O18*1000)))))))),".")</f>
        <v>4.2316095674688183</v>
      </c>
      <c r="P18" s="48">
        <f>IFERROR(IF(AND(Irr!O18&lt;&gt;".",Irr!AM18&lt;&gt;".",Irr!BK18&lt;&gt;"."),dir!P18/((1/1000)*(Irr!O18+Irr!AM18+Irr!BK18)),IF(AND(Irr!O18&lt;&gt;".",Irr!AM18&lt;&gt;".",Irr!BK18="."),dir!P18/((1/1000)*(Irr!O18+Irr!AM18)),IF(AND(Irr!O18&lt;&gt;".",Irr!AM18=".",Irr!BK18&lt;&gt;"."),dir!P18/((1/1000)*(Irr!O18+Irr!BK18)),IF(AND(Irr!O18=".",Irr!AM18&lt;&gt;".",Irr!BK18&lt;&gt;"."),dir!P18/((1/1000)*(Irr!AM18+Irr!BK18)),IF(AND(Irr!O18=".",Irr!AM18=".",Irr!BK18&lt;&gt;"."),dir!P18/((1/1000)*(Irr!BK18)),IF(AND(Irr!O18=".",Irr!AM18&lt;&gt;".",Irr!BK18="."),dir!P18/((1/1000)*(Irr!AM18)),IF(AND(Irr!O18&lt;&gt;".",Irr!AM18=".",Irr!BK18="."),dir!P18/((1/1000)*(Irr!O18)),IF(AND(Irr!O18=".",Irr!AM18=".",Irr!BK18="."),dir!P18*1000)))))))),".")</f>
        <v>4.9365455969350283</v>
      </c>
      <c r="Q18" s="48">
        <f>IFERROR(IF(AND(Irr!P18&lt;&gt;".",Irr!AN18&lt;&gt;".",Irr!BL18&lt;&gt;"."),dir!Q18/((1/1000)*(Irr!P18+Irr!AN18+Irr!BL18)),IF(AND(Irr!P18&lt;&gt;".",Irr!AN18&lt;&gt;".",Irr!BL18="."),dir!Q18/((1/1000)*(Irr!P18+Irr!AN18)),IF(AND(Irr!P18&lt;&gt;".",Irr!AN18=".",Irr!BL18&lt;&gt;"."),dir!Q18/((1/1000)*(Irr!P18+Irr!BL18)),IF(AND(Irr!P18=".",Irr!AN18&lt;&gt;".",Irr!BL18&lt;&gt;"."),dir!Q18/((1/1000)*(Irr!AN18+Irr!BL18)),IF(AND(Irr!P18=".",Irr!AN18=".",Irr!BL18&lt;&gt;"."),dir!Q18/((1/1000)*(Irr!BL18)),IF(AND(Irr!P18=".",Irr!AN18&lt;&gt;".",Irr!BL18="."),dir!Q18/((1/1000)*(Irr!AN18)),IF(AND(Irr!P18&lt;&gt;".",Irr!AN18=".",Irr!BL18="."),dir!Q18/((1/1000)*(Irr!P18)),IF(AND(Irr!P18=".",Irr!AN18=".",Irr!BL18="."),dir!Q18*1000)))))))),".")</f>
        <v>6.6662242327052201</v>
      </c>
      <c r="R18" s="48">
        <f>IFERROR(IF(AND(Irr!Q18&lt;&gt;".",Irr!AO18&lt;&gt;".",Irr!BM18&lt;&gt;"."),dir!R18/((1/1000)*(Irr!Q18+Irr!AO18+Irr!BM18)),IF(AND(Irr!Q18&lt;&gt;".",Irr!AO18&lt;&gt;".",Irr!BM18="."),dir!R18/((1/1000)*(Irr!Q18+Irr!AO18)),IF(AND(Irr!Q18&lt;&gt;".",Irr!AO18=".",Irr!BM18&lt;&gt;"."),dir!R18/((1/1000)*(Irr!Q18+Irr!BM18)),IF(AND(Irr!Q18=".",Irr!AO18&lt;&gt;".",Irr!BM18&lt;&gt;"."),dir!R18/((1/1000)*(Irr!AO18+Irr!BM18)),IF(AND(Irr!Q18=".",Irr!AO18=".",Irr!BM18&lt;&gt;"."),dir!R18/((1/1000)*(Irr!BM18)),IF(AND(Irr!Q18=".",Irr!AO18&lt;&gt;".",Irr!BM18="."),dir!R18/((1/1000)*(Irr!AO18)),IF(AND(Irr!Q18&lt;&gt;".",Irr!AO18=".",Irr!BM18="."),dir!R18/((1/1000)*(Irr!Q18)),IF(AND(Irr!Q18=".",Irr!AO18=".",Irr!BM18="."),dir!R18*1000)))))))),".")</f>
        <v>1.052465497756133</v>
      </c>
      <c r="S18" s="48">
        <f>IFERROR(IF(AND(Irr!R18&lt;&gt;".",Irr!AP18&lt;&gt;".",Irr!BN18&lt;&gt;"."),dir!S18/((1/1000)*(Irr!R18+Irr!AP18+Irr!BN18)),IF(AND(Irr!R18&lt;&gt;".",Irr!AP18&lt;&gt;".",Irr!BN18="."),dir!S18/((1/1000)*(Irr!R18+Irr!AP18)),IF(AND(Irr!R18&lt;&gt;".",Irr!AP18=".",Irr!BN18&lt;&gt;"."),dir!S18/((1/1000)*(Irr!R18+Irr!BN18)),IF(AND(Irr!R18=".",Irr!AP18&lt;&gt;".",Irr!BN18&lt;&gt;"."),dir!S18/((1/1000)*(Irr!AP18+Irr!BN18)),IF(AND(Irr!R18=".",Irr!AP18=".",Irr!BN18&lt;&gt;"."),dir!S18/((1/1000)*(Irr!BN18)),IF(AND(Irr!R18=".",Irr!AP18&lt;&gt;".",Irr!BN18="."),dir!S18/((1/1000)*(Irr!AP18)),IF(AND(Irr!R18&lt;&gt;".",Irr!AP18=".",Irr!BN18="."),dir!S18/((1/1000)*(Irr!R18)),IF(AND(Irr!R18=".",Irr!AP18=".",Irr!BN18="."),dir!S18*1000)))))))),".")</f>
        <v>2.1862206307805705</v>
      </c>
      <c r="T18" s="48">
        <f>IFERROR(IF(AND(Irr!S18&lt;&gt;".",Irr!AQ18&lt;&gt;".",Irr!BO18&lt;&gt;"."),dir!T18/((1/1000)*(Irr!S18+Irr!AQ18+Irr!BO18)),IF(AND(Irr!S18&lt;&gt;".",Irr!AQ18&lt;&gt;".",Irr!BO18="."),dir!T18/((1/1000)*(Irr!S18+Irr!AQ18)),IF(AND(Irr!S18&lt;&gt;".",Irr!AQ18=".",Irr!BO18&lt;&gt;"."),dir!T18/((1/1000)*(Irr!S18+Irr!BO18)),IF(AND(Irr!S18=".",Irr!AQ18&lt;&gt;".",Irr!BO18&lt;&gt;"."),dir!T18/((1/1000)*(Irr!AQ18+Irr!BO18)),IF(AND(Irr!S18=".",Irr!AQ18=".",Irr!BO18&lt;&gt;"."),dir!T18/((1/1000)*(Irr!BO18)),IF(AND(Irr!S18=".",Irr!AQ18&lt;&gt;".",Irr!BO18="."),dir!T18/((1/1000)*(Irr!AQ18)),IF(AND(Irr!S18&lt;&gt;".",Irr!AQ18=".",Irr!BO18="."),dir!T18/((1/1000)*(Irr!S18)),IF(AND(Irr!S18=".",Irr!AQ18=".",Irr!BO18="."),dir!T18*1000)))))))),".")</f>
        <v>3.4818211033161863</v>
      </c>
      <c r="U18" s="48">
        <f>IFERROR(IF(AND(Irr!T18&lt;&gt;".",Irr!AR18&lt;&gt;".",Irr!BP18&lt;&gt;"."),dir!U18/((1/1000)*(Irr!T18+Irr!AR18+Irr!BP18)),IF(AND(Irr!T18&lt;&gt;".",Irr!AR18&lt;&gt;".",Irr!BP18="."),dir!U18/((1/1000)*(Irr!T18+Irr!AR18)),IF(AND(Irr!T18&lt;&gt;".",Irr!AR18=".",Irr!BP18&lt;&gt;"."),dir!U18/((1/1000)*(Irr!T18+Irr!BP18)),IF(AND(Irr!T18=".",Irr!AR18&lt;&gt;".",Irr!BP18&lt;&gt;"."),dir!U18/((1/1000)*(Irr!AR18+Irr!BP18)),IF(AND(Irr!T18=".",Irr!AR18=".",Irr!BP18&lt;&gt;"."),dir!U18/((1/1000)*(Irr!BP18)),IF(AND(Irr!T18=".",Irr!AR18&lt;&gt;".",Irr!BP18="."),dir!U18/((1/1000)*(Irr!AR18)),IF(AND(Irr!T18&lt;&gt;".",Irr!AR18=".",Irr!BP18="."),dir!U18/((1/1000)*(Irr!T18)),IF(AND(Irr!T18=".",Irr!AR18=".",Irr!BP18="."),dir!U18*1000)))))))),".")</f>
        <v>1.0678479682925073</v>
      </c>
      <c r="V18" s="48">
        <f>IFERROR(IF(AND(Irr!U18&lt;&gt;".",Irr!AS18&lt;&gt;".",Irr!BQ18&lt;&gt;"."),dir!V18/((1/1000)*(Irr!U18+Irr!AS18+Irr!BQ18)),IF(AND(Irr!U18&lt;&gt;".",Irr!AS18&lt;&gt;".",Irr!BQ18="."),dir!V18/((1/1000)*(Irr!U18+Irr!AS18)),IF(AND(Irr!U18&lt;&gt;".",Irr!AS18=".",Irr!BQ18&lt;&gt;"."),dir!V18/((1/1000)*(Irr!U18+Irr!BQ18)),IF(AND(Irr!U18=".",Irr!AS18&lt;&gt;".",Irr!BQ18&lt;&gt;"."),dir!V18/((1/1000)*(Irr!AS18+Irr!BQ18)),IF(AND(Irr!U18=".",Irr!AS18=".",Irr!BQ18&lt;&gt;"."),dir!V18/((1/1000)*(Irr!BQ18)),IF(AND(Irr!U18=".",Irr!AS18&lt;&gt;".",Irr!BQ18="."),dir!V18/((1/1000)*(Irr!AS18)),IF(AND(Irr!U18&lt;&gt;".",Irr!AS18=".",Irr!BQ18="."),dir!V18/((1/1000)*(Irr!U18)),IF(AND(Irr!U18=".",Irr!AS18=".",Irr!BQ18="."),dir!V18*1000)))))))),".")</f>
        <v>2.0042144660992318</v>
      </c>
      <c r="W18" s="48">
        <f>IFERROR(IF(AND(Irr!V18&lt;&gt;".",Irr!AT18&lt;&gt;".",Irr!BR18&lt;&gt;"."),dir!W18/((1/1000)*(Irr!V18+Irr!AT18+Irr!BR18)),IF(AND(Irr!V18&lt;&gt;".",Irr!AT18&lt;&gt;".",Irr!BR18="."),dir!W18/((1/1000)*(Irr!V18+Irr!AT18)),IF(AND(Irr!V18&lt;&gt;".",Irr!AT18=".",Irr!BR18&lt;&gt;"."),dir!W18/((1/1000)*(Irr!V18+Irr!BR18)),IF(AND(Irr!V18=".",Irr!AT18&lt;&gt;".",Irr!BR18&lt;&gt;"."),dir!W18/((1/1000)*(Irr!AT18+Irr!BR18)),IF(AND(Irr!V18=".",Irr!AT18=".",Irr!BR18&lt;&gt;"."),dir!W18/((1/1000)*(Irr!BR18)),IF(AND(Irr!V18=".",Irr!AT18&lt;&gt;".",Irr!BR18="."),dir!W18/((1/1000)*(Irr!AT18)),IF(AND(Irr!V18&lt;&gt;".",Irr!AT18=".",Irr!BR18="."),dir!W18/((1/1000)*(Irr!V18)),IF(AND(Irr!V18=".",Irr!AT18=".",Irr!BR18="."),dir!W18*1000)))))))),".")</f>
        <v>2.4106709668358315</v>
      </c>
      <c r="X18" s="48">
        <f>IFERROR(IF(AND(Irr!W18&lt;&gt;".",Irr!AU18&lt;&gt;".",Irr!BS18&lt;&gt;"."),dir!X18/((1/1000)*(Irr!W18+Irr!AU18+Irr!BS18)),IF(AND(Irr!W18&lt;&gt;".",Irr!AU18&lt;&gt;".",Irr!BS18="."),dir!X18/((1/1000)*(Irr!W18+Irr!AU18)),IF(AND(Irr!W18&lt;&gt;".",Irr!AU18=".",Irr!BS18&lt;&gt;"."),dir!X18/((1/1000)*(Irr!W18+Irr!BS18)),IF(AND(Irr!W18=".",Irr!AU18&lt;&gt;".",Irr!BS18&lt;&gt;"."),dir!X18/((1/1000)*(Irr!AU18+Irr!BS18)),IF(AND(Irr!W18=".",Irr!AU18=".",Irr!BS18&lt;&gt;"."),dir!X18/((1/1000)*(Irr!BS18)),IF(AND(Irr!W18=".",Irr!AU18&lt;&gt;".",Irr!BS18="."),dir!X18/((1/1000)*(Irr!AU18)),IF(AND(Irr!W18&lt;&gt;".",Irr!AU18=".",Irr!BS18="."),dir!X18/((1/1000)*(Irr!W18)),IF(AND(Irr!W18=".",Irr!AU18=".",Irr!BS18="."),dir!X18*1000)))))))),".")</f>
        <v>3.2648384064909459</v>
      </c>
      <c r="Y18" s="48">
        <f>IFERROR(IF(AND(Irr!X18&lt;&gt;".",Irr!AV18&lt;&gt;".",Irr!BT18&lt;&gt;"."),dir!Y18/((1/1000)*(Irr!X18+Irr!AV18+Irr!BT18)),IF(AND(Irr!X18&lt;&gt;".",Irr!AV18&lt;&gt;".",Irr!BT18="."),dir!Y18/((1/1000)*(Irr!X18+Irr!AV18)),IF(AND(Irr!X18&lt;&gt;".",Irr!AV18=".",Irr!BT18&lt;&gt;"."),dir!Y18/((1/1000)*(Irr!X18+Irr!BT18)),IF(AND(Irr!X18=".",Irr!AV18&lt;&gt;".",Irr!BT18&lt;&gt;"."),dir!Y18/((1/1000)*(Irr!AV18+Irr!BT18)),IF(AND(Irr!X18=".",Irr!AV18=".",Irr!BT18&lt;&gt;"."),dir!Y18/((1/1000)*(Irr!BT18)),IF(AND(Irr!X18=".",Irr!AV18&lt;&gt;".",Irr!BT18="."),dir!Y18/((1/1000)*(Irr!AV18)),IF(AND(Irr!X18&lt;&gt;".",Irr!AV18=".",Irr!BT18="."),dir!Y18/((1/1000)*(Irr!X18)),IF(AND(Irr!X18=".",Irr!AV18=".",Irr!BT18="."),dir!Y18*1000)))))))),".")</f>
        <v>1.7338946109160858</v>
      </c>
      <c r="Z18" s="48">
        <f>IFERROR(IF(AND(Irr!Y18&lt;&gt;".",Irr!AW18&lt;&gt;".",Irr!BU18&lt;&gt;"."),dir!Z18/((1/1000)*(Irr!Y18+Irr!AW18+Irr!BU18)),IF(AND(Irr!Y18&lt;&gt;".",Irr!AW18&lt;&gt;".",Irr!BU18="."),dir!Z18/((1/1000)*(Irr!Y18+Irr!AW18)),IF(AND(Irr!Y18&lt;&gt;".",Irr!AW18=".",Irr!BU18&lt;&gt;"."),dir!Z18/((1/1000)*(Irr!Y18+Irr!BU18)),IF(AND(Irr!Y18=".",Irr!AW18&lt;&gt;".",Irr!BU18&lt;&gt;"."),dir!Z18/((1/1000)*(Irr!AW18+Irr!BU18)),IF(AND(Irr!Y18=".",Irr!AW18=".",Irr!BU18&lt;&gt;"."),dir!Z18/((1/1000)*(Irr!BU18)),IF(AND(Irr!Y18=".",Irr!AW18&lt;&gt;".",Irr!BU18="."),dir!Z18/((1/1000)*(Irr!AW18)),IF(AND(Irr!Y18&lt;&gt;".",Irr!AW18=".",Irr!BU18="."),dir!Z18/((1/1000)*(Irr!Y18)),IF(AND(Irr!Y18=".",Irr!AW18=".",Irr!BU18="."),dir!Z18*1000)))))))),".")</f>
        <v>0.53707221498245095</v>
      </c>
      <c r="AA18" s="48">
        <f>IFERROR(IF(AND(Irr!Z18&lt;&gt;".",Irr!AX18&lt;&gt;".",Irr!BV18&lt;&gt;"."),dir!AA18/((1/1000)*(Irr!Z18+Irr!AX18+Irr!BV18)),IF(AND(Irr!Z18&lt;&gt;".",Irr!AX18&lt;&gt;".",Irr!BV18="."),dir!AA18/((1/1000)*(Irr!Z18+Irr!AX18)),IF(AND(Irr!Z18&lt;&gt;".",Irr!AX18=".",Irr!BV18&lt;&gt;"."),dir!AA18/((1/1000)*(Irr!Z18+Irr!BV18)),IF(AND(Irr!Z18=".",Irr!AX18&lt;&gt;".",Irr!BV18&lt;&gt;"."),dir!AA18/((1/1000)*(Irr!AX18+Irr!BV18)),IF(AND(Irr!Z18=".",Irr!AX18=".",Irr!BV18&lt;&gt;"."),dir!AA18/((1/1000)*(Irr!BV18)),IF(AND(Irr!Z18=".",Irr!AX18&lt;&gt;".",Irr!BV18="."),dir!AA18/((1/1000)*(Irr!AX18)),IF(AND(Irr!Z18&lt;&gt;".",Irr!AX18=".",Irr!BV18="."),dir!AA18/((1/1000)*(Irr!Z18)),IF(AND(Irr!Z18=".",Irr!AX18=".",Irr!BV18="."),dir!AA18*1000)))))))),".")</f>
        <v>0.43095208820443603</v>
      </c>
      <c r="AB18" s="48">
        <f t="shared" ref="AB18:AB21" si="17">IFERROR(1/SUM(1/AC18,1/AD18,1/AE18,1/AF18,1/AG18,1/AH18,1/AI18,1/AJ18,1/AK18,1/AL18,1/AM18,1/AN18,1/AO18,1/AP18,1/AQ18,1/AR18,1/AS18,1/AT18,1/AU18,1/AV18,1/AW18,1/AX18),".")</f>
        <v>8.460167491226174E-2</v>
      </c>
      <c r="AC18" s="48">
        <f>IFERROR(IF(AND(Irr!C18&lt;&gt;".",Irr!AA18&lt;&gt;".",Irr!AY18&lt;&gt;"."),dir!AC18/((1/1000)*(Irr!C18+Irr!AA18+Irr!AY18)),IF(AND(Irr!C18&lt;&gt;".",Irr!AA18&lt;&gt;".",Irr!AY18="."),dir!AC18/((1/1000)*(Irr!C18+Irr!AA18)),IF(AND(Irr!C18&lt;&gt;".",Irr!AA18=".",Irr!AY18&lt;&gt;"."),dir!AC18/((1/1000)*(Irr!C18+Irr!AY18)),IF(AND(Irr!C18=".",Irr!AA18&lt;&gt;".",Irr!AY18&lt;&gt;"."),dir!AC18/((1/1000)*(Irr!AA18+Irr!AY18)),IF(AND(Irr!C18=".",Irr!AA18=".",Irr!AY18&lt;&gt;"."),dir!AC18/((1/1000)*(Irr!AY18)),IF(AND(Irr!C18=".",Irr!AA18&lt;&gt;".",Irr!AY18="."),dir!AC18/((1/1000)*(Irr!AA18)),IF(AND(Irr!C18&lt;&gt;".",Irr!AA18=".",Irr!AY18="."),dir!AC18/((1/1000)*(Irr!C18)),IF(AND(Irr!C18=".",Irr!AA18=".",Irr!AY18="."),dir!AC18*1000)))))))),".")</f>
        <v>1.4297946600221376</v>
      </c>
      <c r="AD18" s="48">
        <f>IFERROR(IF(AND(Irr!D18&lt;&gt;".",Irr!AB18&lt;&gt;".",Irr!AZ18&lt;&gt;"."),dir!AD18/((1/1000)*(Irr!D18+Irr!AB18+Irr!AZ18)),IF(AND(Irr!D18&lt;&gt;".",Irr!AB18&lt;&gt;".",Irr!AZ18="."),dir!AD18/((1/1000)*(Irr!D18+Irr!AB18)),IF(AND(Irr!D18&lt;&gt;".",Irr!AB18=".",Irr!AZ18&lt;&gt;"."),dir!AD18/((1/1000)*(Irr!D18+Irr!AZ18)),IF(AND(Irr!D18=".",Irr!AB18&lt;&gt;".",Irr!AZ18&lt;&gt;"."),dir!AD18/((1/1000)*(Irr!AB18+Irr!AZ18)),IF(AND(Irr!D18=".",Irr!AB18=".",Irr!AZ18&lt;&gt;"."),dir!AD18/((1/1000)*(Irr!AZ18)),IF(AND(Irr!D18=".",Irr!AB18&lt;&gt;".",Irr!AZ18="."),dir!AD18/((1/1000)*(Irr!AB18)),IF(AND(Irr!D18&lt;&gt;".",Irr!AB18=".",Irr!AZ18="."),dir!AD18/((1/1000)*(Irr!D18)),IF(AND(Irr!D18=".",Irr!AB18=".",Irr!AZ18="."),dir!AD18*1000)))))))),".")</f>
        <v>3.2058033385573297</v>
      </c>
      <c r="AE18" s="48">
        <f>IFERROR(IF(AND(Irr!E18&lt;&gt;".",Irr!AC18&lt;&gt;".",Irr!BA18&lt;&gt;"."),dir!AE18/((1/1000)*(Irr!E18+Irr!AC18+Irr!BA18)),IF(AND(Irr!E18&lt;&gt;".",Irr!AC18&lt;&gt;".",Irr!BA18="."),dir!AE18/((1/1000)*(Irr!E18+Irr!AC18)),IF(AND(Irr!E18&lt;&gt;".",Irr!AC18=".",Irr!BA18&lt;&gt;"."),dir!AE18/((1/1000)*(Irr!E18+Irr!BA18)),IF(AND(Irr!E18=".",Irr!AC18&lt;&gt;".",Irr!BA18&lt;&gt;"."),dir!AE18/((1/1000)*(Irr!AC18+Irr!BA18)),IF(AND(Irr!E18=".",Irr!AC18=".",Irr!BA18&lt;&gt;"."),dir!AE18/((1/1000)*(Irr!BA18)),IF(AND(Irr!E18=".",Irr!AC18&lt;&gt;".",Irr!BA18="."),dir!AE18/((1/1000)*(Irr!AC18)),IF(AND(Irr!E18&lt;&gt;".",Irr!AC18=".",Irr!BA18="."),dir!AE18/((1/1000)*(Irr!E18)),IF(AND(Irr!E18=".",Irr!AC18=".",Irr!BA18="."),dir!AE18*1000)))))))),".")</f>
        <v>3.8936439860620444</v>
      </c>
      <c r="AF18" s="48">
        <f>IFERROR(IF(AND(Irr!F18&lt;&gt;".",Irr!AD18&lt;&gt;".",Irr!BB18&lt;&gt;"."),dir!AF18/((1/1000)*(Irr!F18+Irr!AD18+Irr!BB18)),IF(AND(Irr!F18&lt;&gt;".",Irr!AD18&lt;&gt;".",Irr!BB18="."),dir!AF18/((1/1000)*(Irr!F18+Irr!AD18)),IF(AND(Irr!F18&lt;&gt;".",Irr!AD18=".",Irr!BB18&lt;&gt;"."),dir!AF18/((1/1000)*(Irr!F18+Irr!BB18)),IF(AND(Irr!F18=".",Irr!AD18&lt;&gt;".",Irr!BB18&lt;&gt;"."),dir!AF18/((1/1000)*(Irr!AD18+Irr!BB18)),IF(AND(Irr!F18=".",Irr!AD18=".",Irr!BB18&lt;&gt;"."),dir!AF18/((1/1000)*(Irr!BB18)),IF(AND(Irr!F18=".",Irr!AD18&lt;&gt;".",Irr!BB18="."),dir!AF18/((1/1000)*(Irr!AD18)),IF(AND(Irr!F18&lt;&gt;".",Irr!AD18=".",Irr!BB18="."),dir!AF18/((1/1000)*(Irr!F18)),IF(AND(Irr!F18=".",Irr!AD18=".",Irr!BB18="."),dir!AF18*1000)))))))),".")</f>
        <v>3.5845725408631446</v>
      </c>
      <c r="AG18" s="48">
        <f>IFERROR(IF(AND(Irr!G18&lt;&gt;".",Irr!AE18&lt;&gt;".",Irr!BC18&lt;&gt;"."),dir!AG18/((1/1000)*(Irr!G18+Irr!AE18+Irr!BC18)),IF(AND(Irr!G18&lt;&gt;".",Irr!AE18&lt;&gt;".",Irr!BC18="."),dir!AG18/((1/1000)*(Irr!G18+Irr!AE18)),IF(AND(Irr!G18&lt;&gt;".",Irr!AE18=".",Irr!BC18&lt;&gt;"."),dir!AG18/((1/1000)*(Irr!G18+Irr!BC18)),IF(AND(Irr!G18=".",Irr!AE18&lt;&gt;".",Irr!BC18&lt;&gt;"."),dir!AG18/((1/1000)*(Irr!AE18+Irr!BC18)),IF(AND(Irr!G18=".",Irr!AE18=".",Irr!BC18&lt;&gt;"."),dir!AG18/((1/1000)*(Irr!BC18)),IF(AND(Irr!G18=".",Irr!AE18&lt;&gt;".",Irr!BC18="."),dir!AG18/((1/1000)*(Irr!AE18)),IF(AND(Irr!G18&lt;&gt;".",Irr!AE18=".",Irr!BC18="."),dir!AG18/((1/1000)*(Irr!G18)),IF(AND(Irr!G18=".",Irr!AE18=".",Irr!BC18="."),dir!AG18*1000)))))))),".")</f>
        <v>3.722131991735754</v>
      </c>
      <c r="AH18" s="48">
        <f>IFERROR(IF(AND(Irr!H18&lt;&gt;".",Irr!AF18&lt;&gt;".",Irr!BD18&lt;&gt;"."),dir!AH18/((1/1000)*(Irr!H18+Irr!AF18+Irr!BD18)),IF(AND(Irr!H18&lt;&gt;".",Irr!AF18&lt;&gt;".",Irr!BD18="."),dir!AH18/((1/1000)*(Irr!H18+Irr!AF18)),IF(AND(Irr!H18&lt;&gt;".",Irr!AF18=".",Irr!BD18&lt;&gt;"."),dir!AH18/((1/1000)*(Irr!H18+Irr!BD18)),IF(AND(Irr!H18=".",Irr!AF18&lt;&gt;".",Irr!BD18&lt;&gt;"."),dir!AH18/((1/1000)*(Irr!AF18+Irr!BD18)),IF(AND(Irr!H18=".",Irr!AF18=".",Irr!BD18&lt;&gt;"."),dir!AH18/((1/1000)*(Irr!BD18)),IF(AND(Irr!H18=".",Irr!AF18&lt;&gt;".",Irr!BD18="."),dir!AH18/((1/1000)*(Irr!AF18)),IF(AND(Irr!H18&lt;&gt;".",Irr!AF18=".",Irr!BD18="."),dir!AH18/((1/1000)*(Irr!H18)),IF(AND(Irr!H18=".",Irr!AF18=".",Irr!BD18="."),dir!AH18*1000)))))))),".")</f>
        <v>1.5131216900970377</v>
      </c>
      <c r="AI18" s="48">
        <f>IFERROR(IF(AND(Irr!I18&lt;&gt;".",Irr!AG18&lt;&gt;".",Irr!BE18&lt;&gt;"."),dir!AI18/((1/1000)*(Irr!I18+Irr!AG18+Irr!BE18)),IF(AND(Irr!I18&lt;&gt;".",Irr!AG18&lt;&gt;".",Irr!BE18="."),dir!AI18/((1/1000)*(Irr!I18+Irr!AG18)),IF(AND(Irr!I18&lt;&gt;".",Irr!AG18=".",Irr!BE18&lt;&gt;"."),dir!AI18/((1/1000)*(Irr!I18+Irr!BE18)),IF(AND(Irr!I18=".",Irr!AG18&lt;&gt;".",Irr!BE18&lt;&gt;"."),dir!AI18/((1/1000)*(Irr!AG18+Irr!BE18)),IF(AND(Irr!I18=".",Irr!AG18=".",Irr!BE18&lt;&gt;"."),dir!AI18/((1/1000)*(Irr!BE18)),IF(AND(Irr!I18=".",Irr!AG18&lt;&gt;".",Irr!BE18="."),dir!AI18/((1/1000)*(Irr!AG18)),IF(AND(Irr!I18&lt;&gt;".",Irr!AG18=".",Irr!BE18="."),dir!AI18/((1/1000)*(Irr!I18)),IF(AND(Irr!I18=".",Irr!AG18=".",Irr!BE18="."),dir!AI18*1000)))))))),".")</f>
        <v>5.0370210684367178</v>
      </c>
      <c r="AJ18" s="48">
        <f>IFERROR(IF(AND(Irr!J18&lt;&gt;".",Irr!AH18&lt;&gt;".",Irr!BF18&lt;&gt;"."),dir!AJ18/((1/1000)*(Irr!J18+Irr!AH18+Irr!BF18)),IF(AND(Irr!J18&lt;&gt;".",Irr!AH18&lt;&gt;".",Irr!BF18="."),dir!AJ18/((1/1000)*(Irr!J18+Irr!AH18)),IF(AND(Irr!J18&lt;&gt;".",Irr!AH18=".",Irr!BF18&lt;&gt;"."),dir!AJ18/((1/1000)*(Irr!J18+Irr!BF18)),IF(AND(Irr!J18=".",Irr!AH18&lt;&gt;".",Irr!BF18&lt;&gt;"."),dir!AJ18/((1/1000)*(Irr!AH18+Irr!BF18)),IF(AND(Irr!J18=".",Irr!AH18=".",Irr!BF18&lt;&gt;"."),dir!AJ18/((1/1000)*(Irr!BF18)),IF(AND(Irr!J18=".",Irr!AH18&lt;&gt;".",Irr!BF18="."),dir!AJ18/((1/1000)*(Irr!AH18)),IF(AND(Irr!J18&lt;&gt;".",Irr!AH18=".",Irr!BF18="."),dir!AJ18/((1/1000)*(Irr!J18)),IF(AND(Irr!J18=".",Irr!AH18=".",Irr!BF18="."),dir!AJ18*1000)))))))),".")</f>
        <v>0.41321617276544514</v>
      </c>
      <c r="AK18" s="48">
        <f>IFERROR(IF(AND(Irr!K18&lt;&gt;".",Irr!AI18&lt;&gt;".",Irr!BG18&lt;&gt;"."),dir!AK18/((1/1000)*(Irr!K18+Irr!AI18+Irr!BG18)),IF(AND(Irr!K18&lt;&gt;".",Irr!AI18&lt;&gt;".",Irr!BG18="."),dir!AK18/((1/1000)*(Irr!K18+Irr!AI18)),IF(AND(Irr!K18&lt;&gt;".",Irr!AI18=".",Irr!BG18&lt;&gt;"."),dir!AK18/((1/1000)*(Irr!K18+Irr!BG18)),IF(AND(Irr!K18=".",Irr!AI18&lt;&gt;".",Irr!BG18&lt;&gt;"."),dir!AK18/((1/1000)*(Irr!AI18+Irr!BG18)),IF(AND(Irr!K18=".",Irr!AI18=".",Irr!BG18&lt;&gt;"."),dir!AK18/((1/1000)*(Irr!BG18)),IF(AND(Irr!K18=".",Irr!AI18&lt;&gt;".",Irr!BG18="."),dir!AK18/((1/1000)*(Irr!AI18)),IF(AND(Irr!K18&lt;&gt;".",Irr!AI18=".",Irr!BG18="."),dir!AK18/((1/1000)*(Irr!K18)),IF(AND(Irr!K18=".",Irr!AI18=".",Irr!BG18="."),dir!AK18*1000)))))))),".")</f>
        <v>1.617693945813665</v>
      </c>
      <c r="AL18" s="48">
        <f>IFERROR(IF(AND(Irr!L18&lt;&gt;".",Irr!AJ18&lt;&gt;".",Irr!BH18&lt;&gt;"."),dir!AL18/((1/1000)*(Irr!L18+Irr!AJ18+Irr!BH18)),IF(AND(Irr!L18&lt;&gt;".",Irr!AJ18&lt;&gt;".",Irr!BH18="."),dir!AL18/((1/1000)*(Irr!L18+Irr!AJ18)),IF(AND(Irr!L18&lt;&gt;".",Irr!AJ18=".",Irr!BH18&lt;&gt;"."),dir!AL18/((1/1000)*(Irr!L18+Irr!BH18)),IF(AND(Irr!L18=".",Irr!AJ18&lt;&gt;".",Irr!BH18&lt;&gt;"."),dir!AL18/((1/1000)*(Irr!AJ18+Irr!BH18)),IF(AND(Irr!L18=".",Irr!AJ18=".",Irr!BH18&lt;&gt;"."),dir!AL18/((1/1000)*(Irr!BH18)),IF(AND(Irr!L18=".",Irr!AJ18&lt;&gt;".",Irr!BH18="."),dir!AL18/((1/1000)*(Irr!AJ18)),IF(AND(Irr!L18&lt;&gt;".",Irr!AJ18=".",Irr!BH18="."),dir!AL18/((1/1000)*(Irr!L18)),IF(AND(Irr!L18=".",Irr!AJ18=".",Irr!BH18="."),dir!AL18*1000)))))))),".")</f>
        <v>2.4564917589865671</v>
      </c>
      <c r="AM18" s="48">
        <f>IFERROR(IF(AND(Irr!M18&lt;&gt;".",Irr!AK18&lt;&gt;".",Irr!BI18&lt;&gt;"."),dir!AM18/((1/1000)*(Irr!M18+Irr!AK18+Irr!BI18)),IF(AND(Irr!M18&lt;&gt;".",Irr!AK18&lt;&gt;".",Irr!BI18="."),dir!AM18/((1/1000)*(Irr!M18+Irr!AK18)),IF(AND(Irr!M18&lt;&gt;".",Irr!AK18=".",Irr!BI18&lt;&gt;"."),dir!AM18/((1/1000)*(Irr!M18+Irr!BI18)),IF(AND(Irr!M18=".",Irr!AK18&lt;&gt;".",Irr!BI18&lt;&gt;"."),dir!AM18/((1/1000)*(Irr!AK18+Irr!BI18)),IF(AND(Irr!M18=".",Irr!AK18=".",Irr!BI18&lt;&gt;"."),dir!AM18/((1/1000)*(Irr!BI18)),IF(AND(Irr!M18=".",Irr!AK18&lt;&gt;".",Irr!BI18="."),dir!AM18/((1/1000)*(Irr!AK18)),IF(AND(Irr!M18&lt;&gt;".",Irr!AK18=".",Irr!BI18="."),dir!AM18/((1/1000)*(Irr!M18)),IF(AND(Irr!M18=".",Irr!AK18=".",Irr!BI18="."),dir!AM18*1000)))))))),".")</f>
        <v>3.0926085351708892</v>
      </c>
      <c r="AN18" s="48">
        <f>IFERROR(IF(AND(Irr!N18&lt;&gt;".",Irr!AL18&lt;&gt;".",Irr!BJ18&lt;&gt;"."),dir!AN18/((1/1000)*(Irr!N18+Irr!AL18+Irr!BJ18)),IF(AND(Irr!N18&lt;&gt;".",Irr!AL18&lt;&gt;".",Irr!BJ18="."),dir!AN18/((1/1000)*(Irr!N18+Irr!AL18)),IF(AND(Irr!N18&lt;&gt;".",Irr!AL18=".",Irr!BJ18&lt;&gt;"."),dir!AN18/((1/1000)*(Irr!N18+Irr!BJ18)),IF(AND(Irr!N18=".",Irr!AL18&lt;&gt;".",Irr!BJ18&lt;&gt;"."),dir!AN18/((1/1000)*(Irr!AL18+Irr!BJ18)),IF(AND(Irr!N18=".",Irr!AL18=".",Irr!BJ18&lt;&gt;"."),dir!AN18/((1/1000)*(Irr!BJ18)),IF(AND(Irr!N18=".",Irr!AL18&lt;&gt;".",Irr!BJ18="."),dir!AN18/((1/1000)*(Irr!AL18)),IF(AND(Irr!N18&lt;&gt;".",Irr!AL18=".",Irr!BJ18="."),dir!AN18/((1/1000)*(Irr!N18)),IF(AND(Irr!N18=".",Irr!AL18=".",Irr!BJ18="."),dir!AN18*1000)))))))),".")</f>
        <v>3.9204890390947433</v>
      </c>
      <c r="AO18" s="48">
        <f>IFERROR(IF(AND(Irr!O18&lt;&gt;".",Irr!AM18&lt;&gt;".",Irr!BK18&lt;&gt;"."),dir!AO18/((1/1000)*(Irr!O18+Irr!AM18+Irr!BK18)),IF(AND(Irr!O18&lt;&gt;".",Irr!AM18&lt;&gt;".",Irr!BK18="."),dir!AO18/((1/1000)*(Irr!O18+Irr!AM18)),IF(AND(Irr!O18&lt;&gt;".",Irr!AM18=".",Irr!BK18&lt;&gt;"."),dir!AO18/((1/1000)*(Irr!O18+Irr!BK18)),IF(AND(Irr!O18=".",Irr!AM18&lt;&gt;".",Irr!BK18&lt;&gt;"."),dir!AO18/((1/1000)*(Irr!AM18+Irr!BK18)),IF(AND(Irr!O18=".",Irr!AM18=".",Irr!BK18&lt;&gt;"."),dir!AO18/((1/1000)*(Irr!BK18)),IF(AND(Irr!O18=".",Irr!AM18&lt;&gt;".",Irr!BK18="."),dir!AO18/((1/1000)*(Irr!AM18)),IF(AND(Irr!O18&lt;&gt;".",Irr!AM18=".",Irr!BK18="."),dir!AO18/((1/1000)*(Irr!O18)),IF(AND(Irr!O18=".",Irr!AM18=".",Irr!BK18="."),dir!AO18*1000)))))))),".")</f>
        <v>4.5649756430678616</v>
      </c>
      <c r="AP18" s="48">
        <f>IFERROR(IF(AND(Irr!P18&lt;&gt;".",Irr!AN18&lt;&gt;".",Irr!BL18&lt;&gt;"."),dir!AP18/((1/1000)*(Irr!P18+Irr!AN18+Irr!BL18)),IF(AND(Irr!P18&lt;&gt;".",Irr!AN18&lt;&gt;".",Irr!BL18="."),dir!AP18/((1/1000)*(Irr!P18+Irr!AN18)),IF(AND(Irr!P18&lt;&gt;".",Irr!AN18=".",Irr!BL18&lt;&gt;"."),dir!AP18/((1/1000)*(Irr!P18+Irr!BL18)),IF(AND(Irr!P18=".",Irr!AN18&lt;&gt;".",Irr!BL18&lt;&gt;"."),dir!AP18/((1/1000)*(Irr!AN18+Irr!BL18)),IF(AND(Irr!P18=".",Irr!AN18=".",Irr!BL18&lt;&gt;"."),dir!AP18/((1/1000)*(Irr!BL18)),IF(AND(Irr!P18=".",Irr!AN18&lt;&gt;".",Irr!BL18="."),dir!AP18/((1/1000)*(Irr!AN18)),IF(AND(Irr!P18&lt;&gt;".",Irr!AN18=".",Irr!BL18="."),dir!AP18/((1/1000)*(Irr!P18)),IF(AND(Irr!P18=".",Irr!AN18=".",Irr!BL18="."),dir!AP18*1000)))))))),".")</f>
        <v>4.9914042601908513</v>
      </c>
      <c r="AQ18" s="48">
        <f>IFERROR(IF(AND(Irr!Q18&lt;&gt;".",Irr!AO18&lt;&gt;".",Irr!BM18&lt;&gt;"."),dir!AQ18/((1/1000)*(Irr!Q18+Irr!AO18+Irr!BM18)),IF(AND(Irr!Q18&lt;&gt;".",Irr!AO18&lt;&gt;".",Irr!BM18="."),dir!AQ18/((1/1000)*(Irr!Q18+Irr!AO18)),IF(AND(Irr!Q18&lt;&gt;".",Irr!AO18=".",Irr!BM18&lt;&gt;"."),dir!AQ18/((1/1000)*(Irr!Q18+Irr!BM18)),IF(AND(Irr!Q18=".",Irr!AO18&lt;&gt;".",Irr!BM18&lt;&gt;"."),dir!AQ18/((1/1000)*(Irr!AO18+Irr!BM18)),IF(AND(Irr!Q18=".",Irr!AO18=".",Irr!BM18&lt;&gt;"."),dir!AQ18/((1/1000)*(Irr!BM18)),IF(AND(Irr!Q18=".",Irr!AO18&lt;&gt;".",Irr!BM18="."),dir!AQ18/((1/1000)*(Irr!AO18)),IF(AND(Irr!Q18&lt;&gt;".",Irr!AO18=".",Irr!BM18="."),dir!AQ18/((1/1000)*(Irr!Q18)),IF(AND(Irr!Q18=".",Irr!AO18=".",Irr!BM18="."),dir!AQ18*1000)))))))),".")</f>
        <v>1.1775028744085028</v>
      </c>
      <c r="AR18" s="48">
        <f>IFERROR(IF(AND(Irr!R18&lt;&gt;".",Irr!AP18&lt;&gt;".",Irr!BN18&lt;&gt;"."),dir!AR18/((1/1000)*(Irr!R18+Irr!AP18+Irr!BN18)),IF(AND(Irr!R18&lt;&gt;".",Irr!AP18&lt;&gt;".",Irr!BN18="."),dir!AR18/((1/1000)*(Irr!R18+Irr!AP18)),IF(AND(Irr!R18&lt;&gt;".",Irr!AP18=".",Irr!BN18&lt;&gt;"."),dir!AR18/((1/1000)*(Irr!R18+Irr!BN18)),IF(AND(Irr!R18=".",Irr!AP18&lt;&gt;".",Irr!BN18&lt;&gt;"."),dir!AR18/((1/1000)*(Irr!AP18+Irr!BN18)),IF(AND(Irr!R18=".",Irr!AP18=".",Irr!BN18&lt;&gt;"."),dir!AR18/((1/1000)*(Irr!BN18)),IF(AND(Irr!R18=".",Irr!AP18&lt;&gt;".",Irr!BN18="."),dir!AR18/((1/1000)*(Irr!AP18)),IF(AND(Irr!R18&lt;&gt;".",Irr!AP18=".",Irr!BN18="."),dir!AR18/((1/1000)*(Irr!R18)),IF(AND(Irr!R18=".",Irr!AP18=".",Irr!BN18="."),dir!AR18*1000)))))))),".")</f>
        <v>1.9360567776571445</v>
      </c>
      <c r="AS18" s="48">
        <f>IFERROR(IF(AND(Irr!S18&lt;&gt;".",Irr!AQ18&lt;&gt;".",Irr!BO18&lt;&gt;"."),dir!AS18/((1/1000)*(Irr!S18+Irr!AQ18+Irr!BO18)),IF(AND(Irr!S18&lt;&gt;".",Irr!AQ18&lt;&gt;".",Irr!BO18="."),dir!AS18/((1/1000)*(Irr!S18+Irr!AQ18)),IF(AND(Irr!S18&lt;&gt;".",Irr!AQ18=".",Irr!BO18&lt;&gt;"."),dir!AS18/((1/1000)*(Irr!S18+Irr!BO18)),IF(AND(Irr!S18=".",Irr!AQ18&lt;&gt;".",Irr!BO18&lt;&gt;"."),dir!AS18/((1/1000)*(Irr!AQ18+Irr!BO18)),IF(AND(Irr!S18=".",Irr!AQ18=".",Irr!BO18&lt;&gt;"."),dir!AS18/((1/1000)*(Irr!BO18)),IF(AND(Irr!S18=".",Irr!AQ18&lt;&gt;".",Irr!BO18="."),dir!AS18/((1/1000)*(Irr!AQ18)),IF(AND(Irr!S18&lt;&gt;".",Irr!AQ18=".",Irr!BO18="."),dir!AS18/((1/1000)*(Irr!S18)),IF(AND(Irr!S18=".",Irr!AQ18=".",Irr!BO18="."),dir!AS18*1000)))))))),".")</f>
        <v>3.8596404748792335</v>
      </c>
      <c r="AT18" s="48">
        <f>IFERROR(IF(AND(Irr!T18&lt;&gt;".",Irr!AR18&lt;&gt;".",Irr!BP18&lt;&gt;"."),dir!AT18/((1/1000)*(Irr!T18+Irr!AR18+Irr!BP18)),IF(AND(Irr!T18&lt;&gt;".",Irr!AR18&lt;&gt;".",Irr!BP18="."),dir!AT18/((1/1000)*(Irr!T18+Irr!AR18)),IF(AND(Irr!T18&lt;&gt;".",Irr!AR18=".",Irr!BP18&lt;&gt;"."),dir!AT18/((1/1000)*(Irr!T18+Irr!BP18)),IF(AND(Irr!T18=".",Irr!AR18&lt;&gt;".",Irr!BP18&lt;&gt;"."),dir!AT18/((1/1000)*(Irr!AR18+Irr!BP18)),IF(AND(Irr!T18=".",Irr!AR18=".",Irr!BP18&lt;&gt;"."),dir!AT18/((1/1000)*(Irr!BP18)),IF(AND(Irr!T18=".",Irr!AR18&lt;&gt;".",Irr!BP18="."),dir!AT18/((1/1000)*(Irr!AR18)),IF(AND(Irr!T18&lt;&gt;".",Irr!AR18=".",Irr!BP18="."),dir!AT18/((1/1000)*(Irr!T18)),IF(AND(Irr!T18=".",Irr!AR18=".",Irr!BP18="."),dir!AT18*1000)))))))),".")</f>
        <v>0.91214270945795684</v>
      </c>
      <c r="AU18" s="48">
        <f>IFERROR(IF(AND(Irr!U18&lt;&gt;".",Irr!AS18&lt;&gt;".",Irr!BQ18&lt;&gt;"."),dir!AU18/((1/1000)*(Irr!U18+Irr!AS18+Irr!BQ18)),IF(AND(Irr!U18&lt;&gt;".",Irr!AS18&lt;&gt;".",Irr!BQ18="."),dir!AU18/((1/1000)*(Irr!U18+Irr!AS18)),IF(AND(Irr!U18&lt;&gt;".",Irr!AS18=".",Irr!BQ18&lt;&gt;"."),dir!AU18/((1/1000)*(Irr!U18+Irr!BQ18)),IF(AND(Irr!U18=".",Irr!AS18&lt;&gt;".",Irr!BQ18&lt;&gt;"."),dir!AU18/((1/1000)*(Irr!AS18+Irr!BQ18)),IF(AND(Irr!U18=".",Irr!AS18=".",Irr!BQ18&lt;&gt;"."),dir!AU18/((1/1000)*(Irr!BQ18)),IF(AND(Irr!U18=".",Irr!AS18&lt;&gt;".",Irr!BQ18="."),dir!AU18/((1/1000)*(Irr!AS18)),IF(AND(Irr!U18&lt;&gt;".",Irr!AS18=".",Irr!BQ18="."),dir!AU18/((1/1000)*(Irr!U18)),IF(AND(Irr!U18=".",Irr!AS18=".",Irr!BQ18="."),dir!AU18*1000)))))))),".")</f>
        <v>1.9534125216627047</v>
      </c>
      <c r="AV18" s="48">
        <f>IFERROR(IF(AND(Irr!V18&lt;&gt;".",Irr!AT18&lt;&gt;".",Irr!BR18&lt;&gt;"."),dir!AV18/((1/1000)*(Irr!V18+Irr!AT18+Irr!BR18)),IF(AND(Irr!V18&lt;&gt;".",Irr!AT18&lt;&gt;".",Irr!BR18="."),dir!AV18/((1/1000)*(Irr!V18+Irr!AT18)),IF(AND(Irr!V18&lt;&gt;".",Irr!AT18=".",Irr!BR18&lt;&gt;"."),dir!AV18/((1/1000)*(Irr!V18+Irr!BR18)),IF(AND(Irr!V18=".",Irr!AT18&lt;&gt;".",Irr!BR18&lt;&gt;"."),dir!AV18/((1/1000)*(Irr!AT18+Irr!BR18)),IF(AND(Irr!V18=".",Irr!AT18=".",Irr!BR18&lt;&gt;"."),dir!AV18/((1/1000)*(Irr!BR18)),IF(AND(Irr!V18=".",Irr!AT18&lt;&gt;".",Irr!BR18="."),dir!AV18/((1/1000)*(Irr!AT18)),IF(AND(Irr!V18&lt;&gt;".",Irr!AT18=".",Irr!BR18="."),dir!AV18/((1/1000)*(Irr!V18)),IF(AND(Irr!V18=".",Irr!AT18=".",Irr!BR18="."),dir!AV18*1000)))))))),".")</f>
        <v>2.29478394536009</v>
      </c>
      <c r="AW18" s="48">
        <f>IFERROR(IF(AND(Irr!W18&lt;&gt;".",Irr!AU18&lt;&gt;".",Irr!BS18&lt;&gt;"."),dir!AW18/((1/1000)*(Irr!W18+Irr!AU18+Irr!BS18)),IF(AND(Irr!W18&lt;&gt;".",Irr!AU18&lt;&gt;".",Irr!BS18="."),dir!AW18/((1/1000)*(Irr!W18+Irr!AU18)),IF(AND(Irr!W18&lt;&gt;".",Irr!AU18=".",Irr!BS18&lt;&gt;"."),dir!AW18/((1/1000)*(Irr!W18+Irr!BS18)),IF(AND(Irr!W18=".",Irr!AU18&lt;&gt;".",Irr!BS18&lt;&gt;"."),dir!AW18/((1/1000)*(Irr!AU18+Irr!BS18)),IF(AND(Irr!W18=".",Irr!AU18=".",Irr!BS18&lt;&gt;"."),dir!AW18/((1/1000)*(Irr!BS18)),IF(AND(Irr!W18=".",Irr!AU18&lt;&gt;".",Irr!BS18="."),dir!AW18/((1/1000)*(Irr!AU18)),IF(AND(Irr!W18&lt;&gt;".",Irr!AU18=".",Irr!BS18="."),dir!AW18/((1/1000)*(Irr!W18)),IF(AND(Irr!W18=".",Irr!AU18=".",Irr!BS18="."),dir!AW18*1000)))))))),".")</f>
        <v>3.1609649501253525</v>
      </c>
      <c r="AX18" s="48">
        <f>IFERROR(IF(AND(Irr!X18&lt;&gt;".",Irr!AV18&lt;&gt;".",Irr!BT18&lt;&gt;"."),dir!AX18/((1/1000)*(Irr!X18+Irr!AV18+Irr!BT18)),IF(AND(Irr!X18&lt;&gt;".",Irr!AV18&lt;&gt;".",Irr!BT18="."),dir!AX18/((1/1000)*(Irr!X18+Irr!AV18)),IF(AND(Irr!X18&lt;&gt;".",Irr!AV18=".",Irr!BT18&lt;&gt;"."),dir!AX18/((1/1000)*(Irr!X18+Irr!BT18)),IF(AND(Irr!X18=".",Irr!AV18&lt;&gt;".",Irr!BT18&lt;&gt;"."),dir!AX18/((1/1000)*(Irr!AV18+Irr!BT18)),IF(AND(Irr!X18=".",Irr!AV18=".",Irr!BT18&lt;&gt;"."),dir!AX18/((1/1000)*(Irr!BT18)),IF(AND(Irr!X18=".",Irr!AV18&lt;&gt;".",Irr!BT18="."),dir!AX18/((1/1000)*(Irr!AV18)),IF(AND(Irr!X18&lt;&gt;".",Irr!AV18=".",Irr!BT18="."),dir!AX18/((1/1000)*(Irr!X18)),IF(AND(Irr!X18=".",Irr!AV18=".",Irr!BT18="."),dir!AX18*1000)))))))),".")</f>
        <v>1.395611884118402</v>
      </c>
      <c r="AY18" s="48">
        <f>IFERROR(IF(AND(Irr!Y18&lt;&gt;".",Irr!AW18&lt;&gt;".",Irr!BU18&lt;&gt;"."),dir!AY18/((1/1000)*(Irr!Y18+Irr!AW18+Irr!BU18)),IF(AND(Irr!Y18&lt;&gt;".",Irr!AW18&lt;&gt;".",Irr!BU18="."),dir!AY18/((1/1000)*(Irr!Y18+Irr!AW18)),IF(AND(Irr!Y18&lt;&gt;".",Irr!AW18=".",Irr!BU18&lt;&gt;"."),dir!AY18/((1/1000)*(Irr!Y18+Irr!BU18)),IF(AND(Irr!Y18=".",Irr!AW18&lt;&gt;".",Irr!BU18&lt;&gt;"."),dir!AY18/((1/1000)*(Irr!AW18+Irr!BU18)),IF(AND(Irr!Y18=".",Irr!AW18=".",Irr!BU18&lt;&gt;"."),dir!AY18/((1/1000)*(Irr!BU18)),IF(AND(Irr!Y18=".",Irr!AW18&lt;&gt;".",Irr!BU18="."),dir!AY18/((1/1000)*(Irr!AW18)),IF(AND(Irr!Y18&lt;&gt;".",Irr!AW18=".",Irr!BU18="."),dir!AY18/((1/1000)*(Irr!Y18)),IF(AND(Irr!Y18=".",Irr!AW18=".",Irr!BU18="."),dir!AY18*1000)))))))),".")</f>
        <v>0.42052464015556751</v>
      </c>
      <c r="AZ18" s="48">
        <f>IFERROR(IF(AND(Irr!Z18&lt;&gt;".",Irr!AX18&lt;&gt;".",Irr!BV18&lt;&gt;"."),dir!AZ18/((1/1000)*(Irr!Z18+Irr!AX18+Irr!BV18)),IF(AND(Irr!Z18&lt;&gt;".",Irr!AX18&lt;&gt;".",Irr!BV18="."),dir!AZ18/((1/1000)*(Irr!Z18+Irr!AX18)),IF(AND(Irr!Z18&lt;&gt;".",Irr!AX18=".",Irr!BV18&lt;&gt;"."),dir!AZ18/((1/1000)*(Irr!Z18+Irr!BV18)),IF(AND(Irr!Z18=".",Irr!AX18&lt;&gt;".",Irr!BV18&lt;&gt;"."),dir!AZ18/((1/1000)*(Irr!AX18+Irr!BV18)),IF(AND(Irr!Z18=".",Irr!AX18=".",Irr!BV18&lt;&gt;"."),dir!AZ18/((1/1000)*(Irr!BV18)),IF(AND(Irr!Z18=".",Irr!AX18&lt;&gt;".",Irr!BV18="."),dir!AZ18/((1/1000)*(Irr!AX18)),IF(AND(Irr!Z18&lt;&gt;".",Irr!AX18=".",Irr!BV18="."),dir!AZ18/((1/1000)*(Irr!Z18)),IF(AND(Irr!Z18=".",Irr!AX18=".",Irr!BV18="."),dir!AZ18*1000)))))))),".")</f>
        <v>0.41233824279025388</v>
      </c>
    </row>
    <row r="19" spans="1:52" ht="15" customHeight="1" x14ac:dyDescent="0.25">
      <c r="A19" s="61" t="s">
        <v>17</v>
      </c>
      <c r="B19" s="49" t="s">
        <v>1059</v>
      </c>
      <c r="C19" s="48" t="str">
        <f t="shared" si="16"/>
        <v>.</v>
      </c>
      <c r="D19" s="48" t="str">
        <f>IFERROR(IF(AND(Irr!C19&lt;&gt;".",Irr!AA19&lt;&gt;".",Irr!AY19&lt;&gt;"."),dir!D19/((1/1000)*(Irr!C19+Irr!AA19+Irr!AY19)),IF(AND(Irr!C19&lt;&gt;".",Irr!AA19&lt;&gt;".",Irr!AY19="."),dir!D19/((1/1000)*(Irr!C19+Irr!AA19)),IF(AND(Irr!C19&lt;&gt;".",Irr!AA19=".",Irr!AY19&lt;&gt;"."),dir!D19/((1/1000)*(Irr!C19+Irr!AY19)),IF(AND(Irr!C19=".",Irr!AA19&lt;&gt;".",Irr!AY19&lt;&gt;"."),dir!D19/((1/1000)*(Irr!AA19+Irr!AY19)),IF(AND(Irr!C19=".",Irr!AA19=".",Irr!AY19&lt;&gt;"."),dir!D19/((1/1000)*(Irr!AY19)),IF(AND(Irr!C19=".",Irr!AA19&lt;&gt;".",Irr!AY19="."),dir!D19/((1/1000)*(Irr!AA19)),IF(AND(Irr!C19&lt;&gt;".",Irr!AA19=".",Irr!AY19="."),dir!D19/((1/1000)*(Irr!C19)),IF(AND(Irr!C19=".",Irr!AA19=".",Irr!AY19="."),dir!D19*1000)))))))),".")</f>
        <v>.</v>
      </c>
      <c r="E19" s="48" t="str">
        <f>IFERROR(IF(AND(Irr!D19&lt;&gt;".",Irr!AB19&lt;&gt;".",Irr!AZ19&lt;&gt;"."),dir!E19/((1/1000)*(Irr!D19+Irr!AB19+Irr!AZ19)),IF(AND(Irr!D19&lt;&gt;".",Irr!AB19&lt;&gt;".",Irr!AZ19="."),dir!E19/((1/1000)*(Irr!D19+Irr!AB19)),IF(AND(Irr!D19&lt;&gt;".",Irr!AB19=".",Irr!AZ19&lt;&gt;"."),dir!E19/((1/1000)*(Irr!D19+Irr!AZ19)),IF(AND(Irr!D19=".",Irr!AB19&lt;&gt;".",Irr!AZ19&lt;&gt;"."),dir!E19/((1/1000)*(Irr!AB19+Irr!AZ19)),IF(AND(Irr!D19=".",Irr!AB19=".",Irr!AZ19&lt;&gt;"."),dir!E19/((1/1000)*(Irr!AZ19)),IF(AND(Irr!D19=".",Irr!AB19&lt;&gt;".",Irr!AZ19="."),dir!E19/((1/1000)*(Irr!AB19)),IF(AND(Irr!D19&lt;&gt;".",Irr!AB19=".",Irr!AZ19="."),dir!E19/((1/1000)*(Irr!D19)),IF(AND(Irr!D19=".",Irr!AB19=".",Irr!AZ19="."),dir!E19*1000)))))))),".")</f>
        <v>.</v>
      </c>
      <c r="F19" s="48" t="str">
        <f>IFERROR(IF(AND(Irr!E19&lt;&gt;".",Irr!AC19&lt;&gt;".",Irr!BA19&lt;&gt;"."),dir!F19/((1/1000)*(Irr!E19+Irr!AC19+Irr!BA19)),IF(AND(Irr!E19&lt;&gt;".",Irr!AC19&lt;&gt;".",Irr!BA19="."),dir!F19/((1/1000)*(Irr!E19+Irr!AC19)),IF(AND(Irr!E19&lt;&gt;".",Irr!AC19=".",Irr!BA19&lt;&gt;"."),dir!F19/((1/1000)*(Irr!E19+Irr!BA19)),IF(AND(Irr!E19=".",Irr!AC19&lt;&gt;".",Irr!BA19&lt;&gt;"."),dir!F19/((1/1000)*(Irr!AC19+Irr!BA19)),IF(AND(Irr!E19=".",Irr!AC19=".",Irr!BA19&lt;&gt;"."),dir!F19/((1/1000)*(Irr!BA19)),IF(AND(Irr!E19=".",Irr!AC19&lt;&gt;".",Irr!BA19="."),dir!F19/((1/1000)*(Irr!AC19)),IF(AND(Irr!E19&lt;&gt;".",Irr!AC19=".",Irr!BA19="."),dir!F19/((1/1000)*(Irr!E19)),IF(AND(Irr!E19=".",Irr!AC19=".",Irr!BA19="."),dir!F19*1000)))))))),".")</f>
        <v>.</v>
      </c>
      <c r="G19" s="48" t="str">
        <f>IFERROR(IF(AND(Irr!F19&lt;&gt;".",Irr!AD19&lt;&gt;".",Irr!BB19&lt;&gt;"."),dir!G19/((1/1000)*(Irr!F19+Irr!AD19+Irr!BB19)),IF(AND(Irr!F19&lt;&gt;".",Irr!AD19&lt;&gt;".",Irr!BB19="."),dir!G19/((1/1000)*(Irr!F19+Irr!AD19)),IF(AND(Irr!F19&lt;&gt;".",Irr!AD19=".",Irr!BB19&lt;&gt;"."),dir!G19/((1/1000)*(Irr!F19+Irr!BB19)),IF(AND(Irr!F19=".",Irr!AD19&lt;&gt;".",Irr!BB19&lt;&gt;"."),dir!G19/((1/1000)*(Irr!AD19+Irr!BB19)),IF(AND(Irr!F19=".",Irr!AD19=".",Irr!BB19&lt;&gt;"."),dir!G19/((1/1000)*(Irr!BB19)),IF(AND(Irr!F19=".",Irr!AD19&lt;&gt;".",Irr!BB19="."),dir!G19/((1/1000)*(Irr!AD19)),IF(AND(Irr!F19&lt;&gt;".",Irr!AD19=".",Irr!BB19="."),dir!G19/((1/1000)*(Irr!F19)),IF(AND(Irr!F19=".",Irr!AD19=".",Irr!BB19="."),dir!G19*1000)))))))),".")</f>
        <v>.</v>
      </c>
      <c r="H19" s="48" t="str">
        <f>IFERROR(IF(AND(Irr!G19&lt;&gt;".",Irr!AE19&lt;&gt;".",Irr!BC19&lt;&gt;"."),dir!H19/((1/1000)*(Irr!G19+Irr!AE19+Irr!BC19)),IF(AND(Irr!G19&lt;&gt;".",Irr!AE19&lt;&gt;".",Irr!BC19="."),dir!H19/((1/1000)*(Irr!G19+Irr!AE19)),IF(AND(Irr!G19&lt;&gt;".",Irr!AE19=".",Irr!BC19&lt;&gt;"."),dir!H19/((1/1000)*(Irr!G19+Irr!BC19)),IF(AND(Irr!G19=".",Irr!AE19&lt;&gt;".",Irr!BC19&lt;&gt;"."),dir!H19/((1/1000)*(Irr!AE19+Irr!BC19)),IF(AND(Irr!G19=".",Irr!AE19=".",Irr!BC19&lt;&gt;"."),dir!H19/((1/1000)*(Irr!BC19)),IF(AND(Irr!G19=".",Irr!AE19&lt;&gt;".",Irr!BC19="."),dir!H19/((1/1000)*(Irr!AE19)),IF(AND(Irr!G19&lt;&gt;".",Irr!AE19=".",Irr!BC19="."),dir!H19/((1/1000)*(Irr!G19)),IF(AND(Irr!G19=".",Irr!AE19=".",Irr!BC19="."),dir!H19*1000)))))))),".")</f>
        <v>.</v>
      </c>
      <c r="I19" s="48" t="str">
        <f>IFERROR(IF(AND(Irr!H19&lt;&gt;".",Irr!AF19&lt;&gt;".",Irr!BD19&lt;&gt;"."),dir!I19/((1/1000)*(Irr!H19+Irr!AF19+Irr!BD19)),IF(AND(Irr!H19&lt;&gt;".",Irr!AF19&lt;&gt;".",Irr!BD19="."),dir!I19/((1/1000)*(Irr!H19+Irr!AF19)),IF(AND(Irr!H19&lt;&gt;".",Irr!AF19=".",Irr!BD19&lt;&gt;"."),dir!I19/((1/1000)*(Irr!H19+Irr!BD19)),IF(AND(Irr!H19=".",Irr!AF19&lt;&gt;".",Irr!BD19&lt;&gt;"."),dir!I19/((1/1000)*(Irr!AF19+Irr!BD19)),IF(AND(Irr!H19=".",Irr!AF19=".",Irr!BD19&lt;&gt;"."),dir!I19/((1/1000)*(Irr!BD19)),IF(AND(Irr!H19=".",Irr!AF19&lt;&gt;".",Irr!BD19="."),dir!I19/((1/1000)*(Irr!AF19)),IF(AND(Irr!H19&lt;&gt;".",Irr!AF19=".",Irr!BD19="."),dir!I19/((1/1000)*(Irr!H19)),IF(AND(Irr!H19=".",Irr!AF19=".",Irr!BD19="."),dir!I19*1000)))))))),".")</f>
        <v>.</v>
      </c>
      <c r="J19" s="48" t="str">
        <f>IFERROR(IF(AND(Irr!I19&lt;&gt;".",Irr!AG19&lt;&gt;".",Irr!BE19&lt;&gt;"."),dir!J19/((1/1000)*(Irr!I19+Irr!AG19+Irr!BE19)),IF(AND(Irr!I19&lt;&gt;".",Irr!AG19&lt;&gt;".",Irr!BE19="."),dir!J19/((1/1000)*(Irr!I19+Irr!AG19)),IF(AND(Irr!I19&lt;&gt;".",Irr!AG19=".",Irr!BE19&lt;&gt;"."),dir!J19/((1/1000)*(Irr!I19+Irr!BE19)),IF(AND(Irr!I19=".",Irr!AG19&lt;&gt;".",Irr!BE19&lt;&gt;"."),dir!J19/((1/1000)*(Irr!AG19+Irr!BE19)),IF(AND(Irr!I19=".",Irr!AG19=".",Irr!BE19&lt;&gt;"."),dir!J19/((1/1000)*(Irr!BE19)),IF(AND(Irr!I19=".",Irr!AG19&lt;&gt;".",Irr!BE19="."),dir!J19/((1/1000)*(Irr!AG19)),IF(AND(Irr!I19&lt;&gt;".",Irr!AG19=".",Irr!BE19="."),dir!J19/((1/1000)*(Irr!I19)),IF(AND(Irr!I19=".",Irr!AG19=".",Irr!BE19="."),dir!J19*1000)))))))),".")</f>
        <v>.</v>
      </c>
      <c r="K19" s="48" t="str">
        <f>IFERROR(IF(AND(Irr!J19&lt;&gt;".",Irr!AH19&lt;&gt;".",Irr!BF19&lt;&gt;"."),dir!K19/((1/1000)*(Irr!J19+Irr!AH19+Irr!BF19)),IF(AND(Irr!J19&lt;&gt;".",Irr!AH19&lt;&gt;".",Irr!BF19="."),dir!K19/((1/1000)*(Irr!J19+Irr!AH19)),IF(AND(Irr!J19&lt;&gt;".",Irr!AH19=".",Irr!BF19&lt;&gt;"."),dir!K19/((1/1000)*(Irr!J19+Irr!BF19)),IF(AND(Irr!J19=".",Irr!AH19&lt;&gt;".",Irr!BF19&lt;&gt;"."),dir!K19/((1/1000)*(Irr!AH19+Irr!BF19)),IF(AND(Irr!J19=".",Irr!AH19=".",Irr!BF19&lt;&gt;"."),dir!K19/((1/1000)*(Irr!BF19)),IF(AND(Irr!J19=".",Irr!AH19&lt;&gt;".",Irr!BF19="."),dir!K19/((1/1000)*(Irr!AH19)),IF(AND(Irr!J19&lt;&gt;".",Irr!AH19=".",Irr!BF19="."),dir!K19/((1/1000)*(Irr!J19)),IF(AND(Irr!J19=".",Irr!AH19=".",Irr!BF19="."),dir!K19*1000)))))))),".")</f>
        <v>.</v>
      </c>
      <c r="L19" s="48" t="str">
        <f>IFERROR(IF(AND(Irr!K19&lt;&gt;".",Irr!AI19&lt;&gt;".",Irr!BG19&lt;&gt;"."),dir!L19/((1/1000)*(Irr!K19+Irr!AI19+Irr!BG19)),IF(AND(Irr!K19&lt;&gt;".",Irr!AI19&lt;&gt;".",Irr!BG19="."),dir!L19/((1/1000)*(Irr!K19+Irr!AI19)),IF(AND(Irr!K19&lt;&gt;".",Irr!AI19=".",Irr!BG19&lt;&gt;"."),dir!L19/((1/1000)*(Irr!K19+Irr!BG19)),IF(AND(Irr!K19=".",Irr!AI19&lt;&gt;".",Irr!BG19&lt;&gt;"."),dir!L19/((1/1000)*(Irr!AI19+Irr!BG19)),IF(AND(Irr!K19=".",Irr!AI19=".",Irr!BG19&lt;&gt;"."),dir!L19/((1/1000)*(Irr!BG19)),IF(AND(Irr!K19=".",Irr!AI19&lt;&gt;".",Irr!BG19="."),dir!L19/((1/1000)*(Irr!AI19)),IF(AND(Irr!K19&lt;&gt;".",Irr!AI19=".",Irr!BG19="."),dir!L19/((1/1000)*(Irr!K19)),IF(AND(Irr!K19=".",Irr!AI19=".",Irr!BG19="."),dir!L19*1000)))))))),".")</f>
        <v>.</v>
      </c>
      <c r="M19" s="48" t="str">
        <f>IFERROR(IF(AND(Irr!L19&lt;&gt;".",Irr!AJ19&lt;&gt;".",Irr!BH19&lt;&gt;"."),dir!M19/((1/1000)*(Irr!L19+Irr!AJ19+Irr!BH19)),IF(AND(Irr!L19&lt;&gt;".",Irr!AJ19&lt;&gt;".",Irr!BH19="."),dir!M19/((1/1000)*(Irr!L19+Irr!AJ19)),IF(AND(Irr!L19&lt;&gt;".",Irr!AJ19=".",Irr!BH19&lt;&gt;"."),dir!M19/((1/1000)*(Irr!L19+Irr!BH19)),IF(AND(Irr!L19=".",Irr!AJ19&lt;&gt;".",Irr!BH19&lt;&gt;"."),dir!M19/((1/1000)*(Irr!AJ19+Irr!BH19)),IF(AND(Irr!L19=".",Irr!AJ19=".",Irr!BH19&lt;&gt;"."),dir!M19/((1/1000)*(Irr!BH19)),IF(AND(Irr!L19=".",Irr!AJ19&lt;&gt;".",Irr!BH19="."),dir!M19/((1/1000)*(Irr!AJ19)),IF(AND(Irr!L19&lt;&gt;".",Irr!AJ19=".",Irr!BH19="."),dir!M19/((1/1000)*(Irr!L19)),IF(AND(Irr!L19=".",Irr!AJ19=".",Irr!BH19="."),dir!M19*1000)))))))),".")</f>
        <v>.</v>
      </c>
      <c r="N19" s="48" t="str">
        <f>IFERROR(IF(AND(Irr!M19&lt;&gt;".",Irr!AK19&lt;&gt;".",Irr!BI19&lt;&gt;"."),dir!N19/((1/1000)*(Irr!M19+Irr!AK19+Irr!BI19)),IF(AND(Irr!M19&lt;&gt;".",Irr!AK19&lt;&gt;".",Irr!BI19="."),dir!N19/((1/1000)*(Irr!M19+Irr!AK19)),IF(AND(Irr!M19&lt;&gt;".",Irr!AK19=".",Irr!BI19&lt;&gt;"."),dir!N19/((1/1000)*(Irr!M19+Irr!BI19)),IF(AND(Irr!M19=".",Irr!AK19&lt;&gt;".",Irr!BI19&lt;&gt;"."),dir!N19/((1/1000)*(Irr!AK19+Irr!BI19)),IF(AND(Irr!M19=".",Irr!AK19=".",Irr!BI19&lt;&gt;"."),dir!N19/((1/1000)*(Irr!BI19)),IF(AND(Irr!M19=".",Irr!AK19&lt;&gt;".",Irr!BI19="."),dir!N19/((1/1000)*(Irr!AK19)),IF(AND(Irr!M19&lt;&gt;".",Irr!AK19=".",Irr!BI19="."),dir!N19/((1/1000)*(Irr!M19)),IF(AND(Irr!M19=".",Irr!AK19=".",Irr!BI19="."),dir!N19*1000)))))))),".")</f>
        <v>.</v>
      </c>
      <c r="O19" s="48" t="str">
        <f>IFERROR(IF(AND(Irr!N19&lt;&gt;".",Irr!AL19&lt;&gt;".",Irr!BJ19&lt;&gt;"."),dir!O19/((1/1000)*(Irr!N19+Irr!AL19+Irr!BJ19)),IF(AND(Irr!N19&lt;&gt;".",Irr!AL19&lt;&gt;".",Irr!BJ19="."),dir!O19/((1/1000)*(Irr!N19+Irr!AL19)),IF(AND(Irr!N19&lt;&gt;".",Irr!AL19=".",Irr!BJ19&lt;&gt;"."),dir!O19/((1/1000)*(Irr!N19+Irr!BJ19)),IF(AND(Irr!N19=".",Irr!AL19&lt;&gt;".",Irr!BJ19&lt;&gt;"."),dir!O19/((1/1000)*(Irr!AL19+Irr!BJ19)),IF(AND(Irr!N19=".",Irr!AL19=".",Irr!BJ19&lt;&gt;"."),dir!O19/((1/1000)*(Irr!BJ19)),IF(AND(Irr!N19=".",Irr!AL19&lt;&gt;".",Irr!BJ19="."),dir!O19/((1/1000)*(Irr!AL19)),IF(AND(Irr!N19&lt;&gt;".",Irr!AL19=".",Irr!BJ19="."),dir!O19/((1/1000)*(Irr!N19)),IF(AND(Irr!N19=".",Irr!AL19=".",Irr!BJ19="."),dir!O19*1000)))))))),".")</f>
        <v>.</v>
      </c>
      <c r="P19" s="48" t="str">
        <f>IFERROR(IF(AND(Irr!O19&lt;&gt;".",Irr!AM19&lt;&gt;".",Irr!BK19&lt;&gt;"."),dir!P19/((1/1000)*(Irr!O19+Irr!AM19+Irr!BK19)),IF(AND(Irr!O19&lt;&gt;".",Irr!AM19&lt;&gt;".",Irr!BK19="."),dir!P19/((1/1000)*(Irr!O19+Irr!AM19)),IF(AND(Irr!O19&lt;&gt;".",Irr!AM19=".",Irr!BK19&lt;&gt;"."),dir!P19/((1/1000)*(Irr!O19+Irr!BK19)),IF(AND(Irr!O19=".",Irr!AM19&lt;&gt;".",Irr!BK19&lt;&gt;"."),dir!P19/((1/1000)*(Irr!AM19+Irr!BK19)),IF(AND(Irr!O19=".",Irr!AM19=".",Irr!BK19&lt;&gt;"."),dir!P19/((1/1000)*(Irr!BK19)),IF(AND(Irr!O19=".",Irr!AM19&lt;&gt;".",Irr!BK19="."),dir!P19/((1/1000)*(Irr!AM19)),IF(AND(Irr!O19&lt;&gt;".",Irr!AM19=".",Irr!BK19="."),dir!P19/((1/1000)*(Irr!O19)),IF(AND(Irr!O19=".",Irr!AM19=".",Irr!BK19="."),dir!P19*1000)))))))),".")</f>
        <v>.</v>
      </c>
      <c r="Q19" s="48" t="str">
        <f>IFERROR(IF(AND(Irr!P19&lt;&gt;".",Irr!AN19&lt;&gt;".",Irr!BL19&lt;&gt;"."),dir!Q19/((1/1000)*(Irr!P19+Irr!AN19+Irr!BL19)),IF(AND(Irr!P19&lt;&gt;".",Irr!AN19&lt;&gt;".",Irr!BL19="."),dir!Q19/((1/1000)*(Irr!P19+Irr!AN19)),IF(AND(Irr!P19&lt;&gt;".",Irr!AN19=".",Irr!BL19&lt;&gt;"."),dir!Q19/((1/1000)*(Irr!P19+Irr!BL19)),IF(AND(Irr!P19=".",Irr!AN19&lt;&gt;".",Irr!BL19&lt;&gt;"."),dir!Q19/((1/1000)*(Irr!AN19+Irr!BL19)),IF(AND(Irr!P19=".",Irr!AN19=".",Irr!BL19&lt;&gt;"."),dir!Q19/((1/1000)*(Irr!BL19)),IF(AND(Irr!P19=".",Irr!AN19&lt;&gt;".",Irr!BL19="."),dir!Q19/((1/1000)*(Irr!AN19)),IF(AND(Irr!P19&lt;&gt;".",Irr!AN19=".",Irr!BL19="."),dir!Q19/((1/1000)*(Irr!P19)),IF(AND(Irr!P19=".",Irr!AN19=".",Irr!BL19="."),dir!Q19*1000)))))))),".")</f>
        <v>.</v>
      </c>
      <c r="R19" s="48" t="str">
        <f>IFERROR(IF(AND(Irr!Q19&lt;&gt;".",Irr!AO19&lt;&gt;".",Irr!BM19&lt;&gt;"."),dir!R19/((1/1000)*(Irr!Q19+Irr!AO19+Irr!BM19)),IF(AND(Irr!Q19&lt;&gt;".",Irr!AO19&lt;&gt;".",Irr!BM19="."),dir!R19/((1/1000)*(Irr!Q19+Irr!AO19)),IF(AND(Irr!Q19&lt;&gt;".",Irr!AO19=".",Irr!BM19&lt;&gt;"."),dir!R19/((1/1000)*(Irr!Q19+Irr!BM19)),IF(AND(Irr!Q19=".",Irr!AO19&lt;&gt;".",Irr!BM19&lt;&gt;"."),dir!R19/((1/1000)*(Irr!AO19+Irr!BM19)),IF(AND(Irr!Q19=".",Irr!AO19=".",Irr!BM19&lt;&gt;"."),dir!R19/((1/1000)*(Irr!BM19)),IF(AND(Irr!Q19=".",Irr!AO19&lt;&gt;".",Irr!BM19="."),dir!R19/((1/1000)*(Irr!AO19)),IF(AND(Irr!Q19&lt;&gt;".",Irr!AO19=".",Irr!BM19="."),dir!R19/((1/1000)*(Irr!Q19)),IF(AND(Irr!Q19=".",Irr!AO19=".",Irr!BM19="."),dir!R19*1000)))))))),".")</f>
        <v>.</v>
      </c>
      <c r="S19" s="48" t="str">
        <f>IFERROR(IF(AND(Irr!R19&lt;&gt;".",Irr!AP19&lt;&gt;".",Irr!BN19&lt;&gt;"."),dir!S19/((1/1000)*(Irr!R19+Irr!AP19+Irr!BN19)),IF(AND(Irr!R19&lt;&gt;".",Irr!AP19&lt;&gt;".",Irr!BN19="."),dir!S19/((1/1000)*(Irr!R19+Irr!AP19)),IF(AND(Irr!R19&lt;&gt;".",Irr!AP19=".",Irr!BN19&lt;&gt;"."),dir!S19/((1/1000)*(Irr!R19+Irr!BN19)),IF(AND(Irr!R19=".",Irr!AP19&lt;&gt;".",Irr!BN19&lt;&gt;"."),dir!S19/((1/1000)*(Irr!AP19+Irr!BN19)),IF(AND(Irr!R19=".",Irr!AP19=".",Irr!BN19&lt;&gt;"."),dir!S19/((1/1000)*(Irr!BN19)),IF(AND(Irr!R19=".",Irr!AP19&lt;&gt;".",Irr!BN19="."),dir!S19/((1/1000)*(Irr!AP19)),IF(AND(Irr!R19&lt;&gt;".",Irr!AP19=".",Irr!BN19="."),dir!S19/((1/1000)*(Irr!R19)),IF(AND(Irr!R19=".",Irr!AP19=".",Irr!BN19="."),dir!S19*1000)))))))),".")</f>
        <v>.</v>
      </c>
      <c r="T19" s="48" t="str">
        <f>IFERROR(IF(AND(Irr!S19&lt;&gt;".",Irr!AQ19&lt;&gt;".",Irr!BO19&lt;&gt;"."),dir!T19/((1/1000)*(Irr!S19+Irr!AQ19+Irr!BO19)),IF(AND(Irr!S19&lt;&gt;".",Irr!AQ19&lt;&gt;".",Irr!BO19="."),dir!T19/((1/1000)*(Irr!S19+Irr!AQ19)),IF(AND(Irr!S19&lt;&gt;".",Irr!AQ19=".",Irr!BO19&lt;&gt;"."),dir!T19/((1/1000)*(Irr!S19+Irr!BO19)),IF(AND(Irr!S19=".",Irr!AQ19&lt;&gt;".",Irr!BO19&lt;&gt;"."),dir!T19/((1/1000)*(Irr!AQ19+Irr!BO19)),IF(AND(Irr!S19=".",Irr!AQ19=".",Irr!BO19&lt;&gt;"."),dir!T19/((1/1000)*(Irr!BO19)),IF(AND(Irr!S19=".",Irr!AQ19&lt;&gt;".",Irr!BO19="."),dir!T19/((1/1000)*(Irr!AQ19)),IF(AND(Irr!S19&lt;&gt;".",Irr!AQ19=".",Irr!BO19="."),dir!T19/((1/1000)*(Irr!S19)),IF(AND(Irr!S19=".",Irr!AQ19=".",Irr!BO19="."),dir!T19*1000)))))))),".")</f>
        <v>.</v>
      </c>
      <c r="U19" s="48" t="str">
        <f>IFERROR(IF(AND(Irr!T19&lt;&gt;".",Irr!AR19&lt;&gt;".",Irr!BP19&lt;&gt;"."),dir!U19/((1/1000)*(Irr!T19+Irr!AR19+Irr!BP19)),IF(AND(Irr!T19&lt;&gt;".",Irr!AR19&lt;&gt;".",Irr!BP19="."),dir!U19/((1/1000)*(Irr!T19+Irr!AR19)),IF(AND(Irr!T19&lt;&gt;".",Irr!AR19=".",Irr!BP19&lt;&gt;"."),dir!U19/((1/1000)*(Irr!T19+Irr!BP19)),IF(AND(Irr!T19=".",Irr!AR19&lt;&gt;".",Irr!BP19&lt;&gt;"."),dir!U19/((1/1000)*(Irr!AR19+Irr!BP19)),IF(AND(Irr!T19=".",Irr!AR19=".",Irr!BP19&lt;&gt;"."),dir!U19/((1/1000)*(Irr!BP19)),IF(AND(Irr!T19=".",Irr!AR19&lt;&gt;".",Irr!BP19="."),dir!U19/((1/1000)*(Irr!AR19)),IF(AND(Irr!T19&lt;&gt;".",Irr!AR19=".",Irr!BP19="."),dir!U19/((1/1000)*(Irr!T19)),IF(AND(Irr!T19=".",Irr!AR19=".",Irr!BP19="."),dir!U19*1000)))))))),".")</f>
        <v>.</v>
      </c>
      <c r="V19" s="48" t="str">
        <f>IFERROR(IF(AND(Irr!U19&lt;&gt;".",Irr!AS19&lt;&gt;".",Irr!BQ19&lt;&gt;"."),dir!V19/((1/1000)*(Irr!U19+Irr!AS19+Irr!BQ19)),IF(AND(Irr!U19&lt;&gt;".",Irr!AS19&lt;&gt;".",Irr!BQ19="."),dir!V19/((1/1000)*(Irr!U19+Irr!AS19)),IF(AND(Irr!U19&lt;&gt;".",Irr!AS19=".",Irr!BQ19&lt;&gt;"."),dir!V19/((1/1000)*(Irr!U19+Irr!BQ19)),IF(AND(Irr!U19=".",Irr!AS19&lt;&gt;".",Irr!BQ19&lt;&gt;"."),dir!V19/((1/1000)*(Irr!AS19+Irr!BQ19)),IF(AND(Irr!U19=".",Irr!AS19=".",Irr!BQ19&lt;&gt;"."),dir!V19/((1/1000)*(Irr!BQ19)),IF(AND(Irr!U19=".",Irr!AS19&lt;&gt;".",Irr!BQ19="."),dir!V19/((1/1000)*(Irr!AS19)),IF(AND(Irr!U19&lt;&gt;".",Irr!AS19=".",Irr!BQ19="."),dir!V19/((1/1000)*(Irr!U19)),IF(AND(Irr!U19=".",Irr!AS19=".",Irr!BQ19="."),dir!V19*1000)))))))),".")</f>
        <v>.</v>
      </c>
      <c r="W19" s="48" t="str">
        <f>IFERROR(IF(AND(Irr!V19&lt;&gt;".",Irr!AT19&lt;&gt;".",Irr!BR19&lt;&gt;"."),dir!W19/((1/1000)*(Irr!V19+Irr!AT19+Irr!BR19)),IF(AND(Irr!V19&lt;&gt;".",Irr!AT19&lt;&gt;".",Irr!BR19="."),dir!W19/((1/1000)*(Irr!V19+Irr!AT19)),IF(AND(Irr!V19&lt;&gt;".",Irr!AT19=".",Irr!BR19&lt;&gt;"."),dir!W19/((1/1000)*(Irr!V19+Irr!BR19)),IF(AND(Irr!V19=".",Irr!AT19&lt;&gt;".",Irr!BR19&lt;&gt;"."),dir!W19/((1/1000)*(Irr!AT19+Irr!BR19)),IF(AND(Irr!V19=".",Irr!AT19=".",Irr!BR19&lt;&gt;"."),dir!W19/((1/1000)*(Irr!BR19)),IF(AND(Irr!V19=".",Irr!AT19&lt;&gt;".",Irr!BR19="."),dir!W19/((1/1000)*(Irr!AT19)),IF(AND(Irr!V19&lt;&gt;".",Irr!AT19=".",Irr!BR19="."),dir!W19/((1/1000)*(Irr!V19)),IF(AND(Irr!V19=".",Irr!AT19=".",Irr!BR19="."),dir!W19*1000)))))))),".")</f>
        <v>.</v>
      </c>
      <c r="X19" s="48" t="str">
        <f>IFERROR(IF(AND(Irr!W19&lt;&gt;".",Irr!AU19&lt;&gt;".",Irr!BS19&lt;&gt;"."),dir!X19/((1/1000)*(Irr!W19+Irr!AU19+Irr!BS19)),IF(AND(Irr!W19&lt;&gt;".",Irr!AU19&lt;&gt;".",Irr!BS19="."),dir!X19/((1/1000)*(Irr!W19+Irr!AU19)),IF(AND(Irr!W19&lt;&gt;".",Irr!AU19=".",Irr!BS19&lt;&gt;"."),dir!X19/((1/1000)*(Irr!W19+Irr!BS19)),IF(AND(Irr!W19=".",Irr!AU19&lt;&gt;".",Irr!BS19&lt;&gt;"."),dir!X19/((1/1000)*(Irr!AU19+Irr!BS19)),IF(AND(Irr!W19=".",Irr!AU19=".",Irr!BS19&lt;&gt;"."),dir!X19/((1/1000)*(Irr!BS19)),IF(AND(Irr!W19=".",Irr!AU19&lt;&gt;".",Irr!BS19="."),dir!X19/((1/1000)*(Irr!AU19)),IF(AND(Irr!W19&lt;&gt;".",Irr!AU19=".",Irr!BS19="."),dir!X19/((1/1000)*(Irr!W19)),IF(AND(Irr!W19=".",Irr!AU19=".",Irr!BS19="."),dir!X19*1000)))))))),".")</f>
        <v>.</v>
      </c>
      <c r="Y19" s="48" t="str">
        <f>IFERROR(IF(AND(Irr!X19&lt;&gt;".",Irr!AV19&lt;&gt;".",Irr!BT19&lt;&gt;"."),dir!Y19/((1/1000)*(Irr!X19+Irr!AV19+Irr!BT19)),IF(AND(Irr!X19&lt;&gt;".",Irr!AV19&lt;&gt;".",Irr!BT19="."),dir!Y19/((1/1000)*(Irr!X19+Irr!AV19)),IF(AND(Irr!X19&lt;&gt;".",Irr!AV19=".",Irr!BT19&lt;&gt;"."),dir!Y19/((1/1000)*(Irr!X19+Irr!BT19)),IF(AND(Irr!X19=".",Irr!AV19&lt;&gt;".",Irr!BT19&lt;&gt;"."),dir!Y19/((1/1000)*(Irr!AV19+Irr!BT19)),IF(AND(Irr!X19=".",Irr!AV19=".",Irr!BT19&lt;&gt;"."),dir!Y19/((1/1000)*(Irr!BT19)),IF(AND(Irr!X19=".",Irr!AV19&lt;&gt;".",Irr!BT19="."),dir!Y19/((1/1000)*(Irr!AV19)),IF(AND(Irr!X19&lt;&gt;".",Irr!AV19=".",Irr!BT19="."),dir!Y19/((1/1000)*(Irr!X19)),IF(AND(Irr!X19=".",Irr!AV19=".",Irr!BT19="."),dir!Y19*1000)))))))),".")</f>
        <v>.</v>
      </c>
      <c r="Z19" s="48" t="str">
        <f>IFERROR(IF(AND(Irr!Y19&lt;&gt;".",Irr!AW19&lt;&gt;".",Irr!BU19&lt;&gt;"."),dir!Z19/((1/1000)*(Irr!Y19+Irr!AW19+Irr!BU19)),IF(AND(Irr!Y19&lt;&gt;".",Irr!AW19&lt;&gt;".",Irr!BU19="."),dir!Z19/((1/1000)*(Irr!Y19+Irr!AW19)),IF(AND(Irr!Y19&lt;&gt;".",Irr!AW19=".",Irr!BU19&lt;&gt;"."),dir!Z19/((1/1000)*(Irr!Y19+Irr!BU19)),IF(AND(Irr!Y19=".",Irr!AW19&lt;&gt;".",Irr!BU19&lt;&gt;"."),dir!Z19/((1/1000)*(Irr!AW19+Irr!BU19)),IF(AND(Irr!Y19=".",Irr!AW19=".",Irr!BU19&lt;&gt;"."),dir!Z19/((1/1000)*(Irr!BU19)),IF(AND(Irr!Y19=".",Irr!AW19&lt;&gt;".",Irr!BU19="."),dir!Z19/((1/1000)*(Irr!AW19)),IF(AND(Irr!Y19&lt;&gt;".",Irr!AW19=".",Irr!BU19="."),dir!Z19/((1/1000)*(Irr!Y19)),IF(AND(Irr!Y19=".",Irr!AW19=".",Irr!BU19="."),dir!Z19*1000)))))))),".")</f>
        <v>.</v>
      </c>
      <c r="AA19" s="48" t="str">
        <f>IFERROR(IF(AND(Irr!Z19&lt;&gt;".",Irr!AX19&lt;&gt;".",Irr!BV19&lt;&gt;"."),dir!AA19/((1/1000)*(Irr!Z19+Irr!AX19+Irr!BV19)),IF(AND(Irr!Z19&lt;&gt;".",Irr!AX19&lt;&gt;".",Irr!BV19="."),dir!AA19/((1/1000)*(Irr!Z19+Irr!AX19)),IF(AND(Irr!Z19&lt;&gt;".",Irr!AX19=".",Irr!BV19&lt;&gt;"."),dir!AA19/((1/1000)*(Irr!Z19+Irr!BV19)),IF(AND(Irr!Z19=".",Irr!AX19&lt;&gt;".",Irr!BV19&lt;&gt;"."),dir!AA19/((1/1000)*(Irr!AX19+Irr!BV19)),IF(AND(Irr!Z19=".",Irr!AX19=".",Irr!BV19&lt;&gt;"."),dir!AA19/((1/1000)*(Irr!BV19)),IF(AND(Irr!Z19=".",Irr!AX19&lt;&gt;".",Irr!BV19="."),dir!AA19/((1/1000)*(Irr!AX19)),IF(AND(Irr!Z19&lt;&gt;".",Irr!AX19=".",Irr!BV19="."),dir!AA19/((1/1000)*(Irr!Z19)),IF(AND(Irr!Z19=".",Irr!AX19=".",Irr!BV19="."),dir!AA19*1000)))))))),".")</f>
        <v>.</v>
      </c>
      <c r="AB19" s="48" t="str">
        <f t="shared" si="17"/>
        <v>.</v>
      </c>
      <c r="AC19" s="48" t="str">
        <f>IFERROR(IF(AND(Irr!C19&lt;&gt;".",Irr!AA19&lt;&gt;".",Irr!AY19&lt;&gt;"."),dir!AC19/((1/1000)*(Irr!C19+Irr!AA19+Irr!AY19)),IF(AND(Irr!C19&lt;&gt;".",Irr!AA19&lt;&gt;".",Irr!AY19="."),dir!AC19/((1/1000)*(Irr!C19+Irr!AA19)),IF(AND(Irr!C19&lt;&gt;".",Irr!AA19=".",Irr!AY19&lt;&gt;"."),dir!AC19/((1/1000)*(Irr!C19+Irr!AY19)),IF(AND(Irr!C19=".",Irr!AA19&lt;&gt;".",Irr!AY19&lt;&gt;"."),dir!AC19/((1/1000)*(Irr!AA19+Irr!AY19)),IF(AND(Irr!C19=".",Irr!AA19=".",Irr!AY19&lt;&gt;"."),dir!AC19/((1/1000)*(Irr!AY19)),IF(AND(Irr!C19=".",Irr!AA19&lt;&gt;".",Irr!AY19="."),dir!AC19/((1/1000)*(Irr!AA19)),IF(AND(Irr!C19&lt;&gt;".",Irr!AA19=".",Irr!AY19="."),dir!AC19/((1/1000)*(Irr!C19)),IF(AND(Irr!C19=".",Irr!AA19=".",Irr!AY19="."),dir!AC19*1000)))))))),".")</f>
        <v>.</v>
      </c>
      <c r="AD19" s="48" t="str">
        <f>IFERROR(IF(AND(Irr!D19&lt;&gt;".",Irr!AB19&lt;&gt;".",Irr!AZ19&lt;&gt;"."),dir!AD19/((1/1000)*(Irr!D19+Irr!AB19+Irr!AZ19)),IF(AND(Irr!D19&lt;&gt;".",Irr!AB19&lt;&gt;".",Irr!AZ19="."),dir!AD19/((1/1000)*(Irr!D19+Irr!AB19)),IF(AND(Irr!D19&lt;&gt;".",Irr!AB19=".",Irr!AZ19&lt;&gt;"."),dir!AD19/((1/1000)*(Irr!D19+Irr!AZ19)),IF(AND(Irr!D19=".",Irr!AB19&lt;&gt;".",Irr!AZ19&lt;&gt;"."),dir!AD19/((1/1000)*(Irr!AB19+Irr!AZ19)),IF(AND(Irr!D19=".",Irr!AB19=".",Irr!AZ19&lt;&gt;"."),dir!AD19/((1/1000)*(Irr!AZ19)),IF(AND(Irr!D19=".",Irr!AB19&lt;&gt;".",Irr!AZ19="."),dir!AD19/((1/1000)*(Irr!AB19)),IF(AND(Irr!D19&lt;&gt;".",Irr!AB19=".",Irr!AZ19="."),dir!AD19/((1/1000)*(Irr!D19)),IF(AND(Irr!D19=".",Irr!AB19=".",Irr!AZ19="."),dir!AD19*1000)))))))),".")</f>
        <v>.</v>
      </c>
      <c r="AE19" s="48" t="str">
        <f>IFERROR(IF(AND(Irr!E19&lt;&gt;".",Irr!AC19&lt;&gt;".",Irr!BA19&lt;&gt;"."),dir!AE19/((1/1000)*(Irr!E19+Irr!AC19+Irr!BA19)),IF(AND(Irr!E19&lt;&gt;".",Irr!AC19&lt;&gt;".",Irr!BA19="."),dir!AE19/((1/1000)*(Irr!E19+Irr!AC19)),IF(AND(Irr!E19&lt;&gt;".",Irr!AC19=".",Irr!BA19&lt;&gt;"."),dir!AE19/((1/1000)*(Irr!E19+Irr!BA19)),IF(AND(Irr!E19=".",Irr!AC19&lt;&gt;".",Irr!BA19&lt;&gt;"."),dir!AE19/((1/1000)*(Irr!AC19+Irr!BA19)),IF(AND(Irr!E19=".",Irr!AC19=".",Irr!BA19&lt;&gt;"."),dir!AE19/((1/1000)*(Irr!BA19)),IF(AND(Irr!E19=".",Irr!AC19&lt;&gt;".",Irr!BA19="."),dir!AE19/((1/1000)*(Irr!AC19)),IF(AND(Irr!E19&lt;&gt;".",Irr!AC19=".",Irr!BA19="."),dir!AE19/((1/1000)*(Irr!E19)),IF(AND(Irr!E19=".",Irr!AC19=".",Irr!BA19="."),dir!AE19*1000)))))))),".")</f>
        <v>.</v>
      </c>
      <c r="AF19" s="48" t="str">
        <f>IFERROR(IF(AND(Irr!F19&lt;&gt;".",Irr!AD19&lt;&gt;".",Irr!BB19&lt;&gt;"."),dir!AF19/((1/1000)*(Irr!F19+Irr!AD19+Irr!BB19)),IF(AND(Irr!F19&lt;&gt;".",Irr!AD19&lt;&gt;".",Irr!BB19="."),dir!AF19/((1/1000)*(Irr!F19+Irr!AD19)),IF(AND(Irr!F19&lt;&gt;".",Irr!AD19=".",Irr!BB19&lt;&gt;"."),dir!AF19/((1/1000)*(Irr!F19+Irr!BB19)),IF(AND(Irr!F19=".",Irr!AD19&lt;&gt;".",Irr!BB19&lt;&gt;"."),dir!AF19/((1/1000)*(Irr!AD19+Irr!BB19)),IF(AND(Irr!F19=".",Irr!AD19=".",Irr!BB19&lt;&gt;"."),dir!AF19/((1/1000)*(Irr!BB19)),IF(AND(Irr!F19=".",Irr!AD19&lt;&gt;".",Irr!BB19="."),dir!AF19/((1/1000)*(Irr!AD19)),IF(AND(Irr!F19&lt;&gt;".",Irr!AD19=".",Irr!BB19="."),dir!AF19/((1/1000)*(Irr!F19)),IF(AND(Irr!F19=".",Irr!AD19=".",Irr!BB19="."),dir!AF19*1000)))))))),".")</f>
        <v>.</v>
      </c>
      <c r="AG19" s="48" t="str">
        <f>IFERROR(IF(AND(Irr!G19&lt;&gt;".",Irr!AE19&lt;&gt;".",Irr!BC19&lt;&gt;"."),dir!AG19/((1/1000)*(Irr!G19+Irr!AE19+Irr!BC19)),IF(AND(Irr!G19&lt;&gt;".",Irr!AE19&lt;&gt;".",Irr!BC19="."),dir!AG19/((1/1000)*(Irr!G19+Irr!AE19)),IF(AND(Irr!G19&lt;&gt;".",Irr!AE19=".",Irr!BC19&lt;&gt;"."),dir!AG19/((1/1000)*(Irr!G19+Irr!BC19)),IF(AND(Irr!G19=".",Irr!AE19&lt;&gt;".",Irr!BC19&lt;&gt;"."),dir!AG19/((1/1000)*(Irr!AE19+Irr!BC19)),IF(AND(Irr!G19=".",Irr!AE19=".",Irr!BC19&lt;&gt;"."),dir!AG19/((1/1000)*(Irr!BC19)),IF(AND(Irr!G19=".",Irr!AE19&lt;&gt;".",Irr!BC19="."),dir!AG19/((1/1000)*(Irr!AE19)),IF(AND(Irr!G19&lt;&gt;".",Irr!AE19=".",Irr!BC19="."),dir!AG19/((1/1000)*(Irr!G19)),IF(AND(Irr!G19=".",Irr!AE19=".",Irr!BC19="."),dir!AG19*1000)))))))),".")</f>
        <v>.</v>
      </c>
      <c r="AH19" s="48" t="str">
        <f>IFERROR(IF(AND(Irr!H19&lt;&gt;".",Irr!AF19&lt;&gt;".",Irr!BD19&lt;&gt;"."),dir!AH19/((1/1000)*(Irr!H19+Irr!AF19+Irr!BD19)),IF(AND(Irr!H19&lt;&gt;".",Irr!AF19&lt;&gt;".",Irr!BD19="."),dir!AH19/((1/1000)*(Irr!H19+Irr!AF19)),IF(AND(Irr!H19&lt;&gt;".",Irr!AF19=".",Irr!BD19&lt;&gt;"."),dir!AH19/((1/1000)*(Irr!H19+Irr!BD19)),IF(AND(Irr!H19=".",Irr!AF19&lt;&gt;".",Irr!BD19&lt;&gt;"."),dir!AH19/((1/1000)*(Irr!AF19+Irr!BD19)),IF(AND(Irr!H19=".",Irr!AF19=".",Irr!BD19&lt;&gt;"."),dir!AH19/((1/1000)*(Irr!BD19)),IF(AND(Irr!H19=".",Irr!AF19&lt;&gt;".",Irr!BD19="."),dir!AH19/((1/1000)*(Irr!AF19)),IF(AND(Irr!H19&lt;&gt;".",Irr!AF19=".",Irr!BD19="."),dir!AH19/((1/1000)*(Irr!H19)),IF(AND(Irr!H19=".",Irr!AF19=".",Irr!BD19="."),dir!AH19*1000)))))))),".")</f>
        <v>.</v>
      </c>
      <c r="AI19" s="48" t="str">
        <f>IFERROR(IF(AND(Irr!I19&lt;&gt;".",Irr!AG19&lt;&gt;".",Irr!BE19&lt;&gt;"."),dir!AI19/((1/1000)*(Irr!I19+Irr!AG19+Irr!BE19)),IF(AND(Irr!I19&lt;&gt;".",Irr!AG19&lt;&gt;".",Irr!BE19="."),dir!AI19/((1/1000)*(Irr!I19+Irr!AG19)),IF(AND(Irr!I19&lt;&gt;".",Irr!AG19=".",Irr!BE19&lt;&gt;"."),dir!AI19/((1/1000)*(Irr!I19+Irr!BE19)),IF(AND(Irr!I19=".",Irr!AG19&lt;&gt;".",Irr!BE19&lt;&gt;"."),dir!AI19/((1/1000)*(Irr!AG19+Irr!BE19)),IF(AND(Irr!I19=".",Irr!AG19=".",Irr!BE19&lt;&gt;"."),dir!AI19/((1/1000)*(Irr!BE19)),IF(AND(Irr!I19=".",Irr!AG19&lt;&gt;".",Irr!BE19="."),dir!AI19/((1/1000)*(Irr!AG19)),IF(AND(Irr!I19&lt;&gt;".",Irr!AG19=".",Irr!BE19="."),dir!AI19/((1/1000)*(Irr!I19)),IF(AND(Irr!I19=".",Irr!AG19=".",Irr!BE19="."),dir!AI19*1000)))))))),".")</f>
        <v>.</v>
      </c>
      <c r="AJ19" s="48" t="str">
        <f>IFERROR(IF(AND(Irr!J19&lt;&gt;".",Irr!AH19&lt;&gt;".",Irr!BF19&lt;&gt;"."),dir!AJ19/((1/1000)*(Irr!J19+Irr!AH19+Irr!BF19)),IF(AND(Irr!J19&lt;&gt;".",Irr!AH19&lt;&gt;".",Irr!BF19="."),dir!AJ19/((1/1000)*(Irr!J19+Irr!AH19)),IF(AND(Irr!J19&lt;&gt;".",Irr!AH19=".",Irr!BF19&lt;&gt;"."),dir!AJ19/((1/1000)*(Irr!J19+Irr!BF19)),IF(AND(Irr!J19=".",Irr!AH19&lt;&gt;".",Irr!BF19&lt;&gt;"."),dir!AJ19/((1/1000)*(Irr!AH19+Irr!BF19)),IF(AND(Irr!J19=".",Irr!AH19=".",Irr!BF19&lt;&gt;"."),dir!AJ19/((1/1000)*(Irr!BF19)),IF(AND(Irr!J19=".",Irr!AH19&lt;&gt;".",Irr!BF19="."),dir!AJ19/((1/1000)*(Irr!AH19)),IF(AND(Irr!J19&lt;&gt;".",Irr!AH19=".",Irr!BF19="."),dir!AJ19/((1/1000)*(Irr!J19)),IF(AND(Irr!J19=".",Irr!AH19=".",Irr!BF19="."),dir!AJ19*1000)))))))),".")</f>
        <v>.</v>
      </c>
      <c r="AK19" s="48" t="str">
        <f>IFERROR(IF(AND(Irr!K19&lt;&gt;".",Irr!AI19&lt;&gt;".",Irr!BG19&lt;&gt;"."),dir!AK19/((1/1000)*(Irr!K19+Irr!AI19+Irr!BG19)),IF(AND(Irr!K19&lt;&gt;".",Irr!AI19&lt;&gt;".",Irr!BG19="."),dir!AK19/((1/1000)*(Irr!K19+Irr!AI19)),IF(AND(Irr!K19&lt;&gt;".",Irr!AI19=".",Irr!BG19&lt;&gt;"."),dir!AK19/((1/1000)*(Irr!K19+Irr!BG19)),IF(AND(Irr!K19=".",Irr!AI19&lt;&gt;".",Irr!BG19&lt;&gt;"."),dir!AK19/((1/1000)*(Irr!AI19+Irr!BG19)),IF(AND(Irr!K19=".",Irr!AI19=".",Irr!BG19&lt;&gt;"."),dir!AK19/((1/1000)*(Irr!BG19)),IF(AND(Irr!K19=".",Irr!AI19&lt;&gt;".",Irr!BG19="."),dir!AK19/((1/1000)*(Irr!AI19)),IF(AND(Irr!K19&lt;&gt;".",Irr!AI19=".",Irr!BG19="."),dir!AK19/((1/1000)*(Irr!K19)),IF(AND(Irr!K19=".",Irr!AI19=".",Irr!BG19="."),dir!AK19*1000)))))))),".")</f>
        <v>.</v>
      </c>
      <c r="AL19" s="48" t="str">
        <f>IFERROR(IF(AND(Irr!L19&lt;&gt;".",Irr!AJ19&lt;&gt;".",Irr!BH19&lt;&gt;"."),dir!AL19/((1/1000)*(Irr!L19+Irr!AJ19+Irr!BH19)),IF(AND(Irr!L19&lt;&gt;".",Irr!AJ19&lt;&gt;".",Irr!BH19="."),dir!AL19/((1/1000)*(Irr!L19+Irr!AJ19)),IF(AND(Irr!L19&lt;&gt;".",Irr!AJ19=".",Irr!BH19&lt;&gt;"."),dir!AL19/((1/1000)*(Irr!L19+Irr!BH19)),IF(AND(Irr!L19=".",Irr!AJ19&lt;&gt;".",Irr!BH19&lt;&gt;"."),dir!AL19/((1/1000)*(Irr!AJ19+Irr!BH19)),IF(AND(Irr!L19=".",Irr!AJ19=".",Irr!BH19&lt;&gt;"."),dir!AL19/((1/1000)*(Irr!BH19)),IF(AND(Irr!L19=".",Irr!AJ19&lt;&gt;".",Irr!BH19="."),dir!AL19/((1/1000)*(Irr!AJ19)),IF(AND(Irr!L19&lt;&gt;".",Irr!AJ19=".",Irr!BH19="."),dir!AL19/((1/1000)*(Irr!L19)),IF(AND(Irr!L19=".",Irr!AJ19=".",Irr!BH19="."),dir!AL19*1000)))))))),".")</f>
        <v>.</v>
      </c>
      <c r="AM19" s="48" t="str">
        <f>IFERROR(IF(AND(Irr!M19&lt;&gt;".",Irr!AK19&lt;&gt;".",Irr!BI19&lt;&gt;"."),dir!AM19/((1/1000)*(Irr!M19+Irr!AK19+Irr!BI19)),IF(AND(Irr!M19&lt;&gt;".",Irr!AK19&lt;&gt;".",Irr!BI19="."),dir!AM19/((1/1000)*(Irr!M19+Irr!AK19)),IF(AND(Irr!M19&lt;&gt;".",Irr!AK19=".",Irr!BI19&lt;&gt;"."),dir!AM19/((1/1000)*(Irr!M19+Irr!BI19)),IF(AND(Irr!M19=".",Irr!AK19&lt;&gt;".",Irr!BI19&lt;&gt;"."),dir!AM19/((1/1000)*(Irr!AK19+Irr!BI19)),IF(AND(Irr!M19=".",Irr!AK19=".",Irr!BI19&lt;&gt;"."),dir!AM19/((1/1000)*(Irr!BI19)),IF(AND(Irr!M19=".",Irr!AK19&lt;&gt;".",Irr!BI19="."),dir!AM19/((1/1000)*(Irr!AK19)),IF(AND(Irr!M19&lt;&gt;".",Irr!AK19=".",Irr!BI19="."),dir!AM19/((1/1000)*(Irr!M19)),IF(AND(Irr!M19=".",Irr!AK19=".",Irr!BI19="."),dir!AM19*1000)))))))),".")</f>
        <v>.</v>
      </c>
      <c r="AN19" s="48" t="str">
        <f>IFERROR(IF(AND(Irr!N19&lt;&gt;".",Irr!AL19&lt;&gt;".",Irr!BJ19&lt;&gt;"."),dir!AN19/((1/1000)*(Irr!N19+Irr!AL19+Irr!BJ19)),IF(AND(Irr!N19&lt;&gt;".",Irr!AL19&lt;&gt;".",Irr!BJ19="."),dir!AN19/((1/1000)*(Irr!N19+Irr!AL19)),IF(AND(Irr!N19&lt;&gt;".",Irr!AL19=".",Irr!BJ19&lt;&gt;"."),dir!AN19/((1/1000)*(Irr!N19+Irr!BJ19)),IF(AND(Irr!N19=".",Irr!AL19&lt;&gt;".",Irr!BJ19&lt;&gt;"."),dir!AN19/((1/1000)*(Irr!AL19+Irr!BJ19)),IF(AND(Irr!N19=".",Irr!AL19=".",Irr!BJ19&lt;&gt;"."),dir!AN19/((1/1000)*(Irr!BJ19)),IF(AND(Irr!N19=".",Irr!AL19&lt;&gt;".",Irr!BJ19="."),dir!AN19/((1/1000)*(Irr!AL19)),IF(AND(Irr!N19&lt;&gt;".",Irr!AL19=".",Irr!BJ19="."),dir!AN19/((1/1000)*(Irr!N19)),IF(AND(Irr!N19=".",Irr!AL19=".",Irr!BJ19="."),dir!AN19*1000)))))))),".")</f>
        <v>.</v>
      </c>
      <c r="AO19" s="48" t="str">
        <f>IFERROR(IF(AND(Irr!O19&lt;&gt;".",Irr!AM19&lt;&gt;".",Irr!BK19&lt;&gt;"."),dir!AO19/((1/1000)*(Irr!O19+Irr!AM19+Irr!BK19)),IF(AND(Irr!O19&lt;&gt;".",Irr!AM19&lt;&gt;".",Irr!BK19="."),dir!AO19/((1/1000)*(Irr!O19+Irr!AM19)),IF(AND(Irr!O19&lt;&gt;".",Irr!AM19=".",Irr!BK19&lt;&gt;"."),dir!AO19/((1/1000)*(Irr!O19+Irr!BK19)),IF(AND(Irr!O19=".",Irr!AM19&lt;&gt;".",Irr!BK19&lt;&gt;"."),dir!AO19/((1/1000)*(Irr!AM19+Irr!BK19)),IF(AND(Irr!O19=".",Irr!AM19=".",Irr!BK19&lt;&gt;"."),dir!AO19/((1/1000)*(Irr!BK19)),IF(AND(Irr!O19=".",Irr!AM19&lt;&gt;".",Irr!BK19="."),dir!AO19/((1/1000)*(Irr!AM19)),IF(AND(Irr!O19&lt;&gt;".",Irr!AM19=".",Irr!BK19="."),dir!AO19/((1/1000)*(Irr!O19)),IF(AND(Irr!O19=".",Irr!AM19=".",Irr!BK19="."),dir!AO19*1000)))))))),".")</f>
        <v>.</v>
      </c>
      <c r="AP19" s="48" t="str">
        <f>IFERROR(IF(AND(Irr!P19&lt;&gt;".",Irr!AN19&lt;&gt;".",Irr!BL19&lt;&gt;"."),dir!AP19/((1/1000)*(Irr!P19+Irr!AN19+Irr!BL19)),IF(AND(Irr!P19&lt;&gt;".",Irr!AN19&lt;&gt;".",Irr!BL19="."),dir!AP19/((1/1000)*(Irr!P19+Irr!AN19)),IF(AND(Irr!P19&lt;&gt;".",Irr!AN19=".",Irr!BL19&lt;&gt;"."),dir!AP19/((1/1000)*(Irr!P19+Irr!BL19)),IF(AND(Irr!P19=".",Irr!AN19&lt;&gt;".",Irr!BL19&lt;&gt;"."),dir!AP19/((1/1000)*(Irr!AN19+Irr!BL19)),IF(AND(Irr!P19=".",Irr!AN19=".",Irr!BL19&lt;&gt;"."),dir!AP19/((1/1000)*(Irr!BL19)),IF(AND(Irr!P19=".",Irr!AN19&lt;&gt;".",Irr!BL19="."),dir!AP19/((1/1000)*(Irr!AN19)),IF(AND(Irr!P19&lt;&gt;".",Irr!AN19=".",Irr!BL19="."),dir!AP19/((1/1000)*(Irr!P19)),IF(AND(Irr!P19=".",Irr!AN19=".",Irr!BL19="."),dir!AP19*1000)))))))),".")</f>
        <v>.</v>
      </c>
      <c r="AQ19" s="48" t="str">
        <f>IFERROR(IF(AND(Irr!Q19&lt;&gt;".",Irr!AO19&lt;&gt;".",Irr!BM19&lt;&gt;"."),dir!AQ19/((1/1000)*(Irr!Q19+Irr!AO19+Irr!BM19)),IF(AND(Irr!Q19&lt;&gt;".",Irr!AO19&lt;&gt;".",Irr!BM19="."),dir!AQ19/((1/1000)*(Irr!Q19+Irr!AO19)),IF(AND(Irr!Q19&lt;&gt;".",Irr!AO19=".",Irr!BM19&lt;&gt;"."),dir!AQ19/((1/1000)*(Irr!Q19+Irr!BM19)),IF(AND(Irr!Q19=".",Irr!AO19&lt;&gt;".",Irr!BM19&lt;&gt;"."),dir!AQ19/((1/1000)*(Irr!AO19+Irr!BM19)),IF(AND(Irr!Q19=".",Irr!AO19=".",Irr!BM19&lt;&gt;"."),dir!AQ19/((1/1000)*(Irr!BM19)),IF(AND(Irr!Q19=".",Irr!AO19&lt;&gt;".",Irr!BM19="."),dir!AQ19/((1/1000)*(Irr!AO19)),IF(AND(Irr!Q19&lt;&gt;".",Irr!AO19=".",Irr!BM19="."),dir!AQ19/((1/1000)*(Irr!Q19)),IF(AND(Irr!Q19=".",Irr!AO19=".",Irr!BM19="."),dir!AQ19*1000)))))))),".")</f>
        <v>.</v>
      </c>
      <c r="AR19" s="48" t="str">
        <f>IFERROR(IF(AND(Irr!R19&lt;&gt;".",Irr!AP19&lt;&gt;".",Irr!BN19&lt;&gt;"."),dir!AR19/((1/1000)*(Irr!R19+Irr!AP19+Irr!BN19)),IF(AND(Irr!R19&lt;&gt;".",Irr!AP19&lt;&gt;".",Irr!BN19="."),dir!AR19/((1/1000)*(Irr!R19+Irr!AP19)),IF(AND(Irr!R19&lt;&gt;".",Irr!AP19=".",Irr!BN19&lt;&gt;"."),dir!AR19/((1/1000)*(Irr!R19+Irr!BN19)),IF(AND(Irr!R19=".",Irr!AP19&lt;&gt;".",Irr!BN19&lt;&gt;"."),dir!AR19/((1/1000)*(Irr!AP19+Irr!BN19)),IF(AND(Irr!R19=".",Irr!AP19=".",Irr!BN19&lt;&gt;"."),dir!AR19/((1/1000)*(Irr!BN19)),IF(AND(Irr!R19=".",Irr!AP19&lt;&gt;".",Irr!BN19="."),dir!AR19/((1/1000)*(Irr!AP19)),IF(AND(Irr!R19&lt;&gt;".",Irr!AP19=".",Irr!BN19="."),dir!AR19/((1/1000)*(Irr!R19)),IF(AND(Irr!R19=".",Irr!AP19=".",Irr!BN19="."),dir!AR19*1000)))))))),".")</f>
        <v>.</v>
      </c>
      <c r="AS19" s="48" t="str">
        <f>IFERROR(IF(AND(Irr!S19&lt;&gt;".",Irr!AQ19&lt;&gt;".",Irr!BO19&lt;&gt;"."),dir!AS19/((1/1000)*(Irr!S19+Irr!AQ19+Irr!BO19)),IF(AND(Irr!S19&lt;&gt;".",Irr!AQ19&lt;&gt;".",Irr!BO19="."),dir!AS19/((1/1000)*(Irr!S19+Irr!AQ19)),IF(AND(Irr!S19&lt;&gt;".",Irr!AQ19=".",Irr!BO19&lt;&gt;"."),dir!AS19/((1/1000)*(Irr!S19+Irr!BO19)),IF(AND(Irr!S19=".",Irr!AQ19&lt;&gt;".",Irr!BO19&lt;&gt;"."),dir!AS19/((1/1000)*(Irr!AQ19+Irr!BO19)),IF(AND(Irr!S19=".",Irr!AQ19=".",Irr!BO19&lt;&gt;"."),dir!AS19/((1/1000)*(Irr!BO19)),IF(AND(Irr!S19=".",Irr!AQ19&lt;&gt;".",Irr!BO19="."),dir!AS19/((1/1000)*(Irr!AQ19)),IF(AND(Irr!S19&lt;&gt;".",Irr!AQ19=".",Irr!BO19="."),dir!AS19/((1/1000)*(Irr!S19)),IF(AND(Irr!S19=".",Irr!AQ19=".",Irr!BO19="."),dir!AS19*1000)))))))),".")</f>
        <v>.</v>
      </c>
      <c r="AT19" s="48" t="str">
        <f>IFERROR(IF(AND(Irr!T19&lt;&gt;".",Irr!AR19&lt;&gt;".",Irr!BP19&lt;&gt;"."),dir!AT19/((1/1000)*(Irr!T19+Irr!AR19+Irr!BP19)),IF(AND(Irr!T19&lt;&gt;".",Irr!AR19&lt;&gt;".",Irr!BP19="."),dir!AT19/((1/1000)*(Irr!T19+Irr!AR19)),IF(AND(Irr!T19&lt;&gt;".",Irr!AR19=".",Irr!BP19&lt;&gt;"."),dir!AT19/((1/1000)*(Irr!T19+Irr!BP19)),IF(AND(Irr!T19=".",Irr!AR19&lt;&gt;".",Irr!BP19&lt;&gt;"."),dir!AT19/((1/1000)*(Irr!AR19+Irr!BP19)),IF(AND(Irr!T19=".",Irr!AR19=".",Irr!BP19&lt;&gt;"."),dir!AT19/((1/1000)*(Irr!BP19)),IF(AND(Irr!T19=".",Irr!AR19&lt;&gt;".",Irr!BP19="."),dir!AT19/((1/1000)*(Irr!AR19)),IF(AND(Irr!T19&lt;&gt;".",Irr!AR19=".",Irr!BP19="."),dir!AT19/((1/1000)*(Irr!T19)),IF(AND(Irr!T19=".",Irr!AR19=".",Irr!BP19="."),dir!AT19*1000)))))))),".")</f>
        <v>.</v>
      </c>
      <c r="AU19" s="48" t="str">
        <f>IFERROR(IF(AND(Irr!U19&lt;&gt;".",Irr!AS19&lt;&gt;".",Irr!BQ19&lt;&gt;"."),dir!AU19/((1/1000)*(Irr!U19+Irr!AS19+Irr!BQ19)),IF(AND(Irr!U19&lt;&gt;".",Irr!AS19&lt;&gt;".",Irr!BQ19="."),dir!AU19/((1/1000)*(Irr!U19+Irr!AS19)),IF(AND(Irr!U19&lt;&gt;".",Irr!AS19=".",Irr!BQ19&lt;&gt;"."),dir!AU19/((1/1000)*(Irr!U19+Irr!BQ19)),IF(AND(Irr!U19=".",Irr!AS19&lt;&gt;".",Irr!BQ19&lt;&gt;"."),dir!AU19/((1/1000)*(Irr!AS19+Irr!BQ19)),IF(AND(Irr!U19=".",Irr!AS19=".",Irr!BQ19&lt;&gt;"."),dir!AU19/((1/1000)*(Irr!BQ19)),IF(AND(Irr!U19=".",Irr!AS19&lt;&gt;".",Irr!BQ19="."),dir!AU19/((1/1000)*(Irr!AS19)),IF(AND(Irr!U19&lt;&gt;".",Irr!AS19=".",Irr!BQ19="."),dir!AU19/((1/1000)*(Irr!U19)),IF(AND(Irr!U19=".",Irr!AS19=".",Irr!BQ19="."),dir!AU19*1000)))))))),".")</f>
        <v>.</v>
      </c>
      <c r="AV19" s="48" t="str">
        <f>IFERROR(IF(AND(Irr!V19&lt;&gt;".",Irr!AT19&lt;&gt;".",Irr!BR19&lt;&gt;"."),dir!AV19/((1/1000)*(Irr!V19+Irr!AT19+Irr!BR19)),IF(AND(Irr!V19&lt;&gt;".",Irr!AT19&lt;&gt;".",Irr!BR19="."),dir!AV19/((1/1000)*(Irr!V19+Irr!AT19)),IF(AND(Irr!V19&lt;&gt;".",Irr!AT19=".",Irr!BR19&lt;&gt;"."),dir!AV19/((1/1000)*(Irr!V19+Irr!BR19)),IF(AND(Irr!V19=".",Irr!AT19&lt;&gt;".",Irr!BR19&lt;&gt;"."),dir!AV19/((1/1000)*(Irr!AT19+Irr!BR19)),IF(AND(Irr!V19=".",Irr!AT19=".",Irr!BR19&lt;&gt;"."),dir!AV19/((1/1000)*(Irr!BR19)),IF(AND(Irr!V19=".",Irr!AT19&lt;&gt;".",Irr!BR19="."),dir!AV19/((1/1000)*(Irr!AT19)),IF(AND(Irr!V19&lt;&gt;".",Irr!AT19=".",Irr!BR19="."),dir!AV19/((1/1000)*(Irr!V19)),IF(AND(Irr!V19=".",Irr!AT19=".",Irr!BR19="."),dir!AV19*1000)))))))),".")</f>
        <v>.</v>
      </c>
      <c r="AW19" s="48" t="str">
        <f>IFERROR(IF(AND(Irr!W19&lt;&gt;".",Irr!AU19&lt;&gt;".",Irr!BS19&lt;&gt;"."),dir!AW19/((1/1000)*(Irr!W19+Irr!AU19+Irr!BS19)),IF(AND(Irr!W19&lt;&gt;".",Irr!AU19&lt;&gt;".",Irr!BS19="."),dir!AW19/((1/1000)*(Irr!W19+Irr!AU19)),IF(AND(Irr!W19&lt;&gt;".",Irr!AU19=".",Irr!BS19&lt;&gt;"."),dir!AW19/((1/1000)*(Irr!W19+Irr!BS19)),IF(AND(Irr!W19=".",Irr!AU19&lt;&gt;".",Irr!BS19&lt;&gt;"."),dir!AW19/((1/1000)*(Irr!AU19+Irr!BS19)),IF(AND(Irr!W19=".",Irr!AU19=".",Irr!BS19&lt;&gt;"."),dir!AW19/((1/1000)*(Irr!BS19)),IF(AND(Irr!W19=".",Irr!AU19&lt;&gt;".",Irr!BS19="."),dir!AW19/((1/1000)*(Irr!AU19)),IF(AND(Irr!W19&lt;&gt;".",Irr!AU19=".",Irr!BS19="."),dir!AW19/((1/1000)*(Irr!W19)),IF(AND(Irr!W19=".",Irr!AU19=".",Irr!BS19="."),dir!AW19*1000)))))))),".")</f>
        <v>.</v>
      </c>
      <c r="AX19" s="48" t="str">
        <f>IFERROR(IF(AND(Irr!X19&lt;&gt;".",Irr!AV19&lt;&gt;".",Irr!BT19&lt;&gt;"."),dir!AX19/((1/1000)*(Irr!X19+Irr!AV19+Irr!BT19)),IF(AND(Irr!X19&lt;&gt;".",Irr!AV19&lt;&gt;".",Irr!BT19="."),dir!AX19/((1/1000)*(Irr!X19+Irr!AV19)),IF(AND(Irr!X19&lt;&gt;".",Irr!AV19=".",Irr!BT19&lt;&gt;"."),dir!AX19/((1/1000)*(Irr!X19+Irr!BT19)),IF(AND(Irr!X19=".",Irr!AV19&lt;&gt;".",Irr!BT19&lt;&gt;"."),dir!AX19/((1/1000)*(Irr!AV19+Irr!BT19)),IF(AND(Irr!X19=".",Irr!AV19=".",Irr!BT19&lt;&gt;"."),dir!AX19/((1/1000)*(Irr!BT19)),IF(AND(Irr!X19=".",Irr!AV19&lt;&gt;".",Irr!BT19="."),dir!AX19/((1/1000)*(Irr!AV19)),IF(AND(Irr!X19&lt;&gt;".",Irr!AV19=".",Irr!BT19="."),dir!AX19/((1/1000)*(Irr!X19)),IF(AND(Irr!X19=".",Irr!AV19=".",Irr!BT19="."),dir!AX19*1000)))))))),".")</f>
        <v>.</v>
      </c>
      <c r="AY19" s="48" t="str">
        <f>IFERROR(IF(AND(Irr!Y19&lt;&gt;".",Irr!AW19&lt;&gt;".",Irr!BU19&lt;&gt;"."),dir!AY19/((1/1000)*(Irr!Y19+Irr!AW19+Irr!BU19)),IF(AND(Irr!Y19&lt;&gt;".",Irr!AW19&lt;&gt;".",Irr!BU19="."),dir!AY19/((1/1000)*(Irr!Y19+Irr!AW19)),IF(AND(Irr!Y19&lt;&gt;".",Irr!AW19=".",Irr!BU19&lt;&gt;"."),dir!AY19/((1/1000)*(Irr!Y19+Irr!BU19)),IF(AND(Irr!Y19=".",Irr!AW19&lt;&gt;".",Irr!BU19&lt;&gt;"."),dir!AY19/((1/1000)*(Irr!AW19+Irr!BU19)),IF(AND(Irr!Y19=".",Irr!AW19=".",Irr!BU19&lt;&gt;"."),dir!AY19/((1/1000)*(Irr!BU19)),IF(AND(Irr!Y19=".",Irr!AW19&lt;&gt;".",Irr!BU19="."),dir!AY19/((1/1000)*(Irr!AW19)),IF(AND(Irr!Y19&lt;&gt;".",Irr!AW19=".",Irr!BU19="."),dir!AY19/((1/1000)*(Irr!Y19)),IF(AND(Irr!Y19=".",Irr!AW19=".",Irr!BU19="."),dir!AY19*1000)))))))),".")</f>
        <v>.</v>
      </c>
      <c r="AZ19" s="48" t="str">
        <f>IFERROR(IF(AND(Irr!Z19&lt;&gt;".",Irr!AX19&lt;&gt;".",Irr!BV19&lt;&gt;"."),dir!AZ19/((1/1000)*(Irr!Z19+Irr!AX19+Irr!BV19)),IF(AND(Irr!Z19&lt;&gt;".",Irr!AX19&lt;&gt;".",Irr!BV19="."),dir!AZ19/((1/1000)*(Irr!Z19+Irr!AX19)),IF(AND(Irr!Z19&lt;&gt;".",Irr!AX19=".",Irr!BV19&lt;&gt;"."),dir!AZ19/((1/1000)*(Irr!Z19+Irr!BV19)),IF(AND(Irr!Z19=".",Irr!AX19&lt;&gt;".",Irr!BV19&lt;&gt;"."),dir!AZ19/((1/1000)*(Irr!AX19+Irr!BV19)),IF(AND(Irr!Z19=".",Irr!AX19=".",Irr!BV19&lt;&gt;"."),dir!AZ19/((1/1000)*(Irr!BV19)),IF(AND(Irr!Z19=".",Irr!AX19&lt;&gt;".",Irr!BV19="."),dir!AZ19/((1/1000)*(Irr!AX19)),IF(AND(Irr!Z19&lt;&gt;".",Irr!AX19=".",Irr!BV19="."),dir!AZ19/((1/1000)*(Irr!Z19)),IF(AND(Irr!Z19=".",Irr!AX19=".",Irr!BV19="."),dir!AZ19*1000)))))))),".")</f>
        <v>.</v>
      </c>
    </row>
    <row r="20" spans="1:52" ht="15" customHeight="1" x14ac:dyDescent="0.25">
      <c r="A20" s="61" t="s">
        <v>18</v>
      </c>
      <c r="B20" s="49" t="s">
        <v>1059</v>
      </c>
      <c r="C20" s="48" t="str">
        <f t="shared" si="16"/>
        <v>.</v>
      </c>
      <c r="D20" s="48" t="str">
        <f>IFERROR(IF(AND(Irr!C20&lt;&gt;".",Irr!AA20&lt;&gt;".",Irr!AY20&lt;&gt;"."),dir!D20/((1/1000)*(Irr!C20+Irr!AA20+Irr!AY20)),IF(AND(Irr!C20&lt;&gt;".",Irr!AA20&lt;&gt;".",Irr!AY20="."),dir!D20/((1/1000)*(Irr!C20+Irr!AA20)),IF(AND(Irr!C20&lt;&gt;".",Irr!AA20=".",Irr!AY20&lt;&gt;"."),dir!D20/((1/1000)*(Irr!C20+Irr!AY20)),IF(AND(Irr!C20=".",Irr!AA20&lt;&gt;".",Irr!AY20&lt;&gt;"."),dir!D20/((1/1000)*(Irr!AA20+Irr!AY20)),IF(AND(Irr!C20=".",Irr!AA20=".",Irr!AY20&lt;&gt;"."),dir!D20/((1/1000)*(Irr!AY20)),IF(AND(Irr!C20=".",Irr!AA20&lt;&gt;".",Irr!AY20="."),dir!D20/((1/1000)*(Irr!AA20)),IF(AND(Irr!C20&lt;&gt;".",Irr!AA20=".",Irr!AY20="."),dir!D20/((1/1000)*(Irr!C20)),IF(AND(Irr!C20=".",Irr!AA20=".",Irr!AY20="."),dir!D20*1000)))))))),".")</f>
        <v>.</v>
      </c>
      <c r="E20" s="48" t="str">
        <f>IFERROR(IF(AND(Irr!D20&lt;&gt;".",Irr!AB20&lt;&gt;".",Irr!AZ20&lt;&gt;"."),dir!E20/((1/1000)*(Irr!D20+Irr!AB20+Irr!AZ20)),IF(AND(Irr!D20&lt;&gt;".",Irr!AB20&lt;&gt;".",Irr!AZ20="."),dir!E20/((1/1000)*(Irr!D20+Irr!AB20)),IF(AND(Irr!D20&lt;&gt;".",Irr!AB20=".",Irr!AZ20&lt;&gt;"."),dir!E20/((1/1000)*(Irr!D20+Irr!AZ20)),IF(AND(Irr!D20=".",Irr!AB20&lt;&gt;".",Irr!AZ20&lt;&gt;"."),dir!E20/((1/1000)*(Irr!AB20+Irr!AZ20)),IF(AND(Irr!D20=".",Irr!AB20=".",Irr!AZ20&lt;&gt;"."),dir!E20/((1/1000)*(Irr!AZ20)),IF(AND(Irr!D20=".",Irr!AB20&lt;&gt;".",Irr!AZ20="."),dir!E20/((1/1000)*(Irr!AB20)),IF(AND(Irr!D20&lt;&gt;".",Irr!AB20=".",Irr!AZ20="."),dir!E20/((1/1000)*(Irr!D20)),IF(AND(Irr!D20=".",Irr!AB20=".",Irr!AZ20="."),dir!E20*1000)))))))),".")</f>
        <v>.</v>
      </c>
      <c r="F20" s="48" t="str">
        <f>IFERROR(IF(AND(Irr!E20&lt;&gt;".",Irr!AC20&lt;&gt;".",Irr!BA20&lt;&gt;"."),dir!F20/((1/1000)*(Irr!E20+Irr!AC20+Irr!BA20)),IF(AND(Irr!E20&lt;&gt;".",Irr!AC20&lt;&gt;".",Irr!BA20="."),dir!F20/((1/1000)*(Irr!E20+Irr!AC20)),IF(AND(Irr!E20&lt;&gt;".",Irr!AC20=".",Irr!BA20&lt;&gt;"."),dir!F20/((1/1000)*(Irr!E20+Irr!BA20)),IF(AND(Irr!E20=".",Irr!AC20&lt;&gt;".",Irr!BA20&lt;&gt;"."),dir!F20/((1/1000)*(Irr!AC20+Irr!BA20)),IF(AND(Irr!E20=".",Irr!AC20=".",Irr!BA20&lt;&gt;"."),dir!F20/((1/1000)*(Irr!BA20)),IF(AND(Irr!E20=".",Irr!AC20&lt;&gt;".",Irr!BA20="."),dir!F20/((1/1000)*(Irr!AC20)),IF(AND(Irr!E20&lt;&gt;".",Irr!AC20=".",Irr!BA20="."),dir!F20/((1/1000)*(Irr!E20)),IF(AND(Irr!E20=".",Irr!AC20=".",Irr!BA20="."),dir!F20*1000)))))))),".")</f>
        <v>.</v>
      </c>
      <c r="G20" s="48" t="str">
        <f>IFERROR(IF(AND(Irr!F20&lt;&gt;".",Irr!AD20&lt;&gt;".",Irr!BB20&lt;&gt;"."),dir!G20/((1/1000)*(Irr!F20+Irr!AD20+Irr!BB20)),IF(AND(Irr!F20&lt;&gt;".",Irr!AD20&lt;&gt;".",Irr!BB20="."),dir!G20/((1/1000)*(Irr!F20+Irr!AD20)),IF(AND(Irr!F20&lt;&gt;".",Irr!AD20=".",Irr!BB20&lt;&gt;"."),dir!G20/((1/1000)*(Irr!F20+Irr!BB20)),IF(AND(Irr!F20=".",Irr!AD20&lt;&gt;".",Irr!BB20&lt;&gt;"."),dir!G20/((1/1000)*(Irr!AD20+Irr!BB20)),IF(AND(Irr!F20=".",Irr!AD20=".",Irr!BB20&lt;&gt;"."),dir!G20/((1/1000)*(Irr!BB20)),IF(AND(Irr!F20=".",Irr!AD20&lt;&gt;".",Irr!BB20="."),dir!G20/((1/1000)*(Irr!AD20)),IF(AND(Irr!F20&lt;&gt;".",Irr!AD20=".",Irr!BB20="."),dir!G20/((1/1000)*(Irr!F20)),IF(AND(Irr!F20=".",Irr!AD20=".",Irr!BB20="."),dir!G20*1000)))))))),".")</f>
        <v>.</v>
      </c>
      <c r="H20" s="48" t="str">
        <f>IFERROR(IF(AND(Irr!G20&lt;&gt;".",Irr!AE20&lt;&gt;".",Irr!BC20&lt;&gt;"."),dir!H20/((1/1000)*(Irr!G20+Irr!AE20+Irr!BC20)),IF(AND(Irr!G20&lt;&gt;".",Irr!AE20&lt;&gt;".",Irr!BC20="."),dir!H20/((1/1000)*(Irr!G20+Irr!AE20)),IF(AND(Irr!G20&lt;&gt;".",Irr!AE20=".",Irr!BC20&lt;&gt;"."),dir!H20/((1/1000)*(Irr!G20+Irr!BC20)),IF(AND(Irr!G20=".",Irr!AE20&lt;&gt;".",Irr!BC20&lt;&gt;"."),dir!H20/((1/1000)*(Irr!AE20+Irr!BC20)),IF(AND(Irr!G20=".",Irr!AE20=".",Irr!BC20&lt;&gt;"."),dir!H20/((1/1000)*(Irr!BC20)),IF(AND(Irr!G20=".",Irr!AE20&lt;&gt;".",Irr!BC20="."),dir!H20/((1/1000)*(Irr!AE20)),IF(AND(Irr!G20&lt;&gt;".",Irr!AE20=".",Irr!BC20="."),dir!H20/((1/1000)*(Irr!G20)),IF(AND(Irr!G20=".",Irr!AE20=".",Irr!BC20="."),dir!H20*1000)))))))),".")</f>
        <v>.</v>
      </c>
      <c r="I20" s="48" t="str">
        <f>IFERROR(IF(AND(Irr!H20&lt;&gt;".",Irr!AF20&lt;&gt;".",Irr!BD20&lt;&gt;"."),dir!I20/((1/1000)*(Irr!H20+Irr!AF20+Irr!BD20)),IF(AND(Irr!H20&lt;&gt;".",Irr!AF20&lt;&gt;".",Irr!BD20="."),dir!I20/((1/1000)*(Irr!H20+Irr!AF20)),IF(AND(Irr!H20&lt;&gt;".",Irr!AF20=".",Irr!BD20&lt;&gt;"."),dir!I20/((1/1000)*(Irr!H20+Irr!BD20)),IF(AND(Irr!H20=".",Irr!AF20&lt;&gt;".",Irr!BD20&lt;&gt;"."),dir!I20/((1/1000)*(Irr!AF20+Irr!BD20)),IF(AND(Irr!H20=".",Irr!AF20=".",Irr!BD20&lt;&gt;"."),dir!I20/((1/1000)*(Irr!BD20)),IF(AND(Irr!H20=".",Irr!AF20&lt;&gt;".",Irr!BD20="."),dir!I20/((1/1000)*(Irr!AF20)),IF(AND(Irr!H20&lt;&gt;".",Irr!AF20=".",Irr!BD20="."),dir!I20/((1/1000)*(Irr!H20)),IF(AND(Irr!H20=".",Irr!AF20=".",Irr!BD20="."),dir!I20*1000)))))))),".")</f>
        <v>.</v>
      </c>
      <c r="J20" s="48" t="str">
        <f>IFERROR(IF(AND(Irr!I20&lt;&gt;".",Irr!AG20&lt;&gt;".",Irr!BE20&lt;&gt;"."),dir!J20/((1/1000)*(Irr!I20+Irr!AG20+Irr!BE20)),IF(AND(Irr!I20&lt;&gt;".",Irr!AG20&lt;&gt;".",Irr!BE20="."),dir!J20/((1/1000)*(Irr!I20+Irr!AG20)),IF(AND(Irr!I20&lt;&gt;".",Irr!AG20=".",Irr!BE20&lt;&gt;"."),dir!J20/((1/1000)*(Irr!I20+Irr!BE20)),IF(AND(Irr!I20=".",Irr!AG20&lt;&gt;".",Irr!BE20&lt;&gt;"."),dir!J20/((1/1000)*(Irr!AG20+Irr!BE20)),IF(AND(Irr!I20=".",Irr!AG20=".",Irr!BE20&lt;&gt;"."),dir!J20/((1/1000)*(Irr!BE20)),IF(AND(Irr!I20=".",Irr!AG20&lt;&gt;".",Irr!BE20="."),dir!J20/((1/1000)*(Irr!AG20)),IF(AND(Irr!I20&lt;&gt;".",Irr!AG20=".",Irr!BE20="."),dir!J20/((1/1000)*(Irr!I20)),IF(AND(Irr!I20=".",Irr!AG20=".",Irr!BE20="."),dir!J20*1000)))))))),".")</f>
        <v>.</v>
      </c>
      <c r="K20" s="48" t="str">
        <f>IFERROR(IF(AND(Irr!J20&lt;&gt;".",Irr!AH20&lt;&gt;".",Irr!BF20&lt;&gt;"."),dir!K20/((1/1000)*(Irr!J20+Irr!AH20+Irr!BF20)),IF(AND(Irr!J20&lt;&gt;".",Irr!AH20&lt;&gt;".",Irr!BF20="."),dir!K20/((1/1000)*(Irr!J20+Irr!AH20)),IF(AND(Irr!J20&lt;&gt;".",Irr!AH20=".",Irr!BF20&lt;&gt;"."),dir!K20/((1/1000)*(Irr!J20+Irr!BF20)),IF(AND(Irr!J20=".",Irr!AH20&lt;&gt;".",Irr!BF20&lt;&gt;"."),dir!K20/((1/1000)*(Irr!AH20+Irr!BF20)),IF(AND(Irr!J20=".",Irr!AH20=".",Irr!BF20&lt;&gt;"."),dir!K20/((1/1000)*(Irr!BF20)),IF(AND(Irr!J20=".",Irr!AH20&lt;&gt;".",Irr!BF20="."),dir!K20/((1/1000)*(Irr!AH20)),IF(AND(Irr!J20&lt;&gt;".",Irr!AH20=".",Irr!BF20="."),dir!K20/((1/1000)*(Irr!J20)),IF(AND(Irr!J20=".",Irr!AH20=".",Irr!BF20="."),dir!K20*1000)))))))),".")</f>
        <v>.</v>
      </c>
      <c r="L20" s="48" t="str">
        <f>IFERROR(IF(AND(Irr!K20&lt;&gt;".",Irr!AI20&lt;&gt;".",Irr!BG20&lt;&gt;"."),dir!L20/((1/1000)*(Irr!K20+Irr!AI20+Irr!BG20)),IF(AND(Irr!K20&lt;&gt;".",Irr!AI20&lt;&gt;".",Irr!BG20="."),dir!L20/((1/1000)*(Irr!K20+Irr!AI20)),IF(AND(Irr!K20&lt;&gt;".",Irr!AI20=".",Irr!BG20&lt;&gt;"."),dir!L20/((1/1000)*(Irr!K20+Irr!BG20)),IF(AND(Irr!K20=".",Irr!AI20&lt;&gt;".",Irr!BG20&lt;&gt;"."),dir!L20/((1/1000)*(Irr!AI20+Irr!BG20)),IF(AND(Irr!K20=".",Irr!AI20=".",Irr!BG20&lt;&gt;"."),dir!L20/((1/1000)*(Irr!BG20)),IF(AND(Irr!K20=".",Irr!AI20&lt;&gt;".",Irr!BG20="."),dir!L20/((1/1000)*(Irr!AI20)),IF(AND(Irr!K20&lt;&gt;".",Irr!AI20=".",Irr!BG20="."),dir!L20/((1/1000)*(Irr!K20)),IF(AND(Irr!K20=".",Irr!AI20=".",Irr!BG20="."),dir!L20*1000)))))))),".")</f>
        <v>.</v>
      </c>
      <c r="M20" s="48" t="str">
        <f>IFERROR(IF(AND(Irr!L20&lt;&gt;".",Irr!AJ20&lt;&gt;".",Irr!BH20&lt;&gt;"."),dir!M20/((1/1000)*(Irr!L20+Irr!AJ20+Irr!BH20)),IF(AND(Irr!L20&lt;&gt;".",Irr!AJ20&lt;&gt;".",Irr!BH20="."),dir!M20/((1/1000)*(Irr!L20+Irr!AJ20)),IF(AND(Irr!L20&lt;&gt;".",Irr!AJ20=".",Irr!BH20&lt;&gt;"."),dir!M20/((1/1000)*(Irr!L20+Irr!BH20)),IF(AND(Irr!L20=".",Irr!AJ20&lt;&gt;".",Irr!BH20&lt;&gt;"."),dir!M20/((1/1000)*(Irr!AJ20+Irr!BH20)),IF(AND(Irr!L20=".",Irr!AJ20=".",Irr!BH20&lt;&gt;"."),dir!M20/((1/1000)*(Irr!BH20)),IF(AND(Irr!L20=".",Irr!AJ20&lt;&gt;".",Irr!BH20="."),dir!M20/((1/1000)*(Irr!AJ20)),IF(AND(Irr!L20&lt;&gt;".",Irr!AJ20=".",Irr!BH20="."),dir!M20/((1/1000)*(Irr!L20)),IF(AND(Irr!L20=".",Irr!AJ20=".",Irr!BH20="."),dir!M20*1000)))))))),".")</f>
        <v>.</v>
      </c>
      <c r="N20" s="48" t="str">
        <f>IFERROR(IF(AND(Irr!M20&lt;&gt;".",Irr!AK20&lt;&gt;".",Irr!BI20&lt;&gt;"."),dir!N20/((1/1000)*(Irr!M20+Irr!AK20+Irr!BI20)),IF(AND(Irr!M20&lt;&gt;".",Irr!AK20&lt;&gt;".",Irr!BI20="."),dir!N20/((1/1000)*(Irr!M20+Irr!AK20)),IF(AND(Irr!M20&lt;&gt;".",Irr!AK20=".",Irr!BI20&lt;&gt;"."),dir!N20/((1/1000)*(Irr!M20+Irr!BI20)),IF(AND(Irr!M20=".",Irr!AK20&lt;&gt;".",Irr!BI20&lt;&gt;"."),dir!N20/((1/1000)*(Irr!AK20+Irr!BI20)),IF(AND(Irr!M20=".",Irr!AK20=".",Irr!BI20&lt;&gt;"."),dir!N20/((1/1000)*(Irr!BI20)),IF(AND(Irr!M20=".",Irr!AK20&lt;&gt;".",Irr!BI20="."),dir!N20/((1/1000)*(Irr!AK20)),IF(AND(Irr!M20&lt;&gt;".",Irr!AK20=".",Irr!BI20="."),dir!N20/((1/1000)*(Irr!M20)),IF(AND(Irr!M20=".",Irr!AK20=".",Irr!BI20="."),dir!N20*1000)))))))),".")</f>
        <v>.</v>
      </c>
      <c r="O20" s="48" t="str">
        <f>IFERROR(IF(AND(Irr!N20&lt;&gt;".",Irr!AL20&lt;&gt;".",Irr!BJ20&lt;&gt;"."),dir!O20/((1/1000)*(Irr!N20+Irr!AL20+Irr!BJ20)),IF(AND(Irr!N20&lt;&gt;".",Irr!AL20&lt;&gt;".",Irr!BJ20="."),dir!O20/((1/1000)*(Irr!N20+Irr!AL20)),IF(AND(Irr!N20&lt;&gt;".",Irr!AL20=".",Irr!BJ20&lt;&gt;"."),dir!O20/((1/1000)*(Irr!N20+Irr!BJ20)),IF(AND(Irr!N20=".",Irr!AL20&lt;&gt;".",Irr!BJ20&lt;&gt;"."),dir!O20/((1/1000)*(Irr!AL20+Irr!BJ20)),IF(AND(Irr!N20=".",Irr!AL20=".",Irr!BJ20&lt;&gt;"."),dir!O20/((1/1000)*(Irr!BJ20)),IF(AND(Irr!N20=".",Irr!AL20&lt;&gt;".",Irr!BJ20="."),dir!O20/((1/1000)*(Irr!AL20)),IF(AND(Irr!N20&lt;&gt;".",Irr!AL20=".",Irr!BJ20="."),dir!O20/((1/1000)*(Irr!N20)),IF(AND(Irr!N20=".",Irr!AL20=".",Irr!BJ20="."),dir!O20*1000)))))))),".")</f>
        <v>.</v>
      </c>
      <c r="P20" s="48" t="str">
        <f>IFERROR(IF(AND(Irr!O20&lt;&gt;".",Irr!AM20&lt;&gt;".",Irr!BK20&lt;&gt;"."),dir!P20/((1/1000)*(Irr!O20+Irr!AM20+Irr!BK20)),IF(AND(Irr!O20&lt;&gt;".",Irr!AM20&lt;&gt;".",Irr!BK20="."),dir!P20/((1/1000)*(Irr!O20+Irr!AM20)),IF(AND(Irr!O20&lt;&gt;".",Irr!AM20=".",Irr!BK20&lt;&gt;"."),dir!P20/((1/1000)*(Irr!O20+Irr!BK20)),IF(AND(Irr!O20=".",Irr!AM20&lt;&gt;".",Irr!BK20&lt;&gt;"."),dir!P20/((1/1000)*(Irr!AM20+Irr!BK20)),IF(AND(Irr!O20=".",Irr!AM20=".",Irr!BK20&lt;&gt;"."),dir!P20/((1/1000)*(Irr!BK20)),IF(AND(Irr!O20=".",Irr!AM20&lt;&gt;".",Irr!BK20="."),dir!P20/((1/1000)*(Irr!AM20)),IF(AND(Irr!O20&lt;&gt;".",Irr!AM20=".",Irr!BK20="."),dir!P20/((1/1000)*(Irr!O20)),IF(AND(Irr!O20=".",Irr!AM20=".",Irr!BK20="."),dir!P20*1000)))))))),".")</f>
        <v>.</v>
      </c>
      <c r="Q20" s="48" t="str">
        <f>IFERROR(IF(AND(Irr!P20&lt;&gt;".",Irr!AN20&lt;&gt;".",Irr!BL20&lt;&gt;"."),dir!Q20/((1/1000)*(Irr!P20+Irr!AN20+Irr!BL20)),IF(AND(Irr!P20&lt;&gt;".",Irr!AN20&lt;&gt;".",Irr!BL20="."),dir!Q20/((1/1000)*(Irr!P20+Irr!AN20)),IF(AND(Irr!P20&lt;&gt;".",Irr!AN20=".",Irr!BL20&lt;&gt;"."),dir!Q20/((1/1000)*(Irr!P20+Irr!BL20)),IF(AND(Irr!P20=".",Irr!AN20&lt;&gt;".",Irr!BL20&lt;&gt;"."),dir!Q20/((1/1000)*(Irr!AN20+Irr!BL20)),IF(AND(Irr!P20=".",Irr!AN20=".",Irr!BL20&lt;&gt;"."),dir!Q20/((1/1000)*(Irr!BL20)),IF(AND(Irr!P20=".",Irr!AN20&lt;&gt;".",Irr!BL20="."),dir!Q20/((1/1000)*(Irr!AN20)),IF(AND(Irr!P20&lt;&gt;".",Irr!AN20=".",Irr!BL20="."),dir!Q20/((1/1000)*(Irr!P20)),IF(AND(Irr!P20=".",Irr!AN20=".",Irr!BL20="."),dir!Q20*1000)))))))),".")</f>
        <v>.</v>
      </c>
      <c r="R20" s="48" t="str">
        <f>IFERROR(IF(AND(Irr!Q20&lt;&gt;".",Irr!AO20&lt;&gt;".",Irr!BM20&lt;&gt;"."),dir!R20/((1/1000)*(Irr!Q20+Irr!AO20+Irr!BM20)),IF(AND(Irr!Q20&lt;&gt;".",Irr!AO20&lt;&gt;".",Irr!BM20="."),dir!R20/((1/1000)*(Irr!Q20+Irr!AO20)),IF(AND(Irr!Q20&lt;&gt;".",Irr!AO20=".",Irr!BM20&lt;&gt;"."),dir!R20/((1/1000)*(Irr!Q20+Irr!BM20)),IF(AND(Irr!Q20=".",Irr!AO20&lt;&gt;".",Irr!BM20&lt;&gt;"."),dir!R20/((1/1000)*(Irr!AO20+Irr!BM20)),IF(AND(Irr!Q20=".",Irr!AO20=".",Irr!BM20&lt;&gt;"."),dir!R20/((1/1000)*(Irr!BM20)),IF(AND(Irr!Q20=".",Irr!AO20&lt;&gt;".",Irr!BM20="."),dir!R20/((1/1000)*(Irr!AO20)),IF(AND(Irr!Q20&lt;&gt;".",Irr!AO20=".",Irr!BM20="."),dir!R20/((1/1000)*(Irr!Q20)),IF(AND(Irr!Q20=".",Irr!AO20=".",Irr!BM20="."),dir!R20*1000)))))))),".")</f>
        <v>.</v>
      </c>
      <c r="S20" s="48" t="str">
        <f>IFERROR(IF(AND(Irr!R20&lt;&gt;".",Irr!AP20&lt;&gt;".",Irr!BN20&lt;&gt;"."),dir!S20/((1/1000)*(Irr!R20+Irr!AP20+Irr!BN20)),IF(AND(Irr!R20&lt;&gt;".",Irr!AP20&lt;&gt;".",Irr!BN20="."),dir!S20/((1/1000)*(Irr!R20+Irr!AP20)),IF(AND(Irr!R20&lt;&gt;".",Irr!AP20=".",Irr!BN20&lt;&gt;"."),dir!S20/((1/1000)*(Irr!R20+Irr!BN20)),IF(AND(Irr!R20=".",Irr!AP20&lt;&gt;".",Irr!BN20&lt;&gt;"."),dir!S20/((1/1000)*(Irr!AP20+Irr!BN20)),IF(AND(Irr!R20=".",Irr!AP20=".",Irr!BN20&lt;&gt;"."),dir!S20/((1/1000)*(Irr!BN20)),IF(AND(Irr!R20=".",Irr!AP20&lt;&gt;".",Irr!BN20="."),dir!S20/((1/1000)*(Irr!AP20)),IF(AND(Irr!R20&lt;&gt;".",Irr!AP20=".",Irr!BN20="."),dir!S20/((1/1000)*(Irr!R20)),IF(AND(Irr!R20=".",Irr!AP20=".",Irr!BN20="."),dir!S20*1000)))))))),".")</f>
        <v>.</v>
      </c>
      <c r="T20" s="48" t="str">
        <f>IFERROR(IF(AND(Irr!S20&lt;&gt;".",Irr!AQ20&lt;&gt;".",Irr!BO20&lt;&gt;"."),dir!T20/((1/1000)*(Irr!S20+Irr!AQ20+Irr!BO20)),IF(AND(Irr!S20&lt;&gt;".",Irr!AQ20&lt;&gt;".",Irr!BO20="."),dir!T20/((1/1000)*(Irr!S20+Irr!AQ20)),IF(AND(Irr!S20&lt;&gt;".",Irr!AQ20=".",Irr!BO20&lt;&gt;"."),dir!T20/((1/1000)*(Irr!S20+Irr!BO20)),IF(AND(Irr!S20=".",Irr!AQ20&lt;&gt;".",Irr!BO20&lt;&gt;"."),dir!T20/((1/1000)*(Irr!AQ20+Irr!BO20)),IF(AND(Irr!S20=".",Irr!AQ20=".",Irr!BO20&lt;&gt;"."),dir!T20/((1/1000)*(Irr!BO20)),IF(AND(Irr!S20=".",Irr!AQ20&lt;&gt;".",Irr!BO20="."),dir!T20/((1/1000)*(Irr!AQ20)),IF(AND(Irr!S20&lt;&gt;".",Irr!AQ20=".",Irr!BO20="."),dir!T20/((1/1000)*(Irr!S20)),IF(AND(Irr!S20=".",Irr!AQ20=".",Irr!BO20="."),dir!T20*1000)))))))),".")</f>
        <v>.</v>
      </c>
      <c r="U20" s="48" t="str">
        <f>IFERROR(IF(AND(Irr!T20&lt;&gt;".",Irr!AR20&lt;&gt;".",Irr!BP20&lt;&gt;"."),dir!U20/((1/1000)*(Irr!T20+Irr!AR20+Irr!BP20)),IF(AND(Irr!T20&lt;&gt;".",Irr!AR20&lt;&gt;".",Irr!BP20="."),dir!U20/((1/1000)*(Irr!T20+Irr!AR20)),IF(AND(Irr!T20&lt;&gt;".",Irr!AR20=".",Irr!BP20&lt;&gt;"."),dir!U20/((1/1000)*(Irr!T20+Irr!BP20)),IF(AND(Irr!T20=".",Irr!AR20&lt;&gt;".",Irr!BP20&lt;&gt;"."),dir!U20/((1/1000)*(Irr!AR20+Irr!BP20)),IF(AND(Irr!T20=".",Irr!AR20=".",Irr!BP20&lt;&gt;"."),dir!U20/((1/1000)*(Irr!BP20)),IF(AND(Irr!T20=".",Irr!AR20&lt;&gt;".",Irr!BP20="."),dir!U20/((1/1000)*(Irr!AR20)),IF(AND(Irr!T20&lt;&gt;".",Irr!AR20=".",Irr!BP20="."),dir!U20/((1/1000)*(Irr!T20)),IF(AND(Irr!T20=".",Irr!AR20=".",Irr!BP20="."),dir!U20*1000)))))))),".")</f>
        <v>.</v>
      </c>
      <c r="V20" s="48" t="str">
        <f>IFERROR(IF(AND(Irr!U20&lt;&gt;".",Irr!AS20&lt;&gt;".",Irr!BQ20&lt;&gt;"."),dir!V20/((1/1000)*(Irr!U20+Irr!AS20+Irr!BQ20)),IF(AND(Irr!U20&lt;&gt;".",Irr!AS20&lt;&gt;".",Irr!BQ20="."),dir!V20/((1/1000)*(Irr!U20+Irr!AS20)),IF(AND(Irr!U20&lt;&gt;".",Irr!AS20=".",Irr!BQ20&lt;&gt;"."),dir!V20/((1/1000)*(Irr!U20+Irr!BQ20)),IF(AND(Irr!U20=".",Irr!AS20&lt;&gt;".",Irr!BQ20&lt;&gt;"."),dir!V20/((1/1000)*(Irr!AS20+Irr!BQ20)),IF(AND(Irr!U20=".",Irr!AS20=".",Irr!BQ20&lt;&gt;"."),dir!V20/((1/1000)*(Irr!BQ20)),IF(AND(Irr!U20=".",Irr!AS20&lt;&gt;".",Irr!BQ20="."),dir!V20/((1/1000)*(Irr!AS20)),IF(AND(Irr!U20&lt;&gt;".",Irr!AS20=".",Irr!BQ20="."),dir!V20/((1/1000)*(Irr!U20)),IF(AND(Irr!U20=".",Irr!AS20=".",Irr!BQ20="."),dir!V20*1000)))))))),".")</f>
        <v>.</v>
      </c>
      <c r="W20" s="48" t="str">
        <f>IFERROR(IF(AND(Irr!V20&lt;&gt;".",Irr!AT20&lt;&gt;".",Irr!BR20&lt;&gt;"."),dir!W20/((1/1000)*(Irr!V20+Irr!AT20+Irr!BR20)),IF(AND(Irr!V20&lt;&gt;".",Irr!AT20&lt;&gt;".",Irr!BR20="."),dir!W20/((1/1000)*(Irr!V20+Irr!AT20)),IF(AND(Irr!V20&lt;&gt;".",Irr!AT20=".",Irr!BR20&lt;&gt;"."),dir!W20/((1/1000)*(Irr!V20+Irr!BR20)),IF(AND(Irr!V20=".",Irr!AT20&lt;&gt;".",Irr!BR20&lt;&gt;"."),dir!W20/((1/1000)*(Irr!AT20+Irr!BR20)),IF(AND(Irr!V20=".",Irr!AT20=".",Irr!BR20&lt;&gt;"."),dir!W20/((1/1000)*(Irr!BR20)),IF(AND(Irr!V20=".",Irr!AT20&lt;&gt;".",Irr!BR20="."),dir!W20/((1/1000)*(Irr!AT20)),IF(AND(Irr!V20&lt;&gt;".",Irr!AT20=".",Irr!BR20="."),dir!W20/((1/1000)*(Irr!V20)),IF(AND(Irr!V20=".",Irr!AT20=".",Irr!BR20="."),dir!W20*1000)))))))),".")</f>
        <v>.</v>
      </c>
      <c r="X20" s="48" t="str">
        <f>IFERROR(IF(AND(Irr!W20&lt;&gt;".",Irr!AU20&lt;&gt;".",Irr!BS20&lt;&gt;"."),dir!X20/((1/1000)*(Irr!W20+Irr!AU20+Irr!BS20)),IF(AND(Irr!W20&lt;&gt;".",Irr!AU20&lt;&gt;".",Irr!BS20="."),dir!X20/((1/1000)*(Irr!W20+Irr!AU20)),IF(AND(Irr!W20&lt;&gt;".",Irr!AU20=".",Irr!BS20&lt;&gt;"."),dir!X20/((1/1000)*(Irr!W20+Irr!BS20)),IF(AND(Irr!W20=".",Irr!AU20&lt;&gt;".",Irr!BS20&lt;&gt;"."),dir!X20/((1/1000)*(Irr!AU20+Irr!BS20)),IF(AND(Irr!W20=".",Irr!AU20=".",Irr!BS20&lt;&gt;"."),dir!X20/((1/1000)*(Irr!BS20)),IF(AND(Irr!W20=".",Irr!AU20&lt;&gt;".",Irr!BS20="."),dir!X20/((1/1000)*(Irr!AU20)),IF(AND(Irr!W20&lt;&gt;".",Irr!AU20=".",Irr!BS20="."),dir!X20/((1/1000)*(Irr!W20)),IF(AND(Irr!W20=".",Irr!AU20=".",Irr!BS20="."),dir!X20*1000)))))))),".")</f>
        <v>.</v>
      </c>
      <c r="Y20" s="48" t="str">
        <f>IFERROR(IF(AND(Irr!X20&lt;&gt;".",Irr!AV20&lt;&gt;".",Irr!BT20&lt;&gt;"."),dir!Y20/((1/1000)*(Irr!X20+Irr!AV20+Irr!BT20)),IF(AND(Irr!X20&lt;&gt;".",Irr!AV20&lt;&gt;".",Irr!BT20="."),dir!Y20/((1/1000)*(Irr!X20+Irr!AV20)),IF(AND(Irr!X20&lt;&gt;".",Irr!AV20=".",Irr!BT20&lt;&gt;"."),dir!Y20/((1/1000)*(Irr!X20+Irr!BT20)),IF(AND(Irr!X20=".",Irr!AV20&lt;&gt;".",Irr!BT20&lt;&gt;"."),dir!Y20/((1/1000)*(Irr!AV20+Irr!BT20)),IF(AND(Irr!X20=".",Irr!AV20=".",Irr!BT20&lt;&gt;"."),dir!Y20/((1/1000)*(Irr!BT20)),IF(AND(Irr!X20=".",Irr!AV20&lt;&gt;".",Irr!BT20="."),dir!Y20/((1/1000)*(Irr!AV20)),IF(AND(Irr!X20&lt;&gt;".",Irr!AV20=".",Irr!BT20="."),dir!Y20/((1/1000)*(Irr!X20)),IF(AND(Irr!X20=".",Irr!AV20=".",Irr!BT20="."),dir!Y20*1000)))))))),".")</f>
        <v>.</v>
      </c>
      <c r="Z20" s="48" t="str">
        <f>IFERROR(IF(AND(Irr!Y20&lt;&gt;".",Irr!AW20&lt;&gt;".",Irr!BU20&lt;&gt;"."),dir!Z20/((1/1000)*(Irr!Y20+Irr!AW20+Irr!BU20)),IF(AND(Irr!Y20&lt;&gt;".",Irr!AW20&lt;&gt;".",Irr!BU20="."),dir!Z20/((1/1000)*(Irr!Y20+Irr!AW20)),IF(AND(Irr!Y20&lt;&gt;".",Irr!AW20=".",Irr!BU20&lt;&gt;"."),dir!Z20/((1/1000)*(Irr!Y20+Irr!BU20)),IF(AND(Irr!Y20=".",Irr!AW20&lt;&gt;".",Irr!BU20&lt;&gt;"."),dir!Z20/((1/1000)*(Irr!AW20+Irr!BU20)),IF(AND(Irr!Y20=".",Irr!AW20=".",Irr!BU20&lt;&gt;"."),dir!Z20/((1/1000)*(Irr!BU20)),IF(AND(Irr!Y20=".",Irr!AW20&lt;&gt;".",Irr!BU20="."),dir!Z20/((1/1000)*(Irr!AW20)),IF(AND(Irr!Y20&lt;&gt;".",Irr!AW20=".",Irr!BU20="."),dir!Z20/((1/1000)*(Irr!Y20)),IF(AND(Irr!Y20=".",Irr!AW20=".",Irr!BU20="."),dir!Z20*1000)))))))),".")</f>
        <v>.</v>
      </c>
      <c r="AA20" s="48" t="str">
        <f>IFERROR(IF(AND(Irr!Z20&lt;&gt;".",Irr!AX20&lt;&gt;".",Irr!BV20&lt;&gt;"."),dir!AA20/((1/1000)*(Irr!Z20+Irr!AX20+Irr!BV20)),IF(AND(Irr!Z20&lt;&gt;".",Irr!AX20&lt;&gt;".",Irr!BV20="."),dir!AA20/((1/1000)*(Irr!Z20+Irr!AX20)),IF(AND(Irr!Z20&lt;&gt;".",Irr!AX20=".",Irr!BV20&lt;&gt;"."),dir!AA20/((1/1000)*(Irr!Z20+Irr!BV20)),IF(AND(Irr!Z20=".",Irr!AX20&lt;&gt;".",Irr!BV20&lt;&gt;"."),dir!AA20/((1/1000)*(Irr!AX20+Irr!BV20)),IF(AND(Irr!Z20=".",Irr!AX20=".",Irr!BV20&lt;&gt;"."),dir!AA20/((1/1000)*(Irr!BV20)),IF(AND(Irr!Z20=".",Irr!AX20&lt;&gt;".",Irr!BV20="."),dir!AA20/((1/1000)*(Irr!AX20)),IF(AND(Irr!Z20&lt;&gt;".",Irr!AX20=".",Irr!BV20="."),dir!AA20/((1/1000)*(Irr!Z20)),IF(AND(Irr!Z20=".",Irr!AX20=".",Irr!BV20="."),dir!AA20*1000)))))))),".")</f>
        <v>.</v>
      </c>
      <c r="AB20" s="48" t="str">
        <f t="shared" si="17"/>
        <v>.</v>
      </c>
      <c r="AC20" s="48" t="str">
        <f>IFERROR(IF(AND(Irr!C20&lt;&gt;".",Irr!AA20&lt;&gt;".",Irr!AY20&lt;&gt;"."),dir!AC20/((1/1000)*(Irr!C20+Irr!AA20+Irr!AY20)),IF(AND(Irr!C20&lt;&gt;".",Irr!AA20&lt;&gt;".",Irr!AY20="."),dir!AC20/((1/1000)*(Irr!C20+Irr!AA20)),IF(AND(Irr!C20&lt;&gt;".",Irr!AA20=".",Irr!AY20&lt;&gt;"."),dir!AC20/((1/1000)*(Irr!C20+Irr!AY20)),IF(AND(Irr!C20=".",Irr!AA20&lt;&gt;".",Irr!AY20&lt;&gt;"."),dir!AC20/((1/1000)*(Irr!AA20+Irr!AY20)),IF(AND(Irr!C20=".",Irr!AA20=".",Irr!AY20&lt;&gt;"."),dir!AC20/((1/1000)*(Irr!AY20)),IF(AND(Irr!C20=".",Irr!AA20&lt;&gt;".",Irr!AY20="."),dir!AC20/((1/1000)*(Irr!AA20)),IF(AND(Irr!C20&lt;&gt;".",Irr!AA20=".",Irr!AY20="."),dir!AC20/((1/1000)*(Irr!C20)),IF(AND(Irr!C20=".",Irr!AA20=".",Irr!AY20="."),dir!AC20*1000)))))))),".")</f>
        <v>.</v>
      </c>
      <c r="AD20" s="48" t="str">
        <f>IFERROR(IF(AND(Irr!D20&lt;&gt;".",Irr!AB20&lt;&gt;".",Irr!AZ20&lt;&gt;"."),dir!AD20/((1/1000)*(Irr!D20+Irr!AB20+Irr!AZ20)),IF(AND(Irr!D20&lt;&gt;".",Irr!AB20&lt;&gt;".",Irr!AZ20="."),dir!AD20/((1/1000)*(Irr!D20+Irr!AB20)),IF(AND(Irr!D20&lt;&gt;".",Irr!AB20=".",Irr!AZ20&lt;&gt;"."),dir!AD20/((1/1000)*(Irr!D20+Irr!AZ20)),IF(AND(Irr!D20=".",Irr!AB20&lt;&gt;".",Irr!AZ20&lt;&gt;"."),dir!AD20/((1/1000)*(Irr!AB20+Irr!AZ20)),IF(AND(Irr!D20=".",Irr!AB20=".",Irr!AZ20&lt;&gt;"."),dir!AD20/((1/1000)*(Irr!AZ20)),IF(AND(Irr!D20=".",Irr!AB20&lt;&gt;".",Irr!AZ20="."),dir!AD20/((1/1000)*(Irr!AB20)),IF(AND(Irr!D20&lt;&gt;".",Irr!AB20=".",Irr!AZ20="."),dir!AD20/((1/1000)*(Irr!D20)),IF(AND(Irr!D20=".",Irr!AB20=".",Irr!AZ20="."),dir!AD20*1000)))))))),".")</f>
        <v>.</v>
      </c>
      <c r="AE20" s="48" t="str">
        <f>IFERROR(IF(AND(Irr!E20&lt;&gt;".",Irr!AC20&lt;&gt;".",Irr!BA20&lt;&gt;"."),dir!AE20/((1/1000)*(Irr!E20+Irr!AC20+Irr!BA20)),IF(AND(Irr!E20&lt;&gt;".",Irr!AC20&lt;&gt;".",Irr!BA20="."),dir!AE20/((1/1000)*(Irr!E20+Irr!AC20)),IF(AND(Irr!E20&lt;&gt;".",Irr!AC20=".",Irr!BA20&lt;&gt;"."),dir!AE20/((1/1000)*(Irr!E20+Irr!BA20)),IF(AND(Irr!E20=".",Irr!AC20&lt;&gt;".",Irr!BA20&lt;&gt;"."),dir!AE20/((1/1000)*(Irr!AC20+Irr!BA20)),IF(AND(Irr!E20=".",Irr!AC20=".",Irr!BA20&lt;&gt;"."),dir!AE20/((1/1000)*(Irr!BA20)),IF(AND(Irr!E20=".",Irr!AC20&lt;&gt;".",Irr!BA20="."),dir!AE20/((1/1000)*(Irr!AC20)),IF(AND(Irr!E20&lt;&gt;".",Irr!AC20=".",Irr!BA20="."),dir!AE20/((1/1000)*(Irr!E20)),IF(AND(Irr!E20=".",Irr!AC20=".",Irr!BA20="."),dir!AE20*1000)))))))),".")</f>
        <v>.</v>
      </c>
      <c r="AF20" s="48" t="str">
        <f>IFERROR(IF(AND(Irr!F20&lt;&gt;".",Irr!AD20&lt;&gt;".",Irr!BB20&lt;&gt;"."),dir!AF20/((1/1000)*(Irr!F20+Irr!AD20+Irr!BB20)),IF(AND(Irr!F20&lt;&gt;".",Irr!AD20&lt;&gt;".",Irr!BB20="."),dir!AF20/((1/1000)*(Irr!F20+Irr!AD20)),IF(AND(Irr!F20&lt;&gt;".",Irr!AD20=".",Irr!BB20&lt;&gt;"."),dir!AF20/((1/1000)*(Irr!F20+Irr!BB20)),IF(AND(Irr!F20=".",Irr!AD20&lt;&gt;".",Irr!BB20&lt;&gt;"."),dir!AF20/((1/1000)*(Irr!AD20+Irr!BB20)),IF(AND(Irr!F20=".",Irr!AD20=".",Irr!BB20&lt;&gt;"."),dir!AF20/((1/1000)*(Irr!BB20)),IF(AND(Irr!F20=".",Irr!AD20&lt;&gt;".",Irr!BB20="."),dir!AF20/((1/1000)*(Irr!AD20)),IF(AND(Irr!F20&lt;&gt;".",Irr!AD20=".",Irr!BB20="."),dir!AF20/((1/1000)*(Irr!F20)),IF(AND(Irr!F20=".",Irr!AD20=".",Irr!BB20="."),dir!AF20*1000)))))))),".")</f>
        <v>.</v>
      </c>
      <c r="AG20" s="48" t="str">
        <f>IFERROR(IF(AND(Irr!G20&lt;&gt;".",Irr!AE20&lt;&gt;".",Irr!BC20&lt;&gt;"."),dir!AG20/((1/1000)*(Irr!G20+Irr!AE20+Irr!BC20)),IF(AND(Irr!G20&lt;&gt;".",Irr!AE20&lt;&gt;".",Irr!BC20="."),dir!AG20/((1/1000)*(Irr!G20+Irr!AE20)),IF(AND(Irr!G20&lt;&gt;".",Irr!AE20=".",Irr!BC20&lt;&gt;"."),dir!AG20/((1/1000)*(Irr!G20+Irr!BC20)),IF(AND(Irr!G20=".",Irr!AE20&lt;&gt;".",Irr!BC20&lt;&gt;"."),dir!AG20/((1/1000)*(Irr!AE20+Irr!BC20)),IF(AND(Irr!G20=".",Irr!AE20=".",Irr!BC20&lt;&gt;"."),dir!AG20/((1/1000)*(Irr!BC20)),IF(AND(Irr!G20=".",Irr!AE20&lt;&gt;".",Irr!BC20="."),dir!AG20/((1/1000)*(Irr!AE20)),IF(AND(Irr!G20&lt;&gt;".",Irr!AE20=".",Irr!BC20="."),dir!AG20/((1/1000)*(Irr!G20)),IF(AND(Irr!G20=".",Irr!AE20=".",Irr!BC20="."),dir!AG20*1000)))))))),".")</f>
        <v>.</v>
      </c>
      <c r="AH20" s="48" t="str">
        <f>IFERROR(IF(AND(Irr!H20&lt;&gt;".",Irr!AF20&lt;&gt;".",Irr!BD20&lt;&gt;"."),dir!AH20/((1/1000)*(Irr!H20+Irr!AF20+Irr!BD20)),IF(AND(Irr!H20&lt;&gt;".",Irr!AF20&lt;&gt;".",Irr!BD20="."),dir!AH20/((1/1000)*(Irr!H20+Irr!AF20)),IF(AND(Irr!H20&lt;&gt;".",Irr!AF20=".",Irr!BD20&lt;&gt;"."),dir!AH20/((1/1000)*(Irr!H20+Irr!BD20)),IF(AND(Irr!H20=".",Irr!AF20&lt;&gt;".",Irr!BD20&lt;&gt;"."),dir!AH20/((1/1000)*(Irr!AF20+Irr!BD20)),IF(AND(Irr!H20=".",Irr!AF20=".",Irr!BD20&lt;&gt;"."),dir!AH20/((1/1000)*(Irr!BD20)),IF(AND(Irr!H20=".",Irr!AF20&lt;&gt;".",Irr!BD20="."),dir!AH20/((1/1000)*(Irr!AF20)),IF(AND(Irr!H20&lt;&gt;".",Irr!AF20=".",Irr!BD20="."),dir!AH20/((1/1000)*(Irr!H20)),IF(AND(Irr!H20=".",Irr!AF20=".",Irr!BD20="."),dir!AH20*1000)))))))),".")</f>
        <v>.</v>
      </c>
      <c r="AI20" s="48" t="str">
        <f>IFERROR(IF(AND(Irr!I20&lt;&gt;".",Irr!AG20&lt;&gt;".",Irr!BE20&lt;&gt;"."),dir!AI20/((1/1000)*(Irr!I20+Irr!AG20+Irr!BE20)),IF(AND(Irr!I20&lt;&gt;".",Irr!AG20&lt;&gt;".",Irr!BE20="."),dir!AI20/((1/1000)*(Irr!I20+Irr!AG20)),IF(AND(Irr!I20&lt;&gt;".",Irr!AG20=".",Irr!BE20&lt;&gt;"."),dir!AI20/((1/1000)*(Irr!I20+Irr!BE20)),IF(AND(Irr!I20=".",Irr!AG20&lt;&gt;".",Irr!BE20&lt;&gt;"."),dir!AI20/((1/1000)*(Irr!AG20+Irr!BE20)),IF(AND(Irr!I20=".",Irr!AG20=".",Irr!BE20&lt;&gt;"."),dir!AI20/((1/1000)*(Irr!BE20)),IF(AND(Irr!I20=".",Irr!AG20&lt;&gt;".",Irr!BE20="."),dir!AI20/((1/1000)*(Irr!AG20)),IF(AND(Irr!I20&lt;&gt;".",Irr!AG20=".",Irr!BE20="."),dir!AI20/((1/1000)*(Irr!I20)),IF(AND(Irr!I20=".",Irr!AG20=".",Irr!BE20="."),dir!AI20*1000)))))))),".")</f>
        <v>.</v>
      </c>
      <c r="AJ20" s="48" t="str">
        <f>IFERROR(IF(AND(Irr!J20&lt;&gt;".",Irr!AH20&lt;&gt;".",Irr!BF20&lt;&gt;"."),dir!AJ20/((1/1000)*(Irr!J20+Irr!AH20+Irr!BF20)),IF(AND(Irr!J20&lt;&gt;".",Irr!AH20&lt;&gt;".",Irr!BF20="."),dir!AJ20/((1/1000)*(Irr!J20+Irr!AH20)),IF(AND(Irr!J20&lt;&gt;".",Irr!AH20=".",Irr!BF20&lt;&gt;"."),dir!AJ20/((1/1000)*(Irr!J20+Irr!BF20)),IF(AND(Irr!J20=".",Irr!AH20&lt;&gt;".",Irr!BF20&lt;&gt;"."),dir!AJ20/((1/1000)*(Irr!AH20+Irr!BF20)),IF(AND(Irr!J20=".",Irr!AH20=".",Irr!BF20&lt;&gt;"."),dir!AJ20/((1/1000)*(Irr!BF20)),IF(AND(Irr!J20=".",Irr!AH20&lt;&gt;".",Irr!BF20="."),dir!AJ20/((1/1000)*(Irr!AH20)),IF(AND(Irr!J20&lt;&gt;".",Irr!AH20=".",Irr!BF20="."),dir!AJ20/((1/1000)*(Irr!J20)),IF(AND(Irr!J20=".",Irr!AH20=".",Irr!BF20="."),dir!AJ20*1000)))))))),".")</f>
        <v>.</v>
      </c>
      <c r="AK20" s="48" t="str">
        <f>IFERROR(IF(AND(Irr!K20&lt;&gt;".",Irr!AI20&lt;&gt;".",Irr!BG20&lt;&gt;"."),dir!AK20/((1/1000)*(Irr!K20+Irr!AI20+Irr!BG20)),IF(AND(Irr!K20&lt;&gt;".",Irr!AI20&lt;&gt;".",Irr!BG20="."),dir!AK20/((1/1000)*(Irr!K20+Irr!AI20)),IF(AND(Irr!K20&lt;&gt;".",Irr!AI20=".",Irr!BG20&lt;&gt;"."),dir!AK20/((1/1000)*(Irr!K20+Irr!BG20)),IF(AND(Irr!K20=".",Irr!AI20&lt;&gt;".",Irr!BG20&lt;&gt;"."),dir!AK20/((1/1000)*(Irr!AI20+Irr!BG20)),IF(AND(Irr!K20=".",Irr!AI20=".",Irr!BG20&lt;&gt;"."),dir!AK20/((1/1000)*(Irr!BG20)),IF(AND(Irr!K20=".",Irr!AI20&lt;&gt;".",Irr!BG20="."),dir!AK20/((1/1000)*(Irr!AI20)),IF(AND(Irr!K20&lt;&gt;".",Irr!AI20=".",Irr!BG20="."),dir!AK20/((1/1000)*(Irr!K20)),IF(AND(Irr!K20=".",Irr!AI20=".",Irr!BG20="."),dir!AK20*1000)))))))),".")</f>
        <v>.</v>
      </c>
      <c r="AL20" s="48" t="str">
        <f>IFERROR(IF(AND(Irr!L20&lt;&gt;".",Irr!AJ20&lt;&gt;".",Irr!BH20&lt;&gt;"."),dir!AL20/((1/1000)*(Irr!L20+Irr!AJ20+Irr!BH20)),IF(AND(Irr!L20&lt;&gt;".",Irr!AJ20&lt;&gt;".",Irr!BH20="."),dir!AL20/((1/1000)*(Irr!L20+Irr!AJ20)),IF(AND(Irr!L20&lt;&gt;".",Irr!AJ20=".",Irr!BH20&lt;&gt;"."),dir!AL20/((1/1000)*(Irr!L20+Irr!BH20)),IF(AND(Irr!L20=".",Irr!AJ20&lt;&gt;".",Irr!BH20&lt;&gt;"."),dir!AL20/((1/1000)*(Irr!AJ20+Irr!BH20)),IF(AND(Irr!L20=".",Irr!AJ20=".",Irr!BH20&lt;&gt;"."),dir!AL20/((1/1000)*(Irr!BH20)),IF(AND(Irr!L20=".",Irr!AJ20&lt;&gt;".",Irr!BH20="."),dir!AL20/((1/1000)*(Irr!AJ20)),IF(AND(Irr!L20&lt;&gt;".",Irr!AJ20=".",Irr!BH20="."),dir!AL20/((1/1000)*(Irr!L20)),IF(AND(Irr!L20=".",Irr!AJ20=".",Irr!BH20="."),dir!AL20*1000)))))))),".")</f>
        <v>.</v>
      </c>
      <c r="AM20" s="48" t="str">
        <f>IFERROR(IF(AND(Irr!M20&lt;&gt;".",Irr!AK20&lt;&gt;".",Irr!BI20&lt;&gt;"."),dir!AM20/((1/1000)*(Irr!M20+Irr!AK20+Irr!BI20)),IF(AND(Irr!M20&lt;&gt;".",Irr!AK20&lt;&gt;".",Irr!BI20="."),dir!AM20/((1/1000)*(Irr!M20+Irr!AK20)),IF(AND(Irr!M20&lt;&gt;".",Irr!AK20=".",Irr!BI20&lt;&gt;"."),dir!AM20/((1/1000)*(Irr!M20+Irr!BI20)),IF(AND(Irr!M20=".",Irr!AK20&lt;&gt;".",Irr!BI20&lt;&gt;"."),dir!AM20/((1/1000)*(Irr!AK20+Irr!BI20)),IF(AND(Irr!M20=".",Irr!AK20=".",Irr!BI20&lt;&gt;"."),dir!AM20/((1/1000)*(Irr!BI20)),IF(AND(Irr!M20=".",Irr!AK20&lt;&gt;".",Irr!BI20="."),dir!AM20/((1/1000)*(Irr!AK20)),IF(AND(Irr!M20&lt;&gt;".",Irr!AK20=".",Irr!BI20="."),dir!AM20/((1/1000)*(Irr!M20)),IF(AND(Irr!M20=".",Irr!AK20=".",Irr!BI20="."),dir!AM20*1000)))))))),".")</f>
        <v>.</v>
      </c>
      <c r="AN20" s="48" t="str">
        <f>IFERROR(IF(AND(Irr!N20&lt;&gt;".",Irr!AL20&lt;&gt;".",Irr!BJ20&lt;&gt;"."),dir!AN20/((1/1000)*(Irr!N20+Irr!AL20+Irr!BJ20)),IF(AND(Irr!N20&lt;&gt;".",Irr!AL20&lt;&gt;".",Irr!BJ20="."),dir!AN20/((1/1000)*(Irr!N20+Irr!AL20)),IF(AND(Irr!N20&lt;&gt;".",Irr!AL20=".",Irr!BJ20&lt;&gt;"."),dir!AN20/((1/1000)*(Irr!N20+Irr!BJ20)),IF(AND(Irr!N20=".",Irr!AL20&lt;&gt;".",Irr!BJ20&lt;&gt;"."),dir!AN20/((1/1000)*(Irr!AL20+Irr!BJ20)),IF(AND(Irr!N20=".",Irr!AL20=".",Irr!BJ20&lt;&gt;"."),dir!AN20/((1/1000)*(Irr!BJ20)),IF(AND(Irr!N20=".",Irr!AL20&lt;&gt;".",Irr!BJ20="."),dir!AN20/((1/1000)*(Irr!AL20)),IF(AND(Irr!N20&lt;&gt;".",Irr!AL20=".",Irr!BJ20="."),dir!AN20/((1/1000)*(Irr!N20)),IF(AND(Irr!N20=".",Irr!AL20=".",Irr!BJ20="."),dir!AN20*1000)))))))),".")</f>
        <v>.</v>
      </c>
      <c r="AO20" s="48" t="str">
        <f>IFERROR(IF(AND(Irr!O20&lt;&gt;".",Irr!AM20&lt;&gt;".",Irr!BK20&lt;&gt;"."),dir!AO20/((1/1000)*(Irr!O20+Irr!AM20+Irr!BK20)),IF(AND(Irr!O20&lt;&gt;".",Irr!AM20&lt;&gt;".",Irr!BK20="."),dir!AO20/((1/1000)*(Irr!O20+Irr!AM20)),IF(AND(Irr!O20&lt;&gt;".",Irr!AM20=".",Irr!BK20&lt;&gt;"."),dir!AO20/((1/1000)*(Irr!O20+Irr!BK20)),IF(AND(Irr!O20=".",Irr!AM20&lt;&gt;".",Irr!BK20&lt;&gt;"."),dir!AO20/((1/1000)*(Irr!AM20+Irr!BK20)),IF(AND(Irr!O20=".",Irr!AM20=".",Irr!BK20&lt;&gt;"."),dir!AO20/((1/1000)*(Irr!BK20)),IF(AND(Irr!O20=".",Irr!AM20&lt;&gt;".",Irr!BK20="."),dir!AO20/((1/1000)*(Irr!AM20)),IF(AND(Irr!O20&lt;&gt;".",Irr!AM20=".",Irr!BK20="."),dir!AO20/((1/1000)*(Irr!O20)),IF(AND(Irr!O20=".",Irr!AM20=".",Irr!BK20="."),dir!AO20*1000)))))))),".")</f>
        <v>.</v>
      </c>
      <c r="AP20" s="48" t="str">
        <f>IFERROR(IF(AND(Irr!P20&lt;&gt;".",Irr!AN20&lt;&gt;".",Irr!BL20&lt;&gt;"."),dir!AP20/((1/1000)*(Irr!P20+Irr!AN20+Irr!BL20)),IF(AND(Irr!P20&lt;&gt;".",Irr!AN20&lt;&gt;".",Irr!BL20="."),dir!AP20/((1/1000)*(Irr!P20+Irr!AN20)),IF(AND(Irr!P20&lt;&gt;".",Irr!AN20=".",Irr!BL20&lt;&gt;"."),dir!AP20/((1/1000)*(Irr!P20+Irr!BL20)),IF(AND(Irr!P20=".",Irr!AN20&lt;&gt;".",Irr!BL20&lt;&gt;"."),dir!AP20/((1/1000)*(Irr!AN20+Irr!BL20)),IF(AND(Irr!P20=".",Irr!AN20=".",Irr!BL20&lt;&gt;"."),dir!AP20/((1/1000)*(Irr!BL20)),IF(AND(Irr!P20=".",Irr!AN20&lt;&gt;".",Irr!BL20="."),dir!AP20/((1/1000)*(Irr!AN20)),IF(AND(Irr!P20&lt;&gt;".",Irr!AN20=".",Irr!BL20="."),dir!AP20/((1/1000)*(Irr!P20)),IF(AND(Irr!P20=".",Irr!AN20=".",Irr!BL20="."),dir!AP20*1000)))))))),".")</f>
        <v>.</v>
      </c>
      <c r="AQ20" s="48" t="str">
        <f>IFERROR(IF(AND(Irr!Q20&lt;&gt;".",Irr!AO20&lt;&gt;".",Irr!BM20&lt;&gt;"."),dir!AQ20/((1/1000)*(Irr!Q20+Irr!AO20+Irr!BM20)),IF(AND(Irr!Q20&lt;&gt;".",Irr!AO20&lt;&gt;".",Irr!BM20="."),dir!AQ20/((1/1000)*(Irr!Q20+Irr!AO20)),IF(AND(Irr!Q20&lt;&gt;".",Irr!AO20=".",Irr!BM20&lt;&gt;"."),dir!AQ20/((1/1000)*(Irr!Q20+Irr!BM20)),IF(AND(Irr!Q20=".",Irr!AO20&lt;&gt;".",Irr!BM20&lt;&gt;"."),dir!AQ20/((1/1000)*(Irr!AO20+Irr!BM20)),IF(AND(Irr!Q20=".",Irr!AO20=".",Irr!BM20&lt;&gt;"."),dir!AQ20/((1/1000)*(Irr!BM20)),IF(AND(Irr!Q20=".",Irr!AO20&lt;&gt;".",Irr!BM20="."),dir!AQ20/((1/1000)*(Irr!AO20)),IF(AND(Irr!Q20&lt;&gt;".",Irr!AO20=".",Irr!BM20="."),dir!AQ20/((1/1000)*(Irr!Q20)),IF(AND(Irr!Q20=".",Irr!AO20=".",Irr!BM20="."),dir!AQ20*1000)))))))),".")</f>
        <v>.</v>
      </c>
      <c r="AR20" s="48" t="str">
        <f>IFERROR(IF(AND(Irr!R20&lt;&gt;".",Irr!AP20&lt;&gt;".",Irr!BN20&lt;&gt;"."),dir!AR20/((1/1000)*(Irr!R20+Irr!AP20+Irr!BN20)),IF(AND(Irr!R20&lt;&gt;".",Irr!AP20&lt;&gt;".",Irr!BN20="."),dir!AR20/((1/1000)*(Irr!R20+Irr!AP20)),IF(AND(Irr!R20&lt;&gt;".",Irr!AP20=".",Irr!BN20&lt;&gt;"."),dir!AR20/((1/1000)*(Irr!R20+Irr!BN20)),IF(AND(Irr!R20=".",Irr!AP20&lt;&gt;".",Irr!BN20&lt;&gt;"."),dir!AR20/((1/1000)*(Irr!AP20+Irr!BN20)),IF(AND(Irr!R20=".",Irr!AP20=".",Irr!BN20&lt;&gt;"."),dir!AR20/((1/1000)*(Irr!BN20)),IF(AND(Irr!R20=".",Irr!AP20&lt;&gt;".",Irr!BN20="."),dir!AR20/((1/1000)*(Irr!AP20)),IF(AND(Irr!R20&lt;&gt;".",Irr!AP20=".",Irr!BN20="."),dir!AR20/((1/1000)*(Irr!R20)),IF(AND(Irr!R20=".",Irr!AP20=".",Irr!BN20="."),dir!AR20*1000)))))))),".")</f>
        <v>.</v>
      </c>
      <c r="AS20" s="48" t="str">
        <f>IFERROR(IF(AND(Irr!S20&lt;&gt;".",Irr!AQ20&lt;&gt;".",Irr!BO20&lt;&gt;"."),dir!AS20/((1/1000)*(Irr!S20+Irr!AQ20+Irr!BO20)),IF(AND(Irr!S20&lt;&gt;".",Irr!AQ20&lt;&gt;".",Irr!BO20="."),dir!AS20/((1/1000)*(Irr!S20+Irr!AQ20)),IF(AND(Irr!S20&lt;&gt;".",Irr!AQ20=".",Irr!BO20&lt;&gt;"."),dir!AS20/((1/1000)*(Irr!S20+Irr!BO20)),IF(AND(Irr!S20=".",Irr!AQ20&lt;&gt;".",Irr!BO20&lt;&gt;"."),dir!AS20/((1/1000)*(Irr!AQ20+Irr!BO20)),IF(AND(Irr!S20=".",Irr!AQ20=".",Irr!BO20&lt;&gt;"."),dir!AS20/((1/1000)*(Irr!BO20)),IF(AND(Irr!S20=".",Irr!AQ20&lt;&gt;".",Irr!BO20="."),dir!AS20/((1/1000)*(Irr!AQ20)),IF(AND(Irr!S20&lt;&gt;".",Irr!AQ20=".",Irr!BO20="."),dir!AS20/((1/1000)*(Irr!S20)),IF(AND(Irr!S20=".",Irr!AQ20=".",Irr!BO20="."),dir!AS20*1000)))))))),".")</f>
        <v>.</v>
      </c>
      <c r="AT20" s="48" t="str">
        <f>IFERROR(IF(AND(Irr!T20&lt;&gt;".",Irr!AR20&lt;&gt;".",Irr!BP20&lt;&gt;"."),dir!AT20/((1/1000)*(Irr!T20+Irr!AR20+Irr!BP20)),IF(AND(Irr!T20&lt;&gt;".",Irr!AR20&lt;&gt;".",Irr!BP20="."),dir!AT20/((1/1000)*(Irr!T20+Irr!AR20)),IF(AND(Irr!T20&lt;&gt;".",Irr!AR20=".",Irr!BP20&lt;&gt;"."),dir!AT20/((1/1000)*(Irr!T20+Irr!BP20)),IF(AND(Irr!T20=".",Irr!AR20&lt;&gt;".",Irr!BP20&lt;&gt;"."),dir!AT20/((1/1000)*(Irr!AR20+Irr!BP20)),IF(AND(Irr!T20=".",Irr!AR20=".",Irr!BP20&lt;&gt;"."),dir!AT20/((1/1000)*(Irr!BP20)),IF(AND(Irr!T20=".",Irr!AR20&lt;&gt;".",Irr!BP20="."),dir!AT20/((1/1000)*(Irr!AR20)),IF(AND(Irr!T20&lt;&gt;".",Irr!AR20=".",Irr!BP20="."),dir!AT20/((1/1000)*(Irr!T20)),IF(AND(Irr!T20=".",Irr!AR20=".",Irr!BP20="."),dir!AT20*1000)))))))),".")</f>
        <v>.</v>
      </c>
      <c r="AU20" s="48" t="str">
        <f>IFERROR(IF(AND(Irr!U20&lt;&gt;".",Irr!AS20&lt;&gt;".",Irr!BQ20&lt;&gt;"."),dir!AU20/((1/1000)*(Irr!U20+Irr!AS20+Irr!BQ20)),IF(AND(Irr!U20&lt;&gt;".",Irr!AS20&lt;&gt;".",Irr!BQ20="."),dir!AU20/((1/1000)*(Irr!U20+Irr!AS20)),IF(AND(Irr!U20&lt;&gt;".",Irr!AS20=".",Irr!BQ20&lt;&gt;"."),dir!AU20/((1/1000)*(Irr!U20+Irr!BQ20)),IF(AND(Irr!U20=".",Irr!AS20&lt;&gt;".",Irr!BQ20&lt;&gt;"."),dir!AU20/((1/1000)*(Irr!AS20+Irr!BQ20)),IF(AND(Irr!U20=".",Irr!AS20=".",Irr!BQ20&lt;&gt;"."),dir!AU20/((1/1000)*(Irr!BQ20)),IF(AND(Irr!U20=".",Irr!AS20&lt;&gt;".",Irr!BQ20="."),dir!AU20/((1/1000)*(Irr!AS20)),IF(AND(Irr!U20&lt;&gt;".",Irr!AS20=".",Irr!BQ20="."),dir!AU20/((1/1000)*(Irr!U20)),IF(AND(Irr!U20=".",Irr!AS20=".",Irr!BQ20="."),dir!AU20*1000)))))))),".")</f>
        <v>.</v>
      </c>
      <c r="AV20" s="48" t="str">
        <f>IFERROR(IF(AND(Irr!V20&lt;&gt;".",Irr!AT20&lt;&gt;".",Irr!BR20&lt;&gt;"."),dir!AV20/((1/1000)*(Irr!V20+Irr!AT20+Irr!BR20)),IF(AND(Irr!V20&lt;&gt;".",Irr!AT20&lt;&gt;".",Irr!BR20="."),dir!AV20/((1/1000)*(Irr!V20+Irr!AT20)),IF(AND(Irr!V20&lt;&gt;".",Irr!AT20=".",Irr!BR20&lt;&gt;"."),dir!AV20/((1/1000)*(Irr!V20+Irr!BR20)),IF(AND(Irr!V20=".",Irr!AT20&lt;&gt;".",Irr!BR20&lt;&gt;"."),dir!AV20/((1/1000)*(Irr!AT20+Irr!BR20)),IF(AND(Irr!V20=".",Irr!AT20=".",Irr!BR20&lt;&gt;"."),dir!AV20/((1/1000)*(Irr!BR20)),IF(AND(Irr!V20=".",Irr!AT20&lt;&gt;".",Irr!BR20="."),dir!AV20/((1/1000)*(Irr!AT20)),IF(AND(Irr!V20&lt;&gt;".",Irr!AT20=".",Irr!BR20="."),dir!AV20/((1/1000)*(Irr!V20)),IF(AND(Irr!V20=".",Irr!AT20=".",Irr!BR20="."),dir!AV20*1000)))))))),".")</f>
        <v>.</v>
      </c>
      <c r="AW20" s="48" t="str">
        <f>IFERROR(IF(AND(Irr!W20&lt;&gt;".",Irr!AU20&lt;&gt;".",Irr!BS20&lt;&gt;"."),dir!AW20/((1/1000)*(Irr!W20+Irr!AU20+Irr!BS20)),IF(AND(Irr!W20&lt;&gt;".",Irr!AU20&lt;&gt;".",Irr!BS20="."),dir!AW20/((1/1000)*(Irr!W20+Irr!AU20)),IF(AND(Irr!W20&lt;&gt;".",Irr!AU20=".",Irr!BS20&lt;&gt;"."),dir!AW20/((1/1000)*(Irr!W20+Irr!BS20)),IF(AND(Irr!W20=".",Irr!AU20&lt;&gt;".",Irr!BS20&lt;&gt;"."),dir!AW20/((1/1000)*(Irr!AU20+Irr!BS20)),IF(AND(Irr!W20=".",Irr!AU20=".",Irr!BS20&lt;&gt;"."),dir!AW20/((1/1000)*(Irr!BS20)),IF(AND(Irr!W20=".",Irr!AU20&lt;&gt;".",Irr!BS20="."),dir!AW20/((1/1000)*(Irr!AU20)),IF(AND(Irr!W20&lt;&gt;".",Irr!AU20=".",Irr!BS20="."),dir!AW20/((1/1000)*(Irr!W20)),IF(AND(Irr!W20=".",Irr!AU20=".",Irr!BS20="."),dir!AW20*1000)))))))),".")</f>
        <v>.</v>
      </c>
      <c r="AX20" s="48" t="str">
        <f>IFERROR(IF(AND(Irr!X20&lt;&gt;".",Irr!AV20&lt;&gt;".",Irr!BT20&lt;&gt;"."),dir!AX20/((1/1000)*(Irr!X20+Irr!AV20+Irr!BT20)),IF(AND(Irr!X20&lt;&gt;".",Irr!AV20&lt;&gt;".",Irr!BT20="."),dir!AX20/((1/1000)*(Irr!X20+Irr!AV20)),IF(AND(Irr!X20&lt;&gt;".",Irr!AV20=".",Irr!BT20&lt;&gt;"."),dir!AX20/((1/1000)*(Irr!X20+Irr!BT20)),IF(AND(Irr!X20=".",Irr!AV20&lt;&gt;".",Irr!BT20&lt;&gt;"."),dir!AX20/((1/1000)*(Irr!AV20+Irr!BT20)),IF(AND(Irr!X20=".",Irr!AV20=".",Irr!BT20&lt;&gt;"."),dir!AX20/((1/1000)*(Irr!BT20)),IF(AND(Irr!X20=".",Irr!AV20&lt;&gt;".",Irr!BT20="."),dir!AX20/((1/1000)*(Irr!AV20)),IF(AND(Irr!X20&lt;&gt;".",Irr!AV20=".",Irr!BT20="."),dir!AX20/((1/1000)*(Irr!X20)),IF(AND(Irr!X20=".",Irr!AV20=".",Irr!BT20="."),dir!AX20*1000)))))))),".")</f>
        <v>.</v>
      </c>
      <c r="AY20" s="48" t="str">
        <f>IFERROR(IF(AND(Irr!Y20&lt;&gt;".",Irr!AW20&lt;&gt;".",Irr!BU20&lt;&gt;"."),dir!AY20/((1/1000)*(Irr!Y20+Irr!AW20+Irr!BU20)),IF(AND(Irr!Y20&lt;&gt;".",Irr!AW20&lt;&gt;".",Irr!BU20="."),dir!AY20/((1/1000)*(Irr!Y20+Irr!AW20)),IF(AND(Irr!Y20&lt;&gt;".",Irr!AW20=".",Irr!BU20&lt;&gt;"."),dir!AY20/((1/1000)*(Irr!Y20+Irr!BU20)),IF(AND(Irr!Y20=".",Irr!AW20&lt;&gt;".",Irr!BU20&lt;&gt;"."),dir!AY20/((1/1000)*(Irr!AW20+Irr!BU20)),IF(AND(Irr!Y20=".",Irr!AW20=".",Irr!BU20&lt;&gt;"."),dir!AY20/((1/1000)*(Irr!BU20)),IF(AND(Irr!Y20=".",Irr!AW20&lt;&gt;".",Irr!BU20="."),dir!AY20/((1/1000)*(Irr!AW20)),IF(AND(Irr!Y20&lt;&gt;".",Irr!AW20=".",Irr!BU20="."),dir!AY20/((1/1000)*(Irr!Y20)),IF(AND(Irr!Y20=".",Irr!AW20=".",Irr!BU20="."),dir!AY20*1000)))))))),".")</f>
        <v>.</v>
      </c>
      <c r="AZ20" s="48" t="str">
        <f>IFERROR(IF(AND(Irr!Z20&lt;&gt;".",Irr!AX20&lt;&gt;".",Irr!BV20&lt;&gt;"."),dir!AZ20/((1/1000)*(Irr!Z20+Irr!AX20+Irr!BV20)),IF(AND(Irr!Z20&lt;&gt;".",Irr!AX20&lt;&gt;".",Irr!BV20="."),dir!AZ20/((1/1000)*(Irr!Z20+Irr!AX20)),IF(AND(Irr!Z20&lt;&gt;".",Irr!AX20=".",Irr!BV20&lt;&gt;"."),dir!AZ20/((1/1000)*(Irr!Z20+Irr!BV20)),IF(AND(Irr!Z20=".",Irr!AX20&lt;&gt;".",Irr!BV20&lt;&gt;"."),dir!AZ20/((1/1000)*(Irr!AX20+Irr!BV20)),IF(AND(Irr!Z20=".",Irr!AX20=".",Irr!BV20&lt;&gt;"."),dir!AZ20/((1/1000)*(Irr!BV20)),IF(AND(Irr!Z20=".",Irr!AX20&lt;&gt;".",Irr!BV20="."),dir!AZ20/((1/1000)*(Irr!AX20)),IF(AND(Irr!Z20&lt;&gt;".",Irr!AX20=".",Irr!BV20="."),dir!AZ20/((1/1000)*(Irr!Z20)),IF(AND(Irr!Z20=".",Irr!AX20=".",Irr!BV20="."),dir!AZ20*1000)))))))),".")</f>
        <v>.</v>
      </c>
    </row>
    <row r="21" spans="1:52" ht="15" customHeight="1" x14ac:dyDescent="0.25">
      <c r="A21" s="61" t="s">
        <v>19</v>
      </c>
      <c r="B21" s="49" t="s">
        <v>1059</v>
      </c>
      <c r="C21" s="48" t="str">
        <f t="shared" si="16"/>
        <v>.</v>
      </c>
      <c r="D21" s="48" t="str">
        <f>IFERROR(IF(AND(Irr!C21&lt;&gt;".",Irr!AA21&lt;&gt;".",Irr!AY21&lt;&gt;"."),dir!D21/((1/1000)*(Irr!C21+Irr!AA21+Irr!AY21)),IF(AND(Irr!C21&lt;&gt;".",Irr!AA21&lt;&gt;".",Irr!AY21="."),dir!D21/((1/1000)*(Irr!C21+Irr!AA21)),IF(AND(Irr!C21&lt;&gt;".",Irr!AA21=".",Irr!AY21&lt;&gt;"."),dir!D21/((1/1000)*(Irr!C21+Irr!AY21)),IF(AND(Irr!C21=".",Irr!AA21&lt;&gt;".",Irr!AY21&lt;&gt;"."),dir!D21/((1/1000)*(Irr!AA21+Irr!AY21)),IF(AND(Irr!C21=".",Irr!AA21=".",Irr!AY21&lt;&gt;"."),dir!D21/((1/1000)*(Irr!AY21)),IF(AND(Irr!C21=".",Irr!AA21&lt;&gt;".",Irr!AY21="."),dir!D21/((1/1000)*(Irr!AA21)),IF(AND(Irr!C21&lt;&gt;".",Irr!AA21=".",Irr!AY21="."),dir!D21/((1/1000)*(Irr!C21)),IF(AND(Irr!C21=".",Irr!AA21=".",Irr!AY21="."),dir!D21*1000)))))))),".")</f>
        <v>.</v>
      </c>
      <c r="E21" s="48" t="str">
        <f>IFERROR(IF(AND(Irr!D21&lt;&gt;".",Irr!AB21&lt;&gt;".",Irr!AZ21&lt;&gt;"."),dir!E21/((1/1000)*(Irr!D21+Irr!AB21+Irr!AZ21)),IF(AND(Irr!D21&lt;&gt;".",Irr!AB21&lt;&gt;".",Irr!AZ21="."),dir!E21/((1/1000)*(Irr!D21+Irr!AB21)),IF(AND(Irr!D21&lt;&gt;".",Irr!AB21=".",Irr!AZ21&lt;&gt;"."),dir!E21/((1/1000)*(Irr!D21+Irr!AZ21)),IF(AND(Irr!D21=".",Irr!AB21&lt;&gt;".",Irr!AZ21&lt;&gt;"."),dir!E21/((1/1000)*(Irr!AB21+Irr!AZ21)),IF(AND(Irr!D21=".",Irr!AB21=".",Irr!AZ21&lt;&gt;"."),dir!E21/((1/1000)*(Irr!AZ21)),IF(AND(Irr!D21=".",Irr!AB21&lt;&gt;".",Irr!AZ21="."),dir!E21/((1/1000)*(Irr!AB21)),IF(AND(Irr!D21&lt;&gt;".",Irr!AB21=".",Irr!AZ21="."),dir!E21/((1/1000)*(Irr!D21)),IF(AND(Irr!D21=".",Irr!AB21=".",Irr!AZ21="."),dir!E21*1000)))))))),".")</f>
        <v>.</v>
      </c>
      <c r="F21" s="48" t="str">
        <f>IFERROR(IF(AND(Irr!E21&lt;&gt;".",Irr!AC21&lt;&gt;".",Irr!BA21&lt;&gt;"."),dir!F21/((1/1000)*(Irr!E21+Irr!AC21+Irr!BA21)),IF(AND(Irr!E21&lt;&gt;".",Irr!AC21&lt;&gt;".",Irr!BA21="."),dir!F21/((1/1000)*(Irr!E21+Irr!AC21)),IF(AND(Irr!E21&lt;&gt;".",Irr!AC21=".",Irr!BA21&lt;&gt;"."),dir!F21/((1/1000)*(Irr!E21+Irr!BA21)),IF(AND(Irr!E21=".",Irr!AC21&lt;&gt;".",Irr!BA21&lt;&gt;"."),dir!F21/((1/1000)*(Irr!AC21+Irr!BA21)),IF(AND(Irr!E21=".",Irr!AC21=".",Irr!BA21&lt;&gt;"."),dir!F21/((1/1000)*(Irr!BA21)),IF(AND(Irr!E21=".",Irr!AC21&lt;&gt;".",Irr!BA21="."),dir!F21/((1/1000)*(Irr!AC21)),IF(AND(Irr!E21&lt;&gt;".",Irr!AC21=".",Irr!BA21="."),dir!F21/((1/1000)*(Irr!E21)),IF(AND(Irr!E21=".",Irr!AC21=".",Irr!BA21="."),dir!F21*1000)))))))),".")</f>
        <v>.</v>
      </c>
      <c r="G21" s="48" t="str">
        <f>IFERROR(IF(AND(Irr!F21&lt;&gt;".",Irr!AD21&lt;&gt;".",Irr!BB21&lt;&gt;"."),dir!G21/((1/1000)*(Irr!F21+Irr!AD21+Irr!BB21)),IF(AND(Irr!F21&lt;&gt;".",Irr!AD21&lt;&gt;".",Irr!BB21="."),dir!G21/((1/1000)*(Irr!F21+Irr!AD21)),IF(AND(Irr!F21&lt;&gt;".",Irr!AD21=".",Irr!BB21&lt;&gt;"."),dir!G21/((1/1000)*(Irr!F21+Irr!BB21)),IF(AND(Irr!F21=".",Irr!AD21&lt;&gt;".",Irr!BB21&lt;&gt;"."),dir!G21/((1/1000)*(Irr!AD21+Irr!BB21)),IF(AND(Irr!F21=".",Irr!AD21=".",Irr!BB21&lt;&gt;"."),dir!G21/((1/1000)*(Irr!BB21)),IF(AND(Irr!F21=".",Irr!AD21&lt;&gt;".",Irr!BB21="."),dir!G21/((1/1000)*(Irr!AD21)),IF(AND(Irr!F21&lt;&gt;".",Irr!AD21=".",Irr!BB21="."),dir!G21/((1/1000)*(Irr!F21)),IF(AND(Irr!F21=".",Irr!AD21=".",Irr!BB21="."),dir!G21*1000)))))))),".")</f>
        <v>.</v>
      </c>
      <c r="H21" s="48" t="str">
        <f>IFERROR(IF(AND(Irr!G21&lt;&gt;".",Irr!AE21&lt;&gt;".",Irr!BC21&lt;&gt;"."),dir!H21/((1/1000)*(Irr!G21+Irr!AE21+Irr!BC21)),IF(AND(Irr!G21&lt;&gt;".",Irr!AE21&lt;&gt;".",Irr!BC21="."),dir!H21/((1/1000)*(Irr!G21+Irr!AE21)),IF(AND(Irr!G21&lt;&gt;".",Irr!AE21=".",Irr!BC21&lt;&gt;"."),dir!H21/((1/1000)*(Irr!G21+Irr!BC21)),IF(AND(Irr!G21=".",Irr!AE21&lt;&gt;".",Irr!BC21&lt;&gt;"."),dir!H21/((1/1000)*(Irr!AE21+Irr!BC21)),IF(AND(Irr!G21=".",Irr!AE21=".",Irr!BC21&lt;&gt;"."),dir!H21/((1/1000)*(Irr!BC21)),IF(AND(Irr!G21=".",Irr!AE21&lt;&gt;".",Irr!BC21="."),dir!H21/((1/1000)*(Irr!AE21)),IF(AND(Irr!G21&lt;&gt;".",Irr!AE21=".",Irr!BC21="."),dir!H21/((1/1000)*(Irr!G21)),IF(AND(Irr!G21=".",Irr!AE21=".",Irr!BC21="."),dir!H21*1000)))))))),".")</f>
        <v>.</v>
      </c>
      <c r="I21" s="48" t="str">
        <f>IFERROR(IF(AND(Irr!H21&lt;&gt;".",Irr!AF21&lt;&gt;".",Irr!BD21&lt;&gt;"."),dir!I21/((1/1000)*(Irr!H21+Irr!AF21+Irr!BD21)),IF(AND(Irr!H21&lt;&gt;".",Irr!AF21&lt;&gt;".",Irr!BD21="."),dir!I21/((1/1000)*(Irr!H21+Irr!AF21)),IF(AND(Irr!H21&lt;&gt;".",Irr!AF21=".",Irr!BD21&lt;&gt;"."),dir!I21/((1/1000)*(Irr!H21+Irr!BD21)),IF(AND(Irr!H21=".",Irr!AF21&lt;&gt;".",Irr!BD21&lt;&gt;"."),dir!I21/((1/1000)*(Irr!AF21+Irr!BD21)),IF(AND(Irr!H21=".",Irr!AF21=".",Irr!BD21&lt;&gt;"."),dir!I21/((1/1000)*(Irr!BD21)),IF(AND(Irr!H21=".",Irr!AF21&lt;&gt;".",Irr!BD21="."),dir!I21/((1/1000)*(Irr!AF21)),IF(AND(Irr!H21&lt;&gt;".",Irr!AF21=".",Irr!BD21="."),dir!I21/((1/1000)*(Irr!H21)),IF(AND(Irr!H21=".",Irr!AF21=".",Irr!BD21="."),dir!I21*1000)))))))),".")</f>
        <v>.</v>
      </c>
      <c r="J21" s="48" t="str">
        <f>IFERROR(IF(AND(Irr!I21&lt;&gt;".",Irr!AG21&lt;&gt;".",Irr!BE21&lt;&gt;"."),dir!J21/((1/1000)*(Irr!I21+Irr!AG21+Irr!BE21)),IF(AND(Irr!I21&lt;&gt;".",Irr!AG21&lt;&gt;".",Irr!BE21="."),dir!J21/((1/1000)*(Irr!I21+Irr!AG21)),IF(AND(Irr!I21&lt;&gt;".",Irr!AG21=".",Irr!BE21&lt;&gt;"."),dir!J21/((1/1000)*(Irr!I21+Irr!BE21)),IF(AND(Irr!I21=".",Irr!AG21&lt;&gt;".",Irr!BE21&lt;&gt;"."),dir!J21/((1/1000)*(Irr!AG21+Irr!BE21)),IF(AND(Irr!I21=".",Irr!AG21=".",Irr!BE21&lt;&gt;"."),dir!J21/((1/1000)*(Irr!BE21)),IF(AND(Irr!I21=".",Irr!AG21&lt;&gt;".",Irr!BE21="."),dir!J21/((1/1000)*(Irr!AG21)),IF(AND(Irr!I21&lt;&gt;".",Irr!AG21=".",Irr!BE21="."),dir!J21/((1/1000)*(Irr!I21)),IF(AND(Irr!I21=".",Irr!AG21=".",Irr!BE21="."),dir!J21*1000)))))))),".")</f>
        <v>.</v>
      </c>
      <c r="K21" s="48" t="str">
        <f>IFERROR(IF(AND(Irr!J21&lt;&gt;".",Irr!AH21&lt;&gt;".",Irr!BF21&lt;&gt;"."),dir!K21/((1/1000)*(Irr!J21+Irr!AH21+Irr!BF21)),IF(AND(Irr!J21&lt;&gt;".",Irr!AH21&lt;&gt;".",Irr!BF21="."),dir!K21/((1/1000)*(Irr!J21+Irr!AH21)),IF(AND(Irr!J21&lt;&gt;".",Irr!AH21=".",Irr!BF21&lt;&gt;"."),dir!K21/((1/1000)*(Irr!J21+Irr!BF21)),IF(AND(Irr!J21=".",Irr!AH21&lt;&gt;".",Irr!BF21&lt;&gt;"."),dir!K21/((1/1000)*(Irr!AH21+Irr!BF21)),IF(AND(Irr!J21=".",Irr!AH21=".",Irr!BF21&lt;&gt;"."),dir!K21/((1/1000)*(Irr!BF21)),IF(AND(Irr!J21=".",Irr!AH21&lt;&gt;".",Irr!BF21="."),dir!K21/((1/1000)*(Irr!AH21)),IF(AND(Irr!J21&lt;&gt;".",Irr!AH21=".",Irr!BF21="."),dir!K21/((1/1000)*(Irr!J21)),IF(AND(Irr!J21=".",Irr!AH21=".",Irr!BF21="."),dir!K21*1000)))))))),".")</f>
        <v>.</v>
      </c>
      <c r="L21" s="48" t="str">
        <f>IFERROR(IF(AND(Irr!K21&lt;&gt;".",Irr!AI21&lt;&gt;".",Irr!BG21&lt;&gt;"."),dir!L21/((1/1000)*(Irr!K21+Irr!AI21+Irr!BG21)),IF(AND(Irr!K21&lt;&gt;".",Irr!AI21&lt;&gt;".",Irr!BG21="."),dir!L21/((1/1000)*(Irr!K21+Irr!AI21)),IF(AND(Irr!K21&lt;&gt;".",Irr!AI21=".",Irr!BG21&lt;&gt;"."),dir!L21/((1/1000)*(Irr!K21+Irr!BG21)),IF(AND(Irr!K21=".",Irr!AI21&lt;&gt;".",Irr!BG21&lt;&gt;"."),dir!L21/((1/1000)*(Irr!AI21+Irr!BG21)),IF(AND(Irr!K21=".",Irr!AI21=".",Irr!BG21&lt;&gt;"."),dir!L21/((1/1000)*(Irr!BG21)),IF(AND(Irr!K21=".",Irr!AI21&lt;&gt;".",Irr!BG21="."),dir!L21/((1/1000)*(Irr!AI21)),IF(AND(Irr!K21&lt;&gt;".",Irr!AI21=".",Irr!BG21="."),dir!L21/((1/1000)*(Irr!K21)),IF(AND(Irr!K21=".",Irr!AI21=".",Irr!BG21="."),dir!L21*1000)))))))),".")</f>
        <v>.</v>
      </c>
      <c r="M21" s="48" t="str">
        <f>IFERROR(IF(AND(Irr!L21&lt;&gt;".",Irr!AJ21&lt;&gt;".",Irr!BH21&lt;&gt;"."),dir!M21/((1/1000)*(Irr!L21+Irr!AJ21+Irr!BH21)),IF(AND(Irr!L21&lt;&gt;".",Irr!AJ21&lt;&gt;".",Irr!BH21="."),dir!M21/((1/1000)*(Irr!L21+Irr!AJ21)),IF(AND(Irr!L21&lt;&gt;".",Irr!AJ21=".",Irr!BH21&lt;&gt;"."),dir!M21/((1/1000)*(Irr!L21+Irr!BH21)),IF(AND(Irr!L21=".",Irr!AJ21&lt;&gt;".",Irr!BH21&lt;&gt;"."),dir!M21/((1/1000)*(Irr!AJ21+Irr!BH21)),IF(AND(Irr!L21=".",Irr!AJ21=".",Irr!BH21&lt;&gt;"."),dir!M21/((1/1000)*(Irr!BH21)),IF(AND(Irr!L21=".",Irr!AJ21&lt;&gt;".",Irr!BH21="."),dir!M21/((1/1000)*(Irr!AJ21)),IF(AND(Irr!L21&lt;&gt;".",Irr!AJ21=".",Irr!BH21="."),dir!M21/((1/1000)*(Irr!L21)),IF(AND(Irr!L21=".",Irr!AJ21=".",Irr!BH21="."),dir!M21*1000)))))))),".")</f>
        <v>.</v>
      </c>
      <c r="N21" s="48" t="str">
        <f>IFERROR(IF(AND(Irr!M21&lt;&gt;".",Irr!AK21&lt;&gt;".",Irr!BI21&lt;&gt;"."),dir!N21/((1/1000)*(Irr!M21+Irr!AK21+Irr!BI21)),IF(AND(Irr!M21&lt;&gt;".",Irr!AK21&lt;&gt;".",Irr!BI21="."),dir!N21/((1/1000)*(Irr!M21+Irr!AK21)),IF(AND(Irr!M21&lt;&gt;".",Irr!AK21=".",Irr!BI21&lt;&gt;"."),dir!N21/((1/1000)*(Irr!M21+Irr!BI21)),IF(AND(Irr!M21=".",Irr!AK21&lt;&gt;".",Irr!BI21&lt;&gt;"."),dir!N21/((1/1000)*(Irr!AK21+Irr!BI21)),IF(AND(Irr!M21=".",Irr!AK21=".",Irr!BI21&lt;&gt;"."),dir!N21/((1/1000)*(Irr!BI21)),IF(AND(Irr!M21=".",Irr!AK21&lt;&gt;".",Irr!BI21="."),dir!N21/((1/1000)*(Irr!AK21)),IF(AND(Irr!M21&lt;&gt;".",Irr!AK21=".",Irr!BI21="."),dir!N21/((1/1000)*(Irr!M21)),IF(AND(Irr!M21=".",Irr!AK21=".",Irr!BI21="."),dir!N21*1000)))))))),".")</f>
        <v>.</v>
      </c>
      <c r="O21" s="48" t="str">
        <f>IFERROR(IF(AND(Irr!N21&lt;&gt;".",Irr!AL21&lt;&gt;".",Irr!BJ21&lt;&gt;"."),dir!O21/((1/1000)*(Irr!N21+Irr!AL21+Irr!BJ21)),IF(AND(Irr!N21&lt;&gt;".",Irr!AL21&lt;&gt;".",Irr!BJ21="."),dir!O21/((1/1000)*(Irr!N21+Irr!AL21)),IF(AND(Irr!N21&lt;&gt;".",Irr!AL21=".",Irr!BJ21&lt;&gt;"."),dir!O21/((1/1000)*(Irr!N21+Irr!BJ21)),IF(AND(Irr!N21=".",Irr!AL21&lt;&gt;".",Irr!BJ21&lt;&gt;"."),dir!O21/((1/1000)*(Irr!AL21+Irr!BJ21)),IF(AND(Irr!N21=".",Irr!AL21=".",Irr!BJ21&lt;&gt;"."),dir!O21/((1/1000)*(Irr!BJ21)),IF(AND(Irr!N21=".",Irr!AL21&lt;&gt;".",Irr!BJ21="."),dir!O21/((1/1000)*(Irr!AL21)),IF(AND(Irr!N21&lt;&gt;".",Irr!AL21=".",Irr!BJ21="."),dir!O21/((1/1000)*(Irr!N21)),IF(AND(Irr!N21=".",Irr!AL21=".",Irr!BJ21="."),dir!O21*1000)))))))),".")</f>
        <v>.</v>
      </c>
      <c r="P21" s="48" t="str">
        <f>IFERROR(IF(AND(Irr!O21&lt;&gt;".",Irr!AM21&lt;&gt;".",Irr!BK21&lt;&gt;"."),dir!P21/((1/1000)*(Irr!O21+Irr!AM21+Irr!BK21)),IF(AND(Irr!O21&lt;&gt;".",Irr!AM21&lt;&gt;".",Irr!BK21="."),dir!P21/((1/1000)*(Irr!O21+Irr!AM21)),IF(AND(Irr!O21&lt;&gt;".",Irr!AM21=".",Irr!BK21&lt;&gt;"."),dir!P21/((1/1000)*(Irr!O21+Irr!BK21)),IF(AND(Irr!O21=".",Irr!AM21&lt;&gt;".",Irr!BK21&lt;&gt;"."),dir!P21/((1/1000)*(Irr!AM21+Irr!BK21)),IF(AND(Irr!O21=".",Irr!AM21=".",Irr!BK21&lt;&gt;"."),dir!P21/((1/1000)*(Irr!BK21)),IF(AND(Irr!O21=".",Irr!AM21&lt;&gt;".",Irr!BK21="."),dir!P21/((1/1000)*(Irr!AM21)),IF(AND(Irr!O21&lt;&gt;".",Irr!AM21=".",Irr!BK21="."),dir!P21/((1/1000)*(Irr!O21)),IF(AND(Irr!O21=".",Irr!AM21=".",Irr!BK21="."),dir!P21*1000)))))))),".")</f>
        <v>.</v>
      </c>
      <c r="Q21" s="48" t="str">
        <f>IFERROR(IF(AND(Irr!P21&lt;&gt;".",Irr!AN21&lt;&gt;".",Irr!BL21&lt;&gt;"."),dir!Q21/((1/1000)*(Irr!P21+Irr!AN21+Irr!BL21)),IF(AND(Irr!P21&lt;&gt;".",Irr!AN21&lt;&gt;".",Irr!BL21="."),dir!Q21/((1/1000)*(Irr!P21+Irr!AN21)),IF(AND(Irr!P21&lt;&gt;".",Irr!AN21=".",Irr!BL21&lt;&gt;"."),dir!Q21/((1/1000)*(Irr!P21+Irr!BL21)),IF(AND(Irr!P21=".",Irr!AN21&lt;&gt;".",Irr!BL21&lt;&gt;"."),dir!Q21/((1/1000)*(Irr!AN21+Irr!BL21)),IF(AND(Irr!P21=".",Irr!AN21=".",Irr!BL21&lt;&gt;"."),dir!Q21/((1/1000)*(Irr!BL21)),IF(AND(Irr!P21=".",Irr!AN21&lt;&gt;".",Irr!BL21="."),dir!Q21/((1/1000)*(Irr!AN21)),IF(AND(Irr!P21&lt;&gt;".",Irr!AN21=".",Irr!BL21="."),dir!Q21/((1/1000)*(Irr!P21)),IF(AND(Irr!P21=".",Irr!AN21=".",Irr!BL21="."),dir!Q21*1000)))))))),".")</f>
        <v>.</v>
      </c>
      <c r="R21" s="48" t="str">
        <f>IFERROR(IF(AND(Irr!Q21&lt;&gt;".",Irr!AO21&lt;&gt;".",Irr!BM21&lt;&gt;"."),dir!R21/((1/1000)*(Irr!Q21+Irr!AO21+Irr!BM21)),IF(AND(Irr!Q21&lt;&gt;".",Irr!AO21&lt;&gt;".",Irr!BM21="."),dir!R21/((1/1000)*(Irr!Q21+Irr!AO21)),IF(AND(Irr!Q21&lt;&gt;".",Irr!AO21=".",Irr!BM21&lt;&gt;"."),dir!R21/((1/1000)*(Irr!Q21+Irr!BM21)),IF(AND(Irr!Q21=".",Irr!AO21&lt;&gt;".",Irr!BM21&lt;&gt;"."),dir!R21/((1/1000)*(Irr!AO21+Irr!BM21)),IF(AND(Irr!Q21=".",Irr!AO21=".",Irr!BM21&lt;&gt;"."),dir!R21/((1/1000)*(Irr!BM21)),IF(AND(Irr!Q21=".",Irr!AO21&lt;&gt;".",Irr!BM21="."),dir!R21/((1/1000)*(Irr!AO21)),IF(AND(Irr!Q21&lt;&gt;".",Irr!AO21=".",Irr!BM21="."),dir!R21/((1/1000)*(Irr!Q21)),IF(AND(Irr!Q21=".",Irr!AO21=".",Irr!BM21="."),dir!R21*1000)))))))),".")</f>
        <v>.</v>
      </c>
      <c r="S21" s="48" t="str">
        <f>IFERROR(IF(AND(Irr!R21&lt;&gt;".",Irr!AP21&lt;&gt;".",Irr!BN21&lt;&gt;"."),dir!S21/((1/1000)*(Irr!R21+Irr!AP21+Irr!BN21)),IF(AND(Irr!R21&lt;&gt;".",Irr!AP21&lt;&gt;".",Irr!BN21="."),dir!S21/((1/1000)*(Irr!R21+Irr!AP21)),IF(AND(Irr!R21&lt;&gt;".",Irr!AP21=".",Irr!BN21&lt;&gt;"."),dir!S21/((1/1000)*(Irr!R21+Irr!BN21)),IF(AND(Irr!R21=".",Irr!AP21&lt;&gt;".",Irr!BN21&lt;&gt;"."),dir!S21/((1/1000)*(Irr!AP21+Irr!BN21)),IF(AND(Irr!R21=".",Irr!AP21=".",Irr!BN21&lt;&gt;"."),dir!S21/((1/1000)*(Irr!BN21)),IF(AND(Irr!R21=".",Irr!AP21&lt;&gt;".",Irr!BN21="."),dir!S21/((1/1000)*(Irr!AP21)),IF(AND(Irr!R21&lt;&gt;".",Irr!AP21=".",Irr!BN21="."),dir!S21/((1/1000)*(Irr!R21)),IF(AND(Irr!R21=".",Irr!AP21=".",Irr!BN21="."),dir!S21*1000)))))))),".")</f>
        <v>.</v>
      </c>
      <c r="T21" s="48" t="str">
        <f>IFERROR(IF(AND(Irr!S21&lt;&gt;".",Irr!AQ21&lt;&gt;".",Irr!BO21&lt;&gt;"."),dir!T21/((1/1000)*(Irr!S21+Irr!AQ21+Irr!BO21)),IF(AND(Irr!S21&lt;&gt;".",Irr!AQ21&lt;&gt;".",Irr!BO21="."),dir!T21/((1/1000)*(Irr!S21+Irr!AQ21)),IF(AND(Irr!S21&lt;&gt;".",Irr!AQ21=".",Irr!BO21&lt;&gt;"."),dir!T21/((1/1000)*(Irr!S21+Irr!BO21)),IF(AND(Irr!S21=".",Irr!AQ21&lt;&gt;".",Irr!BO21&lt;&gt;"."),dir!T21/((1/1000)*(Irr!AQ21+Irr!BO21)),IF(AND(Irr!S21=".",Irr!AQ21=".",Irr!BO21&lt;&gt;"."),dir!T21/((1/1000)*(Irr!BO21)),IF(AND(Irr!S21=".",Irr!AQ21&lt;&gt;".",Irr!BO21="."),dir!T21/((1/1000)*(Irr!AQ21)),IF(AND(Irr!S21&lt;&gt;".",Irr!AQ21=".",Irr!BO21="."),dir!T21/((1/1000)*(Irr!S21)),IF(AND(Irr!S21=".",Irr!AQ21=".",Irr!BO21="."),dir!T21*1000)))))))),".")</f>
        <v>.</v>
      </c>
      <c r="U21" s="48" t="str">
        <f>IFERROR(IF(AND(Irr!T21&lt;&gt;".",Irr!AR21&lt;&gt;".",Irr!BP21&lt;&gt;"."),dir!U21/((1/1000)*(Irr!T21+Irr!AR21+Irr!BP21)),IF(AND(Irr!T21&lt;&gt;".",Irr!AR21&lt;&gt;".",Irr!BP21="."),dir!U21/((1/1000)*(Irr!T21+Irr!AR21)),IF(AND(Irr!T21&lt;&gt;".",Irr!AR21=".",Irr!BP21&lt;&gt;"."),dir!U21/((1/1000)*(Irr!T21+Irr!BP21)),IF(AND(Irr!T21=".",Irr!AR21&lt;&gt;".",Irr!BP21&lt;&gt;"."),dir!U21/((1/1000)*(Irr!AR21+Irr!BP21)),IF(AND(Irr!T21=".",Irr!AR21=".",Irr!BP21&lt;&gt;"."),dir!U21/((1/1000)*(Irr!BP21)),IF(AND(Irr!T21=".",Irr!AR21&lt;&gt;".",Irr!BP21="."),dir!U21/((1/1000)*(Irr!AR21)),IF(AND(Irr!T21&lt;&gt;".",Irr!AR21=".",Irr!BP21="."),dir!U21/((1/1000)*(Irr!T21)),IF(AND(Irr!T21=".",Irr!AR21=".",Irr!BP21="."),dir!U21*1000)))))))),".")</f>
        <v>.</v>
      </c>
      <c r="V21" s="48" t="str">
        <f>IFERROR(IF(AND(Irr!U21&lt;&gt;".",Irr!AS21&lt;&gt;".",Irr!BQ21&lt;&gt;"."),dir!V21/((1/1000)*(Irr!U21+Irr!AS21+Irr!BQ21)),IF(AND(Irr!U21&lt;&gt;".",Irr!AS21&lt;&gt;".",Irr!BQ21="."),dir!V21/((1/1000)*(Irr!U21+Irr!AS21)),IF(AND(Irr!U21&lt;&gt;".",Irr!AS21=".",Irr!BQ21&lt;&gt;"."),dir!V21/((1/1000)*(Irr!U21+Irr!BQ21)),IF(AND(Irr!U21=".",Irr!AS21&lt;&gt;".",Irr!BQ21&lt;&gt;"."),dir!V21/((1/1000)*(Irr!AS21+Irr!BQ21)),IF(AND(Irr!U21=".",Irr!AS21=".",Irr!BQ21&lt;&gt;"."),dir!V21/((1/1000)*(Irr!BQ21)),IF(AND(Irr!U21=".",Irr!AS21&lt;&gt;".",Irr!BQ21="."),dir!V21/((1/1000)*(Irr!AS21)),IF(AND(Irr!U21&lt;&gt;".",Irr!AS21=".",Irr!BQ21="."),dir!V21/((1/1000)*(Irr!U21)),IF(AND(Irr!U21=".",Irr!AS21=".",Irr!BQ21="."),dir!V21*1000)))))))),".")</f>
        <v>.</v>
      </c>
      <c r="W21" s="48" t="str">
        <f>IFERROR(IF(AND(Irr!V21&lt;&gt;".",Irr!AT21&lt;&gt;".",Irr!BR21&lt;&gt;"."),dir!W21/((1/1000)*(Irr!V21+Irr!AT21+Irr!BR21)),IF(AND(Irr!V21&lt;&gt;".",Irr!AT21&lt;&gt;".",Irr!BR21="."),dir!W21/((1/1000)*(Irr!V21+Irr!AT21)),IF(AND(Irr!V21&lt;&gt;".",Irr!AT21=".",Irr!BR21&lt;&gt;"."),dir!W21/((1/1000)*(Irr!V21+Irr!BR21)),IF(AND(Irr!V21=".",Irr!AT21&lt;&gt;".",Irr!BR21&lt;&gt;"."),dir!W21/((1/1000)*(Irr!AT21+Irr!BR21)),IF(AND(Irr!V21=".",Irr!AT21=".",Irr!BR21&lt;&gt;"."),dir!W21/((1/1000)*(Irr!BR21)),IF(AND(Irr!V21=".",Irr!AT21&lt;&gt;".",Irr!BR21="."),dir!W21/((1/1000)*(Irr!AT21)),IF(AND(Irr!V21&lt;&gt;".",Irr!AT21=".",Irr!BR21="."),dir!W21/((1/1000)*(Irr!V21)),IF(AND(Irr!V21=".",Irr!AT21=".",Irr!BR21="."),dir!W21*1000)))))))),".")</f>
        <v>.</v>
      </c>
      <c r="X21" s="48" t="str">
        <f>IFERROR(IF(AND(Irr!W21&lt;&gt;".",Irr!AU21&lt;&gt;".",Irr!BS21&lt;&gt;"."),dir!X21/((1/1000)*(Irr!W21+Irr!AU21+Irr!BS21)),IF(AND(Irr!W21&lt;&gt;".",Irr!AU21&lt;&gt;".",Irr!BS21="."),dir!X21/((1/1000)*(Irr!W21+Irr!AU21)),IF(AND(Irr!W21&lt;&gt;".",Irr!AU21=".",Irr!BS21&lt;&gt;"."),dir!X21/((1/1000)*(Irr!W21+Irr!BS21)),IF(AND(Irr!W21=".",Irr!AU21&lt;&gt;".",Irr!BS21&lt;&gt;"."),dir!X21/((1/1000)*(Irr!AU21+Irr!BS21)),IF(AND(Irr!W21=".",Irr!AU21=".",Irr!BS21&lt;&gt;"."),dir!X21/((1/1000)*(Irr!BS21)),IF(AND(Irr!W21=".",Irr!AU21&lt;&gt;".",Irr!BS21="."),dir!X21/((1/1000)*(Irr!AU21)),IF(AND(Irr!W21&lt;&gt;".",Irr!AU21=".",Irr!BS21="."),dir!X21/((1/1000)*(Irr!W21)),IF(AND(Irr!W21=".",Irr!AU21=".",Irr!BS21="."),dir!X21*1000)))))))),".")</f>
        <v>.</v>
      </c>
      <c r="Y21" s="48" t="str">
        <f>IFERROR(IF(AND(Irr!X21&lt;&gt;".",Irr!AV21&lt;&gt;".",Irr!BT21&lt;&gt;"."),dir!Y21/((1/1000)*(Irr!X21+Irr!AV21+Irr!BT21)),IF(AND(Irr!X21&lt;&gt;".",Irr!AV21&lt;&gt;".",Irr!BT21="."),dir!Y21/((1/1000)*(Irr!X21+Irr!AV21)),IF(AND(Irr!X21&lt;&gt;".",Irr!AV21=".",Irr!BT21&lt;&gt;"."),dir!Y21/((1/1000)*(Irr!X21+Irr!BT21)),IF(AND(Irr!X21=".",Irr!AV21&lt;&gt;".",Irr!BT21&lt;&gt;"."),dir!Y21/((1/1000)*(Irr!AV21+Irr!BT21)),IF(AND(Irr!X21=".",Irr!AV21=".",Irr!BT21&lt;&gt;"."),dir!Y21/((1/1000)*(Irr!BT21)),IF(AND(Irr!X21=".",Irr!AV21&lt;&gt;".",Irr!BT21="."),dir!Y21/((1/1000)*(Irr!AV21)),IF(AND(Irr!X21&lt;&gt;".",Irr!AV21=".",Irr!BT21="."),dir!Y21/((1/1000)*(Irr!X21)),IF(AND(Irr!X21=".",Irr!AV21=".",Irr!BT21="."),dir!Y21*1000)))))))),".")</f>
        <v>.</v>
      </c>
      <c r="Z21" s="48" t="str">
        <f>IFERROR(IF(AND(Irr!Y21&lt;&gt;".",Irr!AW21&lt;&gt;".",Irr!BU21&lt;&gt;"."),dir!Z21/((1/1000)*(Irr!Y21+Irr!AW21+Irr!BU21)),IF(AND(Irr!Y21&lt;&gt;".",Irr!AW21&lt;&gt;".",Irr!BU21="."),dir!Z21/((1/1000)*(Irr!Y21+Irr!AW21)),IF(AND(Irr!Y21&lt;&gt;".",Irr!AW21=".",Irr!BU21&lt;&gt;"."),dir!Z21/((1/1000)*(Irr!Y21+Irr!BU21)),IF(AND(Irr!Y21=".",Irr!AW21&lt;&gt;".",Irr!BU21&lt;&gt;"."),dir!Z21/((1/1000)*(Irr!AW21+Irr!BU21)),IF(AND(Irr!Y21=".",Irr!AW21=".",Irr!BU21&lt;&gt;"."),dir!Z21/((1/1000)*(Irr!BU21)),IF(AND(Irr!Y21=".",Irr!AW21&lt;&gt;".",Irr!BU21="."),dir!Z21/((1/1000)*(Irr!AW21)),IF(AND(Irr!Y21&lt;&gt;".",Irr!AW21=".",Irr!BU21="."),dir!Z21/((1/1000)*(Irr!Y21)),IF(AND(Irr!Y21=".",Irr!AW21=".",Irr!BU21="."),dir!Z21*1000)))))))),".")</f>
        <v>.</v>
      </c>
      <c r="AA21" s="48" t="str">
        <f>IFERROR(IF(AND(Irr!Z21&lt;&gt;".",Irr!AX21&lt;&gt;".",Irr!BV21&lt;&gt;"."),dir!AA21/((1/1000)*(Irr!Z21+Irr!AX21+Irr!BV21)),IF(AND(Irr!Z21&lt;&gt;".",Irr!AX21&lt;&gt;".",Irr!BV21="."),dir!AA21/((1/1000)*(Irr!Z21+Irr!AX21)),IF(AND(Irr!Z21&lt;&gt;".",Irr!AX21=".",Irr!BV21&lt;&gt;"."),dir!AA21/((1/1000)*(Irr!Z21+Irr!BV21)),IF(AND(Irr!Z21=".",Irr!AX21&lt;&gt;".",Irr!BV21&lt;&gt;"."),dir!AA21/((1/1000)*(Irr!AX21+Irr!BV21)),IF(AND(Irr!Z21=".",Irr!AX21=".",Irr!BV21&lt;&gt;"."),dir!AA21/((1/1000)*(Irr!BV21)),IF(AND(Irr!Z21=".",Irr!AX21&lt;&gt;".",Irr!BV21="."),dir!AA21/((1/1000)*(Irr!AX21)),IF(AND(Irr!Z21&lt;&gt;".",Irr!AX21=".",Irr!BV21="."),dir!AA21/((1/1000)*(Irr!Z21)),IF(AND(Irr!Z21=".",Irr!AX21=".",Irr!BV21="."),dir!AA21*1000)))))))),".")</f>
        <v>.</v>
      </c>
      <c r="AB21" s="48" t="str">
        <f t="shared" si="17"/>
        <v>.</v>
      </c>
      <c r="AC21" s="48" t="str">
        <f>IFERROR(IF(AND(Irr!C21&lt;&gt;".",Irr!AA21&lt;&gt;".",Irr!AY21&lt;&gt;"."),dir!AC21/((1/1000)*(Irr!C21+Irr!AA21+Irr!AY21)),IF(AND(Irr!C21&lt;&gt;".",Irr!AA21&lt;&gt;".",Irr!AY21="."),dir!AC21/((1/1000)*(Irr!C21+Irr!AA21)),IF(AND(Irr!C21&lt;&gt;".",Irr!AA21=".",Irr!AY21&lt;&gt;"."),dir!AC21/((1/1000)*(Irr!C21+Irr!AY21)),IF(AND(Irr!C21=".",Irr!AA21&lt;&gt;".",Irr!AY21&lt;&gt;"."),dir!AC21/((1/1000)*(Irr!AA21+Irr!AY21)),IF(AND(Irr!C21=".",Irr!AA21=".",Irr!AY21&lt;&gt;"."),dir!AC21/((1/1000)*(Irr!AY21)),IF(AND(Irr!C21=".",Irr!AA21&lt;&gt;".",Irr!AY21="."),dir!AC21/((1/1000)*(Irr!AA21)),IF(AND(Irr!C21&lt;&gt;".",Irr!AA21=".",Irr!AY21="."),dir!AC21/((1/1000)*(Irr!C21)),IF(AND(Irr!C21=".",Irr!AA21=".",Irr!AY21="."),dir!AC21*1000)))))))),".")</f>
        <v>.</v>
      </c>
      <c r="AD21" s="48" t="str">
        <f>IFERROR(IF(AND(Irr!D21&lt;&gt;".",Irr!AB21&lt;&gt;".",Irr!AZ21&lt;&gt;"."),dir!AD21/((1/1000)*(Irr!D21+Irr!AB21+Irr!AZ21)),IF(AND(Irr!D21&lt;&gt;".",Irr!AB21&lt;&gt;".",Irr!AZ21="."),dir!AD21/((1/1000)*(Irr!D21+Irr!AB21)),IF(AND(Irr!D21&lt;&gt;".",Irr!AB21=".",Irr!AZ21&lt;&gt;"."),dir!AD21/((1/1000)*(Irr!D21+Irr!AZ21)),IF(AND(Irr!D21=".",Irr!AB21&lt;&gt;".",Irr!AZ21&lt;&gt;"."),dir!AD21/((1/1000)*(Irr!AB21+Irr!AZ21)),IF(AND(Irr!D21=".",Irr!AB21=".",Irr!AZ21&lt;&gt;"."),dir!AD21/((1/1000)*(Irr!AZ21)),IF(AND(Irr!D21=".",Irr!AB21&lt;&gt;".",Irr!AZ21="."),dir!AD21/((1/1000)*(Irr!AB21)),IF(AND(Irr!D21&lt;&gt;".",Irr!AB21=".",Irr!AZ21="."),dir!AD21/((1/1000)*(Irr!D21)),IF(AND(Irr!D21=".",Irr!AB21=".",Irr!AZ21="."),dir!AD21*1000)))))))),".")</f>
        <v>.</v>
      </c>
      <c r="AE21" s="48" t="str">
        <f>IFERROR(IF(AND(Irr!E21&lt;&gt;".",Irr!AC21&lt;&gt;".",Irr!BA21&lt;&gt;"."),dir!AE21/((1/1000)*(Irr!E21+Irr!AC21+Irr!BA21)),IF(AND(Irr!E21&lt;&gt;".",Irr!AC21&lt;&gt;".",Irr!BA21="."),dir!AE21/((1/1000)*(Irr!E21+Irr!AC21)),IF(AND(Irr!E21&lt;&gt;".",Irr!AC21=".",Irr!BA21&lt;&gt;"."),dir!AE21/((1/1000)*(Irr!E21+Irr!BA21)),IF(AND(Irr!E21=".",Irr!AC21&lt;&gt;".",Irr!BA21&lt;&gt;"."),dir!AE21/((1/1000)*(Irr!AC21+Irr!BA21)),IF(AND(Irr!E21=".",Irr!AC21=".",Irr!BA21&lt;&gt;"."),dir!AE21/((1/1000)*(Irr!BA21)),IF(AND(Irr!E21=".",Irr!AC21&lt;&gt;".",Irr!BA21="."),dir!AE21/((1/1000)*(Irr!AC21)),IF(AND(Irr!E21&lt;&gt;".",Irr!AC21=".",Irr!BA21="."),dir!AE21/((1/1000)*(Irr!E21)),IF(AND(Irr!E21=".",Irr!AC21=".",Irr!BA21="."),dir!AE21*1000)))))))),".")</f>
        <v>.</v>
      </c>
      <c r="AF21" s="48" t="str">
        <f>IFERROR(IF(AND(Irr!F21&lt;&gt;".",Irr!AD21&lt;&gt;".",Irr!BB21&lt;&gt;"."),dir!AF21/((1/1000)*(Irr!F21+Irr!AD21+Irr!BB21)),IF(AND(Irr!F21&lt;&gt;".",Irr!AD21&lt;&gt;".",Irr!BB21="."),dir!AF21/((1/1000)*(Irr!F21+Irr!AD21)),IF(AND(Irr!F21&lt;&gt;".",Irr!AD21=".",Irr!BB21&lt;&gt;"."),dir!AF21/((1/1000)*(Irr!F21+Irr!BB21)),IF(AND(Irr!F21=".",Irr!AD21&lt;&gt;".",Irr!BB21&lt;&gt;"."),dir!AF21/((1/1000)*(Irr!AD21+Irr!BB21)),IF(AND(Irr!F21=".",Irr!AD21=".",Irr!BB21&lt;&gt;"."),dir!AF21/((1/1000)*(Irr!BB21)),IF(AND(Irr!F21=".",Irr!AD21&lt;&gt;".",Irr!BB21="."),dir!AF21/((1/1000)*(Irr!AD21)),IF(AND(Irr!F21&lt;&gt;".",Irr!AD21=".",Irr!BB21="."),dir!AF21/((1/1000)*(Irr!F21)),IF(AND(Irr!F21=".",Irr!AD21=".",Irr!BB21="."),dir!AF21*1000)))))))),".")</f>
        <v>.</v>
      </c>
      <c r="AG21" s="48" t="str">
        <f>IFERROR(IF(AND(Irr!G21&lt;&gt;".",Irr!AE21&lt;&gt;".",Irr!BC21&lt;&gt;"."),dir!AG21/((1/1000)*(Irr!G21+Irr!AE21+Irr!BC21)),IF(AND(Irr!G21&lt;&gt;".",Irr!AE21&lt;&gt;".",Irr!BC21="."),dir!AG21/((1/1000)*(Irr!G21+Irr!AE21)),IF(AND(Irr!G21&lt;&gt;".",Irr!AE21=".",Irr!BC21&lt;&gt;"."),dir!AG21/((1/1000)*(Irr!G21+Irr!BC21)),IF(AND(Irr!G21=".",Irr!AE21&lt;&gt;".",Irr!BC21&lt;&gt;"."),dir!AG21/((1/1000)*(Irr!AE21+Irr!BC21)),IF(AND(Irr!G21=".",Irr!AE21=".",Irr!BC21&lt;&gt;"."),dir!AG21/((1/1000)*(Irr!BC21)),IF(AND(Irr!G21=".",Irr!AE21&lt;&gt;".",Irr!BC21="."),dir!AG21/((1/1000)*(Irr!AE21)),IF(AND(Irr!G21&lt;&gt;".",Irr!AE21=".",Irr!BC21="."),dir!AG21/((1/1000)*(Irr!G21)),IF(AND(Irr!G21=".",Irr!AE21=".",Irr!BC21="."),dir!AG21*1000)))))))),".")</f>
        <v>.</v>
      </c>
      <c r="AH21" s="48" t="str">
        <f>IFERROR(IF(AND(Irr!H21&lt;&gt;".",Irr!AF21&lt;&gt;".",Irr!BD21&lt;&gt;"."),dir!AH21/((1/1000)*(Irr!H21+Irr!AF21+Irr!BD21)),IF(AND(Irr!H21&lt;&gt;".",Irr!AF21&lt;&gt;".",Irr!BD21="."),dir!AH21/((1/1000)*(Irr!H21+Irr!AF21)),IF(AND(Irr!H21&lt;&gt;".",Irr!AF21=".",Irr!BD21&lt;&gt;"."),dir!AH21/((1/1000)*(Irr!H21+Irr!BD21)),IF(AND(Irr!H21=".",Irr!AF21&lt;&gt;".",Irr!BD21&lt;&gt;"."),dir!AH21/((1/1000)*(Irr!AF21+Irr!BD21)),IF(AND(Irr!H21=".",Irr!AF21=".",Irr!BD21&lt;&gt;"."),dir!AH21/((1/1000)*(Irr!BD21)),IF(AND(Irr!H21=".",Irr!AF21&lt;&gt;".",Irr!BD21="."),dir!AH21/((1/1000)*(Irr!AF21)),IF(AND(Irr!H21&lt;&gt;".",Irr!AF21=".",Irr!BD21="."),dir!AH21/((1/1000)*(Irr!H21)),IF(AND(Irr!H21=".",Irr!AF21=".",Irr!BD21="."),dir!AH21*1000)))))))),".")</f>
        <v>.</v>
      </c>
      <c r="AI21" s="48" t="str">
        <f>IFERROR(IF(AND(Irr!I21&lt;&gt;".",Irr!AG21&lt;&gt;".",Irr!BE21&lt;&gt;"."),dir!AI21/((1/1000)*(Irr!I21+Irr!AG21+Irr!BE21)),IF(AND(Irr!I21&lt;&gt;".",Irr!AG21&lt;&gt;".",Irr!BE21="."),dir!AI21/((1/1000)*(Irr!I21+Irr!AG21)),IF(AND(Irr!I21&lt;&gt;".",Irr!AG21=".",Irr!BE21&lt;&gt;"."),dir!AI21/((1/1000)*(Irr!I21+Irr!BE21)),IF(AND(Irr!I21=".",Irr!AG21&lt;&gt;".",Irr!BE21&lt;&gt;"."),dir!AI21/((1/1000)*(Irr!AG21+Irr!BE21)),IF(AND(Irr!I21=".",Irr!AG21=".",Irr!BE21&lt;&gt;"."),dir!AI21/((1/1000)*(Irr!BE21)),IF(AND(Irr!I21=".",Irr!AG21&lt;&gt;".",Irr!BE21="."),dir!AI21/((1/1000)*(Irr!AG21)),IF(AND(Irr!I21&lt;&gt;".",Irr!AG21=".",Irr!BE21="."),dir!AI21/((1/1000)*(Irr!I21)),IF(AND(Irr!I21=".",Irr!AG21=".",Irr!BE21="."),dir!AI21*1000)))))))),".")</f>
        <v>.</v>
      </c>
      <c r="AJ21" s="48" t="str">
        <f>IFERROR(IF(AND(Irr!J21&lt;&gt;".",Irr!AH21&lt;&gt;".",Irr!BF21&lt;&gt;"."),dir!AJ21/((1/1000)*(Irr!J21+Irr!AH21+Irr!BF21)),IF(AND(Irr!J21&lt;&gt;".",Irr!AH21&lt;&gt;".",Irr!BF21="."),dir!AJ21/((1/1000)*(Irr!J21+Irr!AH21)),IF(AND(Irr!J21&lt;&gt;".",Irr!AH21=".",Irr!BF21&lt;&gt;"."),dir!AJ21/((1/1000)*(Irr!J21+Irr!BF21)),IF(AND(Irr!J21=".",Irr!AH21&lt;&gt;".",Irr!BF21&lt;&gt;"."),dir!AJ21/((1/1000)*(Irr!AH21+Irr!BF21)),IF(AND(Irr!J21=".",Irr!AH21=".",Irr!BF21&lt;&gt;"."),dir!AJ21/((1/1000)*(Irr!BF21)),IF(AND(Irr!J21=".",Irr!AH21&lt;&gt;".",Irr!BF21="."),dir!AJ21/((1/1000)*(Irr!AH21)),IF(AND(Irr!J21&lt;&gt;".",Irr!AH21=".",Irr!BF21="."),dir!AJ21/((1/1000)*(Irr!J21)),IF(AND(Irr!J21=".",Irr!AH21=".",Irr!BF21="."),dir!AJ21*1000)))))))),".")</f>
        <v>.</v>
      </c>
      <c r="AK21" s="48" t="str">
        <f>IFERROR(IF(AND(Irr!K21&lt;&gt;".",Irr!AI21&lt;&gt;".",Irr!BG21&lt;&gt;"."),dir!AK21/((1/1000)*(Irr!K21+Irr!AI21+Irr!BG21)),IF(AND(Irr!K21&lt;&gt;".",Irr!AI21&lt;&gt;".",Irr!BG21="."),dir!AK21/((1/1000)*(Irr!K21+Irr!AI21)),IF(AND(Irr!K21&lt;&gt;".",Irr!AI21=".",Irr!BG21&lt;&gt;"."),dir!AK21/((1/1000)*(Irr!K21+Irr!BG21)),IF(AND(Irr!K21=".",Irr!AI21&lt;&gt;".",Irr!BG21&lt;&gt;"."),dir!AK21/((1/1000)*(Irr!AI21+Irr!BG21)),IF(AND(Irr!K21=".",Irr!AI21=".",Irr!BG21&lt;&gt;"."),dir!AK21/((1/1000)*(Irr!BG21)),IF(AND(Irr!K21=".",Irr!AI21&lt;&gt;".",Irr!BG21="."),dir!AK21/((1/1000)*(Irr!AI21)),IF(AND(Irr!K21&lt;&gt;".",Irr!AI21=".",Irr!BG21="."),dir!AK21/((1/1000)*(Irr!K21)),IF(AND(Irr!K21=".",Irr!AI21=".",Irr!BG21="."),dir!AK21*1000)))))))),".")</f>
        <v>.</v>
      </c>
      <c r="AL21" s="48" t="str">
        <f>IFERROR(IF(AND(Irr!L21&lt;&gt;".",Irr!AJ21&lt;&gt;".",Irr!BH21&lt;&gt;"."),dir!AL21/((1/1000)*(Irr!L21+Irr!AJ21+Irr!BH21)),IF(AND(Irr!L21&lt;&gt;".",Irr!AJ21&lt;&gt;".",Irr!BH21="."),dir!AL21/((1/1000)*(Irr!L21+Irr!AJ21)),IF(AND(Irr!L21&lt;&gt;".",Irr!AJ21=".",Irr!BH21&lt;&gt;"."),dir!AL21/((1/1000)*(Irr!L21+Irr!BH21)),IF(AND(Irr!L21=".",Irr!AJ21&lt;&gt;".",Irr!BH21&lt;&gt;"."),dir!AL21/((1/1000)*(Irr!AJ21+Irr!BH21)),IF(AND(Irr!L21=".",Irr!AJ21=".",Irr!BH21&lt;&gt;"."),dir!AL21/((1/1000)*(Irr!BH21)),IF(AND(Irr!L21=".",Irr!AJ21&lt;&gt;".",Irr!BH21="."),dir!AL21/((1/1000)*(Irr!AJ21)),IF(AND(Irr!L21&lt;&gt;".",Irr!AJ21=".",Irr!BH21="."),dir!AL21/((1/1000)*(Irr!L21)),IF(AND(Irr!L21=".",Irr!AJ21=".",Irr!BH21="."),dir!AL21*1000)))))))),".")</f>
        <v>.</v>
      </c>
      <c r="AM21" s="48" t="str">
        <f>IFERROR(IF(AND(Irr!M21&lt;&gt;".",Irr!AK21&lt;&gt;".",Irr!BI21&lt;&gt;"."),dir!AM21/((1/1000)*(Irr!M21+Irr!AK21+Irr!BI21)),IF(AND(Irr!M21&lt;&gt;".",Irr!AK21&lt;&gt;".",Irr!BI21="."),dir!AM21/((1/1000)*(Irr!M21+Irr!AK21)),IF(AND(Irr!M21&lt;&gt;".",Irr!AK21=".",Irr!BI21&lt;&gt;"."),dir!AM21/((1/1000)*(Irr!M21+Irr!BI21)),IF(AND(Irr!M21=".",Irr!AK21&lt;&gt;".",Irr!BI21&lt;&gt;"."),dir!AM21/((1/1000)*(Irr!AK21+Irr!BI21)),IF(AND(Irr!M21=".",Irr!AK21=".",Irr!BI21&lt;&gt;"."),dir!AM21/((1/1000)*(Irr!BI21)),IF(AND(Irr!M21=".",Irr!AK21&lt;&gt;".",Irr!BI21="."),dir!AM21/((1/1000)*(Irr!AK21)),IF(AND(Irr!M21&lt;&gt;".",Irr!AK21=".",Irr!BI21="."),dir!AM21/((1/1000)*(Irr!M21)),IF(AND(Irr!M21=".",Irr!AK21=".",Irr!BI21="."),dir!AM21*1000)))))))),".")</f>
        <v>.</v>
      </c>
      <c r="AN21" s="48" t="str">
        <f>IFERROR(IF(AND(Irr!N21&lt;&gt;".",Irr!AL21&lt;&gt;".",Irr!BJ21&lt;&gt;"."),dir!AN21/((1/1000)*(Irr!N21+Irr!AL21+Irr!BJ21)),IF(AND(Irr!N21&lt;&gt;".",Irr!AL21&lt;&gt;".",Irr!BJ21="."),dir!AN21/((1/1000)*(Irr!N21+Irr!AL21)),IF(AND(Irr!N21&lt;&gt;".",Irr!AL21=".",Irr!BJ21&lt;&gt;"."),dir!AN21/((1/1000)*(Irr!N21+Irr!BJ21)),IF(AND(Irr!N21=".",Irr!AL21&lt;&gt;".",Irr!BJ21&lt;&gt;"."),dir!AN21/((1/1000)*(Irr!AL21+Irr!BJ21)),IF(AND(Irr!N21=".",Irr!AL21=".",Irr!BJ21&lt;&gt;"."),dir!AN21/((1/1000)*(Irr!BJ21)),IF(AND(Irr!N21=".",Irr!AL21&lt;&gt;".",Irr!BJ21="."),dir!AN21/((1/1000)*(Irr!AL21)),IF(AND(Irr!N21&lt;&gt;".",Irr!AL21=".",Irr!BJ21="."),dir!AN21/((1/1000)*(Irr!N21)),IF(AND(Irr!N21=".",Irr!AL21=".",Irr!BJ21="."),dir!AN21*1000)))))))),".")</f>
        <v>.</v>
      </c>
      <c r="AO21" s="48" t="str">
        <f>IFERROR(IF(AND(Irr!O21&lt;&gt;".",Irr!AM21&lt;&gt;".",Irr!BK21&lt;&gt;"."),dir!AO21/((1/1000)*(Irr!O21+Irr!AM21+Irr!BK21)),IF(AND(Irr!O21&lt;&gt;".",Irr!AM21&lt;&gt;".",Irr!BK21="."),dir!AO21/((1/1000)*(Irr!O21+Irr!AM21)),IF(AND(Irr!O21&lt;&gt;".",Irr!AM21=".",Irr!BK21&lt;&gt;"."),dir!AO21/((1/1000)*(Irr!O21+Irr!BK21)),IF(AND(Irr!O21=".",Irr!AM21&lt;&gt;".",Irr!BK21&lt;&gt;"."),dir!AO21/((1/1000)*(Irr!AM21+Irr!BK21)),IF(AND(Irr!O21=".",Irr!AM21=".",Irr!BK21&lt;&gt;"."),dir!AO21/((1/1000)*(Irr!BK21)),IF(AND(Irr!O21=".",Irr!AM21&lt;&gt;".",Irr!BK21="."),dir!AO21/((1/1000)*(Irr!AM21)),IF(AND(Irr!O21&lt;&gt;".",Irr!AM21=".",Irr!BK21="."),dir!AO21/((1/1000)*(Irr!O21)),IF(AND(Irr!O21=".",Irr!AM21=".",Irr!BK21="."),dir!AO21*1000)))))))),".")</f>
        <v>.</v>
      </c>
      <c r="AP21" s="48" t="str">
        <f>IFERROR(IF(AND(Irr!P21&lt;&gt;".",Irr!AN21&lt;&gt;".",Irr!BL21&lt;&gt;"."),dir!AP21/((1/1000)*(Irr!P21+Irr!AN21+Irr!BL21)),IF(AND(Irr!P21&lt;&gt;".",Irr!AN21&lt;&gt;".",Irr!BL21="."),dir!AP21/((1/1000)*(Irr!P21+Irr!AN21)),IF(AND(Irr!P21&lt;&gt;".",Irr!AN21=".",Irr!BL21&lt;&gt;"."),dir!AP21/((1/1000)*(Irr!P21+Irr!BL21)),IF(AND(Irr!P21=".",Irr!AN21&lt;&gt;".",Irr!BL21&lt;&gt;"."),dir!AP21/((1/1000)*(Irr!AN21+Irr!BL21)),IF(AND(Irr!P21=".",Irr!AN21=".",Irr!BL21&lt;&gt;"."),dir!AP21/((1/1000)*(Irr!BL21)),IF(AND(Irr!P21=".",Irr!AN21&lt;&gt;".",Irr!BL21="."),dir!AP21/((1/1000)*(Irr!AN21)),IF(AND(Irr!P21&lt;&gt;".",Irr!AN21=".",Irr!BL21="."),dir!AP21/((1/1000)*(Irr!P21)),IF(AND(Irr!P21=".",Irr!AN21=".",Irr!BL21="."),dir!AP21*1000)))))))),".")</f>
        <v>.</v>
      </c>
      <c r="AQ21" s="48" t="str">
        <f>IFERROR(IF(AND(Irr!Q21&lt;&gt;".",Irr!AO21&lt;&gt;".",Irr!BM21&lt;&gt;"."),dir!AQ21/((1/1000)*(Irr!Q21+Irr!AO21+Irr!BM21)),IF(AND(Irr!Q21&lt;&gt;".",Irr!AO21&lt;&gt;".",Irr!BM21="."),dir!AQ21/((1/1000)*(Irr!Q21+Irr!AO21)),IF(AND(Irr!Q21&lt;&gt;".",Irr!AO21=".",Irr!BM21&lt;&gt;"."),dir!AQ21/((1/1000)*(Irr!Q21+Irr!BM21)),IF(AND(Irr!Q21=".",Irr!AO21&lt;&gt;".",Irr!BM21&lt;&gt;"."),dir!AQ21/((1/1000)*(Irr!AO21+Irr!BM21)),IF(AND(Irr!Q21=".",Irr!AO21=".",Irr!BM21&lt;&gt;"."),dir!AQ21/((1/1000)*(Irr!BM21)),IF(AND(Irr!Q21=".",Irr!AO21&lt;&gt;".",Irr!BM21="."),dir!AQ21/((1/1000)*(Irr!AO21)),IF(AND(Irr!Q21&lt;&gt;".",Irr!AO21=".",Irr!BM21="."),dir!AQ21/((1/1000)*(Irr!Q21)),IF(AND(Irr!Q21=".",Irr!AO21=".",Irr!BM21="."),dir!AQ21*1000)))))))),".")</f>
        <v>.</v>
      </c>
      <c r="AR21" s="48" t="str">
        <f>IFERROR(IF(AND(Irr!R21&lt;&gt;".",Irr!AP21&lt;&gt;".",Irr!BN21&lt;&gt;"."),dir!AR21/((1/1000)*(Irr!R21+Irr!AP21+Irr!BN21)),IF(AND(Irr!R21&lt;&gt;".",Irr!AP21&lt;&gt;".",Irr!BN21="."),dir!AR21/((1/1000)*(Irr!R21+Irr!AP21)),IF(AND(Irr!R21&lt;&gt;".",Irr!AP21=".",Irr!BN21&lt;&gt;"."),dir!AR21/((1/1000)*(Irr!R21+Irr!BN21)),IF(AND(Irr!R21=".",Irr!AP21&lt;&gt;".",Irr!BN21&lt;&gt;"."),dir!AR21/((1/1000)*(Irr!AP21+Irr!BN21)),IF(AND(Irr!R21=".",Irr!AP21=".",Irr!BN21&lt;&gt;"."),dir!AR21/((1/1000)*(Irr!BN21)),IF(AND(Irr!R21=".",Irr!AP21&lt;&gt;".",Irr!BN21="."),dir!AR21/((1/1000)*(Irr!AP21)),IF(AND(Irr!R21&lt;&gt;".",Irr!AP21=".",Irr!BN21="."),dir!AR21/((1/1000)*(Irr!R21)),IF(AND(Irr!R21=".",Irr!AP21=".",Irr!BN21="."),dir!AR21*1000)))))))),".")</f>
        <v>.</v>
      </c>
      <c r="AS21" s="48" t="str">
        <f>IFERROR(IF(AND(Irr!S21&lt;&gt;".",Irr!AQ21&lt;&gt;".",Irr!BO21&lt;&gt;"."),dir!AS21/((1/1000)*(Irr!S21+Irr!AQ21+Irr!BO21)),IF(AND(Irr!S21&lt;&gt;".",Irr!AQ21&lt;&gt;".",Irr!BO21="."),dir!AS21/((1/1000)*(Irr!S21+Irr!AQ21)),IF(AND(Irr!S21&lt;&gt;".",Irr!AQ21=".",Irr!BO21&lt;&gt;"."),dir!AS21/((1/1000)*(Irr!S21+Irr!BO21)),IF(AND(Irr!S21=".",Irr!AQ21&lt;&gt;".",Irr!BO21&lt;&gt;"."),dir!AS21/((1/1000)*(Irr!AQ21+Irr!BO21)),IF(AND(Irr!S21=".",Irr!AQ21=".",Irr!BO21&lt;&gt;"."),dir!AS21/((1/1000)*(Irr!BO21)),IF(AND(Irr!S21=".",Irr!AQ21&lt;&gt;".",Irr!BO21="."),dir!AS21/((1/1000)*(Irr!AQ21)),IF(AND(Irr!S21&lt;&gt;".",Irr!AQ21=".",Irr!BO21="."),dir!AS21/((1/1000)*(Irr!S21)),IF(AND(Irr!S21=".",Irr!AQ21=".",Irr!BO21="."),dir!AS21*1000)))))))),".")</f>
        <v>.</v>
      </c>
      <c r="AT21" s="48" t="str">
        <f>IFERROR(IF(AND(Irr!T21&lt;&gt;".",Irr!AR21&lt;&gt;".",Irr!BP21&lt;&gt;"."),dir!AT21/((1/1000)*(Irr!T21+Irr!AR21+Irr!BP21)),IF(AND(Irr!T21&lt;&gt;".",Irr!AR21&lt;&gt;".",Irr!BP21="."),dir!AT21/((1/1000)*(Irr!T21+Irr!AR21)),IF(AND(Irr!T21&lt;&gt;".",Irr!AR21=".",Irr!BP21&lt;&gt;"."),dir!AT21/((1/1000)*(Irr!T21+Irr!BP21)),IF(AND(Irr!T21=".",Irr!AR21&lt;&gt;".",Irr!BP21&lt;&gt;"."),dir!AT21/((1/1000)*(Irr!AR21+Irr!BP21)),IF(AND(Irr!T21=".",Irr!AR21=".",Irr!BP21&lt;&gt;"."),dir!AT21/((1/1000)*(Irr!BP21)),IF(AND(Irr!T21=".",Irr!AR21&lt;&gt;".",Irr!BP21="."),dir!AT21/((1/1000)*(Irr!AR21)),IF(AND(Irr!T21&lt;&gt;".",Irr!AR21=".",Irr!BP21="."),dir!AT21/((1/1000)*(Irr!T21)),IF(AND(Irr!T21=".",Irr!AR21=".",Irr!BP21="."),dir!AT21*1000)))))))),".")</f>
        <v>.</v>
      </c>
      <c r="AU21" s="48" t="str">
        <f>IFERROR(IF(AND(Irr!U21&lt;&gt;".",Irr!AS21&lt;&gt;".",Irr!BQ21&lt;&gt;"."),dir!AU21/((1/1000)*(Irr!U21+Irr!AS21+Irr!BQ21)),IF(AND(Irr!U21&lt;&gt;".",Irr!AS21&lt;&gt;".",Irr!BQ21="."),dir!AU21/((1/1000)*(Irr!U21+Irr!AS21)),IF(AND(Irr!U21&lt;&gt;".",Irr!AS21=".",Irr!BQ21&lt;&gt;"."),dir!AU21/((1/1000)*(Irr!U21+Irr!BQ21)),IF(AND(Irr!U21=".",Irr!AS21&lt;&gt;".",Irr!BQ21&lt;&gt;"."),dir!AU21/((1/1000)*(Irr!AS21+Irr!BQ21)),IF(AND(Irr!U21=".",Irr!AS21=".",Irr!BQ21&lt;&gt;"."),dir!AU21/((1/1000)*(Irr!BQ21)),IF(AND(Irr!U21=".",Irr!AS21&lt;&gt;".",Irr!BQ21="."),dir!AU21/((1/1000)*(Irr!AS21)),IF(AND(Irr!U21&lt;&gt;".",Irr!AS21=".",Irr!BQ21="."),dir!AU21/((1/1000)*(Irr!U21)),IF(AND(Irr!U21=".",Irr!AS21=".",Irr!BQ21="."),dir!AU21*1000)))))))),".")</f>
        <v>.</v>
      </c>
      <c r="AV21" s="48" t="str">
        <f>IFERROR(IF(AND(Irr!V21&lt;&gt;".",Irr!AT21&lt;&gt;".",Irr!BR21&lt;&gt;"."),dir!AV21/((1/1000)*(Irr!V21+Irr!AT21+Irr!BR21)),IF(AND(Irr!V21&lt;&gt;".",Irr!AT21&lt;&gt;".",Irr!BR21="."),dir!AV21/((1/1000)*(Irr!V21+Irr!AT21)),IF(AND(Irr!V21&lt;&gt;".",Irr!AT21=".",Irr!BR21&lt;&gt;"."),dir!AV21/((1/1000)*(Irr!V21+Irr!BR21)),IF(AND(Irr!V21=".",Irr!AT21&lt;&gt;".",Irr!BR21&lt;&gt;"."),dir!AV21/((1/1000)*(Irr!AT21+Irr!BR21)),IF(AND(Irr!V21=".",Irr!AT21=".",Irr!BR21&lt;&gt;"."),dir!AV21/((1/1000)*(Irr!BR21)),IF(AND(Irr!V21=".",Irr!AT21&lt;&gt;".",Irr!BR21="."),dir!AV21/((1/1000)*(Irr!AT21)),IF(AND(Irr!V21&lt;&gt;".",Irr!AT21=".",Irr!BR21="."),dir!AV21/((1/1000)*(Irr!V21)),IF(AND(Irr!V21=".",Irr!AT21=".",Irr!BR21="."),dir!AV21*1000)))))))),".")</f>
        <v>.</v>
      </c>
      <c r="AW21" s="48" t="str">
        <f>IFERROR(IF(AND(Irr!W21&lt;&gt;".",Irr!AU21&lt;&gt;".",Irr!BS21&lt;&gt;"."),dir!AW21/((1/1000)*(Irr!W21+Irr!AU21+Irr!BS21)),IF(AND(Irr!W21&lt;&gt;".",Irr!AU21&lt;&gt;".",Irr!BS21="."),dir!AW21/((1/1000)*(Irr!W21+Irr!AU21)),IF(AND(Irr!W21&lt;&gt;".",Irr!AU21=".",Irr!BS21&lt;&gt;"."),dir!AW21/((1/1000)*(Irr!W21+Irr!BS21)),IF(AND(Irr!W21=".",Irr!AU21&lt;&gt;".",Irr!BS21&lt;&gt;"."),dir!AW21/((1/1000)*(Irr!AU21+Irr!BS21)),IF(AND(Irr!W21=".",Irr!AU21=".",Irr!BS21&lt;&gt;"."),dir!AW21/((1/1000)*(Irr!BS21)),IF(AND(Irr!W21=".",Irr!AU21&lt;&gt;".",Irr!BS21="."),dir!AW21/((1/1000)*(Irr!AU21)),IF(AND(Irr!W21&lt;&gt;".",Irr!AU21=".",Irr!BS21="."),dir!AW21/((1/1000)*(Irr!W21)),IF(AND(Irr!W21=".",Irr!AU21=".",Irr!BS21="."),dir!AW21*1000)))))))),".")</f>
        <v>.</v>
      </c>
      <c r="AX21" s="48" t="str">
        <f>IFERROR(IF(AND(Irr!X21&lt;&gt;".",Irr!AV21&lt;&gt;".",Irr!BT21&lt;&gt;"."),dir!AX21/((1/1000)*(Irr!X21+Irr!AV21+Irr!BT21)),IF(AND(Irr!X21&lt;&gt;".",Irr!AV21&lt;&gt;".",Irr!BT21="."),dir!AX21/((1/1000)*(Irr!X21+Irr!AV21)),IF(AND(Irr!X21&lt;&gt;".",Irr!AV21=".",Irr!BT21&lt;&gt;"."),dir!AX21/((1/1000)*(Irr!X21+Irr!BT21)),IF(AND(Irr!X21=".",Irr!AV21&lt;&gt;".",Irr!BT21&lt;&gt;"."),dir!AX21/((1/1000)*(Irr!AV21+Irr!BT21)),IF(AND(Irr!X21=".",Irr!AV21=".",Irr!BT21&lt;&gt;"."),dir!AX21/((1/1000)*(Irr!BT21)),IF(AND(Irr!X21=".",Irr!AV21&lt;&gt;".",Irr!BT21="."),dir!AX21/((1/1000)*(Irr!AV21)),IF(AND(Irr!X21&lt;&gt;".",Irr!AV21=".",Irr!BT21="."),dir!AX21/((1/1000)*(Irr!X21)),IF(AND(Irr!X21=".",Irr!AV21=".",Irr!BT21="."),dir!AX21*1000)))))))),".")</f>
        <v>.</v>
      </c>
      <c r="AY21" s="48" t="str">
        <f>IFERROR(IF(AND(Irr!Y21&lt;&gt;".",Irr!AW21&lt;&gt;".",Irr!BU21&lt;&gt;"."),dir!AY21/((1/1000)*(Irr!Y21+Irr!AW21+Irr!BU21)),IF(AND(Irr!Y21&lt;&gt;".",Irr!AW21&lt;&gt;".",Irr!BU21="."),dir!AY21/((1/1000)*(Irr!Y21+Irr!AW21)),IF(AND(Irr!Y21&lt;&gt;".",Irr!AW21=".",Irr!BU21&lt;&gt;"."),dir!AY21/((1/1000)*(Irr!Y21+Irr!BU21)),IF(AND(Irr!Y21=".",Irr!AW21&lt;&gt;".",Irr!BU21&lt;&gt;"."),dir!AY21/((1/1000)*(Irr!AW21+Irr!BU21)),IF(AND(Irr!Y21=".",Irr!AW21=".",Irr!BU21&lt;&gt;"."),dir!AY21/((1/1000)*(Irr!BU21)),IF(AND(Irr!Y21=".",Irr!AW21&lt;&gt;".",Irr!BU21="."),dir!AY21/((1/1000)*(Irr!AW21)),IF(AND(Irr!Y21&lt;&gt;".",Irr!AW21=".",Irr!BU21="."),dir!AY21/((1/1000)*(Irr!Y21)),IF(AND(Irr!Y21=".",Irr!AW21=".",Irr!BU21="."),dir!AY21*1000)))))))),".")</f>
        <v>.</v>
      </c>
      <c r="AZ21" s="48" t="str">
        <f>IFERROR(IF(AND(Irr!Z21&lt;&gt;".",Irr!AX21&lt;&gt;".",Irr!BV21&lt;&gt;"."),dir!AZ21/((1/1000)*(Irr!Z21+Irr!AX21+Irr!BV21)),IF(AND(Irr!Z21&lt;&gt;".",Irr!AX21&lt;&gt;".",Irr!BV21="."),dir!AZ21/((1/1000)*(Irr!Z21+Irr!AX21)),IF(AND(Irr!Z21&lt;&gt;".",Irr!AX21=".",Irr!BV21&lt;&gt;"."),dir!AZ21/((1/1000)*(Irr!Z21+Irr!BV21)),IF(AND(Irr!Z21=".",Irr!AX21&lt;&gt;".",Irr!BV21&lt;&gt;"."),dir!AZ21/((1/1000)*(Irr!AX21+Irr!BV21)),IF(AND(Irr!Z21=".",Irr!AX21=".",Irr!BV21&lt;&gt;"."),dir!AZ21/((1/1000)*(Irr!BV21)),IF(AND(Irr!Z21=".",Irr!AX21&lt;&gt;".",Irr!BV21="."),dir!AZ21/((1/1000)*(Irr!AX21)),IF(AND(Irr!Z21&lt;&gt;".",Irr!AX21=".",Irr!BV21="."),dir!AZ21/((1/1000)*(Irr!Z21)),IF(AND(Irr!Z21=".",Irr!AX21=".",Irr!BV21="."),dir!AZ21*1000)))))))),".")</f>
        <v>.</v>
      </c>
    </row>
    <row r="22" spans="1:52" ht="15" customHeight="1" x14ac:dyDescent="0.25">
      <c r="A22" s="61" t="s">
        <v>20</v>
      </c>
      <c r="B22" s="49" t="s">
        <v>1059</v>
      </c>
      <c r="C22" s="48">
        <f t="shared" ref="C22:C23" si="18">IFERROR(1/SUM(1/D22,1/E22,1/F22,1/G22,1/H22,1/I22,1/J22,1/K22,1/L22,1/M22,1/N22,1/O22,1/P22,1/Q22,1/R22,1/S22,1/T22,1/U22,1/V22,1/W22,1/X22,1/Y22),".")</f>
        <v>0.54874618565277988</v>
      </c>
      <c r="D22" s="48">
        <f>IFERROR(IF(AND(Irr!C22&lt;&gt;".",Irr!AA22&lt;&gt;".",Irr!AY22&lt;&gt;"."),dir!D22/((1/1000)*(Irr!C22+Irr!AA22+Irr!AY22)),IF(AND(Irr!C22&lt;&gt;".",Irr!AA22&lt;&gt;".",Irr!AY22="."),dir!D22/((1/1000)*(Irr!C22+Irr!AA22)),IF(AND(Irr!C22&lt;&gt;".",Irr!AA22=".",Irr!AY22&lt;&gt;"."),dir!D22/((1/1000)*(Irr!C22+Irr!AY22)),IF(AND(Irr!C22=".",Irr!AA22&lt;&gt;".",Irr!AY22&lt;&gt;"."),dir!D22/((1/1000)*(Irr!AA22+Irr!AY22)),IF(AND(Irr!C22=".",Irr!AA22=".",Irr!AY22&lt;&gt;"."),dir!D22/((1/1000)*(Irr!AY22)),IF(AND(Irr!C22=".",Irr!AA22&lt;&gt;".",Irr!AY22="."),dir!D22/((1/1000)*(Irr!AA22)),IF(AND(Irr!C22&lt;&gt;".",Irr!AA22=".",Irr!AY22="."),dir!D22/((1/1000)*(Irr!C22)),IF(AND(Irr!C22=".",Irr!AA22=".",Irr!AY22="."),dir!D22*1000)))))))),".")</f>
        <v>11.042198675045842</v>
      </c>
      <c r="E22" s="48">
        <f>IFERROR(IF(AND(Irr!D22&lt;&gt;".",Irr!AB22&lt;&gt;".",Irr!AZ22&lt;&gt;"."),dir!E22/((1/1000)*(Irr!D22+Irr!AB22+Irr!AZ22)),IF(AND(Irr!D22&lt;&gt;".",Irr!AB22&lt;&gt;".",Irr!AZ22="."),dir!E22/((1/1000)*(Irr!D22+Irr!AB22)),IF(AND(Irr!D22&lt;&gt;".",Irr!AB22=".",Irr!AZ22&lt;&gt;"."),dir!E22/((1/1000)*(Irr!D22+Irr!AZ22)),IF(AND(Irr!D22=".",Irr!AB22&lt;&gt;".",Irr!AZ22&lt;&gt;"."),dir!E22/((1/1000)*(Irr!AB22+Irr!AZ22)),IF(AND(Irr!D22=".",Irr!AB22=".",Irr!AZ22&lt;&gt;"."),dir!E22/((1/1000)*(Irr!AZ22)),IF(AND(Irr!D22=".",Irr!AB22&lt;&gt;".",Irr!AZ22="."),dir!E22/((1/1000)*(Irr!AB22)),IF(AND(Irr!D22&lt;&gt;".",Irr!AB22=".",Irr!AZ22="."),dir!E22/((1/1000)*(Irr!D22)),IF(AND(Irr!D22=".",Irr!AB22=".",Irr!AZ22="."),dir!E22*1000)))))))),".")</f>
        <v>14.243912830761172</v>
      </c>
      <c r="F22" s="48">
        <f>IFERROR(IF(AND(Irr!E22&lt;&gt;".",Irr!AC22&lt;&gt;".",Irr!BA22&lt;&gt;"."),dir!F22/((1/1000)*(Irr!E22+Irr!AC22+Irr!BA22)),IF(AND(Irr!E22&lt;&gt;".",Irr!AC22&lt;&gt;".",Irr!BA22="."),dir!F22/((1/1000)*(Irr!E22+Irr!AC22)),IF(AND(Irr!E22&lt;&gt;".",Irr!AC22=".",Irr!BA22&lt;&gt;"."),dir!F22/((1/1000)*(Irr!E22+Irr!BA22)),IF(AND(Irr!E22=".",Irr!AC22&lt;&gt;".",Irr!BA22&lt;&gt;"."),dir!F22/((1/1000)*(Irr!AC22+Irr!BA22)),IF(AND(Irr!E22=".",Irr!AC22=".",Irr!BA22&lt;&gt;"."),dir!F22/((1/1000)*(Irr!BA22)),IF(AND(Irr!E22=".",Irr!AC22&lt;&gt;".",Irr!BA22="."),dir!F22/((1/1000)*(Irr!AC22)),IF(AND(Irr!E22&lt;&gt;".",Irr!AC22=".",Irr!BA22="."),dir!F22/((1/1000)*(Irr!E22)),IF(AND(Irr!E22=".",Irr!AC22=".",Irr!BA22="."),dir!F22*1000)))))))),".")</f>
        <v>19.540807007920105</v>
      </c>
      <c r="G22" s="48">
        <f>IFERROR(IF(AND(Irr!F22&lt;&gt;".",Irr!AD22&lt;&gt;".",Irr!BB22&lt;&gt;"."),dir!G22/((1/1000)*(Irr!F22+Irr!AD22+Irr!BB22)),IF(AND(Irr!F22&lt;&gt;".",Irr!AD22&lt;&gt;".",Irr!BB22="."),dir!G22/((1/1000)*(Irr!F22+Irr!AD22)),IF(AND(Irr!F22&lt;&gt;".",Irr!AD22=".",Irr!BB22&lt;&gt;"."),dir!G22/((1/1000)*(Irr!F22+Irr!BB22)),IF(AND(Irr!F22=".",Irr!AD22&lt;&gt;".",Irr!BB22&lt;&gt;"."),dir!G22/((1/1000)*(Irr!AD22+Irr!BB22)),IF(AND(Irr!F22=".",Irr!AD22=".",Irr!BB22&lt;&gt;"."),dir!G22/((1/1000)*(Irr!BB22)),IF(AND(Irr!F22=".",Irr!AD22&lt;&gt;".",Irr!BB22="."),dir!G22/((1/1000)*(Irr!AD22)),IF(AND(Irr!F22&lt;&gt;".",Irr!AD22=".",Irr!BB22="."),dir!G22/((1/1000)*(Irr!F22)),IF(AND(Irr!F22=".",Irr!AD22=".",Irr!BB22="."),dir!G22*1000)))))))),".")</f>
        <v>24.72773973367546</v>
      </c>
      <c r="H22" s="48">
        <f>IFERROR(IF(AND(Irr!G22&lt;&gt;".",Irr!AE22&lt;&gt;".",Irr!BC22&lt;&gt;"."),dir!H22/((1/1000)*(Irr!G22+Irr!AE22+Irr!BC22)),IF(AND(Irr!G22&lt;&gt;".",Irr!AE22&lt;&gt;".",Irr!BC22="."),dir!H22/((1/1000)*(Irr!G22+Irr!AE22)),IF(AND(Irr!G22&lt;&gt;".",Irr!AE22=".",Irr!BC22&lt;&gt;"."),dir!H22/((1/1000)*(Irr!G22+Irr!BC22)),IF(AND(Irr!G22=".",Irr!AE22&lt;&gt;".",Irr!BC22&lt;&gt;"."),dir!H22/((1/1000)*(Irr!AE22+Irr!BC22)),IF(AND(Irr!G22=".",Irr!AE22=".",Irr!BC22&lt;&gt;"."),dir!H22/((1/1000)*(Irr!BC22)),IF(AND(Irr!G22=".",Irr!AE22&lt;&gt;".",Irr!BC22="."),dir!H22/((1/1000)*(Irr!AE22)),IF(AND(Irr!G22&lt;&gt;".",Irr!AE22=".",Irr!BC22="."),dir!H22/((1/1000)*(Irr!G22)),IF(AND(Irr!G22=".",Irr!AE22=".",Irr!BC22="."),dir!H22*1000)))))))),".")</f>
        <v>27.373936383809411</v>
      </c>
      <c r="I22" s="48">
        <f>IFERROR(IF(AND(Irr!H22&lt;&gt;".",Irr!AF22&lt;&gt;".",Irr!BD22&lt;&gt;"."),dir!I22/((1/1000)*(Irr!H22+Irr!AF22+Irr!BD22)),IF(AND(Irr!H22&lt;&gt;".",Irr!AF22&lt;&gt;".",Irr!BD22="."),dir!I22/((1/1000)*(Irr!H22+Irr!AF22)),IF(AND(Irr!H22&lt;&gt;".",Irr!AF22=".",Irr!BD22&lt;&gt;"."),dir!I22/((1/1000)*(Irr!H22+Irr!BD22)),IF(AND(Irr!H22=".",Irr!AF22&lt;&gt;".",Irr!BD22&lt;&gt;"."),dir!I22/((1/1000)*(Irr!AF22+Irr!BD22)),IF(AND(Irr!H22=".",Irr!AF22=".",Irr!BD22&lt;&gt;"."),dir!I22/((1/1000)*(Irr!BD22)),IF(AND(Irr!H22=".",Irr!AF22&lt;&gt;".",Irr!BD22="."),dir!I22/((1/1000)*(Irr!AF22)),IF(AND(Irr!H22&lt;&gt;".",Irr!AF22=".",Irr!BD22="."),dir!I22/((1/1000)*(Irr!H22)),IF(AND(Irr!H22=".",Irr!AF22=".",Irr!BD22="."),dir!I22*1000)))))))),".")</f>
        <v>6.3770900519888754</v>
      </c>
      <c r="J22" s="48">
        <f>IFERROR(IF(AND(Irr!I22&lt;&gt;".",Irr!AG22&lt;&gt;".",Irr!BE22&lt;&gt;"."),dir!J22/((1/1000)*(Irr!I22+Irr!AG22+Irr!BE22)),IF(AND(Irr!I22&lt;&gt;".",Irr!AG22&lt;&gt;".",Irr!BE22="."),dir!J22/((1/1000)*(Irr!I22+Irr!AG22)),IF(AND(Irr!I22&lt;&gt;".",Irr!AG22=".",Irr!BE22&lt;&gt;"."),dir!J22/((1/1000)*(Irr!I22+Irr!BE22)),IF(AND(Irr!I22=".",Irr!AG22&lt;&gt;".",Irr!BE22&lt;&gt;"."),dir!J22/((1/1000)*(Irr!AG22+Irr!BE22)),IF(AND(Irr!I22=".",Irr!AG22=".",Irr!BE22&lt;&gt;"."),dir!J22/((1/1000)*(Irr!BE22)),IF(AND(Irr!I22=".",Irr!AG22&lt;&gt;".",Irr!BE22="."),dir!J22/((1/1000)*(Irr!AG22)),IF(AND(Irr!I22&lt;&gt;".",Irr!AG22=".",Irr!BE22="."),dir!J22/((1/1000)*(Irr!I22)),IF(AND(Irr!I22=".",Irr!AG22=".",Irr!BE22="."),dir!J22*1000)))))))),".")</f>
        <v>21.585714978417567</v>
      </c>
      <c r="K22" s="48">
        <f>IFERROR(IF(AND(Irr!J22&lt;&gt;".",Irr!AH22&lt;&gt;".",Irr!BF22&lt;&gt;"."),dir!K22/((1/1000)*(Irr!J22+Irr!AH22+Irr!BF22)),IF(AND(Irr!J22&lt;&gt;".",Irr!AH22&lt;&gt;".",Irr!BF22="."),dir!K22/((1/1000)*(Irr!J22+Irr!AH22)),IF(AND(Irr!J22&lt;&gt;".",Irr!AH22=".",Irr!BF22&lt;&gt;"."),dir!K22/((1/1000)*(Irr!J22+Irr!BF22)),IF(AND(Irr!J22=".",Irr!AH22&lt;&gt;".",Irr!BF22&lt;&gt;"."),dir!K22/((1/1000)*(Irr!AH22+Irr!BF22)),IF(AND(Irr!J22=".",Irr!AH22=".",Irr!BF22&lt;&gt;"."),dir!K22/((1/1000)*(Irr!BF22)),IF(AND(Irr!J22=".",Irr!AH22&lt;&gt;".",Irr!BF22="."),dir!K22/((1/1000)*(Irr!AH22)),IF(AND(Irr!J22&lt;&gt;".",Irr!AH22=".",Irr!BF22="."),dir!K22/((1/1000)*(Irr!J22)),IF(AND(Irr!J22=".",Irr!AH22=".",Irr!BF22="."),dir!K22*1000)))))))),".")</f>
        <v>2.8634732271357346</v>
      </c>
      <c r="L22" s="48">
        <f>IFERROR(IF(AND(Irr!K22&lt;&gt;".",Irr!AI22&lt;&gt;".",Irr!BG22&lt;&gt;"."),dir!L22/((1/1000)*(Irr!K22+Irr!AI22+Irr!BG22)),IF(AND(Irr!K22&lt;&gt;".",Irr!AI22&lt;&gt;".",Irr!BG22="."),dir!L22/((1/1000)*(Irr!K22+Irr!AI22)),IF(AND(Irr!K22&lt;&gt;".",Irr!AI22=".",Irr!BG22&lt;&gt;"."),dir!L22/((1/1000)*(Irr!K22+Irr!BG22)),IF(AND(Irr!K22=".",Irr!AI22&lt;&gt;".",Irr!BG22&lt;&gt;"."),dir!L22/((1/1000)*(Irr!AI22+Irr!BG22)),IF(AND(Irr!K22=".",Irr!AI22=".",Irr!BG22&lt;&gt;"."),dir!L22/((1/1000)*(Irr!BG22)),IF(AND(Irr!K22=".",Irr!AI22&lt;&gt;".",Irr!BG22="."),dir!L22/((1/1000)*(Irr!AI22)),IF(AND(Irr!K22&lt;&gt;".",Irr!AI22=".",Irr!BG22="."),dir!L22/((1/1000)*(Irr!K22)),IF(AND(Irr!K22=".",Irr!AI22=".",Irr!BG22="."),dir!L22*1000)))))))),".")</f>
        <v>16.868384278386202</v>
      </c>
      <c r="M22" s="48">
        <f>IFERROR(IF(AND(Irr!L22&lt;&gt;".",Irr!AJ22&lt;&gt;".",Irr!BH22&lt;&gt;"."),dir!M22/((1/1000)*(Irr!L22+Irr!AJ22+Irr!BH22)),IF(AND(Irr!L22&lt;&gt;".",Irr!AJ22&lt;&gt;".",Irr!BH22="."),dir!M22/((1/1000)*(Irr!L22+Irr!AJ22)),IF(AND(Irr!L22&lt;&gt;".",Irr!AJ22=".",Irr!BH22&lt;&gt;"."),dir!M22/((1/1000)*(Irr!L22+Irr!BH22)),IF(AND(Irr!L22=".",Irr!AJ22&lt;&gt;".",Irr!BH22&lt;&gt;"."),dir!M22/((1/1000)*(Irr!AJ22+Irr!BH22)),IF(AND(Irr!L22=".",Irr!AJ22=".",Irr!BH22&lt;&gt;"."),dir!M22/((1/1000)*(Irr!BH22)),IF(AND(Irr!L22=".",Irr!AJ22&lt;&gt;".",Irr!BH22="."),dir!M22/((1/1000)*(Irr!AJ22)),IF(AND(Irr!L22&lt;&gt;".",Irr!AJ22=".",Irr!BH22="."),dir!M22/((1/1000)*(Irr!L22)),IF(AND(Irr!L22=".",Irr!AJ22=".",Irr!BH22="."),dir!M22*1000)))))))),".")</f>
        <v>11.013783356615793</v>
      </c>
      <c r="N22" s="48">
        <f>IFERROR(IF(AND(Irr!M22&lt;&gt;".",Irr!AK22&lt;&gt;".",Irr!BI22&lt;&gt;"."),dir!N22/((1/1000)*(Irr!M22+Irr!AK22+Irr!BI22)),IF(AND(Irr!M22&lt;&gt;".",Irr!AK22&lt;&gt;".",Irr!BI22="."),dir!N22/((1/1000)*(Irr!M22+Irr!AK22)),IF(AND(Irr!M22&lt;&gt;".",Irr!AK22=".",Irr!BI22&lt;&gt;"."),dir!N22/((1/1000)*(Irr!M22+Irr!BI22)),IF(AND(Irr!M22=".",Irr!AK22&lt;&gt;".",Irr!BI22&lt;&gt;"."),dir!N22/((1/1000)*(Irr!AK22+Irr!BI22)),IF(AND(Irr!M22=".",Irr!AK22=".",Irr!BI22&lt;&gt;"."),dir!N22/((1/1000)*(Irr!BI22)),IF(AND(Irr!M22=".",Irr!AK22&lt;&gt;".",Irr!BI22="."),dir!N22/((1/1000)*(Irr!AK22)),IF(AND(Irr!M22&lt;&gt;".",Irr!AK22=".",Irr!BI22="."),dir!N22/((1/1000)*(Irr!M22)),IF(AND(Irr!M22=".",Irr!AK22=".",Irr!BI22="."),dir!N22*1000)))))))),".")</f>
        <v>14.736893521950234</v>
      </c>
      <c r="O22" s="48">
        <f>IFERROR(IF(AND(Irr!N22&lt;&gt;".",Irr!AL22&lt;&gt;".",Irr!BJ22&lt;&gt;"."),dir!O22/((1/1000)*(Irr!N22+Irr!AL22+Irr!BJ22)),IF(AND(Irr!N22&lt;&gt;".",Irr!AL22&lt;&gt;".",Irr!BJ22="."),dir!O22/((1/1000)*(Irr!N22+Irr!AL22)),IF(AND(Irr!N22&lt;&gt;".",Irr!AL22=".",Irr!BJ22&lt;&gt;"."),dir!O22/((1/1000)*(Irr!N22+Irr!BJ22)),IF(AND(Irr!N22=".",Irr!AL22&lt;&gt;".",Irr!BJ22&lt;&gt;"."),dir!O22/((1/1000)*(Irr!AL22+Irr!BJ22)),IF(AND(Irr!N22=".",Irr!AL22=".",Irr!BJ22&lt;&gt;"."),dir!O22/((1/1000)*(Irr!BJ22)),IF(AND(Irr!N22=".",Irr!AL22&lt;&gt;".",Irr!BJ22="."),dir!O22/((1/1000)*(Irr!AL22)),IF(AND(Irr!N22&lt;&gt;".",Irr!AL22=".",Irr!BJ22="."),dir!O22/((1/1000)*(Irr!N22)),IF(AND(Irr!N22=".",Irr!AL22=".",Irr!BJ22="."),dir!O22*1000)))))))),".")</f>
        <v>27.546583245503726</v>
      </c>
      <c r="P22" s="48">
        <f>IFERROR(IF(AND(Irr!O22&lt;&gt;".",Irr!AM22&lt;&gt;".",Irr!BK22&lt;&gt;"."),dir!P22/((1/1000)*(Irr!O22+Irr!AM22+Irr!BK22)),IF(AND(Irr!O22&lt;&gt;".",Irr!AM22&lt;&gt;".",Irr!BK22="."),dir!P22/((1/1000)*(Irr!O22+Irr!AM22)),IF(AND(Irr!O22&lt;&gt;".",Irr!AM22=".",Irr!BK22&lt;&gt;"."),dir!P22/((1/1000)*(Irr!O22+Irr!BK22)),IF(AND(Irr!O22=".",Irr!AM22&lt;&gt;".",Irr!BK22&lt;&gt;"."),dir!P22/((1/1000)*(Irr!AM22+Irr!BK22)),IF(AND(Irr!O22=".",Irr!AM22=".",Irr!BK22&lt;&gt;"."),dir!P22/((1/1000)*(Irr!BK22)),IF(AND(Irr!O22=".",Irr!AM22&lt;&gt;".",Irr!BK22="."),dir!P22/((1/1000)*(Irr!AM22)),IF(AND(Irr!O22&lt;&gt;".",Irr!AM22=".",Irr!BK22="."),dir!P22/((1/1000)*(Irr!O22)),IF(AND(Irr!O22=".",Irr!AM22=".",Irr!BK22="."),dir!P22*1000)))))))),".")</f>
        <v>31.172658764134059</v>
      </c>
      <c r="Q22" s="48">
        <f>IFERROR(IF(AND(Irr!P22&lt;&gt;".",Irr!AN22&lt;&gt;".",Irr!BL22&lt;&gt;"."),dir!Q22/((1/1000)*(Irr!P22+Irr!AN22+Irr!BL22)),IF(AND(Irr!P22&lt;&gt;".",Irr!AN22&lt;&gt;".",Irr!BL22="."),dir!Q22/((1/1000)*(Irr!P22+Irr!AN22)),IF(AND(Irr!P22&lt;&gt;".",Irr!AN22=".",Irr!BL22&lt;&gt;"."),dir!Q22/((1/1000)*(Irr!P22+Irr!BL22)),IF(AND(Irr!P22=".",Irr!AN22&lt;&gt;".",Irr!BL22&lt;&gt;"."),dir!Q22/((1/1000)*(Irr!AN22+Irr!BL22)),IF(AND(Irr!P22=".",Irr!AN22=".",Irr!BL22&lt;&gt;"."),dir!Q22/((1/1000)*(Irr!BL22)),IF(AND(Irr!P22=".",Irr!AN22&lt;&gt;".",Irr!BL22="."),dir!Q22/((1/1000)*(Irr!AN22)),IF(AND(Irr!P22&lt;&gt;".",Irr!AN22=".",Irr!BL22="."),dir!Q22/((1/1000)*(Irr!P22)),IF(AND(Irr!P22=".",Irr!AN22=".",Irr!BL22="."),dir!Q22*1000)))))))),".")</f>
        <v>42.095998209654276</v>
      </c>
      <c r="R22" s="48">
        <f>IFERROR(IF(AND(Irr!Q22&lt;&gt;".",Irr!AO22&lt;&gt;".",Irr!BM22&lt;&gt;"."),dir!R22/((1/1000)*(Irr!Q22+Irr!AO22+Irr!BM22)),IF(AND(Irr!Q22&lt;&gt;".",Irr!AO22&lt;&gt;".",Irr!BM22="."),dir!R22/((1/1000)*(Irr!Q22+Irr!AO22)),IF(AND(Irr!Q22&lt;&gt;".",Irr!AO22=".",Irr!BM22&lt;&gt;"."),dir!R22/((1/1000)*(Irr!Q22+Irr!BM22)),IF(AND(Irr!Q22=".",Irr!AO22&lt;&gt;".",Irr!BM22&lt;&gt;"."),dir!R22/((1/1000)*(Irr!AO22+Irr!BM22)),IF(AND(Irr!Q22=".",Irr!AO22=".",Irr!BM22&lt;&gt;"."),dir!R22/((1/1000)*(Irr!BM22)),IF(AND(Irr!Q22=".",Irr!AO22&lt;&gt;".",Irr!BM22="."),dir!R22/((1/1000)*(Irr!AO22)),IF(AND(Irr!Q22&lt;&gt;".",Irr!AO22=".",Irr!BM22="."),dir!R22/((1/1000)*(Irr!Q22)),IF(AND(Irr!Q22=".",Irr!AO22=".",Irr!BM22="."),dir!R22*1000)))))))),".")</f>
        <v>7.0618578472456619</v>
      </c>
      <c r="S22" s="48">
        <f>IFERROR(IF(AND(Irr!R22&lt;&gt;".",Irr!AP22&lt;&gt;".",Irr!BN22&lt;&gt;"."),dir!S22/((1/1000)*(Irr!R22+Irr!AP22+Irr!BN22)),IF(AND(Irr!R22&lt;&gt;".",Irr!AP22&lt;&gt;".",Irr!BN22="."),dir!S22/((1/1000)*(Irr!R22+Irr!AP22)),IF(AND(Irr!R22&lt;&gt;".",Irr!AP22=".",Irr!BN22&lt;&gt;"."),dir!S22/((1/1000)*(Irr!R22+Irr!BN22)),IF(AND(Irr!R22=".",Irr!AP22&lt;&gt;".",Irr!BN22&lt;&gt;"."),dir!S22/((1/1000)*(Irr!AP22+Irr!BN22)),IF(AND(Irr!R22=".",Irr!AP22=".",Irr!BN22&lt;&gt;"."),dir!S22/((1/1000)*(Irr!BN22)),IF(AND(Irr!R22=".",Irr!AP22&lt;&gt;".",Irr!BN22="."),dir!S22/((1/1000)*(Irr!AP22)),IF(AND(Irr!R22&lt;&gt;".",Irr!AP22=".",Irr!BN22="."),dir!S22/((1/1000)*(Irr!R22)),IF(AND(Irr!R22=".",Irr!AP22=".",Irr!BN22="."),dir!S22*1000)))))))),".")</f>
        <v>14.667270028800408</v>
      </c>
      <c r="T22" s="48">
        <f>IFERROR(IF(AND(Irr!S22&lt;&gt;".",Irr!AQ22&lt;&gt;".",Irr!BO22&lt;&gt;"."),dir!T22/((1/1000)*(Irr!S22+Irr!AQ22+Irr!BO22)),IF(AND(Irr!S22&lt;&gt;".",Irr!AQ22&lt;&gt;".",Irr!BO22="."),dir!T22/((1/1000)*(Irr!S22+Irr!AQ22)),IF(AND(Irr!S22&lt;&gt;".",Irr!AQ22=".",Irr!BO22&lt;&gt;"."),dir!T22/((1/1000)*(Irr!S22+Irr!BO22)),IF(AND(Irr!S22=".",Irr!AQ22&lt;&gt;".",Irr!BO22&lt;&gt;"."),dir!T22/((1/1000)*(Irr!AQ22+Irr!BO22)),IF(AND(Irr!S22=".",Irr!AQ22=".",Irr!BO22&lt;&gt;"."),dir!T22/((1/1000)*(Irr!BO22)),IF(AND(Irr!S22=".",Irr!AQ22&lt;&gt;".",Irr!BO22="."),dir!T22/((1/1000)*(Irr!AQ22)),IF(AND(Irr!S22&lt;&gt;".",Irr!AQ22=".",Irr!BO22="."),dir!T22/((1/1000)*(Irr!S22)),IF(AND(Irr!S22=".",Irr!AQ22=".",Irr!BO22="."),dir!T22*1000)))))))),".")</f>
        <v>22.573299186878213</v>
      </c>
      <c r="U22" s="48">
        <f>IFERROR(IF(AND(Irr!T22&lt;&gt;".",Irr!AR22&lt;&gt;".",Irr!BP22&lt;&gt;"."),dir!U22/((1/1000)*(Irr!T22+Irr!AR22+Irr!BP22)),IF(AND(Irr!T22&lt;&gt;".",Irr!AR22&lt;&gt;".",Irr!BP22="."),dir!U22/((1/1000)*(Irr!T22+Irr!AR22)),IF(AND(Irr!T22&lt;&gt;".",Irr!AR22=".",Irr!BP22&lt;&gt;"."),dir!U22/((1/1000)*(Irr!T22+Irr!BP22)),IF(AND(Irr!T22=".",Irr!AR22&lt;&gt;".",Irr!BP22&lt;&gt;"."),dir!U22/((1/1000)*(Irr!AR22+Irr!BP22)),IF(AND(Irr!T22=".",Irr!AR22=".",Irr!BP22&lt;&gt;"."),dir!U22/((1/1000)*(Irr!BP22)),IF(AND(Irr!T22=".",Irr!AR22&lt;&gt;".",Irr!BP22="."),dir!U22/((1/1000)*(Irr!AR22)),IF(AND(Irr!T22&lt;&gt;".",Irr!AR22=".",Irr!BP22="."),dir!U22/((1/1000)*(Irr!T22)),IF(AND(Irr!T22=".",Irr!AR22=".",Irr!BP22="."),dir!U22*1000)))))))),".")</f>
        <v>7.2756375228804444</v>
      </c>
      <c r="V22" s="48">
        <f>IFERROR(IF(AND(Irr!U22&lt;&gt;".",Irr!AS22&lt;&gt;".",Irr!BQ22&lt;&gt;"."),dir!V22/((1/1000)*(Irr!U22+Irr!AS22+Irr!BQ22)),IF(AND(Irr!U22&lt;&gt;".",Irr!AS22&lt;&gt;".",Irr!BQ22="."),dir!V22/((1/1000)*(Irr!U22+Irr!AS22)),IF(AND(Irr!U22&lt;&gt;".",Irr!AS22=".",Irr!BQ22&lt;&gt;"."),dir!V22/((1/1000)*(Irr!U22+Irr!BQ22)),IF(AND(Irr!U22=".",Irr!AS22&lt;&gt;".",Irr!BQ22&lt;&gt;"."),dir!V22/((1/1000)*(Irr!AS22+Irr!BQ22)),IF(AND(Irr!U22=".",Irr!AS22=".",Irr!BQ22&lt;&gt;"."),dir!V22/((1/1000)*(Irr!BQ22)),IF(AND(Irr!U22=".",Irr!AS22&lt;&gt;".",Irr!BQ22="."),dir!V22/((1/1000)*(Irr!AS22)),IF(AND(Irr!U22&lt;&gt;".",Irr!AS22=".",Irr!BQ22="."),dir!V22/((1/1000)*(Irr!U22)),IF(AND(Irr!U22=".",Irr!AS22=".",Irr!BQ22="."),dir!V22*1000)))))))),".")</f>
        <v>12.655569072950641</v>
      </c>
      <c r="W22" s="48">
        <f>IFERROR(IF(AND(Irr!V22&lt;&gt;".",Irr!AT22&lt;&gt;".",Irr!BR22&lt;&gt;"."),dir!W22/((1/1000)*(Irr!V22+Irr!AT22+Irr!BR22)),IF(AND(Irr!V22&lt;&gt;".",Irr!AT22&lt;&gt;".",Irr!BR22="."),dir!W22/((1/1000)*(Irr!V22+Irr!AT22)),IF(AND(Irr!V22&lt;&gt;".",Irr!AT22=".",Irr!BR22&lt;&gt;"."),dir!W22/((1/1000)*(Irr!V22+Irr!BR22)),IF(AND(Irr!V22=".",Irr!AT22&lt;&gt;".",Irr!BR22&lt;&gt;"."),dir!W22/((1/1000)*(Irr!AT22+Irr!BR22)),IF(AND(Irr!V22=".",Irr!AT22=".",Irr!BR22&lt;&gt;"."),dir!W22/((1/1000)*(Irr!BR22)),IF(AND(Irr!V22=".",Irr!AT22&lt;&gt;".",Irr!BR22="."),dir!W22/((1/1000)*(Irr!AT22)),IF(AND(Irr!V22&lt;&gt;".",Irr!AT22=".",Irr!BR22="."),dir!W22/((1/1000)*(Irr!V22)),IF(AND(Irr!V22=".",Irr!AT22=".",Irr!BR22="."),dir!W22*1000)))))))),".")</f>
        <v>15.7124594600009</v>
      </c>
      <c r="X22" s="48">
        <f>IFERROR(IF(AND(Irr!W22&lt;&gt;".",Irr!AU22&lt;&gt;".",Irr!BS22&lt;&gt;"."),dir!X22/((1/1000)*(Irr!W22+Irr!AU22+Irr!BS22)),IF(AND(Irr!W22&lt;&gt;".",Irr!AU22&lt;&gt;".",Irr!BS22="."),dir!X22/((1/1000)*(Irr!W22+Irr!AU22)),IF(AND(Irr!W22&lt;&gt;".",Irr!AU22=".",Irr!BS22&lt;&gt;"."),dir!X22/((1/1000)*(Irr!W22+Irr!BS22)),IF(AND(Irr!W22=".",Irr!AU22&lt;&gt;".",Irr!BS22&lt;&gt;"."),dir!X22/((1/1000)*(Irr!AU22+Irr!BS22)),IF(AND(Irr!W22=".",Irr!AU22=".",Irr!BS22&lt;&gt;"."),dir!X22/((1/1000)*(Irr!BS22)),IF(AND(Irr!W22=".",Irr!AU22&lt;&gt;".",Irr!BS22="."),dir!X22/((1/1000)*(Irr!AU22)),IF(AND(Irr!W22&lt;&gt;".",Irr!AU22=".",Irr!BS22="."),dir!X22/((1/1000)*(Irr!W22)),IF(AND(Irr!W22=".",Irr!AU22=".",Irr!BS22="."),dir!X22*1000)))))))),".")</f>
        <v>21.905177251186519</v>
      </c>
      <c r="Y22" s="48">
        <f>IFERROR(IF(AND(Irr!X22&lt;&gt;".",Irr!AV22&lt;&gt;".",Irr!BT22&lt;&gt;"."),dir!Y22/((1/1000)*(Irr!X22+Irr!AV22+Irr!BT22)),IF(AND(Irr!X22&lt;&gt;".",Irr!AV22&lt;&gt;".",Irr!BT22="."),dir!Y22/((1/1000)*(Irr!X22+Irr!AV22)),IF(AND(Irr!X22&lt;&gt;".",Irr!AV22=".",Irr!BT22&lt;&gt;"."),dir!Y22/((1/1000)*(Irr!X22+Irr!BT22)),IF(AND(Irr!X22=".",Irr!AV22&lt;&gt;".",Irr!BT22&lt;&gt;"."),dir!Y22/((1/1000)*(Irr!AV22+Irr!BT22)),IF(AND(Irr!X22=".",Irr!AV22=".",Irr!BT22&lt;&gt;"."),dir!Y22/((1/1000)*(Irr!BT22)),IF(AND(Irr!X22=".",Irr!AV22&lt;&gt;".",Irr!BT22="."),dir!Y22/((1/1000)*(Irr!AV22)),IF(AND(Irr!X22&lt;&gt;".",Irr!AV22=".",Irr!BT22="."),dir!Y22/((1/1000)*(Irr!X22)),IF(AND(Irr!X22=".",Irr!AV22=".",Irr!BT22="."),dir!Y22*1000)))))))),".")</f>
        <v>10.971534892527851</v>
      </c>
      <c r="Z22" s="48">
        <f>IFERROR(IF(AND(Irr!Y22&lt;&gt;".",Irr!AW22&lt;&gt;".",Irr!BU22&lt;&gt;"."),dir!Z22/((1/1000)*(Irr!Y22+Irr!AW22+Irr!BU22)),IF(AND(Irr!Y22&lt;&gt;".",Irr!AW22&lt;&gt;".",Irr!BU22="."),dir!Z22/((1/1000)*(Irr!Y22+Irr!AW22)),IF(AND(Irr!Y22&lt;&gt;".",Irr!AW22=".",Irr!BU22&lt;&gt;"."),dir!Z22/((1/1000)*(Irr!Y22+Irr!BU22)),IF(AND(Irr!Y22=".",Irr!AW22&lt;&gt;".",Irr!BU22&lt;&gt;"."),dir!Z22/((1/1000)*(Irr!AW22+Irr!BU22)),IF(AND(Irr!Y22=".",Irr!AW22=".",Irr!BU22&lt;&gt;"."),dir!Z22/((1/1000)*(Irr!BU22)),IF(AND(Irr!Y22=".",Irr!AW22&lt;&gt;".",Irr!BU22="."),dir!Z22/((1/1000)*(Irr!AW22)),IF(AND(Irr!Y22&lt;&gt;".",Irr!AW22=".",Irr!BU22="."),dir!Z22/((1/1000)*(Irr!Y22)),IF(AND(Irr!Y22=".",Irr!AW22=".",Irr!BU22="."),dir!Z22*1000)))))))),".")</f>
        <v>4.0848503821171747</v>
      </c>
      <c r="AA22" s="48">
        <f>IFERROR(IF(AND(Irr!Z22&lt;&gt;".",Irr!AX22&lt;&gt;".",Irr!BV22&lt;&gt;"."),dir!AA22/((1/1000)*(Irr!Z22+Irr!AX22+Irr!BV22)),IF(AND(Irr!Z22&lt;&gt;".",Irr!AX22&lt;&gt;".",Irr!BV22="."),dir!AA22/((1/1000)*(Irr!Z22+Irr!AX22)),IF(AND(Irr!Z22&lt;&gt;".",Irr!AX22=".",Irr!BV22&lt;&gt;"."),dir!AA22/((1/1000)*(Irr!Z22+Irr!BV22)),IF(AND(Irr!Z22=".",Irr!AX22&lt;&gt;".",Irr!BV22&lt;&gt;"."),dir!AA22/((1/1000)*(Irr!AX22+Irr!BV22)),IF(AND(Irr!Z22=".",Irr!AX22=".",Irr!BV22&lt;&gt;"."),dir!AA22/((1/1000)*(Irr!BV22)),IF(AND(Irr!Z22=".",Irr!AX22&lt;&gt;".",Irr!BV22="."),dir!AA22/((1/1000)*(Irr!AX22)),IF(AND(Irr!Z22&lt;&gt;".",Irr!AX22=".",Irr!BV22="."),dir!AA22/((1/1000)*(Irr!Z22)),IF(AND(Irr!Z22=".",Irr!AX22=".",Irr!BV22="."),dir!AA22*1000)))))))),".")</f>
        <v>3.0247993287052939</v>
      </c>
      <c r="AB22" s="48">
        <f t="shared" ref="AB22:AB23" si="19">IFERROR(1/SUM(1/AC22,1/AD22,1/AE22,1/AF22,1/AG22,1/AH22,1/AI22,1/AJ22,1/AK22,1/AL22,1/AM22,1/AN22,1/AO22,1/AP22,1/AQ22,1/AR22,1/AS22,1/AT22,1/AU22,1/AV22,1/AW22,1/AX22),".")</f>
        <v>0.51981388199222101</v>
      </c>
      <c r="AC22" s="48">
        <f>IFERROR(IF(AND(Irr!C22&lt;&gt;".",Irr!AA22&lt;&gt;".",Irr!AY22&lt;&gt;"."),dir!AC22/((1/1000)*(Irr!C22+Irr!AA22+Irr!AY22)),IF(AND(Irr!C22&lt;&gt;".",Irr!AA22&lt;&gt;".",Irr!AY22="."),dir!AC22/((1/1000)*(Irr!C22+Irr!AA22)),IF(AND(Irr!C22&lt;&gt;".",Irr!AA22=".",Irr!AY22&lt;&gt;"."),dir!AC22/((1/1000)*(Irr!C22+Irr!AY22)),IF(AND(Irr!C22=".",Irr!AA22&lt;&gt;".",Irr!AY22&lt;&gt;"."),dir!AC22/((1/1000)*(Irr!AA22+Irr!AY22)),IF(AND(Irr!C22=".",Irr!AA22=".",Irr!AY22&lt;&gt;"."),dir!AC22/((1/1000)*(Irr!AY22)),IF(AND(Irr!C22=".",Irr!AA22&lt;&gt;".",Irr!AY22="."),dir!AC22/((1/1000)*(Irr!AA22)),IF(AND(Irr!C22&lt;&gt;".",Irr!AA22=".",Irr!AY22="."),dir!AC22/((1/1000)*(Irr!C22)),IF(AND(Irr!C22=".",Irr!AA22=".",Irr!AY22="."),dir!AC22*1000)))))))),".")</f>
        <v>9.5937520289942881</v>
      </c>
      <c r="AD22" s="48">
        <f>IFERROR(IF(AND(Irr!D22&lt;&gt;".",Irr!AB22&lt;&gt;".",Irr!AZ22&lt;&gt;"."),dir!AD22/((1/1000)*(Irr!D22+Irr!AB22+Irr!AZ22)),IF(AND(Irr!D22&lt;&gt;".",Irr!AB22&lt;&gt;".",Irr!AZ22="."),dir!AD22/((1/1000)*(Irr!D22+Irr!AB22)),IF(AND(Irr!D22&lt;&gt;".",Irr!AB22=".",Irr!AZ22&lt;&gt;"."),dir!AD22/((1/1000)*(Irr!D22+Irr!AZ22)),IF(AND(Irr!D22=".",Irr!AB22&lt;&gt;".",Irr!AZ22&lt;&gt;"."),dir!AD22/((1/1000)*(Irr!AB22+Irr!AZ22)),IF(AND(Irr!D22=".",Irr!AB22=".",Irr!AZ22&lt;&gt;"."),dir!AD22/((1/1000)*(Irr!AZ22)),IF(AND(Irr!D22=".",Irr!AB22&lt;&gt;".",Irr!AZ22="."),dir!AD22/((1/1000)*(Irr!AB22)),IF(AND(Irr!D22&lt;&gt;".",Irr!AB22=".",Irr!AZ22="."),dir!AD22/((1/1000)*(Irr!D22)),IF(AND(Irr!D22=".",Irr!AB22=".",Irr!AZ22="."),dir!AD22*1000)))))))),".")</f>
        <v>13.360268302359456</v>
      </c>
      <c r="AE22" s="48">
        <f>IFERROR(IF(AND(Irr!E22&lt;&gt;".",Irr!AC22&lt;&gt;".",Irr!BA22&lt;&gt;"."),dir!AE22/((1/1000)*(Irr!E22+Irr!AC22+Irr!BA22)),IF(AND(Irr!E22&lt;&gt;".",Irr!AC22&lt;&gt;".",Irr!BA22="."),dir!AE22/((1/1000)*(Irr!E22+Irr!AC22)),IF(AND(Irr!E22&lt;&gt;".",Irr!AC22=".",Irr!BA22&lt;&gt;"."),dir!AE22/((1/1000)*(Irr!E22+Irr!BA22)),IF(AND(Irr!E22=".",Irr!AC22&lt;&gt;".",Irr!BA22&lt;&gt;"."),dir!AE22/((1/1000)*(Irr!AC22+Irr!BA22)),IF(AND(Irr!E22=".",Irr!AC22=".",Irr!BA22&lt;&gt;"."),dir!AE22/((1/1000)*(Irr!BA22)),IF(AND(Irr!E22=".",Irr!AC22&lt;&gt;".",Irr!BA22="."),dir!AE22/((1/1000)*(Irr!AC22)),IF(AND(Irr!E22&lt;&gt;".",Irr!AC22=".",Irr!BA22="."),dir!AE22/((1/1000)*(Irr!E22)),IF(AND(Irr!E22=".",Irr!AC22=".",Irr!BA22="."),dir!AE22*1000)))))))),".")</f>
        <v>17.945639088906223</v>
      </c>
      <c r="AF22" s="48">
        <f>IFERROR(IF(AND(Irr!F22&lt;&gt;".",Irr!AD22&lt;&gt;".",Irr!BB22&lt;&gt;"."),dir!AF22/((1/1000)*(Irr!F22+Irr!AD22+Irr!BB22)),IF(AND(Irr!F22&lt;&gt;".",Irr!AD22&lt;&gt;".",Irr!BB22="."),dir!AF22/((1/1000)*(Irr!F22+Irr!AD22)),IF(AND(Irr!F22&lt;&gt;".",Irr!AD22=".",Irr!BB22&lt;&gt;"."),dir!AF22/((1/1000)*(Irr!F22+Irr!BB22)),IF(AND(Irr!F22=".",Irr!AD22&lt;&gt;".",Irr!BB22&lt;&gt;"."),dir!AF22/((1/1000)*(Irr!AD22+Irr!BB22)),IF(AND(Irr!F22=".",Irr!AD22=".",Irr!BB22&lt;&gt;"."),dir!AF22/((1/1000)*(Irr!BB22)),IF(AND(Irr!F22=".",Irr!AD22&lt;&gt;".",Irr!BB22="."),dir!AF22/((1/1000)*(Irr!AD22)),IF(AND(Irr!F22&lt;&gt;".",Irr!AD22=".",Irr!BB22="."),dir!AF22/((1/1000)*(Irr!F22)),IF(AND(Irr!F22=".",Irr!AD22=".",Irr!BB22="."),dir!AF22*1000)))))))),".")</f>
        <v>24.05217861845701</v>
      </c>
      <c r="AG22" s="48">
        <f>IFERROR(IF(AND(Irr!G22&lt;&gt;".",Irr!AE22&lt;&gt;".",Irr!BC22&lt;&gt;"."),dir!AG22/((1/1000)*(Irr!G22+Irr!AE22+Irr!BC22)),IF(AND(Irr!G22&lt;&gt;".",Irr!AE22&lt;&gt;".",Irr!BC22="."),dir!AG22/((1/1000)*(Irr!G22+Irr!AE22)),IF(AND(Irr!G22&lt;&gt;".",Irr!AE22=".",Irr!BC22&lt;&gt;"."),dir!AG22/((1/1000)*(Irr!G22+Irr!BC22)),IF(AND(Irr!G22=".",Irr!AE22&lt;&gt;".",Irr!BC22&lt;&gt;"."),dir!AG22/((1/1000)*(Irr!AE22+Irr!BC22)),IF(AND(Irr!G22=".",Irr!AE22=".",Irr!BC22&lt;&gt;"."),dir!AG22/((1/1000)*(Irr!BC22)),IF(AND(Irr!G22=".",Irr!AE22&lt;&gt;".",Irr!BC22="."),dir!AG22/((1/1000)*(Irr!AE22)),IF(AND(Irr!G22&lt;&gt;".",Irr!AE22=".",Irr!BC22="."),dir!AG22/((1/1000)*(Irr!G22)),IF(AND(Irr!G22=".",Irr!AE22=".",Irr!BC22="."),dir!AG22*1000)))))))),".")</f>
        <v>23.534010969111822</v>
      </c>
      <c r="AH22" s="48">
        <f>IFERROR(IF(AND(Irr!H22&lt;&gt;".",Irr!AF22&lt;&gt;".",Irr!BD22&lt;&gt;"."),dir!AH22/((1/1000)*(Irr!H22+Irr!AF22+Irr!BD22)),IF(AND(Irr!H22&lt;&gt;".",Irr!AF22&lt;&gt;".",Irr!BD22="."),dir!AH22/((1/1000)*(Irr!H22+Irr!AF22)),IF(AND(Irr!H22&lt;&gt;".",Irr!AF22=".",Irr!BD22&lt;&gt;"."),dir!AH22/((1/1000)*(Irr!H22+Irr!BD22)),IF(AND(Irr!H22=".",Irr!AF22&lt;&gt;".",Irr!BD22&lt;&gt;"."),dir!AH22/((1/1000)*(Irr!AF22+Irr!BD22)),IF(AND(Irr!H22=".",Irr!AF22=".",Irr!BD22&lt;&gt;"."),dir!AH22/((1/1000)*(Irr!BD22)),IF(AND(Irr!H22=".",Irr!AF22&lt;&gt;".",Irr!BD22="."),dir!AH22/((1/1000)*(Irr!AF22)),IF(AND(Irr!H22&lt;&gt;".",Irr!AF22=".",Irr!BD22="."),dir!AH22/((1/1000)*(Irr!H22)),IF(AND(Irr!H22=".",Irr!AF22=".",Irr!BD22="."),dir!AH22*1000)))))))),".")</f>
        <v>6.3066230786371396</v>
      </c>
      <c r="AI22" s="48">
        <f>IFERROR(IF(AND(Irr!I22&lt;&gt;".",Irr!AG22&lt;&gt;".",Irr!BE22&lt;&gt;"."),dir!AI22/((1/1000)*(Irr!I22+Irr!AG22+Irr!BE22)),IF(AND(Irr!I22&lt;&gt;".",Irr!AG22&lt;&gt;".",Irr!BE22="."),dir!AI22/((1/1000)*(Irr!I22+Irr!AG22)),IF(AND(Irr!I22&lt;&gt;".",Irr!AG22=".",Irr!BE22&lt;&gt;"."),dir!AI22/((1/1000)*(Irr!I22+Irr!BE22)),IF(AND(Irr!I22=".",Irr!AG22&lt;&gt;".",Irr!BE22&lt;&gt;"."),dir!AI22/((1/1000)*(Irr!AG22+Irr!BE22)),IF(AND(Irr!I22=".",Irr!AG22=".",Irr!BE22&lt;&gt;"."),dir!AI22/((1/1000)*(Irr!BE22)),IF(AND(Irr!I22=".",Irr!AG22&lt;&gt;".",Irr!BE22="."),dir!AI22/((1/1000)*(Irr!AG22)),IF(AND(Irr!I22&lt;&gt;".",Irr!AG22=".",Irr!BE22="."),dir!AI22/((1/1000)*(Irr!I22)),IF(AND(Irr!I22=".",Irr!AG22=".",Irr!BE22="."),dir!AI22*1000)))))))),".")</f>
        <v>23.212120509890156</v>
      </c>
      <c r="AJ22" s="48">
        <f>IFERROR(IF(AND(Irr!J22&lt;&gt;".",Irr!AH22&lt;&gt;".",Irr!BF22&lt;&gt;"."),dir!AJ22/((1/1000)*(Irr!J22+Irr!AH22+Irr!BF22)),IF(AND(Irr!J22&lt;&gt;".",Irr!AH22&lt;&gt;".",Irr!BF22="."),dir!AJ22/((1/1000)*(Irr!J22+Irr!AH22)),IF(AND(Irr!J22&lt;&gt;".",Irr!AH22=".",Irr!BF22&lt;&gt;"."),dir!AJ22/((1/1000)*(Irr!J22+Irr!BF22)),IF(AND(Irr!J22=".",Irr!AH22&lt;&gt;".",Irr!BF22&lt;&gt;"."),dir!AJ22/((1/1000)*(Irr!AH22+Irr!BF22)),IF(AND(Irr!J22=".",Irr!AH22=".",Irr!BF22&lt;&gt;"."),dir!AJ22/((1/1000)*(Irr!BF22)),IF(AND(Irr!J22=".",Irr!AH22&lt;&gt;".",Irr!BF22="."),dir!AJ22/((1/1000)*(Irr!AH22)),IF(AND(Irr!J22&lt;&gt;".",Irr!AH22=".",Irr!BF22="."),dir!AJ22/((1/1000)*(Irr!J22)),IF(AND(Irr!J22=".",Irr!AH22=".",Irr!BF22="."),dir!AJ22*1000)))))))),".")</f>
        <v>2.7726242340078171</v>
      </c>
      <c r="AK22" s="48">
        <f>IFERROR(IF(AND(Irr!K22&lt;&gt;".",Irr!AI22&lt;&gt;".",Irr!BG22&lt;&gt;"."),dir!AK22/((1/1000)*(Irr!K22+Irr!AI22+Irr!BG22)),IF(AND(Irr!K22&lt;&gt;".",Irr!AI22&lt;&gt;".",Irr!BG22="."),dir!AK22/((1/1000)*(Irr!K22+Irr!AI22)),IF(AND(Irr!K22&lt;&gt;".",Irr!AI22=".",Irr!BG22&lt;&gt;"."),dir!AK22/((1/1000)*(Irr!K22+Irr!BG22)),IF(AND(Irr!K22=".",Irr!AI22&lt;&gt;".",Irr!BG22&lt;&gt;"."),dir!AK22/((1/1000)*(Irr!AI22+Irr!BG22)),IF(AND(Irr!K22=".",Irr!AI22=".",Irr!BG22&lt;&gt;"."),dir!AK22/((1/1000)*(Irr!BG22)),IF(AND(Irr!K22=".",Irr!AI22&lt;&gt;".",Irr!BG22="."),dir!AK22/((1/1000)*(Irr!AI22)),IF(AND(Irr!K22&lt;&gt;".",Irr!AI22=".",Irr!BG22="."),dir!AK22/((1/1000)*(Irr!K22)),IF(AND(Irr!K22=".",Irr!AI22=".",Irr!BG22="."),dir!AK22*1000)))))))),".")</f>
        <v>11.648805817605485</v>
      </c>
      <c r="AL22" s="48">
        <f>IFERROR(IF(AND(Irr!L22&lt;&gt;".",Irr!AJ22&lt;&gt;".",Irr!BH22&lt;&gt;"."),dir!AL22/((1/1000)*(Irr!L22+Irr!AJ22+Irr!BH22)),IF(AND(Irr!L22&lt;&gt;".",Irr!AJ22&lt;&gt;".",Irr!BH22="."),dir!AL22/((1/1000)*(Irr!L22+Irr!AJ22)),IF(AND(Irr!L22&lt;&gt;".",Irr!AJ22=".",Irr!BH22&lt;&gt;"."),dir!AL22/((1/1000)*(Irr!L22+Irr!BH22)),IF(AND(Irr!L22=".",Irr!AJ22&lt;&gt;".",Irr!BH22&lt;&gt;"."),dir!AL22/((1/1000)*(Irr!AJ22+Irr!BH22)),IF(AND(Irr!L22=".",Irr!AJ22=".",Irr!BH22&lt;&gt;"."),dir!AL22/((1/1000)*(Irr!BH22)),IF(AND(Irr!L22=".",Irr!AJ22&lt;&gt;".",Irr!BH22="."),dir!AL22/((1/1000)*(Irr!AJ22)),IF(AND(Irr!L22&lt;&gt;".",Irr!AJ22=".",Irr!BH22="."),dir!AL22/((1/1000)*(Irr!L22)),IF(AND(Irr!L22=".",Irr!AJ22=".",Irr!BH22="."),dir!AL22*1000)))))))),".")</f>
        <v>15.511078227233909</v>
      </c>
      <c r="AM22" s="48">
        <f>IFERROR(IF(AND(Irr!M22&lt;&gt;".",Irr!AK22&lt;&gt;".",Irr!BI22&lt;&gt;"."),dir!AM22/((1/1000)*(Irr!M22+Irr!AK22+Irr!BI22)),IF(AND(Irr!M22&lt;&gt;".",Irr!AK22&lt;&gt;".",Irr!BI22="."),dir!AM22/((1/1000)*(Irr!M22+Irr!AK22)),IF(AND(Irr!M22&lt;&gt;".",Irr!AK22=".",Irr!BI22&lt;&gt;"."),dir!AM22/((1/1000)*(Irr!M22+Irr!BI22)),IF(AND(Irr!M22=".",Irr!AK22&lt;&gt;".",Irr!BI22&lt;&gt;"."),dir!AM22/((1/1000)*(Irr!AK22+Irr!BI22)),IF(AND(Irr!M22=".",Irr!AK22=".",Irr!BI22&lt;&gt;"."),dir!AM22/((1/1000)*(Irr!BI22)),IF(AND(Irr!M22=".",Irr!AK22&lt;&gt;".",Irr!BI22="."),dir!AM22/((1/1000)*(Irr!AK22)),IF(AND(Irr!M22&lt;&gt;".",Irr!AK22=".",Irr!BI22="."),dir!AM22/((1/1000)*(Irr!M22)),IF(AND(Irr!M22=".",Irr!AK22=".",Irr!BI22="."),dir!AM22*1000)))))))),".")</f>
        <v>13.529107509260633</v>
      </c>
      <c r="AN22" s="48">
        <f>IFERROR(IF(AND(Irr!N22&lt;&gt;".",Irr!AL22&lt;&gt;".",Irr!BJ22&lt;&gt;"."),dir!AN22/((1/1000)*(Irr!N22+Irr!AL22+Irr!BJ22)),IF(AND(Irr!N22&lt;&gt;".",Irr!AL22&lt;&gt;".",Irr!BJ22="."),dir!AN22/((1/1000)*(Irr!N22+Irr!AL22)),IF(AND(Irr!N22&lt;&gt;".",Irr!AL22=".",Irr!BJ22&lt;&gt;"."),dir!AN22/((1/1000)*(Irr!N22+Irr!BJ22)),IF(AND(Irr!N22=".",Irr!AL22&lt;&gt;".",Irr!BJ22&lt;&gt;"."),dir!AN22/((1/1000)*(Irr!AL22+Irr!BJ22)),IF(AND(Irr!N22=".",Irr!AL22=".",Irr!BJ22&lt;&gt;"."),dir!AN22/((1/1000)*(Irr!BJ22)),IF(AND(Irr!N22=".",Irr!AL22&lt;&gt;".",Irr!BJ22="."),dir!AN22/((1/1000)*(Irr!AL22)),IF(AND(Irr!N22&lt;&gt;".",Irr!AL22=".",Irr!BJ22="."),dir!AN22/((1/1000)*(Irr!N22)),IF(AND(Irr!N22=".",Irr!AL22=".",Irr!BJ22="."),dir!AN22*1000)))))))),".")</f>
        <v>25.521276468591417</v>
      </c>
      <c r="AO22" s="48">
        <f>IFERROR(IF(AND(Irr!O22&lt;&gt;".",Irr!AM22&lt;&gt;".",Irr!BK22&lt;&gt;"."),dir!AO22/((1/1000)*(Irr!O22+Irr!AM22+Irr!BK22)),IF(AND(Irr!O22&lt;&gt;".",Irr!AM22&lt;&gt;".",Irr!BK22="."),dir!AO22/((1/1000)*(Irr!O22+Irr!AM22)),IF(AND(Irr!O22&lt;&gt;".",Irr!AM22=".",Irr!BK22&lt;&gt;"."),dir!AO22/((1/1000)*(Irr!O22+Irr!BK22)),IF(AND(Irr!O22=".",Irr!AM22&lt;&gt;".",Irr!BK22&lt;&gt;"."),dir!AO22/((1/1000)*(Irr!AM22+Irr!BK22)),IF(AND(Irr!O22=".",Irr!AM22=".",Irr!BK22&lt;&gt;"."),dir!AO22/((1/1000)*(Irr!BK22)),IF(AND(Irr!O22=".",Irr!AM22&lt;&gt;".",Irr!BK22="."),dir!AO22/((1/1000)*(Irr!AM22)),IF(AND(Irr!O22&lt;&gt;".",Irr!AM22=".",Irr!BK22="."),dir!AO22/((1/1000)*(Irr!O22)),IF(AND(Irr!O22=".",Irr!AM22=".",Irr!BK22="."),dir!AO22*1000)))))))),".")</f>
        <v>28.826316944441828</v>
      </c>
      <c r="AP22" s="48">
        <f>IFERROR(IF(AND(Irr!P22&lt;&gt;".",Irr!AN22&lt;&gt;".",Irr!BL22&lt;&gt;"."),dir!AP22/((1/1000)*(Irr!P22+Irr!AN22+Irr!BL22)),IF(AND(Irr!P22&lt;&gt;".",Irr!AN22&lt;&gt;".",Irr!BL22="."),dir!AP22/((1/1000)*(Irr!P22+Irr!AN22)),IF(AND(Irr!P22&lt;&gt;".",Irr!AN22=".",Irr!BL22&lt;&gt;"."),dir!AP22/((1/1000)*(Irr!P22+Irr!BL22)),IF(AND(Irr!P22=".",Irr!AN22&lt;&gt;".",Irr!BL22&lt;&gt;"."),dir!AP22/((1/1000)*(Irr!AN22+Irr!BL22)),IF(AND(Irr!P22=".",Irr!AN22=".",Irr!BL22&lt;&gt;"."),dir!AP22/((1/1000)*(Irr!BL22)),IF(AND(Irr!P22=".",Irr!AN22&lt;&gt;".",Irr!BL22="."),dir!AP22/((1/1000)*(Irr!AN22)),IF(AND(Irr!P22&lt;&gt;".",Irr!AN22=".",Irr!BL22="."),dir!AP22/((1/1000)*(Irr!P22)),IF(AND(Irr!P22=".",Irr!AN22=".",Irr!BL22="."),dir!AP22*1000)))))))),".")</f>
        <v>31.519813535493203</v>
      </c>
      <c r="AQ22" s="48">
        <f>IFERROR(IF(AND(Irr!Q22&lt;&gt;".",Irr!AO22&lt;&gt;".",Irr!BM22&lt;&gt;"."),dir!AQ22/((1/1000)*(Irr!Q22+Irr!AO22+Irr!BM22)),IF(AND(Irr!Q22&lt;&gt;".",Irr!AO22&lt;&gt;".",Irr!BM22="."),dir!AQ22/((1/1000)*(Irr!Q22+Irr!AO22)),IF(AND(Irr!Q22&lt;&gt;".",Irr!AO22=".",Irr!BM22&lt;&gt;"."),dir!AQ22/((1/1000)*(Irr!Q22+Irr!BM22)),IF(AND(Irr!Q22=".",Irr!AO22&lt;&gt;".",Irr!BM22&lt;&gt;"."),dir!AQ22/((1/1000)*(Irr!AO22+Irr!BM22)),IF(AND(Irr!Q22=".",Irr!AO22=".",Irr!BM22&lt;&gt;"."),dir!AQ22/((1/1000)*(Irr!BM22)),IF(AND(Irr!Q22=".",Irr!AO22&lt;&gt;".",Irr!BM22="."),dir!AQ22/((1/1000)*(Irr!AO22)),IF(AND(Irr!Q22&lt;&gt;".",Irr!AO22=".",Irr!BM22="."),dir!AQ22/((1/1000)*(Irr!Q22)),IF(AND(Irr!Q22=".",Irr!AO22=".",Irr!BM22="."),dir!AQ22*1000)))))))),".")</f>
        <v>7.9008365894411119</v>
      </c>
      <c r="AR22" s="48">
        <f>IFERROR(IF(AND(Irr!R22&lt;&gt;".",Irr!AP22&lt;&gt;".",Irr!BN22&lt;&gt;"."),dir!AR22/((1/1000)*(Irr!R22+Irr!AP22+Irr!BN22)),IF(AND(Irr!R22&lt;&gt;".",Irr!AP22&lt;&gt;".",Irr!BN22="."),dir!AR22/((1/1000)*(Irr!R22+Irr!AP22)),IF(AND(Irr!R22&lt;&gt;".",Irr!AP22=".",Irr!BN22&lt;&gt;"."),dir!AR22/((1/1000)*(Irr!R22+Irr!BN22)),IF(AND(Irr!R22=".",Irr!AP22&lt;&gt;".",Irr!BN22&lt;&gt;"."),dir!AR22/((1/1000)*(Irr!AP22+Irr!BN22)),IF(AND(Irr!R22=".",Irr!AP22=".",Irr!BN22&lt;&gt;"."),dir!AR22/((1/1000)*(Irr!BN22)),IF(AND(Irr!R22=".",Irr!AP22&lt;&gt;".",Irr!BN22="."),dir!AR22/((1/1000)*(Irr!AP22)),IF(AND(Irr!R22&lt;&gt;".",Irr!AP22=".",Irr!BN22="."),dir!AR22/((1/1000)*(Irr!R22)),IF(AND(Irr!R22=".",Irr!AP22=".",Irr!BN22="."),dir!AR22*1000)))))))),".")</f>
        <v>12.988930371061295</v>
      </c>
      <c r="AS22" s="48">
        <f>IFERROR(IF(AND(Irr!S22&lt;&gt;".",Irr!AQ22&lt;&gt;".",Irr!BO22&lt;&gt;"."),dir!AS22/((1/1000)*(Irr!S22+Irr!AQ22+Irr!BO22)),IF(AND(Irr!S22&lt;&gt;".",Irr!AQ22&lt;&gt;".",Irr!BO22="."),dir!AS22/((1/1000)*(Irr!S22+Irr!AQ22)),IF(AND(Irr!S22&lt;&gt;".",Irr!AQ22=".",Irr!BO22&lt;&gt;"."),dir!AS22/((1/1000)*(Irr!S22+Irr!BO22)),IF(AND(Irr!S22=".",Irr!AQ22&lt;&gt;".",Irr!BO22&lt;&gt;"."),dir!AS22/((1/1000)*(Irr!AQ22+Irr!BO22)),IF(AND(Irr!S22=".",Irr!AQ22=".",Irr!BO22&lt;&gt;"."),dir!AS22/((1/1000)*(Irr!BO22)),IF(AND(Irr!S22=".",Irr!AQ22&lt;&gt;".",Irr!BO22="."),dir!AS22/((1/1000)*(Irr!AQ22)),IF(AND(Irr!S22&lt;&gt;".",Irr!AQ22=".",Irr!BO22="."),dir!AS22/((1/1000)*(Irr!S22)),IF(AND(Irr!S22=".",Irr!AQ22=".",Irr!BO22="."),dir!AS22*1000)))))))),".")</f>
        <v>25.02277302824475</v>
      </c>
      <c r="AT22" s="48">
        <f>IFERROR(IF(AND(Irr!T22&lt;&gt;".",Irr!AR22&lt;&gt;".",Irr!BP22&lt;&gt;"."),dir!AT22/((1/1000)*(Irr!T22+Irr!AR22+Irr!BP22)),IF(AND(Irr!T22&lt;&gt;".",Irr!AR22&lt;&gt;".",Irr!BP22="."),dir!AT22/((1/1000)*(Irr!T22+Irr!AR22)),IF(AND(Irr!T22&lt;&gt;".",Irr!AR22=".",Irr!BP22&lt;&gt;"."),dir!AT22/((1/1000)*(Irr!T22+Irr!BP22)),IF(AND(Irr!T22=".",Irr!AR22&lt;&gt;".",Irr!BP22&lt;&gt;"."),dir!AT22/((1/1000)*(Irr!AR22+Irr!BP22)),IF(AND(Irr!T22=".",Irr!AR22=".",Irr!BP22&lt;&gt;"."),dir!AT22/((1/1000)*(Irr!BP22)),IF(AND(Irr!T22=".",Irr!AR22&lt;&gt;".",Irr!BP22="."),dir!AT22/((1/1000)*(Irr!AR22)),IF(AND(Irr!T22&lt;&gt;".",Irr!AR22=".",Irr!BP22="."),dir!AT22/((1/1000)*(Irr!T22)),IF(AND(Irr!T22=".",Irr!AR22=".",Irr!BP22="."),dir!AT22*1000)))))))),".")</f>
        <v>6.2147608275790445</v>
      </c>
      <c r="AU22" s="48">
        <f>IFERROR(IF(AND(Irr!U22&lt;&gt;".",Irr!AS22&lt;&gt;".",Irr!BQ22&lt;&gt;"."),dir!AU22/((1/1000)*(Irr!U22+Irr!AS22+Irr!BQ22)),IF(AND(Irr!U22&lt;&gt;".",Irr!AS22&lt;&gt;".",Irr!BQ22="."),dir!AU22/((1/1000)*(Irr!U22+Irr!AS22)),IF(AND(Irr!U22&lt;&gt;".",Irr!AS22=".",Irr!BQ22&lt;&gt;"."),dir!AU22/((1/1000)*(Irr!U22+Irr!BQ22)),IF(AND(Irr!U22=".",Irr!AS22&lt;&gt;".",Irr!BQ22&lt;&gt;"."),dir!AU22/((1/1000)*(Irr!AS22+Irr!BQ22)),IF(AND(Irr!U22=".",Irr!AS22=".",Irr!BQ22&lt;&gt;"."),dir!AU22/((1/1000)*(Irr!BQ22)),IF(AND(Irr!U22=".",Irr!AS22&lt;&gt;".",Irr!BQ22="."),dir!AU22/((1/1000)*(Irr!AS22)),IF(AND(Irr!U22&lt;&gt;".",Irr!AS22=".",Irr!BQ22="."),dir!AU22/((1/1000)*(Irr!U22)),IF(AND(Irr!U22=".",Irr!AS22=".",Irr!BQ22="."),dir!AU22*1000)))))))),".")</f>
        <v>12.334781289142258</v>
      </c>
      <c r="AV22" s="48">
        <f>IFERROR(IF(AND(Irr!V22&lt;&gt;".",Irr!AT22&lt;&gt;".",Irr!BR22&lt;&gt;"."),dir!AV22/((1/1000)*(Irr!V22+Irr!AT22+Irr!BR22)),IF(AND(Irr!V22&lt;&gt;".",Irr!AT22&lt;&gt;".",Irr!BR22="."),dir!AV22/((1/1000)*(Irr!V22+Irr!AT22)),IF(AND(Irr!V22&lt;&gt;".",Irr!AT22=".",Irr!BR22&lt;&gt;"."),dir!AV22/((1/1000)*(Irr!V22+Irr!BR22)),IF(AND(Irr!V22=".",Irr!AT22&lt;&gt;".",Irr!BR22&lt;&gt;"."),dir!AV22/((1/1000)*(Irr!AT22+Irr!BR22)),IF(AND(Irr!V22=".",Irr!AT22=".",Irr!BR22&lt;&gt;"."),dir!AV22/((1/1000)*(Irr!BR22)),IF(AND(Irr!V22=".",Irr!AT22&lt;&gt;".",Irr!BR22="."),dir!AV22/((1/1000)*(Irr!AT22)),IF(AND(Irr!V22&lt;&gt;".",Irr!AT22=".",Irr!BR22="."),dir!AV22/((1/1000)*(Irr!V22)),IF(AND(Irr!V22=".",Irr!AT22=".",Irr!BR22="."),dir!AV22*1000)))))))),".")</f>
        <v>14.957121982623031</v>
      </c>
      <c r="AW22" s="48">
        <f>IFERROR(IF(AND(Irr!W22&lt;&gt;".",Irr!AU22&lt;&gt;".",Irr!BS22&lt;&gt;"."),dir!AW22/((1/1000)*(Irr!W22+Irr!AU22+Irr!BS22)),IF(AND(Irr!W22&lt;&gt;".",Irr!AU22&lt;&gt;".",Irr!BS22="."),dir!AW22/((1/1000)*(Irr!W22+Irr!AU22)),IF(AND(Irr!W22&lt;&gt;".",Irr!AU22=".",Irr!BS22&lt;&gt;"."),dir!AW22/((1/1000)*(Irr!W22+Irr!BS22)),IF(AND(Irr!W22=".",Irr!AU22&lt;&gt;".",Irr!BS22&lt;&gt;"."),dir!AW22/((1/1000)*(Irr!AU22+Irr!BS22)),IF(AND(Irr!W22=".",Irr!AU22=".",Irr!BS22&lt;&gt;"."),dir!AW22/((1/1000)*(Irr!BS22)),IF(AND(Irr!W22=".",Irr!AU22&lt;&gt;".",Irr!BS22="."),dir!AW22/((1/1000)*(Irr!AU22)),IF(AND(Irr!W22&lt;&gt;".",Irr!AU22=".",Irr!BS22="."),dir!AW22/((1/1000)*(Irr!W22)),IF(AND(Irr!W22=".",Irr!AU22=".",Irr!BS22="."),dir!AW22*1000)))))))),".")</f>
        <v>21.208246441729614</v>
      </c>
      <c r="AX22" s="48">
        <f>IFERROR(IF(AND(Irr!X22&lt;&gt;".",Irr!AV22&lt;&gt;".",Irr!BT22&lt;&gt;"."),dir!AX22/((1/1000)*(Irr!X22+Irr!AV22+Irr!BT22)),IF(AND(Irr!X22&lt;&gt;".",Irr!AV22&lt;&gt;".",Irr!BT22="."),dir!AX22/((1/1000)*(Irr!X22+Irr!AV22)),IF(AND(Irr!X22&lt;&gt;".",Irr!AV22=".",Irr!BT22&lt;&gt;"."),dir!AX22/((1/1000)*(Irr!X22+Irr!BT22)),IF(AND(Irr!X22=".",Irr!AV22&lt;&gt;".",Irr!BT22&lt;&gt;"."),dir!AX22/((1/1000)*(Irr!AV22+Irr!BT22)),IF(AND(Irr!X22=".",Irr!AV22=".",Irr!BT22&lt;&gt;"."),dir!AX22/((1/1000)*(Irr!BT22)),IF(AND(Irr!X22=".",Irr!AV22&lt;&gt;".",Irr!BT22="."),dir!AX22/((1/1000)*(Irr!AV22)),IF(AND(Irr!X22&lt;&gt;".",Irr!AV22=".",Irr!BT22="."),dir!AX22/((1/1000)*(Irr!X22)),IF(AND(Irr!X22=".",Irr!AV22=".",Irr!BT22="."),dir!AX22*1000)))))))),".")</f>
        <v>8.8309891423802522</v>
      </c>
      <c r="AY22" s="48">
        <f>IFERROR(IF(AND(Irr!Y22&lt;&gt;".",Irr!AW22&lt;&gt;".",Irr!BU22&lt;&gt;"."),dir!AY22/((1/1000)*(Irr!Y22+Irr!AW22+Irr!BU22)),IF(AND(Irr!Y22&lt;&gt;".",Irr!AW22&lt;&gt;".",Irr!BU22="."),dir!AY22/((1/1000)*(Irr!Y22+Irr!AW22)),IF(AND(Irr!Y22&lt;&gt;".",Irr!AW22=".",Irr!BU22&lt;&gt;"."),dir!AY22/((1/1000)*(Irr!Y22+Irr!BU22)),IF(AND(Irr!Y22=".",Irr!AW22&lt;&gt;".",Irr!BU22&lt;&gt;"."),dir!AY22/((1/1000)*(Irr!AW22+Irr!BU22)),IF(AND(Irr!Y22=".",Irr!AW22=".",Irr!BU22&lt;&gt;"."),dir!AY22/((1/1000)*(Irr!BU22)),IF(AND(Irr!Y22=".",Irr!AW22&lt;&gt;".",Irr!BU22="."),dir!AY22/((1/1000)*(Irr!AW22)),IF(AND(Irr!Y22&lt;&gt;".",Irr!AW22=".",Irr!BU22="."),dir!AY22/((1/1000)*(Irr!Y22)),IF(AND(Irr!Y22=".",Irr!AW22=".",Irr!BU22="."),dir!AY22*1000)))))))),".")</f>
        <v>3.1984157606911134</v>
      </c>
      <c r="AZ22" s="48">
        <f>IFERROR(IF(AND(Irr!Z22&lt;&gt;".",Irr!AX22&lt;&gt;".",Irr!BV22&lt;&gt;"."),dir!AZ22/((1/1000)*(Irr!Z22+Irr!AX22+Irr!BV22)),IF(AND(Irr!Z22&lt;&gt;".",Irr!AX22&lt;&gt;".",Irr!BV22="."),dir!AZ22/((1/1000)*(Irr!Z22+Irr!AX22)),IF(AND(Irr!Z22&lt;&gt;".",Irr!AX22=".",Irr!BV22&lt;&gt;"."),dir!AZ22/((1/1000)*(Irr!Z22+Irr!BV22)),IF(AND(Irr!Z22=".",Irr!AX22&lt;&gt;".",Irr!BV22&lt;&gt;"."),dir!AZ22/((1/1000)*(Irr!AX22+Irr!BV22)),IF(AND(Irr!Z22=".",Irr!AX22=".",Irr!BV22&lt;&gt;"."),dir!AZ22/((1/1000)*(Irr!BV22)),IF(AND(Irr!Z22=".",Irr!AX22&lt;&gt;".",Irr!BV22="."),dir!AZ22/((1/1000)*(Irr!AX22)),IF(AND(Irr!Z22&lt;&gt;".",Irr!AX22=".",Irr!BV22="."),dir!AZ22/((1/1000)*(Irr!Z22)),IF(AND(Irr!Z22=".",Irr!AX22=".",Irr!BV22="."),dir!AZ22*1000)))))))),".")</f>
        <v>2.8941510532832408</v>
      </c>
    </row>
    <row r="23" spans="1:52" x14ac:dyDescent="0.25">
      <c r="A23" s="63" t="s">
        <v>21</v>
      </c>
      <c r="B23" s="49" t="s">
        <v>336</v>
      </c>
      <c r="C23" s="48">
        <f t="shared" si="18"/>
        <v>0.28828831302749125</v>
      </c>
      <c r="D23" s="48">
        <f>IFERROR(IF(AND(Irr!C23&lt;&gt;".",Irr!AA23&lt;&gt;".",Irr!AY23&lt;&gt;"."),dir!D23/((1/1000)*(Irr!C23+Irr!AA23+Irr!AY23)),IF(AND(Irr!C23&lt;&gt;".",Irr!AA23&lt;&gt;".",Irr!AY23="."),dir!D23/((1/1000)*(Irr!C23+Irr!AA23)),IF(AND(Irr!C23&lt;&gt;".",Irr!AA23=".",Irr!AY23&lt;&gt;"."),dir!D23/((1/1000)*(Irr!C23+Irr!AY23)),IF(AND(Irr!C23=".",Irr!AA23&lt;&gt;".",Irr!AY23&lt;&gt;"."),dir!D23/((1/1000)*(Irr!AA23+Irr!AY23)),IF(AND(Irr!C23=".",Irr!AA23=".",Irr!AY23&lt;&gt;"."),dir!D23/((1/1000)*(Irr!AY23)),IF(AND(Irr!C23=".",Irr!AA23&lt;&gt;".",Irr!AY23="."),dir!D23/((1/1000)*(Irr!AA23)),IF(AND(Irr!C23&lt;&gt;".",Irr!AA23=".",Irr!AY23="."),dir!D23/((1/1000)*(Irr!C23)),IF(AND(Irr!C23=".",Irr!AA23=".",Irr!AY23="."),dir!D23*1000)))))))),".")</f>
        <v>5.8014200544390953</v>
      </c>
      <c r="E23" s="48">
        <f>IFERROR(IF(AND(Irr!D23&lt;&gt;".",Irr!AB23&lt;&gt;".",Irr!AZ23&lt;&gt;"."),dir!E23/((1/1000)*(Irr!D23+Irr!AB23+Irr!AZ23)),IF(AND(Irr!D23&lt;&gt;".",Irr!AB23&lt;&gt;".",Irr!AZ23="."),dir!E23/((1/1000)*(Irr!D23+Irr!AB23)),IF(AND(Irr!D23&lt;&gt;".",Irr!AB23=".",Irr!AZ23&lt;&gt;"."),dir!E23/((1/1000)*(Irr!D23+Irr!AZ23)),IF(AND(Irr!D23=".",Irr!AB23&lt;&gt;".",Irr!AZ23&lt;&gt;"."),dir!E23/((1/1000)*(Irr!AB23+Irr!AZ23)),IF(AND(Irr!D23=".",Irr!AB23=".",Irr!AZ23&lt;&gt;"."),dir!E23/((1/1000)*(Irr!AZ23)),IF(AND(Irr!D23=".",Irr!AB23&lt;&gt;".",Irr!AZ23="."),dir!E23/((1/1000)*(Irr!AB23)),IF(AND(Irr!D23&lt;&gt;".",Irr!AB23=".",Irr!AZ23="."),dir!E23/((1/1000)*(Irr!D23)),IF(AND(Irr!D23=".",Irr!AB23=".",Irr!AZ23="."),dir!E23*1000)))))))),".")</f>
        <v>7.4835568514815867</v>
      </c>
      <c r="F23" s="48">
        <f>IFERROR(IF(AND(Irr!E23&lt;&gt;".",Irr!AC23&lt;&gt;".",Irr!BA23&lt;&gt;"."),dir!F23/((1/1000)*(Irr!E23+Irr!AC23+Irr!BA23)),IF(AND(Irr!E23&lt;&gt;".",Irr!AC23&lt;&gt;".",Irr!BA23="."),dir!F23/((1/1000)*(Irr!E23+Irr!AC23)),IF(AND(Irr!E23&lt;&gt;".",Irr!AC23=".",Irr!BA23&lt;&gt;"."),dir!F23/((1/1000)*(Irr!E23+Irr!BA23)),IF(AND(Irr!E23=".",Irr!AC23&lt;&gt;".",Irr!BA23&lt;&gt;"."),dir!F23/((1/1000)*(Irr!AC23+Irr!BA23)),IF(AND(Irr!E23=".",Irr!AC23=".",Irr!BA23&lt;&gt;"."),dir!F23/((1/1000)*(Irr!BA23)),IF(AND(Irr!E23=".",Irr!AC23&lt;&gt;".",Irr!BA23="."),dir!F23/((1/1000)*(Irr!AC23)),IF(AND(Irr!E23&lt;&gt;".",Irr!AC23=".",Irr!BA23="."),dir!F23/((1/1000)*(Irr!E23)),IF(AND(Irr!E23=".",Irr!AC23=".",Irr!BA23="."),dir!F23*1000)))))))),".")</f>
        <v>10.266472556037495</v>
      </c>
      <c r="G23" s="48">
        <f>IFERROR(IF(AND(Irr!F23&lt;&gt;".",Irr!AD23&lt;&gt;".",Irr!BB23&lt;&gt;"."),dir!G23/((1/1000)*(Irr!F23+Irr!AD23+Irr!BB23)),IF(AND(Irr!F23&lt;&gt;".",Irr!AD23&lt;&gt;".",Irr!BB23="."),dir!G23/((1/1000)*(Irr!F23+Irr!AD23)),IF(AND(Irr!F23&lt;&gt;".",Irr!AD23=".",Irr!BB23&lt;&gt;"."),dir!G23/((1/1000)*(Irr!F23+Irr!BB23)),IF(AND(Irr!F23=".",Irr!AD23&lt;&gt;".",Irr!BB23&lt;&gt;"."),dir!G23/((1/1000)*(Irr!AD23+Irr!BB23)),IF(AND(Irr!F23=".",Irr!AD23=".",Irr!BB23&lt;&gt;"."),dir!G23/((1/1000)*(Irr!BB23)),IF(AND(Irr!F23=".",Irr!AD23&lt;&gt;".",Irr!BB23="."),dir!G23/((1/1000)*(Irr!AD23)),IF(AND(Irr!F23&lt;&gt;".",Irr!AD23=".",Irr!BB23="."),dir!G23/((1/1000)*(Irr!F23)),IF(AND(Irr!F23=".",Irr!AD23=".",Irr!BB23="."),dir!G23*1000)))))))),".")</f>
        <v>12.991616019017128</v>
      </c>
      <c r="H23" s="48">
        <f>IFERROR(IF(AND(Irr!G23&lt;&gt;".",Irr!AE23&lt;&gt;".",Irr!BC23&lt;&gt;"."),dir!H23/((1/1000)*(Irr!G23+Irr!AE23+Irr!BC23)),IF(AND(Irr!G23&lt;&gt;".",Irr!AE23&lt;&gt;".",Irr!BC23="."),dir!H23/((1/1000)*(Irr!G23+Irr!AE23)),IF(AND(Irr!G23&lt;&gt;".",Irr!AE23=".",Irr!BC23&lt;&gt;"."),dir!H23/((1/1000)*(Irr!G23+Irr!BC23)),IF(AND(Irr!G23=".",Irr!AE23&lt;&gt;".",Irr!BC23&lt;&gt;"."),dir!H23/((1/1000)*(Irr!AE23+Irr!BC23)),IF(AND(Irr!G23=".",Irr!AE23=".",Irr!BC23&lt;&gt;"."),dir!H23/((1/1000)*(Irr!BC23)),IF(AND(Irr!G23=".",Irr!AE23&lt;&gt;".",Irr!BC23="."),dir!H23/((1/1000)*(Irr!AE23)),IF(AND(Irr!G23&lt;&gt;".",Irr!AE23=".",Irr!BC23="."),dir!H23/((1/1000)*(Irr!G23)),IF(AND(Irr!G23=".",Irr!AE23=".",Irr!BC23="."),dir!H23*1000)))))))),".")</f>
        <v>14.381891521736513</v>
      </c>
      <c r="I23" s="48">
        <f>IFERROR(IF(AND(Irr!H23&lt;&gt;".",Irr!AF23&lt;&gt;".",Irr!BD23&lt;&gt;"."),dir!I23/((1/1000)*(Irr!H23+Irr!AF23+Irr!BD23)),IF(AND(Irr!H23&lt;&gt;".",Irr!AF23&lt;&gt;".",Irr!BD23="."),dir!I23/((1/1000)*(Irr!H23+Irr!AF23)),IF(AND(Irr!H23&lt;&gt;".",Irr!AF23=".",Irr!BD23&lt;&gt;"."),dir!I23/((1/1000)*(Irr!H23+Irr!BD23)),IF(AND(Irr!H23=".",Irr!AF23&lt;&gt;".",Irr!BD23&lt;&gt;"."),dir!I23/((1/1000)*(Irr!AF23+Irr!BD23)),IF(AND(Irr!H23=".",Irr!AF23=".",Irr!BD23&lt;&gt;"."),dir!I23/((1/1000)*(Irr!BD23)),IF(AND(Irr!H23=".",Irr!AF23&lt;&gt;".",Irr!BD23="."),dir!I23/((1/1000)*(Irr!AF23)),IF(AND(Irr!H23&lt;&gt;".",Irr!AF23=".",Irr!BD23="."),dir!I23/((1/1000)*(Irr!H23)),IF(AND(Irr!H23=".",Irr!AF23=".",Irr!BD23="."),dir!I23*1000)))))))),".")</f>
        <v>3.3504358330537576</v>
      </c>
      <c r="J23" s="48">
        <f>IFERROR(IF(AND(Irr!I23&lt;&gt;".",Irr!AG23&lt;&gt;".",Irr!BE23&lt;&gt;"."),dir!J23/((1/1000)*(Irr!I23+Irr!AG23+Irr!BE23)),IF(AND(Irr!I23&lt;&gt;".",Irr!AG23&lt;&gt;".",Irr!BE23="."),dir!J23/((1/1000)*(Irr!I23+Irr!AG23)),IF(AND(Irr!I23&lt;&gt;".",Irr!AG23=".",Irr!BE23&lt;&gt;"."),dir!J23/((1/1000)*(Irr!I23+Irr!BE23)),IF(AND(Irr!I23=".",Irr!AG23&lt;&gt;".",Irr!BE23&lt;&gt;"."),dir!J23/((1/1000)*(Irr!AG23+Irr!BE23)),IF(AND(Irr!I23=".",Irr!AG23=".",Irr!BE23&lt;&gt;"."),dir!J23/((1/1000)*(Irr!BE23)),IF(AND(Irr!I23=".",Irr!AG23&lt;&gt;".",Irr!BE23="."),dir!J23/((1/1000)*(Irr!AG23)),IF(AND(Irr!I23&lt;&gt;".",Irr!AG23=".",Irr!BE23="."),dir!J23/((1/1000)*(Irr!I23)),IF(AND(Irr!I23=".",Irr!AG23=".",Irr!BE23="."),dir!J23*1000)))))))),".")</f>
        <v>11.340839216033954</v>
      </c>
      <c r="K23" s="48">
        <f>IFERROR(IF(AND(Irr!J23&lt;&gt;".",Irr!AH23&lt;&gt;".",Irr!BF23&lt;&gt;"."),dir!K23/((1/1000)*(Irr!J23+Irr!AH23+Irr!BF23)),IF(AND(Irr!J23&lt;&gt;".",Irr!AH23&lt;&gt;".",Irr!BF23="."),dir!K23/((1/1000)*(Irr!J23+Irr!AH23)),IF(AND(Irr!J23&lt;&gt;".",Irr!AH23=".",Irr!BF23&lt;&gt;"."),dir!K23/((1/1000)*(Irr!J23+Irr!BF23)),IF(AND(Irr!J23=".",Irr!AH23&lt;&gt;".",Irr!BF23&lt;&gt;"."),dir!K23/((1/1000)*(Irr!AH23+Irr!BF23)),IF(AND(Irr!J23=".",Irr!AH23=".",Irr!BF23&lt;&gt;"."),dir!K23/((1/1000)*(Irr!BF23)),IF(AND(Irr!J23=".",Irr!AH23&lt;&gt;".",Irr!BF23="."),dir!K23/((1/1000)*(Irr!AH23)),IF(AND(Irr!J23&lt;&gt;".",Irr!AH23=".",Irr!BF23="."),dir!K23/((1/1000)*(Irr!J23)),IF(AND(Irr!J23=".",Irr!AH23=".",Irr!BF23="."),dir!K23*1000)))))))),".")</f>
        <v>1.5044296425128143</v>
      </c>
      <c r="L23" s="48">
        <f>IFERROR(IF(AND(Irr!K23&lt;&gt;".",Irr!AI23&lt;&gt;".",Irr!BG23&lt;&gt;"."),dir!L23/((1/1000)*(Irr!K23+Irr!AI23+Irr!BG23)),IF(AND(Irr!K23&lt;&gt;".",Irr!AI23&lt;&gt;".",Irr!BG23="."),dir!L23/((1/1000)*(Irr!K23+Irr!AI23)),IF(AND(Irr!K23&lt;&gt;".",Irr!AI23=".",Irr!BG23&lt;&gt;"."),dir!L23/((1/1000)*(Irr!K23+Irr!BG23)),IF(AND(Irr!K23=".",Irr!AI23&lt;&gt;".",Irr!BG23&lt;&gt;"."),dir!L23/((1/1000)*(Irr!AI23+Irr!BG23)),IF(AND(Irr!K23=".",Irr!AI23=".",Irr!BG23&lt;&gt;"."),dir!L23/((1/1000)*(Irr!BG23)),IF(AND(Irr!K23=".",Irr!AI23&lt;&gt;".",Irr!BG23="."),dir!L23/((1/1000)*(Irr!AI23)),IF(AND(Irr!K23&lt;&gt;".",Irr!AI23=".",Irr!BG23="."),dir!L23/((1/1000)*(Irr!K23)),IF(AND(Irr!K23=".",Irr!AI23=".",Irr!BG23="."),dir!L23*1000)))))))),".")</f>
        <v>8.8624182301455097</v>
      </c>
      <c r="M23" s="48">
        <f>IFERROR(IF(AND(Irr!L23&lt;&gt;".",Irr!AJ23&lt;&gt;".",Irr!BH23&lt;&gt;"."),dir!M23/((1/1000)*(Irr!L23+Irr!AJ23+Irr!BH23)),IF(AND(Irr!L23&lt;&gt;".",Irr!AJ23&lt;&gt;".",Irr!BH23="."),dir!M23/((1/1000)*(Irr!L23+Irr!AJ23)),IF(AND(Irr!L23&lt;&gt;".",Irr!AJ23=".",Irr!BH23&lt;&gt;"."),dir!M23/((1/1000)*(Irr!L23+Irr!BH23)),IF(AND(Irr!L23=".",Irr!AJ23&lt;&gt;".",Irr!BH23&lt;&gt;"."),dir!M23/((1/1000)*(Irr!AJ23+Irr!BH23)),IF(AND(Irr!L23=".",Irr!AJ23=".",Irr!BH23&lt;&gt;"."),dir!M23/((1/1000)*(Irr!BH23)),IF(AND(Irr!L23=".",Irr!AJ23&lt;&gt;".",Irr!BH23="."),dir!M23/((1/1000)*(Irr!AJ23)),IF(AND(Irr!L23&lt;&gt;".",Irr!AJ23=".",Irr!BH23="."),dir!M23/((1/1000)*(Irr!L23)),IF(AND(Irr!L23=".",Irr!AJ23=".",Irr!BH23="."),dir!M23*1000)))))))),".")</f>
        <v>5.7864910350431762</v>
      </c>
      <c r="N23" s="48">
        <f>IFERROR(IF(AND(Irr!M23&lt;&gt;".",Irr!AK23&lt;&gt;".",Irr!BI23&lt;&gt;"."),dir!N23/((1/1000)*(Irr!M23+Irr!AK23+Irr!BI23)),IF(AND(Irr!M23&lt;&gt;".",Irr!AK23&lt;&gt;".",Irr!BI23="."),dir!N23/((1/1000)*(Irr!M23+Irr!AK23)),IF(AND(Irr!M23&lt;&gt;".",Irr!AK23=".",Irr!BI23&lt;&gt;"."),dir!N23/((1/1000)*(Irr!M23+Irr!BI23)),IF(AND(Irr!M23=".",Irr!AK23&lt;&gt;".",Irr!BI23&lt;&gt;"."),dir!N23/((1/1000)*(Irr!AK23+Irr!BI23)),IF(AND(Irr!M23=".",Irr!AK23=".",Irr!BI23&lt;&gt;"."),dir!N23/((1/1000)*(Irr!BI23)),IF(AND(Irr!M23=".",Irr!AK23&lt;&gt;".",Irr!BI23="."),dir!N23/((1/1000)*(Irr!AK23)),IF(AND(Irr!M23&lt;&gt;".",Irr!AK23=".",Irr!BI23="."),dir!N23/((1/1000)*(Irr!M23)),IF(AND(Irr!M23=".",Irr!AK23=".",Irr!BI23="."),dir!N23*1000)))))))),".")</f>
        <v>7.7425621594352227</v>
      </c>
      <c r="O23" s="48">
        <f>IFERROR(IF(AND(Irr!N23&lt;&gt;".",Irr!AL23&lt;&gt;".",Irr!BJ23&lt;&gt;"."),dir!O23/((1/1000)*(Irr!N23+Irr!AL23+Irr!BJ23)),IF(AND(Irr!N23&lt;&gt;".",Irr!AL23&lt;&gt;".",Irr!BJ23="."),dir!O23/((1/1000)*(Irr!N23+Irr!AL23)),IF(AND(Irr!N23&lt;&gt;".",Irr!AL23=".",Irr!BJ23&lt;&gt;"."),dir!O23/((1/1000)*(Irr!N23+Irr!BJ23)),IF(AND(Irr!N23=".",Irr!AL23&lt;&gt;".",Irr!BJ23&lt;&gt;"."),dir!O23/((1/1000)*(Irr!AL23+Irr!BJ23)),IF(AND(Irr!N23=".",Irr!AL23=".",Irr!BJ23&lt;&gt;"."),dir!O23/((1/1000)*(Irr!BJ23)),IF(AND(Irr!N23=".",Irr!AL23&lt;&gt;".",Irr!BJ23="."),dir!O23/((1/1000)*(Irr!AL23)),IF(AND(Irr!N23&lt;&gt;".",Irr!AL23=".",Irr!BJ23="."),dir!O23/((1/1000)*(Irr!N23)),IF(AND(Irr!N23=".",Irr!AL23=".",Irr!BJ23="."),dir!O23*1000)))))))),".")</f>
        <v>14.472597819933526</v>
      </c>
      <c r="P23" s="48">
        <f>IFERROR(IF(AND(Irr!O23&lt;&gt;".",Irr!AM23&lt;&gt;".",Irr!BK23&lt;&gt;"."),dir!P23/((1/1000)*(Irr!O23+Irr!AM23+Irr!BK23)),IF(AND(Irr!O23&lt;&gt;".",Irr!AM23&lt;&gt;".",Irr!BK23="."),dir!P23/((1/1000)*(Irr!O23+Irr!AM23)),IF(AND(Irr!O23&lt;&gt;".",Irr!AM23=".",Irr!BK23&lt;&gt;"."),dir!P23/((1/1000)*(Irr!O23+Irr!BK23)),IF(AND(Irr!O23=".",Irr!AM23&lt;&gt;".",Irr!BK23&lt;&gt;"."),dir!P23/((1/1000)*(Irr!AM23+Irr!BK23)),IF(AND(Irr!O23=".",Irr!AM23=".",Irr!BK23&lt;&gt;"."),dir!P23/((1/1000)*(Irr!BK23)),IF(AND(Irr!O23=".",Irr!AM23&lt;&gt;".",Irr!BK23="."),dir!P23/((1/1000)*(Irr!AM23)),IF(AND(Irr!O23&lt;&gt;".",Irr!AM23=".",Irr!BK23="."),dir!P23/((1/1000)*(Irr!O23)),IF(AND(Irr!O23=".",Irr!AM23=".",Irr!BK23="."),dir!P23*1000)))))))),".")</f>
        <v>16.377688269015248</v>
      </c>
      <c r="Q23" s="48">
        <f>IFERROR(IF(AND(Irr!P23&lt;&gt;".",Irr!AN23&lt;&gt;".",Irr!BL23&lt;&gt;"."),dir!Q23/((1/1000)*(Irr!P23+Irr!AN23+Irr!BL23)),IF(AND(Irr!P23&lt;&gt;".",Irr!AN23&lt;&gt;".",Irr!BL23="."),dir!Q23/((1/1000)*(Irr!P23+Irr!AN23)),IF(AND(Irr!P23&lt;&gt;".",Irr!AN23=".",Irr!BL23&lt;&gt;"."),dir!Q23/((1/1000)*(Irr!P23+Irr!BL23)),IF(AND(Irr!P23=".",Irr!AN23&lt;&gt;".",Irr!BL23&lt;&gt;"."),dir!Q23/((1/1000)*(Irr!AN23+Irr!BL23)),IF(AND(Irr!P23=".",Irr!AN23=".",Irr!BL23&lt;&gt;"."),dir!Q23/((1/1000)*(Irr!BL23)),IF(AND(Irr!P23=".",Irr!AN23&lt;&gt;".",Irr!BL23="."),dir!Q23/((1/1000)*(Irr!AN23)),IF(AND(Irr!P23&lt;&gt;".",Irr!AN23=".",Irr!BL23="."),dir!Q23/((1/1000)*(Irr!P23)),IF(AND(Irr!P23=".",Irr!AN23=".",Irr!BL23="."),dir!Q23*1000)))))))),".")</f>
        <v>22.116661311032495</v>
      </c>
      <c r="R23" s="48">
        <f>IFERROR(IF(AND(Irr!Q23&lt;&gt;".",Irr!AO23&lt;&gt;".",Irr!BM23&lt;&gt;"."),dir!R23/((1/1000)*(Irr!Q23+Irr!AO23+Irr!BM23)),IF(AND(Irr!Q23&lt;&gt;".",Irr!AO23&lt;&gt;".",Irr!BM23="."),dir!R23/((1/1000)*(Irr!Q23+Irr!AO23)),IF(AND(Irr!Q23&lt;&gt;".",Irr!AO23=".",Irr!BM23&lt;&gt;"."),dir!R23/((1/1000)*(Irr!Q23+Irr!BM23)),IF(AND(Irr!Q23=".",Irr!AO23&lt;&gt;".",Irr!BM23&lt;&gt;"."),dir!R23/((1/1000)*(Irr!AO23+Irr!BM23)),IF(AND(Irr!Q23=".",Irr!AO23=".",Irr!BM23&lt;&gt;"."),dir!R23/((1/1000)*(Irr!BM23)),IF(AND(Irr!Q23=".",Irr!AO23&lt;&gt;".",Irr!BM23="."),dir!R23/((1/1000)*(Irr!AO23)),IF(AND(Irr!Q23&lt;&gt;".",Irr!AO23=".",Irr!BM23="."),dir!R23/((1/1000)*(Irr!Q23)),IF(AND(Irr!Q23=".",Irr!AO23=".",Irr!BM23="."),dir!R23*1000)))))))),".")</f>
        <v>3.7102034605838137</v>
      </c>
      <c r="S23" s="48">
        <f>IFERROR(IF(AND(Irr!R23&lt;&gt;".",Irr!AP23&lt;&gt;".",Irr!BN23&lt;&gt;"."),dir!S23/((1/1000)*(Irr!R23+Irr!AP23+Irr!BN23)),IF(AND(Irr!R23&lt;&gt;".",Irr!AP23&lt;&gt;".",Irr!BN23="."),dir!S23/((1/1000)*(Irr!R23+Irr!AP23)),IF(AND(Irr!R23&lt;&gt;".",Irr!AP23=".",Irr!BN23&lt;&gt;"."),dir!S23/((1/1000)*(Irr!R23+Irr!BN23)),IF(AND(Irr!R23=".",Irr!AP23&lt;&gt;".",Irr!BN23&lt;&gt;"."),dir!S23/((1/1000)*(Irr!AP23+Irr!BN23)),IF(AND(Irr!R23=".",Irr!AP23=".",Irr!BN23&lt;&gt;"."),dir!S23/((1/1000)*(Irr!BN23)),IF(AND(Irr!R23=".",Irr!AP23&lt;&gt;".",Irr!BN23="."),dir!S23/((1/1000)*(Irr!AP23)),IF(AND(Irr!R23&lt;&gt;".",Irr!AP23=".",Irr!BN23="."),dir!S23/((1/1000)*(Irr!R23)),IF(AND(Irr!R23=".",Irr!AP23=".",Irr!BN23="."),dir!S23*1000)))))))),".")</f>
        <v>7.6949798946437848</v>
      </c>
      <c r="T23" s="48">
        <f>IFERROR(IF(AND(Irr!S23&lt;&gt;".",Irr!AQ23&lt;&gt;".",Irr!BO23&lt;&gt;"."),dir!T23/((1/1000)*(Irr!S23+Irr!AQ23+Irr!BO23)),IF(AND(Irr!S23&lt;&gt;".",Irr!AQ23&lt;&gt;".",Irr!BO23="."),dir!T23/((1/1000)*(Irr!S23+Irr!AQ23)),IF(AND(Irr!S23&lt;&gt;".",Irr!AQ23=".",Irr!BO23&lt;&gt;"."),dir!T23/((1/1000)*(Irr!S23+Irr!BO23)),IF(AND(Irr!S23=".",Irr!AQ23&lt;&gt;".",Irr!BO23&lt;&gt;"."),dir!T23/((1/1000)*(Irr!AQ23+Irr!BO23)),IF(AND(Irr!S23=".",Irr!AQ23=".",Irr!BO23&lt;&gt;"."),dir!T23/((1/1000)*(Irr!BO23)),IF(AND(Irr!S23=".",Irr!AQ23&lt;&gt;".",Irr!BO23="."),dir!T23/((1/1000)*(Irr!AQ23)),IF(AND(Irr!S23&lt;&gt;".",Irr!AQ23=".",Irr!BO23="."),dir!T23/((1/1000)*(Irr!S23)),IF(AND(Irr!S23=".",Irr!AQ23=".",Irr!BO23="."),dir!T23*1000)))))))),".")</f>
        <v>11.859702442554118</v>
      </c>
      <c r="U23" s="48">
        <f>IFERROR(IF(AND(Irr!T23&lt;&gt;".",Irr!AR23&lt;&gt;".",Irr!BP23&lt;&gt;"."),dir!U23/((1/1000)*(Irr!T23+Irr!AR23+Irr!BP23)),IF(AND(Irr!T23&lt;&gt;".",Irr!AR23&lt;&gt;".",Irr!BP23="."),dir!U23/((1/1000)*(Irr!T23+Irr!AR23)),IF(AND(Irr!T23&lt;&gt;".",Irr!AR23=".",Irr!BP23&lt;&gt;"."),dir!U23/((1/1000)*(Irr!T23+Irr!BP23)),IF(AND(Irr!T23=".",Irr!AR23&lt;&gt;".",Irr!BP23&lt;&gt;"."),dir!U23/((1/1000)*(Irr!AR23+Irr!BP23)),IF(AND(Irr!T23=".",Irr!AR23=".",Irr!BP23&lt;&gt;"."),dir!U23/((1/1000)*(Irr!BP23)),IF(AND(Irr!T23=".",Irr!AR23&lt;&gt;".",Irr!BP23="."),dir!U23/((1/1000)*(Irr!AR23)),IF(AND(Irr!T23&lt;&gt;".",Irr!AR23=".",Irr!BP23="."),dir!U23/((1/1000)*(Irr!T23)),IF(AND(Irr!T23=".",Irr!AR23=".",Irr!BP23="."),dir!U23*1000)))))))),".")</f>
        <v>3.822520376259483</v>
      </c>
      <c r="V23" s="48">
        <f>IFERROR(IF(AND(Irr!U23&lt;&gt;".",Irr!AS23&lt;&gt;".",Irr!BQ23&lt;&gt;"."),dir!V23/((1/1000)*(Irr!U23+Irr!AS23+Irr!BQ23)),IF(AND(Irr!U23&lt;&gt;".",Irr!AS23&lt;&gt;".",Irr!BQ23="."),dir!V23/((1/1000)*(Irr!U23+Irr!AS23)),IF(AND(Irr!U23&lt;&gt;".",Irr!AS23=".",Irr!BQ23&lt;&gt;"."),dir!V23/((1/1000)*(Irr!U23+Irr!BQ23)),IF(AND(Irr!U23=".",Irr!AS23&lt;&gt;".",Irr!BQ23&lt;&gt;"."),dir!V23/((1/1000)*(Irr!AS23+Irr!BQ23)),IF(AND(Irr!U23=".",Irr!AS23=".",Irr!BQ23&lt;&gt;"."),dir!V23/((1/1000)*(Irr!BQ23)),IF(AND(Irr!U23=".",Irr!AS23&lt;&gt;".",Irr!BQ23="."),dir!V23/((1/1000)*(Irr!AS23)),IF(AND(Irr!U23&lt;&gt;".",Irr!AS23=".",Irr!BQ23="."),dir!V23/((1/1000)*(Irr!U23)),IF(AND(Irr!U23=".",Irr!AS23=".",Irr!BQ23="."),dir!V23*1000)))))))),".")</f>
        <v>6.6490627800491229</v>
      </c>
      <c r="W23" s="48">
        <f>IFERROR(IF(AND(Irr!V23&lt;&gt;".",Irr!AT23&lt;&gt;".",Irr!BR23&lt;&gt;"."),dir!W23/((1/1000)*(Irr!V23+Irr!AT23+Irr!BR23)),IF(AND(Irr!V23&lt;&gt;".",Irr!AT23&lt;&gt;".",Irr!BR23="."),dir!W23/((1/1000)*(Irr!V23+Irr!AT23)),IF(AND(Irr!V23&lt;&gt;".",Irr!AT23=".",Irr!BR23&lt;&gt;"."),dir!W23/((1/1000)*(Irr!V23+Irr!BR23)),IF(AND(Irr!V23=".",Irr!AT23&lt;&gt;".",Irr!BR23&lt;&gt;"."),dir!W23/((1/1000)*(Irr!AT23+Irr!BR23)),IF(AND(Irr!V23=".",Irr!AT23=".",Irr!BR23&lt;&gt;"."),dir!W23/((1/1000)*(Irr!BR23)),IF(AND(Irr!V23=".",Irr!AT23&lt;&gt;".",Irr!BR23="."),dir!W23/((1/1000)*(Irr!AT23)),IF(AND(Irr!V23&lt;&gt;".",Irr!AT23=".",Irr!BR23="."),dir!W23/((1/1000)*(Irr!V23)),IF(AND(Irr!V23=".",Irr!AT23=".",Irr!BR23="."),dir!W23*1000)))))))),".")</f>
        <v>8.2551111511704516</v>
      </c>
      <c r="X23" s="48">
        <f>IFERROR(IF(AND(Irr!W23&lt;&gt;".",Irr!AU23&lt;&gt;".",Irr!BS23&lt;&gt;"."),dir!X23/((1/1000)*(Irr!W23+Irr!AU23+Irr!BS23)),IF(AND(Irr!W23&lt;&gt;".",Irr!AU23&lt;&gt;".",Irr!BS23="."),dir!X23/((1/1000)*(Irr!W23+Irr!AU23)),IF(AND(Irr!W23&lt;&gt;".",Irr!AU23=".",Irr!BS23&lt;&gt;"."),dir!X23/((1/1000)*(Irr!W23+Irr!BS23)),IF(AND(Irr!W23=".",Irr!AU23&lt;&gt;".",Irr!BS23&lt;&gt;"."),dir!X23/((1/1000)*(Irr!AU23+Irr!BS23)),IF(AND(Irr!W23=".",Irr!AU23=".",Irr!BS23&lt;&gt;"."),dir!X23/((1/1000)*(Irr!BS23)),IF(AND(Irr!W23=".",Irr!AU23&lt;&gt;".",Irr!BS23="."),dir!X23/((1/1000)*(Irr!AU23)),IF(AND(Irr!W23&lt;&gt;".",Irr!AU23=".",Irr!BS23="."),dir!X23/((1/1000)*(Irr!W23)),IF(AND(Irr!W23=".",Irr!AU23=".",Irr!BS23="."),dir!X23*1000)))))))),".")</f>
        <v>11.508680321815433</v>
      </c>
      <c r="Y23" s="48">
        <f>IFERROR(IF(AND(Irr!X23&lt;&gt;".",Irr!AV23&lt;&gt;".",Irr!BT23&lt;&gt;"."),dir!Y23/((1/1000)*(Irr!X23+Irr!AV23+Irr!BT23)),IF(AND(Irr!X23&lt;&gt;".",Irr!AV23&lt;&gt;".",Irr!BT23="."),dir!Y23/((1/1000)*(Irr!X23+Irr!AV23)),IF(AND(Irr!X23&lt;&gt;".",Irr!AV23=".",Irr!BT23&lt;&gt;"."),dir!Y23/((1/1000)*(Irr!X23+Irr!BT23)),IF(AND(Irr!X23=".",Irr!AV23&lt;&gt;".",Irr!BT23&lt;&gt;"."),dir!Y23/((1/1000)*(Irr!AV23+Irr!BT23)),IF(AND(Irr!X23=".",Irr!AV23=".",Irr!BT23&lt;&gt;"."),dir!Y23/((1/1000)*(Irr!BT23)),IF(AND(Irr!X23=".",Irr!AV23&lt;&gt;".",Irr!BT23="."),dir!Y23/((1/1000)*(Irr!AV23)),IF(AND(Irr!X23&lt;&gt;".",Irr!AV23=".",Irr!BT23="."),dir!Y23/((1/1000)*(Irr!X23)),IF(AND(Irr!X23=".",Irr!AV23=".",Irr!BT23="."),dir!Y23*1000)))))))),".")</f>
        <v>5.7642942702464204</v>
      </c>
      <c r="Z23" s="48">
        <f>IFERROR(IF(AND(Irr!Y23&lt;&gt;".",Irr!AW23&lt;&gt;".",Irr!BU23&lt;&gt;"."),dir!Z23/((1/1000)*(Irr!Y23+Irr!AW23+Irr!BU23)),IF(AND(Irr!Y23&lt;&gt;".",Irr!AW23&lt;&gt;".",Irr!BU23="."),dir!Z23/((1/1000)*(Irr!Y23+Irr!AW23)),IF(AND(Irr!Y23&lt;&gt;".",Irr!AW23=".",Irr!BU23&lt;&gt;"."),dir!Z23/((1/1000)*(Irr!Y23+Irr!BU23)),IF(AND(Irr!Y23=".",Irr!AW23&lt;&gt;".",Irr!BU23&lt;&gt;"."),dir!Z23/((1/1000)*(Irr!AW23+Irr!BU23)),IF(AND(Irr!Y23=".",Irr!AW23=".",Irr!BU23&lt;&gt;"."),dir!Z23/((1/1000)*(Irr!BU23)),IF(AND(Irr!Y23=".",Irr!AW23&lt;&gt;".",Irr!BU23="."),dir!Z23/((1/1000)*(Irr!AW23)),IF(AND(Irr!Y23&lt;&gt;".",Irr!AW23=".",Irr!BU23="."),dir!Z23/((1/1000)*(Irr!Y23)),IF(AND(Irr!Y23=".",Irr!AW23=".",Irr!BU23="."),dir!Z23*1000)))))))),".")</f>
        <v>2.1461244833198396</v>
      </c>
      <c r="AA23" s="48">
        <f>IFERROR(IF(AND(Irr!Z23&lt;&gt;".",Irr!AX23&lt;&gt;".",Irr!BV23&lt;&gt;"."),dir!AA23/((1/1000)*(Irr!Z23+Irr!AX23+Irr!BV23)),IF(AND(Irr!Z23&lt;&gt;".",Irr!AX23&lt;&gt;".",Irr!BV23="."),dir!AA23/((1/1000)*(Irr!Z23+Irr!AX23)),IF(AND(Irr!Z23&lt;&gt;".",Irr!AX23=".",Irr!BV23&lt;&gt;"."),dir!AA23/((1/1000)*(Irr!Z23+Irr!BV23)),IF(AND(Irr!Z23=".",Irr!AX23&lt;&gt;".",Irr!BV23&lt;&gt;"."),dir!AA23/((1/1000)*(Irr!AX23+Irr!BV23)),IF(AND(Irr!Z23=".",Irr!AX23=".",Irr!BV23&lt;&gt;"."),dir!AA23/((1/1000)*(Irr!BV23)),IF(AND(Irr!Z23=".",Irr!AX23&lt;&gt;".",Irr!BV23="."),dir!AA23/((1/1000)*(Irr!AX23)),IF(AND(Irr!Z23&lt;&gt;".",Irr!AX23=".",Irr!BV23="."),dir!AA23/((1/1000)*(Irr!Z23)),IF(AND(Irr!Z23=".",Irr!AX23=".",Irr!BV23="."),dir!AA23*1000)))))))),".")</f>
        <v>1.5891881682822515</v>
      </c>
      <c r="AB23" s="48">
        <f t="shared" si="19"/>
        <v>0.273087471945621</v>
      </c>
      <c r="AC23" s="48">
        <f>IFERROR(IF(AND(Irr!C23&lt;&gt;".",Irr!AA23&lt;&gt;".",Irr!AY23&lt;&gt;"."),dir!AC23/((1/1000)*(Irr!C23+Irr!AA23+Irr!AY23)),IF(AND(Irr!C23&lt;&gt;".",Irr!AA23&lt;&gt;".",Irr!AY23="."),dir!AC23/((1/1000)*(Irr!C23+Irr!AA23)),IF(AND(Irr!C23&lt;&gt;".",Irr!AA23=".",Irr!AY23&lt;&gt;"."),dir!AC23/((1/1000)*(Irr!C23+Irr!AY23)),IF(AND(Irr!C23=".",Irr!AA23&lt;&gt;".",Irr!AY23&lt;&gt;"."),dir!AC23/((1/1000)*(Irr!AA23+Irr!AY23)),IF(AND(Irr!C23=".",Irr!AA23=".",Irr!AY23&lt;&gt;"."),dir!AC23/((1/1000)*(Irr!AY23)),IF(AND(Irr!C23=".",Irr!AA23&lt;&gt;".",Irr!AY23="."),dir!AC23/((1/1000)*(Irr!AA23)),IF(AND(Irr!C23&lt;&gt;".",Irr!AA23=".",Irr!AY23="."),dir!AC23/((1/1000)*(Irr!C23)),IF(AND(Irr!C23=".",Irr!AA23=".",Irr!AY23="."),dir!AC23*1000)))))))),".")</f>
        <v>5.0404260108181909</v>
      </c>
      <c r="AD23" s="48">
        <f>IFERROR(IF(AND(Irr!D23&lt;&gt;".",Irr!AB23&lt;&gt;".",Irr!AZ23&lt;&gt;"."),dir!AD23/((1/1000)*(Irr!D23+Irr!AB23+Irr!AZ23)),IF(AND(Irr!D23&lt;&gt;".",Irr!AB23&lt;&gt;".",Irr!AZ23="."),dir!AD23/((1/1000)*(Irr!D23+Irr!AB23)),IF(AND(Irr!D23&lt;&gt;".",Irr!AB23=".",Irr!AZ23&lt;&gt;"."),dir!AD23/((1/1000)*(Irr!D23+Irr!AZ23)),IF(AND(Irr!D23=".",Irr!AB23&lt;&gt;".",Irr!AZ23&lt;&gt;"."),dir!AD23/((1/1000)*(Irr!AB23+Irr!AZ23)),IF(AND(Irr!D23=".",Irr!AB23=".",Irr!AZ23&lt;&gt;"."),dir!AD23/((1/1000)*(Irr!AZ23)),IF(AND(Irr!D23=".",Irr!AB23&lt;&gt;".",Irr!AZ23="."),dir!AD23/((1/1000)*(Irr!AB23)),IF(AND(Irr!D23&lt;&gt;".",Irr!AB23=".",Irr!AZ23="."),dir!AD23/((1/1000)*(Irr!D23)),IF(AND(Irr!D23=".",Irr!AB23=".",Irr!AZ23="."),dir!AD23*1000)))))))),".")</f>
        <v>7.0193021102903979</v>
      </c>
      <c r="AE23" s="48">
        <f>IFERROR(IF(AND(Irr!E23&lt;&gt;".",Irr!AC23&lt;&gt;".",Irr!BA23&lt;&gt;"."),dir!AE23/((1/1000)*(Irr!E23+Irr!AC23+Irr!BA23)),IF(AND(Irr!E23&lt;&gt;".",Irr!AC23&lt;&gt;".",Irr!BA23="."),dir!AE23/((1/1000)*(Irr!E23+Irr!AC23)),IF(AND(Irr!E23&lt;&gt;".",Irr!AC23=".",Irr!BA23&lt;&gt;"."),dir!AE23/((1/1000)*(Irr!E23+Irr!BA23)),IF(AND(Irr!E23=".",Irr!AC23&lt;&gt;".",Irr!BA23&lt;&gt;"."),dir!AE23/((1/1000)*(Irr!AC23+Irr!BA23)),IF(AND(Irr!E23=".",Irr!AC23=".",Irr!BA23&lt;&gt;"."),dir!AE23/((1/1000)*(Irr!BA23)),IF(AND(Irr!E23=".",Irr!AC23&lt;&gt;".",Irr!BA23="."),dir!AE23/((1/1000)*(Irr!AC23)),IF(AND(Irr!E23&lt;&gt;".",Irr!AC23=".",Irr!BA23="."),dir!AE23/((1/1000)*(Irr!E23)),IF(AND(Irr!E23=".",Irr!AC23=".",Irr!BA23="."),dir!AE23*1000)))))))),".")</f>
        <v>9.4283931637079057</v>
      </c>
      <c r="AF23" s="48">
        <f>IFERROR(IF(AND(Irr!F23&lt;&gt;".",Irr!AD23&lt;&gt;".",Irr!BB23&lt;&gt;"."),dir!AF23/((1/1000)*(Irr!F23+Irr!AD23+Irr!BB23)),IF(AND(Irr!F23&lt;&gt;".",Irr!AD23&lt;&gt;".",Irr!BB23="."),dir!AF23/((1/1000)*(Irr!F23+Irr!AD23)),IF(AND(Irr!F23&lt;&gt;".",Irr!AD23=".",Irr!BB23&lt;&gt;"."),dir!AF23/((1/1000)*(Irr!F23+Irr!BB23)),IF(AND(Irr!F23=".",Irr!AD23&lt;&gt;".",Irr!BB23&lt;&gt;"."),dir!AF23/((1/1000)*(Irr!AD23+Irr!BB23)),IF(AND(Irr!F23=".",Irr!AD23=".",Irr!BB23&lt;&gt;"."),dir!AF23/((1/1000)*(Irr!BB23)),IF(AND(Irr!F23=".",Irr!AD23&lt;&gt;".",Irr!BB23="."),dir!AF23/((1/1000)*(Irr!AD23)),IF(AND(Irr!F23&lt;&gt;".",Irr!AD23=".",Irr!BB23="."),dir!AF23/((1/1000)*(Irr!F23)),IF(AND(Irr!F23=".",Irr!AD23=".",Irr!BB23="."),dir!AF23*1000)))))))),".")</f>
        <v>12.636685455171675</v>
      </c>
      <c r="AG23" s="48">
        <f>IFERROR(IF(AND(Irr!G23&lt;&gt;".",Irr!AE23&lt;&gt;".",Irr!BC23&lt;&gt;"."),dir!AG23/((1/1000)*(Irr!G23+Irr!AE23+Irr!BC23)),IF(AND(Irr!G23&lt;&gt;".",Irr!AE23&lt;&gt;".",Irr!BC23="."),dir!AG23/((1/1000)*(Irr!G23+Irr!AE23)),IF(AND(Irr!G23&lt;&gt;".",Irr!AE23=".",Irr!BC23&lt;&gt;"."),dir!AG23/((1/1000)*(Irr!G23+Irr!BC23)),IF(AND(Irr!G23=".",Irr!AE23&lt;&gt;".",Irr!BC23&lt;&gt;"."),dir!AG23/((1/1000)*(Irr!AE23+Irr!BC23)),IF(AND(Irr!G23=".",Irr!AE23=".",Irr!BC23&lt;&gt;"."),dir!AG23/((1/1000)*(Irr!BC23)),IF(AND(Irr!G23=".",Irr!AE23&lt;&gt;".",Irr!BC23="."),dir!AG23/((1/1000)*(Irr!AE23)),IF(AND(Irr!G23&lt;&gt;".",Irr!AE23=".",Irr!BC23="."),dir!AG23/((1/1000)*(Irr!G23)),IF(AND(Irr!G23=".",Irr!AE23=".",Irr!BC23="."),dir!AG23*1000)))))))),".")</f>
        <v>12.364447264124976</v>
      </c>
      <c r="AH23" s="48">
        <f>IFERROR(IF(AND(Irr!H23&lt;&gt;".",Irr!AF23&lt;&gt;".",Irr!BD23&lt;&gt;"."),dir!AH23/((1/1000)*(Irr!H23+Irr!AF23+Irr!BD23)),IF(AND(Irr!H23&lt;&gt;".",Irr!AF23&lt;&gt;".",Irr!BD23="."),dir!AH23/((1/1000)*(Irr!H23+Irr!AF23)),IF(AND(Irr!H23&lt;&gt;".",Irr!AF23=".",Irr!BD23&lt;&gt;"."),dir!AH23/((1/1000)*(Irr!H23+Irr!BD23)),IF(AND(Irr!H23=".",Irr!AF23&lt;&gt;".",Irr!BD23&lt;&gt;"."),dir!AH23/((1/1000)*(Irr!AF23+Irr!BD23)),IF(AND(Irr!H23=".",Irr!AF23=".",Irr!BD23&lt;&gt;"."),dir!AH23/((1/1000)*(Irr!BD23)),IF(AND(Irr!H23=".",Irr!AF23&lt;&gt;".",Irr!BD23="."),dir!AH23/((1/1000)*(Irr!AF23)),IF(AND(Irr!H23&lt;&gt;".",Irr!AF23=".",Irr!BD23="."),dir!AH23/((1/1000)*(Irr!H23)),IF(AND(Irr!H23=".",Irr!AF23=".",Irr!BD23="."),dir!AH23*1000)))))))),".")</f>
        <v>3.3134134497033982</v>
      </c>
      <c r="AI23" s="48">
        <f>IFERROR(IF(AND(Irr!I23&lt;&gt;".",Irr!AG23&lt;&gt;".",Irr!BE23&lt;&gt;"."),dir!AI23/((1/1000)*(Irr!I23+Irr!AG23+Irr!BE23)),IF(AND(Irr!I23&lt;&gt;".",Irr!AG23&lt;&gt;".",Irr!BE23="."),dir!AI23/((1/1000)*(Irr!I23+Irr!AG23)),IF(AND(Irr!I23&lt;&gt;".",Irr!AG23=".",Irr!BE23&lt;&gt;"."),dir!AI23/((1/1000)*(Irr!I23+Irr!BE23)),IF(AND(Irr!I23=".",Irr!AG23&lt;&gt;".",Irr!BE23&lt;&gt;"."),dir!AI23/((1/1000)*(Irr!AG23+Irr!BE23)),IF(AND(Irr!I23=".",Irr!AG23=".",Irr!BE23&lt;&gt;"."),dir!AI23/((1/1000)*(Irr!BE23)),IF(AND(Irr!I23=".",Irr!AG23&lt;&gt;".",Irr!BE23="."),dir!AI23/((1/1000)*(Irr!AG23)),IF(AND(Irr!I23&lt;&gt;".",Irr!AG23=".",Irr!BE23="."),dir!AI23/((1/1000)*(Irr!I23)),IF(AND(Irr!I23=".",Irr!AG23=".",Irr!BE23="."),dir!AI23*1000)))))))),".")</f>
        <v>12.195330422414697</v>
      </c>
      <c r="AJ23" s="48">
        <f>IFERROR(IF(AND(Irr!J23&lt;&gt;".",Irr!AH23&lt;&gt;".",Irr!BF23&lt;&gt;"."),dir!AJ23/((1/1000)*(Irr!J23+Irr!AH23+Irr!BF23)),IF(AND(Irr!J23&lt;&gt;".",Irr!AH23&lt;&gt;".",Irr!BF23="."),dir!AJ23/((1/1000)*(Irr!J23+Irr!AH23)),IF(AND(Irr!J23&lt;&gt;".",Irr!AH23=".",Irr!BF23&lt;&gt;"."),dir!AJ23/((1/1000)*(Irr!J23+Irr!BF23)),IF(AND(Irr!J23=".",Irr!AH23&lt;&gt;".",Irr!BF23&lt;&gt;"."),dir!AJ23/((1/1000)*(Irr!AH23+Irr!BF23)),IF(AND(Irr!J23=".",Irr!AH23=".",Irr!BF23&lt;&gt;"."),dir!AJ23/((1/1000)*(Irr!BF23)),IF(AND(Irr!J23=".",Irr!AH23&lt;&gt;".",Irr!BF23="."),dir!AJ23/((1/1000)*(Irr!AH23)),IF(AND(Irr!J23&lt;&gt;".",Irr!AH23=".",Irr!BF23="."),dir!AJ23/((1/1000)*(Irr!J23)),IF(AND(Irr!J23=".",Irr!AH23=".",Irr!BF23="."),dir!AJ23*1000)))))))),".")</f>
        <v>1.4566988249312594</v>
      </c>
      <c r="AK23" s="48">
        <f>IFERROR(IF(AND(Irr!K23&lt;&gt;".",Irr!AI23&lt;&gt;".",Irr!BG23&lt;&gt;"."),dir!AK23/((1/1000)*(Irr!K23+Irr!AI23+Irr!BG23)),IF(AND(Irr!K23&lt;&gt;".",Irr!AI23&lt;&gt;".",Irr!BG23="."),dir!AK23/((1/1000)*(Irr!K23+Irr!AI23)),IF(AND(Irr!K23&lt;&gt;".",Irr!AI23=".",Irr!BG23&lt;&gt;"."),dir!AK23/((1/1000)*(Irr!K23+Irr!BG23)),IF(AND(Irr!K23=".",Irr!AI23&lt;&gt;".",Irr!BG23&lt;&gt;"."),dir!AK23/((1/1000)*(Irr!AI23+Irr!BG23)),IF(AND(Irr!K23=".",Irr!AI23=".",Irr!BG23&lt;&gt;"."),dir!AK23/((1/1000)*(Irr!BG23)),IF(AND(Irr!K23=".",Irr!AI23&lt;&gt;".",Irr!BG23="."),dir!AK23/((1/1000)*(Irr!AI23)),IF(AND(Irr!K23&lt;&gt;".",Irr!AI23=".",Irr!BG23="."),dir!AK23/((1/1000)*(Irr!K23)),IF(AND(Irr!K23=".",Irr!AI23=".",Irr!BG23="."),dir!AK23*1000)))))))),".")</f>
        <v>6.1201231447905187</v>
      </c>
      <c r="AL23" s="48">
        <f>IFERROR(IF(AND(Irr!L23&lt;&gt;".",Irr!AJ23&lt;&gt;".",Irr!BH23&lt;&gt;"."),dir!AL23/((1/1000)*(Irr!L23+Irr!AJ23+Irr!BH23)),IF(AND(Irr!L23&lt;&gt;".",Irr!AJ23&lt;&gt;".",Irr!BH23="."),dir!AL23/((1/1000)*(Irr!L23+Irr!AJ23)),IF(AND(Irr!L23&lt;&gt;".",Irr!AJ23=".",Irr!BH23&lt;&gt;"."),dir!AL23/((1/1000)*(Irr!L23+Irr!BH23)),IF(AND(Irr!L23=".",Irr!AJ23&lt;&gt;".",Irr!BH23&lt;&gt;"."),dir!AL23/((1/1000)*(Irr!AJ23+Irr!BH23)),IF(AND(Irr!L23=".",Irr!AJ23=".",Irr!BH23&lt;&gt;"."),dir!AL23/((1/1000)*(Irr!BH23)),IF(AND(Irr!L23=".",Irr!AJ23&lt;&gt;".",Irr!BH23="."),dir!AL23/((1/1000)*(Irr!AJ23)),IF(AND(Irr!L23&lt;&gt;".",Irr!AJ23=".",Irr!BH23="."),dir!AL23/((1/1000)*(Irr!L23)),IF(AND(Irr!L23=".",Irr!AJ23=".",Irr!BH23="."),dir!AL23*1000)))))))),".")</f>
        <v>8.1493082076858077</v>
      </c>
      <c r="AM23" s="48">
        <f>IFERROR(IF(AND(Irr!M23&lt;&gt;".",Irr!AK23&lt;&gt;".",Irr!BI23&lt;&gt;"."),dir!AM23/((1/1000)*(Irr!M23+Irr!AK23+Irr!BI23)),IF(AND(Irr!M23&lt;&gt;".",Irr!AK23&lt;&gt;".",Irr!BI23="."),dir!AM23/((1/1000)*(Irr!M23+Irr!AK23)),IF(AND(Irr!M23&lt;&gt;".",Irr!AK23=".",Irr!BI23&lt;&gt;"."),dir!AM23/((1/1000)*(Irr!M23+Irr!BI23)),IF(AND(Irr!M23=".",Irr!AK23&lt;&gt;".",Irr!BI23&lt;&gt;"."),dir!AM23/((1/1000)*(Irr!AK23+Irr!BI23)),IF(AND(Irr!M23=".",Irr!AK23=".",Irr!BI23&lt;&gt;"."),dir!AM23/((1/1000)*(Irr!BI23)),IF(AND(Irr!M23=".",Irr!AK23&lt;&gt;".",Irr!BI23="."),dir!AM23/((1/1000)*(Irr!AK23)),IF(AND(Irr!M23&lt;&gt;".",Irr!AK23=".",Irr!BI23="."),dir!AM23/((1/1000)*(Irr!M23)),IF(AND(Irr!M23=".",Irr!AK23=".",Irr!BI23="."),dir!AM23*1000)))))))),".")</f>
        <v>7.108007918772695</v>
      </c>
      <c r="AN23" s="48">
        <f>IFERROR(IF(AND(Irr!N23&lt;&gt;".",Irr!AL23&lt;&gt;".",Irr!BJ23&lt;&gt;"."),dir!AN23/((1/1000)*(Irr!N23+Irr!AL23+Irr!BJ23)),IF(AND(Irr!N23&lt;&gt;".",Irr!AL23&lt;&gt;".",Irr!BJ23="."),dir!AN23/((1/1000)*(Irr!N23+Irr!AL23)),IF(AND(Irr!N23&lt;&gt;".",Irr!AL23=".",Irr!BJ23&lt;&gt;"."),dir!AN23/((1/1000)*(Irr!N23+Irr!BJ23)),IF(AND(Irr!N23=".",Irr!AL23&lt;&gt;".",Irr!BJ23&lt;&gt;"."),dir!AN23/((1/1000)*(Irr!AL23+Irr!BJ23)),IF(AND(Irr!N23=".",Irr!AL23=".",Irr!BJ23&lt;&gt;"."),dir!AN23/((1/1000)*(Irr!BJ23)),IF(AND(Irr!N23=".",Irr!AL23&lt;&gt;".",Irr!BJ23="."),dir!AN23/((1/1000)*(Irr!AL23)),IF(AND(Irr!N23&lt;&gt;".",Irr!AL23=".",Irr!BJ23="."),dir!AN23/((1/1000)*(Irr!N23)),IF(AND(Irr!N23=".",Irr!AL23=".",Irr!BJ23="."),dir!AN23*1000)))))))),".")</f>
        <v>13.408529358774299</v>
      </c>
      <c r="AO23" s="48">
        <f>IFERROR(IF(AND(Irr!O23&lt;&gt;".",Irr!AM23&lt;&gt;".",Irr!BK23&lt;&gt;"."),dir!AO23/((1/1000)*(Irr!O23+Irr!AM23+Irr!BK23)),IF(AND(Irr!O23&lt;&gt;".",Irr!AM23&lt;&gt;".",Irr!BK23="."),dir!AO23/((1/1000)*(Irr!O23+Irr!AM23)),IF(AND(Irr!O23&lt;&gt;".",Irr!AM23=".",Irr!BK23&lt;&gt;"."),dir!AO23/((1/1000)*(Irr!O23+Irr!BK23)),IF(AND(Irr!O23=".",Irr!AM23&lt;&gt;".",Irr!BK23&lt;&gt;"."),dir!AO23/((1/1000)*(Irr!AM23+Irr!BK23)),IF(AND(Irr!O23=".",Irr!AM23=".",Irr!BK23&lt;&gt;"."),dir!AO23/((1/1000)*(Irr!BK23)),IF(AND(Irr!O23=".",Irr!AM23&lt;&gt;".",Irr!BK23="."),dir!AO23/((1/1000)*(Irr!AM23)),IF(AND(Irr!O23&lt;&gt;".",Irr!AM23=".",Irr!BK23="."),dir!AO23/((1/1000)*(Irr!O23)),IF(AND(Irr!O23=".",Irr!AM23=".",Irr!BK23="."),dir!AO23*1000)))))))),".")</f>
        <v>15.144952390236545</v>
      </c>
      <c r="AP23" s="48">
        <f>IFERROR(IF(AND(Irr!P23&lt;&gt;".",Irr!AN23&lt;&gt;".",Irr!BL23&lt;&gt;"."),dir!AP23/((1/1000)*(Irr!P23+Irr!AN23+Irr!BL23)),IF(AND(Irr!P23&lt;&gt;".",Irr!AN23&lt;&gt;".",Irr!BL23="."),dir!AP23/((1/1000)*(Irr!P23+Irr!AN23)),IF(AND(Irr!P23&lt;&gt;".",Irr!AN23=".",Irr!BL23&lt;&gt;"."),dir!AP23/((1/1000)*(Irr!P23+Irr!BL23)),IF(AND(Irr!P23=".",Irr!AN23&lt;&gt;".",Irr!BL23&lt;&gt;"."),dir!AP23/((1/1000)*(Irr!AN23+Irr!BL23)),IF(AND(Irr!P23=".",Irr!AN23=".",Irr!BL23&lt;&gt;"."),dir!AP23/((1/1000)*(Irr!BL23)),IF(AND(Irr!P23=".",Irr!AN23&lt;&gt;".",Irr!BL23="."),dir!AP23/((1/1000)*(Irr!AN23)),IF(AND(Irr!P23&lt;&gt;".",Irr!AN23=".",Irr!BL23="."),dir!AP23/((1/1000)*(Irr!P23)),IF(AND(Irr!P23=".",Irr!AN23=".",Irr!BL23="."),dir!AP23*1000)))))))),".")</f>
        <v>16.560078634541686</v>
      </c>
      <c r="AQ23" s="48">
        <f>IFERROR(IF(AND(Irr!Q23&lt;&gt;".",Irr!AO23&lt;&gt;".",Irr!BM23&lt;&gt;"."),dir!AQ23/((1/1000)*(Irr!Q23+Irr!AO23+Irr!BM23)),IF(AND(Irr!Q23&lt;&gt;".",Irr!AO23&lt;&gt;".",Irr!BM23="."),dir!AQ23/((1/1000)*(Irr!Q23+Irr!AO23)),IF(AND(Irr!Q23&lt;&gt;".",Irr!AO23=".",Irr!BM23&lt;&gt;"."),dir!AQ23/((1/1000)*(Irr!Q23+Irr!BM23)),IF(AND(Irr!Q23=".",Irr!AO23&lt;&gt;".",Irr!BM23&lt;&gt;"."),dir!AQ23/((1/1000)*(Irr!AO23+Irr!BM23)),IF(AND(Irr!Q23=".",Irr!AO23=".",Irr!BM23&lt;&gt;"."),dir!AQ23/((1/1000)*(Irr!BM23)),IF(AND(Irr!Q23=".",Irr!AO23&lt;&gt;".",Irr!BM23="."),dir!AQ23/((1/1000)*(Irr!AO23)),IF(AND(Irr!Q23&lt;&gt;".",Irr!AO23=".",Irr!BM23="."),dir!AQ23/((1/1000)*(Irr!Q23)),IF(AND(Irr!Q23=".",Irr!AO23=".",Irr!BM23="."),dir!AQ23*1000)))))))),".")</f>
        <v>4.1509914090220414</v>
      </c>
      <c r="AR23" s="48">
        <f>IFERROR(IF(AND(Irr!R23&lt;&gt;".",Irr!AP23&lt;&gt;".",Irr!BN23&lt;&gt;"."),dir!AR23/((1/1000)*(Irr!R23+Irr!AP23+Irr!BN23)),IF(AND(Irr!R23&lt;&gt;".",Irr!AP23&lt;&gt;".",Irr!BN23="."),dir!AR23/((1/1000)*(Irr!R23+Irr!AP23)),IF(AND(Irr!R23&lt;&gt;".",Irr!AP23=".",Irr!BN23&lt;&gt;"."),dir!AR23/((1/1000)*(Irr!R23+Irr!BN23)),IF(AND(Irr!R23=".",Irr!AP23&lt;&gt;".",Irr!BN23&lt;&gt;"."),dir!AR23/((1/1000)*(Irr!AP23+Irr!BN23)),IF(AND(Irr!R23=".",Irr!AP23=".",Irr!BN23&lt;&gt;"."),dir!AR23/((1/1000)*(Irr!BN23)),IF(AND(Irr!R23=".",Irr!AP23&lt;&gt;".",Irr!BN23="."),dir!AR23/((1/1000)*(Irr!AP23)),IF(AND(Irr!R23&lt;&gt;".",Irr!AP23=".",Irr!BN23="."),dir!AR23/((1/1000)*(Irr!R23)),IF(AND(Irr!R23=".",Irr!AP23=".",Irr!BN23="."),dir!AR23*1000)))))))),".")</f>
        <v>6.8144622593015196</v>
      </c>
      <c r="AS23" s="48">
        <f>IFERROR(IF(AND(Irr!S23&lt;&gt;".",Irr!AQ23&lt;&gt;".",Irr!BO23&lt;&gt;"."),dir!AS23/((1/1000)*(Irr!S23+Irr!AQ23+Irr!BO23)),IF(AND(Irr!S23&lt;&gt;".",Irr!AQ23&lt;&gt;".",Irr!BO23="."),dir!AS23/((1/1000)*(Irr!S23+Irr!AQ23)),IF(AND(Irr!S23&lt;&gt;".",Irr!AQ23=".",Irr!BO23&lt;&gt;"."),dir!AS23/((1/1000)*(Irr!S23+Irr!BO23)),IF(AND(Irr!S23=".",Irr!AQ23&lt;&gt;".",Irr!BO23&lt;&gt;"."),dir!AS23/((1/1000)*(Irr!AQ23+Irr!BO23)),IF(AND(Irr!S23=".",Irr!AQ23=".",Irr!BO23&lt;&gt;"."),dir!AS23/((1/1000)*(Irr!BO23)),IF(AND(Irr!S23=".",Irr!AQ23&lt;&gt;".",Irr!BO23="."),dir!AS23/((1/1000)*(Irr!AQ23)),IF(AND(Irr!S23&lt;&gt;".",Irr!AQ23=".",Irr!BO23="."),dir!AS23/((1/1000)*(Irr!S23)),IF(AND(Irr!S23=".",Irr!AQ23=".",Irr!BO23="."),dir!AS23*1000)))))))),".")</f>
        <v>13.146622474000553</v>
      </c>
      <c r="AT23" s="48">
        <f>IFERROR(IF(AND(Irr!T23&lt;&gt;".",Irr!AR23&lt;&gt;".",Irr!BP23&lt;&gt;"."),dir!AT23/((1/1000)*(Irr!T23+Irr!AR23+Irr!BP23)),IF(AND(Irr!T23&lt;&gt;".",Irr!AR23&lt;&gt;".",Irr!BP23="."),dir!AT23/((1/1000)*(Irr!T23+Irr!AR23)),IF(AND(Irr!T23&lt;&gt;".",Irr!AR23=".",Irr!BP23&lt;&gt;"."),dir!AT23/((1/1000)*(Irr!T23+Irr!BP23)),IF(AND(Irr!T23=".",Irr!AR23&lt;&gt;".",Irr!BP23&lt;&gt;"."),dir!AT23/((1/1000)*(Irr!AR23+Irr!BP23)),IF(AND(Irr!T23=".",Irr!AR23=".",Irr!BP23&lt;&gt;"."),dir!AT23/((1/1000)*(Irr!BP23)),IF(AND(Irr!T23=".",Irr!AR23&lt;&gt;".",Irr!BP23="."),dir!AT23/((1/1000)*(Irr!AR23)),IF(AND(Irr!T23&lt;&gt;".",Irr!AR23=".",Irr!BP23="."),dir!AT23/((1/1000)*(Irr!T23)),IF(AND(Irr!T23=".",Irr!AR23=".",Irr!BP23="."),dir!AT23*1000)))))))),".")</f>
        <v>3.2651502802733168</v>
      </c>
      <c r="AU23" s="48">
        <f>IFERROR(IF(AND(Irr!U23&lt;&gt;".",Irr!AS23&lt;&gt;".",Irr!BQ23&lt;&gt;"."),dir!AU23/((1/1000)*(Irr!U23+Irr!AS23+Irr!BQ23)),IF(AND(Irr!U23&lt;&gt;".",Irr!AS23&lt;&gt;".",Irr!BQ23="."),dir!AU23/((1/1000)*(Irr!U23+Irr!AS23)),IF(AND(Irr!U23&lt;&gt;".",Irr!AS23=".",Irr!BQ23&lt;&gt;"."),dir!AU23/((1/1000)*(Irr!U23+Irr!BQ23)),IF(AND(Irr!U23=".",Irr!AS23&lt;&gt;".",Irr!BQ23&lt;&gt;"."),dir!AU23/((1/1000)*(Irr!AS23+Irr!BQ23)),IF(AND(Irr!U23=".",Irr!AS23=".",Irr!BQ23&lt;&gt;"."),dir!AU23/((1/1000)*(Irr!BQ23)),IF(AND(Irr!U23=".",Irr!AS23&lt;&gt;".",Irr!BQ23="."),dir!AU23/((1/1000)*(Irr!AS23)),IF(AND(Irr!U23&lt;&gt;".",Irr!AS23=".",Irr!BQ23="."),dir!AU23/((1/1000)*(Irr!U23)),IF(AND(Irr!U23=".",Irr!AS23=".",Irr!BQ23="."),dir!AU23*1000)))))))),".")</f>
        <v>6.4805252689091786</v>
      </c>
      <c r="AV23" s="48">
        <f>IFERROR(IF(AND(Irr!V23&lt;&gt;".",Irr!AT23&lt;&gt;".",Irr!BR23&lt;&gt;"."),dir!AV23/((1/1000)*(Irr!V23+Irr!AT23+Irr!BR23)),IF(AND(Irr!V23&lt;&gt;".",Irr!AT23&lt;&gt;".",Irr!BR23="."),dir!AV23/((1/1000)*(Irr!V23+Irr!AT23)),IF(AND(Irr!V23&lt;&gt;".",Irr!AT23=".",Irr!BR23&lt;&gt;"."),dir!AV23/((1/1000)*(Irr!V23+Irr!BR23)),IF(AND(Irr!V23=".",Irr!AT23&lt;&gt;".",Irr!BR23&lt;&gt;"."),dir!AV23/((1/1000)*(Irr!AT23+Irr!BR23)),IF(AND(Irr!V23=".",Irr!AT23=".",Irr!BR23&lt;&gt;"."),dir!AV23/((1/1000)*(Irr!BR23)),IF(AND(Irr!V23=".",Irr!AT23&lt;&gt;".",Irr!BR23="."),dir!AV23/((1/1000)*(Irr!AT23)),IF(AND(Irr!V23&lt;&gt;".",Irr!AT23=".",Irr!BR23="."),dir!AV23/((1/1000)*(Irr!V23)),IF(AND(Irr!V23=".",Irr!AT23=".",Irr!BR23="."),dir!AV23*1000)))))))),".")</f>
        <v>7.8582671785083473</v>
      </c>
      <c r="AW23" s="48">
        <f>IFERROR(IF(AND(Irr!W23&lt;&gt;".",Irr!AU23&lt;&gt;".",Irr!BS23&lt;&gt;"."),dir!AW23/((1/1000)*(Irr!W23+Irr!AU23+Irr!BS23)),IF(AND(Irr!W23&lt;&gt;".",Irr!AU23&lt;&gt;".",Irr!BS23="."),dir!AW23/((1/1000)*(Irr!W23+Irr!AU23)),IF(AND(Irr!W23&lt;&gt;".",Irr!AU23=".",Irr!BS23&lt;&gt;"."),dir!AW23/((1/1000)*(Irr!W23+Irr!BS23)),IF(AND(Irr!W23=".",Irr!AU23&lt;&gt;".",Irr!BS23&lt;&gt;"."),dir!AW23/((1/1000)*(Irr!AU23+Irr!BS23)),IF(AND(Irr!W23=".",Irr!AU23=".",Irr!BS23&lt;&gt;"."),dir!AW23/((1/1000)*(Irr!BS23)),IF(AND(Irr!W23=".",Irr!AU23&lt;&gt;".",Irr!BS23="."),dir!AW23/((1/1000)*(Irr!AU23)),IF(AND(Irr!W23&lt;&gt;".",Irr!AU23=".",Irr!BS23="."),dir!AW23/((1/1000)*(Irr!W23)),IF(AND(Irr!W23=".",Irr!AU23=".",Irr!BS23="."),dir!AW23*1000)))))))),".")</f>
        <v>11.142522413094147</v>
      </c>
      <c r="AX23" s="48">
        <f>IFERROR(IF(AND(Irr!X23&lt;&gt;".",Irr!AV23&lt;&gt;".",Irr!BT23&lt;&gt;"."),dir!AX23/((1/1000)*(Irr!X23+Irr!AV23+Irr!BT23)),IF(AND(Irr!X23&lt;&gt;".",Irr!AV23&lt;&gt;".",Irr!BT23="."),dir!AX23/((1/1000)*(Irr!X23+Irr!AV23)),IF(AND(Irr!X23&lt;&gt;".",Irr!AV23=".",Irr!BT23&lt;&gt;"."),dir!AX23/((1/1000)*(Irr!X23+Irr!BT23)),IF(AND(Irr!X23=".",Irr!AV23&lt;&gt;".",Irr!BT23&lt;&gt;"."),dir!AX23/((1/1000)*(Irr!AV23+Irr!BT23)),IF(AND(Irr!X23=".",Irr!AV23=".",Irr!BT23&lt;&gt;"."),dir!AX23/((1/1000)*(Irr!BT23)),IF(AND(Irr!X23=".",Irr!AV23&lt;&gt;".",Irr!BT23="."),dir!AX23/((1/1000)*(Irr!AV23)),IF(AND(Irr!X23&lt;&gt;".",Irr!AV23=".",Irr!BT23="."),dir!AX23/((1/1000)*(Irr!X23)),IF(AND(Irr!X23=".",Irr!AV23=".",Irr!BT23="."),dir!AX23*1000)))))))),".")</f>
        <v>4.6396808297715229</v>
      </c>
      <c r="AY23" s="48">
        <f>IFERROR(IF(AND(Irr!Y23&lt;&gt;".",Irr!AW23&lt;&gt;".",Irr!BU23&lt;&gt;"."),dir!AY23/((1/1000)*(Irr!Y23+Irr!AW23+Irr!BU23)),IF(AND(Irr!Y23&lt;&gt;".",Irr!AW23&lt;&gt;".",Irr!BU23="."),dir!AY23/((1/1000)*(Irr!Y23+Irr!AW23)),IF(AND(Irr!Y23&lt;&gt;".",Irr!AW23=".",Irr!BU23&lt;&gt;"."),dir!AY23/((1/1000)*(Irr!Y23+Irr!BU23)),IF(AND(Irr!Y23=".",Irr!AW23&lt;&gt;".",Irr!BU23&lt;&gt;"."),dir!AY23/((1/1000)*(Irr!AW23+Irr!BU23)),IF(AND(Irr!Y23=".",Irr!AW23=".",Irr!BU23&lt;&gt;"."),dir!AY23/((1/1000)*(Irr!BU23)),IF(AND(Irr!Y23=".",Irr!AW23&lt;&gt;".",Irr!BU23="."),dir!AY23/((1/1000)*(Irr!AW23)),IF(AND(Irr!Y23&lt;&gt;".",Irr!AW23=".",Irr!BU23="."),dir!AY23/((1/1000)*(Irr!Y23)),IF(AND(Irr!Y23=".",Irr!AW23=".",Irr!BU23="."),dir!AY23*1000)))))))),".")</f>
        <v>1.6804038654403641</v>
      </c>
      <c r="AZ23" s="48">
        <f>IFERROR(IF(AND(Irr!Z23&lt;&gt;".",Irr!AX23&lt;&gt;".",Irr!BV23&lt;&gt;"."),dir!AZ23/((1/1000)*(Irr!Z23+Irr!AX23+Irr!BV23)),IF(AND(Irr!Z23&lt;&gt;".",Irr!AX23&lt;&gt;".",Irr!BV23="."),dir!AZ23/((1/1000)*(Irr!Z23+Irr!AX23)),IF(AND(Irr!Z23&lt;&gt;".",Irr!AX23=".",Irr!BV23&lt;&gt;"."),dir!AZ23/((1/1000)*(Irr!Z23+Irr!BV23)),IF(AND(Irr!Z23=".",Irr!AX23&lt;&gt;".",Irr!BV23&lt;&gt;"."),dir!AZ23/((1/1000)*(Irr!AX23+Irr!BV23)),IF(AND(Irr!Z23=".",Irr!AX23=".",Irr!BV23&lt;&gt;"."),dir!AZ23/((1/1000)*(Irr!BV23)),IF(AND(Irr!Z23=".",Irr!AX23&lt;&gt;".",Irr!BV23="."),dir!AZ23/((1/1000)*(Irr!AX23)),IF(AND(Irr!Z23&lt;&gt;".",Irr!AX23=".",Irr!BV23="."),dir!AZ23/((1/1000)*(Irr!Z23)),IF(AND(Irr!Z23=".",Irr!AX23=".",Irr!BV23="."),dir!AZ23*1000)))))))),".")</f>
        <v>1.520547352497597</v>
      </c>
    </row>
    <row r="24" spans="1:52" ht="15" customHeight="1" x14ac:dyDescent="0.25">
      <c r="A24" s="61" t="s">
        <v>22</v>
      </c>
      <c r="B24" s="49" t="s">
        <v>1059</v>
      </c>
      <c r="C24" s="48" t="str">
        <f t="shared" ref="C24:C25" si="20">IFERROR(1/SUM(1/D24,1/E24,1/F24,1/G24,1/H24,1/I24,1/J24,1/K24,1/L24,1/M24,1/N24,1/O24,1/P24,1/Q24,1/R24,1/S24,1/T24,1/U24,1/V24,1/W24,1/X24,1/Y24),".")</f>
        <v>.</v>
      </c>
      <c r="D24" s="48" t="str">
        <f>IFERROR(IF(AND(Irr!C24&lt;&gt;".",Irr!AA24&lt;&gt;".",Irr!AY24&lt;&gt;"."),dir!D24/((1/1000)*(Irr!C24+Irr!AA24+Irr!AY24)),IF(AND(Irr!C24&lt;&gt;".",Irr!AA24&lt;&gt;".",Irr!AY24="."),dir!D24/((1/1000)*(Irr!C24+Irr!AA24)),IF(AND(Irr!C24&lt;&gt;".",Irr!AA24=".",Irr!AY24&lt;&gt;"."),dir!D24/((1/1000)*(Irr!C24+Irr!AY24)),IF(AND(Irr!C24=".",Irr!AA24&lt;&gt;".",Irr!AY24&lt;&gt;"."),dir!D24/((1/1000)*(Irr!AA24+Irr!AY24)),IF(AND(Irr!C24=".",Irr!AA24=".",Irr!AY24&lt;&gt;"."),dir!D24/((1/1000)*(Irr!AY24)),IF(AND(Irr!C24=".",Irr!AA24&lt;&gt;".",Irr!AY24="."),dir!D24/((1/1000)*(Irr!AA24)),IF(AND(Irr!C24&lt;&gt;".",Irr!AA24=".",Irr!AY24="."),dir!D24/((1/1000)*(Irr!C24)),IF(AND(Irr!C24=".",Irr!AA24=".",Irr!AY24="."),dir!D24*1000)))))))),".")</f>
        <v>.</v>
      </c>
      <c r="E24" s="48" t="str">
        <f>IFERROR(IF(AND(Irr!D24&lt;&gt;".",Irr!AB24&lt;&gt;".",Irr!AZ24&lt;&gt;"."),dir!E24/((1/1000)*(Irr!D24+Irr!AB24+Irr!AZ24)),IF(AND(Irr!D24&lt;&gt;".",Irr!AB24&lt;&gt;".",Irr!AZ24="."),dir!E24/((1/1000)*(Irr!D24+Irr!AB24)),IF(AND(Irr!D24&lt;&gt;".",Irr!AB24=".",Irr!AZ24&lt;&gt;"."),dir!E24/((1/1000)*(Irr!D24+Irr!AZ24)),IF(AND(Irr!D24=".",Irr!AB24&lt;&gt;".",Irr!AZ24&lt;&gt;"."),dir!E24/((1/1000)*(Irr!AB24+Irr!AZ24)),IF(AND(Irr!D24=".",Irr!AB24=".",Irr!AZ24&lt;&gt;"."),dir!E24/((1/1000)*(Irr!AZ24)),IF(AND(Irr!D24=".",Irr!AB24&lt;&gt;".",Irr!AZ24="."),dir!E24/((1/1000)*(Irr!AB24)),IF(AND(Irr!D24&lt;&gt;".",Irr!AB24=".",Irr!AZ24="."),dir!E24/((1/1000)*(Irr!D24)),IF(AND(Irr!D24=".",Irr!AB24=".",Irr!AZ24="."),dir!E24*1000)))))))),".")</f>
        <v>.</v>
      </c>
      <c r="F24" s="48" t="str">
        <f>IFERROR(IF(AND(Irr!E24&lt;&gt;".",Irr!AC24&lt;&gt;".",Irr!BA24&lt;&gt;"."),dir!F24/((1/1000)*(Irr!E24+Irr!AC24+Irr!BA24)),IF(AND(Irr!E24&lt;&gt;".",Irr!AC24&lt;&gt;".",Irr!BA24="."),dir!F24/((1/1000)*(Irr!E24+Irr!AC24)),IF(AND(Irr!E24&lt;&gt;".",Irr!AC24=".",Irr!BA24&lt;&gt;"."),dir!F24/((1/1000)*(Irr!E24+Irr!BA24)),IF(AND(Irr!E24=".",Irr!AC24&lt;&gt;".",Irr!BA24&lt;&gt;"."),dir!F24/((1/1000)*(Irr!AC24+Irr!BA24)),IF(AND(Irr!E24=".",Irr!AC24=".",Irr!BA24&lt;&gt;"."),dir!F24/((1/1000)*(Irr!BA24)),IF(AND(Irr!E24=".",Irr!AC24&lt;&gt;".",Irr!BA24="."),dir!F24/((1/1000)*(Irr!AC24)),IF(AND(Irr!E24&lt;&gt;".",Irr!AC24=".",Irr!BA24="."),dir!F24/((1/1000)*(Irr!E24)),IF(AND(Irr!E24=".",Irr!AC24=".",Irr!BA24="."),dir!F24*1000)))))))),".")</f>
        <v>.</v>
      </c>
      <c r="G24" s="48" t="str">
        <f>IFERROR(IF(AND(Irr!F24&lt;&gt;".",Irr!AD24&lt;&gt;".",Irr!BB24&lt;&gt;"."),dir!G24/((1/1000)*(Irr!F24+Irr!AD24+Irr!BB24)),IF(AND(Irr!F24&lt;&gt;".",Irr!AD24&lt;&gt;".",Irr!BB24="."),dir!G24/((1/1000)*(Irr!F24+Irr!AD24)),IF(AND(Irr!F24&lt;&gt;".",Irr!AD24=".",Irr!BB24&lt;&gt;"."),dir!G24/((1/1000)*(Irr!F24+Irr!BB24)),IF(AND(Irr!F24=".",Irr!AD24&lt;&gt;".",Irr!BB24&lt;&gt;"."),dir!G24/((1/1000)*(Irr!AD24+Irr!BB24)),IF(AND(Irr!F24=".",Irr!AD24=".",Irr!BB24&lt;&gt;"."),dir!G24/((1/1000)*(Irr!BB24)),IF(AND(Irr!F24=".",Irr!AD24&lt;&gt;".",Irr!BB24="."),dir!G24/((1/1000)*(Irr!AD24)),IF(AND(Irr!F24&lt;&gt;".",Irr!AD24=".",Irr!BB24="."),dir!G24/((1/1000)*(Irr!F24)),IF(AND(Irr!F24=".",Irr!AD24=".",Irr!BB24="."),dir!G24*1000)))))))),".")</f>
        <v>.</v>
      </c>
      <c r="H24" s="48" t="str">
        <f>IFERROR(IF(AND(Irr!G24&lt;&gt;".",Irr!AE24&lt;&gt;".",Irr!BC24&lt;&gt;"."),dir!H24/((1/1000)*(Irr!G24+Irr!AE24+Irr!BC24)),IF(AND(Irr!G24&lt;&gt;".",Irr!AE24&lt;&gt;".",Irr!BC24="."),dir!H24/((1/1000)*(Irr!G24+Irr!AE24)),IF(AND(Irr!G24&lt;&gt;".",Irr!AE24=".",Irr!BC24&lt;&gt;"."),dir!H24/((1/1000)*(Irr!G24+Irr!BC24)),IF(AND(Irr!G24=".",Irr!AE24&lt;&gt;".",Irr!BC24&lt;&gt;"."),dir!H24/((1/1000)*(Irr!AE24+Irr!BC24)),IF(AND(Irr!G24=".",Irr!AE24=".",Irr!BC24&lt;&gt;"."),dir!H24/((1/1000)*(Irr!BC24)),IF(AND(Irr!G24=".",Irr!AE24&lt;&gt;".",Irr!BC24="."),dir!H24/((1/1000)*(Irr!AE24)),IF(AND(Irr!G24&lt;&gt;".",Irr!AE24=".",Irr!BC24="."),dir!H24/((1/1000)*(Irr!G24)),IF(AND(Irr!G24=".",Irr!AE24=".",Irr!BC24="."),dir!H24*1000)))))))),".")</f>
        <v>.</v>
      </c>
      <c r="I24" s="48" t="str">
        <f>IFERROR(IF(AND(Irr!H24&lt;&gt;".",Irr!AF24&lt;&gt;".",Irr!BD24&lt;&gt;"."),dir!I24/((1/1000)*(Irr!H24+Irr!AF24+Irr!BD24)),IF(AND(Irr!H24&lt;&gt;".",Irr!AF24&lt;&gt;".",Irr!BD24="."),dir!I24/((1/1000)*(Irr!H24+Irr!AF24)),IF(AND(Irr!H24&lt;&gt;".",Irr!AF24=".",Irr!BD24&lt;&gt;"."),dir!I24/((1/1000)*(Irr!H24+Irr!BD24)),IF(AND(Irr!H24=".",Irr!AF24&lt;&gt;".",Irr!BD24&lt;&gt;"."),dir!I24/((1/1000)*(Irr!AF24+Irr!BD24)),IF(AND(Irr!H24=".",Irr!AF24=".",Irr!BD24&lt;&gt;"."),dir!I24/((1/1000)*(Irr!BD24)),IF(AND(Irr!H24=".",Irr!AF24&lt;&gt;".",Irr!BD24="."),dir!I24/((1/1000)*(Irr!AF24)),IF(AND(Irr!H24&lt;&gt;".",Irr!AF24=".",Irr!BD24="."),dir!I24/((1/1000)*(Irr!H24)),IF(AND(Irr!H24=".",Irr!AF24=".",Irr!BD24="."),dir!I24*1000)))))))),".")</f>
        <v>.</v>
      </c>
      <c r="J24" s="48" t="str">
        <f>IFERROR(IF(AND(Irr!I24&lt;&gt;".",Irr!AG24&lt;&gt;".",Irr!BE24&lt;&gt;"."),dir!J24/((1/1000)*(Irr!I24+Irr!AG24+Irr!BE24)),IF(AND(Irr!I24&lt;&gt;".",Irr!AG24&lt;&gt;".",Irr!BE24="."),dir!J24/((1/1000)*(Irr!I24+Irr!AG24)),IF(AND(Irr!I24&lt;&gt;".",Irr!AG24=".",Irr!BE24&lt;&gt;"."),dir!J24/((1/1000)*(Irr!I24+Irr!BE24)),IF(AND(Irr!I24=".",Irr!AG24&lt;&gt;".",Irr!BE24&lt;&gt;"."),dir!J24/((1/1000)*(Irr!AG24+Irr!BE24)),IF(AND(Irr!I24=".",Irr!AG24=".",Irr!BE24&lt;&gt;"."),dir!J24/((1/1000)*(Irr!BE24)),IF(AND(Irr!I24=".",Irr!AG24&lt;&gt;".",Irr!BE24="."),dir!J24/((1/1000)*(Irr!AG24)),IF(AND(Irr!I24&lt;&gt;".",Irr!AG24=".",Irr!BE24="."),dir!J24/((1/1000)*(Irr!I24)),IF(AND(Irr!I24=".",Irr!AG24=".",Irr!BE24="."),dir!J24*1000)))))))),".")</f>
        <v>.</v>
      </c>
      <c r="K24" s="48" t="str">
        <f>IFERROR(IF(AND(Irr!J24&lt;&gt;".",Irr!AH24&lt;&gt;".",Irr!BF24&lt;&gt;"."),dir!K24/((1/1000)*(Irr!J24+Irr!AH24+Irr!BF24)),IF(AND(Irr!J24&lt;&gt;".",Irr!AH24&lt;&gt;".",Irr!BF24="."),dir!K24/((1/1000)*(Irr!J24+Irr!AH24)),IF(AND(Irr!J24&lt;&gt;".",Irr!AH24=".",Irr!BF24&lt;&gt;"."),dir!K24/((1/1000)*(Irr!J24+Irr!BF24)),IF(AND(Irr!J24=".",Irr!AH24&lt;&gt;".",Irr!BF24&lt;&gt;"."),dir!K24/((1/1000)*(Irr!AH24+Irr!BF24)),IF(AND(Irr!J24=".",Irr!AH24=".",Irr!BF24&lt;&gt;"."),dir!K24/((1/1000)*(Irr!BF24)),IF(AND(Irr!J24=".",Irr!AH24&lt;&gt;".",Irr!BF24="."),dir!K24/((1/1000)*(Irr!AH24)),IF(AND(Irr!J24&lt;&gt;".",Irr!AH24=".",Irr!BF24="."),dir!K24/((1/1000)*(Irr!J24)),IF(AND(Irr!J24=".",Irr!AH24=".",Irr!BF24="."),dir!K24*1000)))))))),".")</f>
        <v>.</v>
      </c>
      <c r="L24" s="48" t="str">
        <f>IFERROR(IF(AND(Irr!K24&lt;&gt;".",Irr!AI24&lt;&gt;".",Irr!BG24&lt;&gt;"."),dir!L24/((1/1000)*(Irr!K24+Irr!AI24+Irr!BG24)),IF(AND(Irr!K24&lt;&gt;".",Irr!AI24&lt;&gt;".",Irr!BG24="."),dir!L24/((1/1000)*(Irr!K24+Irr!AI24)),IF(AND(Irr!K24&lt;&gt;".",Irr!AI24=".",Irr!BG24&lt;&gt;"."),dir!L24/((1/1000)*(Irr!K24+Irr!BG24)),IF(AND(Irr!K24=".",Irr!AI24&lt;&gt;".",Irr!BG24&lt;&gt;"."),dir!L24/((1/1000)*(Irr!AI24+Irr!BG24)),IF(AND(Irr!K24=".",Irr!AI24=".",Irr!BG24&lt;&gt;"."),dir!L24/((1/1000)*(Irr!BG24)),IF(AND(Irr!K24=".",Irr!AI24&lt;&gt;".",Irr!BG24="."),dir!L24/((1/1000)*(Irr!AI24)),IF(AND(Irr!K24&lt;&gt;".",Irr!AI24=".",Irr!BG24="."),dir!L24/((1/1000)*(Irr!K24)),IF(AND(Irr!K24=".",Irr!AI24=".",Irr!BG24="."),dir!L24*1000)))))))),".")</f>
        <v>.</v>
      </c>
      <c r="M24" s="48" t="str">
        <f>IFERROR(IF(AND(Irr!L24&lt;&gt;".",Irr!AJ24&lt;&gt;".",Irr!BH24&lt;&gt;"."),dir!M24/((1/1000)*(Irr!L24+Irr!AJ24+Irr!BH24)),IF(AND(Irr!L24&lt;&gt;".",Irr!AJ24&lt;&gt;".",Irr!BH24="."),dir!M24/((1/1000)*(Irr!L24+Irr!AJ24)),IF(AND(Irr!L24&lt;&gt;".",Irr!AJ24=".",Irr!BH24&lt;&gt;"."),dir!M24/((1/1000)*(Irr!L24+Irr!BH24)),IF(AND(Irr!L24=".",Irr!AJ24&lt;&gt;".",Irr!BH24&lt;&gt;"."),dir!M24/((1/1000)*(Irr!AJ24+Irr!BH24)),IF(AND(Irr!L24=".",Irr!AJ24=".",Irr!BH24&lt;&gt;"."),dir!M24/((1/1000)*(Irr!BH24)),IF(AND(Irr!L24=".",Irr!AJ24&lt;&gt;".",Irr!BH24="."),dir!M24/((1/1000)*(Irr!AJ24)),IF(AND(Irr!L24&lt;&gt;".",Irr!AJ24=".",Irr!BH24="."),dir!M24/((1/1000)*(Irr!L24)),IF(AND(Irr!L24=".",Irr!AJ24=".",Irr!BH24="."),dir!M24*1000)))))))),".")</f>
        <v>.</v>
      </c>
      <c r="N24" s="48" t="str">
        <f>IFERROR(IF(AND(Irr!M24&lt;&gt;".",Irr!AK24&lt;&gt;".",Irr!BI24&lt;&gt;"."),dir!N24/((1/1000)*(Irr!M24+Irr!AK24+Irr!BI24)),IF(AND(Irr!M24&lt;&gt;".",Irr!AK24&lt;&gt;".",Irr!BI24="."),dir!N24/((1/1000)*(Irr!M24+Irr!AK24)),IF(AND(Irr!M24&lt;&gt;".",Irr!AK24=".",Irr!BI24&lt;&gt;"."),dir!N24/((1/1000)*(Irr!M24+Irr!BI24)),IF(AND(Irr!M24=".",Irr!AK24&lt;&gt;".",Irr!BI24&lt;&gt;"."),dir!N24/((1/1000)*(Irr!AK24+Irr!BI24)),IF(AND(Irr!M24=".",Irr!AK24=".",Irr!BI24&lt;&gt;"."),dir!N24/((1/1000)*(Irr!BI24)),IF(AND(Irr!M24=".",Irr!AK24&lt;&gt;".",Irr!BI24="."),dir!N24/((1/1000)*(Irr!AK24)),IF(AND(Irr!M24&lt;&gt;".",Irr!AK24=".",Irr!BI24="."),dir!N24/((1/1000)*(Irr!M24)),IF(AND(Irr!M24=".",Irr!AK24=".",Irr!BI24="."),dir!N24*1000)))))))),".")</f>
        <v>.</v>
      </c>
      <c r="O24" s="48" t="str">
        <f>IFERROR(IF(AND(Irr!N24&lt;&gt;".",Irr!AL24&lt;&gt;".",Irr!BJ24&lt;&gt;"."),dir!O24/((1/1000)*(Irr!N24+Irr!AL24+Irr!BJ24)),IF(AND(Irr!N24&lt;&gt;".",Irr!AL24&lt;&gt;".",Irr!BJ24="."),dir!O24/((1/1000)*(Irr!N24+Irr!AL24)),IF(AND(Irr!N24&lt;&gt;".",Irr!AL24=".",Irr!BJ24&lt;&gt;"."),dir!O24/((1/1000)*(Irr!N24+Irr!BJ24)),IF(AND(Irr!N24=".",Irr!AL24&lt;&gt;".",Irr!BJ24&lt;&gt;"."),dir!O24/((1/1000)*(Irr!AL24+Irr!BJ24)),IF(AND(Irr!N24=".",Irr!AL24=".",Irr!BJ24&lt;&gt;"."),dir!O24/((1/1000)*(Irr!BJ24)),IF(AND(Irr!N24=".",Irr!AL24&lt;&gt;".",Irr!BJ24="."),dir!O24/((1/1000)*(Irr!AL24)),IF(AND(Irr!N24&lt;&gt;".",Irr!AL24=".",Irr!BJ24="."),dir!O24/((1/1000)*(Irr!N24)),IF(AND(Irr!N24=".",Irr!AL24=".",Irr!BJ24="."),dir!O24*1000)))))))),".")</f>
        <v>.</v>
      </c>
      <c r="P24" s="48" t="str">
        <f>IFERROR(IF(AND(Irr!O24&lt;&gt;".",Irr!AM24&lt;&gt;".",Irr!BK24&lt;&gt;"."),dir!P24/((1/1000)*(Irr!O24+Irr!AM24+Irr!BK24)),IF(AND(Irr!O24&lt;&gt;".",Irr!AM24&lt;&gt;".",Irr!BK24="."),dir!P24/((1/1000)*(Irr!O24+Irr!AM24)),IF(AND(Irr!O24&lt;&gt;".",Irr!AM24=".",Irr!BK24&lt;&gt;"."),dir!P24/((1/1000)*(Irr!O24+Irr!BK24)),IF(AND(Irr!O24=".",Irr!AM24&lt;&gt;".",Irr!BK24&lt;&gt;"."),dir!P24/((1/1000)*(Irr!AM24+Irr!BK24)),IF(AND(Irr!O24=".",Irr!AM24=".",Irr!BK24&lt;&gt;"."),dir!P24/((1/1000)*(Irr!BK24)),IF(AND(Irr!O24=".",Irr!AM24&lt;&gt;".",Irr!BK24="."),dir!P24/((1/1000)*(Irr!AM24)),IF(AND(Irr!O24&lt;&gt;".",Irr!AM24=".",Irr!BK24="."),dir!P24/((1/1000)*(Irr!O24)),IF(AND(Irr!O24=".",Irr!AM24=".",Irr!BK24="."),dir!P24*1000)))))))),".")</f>
        <v>.</v>
      </c>
      <c r="Q24" s="48" t="str">
        <f>IFERROR(IF(AND(Irr!P24&lt;&gt;".",Irr!AN24&lt;&gt;".",Irr!BL24&lt;&gt;"."),dir!Q24/((1/1000)*(Irr!P24+Irr!AN24+Irr!BL24)),IF(AND(Irr!P24&lt;&gt;".",Irr!AN24&lt;&gt;".",Irr!BL24="."),dir!Q24/((1/1000)*(Irr!P24+Irr!AN24)),IF(AND(Irr!P24&lt;&gt;".",Irr!AN24=".",Irr!BL24&lt;&gt;"."),dir!Q24/((1/1000)*(Irr!P24+Irr!BL24)),IF(AND(Irr!P24=".",Irr!AN24&lt;&gt;".",Irr!BL24&lt;&gt;"."),dir!Q24/((1/1000)*(Irr!AN24+Irr!BL24)),IF(AND(Irr!P24=".",Irr!AN24=".",Irr!BL24&lt;&gt;"."),dir!Q24/((1/1000)*(Irr!BL24)),IF(AND(Irr!P24=".",Irr!AN24&lt;&gt;".",Irr!BL24="."),dir!Q24/((1/1000)*(Irr!AN24)),IF(AND(Irr!P24&lt;&gt;".",Irr!AN24=".",Irr!BL24="."),dir!Q24/((1/1000)*(Irr!P24)),IF(AND(Irr!P24=".",Irr!AN24=".",Irr!BL24="."),dir!Q24*1000)))))))),".")</f>
        <v>.</v>
      </c>
      <c r="R24" s="48" t="str">
        <f>IFERROR(IF(AND(Irr!Q24&lt;&gt;".",Irr!AO24&lt;&gt;".",Irr!BM24&lt;&gt;"."),dir!R24/((1/1000)*(Irr!Q24+Irr!AO24+Irr!BM24)),IF(AND(Irr!Q24&lt;&gt;".",Irr!AO24&lt;&gt;".",Irr!BM24="."),dir!R24/((1/1000)*(Irr!Q24+Irr!AO24)),IF(AND(Irr!Q24&lt;&gt;".",Irr!AO24=".",Irr!BM24&lt;&gt;"."),dir!R24/((1/1000)*(Irr!Q24+Irr!BM24)),IF(AND(Irr!Q24=".",Irr!AO24&lt;&gt;".",Irr!BM24&lt;&gt;"."),dir!R24/((1/1000)*(Irr!AO24+Irr!BM24)),IF(AND(Irr!Q24=".",Irr!AO24=".",Irr!BM24&lt;&gt;"."),dir!R24/((1/1000)*(Irr!BM24)),IF(AND(Irr!Q24=".",Irr!AO24&lt;&gt;".",Irr!BM24="."),dir!R24/((1/1000)*(Irr!AO24)),IF(AND(Irr!Q24&lt;&gt;".",Irr!AO24=".",Irr!BM24="."),dir!R24/((1/1000)*(Irr!Q24)),IF(AND(Irr!Q24=".",Irr!AO24=".",Irr!BM24="."),dir!R24*1000)))))))),".")</f>
        <v>.</v>
      </c>
      <c r="S24" s="48" t="str">
        <f>IFERROR(IF(AND(Irr!R24&lt;&gt;".",Irr!AP24&lt;&gt;".",Irr!BN24&lt;&gt;"."),dir!S24/((1/1000)*(Irr!R24+Irr!AP24+Irr!BN24)),IF(AND(Irr!R24&lt;&gt;".",Irr!AP24&lt;&gt;".",Irr!BN24="."),dir!S24/((1/1000)*(Irr!R24+Irr!AP24)),IF(AND(Irr!R24&lt;&gt;".",Irr!AP24=".",Irr!BN24&lt;&gt;"."),dir!S24/((1/1000)*(Irr!R24+Irr!BN24)),IF(AND(Irr!R24=".",Irr!AP24&lt;&gt;".",Irr!BN24&lt;&gt;"."),dir!S24/((1/1000)*(Irr!AP24+Irr!BN24)),IF(AND(Irr!R24=".",Irr!AP24=".",Irr!BN24&lt;&gt;"."),dir!S24/((1/1000)*(Irr!BN24)),IF(AND(Irr!R24=".",Irr!AP24&lt;&gt;".",Irr!BN24="."),dir!S24/((1/1000)*(Irr!AP24)),IF(AND(Irr!R24&lt;&gt;".",Irr!AP24=".",Irr!BN24="."),dir!S24/((1/1000)*(Irr!R24)),IF(AND(Irr!R24=".",Irr!AP24=".",Irr!BN24="."),dir!S24*1000)))))))),".")</f>
        <v>.</v>
      </c>
      <c r="T24" s="48" t="str">
        <f>IFERROR(IF(AND(Irr!S24&lt;&gt;".",Irr!AQ24&lt;&gt;".",Irr!BO24&lt;&gt;"."),dir!T24/((1/1000)*(Irr!S24+Irr!AQ24+Irr!BO24)),IF(AND(Irr!S24&lt;&gt;".",Irr!AQ24&lt;&gt;".",Irr!BO24="."),dir!T24/((1/1000)*(Irr!S24+Irr!AQ24)),IF(AND(Irr!S24&lt;&gt;".",Irr!AQ24=".",Irr!BO24&lt;&gt;"."),dir!T24/((1/1000)*(Irr!S24+Irr!BO24)),IF(AND(Irr!S24=".",Irr!AQ24&lt;&gt;".",Irr!BO24&lt;&gt;"."),dir!T24/((1/1000)*(Irr!AQ24+Irr!BO24)),IF(AND(Irr!S24=".",Irr!AQ24=".",Irr!BO24&lt;&gt;"."),dir!T24/((1/1000)*(Irr!BO24)),IF(AND(Irr!S24=".",Irr!AQ24&lt;&gt;".",Irr!BO24="."),dir!T24/((1/1000)*(Irr!AQ24)),IF(AND(Irr!S24&lt;&gt;".",Irr!AQ24=".",Irr!BO24="."),dir!T24/((1/1000)*(Irr!S24)),IF(AND(Irr!S24=".",Irr!AQ24=".",Irr!BO24="."),dir!T24*1000)))))))),".")</f>
        <v>.</v>
      </c>
      <c r="U24" s="48" t="str">
        <f>IFERROR(IF(AND(Irr!T24&lt;&gt;".",Irr!AR24&lt;&gt;".",Irr!BP24&lt;&gt;"."),dir!U24/((1/1000)*(Irr!T24+Irr!AR24+Irr!BP24)),IF(AND(Irr!T24&lt;&gt;".",Irr!AR24&lt;&gt;".",Irr!BP24="."),dir!U24/((1/1000)*(Irr!T24+Irr!AR24)),IF(AND(Irr!T24&lt;&gt;".",Irr!AR24=".",Irr!BP24&lt;&gt;"."),dir!U24/((1/1000)*(Irr!T24+Irr!BP24)),IF(AND(Irr!T24=".",Irr!AR24&lt;&gt;".",Irr!BP24&lt;&gt;"."),dir!U24/((1/1000)*(Irr!AR24+Irr!BP24)),IF(AND(Irr!T24=".",Irr!AR24=".",Irr!BP24&lt;&gt;"."),dir!U24/((1/1000)*(Irr!BP24)),IF(AND(Irr!T24=".",Irr!AR24&lt;&gt;".",Irr!BP24="."),dir!U24/((1/1000)*(Irr!AR24)),IF(AND(Irr!T24&lt;&gt;".",Irr!AR24=".",Irr!BP24="."),dir!U24/((1/1000)*(Irr!T24)),IF(AND(Irr!T24=".",Irr!AR24=".",Irr!BP24="."),dir!U24*1000)))))))),".")</f>
        <v>.</v>
      </c>
      <c r="V24" s="48" t="str">
        <f>IFERROR(IF(AND(Irr!U24&lt;&gt;".",Irr!AS24&lt;&gt;".",Irr!BQ24&lt;&gt;"."),dir!V24/((1/1000)*(Irr!U24+Irr!AS24+Irr!BQ24)),IF(AND(Irr!U24&lt;&gt;".",Irr!AS24&lt;&gt;".",Irr!BQ24="."),dir!V24/((1/1000)*(Irr!U24+Irr!AS24)),IF(AND(Irr!U24&lt;&gt;".",Irr!AS24=".",Irr!BQ24&lt;&gt;"."),dir!V24/((1/1000)*(Irr!U24+Irr!BQ24)),IF(AND(Irr!U24=".",Irr!AS24&lt;&gt;".",Irr!BQ24&lt;&gt;"."),dir!V24/((1/1000)*(Irr!AS24+Irr!BQ24)),IF(AND(Irr!U24=".",Irr!AS24=".",Irr!BQ24&lt;&gt;"."),dir!V24/((1/1000)*(Irr!BQ24)),IF(AND(Irr!U24=".",Irr!AS24&lt;&gt;".",Irr!BQ24="."),dir!V24/((1/1000)*(Irr!AS24)),IF(AND(Irr!U24&lt;&gt;".",Irr!AS24=".",Irr!BQ24="."),dir!V24/((1/1000)*(Irr!U24)),IF(AND(Irr!U24=".",Irr!AS24=".",Irr!BQ24="."),dir!V24*1000)))))))),".")</f>
        <v>.</v>
      </c>
      <c r="W24" s="48" t="str">
        <f>IFERROR(IF(AND(Irr!V24&lt;&gt;".",Irr!AT24&lt;&gt;".",Irr!BR24&lt;&gt;"."),dir!W24/((1/1000)*(Irr!V24+Irr!AT24+Irr!BR24)),IF(AND(Irr!V24&lt;&gt;".",Irr!AT24&lt;&gt;".",Irr!BR24="."),dir!W24/((1/1000)*(Irr!V24+Irr!AT24)),IF(AND(Irr!V24&lt;&gt;".",Irr!AT24=".",Irr!BR24&lt;&gt;"."),dir!W24/((1/1000)*(Irr!V24+Irr!BR24)),IF(AND(Irr!V24=".",Irr!AT24&lt;&gt;".",Irr!BR24&lt;&gt;"."),dir!W24/((1/1000)*(Irr!AT24+Irr!BR24)),IF(AND(Irr!V24=".",Irr!AT24=".",Irr!BR24&lt;&gt;"."),dir!W24/((1/1000)*(Irr!BR24)),IF(AND(Irr!V24=".",Irr!AT24&lt;&gt;".",Irr!BR24="."),dir!W24/((1/1000)*(Irr!AT24)),IF(AND(Irr!V24&lt;&gt;".",Irr!AT24=".",Irr!BR24="."),dir!W24/((1/1000)*(Irr!V24)),IF(AND(Irr!V24=".",Irr!AT24=".",Irr!BR24="."),dir!W24*1000)))))))),".")</f>
        <v>.</v>
      </c>
      <c r="X24" s="48" t="str">
        <f>IFERROR(IF(AND(Irr!W24&lt;&gt;".",Irr!AU24&lt;&gt;".",Irr!BS24&lt;&gt;"."),dir!X24/((1/1000)*(Irr!W24+Irr!AU24+Irr!BS24)),IF(AND(Irr!W24&lt;&gt;".",Irr!AU24&lt;&gt;".",Irr!BS24="."),dir!X24/((1/1000)*(Irr!W24+Irr!AU24)),IF(AND(Irr!W24&lt;&gt;".",Irr!AU24=".",Irr!BS24&lt;&gt;"."),dir!X24/((1/1000)*(Irr!W24+Irr!BS24)),IF(AND(Irr!W24=".",Irr!AU24&lt;&gt;".",Irr!BS24&lt;&gt;"."),dir!X24/((1/1000)*(Irr!AU24+Irr!BS24)),IF(AND(Irr!W24=".",Irr!AU24=".",Irr!BS24&lt;&gt;"."),dir!X24/((1/1000)*(Irr!BS24)),IF(AND(Irr!W24=".",Irr!AU24&lt;&gt;".",Irr!BS24="."),dir!X24/((1/1000)*(Irr!AU24)),IF(AND(Irr!W24&lt;&gt;".",Irr!AU24=".",Irr!BS24="."),dir!X24/((1/1000)*(Irr!W24)),IF(AND(Irr!W24=".",Irr!AU24=".",Irr!BS24="."),dir!X24*1000)))))))),".")</f>
        <v>.</v>
      </c>
      <c r="Y24" s="48" t="str">
        <f>IFERROR(IF(AND(Irr!X24&lt;&gt;".",Irr!AV24&lt;&gt;".",Irr!BT24&lt;&gt;"."),dir!Y24/((1/1000)*(Irr!X24+Irr!AV24+Irr!BT24)),IF(AND(Irr!X24&lt;&gt;".",Irr!AV24&lt;&gt;".",Irr!BT24="."),dir!Y24/((1/1000)*(Irr!X24+Irr!AV24)),IF(AND(Irr!X24&lt;&gt;".",Irr!AV24=".",Irr!BT24&lt;&gt;"."),dir!Y24/((1/1000)*(Irr!X24+Irr!BT24)),IF(AND(Irr!X24=".",Irr!AV24&lt;&gt;".",Irr!BT24&lt;&gt;"."),dir!Y24/((1/1000)*(Irr!AV24+Irr!BT24)),IF(AND(Irr!X24=".",Irr!AV24=".",Irr!BT24&lt;&gt;"."),dir!Y24/((1/1000)*(Irr!BT24)),IF(AND(Irr!X24=".",Irr!AV24&lt;&gt;".",Irr!BT24="."),dir!Y24/((1/1000)*(Irr!AV24)),IF(AND(Irr!X24&lt;&gt;".",Irr!AV24=".",Irr!BT24="."),dir!Y24/((1/1000)*(Irr!X24)),IF(AND(Irr!X24=".",Irr!AV24=".",Irr!BT24="."),dir!Y24*1000)))))))),".")</f>
        <v>.</v>
      </c>
      <c r="Z24" s="48" t="str">
        <f>IFERROR(IF(AND(Irr!Y24&lt;&gt;".",Irr!AW24&lt;&gt;".",Irr!BU24&lt;&gt;"."),dir!Z24/((1/1000)*(Irr!Y24+Irr!AW24+Irr!BU24)),IF(AND(Irr!Y24&lt;&gt;".",Irr!AW24&lt;&gt;".",Irr!BU24="."),dir!Z24/((1/1000)*(Irr!Y24+Irr!AW24)),IF(AND(Irr!Y24&lt;&gt;".",Irr!AW24=".",Irr!BU24&lt;&gt;"."),dir!Z24/((1/1000)*(Irr!Y24+Irr!BU24)),IF(AND(Irr!Y24=".",Irr!AW24&lt;&gt;".",Irr!BU24&lt;&gt;"."),dir!Z24/((1/1000)*(Irr!AW24+Irr!BU24)),IF(AND(Irr!Y24=".",Irr!AW24=".",Irr!BU24&lt;&gt;"."),dir!Z24/((1/1000)*(Irr!BU24)),IF(AND(Irr!Y24=".",Irr!AW24&lt;&gt;".",Irr!BU24="."),dir!Z24/((1/1000)*(Irr!AW24)),IF(AND(Irr!Y24&lt;&gt;".",Irr!AW24=".",Irr!BU24="."),dir!Z24/((1/1000)*(Irr!Y24)),IF(AND(Irr!Y24=".",Irr!AW24=".",Irr!BU24="."),dir!Z24*1000)))))))),".")</f>
        <v>.</v>
      </c>
      <c r="AA24" s="48" t="str">
        <f>IFERROR(IF(AND(Irr!Z24&lt;&gt;".",Irr!AX24&lt;&gt;".",Irr!BV24&lt;&gt;"."),dir!AA24/((1/1000)*(Irr!Z24+Irr!AX24+Irr!BV24)),IF(AND(Irr!Z24&lt;&gt;".",Irr!AX24&lt;&gt;".",Irr!BV24="."),dir!AA24/((1/1000)*(Irr!Z24+Irr!AX24)),IF(AND(Irr!Z24&lt;&gt;".",Irr!AX24=".",Irr!BV24&lt;&gt;"."),dir!AA24/((1/1000)*(Irr!Z24+Irr!BV24)),IF(AND(Irr!Z24=".",Irr!AX24&lt;&gt;".",Irr!BV24&lt;&gt;"."),dir!AA24/((1/1000)*(Irr!AX24+Irr!BV24)),IF(AND(Irr!Z24=".",Irr!AX24=".",Irr!BV24&lt;&gt;"."),dir!AA24/((1/1000)*(Irr!BV24)),IF(AND(Irr!Z24=".",Irr!AX24&lt;&gt;".",Irr!BV24="."),dir!AA24/((1/1000)*(Irr!AX24)),IF(AND(Irr!Z24&lt;&gt;".",Irr!AX24=".",Irr!BV24="."),dir!AA24/((1/1000)*(Irr!Z24)),IF(AND(Irr!Z24=".",Irr!AX24=".",Irr!BV24="."),dir!AA24*1000)))))))),".")</f>
        <v>.</v>
      </c>
      <c r="AB24" s="48" t="str">
        <f t="shared" ref="AB24:AB25" si="21">IFERROR(1/SUM(1/AC24,1/AD24,1/AE24,1/AF24,1/AG24,1/AH24,1/AI24,1/AJ24,1/AK24,1/AL24,1/AM24,1/AN24,1/AO24,1/AP24,1/AQ24,1/AR24,1/AS24,1/AT24,1/AU24,1/AV24,1/AW24,1/AX24),".")</f>
        <v>.</v>
      </c>
      <c r="AC24" s="48" t="str">
        <f>IFERROR(IF(AND(Irr!C24&lt;&gt;".",Irr!AA24&lt;&gt;".",Irr!AY24&lt;&gt;"."),dir!AC24/((1/1000)*(Irr!C24+Irr!AA24+Irr!AY24)),IF(AND(Irr!C24&lt;&gt;".",Irr!AA24&lt;&gt;".",Irr!AY24="."),dir!AC24/((1/1000)*(Irr!C24+Irr!AA24)),IF(AND(Irr!C24&lt;&gt;".",Irr!AA24=".",Irr!AY24&lt;&gt;"."),dir!AC24/((1/1000)*(Irr!C24+Irr!AY24)),IF(AND(Irr!C24=".",Irr!AA24&lt;&gt;".",Irr!AY24&lt;&gt;"."),dir!AC24/((1/1000)*(Irr!AA24+Irr!AY24)),IF(AND(Irr!C24=".",Irr!AA24=".",Irr!AY24&lt;&gt;"."),dir!AC24/((1/1000)*(Irr!AY24)),IF(AND(Irr!C24=".",Irr!AA24&lt;&gt;".",Irr!AY24="."),dir!AC24/((1/1000)*(Irr!AA24)),IF(AND(Irr!C24&lt;&gt;".",Irr!AA24=".",Irr!AY24="."),dir!AC24/((1/1000)*(Irr!C24)),IF(AND(Irr!C24=".",Irr!AA24=".",Irr!AY24="."),dir!AC24*1000)))))))),".")</f>
        <v>.</v>
      </c>
      <c r="AD24" s="48" t="str">
        <f>IFERROR(IF(AND(Irr!D24&lt;&gt;".",Irr!AB24&lt;&gt;".",Irr!AZ24&lt;&gt;"."),dir!AD24/((1/1000)*(Irr!D24+Irr!AB24+Irr!AZ24)),IF(AND(Irr!D24&lt;&gt;".",Irr!AB24&lt;&gt;".",Irr!AZ24="."),dir!AD24/((1/1000)*(Irr!D24+Irr!AB24)),IF(AND(Irr!D24&lt;&gt;".",Irr!AB24=".",Irr!AZ24&lt;&gt;"."),dir!AD24/((1/1000)*(Irr!D24+Irr!AZ24)),IF(AND(Irr!D24=".",Irr!AB24&lt;&gt;".",Irr!AZ24&lt;&gt;"."),dir!AD24/((1/1000)*(Irr!AB24+Irr!AZ24)),IF(AND(Irr!D24=".",Irr!AB24=".",Irr!AZ24&lt;&gt;"."),dir!AD24/((1/1000)*(Irr!AZ24)),IF(AND(Irr!D24=".",Irr!AB24&lt;&gt;".",Irr!AZ24="."),dir!AD24/((1/1000)*(Irr!AB24)),IF(AND(Irr!D24&lt;&gt;".",Irr!AB24=".",Irr!AZ24="."),dir!AD24/((1/1000)*(Irr!D24)),IF(AND(Irr!D24=".",Irr!AB24=".",Irr!AZ24="."),dir!AD24*1000)))))))),".")</f>
        <v>.</v>
      </c>
      <c r="AE24" s="48" t="str">
        <f>IFERROR(IF(AND(Irr!E24&lt;&gt;".",Irr!AC24&lt;&gt;".",Irr!BA24&lt;&gt;"."),dir!AE24/((1/1000)*(Irr!E24+Irr!AC24+Irr!BA24)),IF(AND(Irr!E24&lt;&gt;".",Irr!AC24&lt;&gt;".",Irr!BA24="."),dir!AE24/((1/1000)*(Irr!E24+Irr!AC24)),IF(AND(Irr!E24&lt;&gt;".",Irr!AC24=".",Irr!BA24&lt;&gt;"."),dir!AE24/((1/1000)*(Irr!E24+Irr!BA24)),IF(AND(Irr!E24=".",Irr!AC24&lt;&gt;".",Irr!BA24&lt;&gt;"."),dir!AE24/((1/1000)*(Irr!AC24+Irr!BA24)),IF(AND(Irr!E24=".",Irr!AC24=".",Irr!BA24&lt;&gt;"."),dir!AE24/((1/1000)*(Irr!BA24)),IF(AND(Irr!E24=".",Irr!AC24&lt;&gt;".",Irr!BA24="."),dir!AE24/((1/1000)*(Irr!AC24)),IF(AND(Irr!E24&lt;&gt;".",Irr!AC24=".",Irr!BA24="."),dir!AE24/((1/1000)*(Irr!E24)),IF(AND(Irr!E24=".",Irr!AC24=".",Irr!BA24="."),dir!AE24*1000)))))))),".")</f>
        <v>.</v>
      </c>
      <c r="AF24" s="48" t="str">
        <f>IFERROR(IF(AND(Irr!F24&lt;&gt;".",Irr!AD24&lt;&gt;".",Irr!BB24&lt;&gt;"."),dir!AF24/((1/1000)*(Irr!F24+Irr!AD24+Irr!BB24)),IF(AND(Irr!F24&lt;&gt;".",Irr!AD24&lt;&gt;".",Irr!BB24="."),dir!AF24/((1/1000)*(Irr!F24+Irr!AD24)),IF(AND(Irr!F24&lt;&gt;".",Irr!AD24=".",Irr!BB24&lt;&gt;"."),dir!AF24/((1/1000)*(Irr!F24+Irr!BB24)),IF(AND(Irr!F24=".",Irr!AD24&lt;&gt;".",Irr!BB24&lt;&gt;"."),dir!AF24/((1/1000)*(Irr!AD24+Irr!BB24)),IF(AND(Irr!F24=".",Irr!AD24=".",Irr!BB24&lt;&gt;"."),dir!AF24/((1/1000)*(Irr!BB24)),IF(AND(Irr!F24=".",Irr!AD24&lt;&gt;".",Irr!BB24="."),dir!AF24/((1/1000)*(Irr!AD24)),IF(AND(Irr!F24&lt;&gt;".",Irr!AD24=".",Irr!BB24="."),dir!AF24/((1/1000)*(Irr!F24)),IF(AND(Irr!F24=".",Irr!AD24=".",Irr!BB24="."),dir!AF24*1000)))))))),".")</f>
        <v>.</v>
      </c>
      <c r="AG24" s="48" t="str">
        <f>IFERROR(IF(AND(Irr!G24&lt;&gt;".",Irr!AE24&lt;&gt;".",Irr!BC24&lt;&gt;"."),dir!AG24/((1/1000)*(Irr!G24+Irr!AE24+Irr!BC24)),IF(AND(Irr!G24&lt;&gt;".",Irr!AE24&lt;&gt;".",Irr!BC24="."),dir!AG24/((1/1000)*(Irr!G24+Irr!AE24)),IF(AND(Irr!G24&lt;&gt;".",Irr!AE24=".",Irr!BC24&lt;&gt;"."),dir!AG24/((1/1000)*(Irr!G24+Irr!BC24)),IF(AND(Irr!G24=".",Irr!AE24&lt;&gt;".",Irr!BC24&lt;&gt;"."),dir!AG24/((1/1000)*(Irr!AE24+Irr!BC24)),IF(AND(Irr!G24=".",Irr!AE24=".",Irr!BC24&lt;&gt;"."),dir!AG24/((1/1000)*(Irr!BC24)),IF(AND(Irr!G24=".",Irr!AE24&lt;&gt;".",Irr!BC24="."),dir!AG24/((1/1000)*(Irr!AE24)),IF(AND(Irr!G24&lt;&gt;".",Irr!AE24=".",Irr!BC24="."),dir!AG24/((1/1000)*(Irr!G24)),IF(AND(Irr!G24=".",Irr!AE24=".",Irr!BC24="."),dir!AG24*1000)))))))),".")</f>
        <v>.</v>
      </c>
      <c r="AH24" s="48" t="str">
        <f>IFERROR(IF(AND(Irr!H24&lt;&gt;".",Irr!AF24&lt;&gt;".",Irr!BD24&lt;&gt;"."),dir!AH24/((1/1000)*(Irr!H24+Irr!AF24+Irr!BD24)),IF(AND(Irr!H24&lt;&gt;".",Irr!AF24&lt;&gt;".",Irr!BD24="."),dir!AH24/((1/1000)*(Irr!H24+Irr!AF24)),IF(AND(Irr!H24&lt;&gt;".",Irr!AF24=".",Irr!BD24&lt;&gt;"."),dir!AH24/((1/1000)*(Irr!H24+Irr!BD24)),IF(AND(Irr!H24=".",Irr!AF24&lt;&gt;".",Irr!BD24&lt;&gt;"."),dir!AH24/((1/1000)*(Irr!AF24+Irr!BD24)),IF(AND(Irr!H24=".",Irr!AF24=".",Irr!BD24&lt;&gt;"."),dir!AH24/((1/1000)*(Irr!BD24)),IF(AND(Irr!H24=".",Irr!AF24&lt;&gt;".",Irr!BD24="."),dir!AH24/((1/1000)*(Irr!AF24)),IF(AND(Irr!H24&lt;&gt;".",Irr!AF24=".",Irr!BD24="."),dir!AH24/((1/1000)*(Irr!H24)),IF(AND(Irr!H24=".",Irr!AF24=".",Irr!BD24="."),dir!AH24*1000)))))))),".")</f>
        <v>.</v>
      </c>
      <c r="AI24" s="48" t="str">
        <f>IFERROR(IF(AND(Irr!I24&lt;&gt;".",Irr!AG24&lt;&gt;".",Irr!BE24&lt;&gt;"."),dir!AI24/((1/1000)*(Irr!I24+Irr!AG24+Irr!BE24)),IF(AND(Irr!I24&lt;&gt;".",Irr!AG24&lt;&gt;".",Irr!BE24="."),dir!AI24/((1/1000)*(Irr!I24+Irr!AG24)),IF(AND(Irr!I24&lt;&gt;".",Irr!AG24=".",Irr!BE24&lt;&gt;"."),dir!AI24/((1/1000)*(Irr!I24+Irr!BE24)),IF(AND(Irr!I24=".",Irr!AG24&lt;&gt;".",Irr!BE24&lt;&gt;"."),dir!AI24/((1/1000)*(Irr!AG24+Irr!BE24)),IF(AND(Irr!I24=".",Irr!AG24=".",Irr!BE24&lt;&gt;"."),dir!AI24/((1/1000)*(Irr!BE24)),IF(AND(Irr!I24=".",Irr!AG24&lt;&gt;".",Irr!BE24="."),dir!AI24/((1/1000)*(Irr!AG24)),IF(AND(Irr!I24&lt;&gt;".",Irr!AG24=".",Irr!BE24="."),dir!AI24/((1/1000)*(Irr!I24)),IF(AND(Irr!I24=".",Irr!AG24=".",Irr!BE24="."),dir!AI24*1000)))))))),".")</f>
        <v>.</v>
      </c>
      <c r="AJ24" s="48" t="str">
        <f>IFERROR(IF(AND(Irr!J24&lt;&gt;".",Irr!AH24&lt;&gt;".",Irr!BF24&lt;&gt;"."),dir!AJ24/((1/1000)*(Irr!J24+Irr!AH24+Irr!BF24)),IF(AND(Irr!J24&lt;&gt;".",Irr!AH24&lt;&gt;".",Irr!BF24="."),dir!AJ24/((1/1000)*(Irr!J24+Irr!AH24)),IF(AND(Irr!J24&lt;&gt;".",Irr!AH24=".",Irr!BF24&lt;&gt;"."),dir!AJ24/((1/1000)*(Irr!J24+Irr!BF24)),IF(AND(Irr!J24=".",Irr!AH24&lt;&gt;".",Irr!BF24&lt;&gt;"."),dir!AJ24/((1/1000)*(Irr!AH24+Irr!BF24)),IF(AND(Irr!J24=".",Irr!AH24=".",Irr!BF24&lt;&gt;"."),dir!AJ24/((1/1000)*(Irr!BF24)),IF(AND(Irr!J24=".",Irr!AH24&lt;&gt;".",Irr!BF24="."),dir!AJ24/((1/1000)*(Irr!AH24)),IF(AND(Irr!J24&lt;&gt;".",Irr!AH24=".",Irr!BF24="."),dir!AJ24/((1/1000)*(Irr!J24)),IF(AND(Irr!J24=".",Irr!AH24=".",Irr!BF24="."),dir!AJ24*1000)))))))),".")</f>
        <v>.</v>
      </c>
      <c r="AK24" s="48" t="str">
        <f>IFERROR(IF(AND(Irr!K24&lt;&gt;".",Irr!AI24&lt;&gt;".",Irr!BG24&lt;&gt;"."),dir!AK24/((1/1000)*(Irr!K24+Irr!AI24+Irr!BG24)),IF(AND(Irr!K24&lt;&gt;".",Irr!AI24&lt;&gt;".",Irr!BG24="."),dir!AK24/((1/1000)*(Irr!K24+Irr!AI24)),IF(AND(Irr!K24&lt;&gt;".",Irr!AI24=".",Irr!BG24&lt;&gt;"."),dir!AK24/((1/1000)*(Irr!K24+Irr!BG24)),IF(AND(Irr!K24=".",Irr!AI24&lt;&gt;".",Irr!BG24&lt;&gt;"."),dir!AK24/((1/1000)*(Irr!AI24+Irr!BG24)),IF(AND(Irr!K24=".",Irr!AI24=".",Irr!BG24&lt;&gt;"."),dir!AK24/((1/1000)*(Irr!BG24)),IF(AND(Irr!K24=".",Irr!AI24&lt;&gt;".",Irr!BG24="."),dir!AK24/((1/1000)*(Irr!AI24)),IF(AND(Irr!K24&lt;&gt;".",Irr!AI24=".",Irr!BG24="."),dir!AK24/((1/1000)*(Irr!K24)),IF(AND(Irr!K24=".",Irr!AI24=".",Irr!BG24="."),dir!AK24*1000)))))))),".")</f>
        <v>.</v>
      </c>
      <c r="AL24" s="48" t="str">
        <f>IFERROR(IF(AND(Irr!L24&lt;&gt;".",Irr!AJ24&lt;&gt;".",Irr!BH24&lt;&gt;"."),dir!AL24/((1/1000)*(Irr!L24+Irr!AJ24+Irr!BH24)),IF(AND(Irr!L24&lt;&gt;".",Irr!AJ24&lt;&gt;".",Irr!BH24="."),dir!AL24/((1/1000)*(Irr!L24+Irr!AJ24)),IF(AND(Irr!L24&lt;&gt;".",Irr!AJ24=".",Irr!BH24&lt;&gt;"."),dir!AL24/((1/1000)*(Irr!L24+Irr!BH24)),IF(AND(Irr!L24=".",Irr!AJ24&lt;&gt;".",Irr!BH24&lt;&gt;"."),dir!AL24/((1/1000)*(Irr!AJ24+Irr!BH24)),IF(AND(Irr!L24=".",Irr!AJ24=".",Irr!BH24&lt;&gt;"."),dir!AL24/((1/1000)*(Irr!BH24)),IF(AND(Irr!L24=".",Irr!AJ24&lt;&gt;".",Irr!BH24="."),dir!AL24/((1/1000)*(Irr!AJ24)),IF(AND(Irr!L24&lt;&gt;".",Irr!AJ24=".",Irr!BH24="."),dir!AL24/((1/1000)*(Irr!L24)),IF(AND(Irr!L24=".",Irr!AJ24=".",Irr!BH24="."),dir!AL24*1000)))))))),".")</f>
        <v>.</v>
      </c>
      <c r="AM24" s="48" t="str">
        <f>IFERROR(IF(AND(Irr!M24&lt;&gt;".",Irr!AK24&lt;&gt;".",Irr!BI24&lt;&gt;"."),dir!AM24/((1/1000)*(Irr!M24+Irr!AK24+Irr!BI24)),IF(AND(Irr!M24&lt;&gt;".",Irr!AK24&lt;&gt;".",Irr!BI24="."),dir!AM24/((1/1000)*(Irr!M24+Irr!AK24)),IF(AND(Irr!M24&lt;&gt;".",Irr!AK24=".",Irr!BI24&lt;&gt;"."),dir!AM24/((1/1000)*(Irr!M24+Irr!BI24)),IF(AND(Irr!M24=".",Irr!AK24&lt;&gt;".",Irr!BI24&lt;&gt;"."),dir!AM24/((1/1000)*(Irr!AK24+Irr!BI24)),IF(AND(Irr!M24=".",Irr!AK24=".",Irr!BI24&lt;&gt;"."),dir!AM24/((1/1000)*(Irr!BI24)),IF(AND(Irr!M24=".",Irr!AK24&lt;&gt;".",Irr!BI24="."),dir!AM24/((1/1000)*(Irr!AK24)),IF(AND(Irr!M24&lt;&gt;".",Irr!AK24=".",Irr!BI24="."),dir!AM24/((1/1000)*(Irr!M24)),IF(AND(Irr!M24=".",Irr!AK24=".",Irr!BI24="."),dir!AM24*1000)))))))),".")</f>
        <v>.</v>
      </c>
      <c r="AN24" s="48" t="str">
        <f>IFERROR(IF(AND(Irr!N24&lt;&gt;".",Irr!AL24&lt;&gt;".",Irr!BJ24&lt;&gt;"."),dir!AN24/((1/1000)*(Irr!N24+Irr!AL24+Irr!BJ24)),IF(AND(Irr!N24&lt;&gt;".",Irr!AL24&lt;&gt;".",Irr!BJ24="."),dir!AN24/((1/1000)*(Irr!N24+Irr!AL24)),IF(AND(Irr!N24&lt;&gt;".",Irr!AL24=".",Irr!BJ24&lt;&gt;"."),dir!AN24/((1/1000)*(Irr!N24+Irr!BJ24)),IF(AND(Irr!N24=".",Irr!AL24&lt;&gt;".",Irr!BJ24&lt;&gt;"."),dir!AN24/((1/1000)*(Irr!AL24+Irr!BJ24)),IF(AND(Irr!N24=".",Irr!AL24=".",Irr!BJ24&lt;&gt;"."),dir!AN24/((1/1000)*(Irr!BJ24)),IF(AND(Irr!N24=".",Irr!AL24&lt;&gt;".",Irr!BJ24="."),dir!AN24/((1/1000)*(Irr!AL24)),IF(AND(Irr!N24&lt;&gt;".",Irr!AL24=".",Irr!BJ24="."),dir!AN24/((1/1000)*(Irr!N24)),IF(AND(Irr!N24=".",Irr!AL24=".",Irr!BJ24="."),dir!AN24*1000)))))))),".")</f>
        <v>.</v>
      </c>
      <c r="AO24" s="48" t="str">
        <f>IFERROR(IF(AND(Irr!O24&lt;&gt;".",Irr!AM24&lt;&gt;".",Irr!BK24&lt;&gt;"."),dir!AO24/((1/1000)*(Irr!O24+Irr!AM24+Irr!BK24)),IF(AND(Irr!O24&lt;&gt;".",Irr!AM24&lt;&gt;".",Irr!BK24="."),dir!AO24/((1/1000)*(Irr!O24+Irr!AM24)),IF(AND(Irr!O24&lt;&gt;".",Irr!AM24=".",Irr!BK24&lt;&gt;"."),dir!AO24/((1/1000)*(Irr!O24+Irr!BK24)),IF(AND(Irr!O24=".",Irr!AM24&lt;&gt;".",Irr!BK24&lt;&gt;"."),dir!AO24/((1/1000)*(Irr!AM24+Irr!BK24)),IF(AND(Irr!O24=".",Irr!AM24=".",Irr!BK24&lt;&gt;"."),dir!AO24/((1/1000)*(Irr!BK24)),IF(AND(Irr!O24=".",Irr!AM24&lt;&gt;".",Irr!BK24="."),dir!AO24/((1/1000)*(Irr!AM24)),IF(AND(Irr!O24&lt;&gt;".",Irr!AM24=".",Irr!BK24="."),dir!AO24/((1/1000)*(Irr!O24)),IF(AND(Irr!O24=".",Irr!AM24=".",Irr!BK24="."),dir!AO24*1000)))))))),".")</f>
        <v>.</v>
      </c>
      <c r="AP24" s="48" t="str">
        <f>IFERROR(IF(AND(Irr!P24&lt;&gt;".",Irr!AN24&lt;&gt;".",Irr!BL24&lt;&gt;"."),dir!AP24/((1/1000)*(Irr!P24+Irr!AN24+Irr!BL24)),IF(AND(Irr!P24&lt;&gt;".",Irr!AN24&lt;&gt;".",Irr!BL24="."),dir!AP24/((1/1000)*(Irr!P24+Irr!AN24)),IF(AND(Irr!P24&lt;&gt;".",Irr!AN24=".",Irr!BL24&lt;&gt;"."),dir!AP24/((1/1000)*(Irr!P24+Irr!BL24)),IF(AND(Irr!P24=".",Irr!AN24&lt;&gt;".",Irr!BL24&lt;&gt;"."),dir!AP24/((1/1000)*(Irr!AN24+Irr!BL24)),IF(AND(Irr!P24=".",Irr!AN24=".",Irr!BL24&lt;&gt;"."),dir!AP24/((1/1000)*(Irr!BL24)),IF(AND(Irr!P24=".",Irr!AN24&lt;&gt;".",Irr!BL24="."),dir!AP24/((1/1000)*(Irr!AN24)),IF(AND(Irr!P24&lt;&gt;".",Irr!AN24=".",Irr!BL24="."),dir!AP24/((1/1000)*(Irr!P24)),IF(AND(Irr!P24=".",Irr!AN24=".",Irr!BL24="."),dir!AP24*1000)))))))),".")</f>
        <v>.</v>
      </c>
      <c r="AQ24" s="48" t="str">
        <f>IFERROR(IF(AND(Irr!Q24&lt;&gt;".",Irr!AO24&lt;&gt;".",Irr!BM24&lt;&gt;"."),dir!AQ24/((1/1000)*(Irr!Q24+Irr!AO24+Irr!BM24)),IF(AND(Irr!Q24&lt;&gt;".",Irr!AO24&lt;&gt;".",Irr!BM24="."),dir!AQ24/((1/1000)*(Irr!Q24+Irr!AO24)),IF(AND(Irr!Q24&lt;&gt;".",Irr!AO24=".",Irr!BM24&lt;&gt;"."),dir!AQ24/((1/1000)*(Irr!Q24+Irr!BM24)),IF(AND(Irr!Q24=".",Irr!AO24&lt;&gt;".",Irr!BM24&lt;&gt;"."),dir!AQ24/((1/1000)*(Irr!AO24+Irr!BM24)),IF(AND(Irr!Q24=".",Irr!AO24=".",Irr!BM24&lt;&gt;"."),dir!AQ24/((1/1000)*(Irr!BM24)),IF(AND(Irr!Q24=".",Irr!AO24&lt;&gt;".",Irr!BM24="."),dir!AQ24/((1/1000)*(Irr!AO24)),IF(AND(Irr!Q24&lt;&gt;".",Irr!AO24=".",Irr!BM24="."),dir!AQ24/((1/1000)*(Irr!Q24)),IF(AND(Irr!Q24=".",Irr!AO24=".",Irr!BM24="."),dir!AQ24*1000)))))))),".")</f>
        <v>.</v>
      </c>
      <c r="AR24" s="48" t="str">
        <f>IFERROR(IF(AND(Irr!R24&lt;&gt;".",Irr!AP24&lt;&gt;".",Irr!BN24&lt;&gt;"."),dir!AR24/((1/1000)*(Irr!R24+Irr!AP24+Irr!BN24)),IF(AND(Irr!R24&lt;&gt;".",Irr!AP24&lt;&gt;".",Irr!BN24="."),dir!AR24/((1/1000)*(Irr!R24+Irr!AP24)),IF(AND(Irr!R24&lt;&gt;".",Irr!AP24=".",Irr!BN24&lt;&gt;"."),dir!AR24/((1/1000)*(Irr!R24+Irr!BN24)),IF(AND(Irr!R24=".",Irr!AP24&lt;&gt;".",Irr!BN24&lt;&gt;"."),dir!AR24/((1/1000)*(Irr!AP24+Irr!BN24)),IF(AND(Irr!R24=".",Irr!AP24=".",Irr!BN24&lt;&gt;"."),dir!AR24/((1/1000)*(Irr!BN24)),IF(AND(Irr!R24=".",Irr!AP24&lt;&gt;".",Irr!BN24="."),dir!AR24/((1/1000)*(Irr!AP24)),IF(AND(Irr!R24&lt;&gt;".",Irr!AP24=".",Irr!BN24="."),dir!AR24/((1/1000)*(Irr!R24)),IF(AND(Irr!R24=".",Irr!AP24=".",Irr!BN24="."),dir!AR24*1000)))))))),".")</f>
        <v>.</v>
      </c>
      <c r="AS24" s="48" t="str">
        <f>IFERROR(IF(AND(Irr!S24&lt;&gt;".",Irr!AQ24&lt;&gt;".",Irr!BO24&lt;&gt;"."),dir!AS24/((1/1000)*(Irr!S24+Irr!AQ24+Irr!BO24)),IF(AND(Irr!S24&lt;&gt;".",Irr!AQ24&lt;&gt;".",Irr!BO24="."),dir!AS24/((1/1000)*(Irr!S24+Irr!AQ24)),IF(AND(Irr!S24&lt;&gt;".",Irr!AQ24=".",Irr!BO24&lt;&gt;"."),dir!AS24/((1/1000)*(Irr!S24+Irr!BO24)),IF(AND(Irr!S24=".",Irr!AQ24&lt;&gt;".",Irr!BO24&lt;&gt;"."),dir!AS24/((1/1000)*(Irr!AQ24+Irr!BO24)),IF(AND(Irr!S24=".",Irr!AQ24=".",Irr!BO24&lt;&gt;"."),dir!AS24/((1/1000)*(Irr!BO24)),IF(AND(Irr!S24=".",Irr!AQ24&lt;&gt;".",Irr!BO24="."),dir!AS24/((1/1000)*(Irr!AQ24)),IF(AND(Irr!S24&lt;&gt;".",Irr!AQ24=".",Irr!BO24="."),dir!AS24/((1/1000)*(Irr!S24)),IF(AND(Irr!S24=".",Irr!AQ24=".",Irr!BO24="."),dir!AS24*1000)))))))),".")</f>
        <v>.</v>
      </c>
      <c r="AT24" s="48" t="str">
        <f>IFERROR(IF(AND(Irr!T24&lt;&gt;".",Irr!AR24&lt;&gt;".",Irr!BP24&lt;&gt;"."),dir!AT24/((1/1000)*(Irr!T24+Irr!AR24+Irr!BP24)),IF(AND(Irr!T24&lt;&gt;".",Irr!AR24&lt;&gt;".",Irr!BP24="."),dir!AT24/((1/1000)*(Irr!T24+Irr!AR24)),IF(AND(Irr!T24&lt;&gt;".",Irr!AR24=".",Irr!BP24&lt;&gt;"."),dir!AT24/((1/1000)*(Irr!T24+Irr!BP24)),IF(AND(Irr!T24=".",Irr!AR24&lt;&gt;".",Irr!BP24&lt;&gt;"."),dir!AT24/((1/1000)*(Irr!AR24+Irr!BP24)),IF(AND(Irr!T24=".",Irr!AR24=".",Irr!BP24&lt;&gt;"."),dir!AT24/((1/1000)*(Irr!BP24)),IF(AND(Irr!T24=".",Irr!AR24&lt;&gt;".",Irr!BP24="."),dir!AT24/((1/1000)*(Irr!AR24)),IF(AND(Irr!T24&lt;&gt;".",Irr!AR24=".",Irr!BP24="."),dir!AT24/((1/1000)*(Irr!T24)),IF(AND(Irr!T24=".",Irr!AR24=".",Irr!BP24="."),dir!AT24*1000)))))))),".")</f>
        <v>.</v>
      </c>
      <c r="AU24" s="48" t="str">
        <f>IFERROR(IF(AND(Irr!U24&lt;&gt;".",Irr!AS24&lt;&gt;".",Irr!BQ24&lt;&gt;"."),dir!AU24/((1/1000)*(Irr!U24+Irr!AS24+Irr!BQ24)),IF(AND(Irr!U24&lt;&gt;".",Irr!AS24&lt;&gt;".",Irr!BQ24="."),dir!AU24/((1/1000)*(Irr!U24+Irr!AS24)),IF(AND(Irr!U24&lt;&gt;".",Irr!AS24=".",Irr!BQ24&lt;&gt;"."),dir!AU24/((1/1000)*(Irr!U24+Irr!BQ24)),IF(AND(Irr!U24=".",Irr!AS24&lt;&gt;".",Irr!BQ24&lt;&gt;"."),dir!AU24/((1/1000)*(Irr!AS24+Irr!BQ24)),IF(AND(Irr!U24=".",Irr!AS24=".",Irr!BQ24&lt;&gt;"."),dir!AU24/((1/1000)*(Irr!BQ24)),IF(AND(Irr!U24=".",Irr!AS24&lt;&gt;".",Irr!BQ24="."),dir!AU24/((1/1000)*(Irr!AS24)),IF(AND(Irr!U24&lt;&gt;".",Irr!AS24=".",Irr!BQ24="."),dir!AU24/((1/1000)*(Irr!U24)),IF(AND(Irr!U24=".",Irr!AS24=".",Irr!BQ24="."),dir!AU24*1000)))))))),".")</f>
        <v>.</v>
      </c>
      <c r="AV24" s="48" t="str">
        <f>IFERROR(IF(AND(Irr!V24&lt;&gt;".",Irr!AT24&lt;&gt;".",Irr!BR24&lt;&gt;"."),dir!AV24/((1/1000)*(Irr!V24+Irr!AT24+Irr!BR24)),IF(AND(Irr!V24&lt;&gt;".",Irr!AT24&lt;&gt;".",Irr!BR24="."),dir!AV24/((1/1000)*(Irr!V24+Irr!AT24)),IF(AND(Irr!V24&lt;&gt;".",Irr!AT24=".",Irr!BR24&lt;&gt;"."),dir!AV24/((1/1000)*(Irr!V24+Irr!BR24)),IF(AND(Irr!V24=".",Irr!AT24&lt;&gt;".",Irr!BR24&lt;&gt;"."),dir!AV24/((1/1000)*(Irr!AT24+Irr!BR24)),IF(AND(Irr!V24=".",Irr!AT24=".",Irr!BR24&lt;&gt;"."),dir!AV24/((1/1000)*(Irr!BR24)),IF(AND(Irr!V24=".",Irr!AT24&lt;&gt;".",Irr!BR24="."),dir!AV24/((1/1000)*(Irr!AT24)),IF(AND(Irr!V24&lt;&gt;".",Irr!AT24=".",Irr!BR24="."),dir!AV24/((1/1000)*(Irr!V24)),IF(AND(Irr!V24=".",Irr!AT24=".",Irr!BR24="."),dir!AV24*1000)))))))),".")</f>
        <v>.</v>
      </c>
      <c r="AW24" s="48" t="str">
        <f>IFERROR(IF(AND(Irr!W24&lt;&gt;".",Irr!AU24&lt;&gt;".",Irr!BS24&lt;&gt;"."),dir!AW24/((1/1000)*(Irr!W24+Irr!AU24+Irr!BS24)),IF(AND(Irr!W24&lt;&gt;".",Irr!AU24&lt;&gt;".",Irr!BS24="."),dir!AW24/((1/1000)*(Irr!W24+Irr!AU24)),IF(AND(Irr!W24&lt;&gt;".",Irr!AU24=".",Irr!BS24&lt;&gt;"."),dir!AW24/((1/1000)*(Irr!W24+Irr!BS24)),IF(AND(Irr!W24=".",Irr!AU24&lt;&gt;".",Irr!BS24&lt;&gt;"."),dir!AW24/((1/1000)*(Irr!AU24+Irr!BS24)),IF(AND(Irr!W24=".",Irr!AU24=".",Irr!BS24&lt;&gt;"."),dir!AW24/((1/1000)*(Irr!BS24)),IF(AND(Irr!W24=".",Irr!AU24&lt;&gt;".",Irr!BS24="."),dir!AW24/((1/1000)*(Irr!AU24)),IF(AND(Irr!W24&lt;&gt;".",Irr!AU24=".",Irr!BS24="."),dir!AW24/((1/1000)*(Irr!W24)),IF(AND(Irr!W24=".",Irr!AU24=".",Irr!BS24="."),dir!AW24*1000)))))))),".")</f>
        <v>.</v>
      </c>
      <c r="AX24" s="48" t="str">
        <f>IFERROR(IF(AND(Irr!X24&lt;&gt;".",Irr!AV24&lt;&gt;".",Irr!BT24&lt;&gt;"."),dir!AX24/((1/1000)*(Irr!X24+Irr!AV24+Irr!BT24)),IF(AND(Irr!X24&lt;&gt;".",Irr!AV24&lt;&gt;".",Irr!BT24="."),dir!AX24/((1/1000)*(Irr!X24+Irr!AV24)),IF(AND(Irr!X24&lt;&gt;".",Irr!AV24=".",Irr!BT24&lt;&gt;"."),dir!AX24/((1/1000)*(Irr!X24+Irr!BT24)),IF(AND(Irr!X24=".",Irr!AV24&lt;&gt;".",Irr!BT24&lt;&gt;"."),dir!AX24/((1/1000)*(Irr!AV24+Irr!BT24)),IF(AND(Irr!X24=".",Irr!AV24=".",Irr!BT24&lt;&gt;"."),dir!AX24/((1/1000)*(Irr!BT24)),IF(AND(Irr!X24=".",Irr!AV24&lt;&gt;".",Irr!BT24="."),dir!AX24/((1/1000)*(Irr!AV24)),IF(AND(Irr!X24&lt;&gt;".",Irr!AV24=".",Irr!BT24="."),dir!AX24/((1/1000)*(Irr!X24)),IF(AND(Irr!X24=".",Irr!AV24=".",Irr!BT24="."),dir!AX24*1000)))))))),".")</f>
        <v>.</v>
      </c>
      <c r="AY24" s="48" t="str">
        <f>IFERROR(IF(AND(Irr!Y24&lt;&gt;".",Irr!AW24&lt;&gt;".",Irr!BU24&lt;&gt;"."),dir!AY24/((1/1000)*(Irr!Y24+Irr!AW24+Irr!BU24)),IF(AND(Irr!Y24&lt;&gt;".",Irr!AW24&lt;&gt;".",Irr!BU24="."),dir!AY24/((1/1000)*(Irr!Y24+Irr!AW24)),IF(AND(Irr!Y24&lt;&gt;".",Irr!AW24=".",Irr!BU24&lt;&gt;"."),dir!AY24/((1/1000)*(Irr!Y24+Irr!BU24)),IF(AND(Irr!Y24=".",Irr!AW24&lt;&gt;".",Irr!BU24&lt;&gt;"."),dir!AY24/((1/1000)*(Irr!AW24+Irr!BU24)),IF(AND(Irr!Y24=".",Irr!AW24=".",Irr!BU24&lt;&gt;"."),dir!AY24/((1/1000)*(Irr!BU24)),IF(AND(Irr!Y24=".",Irr!AW24&lt;&gt;".",Irr!BU24="."),dir!AY24/((1/1000)*(Irr!AW24)),IF(AND(Irr!Y24&lt;&gt;".",Irr!AW24=".",Irr!BU24="."),dir!AY24/((1/1000)*(Irr!Y24)),IF(AND(Irr!Y24=".",Irr!AW24=".",Irr!BU24="."),dir!AY24*1000)))))))),".")</f>
        <v>.</v>
      </c>
      <c r="AZ24" s="48" t="str">
        <f>IFERROR(IF(AND(Irr!Z24&lt;&gt;".",Irr!AX24&lt;&gt;".",Irr!BV24&lt;&gt;"."),dir!AZ24/((1/1000)*(Irr!Z24+Irr!AX24+Irr!BV24)),IF(AND(Irr!Z24&lt;&gt;".",Irr!AX24&lt;&gt;".",Irr!BV24="."),dir!AZ24/((1/1000)*(Irr!Z24+Irr!AX24)),IF(AND(Irr!Z24&lt;&gt;".",Irr!AX24=".",Irr!BV24&lt;&gt;"."),dir!AZ24/((1/1000)*(Irr!Z24+Irr!BV24)),IF(AND(Irr!Z24=".",Irr!AX24&lt;&gt;".",Irr!BV24&lt;&gt;"."),dir!AZ24/((1/1000)*(Irr!AX24+Irr!BV24)),IF(AND(Irr!Z24=".",Irr!AX24=".",Irr!BV24&lt;&gt;"."),dir!AZ24/((1/1000)*(Irr!BV24)),IF(AND(Irr!Z24=".",Irr!AX24&lt;&gt;".",Irr!BV24="."),dir!AZ24/((1/1000)*(Irr!AX24)),IF(AND(Irr!Z24&lt;&gt;".",Irr!AX24=".",Irr!BV24="."),dir!AZ24/((1/1000)*(Irr!Z24)),IF(AND(Irr!Z24=".",Irr!AX24=".",Irr!BV24="."),dir!AZ24*1000)))))))),".")</f>
        <v>.</v>
      </c>
    </row>
    <row r="25" spans="1:52" x14ac:dyDescent="0.25">
      <c r="A25" s="63" t="s">
        <v>23</v>
      </c>
      <c r="B25" s="49" t="s">
        <v>336</v>
      </c>
      <c r="C25" s="48" t="str">
        <f t="shared" si="20"/>
        <v>.</v>
      </c>
      <c r="D25" s="48" t="str">
        <f>IFERROR(IF(AND(Irr!C25&lt;&gt;".",Irr!AA25&lt;&gt;".",Irr!AY25&lt;&gt;"."),dir!D25/((1/1000)*(Irr!C25+Irr!AA25+Irr!AY25)),IF(AND(Irr!C25&lt;&gt;".",Irr!AA25&lt;&gt;".",Irr!AY25="."),dir!D25/((1/1000)*(Irr!C25+Irr!AA25)),IF(AND(Irr!C25&lt;&gt;".",Irr!AA25=".",Irr!AY25&lt;&gt;"."),dir!D25/((1/1000)*(Irr!C25+Irr!AY25)),IF(AND(Irr!C25=".",Irr!AA25&lt;&gt;".",Irr!AY25&lt;&gt;"."),dir!D25/((1/1000)*(Irr!AA25+Irr!AY25)),IF(AND(Irr!C25=".",Irr!AA25=".",Irr!AY25&lt;&gt;"."),dir!D25/((1/1000)*(Irr!AY25)),IF(AND(Irr!C25=".",Irr!AA25&lt;&gt;".",Irr!AY25="."),dir!D25/((1/1000)*(Irr!AA25)),IF(AND(Irr!C25&lt;&gt;".",Irr!AA25=".",Irr!AY25="."),dir!D25/((1/1000)*(Irr!C25)),IF(AND(Irr!C25=".",Irr!AA25=".",Irr!AY25="."),dir!D25*1000)))))))),".")</f>
        <v>.</v>
      </c>
      <c r="E25" s="48" t="str">
        <f>IFERROR(IF(AND(Irr!D25&lt;&gt;".",Irr!AB25&lt;&gt;".",Irr!AZ25&lt;&gt;"."),dir!E25/((1/1000)*(Irr!D25+Irr!AB25+Irr!AZ25)),IF(AND(Irr!D25&lt;&gt;".",Irr!AB25&lt;&gt;".",Irr!AZ25="."),dir!E25/((1/1000)*(Irr!D25+Irr!AB25)),IF(AND(Irr!D25&lt;&gt;".",Irr!AB25=".",Irr!AZ25&lt;&gt;"."),dir!E25/((1/1000)*(Irr!D25+Irr!AZ25)),IF(AND(Irr!D25=".",Irr!AB25&lt;&gt;".",Irr!AZ25&lt;&gt;"."),dir!E25/((1/1000)*(Irr!AB25+Irr!AZ25)),IF(AND(Irr!D25=".",Irr!AB25=".",Irr!AZ25&lt;&gt;"."),dir!E25/((1/1000)*(Irr!AZ25)),IF(AND(Irr!D25=".",Irr!AB25&lt;&gt;".",Irr!AZ25="."),dir!E25/((1/1000)*(Irr!AB25)),IF(AND(Irr!D25&lt;&gt;".",Irr!AB25=".",Irr!AZ25="."),dir!E25/((1/1000)*(Irr!D25)),IF(AND(Irr!D25=".",Irr!AB25=".",Irr!AZ25="."),dir!E25*1000)))))))),".")</f>
        <v>.</v>
      </c>
      <c r="F25" s="48" t="str">
        <f>IFERROR(IF(AND(Irr!E25&lt;&gt;".",Irr!AC25&lt;&gt;".",Irr!BA25&lt;&gt;"."),dir!F25/((1/1000)*(Irr!E25+Irr!AC25+Irr!BA25)),IF(AND(Irr!E25&lt;&gt;".",Irr!AC25&lt;&gt;".",Irr!BA25="."),dir!F25/((1/1000)*(Irr!E25+Irr!AC25)),IF(AND(Irr!E25&lt;&gt;".",Irr!AC25=".",Irr!BA25&lt;&gt;"."),dir!F25/((1/1000)*(Irr!E25+Irr!BA25)),IF(AND(Irr!E25=".",Irr!AC25&lt;&gt;".",Irr!BA25&lt;&gt;"."),dir!F25/((1/1000)*(Irr!AC25+Irr!BA25)),IF(AND(Irr!E25=".",Irr!AC25=".",Irr!BA25&lt;&gt;"."),dir!F25/((1/1000)*(Irr!BA25)),IF(AND(Irr!E25=".",Irr!AC25&lt;&gt;".",Irr!BA25="."),dir!F25/((1/1000)*(Irr!AC25)),IF(AND(Irr!E25&lt;&gt;".",Irr!AC25=".",Irr!BA25="."),dir!F25/((1/1000)*(Irr!E25)),IF(AND(Irr!E25=".",Irr!AC25=".",Irr!BA25="."),dir!F25*1000)))))))),".")</f>
        <v>.</v>
      </c>
      <c r="G25" s="48" t="str">
        <f>IFERROR(IF(AND(Irr!F25&lt;&gt;".",Irr!AD25&lt;&gt;".",Irr!BB25&lt;&gt;"."),dir!G25/((1/1000)*(Irr!F25+Irr!AD25+Irr!BB25)),IF(AND(Irr!F25&lt;&gt;".",Irr!AD25&lt;&gt;".",Irr!BB25="."),dir!G25/((1/1000)*(Irr!F25+Irr!AD25)),IF(AND(Irr!F25&lt;&gt;".",Irr!AD25=".",Irr!BB25&lt;&gt;"."),dir!G25/((1/1000)*(Irr!F25+Irr!BB25)),IF(AND(Irr!F25=".",Irr!AD25&lt;&gt;".",Irr!BB25&lt;&gt;"."),dir!G25/((1/1000)*(Irr!AD25+Irr!BB25)),IF(AND(Irr!F25=".",Irr!AD25=".",Irr!BB25&lt;&gt;"."),dir!G25/((1/1000)*(Irr!BB25)),IF(AND(Irr!F25=".",Irr!AD25&lt;&gt;".",Irr!BB25="."),dir!G25/((1/1000)*(Irr!AD25)),IF(AND(Irr!F25&lt;&gt;".",Irr!AD25=".",Irr!BB25="."),dir!G25/((1/1000)*(Irr!F25)),IF(AND(Irr!F25=".",Irr!AD25=".",Irr!BB25="."),dir!G25*1000)))))))),".")</f>
        <v>.</v>
      </c>
      <c r="H25" s="48" t="str">
        <f>IFERROR(IF(AND(Irr!G25&lt;&gt;".",Irr!AE25&lt;&gt;".",Irr!BC25&lt;&gt;"."),dir!H25/((1/1000)*(Irr!G25+Irr!AE25+Irr!BC25)),IF(AND(Irr!G25&lt;&gt;".",Irr!AE25&lt;&gt;".",Irr!BC25="."),dir!H25/((1/1000)*(Irr!G25+Irr!AE25)),IF(AND(Irr!G25&lt;&gt;".",Irr!AE25=".",Irr!BC25&lt;&gt;"."),dir!H25/((1/1000)*(Irr!G25+Irr!BC25)),IF(AND(Irr!G25=".",Irr!AE25&lt;&gt;".",Irr!BC25&lt;&gt;"."),dir!H25/((1/1000)*(Irr!AE25+Irr!BC25)),IF(AND(Irr!G25=".",Irr!AE25=".",Irr!BC25&lt;&gt;"."),dir!H25/((1/1000)*(Irr!BC25)),IF(AND(Irr!G25=".",Irr!AE25&lt;&gt;".",Irr!BC25="."),dir!H25/((1/1000)*(Irr!AE25)),IF(AND(Irr!G25&lt;&gt;".",Irr!AE25=".",Irr!BC25="."),dir!H25/((1/1000)*(Irr!G25)),IF(AND(Irr!G25=".",Irr!AE25=".",Irr!BC25="."),dir!H25*1000)))))))),".")</f>
        <v>.</v>
      </c>
      <c r="I25" s="48" t="str">
        <f>IFERROR(IF(AND(Irr!H25&lt;&gt;".",Irr!AF25&lt;&gt;".",Irr!BD25&lt;&gt;"."),dir!I25/((1/1000)*(Irr!H25+Irr!AF25+Irr!BD25)),IF(AND(Irr!H25&lt;&gt;".",Irr!AF25&lt;&gt;".",Irr!BD25="."),dir!I25/((1/1000)*(Irr!H25+Irr!AF25)),IF(AND(Irr!H25&lt;&gt;".",Irr!AF25=".",Irr!BD25&lt;&gt;"."),dir!I25/((1/1000)*(Irr!H25+Irr!BD25)),IF(AND(Irr!H25=".",Irr!AF25&lt;&gt;".",Irr!BD25&lt;&gt;"."),dir!I25/((1/1000)*(Irr!AF25+Irr!BD25)),IF(AND(Irr!H25=".",Irr!AF25=".",Irr!BD25&lt;&gt;"."),dir!I25/((1/1000)*(Irr!BD25)),IF(AND(Irr!H25=".",Irr!AF25&lt;&gt;".",Irr!BD25="."),dir!I25/((1/1000)*(Irr!AF25)),IF(AND(Irr!H25&lt;&gt;".",Irr!AF25=".",Irr!BD25="."),dir!I25/((1/1000)*(Irr!H25)),IF(AND(Irr!H25=".",Irr!AF25=".",Irr!BD25="."),dir!I25*1000)))))))),".")</f>
        <v>.</v>
      </c>
      <c r="J25" s="48" t="str">
        <f>IFERROR(IF(AND(Irr!I25&lt;&gt;".",Irr!AG25&lt;&gt;".",Irr!BE25&lt;&gt;"."),dir!J25/((1/1000)*(Irr!I25+Irr!AG25+Irr!BE25)),IF(AND(Irr!I25&lt;&gt;".",Irr!AG25&lt;&gt;".",Irr!BE25="."),dir!J25/((1/1000)*(Irr!I25+Irr!AG25)),IF(AND(Irr!I25&lt;&gt;".",Irr!AG25=".",Irr!BE25&lt;&gt;"."),dir!J25/((1/1000)*(Irr!I25+Irr!BE25)),IF(AND(Irr!I25=".",Irr!AG25&lt;&gt;".",Irr!BE25&lt;&gt;"."),dir!J25/((1/1000)*(Irr!AG25+Irr!BE25)),IF(AND(Irr!I25=".",Irr!AG25=".",Irr!BE25&lt;&gt;"."),dir!J25/((1/1000)*(Irr!BE25)),IF(AND(Irr!I25=".",Irr!AG25&lt;&gt;".",Irr!BE25="."),dir!J25/((1/1000)*(Irr!AG25)),IF(AND(Irr!I25&lt;&gt;".",Irr!AG25=".",Irr!BE25="."),dir!J25/((1/1000)*(Irr!I25)),IF(AND(Irr!I25=".",Irr!AG25=".",Irr!BE25="."),dir!J25*1000)))))))),".")</f>
        <v>.</v>
      </c>
      <c r="K25" s="48" t="str">
        <f>IFERROR(IF(AND(Irr!J25&lt;&gt;".",Irr!AH25&lt;&gt;".",Irr!BF25&lt;&gt;"."),dir!K25/((1/1000)*(Irr!J25+Irr!AH25+Irr!BF25)),IF(AND(Irr!J25&lt;&gt;".",Irr!AH25&lt;&gt;".",Irr!BF25="."),dir!K25/((1/1000)*(Irr!J25+Irr!AH25)),IF(AND(Irr!J25&lt;&gt;".",Irr!AH25=".",Irr!BF25&lt;&gt;"."),dir!K25/((1/1000)*(Irr!J25+Irr!BF25)),IF(AND(Irr!J25=".",Irr!AH25&lt;&gt;".",Irr!BF25&lt;&gt;"."),dir!K25/((1/1000)*(Irr!AH25+Irr!BF25)),IF(AND(Irr!J25=".",Irr!AH25=".",Irr!BF25&lt;&gt;"."),dir!K25/((1/1000)*(Irr!BF25)),IF(AND(Irr!J25=".",Irr!AH25&lt;&gt;".",Irr!BF25="."),dir!K25/((1/1000)*(Irr!AH25)),IF(AND(Irr!J25&lt;&gt;".",Irr!AH25=".",Irr!BF25="."),dir!K25/((1/1000)*(Irr!J25)),IF(AND(Irr!J25=".",Irr!AH25=".",Irr!BF25="."),dir!K25*1000)))))))),".")</f>
        <v>.</v>
      </c>
      <c r="L25" s="48" t="str">
        <f>IFERROR(IF(AND(Irr!K25&lt;&gt;".",Irr!AI25&lt;&gt;".",Irr!BG25&lt;&gt;"."),dir!L25/((1/1000)*(Irr!K25+Irr!AI25+Irr!BG25)),IF(AND(Irr!K25&lt;&gt;".",Irr!AI25&lt;&gt;".",Irr!BG25="."),dir!L25/((1/1000)*(Irr!K25+Irr!AI25)),IF(AND(Irr!K25&lt;&gt;".",Irr!AI25=".",Irr!BG25&lt;&gt;"."),dir!L25/((1/1000)*(Irr!K25+Irr!BG25)),IF(AND(Irr!K25=".",Irr!AI25&lt;&gt;".",Irr!BG25&lt;&gt;"."),dir!L25/((1/1000)*(Irr!AI25+Irr!BG25)),IF(AND(Irr!K25=".",Irr!AI25=".",Irr!BG25&lt;&gt;"."),dir!L25/((1/1000)*(Irr!BG25)),IF(AND(Irr!K25=".",Irr!AI25&lt;&gt;".",Irr!BG25="."),dir!L25/((1/1000)*(Irr!AI25)),IF(AND(Irr!K25&lt;&gt;".",Irr!AI25=".",Irr!BG25="."),dir!L25/((1/1000)*(Irr!K25)),IF(AND(Irr!K25=".",Irr!AI25=".",Irr!BG25="."),dir!L25*1000)))))))),".")</f>
        <v>.</v>
      </c>
      <c r="M25" s="48" t="str">
        <f>IFERROR(IF(AND(Irr!L25&lt;&gt;".",Irr!AJ25&lt;&gt;".",Irr!BH25&lt;&gt;"."),dir!M25/((1/1000)*(Irr!L25+Irr!AJ25+Irr!BH25)),IF(AND(Irr!L25&lt;&gt;".",Irr!AJ25&lt;&gt;".",Irr!BH25="."),dir!M25/((1/1000)*(Irr!L25+Irr!AJ25)),IF(AND(Irr!L25&lt;&gt;".",Irr!AJ25=".",Irr!BH25&lt;&gt;"."),dir!M25/((1/1000)*(Irr!L25+Irr!BH25)),IF(AND(Irr!L25=".",Irr!AJ25&lt;&gt;".",Irr!BH25&lt;&gt;"."),dir!M25/((1/1000)*(Irr!AJ25+Irr!BH25)),IF(AND(Irr!L25=".",Irr!AJ25=".",Irr!BH25&lt;&gt;"."),dir!M25/((1/1000)*(Irr!BH25)),IF(AND(Irr!L25=".",Irr!AJ25&lt;&gt;".",Irr!BH25="."),dir!M25/((1/1000)*(Irr!AJ25)),IF(AND(Irr!L25&lt;&gt;".",Irr!AJ25=".",Irr!BH25="."),dir!M25/((1/1000)*(Irr!L25)),IF(AND(Irr!L25=".",Irr!AJ25=".",Irr!BH25="."),dir!M25*1000)))))))),".")</f>
        <v>.</v>
      </c>
      <c r="N25" s="48" t="str">
        <f>IFERROR(IF(AND(Irr!M25&lt;&gt;".",Irr!AK25&lt;&gt;".",Irr!BI25&lt;&gt;"."),dir!N25/((1/1000)*(Irr!M25+Irr!AK25+Irr!BI25)),IF(AND(Irr!M25&lt;&gt;".",Irr!AK25&lt;&gt;".",Irr!BI25="."),dir!N25/((1/1000)*(Irr!M25+Irr!AK25)),IF(AND(Irr!M25&lt;&gt;".",Irr!AK25=".",Irr!BI25&lt;&gt;"."),dir!N25/((1/1000)*(Irr!M25+Irr!BI25)),IF(AND(Irr!M25=".",Irr!AK25&lt;&gt;".",Irr!BI25&lt;&gt;"."),dir!N25/((1/1000)*(Irr!AK25+Irr!BI25)),IF(AND(Irr!M25=".",Irr!AK25=".",Irr!BI25&lt;&gt;"."),dir!N25/((1/1000)*(Irr!BI25)),IF(AND(Irr!M25=".",Irr!AK25&lt;&gt;".",Irr!BI25="."),dir!N25/((1/1000)*(Irr!AK25)),IF(AND(Irr!M25&lt;&gt;".",Irr!AK25=".",Irr!BI25="."),dir!N25/((1/1000)*(Irr!M25)),IF(AND(Irr!M25=".",Irr!AK25=".",Irr!BI25="."),dir!N25*1000)))))))),".")</f>
        <v>.</v>
      </c>
      <c r="O25" s="48" t="str">
        <f>IFERROR(IF(AND(Irr!N25&lt;&gt;".",Irr!AL25&lt;&gt;".",Irr!BJ25&lt;&gt;"."),dir!O25/((1/1000)*(Irr!N25+Irr!AL25+Irr!BJ25)),IF(AND(Irr!N25&lt;&gt;".",Irr!AL25&lt;&gt;".",Irr!BJ25="."),dir!O25/((1/1000)*(Irr!N25+Irr!AL25)),IF(AND(Irr!N25&lt;&gt;".",Irr!AL25=".",Irr!BJ25&lt;&gt;"."),dir!O25/((1/1000)*(Irr!N25+Irr!BJ25)),IF(AND(Irr!N25=".",Irr!AL25&lt;&gt;".",Irr!BJ25&lt;&gt;"."),dir!O25/((1/1000)*(Irr!AL25+Irr!BJ25)),IF(AND(Irr!N25=".",Irr!AL25=".",Irr!BJ25&lt;&gt;"."),dir!O25/((1/1000)*(Irr!BJ25)),IF(AND(Irr!N25=".",Irr!AL25&lt;&gt;".",Irr!BJ25="."),dir!O25/((1/1000)*(Irr!AL25)),IF(AND(Irr!N25&lt;&gt;".",Irr!AL25=".",Irr!BJ25="."),dir!O25/((1/1000)*(Irr!N25)),IF(AND(Irr!N25=".",Irr!AL25=".",Irr!BJ25="."),dir!O25*1000)))))))),".")</f>
        <v>.</v>
      </c>
      <c r="P25" s="48" t="str">
        <f>IFERROR(IF(AND(Irr!O25&lt;&gt;".",Irr!AM25&lt;&gt;".",Irr!BK25&lt;&gt;"."),dir!P25/((1/1000)*(Irr!O25+Irr!AM25+Irr!BK25)),IF(AND(Irr!O25&lt;&gt;".",Irr!AM25&lt;&gt;".",Irr!BK25="."),dir!P25/((1/1000)*(Irr!O25+Irr!AM25)),IF(AND(Irr!O25&lt;&gt;".",Irr!AM25=".",Irr!BK25&lt;&gt;"."),dir!P25/((1/1000)*(Irr!O25+Irr!BK25)),IF(AND(Irr!O25=".",Irr!AM25&lt;&gt;".",Irr!BK25&lt;&gt;"."),dir!P25/((1/1000)*(Irr!AM25+Irr!BK25)),IF(AND(Irr!O25=".",Irr!AM25=".",Irr!BK25&lt;&gt;"."),dir!P25/((1/1000)*(Irr!BK25)),IF(AND(Irr!O25=".",Irr!AM25&lt;&gt;".",Irr!BK25="."),dir!P25/((1/1000)*(Irr!AM25)),IF(AND(Irr!O25&lt;&gt;".",Irr!AM25=".",Irr!BK25="."),dir!P25/((1/1000)*(Irr!O25)),IF(AND(Irr!O25=".",Irr!AM25=".",Irr!BK25="."),dir!P25*1000)))))))),".")</f>
        <v>.</v>
      </c>
      <c r="Q25" s="48" t="str">
        <f>IFERROR(IF(AND(Irr!P25&lt;&gt;".",Irr!AN25&lt;&gt;".",Irr!BL25&lt;&gt;"."),dir!Q25/((1/1000)*(Irr!P25+Irr!AN25+Irr!BL25)),IF(AND(Irr!P25&lt;&gt;".",Irr!AN25&lt;&gt;".",Irr!BL25="."),dir!Q25/((1/1000)*(Irr!P25+Irr!AN25)),IF(AND(Irr!P25&lt;&gt;".",Irr!AN25=".",Irr!BL25&lt;&gt;"."),dir!Q25/((1/1000)*(Irr!P25+Irr!BL25)),IF(AND(Irr!P25=".",Irr!AN25&lt;&gt;".",Irr!BL25&lt;&gt;"."),dir!Q25/((1/1000)*(Irr!AN25+Irr!BL25)),IF(AND(Irr!P25=".",Irr!AN25=".",Irr!BL25&lt;&gt;"."),dir!Q25/((1/1000)*(Irr!BL25)),IF(AND(Irr!P25=".",Irr!AN25&lt;&gt;".",Irr!BL25="."),dir!Q25/((1/1000)*(Irr!AN25)),IF(AND(Irr!P25&lt;&gt;".",Irr!AN25=".",Irr!BL25="."),dir!Q25/((1/1000)*(Irr!P25)),IF(AND(Irr!P25=".",Irr!AN25=".",Irr!BL25="."),dir!Q25*1000)))))))),".")</f>
        <v>.</v>
      </c>
      <c r="R25" s="48" t="str">
        <f>IFERROR(IF(AND(Irr!Q25&lt;&gt;".",Irr!AO25&lt;&gt;".",Irr!BM25&lt;&gt;"."),dir!R25/((1/1000)*(Irr!Q25+Irr!AO25+Irr!BM25)),IF(AND(Irr!Q25&lt;&gt;".",Irr!AO25&lt;&gt;".",Irr!BM25="."),dir!R25/((1/1000)*(Irr!Q25+Irr!AO25)),IF(AND(Irr!Q25&lt;&gt;".",Irr!AO25=".",Irr!BM25&lt;&gt;"."),dir!R25/((1/1000)*(Irr!Q25+Irr!BM25)),IF(AND(Irr!Q25=".",Irr!AO25&lt;&gt;".",Irr!BM25&lt;&gt;"."),dir!R25/((1/1000)*(Irr!AO25+Irr!BM25)),IF(AND(Irr!Q25=".",Irr!AO25=".",Irr!BM25&lt;&gt;"."),dir!R25/((1/1000)*(Irr!BM25)),IF(AND(Irr!Q25=".",Irr!AO25&lt;&gt;".",Irr!BM25="."),dir!R25/((1/1000)*(Irr!AO25)),IF(AND(Irr!Q25&lt;&gt;".",Irr!AO25=".",Irr!BM25="."),dir!R25/((1/1000)*(Irr!Q25)),IF(AND(Irr!Q25=".",Irr!AO25=".",Irr!BM25="."),dir!R25*1000)))))))),".")</f>
        <v>.</v>
      </c>
      <c r="S25" s="48" t="str">
        <f>IFERROR(IF(AND(Irr!R25&lt;&gt;".",Irr!AP25&lt;&gt;".",Irr!BN25&lt;&gt;"."),dir!S25/((1/1000)*(Irr!R25+Irr!AP25+Irr!BN25)),IF(AND(Irr!R25&lt;&gt;".",Irr!AP25&lt;&gt;".",Irr!BN25="."),dir!S25/((1/1000)*(Irr!R25+Irr!AP25)),IF(AND(Irr!R25&lt;&gt;".",Irr!AP25=".",Irr!BN25&lt;&gt;"."),dir!S25/((1/1000)*(Irr!R25+Irr!BN25)),IF(AND(Irr!R25=".",Irr!AP25&lt;&gt;".",Irr!BN25&lt;&gt;"."),dir!S25/((1/1000)*(Irr!AP25+Irr!BN25)),IF(AND(Irr!R25=".",Irr!AP25=".",Irr!BN25&lt;&gt;"."),dir!S25/((1/1000)*(Irr!BN25)),IF(AND(Irr!R25=".",Irr!AP25&lt;&gt;".",Irr!BN25="."),dir!S25/((1/1000)*(Irr!AP25)),IF(AND(Irr!R25&lt;&gt;".",Irr!AP25=".",Irr!BN25="."),dir!S25/((1/1000)*(Irr!R25)),IF(AND(Irr!R25=".",Irr!AP25=".",Irr!BN25="."),dir!S25*1000)))))))),".")</f>
        <v>.</v>
      </c>
      <c r="T25" s="48" t="str">
        <f>IFERROR(IF(AND(Irr!S25&lt;&gt;".",Irr!AQ25&lt;&gt;".",Irr!BO25&lt;&gt;"."),dir!T25/((1/1000)*(Irr!S25+Irr!AQ25+Irr!BO25)),IF(AND(Irr!S25&lt;&gt;".",Irr!AQ25&lt;&gt;".",Irr!BO25="."),dir!T25/((1/1000)*(Irr!S25+Irr!AQ25)),IF(AND(Irr!S25&lt;&gt;".",Irr!AQ25=".",Irr!BO25&lt;&gt;"."),dir!T25/((1/1000)*(Irr!S25+Irr!BO25)),IF(AND(Irr!S25=".",Irr!AQ25&lt;&gt;".",Irr!BO25&lt;&gt;"."),dir!T25/((1/1000)*(Irr!AQ25+Irr!BO25)),IF(AND(Irr!S25=".",Irr!AQ25=".",Irr!BO25&lt;&gt;"."),dir!T25/((1/1000)*(Irr!BO25)),IF(AND(Irr!S25=".",Irr!AQ25&lt;&gt;".",Irr!BO25="."),dir!T25/((1/1000)*(Irr!AQ25)),IF(AND(Irr!S25&lt;&gt;".",Irr!AQ25=".",Irr!BO25="."),dir!T25/((1/1000)*(Irr!S25)),IF(AND(Irr!S25=".",Irr!AQ25=".",Irr!BO25="."),dir!T25*1000)))))))),".")</f>
        <v>.</v>
      </c>
      <c r="U25" s="48" t="str">
        <f>IFERROR(IF(AND(Irr!T25&lt;&gt;".",Irr!AR25&lt;&gt;".",Irr!BP25&lt;&gt;"."),dir!U25/((1/1000)*(Irr!T25+Irr!AR25+Irr!BP25)),IF(AND(Irr!T25&lt;&gt;".",Irr!AR25&lt;&gt;".",Irr!BP25="."),dir!U25/((1/1000)*(Irr!T25+Irr!AR25)),IF(AND(Irr!T25&lt;&gt;".",Irr!AR25=".",Irr!BP25&lt;&gt;"."),dir!U25/((1/1000)*(Irr!T25+Irr!BP25)),IF(AND(Irr!T25=".",Irr!AR25&lt;&gt;".",Irr!BP25&lt;&gt;"."),dir!U25/((1/1000)*(Irr!AR25+Irr!BP25)),IF(AND(Irr!T25=".",Irr!AR25=".",Irr!BP25&lt;&gt;"."),dir!U25/((1/1000)*(Irr!BP25)),IF(AND(Irr!T25=".",Irr!AR25&lt;&gt;".",Irr!BP25="."),dir!U25/((1/1000)*(Irr!AR25)),IF(AND(Irr!T25&lt;&gt;".",Irr!AR25=".",Irr!BP25="."),dir!U25/((1/1000)*(Irr!T25)),IF(AND(Irr!T25=".",Irr!AR25=".",Irr!BP25="."),dir!U25*1000)))))))),".")</f>
        <v>.</v>
      </c>
      <c r="V25" s="48" t="str">
        <f>IFERROR(IF(AND(Irr!U25&lt;&gt;".",Irr!AS25&lt;&gt;".",Irr!BQ25&lt;&gt;"."),dir!V25/((1/1000)*(Irr!U25+Irr!AS25+Irr!BQ25)),IF(AND(Irr!U25&lt;&gt;".",Irr!AS25&lt;&gt;".",Irr!BQ25="."),dir!V25/((1/1000)*(Irr!U25+Irr!AS25)),IF(AND(Irr!U25&lt;&gt;".",Irr!AS25=".",Irr!BQ25&lt;&gt;"."),dir!V25/((1/1000)*(Irr!U25+Irr!BQ25)),IF(AND(Irr!U25=".",Irr!AS25&lt;&gt;".",Irr!BQ25&lt;&gt;"."),dir!V25/((1/1000)*(Irr!AS25+Irr!BQ25)),IF(AND(Irr!U25=".",Irr!AS25=".",Irr!BQ25&lt;&gt;"."),dir!V25/((1/1000)*(Irr!BQ25)),IF(AND(Irr!U25=".",Irr!AS25&lt;&gt;".",Irr!BQ25="."),dir!V25/((1/1000)*(Irr!AS25)),IF(AND(Irr!U25&lt;&gt;".",Irr!AS25=".",Irr!BQ25="."),dir!V25/((1/1000)*(Irr!U25)),IF(AND(Irr!U25=".",Irr!AS25=".",Irr!BQ25="."),dir!V25*1000)))))))),".")</f>
        <v>.</v>
      </c>
      <c r="W25" s="48" t="str">
        <f>IFERROR(IF(AND(Irr!V25&lt;&gt;".",Irr!AT25&lt;&gt;".",Irr!BR25&lt;&gt;"."),dir!W25/((1/1000)*(Irr!V25+Irr!AT25+Irr!BR25)),IF(AND(Irr!V25&lt;&gt;".",Irr!AT25&lt;&gt;".",Irr!BR25="."),dir!W25/((1/1000)*(Irr!V25+Irr!AT25)),IF(AND(Irr!V25&lt;&gt;".",Irr!AT25=".",Irr!BR25&lt;&gt;"."),dir!W25/((1/1000)*(Irr!V25+Irr!BR25)),IF(AND(Irr!V25=".",Irr!AT25&lt;&gt;".",Irr!BR25&lt;&gt;"."),dir!W25/((1/1000)*(Irr!AT25+Irr!BR25)),IF(AND(Irr!V25=".",Irr!AT25=".",Irr!BR25&lt;&gt;"."),dir!W25/((1/1000)*(Irr!BR25)),IF(AND(Irr!V25=".",Irr!AT25&lt;&gt;".",Irr!BR25="."),dir!W25/((1/1000)*(Irr!AT25)),IF(AND(Irr!V25&lt;&gt;".",Irr!AT25=".",Irr!BR25="."),dir!W25/((1/1000)*(Irr!V25)),IF(AND(Irr!V25=".",Irr!AT25=".",Irr!BR25="."),dir!W25*1000)))))))),".")</f>
        <v>.</v>
      </c>
      <c r="X25" s="48" t="str">
        <f>IFERROR(IF(AND(Irr!W25&lt;&gt;".",Irr!AU25&lt;&gt;".",Irr!BS25&lt;&gt;"."),dir!X25/((1/1000)*(Irr!W25+Irr!AU25+Irr!BS25)),IF(AND(Irr!W25&lt;&gt;".",Irr!AU25&lt;&gt;".",Irr!BS25="."),dir!X25/((1/1000)*(Irr!W25+Irr!AU25)),IF(AND(Irr!W25&lt;&gt;".",Irr!AU25=".",Irr!BS25&lt;&gt;"."),dir!X25/((1/1000)*(Irr!W25+Irr!BS25)),IF(AND(Irr!W25=".",Irr!AU25&lt;&gt;".",Irr!BS25&lt;&gt;"."),dir!X25/((1/1000)*(Irr!AU25+Irr!BS25)),IF(AND(Irr!W25=".",Irr!AU25=".",Irr!BS25&lt;&gt;"."),dir!X25/((1/1000)*(Irr!BS25)),IF(AND(Irr!W25=".",Irr!AU25&lt;&gt;".",Irr!BS25="."),dir!X25/((1/1000)*(Irr!AU25)),IF(AND(Irr!W25&lt;&gt;".",Irr!AU25=".",Irr!BS25="."),dir!X25/((1/1000)*(Irr!W25)),IF(AND(Irr!W25=".",Irr!AU25=".",Irr!BS25="."),dir!X25*1000)))))))),".")</f>
        <v>.</v>
      </c>
      <c r="Y25" s="48" t="str">
        <f>IFERROR(IF(AND(Irr!X25&lt;&gt;".",Irr!AV25&lt;&gt;".",Irr!BT25&lt;&gt;"."),dir!Y25/((1/1000)*(Irr!X25+Irr!AV25+Irr!BT25)),IF(AND(Irr!X25&lt;&gt;".",Irr!AV25&lt;&gt;".",Irr!BT25="."),dir!Y25/((1/1000)*(Irr!X25+Irr!AV25)),IF(AND(Irr!X25&lt;&gt;".",Irr!AV25=".",Irr!BT25&lt;&gt;"."),dir!Y25/((1/1000)*(Irr!X25+Irr!BT25)),IF(AND(Irr!X25=".",Irr!AV25&lt;&gt;".",Irr!BT25&lt;&gt;"."),dir!Y25/((1/1000)*(Irr!AV25+Irr!BT25)),IF(AND(Irr!X25=".",Irr!AV25=".",Irr!BT25&lt;&gt;"."),dir!Y25/((1/1000)*(Irr!BT25)),IF(AND(Irr!X25=".",Irr!AV25&lt;&gt;".",Irr!BT25="."),dir!Y25/((1/1000)*(Irr!AV25)),IF(AND(Irr!X25&lt;&gt;".",Irr!AV25=".",Irr!BT25="."),dir!Y25/((1/1000)*(Irr!X25)),IF(AND(Irr!X25=".",Irr!AV25=".",Irr!BT25="."),dir!Y25*1000)))))))),".")</f>
        <v>.</v>
      </c>
      <c r="Z25" s="48" t="str">
        <f>IFERROR(IF(AND(Irr!Y25&lt;&gt;".",Irr!AW25&lt;&gt;".",Irr!BU25&lt;&gt;"."),dir!Z25/((1/1000)*(Irr!Y25+Irr!AW25+Irr!BU25)),IF(AND(Irr!Y25&lt;&gt;".",Irr!AW25&lt;&gt;".",Irr!BU25="."),dir!Z25/((1/1000)*(Irr!Y25+Irr!AW25)),IF(AND(Irr!Y25&lt;&gt;".",Irr!AW25=".",Irr!BU25&lt;&gt;"."),dir!Z25/((1/1000)*(Irr!Y25+Irr!BU25)),IF(AND(Irr!Y25=".",Irr!AW25&lt;&gt;".",Irr!BU25&lt;&gt;"."),dir!Z25/((1/1000)*(Irr!AW25+Irr!BU25)),IF(AND(Irr!Y25=".",Irr!AW25=".",Irr!BU25&lt;&gt;"."),dir!Z25/((1/1000)*(Irr!BU25)),IF(AND(Irr!Y25=".",Irr!AW25&lt;&gt;".",Irr!BU25="."),dir!Z25/((1/1000)*(Irr!AW25)),IF(AND(Irr!Y25&lt;&gt;".",Irr!AW25=".",Irr!BU25="."),dir!Z25/((1/1000)*(Irr!Y25)),IF(AND(Irr!Y25=".",Irr!AW25=".",Irr!BU25="."),dir!Z25*1000)))))))),".")</f>
        <v>.</v>
      </c>
      <c r="AA25" s="48" t="str">
        <f>IFERROR(IF(AND(Irr!Z25&lt;&gt;".",Irr!AX25&lt;&gt;".",Irr!BV25&lt;&gt;"."),dir!AA25/((1/1000)*(Irr!Z25+Irr!AX25+Irr!BV25)),IF(AND(Irr!Z25&lt;&gt;".",Irr!AX25&lt;&gt;".",Irr!BV25="."),dir!AA25/((1/1000)*(Irr!Z25+Irr!AX25)),IF(AND(Irr!Z25&lt;&gt;".",Irr!AX25=".",Irr!BV25&lt;&gt;"."),dir!AA25/((1/1000)*(Irr!Z25+Irr!BV25)),IF(AND(Irr!Z25=".",Irr!AX25&lt;&gt;".",Irr!BV25&lt;&gt;"."),dir!AA25/((1/1000)*(Irr!AX25+Irr!BV25)),IF(AND(Irr!Z25=".",Irr!AX25=".",Irr!BV25&lt;&gt;"."),dir!AA25/((1/1000)*(Irr!BV25)),IF(AND(Irr!Z25=".",Irr!AX25&lt;&gt;".",Irr!BV25="."),dir!AA25/((1/1000)*(Irr!AX25)),IF(AND(Irr!Z25&lt;&gt;".",Irr!AX25=".",Irr!BV25="."),dir!AA25/((1/1000)*(Irr!Z25)),IF(AND(Irr!Z25=".",Irr!AX25=".",Irr!BV25="."),dir!AA25*1000)))))))),".")</f>
        <v>.</v>
      </c>
      <c r="AB25" s="48" t="str">
        <f t="shared" si="21"/>
        <v>.</v>
      </c>
      <c r="AC25" s="48" t="str">
        <f>IFERROR(IF(AND(Irr!C25&lt;&gt;".",Irr!AA25&lt;&gt;".",Irr!AY25&lt;&gt;"."),dir!AC25/((1/1000)*(Irr!C25+Irr!AA25+Irr!AY25)),IF(AND(Irr!C25&lt;&gt;".",Irr!AA25&lt;&gt;".",Irr!AY25="."),dir!AC25/((1/1000)*(Irr!C25+Irr!AA25)),IF(AND(Irr!C25&lt;&gt;".",Irr!AA25=".",Irr!AY25&lt;&gt;"."),dir!AC25/((1/1000)*(Irr!C25+Irr!AY25)),IF(AND(Irr!C25=".",Irr!AA25&lt;&gt;".",Irr!AY25&lt;&gt;"."),dir!AC25/((1/1000)*(Irr!AA25+Irr!AY25)),IF(AND(Irr!C25=".",Irr!AA25=".",Irr!AY25&lt;&gt;"."),dir!AC25/((1/1000)*(Irr!AY25)),IF(AND(Irr!C25=".",Irr!AA25&lt;&gt;".",Irr!AY25="."),dir!AC25/((1/1000)*(Irr!AA25)),IF(AND(Irr!C25&lt;&gt;".",Irr!AA25=".",Irr!AY25="."),dir!AC25/((1/1000)*(Irr!C25)),IF(AND(Irr!C25=".",Irr!AA25=".",Irr!AY25="."),dir!AC25*1000)))))))),".")</f>
        <v>.</v>
      </c>
      <c r="AD25" s="48" t="str">
        <f>IFERROR(IF(AND(Irr!D25&lt;&gt;".",Irr!AB25&lt;&gt;".",Irr!AZ25&lt;&gt;"."),dir!AD25/((1/1000)*(Irr!D25+Irr!AB25+Irr!AZ25)),IF(AND(Irr!D25&lt;&gt;".",Irr!AB25&lt;&gt;".",Irr!AZ25="."),dir!AD25/((1/1000)*(Irr!D25+Irr!AB25)),IF(AND(Irr!D25&lt;&gt;".",Irr!AB25=".",Irr!AZ25&lt;&gt;"."),dir!AD25/((1/1000)*(Irr!D25+Irr!AZ25)),IF(AND(Irr!D25=".",Irr!AB25&lt;&gt;".",Irr!AZ25&lt;&gt;"."),dir!AD25/((1/1000)*(Irr!AB25+Irr!AZ25)),IF(AND(Irr!D25=".",Irr!AB25=".",Irr!AZ25&lt;&gt;"."),dir!AD25/((1/1000)*(Irr!AZ25)),IF(AND(Irr!D25=".",Irr!AB25&lt;&gt;".",Irr!AZ25="."),dir!AD25/((1/1000)*(Irr!AB25)),IF(AND(Irr!D25&lt;&gt;".",Irr!AB25=".",Irr!AZ25="."),dir!AD25/((1/1000)*(Irr!D25)),IF(AND(Irr!D25=".",Irr!AB25=".",Irr!AZ25="."),dir!AD25*1000)))))))),".")</f>
        <v>.</v>
      </c>
      <c r="AE25" s="48" t="str">
        <f>IFERROR(IF(AND(Irr!E25&lt;&gt;".",Irr!AC25&lt;&gt;".",Irr!BA25&lt;&gt;"."),dir!AE25/((1/1000)*(Irr!E25+Irr!AC25+Irr!BA25)),IF(AND(Irr!E25&lt;&gt;".",Irr!AC25&lt;&gt;".",Irr!BA25="."),dir!AE25/((1/1000)*(Irr!E25+Irr!AC25)),IF(AND(Irr!E25&lt;&gt;".",Irr!AC25=".",Irr!BA25&lt;&gt;"."),dir!AE25/((1/1000)*(Irr!E25+Irr!BA25)),IF(AND(Irr!E25=".",Irr!AC25&lt;&gt;".",Irr!BA25&lt;&gt;"."),dir!AE25/((1/1000)*(Irr!AC25+Irr!BA25)),IF(AND(Irr!E25=".",Irr!AC25=".",Irr!BA25&lt;&gt;"."),dir!AE25/((1/1000)*(Irr!BA25)),IF(AND(Irr!E25=".",Irr!AC25&lt;&gt;".",Irr!BA25="."),dir!AE25/((1/1000)*(Irr!AC25)),IF(AND(Irr!E25&lt;&gt;".",Irr!AC25=".",Irr!BA25="."),dir!AE25/((1/1000)*(Irr!E25)),IF(AND(Irr!E25=".",Irr!AC25=".",Irr!BA25="."),dir!AE25*1000)))))))),".")</f>
        <v>.</v>
      </c>
      <c r="AF25" s="48" t="str">
        <f>IFERROR(IF(AND(Irr!F25&lt;&gt;".",Irr!AD25&lt;&gt;".",Irr!BB25&lt;&gt;"."),dir!AF25/((1/1000)*(Irr!F25+Irr!AD25+Irr!BB25)),IF(AND(Irr!F25&lt;&gt;".",Irr!AD25&lt;&gt;".",Irr!BB25="."),dir!AF25/((1/1000)*(Irr!F25+Irr!AD25)),IF(AND(Irr!F25&lt;&gt;".",Irr!AD25=".",Irr!BB25&lt;&gt;"."),dir!AF25/((1/1000)*(Irr!F25+Irr!BB25)),IF(AND(Irr!F25=".",Irr!AD25&lt;&gt;".",Irr!BB25&lt;&gt;"."),dir!AF25/((1/1000)*(Irr!AD25+Irr!BB25)),IF(AND(Irr!F25=".",Irr!AD25=".",Irr!BB25&lt;&gt;"."),dir!AF25/((1/1000)*(Irr!BB25)),IF(AND(Irr!F25=".",Irr!AD25&lt;&gt;".",Irr!BB25="."),dir!AF25/((1/1000)*(Irr!AD25)),IF(AND(Irr!F25&lt;&gt;".",Irr!AD25=".",Irr!BB25="."),dir!AF25/((1/1000)*(Irr!F25)),IF(AND(Irr!F25=".",Irr!AD25=".",Irr!BB25="."),dir!AF25*1000)))))))),".")</f>
        <v>.</v>
      </c>
      <c r="AG25" s="48" t="str">
        <f>IFERROR(IF(AND(Irr!G25&lt;&gt;".",Irr!AE25&lt;&gt;".",Irr!BC25&lt;&gt;"."),dir!AG25/((1/1000)*(Irr!G25+Irr!AE25+Irr!BC25)),IF(AND(Irr!G25&lt;&gt;".",Irr!AE25&lt;&gt;".",Irr!BC25="."),dir!AG25/((1/1000)*(Irr!G25+Irr!AE25)),IF(AND(Irr!G25&lt;&gt;".",Irr!AE25=".",Irr!BC25&lt;&gt;"."),dir!AG25/((1/1000)*(Irr!G25+Irr!BC25)),IF(AND(Irr!G25=".",Irr!AE25&lt;&gt;".",Irr!BC25&lt;&gt;"."),dir!AG25/((1/1000)*(Irr!AE25+Irr!BC25)),IF(AND(Irr!G25=".",Irr!AE25=".",Irr!BC25&lt;&gt;"."),dir!AG25/((1/1000)*(Irr!BC25)),IF(AND(Irr!G25=".",Irr!AE25&lt;&gt;".",Irr!BC25="."),dir!AG25/((1/1000)*(Irr!AE25)),IF(AND(Irr!G25&lt;&gt;".",Irr!AE25=".",Irr!BC25="."),dir!AG25/((1/1000)*(Irr!G25)),IF(AND(Irr!G25=".",Irr!AE25=".",Irr!BC25="."),dir!AG25*1000)))))))),".")</f>
        <v>.</v>
      </c>
      <c r="AH25" s="48" t="str">
        <f>IFERROR(IF(AND(Irr!H25&lt;&gt;".",Irr!AF25&lt;&gt;".",Irr!BD25&lt;&gt;"."),dir!AH25/((1/1000)*(Irr!H25+Irr!AF25+Irr!BD25)),IF(AND(Irr!H25&lt;&gt;".",Irr!AF25&lt;&gt;".",Irr!BD25="."),dir!AH25/((1/1000)*(Irr!H25+Irr!AF25)),IF(AND(Irr!H25&lt;&gt;".",Irr!AF25=".",Irr!BD25&lt;&gt;"."),dir!AH25/((1/1000)*(Irr!H25+Irr!BD25)),IF(AND(Irr!H25=".",Irr!AF25&lt;&gt;".",Irr!BD25&lt;&gt;"."),dir!AH25/((1/1000)*(Irr!AF25+Irr!BD25)),IF(AND(Irr!H25=".",Irr!AF25=".",Irr!BD25&lt;&gt;"."),dir!AH25/((1/1000)*(Irr!BD25)),IF(AND(Irr!H25=".",Irr!AF25&lt;&gt;".",Irr!BD25="."),dir!AH25/((1/1000)*(Irr!AF25)),IF(AND(Irr!H25&lt;&gt;".",Irr!AF25=".",Irr!BD25="."),dir!AH25/((1/1000)*(Irr!H25)),IF(AND(Irr!H25=".",Irr!AF25=".",Irr!BD25="."),dir!AH25*1000)))))))),".")</f>
        <v>.</v>
      </c>
      <c r="AI25" s="48" t="str">
        <f>IFERROR(IF(AND(Irr!I25&lt;&gt;".",Irr!AG25&lt;&gt;".",Irr!BE25&lt;&gt;"."),dir!AI25/((1/1000)*(Irr!I25+Irr!AG25+Irr!BE25)),IF(AND(Irr!I25&lt;&gt;".",Irr!AG25&lt;&gt;".",Irr!BE25="."),dir!AI25/((1/1000)*(Irr!I25+Irr!AG25)),IF(AND(Irr!I25&lt;&gt;".",Irr!AG25=".",Irr!BE25&lt;&gt;"."),dir!AI25/((1/1000)*(Irr!I25+Irr!BE25)),IF(AND(Irr!I25=".",Irr!AG25&lt;&gt;".",Irr!BE25&lt;&gt;"."),dir!AI25/((1/1000)*(Irr!AG25+Irr!BE25)),IF(AND(Irr!I25=".",Irr!AG25=".",Irr!BE25&lt;&gt;"."),dir!AI25/((1/1000)*(Irr!BE25)),IF(AND(Irr!I25=".",Irr!AG25&lt;&gt;".",Irr!BE25="."),dir!AI25/((1/1000)*(Irr!AG25)),IF(AND(Irr!I25&lt;&gt;".",Irr!AG25=".",Irr!BE25="."),dir!AI25/((1/1000)*(Irr!I25)),IF(AND(Irr!I25=".",Irr!AG25=".",Irr!BE25="."),dir!AI25*1000)))))))),".")</f>
        <v>.</v>
      </c>
      <c r="AJ25" s="48" t="str">
        <f>IFERROR(IF(AND(Irr!J25&lt;&gt;".",Irr!AH25&lt;&gt;".",Irr!BF25&lt;&gt;"."),dir!AJ25/((1/1000)*(Irr!J25+Irr!AH25+Irr!BF25)),IF(AND(Irr!J25&lt;&gt;".",Irr!AH25&lt;&gt;".",Irr!BF25="."),dir!AJ25/((1/1000)*(Irr!J25+Irr!AH25)),IF(AND(Irr!J25&lt;&gt;".",Irr!AH25=".",Irr!BF25&lt;&gt;"."),dir!AJ25/((1/1000)*(Irr!J25+Irr!BF25)),IF(AND(Irr!J25=".",Irr!AH25&lt;&gt;".",Irr!BF25&lt;&gt;"."),dir!AJ25/((1/1000)*(Irr!AH25+Irr!BF25)),IF(AND(Irr!J25=".",Irr!AH25=".",Irr!BF25&lt;&gt;"."),dir!AJ25/((1/1000)*(Irr!BF25)),IF(AND(Irr!J25=".",Irr!AH25&lt;&gt;".",Irr!BF25="."),dir!AJ25/((1/1000)*(Irr!AH25)),IF(AND(Irr!J25&lt;&gt;".",Irr!AH25=".",Irr!BF25="."),dir!AJ25/((1/1000)*(Irr!J25)),IF(AND(Irr!J25=".",Irr!AH25=".",Irr!BF25="."),dir!AJ25*1000)))))))),".")</f>
        <v>.</v>
      </c>
      <c r="AK25" s="48" t="str">
        <f>IFERROR(IF(AND(Irr!K25&lt;&gt;".",Irr!AI25&lt;&gt;".",Irr!BG25&lt;&gt;"."),dir!AK25/((1/1000)*(Irr!K25+Irr!AI25+Irr!BG25)),IF(AND(Irr!K25&lt;&gt;".",Irr!AI25&lt;&gt;".",Irr!BG25="."),dir!AK25/((1/1000)*(Irr!K25+Irr!AI25)),IF(AND(Irr!K25&lt;&gt;".",Irr!AI25=".",Irr!BG25&lt;&gt;"."),dir!AK25/((1/1000)*(Irr!K25+Irr!BG25)),IF(AND(Irr!K25=".",Irr!AI25&lt;&gt;".",Irr!BG25&lt;&gt;"."),dir!AK25/((1/1000)*(Irr!AI25+Irr!BG25)),IF(AND(Irr!K25=".",Irr!AI25=".",Irr!BG25&lt;&gt;"."),dir!AK25/((1/1000)*(Irr!BG25)),IF(AND(Irr!K25=".",Irr!AI25&lt;&gt;".",Irr!BG25="."),dir!AK25/((1/1000)*(Irr!AI25)),IF(AND(Irr!K25&lt;&gt;".",Irr!AI25=".",Irr!BG25="."),dir!AK25/((1/1000)*(Irr!K25)),IF(AND(Irr!K25=".",Irr!AI25=".",Irr!BG25="."),dir!AK25*1000)))))))),".")</f>
        <v>.</v>
      </c>
      <c r="AL25" s="48" t="str">
        <f>IFERROR(IF(AND(Irr!L25&lt;&gt;".",Irr!AJ25&lt;&gt;".",Irr!BH25&lt;&gt;"."),dir!AL25/((1/1000)*(Irr!L25+Irr!AJ25+Irr!BH25)),IF(AND(Irr!L25&lt;&gt;".",Irr!AJ25&lt;&gt;".",Irr!BH25="."),dir!AL25/((1/1000)*(Irr!L25+Irr!AJ25)),IF(AND(Irr!L25&lt;&gt;".",Irr!AJ25=".",Irr!BH25&lt;&gt;"."),dir!AL25/((1/1000)*(Irr!L25+Irr!BH25)),IF(AND(Irr!L25=".",Irr!AJ25&lt;&gt;".",Irr!BH25&lt;&gt;"."),dir!AL25/((1/1000)*(Irr!AJ25+Irr!BH25)),IF(AND(Irr!L25=".",Irr!AJ25=".",Irr!BH25&lt;&gt;"."),dir!AL25/((1/1000)*(Irr!BH25)),IF(AND(Irr!L25=".",Irr!AJ25&lt;&gt;".",Irr!BH25="."),dir!AL25/((1/1000)*(Irr!AJ25)),IF(AND(Irr!L25&lt;&gt;".",Irr!AJ25=".",Irr!BH25="."),dir!AL25/((1/1000)*(Irr!L25)),IF(AND(Irr!L25=".",Irr!AJ25=".",Irr!BH25="."),dir!AL25*1000)))))))),".")</f>
        <v>.</v>
      </c>
      <c r="AM25" s="48" t="str">
        <f>IFERROR(IF(AND(Irr!M25&lt;&gt;".",Irr!AK25&lt;&gt;".",Irr!BI25&lt;&gt;"."),dir!AM25/((1/1000)*(Irr!M25+Irr!AK25+Irr!BI25)),IF(AND(Irr!M25&lt;&gt;".",Irr!AK25&lt;&gt;".",Irr!BI25="."),dir!AM25/((1/1000)*(Irr!M25+Irr!AK25)),IF(AND(Irr!M25&lt;&gt;".",Irr!AK25=".",Irr!BI25&lt;&gt;"."),dir!AM25/((1/1000)*(Irr!M25+Irr!BI25)),IF(AND(Irr!M25=".",Irr!AK25&lt;&gt;".",Irr!BI25&lt;&gt;"."),dir!AM25/((1/1000)*(Irr!AK25+Irr!BI25)),IF(AND(Irr!M25=".",Irr!AK25=".",Irr!BI25&lt;&gt;"."),dir!AM25/((1/1000)*(Irr!BI25)),IF(AND(Irr!M25=".",Irr!AK25&lt;&gt;".",Irr!BI25="."),dir!AM25/((1/1000)*(Irr!AK25)),IF(AND(Irr!M25&lt;&gt;".",Irr!AK25=".",Irr!BI25="."),dir!AM25/((1/1000)*(Irr!M25)),IF(AND(Irr!M25=".",Irr!AK25=".",Irr!BI25="."),dir!AM25*1000)))))))),".")</f>
        <v>.</v>
      </c>
      <c r="AN25" s="48" t="str">
        <f>IFERROR(IF(AND(Irr!N25&lt;&gt;".",Irr!AL25&lt;&gt;".",Irr!BJ25&lt;&gt;"."),dir!AN25/((1/1000)*(Irr!N25+Irr!AL25+Irr!BJ25)),IF(AND(Irr!N25&lt;&gt;".",Irr!AL25&lt;&gt;".",Irr!BJ25="."),dir!AN25/((1/1000)*(Irr!N25+Irr!AL25)),IF(AND(Irr!N25&lt;&gt;".",Irr!AL25=".",Irr!BJ25&lt;&gt;"."),dir!AN25/((1/1000)*(Irr!N25+Irr!BJ25)),IF(AND(Irr!N25=".",Irr!AL25&lt;&gt;".",Irr!BJ25&lt;&gt;"."),dir!AN25/((1/1000)*(Irr!AL25+Irr!BJ25)),IF(AND(Irr!N25=".",Irr!AL25=".",Irr!BJ25&lt;&gt;"."),dir!AN25/((1/1000)*(Irr!BJ25)),IF(AND(Irr!N25=".",Irr!AL25&lt;&gt;".",Irr!BJ25="."),dir!AN25/((1/1000)*(Irr!AL25)),IF(AND(Irr!N25&lt;&gt;".",Irr!AL25=".",Irr!BJ25="."),dir!AN25/((1/1000)*(Irr!N25)),IF(AND(Irr!N25=".",Irr!AL25=".",Irr!BJ25="."),dir!AN25*1000)))))))),".")</f>
        <v>.</v>
      </c>
      <c r="AO25" s="48" t="str">
        <f>IFERROR(IF(AND(Irr!O25&lt;&gt;".",Irr!AM25&lt;&gt;".",Irr!BK25&lt;&gt;"."),dir!AO25/((1/1000)*(Irr!O25+Irr!AM25+Irr!BK25)),IF(AND(Irr!O25&lt;&gt;".",Irr!AM25&lt;&gt;".",Irr!BK25="."),dir!AO25/((1/1000)*(Irr!O25+Irr!AM25)),IF(AND(Irr!O25&lt;&gt;".",Irr!AM25=".",Irr!BK25&lt;&gt;"."),dir!AO25/((1/1000)*(Irr!O25+Irr!BK25)),IF(AND(Irr!O25=".",Irr!AM25&lt;&gt;".",Irr!BK25&lt;&gt;"."),dir!AO25/((1/1000)*(Irr!AM25+Irr!BK25)),IF(AND(Irr!O25=".",Irr!AM25=".",Irr!BK25&lt;&gt;"."),dir!AO25/((1/1000)*(Irr!BK25)),IF(AND(Irr!O25=".",Irr!AM25&lt;&gt;".",Irr!BK25="."),dir!AO25/((1/1000)*(Irr!AM25)),IF(AND(Irr!O25&lt;&gt;".",Irr!AM25=".",Irr!BK25="."),dir!AO25/((1/1000)*(Irr!O25)),IF(AND(Irr!O25=".",Irr!AM25=".",Irr!BK25="."),dir!AO25*1000)))))))),".")</f>
        <v>.</v>
      </c>
      <c r="AP25" s="48" t="str">
        <f>IFERROR(IF(AND(Irr!P25&lt;&gt;".",Irr!AN25&lt;&gt;".",Irr!BL25&lt;&gt;"."),dir!AP25/((1/1000)*(Irr!P25+Irr!AN25+Irr!BL25)),IF(AND(Irr!P25&lt;&gt;".",Irr!AN25&lt;&gt;".",Irr!BL25="."),dir!AP25/((1/1000)*(Irr!P25+Irr!AN25)),IF(AND(Irr!P25&lt;&gt;".",Irr!AN25=".",Irr!BL25&lt;&gt;"."),dir!AP25/((1/1000)*(Irr!P25+Irr!BL25)),IF(AND(Irr!P25=".",Irr!AN25&lt;&gt;".",Irr!BL25&lt;&gt;"."),dir!AP25/((1/1000)*(Irr!AN25+Irr!BL25)),IF(AND(Irr!P25=".",Irr!AN25=".",Irr!BL25&lt;&gt;"."),dir!AP25/((1/1000)*(Irr!BL25)),IF(AND(Irr!P25=".",Irr!AN25&lt;&gt;".",Irr!BL25="."),dir!AP25/((1/1000)*(Irr!AN25)),IF(AND(Irr!P25&lt;&gt;".",Irr!AN25=".",Irr!BL25="."),dir!AP25/((1/1000)*(Irr!P25)),IF(AND(Irr!P25=".",Irr!AN25=".",Irr!BL25="."),dir!AP25*1000)))))))),".")</f>
        <v>.</v>
      </c>
      <c r="AQ25" s="48" t="str">
        <f>IFERROR(IF(AND(Irr!Q25&lt;&gt;".",Irr!AO25&lt;&gt;".",Irr!BM25&lt;&gt;"."),dir!AQ25/((1/1000)*(Irr!Q25+Irr!AO25+Irr!BM25)),IF(AND(Irr!Q25&lt;&gt;".",Irr!AO25&lt;&gt;".",Irr!BM25="."),dir!AQ25/((1/1000)*(Irr!Q25+Irr!AO25)),IF(AND(Irr!Q25&lt;&gt;".",Irr!AO25=".",Irr!BM25&lt;&gt;"."),dir!AQ25/((1/1000)*(Irr!Q25+Irr!BM25)),IF(AND(Irr!Q25=".",Irr!AO25&lt;&gt;".",Irr!BM25&lt;&gt;"."),dir!AQ25/((1/1000)*(Irr!AO25+Irr!BM25)),IF(AND(Irr!Q25=".",Irr!AO25=".",Irr!BM25&lt;&gt;"."),dir!AQ25/((1/1000)*(Irr!BM25)),IF(AND(Irr!Q25=".",Irr!AO25&lt;&gt;".",Irr!BM25="."),dir!AQ25/((1/1000)*(Irr!AO25)),IF(AND(Irr!Q25&lt;&gt;".",Irr!AO25=".",Irr!BM25="."),dir!AQ25/((1/1000)*(Irr!Q25)),IF(AND(Irr!Q25=".",Irr!AO25=".",Irr!BM25="."),dir!AQ25*1000)))))))),".")</f>
        <v>.</v>
      </c>
      <c r="AR25" s="48" t="str">
        <f>IFERROR(IF(AND(Irr!R25&lt;&gt;".",Irr!AP25&lt;&gt;".",Irr!BN25&lt;&gt;"."),dir!AR25/((1/1000)*(Irr!R25+Irr!AP25+Irr!BN25)),IF(AND(Irr!R25&lt;&gt;".",Irr!AP25&lt;&gt;".",Irr!BN25="."),dir!AR25/((1/1000)*(Irr!R25+Irr!AP25)),IF(AND(Irr!R25&lt;&gt;".",Irr!AP25=".",Irr!BN25&lt;&gt;"."),dir!AR25/((1/1000)*(Irr!R25+Irr!BN25)),IF(AND(Irr!R25=".",Irr!AP25&lt;&gt;".",Irr!BN25&lt;&gt;"."),dir!AR25/((1/1000)*(Irr!AP25+Irr!BN25)),IF(AND(Irr!R25=".",Irr!AP25=".",Irr!BN25&lt;&gt;"."),dir!AR25/((1/1000)*(Irr!BN25)),IF(AND(Irr!R25=".",Irr!AP25&lt;&gt;".",Irr!BN25="."),dir!AR25/((1/1000)*(Irr!AP25)),IF(AND(Irr!R25&lt;&gt;".",Irr!AP25=".",Irr!BN25="."),dir!AR25/((1/1000)*(Irr!R25)),IF(AND(Irr!R25=".",Irr!AP25=".",Irr!BN25="."),dir!AR25*1000)))))))),".")</f>
        <v>.</v>
      </c>
      <c r="AS25" s="48" t="str">
        <f>IFERROR(IF(AND(Irr!S25&lt;&gt;".",Irr!AQ25&lt;&gt;".",Irr!BO25&lt;&gt;"."),dir!AS25/((1/1000)*(Irr!S25+Irr!AQ25+Irr!BO25)),IF(AND(Irr!S25&lt;&gt;".",Irr!AQ25&lt;&gt;".",Irr!BO25="."),dir!AS25/((1/1000)*(Irr!S25+Irr!AQ25)),IF(AND(Irr!S25&lt;&gt;".",Irr!AQ25=".",Irr!BO25&lt;&gt;"."),dir!AS25/((1/1000)*(Irr!S25+Irr!BO25)),IF(AND(Irr!S25=".",Irr!AQ25&lt;&gt;".",Irr!BO25&lt;&gt;"."),dir!AS25/((1/1000)*(Irr!AQ25+Irr!BO25)),IF(AND(Irr!S25=".",Irr!AQ25=".",Irr!BO25&lt;&gt;"."),dir!AS25/((1/1000)*(Irr!BO25)),IF(AND(Irr!S25=".",Irr!AQ25&lt;&gt;".",Irr!BO25="."),dir!AS25/((1/1000)*(Irr!AQ25)),IF(AND(Irr!S25&lt;&gt;".",Irr!AQ25=".",Irr!BO25="."),dir!AS25/((1/1000)*(Irr!S25)),IF(AND(Irr!S25=".",Irr!AQ25=".",Irr!BO25="."),dir!AS25*1000)))))))),".")</f>
        <v>.</v>
      </c>
      <c r="AT25" s="48" t="str">
        <f>IFERROR(IF(AND(Irr!T25&lt;&gt;".",Irr!AR25&lt;&gt;".",Irr!BP25&lt;&gt;"."),dir!AT25/((1/1000)*(Irr!T25+Irr!AR25+Irr!BP25)),IF(AND(Irr!T25&lt;&gt;".",Irr!AR25&lt;&gt;".",Irr!BP25="."),dir!AT25/((1/1000)*(Irr!T25+Irr!AR25)),IF(AND(Irr!T25&lt;&gt;".",Irr!AR25=".",Irr!BP25&lt;&gt;"."),dir!AT25/((1/1000)*(Irr!T25+Irr!BP25)),IF(AND(Irr!T25=".",Irr!AR25&lt;&gt;".",Irr!BP25&lt;&gt;"."),dir!AT25/((1/1000)*(Irr!AR25+Irr!BP25)),IF(AND(Irr!T25=".",Irr!AR25=".",Irr!BP25&lt;&gt;"."),dir!AT25/((1/1000)*(Irr!BP25)),IF(AND(Irr!T25=".",Irr!AR25&lt;&gt;".",Irr!BP25="."),dir!AT25/((1/1000)*(Irr!AR25)),IF(AND(Irr!T25&lt;&gt;".",Irr!AR25=".",Irr!BP25="."),dir!AT25/((1/1000)*(Irr!T25)),IF(AND(Irr!T25=".",Irr!AR25=".",Irr!BP25="."),dir!AT25*1000)))))))),".")</f>
        <v>.</v>
      </c>
      <c r="AU25" s="48" t="str">
        <f>IFERROR(IF(AND(Irr!U25&lt;&gt;".",Irr!AS25&lt;&gt;".",Irr!BQ25&lt;&gt;"."),dir!AU25/((1/1000)*(Irr!U25+Irr!AS25+Irr!BQ25)),IF(AND(Irr!U25&lt;&gt;".",Irr!AS25&lt;&gt;".",Irr!BQ25="."),dir!AU25/((1/1000)*(Irr!U25+Irr!AS25)),IF(AND(Irr!U25&lt;&gt;".",Irr!AS25=".",Irr!BQ25&lt;&gt;"."),dir!AU25/((1/1000)*(Irr!U25+Irr!BQ25)),IF(AND(Irr!U25=".",Irr!AS25&lt;&gt;".",Irr!BQ25&lt;&gt;"."),dir!AU25/((1/1000)*(Irr!AS25+Irr!BQ25)),IF(AND(Irr!U25=".",Irr!AS25=".",Irr!BQ25&lt;&gt;"."),dir!AU25/((1/1000)*(Irr!BQ25)),IF(AND(Irr!U25=".",Irr!AS25&lt;&gt;".",Irr!BQ25="."),dir!AU25/((1/1000)*(Irr!AS25)),IF(AND(Irr!U25&lt;&gt;".",Irr!AS25=".",Irr!BQ25="."),dir!AU25/((1/1000)*(Irr!U25)),IF(AND(Irr!U25=".",Irr!AS25=".",Irr!BQ25="."),dir!AU25*1000)))))))),".")</f>
        <v>.</v>
      </c>
      <c r="AV25" s="48" t="str">
        <f>IFERROR(IF(AND(Irr!V25&lt;&gt;".",Irr!AT25&lt;&gt;".",Irr!BR25&lt;&gt;"."),dir!AV25/((1/1000)*(Irr!V25+Irr!AT25+Irr!BR25)),IF(AND(Irr!V25&lt;&gt;".",Irr!AT25&lt;&gt;".",Irr!BR25="."),dir!AV25/((1/1000)*(Irr!V25+Irr!AT25)),IF(AND(Irr!V25&lt;&gt;".",Irr!AT25=".",Irr!BR25&lt;&gt;"."),dir!AV25/((1/1000)*(Irr!V25+Irr!BR25)),IF(AND(Irr!V25=".",Irr!AT25&lt;&gt;".",Irr!BR25&lt;&gt;"."),dir!AV25/((1/1000)*(Irr!AT25+Irr!BR25)),IF(AND(Irr!V25=".",Irr!AT25=".",Irr!BR25&lt;&gt;"."),dir!AV25/((1/1000)*(Irr!BR25)),IF(AND(Irr!V25=".",Irr!AT25&lt;&gt;".",Irr!BR25="."),dir!AV25/((1/1000)*(Irr!AT25)),IF(AND(Irr!V25&lt;&gt;".",Irr!AT25=".",Irr!BR25="."),dir!AV25/((1/1000)*(Irr!V25)),IF(AND(Irr!V25=".",Irr!AT25=".",Irr!BR25="."),dir!AV25*1000)))))))),".")</f>
        <v>.</v>
      </c>
      <c r="AW25" s="48" t="str">
        <f>IFERROR(IF(AND(Irr!W25&lt;&gt;".",Irr!AU25&lt;&gt;".",Irr!BS25&lt;&gt;"."),dir!AW25/((1/1000)*(Irr!W25+Irr!AU25+Irr!BS25)),IF(AND(Irr!W25&lt;&gt;".",Irr!AU25&lt;&gt;".",Irr!BS25="."),dir!AW25/((1/1000)*(Irr!W25+Irr!AU25)),IF(AND(Irr!W25&lt;&gt;".",Irr!AU25=".",Irr!BS25&lt;&gt;"."),dir!AW25/((1/1000)*(Irr!W25+Irr!BS25)),IF(AND(Irr!W25=".",Irr!AU25&lt;&gt;".",Irr!BS25&lt;&gt;"."),dir!AW25/((1/1000)*(Irr!AU25+Irr!BS25)),IF(AND(Irr!W25=".",Irr!AU25=".",Irr!BS25&lt;&gt;"."),dir!AW25/((1/1000)*(Irr!BS25)),IF(AND(Irr!W25=".",Irr!AU25&lt;&gt;".",Irr!BS25="."),dir!AW25/((1/1000)*(Irr!AU25)),IF(AND(Irr!W25&lt;&gt;".",Irr!AU25=".",Irr!BS25="."),dir!AW25/((1/1000)*(Irr!W25)),IF(AND(Irr!W25=".",Irr!AU25=".",Irr!BS25="."),dir!AW25*1000)))))))),".")</f>
        <v>.</v>
      </c>
      <c r="AX25" s="48" t="str">
        <f>IFERROR(IF(AND(Irr!X25&lt;&gt;".",Irr!AV25&lt;&gt;".",Irr!BT25&lt;&gt;"."),dir!AX25/((1/1000)*(Irr!X25+Irr!AV25+Irr!BT25)),IF(AND(Irr!X25&lt;&gt;".",Irr!AV25&lt;&gt;".",Irr!BT25="."),dir!AX25/((1/1000)*(Irr!X25+Irr!AV25)),IF(AND(Irr!X25&lt;&gt;".",Irr!AV25=".",Irr!BT25&lt;&gt;"."),dir!AX25/((1/1000)*(Irr!X25+Irr!BT25)),IF(AND(Irr!X25=".",Irr!AV25&lt;&gt;".",Irr!BT25&lt;&gt;"."),dir!AX25/((1/1000)*(Irr!AV25+Irr!BT25)),IF(AND(Irr!X25=".",Irr!AV25=".",Irr!BT25&lt;&gt;"."),dir!AX25/((1/1000)*(Irr!BT25)),IF(AND(Irr!X25=".",Irr!AV25&lt;&gt;".",Irr!BT25="."),dir!AX25/((1/1000)*(Irr!AV25)),IF(AND(Irr!X25&lt;&gt;".",Irr!AV25=".",Irr!BT25="."),dir!AX25/((1/1000)*(Irr!X25)),IF(AND(Irr!X25=".",Irr!AV25=".",Irr!BT25="."),dir!AX25*1000)))))))),".")</f>
        <v>.</v>
      </c>
      <c r="AY25" s="48" t="str">
        <f>IFERROR(IF(AND(Irr!Y25&lt;&gt;".",Irr!AW25&lt;&gt;".",Irr!BU25&lt;&gt;"."),dir!AY25/((1/1000)*(Irr!Y25+Irr!AW25+Irr!BU25)),IF(AND(Irr!Y25&lt;&gt;".",Irr!AW25&lt;&gt;".",Irr!BU25="."),dir!AY25/((1/1000)*(Irr!Y25+Irr!AW25)),IF(AND(Irr!Y25&lt;&gt;".",Irr!AW25=".",Irr!BU25&lt;&gt;"."),dir!AY25/((1/1000)*(Irr!Y25+Irr!BU25)),IF(AND(Irr!Y25=".",Irr!AW25&lt;&gt;".",Irr!BU25&lt;&gt;"."),dir!AY25/((1/1000)*(Irr!AW25+Irr!BU25)),IF(AND(Irr!Y25=".",Irr!AW25=".",Irr!BU25&lt;&gt;"."),dir!AY25/((1/1000)*(Irr!BU25)),IF(AND(Irr!Y25=".",Irr!AW25&lt;&gt;".",Irr!BU25="."),dir!AY25/((1/1000)*(Irr!AW25)),IF(AND(Irr!Y25&lt;&gt;".",Irr!AW25=".",Irr!BU25="."),dir!AY25/((1/1000)*(Irr!Y25)),IF(AND(Irr!Y25=".",Irr!AW25=".",Irr!BU25="."),dir!AY25*1000)))))))),".")</f>
        <v>.</v>
      </c>
      <c r="AZ25" s="48" t="str">
        <f>IFERROR(IF(AND(Irr!Z25&lt;&gt;".",Irr!AX25&lt;&gt;".",Irr!BV25&lt;&gt;"."),dir!AZ25/((1/1000)*(Irr!Z25+Irr!AX25+Irr!BV25)),IF(AND(Irr!Z25&lt;&gt;".",Irr!AX25&lt;&gt;".",Irr!BV25="."),dir!AZ25/((1/1000)*(Irr!Z25+Irr!AX25)),IF(AND(Irr!Z25&lt;&gt;".",Irr!AX25=".",Irr!BV25&lt;&gt;"."),dir!AZ25/((1/1000)*(Irr!Z25+Irr!BV25)),IF(AND(Irr!Z25=".",Irr!AX25&lt;&gt;".",Irr!BV25&lt;&gt;"."),dir!AZ25/((1/1000)*(Irr!AX25+Irr!BV25)),IF(AND(Irr!Z25=".",Irr!AX25=".",Irr!BV25&lt;&gt;"."),dir!AZ25/((1/1000)*(Irr!BV25)),IF(AND(Irr!Z25=".",Irr!AX25&lt;&gt;".",Irr!BV25="."),dir!AZ25/((1/1000)*(Irr!AX25)),IF(AND(Irr!Z25&lt;&gt;".",Irr!AX25=".",Irr!BV25="."),dir!AZ25/((1/1000)*(Irr!Z25)),IF(AND(Irr!Z25=".",Irr!AX25=".",Irr!BV25="."),dir!AZ25*1000)))))))),".")</f>
        <v>.</v>
      </c>
    </row>
    <row r="26" spans="1:52" ht="15" customHeight="1" x14ac:dyDescent="0.25">
      <c r="A26" s="61" t="s">
        <v>24</v>
      </c>
      <c r="B26" s="49" t="s">
        <v>1059</v>
      </c>
      <c r="C26" s="48">
        <f t="shared" ref="C26:C29" si="22">IFERROR(1/SUM(1/D26,1/E26,1/F26,1/G26,1/H26,1/I26,1/J26,1/K26,1/L26,1/M26,1/N26,1/O26,1/P26,1/Q26,1/R26,1/S26,1/T26,1/U26,1/V26,1/W26,1/X26,1/Y26),".")</f>
        <v>0.25929926783710605</v>
      </c>
      <c r="D26" s="48">
        <f>IFERROR(IF(AND(Irr!C26&lt;&gt;".",Irr!AA26&lt;&gt;".",Irr!AY26&lt;&gt;"."),dir!D26/((1/1000)*(Irr!C26+Irr!AA26+Irr!AY26)),IF(AND(Irr!C26&lt;&gt;".",Irr!AA26&lt;&gt;".",Irr!AY26="."),dir!D26/((1/1000)*(Irr!C26+Irr!AA26)),IF(AND(Irr!C26&lt;&gt;".",Irr!AA26=".",Irr!AY26&lt;&gt;"."),dir!D26/((1/1000)*(Irr!C26+Irr!AY26)),IF(AND(Irr!C26=".",Irr!AA26&lt;&gt;".",Irr!AY26&lt;&gt;"."),dir!D26/((1/1000)*(Irr!AA26+Irr!AY26)),IF(AND(Irr!C26=".",Irr!AA26=".",Irr!AY26&lt;&gt;"."),dir!D26/((1/1000)*(Irr!AY26)),IF(AND(Irr!C26=".",Irr!AA26&lt;&gt;".",Irr!AY26="."),dir!D26/((1/1000)*(Irr!AA26)),IF(AND(Irr!C26&lt;&gt;".",Irr!AA26=".",Irr!AY26="."),dir!D26/((1/1000)*(Irr!C26)),IF(AND(Irr!C26=".",Irr!AA26=".",Irr!AY26="."),dir!D26*1000)))))))),".")</f>
        <v>4.7150817026054304</v>
      </c>
      <c r="E26" s="48">
        <f>IFERROR(IF(AND(Irr!D26&lt;&gt;".",Irr!AB26&lt;&gt;".",Irr!AZ26&lt;&gt;"."),dir!E26/((1/1000)*(Irr!D26+Irr!AB26+Irr!AZ26)),IF(AND(Irr!D26&lt;&gt;".",Irr!AB26&lt;&gt;".",Irr!AZ26="."),dir!E26/((1/1000)*(Irr!D26+Irr!AB26)),IF(AND(Irr!D26&lt;&gt;".",Irr!AB26=".",Irr!AZ26&lt;&gt;"."),dir!E26/((1/1000)*(Irr!D26+Irr!AZ26)),IF(AND(Irr!D26=".",Irr!AB26&lt;&gt;".",Irr!AZ26&lt;&gt;"."),dir!E26/((1/1000)*(Irr!AB26+Irr!AZ26)),IF(AND(Irr!D26=".",Irr!AB26=".",Irr!AZ26&lt;&gt;"."),dir!E26/((1/1000)*(Irr!AZ26)),IF(AND(Irr!D26=".",Irr!AB26&lt;&gt;".",Irr!AZ26="."),dir!E26/((1/1000)*(Irr!AB26)),IF(AND(Irr!D26&lt;&gt;".",Irr!AB26=".",Irr!AZ26="."),dir!E26/((1/1000)*(Irr!D26)),IF(AND(Irr!D26=".",Irr!AB26=".",Irr!AZ26="."),dir!E26*1000)))))))),".")</f>
        <v>10.411548386751329</v>
      </c>
      <c r="F26" s="48">
        <f>IFERROR(IF(AND(Irr!E26&lt;&gt;".",Irr!AC26&lt;&gt;".",Irr!BA26&lt;&gt;"."),dir!F26/((1/1000)*(Irr!E26+Irr!AC26+Irr!BA26)),IF(AND(Irr!E26&lt;&gt;".",Irr!AC26&lt;&gt;".",Irr!BA26="."),dir!F26/((1/1000)*(Irr!E26+Irr!AC26)),IF(AND(Irr!E26&lt;&gt;".",Irr!AC26=".",Irr!BA26&lt;&gt;"."),dir!F26/((1/1000)*(Irr!E26+Irr!BA26)),IF(AND(Irr!E26=".",Irr!AC26&lt;&gt;".",Irr!BA26&lt;&gt;"."),dir!F26/((1/1000)*(Irr!AC26+Irr!BA26)),IF(AND(Irr!E26=".",Irr!AC26=".",Irr!BA26&lt;&gt;"."),dir!F26/((1/1000)*(Irr!BA26)),IF(AND(Irr!E26=".",Irr!AC26&lt;&gt;".",Irr!BA26="."),dir!F26/((1/1000)*(Irr!AC26)),IF(AND(Irr!E26&lt;&gt;".",Irr!AC26=".",Irr!BA26="."),dir!F26/((1/1000)*(Irr!E26)),IF(AND(Irr!E26=".",Irr!AC26=".",Irr!BA26="."),dir!F26*1000)))))))),".")</f>
        <v>12.775547635905806</v>
      </c>
      <c r="G26" s="48">
        <f>IFERROR(IF(AND(Irr!F26&lt;&gt;".",Irr!AD26&lt;&gt;".",Irr!BB26&lt;&gt;"."),dir!G26/((1/1000)*(Irr!F26+Irr!AD26+Irr!BB26)),IF(AND(Irr!F26&lt;&gt;".",Irr!AD26&lt;&gt;".",Irr!BB26="."),dir!G26/((1/1000)*(Irr!F26+Irr!AD26)),IF(AND(Irr!F26&lt;&gt;".",Irr!AD26=".",Irr!BB26&lt;&gt;"."),dir!G26/((1/1000)*(Irr!F26+Irr!BB26)),IF(AND(Irr!F26=".",Irr!AD26&lt;&gt;".",Irr!BB26&lt;&gt;"."),dir!G26/((1/1000)*(Irr!AD26+Irr!BB26)),IF(AND(Irr!F26=".",Irr!AD26=".",Irr!BB26&lt;&gt;"."),dir!G26/((1/1000)*(Irr!BB26)),IF(AND(Irr!F26=".",Irr!AD26&lt;&gt;".",Irr!BB26="."),dir!G26/((1/1000)*(Irr!AD26)),IF(AND(Irr!F26&lt;&gt;".",Irr!AD26=".",Irr!BB26="."),dir!G26/((1/1000)*(Irr!F26)),IF(AND(Irr!F26=".",Irr!AD26=".",Irr!BB26="."),dir!G26*1000)))))))),".")</f>
        <v>10.55883328424064</v>
      </c>
      <c r="H26" s="48">
        <f>IFERROR(IF(AND(Irr!G26&lt;&gt;".",Irr!AE26&lt;&gt;".",Irr!BC26&lt;&gt;"."),dir!H26/((1/1000)*(Irr!G26+Irr!AE26+Irr!BC26)),IF(AND(Irr!G26&lt;&gt;".",Irr!AE26&lt;&gt;".",Irr!BC26="."),dir!H26/((1/1000)*(Irr!G26+Irr!AE26)),IF(AND(Irr!G26&lt;&gt;".",Irr!AE26=".",Irr!BC26&lt;&gt;"."),dir!H26/((1/1000)*(Irr!G26+Irr!BC26)),IF(AND(Irr!G26=".",Irr!AE26&lt;&gt;".",Irr!BC26&lt;&gt;"."),dir!H26/((1/1000)*(Irr!AE26+Irr!BC26)),IF(AND(Irr!G26=".",Irr!AE26=".",Irr!BC26&lt;&gt;"."),dir!H26/((1/1000)*(Irr!BC26)),IF(AND(Irr!G26=".",Irr!AE26&lt;&gt;".",Irr!BC26="."),dir!H26/((1/1000)*(Irr!AE26)),IF(AND(Irr!G26&lt;&gt;".",Irr!AE26=".",Irr!BC26="."),dir!H26/((1/1000)*(Irr!G26)),IF(AND(Irr!G26=".",Irr!AE26=".",Irr!BC26="."),dir!H26*1000)))))))),".")</f>
        <v>12.371365807072987</v>
      </c>
      <c r="I26" s="48">
        <f>IFERROR(IF(AND(Irr!H26&lt;&gt;".",Irr!AF26&lt;&gt;".",Irr!BD26&lt;&gt;"."),dir!I26/((1/1000)*(Irr!H26+Irr!AF26+Irr!BD26)),IF(AND(Irr!H26&lt;&gt;".",Irr!AF26&lt;&gt;".",Irr!BD26="."),dir!I26/((1/1000)*(Irr!H26+Irr!AF26)),IF(AND(Irr!H26&lt;&gt;".",Irr!AF26=".",Irr!BD26&lt;&gt;"."),dir!I26/((1/1000)*(Irr!H26+Irr!BD26)),IF(AND(Irr!H26=".",Irr!AF26&lt;&gt;".",Irr!BD26&lt;&gt;"."),dir!I26/((1/1000)*(Irr!AF26+Irr!BD26)),IF(AND(Irr!H26=".",Irr!AF26=".",Irr!BD26&lt;&gt;"."),dir!I26/((1/1000)*(Irr!BD26)),IF(AND(Irr!H26=".",Irr!AF26&lt;&gt;".",Irr!BD26="."),dir!I26/((1/1000)*(Irr!AF26)),IF(AND(Irr!H26&lt;&gt;".",Irr!AF26=".",Irr!BD26="."),dir!I26/((1/1000)*(Irr!H26)),IF(AND(Irr!H26=".",Irr!AF26=".",Irr!BD26="."),dir!I26*1000)))))))),".")</f>
        <v>4.6607697231023755</v>
      </c>
      <c r="J26" s="48">
        <f>IFERROR(IF(AND(Irr!I26&lt;&gt;".",Irr!AG26&lt;&gt;".",Irr!BE26&lt;&gt;"."),dir!J26/((1/1000)*(Irr!I26+Irr!AG26+Irr!BE26)),IF(AND(Irr!I26&lt;&gt;".",Irr!AG26&lt;&gt;".",Irr!BE26="."),dir!J26/((1/1000)*(Irr!I26+Irr!AG26)),IF(AND(Irr!I26&lt;&gt;".",Irr!AG26=".",Irr!BE26&lt;&gt;"."),dir!J26/((1/1000)*(Irr!I26+Irr!BE26)),IF(AND(Irr!I26=".",Irr!AG26&lt;&gt;".",Irr!BE26&lt;&gt;"."),dir!J26/((1/1000)*(Irr!AG26+Irr!BE26)),IF(AND(Irr!I26=".",Irr!AG26=".",Irr!BE26&lt;&gt;"."),dir!J26/((1/1000)*(Irr!BE26)),IF(AND(Irr!I26=".",Irr!AG26&lt;&gt;".",Irr!BE26="."),dir!J26/((1/1000)*(Irr!AG26)),IF(AND(Irr!I26&lt;&gt;".",Irr!AG26=".",Irr!BE26="."),dir!J26/((1/1000)*(Irr!I26)),IF(AND(Irr!I26=".",Irr!AG26=".",Irr!BE26="."),dir!J26*1000)))))))),".")</f>
        <v>14.114748390351641</v>
      </c>
      <c r="K26" s="48">
        <f>IFERROR(IF(AND(Irr!J26&lt;&gt;".",Irr!AH26&lt;&gt;".",Irr!BF26&lt;&gt;"."),dir!K26/((1/1000)*(Irr!J26+Irr!AH26+Irr!BF26)),IF(AND(Irr!J26&lt;&gt;".",Irr!AH26&lt;&gt;".",Irr!BF26="."),dir!K26/((1/1000)*(Irr!J26+Irr!AH26)),IF(AND(Irr!J26&lt;&gt;".",Irr!AH26=".",Irr!BF26&lt;&gt;"."),dir!K26/((1/1000)*(Irr!J26+Irr!BF26)),IF(AND(Irr!J26=".",Irr!AH26&lt;&gt;".",Irr!BF26&lt;&gt;"."),dir!K26/((1/1000)*(Irr!AH26+Irr!BF26)),IF(AND(Irr!J26=".",Irr!AH26=".",Irr!BF26&lt;&gt;"."),dir!K26/((1/1000)*(Irr!BF26)),IF(AND(Irr!J26=".",Irr!AH26&lt;&gt;".",Irr!BF26="."),dir!K26/((1/1000)*(Irr!AH26)),IF(AND(Irr!J26&lt;&gt;".",Irr!AH26=".",Irr!BF26="."),dir!K26/((1/1000)*(Irr!J26)),IF(AND(Irr!J26=".",Irr!AH26=".",Irr!BF26="."),dir!K26*1000)))))))),".")</f>
        <v>1.2227224034740611</v>
      </c>
      <c r="L26" s="48">
        <f>IFERROR(IF(AND(Irr!K26&lt;&gt;".",Irr!AI26&lt;&gt;".",Irr!BG26&lt;&gt;"."),dir!L26/((1/1000)*(Irr!K26+Irr!AI26+Irr!BG26)),IF(AND(Irr!K26&lt;&gt;".",Irr!AI26&lt;&gt;".",Irr!BG26="."),dir!L26/((1/1000)*(Irr!K26+Irr!AI26)),IF(AND(Irr!K26&lt;&gt;".",Irr!AI26=".",Irr!BG26&lt;&gt;"."),dir!L26/((1/1000)*(Irr!K26+Irr!BG26)),IF(AND(Irr!K26=".",Irr!AI26&lt;&gt;".",Irr!BG26&lt;&gt;"."),dir!L26/((1/1000)*(Irr!AI26+Irr!BG26)),IF(AND(Irr!K26=".",Irr!AI26=".",Irr!BG26&lt;&gt;"."),dir!L26/((1/1000)*(Irr!BG26)),IF(AND(Irr!K26=".",Irr!AI26&lt;&gt;".",Irr!BG26="."),dir!L26/((1/1000)*(Irr!AI26)),IF(AND(Irr!K26&lt;&gt;".",Irr!AI26=".",Irr!BG26="."),dir!L26/((1/1000)*(Irr!K26)),IF(AND(Irr!K26=".",Irr!AI26=".",Irr!BG26="."),dir!L26*1000)))))))),".")</f>
        <v>6.705236097085562</v>
      </c>
      <c r="M26" s="48">
        <f>IFERROR(IF(AND(Irr!L26&lt;&gt;".",Irr!AJ26&lt;&gt;".",Irr!BH26&lt;&gt;"."),dir!M26/((1/1000)*(Irr!L26+Irr!AJ26+Irr!BH26)),IF(AND(Irr!L26&lt;&gt;".",Irr!AJ26&lt;&gt;".",Irr!BH26="."),dir!M26/((1/1000)*(Irr!L26+Irr!AJ26)),IF(AND(Irr!L26&lt;&gt;".",Irr!AJ26=".",Irr!BH26&lt;&gt;"."),dir!M26/((1/1000)*(Irr!L26+Irr!BH26)),IF(AND(Irr!L26=".",Irr!AJ26&lt;&gt;".",Irr!BH26&lt;&gt;"."),dir!M26/((1/1000)*(Irr!AJ26+Irr!BH26)),IF(AND(Irr!L26=".",Irr!AJ26=".",Irr!BH26&lt;&gt;"."),dir!M26/((1/1000)*(Irr!BH26)),IF(AND(Irr!L26=".",Irr!AJ26&lt;&gt;".",Irr!BH26="."),dir!M26/((1/1000)*(Irr!AJ26)),IF(AND(Irr!L26&lt;&gt;".",Irr!AJ26=".",Irr!BH26="."),dir!M26/((1/1000)*(Irr!L26)),IF(AND(Irr!L26=".",Irr!AJ26=".",Irr!BH26="."),dir!M26*1000)))))))),".")</f>
        <v>4.9839233956693416</v>
      </c>
      <c r="N26" s="48">
        <f>IFERROR(IF(AND(Irr!M26&lt;&gt;".",Irr!AK26&lt;&gt;".",Irr!BI26&lt;&gt;"."),dir!N26/((1/1000)*(Irr!M26+Irr!AK26+Irr!BI26)),IF(AND(Irr!M26&lt;&gt;".",Irr!AK26&lt;&gt;".",Irr!BI26="."),dir!N26/((1/1000)*(Irr!M26+Irr!AK26)),IF(AND(Irr!M26&lt;&gt;".",Irr!AK26=".",Irr!BI26&lt;&gt;"."),dir!N26/((1/1000)*(Irr!M26+Irr!BI26)),IF(AND(Irr!M26=".",Irr!AK26&lt;&gt;".",Irr!BI26&lt;&gt;"."),dir!N26/((1/1000)*(Irr!AK26+Irr!BI26)),IF(AND(Irr!M26=".",Irr!AK26=".",Irr!BI26&lt;&gt;"."),dir!N26/((1/1000)*(Irr!BI26)),IF(AND(Irr!M26=".",Irr!AK26&lt;&gt;".",Irr!BI26="."),dir!N26/((1/1000)*(Irr!AK26)),IF(AND(Irr!M26&lt;&gt;".",Irr!AK26=".",Irr!BI26="."),dir!N26/((1/1000)*(Irr!M26)),IF(AND(Irr!M26=".",Irr!AK26=".",Irr!BI26="."),dir!N26*1000)))))))),".")</f>
        <v>10.194901901617969</v>
      </c>
      <c r="O26" s="48">
        <f>IFERROR(IF(AND(Irr!N26&lt;&gt;".",Irr!AL26&lt;&gt;".",Irr!BJ26&lt;&gt;"."),dir!O26/((1/1000)*(Irr!N26+Irr!AL26+Irr!BJ26)),IF(AND(Irr!N26&lt;&gt;".",Irr!AL26&lt;&gt;".",Irr!BJ26="."),dir!O26/((1/1000)*(Irr!N26+Irr!AL26)),IF(AND(Irr!N26&lt;&gt;".",Irr!AL26=".",Irr!BJ26&lt;&gt;"."),dir!O26/((1/1000)*(Irr!N26+Irr!BJ26)),IF(AND(Irr!N26=".",Irr!AL26&lt;&gt;".",Irr!BJ26&lt;&gt;"."),dir!O26/((1/1000)*(Irr!AL26+Irr!BJ26)),IF(AND(Irr!N26=".",Irr!AL26=".",Irr!BJ26&lt;&gt;"."),dir!O26/((1/1000)*(Irr!BJ26)),IF(AND(Irr!N26=".",Irr!AL26&lt;&gt;".",Irr!BJ26="."),dir!O26/((1/1000)*(Irr!AL26)),IF(AND(Irr!N26&lt;&gt;".",Irr!AL26=".",Irr!BJ26="."),dir!O26/((1/1000)*(Irr!N26)),IF(AND(Irr!N26=".",Irr!AL26=".",Irr!BJ26="."),dir!O26*1000)))))))),".")</f>
        <v>12.13004357959289</v>
      </c>
      <c r="P26" s="48">
        <f>IFERROR(IF(AND(Irr!O26&lt;&gt;".",Irr!AM26&lt;&gt;".",Irr!BK26&lt;&gt;"."),dir!P26/((1/1000)*(Irr!O26+Irr!AM26+Irr!BK26)),IF(AND(Irr!O26&lt;&gt;".",Irr!AM26&lt;&gt;".",Irr!BK26="."),dir!P26/((1/1000)*(Irr!O26+Irr!AM26)),IF(AND(Irr!O26&lt;&gt;".",Irr!AM26=".",Irr!BK26&lt;&gt;"."),dir!P26/((1/1000)*(Irr!O26+Irr!BK26)),IF(AND(Irr!O26=".",Irr!AM26&lt;&gt;".",Irr!BK26&lt;&gt;"."),dir!P26/((1/1000)*(Irr!AM26+Irr!BK26)),IF(AND(Irr!O26=".",Irr!AM26=".",Irr!BK26&lt;&gt;"."),dir!P26/((1/1000)*(Irr!BK26)),IF(AND(Irr!O26=".",Irr!AM26&lt;&gt;".",Irr!BK26="."),dir!P26/((1/1000)*(Irr!AM26)),IF(AND(Irr!O26&lt;&gt;".",Irr!AM26=".",Irr!BK26="."),dir!P26/((1/1000)*(Irr!O26)),IF(AND(Irr!O26=".",Irr!AM26=".",Irr!BK26="."),dir!P26*1000)))))))),".")</f>
        <v>14.105406884791224</v>
      </c>
      <c r="Q26" s="48">
        <f>IFERROR(IF(AND(Irr!P26&lt;&gt;".",Irr!AN26&lt;&gt;".",Irr!BL26&lt;&gt;"."),dir!Q26/((1/1000)*(Irr!P26+Irr!AN26+Irr!BL26)),IF(AND(Irr!P26&lt;&gt;".",Irr!AN26&lt;&gt;".",Irr!BL26="."),dir!Q26/((1/1000)*(Irr!P26+Irr!AN26)),IF(AND(Irr!P26&lt;&gt;".",Irr!AN26=".",Irr!BL26&lt;&gt;"."),dir!Q26/((1/1000)*(Irr!P26+Irr!BL26)),IF(AND(Irr!P26=".",Irr!AN26&lt;&gt;".",Irr!BL26&lt;&gt;"."),dir!Q26/((1/1000)*(Irr!AN26+Irr!BL26)),IF(AND(Irr!P26=".",Irr!AN26=".",Irr!BL26&lt;&gt;"."),dir!Q26/((1/1000)*(Irr!BL26)),IF(AND(Irr!P26=".",Irr!AN26&lt;&gt;".",Irr!BL26="."),dir!Q26/((1/1000)*(Irr!AN26)),IF(AND(Irr!P26&lt;&gt;".",Irr!AN26=".",Irr!BL26="."),dir!Q26/((1/1000)*(Irr!P26)),IF(AND(Irr!P26=".",Irr!AN26=".",Irr!BL26="."),dir!Q26*1000)))))))),".")</f>
        <v>19.047710920842782</v>
      </c>
      <c r="R26" s="48">
        <f>IFERROR(IF(AND(Irr!Q26&lt;&gt;".",Irr!AO26&lt;&gt;".",Irr!BM26&lt;&gt;"."),dir!R26/((1/1000)*(Irr!Q26+Irr!AO26+Irr!BM26)),IF(AND(Irr!Q26&lt;&gt;".",Irr!AO26&lt;&gt;".",Irr!BM26="."),dir!R26/((1/1000)*(Irr!Q26+Irr!AO26)),IF(AND(Irr!Q26&lt;&gt;".",Irr!AO26=".",Irr!BM26&lt;&gt;"."),dir!R26/((1/1000)*(Irr!Q26+Irr!BM26)),IF(AND(Irr!Q26=".",Irr!AO26&lt;&gt;".",Irr!BM26&lt;&gt;"."),dir!R26/((1/1000)*(Irr!AO26+Irr!BM26)),IF(AND(Irr!Q26=".",Irr!AO26=".",Irr!BM26&lt;&gt;"."),dir!R26/((1/1000)*(Irr!BM26)),IF(AND(Irr!Q26=".",Irr!AO26&lt;&gt;".",Irr!BM26="."),dir!R26/((1/1000)*(Irr!AO26)),IF(AND(Irr!Q26&lt;&gt;".",Irr!AO26=".",Irr!BM26="."),dir!R26/((1/1000)*(Irr!Q26)),IF(AND(Irr!Q26=".",Irr!AO26=".",Irr!BM26="."),dir!R26*1000)))))))),".")</f>
        <v>3.0154784371618026</v>
      </c>
      <c r="S26" s="48">
        <f>IFERROR(IF(AND(Irr!R26&lt;&gt;".",Irr!AP26&lt;&gt;".",Irr!BN26&lt;&gt;"."),dir!S26/((1/1000)*(Irr!R26+Irr!AP26+Irr!BN26)),IF(AND(Irr!R26&lt;&gt;".",Irr!AP26&lt;&gt;".",Irr!BN26="."),dir!S26/((1/1000)*(Irr!R26+Irr!AP26)),IF(AND(Irr!R26&lt;&gt;".",Irr!AP26=".",Irr!BN26&lt;&gt;"."),dir!S26/((1/1000)*(Irr!R26+Irr!BN26)),IF(AND(Irr!R26=".",Irr!AP26&lt;&gt;".",Irr!BN26&lt;&gt;"."),dir!S26/((1/1000)*(Irr!AP26+Irr!BN26)),IF(AND(Irr!R26=".",Irr!AP26=".",Irr!BN26&lt;&gt;"."),dir!S26/((1/1000)*(Irr!BN26)),IF(AND(Irr!R26=".",Irr!AP26&lt;&gt;".",Irr!BN26="."),dir!S26/((1/1000)*(Irr!AP26)),IF(AND(Irr!R26&lt;&gt;".",Irr!AP26=".",Irr!BN26="."),dir!S26/((1/1000)*(Irr!R26)),IF(AND(Irr!R26=".",Irr!AP26=".",Irr!BN26="."),dir!S26*1000)))))))),".")</f>
        <v>6.2638374839364843</v>
      </c>
      <c r="T26" s="48">
        <f>IFERROR(IF(AND(Irr!S26&lt;&gt;".",Irr!AQ26&lt;&gt;".",Irr!BO26&lt;&gt;"."),dir!T26/((1/1000)*(Irr!S26+Irr!AQ26+Irr!BO26)),IF(AND(Irr!S26&lt;&gt;".",Irr!AQ26&lt;&gt;".",Irr!BO26="."),dir!T26/((1/1000)*(Irr!S26+Irr!AQ26)),IF(AND(Irr!S26&lt;&gt;".",Irr!AQ26=".",Irr!BO26&lt;&gt;"."),dir!T26/((1/1000)*(Irr!S26+Irr!BO26)),IF(AND(Irr!S26=".",Irr!AQ26&lt;&gt;".",Irr!BO26&lt;&gt;"."),dir!T26/((1/1000)*(Irr!AQ26+Irr!BO26)),IF(AND(Irr!S26=".",Irr!AQ26=".",Irr!BO26&lt;&gt;"."),dir!T26/((1/1000)*(Irr!BO26)),IF(AND(Irr!S26=".",Irr!AQ26&lt;&gt;".",Irr!BO26="."),dir!T26/((1/1000)*(Irr!AQ26)),IF(AND(Irr!S26&lt;&gt;".",Irr!AQ26=".",Irr!BO26="."),dir!T26/((1/1000)*(Irr!S26)),IF(AND(Irr!S26=".",Irr!AQ26=".",Irr!BO26="."),dir!T26*1000)))))))),".")</f>
        <v>9.9798796801775378</v>
      </c>
      <c r="U26" s="48">
        <f>IFERROR(IF(AND(Irr!T26&lt;&gt;".",Irr!AR26&lt;&gt;".",Irr!BP26&lt;&gt;"."),dir!U26/((1/1000)*(Irr!T26+Irr!AR26+Irr!BP26)),IF(AND(Irr!T26&lt;&gt;".",Irr!AR26&lt;&gt;".",Irr!BP26="."),dir!U26/((1/1000)*(Irr!T26+Irr!AR26)),IF(AND(Irr!T26&lt;&gt;".",Irr!AR26=".",Irr!BP26&lt;&gt;"."),dir!U26/((1/1000)*(Irr!T26+Irr!BP26)),IF(AND(Irr!T26=".",Irr!AR26&lt;&gt;".",Irr!BP26&lt;&gt;"."),dir!U26/((1/1000)*(Irr!AR26+Irr!BP26)),IF(AND(Irr!T26=".",Irr!AR26=".",Irr!BP26&lt;&gt;"."),dir!U26/((1/1000)*(Irr!BP26)),IF(AND(Irr!T26=".",Irr!AR26&lt;&gt;".",Irr!BP26="."),dir!U26/((1/1000)*(Irr!AR26)),IF(AND(Irr!T26&lt;&gt;".",Irr!AR26=".",Irr!BP26="."),dir!U26/((1/1000)*(Irr!T26)),IF(AND(Irr!T26=".",Irr!AR26=".",Irr!BP26="."),dir!U26*1000)))))))),".")</f>
        <v>3.1435126446418993</v>
      </c>
      <c r="V26" s="48">
        <f>IFERROR(IF(AND(Irr!U26&lt;&gt;".",Irr!AS26&lt;&gt;".",Irr!BQ26&lt;&gt;"."),dir!V26/((1/1000)*(Irr!U26+Irr!AS26+Irr!BQ26)),IF(AND(Irr!U26&lt;&gt;".",Irr!AS26&lt;&gt;".",Irr!BQ26="."),dir!V26/((1/1000)*(Irr!U26+Irr!AS26)),IF(AND(Irr!U26&lt;&gt;".",Irr!AS26=".",Irr!BQ26&lt;&gt;"."),dir!V26/((1/1000)*(Irr!U26+Irr!BQ26)),IF(AND(Irr!U26=".",Irr!AS26&lt;&gt;".",Irr!BQ26&lt;&gt;"."),dir!V26/((1/1000)*(Irr!AS26+Irr!BQ26)),IF(AND(Irr!U26=".",Irr!AS26=".",Irr!BQ26&lt;&gt;"."),dir!V26/((1/1000)*(Irr!BQ26)),IF(AND(Irr!U26=".",Irr!AS26&lt;&gt;".",Irr!BQ26="."),dir!V26/((1/1000)*(Irr!AS26)),IF(AND(Irr!U26&lt;&gt;".",Irr!AS26=".",Irr!BQ26="."),dir!V26/((1/1000)*(Irr!U26)),IF(AND(Irr!U26=".",Irr!AS26=".",Irr!BQ26="."),dir!V26*1000)))))))),".")</f>
        <v>5.7267223828055061</v>
      </c>
      <c r="W26" s="48">
        <f>IFERROR(IF(AND(Irr!V26&lt;&gt;".",Irr!AT26&lt;&gt;".",Irr!BR26&lt;&gt;"."),dir!W26/((1/1000)*(Irr!V26+Irr!AT26+Irr!BR26)),IF(AND(Irr!V26&lt;&gt;".",Irr!AT26&lt;&gt;".",Irr!BR26="."),dir!W26/((1/1000)*(Irr!V26+Irr!AT26)),IF(AND(Irr!V26&lt;&gt;".",Irr!AT26=".",Irr!BR26&lt;&gt;"."),dir!W26/((1/1000)*(Irr!V26+Irr!BR26)),IF(AND(Irr!V26=".",Irr!AT26&lt;&gt;".",Irr!BR26&lt;&gt;"."),dir!W26/((1/1000)*(Irr!AT26+Irr!BR26)),IF(AND(Irr!V26=".",Irr!AT26=".",Irr!BR26&lt;&gt;"."),dir!W26/((1/1000)*(Irr!BR26)),IF(AND(Irr!V26=".",Irr!AT26&lt;&gt;".",Irr!BR26="."),dir!W26/((1/1000)*(Irr!AT26)),IF(AND(Irr!V26&lt;&gt;".",Irr!AT26=".",Irr!BR26="."),dir!W26/((1/1000)*(Irr!V26)),IF(AND(Irr!V26=".",Irr!AT26=".",Irr!BR26="."),dir!W26*1000)))))))),".")</f>
        <v>6.9104497031181893</v>
      </c>
      <c r="X26" s="48">
        <f>IFERROR(IF(AND(Irr!W26&lt;&gt;".",Irr!AU26&lt;&gt;".",Irr!BS26&lt;&gt;"."),dir!X26/((1/1000)*(Irr!W26+Irr!AU26+Irr!BS26)),IF(AND(Irr!W26&lt;&gt;".",Irr!AU26&lt;&gt;".",Irr!BS26="."),dir!X26/((1/1000)*(Irr!W26+Irr!AU26)),IF(AND(Irr!W26&lt;&gt;".",Irr!AU26=".",Irr!BS26&lt;&gt;"."),dir!X26/((1/1000)*(Irr!W26+Irr!BS26)),IF(AND(Irr!W26=".",Irr!AU26&lt;&gt;".",Irr!BS26&lt;&gt;"."),dir!X26/((1/1000)*(Irr!AU26+Irr!BS26)),IF(AND(Irr!W26=".",Irr!AU26=".",Irr!BS26&lt;&gt;"."),dir!X26/((1/1000)*(Irr!BS26)),IF(AND(Irr!W26=".",Irr!AU26&lt;&gt;".",Irr!BS26="."),dir!X26/((1/1000)*(Irr!AU26)),IF(AND(Irr!W26&lt;&gt;".",Irr!AU26=".",Irr!BS26="."),dir!X26/((1/1000)*(Irr!W26)),IF(AND(Irr!W26=".",Irr!AU26=".",Irr!BS26="."),dir!X26*1000)))))))),".")</f>
        <v>9.3542544669948171</v>
      </c>
      <c r="Y26" s="48">
        <f>IFERROR(IF(AND(Irr!X26&lt;&gt;".",Irr!AV26&lt;&gt;".",Irr!BT26&lt;&gt;"."),dir!Y26/((1/1000)*(Irr!X26+Irr!AV26+Irr!BT26)),IF(AND(Irr!X26&lt;&gt;".",Irr!AV26&lt;&gt;".",Irr!BT26="."),dir!Y26/((1/1000)*(Irr!X26+Irr!AV26)),IF(AND(Irr!X26&lt;&gt;".",Irr!AV26=".",Irr!BT26&lt;&gt;"."),dir!Y26/((1/1000)*(Irr!X26+Irr!BT26)),IF(AND(Irr!X26=".",Irr!AV26&lt;&gt;".",Irr!BT26&lt;&gt;"."),dir!Y26/((1/1000)*(Irr!AV26+Irr!BT26)),IF(AND(Irr!X26=".",Irr!AV26=".",Irr!BT26&lt;&gt;"."),dir!Y26/((1/1000)*(Irr!BT26)),IF(AND(Irr!X26=".",Irr!AV26&lt;&gt;".",Irr!BT26="."),dir!Y26/((1/1000)*(Irr!AV26)),IF(AND(Irr!X26&lt;&gt;".",Irr!AV26=".",Irr!BT26="."),dir!Y26/((1/1000)*(Irr!X26)),IF(AND(Irr!X26=".",Irr!AV26=".",Irr!BT26="."),dir!Y26*1000)))))))),".")</f>
        <v>4.95473992470047</v>
      </c>
      <c r="Z26" s="48">
        <f>IFERROR(IF(AND(Irr!Y26&lt;&gt;".",Irr!AW26&lt;&gt;".",Irr!BU26&lt;&gt;"."),dir!Z26/((1/1000)*(Irr!Y26+Irr!AW26+Irr!BU26)),IF(AND(Irr!Y26&lt;&gt;".",Irr!AW26&lt;&gt;".",Irr!BU26="."),dir!Z26/((1/1000)*(Irr!Y26+Irr!AW26)),IF(AND(Irr!Y26&lt;&gt;".",Irr!AW26=".",Irr!BU26&lt;&gt;"."),dir!Z26/((1/1000)*(Irr!Y26+Irr!BU26)),IF(AND(Irr!Y26=".",Irr!AW26&lt;&gt;".",Irr!BU26&lt;&gt;"."),dir!Z26/((1/1000)*(Irr!AW26+Irr!BU26)),IF(AND(Irr!Y26=".",Irr!AW26=".",Irr!BU26&lt;&gt;"."),dir!Z26/((1/1000)*(Irr!BU26)),IF(AND(Irr!Y26=".",Irr!AW26&lt;&gt;".",Irr!BU26="."),dir!Z26/((1/1000)*(Irr!AW26)),IF(AND(Irr!Y26&lt;&gt;".",Irr!AW26=".",Irr!BU26="."),dir!Z26/((1/1000)*(Irr!Y26)),IF(AND(Irr!Y26=".",Irr!AW26=".",Irr!BU26="."),dir!Z26*1000)))))))),".")</f>
        <v>1.5995977646450521</v>
      </c>
      <c r="AA26" s="48">
        <f>IFERROR(IF(AND(Irr!Z26&lt;&gt;".",Irr!AX26&lt;&gt;".",Irr!BV26&lt;&gt;"."),dir!AA26/((1/1000)*(Irr!Z26+Irr!AX26+Irr!BV26)),IF(AND(Irr!Z26&lt;&gt;".",Irr!AX26&lt;&gt;".",Irr!BV26="."),dir!AA26/((1/1000)*(Irr!Z26+Irr!AX26)),IF(AND(Irr!Z26&lt;&gt;".",Irr!AX26=".",Irr!BV26&lt;&gt;"."),dir!AA26/((1/1000)*(Irr!Z26+Irr!BV26)),IF(AND(Irr!Z26=".",Irr!AX26&lt;&gt;".",Irr!BV26&lt;&gt;"."),dir!AA26/((1/1000)*(Irr!AX26+Irr!BV26)),IF(AND(Irr!Z26=".",Irr!AX26=".",Irr!BV26&lt;&gt;"."),dir!AA26/((1/1000)*(Irr!BV26)),IF(AND(Irr!Z26=".",Irr!AX26&lt;&gt;".",Irr!BV26="."),dir!AA26/((1/1000)*(Irr!AX26)),IF(AND(Irr!Z26&lt;&gt;".",Irr!AX26=".",Irr!BV26="."),dir!AA26/((1/1000)*(Irr!Z26)),IF(AND(Irr!Z26=".",Irr!AX26=".",Irr!BV26="."),dir!AA26*1000)))))))),".")</f>
        <v>1.2318613184251677</v>
      </c>
      <c r="AB26" s="48">
        <f t="shared" ref="AB26:AB29" si="23">IFERROR(1/SUM(1/AC26,1/AD26,1/AE26,1/AF26,1/AG26,1/AH26,1/AI26,1/AJ26,1/AK26,1/AL26,1/AM26,1/AN26,1/AO26,1/AP26,1/AQ26,1/AR26,1/AS26,1/AT26,1/AU26,1/AV26,1/AW26,1/AX26),".")</f>
        <v>0.24488886790225914</v>
      </c>
      <c r="AC26" s="48">
        <f>IFERROR(IF(AND(Irr!C26&lt;&gt;".",Irr!AA26&lt;&gt;".",Irr!AY26&lt;&gt;"."),dir!AC26/((1/1000)*(Irr!C26+Irr!AA26+Irr!AY26)),IF(AND(Irr!C26&lt;&gt;".",Irr!AA26&lt;&gt;".",Irr!AY26="."),dir!AC26/((1/1000)*(Irr!C26+Irr!AA26)),IF(AND(Irr!C26&lt;&gt;".",Irr!AA26=".",Irr!AY26&lt;&gt;"."),dir!AC26/((1/1000)*(Irr!C26+Irr!AY26)),IF(AND(Irr!C26=".",Irr!AA26&lt;&gt;".",Irr!AY26&lt;&gt;"."),dir!AC26/((1/1000)*(Irr!AA26+Irr!AY26)),IF(AND(Irr!C26=".",Irr!AA26=".",Irr!AY26&lt;&gt;"."),dir!AC26/((1/1000)*(Irr!AY26)),IF(AND(Irr!C26=".",Irr!AA26&lt;&gt;".",Irr!AY26="."),dir!AC26/((1/1000)*(Irr!AA26)),IF(AND(Irr!C26&lt;&gt;".",Irr!AA26=".",Irr!AY26="."),dir!AC26/((1/1000)*(Irr!C26)),IF(AND(Irr!C26=".",Irr!AA26=".",Irr!AY26="."),dir!AC26*1000)))))))),".")</f>
        <v>4.0965867380625536</v>
      </c>
      <c r="AD26" s="48">
        <f>IFERROR(IF(AND(Irr!D26&lt;&gt;".",Irr!AB26&lt;&gt;".",Irr!AZ26&lt;&gt;"."),dir!AD26/((1/1000)*(Irr!D26+Irr!AB26+Irr!AZ26)),IF(AND(Irr!D26&lt;&gt;".",Irr!AB26&lt;&gt;".",Irr!AZ26="."),dir!AD26/((1/1000)*(Irr!D26+Irr!AB26)),IF(AND(Irr!D26&lt;&gt;".",Irr!AB26=".",Irr!AZ26&lt;&gt;"."),dir!AD26/((1/1000)*(Irr!D26+Irr!AZ26)),IF(AND(Irr!D26=".",Irr!AB26&lt;&gt;".",Irr!AZ26&lt;&gt;"."),dir!AD26/((1/1000)*(Irr!AB26+Irr!AZ26)),IF(AND(Irr!D26=".",Irr!AB26=".",Irr!AZ26&lt;&gt;"."),dir!AD26/((1/1000)*(Irr!AZ26)),IF(AND(Irr!D26=".",Irr!AB26&lt;&gt;".",Irr!AZ26="."),dir!AD26/((1/1000)*(Irr!AB26)),IF(AND(Irr!D26&lt;&gt;".",Irr!AB26=".",Irr!AZ26="."),dir!AD26/((1/1000)*(Irr!D26)),IF(AND(Irr!D26=".",Irr!AB26=".",Irr!AZ26="."),dir!AD26*1000)))))))),".")</f>
        <v>9.7656508813780913</v>
      </c>
      <c r="AE26" s="48">
        <f>IFERROR(IF(AND(Irr!E26&lt;&gt;".",Irr!AC26&lt;&gt;".",Irr!BA26&lt;&gt;"."),dir!AE26/((1/1000)*(Irr!E26+Irr!AC26+Irr!BA26)),IF(AND(Irr!E26&lt;&gt;".",Irr!AC26&lt;&gt;".",Irr!BA26="."),dir!AE26/((1/1000)*(Irr!E26+Irr!AC26)),IF(AND(Irr!E26&lt;&gt;".",Irr!AC26=".",Irr!BA26&lt;&gt;"."),dir!AE26/((1/1000)*(Irr!E26+Irr!BA26)),IF(AND(Irr!E26=".",Irr!AC26&lt;&gt;".",Irr!BA26&lt;&gt;"."),dir!AE26/((1/1000)*(Irr!AC26+Irr!BA26)),IF(AND(Irr!E26=".",Irr!AC26=".",Irr!BA26&lt;&gt;"."),dir!AE26/((1/1000)*(Irr!BA26)),IF(AND(Irr!E26=".",Irr!AC26&lt;&gt;".",Irr!BA26="."),dir!AE26/((1/1000)*(Irr!AC26)),IF(AND(Irr!E26&lt;&gt;".",Irr!AC26=".",Irr!BA26="."),dir!AE26/((1/1000)*(Irr!E26)),IF(AND(Irr!E26=".",Irr!AC26=".",Irr!BA26="."),dir!AE26*1000)))))))),".")</f>
        <v>11.732645788076765</v>
      </c>
      <c r="AF26" s="48">
        <f>IFERROR(IF(AND(Irr!F26&lt;&gt;".",Irr!AD26&lt;&gt;".",Irr!BB26&lt;&gt;"."),dir!AF26/((1/1000)*(Irr!F26+Irr!AD26+Irr!BB26)),IF(AND(Irr!F26&lt;&gt;".",Irr!AD26&lt;&gt;".",Irr!BB26="."),dir!AF26/((1/1000)*(Irr!F26+Irr!AD26)),IF(AND(Irr!F26&lt;&gt;".",Irr!AD26=".",Irr!BB26&lt;&gt;"."),dir!AF26/((1/1000)*(Irr!F26+Irr!BB26)),IF(AND(Irr!F26=".",Irr!AD26&lt;&gt;".",Irr!BB26&lt;&gt;"."),dir!AF26/((1/1000)*(Irr!AD26+Irr!BB26)),IF(AND(Irr!F26=".",Irr!AD26=".",Irr!BB26&lt;&gt;"."),dir!AF26/((1/1000)*(Irr!BB26)),IF(AND(Irr!F26=".",Irr!AD26&lt;&gt;".",Irr!BB26="."),dir!AF26/((1/1000)*(Irr!AD26)),IF(AND(Irr!F26&lt;&gt;".",Irr!AD26=".",Irr!BB26="."),dir!AF26/((1/1000)*(Irr!F26)),IF(AND(Irr!F26=".",Irr!AD26=".",Irr!BB26="."),dir!AF26*1000)))))))),".")</f>
        <v>10.270366272466285</v>
      </c>
      <c r="AG26" s="48">
        <f>IFERROR(IF(AND(Irr!G26&lt;&gt;".",Irr!AE26&lt;&gt;".",Irr!BC26&lt;&gt;"."),dir!AG26/((1/1000)*(Irr!G26+Irr!AE26+Irr!BC26)),IF(AND(Irr!G26&lt;&gt;".",Irr!AE26&lt;&gt;".",Irr!BC26="."),dir!AG26/((1/1000)*(Irr!G26+Irr!AE26)),IF(AND(Irr!G26&lt;&gt;".",Irr!AE26=".",Irr!BC26&lt;&gt;"."),dir!AG26/((1/1000)*(Irr!G26+Irr!BC26)),IF(AND(Irr!G26=".",Irr!AE26&lt;&gt;".",Irr!BC26&lt;&gt;"."),dir!AG26/((1/1000)*(Irr!AE26+Irr!BC26)),IF(AND(Irr!G26=".",Irr!AE26=".",Irr!BC26&lt;&gt;"."),dir!AG26/((1/1000)*(Irr!BC26)),IF(AND(Irr!G26=".",Irr!AE26&lt;&gt;".",Irr!BC26="."),dir!AG26/((1/1000)*(Irr!AE26)),IF(AND(Irr!G26&lt;&gt;".",Irr!AE26=".",Irr!BC26="."),dir!AG26/((1/1000)*(Irr!G26)),IF(AND(Irr!G26=".",Irr!AE26=".",Irr!BC26="."),dir!AG26*1000)))))))),".")</f>
        <v>10.635951458510471</v>
      </c>
      <c r="AH26" s="48">
        <f>IFERROR(IF(AND(Irr!H26&lt;&gt;".",Irr!AF26&lt;&gt;".",Irr!BD26&lt;&gt;"."),dir!AH26/((1/1000)*(Irr!H26+Irr!AF26+Irr!BD26)),IF(AND(Irr!H26&lt;&gt;".",Irr!AF26&lt;&gt;".",Irr!BD26="."),dir!AH26/((1/1000)*(Irr!H26+Irr!AF26)),IF(AND(Irr!H26&lt;&gt;".",Irr!AF26=".",Irr!BD26&lt;&gt;"."),dir!AH26/((1/1000)*(Irr!H26+Irr!BD26)),IF(AND(Irr!H26=".",Irr!AF26&lt;&gt;".",Irr!BD26&lt;&gt;"."),dir!AH26/((1/1000)*(Irr!AF26+Irr!BD26)),IF(AND(Irr!H26=".",Irr!AF26=".",Irr!BD26&lt;&gt;"."),dir!AH26/((1/1000)*(Irr!BD26)),IF(AND(Irr!H26=".",Irr!AF26&lt;&gt;".",Irr!BD26="."),dir!AH26/((1/1000)*(Irr!AF26)),IF(AND(Irr!H26&lt;&gt;".",Irr!AF26=".",Irr!BD26="."),dir!AH26/((1/1000)*(Irr!H26)),IF(AND(Irr!H26=".",Irr!AF26=".",Irr!BD26="."),dir!AH26*1000)))))))),".")</f>
        <v>4.6092681239091835</v>
      </c>
      <c r="AI26" s="48">
        <f>IFERROR(IF(AND(Irr!I26&lt;&gt;".",Irr!AG26&lt;&gt;".",Irr!BE26&lt;&gt;"."),dir!AI26/((1/1000)*(Irr!I26+Irr!AG26+Irr!BE26)),IF(AND(Irr!I26&lt;&gt;".",Irr!AG26&lt;&gt;".",Irr!BE26="."),dir!AI26/((1/1000)*(Irr!I26+Irr!AG26)),IF(AND(Irr!I26&lt;&gt;".",Irr!AG26=".",Irr!BE26&lt;&gt;"."),dir!AI26/((1/1000)*(Irr!I26+Irr!BE26)),IF(AND(Irr!I26=".",Irr!AG26&lt;&gt;".",Irr!BE26&lt;&gt;"."),dir!AI26/((1/1000)*(Irr!AG26+Irr!BE26)),IF(AND(Irr!I26=".",Irr!AG26=".",Irr!BE26&lt;&gt;"."),dir!AI26/((1/1000)*(Irr!BE26)),IF(AND(Irr!I26=".",Irr!AG26&lt;&gt;".",Irr!BE26="."),dir!AI26/((1/1000)*(Irr!AG26)),IF(AND(Irr!I26&lt;&gt;".",Irr!AG26=".",Irr!BE26="."),dir!AI26/((1/1000)*(Irr!I26)),IF(AND(Irr!I26=".",Irr!AG26=".",Irr!BE26="."),dir!AI26*1000)))))))),".")</f>
        <v>15.178243617651948</v>
      </c>
      <c r="AJ26" s="48">
        <f>IFERROR(IF(AND(Irr!J26&lt;&gt;".",Irr!AH26&lt;&gt;".",Irr!BF26&lt;&gt;"."),dir!AJ26/((1/1000)*(Irr!J26+Irr!AH26+Irr!BF26)),IF(AND(Irr!J26&lt;&gt;".",Irr!AH26&lt;&gt;".",Irr!BF26="."),dir!AJ26/((1/1000)*(Irr!J26+Irr!AH26)),IF(AND(Irr!J26&lt;&gt;".",Irr!AH26=".",Irr!BF26&lt;&gt;"."),dir!AJ26/((1/1000)*(Irr!J26+Irr!BF26)),IF(AND(Irr!J26=".",Irr!AH26&lt;&gt;".",Irr!BF26&lt;&gt;"."),dir!AJ26/((1/1000)*(Irr!AH26+Irr!BF26)),IF(AND(Irr!J26=".",Irr!AH26=".",Irr!BF26&lt;&gt;"."),dir!AJ26/((1/1000)*(Irr!BF26)),IF(AND(Irr!J26=".",Irr!AH26&lt;&gt;".",Irr!BF26="."),dir!AJ26/((1/1000)*(Irr!AH26)),IF(AND(Irr!J26&lt;&gt;".",Irr!AH26=".",Irr!BF26="."),dir!AJ26/((1/1000)*(Irr!J26)),IF(AND(Irr!J26=".",Irr!AH26=".",Irr!BF26="."),dir!AJ26*1000)))))))),".")</f>
        <v>1.1839292699542903</v>
      </c>
      <c r="AK26" s="48">
        <f>IFERROR(IF(AND(Irr!K26&lt;&gt;".",Irr!AI26&lt;&gt;".",Irr!BG26&lt;&gt;"."),dir!AK26/((1/1000)*(Irr!K26+Irr!AI26+Irr!BG26)),IF(AND(Irr!K26&lt;&gt;".",Irr!AI26&lt;&gt;".",Irr!BG26="."),dir!AK26/((1/1000)*(Irr!K26+Irr!AI26)),IF(AND(Irr!K26&lt;&gt;".",Irr!AI26=".",Irr!BG26&lt;&gt;"."),dir!AK26/((1/1000)*(Irr!K26+Irr!BG26)),IF(AND(Irr!K26=".",Irr!AI26&lt;&gt;".",Irr!BG26&lt;&gt;"."),dir!AK26/((1/1000)*(Irr!AI26+Irr!BG26)),IF(AND(Irr!K26=".",Irr!AI26=".",Irr!BG26&lt;&gt;"."),dir!AK26/((1/1000)*(Irr!BG26)),IF(AND(Irr!K26=".",Irr!AI26&lt;&gt;".",Irr!BG26="."),dir!AK26/((1/1000)*(Irr!AI26)),IF(AND(Irr!K26&lt;&gt;".",Irr!AI26=".",Irr!BG26="."),dir!AK26/((1/1000)*(Irr!K26)),IF(AND(Irr!K26=".",Irr!AI26=".",Irr!BG26="."),dir!AK26*1000)))))))),".")</f>
        <v>4.6304371519582892</v>
      </c>
      <c r="AL26" s="48">
        <f>IFERROR(IF(AND(Irr!L26&lt;&gt;".",Irr!AJ26&lt;&gt;".",Irr!BH26&lt;&gt;"."),dir!AL26/((1/1000)*(Irr!L26+Irr!AJ26+Irr!BH26)),IF(AND(Irr!L26&lt;&gt;".",Irr!AJ26&lt;&gt;".",Irr!BH26="."),dir!AL26/((1/1000)*(Irr!L26+Irr!AJ26)),IF(AND(Irr!L26&lt;&gt;".",Irr!AJ26=".",Irr!BH26&lt;&gt;"."),dir!AL26/((1/1000)*(Irr!L26+Irr!BH26)),IF(AND(Irr!L26=".",Irr!AJ26&lt;&gt;".",Irr!BH26&lt;&gt;"."),dir!AL26/((1/1000)*(Irr!AJ26+Irr!BH26)),IF(AND(Irr!L26=".",Irr!AJ26=".",Irr!BH26&lt;&gt;"."),dir!AL26/((1/1000)*(Irr!BH26)),IF(AND(Irr!L26=".",Irr!AJ26&lt;&gt;".",Irr!BH26="."),dir!AL26/((1/1000)*(Irr!AJ26)),IF(AND(Irr!L26&lt;&gt;".",Irr!AJ26=".",Irr!BH26="."),dir!AL26/((1/1000)*(Irr!L26)),IF(AND(Irr!L26=".",Irr!AJ26=".",Irr!BH26="."),dir!AL26*1000)))))))),".")</f>
        <v>7.0190254489009893</v>
      </c>
      <c r="AM26" s="48">
        <f>IFERROR(IF(AND(Irr!M26&lt;&gt;".",Irr!AK26&lt;&gt;".",Irr!BI26&lt;&gt;"."),dir!AM26/((1/1000)*(Irr!M26+Irr!AK26+Irr!BI26)),IF(AND(Irr!M26&lt;&gt;".",Irr!AK26&lt;&gt;".",Irr!BI26="."),dir!AM26/((1/1000)*(Irr!M26+Irr!AK26)),IF(AND(Irr!M26&lt;&gt;".",Irr!AK26=".",Irr!BI26&lt;&gt;"."),dir!AM26/((1/1000)*(Irr!M26+Irr!BI26)),IF(AND(Irr!M26=".",Irr!AK26&lt;&gt;".",Irr!BI26&lt;&gt;"."),dir!AM26/((1/1000)*(Irr!AK26+Irr!BI26)),IF(AND(Irr!M26=".",Irr!AK26=".",Irr!BI26&lt;&gt;"."),dir!AM26/((1/1000)*(Irr!BI26)),IF(AND(Irr!M26=".",Irr!AK26&lt;&gt;".",Irr!BI26="."),dir!AM26/((1/1000)*(Irr!AK26)),IF(AND(Irr!M26&lt;&gt;".",Irr!AK26=".",Irr!BI26="."),dir!AM26/((1/1000)*(Irr!M26)),IF(AND(Irr!M26=".",Irr!AK26=".",Irr!BI26="."),dir!AM26*1000)))))))),".")</f>
        <v>9.3593621795472028</v>
      </c>
      <c r="AN26" s="48">
        <f>IFERROR(IF(AND(Irr!N26&lt;&gt;".",Irr!AL26&lt;&gt;".",Irr!BJ26&lt;&gt;"."),dir!AN26/((1/1000)*(Irr!N26+Irr!AL26+Irr!BJ26)),IF(AND(Irr!N26&lt;&gt;".",Irr!AL26&lt;&gt;".",Irr!BJ26="."),dir!AN26/((1/1000)*(Irr!N26+Irr!AL26)),IF(AND(Irr!N26&lt;&gt;".",Irr!AL26=".",Irr!BJ26&lt;&gt;"."),dir!AN26/((1/1000)*(Irr!N26+Irr!BJ26)),IF(AND(Irr!N26=".",Irr!AL26&lt;&gt;".",Irr!BJ26&lt;&gt;"."),dir!AN26/((1/1000)*(Irr!AL26+Irr!BJ26)),IF(AND(Irr!N26=".",Irr!AL26=".",Irr!BJ26&lt;&gt;"."),dir!AN26/((1/1000)*(Irr!BJ26)),IF(AND(Irr!N26=".",Irr!AL26&lt;&gt;".",Irr!BJ26="."),dir!AN26/((1/1000)*(Irr!AL26)),IF(AND(Irr!N26&lt;&gt;".",Irr!AL26=".",Irr!BJ26="."),dir!AN26/((1/1000)*(Irr!N26)),IF(AND(Irr!N26=".",Irr!AL26=".",Irr!BJ26="."),dir!AN26*1000)))))))),".")</f>
        <v>11.238206677460896</v>
      </c>
      <c r="AO26" s="48">
        <f>IFERROR(IF(AND(Irr!O26&lt;&gt;".",Irr!AM26&lt;&gt;".",Irr!BK26&lt;&gt;"."),dir!AO26/((1/1000)*(Irr!O26+Irr!AM26+Irr!BK26)),IF(AND(Irr!O26&lt;&gt;".",Irr!AM26&lt;&gt;".",Irr!BK26="."),dir!AO26/((1/1000)*(Irr!O26+Irr!AM26)),IF(AND(Irr!O26&lt;&gt;".",Irr!AM26=".",Irr!BK26&lt;&gt;"."),dir!AO26/((1/1000)*(Irr!O26+Irr!BK26)),IF(AND(Irr!O26=".",Irr!AM26&lt;&gt;".",Irr!BK26&lt;&gt;"."),dir!AO26/((1/1000)*(Irr!AM26+Irr!BK26)),IF(AND(Irr!O26=".",Irr!AM26=".",Irr!BK26&lt;&gt;"."),dir!AO26/((1/1000)*(Irr!BK26)),IF(AND(Irr!O26=".",Irr!AM26&lt;&gt;".",Irr!BK26="."),dir!AO26/((1/1000)*(Irr!AM26)),IF(AND(Irr!O26&lt;&gt;".",Irr!AM26=".",Irr!BK26="."),dir!AO26/((1/1000)*(Irr!O26)),IF(AND(Irr!O26=".",Irr!AM26=".",Irr!BK26="."),dir!AO26*1000)))))))),".")</f>
        <v>13.043703861382793</v>
      </c>
      <c r="AP26" s="48">
        <f>IFERROR(IF(AND(Irr!P26&lt;&gt;".",Irr!AN26&lt;&gt;".",Irr!BL26&lt;&gt;"."),dir!AP26/((1/1000)*(Irr!P26+Irr!AN26+Irr!BL26)),IF(AND(Irr!P26&lt;&gt;".",Irr!AN26&lt;&gt;".",Irr!BL26="."),dir!AP26/((1/1000)*(Irr!P26+Irr!AN26)),IF(AND(Irr!P26&lt;&gt;".",Irr!AN26=".",Irr!BL26&lt;&gt;"."),dir!AP26/((1/1000)*(Irr!P26+Irr!BL26)),IF(AND(Irr!P26=".",Irr!AN26&lt;&gt;".",Irr!BL26&lt;&gt;"."),dir!AP26/((1/1000)*(Irr!AN26+Irr!BL26)),IF(AND(Irr!P26=".",Irr!AN26=".",Irr!BL26&lt;&gt;"."),dir!AP26/((1/1000)*(Irr!BL26)),IF(AND(Irr!P26=".",Irr!AN26&lt;&gt;".",Irr!BL26="."),dir!AP26/((1/1000)*(Irr!AN26)),IF(AND(Irr!P26&lt;&gt;".",Irr!AN26=".",Irr!BL26="."),dir!AP26/((1/1000)*(Irr!P26)),IF(AND(Irr!P26=".",Irr!AN26=".",Irr!BL26="."),dir!AP26*1000)))))))),".")</f>
        <v>14.26217032585418</v>
      </c>
      <c r="AQ26" s="48">
        <f>IFERROR(IF(AND(Irr!Q26&lt;&gt;".",Irr!AO26&lt;&gt;".",Irr!BM26&lt;&gt;"."),dir!AQ26/((1/1000)*(Irr!Q26+Irr!AO26+Irr!BM26)),IF(AND(Irr!Q26&lt;&gt;".",Irr!AO26&lt;&gt;".",Irr!BM26="."),dir!AQ26/((1/1000)*(Irr!Q26+Irr!AO26)),IF(AND(Irr!Q26&lt;&gt;".",Irr!AO26=".",Irr!BM26&lt;&gt;"."),dir!AQ26/((1/1000)*(Irr!Q26+Irr!BM26)),IF(AND(Irr!Q26=".",Irr!AO26&lt;&gt;".",Irr!BM26&lt;&gt;"."),dir!AQ26/((1/1000)*(Irr!AO26+Irr!BM26)),IF(AND(Irr!Q26=".",Irr!AO26=".",Irr!BM26&lt;&gt;"."),dir!AQ26/((1/1000)*(Irr!BM26)),IF(AND(Irr!Q26=".",Irr!AO26&lt;&gt;".",Irr!BM26="."),dir!AQ26/((1/1000)*(Irr!AO26)),IF(AND(Irr!Q26&lt;&gt;".",Irr!AO26=".",Irr!BM26="."),dir!AQ26/((1/1000)*(Irr!Q26)),IF(AND(Irr!Q26=".",Irr!AO26=".",Irr!BM26="."),dir!AQ26*1000)))))))),".")</f>
        <v>3.3737300985591299</v>
      </c>
      <c r="AR26" s="48">
        <f>IFERROR(IF(AND(Irr!R26&lt;&gt;".",Irr!AP26&lt;&gt;".",Irr!BN26&lt;&gt;"."),dir!AR26/((1/1000)*(Irr!R26+Irr!AP26+Irr!BN26)),IF(AND(Irr!R26&lt;&gt;".",Irr!AP26&lt;&gt;".",Irr!BN26="."),dir!AR26/((1/1000)*(Irr!R26+Irr!AP26)),IF(AND(Irr!R26&lt;&gt;".",Irr!AP26=".",Irr!BN26&lt;&gt;"."),dir!AR26/((1/1000)*(Irr!R26+Irr!BN26)),IF(AND(Irr!R26=".",Irr!AP26&lt;&gt;".",Irr!BN26&lt;&gt;"."),dir!AR26/((1/1000)*(Irr!AP26+Irr!BN26)),IF(AND(Irr!R26=".",Irr!AP26=".",Irr!BN26&lt;&gt;"."),dir!AR26/((1/1000)*(Irr!BN26)),IF(AND(Irr!R26=".",Irr!AP26&lt;&gt;".",Irr!BN26="."),dir!AR26/((1/1000)*(Irr!AP26)),IF(AND(Irr!R26&lt;&gt;".",Irr!AP26=".",Irr!BN26="."),dir!AR26/((1/1000)*(Irr!R26)),IF(AND(Irr!R26=".",Irr!AP26=".",Irr!BN26="."),dir!AR26*1000)))))))),".")</f>
        <v>5.5470819569515353</v>
      </c>
      <c r="AS26" s="48">
        <f>IFERROR(IF(AND(Irr!S26&lt;&gt;".",Irr!AQ26&lt;&gt;".",Irr!BO26&lt;&gt;"."),dir!AS26/((1/1000)*(Irr!S26+Irr!AQ26+Irr!BO26)),IF(AND(Irr!S26&lt;&gt;".",Irr!AQ26&lt;&gt;".",Irr!BO26="."),dir!AS26/((1/1000)*(Irr!S26+Irr!AQ26)),IF(AND(Irr!S26&lt;&gt;".",Irr!AQ26=".",Irr!BO26&lt;&gt;"."),dir!AS26/((1/1000)*(Irr!S26+Irr!BO26)),IF(AND(Irr!S26=".",Irr!AQ26&lt;&gt;".",Irr!BO26&lt;&gt;"."),dir!AS26/((1/1000)*(Irr!AQ26+Irr!BO26)),IF(AND(Irr!S26=".",Irr!AQ26=".",Irr!BO26&lt;&gt;"."),dir!AS26/((1/1000)*(Irr!BO26)),IF(AND(Irr!S26=".",Irr!AQ26&lt;&gt;".",Irr!BO26="."),dir!AS26/((1/1000)*(Irr!AQ26)),IF(AND(Irr!S26&lt;&gt;".",Irr!AQ26=".",Irr!BO26="."),dir!AS26/((1/1000)*(Irr!S26)),IF(AND(Irr!S26=".",Irr!AQ26=".",Irr!BO26="."),dir!AS26*1000)))))))),".")</f>
        <v>11.062816384032965</v>
      </c>
      <c r="AT26" s="48">
        <f>IFERROR(IF(AND(Irr!T26&lt;&gt;".",Irr!AR26&lt;&gt;".",Irr!BP26&lt;&gt;"."),dir!AT26/((1/1000)*(Irr!T26+Irr!AR26+Irr!BP26)),IF(AND(Irr!T26&lt;&gt;".",Irr!AR26&lt;&gt;".",Irr!BP26="."),dir!AT26/((1/1000)*(Irr!T26+Irr!AR26)),IF(AND(Irr!T26&lt;&gt;".",Irr!AR26=".",Irr!BP26&lt;&gt;"."),dir!AT26/((1/1000)*(Irr!T26+Irr!BP26)),IF(AND(Irr!T26=".",Irr!AR26&lt;&gt;".",Irr!BP26&lt;&gt;"."),dir!AT26/((1/1000)*(Irr!AR26+Irr!BP26)),IF(AND(Irr!T26=".",Irr!AR26=".",Irr!BP26&lt;&gt;"."),dir!AT26/((1/1000)*(Irr!BP26)),IF(AND(Irr!T26=".",Irr!AR26&lt;&gt;".",Irr!BP26="."),dir!AT26/((1/1000)*(Irr!AR26)),IF(AND(Irr!T26&lt;&gt;".",Irr!AR26=".",Irr!BP26="."),dir!AT26/((1/1000)*(Irr!T26)),IF(AND(Irr!T26=".",Irr!AR26=".",Irr!BP26="."),dir!AT26*1000)))))))),".")</f>
        <v>2.685150158110881</v>
      </c>
      <c r="AU26" s="48">
        <f>IFERROR(IF(AND(Irr!U26&lt;&gt;".",Irr!AS26&lt;&gt;".",Irr!BQ26&lt;&gt;"."),dir!AU26/((1/1000)*(Irr!U26+Irr!AS26+Irr!BQ26)),IF(AND(Irr!U26&lt;&gt;".",Irr!AS26&lt;&gt;".",Irr!BQ26="."),dir!AU26/((1/1000)*(Irr!U26+Irr!AS26)),IF(AND(Irr!U26&lt;&gt;".",Irr!AS26=".",Irr!BQ26&lt;&gt;"."),dir!AU26/((1/1000)*(Irr!U26+Irr!BQ26)),IF(AND(Irr!U26=".",Irr!AS26&lt;&gt;".",Irr!BQ26&lt;&gt;"."),dir!AU26/((1/1000)*(Irr!AS26+Irr!BQ26)),IF(AND(Irr!U26=".",Irr!AS26=".",Irr!BQ26&lt;&gt;"."),dir!AU26/((1/1000)*(Irr!BQ26)),IF(AND(Irr!U26=".",Irr!AS26&lt;&gt;".",Irr!BQ26="."),dir!AU26/((1/1000)*(Irr!AS26)),IF(AND(Irr!U26&lt;&gt;".",Irr!AS26=".",Irr!BQ26="."),dir!AU26/((1/1000)*(Irr!U26)),IF(AND(Irr!U26=".",Irr!AS26=".",Irr!BQ26="."),dir!AU26*1000)))))))),".")</f>
        <v>5.5815639493066547</v>
      </c>
      <c r="AV26" s="48">
        <f>IFERROR(IF(AND(Irr!V26&lt;&gt;".",Irr!AT26&lt;&gt;".",Irr!BR26&lt;&gt;"."),dir!AV26/((1/1000)*(Irr!V26+Irr!AT26+Irr!BR26)),IF(AND(Irr!V26&lt;&gt;".",Irr!AT26&lt;&gt;".",Irr!BR26="."),dir!AV26/((1/1000)*(Irr!V26+Irr!AT26)),IF(AND(Irr!V26&lt;&gt;".",Irr!AT26=".",Irr!BR26&lt;&gt;"."),dir!AV26/((1/1000)*(Irr!V26+Irr!BR26)),IF(AND(Irr!V26=".",Irr!AT26&lt;&gt;".",Irr!BR26&lt;&gt;"."),dir!AV26/((1/1000)*(Irr!AT26+Irr!BR26)),IF(AND(Irr!V26=".",Irr!AT26=".",Irr!BR26&lt;&gt;"."),dir!AV26/((1/1000)*(Irr!BR26)),IF(AND(Irr!V26=".",Irr!AT26&lt;&gt;".",Irr!BR26="."),dir!AV26/((1/1000)*(Irr!AT26)),IF(AND(Irr!V26&lt;&gt;".",Irr!AT26=".",Irr!BR26="."),dir!AV26/((1/1000)*(Irr!V26)),IF(AND(Irr!V26=".",Irr!AT26=".",Irr!BR26="."),dir!AV26*1000)))))))),".")</f>
        <v>6.5782469910228771</v>
      </c>
      <c r="AW26" s="48">
        <f>IFERROR(IF(AND(Irr!W26&lt;&gt;".",Irr!AU26&lt;&gt;".",Irr!BS26&lt;&gt;"."),dir!AW26/((1/1000)*(Irr!W26+Irr!AU26+Irr!BS26)),IF(AND(Irr!W26&lt;&gt;".",Irr!AU26&lt;&gt;".",Irr!BS26="."),dir!AW26/((1/1000)*(Irr!W26+Irr!AU26)),IF(AND(Irr!W26&lt;&gt;".",Irr!AU26=".",Irr!BS26&lt;&gt;"."),dir!AW26/((1/1000)*(Irr!W26+Irr!BS26)),IF(AND(Irr!W26=".",Irr!AU26&lt;&gt;".",Irr!BS26&lt;&gt;"."),dir!AW26/((1/1000)*(Irr!AU26+Irr!BS26)),IF(AND(Irr!W26=".",Irr!AU26=".",Irr!BS26&lt;&gt;"."),dir!AW26/((1/1000)*(Irr!BS26)),IF(AND(Irr!W26=".",Irr!AU26&lt;&gt;".",Irr!BS26="."),dir!AW26/((1/1000)*(Irr!AU26)),IF(AND(Irr!W26&lt;&gt;".",Irr!AU26=".",Irr!BS26="."),dir!AW26/((1/1000)*(Irr!W26)),IF(AND(Irr!W26=".",Irr!AU26=".",Irr!BS26="."),dir!AW26*1000)))))))),".")</f>
        <v>9.0566413473750949</v>
      </c>
      <c r="AX26" s="48">
        <f>IFERROR(IF(AND(Irr!X26&lt;&gt;".",Irr!AV26&lt;&gt;".",Irr!BT26&lt;&gt;"."),dir!AX26/((1/1000)*(Irr!X26+Irr!AV26+Irr!BT26)),IF(AND(Irr!X26&lt;&gt;".",Irr!AV26&lt;&gt;".",Irr!BT26="."),dir!AX26/((1/1000)*(Irr!X26+Irr!AV26)),IF(AND(Irr!X26&lt;&gt;".",Irr!AV26=".",Irr!BT26&lt;&gt;"."),dir!AX26/((1/1000)*(Irr!X26+Irr!BT26)),IF(AND(Irr!X26=".",Irr!AV26&lt;&gt;".",Irr!BT26&lt;&gt;"."),dir!AX26/((1/1000)*(Irr!AV26+Irr!BT26)),IF(AND(Irr!X26=".",Irr!AV26=".",Irr!BT26&lt;&gt;"."),dir!AX26/((1/1000)*(Irr!BT26)),IF(AND(Irr!X26=".",Irr!AV26&lt;&gt;".",Irr!BT26="."),dir!AX26/((1/1000)*(Irr!AV26)),IF(AND(Irr!X26&lt;&gt;".",Irr!AV26=".",Irr!BT26="."),dir!AX26/((1/1000)*(Irr!X26)),IF(AND(Irr!X26=".",Irr!AV26=".",Irr!BT26="."),dir!AX26*1000)))))))),".")</f>
        <v>3.9880704848459492</v>
      </c>
      <c r="AY26" s="48">
        <f>IFERROR(IF(AND(Irr!Y26&lt;&gt;".",Irr!AW26&lt;&gt;".",Irr!BU26&lt;&gt;"."),dir!AY26/((1/1000)*(Irr!Y26+Irr!AW26+Irr!BU26)),IF(AND(Irr!Y26&lt;&gt;".",Irr!AW26&lt;&gt;".",Irr!BU26="."),dir!AY26/((1/1000)*(Irr!Y26+Irr!AW26)),IF(AND(Irr!Y26&lt;&gt;".",Irr!AW26=".",Irr!BU26&lt;&gt;"."),dir!AY26/((1/1000)*(Irr!Y26+Irr!BU26)),IF(AND(Irr!Y26=".",Irr!AW26&lt;&gt;".",Irr!BU26&lt;&gt;"."),dir!AY26/((1/1000)*(Irr!AW26+Irr!BU26)),IF(AND(Irr!Y26=".",Irr!AW26=".",Irr!BU26&lt;&gt;"."),dir!AY26/((1/1000)*(Irr!BU26)),IF(AND(Irr!Y26=".",Irr!AW26&lt;&gt;".",Irr!BU26="."),dir!AY26/((1/1000)*(Irr!AW26)),IF(AND(Irr!Y26&lt;&gt;".",Irr!AW26=".",Irr!BU26="."),dir!AY26/((1/1000)*(Irr!Y26)),IF(AND(Irr!Y26=".",Irr!AW26=".",Irr!BU26="."),dir!AY26*1000)))))))),".")</f>
        <v>1.2524764000181809</v>
      </c>
      <c r="AZ26" s="48">
        <f>IFERROR(IF(AND(Irr!Z26&lt;&gt;".",Irr!AX26&lt;&gt;".",Irr!BV26&lt;&gt;"."),dir!AZ26/((1/1000)*(Irr!Z26+Irr!AX26+Irr!BV26)),IF(AND(Irr!Z26&lt;&gt;".",Irr!AX26&lt;&gt;".",Irr!BV26="."),dir!AZ26/((1/1000)*(Irr!Z26+Irr!AX26)),IF(AND(Irr!Z26&lt;&gt;".",Irr!AX26=".",Irr!BV26&lt;&gt;"."),dir!AZ26/((1/1000)*(Irr!Z26+Irr!BV26)),IF(AND(Irr!Z26=".",Irr!AX26&lt;&gt;".",Irr!BV26&lt;&gt;"."),dir!AZ26/((1/1000)*(Irr!AX26+Irr!BV26)),IF(AND(Irr!Z26=".",Irr!AX26=".",Irr!BV26&lt;&gt;"."),dir!AZ26/((1/1000)*(Irr!BV26)),IF(AND(Irr!Z26=".",Irr!AX26&lt;&gt;".",Irr!BV26="."),dir!AZ26/((1/1000)*(Irr!AX26)),IF(AND(Irr!Z26&lt;&gt;".",Irr!AX26=".",Irr!BV26="."),dir!AZ26/((1/1000)*(Irr!Z26)),IF(AND(Irr!Z26=".",Irr!AX26=".",Irr!BV26="."),dir!AZ26*1000)))))))),".")</f>
        <v>1.1786542989432265</v>
      </c>
    </row>
    <row r="27" spans="1:52" ht="15" customHeight="1" x14ac:dyDescent="0.25">
      <c r="A27" s="61" t="s">
        <v>25</v>
      </c>
      <c r="B27" s="49" t="s">
        <v>1059</v>
      </c>
      <c r="C27" s="48" t="str">
        <f t="shared" si="22"/>
        <v>.</v>
      </c>
      <c r="D27" s="48" t="str">
        <f>IFERROR(IF(AND(Irr!C27&lt;&gt;".",Irr!AA27&lt;&gt;".",Irr!AY27&lt;&gt;"."),dir!D27/((1/1000)*(Irr!C27+Irr!AA27+Irr!AY27)),IF(AND(Irr!C27&lt;&gt;".",Irr!AA27&lt;&gt;".",Irr!AY27="."),dir!D27/((1/1000)*(Irr!C27+Irr!AA27)),IF(AND(Irr!C27&lt;&gt;".",Irr!AA27=".",Irr!AY27&lt;&gt;"."),dir!D27/((1/1000)*(Irr!C27+Irr!AY27)),IF(AND(Irr!C27=".",Irr!AA27&lt;&gt;".",Irr!AY27&lt;&gt;"."),dir!D27/((1/1000)*(Irr!AA27+Irr!AY27)),IF(AND(Irr!C27=".",Irr!AA27=".",Irr!AY27&lt;&gt;"."),dir!D27/((1/1000)*(Irr!AY27)),IF(AND(Irr!C27=".",Irr!AA27&lt;&gt;".",Irr!AY27="."),dir!D27/((1/1000)*(Irr!AA27)),IF(AND(Irr!C27&lt;&gt;".",Irr!AA27=".",Irr!AY27="."),dir!D27/((1/1000)*(Irr!C27)),IF(AND(Irr!C27=".",Irr!AA27=".",Irr!AY27="."),dir!D27*1000)))))))),".")</f>
        <v>.</v>
      </c>
      <c r="E27" s="48" t="str">
        <f>IFERROR(IF(AND(Irr!D27&lt;&gt;".",Irr!AB27&lt;&gt;".",Irr!AZ27&lt;&gt;"."),dir!E27/((1/1000)*(Irr!D27+Irr!AB27+Irr!AZ27)),IF(AND(Irr!D27&lt;&gt;".",Irr!AB27&lt;&gt;".",Irr!AZ27="."),dir!E27/((1/1000)*(Irr!D27+Irr!AB27)),IF(AND(Irr!D27&lt;&gt;".",Irr!AB27=".",Irr!AZ27&lt;&gt;"."),dir!E27/((1/1000)*(Irr!D27+Irr!AZ27)),IF(AND(Irr!D27=".",Irr!AB27&lt;&gt;".",Irr!AZ27&lt;&gt;"."),dir!E27/((1/1000)*(Irr!AB27+Irr!AZ27)),IF(AND(Irr!D27=".",Irr!AB27=".",Irr!AZ27&lt;&gt;"."),dir!E27/((1/1000)*(Irr!AZ27)),IF(AND(Irr!D27=".",Irr!AB27&lt;&gt;".",Irr!AZ27="."),dir!E27/((1/1000)*(Irr!AB27)),IF(AND(Irr!D27&lt;&gt;".",Irr!AB27=".",Irr!AZ27="."),dir!E27/((1/1000)*(Irr!D27)),IF(AND(Irr!D27=".",Irr!AB27=".",Irr!AZ27="."),dir!E27*1000)))))))),".")</f>
        <v>.</v>
      </c>
      <c r="F27" s="48" t="str">
        <f>IFERROR(IF(AND(Irr!E27&lt;&gt;".",Irr!AC27&lt;&gt;".",Irr!BA27&lt;&gt;"."),dir!F27/((1/1000)*(Irr!E27+Irr!AC27+Irr!BA27)),IF(AND(Irr!E27&lt;&gt;".",Irr!AC27&lt;&gt;".",Irr!BA27="."),dir!F27/((1/1000)*(Irr!E27+Irr!AC27)),IF(AND(Irr!E27&lt;&gt;".",Irr!AC27=".",Irr!BA27&lt;&gt;"."),dir!F27/((1/1000)*(Irr!E27+Irr!BA27)),IF(AND(Irr!E27=".",Irr!AC27&lt;&gt;".",Irr!BA27&lt;&gt;"."),dir!F27/((1/1000)*(Irr!AC27+Irr!BA27)),IF(AND(Irr!E27=".",Irr!AC27=".",Irr!BA27&lt;&gt;"."),dir!F27/((1/1000)*(Irr!BA27)),IF(AND(Irr!E27=".",Irr!AC27&lt;&gt;".",Irr!BA27="."),dir!F27/((1/1000)*(Irr!AC27)),IF(AND(Irr!E27&lt;&gt;".",Irr!AC27=".",Irr!BA27="."),dir!F27/((1/1000)*(Irr!E27)),IF(AND(Irr!E27=".",Irr!AC27=".",Irr!BA27="."),dir!F27*1000)))))))),".")</f>
        <v>.</v>
      </c>
      <c r="G27" s="48" t="str">
        <f>IFERROR(IF(AND(Irr!F27&lt;&gt;".",Irr!AD27&lt;&gt;".",Irr!BB27&lt;&gt;"."),dir!G27/((1/1000)*(Irr!F27+Irr!AD27+Irr!BB27)),IF(AND(Irr!F27&lt;&gt;".",Irr!AD27&lt;&gt;".",Irr!BB27="."),dir!G27/((1/1000)*(Irr!F27+Irr!AD27)),IF(AND(Irr!F27&lt;&gt;".",Irr!AD27=".",Irr!BB27&lt;&gt;"."),dir!G27/((1/1000)*(Irr!F27+Irr!BB27)),IF(AND(Irr!F27=".",Irr!AD27&lt;&gt;".",Irr!BB27&lt;&gt;"."),dir!G27/((1/1000)*(Irr!AD27+Irr!BB27)),IF(AND(Irr!F27=".",Irr!AD27=".",Irr!BB27&lt;&gt;"."),dir!G27/((1/1000)*(Irr!BB27)),IF(AND(Irr!F27=".",Irr!AD27&lt;&gt;".",Irr!BB27="."),dir!G27/((1/1000)*(Irr!AD27)),IF(AND(Irr!F27&lt;&gt;".",Irr!AD27=".",Irr!BB27="."),dir!G27/((1/1000)*(Irr!F27)),IF(AND(Irr!F27=".",Irr!AD27=".",Irr!BB27="."),dir!G27*1000)))))))),".")</f>
        <v>.</v>
      </c>
      <c r="H27" s="48" t="str">
        <f>IFERROR(IF(AND(Irr!G27&lt;&gt;".",Irr!AE27&lt;&gt;".",Irr!BC27&lt;&gt;"."),dir!H27/((1/1000)*(Irr!G27+Irr!AE27+Irr!BC27)),IF(AND(Irr!G27&lt;&gt;".",Irr!AE27&lt;&gt;".",Irr!BC27="."),dir!H27/((1/1000)*(Irr!G27+Irr!AE27)),IF(AND(Irr!G27&lt;&gt;".",Irr!AE27=".",Irr!BC27&lt;&gt;"."),dir!H27/((1/1000)*(Irr!G27+Irr!BC27)),IF(AND(Irr!G27=".",Irr!AE27&lt;&gt;".",Irr!BC27&lt;&gt;"."),dir!H27/((1/1000)*(Irr!AE27+Irr!BC27)),IF(AND(Irr!G27=".",Irr!AE27=".",Irr!BC27&lt;&gt;"."),dir!H27/((1/1000)*(Irr!BC27)),IF(AND(Irr!G27=".",Irr!AE27&lt;&gt;".",Irr!BC27="."),dir!H27/((1/1000)*(Irr!AE27)),IF(AND(Irr!G27&lt;&gt;".",Irr!AE27=".",Irr!BC27="."),dir!H27/((1/1000)*(Irr!G27)),IF(AND(Irr!G27=".",Irr!AE27=".",Irr!BC27="."),dir!H27*1000)))))))),".")</f>
        <v>.</v>
      </c>
      <c r="I27" s="48" t="str">
        <f>IFERROR(IF(AND(Irr!H27&lt;&gt;".",Irr!AF27&lt;&gt;".",Irr!BD27&lt;&gt;"."),dir!I27/((1/1000)*(Irr!H27+Irr!AF27+Irr!BD27)),IF(AND(Irr!H27&lt;&gt;".",Irr!AF27&lt;&gt;".",Irr!BD27="."),dir!I27/((1/1000)*(Irr!H27+Irr!AF27)),IF(AND(Irr!H27&lt;&gt;".",Irr!AF27=".",Irr!BD27&lt;&gt;"."),dir!I27/((1/1000)*(Irr!H27+Irr!BD27)),IF(AND(Irr!H27=".",Irr!AF27&lt;&gt;".",Irr!BD27&lt;&gt;"."),dir!I27/((1/1000)*(Irr!AF27+Irr!BD27)),IF(AND(Irr!H27=".",Irr!AF27=".",Irr!BD27&lt;&gt;"."),dir!I27/((1/1000)*(Irr!BD27)),IF(AND(Irr!H27=".",Irr!AF27&lt;&gt;".",Irr!BD27="."),dir!I27/((1/1000)*(Irr!AF27)),IF(AND(Irr!H27&lt;&gt;".",Irr!AF27=".",Irr!BD27="."),dir!I27/((1/1000)*(Irr!H27)),IF(AND(Irr!H27=".",Irr!AF27=".",Irr!BD27="."),dir!I27*1000)))))))),".")</f>
        <v>.</v>
      </c>
      <c r="J27" s="48" t="str">
        <f>IFERROR(IF(AND(Irr!I27&lt;&gt;".",Irr!AG27&lt;&gt;".",Irr!BE27&lt;&gt;"."),dir!J27/((1/1000)*(Irr!I27+Irr!AG27+Irr!BE27)),IF(AND(Irr!I27&lt;&gt;".",Irr!AG27&lt;&gt;".",Irr!BE27="."),dir!J27/((1/1000)*(Irr!I27+Irr!AG27)),IF(AND(Irr!I27&lt;&gt;".",Irr!AG27=".",Irr!BE27&lt;&gt;"."),dir!J27/((1/1000)*(Irr!I27+Irr!BE27)),IF(AND(Irr!I27=".",Irr!AG27&lt;&gt;".",Irr!BE27&lt;&gt;"."),dir!J27/((1/1000)*(Irr!AG27+Irr!BE27)),IF(AND(Irr!I27=".",Irr!AG27=".",Irr!BE27&lt;&gt;"."),dir!J27/((1/1000)*(Irr!BE27)),IF(AND(Irr!I27=".",Irr!AG27&lt;&gt;".",Irr!BE27="."),dir!J27/((1/1000)*(Irr!AG27)),IF(AND(Irr!I27&lt;&gt;".",Irr!AG27=".",Irr!BE27="."),dir!J27/((1/1000)*(Irr!I27)),IF(AND(Irr!I27=".",Irr!AG27=".",Irr!BE27="."),dir!J27*1000)))))))),".")</f>
        <v>.</v>
      </c>
      <c r="K27" s="48" t="str">
        <f>IFERROR(IF(AND(Irr!J27&lt;&gt;".",Irr!AH27&lt;&gt;".",Irr!BF27&lt;&gt;"."),dir!K27/((1/1000)*(Irr!J27+Irr!AH27+Irr!BF27)),IF(AND(Irr!J27&lt;&gt;".",Irr!AH27&lt;&gt;".",Irr!BF27="."),dir!K27/((1/1000)*(Irr!J27+Irr!AH27)),IF(AND(Irr!J27&lt;&gt;".",Irr!AH27=".",Irr!BF27&lt;&gt;"."),dir!K27/((1/1000)*(Irr!J27+Irr!BF27)),IF(AND(Irr!J27=".",Irr!AH27&lt;&gt;".",Irr!BF27&lt;&gt;"."),dir!K27/((1/1000)*(Irr!AH27+Irr!BF27)),IF(AND(Irr!J27=".",Irr!AH27=".",Irr!BF27&lt;&gt;"."),dir!K27/((1/1000)*(Irr!BF27)),IF(AND(Irr!J27=".",Irr!AH27&lt;&gt;".",Irr!BF27="."),dir!K27/((1/1000)*(Irr!AH27)),IF(AND(Irr!J27&lt;&gt;".",Irr!AH27=".",Irr!BF27="."),dir!K27/((1/1000)*(Irr!J27)),IF(AND(Irr!J27=".",Irr!AH27=".",Irr!BF27="."),dir!K27*1000)))))))),".")</f>
        <v>.</v>
      </c>
      <c r="L27" s="48" t="str">
        <f>IFERROR(IF(AND(Irr!K27&lt;&gt;".",Irr!AI27&lt;&gt;".",Irr!BG27&lt;&gt;"."),dir!L27/((1/1000)*(Irr!K27+Irr!AI27+Irr!BG27)),IF(AND(Irr!K27&lt;&gt;".",Irr!AI27&lt;&gt;".",Irr!BG27="."),dir!L27/((1/1000)*(Irr!K27+Irr!AI27)),IF(AND(Irr!K27&lt;&gt;".",Irr!AI27=".",Irr!BG27&lt;&gt;"."),dir!L27/((1/1000)*(Irr!K27+Irr!BG27)),IF(AND(Irr!K27=".",Irr!AI27&lt;&gt;".",Irr!BG27&lt;&gt;"."),dir!L27/((1/1000)*(Irr!AI27+Irr!BG27)),IF(AND(Irr!K27=".",Irr!AI27=".",Irr!BG27&lt;&gt;"."),dir!L27/((1/1000)*(Irr!BG27)),IF(AND(Irr!K27=".",Irr!AI27&lt;&gt;".",Irr!BG27="."),dir!L27/((1/1000)*(Irr!AI27)),IF(AND(Irr!K27&lt;&gt;".",Irr!AI27=".",Irr!BG27="."),dir!L27/((1/1000)*(Irr!K27)),IF(AND(Irr!K27=".",Irr!AI27=".",Irr!BG27="."),dir!L27*1000)))))))),".")</f>
        <v>.</v>
      </c>
      <c r="M27" s="48" t="str">
        <f>IFERROR(IF(AND(Irr!L27&lt;&gt;".",Irr!AJ27&lt;&gt;".",Irr!BH27&lt;&gt;"."),dir!M27/((1/1000)*(Irr!L27+Irr!AJ27+Irr!BH27)),IF(AND(Irr!L27&lt;&gt;".",Irr!AJ27&lt;&gt;".",Irr!BH27="."),dir!M27/((1/1000)*(Irr!L27+Irr!AJ27)),IF(AND(Irr!L27&lt;&gt;".",Irr!AJ27=".",Irr!BH27&lt;&gt;"."),dir!M27/((1/1000)*(Irr!L27+Irr!BH27)),IF(AND(Irr!L27=".",Irr!AJ27&lt;&gt;".",Irr!BH27&lt;&gt;"."),dir!M27/((1/1000)*(Irr!AJ27+Irr!BH27)),IF(AND(Irr!L27=".",Irr!AJ27=".",Irr!BH27&lt;&gt;"."),dir!M27/((1/1000)*(Irr!BH27)),IF(AND(Irr!L27=".",Irr!AJ27&lt;&gt;".",Irr!BH27="."),dir!M27/((1/1000)*(Irr!AJ27)),IF(AND(Irr!L27&lt;&gt;".",Irr!AJ27=".",Irr!BH27="."),dir!M27/((1/1000)*(Irr!L27)),IF(AND(Irr!L27=".",Irr!AJ27=".",Irr!BH27="."),dir!M27*1000)))))))),".")</f>
        <v>.</v>
      </c>
      <c r="N27" s="48" t="str">
        <f>IFERROR(IF(AND(Irr!M27&lt;&gt;".",Irr!AK27&lt;&gt;".",Irr!BI27&lt;&gt;"."),dir!N27/((1/1000)*(Irr!M27+Irr!AK27+Irr!BI27)),IF(AND(Irr!M27&lt;&gt;".",Irr!AK27&lt;&gt;".",Irr!BI27="."),dir!N27/((1/1000)*(Irr!M27+Irr!AK27)),IF(AND(Irr!M27&lt;&gt;".",Irr!AK27=".",Irr!BI27&lt;&gt;"."),dir!N27/((1/1000)*(Irr!M27+Irr!BI27)),IF(AND(Irr!M27=".",Irr!AK27&lt;&gt;".",Irr!BI27&lt;&gt;"."),dir!N27/((1/1000)*(Irr!AK27+Irr!BI27)),IF(AND(Irr!M27=".",Irr!AK27=".",Irr!BI27&lt;&gt;"."),dir!N27/((1/1000)*(Irr!BI27)),IF(AND(Irr!M27=".",Irr!AK27&lt;&gt;".",Irr!BI27="."),dir!N27/((1/1000)*(Irr!AK27)),IF(AND(Irr!M27&lt;&gt;".",Irr!AK27=".",Irr!BI27="."),dir!N27/((1/1000)*(Irr!M27)),IF(AND(Irr!M27=".",Irr!AK27=".",Irr!BI27="."),dir!N27*1000)))))))),".")</f>
        <v>.</v>
      </c>
      <c r="O27" s="48" t="str">
        <f>IFERROR(IF(AND(Irr!N27&lt;&gt;".",Irr!AL27&lt;&gt;".",Irr!BJ27&lt;&gt;"."),dir!O27/((1/1000)*(Irr!N27+Irr!AL27+Irr!BJ27)),IF(AND(Irr!N27&lt;&gt;".",Irr!AL27&lt;&gt;".",Irr!BJ27="."),dir!O27/((1/1000)*(Irr!N27+Irr!AL27)),IF(AND(Irr!N27&lt;&gt;".",Irr!AL27=".",Irr!BJ27&lt;&gt;"."),dir!O27/((1/1000)*(Irr!N27+Irr!BJ27)),IF(AND(Irr!N27=".",Irr!AL27&lt;&gt;".",Irr!BJ27&lt;&gt;"."),dir!O27/((1/1000)*(Irr!AL27+Irr!BJ27)),IF(AND(Irr!N27=".",Irr!AL27=".",Irr!BJ27&lt;&gt;"."),dir!O27/((1/1000)*(Irr!BJ27)),IF(AND(Irr!N27=".",Irr!AL27&lt;&gt;".",Irr!BJ27="."),dir!O27/((1/1000)*(Irr!AL27)),IF(AND(Irr!N27&lt;&gt;".",Irr!AL27=".",Irr!BJ27="."),dir!O27/((1/1000)*(Irr!N27)),IF(AND(Irr!N27=".",Irr!AL27=".",Irr!BJ27="."),dir!O27*1000)))))))),".")</f>
        <v>.</v>
      </c>
      <c r="P27" s="48" t="str">
        <f>IFERROR(IF(AND(Irr!O27&lt;&gt;".",Irr!AM27&lt;&gt;".",Irr!BK27&lt;&gt;"."),dir!P27/((1/1000)*(Irr!O27+Irr!AM27+Irr!BK27)),IF(AND(Irr!O27&lt;&gt;".",Irr!AM27&lt;&gt;".",Irr!BK27="."),dir!P27/((1/1000)*(Irr!O27+Irr!AM27)),IF(AND(Irr!O27&lt;&gt;".",Irr!AM27=".",Irr!BK27&lt;&gt;"."),dir!P27/((1/1000)*(Irr!O27+Irr!BK27)),IF(AND(Irr!O27=".",Irr!AM27&lt;&gt;".",Irr!BK27&lt;&gt;"."),dir!P27/((1/1000)*(Irr!AM27+Irr!BK27)),IF(AND(Irr!O27=".",Irr!AM27=".",Irr!BK27&lt;&gt;"."),dir!P27/((1/1000)*(Irr!BK27)),IF(AND(Irr!O27=".",Irr!AM27&lt;&gt;".",Irr!BK27="."),dir!P27/((1/1000)*(Irr!AM27)),IF(AND(Irr!O27&lt;&gt;".",Irr!AM27=".",Irr!BK27="."),dir!P27/((1/1000)*(Irr!O27)),IF(AND(Irr!O27=".",Irr!AM27=".",Irr!BK27="."),dir!P27*1000)))))))),".")</f>
        <v>.</v>
      </c>
      <c r="Q27" s="48" t="str">
        <f>IFERROR(IF(AND(Irr!P27&lt;&gt;".",Irr!AN27&lt;&gt;".",Irr!BL27&lt;&gt;"."),dir!Q27/((1/1000)*(Irr!P27+Irr!AN27+Irr!BL27)),IF(AND(Irr!P27&lt;&gt;".",Irr!AN27&lt;&gt;".",Irr!BL27="."),dir!Q27/((1/1000)*(Irr!P27+Irr!AN27)),IF(AND(Irr!P27&lt;&gt;".",Irr!AN27=".",Irr!BL27&lt;&gt;"."),dir!Q27/((1/1000)*(Irr!P27+Irr!BL27)),IF(AND(Irr!P27=".",Irr!AN27&lt;&gt;".",Irr!BL27&lt;&gt;"."),dir!Q27/((1/1000)*(Irr!AN27+Irr!BL27)),IF(AND(Irr!P27=".",Irr!AN27=".",Irr!BL27&lt;&gt;"."),dir!Q27/((1/1000)*(Irr!BL27)),IF(AND(Irr!P27=".",Irr!AN27&lt;&gt;".",Irr!BL27="."),dir!Q27/((1/1000)*(Irr!AN27)),IF(AND(Irr!P27&lt;&gt;".",Irr!AN27=".",Irr!BL27="."),dir!Q27/((1/1000)*(Irr!P27)),IF(AND(Irr!P27=".",Irr!AN27=".",Irr!BL27="."),dir!Q27*1000)))))))),".")</f>
        <v>.</v>
      </c>
      <c r="R27" s="48" t="str">
        <f>IFERROR(IF(AND(Irr!Q27&lt;&gt;".",Irr!AO27&lt;&gt;".",Irr!BM27&lt;&gt;"."),dir!R27/((1/1000)*(Irr!Q27+Irr!AO27+Irr!BM27)),IF(AND(Irr!Q27&lt;&gt;".",Irr!AO27&lt;&gt;".",Irr!BM27="."),dir!R27/((1/1000)*(Irr!Q27+Irr!AO27)),IF(AND(Irr!Q27&lt;&gt;".",Irr!AO27=".",Irr!BM27&lt;&gt;"."),dir!R27/((1/1000)*(Irr!Q27+Irr!BM27)),IF(AND(Irr!Q27=".",Irr!AO27&lt;&gt;".",Irr!BM27&lt;&gt;"."),dir!R27/((1/1000)*(Irr!AO27+Irr!BM27)),IF(AND(Irr!Q27=".",Irr!AO27=".",Irr!BM27&lt;&gt;"."),dir!R27/((1/1000)*(Irr!BM27)),IF(AND(Irr!Q27=".",Irr!AO27&lt;&gt;".",Irr!BM27="."),dir!R27/((1/1000)*(Irr!AO27)),IF(AND(Irr!Q27&lt;&gt;".",Irr!AO27=".",Irr!BM27="."),dir!R27/((1/1000)*(Irr!Q27)),IF(AND(Irr!Q27=".",Irr!AO27=".",Irr!BM27="."),dir!R27*1000)))))))),".")</f>
        <v>.</v>
      </c>
      <c r="S27" s="48" t="str">
        <f>IFERROR(IF(AND(Irr!R27&lt;&gt;".",Irr!AP27&lt;&gt;".",Irr!BN27&lt;&gt;"."),dir!S27/((1/1000)*(Irr!R27+Irr!AP27+Irr!BN27)),IF(AND(Irr!R27&lt;&gt;".",Irr!AP27&lt;&gt;".",Irr!BN27="."),dir!S27/((1/1000)*(Irr!R27+Irr!AP27)),IF(AND(Irr!R27&lt;&gt;".",Irr!AP27=".",Irr!BN27&lt;&gt;"."),dir!S27/((1/1000)*(Irr!R27+Irr!BN27)),IF(AND(Irr!R27=".",Irr!AP27&lt;&gt;".",Irr!BN27&lt;&gt;"."),dir!S27/((1/1000)*(Irr!AP27+Irr!BN27)),IF(AND(Irr!R27=".",Irr!AP27=".",Irr!BN27&lt;&gt;"."),dir!S27/((1/1000)*(Irr!BN27)),IF(AND(Irr!R27=".",Irr!AP27&lt;&gt;".",Irr!BN27="."),dir!S27/((1/1000)*(Irr!AP27)),IF(AND(Irr!R27&lt;&gt;".",Irr!AP27=".",Irr!BN27="."),dir!S27/((1/1000)*(Irr!R27)),IF(AND(Irr!R27=".",Irr!AP27=".",Irr!BN27="."),dir!S27*1000)))))))),".")</f>
        <v>.</v>
      </c>
      <c r="T27" s="48" t="str">
        <f>IFERROR(IF(AND(Irr!S27&lt;&gt;".",Irr!AQ27&lt;&gt;".",Irr!BO27&lt;&gt;"."),dir!T27/((1/1000)*(Irr!S27+Irr!AQ27+Irr!BO27)),IF(AND(Irr!S27&lt;&gt;".",Irr!AQ27&lt;&gt;".",Irr!BO27="."),dir!T27/((1/1000)*(Irr!S27+Irr!AQ27)),IF(AND(Irr!S27&lt;&gt;".",Irr!AQ27=".",Irr!BO27&lt;&gt;"."),dir!T27/((1/1000)*(Irr!S27+Irr!BO27)),IF(AND(Irr!S27=".",Irr!AQ27&lt;&gt;".",Irr!BO27&lt;&gt;"."),dir!T27/((1/1000)*(Irr!AQ27+Irr!BO27)),IF(AND(Irr!S27=".",Irr!AQ27=".",Irr!BO27&lt;&gt;"."),dir!T27/((1/1000)*(Irr!BO27)),IF(AND(Irr!S27=".",Irr!AQ27&lt;&gt;".",Irr!BO27="."),dir!T27/((1/1000)*(Irr!AQ27)),IF(AND(Irr!S27&lt;&gt;".",Irr!AQ27=".",Irr!BO27="."),dir!T27/((1/1000)*(Irr!S27)),IF(AND(Irr!S27=".",Irr!AQ27=".",Irr!BO27="."),dir!T27*1000)))))))),".")</f>
        <v>.</v>
      </c>
      <c r="U27" s="48" t="str">
        <f>IFERROR(IF(AND(Irr!T27&lt;&gt;".",Irr!AR27&lt;&gt;".",Irr!BP27&lt;&gt;"."),dir!U27/((1/1000)*(Irr!T27+Irr!AR27+Irr!BP27)),IF(AND(Irr!T27&lt;&gt;".",Irr!AR27&lt;&gt;".",Irr!BP27="."),dir!U27/((1/1000)*(Irr!T27+Irr!AR27)),IF(AND(Irr!T27&lt;&gt;".",Irr!AR27=".",Irr!BP27&lt;&gt;"."),dir!U27/((1/1000)*(Irr!T27+Irr!BP27)),IF(AND(Irr!T27=".",Irr!AR27&lt;&gt;".",Irr!BP27&lt;&gt;"."),dir!U27/((1/1000)*(Irr!AR27+Irr!BP27)),IF(AND(Irr!T27=".",Irr!AR27=".",Irr!BP27&lt;&gt;"."),dir!U27/((1/1000)*(Irr!BP27)),IF(AND(Irr!T27=".",Irr!AR27&lt;&gt;".",Irr!BP27="."),dir!U27/((1/1000)*(Irr!AR27)),IF(AND(Irr!T27&lt;&gt;".",Irr!AR27=".",Irr!BP27="."),dir!U27/((1/1000)*(Irr!T27)),IF(AND(Irr!T27=".",Irr!AR27=".",Irr!BP27="."),dir!U27*1000)))))))),".")</f>
        <v>.</v>
      </c>
      <c r="V27" s="48" t="str">
        <f>IFERROR(IF(AND(Irr!U27&lt;&gt;".",Irr!AS27&lt;&gt;".",Irr!BQ27&lt;&gt;"."),dir!V27/((1/1000)*(Irr!U27+Irr!AS27+Irr!BQ27)),IF(AND(Irr!U27&lt;&gt;".",Irr!AS27&lt;&gt;".",Irr!BQ27="."),dir!V27/((1/1000)*(Irr!U27+Irr!AS27)),IF(AND(Irr!U27&lt;&gt;".",Irr!AS27=".",Irr!BQ27&lt;&gt;"."),dir!V27/((1/1000)*(Irr!U27+Irr!BQ27)),IF(AND(Irr!U27=".",Irr!AS27&lt;&gt;".",Irr!BQ27&lt;&gt;"."),dir!V27/((1/1000)*(Irr!AS27+Irr!BQ27)),IF(AND(Irr!U27=".",Irr!AS27=".",Irr!BQ27&lt;&gt;"."),dir!V27/((1/1000)*(Irr!BQ27)),IF(AND(Irr!U27=".",Irr!AS27&lt;&gt;".",Irr!BQ27="."),dir!V27/((1/1000)*(Irr!AS27)),IF(AND(Irr!U27&lt;&gt;".",Irr!AS27=".",Irr!BQ27="."),dir!V27/((1/1000)*(Irr!U27)),IF(AND(Irr!U27=".",Irr!AS27=".",Irr!BQ27="."),dir!V27*1000)))))))),".")</f>
        <v>.</v>
      </c>
      <c r="W27" s="48" t="str">
        <f>IFERROR(IF(AND(Irr!V27&lt;&gt;".",Irr!AT27&lt;&gt;".",Irr!BR27&lt;&gt;"."),dir!W27/((1/1000)*(Irr!V27+Irr!AT27+Irr!BR27)),IF(AND(Irr!V27&lt;&gt;".",Irr!AT27&lt;&gt;".",Irr!BR27="."),dir!W27/((1/1000)*(Irr!V27+Irr!AT27)),IF(AND(Irr!V27&lt;&gt;".",Irr!AT27=".",Irr!BR27&lt;&gt;"."),dir!W27/((1/1000)*(Irr!V27+Irr!BR27)),IF(AND(Irr!V27=".",Irr!AT27&lt;&gt;".",Irr!BR27&lt;&gt;"."),dir!W27/((1/1000)*(Irr!AT27+Irr!BR27)),IF(AND(Irr!V27=".",Irr!AT27=".",Irr!BR27&lt;&gt;"."),dir!W27/((1/1000)*(Irr!BR27)),IF(AND(Irr!V27=".",Irr!AT27&lt;&gt;".",Irr!BR27="."),dir!W27/((1/1000)*(Irr!AT27)),IF(AND(Irr!V27&lt;&gt;".",Irr!AT27=".",Irr!BR27="."),dir!W27/((1/1000)*(Irr!V27)),IF(AND(Irr!V27=".",Irr!AT27=".",Irr!BR27="."),dir!W27*1000)))))))),".")</f>
        <v>.</v>
      </c>
      <c r="X27" s="48" t="str">
        <f>IFERROR(IF(AND(Irr!W27&lt;&gt;".",Irr!AU27&lt;&gt;".",Irr!BS27&lt;&gt;"."),dir!X27/((1/1000)*(Irr!W27+Irr!AU27+Irr!BS27)),IF(AND(Irr!W27&lt;&gt;".",Irr!AU27&lt;&gt;".",Irr!BS27="."),dir!X27/((1/1000)*(Irr!W27+Irr!AU27)),IF(AND(Irr!W27&lt;&gt;".",Irr!AU27=".",Irr!BS27&lt;&gt;"."),dir!X27/((1/1000)*(Irr!W27+Irr!BS27)),IF(AND(Irr!W27=".",Irr!AU27&lt;&gt;".",Irr!BS27&lt;&gt;"."),dir!X27/((1/1000)*(Irr!AU27+Irr!BS27)),IF(AND(Irr!W27=".",Irr!AU27=".",Irr!BS27&lt;&gt;"."),dir!X27/((1/1000)*(Irr!BS27)),IF(AND(Irr!W27=".",Irr!AU27&lt;&gt;".",Irr!BS27="."),dir!X27/((1/1000)*(Irr!AU27)),IF(AND(Irr!W27&lt;&gt;".",Irr!AU27=".",Irr!BS27="."),dir!X27/((1/1000)*(Irr!W27)),IF(AND(Irr!W27=".",Irr!AU27=".",Irr!BS27="."),dir!X27*1000)))))))),".")</f>
        <v>.</v>
      </c>
      <c r="Y27" s="48" t="str">
        <f>IFERROR(IF(AND(Irr!X27&lt;&gt;".",Irr!AV27&lt;&gt;".",Irr!BT27&lt;&gt;"."),dir!Y27/((1/1000)*(Irr!X27+Irr!AV27+Irr!BT27)),IF(AND(Irr!X27&lt;&gt;".",Irr!AV27&lt;&gt;".",Irr!BT27="."),dir!Y27/((1/1000)*(Irr!X27+Irr!AV27)),IF(AND(Irr!X27&lt;&gt;".",Irr!AV27=".",Irr!BT27&lt;&gt;"."),dir!Y27/((1/1000)*(Irr!X27+Irr!BT27)),IF(AND(Irr!X27=".",Irr!AV27&lt;&gt;".",Irr!BT27&lt;&gt;"."),dir!Y27/((1/1000)*(Irr!AV27+Irr!BT27)),IF(AND(Irr!X27=".",Irr!AV27=".",Irr!BT27&lt;&gt;"."),dir!Y27/((1/1000)*(Irr!BT27)),IF(AND(Irr!X27=".",Irr!AV27&lt;&gt;".",Irr!BT27="."),dir!Y27/((1/1000)*(Irr!AV27)),IF(AND(Irr!X27&lt;&gt;".",Irr!AV27=".",Irr!BT27="."),dir!Y27/((1/1000)*(Irr!X27)),IF(AND(Irr!X27=".",Irr!AV27=".",Irr!BT27="."),dir!Y27*1000)))))))),".")</f>
        <v>.</v>
      </c>
      <c r="Z27" s="48" t="str">
        <f>IFERROR(IF(AND(Irr!Y27&lt;&gt;".",Irr!AW27&lt;&gt;".",Irr!BU27&lt;&gt;"."),dir!Z27/((1/1000)*(Irr!Y27+Irr!AW27+Irr!BU27)),IF(AND(Irr!Y27&lt;&gt;".",Irr!AW27&lt;&gt;".",Irr!BU27="."),dir!Z27/((1/1000)*(Irr!Y27+Irr!AW27)),IF(AND(Irr!Y27&lt;&gt;".",Irr!AW27=".",Irr!BU27&lt;&gt;"."),dir!Z27/((1/1000)*(Irr!Y27+Irr!BU27)),IF(AND(Irr!Y27=".",Irr!AW27&lt;&gt;".",Irr!BU27&lt;&gt;"."),dir!Z27/((1/1000)*(Irr!AW27+Irr!BU27)),IF(AND(Irr!Y27=".",Irr!AW27=".",Irr!BU27&lt;&gt;"."),dir!Z27/((1/1000)*(Irr!BU27)),IF(AND(Irr!Y27=".",Irr!AW27&lt;&gt;".",Irr!BU27="."),dir!Z27/((1/1000)*(Irr!AW27)),IF(AND(Irr!Y27&lt;&gt;".",Irr!AW27=".",Irr!BU27="."),dir!Z27/((1/1000)*(Irr!Y27)),IF(AND(Irr!Y27=".",Irr!AW27=".",Irr!BU27="."),dir!Z27*1000)))))))),".")</f>
        <v>.</v>
      </c>
      <c r="AA27" s="48" t="str">
        <f>IFERROR(IF(AND(Irr!Z27&lt;&gt;".",Irr!AX27&lt;&gt;".",Irr!BV27&lt;&gt;"."),dir!AA27/((1/1000)*(Irr!Z27+Irr!AX27+Irr!BV27)),IF(AND(Irr!Z27&lt;&gt;".",Irr!AX27&lt;&gt;".",Irr!BV27="."),dir!AA27/((1/1000)*(Irr!Z27+Irr!AX27)),IF(AND(Irr!Z27&lt;&gt;".",Irr!AX27=".",Irr!BV27&lt;&gt;"."),dir!AA27/((1/1000)*(Irr!Z27+Irr!BV27)),IF(AND(Irr!Z27=".",Irr!AX27&lt;&gt;".",Irr!BV27&lt;&gt;"."),dir!AA27/((1/1000)*(Irr!AX27+Irr!BV27)),IF(AND(Irr!Z27=".",Irr!AX27=".",Irr!BV27&lt;&gt;"."),dir!AA27/((1/1000)*(Irr!BV27)),IF(AND(Irr!Z27=".",Irr!AX27&lt;&gt;".",Irr!BV27="."),dir!AA27/((1/1000)*(Irr!AX27)),IF(AND(Irr!Z27&lt;&gt;".",Irr!AX27=".",Irr!BV27="."),dir!AA27/((1/1000)*(Irr!Z27)),IF(AND(Irr!Z27=".",Irr!AX27=".",Irr!BV27="."),dir!AA27*1000)))))))),".")</f>
        <v>.</v>
      </c>
      <c r="AB27" s="48" t="str">
        <f t="shared" si="23"/>
        <v>.</v>
      </c>
      <c r="AC27" s="48" t="str">
        <f>IFERROR(IF(AND(Irr!C27&lt;&gt;".",Irr!AA27&lt;&gt;".",Irr!AY27&lt;&gt;"."),dir!AC27/((1/1000)*(Irr!C27+Irr!AA27+Irr!AY27)),IF(AND(Irr!C27&lt;&gt;".",Irr!AA27&lt;&gt;".",Irr!AY27="."),dir!AC27/((1/1000)*(Irr!C27+Irr!AA27)),IF(AND(Irr!C27&lt;&gt;".",Irr!AA27=".",Irr!AY27&lt;&gt;"."),dir!AC27/((1/1000)*(Irr!C27+Irr!AY27)),IF(AND(Irr!C27=".",Irr!AA27&lt;&gt;".",Irr!AY27&lt;&gt;"."),dir!AC27/((1/1000)*(Irr!AA27+Irr!AY27)),IF(AND(Irr!C27=".",Irr!AA27=".",Irr!AY27&lt;&gt;"."),dir!AC27/((1/1000)*(Irr!AY27)),IF(AND(Irr!C27=".",Irr!AA27&lt;&gt;".",Irr!AY27="."),dir!AC27/((1/1000)*(Irr!AA27)),IF(AND(Irr!C27&lt;&gt;".",Irr!AA27=".",Irr!AY27="."),dir!AC27/((1/1000)*(Irr!C27)),IF(AND(Irr!C27=".",Irr!AA27=".",Irr!AY27="."),dir!AC27*1000)))))))),".")</f>
        <v>.</v>
      </c>
      <c r="AD27" s="48" t="str">
        <f>IFERROR(IF(AND(Irr!D27&lt;&gt;".",Irr!AB27&lt;&gt;".",Irr!AZ27&lt;&gt;"."),dir!AD27/((1/1000)*(Irr!D27+Irr!AB27+Irr!AZ27)),IF(AND(Irr!D27&lt;&gt;".",Irr!AB27&lt;&gt;".",Irr!AZ27="."),dir!AD27/((1/1000)*(Irr!D27+Irr!AB27)),IF(AND(Irr!D27&lt;&gt;".",Irr!AB27=".",Irr!AZ27&lt;&gt;"."),dir!AD27/((1/1000)*(Irr!D27+Irr!AZ27)),IF(AND(Irr!D27=".",Irr!AB27&lt;&gt;".",Irr!AZ27&lt;&gt;"."),dir!AD27/((1/1000)*(Irr!AB27+Irr!AZ27)),IF(AND(Irr!D27=".",Irr!AB27=".",Irr!AZ27&lt;&gt;"."),dir!AD27/((1/1000)*(Irr!AZ27)),IF(AND(Irr!D27=".",Irr!AB27&lt;&gt;".",Irr!AZ27="."),dir!AD27/((1/1000)*(Irr!AB27)),IF(AND(Irr!D27&lt;&gt;".",Irr!AB27=".",Irr!AZ27="."),dir!AD27/((1/1000)*(Irr!D27)),IF(AND(Irr!D27=".",Irr!AB27=".",Irr!AZ27="."),dir!AD27*1000)))))))),".")</f>
        <v>.</v>
      </c>
      <c r="AE27" s="48" t="str">
        <f>IFERROR(IF(AND(Irr!E27&lt;&gt;".",Irr!AC27&lt;&gt;".",Irr!BA27&lt;&gt;"."),dir!AE27/((1/1000)*(Irr!E27+Irr!AC27+Irr!BA27)),IF(AND(Irr!E27&lt;&gt;".",Irr!AC27&lt;&gt;".",Irr!BA27="."),dir!AE27/((1/1000)*(Irr!E27+Irr!AC27)),IF(AND(Irr!E27&lt;&gt;".",Irr!AC27=".",Irr!BA27&lt;&gt;"."),dir!AE27/((1/1000)*(Irr!E27+Irr!BA27)),IF(AND(Irr!E27=".",Irr!AC27&lt;&gt;".",Irr!BA27&lt;&gt;"."),dir!AE27/((1/1000)*(Irr!AC27+Irr!BA27)),IF(AND(Irr!E27=".",Irr!AC27=".",Irr!BA27&lt;&gt;"."),dir!AE27/((1/1000)*(Irr!BA27)),IF(AND(Irr!E27=".",Irr!AC27&lt;&gt;".",Irr!BA27="."),dir!AE27/((1/1000)*(Irr!AC27)),IF(AND(Irr!E27&lt;&gt;".",Irr!AC27=".",Irr!BA27="."),dir!AE27/((1/1000)*(Irr!E27)),IF(AND(Irr!E27=".",Irr!AC27=".",Irr!BA27="."),dir!AE27*1000)))))))),".")</f>
        <v>.</v>
      </c>
      <c r="AF27" s="48" t="str">
        <f>IFERROR(IF(AND(Irr!F27&lt;&gt;".",Irr!AD27&lt;&gt;".",Irr!BB27&lt;&gt;"."),dir!AF27/((1/1000)*(Irr!F27+Irr!AD27+Irr!BB27)),IF(AND(Irr!F27&lt;&gt;".",Irr!AD27&lt;&gt;".",Irr!BB27="."),dir!AF27/((1/1000)*(Irr!F27+Irr!AD27)),IF(AND(Irr!F27&lt;&gt;".",Irr!AD27=".",Irr!BB27&lt;&gt;"."),dir!AF27/((1/1000)*(Irr!F27+Irr!BB27)),IF(AND(Irr!F27=".",Irr!AD27&lt;&gt;".",Irr!BB27&lt;&gt;"."),dir!AF27/((1/1000)*(Irr!AD27+Irr!BB27)),IF(AND(Irr!F27=".",Irr!AD27=".",Irr!BB27&lt;&gt;"."),dir!AF27/((1/1000)*(Irr!BB27)),IF(AND(Irr!F27=".",Irr!AD27&lt;&gt;".",Irr!BB27="."),dir!AF27/((1/1000)*(Irr!AD27)),IF(AND(Irr!F27&lt;&gt;".",Irr!AD27=".",Irr!BB27="."),dir!AF27/((1/1000)*(Irr!F27)),IF(AND(Irr!F27=".",Irr!AD27=".",Irr!BB27="."),dir!AF27*1000)))))))),".")</f>
        <v>.</v>
      </c>
      <c r="AG27" s="48" t="str">
        <f>IFERROR(IF(AND(Irr!G27&lt;&gt;".",Irr!AE27&lt;&gt;".",Irr!BC27&lt;&gt;"."),dir!AG27/((1/1000)*(Irr!G27+Irr!AE27+Irr!BC27)),IF(AND(Irr!G27&lt;&gt;".",Irr!AE27&lt;&gt;".",Irr!BC27="."),dir!AG27/((1/1000)*(Irr!G27+Irr!AE27)),IF(AND(Irr!G27&lt;&gt;".",Irr!AE27=".",Irr!BC27&lt;&gt;"."),dir!AG27/((1/1000)*(Irr!G27+Irr!BC27)),IF(AND(Irr!G27=".",Irr!AE27&lt;&gt;".",Irr!BC27&lt;&gt;"."),dir!AG27/((1/1000)*(Irr!AE27+Irr!BC27)),IF(AND(Irr!G27=".",Irr!AE27=".",Irr!BC27&lt;&gt;"."),dir!AG27/((1/1000)*(Irr!BC27)),IF(AND(Irr!G27=".",Irr!AE27&lt;&gt;".",Irr!BC27="."),dir!AG27/((1/1000)*(Irr!AE27)),IF(AND(Irr!G27&lt;&gt;".",Irr!AE27=".",Irr!BC27="."),dir!AG27/((1/1000)*(Irr!G27)),IF(AND(Irr!G27=".",Irr!AE27=".",Irr!BC27="."),dir!AG27*1000)))))))),".")</f>
        <v>.</v>
      </c>
      <c r="AH27" s="48" t="str">
        <f>IFERROR(IF(AND(Irr!H27&lt;&gt;".",Irr!AF27&lt;&gt;".",Irr!BD27&lt;&gt;"."),dir!AH27/((1/1000)*(Irr!H27+Irr!AF27+Irr!BD27)),IF(AND(Irr!H27&lt;&gt;".",Irr!AF27&lt;&gt;".",Irr!BD27="."),dir!AH27/((1/1000)*(Irr!H27+Irr!AF27)),IF(AND(Irr!H27&lt;&gt;".",Irr!AF27=".",Irr!BD27&lt;&gt;"."),dir!AH27/((1/1000)*(Irr!H27+Irr!BD27)),IF(AND(Irr!H27=".",Irr!AF27&lt;&gt;".",Irr!BD27&lt;&gt;"."),dir!AH27/((1/1000)*(Irr!AF27+Irr!BD27)),IF(AND(Irr!H27=".",Irr!AF27=".",Irr!BD27&lt;&gt;"."),dir!AH27/((1/1000)*(Irr!BD27)),IF(AND(Irr!H27=".",Irr!AF27&lt;&gt;".",Irr!BD27="."),dir!AH27/((1/1000)*(Irr!AF27)),IF(AND(Irr!H27&lt;&gt;".",Irr!AF27=".",Irr!BD27="."),dir!AH27/((1/1000)*(Irr!H27)),IF(AND(Irr!H27=".",Irr!AF27=".",Irr!BD27="."),dir!AH27*1000)))))))),".")</f>
        <v>.</v>
      </c>
      <c r="AI27" s="48" t="str">
        <f>IFERROR(IF(AND(Irr!I27&lt;&gt;".",Irr!AG27&lt;&gt;".",Irr!BE27&lt;&gt;"."),dir!AI27/((1/1000)*(Irr!I27+Irr!AG27+Irr!BE27)),IF(AND(Irr!I27&lt;&gt;".",Irr!AG27&lt;&gt;".",Irr!BE27="."),dir!AI27/((1/1000)*(Irr!I27+Irr!AG27)),IF(AND(Irr!I27&lt;&gt;".",Irr!AG27=".",Irr!BE27&lt;&gt;"."),dir!AI27/((1/1000)*(Irr!I27+Irr!BE27)),IF(AND(Irr!I27=".",Irr!AG27&lt;&gt;".",Irr!BE27&lt;&gt;"."),dir!AI27/((1/1000)*(Irr!AG27+Irr!BE27)),IF(AND(Irr!I27=".",Irr!AG27=".",Irr!BE27&lt;&gt;"."),dir!AI27/((1/1000)*(Irr!BE27)),IF(AND(Irr!I27=".",Irr!AG27&lt;&gt;".",Irr!BE27="."),dir!AI27/((1/1000)*(Irr!AG27)),IF(AND(Irr!I27&lt;&gt;".",Irr!AG27=".",Irr!BE27="."),dir!AI27/((1/1000)*(Irr!I27)),IF(AND(Irr!I27=".",Irr!AG27=".",Irr!BE27="."),dir!AI27*1000)))))))),".")</f>
        <v>.</v>
      </c>
      <c r="AJ27" s="48" t="str">
        <f>IFERROR(IF(AND(Irr!J27&lt;&gt;".",Irr!AH27&lt;&gt;".",Irr!BF27&lt;&gt;"."),dir!AJ27/((1/1000)*(Irr!J27+Irr!AH27+Irr!BF27)),IF(AND(Irr!J27&lt;&gt;".",Irr!AH27&lt;&gt;".",Irr!BF27="."),dir!AJ27/((1/1000)*(Irr!J27+Irr!AH27)),IF(AND(Irr!J27&lt;&gt;".",Irr!AH27=".",Irr!BF27&lt;&gt;"."),dir!AJ27/((1/1000)*(Irr!J27+Irr!BF27)),IF(AND(Irr!J27=".",Irr!AH27&lt;&gt;".",Irr!BF27&lt;&gt;"."),dir!AJ27/((1/1000)*(Irr!AH27+Irr!BF27)),IF(AND(Irr!J27=".",Irr!AH27=".",Irr!BF27&lt;&gt;"."),dir!AJ27/((1/1000)*(Irr!BF27)),IF(AND(Irr!J27=".",Irr!AH27&lt;&gt;".",Irr!BF27="."),dir!AJ27/((1/1000)*(Irr!AH27)),IF(AND(Irr!J27&lt;&gt;".",Irr!AH27=".",Irr!BF27="."),dir!AJ27/((1/1000)*(Irr!J27)),IF(AND(Irr!J27=".",Irr!AH27=".",Irr!BF27="."),dir!AJ27*1000)))))))),".")</f>
        <v>.</v>
      </c>
      <c r="AK27" s="48" t="str">
        <f>IFERROR(IF(AND(Irr!K27&lt;&gt;".",Irr!AI27&lt;&gt;".",Irr!BG27&lt;&gt;"."),dir!AK27/((1/1000)*(Irr!K27+Irr!AI27+Irr!BG27)),IF(AND(Irr!K27&lt;&gt;".",Irr!AI27&lt;&gt;".",Irr!BG27="."),dir!AK27/((1/1000)*(Irr!K27+Irr!AI27)),IF(AND(Irr!K27&lt;&gt;".",Irr!AI27=".",Irr!BG27&lt;&gt;"."),dir!AK27/((1/1000)*(Irr!K27+Irr!BG27)),IF(AND(Irr!K27=".",Irr!AI27&lt;&gt;".",Irr!BG27&lt;&gt;"."),dir!AK27/((1/1000)*(Irr!AI27+Irr!BG27)),IF(AND(Irr!K27=".",Irr!AI27=".",Irr!BG27&lt;&gt;"."),dir!AK27/((1/1000)*(Irr!BG27)),IF(AND(Irr!K27=".",Irr!AI27&lt;&gt;".",Irr!BG27="."),dir!AK27/((1/1000)*(Irr!AI27)),IF(AND(Irr!K27&lt;&gt;".",Irr!AI27=".",Irr!BG27="."),dir!AK27/((1/1000)*(Irr!K27)),IF(AND(Irr!K27=".",Irr!AI27=".",Irr!BG27="."),dir!AK27*1000)))))))),".")</f>
        <v>.</v>
      </c>
      <c r="AL27" s="48" t="str">
        <f>IFERROR(IF(AND(Irr!L27&lt;&gt;".",Irr!AJ27&lt;&gt;".",Irr!BH27&lt;&gt;"."),dir!AL27/((1/1000)*(Irr!L27+Irr!AJ27+Irr!BH27)),IF(AND(Irr!L27&lt;&gt;".",Irr!AJ27&lt;&gt;".",Irr!BH27="."),dir!AL27/((1/1000)*(Irr!L27+Irr!AJ27)),IF(AND(Irr!L27&lt;&gt;".",Irr!AJ27=".",Irr!BH27&lt;&gt;"."),dir!AL27/((1/1000)*(Irr!L27+Irr!BH27)),IF(AND(Irr!L27=".",Irr!AJ27&lt;&gt;".",Irr!BH27&lt;&gt;"."),dir!AL27/((1/1000)*(Irr!AJ27+Irr!BH27)),IF(AND(Irr!L27=".",Irr!AJ27=".",Irr!BH27&lt;&gt;"."),dir!AL27/((1/1000)*(Irr!BH27)),IF(AND(Irr!L27=".",Irr!AJ27&lt;&gt;".",Irr!BH27="."),dir!AL27/((1/1000)*(Irr!AJ27)),IF(AND(Irr!L27&lt;&gt;".",Irr!AJ27=".",Irr!BH27="."),dir!AL27/((1/1000)*(Irr!L27)),IF(AND(Irr!L27=".",Irr!AJ27=".",Irr!BH27="."),dir!AL27*1000)))))))),".")</f>
        <v>.</v>
      </c>
      <c r="AM27" s="48" t="str">
        <f>IFERROR(IF(AND(Irr!M27&lt;&gt;".",Irr!AK27&lt;&gt;".",Irr!BI27&lt;&gt;"."),dir!AM27/((1/1000)*(Irr!M27+Irr!AK27+Irr!BI27)),IF(AND(Irr!M27&lt;&gt;".",Irr!AK27&lt;&gt;".",Irr!BI27="."),dir!AM27/((1/1000)*(Irr!M27+Irr!AK27)),IF(AND(Irr!M27&lt;&gt;".",Irr!AK27=".",Irr!BI27&lt;&gt;"."),dir!AM27/((1/1000)*(Irr!M27+Irr!BI27)),IF(AND(Irr!M27=".",Irr!AK27&lt;&gt;".",Irr!BI27&lt;&gt;"."),dir!AM27/((1/1000)*(Irr!AK27+Irr!BI27)),IF(AND(Irr!M27=".",Irr!AK27=".",Irr!BI27&lt;&gt;"."),dir!AM27/((1/1000)*(Irr!BI27)),IF(AND(Irr!M27=".",Irr!AK27&lt;&gt;".",Irr!BI27="."),dir!AM27/((1/1000)*(Irr!AK27)),IF(AND(Irr!M27&lt;&gt;".",Irr!AK27=".",Irr!BI27="."),dir!AM27/((1/1000)*(Irr!M27)),IF(AND(Irr!M27=".",Irr!AK27=".",Irr!BI27="."),dir!AM27*1000)))))))),".")</f>
        <v>.</v>
      </c>
      <c r="AN27" s="48" t="str">
        <f>IFERROR(IF(AND(Irr!N27&lt;&gt;".",Irr!AL27&lt;&gt;".",Irr!BJ27&lt;&gt;"."),dir!AN27/((1/1000)*(Irr!N27+Irr!AL27+Irr!BJ27)),IF(AND(Irr!N27&lt;&gt;".",Irr!AL27&lt;&gt;".",Irr!BJ27="."),dir!AN27/((1/1000)*(Irr!N27+Irr!AL27)),IF(AND(Irr!N27&lt;&gt;".",Irr!AL27=".",Irr!BJ27&lt;&gt;"."),dir!AN27/((1/1000)*(Irr!N27+Irr!BJ27)),IF(AND(Irr!N27=".",Irr!AL27&lt;&gt;".",Irr!BJ27&lt;&gt;"."),dir!AN27/((1/1000)*(Irr!AL27+Irr!BJ27)),IF(AND(Irr!N27=".",Irr!AL27=".",Irr!BJ27&lt;&gt;"."),dir!AN27/((1/1000)*(Irr!BJ27)),IF(AND(Irr!N27=".",Irr!AL27&lt;&gt;".",Irr!BJ27="."),dir!AN27/((1/1000)*(Irr!AL27)),IF(AND(Irr!N27&lt;&gt;".",Irr!AL27=".",Irr!BJ27="."),dir!AN27/((1/1000)*(Irr!N27)),IF(AND(Irr!N27=".",Irr!AL27=".",Irr!BJ27="."),dir!AN27*1000)))))))),".")</f>
        <v>.</v>
      </c>
      <c r="AO27" s="48" t="str">
        <f>IFERROR(IF(AND(Irr!O27&lt;&gt;".",Irr!AM27&lt;&gt;".",Irr!BK27&lt;&gt;"."),dir!AO27/((1/1000)*(Irr!O27+Irr!AM27+Irr!BK27)),IF(AND(Irr!O27&lt;&gt;".",Irr!AM27&lt;&gt;".",Irr!BK27="."),dir!AO27/((1/1000)*(Irr!O27+Irr!AM27)),IF(AND(Irr!O27&lt;&gt;".",Irr!AM27=".",Irr!BK27&lt;&gt;"."),dir!AO27/((1/1000)*(Irr!O27+Irr!BK27)),IF(AND(Irr!O27=".",Irr!AM27&lt;&gt;".",Irr!BK27&lt;&gt;"."),dir!AO27/((1/1000)*(Irr!AM27+Irr!BK27)),IF(AND(Irr!O27=".",Irr!AM27=".",Irr!BK27&lt;&gt;"."),dir!AO27/((1/1000)*(Irr!BK27)),IF(AND(Irr!O27=".",Irr!AM27&lt;&gt;".",Irr!BK27="."),dir!AO27/((1/1000)*(Irr!AM27)),IF(AND(Irr!O27&lt;&gt;".",Irr!AM27=".",Irr!BK27="."),dir!AO27/((1/1000)*(Irr!O27)),IF(AND(Irr!O27=".",Irr!AM27=".",Irr!BK27="."),dir!AO27*1000)))))))),".")</f>
        <v>.</v>
      </c>
      <c r="AP27" s="48" t="str">
        <f>IFERROR(IF(AND(Irr!P27&lt;&gt;".",Irr!AN27&lt;&gt;".",Irr!BL27&lt;&gt;"."),dir!AP27/((1/1000)*(Irr!P27+Irr!AN27+Irr!BL27)),IF(AND(Irr!P27&lt;&gt;".",Irr!AN27&lt;&gt;".",Irr!BL27="."),dir!AP27/((1/1000)*(Irr!P27+Irr!AN27)),IF(AND(Irr!P27&lt;&gt;".",Irr!AN27=".",Irr!BL27&lt;&gt;"."),dir!AP27/((1/1000)*(Irr!P27+Irr!BL27)),IF(AND(Irr!P27=".",Irr!AN27&lt;&gt;".",Irr!BL27&lt;&gt;"."),dir!AP27/((1/1000)*(Irr!AN27+Irr!BL27)),IF(AND(Irr!P27=".",Irr!AN27=".",Irr!BL27&lt;&gt;"."),dir!AP27/((1/1000)*(Irr!BL27)),IF(AND(Irr!P27=".",Irr!AN27&lt;&gt;".",Irr!BL27="."),dir!AP27/((1/1000)*(Irr!AN27)),IF(AND(Irr!P27&lt;&gt;".",Irr!AN27=".",Irr!BL27="."),dir!AP27/((1/1000)*(Irr!P27)),IF(AND(Irr!P27=".",Irr!AN27=".",Irr!BL27="."),dir!AP27*1000)))))))),".")</f>
        <v>.</v>
      </c>
      <c r="AQ27" s="48" t="str">
        <f>IFERROR(IF(AND(Irr!Q27&lt;&gt;".",Irr!AO27&lt;&gt;".",Irr!BM27&lt;&gt;"."),dir!AQ27/((1/1000)*(Irr!Q27+Irr!AO27+Irr!BM27)),IF(AND(Irr!Q27&lt;&gt;".",Irr!AO27&lt;&gt;".",Irr!BM27="."),dir!AQ27/((1/1000)*(Irr!Q27+Irr!AO27)),IF(AND(Irr!Q27&lt;&gt;".",Irr!AO27=".",Irr!BM27&lt;&gt;"."),dir!AQ27/((1/1000)*(Irr!Q27+Irr!BM27)),IF(AND(Irr!Q27=".",Irr!AO27&lt;&gt;".",Irr!BM27&lt;&gt;"."),dir!AQ27/((1/1000)*(Irr!AO27+Irr!BM27)),IF(AND(Irr!Q27=".",Irr!AO27=".",Irr!BM27&lt;&gt;"."),dir!AQ27/((1/1000)*(Irr!BM27)),IF(AND(Irr!Q27=".",Irr!AO27&lt;&gt;".",Irr!BM27="."),dir!AQ27/((1/1000)*(Irr!AO27)),IF(AND(Irr!Q27&lt;&gt;".",Irr!AO27=".",Irr!BM27="."),dir!AQ27/((1/1000)*(Irr!Q27)),IF(AND(Irr!Q27=".",Irr!AO27=".",Irr!BM27="."),dir!AQ27*1000)))))))),".")</f>
        <v>.</v>
      </c>
      <c r="AR27" s="48" t="str">
        <f>IFERROR(IF(AND(Irr!R27&lt;&gt;".",Irr!AP27&lt;&gt;".",Irr!BN27&lt;&gt;"."),dir!AR27/((1/1000)*(Irr!R27+Irr!AP27+Irr!BN27)),IF(AND(Irr!R27&lt;&gt;".",Irr!AP27&lt;&gt;".",Irr!BN27="."),dir!AR27/((1/1000)*(Irr!R27+Irr!AP27)),IF(AND(Irr!R27&lt;&gt;".",Irr!AP27=".",Irr!BN27&lt;&gt;"."),dir!AR27/((1/1000)*(Irr!R27+Irr!BN27)),IF(AND(Irr!R27=".",Irr!AP27&lt;&gt;".",Irr!BN27&lt;&gt;"."),dir!AR27/((1/1000)*(Irr!AP27+Irr!BN27)),IF(AND(Irr!R27=".",Irr!AP27=".",Irr!BN27&lt;&gt;"."),dir!AR27/((1/1000)*(Irr!BN27)),IF(AND(Irr!R27=".",Irr!AP27&lt;&gt;".",Irr!BN27="."),dir!AR27/((1/1000)*(Irr!AP27)),IF(AND(Irr!R27&lt;&gt;".",Irr!AP27=".",Irr!BN27="."),dir!AR27/((1/1000)*(Irr!R27)),IF(AND(Irr!R27=".",Irr!AP27=".",Irr!BN27="."),dir!AR27*1000)))))))),".")</f>
        <v>.</v>
      </c>
      <c r="AS27" s="48" t="str">
        <f>IFERROR(IF(AND(Irr!S27&lt;&gt;".",Irr!AQ27&lt;&gt;".",Irr!BO27&lt;&gt;"."),dir!AS27/((1/1000)*(Irr!S27+Irr!AQ27+Irr!BO27)),IF(AND(Irr!S27&lt;&gt;".",Irr!AQ27&lt;&gt;".",Irr!BO27="."),dir!AS27/((1/1000)*(Irr!S27+Irr!AQ27)),IF(AND(Irr!S27&lt;&gt;".",Irr!AQ27=".",Irr!BO27&lt;&gt;"."),dir!AS27/((1/1000)*(Irr!S27+Irr!BO27)),IF(AND(Irr!S27=".",Irr!AQ27&lt;&gt;".",Irr!BO27&lt;&gt;"."),dir!AS27/((1/1000)*(Irr!AQ27+Irr!BO27)),IF(AND(Irr!S27=".",Irr!AQ27=".",Irr!BO27&lt;&gt;"."),dir!AS27/((1/1000)*(Irr!BO27)),IF(AND(Irr!S27=".",Irr!AQ27&lt;&gt;".",Irr!BO27="."),dir!AS27/((1/1000)*(Irr!AQ27)),IF(AND(Irr!S27&lt;&gt;".",Irr!AQ27=".",Irr!BO27="."),dir!AS27/((1/1000)*(Irr!S27)),IF(AND(Irr!S27=".",Irr!AQ27=".",Irr!BO27="."),dir!AS27*1000)))))))),".")</f>
        <v>.</v>
      </c>
      <c r="AT27" s="48" t="str">
        <f>IFERROR(IF(AND(Irr!T27&lt;&gt;".",Irr!AR27&lt;&gt;".",Irr!BP27&lt;&gt;"."),dir!AT27/((1/1000)*(Irr!T27+Irr!AR27+Irr!BP27)),IF(AND(Irr!T27&lt;&gt;".",Irr!AR27&lt;&gt;".",Irr!BP27="."),dir!AT27/((1/1000)*(Irr!T27+Irr!AR27)),IF(AND(Irr!T27&lt;&gt;".",Irr!AR27=".",Irr!BP27&lt;&gt;"."),dir!AT27/((1/1000)*(Irr!T27+Irr!BP27)),IF(AND(Irr!T27=".",Irr!AR27&lt;&gt;".",Irr!BP27&lt;&gt;"."),dir!AT27/((1/1000)*(Irr!AR27+Irr!BP27)),IF(AND(Irr!T27=".",Irr!AR27=".",Irr!BP27&lt;&gt;"."),dir!AT27/((1/1000)*(Irr!BP27)),IF(AND(Irr!T27=".",Irr!AR27&lt;&gt;".",Irr!BP27="."),dir!AT27/((1/1000)*(Irr!AR27)),IF(AND(Irr!T27&lt;&gt;".",Irr!AR27=".",Irr!BP27="."),dir!AT27/((1/1000)*(Irr!T27)),IF(AND(Irr!T27=".",Irr!AR27=".",Irr!BP27="."),dir!AT27*1000)))))))),".")</f>
        <v>.</v>
      </c>
      <c r="AU27" s="48" t="str">
        <f>IFERROR(IF(AND(Irr!U27&lt;&gt;".",Irr!AS27&lt;&gt;".",Irr!BQ27&lt;&gt;"."),dir!AU27/((1/1000)*(Irr!U27+Irr!AS27+Irr!BQ27)),IF(AND(Irr!U27&lt;&gt;".",Irr!AS27&lt;&gt;".",Irr!BQ27="."),dir!AU27/((1/1000)*(Irr!U27+Irr!AS27)),IF(AND(Irr!U27&lt;&gt;".",Irr!AS27=".",Irr!BQ27&lt;&gt;"."),dir!AU27/((1/1000)*(Irr!U27+Irr!BQ27)),IF(AND(Irr!U27=".",Irr!AS27&lt;&gt;".",Irr!BQ27&lt;&gt;"."),dir!AU27/((1/1000)*(Irr!AS27+Irr!BQ27)),IF(AND(Irr!U27=".",Irr!AS27=".",Irr!BQ27&lt;&gt;"."),dir!AU27/((1/1000)*(Irr!BQ27)),IF(AND(Irr!U27=".",Irr!AS27&lt;&gt;".",Irr!BQ27="."),dir!AU27/((1/1000)*(Irr!AS27)),IF(AND(Irr!U27&lt;&gt;".",Irr!AS27=".",Irr!BQ27="."),dir!AU27/((1/1000)*(Irr!U27)),IF(AND(Irr!U27=".",Irr!AS27=".",Irr!BQ27="."),dir!AU27*1000)))))))),".")</f>
        <v>.</v>
      </c>
      <c r="AV27" s="48" t="str">
        <f>IFERROR(IF(AND(Irr!V27&lt;&gt;".",Irr!AT27&lt;&gt;".",Irr!BR27&lt;&gt;"."),dir!AV27/((1/1000)*(Irr!V27+Irr!AT27+Irr!BR27)),IF(AND(Irr!V27&lt;&gt;".",Irr!AT27&lt;&gt;".",Irr!BR27="."),dir!AV27/((1/1000)*(Irr!V27+Irr!AT27)),IF(AND(Irr!V27&lt;&gt;".",Irr!AT27=".",Irr!BR27&lt;&gt;"."),dir!AV27/((1/1000)*(Irr!V27+Irr!BR27)),IF(AND(Irr!V27=".",Irr!AT27&lt;&gt;".",Irr!BR27&lt;&gt;"."),dir!AV27/((1/1000)*(Irr!AT27+Irr!BR27)),IF(AND(Irr!V27=".",Irr!AT27=".",Irr!BR27&lt;&gt;"."),dir!AV27/((1/1000)*(Irr!BR27)),IF(AND(Irr!V27=".",Irr!AT27&lt;&gt;".",Irr!BR27="."),dir!AV27/((1/1000)*(Irr!AT27)),IF(AND(Irr!V27&lt;&gt;".",Irr!AT27=".",Irr!BR27="."),dir!AV27/((1/1000)*(Irr!V27)),IF(AND(Irr!V27=".",Irr!AT27=".",Irr!BR27="."),dir!AV27*1000)))))))),".")</f>
        <v>.</v>
      </c>
      <c r="AW27" s="48" t="str">
        <f>IFERROR(IF(AND(Irr!W27&lt;&gt;".",Irr!AU27&lt;&gt;".",Irr!BS27&lt;&gt;"."),dir!AW27/((1/1000)*(Irr!W27+Irr!AU27+Irr!BS27)),IF(AND(Irr!W27&lt;&gt;".",Irr!AU27&lt;&gt;".",Irr!BS27="."),dir!AW27/((1/1000)*(Irr!W27+Irr!AU27)),IF(AND(Irr!W27&lt;&gt;".",Irr!AU27=".",Irr!BS27&lt;&gt;"."),dir!AW27/((1/1000)*(Irr!W27+Irr!BS27)),IF(AND(Irr!W27=".",Irr!AU27&lt;&gt;".",Irr!BS27&lt;&gt;"."),dir!AW27/((1/1000)*(Irr!AU27+Irr!BS27)),IF(AND(Irr!W27=".",Irr!AU27=".",Irr!BS27&lt;&gt;"."),dir!AW27/((1/1000)*(Irr!BS27)),IF(AND(Irr!W27=".",Irr!AU27&lt;&gt;".",Irr!BS27="."),dir!AW27/((1/1000)*(Irr!AU27)),IF(AND(Irr!W27&lt;&gt;".",Irr!AU27=".",Irr!BS27="."),dir!AW27/((1/1000)*(Irr!W27)),IF(AND(Irr!W27=".",Irr!AU27=".",Irr!BS27="."),dir!AW27*1000)))))))),".")</f>
        <v>.</v>
      </c>
      <c r="AX27" s="48" t="str">
        <f>IFERROR(IF(AND(Irr!X27&lt;&gt;".",Irr!AV27&lt;&gt;".",Irr!BT27&lt;&gt;"."),dir!AX27/((1/1000)*(Irr!X27+Irr!AV27+Irr!BT27)),IF(AND(Irr!X27&lt;&gt;".",Irr!AV27&lt;&gt;".",Irr!BT27="."),dir!AX27/((1/1000)*(Irr!X27+Irr!AV27)),IF(AND(Irr!X27&lt;&gt;".",Irr!AV27=".",Irr!BT27&lt;&gt;"."),dir!AX27/((1/1000)*(Irr!X27+Irr!BT27)),IF(AND(Irr!X27=".",Irr!AV27&lt;&gt;".",Irr!BT27&lt;&gt;"."),dir!AX27/((1/1000)*(Irr!AV27+Irr!BT27)),IF(AND(Irr!X27=".",Irr!AV27=".",Irr!BT27&lt;&gt;"."),dir!AX27/((1/1000)*(Irr!BT27)),IF(AND(Irr!X27=".",Irr!AV27&lt;&gt;".",Irr!BT27="."),dir!AX27/((1/1000)*(Irr!AV27)),IF(AND(Irr!X27&lt;&gt;".",Irr!AV27=".",Irr!BT27="."),dir!AX27/((1/1000)*(Irr!X27)),IF(AND(Irr!X27=".",Irr!AV27=".",Irr!BT27="."),dir!AX27*1000)))))))),".")</f>
        <v>.</v>
      </c>
      <c r="AY27" s="48" t="str">
        <f>IFERROR(IF(AND(Irr!Y27&lt;&gt;".",Irr!AW27&lt;&gt;".",Irr!BU27&lt;&gt;"."),dir!AY27/((1/1000)*(Irr!Y27+Irr!AW27+Irr!BU27)),IF(AND(Irr!Y27&lt;&gt;".",Irr!AW27&lt;&gt;".",Irr!BU27="."),dir!AY27/((1/1000)*(Irr!Y27+Irr!AW27)),IF(AND(Irr!Y27&lt;&gt;".",Irr!AW27=".",Irr!BU27&lt;&gt;"."),dir!AY27/((1/1000)*(Irr!Y27+Irr!BU27)),IF(AND(Irr!Y27=".",Irr!AW27&lt;&gt;".",Irr!BU27&lt;&gt;"."),dir!AY27/((1/1000)*(Irr!AW27+Irr!BU27)),IF(AND(Irr!Y27=".",Irr!AW27=".",Irr!BU27&lt;&gt;"."),dir!AY27/((1/1000)*(Irr!BU27)),IF(AND(Irr!Y27=".",Irr!AW27&lt;&gt;".",Irr!BU27="."),dir!AY27/((1/1000)*(Irr!AW27)),IF(AND(Irr!Y27&lt;&gt;".",Irr!AW27=".",Irr!BU27="."),dir!AY27/((1/1000)*(Irr!Y27)),IF(AND(Irr!Y27=".",Irr!AW27=".",Irr!BU27="."),dir!AY27*1000)))))))),".")</f>
        <v>.</v>
      </c>
      <c r="AZ27" s="48" t="str">
        <f>IFERROR(IF(AND(Irr!Z27&lt;&gt;".",Irr!AX27&lt;&gt;".",Irr!BV27&lt;&gt;"."),dir!AZ27/((1/1000)*(Irr!Z27+Irr!AX27+Irr!BV27)),IF(AND(Irr!Z27&lt;&gt;".",Irr!AX27&lt;&gt;".",Irr!BV27="."),dir!AZ27/((1/1000)*(Irr!Z27+Irr!AX27)),IF(AND(Irr!Z27&lt;&gt;".",Irr!AX27=".",Irr!BV27&lt;&gt;"."),dir!AZ27/((1/1000)*(Irr!Z27+Irr!BV27)),IF(AND(Irr!Z27=".",Irr!AX27&lt;&gt;".",Irr!BV27&lt;&gt;"."),dir!AZ27/((1/1000)*(Irr!AX27+Irr!BV27)),IF(AND(Irr!Z27=".",Irr!AX27=".",Irr!BV27&lt;&gt;"."),dir!AZ27/((1/1000)*(Irr!BV27)),IF(AND(Irr!Z27=".",Irr!AX27&lt;&gt;".",Irr!BV27="."),dir!AZ27/((1/1000)*(Irr!AX27)),IF(AND(Irr!Z27&lt;&gt;".",Irr!AX27=".",Irr!BV27="."),dir!AZ27/((1/1000)*(Irr!Z27)),IF(AND(Irr!Z27=".",Irr!AX27=".",Irr!BV27="."),dir!AZ27*1000)))))))),".")</f>
        <v>.</v>
      </c>
    </row>
    <row r="28" spans="1:52" ht="15" customHeight="1" x14ac:dyDescent="0.25">
      <c r="A28" s="61" t="s">
        <v>26</v>
      </c>
      <c r="B28" s="49" t="s">
        <v>1059</v>
      </c>
      <c r="C28" s="48" t="str">
        <f t="shared" si="22"/>
        <v>.</v>
      </c>
      <c r="D28" s="48" t="str">
        <f>IFERROR(IF(AND(Irr!C28&lt;&gt;".",Irr!AA28&lt;&gt;".",Irr!AY28&lt;&gt;"."),dir!D28/((1/1000)*(Irr!C28+Irr!AA28+Irr!AY28)),IF(AND(Irr!C28&lt;&gt;".",Irr!AA28&lt;&gt;".",Irr!AY28="."),dir!D28/((1/1000)*(Irr!C28+Irr!AA28)),IF(AND(Irr!C28&lt;&gt;".",Irr!AA28=".",Irr!AY28&lt;&gt;"."),dir!D28/((1/1000)*(Irr!C28+Irr!AY28)),IF(AND(Irr!C28=".",Irr!AA28&lt;&gt;".",Irr!AY28&lt;&gt;"."),dir!D28/((1/1000)*(Irr!AA28+Irr!AY28)),IF(AND(Irr!C28=".",Irr!AA28=".",Irr!AY28&lt;&gt;"."),dir!D28/((1/1000)*(Irr!AY28)),IF(AND(Irr!C28=".",Irr!AA28&lt;&gt;".",Irr!AY28="."),dir!D28/((1/1000)*(Irr!AA28)),IF(AND(Irr!C28&lt;&gt;".",Irr!AA28=".",Irr!AY28="."),dir!D28/((1/1000)*(Irr!C28)),IF(AND(Irr!C28=".",Irr!AA28=".",Irr!AY28="."),dir!D28*1000)))))))),".")</f>
        <v>.</v>
      </c>
      <c r="E28" s="48" t="str">
        <f>IFERROR(IF(AND(Irr!D28&lt;&gt;".",Irr!AB28&lt;&gt;".",Irr!AZ28&lt;&gt;"."),dir!E28/((1/1000)*(Irr!D28+Irr!AB28+Irr!AZ28)),IF(AND(Irr!D28&lt;&gt;".",Irr!AB28&lt;&gt;".",Irr!AZ28="."),dir!E28/((1/1000)*(Irr!D28+Irr!AB28)),IF(AND(Irr!D28&lt;&gt;".",Irr!AB28=".",Irr!AZ28&lt;&gt;"."),dir!E28/((1/1000)*(Irr!D28+Irr!AZ28)),IF(AND(Irr!D28=".",Irr!AB28&lt;&gt;".",Irr!AZ28&lt;&gt;"."),dir!E28/((1/1000)*(Irr!AB28+Irr!AZ28)),IF(AND(Irr!D28=".",Irr!AB28=".",Irr!AZ28&lt;&gt;"."),dir!E28/((1/1000)*(Irr!AZ28)),IF(AND(Irr!D28=".",Irr!AB28&lt;&gt;".",Irr!AZ28="."),dir!E28/((1/1000)*(Irr!AB28)),IF(AND(Irr!D28&lt;&gt;".",Irr!AB28=".",Irr!AZ28="."),dir!E28/((1/1000)*(Irr!D28)),IF(AND(Irr!D28=".",Irr!AB28=".",Irr!AZ28="."),dir!E28*1000)))))))),".")</f>
        <v>.</v>
      </c>
      <c r="F28" s="48" t="str">
        <f>IFERROR(IF(AND(Irr!E28&lt;&gt;".",Irr!AC28&lt;&gt;".",Irr!BA28&lt;&gt;"."),dir!F28/((1/1000)*(Irr!E28+Irr!AC28+Irr!BA28)),IF(AND(Irr!E28&lt;&gt;".",Irr!AC28&lt;&gt;".",Irr!BA28="."),dir!F28/((1/1000)*(Irr!E28+Irr!AC28)),IF(AND(Irr!E28&lt;&gt;".",Irr!AC28=".",Irr!BA28&lt;&gt;"."),dir!F28/((1/1000)*(Irr!E28+Irr!BA28)),IF(AND(Irr!E28=".",Irr!AC28&lt;&gt;".",Irr!BA28&lt;&gt;"."),dir!F28/((1/1000)*(Irr!AC28+Irr!BA28)),IF(AND(Irr!E28=".",Irr!AC28=".",Irr!BA28&lt;&gt;"."),dir!F28/((1/1000)*(Irr!BA28)),IF(AND(Irr!E28=".",Irr!AC28&lt;&gt;".",Irr!BA28="."),dir!F28/((1/1000)*(Irr!AC28)),IF(AND(Irr!E28&lt;&gt;".",Irr!AC28=".",Irr!BA28="."),dir!F28/((1/1000)*(Irr!E28)),IF(AND(Irr!E28=".",Irr!AC28=".",Irr!BA28="."),dir!F28*1000)))))))),".")</f>
        <v>.</v>
      </c>
      <c r="G28" s="48" t="str">
        <f>IFERROR(IF(AND(Irr!F28&lt;&gt;".",Irr!AD28&lt;&gt;".",Irr!BB28&lt;&gt;"."),dir!G28/((1/1000)*(Irr!F28+Irr!AD28+Irr!BB28)),IF(AND(Irr!F28&lt;&gt;".",Irr!AD28&lt;&gt;".",Irr!BB28="."),dir!G28/((1/1000)*(Irr!F28+Irr!AD28)),IF(AND(Irr!F28&lt;&gt;".",Irr!AD28=".",Irr!BB28&lt;&gt;"."),dir!G28/((1/1000)*(Irr!F28+Irr!BB28)),IF(AND(Irr!F28=".",Irr!AD28&lt;&gt;".",Irr!BB28&lt;&gt;"."),dir!G28/((1/1000)*(Irr!AD28+Irr!BB28)),IF(AND(Irr!F28=".",Irr!AD28=".",Irr!BB28&lt;&gt;"."),dir!G28/((1/1000)*(Irr!BB28)),IF(AND(Irr!F28=".",Irr!AD28&lt;&gt;".",Irr!BB28="."),dir!G28/((1/1000)*(Irr!AD28)),IF(AND(Irr!F28&lt;&gt;".",Irr!AD28=".",Irr!BB28="."),dir!G28/((1/1000)*(Irr!F28)),IF(AND(Irr!F28=".",Irr!AD28=".",Irr!BB28="."),dir!G28*1000)))))))),".")</f>
        <v>.</v>
      </c>
      <c r="H28" s="48" t="str">
        <f>IFERROR(IF(AND(Irr!G28&lt;&gt;".",Irr!AE28&lt;&gt;".",Irr!BC28&lt;&gt;"."),dir!H28/((1/1000)*(Irr!G28+Irr!AE28+Irr!BC28)),IF(AND(Irr!G28&lt;&gt;".",Irr!AE28&lt;&gt;".",Irr!BC28="."),dir!H28/((1/1000)*(Irr!G28+Irr!AE28)),IF(AND(Irr!G28&lt;&gt;".",Irr!AE28=".",Irr!BC28&lt;&gt;"."),dir!H28/((1/1000)*(Irr!G28+Irr!BC28)),IF(AND(Irr!G28=".",Irr!AE28&lt;&gt;".",Irr!BC28&lt;&gt;"."),dir!H28/((1/1000)*(Irr!AE28+Irr!BC28)),IF(AND(Irr!G28=".",Irr!AE28=".",Irr!BC28&lt;&gt;"."),dir!H28/((1/1000)*(Irr!BC28)),IF(AND(Irr!G28=".",Irr!AE28&lt;&gt;".",Irr!BC28="."),dir!H28/((1/1000)*(Irr!AE28)),IF(AND(Irr!G28&lt;&gt;".",Irr!AE28=".",Irr!BC28="."),dir!H28/((1/1000)*(Irr!G28)),IF(AND(Irr!G28=".",Irr!AE28=".",Irr!BC28="."),dir!H28*1000)))))))),".")</f>
        <v>.</v>
      </c>
      <c r="I28" s="48" t="str">
        <f>IFERROR(IF(AND(Irr!H28&lt;&gt;".",Irr!AF28&lt;&gt;".",Irr!BD28&lt;&gt;"."),dir!I28/((1/1000)*(Irr!H28+Irr!AF28+Irr!BD28)),IF(AND(Irr!H28&lt;&gt;".",Irr!AF28&lt;&gt;".",Irr!BD28="."),dir!I28/((1/1000)*(Irr!H28+Irr!AF28)),IF(AND(Irr!H28&lt;&gt;".",Irr!AF28=".",Irr!BD28&lt;&gt;"."),dir!I28/((1/1000)*(Irr!H28+Irr!BD28)),IF(AND(Irr!H28=".",Irr!AF28&lt;&gt;".",Irr!BD28&lt;&gt;"."),dir!I28/((1/1000)*(Irr!AF28+Irr!BD28)),IF(AND(Irr!H28=".",Irr!AF28=".",Irr!BD28&lt;&gt;"."),dir!I28/((1/1000)*(Irr!BD28)),IF(AND(Irr!H28=".",Irr!AF28&lt;&gt;".",Irr!BD28="."),dir!I28/((1/1000)*(Irr!AF28)),IF(AND(Irr!H28&lt;&gt;".",Irr!AF28=".",Irr!BD28="."),dir!I28/((1/1000)*(Irr!H28)),IF(AND(Irr!H28=".",Irr!AF28=".",Irr!BD28="."),dir!I28*1000)))))))),".")</f>
        <v>.</v>
      </c>
      <c r="J28" s="48" t="str">
        <f>IFERROR(IF(AND(Irr!I28&lt;&gt;".",Irr!AG28&lt;&gt;".",Irr!BE28&lt;&gt;"."),dir!J28/((1/1000)*(Irr!I28+Irr!AG28+Irr!BE28)),IF(AND(Irr!I28&lt;&gt;".",Irr!AG28&lt;&gt;".",Irr!BE28="."),dir!J28/((1/1000)*(Irr!I28+Irr!AG28)),IF(AND(Irr!I28&lt;&gt;".",Irr!AG28=".",Irr!BE28&lt;&gt;"."),dir!J28/((1/1000)*(Irr!I28+Irr!BE28)),IF(AND(Irr!I28=".",Irr!AG28&lt;&gt;".",Irr!BE28&lt;&gt;"."),dir!J28/((1/1000)*(Irr!AG28+Irr!BE28)),IF(AND(Irr!I28=".",Irr!AG28=".",Irr!BE28&lt;&gt;"."),dir!J28/((1/1000)*(Irr!BE28)),IF(AND(Irr!I28=".",Irr!AG28&lt;&gt;".",Irr!BE28="."),dir!J28/((1/1000)*(Irr!AG28)),IF(AND(Irr!I28&lt;&gt;".",Irr!AG28=".",Irr!BE28="."),dir!J28/((1/1000)*(Irr!I28)),IF(AND(Irr!I28=".",Irr!AG28=".",Irr!BE28="."),dir!J28*1000)))))))),".")</f>
        <v>.</v>
      </c>
      <c r="K28" s="48" t="str">
        <f>IFERROR(IF(AND(Irr!J28&lt;&gt;".",Irr!AH28&lt;&gt;".",Irr!BF28&lt;&gt;"."),dir!K28/((1/1000)*(Irr!J28+Irr!AH28+Irr!BF28)),IF(AND(Irr!J28&lt;&gt;".",Irr!AH28&lt;&gt;".",Irr!BF28="."),dir!K28/((1/1000)*(Irr!J28+Irr!AH28)),IF(AND(Irr!J28&lt;&gt;".",Irr!AH28=".",Irr!BF28&lt;&gt;"."),dir!K28/((1/1000)*(Irr!J28+Irr!BF28)),IF(AND(Irr!J28=".",Irr!AH28&lt;&gt;".",Irr!BF28&lt;&gt;"."),dir!K28/((1/1000)*(Irr!AH28+Irr!BF28)),IF(AND(Irr!J28=".",Irr!AH28=".",Irr!BF28&lt;&gt;"."),dir!K28/((1/1000)*(Irr!BF28)),IF(AND(Irr!J28=".",Irr!AH28&lt;&gt;".",Irr!BF28="."),dir!K28/((1/1000)*(Irr!AH28)),IF(AND(Irr!J28&lt;&gt;".",Irr!AH28=".",Irr!BF28="."),dir!K28/((1/1000)*(Irr!J28)),IF(AND(Irr!J28=".",Irr!AH28=".",Irr!BF28="."),dir!K28*1000)))))))),".")</f>
        <v>.</v>
      </c>
      <c r="L28" s="48" t="str">
        <f>IFERROR(IF(AND(Irr!K28&lt;&gt;".",Irr!AI28&lt;&gt;".",Irr!BG28&lt;&gt;"."),dir!L28/((1/1000)*(Irr!K28+Irr!AI28+Irr!BG28)),IF(AND(Irr!K28&lt;&gt;".",Irr!AI28&lt;&gt;".",Irr!BG28="."),dir!L28/((1/1000)*(Irr!K28+Irr!AI28)),IF(AND(Irr!K28&lt;&gt;".",Irr!AI28=".",Irr!BG28&lt;&gt;"."),dir!L28/((1/1000)*(Irr!K28+Irr!BG28)),IF(AND(Irr!K28=".",Irr!AI28&lt;&gt;".",Irr!BG28&lt;&gt;"."),dir!L28/((1/1000)*(Irr!AI28+Irr!BG28)),IF(AND(Irr!K28=".",Irr!AI28=".",Irr!BG28&lt;&gt;"."),dir!L28/((1/1000)*(Irr!BG28)),IF(AND(Irr!K28=".",Irr!AI28&lt;&gt;".",Irr!BG28="."),dir!L28/((1/1000)*(Irr!AI28)),IF(AND(Irr!K28&lt;&gt;".",Irr!AI28=".",Irr!BG28="."),dir!L28/((1/1000)*(Irr!K28)),IF(AND(Irr!K28=".",Irr!AI28=".",Irr!BG28="."),dir!L28*1000)))))))),".")</f>
        <v>.</v>
      </c>
      <c r="M28" s="48" t="str">
        <f>IFERROR(IF(AND(Irr!L28&lt;&gt;".",Irr!AJ28&lt;&gt;".",Irr!BH28&lt;&gt;"."),dir!M28/((1/1000)*(Irr!L28+Irr!AJ28+Irr!BH28)),IF(AND(Irr!L28&lt;&gt;".",Irr!AJ28&lt;&gt;".",Irr!BH28="."),dir!M28/((1/1000)*(Irr!L28+Irr!AJ28)),IF(AND(Irr!L28&lt;&gt;".",Irr!AJ28=".",Irr!BH28&lt;&gt;"."),dir!M28/((1/1000)*(Irr!L28+Irr!BH28)),IF(AND(Irr!L28=".",Irr!AJ28&lt;&gt;".",Irr!BH28&lt;&gt;"."),dir!M28/((1/1000)*(Irr!AJ28+Irr!BH28)),IF(AND(Irr!L28=".",Irr!AJ28=".",Irr!BH28&lt;&gt;"."),dir!M28/((1/1000)*(Irr!BH28)),IF(AND(Irr!L28=".",Irr!AJ28&lt;&gt;".",Irr!BH28="."),dir!M28/((1/1000)*(Irr!AJ28)),IF(AND(Irr!L28&lt;&gt;".",Irr!AJ28=".",Irr!BH28="."),dir!M28/((1/1000)*(Irr!L28)),IF(AND(Irr!L28=".",Irr!AJ28=".",Irr!BH28="."),dir!M28*1000)))))))),".")</f>
        <v>.</v>
      </c>
      <c r="N28" s="48" t="str">
        <f>IFERROR(IF(AND(Irr!M28&lt;&gt;".",Irr!AK28&lt;&gt;".",Irr!BI28&lt;&gt;"."),dir!N28/((1/1000)*(Irr!M28+Irr!AK28+Irr!BI28)),IF(AND(Irr!M28&lt;&gt;".",Irr!AK28&lt;&gt;".",Irr!BI28="."),dir!N28/((1/1000)*(Irr!M28+Irr!AK28)),IF(AND(Irr!M28&lt;&gt;".",Irr!AK28=".",Irr!BI28&lt;&gt;"."),dir!N28/((1/1000)*(Irr!M28+Irr!BI28)),IF(AND(Irr!M28=".",Irr!AK28&lt;&gt;".",Irr!BI28&lt;&gt;"."),dir!N28/((1/1000)*(Irr!AK28+Irr!BI28)),IF(AND(Irr!M28=".",Irr!AK28=".",Irr!BI28&lt;&gt;"."),dir!N28/((1/1000)*(Irr!BI28)),IF(AND(Irr!M28=".",Irr!AK28&lt;&gt;".",Irr!BI28="."),dir!N28/((1/1000)*(Irr!AK28)),IF(AND(Irr!M28&lt;&gt;".",Irr!AK28=".",Irr!BI28="."),dir!N28/((1/1000)*(Irr!M28)),IF(AND(Irr!M28=".",Irr!AK28=".",Irr!BI28="."),dir!N28*1000)))))))),".")</f>
        <v>.</v>
      </c>
      <c r="O28" s="48" t="str">
        <f>IFERROR(IF(AND(Irr!N28&lt;&gt;".",Irr!AL28&lt;&gt;".",Irr!BJ28&lt;&gt;"."),dir!O28/((1/1000)*(Irr!N28+Irr!AL28+Irr!BJ28)),IF(AND(Irr!N28&lt;&gt;".",Irr!AL28&lt;&gt;".",Irr!BJ28="."),dir!O28/((1/1000)*(Irr!N28+Irr!AL28)),IF(AND(Irr!N28&lt;&gt;".",Irr!AL28=".",Irr!BJ28&lt;&gt;"."),dir!O28/((1/1000)*(Irr!N28+Irr!BJ28)),IF(AND(Irr!N28=".",Irr!AL28&lt;&gt;".",Irr!BJ28&lt;&gt;"."),dir!O28/((1/1000)*(Irr!AL28+Irr!BJ28)),IF(AND(Irr!N28=".",Irr!AL28=".",Irr!BJ28&lt;&gt;"."),dir!O28/((1/1000)*(Irr!BJ28)),IF(AND(Irr!N28=".",Irr!AL28&lt;&gt;".",Irr!BJ28="."),dir!O28/((1/1000)*(Irr!AL28)),IF(AND(Irr!N28&lt;&gt;".",Irr!AL28=".",Irr!BJ28="."),dir!O28/((1/1000)*(Irr!N28)),IF(AND(Irr!N28=".",Irr!AL28=".",Irr!BJ28="."),dir!O28*1000)))))))),".")</f>
        <v>.</v>
      </c>
      <c r="P28" s="48" t="str">
        <f>IFERROR(IF(AND(Irr!O28&lt;&gt;".",Irr!AM28&lt;&gt;".",Irr!BK28&lt;&gt;"."),dir!P28/((1/1000)*(Irr!O28+Irr!AM28+Irr!BK28)),IF(AND(Irr!O28&lt;&gt;".",Irr!AM28&lt;&gt;".",Irr!BK28="."),dir!P28/((1/1000)*(Irr!O28+Irr!AM28)),IF(AND(Irr!O28&lt;&gt;".",Irr!AM28=".",Irr!BK28&lt;&gt;"."),dir!P28/((1/1000)*(Irr!O28+Irr!BK28)),IF(AND(Irr!O28=".",Irr!AM28&lt;&gt;".",Irr!BK28&lt;&gt;"."),dir!P28/((1/1000)*(Irr!AM28+Irr!BK28)),IF(AND(Irr!O28=".",Irr!AM28=".",Irr!BK28&lt;&gt;"."),dir!P28/((1/1000)*(Irr!BK28)),IF(AND(Irr!O28=".",Irr!AM28&lt;&gt;".",Irr!BK28="."),dir!P28/((1/1000)*(Irr!AM28)),IF(AND(Irr!O28&lt;&gt;".",Irr!AM28=".",Irr!BK28="."),dir!P28/((1/1000)*(Irr!O28)),IF(AND(Irr!O28=".",Irr!AM28=".",Irr!BK28="."),dir!P28*1000)))))))),".")</f>
        <v>.</v>
      </c>
      <c r="Q28" s="48" t="str">
        <f>IFERROR(IF(AND(Irr!P28&lt;&gt;".",Irr!AN28&lt;&gt;".",Irr!BL28&lt;&gt;"."),dir!Q28/((1/1000)*(Irr!P28+Irr!AN28+Irr!BL28)),IF(AND(Irr!P28&lt;&gt;".",Irr!AN28&lt;&gt;".",Irr!BL28="."),dir!Q28/((1/1000)*(Irr!P28+Irr!AN28)),IF(AND(Irr!P28&lt;&gt;".",Irr!AN28=".",Irr!BL28&lt;&gt;"."),dir!Q28/((1/1000)*(Irr!P28+Irr!BL28)),IF(AND(Irr!P28=".",Irr!AN28&lt;&gt;".",Irr!BL28&lt;&gt;"."),dir!Q28/((1/1000)*(Irr!AN28+Irr!BL28)),IF(AND(Irr!P28=".",Irr!AN28=".",Irr!BL28&lt;&gt;"."),dir!Q28/((1/1000)*(Irr!BL28)),IF(AND(Irr!P28=".",Irr!AN28&lt;&gt;".",Irr!BL28="."),dir!Q28/((1/1000)*(Irr!AN28)),IF(AND(Irr!P28&lt;&gt;".",Irr!AN28=".",Irr!BL28="."),dir!Q28/((1/1000)*(Irr!P28)),IF(AND(Irr!P28=".",Irr!AN28=".",Irr!BL28="."),dir!Q28*1000)))))))),".")</f>
        <v>.</v>
      </c>
      <c r="R28" s="48" t="str">
        <f>IFERROR(IF(AND(Irr!Q28&lt;&gt;".",Irr!AO28&lt;&gt;".",Irr!BM28&lt;&gt;"."),dir!R28/((1/1000)*(Irr!Q28+Irr!AO28+Irr!BM28)),IF(AND(Irr!Q28&lt;&gt;".",Irr!AO28&lt;&gt;".",Irr!BM28="."),dir!R28/((1/1000)*(Irr!Q28+Irr!AO28)),IF(AND(Irr!Q28&lt;&gt;".",Irr!AO28=".",Irr!BM28&lt;&gt;"."),dir!R28/((1/1000)*(Irr!Q28+Irr!BM28)),IF(AND(Irr!Q28=".",Irr!AO28&lt;&gt;".",Irr!BM28&lt;&gt;"."),dir!R28/((1/1000)*(Irr!AO28+Irr!BM28)),IF(AND(Irr!Q28=".",Irr!AO28=".",Irr!BM28&lt;&gt;"."),dir!R28/((1/1000)*(Irr!BM28)),IF(AND(Irr!Q28=".",Irr!AO28&lt;&gt;".",Irr!BM28="."),dir!R28/((1/1000)*(Irr!AO28)),IF(AND(Irr!Q28&lt;&gt;".",Irr!AO28=".",Irr!BM28="."),dir!R28/((1/1000)*(Irr!Q28)),IF(AND(Irr!Q28=".",Irr!AO28=".",Irr!BM28="."),dir!R28*1000)))))))),".")</f>
        <v>.</v>
      </c>
      <c r="S28" s="48" t="str">
        <f>IFERROR(IF(AND(Irr!R28&lt;&gt;".",Irr!AP28&lt;&gt;".",Irr!BN28&lt;&gt;"."),dir!S28/((1/1000)*(Irr!R28+Irr!AP28+Irr!BN28)),IF(AND(Irr!R28&lt;&gt;".",Irr!AP28&lt;&gt;".",Irr!BN28="."),dir!S28/((1/1000)*(Irr!R28+Irr!AP28)),IF(AND(Irr!R28&lt;&gt;".",Irr!AP28=".",Irr!BN28&lt;&gt;"."),dir!S28/((1/1000)*(Irr!R28+Irr!BN28)),IF(AND(Irr!R28=".",Irr!AP28&lt;&gt;".",Irr!BN28&lt;&gt;"."),dir!S28/((1/1000)*(Irr!AP28+Irr!BN28)),IF(AND(Irr!R28=".",Irr!AP28=".",Irr!BN28&lt;&gt;"."),dir!S28/((1/1000)*(Irr!BN28)),IF(AND(Irr!R28=".",Irr!AP28&lt;&gt;".",Irr!BN28="."),dir!S28/((1/1000)*(Irr!AP28)),IF(AND(Irr!R28&lt;&gt;".",Irr!AP28=".",Irr!BN28="."),dir!S28/((1/1000)*(Irr!R28)),IF(AND(Irr!R28=".",Irr!AP28=".",Irr!BN28="."),dir!S28*1000)))))))),".")</f>
        <v>.</v>
      </c>
      <c r="T28" s="48" t="str">
        <f>IFERROR(IF(AND(Irr!S28&lt;&gt;".",Irr!AQ28&lt;&gt;".",Irr!BO28&lt;&gt;"."),dir!T28/((1/1000)*(Irr!S28+Irr!AQ28+Irr!BO28)),IF(AND(Irr!S28&lt;&gt;".",Irr!AQ28&lt;&gt;".",Irr!BO28="."),dir!T28/((1/1000)*(Irr!S28+Irr!AQ28)),IF(AND(Irr!S28&lt;&gt;".",Irr!AQ28=".",Irr!BO28&lt;&gt;"."),dir!T28/((1/1000)*(Irr!S28+Irr!BO28)),IF(AND(Irr!S28=".",Irr!AQ28&lt;&gt;".",Irr!BO28&lt;&gt;"."),dir!T28/((1/1000)*(Irr!AQ28+Irr!BO28)),IF(AND(Irr!S28=".",Irr!AQ28=".",Irr!BO28&lt;&gt;"."),dir!T28/((1/1000)*(Irr!BO28)),IF(AND(Irr!S28=".",Irr!AQ28&lt;&gt;".",Irr!BO28="."),dir!T28/((1/1000)*(Irr!AQ28)),IF(AND(Irr!S28&lt;&gt;".",Irr!AQ28=".",Irr!BO28="."),dir!T28/((1/1000)*(Irr!S28)),IF(AND(Irr!S28=".",Irr!AQ28=".",Irr!BO28="."),dir!T28*1000)))))))),".")</f>
        <v>.</v>
      </c>
      <c r="U28" s="48" t="str">
        <f>IFERROR(IF(AND(Irr!T28&lt;&gt;".",Irr!AR28&lt;&gt;".",Irr!BP28&lt;&gt;"."),dir!U28/((1/1000)*(Irr!T28+Irr!AR28+Irr!BP28)),IF(AND(Irr!T28&lt;&gt;".",Irr!AR28&lt;&gt;".",Irr!BP28="."),dir!U28/((1/1000)*(Irr!T28+Irr!AR28)),IF(AND(Irr!T28&lt;&gt;".",Irr!AR28=".",Irr!BP28&lt;&gt;"."),dir!U28/((1/1000)*(Irr!T28+Irr!BP28)),IF(AND(Irr!T28=".",Irr!AR28&lt;&gt;".",Irr!BP28&lt;&gt;"."),dir!U28/((1/1000)*(Irr!AR28+Irr!BP28)),IF(AND(Irr!T28=".",Irr!AR28=".",Irr!BP28&lt;&gt;"."),dir!U28/((1/1000)*(Irr!BP28)),IF(AND(Irr!T28=".",Irr!AR28&lt;&gt;".",Irr!BP28="."),dir!U28/((1/1000)*(Irr!AR28)),IF(AND(Irr!T28&lt;&gt;".",Irr!AR28=".",Irr!BP28="."),dir!U28/((1/1000)*(Irr!T28)),IF(AND(Irr!T28=".",Irr!AR28=".",Irr!BP28="."),dir!U28*1000)))))))),".")</f>
        <v>.</v>
      </c>
      <c r="V28" s="48" t="str">
        <f>IFERROR(IF(AND(Irr!U28&lt;&gt;".",Irr!AS28&lt;&gt;".",Irr!BQ28&lt;&gt;"."),dir!V28/((1/1000)*(Irr!U28+Irr!AS28+Irr!BQ28)),IF(AND(Irr!U28&lt;&gt;".",Irr!AS28&lt;&gt;".",Irr!BQ28="."),dir!V28/((1/1000)*(Irr!U28+Irr!AS28)),IF(AND(Irr!U28&lt;&gt;".",Irr!AS28=".",Irr!BQ28&lt;&gt;"."),dir!V28/((1/1000)*(Irr!U28+Irr!BQ28)),IF(AND(Irr!U28=".",Irr!AS28&lt;&gt;".",Irr!BQ28&lt;&gt;"."),dir!V28/((1/1000)*(Irr!AS28+Irr!BQ28)),IF(AND(Irr!U28=".",Irr!AS28=".",Irr!BQ28&lt;&gt;"."),dir!V28/((1/1000)*(Irr!BQ28)),IF(AND(Irr!U28=".",Irr!AS28&lt;&gt;".",Irr!BQ28="."),dir!V28/((1/1000)*(Irr!AS28)),IF(AND(Irr!U28&lt;&gt;".",Irr!AS28=".",Irr!BQ28="."),dir!V28/((1/1000)*(Irr!U28)),IF(AND(Irr!U28=".",Irr!AS28=".",Irr!BQ28="."),dir!V28*1000)))))))),".")</f>
        <v>.</v>
      </c>
      <c r="W28" s="48" t="str">
        <f>IFERROR(IF(AND(Irr!V28&lt;&gt;".",Irr!AT28&lt;&gt;".",Irr!BR28&lt;&gt;"."),dir!W28/((1/1000)*(Irr!V28+Irr!AT28+Irr!BR28)),IF(AND(Irr!V28&lt;&gt;".",Irr!AT28&lt;&gt;".",Irr!BR28="."),dir!W28/((1/1000)*(Irr!V28+Irr!AT28)),IF(AND(Irr!V28&lt;&gt;".",Irr!AT28=".",Irr!BR28&lt;&gt;"."),dir!W28/((1/1000)*(Irr!V28+Irr!BR28)),IF(AND(Irr!V28=".",Irr!AT28&lt;&gt;".",Irr!BR28&lt;&gt;"."),dir!W28/((1/1000)*(Irr!AT28+Irr!BR28)),IF(AND(Irr!V28=".",Irr!AT28=".",Irr!BR28&lt;&gt;"."),dir!W28/((1/1000)*(Irr!BR28)),IF(AND(Irr!V28=".",Irr!AT28&lt;&gt;".",Irr!BR28="."),dir!W28/((1/1000)*(Irr!AT28)),IF(AND(Irr!V28&lt;&gt;".",Irr!AT28=".",Irr!BR28="."),dir!W28/((1/1000)*(Irr!V28)),IF(AND(Irr!V28=".",Irr!AT28=".",Irr!BR28="."),dir!W28*1000)))))))),".")</f>
        <v>.</v>
      </c>
      <c r="X28" s="48" t="str">
        <f>IFERROR(IF(AND(Irr!W28&lt;&gt;".",Irr!AU28&lt;&gt;".",Irr!BS28&lt;&gt;"."),dir!X28/((1/1000)*(Irr!W28+Irr!AU28+Irr!BS28)),IF(AND(Irr!W28&lt;&gt;".",Irr!AU28&lt;&gt;".",Irr!BS28="."),dir!X28/((1/1000)*(Irr!W28+Irr!AU28)),IF(AND(Irr!W28&lt;&gt;".",Irr!AU28=".",Irr!BS28&lt;&gt;"."),dir!X28/((1/1000)*(Irr!W28+Irr!BS28)),IF(AND(Irr!W28=".",Irr!AU28&lt;&gt;".",Irr!BS28&lt;&gt;"."),dir!X28/((1/1000)*(Irr!AU28+Irr!BS28)),IF(AND(Irr!W28=".",Irr!AU28=".",Irr!BS28&lt;&gt;"."),dir!X28/((1/1000)*(Irr!BS28)),IF(AND(Irr!W28=".",Irr!AU28&lt;&gt;".",Irr!BS28="."),dir!X28/((1/1000)*(Irr!AU28)),IF(AND(Irr!W28&lt;&gt;".",Irr!AU28=".",Irr!BS28="."),dir!X28/((1/1000)*(Irr!W28)),IF(AND(Irr!W28=".",Irr!AU28=".",Irr!BS28="."),dir!X28*1000)))))))),".")</f>
        <v>.</v>
      </c>
      <c r="Y28" s="48" t="str">
        <f>IFERROR(IF(AND(Irr!X28&lt;&gt;".",Irr!AV28&lt;&gt;".",Irr!BT28&lt;&gt;"."),dir!Y28/((1/1000)*(Irr!X28+Irr!AV28+Irr!BT28)),IF(AND(Irr!X28&lt;&gt;".",Irr!AV28&lt;&gt;".",Irr!BT28="."),dir!Y28/((1/1000)*(Irr!X28+Irr!AV28)),IF(AND(Irr!X28&lt;&gt;".",Irr!AV28=".",Irr!BT28&lt;&gt;"."),dir!Y28/((1/1000)*(Irr!X28+Irr!BT28)),IF(AND(Irr!X28=".",Irr!AV28&lt;&gt;".",Irr!BT28&lt;&gt;"."),dir!Y28/((1/1000)*(Irr!AV28+Irr!BT28)),IF(AND(Irr!X28=".",Irr!AV28=".",Irr!BT28&lt;&gt;"."),dir!Y28/((1/1000)*(Irr!BT28)),IF(AND(Irr!X28=".",Irr!AV28&lt;&gt;".",Irr!BT28="."),dir!Y28/((1/1000)*(Irr!AV28)),IF(AND(Irr!X28&lt;&gt;".",Irr!AV28=".",Irr!BT28="."),dir!Y28/((1/1000)*(Irr!X28)),IF(AND(Irr!X28=".",Irr!AV28=".",Irr!BT28="."),dir!Y28*1000)))))))),".")</f>
        <v>.</v>
      </c>
      <c r="Z28" s="48" t="str">
        <f>IFERROR(IF(AND(Irr!Y28&lt;&gt;".",Irr!AW28&lt;&gt;".",Irr!BU28&lt;&gt;"."),dir!Z28/((1/1000)*(Irr!Y28+Irr!AW28+Irr!BU28)),IF(AND(Irr!Y28&lt;&gt;".",Irr!AW28&lt;&gt;".",Irr!BU28="."),dir!Z28/((1/1000)*(Irr!Y28+Irr!AW28)),IF(AND(Irr!Y28&lt;&gt;".",Irr!AW28=".",Irr!BU28&lt;&gt;"."),dir!Z28/((1/1000)*(Irr!Y28+Irr!BU28)),IF(AND(Irr!Y28=".",Irr!AW28&lt;&gt;".",Irr!BU28&lt;&gt;"."),dir!Z28/((1/1000)*(Irr!AW28+Irr!BU28)),IF(AND(Irr!Y28=".",Irr!AW28=".",Irr!BU28&lt;&gt;"."),dir!Z28/((1/1000)*(Irr!BU28)),IF(AND(Irr!Y28=".",Irr!AW28&lt;&gt;".",Irr!BU28="."),dir!Z28/((1/1000)*(Irr!AW28)),IF(AND(Irr!Y28&lt;&gt;".",Irr!AW28=".",Irr!BU28="."),dir!Z28/((1/1000)*(Irr!Y28)),IF(AND(Irr!Y28=".",Irr!AW28=".",Irr!BU28="."),dir!Z28*1000)))))))),".")</f>
        <v>.</v>
      </c>
      <c r="AA28" s="48" t="str">
        <f>IFERROR(IF(AND(Irr!Z28&lt;&gt;".",Irr!AX28&lt;&gt;".",Irr!BV28&lt;&gt;"."),dir!AA28/((1/1000)*(Irr!Z28+Irr!AX28+Irr!BV28)),IF(AND(Irr!Z28&lt;&gt;".",Irr!AX28&lt;&gt;".",Irr!BV28="."),dir!AA28/((1/1000)*(Irr!Z28+Irr!AX28)),IF(AND(Irr!Z28&lt;&gt;".",Irr!AX28=".",Irr!BV28&lt;&gt;"."),dir!AA28/((1/1000)*(Irr!Z28+Irr!BV28)),IF(AND(Irr!Z28=".",Irr!AX28&lt;&gt;".",Irr!BV28&lt;&gt;"."),dir!AA28/((1/1000)*(Irr!AX28+Irr!BV28)),IF(AND(Irr!Z28=".",Irr!AX28=".",Irr!BV28&lt;&gt;"."),dir!AA28/((1/1000)*(Irr!BV28)),IF(AND(Irr!Z28=".",Irr!AX28&lt;&gt;".",Irr!BV28="."),dir!AA28/((1/1000)*(Irr!AX28)),IF(AND(Irr!Z28&lt;&gt;".",Irr!AX28=".",Irr!BV28="."),dir!AA28/((1/1000)*(Irr!Z28)),IF(AND(Irr!Z28=".",Irr!AX28=".",Irr!BV28="."),dir!AA28*1000)))))))),".")</f>
        <v>.</v>
      </c>
      <c r="AB28" s="48" t="str">
        <f t="shared" si="23"/>
        <v>.</v>
      </c>
      <c r="AC28" s="48" t="str">
        <f>IFERROR(IF(AND(Irr!C28&lt;&gt;".",Irr!AA28&lt;&gt;".",Irr!AY28&lt;&gt;"."),dir!AC28/((1/1000)*(Irr!C28+Irr!AA28+Irr!AY28)),IF(AND(Irr!C28&lt;&gt;".",Irr!AA28&lt;&gt;".",Irr!AY28="."),dir!AC28/((1/1000)*(Irr!C28+Irr!AA28)),IF(AND(Irr!C28&lt;&gt;".",Irr!AA28=".",Irr!AY28&lt;&gt;"."),dir!AC28/((1/1000)*(Irr!C28+Irr!AY28)),IF(AND(Irr!C28=".",Irr!AA28&lt;&gt;".",Irr!AY28&lt;&gt;"."),dir!AC28/((1/1000)*(Irr!AA28+Irr!AY28)),IF(AND(Irr!C28=".",Irr!AA28=".",Irr!AY28&lt;&gt;"."),dir!AC28/((1/1000)*(Irr!AY28)),IF(AND(Irr!C28=".",Irr!AA28&lt;&gt;".",Irr!AY28="."),dir!AC28/((1/1000)*(Irr!AA28)),IF(AND(Irr!C28&lt;&gt;".",Irr!AA28=".",Irr!AY28="."),dir!AC28/((1/1000)*(Irr!C28)),IF(AND(Irr!C28=".",Irr!AA28=".",Irr!AY28="."),dir!AC28*1000)))))))),".")</f>
        <v>.</v>
      </c>
      <c r="AD28" s="48" t="str">
        <f>IFERROR(IF(AND(Irr!D28&lt;&gt;".",Irr!AB28&lt;&gt;".",Irr!AZ28&lt;&gt;"."),dir!AD28/((1/1000)*(Irr!D28+Irr!AB28+Irr!AZ28)),IF(AND(Irr!D28&lt;&gt;".",Irr!AB28&lt;&gt;".",Irr!AZ28="."),dir!AD28/((1/1000)*(Irr!D28+Irr!AB28)),IF(AND(Irr!D28&lt;&gt;".",Irr!AB28=".",Irr!AZ28&lt;&gt;"."),dir!AD28/((1/1000)*(Irr!D28+Irr!AZ28)),IF(AND(Irr!D28=".",Irr!AB28&lt;&gt;".",Irr!AZ28&lt;&gt;"."),dir!AD28/((1/1000)*(Irr!AB28+Irr!AZ28)),IF(AND(Irr!D28=".",Irr!AB28=".",Irr!AZ28&lt;&gt;"."),dir!AD28/((1/1000)*(Irr!AZ28)),IF(AND(Irr!D28=".",Irr!AB28&lt;&gt;".",Irr!AZ28="."),dir!AD28/((1/1000)*(Irr!AB28)),IF(AND(Irr!D28&lt;&gt;".",Irr!AB28=".",Irr!AZ28="."),dir!AD28/((1/1000)*(Irr!D28)),IF(AND(Irr!D28=".",Irr!AB28=".",Irr!AZ28="."),dir!AD28*1000)))))))),".")</f>
        <v>.</v>
      </c>
      <c r="AE28" s="48" t="str">
        <f>IFERROR(IF(AND(Irr!E28&lt;&gt;".",Irr!AC28&lt;&gt;".",Irr!BA28&lt;&gt;"."),dir!AE28/((1/1000)*(Irr!E28+Irr!AC28+Irr!BA28)),IF(AND(Irr!E28&lt;&gt;".",Irr!AC28&lt;&gt;".",Irr!BA28="."),dir!AE28/((1/1000)*(Irr!E28+Irr!AC28)),IF(AND(Irr!E28&lt;&gt;".",Irr!AC28=".",Irr!BA28&lt;&gt;"."),dir!AE28/((1/1000)*(Irr!E28+Irr!BA28)),IF(AND(Irr!E28=".",Irr!AC28&lt;&gt;".",Irr!BA28&lt;&gt;"."),dir!AE28/((1/1000)*(Irr!AC28+Irr!BA28)),IF(AND(Irr!E28=".",Irr!AC28=".",Irr!BA28&lt;&gt;"."),dir!AE28/((1/1000)*(Irr!BA28)),IF(AND(Irr!E28=".",Irr!AC28&lt;&gt;".",Irr!BA28="."),dir!AE28/((1/1000)*(Irr!AC28)),IF(AND(Irr!E28&lt;&gt;".",Irr!AC28=".",Irr!BA28="."),dir!AE28/((1/1000)*(Irr!E28)),IF(AND(Irr!E28=".",Irr!AC28=".",Irr!BA28="."),dir!AE28*1000)))))))),".")</f>
        <v>.</v>
      </c>
      <c r="AF28" s="48" t="str">
        <f>IFERROR(IF(AND(Irr!F28&lt;&gt;".",Irr!AD28&lt;&gt;".",Irr!BB28&lt;&gt;"."),dir!AF28/((1/1000)*(Irr!F28+Irr!AD28+Irr!BB28)),IF(AND(Irr!F28&lt;&gt;".",Irr!AD28&lt;&gt;".",Irr!BB28="."),dir!AF28/((1/1000)*(Irr!F28+Irr!AD28)),IF(AND(Irr!F28&lt;&gt;".",Irr!AD28=".",Irr!BB28&lt;&gt;"."),dir!AF28/((1/1000)*(Irr!F28+Irr!BB28)),IF(AND(Irr!F28=".",Irr!AD28&lt;&gt;".",Irr!BB28&lt;&gt;"."),dir!AF28/((1/1000)*(Irr!AD28+Irr!BB28)),IF(AND(Irr!F28=".",Irr!AD28=".",Irr!BB28&lt;&gt;"."),dir!AF28/((1/1000)*(Irr!BB28)),IF(AND(Irr!F28=".",Irr!AD28&lt;&gt;".",Irr!BB28="."),dir!AF28/((1/1000)*(Irr!AD28)),IF(AND(Irr!F28&lt;&gt;".",Irr!AD28=".",Irr!BB28="."),dir!AF28/((1/1000)*(Irr!F28)),IF(AND(Irr!F28=".",Irr!AD28=".",Irr!BB28="."),dir!AF28*1000)))))))),".")</f>
        <v>.</v>
      </c>
      <c r="AG28" s="48" t="str">
        <f>IFERROR(IF(AND(Irr!G28&lt;&gt;".",Irr!AE28&lt;&gt;".",Irr!BC28&lt;&gt;"."),dir!AG28/((1/1000)*(Irr!G28+Irr!AE28+Irr!BC28)),IF(AND(Irr!G28&lt;&gt;".",Irr!AE28&lt;&gt;".",Irr!BC28="."),dir!AG28/((1/1000)*(Irr!G28+Irr!AE28)),IF(AND(Irr!G28&lt;&gt;".",Irr!AE28=".",Irr!BC28&lt;&gt;"."),dir!AG28/((1/1000)*(Irr!G28+Irr!BC28)),IF(AND(Irr!G28=".",Irr!AE28&lt;&gt;".",Irr!BC28&lt;&gt;"."),dir!AG28/((1/1000)*(Irr!AE28+Irr!BC28)),IF(AND(Irr!G28=".",Irr!AE28=".",Irr!BC28&lt;&gt;"."),dir!AG28/((1/1000)*(Irr!BC28)),IF(AND(Irr!G28=".",Irr!AE28&lt;&gt;".",Irr!BC28="."),dir!AG28/((1/1000)*(Irr!AE28)),IF(AND(Irr!G28&lt;&gt;".",Irr!AE28=".",Irr!BC28="."),dir!AG28/((1/1000)*(Irr!G28)),IF(AND(Irr!G28=".",Irr!AE28=".",Irr!BC28="."),dir!AG28*1000)))))))),".")</f>
        <v>.</v>
      </c>
      <c r="AH28" s="48" t="str">
        <f>IFERROR(IF(AND(Irr!H28&lt;&gt;".",Irr!AF28&lt;&gt;".",Irr!BD28&lt;&gt;"."),dir!AH28/((1/1000)*(Irr!H28+Irr!AF28+Irr!BD28)),IF(AND(Irr!H28&lt;&gt;".",Irr!AF28&lt;&gt;".",Irr!BD28="."),dir!AH28/((1/1000)*(Irr!H28+Irr!AF28)),IF(AND(Irr!H28&lt;&gt;".",Irr!AF28=".",Irr!BD28&lt;&gt;"."),dir!AH28/((1/1000)*(Irr!H28+Irr!BD28)),IF(AND(Irr!H28=".",Irr!AF28&lt;&gt;".",Irr!BD28&lt;&gt;"."),dir!AH28/((1/1000)*(Irr!AF28+Irr!BD28)),IF(AND(Irr!H28=".",Irr!AF28=".",Irr!BD28&lt;&gt;"."),dir!AH28/((1/1000)*(Irr!BD28)),IF(AND(Irr!H28=".",Irr!AF28&lt;&gt;".",Irr!BD28="."),dir!AH28/((1/1000)*(Irr!AF28)),IF(AND(Irr!H28&lt;&gt;".",Irr!AF28=".",Irr!BD28="."),dir!AH28/((1/1000)*(Irr!H28)),IF(AND(Irr!H28=".",Irr!AF28=".",Irr!BD28="."),dir!AH28*1000)))))))),".")</f>
        <v>.</v>
      </c>
      <c r="AI28" s="48" t="str">
        <f>IFERROR(IF(AND(Irr!I28&lt;&gt;".",Irr!AG28&lt;&gt;".",Irr!BE28&lt;&gt;"."),dir!AI28/((1/1000)*(Irr!I28+Irr!AG28+Irr!BE28)),IF(AND(Irr!I28&lt;&gt;".",Irr!AG28&lt;&gt;".",Irr!BE28="."),dir!AI28/((1/1000)*(Irr!I28+Irr!AG28)),IF(AND(Irr!I28&lt;&gt;".",Irr!AG28=".",Irr!BE28&lt;&gt;"."),dir!AI28/((1/1000)*(Irr!I28+Irr!BE28)),IF(AND(Irr!I28=".",Irr!AG28&lt;&gt;".",Irr!BE28&lt;&gt;"."),dir!AI28/((1/1000)*(Irr!AG28+Irr!BE28)),IF(AND(Irr!I28=".",Irr!AG28=".",Irr!BE28&lt;&gt;"."),dir!AI28/((1/1000)*(Irr!BE28)),IF(AND(Irr!I28=".",Irr!AG28&lt;&gt;".",Irr!BE28="."),dir!AI28/((1/1000)*(Irr!AG28)),IF(AND(Irr!I28&lt;&gt;".",Irr!AG28=".",Irr!BE28="."),dir!AI28/((1/1000)*(Irr!I28)),IF(AND(Irr!I28=".",Irr!AG28=".",Irr!BE28="."),dir!AI28*1000)))))))),".")</f>
        <v>.</v>
      </c>
      <c r="AJ28" s="48" t="str">
        <f>IFERROR(IF(AND(Irr!J28&lt;&gt;".",Irr!AH28&lt;&gt;".",Irr!BF28&lt;&gt;"."),dir!AJ28/((1/1000)*(Irr!J28+Irr!AH28+Irr!BF28)),IF(AND(Irr!J28&lt;&gt;".",Irr!AH28&lt;&gt;".",Irr!BF28="."),dir!AJ28/((1/1000)*(Irr!J28+Irr!AH28)),IF(AND(Irr!J28&lt;&gt;".",Irr!AH28=".",Irr!BF28&lt;&gt;"."),dir!AJ28/((1/1000)*(Irr!J28+Irr!BF28)),IF(AND(Irr!J28=".",Irr!AH28&lt;&gt;".",Irr!BF28&lt;&gt;"."),dir!AJ28/((1/1000)*(Irr!AH28+Irr!BF28)),IF(AND(Irr!J28=".",Irr!AH28=".",Irr!BF28&lt;&gt;"."),dir!AJ28/((1/1000)*(Irr!BF28)),IF(AND(Irr!J28=".",Irr!AH28&lt;&gt;".",Irr!BF28="."),dir!AJ28/((1/1000)*(Irr!AH28)),IF(AND(Irr!J28&lt;&gt;".",Irr!AH28=".",Irr!BF28="."),dir!AJ28/((1/1000)*(Irr!J28)),IF(AND(Irr!J28=".",Irr!AH28=".",Irr!BF28="."),dir!AJ28*1000)))))))),".")</f>
        <v>.</v>
      </c>
      <c r="AK28" s="48" t="str">
        <f>IFERROR(IF(AND(Irr!K28&lt;&gt;".",Irr!AI28&lt;&gt;".",Irr!BG28&lt;&gt;"."),dir!AK28/((1/1000)*(Irr!K28+Irr!AI28+Irr!BG28)),IF(AND(Irr!K28&lt;&gt;".",Irr!AI28&lt;&gt;".",Irr!BG28="."),dir!AK28/((1/1000)*(Irr!K28+Irr!AI28)),IF(AND(Irr!K28&lt;&gt;".",Irr!AI28=".",Irr!BG28&lt;&gt;"."),dir!AK28/((1/1000)*(Irr!K28+Irr!BG28)),IF(AND(Irr!K28=".",Irr!AI28&lt;&gt;".",Irr!BG28&lt;&gt;"."),dir!AK28/((1/1000)*(Irr!AI28+Irr!BG28)),IF(AND(Irr!K28=".",Irr!AI28=".",Irr!BG28&lt;&gt;"."),dir!AK28/((1/1000)*(Irr!BG28)),IF(AND(Irr!K28=".",Irr!AI28&lt;&gt;".",Irr!BG28="."),dir!AK28/((1/1000)*(Irr!AI28)),IF(AND(Irr!K28&lt;&gt;".",Irr!AI28=".",Irr!BG28="."),dir!AK28/((1/1000)*(Irr!K28)),IF(AND(Irr!K28=".",Irr!AI28=".",Irr!BG28="."),dir!AK28*1000)))))))),".")</f>
        <v>.</v>
      </c>
      <c r="AL28" s="48" t="str">
        <f>IFERROR(IF(AND(Irr!L28&lt;&gt;".",Irr!AJ28&lt;&gt;".",Irr!BH28&lt;&gt;"."),dir!AL28/((1/1000)*(Irr!L28+Irr!AJ28+Irr!BH28)),IF(AND(Irr!L28&lt;&gt;".",Irr!AJ28&lt;&gt;".",Irr!BH28="."),dir!AL28/((1/1000)*(Irr!L28+Irr!AJ28)),IF(AND(Irr!L28&lt;&gt;".",Irr!AJ28=".",Irr!BH28&lt;&gt;"."),dir!AL28/((1/1000)*(Irr!L28+Irr!BH28)),IF(AND(Irr!L28=".",Irr!AJ28&lt;&gt;".",Irr!BH28&lt;&gt;"."),dir!AL28/((1/1000)*(Irr!AJ28+Irr!BH28)),IF(AND(Irr!L28=".",Irr!AJ28=".",Irr!BH28&lt;&gt;"."),dir!AL28/((1/1000)*(Irr!BH28)),IF(AND(Irr!L28=".",Irr!AJ28&lt;&gt;".",Irr!BH28="."),dir!AL28/((1/1000)*(Irr!AJ28)),IF(AND(Irr!L28&lt;&gt;".",Irr!AJ28=".",Irr!BH28="."),dir!AL28/((1/1000)*(Irr!L28)),IF(AND(Irr!L28=".",Irr!AJ28=".",Irr!BH28="."),dir!AL28*1000)))))))),".")</f>
        <v>.</v>
      </c>
      <c r="AM28" s="48" t="str">
        <f>IFERROR(IF(AND(Irr!M28&lt;&gt;".",Irr!AK28&lt;&gt;".",Irr!BI28&lt;&gt;"."),dir!AM28/((1/1000)*(Irr!M28+Irr!AK28+Irr!BI28)),IF(AND(Irr!M28&lt;&gt;".",Irr!AK28&lt;&gt;".",Irr!BI28="."),dir!AM28/((1/1000)*(Irr!M28+Irr!AK28)),IF(AND(Irr!M28&lt;&gt;".",Irr!AK28=".",Irr!BI28&lt;&gt;"."),dir!AM28/((1/1000)*(Irr!M28+Irr!BI28)),IF(AND(Irr!M28=".",Irr!AK28&lt;&gt;".",Irr!BI28&lt;&gt;"."),dir!AM28/((1/1000)*(Irr!AK28+Irr!BI28)),IF(AND(Irr!M28=".",Irr!AK28=".",Irr!BI28&lt;&gt;"."),dir!AM28/((1/1000)*(Irr!BI28)),IF(AND(Irr!M28=".",Irr!AK28&lt;&gt;".",Irr!BI28="."),dir!AM28/((1/1000)*(Irr!AK28)),IF(AND(Irr!M28&lt;&gt;".",Irr!AK28=".",Irr!BI28="."),dir!AM28/((1/1000)*(Irr!M28)),IF(AND(Irr!M28=".",Irr!AK28=".",Irr!BI28="."),dir!AM28*1000)))))))),".")</f>
        <v>.</v>
      </c>
      <c r="AN28" s="48" t="str">
        <f>IFERROR(IF(AND(Irr!N28&lt;&gt;".",Irr!AL28&lt;&gt;".",Irr!BJ28&lt;&gt;"."),dir!AN28/((1/1000)*(Irr!N28+Irr!AL28+Irr!BJ28)),IF(AND(Irr!N28&lt;&gt;".",Irr!AL28&lt;&gt;".",Irr!BJ28="."),dir!AN28/((1/1000)*(Irr!N28+Irr!AL28)),IF(AND(Irr!N28&lt;&gt;".",Irr!AL28=".",Irr!BJ28&lt;&gt;"."),dir!AN28/((1/1000)*(Irr!N28+Irr!BJ28)),IF(AND(Irr!N28=".",Irr!AL28&lt;&gt;".",Irr!BJ28&lt;&gt;"."),dir!AN28/((1/1000)*(Irr!AL28+Irr!BJ28)),IF(AND(Irr!N28=".",Irr!AL28=".",Irr!BJ28&lt;&gt;"."),dir!AN28/((1/1000)*(Irr!BJ28)),IF(AND(Irr!N28=".",Irr!AL28&lt;&gt;".",Irr!BJ28="."),dir!AN28/((1/1000)*(Irr!AL28)),IF(AND(Irr!N28&lt;&gt;".",Irr!AL28=".",Irr!BJ28="."),dir!AN28/((1/1000)*(Irr!N28)),IF(AND(Irr!N28=".",Irr!AL28=".",Irr!BJ28="."),dir!AN28*1000)))))))),".")</f>
        <v>.</v>
      </c>
      <c r="AO28" s="48" t="str">
        <f>IFERROR(IF(AND(Irr!O28&lt;&gt;".",Irr!AM28&lt;&gt;".",Irr!BK28&lt;&gt;"."),dir!AO28/((1/1000)*(Irr!O28+Irr!AM28+Irr!BK28)),IF(AND(Irr!O28&lt;&gt;".",Irr!AM28&lt;&gt;".",Irr!BK28="."),dir!AO28/((1/1000)*(Irr!O28+Irr!AM28)),IF(AND(Irr!O28&lt;&gt;".",Irr!AM28=".",Irr!BK28&lt;&gt;"."),dir!AO28/((1/1000)*(Irr!O28+Irr!BK28)),IF(AND(Irr!O28=".",Irr!AM28&lt;&gt;".",Irr!BK28&lt;&gt;"."),dir!AO28/((1/1000)*(Irr!AM28+Irr!BK28)),IF(AND(Irr!O28=".",Irr!AM28=".",Irr!BK28&lt;&gt;"."),dir!AO28/((1/1000)*(Irr!BK28)),IF(AND(Irr!O28=".",Irr!AM28&lt;&gt;".",Irr!BK28="."),dir!AO28/((1/1000)*(Irr!AM28)),IF(AND(Irr!O28&lt;&gt;".",Irr!AM28=".",Irr!BK28="."),dir!AO28/((1/1000)*(Irr!O28)),IF(AND(Irr!O28=".",Irr!AM28=".",Irr!BK28="."),dir!AO28*1000)))))))),".")</f>
        <v>.</v>
      </c>
      <c r="AP28" s="48" t="str">
        <f>IFERROR(IF(AND(Irr!P28&lt;&gt;".",Irr!AN28&lt;&gt;".",Irr!BL28&lt;&gt;"."),dir!AP28/((1/1000)*(Irr!P28+Irr!AN28+Irr!BL28)),IF(AND(Irr!P28&lt;&gt;".",Irr!AN28&lt;&gt;".",Irr!BL28="."),dir!AP28/((1/1000)*(Irr!P28+Irr!AN28)),IF(AND(Irr!P28&lt;&gt;".",Irr!AN28=".",Irr!BL28&lt;&gt;"."),dir!AP28/((1/1000)*(Irr!P28+Irr!BL28)),IF(AND(Irr!P28=".",Irr!AN28&lt;&gt;".",Irr!BL28&lt;&gt;"."),dir!AP28/((1/1000)*(Irr!AN28+Irr!BL28)),IF(AND(Irr!P28=".",Irr!AN28=".",Irr!BL28&lt;&gt;"."),dir!AP28/((1/1000)*(Irr!BL28)),IF(AND(Irr!P28=".",Irr!AN28&lt;&gt;".",Irr!BL28="."),dir!AP28/((1/1000)*(Irr!AN28)),IF(AND(Irr!P28&lt;&gt;".",Irr!AN28=".",Irr!BL28="."),dir!AP28/((1/1000)*(Irr!P28)),IF(AND(Irr!P28=".",Irr!AN28=".",Irr!BL28="."),dir!AP28*1000)))))))),".")</f>
        <v>.</v>
      </c>
      <c r="AQ28" s="48" t="str">
        <f>IFERROR(IF(AND(Irr!Q28&lt;&gt;".",Irr!AO28&lt;&gt;".",Irr!BM28&lt;&gt;"."),dir!AQ28/((1/1000)*(Irr!Q28+Irr!AO28+Irr!BM28)),IF(AND(Irr!Q28&lt;&gt;".",Irr!AO28&lt;&gt;".",Irr!BM28="."),dir!AQ28/((1/1000)*(Irr!Q28+Irr!AO28)),IF(AND(Irr!Q28&lt;&gt;".",Irr!AO28=".",Irr!BM28&lt;&gt;"."),dir!AQ28/((1/1000)*(Irr!Q28+Irr!BM28)),IF(AND(Irr!Q28=".",Irr!AO28&lt;&gt;".",Irr!BM28&lt;&gt;"."),dir!AQ28/((1/1000)*(Irr!AO28+Irr!BM28)),IF(AND(Irr!Q28=".",Irr!AO28=".",Irr!BM28&lt;&gt;"."),dir!AQ28/((1/1000)*(Irr!BM28)),IF(AND(Irr!Q28=".",Irr!AO28&lt;&gt;".",Irr!BM28="."),dir!AQ28/((1/1000)*(Irr!AO28)),IF(AND(Irr!Q28&lt;&gt;".",Irr!AO28=".",Irr!BM28="."),dir!AQ28/((1/1000)*(Irr!Q28)),IF(AND(Irr!Q28=".",Irr!AO28=".",Irr!BM28="."),dir!AQ28*1000)))))))),".")</f>
        <v>.</v>
      </c>
      <c r="AR28" s="48" t="str">
        <f>IFERROR(IF(AND(Irr!R28&lt;&gt;".",Irr!AP28&lt;&gt;".",Irr!BN28&lt;&gt;"."),dir!AR28/((1/1000)*(Irr!R28+Irr!AP28+Irr!BN28)),IF(AND(Irr!R28&lt;&gt;".",Irr!AP28&lt;&gt;".",Irr!BN28="."),dir!AR28/((1/1000)*(Irr!R28+Irr!AP28)),IF(AND(Irr!R28&lt;&gt;".",Irr!AP28=".",Irr!BN28&lt;&gt;"."),dir!AR28/((1/1000)*(Irr!R28+Irr!BN28)),IF(AND(Irr!R28=".",Irr!AP28&lt;&gt;".",Irr!BN28&lt;&gt;"."),dir!AR28/((1/1000)*(Irr!AP28+Irr!BN28)),IF(AND(Irr!R28=".",Irr!AP28=".",Irr!BN28&lt;&gt;"."),dir!AR28/((1/1000)*(Irr!BN28)),IF(AND(Irr!R28=".",Irr!AP28&lt;&gt;".",Irr!BN28="."),dir!AR28/((1/1000)*(Irr!AP28)),IF(AND(Irr!R28&lt;&gt;".",Irr!AP28=".",Irr!BN28="."),dir!AR28/((1/1000)*(Irr!R28)),IF(AND(Irr!R28=".",Irr!AP28=".",Irr!BN28="."),dir!AR28*1000)))))))),".")</f>
        <v>.</v>
      </c>
      <c r="AS28" s="48" t="str">
        <f>IFERROR(IF(AND(Irr!S28&lt;&gt;".",Irr!AQ28&lt;&gt;".",Irr!BO28&lt;&gt;"."),dir!AS28/((1/1000)*(Irr!S28+Irr!AQ28+Irr!BO28)),IF(AND(Irr!S28&lt;&gt;".",Irr!AQ28&lt;&gt;".",Irr!BO28="."),dir!AS28/((1/1000)*(Irr!S28+Irr!AQ28)),IF(AND(Irr!S28&lt;&gt;".",Irr!AQ28=".",Irr!BO28&lt;&gt;"."),dir!AS28/((1/1000)*(Irr!S28+Irr!BO28)),IF(AND(Irr!S28=".",Irr!AQ28&lt;&gt;".",Irr!BO28&lt;&gt;"."),dir!AS28/((1/1000)*(Irr!AQ28+Irr!BO28)),IF(AND(Irr!S28=".",Irr!AQ28=".",Irr!BO28&lt;&gt;"."),dir!AS28/((1/1000)*(Irr!BO28)),IF(AND(Irr!S28=".",Irr!AQ28&lt;&gt;".",Irr!BO28="."),dir!AS28/((1/1000)*(Irr!AQ28)),IF(AND(Irr!S28&lt;&gt;".",Irr!AQ28=".",Irr!BO28="."),dir!AS28/((1/1000)*(Irr!S28)),IF(AND(Irr!S28=".",Irr!AQ28=".",Irr!BO28="."),dir!AS28*1000)))))))),".")</f>
        <v>.</v>
      </c>
      <c r="AT28" s="48" t="str">
        <f>IFERROR(IF(AND(Irr!T28&lt;&gt;".",Irr!AR28&lt;&gt;".",Irr!BP28&lt;&gt;"."),dir!AT28/((1/1000)*(Irr!T28+Irr!AR28+Irr!BP28)),IF(AND(Irr!T28&lt;&gt;".",Irr!AR28&lt;&gt;".",Irr!BP28="."),dir!AT28/((1/1000)*(Irr!T28+Irr!AR28)),IF(AND(Irr!T28&lt;&gt;".",Irr!AR28=".",Irr!BP28&lt;&gt;"."),dir!AT28/((1/1000)*(Irr!T28+Irr!BP28)),IF(AND(Irr!T28=".",Irr!AR28&lt;&gt;".",Irr!BP28&lt;&gt;"."),dir!AT28/((1/1000)*(Irr!AR28+Irr!BP28)),IF(AND(Irr!T28=".",Irr!AR28=".",Irr!BP28&lt;&gt;"."),dir!AT28/((1/1000)*(Irr!BP28)),IF(AND(Irr!T28=".",Irr!AR28&lt;&gt;".",Irr!BP28="."),dir!AT28/((1/1000)*(Irr!AR28)),IF(AND(Irr!T28&lt;&gt;".",Irr!AR28=".",Irr!BP28="."),dir!AT28/((1/1000)*(Irr!T28)),IF(AND(Irr!T28=".",Irr!AR28=".",Irr!BP28="."),dir!AT28*1000)))))))),".")</f>
        <v>.</v>
      </c>
      <c r="AU28" s="48" t="str">
        <f>IFERROR(IF(AND(Irr!U28&lt;&gt;".",Irr!AS28&lt;&gt;".",Irr!BQ28&lt;&gt;"."),dir!AU28/((1/1000)*(Irr!U28+Irr!AS28+Irr!BQ28)),IF(AND(Irr!U28&lt;&gt;".",Irr!AS28&lt;&gt;".",Irr!BQ28="."),dir!AU28/((1/1000)*(Irr!U28+Irr!AS28)),IF(AND(Irr!U28&lt;&gt;".",Irr!AS28=".",Irr!BQ28&lt;&gt;"."),dir!AU28/((1/1000)*(Irr!U28+Irr!BQ28)),IF(AND(Irr!U28=".",Irr!AS28&lt;&gt;".",Irr!BQ28&lt;&gt;"."),dir!AU28/((1/1000)*(Irr!AS28+Irr!BQ28)),IF(AND(Irr!U28=".",Irr!AS28=".",Irr!BQ28&lt;&gt;"."),dir!AU28/((1/1000)*(Irr!BQ28)),IF(AND(Irr!U28=".",Irr!AS28&lt;&gt;".",Irr!BQ28="."),dir!AU28/((1/1000)*(Irr!AS28)),IF(AND(Irr!U28&lt;&gt;".",Irr!AS28=".",Irr!BQ28="."),dir!AU28/((1/1000)*(Irr!U28)),IF(AND(Irr!U28=".",Irr!AS28=".",Irr!BQ28="."),dir!AU28*1000)))))))),".")</f>
        <v>.</v>
      </c>
      <c r="AV28" s="48" t="str">
        <f>IFERROR(IF(AND(Irr!V28&lt;&gt;".",Irr!AT28&lt;&gt;".",Irr!BR28&lt;&gt;"."),dir!AV28/((1/1000)*(Irr!V28+Irr!AT28+Irr!BR28)),IF(AND(Irr!V28&lt;&gt;".",Irr!AT28&lt;&gt;".",Irr!BR28="."),dir!AV28/((1/1000)*(Irr!V28+Irr!AT28)),IF(AND(Irr!V28&lt;&gt;".",Irr!AT28=".",Irr!BR28&lt;&gt;"."),dir!AV28/((1/1000)*(Irr!V28+Irr!BR28)),IF(AND(Irr!V28=".",Irr!AT28&lt;&gt;".",Irr!BR28&lt;&gt;"."),dir!AV28/((1/1000)*(Irr!AT28+Irr!BR28)),IF(AND(Irr!V28=".",Irr!AT28=".",Irr!BR28&lt;&gt;"."),dir!AV28/((1/1000)*(Irr!BR28)),IF(AND(Irr!V28=".",Irr!AT28&lt;&gt;".",Irr!BR28="."),dir!AV28/((1/1000)*(Irr!AT28)),IF(AND(Irr!V28&lt;&gt;".",Irr!AT28=".",Irr!BR28="."),dir!AV28/((1/1000)*(Irr!V28)),IF(AND(Irr!V28=".",Irr!AT28=".",Irr!BR28="."),dir!AV28*1000)))))))),".")</f>
        <v>.</v>
      </c>
      <c r="AW28" s="48" t="str">
        <f>IFERROR(IF(AND(Irr!W28&lt;&gt;".",Irr!AU28&lt;&gt;".",Irr!BS28&lt;&gt;"."),dir!AW28/((1/1000)*(Irr!W28+Irr!AU28+Irr!BS28)),IF(AND(Irr!W28&lt;&gt;".",Irr!AU28&lt;&gt;".",Irr!BS28="."),dir!AW28/((1/1000)*(Irr!W28+Irr!AU28)),IF(AND(Irr!W28&lt;&gt;".",Irr!AU28=".",Irr!BS28&lt;&gt;"."),dir!AW28/((1/1000)*(Irr!W28+Irr!BS28)),IF(AND(Irr!W28=".",Irr!AU28&lt;&gt;".",Irr!BS28&lt;&gt;"."),dir!AW28/((1/1000)*(Irr!AU28+Irr!BS28)),IF(AND(Irr!W28=".",Irr!AU28=".",Irr!BS28&lt;&gt;"."),dir!AW28/((1/1000)*(Irr!BS28)),IF(AND(Irr!W28=".",Irr!AU28&lt;&gt;".",Irr!BS28="."),dir!AW28/((1/1000)*(Irr!AU28)),IF(AND(Irr!W28&lt;&gt;".",Irr!AU28=".",Irr!BS28="."),dir!AW28/((1/1000)*(Irr!W28)),IF(AND(Irr!W28=".",Irr!AU28=".",Irr!BS28="."),dir!AW28*1000)))))))),".")</f>
        <v>.</v>
      </c>
      <c r="AX28" s="48" t="str">
        <f>IFERROR(IF(AND(Irr!X28&lt;&gt;".",Irr!AV28&lt;&gt;".",Irr!BT28&lt;&gt;"."),dir!AX28/((1/1000)*(Irr!X28+Irr!AV28+Irr!BT28)),IF(AND(Irr!X28&lt;&gt;".",Irr!AV28&lt;&gt;".",Irr!BT28="."),dir!AX28/((1/1000)*(Irr!X28+Irr!AV28)),IF(AND(Irr!X28&lt;&gt;".",Irr!AV28=".",Irr!BT28&lt;&gt;"."),dir!AX28/((1/1000)*(Irr!X28+Irr!BT28)),IF(AND(Irr!X28=".",Irr!AV28&lt;&gt;".",Irr!BT28&lt;&gt;"."),dir!AX28/((1/1000)*(Irr!AV28+Irr!BT28)),IF(AND(Irr!X28=".",Irr!AV28=".",Irr!BT28&lt;&gt;"."),dir!AX28/((1/1000)*(Irr!BT28)),IF(AND(Irr!X28=".",Irr!AV28&lt;&gt;".",Irr!BT28="."),dir!AX28/((1/1000)*(Irr!AV28)),IF(AND(Irr!X28&lt;&gt;".",Irr!AV28=".",Irr!BT28="."),dir!AX28/((1/1000)*(Irr!X28)),IF(AND(Irr!X28=".",Irr!AV28=".",Irr!BT28="."),dir!AX28*1000)))))))),".")</f>
        <v>.</v>
      </c>
      <c r="AY28" s="48" t="str">
        <f>IFERROR(IF(AND(Irr!Y28&lt;&gt;".",Irr!AW28&lt;&gt;".",Irr!BU28&lt;&gt;"."),dir!AY28/((1/1000)*(Irr!Y28+Irr!AW28+Irr!BU28)),IF(AND(Irr!Y28&lt;&gt;".",Irr!AW28&lt;&gt;".",Irr!BU28="."),dir!AY28/((1/1000)*(Irr!Y28+Irr!AW28)),IF(AND(Irr!Y28&lt;&gt;".",Irr!AW28=".",Irr!BU28&lt;&gt;"."),dir!AY28/((1/1000)*(Irr!Y28+Irr!BU28)),IF(AND(Irr!Y28=".",Irr!AW28&lt;&gt;".",Irr!BU28&lt;&gt;"."),dir!AY28/((1/1000)*(Irr!AW28+Irr!BU28)),IF(AND(Irr!Y28=".",Irr!AW28=".",Irr!BU28&lt;&gt;"."),dir!AY28/((1/1000)*(Irr!BU28)),IF(AND(Irr!Y28=".",Irr!AW28&lt;&gt;".",Irr!BU28="."),dir!AY28/((1/1000)*(Irr!AW28)),IF(AND(Irr!Y28&lt;&gt;".",Irr!AW28=".",Irr!BU28="."),dir!AY28/((1/1000)*(Irr!Y28)),IF(AND(Irr!Y28=".",Irr!AW28=".",Irr!BU28="."),dir!AY28*1000)))))))),".")</f>
        <v>.</v>
      </c>
      <c r="AZ28" s="48" t="str">
        <f>IFERROR(IF(AND(Irr!Z28&lt;&gt;".",Irr!AX28&lt;&gt;".",Irr!BV28&lt;&gt;"."),dir!AZ28/((1/1000)*(Irr!Z28+Irr!AX28+Irr!BV28)),IF(AND(Irr!Z28&lt;&gt;".",Irr!AX28&lt;&gt;".",Irr!BV28="."),dir!AZ28/((1/1000)*(Irr!Z28+Irr!AX28)),IF(AND(Irr!Z28&lt;&gt;".",Irr!AX28=".",Irr!BV28&lt;&gt;"."),dir!AZ28/((1/1000)*(Irr!Z28+Irr!BV28)),IF(AND(Irr!Z28=".",Irr!AX28&lt;&gt;".",Irr!BV28&lt;&gt;"."),dir!AZ28/((1/1000)*(Irr!AX28+Irr!BV28)),IF(AND(Irr!Z28=".",Irr!AX28=".",Irr!BV28&lt;&gt;"."),dir!AZ28/((1/1000)*(Irr!BV28)),IF(AND(Irr!Z28=".",Irr!AX28&lt;&gt;".",Irr!BV28="."),dir!AZ28/((1/1000)*(Irr!AX28)),IF(AND(Irr!Z28&lt;&gt;".",Irr!AX28=".",Irr!BV28="."),dir!AZ28/((1/1000)*(Irr!Z28)),IF(AND(Irr!Z28=".",Irr!AX28=".",Irr!BV28="."),dir!AZ28*1000)))))))),".")</f>
        <v>.</v>
      </c>
    </row>
    <row r="29" spans="1:52" ht="15" customHeight="1" x14ac:dyDescent="0.25">
      <c r="A29" s="61" t="s">
        <v>27</v>
      </c>
      <c r="B29" s="49" t="s">
        <v>1059</v>
      </c>
      <c r="C29" s="48" t="str">
        <f t="shared" si="22"/>
        <v>.</v>
      </c>
      <c r="D29" s="48" t="str">
        <f>IFERROR(IF(AND(Irr!C29&lt;&gt;".",Irr!AA29&lt;&gt;".",Irr!AY29&lt;&gt;"."),dir!D29/((1/1000)*(Irr!C29+Irr!AA29+Irr!AY29)),IF(AND(Irr!C29&lt;&gt;".",Irr!AA29&lt;&gt;".",Irr!AY29="."),dir!D29/((1/1000)*(Irr!C29+Irr!AA29)),IF(AND(Irr!C29&lt;&gt;".",Irr!AA29=".",Irr!AY29&lt;&gt;"."),dir!D29/((1/1000)*(Irr!C29+Irr!AY29)),IF(AND(Irr!C29=".",Irr!AA29&lt;&gt;".",Irr!AY29&lt;&gt;"."),dir!D29/((1/1000)*(Irr!AA29+Irr!AY29)),IF(AND(Irr!C29=".",Irr!AA29=".",Irr!AY29&lt;&gt;"."),dir!D29/((1/1000)*(Irr!AY29)),IF(AND(Irr!C29=".",Irr!AA29&lt;&gt;".",Irr!AY29="."),dir!D29/((1/1000)*(Irr!AA29)),IF(AND(Irr!C29&lt;&gt;".",Irr!AA29=".",Irr!AY29="."),dir!D29/((1/1000)*(Irr!C29)),IF(AND(Irr!C29=".",Irr!AA29=".",Irr!AY29="."),dir!D29*1000)))))))),".")</f>
        <v>.</v>
      </c>
      <c r="E29" s="48" t="str">
        <f>IFERROR(IF(AND(Irr!D29&lt;&gt;".",Irr!AB29&lt;&gt;".",Irr!AZ29&lt;&gt;"."),dir!E29/((1/1000)*(Irr!D29+Irr!AB29+Irr!AZ29)),IF(AND(Irr!D29&lt;&gt;".",Irr!AB29&lt;&gt;".",Irr!AZ29="."),dir!E29/((1/1000)*(Irr!D29+Irr!AB29)),IF(AND(Irr!D29&lt;&gt;".",Irr!AB29=".",Irr!AZ29&lt;&gt;"."),dir!E29/((1/1000)*(Irr!D29+Irr!AZ29)),IF(AND(Irr!D29=".",Irr!AB29&lt;&gt;".",Irr!AZ29&lt;&gt;"."),dir!E29/((1/1000)*(Irr!AB29+Irr!AZ29)),IF(AND(Irr!D29=".",Irr!AB29=".",Irr!AZ29&lt;&gt;"."),dir!E29/((1/1000)*(Irr!AZ29)),IF(AND(Irr!D29=".",Irr!AB29&lt;&gt;".",Irr!AZ29="."),dir!E29/((1/1000)*(Irr!AB29)),IF(AND(Irr!D29&lt;&gt;".",Irr!AB29=".",Irr!AZ29="."),dir!E29/((1/1000)*(Irr!D29)),IF(AND(Irr!D29=".",Irr!AB29=".",Irr!AZ29="."),dir!E29*1000)))))))),".")</f>
        <v>.</v>
      </c>
      <c r="F29" s="48" t="str">
        <f>IFERROR(IF(AND(Irr!E29&lt;&gt;".",Irr!AC29&lt;&gt;".",Irr!BA29&lt;&gt;"."),dir!F29/((1/1000)*(Irr!E29+Irr!AC29+Irr!BA29)),IF(AND(Irr!E29&lt;&gt;".",Irr!AC29&lt;&gt;".",Irr!BA29="."),dir!F29/((1/1000)*(Irr!E29+Irr!AC29)),IF(AND(Irr!E29&lt;&gt;".",Irr!AC29=".",Irr!BA29&lt;&gt;"."),dir!F29/((1/1000)*(Irr!E29+Irr!BA29)),IF(AND(Irr!E29=".",Irr!AC29&lt;&gt;".",Irr!BA29&lt;&gt;"."),dir!F29/((1/1000)*(Irr!AC29+Irr!BA29)),IF(AND(Irr!E29=".",Irr!AC29=".",Irr!BA29&lt;&gt;"."),dir!F29/((1/1000)*(Irr!BA29)),IF(AND(Irr!E29=".",Irr!AC29&lt;&gt;".",Irr!BA29="."),dir!F29/((1/1000)*(Irr!AC29)),IF(AND(Irr!E29&lt;&gt;".",Irr!AC29=".",Irr!BA29="."),dir!F29/((1/1000)*(Irr!E29)),IF(AND(Irr!E29=".",Irr!AC29=".",Irr!BA29="."),dir!F29*1000)))))))),".")</f>
        <v>.</v>
      </c>
      <c r="G29" s="48" t="str">
        <f>IFERROR(IF(AND(Irr!F29&lt;&gt;".",Irr!AD29&lt;&gt;".",Irr!BB29&lt;&gt;"."),dir!G29/((1/1000)*(Irr!F29+Irr!AD29+Irr!BB29)),IF(AND(Irr!F29&lt;&gt;".",Irr!AD29&lt;&gt;".",Irr!BB29="."),dir!G29/((1/1000)*(Irr!F29+Irr!AD29)),IF(AND(Irr!F29&lt;&gt;".",Irr!AD29=".",Irr!BB29&lt;&gt;"."),dir!G29/((1/1000)*(Irr!F29+Irr!BB29)),IF(AND(Irr!F29=".",Irr!AD29&lt;&gt;".",Irr!BB29&lt;&gt;"."),dir!G29/((1/1000)*(Irr!AD29+Irr!BB29)),IF(AND(Irr!F29=".",Irr!AD29=".",Irr!BB29&lt;&gt;"."),dir!G29/((1/1000)*(Irr!BB29)),IF(AND(Irr!F29=".",Irr!AD29&lt;&gt;".",Irr!BB29="."),dir!G29/((1/1000)*(Irr!AD29)),IF(AND(Irr!F29&lt;&gt;".",Irr!AD29=".",Irr!BB29="."),dir!G29/((1/1000)*(Irr!F29)),IF(AND(Irr!F29=".",Irr!AD29=".",Irr!BB29="."),dir!G29*1000)))))))),".")</f>
        <v>.</v>
      </c>
      <c r="H29" s="48" t="str">
        <f>IFERROR(IF(AND(Irr!G29&lt;&gt;".",Irr!AE29&lt;&gt;".",Irr!BC29&lt;&gt;"."),dir!H29/((1/1000)*(Irr!G29+Irr!AE29+Irr!BC29)),IF(AND(Irr!G29&lt;&gt;".",Irr!AE29&lt;&gt;".",Irr!BC29="."),dir!H29/((1/1000)*(Irr!G29+Irr!AE29)),IF(AND(Irr!G29&lt;&gt;".",Irr!AE29=".",Irr!BC29&lt;&gt;"."),dir!H29/((1/1000)*(Irr!G29+Irr!BC29)),IF(AND(Irr!G29=".",Irr!AE29&lt;&gt;".",Irr!BC29&lt;&gt;"."),dir!H29/((1/1000)*(Irr!AE29+Irr!BC29)),IF(AND(Irr!G29=".",Irr!AE29=".",Irr!BC29&lt;&gt;"."),dir!H29/((1/1000)*(Irr!BC29)),IF(AND(Irr!G29=".",Irr!AE29&lt;&gt;".",Irr!BC29="."),dir!H29/((1/1000)*(Irr!AE29)),IF(AND(Irr!G29&lt;&gt;".",Irr!AE29=".",Irr!BC29="."),dir!H29/((1/1000)*(Irr!G29)),IF(AND(Irr!G29=".",Irr!AE29=".",Irr!BC29="."),dir!H29*1000)))))))),".")</f>
        <v>.</v>
      </c>
      <c r="I29" s="48" t="str">
        <f>IFERROR(IF(AND(Irr!H29&lt;&gt;".",Irr!AF29&lt;&gt;".",Irr!BD29&lt;&gt;"."),dir!I29/((1/1000)*(Irr!H29+Irr!AF29+Irr!BD29)),IF(AND(Irr!H29&lt;&gt;".",Irr!AF29&lt;&gt;".",Irr!BD29="."),dir!I29/((1/1000)*(Irr!H29+Irr!AF29)),IF(AND(Irr!H29&lt;&gt;".",Irr!AF29=".",Irr!BD29&lt;&gt;"."),dir!I29/((1/1000)*(Irr!H29+Irr!BD29)),IF(AND(Irr!H29=".",Irr!AF29&lt;&gt;".",Irr!BD29&lt;&gt;"."),dir!I29/((1/1000)*(Irr!AF29+Irr!BD29)),IF(AND(Irr!H29=".",Irr!AF29=".",Irr!BD29&lt;&gt;"."),dir!I29/((1/1000)*(Irr!BD29)),IF(AND(Irr!H29=".",Irr!AF29&lt;&gt;".",Irr!BD29="."),dir!I29/((1/1000)*(Irr!AF29)),IF(AND(Irr!H29&lt;&gt;".",Irr!AF29=".",Irr!BD29="."),dir!I29/((1/1000)*(Irr!H29)),IF(AND(Irr!H29=".",Irr!AF29=".",Irr!BD29="."),dir!I29*1000)))))))),".")</f>
        <v>.</v>
      </c>
      <c r="J29" s="48" t="str">
        <f>IFERROR(IF(AND(Irr!I29&lt;&gt;".",Irr!AG29&lt;&gt;".",Irr!BE29&lt;&gt;"."),dir!J29/((1/1000)*(Irr!I29+Irr!AG29+Irr!BE29)),IF(AND(Irr!I29&lt;&gt;".",Irr!AG29&lt;&gt;".",Irr!BE29="."),dir!J29/((1/1000)*(Irr!I29+Irr!AG29)),IF(AND(Irr!I29&lt;&gt;".",Irr!AG29=".",Irr!BE29&lt;&gt;"."),dir!J29/((1/1000)*(Irr!I29+Irr!BE29)),IF(AND(Irr!I29=".",Irr!AG29&lt;&gt;".",Irr!BE29&lt;&gt;"."),dir!J29/((1/1000)*(Irr!AG29+Irr!BE29)),IF(AND(Irr!I29=".",Irr!AG29=".",Irr!BE29&lt;&gt;"."),dir!J29/((1/1000)*(Irr!BE29)),IF(AND(Irr!I29=".",Irr!AG29&lt;&gt;".",Irr!BE29="."),dir!J29/((1/1000)*(Irr!AG29)),IF(AND(Irr!I29&lt;&gt;".",Irr!AG29=".",Irr!BE29="."),dir!J29/((1/1000)*(Irr!I29)),IF(AND(Irr!I29=".",Irr!AG29=".",Irr!BE29="."),dir!J29*1000)))))))),".")</f>
        <v>.</v>
      </c>
      <c r="K29" s="48" t="str">
        <f>IFERROR(IF(AND(Irr!J29&lt;&gt;".",Irr!AH29&lt;&gt;".",Irr!BF29&lt;&gt;"."),dir!K29/((1/1000)*(Irr!J29+Irr!AH29+Irr!BF29)),IF(AND(Irr!J29&lt;&gt;".",Irr!AH29&lt;&gt;".",Irr!BF29="."),dir!K29/((1/1000)*(Irr!J29+Irr!AH29)),IF(AND(Irr!J29&lt;&gt;".",Irr!AH29=".",Irr!BF29&lt;&gt;"."),dir!K29/((1/1000)*(Irr!J29+Irr!BF29)),IF(AND(Irr!J29=".",Irr!AH29&lt;&gt;".",Irr!BF29&lt;&gt;"."),dir!K29/((1/1000)*(Irr!AH29+Irr!BF29)),IF(AND(Irr!J29=".",Irr!AH29=".",Irr!BF29&lt;&gt;"."),dir!K29/((1/1000)*(Irr!BF29)),IF(AND(Irr!J29=".",Irr!AH29&lt;&gt;".",Irr!BF29="."),dir!K29/((1/1000)*(Irr!AH29)),IF(AND(Irr!J29&lt;&gt;".",Irr!AH29=".",Irr!BF29="."),dir!K29/((1/1000)*(Irr!J29)),IF(AND(Irr!J29=".",Irr!AH29=".",Irr!BF29="."),dir!K29*1000)))))))),".")</f>
        <v>.</v>
      </c>
      <c r="L29" s="48" t="str">
        <f>IFERROR(IF(AND(Irr!K29&lt;&gt;".",Irr!AI29&lt;&gt;".",Irr!BG29&lt;&gt;"."),dir!L29/((1/1000)*(Irr!K29+Irr!AI29+Irr!BG29)),IF(AND(Irr!K29&lt;&gt;".",Irr!AI29&lt;&gt;".",Irr!BG29="."),dir!L29/((1/1000)*(Irr!K29+Irr!AI29)),IF(AND(Irr!K29&lt;&gt;".",Irr!AI29=".",Irr!BG29&lt;&gt;"."),dir!L29/((1/1000)*(Irr!K29+Irr!BG29)),IF(AND(Irr!K29=".",Irr!AI29&lt;&gt;".",Irr!BG29&lt;&gt;"."),dir!L29/((1/1000)*(Irr!AI29+Irr!BG29)),IF(AND(Irr!K29=".",Irr!AI29=".",Irr!BG29&lt;&gt;"."),dir!L29/((1/1000)*(Irr!BG29)),IF(AND(Irr!K29=".",Irr!AI29&lt;&gt;".",Irr!BG29="."),dir!L29/((1/1000)*(Irr!AI29)),IF(AND(Irr!K29&lt;&gt;".",Irr!AI29=".",Irr!BG29="."),dir!L29/((1/1000)*(Irr!K29)),IF(AND(Irr!K29=".",Irr!AI29=".",Irr!BG29="."),dir!L29*1000)))))))),".")</f>
        <v>.</v>
      </c>
      <c r="M29" s="48" t="str">
        <f>IFERROR(IF(AND(Irr!L29&lt;&gt;".",Irr!AJ29&lt;&gt;".",Irr!BH29&lt;&gt;"."),dir!M29/((1/1000)*(Irr!L29+Irr!AJ29+Irr!BH29)),IF(AND(Irr!L29&lt;&gt;".",Irr!AJ29&lt;&gt;".",Irr!BH29="."),dir!M29/((1/1000)*(Irr!L29+Irr!AJ29)),IF(AND(Irr!L29&lt;&gt;".",Irr!AJ29=".",Irr!BH29&lt;&gt;"."),dir!M29/((1/1000)*(Irr!L29+Irr!BH29)),IF(AND(Irr!L29=".",Irr!AJ29&lt;&gt;".",Irr!BH29&lt;&gt;"."),dir!M29/((1/1000)*(Irr!AJ29+Irr!BH29)),IF(AND(Irr!L29=".",Irr!AJ29=".",Irr!BH29&lt;&gt;"."),dir!M29/((1/1000)*(Irr!BH29)),IF(AND(Irr!L29=".",Irr!AJ29&lt;&gt;".",Irr!BH29="."),dir!M29/((1/1000)*(Irr!AJ29)),IF(AND(Irr!L29&lt;&gt;".",Irr!AJ29=".",Irr!BH29="."),dir!M29/((1/1000)*(Irr!L29)),IF(AND(Irr!L29=".",Irr!AJ29=".",Irr!BH29="."),dir!M29*1000)))))))),".")</f>
        <v>.</v>
      </c>
      <c r="N29" s="48" t="str">
        <f>IFERROR(IF(AND(Irr!M29&lt;&gt;".",Irr!AK29&lt;&gt;".",Irr!BI29&lt;&gt;"."),dir!N29/((1/1000)*(Irr!M29+Irr!AK29+Irr!BI29)),IF(AND(Irr!M29&lt;&gt;".",Irr!AK29&lt;&gt;".",Irr!BI29="."),dir!N29/((1/1000)*(Irr!M29+Irr!AK29)),IF(AND(Irr!M29&lt;&gt;".",Irr!AK29=".",Irr!BI29&lt;&gt;"."),dir!N29/((1/1000)*(Irr!M29+Irr!BI29)),IF(AND(Irr!M29=".",Irr!AK29&lt;&gt;".",Irr!BI29&lt;&gt;"."),dir!N29/((1/1000)*(Irr!AK29+Irr!BI29)),IF(AND(Irr!M29=".",Irr!AK29=".",Irr!BI29&lt;&gt;"."),dir!N29/((1/1000)*(Irr!BI29)),IF(AND(Irr!M29=".",Irr!AK29&lt;&gt;".",Irr!BI29="."),dir!N29/((1/1000)*(Irr!AK29)),IF(AND(Irr!M29&lt;&gt;".",Irr!AK29=".",Irr!BI29="."),dir!N29/((1/1000)*(Irr!M29)),IF(AND(Irr!M29=".",Irr!AK29=".",Irr!BI29="."),dir!N29*1000)))))))),".")</f>
        <v>.</v>
      </c>
      <c r="O29" s="48" t="str">
        <f>IFERROR(IF(AND(Irr!N29&lt;&gt;".",Irr!AL29&lt;&gt;".",Irr!BJ29&lt;&gt;"."),dir!O29/((1/1000)*(Irr!N29+Irr!AL29+Irr!BJ29)),IF(AND(Irr!N29&lt;&gt;".",Irr!AL29&lt;&gt;".",Irr!BJ29="."),dir!O29/((1/1000)*(Irr!N29+Irr!AL29)),IF(AND(Irr!N29&lt;&gt;".",Irr!AL29=".",Irr!BJ29&lt;&gt;"."),dir!O29/((1/1000)*(Irr!N29+Irr!BJ29)),IF(AND(Irr!N29=".",Irr!AL29&lt;&gt;".",Irr!BJ29&lt;&gt;"."),dir!O29/((1/1000)*(Irr!AL29+Irr!BJ29)),IF(AND(Irr!N29=".",Irr!AL29=".",Irr!BJ29&lt;&gt;"."),dir!O29/((1/1000)*(Irr!BJ29)),IF(AND(Irr!N29=".",Irr!AL29&lt;&gt;".",Irr!BJ29="."),dir!O29/((1/1000)*(Irr!AL29)),IF(AND(Irr!N29&lt;&gt;".",Irr!AL29=".",Irr!BJ29="."),dir!O29/((1/1000)*(Irr!N29)),IF(AND(Irr!N29=".",Irr!AL29=".",Irr!BJ29="."),dir!O29*1000)))))))),".")</f>
        <v>.</v>
      </c>
      <c r="P29" s="48" t="str">
        <f>IFERROR(IF(AND(Irr!O29&lt;&gt;".",Irr!AM29&lt;&gt;".",Irr!BK29&lt;&gt;"."),dir!P29/((1/1000)*(Irr!O29+Irr!AM29+Irr!BK29)),IF(AND(Irr!O29&lt;&gt;".",Irr!AM29&lt;&gt;".",Irr!BK29="."),dir!P29/((1/1000)*(Irr!O29+Irr!AM29)),IF(AND(Irr!O29&lt;&gt;".",Irr!AM29=".",Irr!BK29&lt;&gt;"."),dir!P29/((1/1000)*(Irr!O29+Irr!BK29)),IF(AND(Irr!O29=".",Irr!AM29&lt;&gt;".",Irr!BK29&lt;&gt;"."),dir!P29/((1/1000)*(Irr!AM29+Irr!BK29)),IF(AND(Irr!O29=".",Irr!AM29=".",Irr!BK29&lt;&gt;"."),dir!P29/((1/1000)*(Irr!BK29)),IF(AND(Irr!O29=".",Irr!AM29&lt;&gt;".",Irr!BK29="."),dir!P29/((1/1000)*(Irr!AM29)),IF(AND(Irr!O29&lt;&gt;".",Irr!AM29=".",Irr!BK29="."),dir!P29/((1/1000)*(Irr!O29)),IF(AND(Irr!O29=".",Irr!AM29=".",Irr!BK29="."),dir!P29*1000)))))))),".")</f>
        <v>.</v>
      </c>
      <c r="Q29" s="48" t="str">
        <f>IFERROR(IF(AND(Irr!P29&lt;&gt;".",Irr!AN29&lt;&gt;".",Irr!BL29&lt;&gt;"."),dir!Q29/((1/1000)*(Irr!P29+Irr!AN29+Irr!BL29)),IF(AND(Irr!P29&lt;&gt;".",Irr!AN29&lt;&gt;".",Irr!BL29="."),dir!Q29/((1/1000)*(Irr!P29+Irr!AN29)),IF(AND(Irr!P29&lt;&gt;".",Irr!AN29=".",Irr!BL29&lt;&gt;"."),dir!Q29/((1/1000)*(Irr!P29+Irr!BL29)),IF(AND(Irr!P29=".",Irr!AN29&lt;&gt;".",Irr!BL29&lt;&gt;"."),dir!Q29/((1/1000)*(Irr!AN29+Irr!BL29)),IF(AND(Irr!P29=".",Irr!AN29=".",Irr!BL29&lt;&gt;"."),dir!Q29/((1/1000)*(Irr!BL29)),IF(AND(Irr!P29=".",Irr!AN29&lt;&gt;".",Irr!BL29="."),dir!Q29/((1/1000)*(Irr!AN29)),IF(AND(Irr!P29&lt;&gt;".",Irr!AN29=".",Irr!BL29="."),dir!Q29/((1/1000)*(Irr!P29)),IF(AND(Irr!P29=".",Irr!AN29=".",Irr!BL29="."),dir!Q29*1000)))))))),".")</f>
        <v>.</v>
      </c>
      <c r="R29" s="48" t="str">
        <f>IFERROR(IF(AND(Irr!Q29&lt;&gt;".",Irr!AO29&lt;&gt;".",Irr!BM29&lt;&gt;"."),dir!R29/((1/1000)*(Irr!Q29+Irr!AO29+Irr!BM29)),IF(AND(Irr!Q29&lt;&gt;".",Irr!AO29&lt;&gt;".",Irr!BM29="."),dir!R29/((1/1000)*(Irr!Q29+Irr!AO29)),IF(AND(Irr!Q29&lt;&gt;".",Irr!AO29=".",Irr!BM29&lt;&gt;"."),dir!R29/((1/1000)*(Irr!Q29+Irr!BM29)),IF(AND(Irr!Q29=".",Irr!AO29&lt;&gt;".",Irr!BM29&lt;&gt;"."),dir!R29/((1/1000)*(Irr!AO29+Irr!BM29)),IF(AND(Irr!Q29=".",Irr!AO29=".",Irr!BM29&lt;&gt;"."),dir!R29/((1/1000)*(Irr!BM29)),IF(AND(Irr!Q29=".",Irr!AO29&lt;&gt;".",Irr!BM29="."),dir!R29/((1/1000)*(Irr!AO29)),IF(AND(Irr!Q29&lt;&gt;".",Irr!AO29=".",Irr!BM29="."),dir!R29/((1/1000)*(Irr!Q29)),IF(AND(Irr!Q29=".",Irr!AO29=".",Irr!BM29="."),dir!R29*1000)))))))),".")</f>
        <v>.</v>
      </c>
      <c r="S29" s="48" t="str">
        <f>IFERROR(IF(AND(Irr!R29&lt;&gt;".",Irr!AP29&lt;&gt;".",Irr!BN29&lt;&gt;"."),dir!S29/((1/1000)*(Irr!R29+Irr!AP29+Irr!BN29)),IF(AND(Irr!R29&lt;&gt;".",Irr!AP29&lt;&gt;".",Irr!BN29="."),dir!S29/((1/1000)*(Irr!R29+Irr!AP29)),IF(AND(Irr!R29&lt;&gt;".",Irr!AP29=".",Irr!BN29&lt;&gt;"."),dir!S29/((1/1000)*(Irr!R29+Irr!BN29)),IF(AND(Irr!R29=".",Irr!AP29&lt;&gt;".",Irr!BN29&lt;&gt;"."),dir!S29/((1/1000)*(Irr!AP29+Irr!BN29)),IF(AND(Irr!R29=".",Irr!AP29=".",Irr!BN29&lt;&gt;"."),dir!S29/((1/1000)*(Irr!BN29)),IF(AND(Irr!R29=".",Irr!AP29&lt;&gt;".",Irr!BN29="."),dir!S29/((1/1000)*(Irr!AP29)),IF(AND(Irr!R29&lt;&gt;".",Irr!AP29=".",Irr!BN29="."),dir!S29/((1/1000)*(Irr!R29)),IF(AND(Irr!R29=".",Irr!AP29=".",Irr!BN29="."),dir!S29*1000)))))))),".")</f>
        <v>.</v>
      </c>
      <c r="T29" s="48" t="str">
        <f>IFERROR(IF(AND(Irr!S29&lt;&gt;".",Irr!AQ29&lt;&gt;".",Irr!BO29&lt;&gt;"."),dir!T29/((1/1000)*(Irr!S29+Irr!AQ29+Irr!BO29)),IF(AND(Irr!S29&lt;&gt;".",Irr!AQ29&lt;&gt;".",Irr!BO29="."),dir!T29/((1/1000)*(Irr!S29+Irr!AQ29)),IF(AND(Irr!S29&lt;&gt;".",Irr!AQ29=".",Irr!BO29&lt;&gt;"."),dir!T29/((1/1000)*(Irr!S29+Irr!BO29)),IF(AND(Irr!S29=".",Irr!AQ29&lt;&gt;".",Irr!BO29&lt;&gt;"."),dir!T29/((1/1000)*(Irr!AQ29+Irr!BO29)),IF(AND(Irr!S29=".",Irr!AQ29=".",Irr!BO29&lt;&gt;"."),dir!T29/((1/1000)*(Irr!BO29)),IF(AND(Irr!S29=".",Irr!AQ29&lt;&gt;".",Irr!BO29="."),dir!T29/((1/1000)*(Irr!AQ29)),IF(AND(Irr!S29&lt;&gt;".",Irr!AQ29=".",Irr!BO29="."),dir!T29/((1/1000)*(Irr!S29)),IF(AND(Irr!S29=".",Irr!AQ29=".",Irr!BO29="."),dir!T29*1000)))))))),".")</f>
        <v>.</v>
      </c>
      <c r="U29" s="48" t="str">
        <f>IFERROR(IF(AND(Irr!T29&lt;&gt;".",Irr!AR29&lt;&gt;".",Irr!BP29&lt;&gt;"."),dir!U29/((1/1000)*(Irr!T29+Irr!AR29+Irr!BP29)),IF(AND(Irr!T29&lt;&gt;".",Irr!AR29&lt;&gt;".",Irr!BP29="."),dir!U29/((1/1000)*(Irr!T29+Irr!AR29)),IF(AND(Irr!T29&lt;&gt;".",Irr!AR29=".",Irr!BP29&lt;&gt;"."),dir!U29/((1/1000)*(Irr!T29+Irr!BP29)),IF(AND(Irr!T29=".",Irr!AR29&lt;&gt;".",Irr!BP29&lt;&gt;"."),dir!U29/((1/1000)*(Irr!AR29+Irr!BP29)),IF(AND(Irr!T29=".",Irr!AR29=".",Irr!BP29&lt;&gt;"."),dir!U29/((1/1000)*(Irr!BP29)),IF(AND(Irr!T29=".",Irr!AR29&lt;&gt;".",Irr!BP29="."),dir!U29/((1/1000)*(Irr!AR29)),IF(AND(Irr!T29&lt;&gt;".",Irr!AR29=".",Irr!BP29="."),dir!U29/((1/1000)*(Irr!T29)),IF(AND(Irr!T29=".",Irr!AR29=".",Irr!BP29="."),dir!U29*1000)))))))),".")</f>
        <v>.</v>
      </c>
      <c r="V29" s="48" t="str">
        <f>IFERROR(IF(AND(Irr!U29&lt;&gt;".",Irr!AS29&lt;&gt;".",Irr!BQ29&lt;&gt;"."),dir!V29/((1/1000)*(Irr!U29+Irr!AS29+Irr!BQ29)),IF(AND(Irr!U29&lt;&gt;".",Irr!AS29&lt;&gt;".",Irr!BQ29="."),dir!V29/((1/1000)*(Irr!U29+Irr!AS29)),IF(AND(Irr!U29&lt;&gt;".",Irr!AS29=".",Irr!BQ29&lt;&gt;"."),dir!V29/((1/1000)*(Irr!U29+Irr!BQ29)),IF(AND(Irr!U29=".",Irr!AS29&lt;&gt;".",Irr!BQ29&lt;&gt;"."),dir!V29/((1/1000)*(Irr!AS29+Irr!BQ29)),IF(AND(Irr!U29=".",Irr!AS29=".",Irr!BQ29&lt;&gt;"."),dir!V29/((1/1000)*(Irr!BQ29)),IF(AND(Irr!U29=".",Irr!AS29&lt;&gt;".",Irr!BQ29="."),dir!V29/((1/1000)*(Irr!AS29)),IF(AND(Irr!U29&lt;&gt;".",Irr!AS29=".",Irr!BQ29="."),dir!V29/((1/1000)*(Irr!U29)),IF(AND(Irr!U29=".",Irr!AS29=".",Irr!BQ29="."),dir!V29*1000)))))))),".")</f>
        <v>.</v>
      </c>
      <c r="W29" s="48" t="str">
        <f>IFERROR(IF(AND(Irr!V29&lt;&gt;".",Irr!AT29&lt;&gt;".",Irr!BR29&lt;&gt;"."),dir!W29/((1/1000)*(Irr!V29+Irr!AT29+Irr!BR29)),IF(AND(Irr!V29&lt;&gt;".",Irr!AT29&lt;&gt;".",Irr!BR29="."),dir!W29/((1/1000)*(Irr!V29+Irr!AT29)),IF(AND(Irr!V29&lt;&gt;".",Irr!AT29=".",Irr!BR29&lt;&gt;"."),dir!W29/((1/1000)*(Irr!V29+Irr!BR29)),IF(AND(Irr!V29=".",Irr!AT29&lt;&gt;".",Irr!BR29&lt;&gt;"."),dir!W29/((1/1000)*(Irr!AT29+Irr!BR29)),IF(AND(Irr!V29=".",Irr!AT29=".",Irr!BR29&lt;&gt;"."),dir!W29/((1/1000)*(Irr!BR29)),IF(AND(Irr!V29=".",Irr!AT29&lt;&gt;".",Irr!BR29="."),dir!W29/((1/1000)*(Irr!AT29)),IF(AND(Irr!V29&lt;&gt;".",Irr!AT29=".",Irr!BR29="."),dir!W29/((1/1000)*(Irr!V29)),IF(AND(Irr!V29=".",Irr!AT29=".",Irr!BR29="."),dir!W29*1000)))))))),".")</f>
        <v>.</v>
      </c>
      <c r="X29" s="48" t="str">
        <f>IFERROR(IF(AND(Irr!W29&lt;&gt;".",Irr!AU29&lt;&gt;".",Irr!BS29&lt;&gt;"."),dir!X29/((1/1000)*(Irr!W29+Irr!AU29+Irr!BS29)),IF(AND(Irr!W29&lt;&gt;".",Irr!AU29&lt;&gt;".",Irr!BS29="."),dir!X29/((1/1000)*(Irr!W29+Irr!AU29)),IF(AND(Irr!W29&lt;&gt;".",Irr!AU29=".",Irr!BS29&lt;&gt;"."),dir!X29/((1/1000)*(Irr!W29+Irr!BS29)),IF(AND(Irr!W29=".",Irr!AU29&lt;&gt;".",Irr!BS29&lt;&gt;"."),dir!X29/((1/1000)*(Irr!AU29+Irr!BS29)),IF(AND(Irr!W29=".",Irr!AU29=".",Irr!BS29&lt;&gt;"."),dir!X29/((1/1000)*(Irr!BS29)),IF(AND(Irr!W29=".",Irr!AU29&lt;&gt;".",Irr!BS29="."),dir!X29/((1/1000)*(Irr!AU29)),IF(AND(Irr!W29&lt;&gt;".",Irr!AU29=".",Irr!BS29="."),dir!X29/((1/1000)*(Irr!W29)),IF(AND(Irr!W29=".",Irr!AU29=".",Irr!BS29="."),dir!X29*1000)))))))),".")</f>
        <v>.</v>
      </c>
      <c r="Y29" s="48" t="str">
        <f>IFERROR(IF(AND(Irr!X29&lt;&gt;".",Irr!AV29&lt;&gt;".",Irr!BT29&lt;&gt;"."),dir!Y29/((1/1000)*(Irr!X29+Irr!AV29+Irr!BT29)),IF(AND(Irr!X29&lt;&gt;".",Irr!AV29&lt;&gt;".",Irr!BT29="."),dir!Y29/((1/1000)*(Irr!X29+Irr!AV29)),IF(AND(Irr!X29&lt;&gt;".",Irr!AV29=".",Irr!BT29&lt;&gt;"."),dir!Y29/((1/1000)*(Irr!X29+Irr!BT29)),IF(AND(Irr!X29=".",Irr!AV29&lt;&gt;".",Irr!BT29&lt;&gt;"."),dir!Y29/((1/1000)*(Irr!AV29+Irr!BT29)),IF(AND(Irr!X29=".",Irr!AV29=".",Irr!BT29&lt;&gt;"."),dir!Y29/((1/1000)*(Irr!BT29)),IF(AND(Irr!X29=".",Irr!AV29&lt;&gt;".",Irr!BT29="."),dir!Y29/((1/1000)*(Irr!AV29)),IF(AND(Irr!X29&lt;&gt;".",Irr!AV29=".",Irr!BT29="."),dir!Y29/((1/1000)*(Irr!X29)),IF(AND(Irr!X29=".",Irr!AV29=".",Irr!BT29="."),dir!Y29*1000)))))))),".")</f>
        <v>.</v>
      </c>
      <c r="Z29" s="48" t="str">
        <f>IFERROR(IF(AND(Irr!Y29&lt;&gt;".",Irr!AW29&lt;&gt;".",Irr!BU29&lt;&gt;"."),dir!Z29/((1/1000)*(Irr!Y29+Irr!AW29+Irr!BU29)),IF(AND(Irr!Y29&lt;&gt;".",Irr!AW29&lt;&gt;".",Irr!BU29="."),dir!Z29/((1/1000)*(Irr!Y29+Irr!AW29)),IF(AND(Irr!Y29&lt;&gt;".",Irr!AW29=".",Irr!BU29&lt;&gt;"."),dir!Z29/((1/1000)*(Irr!Y29+Irr!BU29)),IF(AND(Irr!Y29=".",Irr!AW29&lt;&gt;".",Irr!BU29&lt;&gt;"."),dir!Z29/((1/1000)*(Irr!AW29+Irr!BU29)),IF(AND(Irr!Y29=".",Irr!AW29=".",Irr!BU29&lt;&gt;"."),dir!Z29/((1/1000)*(Irr!BU29)),IF(AND(Irr!Y29=".",Irr!AW29&lt;&gt;".",Irr!BU29="."),dir!Z29/((1/1000)*(Irr!AW29)),IF(AND(Irr!Y29&lt;&gt;".",Irr!AW29=".",Irr!BU29="."),dir!Z29/((1/1000)*(Irr!Y29)),IF(AND(Irr!Y29=".",Irr!AW29=".",Irr!BU29="."),dir!Z29*1000)))))))),".")</f>
        <v>.</v>
      </c>
      <c r="AA29" s="48" t="str">
        <f>IFERROR(IF(AND(Irr!Z29&lt;&gt;".",Irr!AX29&lt;&gt;".",Irr!BV29&lt;&gt;"."),dir!AA29/((1/1000)*(Irr!Z29+Irr!AX29+Irr!BV29)),IF(AND(Irr!Z29&lt;&gt;".",Irr!AX29&lt;&gt;".",Irr!BV29="."),dir!AA29/((1/1000)*(Irr!Z29+Irr!AX29)),IF(AND(Irr!Z29&lt;&gt;".",Irr!AX29=".",Irr!BV29&lt;&gt;"."),dir!AA29/((1/1000)*(Irr!Z29+Irr!BV29)),IF(AND(Irr!Z29=".",Irr!AX29&lt;&gt;".",Irr!BV29&lt;&gt;"."),dir!AA29/((1/1000)*(Irr!AX29+Irr!BV29)),IF(AND(Irr!Z29=".",Irr!AX29=".",Irr!BV29&lt;&gt;"."),dir!AA29/((1/1000)*(Irr!BV29)),IF(AND(Irr!Z29=".",Irr!AX29&lt;&gt;".",Irr!BV29="."),dir!AA29/((1/1000)*(Irr!AX29)),IF(AND(Irr!Z29&lt;&gt;".",Irr!AX29=".",Irr!BV29="."),dir!AA29/((1/1000)*(Irr!Z29)),IF(AND(Irr!Z29=".",Irr!AX29=".",Irr!BV29="."),dir!AA29*1000)))))))),".")</f>
        <v>.</v>
      </c>
      <c r="AB29" s="48" t="str">
        <f t="shared" si="23"/>
        <v>.</v>
      </c>
      <c r="AC29" s="48" t="str">
        <f>IFERROR(IF(AND(Irr!C29&lt;&gt;".",Irr!AA29&lt;&gt;".",Irr!AY29&lt;&gt;"."),dir!AC29/((1/1000)*(Irr!C29+Irr!AA29+Irr!AY29)),IF(AND(Irr!C29&lt;&gt;".",Irr!AA29&lt;&gt;".",Irr!AY29="."),dir!AC29/((1/1000)*(Irr!C29+Irr!AA29)),IF(AND(Irr!C29&lt;&gt;".",Irr!AA29=".",Irr!AY29&lt;&gt;"."),dir!AC29/((1/1000)*(Irr!C29+Irr!AY29)),IF(AND(Irr!C29=".",Irr!AA29&lt;&gt;".",Irr!AY29&lt;&gt;"."),dir!AC29/((1/1000)*(Irr!AA29+Irr!AY29)),IF(AND(Irr!C29=".",Irr!AA29=".",Irr!AY29&lt;&gt;"."),dir!AC29/((1/1000)*(Irr!AY29)),IF(AND(Irr!C29=".",Irr!AA29&lt;&gt;".",Irr!AY29="."),dir!AC29/((1/1000)*(Irr!AA29)),IF(AND(Irr!C29&lt;&gt;".",Irr!AA29=".",Irr!AY29="."),dir!AC29/((1/1000)*(Irr!C29)),IF(AND(Irr!C29=".",Irr!AA29=".",Irr!AY29="."),dir!AC29*1000)))))))),".")</f>
        <v>.</v>
      </c>
      <c r="AD29" s="48" t="str">
        <f>IFERROR(IF(AND(Irr!D29&lt;&gt;".",Irr!AB29&lt;&gt;".",Irr!AZ29&lt;&gt;"."),dir!AD29/((1/1000)*(Irr!D29+Irr!AB29+Irr!AZ29)),IF(AND(Irr!D29&lt;&gt;".",Irr!AB29&lt;&gt;".",Irr!AZ29="."),dir!AD29/((1/1000)*(Irr!D29+Irr!AB29)),IF(AND(Irr!D29&lt;&gt;".",Irr!AB29=".",Irr!AZ29&lt;&gt;"."),dir!AD29/((1/1000)*(Irr!D29+Irr!AZ29)),IF(AND(Irr!D29=".",Irr!AB29&lt;&gt;".",Irr!AZ29&lt;&gt;"."),dir!AD29/((1/1000)*(Irr!AB29+Irr!AZ29)),IF(AND(Irr!D29=".",Irr!AB29=".",Irr!AZ29&lt;&gt;"."),dir!AD29/((1/1000)*(Irr!AZ29)),IF(AND(Irr!D29=".",Irr!AB29&lt;&gt;".",Irr!AZ29="."),dir!AD29/((1/1000)*(Irr!AB29)),IF(AND(Irr!D29&lt;&gt;".",Irr!AB29=".",Irr!AZ29="."),dir!AD29/((1/1000)*(Irr!D29)),IF(AND(Irr!D29=".",Irr!AB29=".",Irr!AZ29="."),dir!AD29*1000)))))))),".")</f>
        <v>.</v>
      </c>
      <c r="AE29" s="48" t="str">
        <f>IFERROR(IF(AND(Irr!E29&lt;&gt;".",Irr!AC29&lt;&gt;".",Irr!BA29&lt;&gt;"."),dir!AE29/((1/1000)*(Irr!E29+Irr!AC29+Irr!BA29)),IF(AND(Irr!E29&lt;&gt;".",Irr!AC29&lt;&gt;".",Irr!BA29="."),dir!AE29/((1/1000)*(Irr!E29+Irr!AC29)),IF(AND(Irr!E29&lt;&gt;".",Irr!AC29=".",Irr!BA29&lt;&gt;"."),dir!AE29/((1/1000)*(Irr!E29+Irr!BA29)),IF(AND(Irr!E29=".",Irr!AC29&lt;&gt;".",Irr!BA29&lt;&gt;"."),dir!AE29/((1/1000)*(Irr!AC29+Irr!BA29)),IF(AND(Irr!E29=".",Irr!AC29=".",Irr!BA29&lt;&gt;"."),dir!AE29/((1/1000)*(Irr!BA29)),IF(AND(Irr!E29=".",Irr!AC29&lt;&gt;".",Irr!BA29="."),dir!AE29/((1/1000)*(Irr!AC29)),IF(AND(Irr!E29&lt;&gt;".",Irr!AC29=".",Irr!BA29="."),dir!AE29/((1/1000)*(Irr!E29)),IF(AND(Irr!E29=".",Irr!AC29=".",Irr!BA29="."),dir!AE29*1000)))))))),".")</f>
        <v>.</v>
      </c>
      <c r="AF29" s="48" t="str">
        <f>IFERROR(IF(AND(Irr!F29&lt;&gt;".",Irr!AD29&lt;&gt;".",Irr!BB29&lt;&gt;"."),dir!AF29/((1/1000)*(Irr!F29+Irr!AD29+Irr!BB29)),IF(AND(Irr!F29&lt;&gt;".",Irr!AD29&lt;&gt;".",Irr!BB29="."),dir!AF29/((1/1000)*(Irr!F29+Irr!AD29)),IF(AND(Irr!F29&lt;&gt;".",Irr!AD29=".",Irr!BB29&lt;&gt;"."),dir!AF29/((1/1000)*(Irr!F29+Irr!BB29)),IF(AND(Irr!F29=".",Irr!AD29&lt;&gt;".",Irr!BB29&lt;&gt;"."),dir!AF29/((1/1000)*(Irr!AD29+Irr!BB29)),IF(AND(Irr!F29=".",Irr!AD29=".",Irr!BB29&lt;&gt;"."),dir!AF29/((1/1000)*(Irr!BB29)),IF(AND(Irr!F29=".",Irr!AD29&lt;&gt;".",Irr!BB29="."),dir!AF29/((1/1000)*(Irr!AD29)),IF(AND(Irr!F29&lt;&gt;".",Irr!AD29=".",Irr!BB29="."),dir!AF29/((1/1000)*(Irr!F29)),IF(AND(Irr!F29=".",Irr!AD29=".",Irr!BB29="."),dir!AF29*1000)))))))),".")</f>
        <v>.</v>
      </c>
      <c r="AG29" s="48" t="str">
        <f>IFERROR(IF(AND(Irr!G29&lt;&gt;".",Irr!AE29&lt;&gt;".",Irr!BC29&lt;&gt;"."),dir!AG29/((1/1000)*(Irr!G29+Irr!AE29+Irr!BC29)),IF(AND(Irr!G29&lt;&gt;".",Irr!AE29&lt;&gt;".",Irr!BC29="."),dir!AG29/((1/1000)*(Irr!G29+Irr!AE29)),IF(AND(Irr!G29&lt;&gt;".",Irr!AE29=".",Irr!BC29&lt;&gt;"."),dir!AG29/((1/1000)*(Irr!G29+Irr!BC29)),IF(AND(Irr!G29=".",Irr!AE29&lt;&gt;".",Irr!BC29&lt;&gt;"."),dir!AG29/((1/1000)*(Irr!AE29+Irr!BC29)),IF(AND(Irr!G29=".",Irr!AE29=".",Irr!BC29&lt;&gt;"."),dir!AG29/((1/1000)*(Irr!BC29)),IF(AND(Irr!G29=".",Irr!AE29&lt;&gt;".",Irr!BC29="."),dir!AG29/((1/1000)*(Irr!AE29)),IF(AND(Irr!G29&lt;&gt;".",Irr!AE29=".",Irr!BC29="."),dir!AG29/((1/1000)*(Irr!G29)),IF(AND(Irr!G29=".",Irr!AE29=".",Irr!BC29="."),dir!AG29*1000)))))))),".")</f>
        <v>.</v>
      </c>
      <c r="AH29" s="48" t="str">
        <f>IFERROR(IF(AND(Irr!H29&lt;&gt;".",Irr!AF29&lt;&gt;".",Irr!BD29&lt;&gt;"."),dir!AH29/((1/1000)*(Irr!H29+Irr!AF29+Irr!BD29)),IF(AND(Irr!H29&lt;&gt;".",Irr!AF29&lt;&gt;".",Irr!BD29="."),dir!AH29/((1/1000)*(Irr!H29+Irr!AF29)),IF(AND(Irr!H29&lt;&gt;".",Irr!AF29=".",Irr!BD29&lt;&gt;"."),dir!AH29/((1/1000)*(Irr!H29+Irr!BD29)),IF(AND(Irr!H29=".",Irr!AF29&lt;&gt;".",Irr!BD29&lt;&gt;"."),dir!AH29/((1/1000)*(Irr!AF29+Irr!BD29)),IF(AND(Irr!H29=".",Irr!AF29=".",Irr!BD29&lt;&gt;"."),dir!AH29/((1/1000)*(Irr!BD29)),IF(AND(Irr!H29=".",Irr!AF29&lt;&gt;".",Irr!BD29="."),dir!AH29/((1/1000)*(Irr!AF29)),IF(AND(Irr!H29&lt;&gt;".",Irr!AF29=".",Irr!BD29="."),dir!AH29/((1/1000)*(Irr!H29)),IF(AND(Irr!H29=".",Irr!AF29=".",Irr!BD29="."),dir!AH29*1000)))))))),".")</f>
        <v>.</v>
      </c>
      <c r="AI29" s="48" t="str">
        <f>IFERROR(IF(AND(Irr!I29&lt;&gt;".",Irr!AG29&lt;&gt;".",Irr!BE29&lt;&gt;"."),dir!AI29/((1/1000)*(Irr!I29+Irr!AG29+Irr!BE29)),IF(AND(Irr!I29&lt;&gt;".",Irr!AG29&lt;&gt;".",Irr!BE29="."),dir!AI29/((1/1000)*(Irr!I29+Irr!AG29)),IF(AND(Irr!I29&lt;&gt;".",Irr!AG29=".",Irr!BE29&lt;&gt;"."),dir!AI29/((1/1000)*(Irr!I29+Irr!BE29)),IF(AND(Irr!I29=".",Irr!AG29&lt;&gt;".",Irr!BE29&lt;&gt;"."),dir!AI29/((1/1000)*(Irr!AG29+Irr!BE29)),IF(AND(Irr!I29=".",Irr!AG29=".",Irr!BE29&lt;&gt;"."),dir!AI29/((1/1000)*(Irr!BE29)),IF(AND(Irr!I29=".",Irr!AG29&lt;&gt;".",Irr!BE29="."),dir!AI29/((1/1000)*(Irr!AG29)),IF(AND(Irr!I29&lt;&gt;".",Irr!AG29=".",Irr!BE29="."),dir!AI29/((1/1000)*(Irr!I29)),IF(AND(Irr!I29=".",Irr!AG29=".",Irr!BE29="."),dir!AI29*1000)))))))),".")</f>
        <v>.</v>
      </c>
      <c r="AJ29" s="48" t="str">
        <f>IFERROR(IF(AND(Irr!J29&lt;&gt;".",Irr!AH29&lt;&gt;".",Irr!BF29&lt;&gt;"."),dir!AJ29/((1/1000)*(Irr!J29+Irr!AH29+Irr!BF29)),IF(AND(Irr!J29&lt;&gt;".",Irr!AH29&lt;&gt;".",Irr!BF29="."),dir!AJ29/((1/1000)*(Irr!J29+Irr!AH29)),IF(AND(Irr!J29&lt;&gt;".",Irr!AH29=".",Irr!BF29&lt;&gt;"."),dir!AJ29/((1/1000)*(Irr!J29+Irr!BF29)),IF(AND(Irr!J29=".",Irr!AH29&lt;&gt;".",Irr!BF29&lt;&gt;"."),dir!AJ29/((1/1000)*(Irr!AH29+Irr!BF29)),IF(AND(Irr!J29=".",Irr!AH29=".",Irr!BF29&lt;&gt;"."),dir!AJ29/((1/1000)*(Irr!BF29)),IF(AND(Irr!J29=".",Irr!AH29&lt;&gt;".",Irr!BF29="."),dir!AJ29/((1/1000)*(Irr!AH29)),IF(AND(Irr!J29&lt;&gt;".",Irr!AH29=".",Irr!BF29="."),dir!AJ29/((1/1000)*(Irr!J29)),IF(AND(Irr!J29=".",Irr!AH29=".",Irr!BF29="."),dir!AJ29*1000)))))))),".")</f>
        <v>.</v>
      </c>
      <c r="AK29" s="48" t="str">
        <f>IFERROR(IF(AND(Irr!K29&lt;&gt;".",Irr!AI29&lt;&gt;".",Irr!BG29&lt;&gt;"."),dir!AK29/((1/1000)*(Irr!K29+Irr!AI29+Irr!BG29)),IF(AND(Irr!K29&lt;&gt;".",Irr!AI29&lt;&gt;".",Irr!BG29="."),dir!AK29/((1/1000)*(Irr!K29+Irr!AI29)),IF(AND(Irr!K29&lt;&gt;".",Irr!AI29=".",Irr!BG29&lt;&gt;"."),dir!AK29/((1/1000)*(Irr!K29+Irr!BG29)),IF(AND(Irr!K29=".",Irr!AI29&lt;&gt;".",Irr!BG29&lt;&gt;"."),dir!AK29/((1/1000)*(Irr!AI29+Irr!BG29)),IF(AND(Irr!K29=".",Irr!AI29=".",Irr!BG29&lt;&gt;"."),dir!AK29/((1/1000)*(Irr!BG29)),IF(AND(Irr!K29=".",Irr!AI29&lt;&gt;".",Irr!BG29="."),dir!AK29/((1/1000)*(Irr!AI29)),IF(AND(Irr!K29&lt;&gt;".",Irr!AI29=".",Irr!BG29="."),dir!AK29/((1/1000)*(Irr!K29)),IF(AND(Irr!K29=".",Irr!AI29=".",Irr!BG29="."),dir!AK29*1000)))))))),".")</f>
        <v>.</v>
      </c>
      <c r="AL29" s="48" t="str">
        <f>IFERROR(IF(AND(Irr!L29&lt;&gt;".",Irr!AJ29&lt;&gt;".",Irr!BH29&lt;&gt;"."),dir!AL29/((1/1000)*(Irr!L29+Irr!AJ29+Irr!BH29)),IF(AND(Irr!L29&lt;&gt;".",Irr!AJ29&lt;&gt;".",Irr!BH29="."),dir!AL29/((1/1000)*(Irr!L29+Irr!AJ29)),IF(AND(Irr!L29&lt;&gt;".",Irr!AJ29=".",Irr!BH29&lt;&gt;"."),dir!AL29/((1/1000)*(Irr!L29+Irr!BH29)),IF(AND(Irr!L29=".",Irr!AJ29&lt;&gt;".",Irr!BH29&lt;&gt;"."),dir!AL29/((1/1000)*(Irr!AJ29+Irr!BH29)),IF(AND(Irr!L29=".",Irr!AJ29=".",Irr!BH29&lt;&gt;"."),dir!AL29/((1/1000)*(Irr!BH29)),IF(AND(Irr!L29=".",Irr!AJ29&lt;&gt;".",Irr!BH29="."),dir!AL29/((1/1000)*(Irr!AJ29)),IF(AND(Irr!L29&lt;&gt;".",Irr!AJ29=".",Irr!BH29="."),dir!AL29/((1/1000)*(Irr!L29)),IF(AND(Irr!L29=".",Irr!AJ29=".",Irr!BH29="."),dir!AL29*1000)))))))),".")</f>
        <v>.</v>
      </c>
      <c r="AM29" s="48" t="str">
        <f>IFERROR(IF(AND(Irr!M29&lt;&gt;".",Irr!AK29&lt;&gt;".",Irr!BI29&lt;&gt;"."),dir!AM29/((1/1000)*(Irr!M29+Irr!AK29+Irr!BI29)),IF(AND(Irr!M29&lt;&gt;".",Irr!AK29&lt;&gt;".",Irr!BI29="."),dir!AM29/((1/1000)*(Irr!M29+Irr!AK29)),IF(AND(Irr!M29&lt;&gt;".",Irr!AK29=".",Irr!BI29&lt;&gt;"."),dir!AM29/((1/1000)*(Irr!M29+Irr!BI29)),IF(AND(Irr!M29=".",Irr!AK29&lt;&gt;".",Irr!BI29&lt;&gt;"."),dir!AM29/((1/1000)*(Irr!AK29+Irr!BI29)),IF(AND(Irr!M29=".",Irr!AK29=".",Irr!BI29&lt;&gt;"."),dir!AM29/((1/1000)*(Irr!BI29)),IF(AND(Irr!M29=".",Irr!AK29&lt;&gt;".",Irr!BI29="."),dir!AM29/((1/1000)*(Irr!AK29)),IF(AND(Irr!M29&lt;&gt;".",Irr!AK29=".",Irr!BI29="."),dir!AM29/((1/1000)*(Irr!M29)),IF(AND(Irr!M29=".",Irr!AK29=".",Irr!BI29="."),dir!AM29*1000)))))))),".")</f>
        <v>.</v>
      </c>
      <c r="AN29" s="48" t="str">
        <f>IFERROR(IF(AND(Irr!N29&lt;&gt;".",Irr!AL29&lt;&gt;".",Irr!BJ29&lt;&gt;"."),dir!AN29/((1/1000)*(Irr!N29+Irr!AL29+Irr!BJ29)),IF(AND(Irr!N29&lt;&gt;".",Irr!AL29&lt;&gt;".",Irr!BJ29="."),dir!AN29/((1/1000)*(Irr!N29+Irr!AL29)),IF(AND(Irr!N29&lt;&gt;".",Irr!AL29=".",Irr!BJ29&lt;&gt;"."),dir!AN29/((1/1000)*(Irr!N29+Irr!BJ29)),IF(AND(Irr!N29=".",Irr!AL29&lt;&gt;".",Irr!BJ29&lt;&gt;"."),dir!AN29/((1/1000)*(Irr!AL29+Irr!BJ29)),IF(AND(Irr!N29=".",Irr!AL29=".",Irr!BJ29&lt;&gt;"."),dir!AN29/((1/1000)*(Irr!BJ29)),IF(AND(Irr!N29=".",Irr!AL29&lt;&gt;".",Irr!BJ29="."),dir!AN29/((1/1000)*(Irr!AL29)),IF(AND(Irr!N29&lt;&gt;".",Irr!AL29=".",Irr!BJ29="."),dir!AN29/((1/1000)*(Irr!N29)),IF(AND(Irr!N29=".",Irr!AL29=".",Irr!BJ29="."),dir!AN29*1000)))))))),".")</f>
        <v>.</v>
      </c>
      <c r="AO29" s="48" t="str">
        <f>IFERROR(IF(AND(Irr!O29&lt;&gt;".",Irr!AM29&lt;&gt;".",Irr!BK29&lt;&gt;"."),dir!AO29/((1/1000)*(Irr!O29+Irr!AM29+Irr!BK29)),IF(AND(Irr!O29&lt;&gt;".",Irr!AM29&lt;&gt;".",Irr!BK29="."),dir!AO29/((1/1000)*(Irr!O29+Irr!AM29)),IF(AND(Irr!O29&lt;&gt;".",Irr!AM29=".",Irr!BK29&lt;&gt;"."),dir!AO29/((1/1000)*(Irr!O29+Irr!BK29)),IF(AND(Irr!O29=".",Irr!AM29&lt;&gt;".",Irr!BK29&lt;&gt;"."),dir!AO29/((1/1000)*(Irr!AM29+Irr!BK29)),IF(AND(Irr!O29=".",Irr!AM29=".",Irr!BK29&lt;&gt;"."),dir!AO29/((1/1000)*(Irr!BK29)),IF(AND(Irr!O29=".",Irr!AM29&lt;&gt;".",Irr!BK29="."),dir!AO29/((1/1000)*(Irr!AM29)),IF(AND(Irr!O29&lt;&gt;".",Irr!AM29=".",Irr!BK29="."),dir!AO29/((1/1000)*(Irr!O29)),IF(AND(Irr!O29=".",Irr!AM29=".",Irr!BK29="."),dir!AO29*1000)))))))),".")</f>
        <v>.</v>
      </c>
      <c r="AP29" s="48" t="str">
        <f>IFERROR(IF(AND(Irr!P29&lt;&gt;".",Irr!AN29&lt;&gt;".",Irr!BL29&lt;&gt;"."),dir!AP29/((1/1000)*(Irr!P29+Irr!AN29+Irr!BL29)),IF(AND(Irr!P29&lt;&gt;".",Irr!AN29&lt;&gt;".",Irr!BL29="."),dir!AP29/((1/1000)*(Irr!P29+Irr!AN29)),IF(AND(Irr!P29&lt;&gt;".",Irr!AN29=".",Irr!BL29&lt;&gt;"."),dir!AP29/((1/1000)*(Irr!P29+Irr!BL29)),IF(AND(Irr!P29=".",Irr!AN29&lt;&gt;".",Irr!BL29&lt;&gt;"."),dir!AP29/((1/1000)*(Irr!AN29+Irr!BL29)),IF(AND(Irr!P29=".",Irr!AN29=".",Irr!BL29&lt;&gt;"."),dir!AP29/((1/1000)*(Irr!BL29)),IF(AND(Irr!P29=".",Irr!AN29&lt;&gt;".",Irr!BL29="."),dir!AP29/((1/1000)*(Irr!AN29)),IF(AND(Irr!P29&lt;&gt;".",Irr!AN29=".",Irr!BL29="."),dir!AP29/((1/1000)*(Irr!P29)),IF(AND(Irr!P29=".",Irr!AN29=".",Irr!BL29="."),dir!AP29*1000)))))))),".")</f>
        <v>.</v>
      </c>
      <c r="AQ29" s="48" t="str">
        <f>IFERROR(IF(AND(Irr!Q29&lt;&gt;".",Irr!AO29&lt;&gt;".",Irr!BM29&lt;&gt;"."),dir!AQ29/((1/1000)*(Irr!Q29+Irr!AO29+Irr!BM29)),IF(AND(Irr!Q29&lt;&gt;".",Irr!AO29&lt;&gt;".",Irr!BM29="."),dir!AQ29/((1/1000)*(Irr!Q29+Irr!AO29)),IF(AND(Irr!Q29&lt;&gt;".",Irr!AO29=".",Irr!BM29&lt;&gt;"."),dir!AQ29/((1/1000)*(Irr!Q29+Irr!BM29)),IF(AND(Irr!Q29=".",Irr!AO29&lt;&gt;".",Irr!BM29&lt;&gt;"."),dir!AQ29/((1/1000)*(Irr!AO29+Irr!BM29)),IF(AND(Irr!Q29=".",Irr!AO29=".",Irr!BM29&lt;&gt;"."),dir!AQ29/((1/1000)*(Irr!BM29)),IF(AND(Irr!Q29=".",Irr!AO29&lt;&gt;".",Irr!BM29="."),dir!AQ29/((1/1000)*(Irr!AO29)),IF(AND(Irr!Q29&lt;&gt;".",Irr!AO29=".",Irr!BM29="."),dir!AQ29/((1/1000)*(Irr!Q29)),IF(AND(Irr!Q29=".",Irr!AO29=".",Irr!BM29="."),dir!AQ29*1000)))))))),".")</f>
        <v>.</v>
      </c>
      <c r="AR29" s="48" t="str">
        <f>IFERROR(IF(AND(Irr!R29&lt;&gt;".",Irr!AP29&lt;&gt;".",Irr!BN29&lt;&gt;"."),dir!AR29/((1/1000)*(Irr!R29+Irr!AP29+Irr!BN29)),IF(AND(Irr!R29&lt;&gt;".",Irr!AP29&lt;&gt;".",Irr!BN29="."),dir!AR29/((1/1000)*(Irr!R29+Irr!AP29)),IF(AND(Irr!R29&lt;&gt;".",Irr!AP29=".",Irr!BN29&lt;&gt;"."),dir!AR29/((1/1000)*(Irr!R29+Irr!BN29)),IF(AND(Irr!R29=".",Irr!AP29&lt;&gt;".",Irr!BN29&lt;&gt;"."),dir!AR29/((1/1000)*(Irr!AP29+Irr!BN29)),IF(AND(Irr!R29=".",Irr!AP29=".",Irr!BN29&lt;&gt;"."),dir!AR29/((1/1000)*(Irr!BN29)),IF(AND(Irr!R29=".",Irr!AP29&lt;&gt;".",Irr!BN29="."),dir!AR29/((1/1000)*(Irr!AP29)),IF(AND(Irr!R29&lt;&gt;".",Irr!AP29=".",Irr!BN29="."),dir!AR29/((1/1000)*(Irr!R29)),IF(AND(Irr!R29=".",Irr!AP29=".",Irr!BN29="."),dir!AR29*1000)))))))),".")</f>
        <v>.</v>
      </c>
      <c r="AS29" s="48" t="str">
        <f>IFERROR(IF(AND(Irr!S29&lt;&gt;".",Irr!AQ29&lt;&gt;".",Irr!BO29&lt;&gt;"."),dir!AS29/((1/1000)*(Irr!S29+Irr!AQ29+Irr!BO29)),IF(AND(Irr!S29&lt;&gt;".",Irr!AQ29&lt;&gt;".",Irr!BO29="."),dir!AS29/((1/1000)*(Irr!S29+Irr!AQ29)),IF(AND(Irr!S29&lt;&gt;".",Irr!AQ29=".",Irr!BO29&lt;&gt;"."),dir!AS29/((1/1000)*(Irr!S29+Irr!BO29)),IF(AND(Irr!S29=".",Irr!AQ29&lt;&gt;".",Irr!BO29&lt;&gt;"."),dir!AS29/((1/1000)*(Irr!AQ29+Irr!BO29)),IF(AND(Irr!S29=".",Irr!AQ29=".",Irr!BO29&lt;&gt;"."),dir!AS29/((1/1000)*(Irr!BO29)),IF(AND(Irr!S29=".",Irr!AQ29&lt;&gt;".",Irr!BO29="."),dir!AS29/((1/1000)*(Irr!AQ29)),IF(AND(Irr!S29&lt;&gt;".",Irr!AQ29=".",Irr!BO29="."),dir!AS29/((1/1000)*(Irr!S29)),IF(AND(Irr!S29=".",Irr!AQ29=".",Irr!BO29="."),dir!AS29*1000)))))))),".")</f>
        <v>.</v>
      </c>
      <c r="AT29" s="48" t="str">
        <f>IFERROR(IF(AND(Irr!T29&lt;&gt;".",Irr!AR29&lt;&gt;".",Irr!BP29&lt;&gt;"."),dir!AT29/((1/1000)*(Irr!T29+Irr!AR29+Irr!BP29)),IF(AND(Irr!T29&lt;&gt;".",Irr!AR29&lt;&gt;".",Irr!BP29="."),dir!AT29/((1/1000)*(Irr!T29+Irr!AR29)),IF(AND(Irr!T29&lt;&gt;".",Irr!AR29=".",Irr!BP29&lt;&gt;"."),dir!AT29/((1/1000)*(Irr!T29+Irr!BP29)),IF(AND(Irr!T29=".",Irr!AR29&lt;&gt;".",Irr!BP29&lt;&gt;"."),dir!AT29/((1/1000)*(Irr!AR29+Irr!BP29)),IF(AND(Irr!T29=".",Irr!AR29=".",Irr!BP29&lt;&gt;"."),dir!AT29/((1/1000)*(Irr!BP29)),IF(AND(Irr!T29=".",Irr!AR29&lt;&gt;".",Irr!BP29="."),dir!AT29/((1/1000)*(Irr!AR29)),IF(AND(Irr!T29&lt;&gt;".",Irr!AR29=".",Irr!BP29="."),dir!AT29/((1/1000)*(Irr!T29)),IF(AND(Irr!T29=".",Irr!AR29=".",Irr!BP29="."),dir!AT29*1000)))))))),".")</f>
        <v>.</v>
      </c>
      <c r="AU29" s="48" t="str">
        <f>IFERROR(IF(AND(Irr!U29&lt;&gt;".",Irr!AS29&lt;&gt;".",Irr!BQ29&lt;&gt;"."),dir!AU29/((1/1000)*(Irr!U29+Irr!AS29+Irr!BQ29)),IF(AND(Irr!U29&lt;&gt;".",Irr!AS29&lt;&gt;".",Irr!BQ29="."),dir!AU29/((1/1000)*(Irr!U29+Irr!AS29)),IF(AND(Irr!U29&lt;&gt;".",Irr!AS29=".",Irr!BQ29&lt;&gt;"."),dir!AU29/((1/1000)*(Irr!U29+Irr!BQ29)),IF(AND(Irr!U29=".",Irr!AS29&lt;&gt;".",Irr!BQ29&lt;&gt;"."),dir!AU29/((1/1000)*(Irr!AS29+Irr!BQ29)),IF(AND(Irr!U29=".",Irr!AS29=".",Irr!BQ29&lt;&gt;"."),dir!AU29/((1/1000)*(Irr!BQ29)),IF(AND(Irr!U29=".",Irr!AS29&lt;&gt;".",Irr!BQ29="."),dir!AU29/((1/1000)*(Irr!AS29)),IF(AND(Irr!U29&lt;&gt;".",Irr!AS29=".",Irr!BQ29="."),dir!AU29/((1/1000)*(Irr!U29)),IF(AND(Irr!U29=".",Irr!AS29=".",Irr!BQ29="."),dir!AU29*1000)))))))),".")</f>
        <v>.</v>
      </c>
      <c r="AV29" s="48" t="str">
        <f>IFERROR(IF(AND(Irr!V29&lt;&gt;".",Irr!AT29&lt;&gt;".",Irr!BR29&lt;&gt;"."),dir!AV29/((1/1000)*(Irr!V29+Irr!AT29+Irr!BR29)),IF(AND(Irr!V29&lt;&gt;".",Irr!AT29&lt;&gt;".",Irr!BR29="."),dir!AV29/((1/1000)*(Irr!V29+Irr!AT29)),IF(AND(Irr!V29&lt;&gt;".",Irr!AT29=".",Irr!BR29&lt;&gt;"."),dir!AV29/((1/1000)*(Irr!V29+Irr!BR29)),IF(AND(Irr!V29=".",Irr!AT29&lt;&gt;".",Irr!BR29&lt;&gt;"."),dir!AV29/((1/1000)*(Irr!AT29+Irr!BR29)),IF(AND(Irr!V29=".",Irr!AT29=".",Irr!BR29&lt;&gt;"."),dir!AV29/((1/1000)*(Irr!BR29)),IF(AND(Irr!V29=".",Irr!AT29&lt;&gt;".",Irr!BR29="."),dir!AV29/((1/1000)*(Irr!AT29)),IF(AND(Irr!V29&lt;&gt;".",Irr!AT29=".",Irr!BR29="."),dir!AV29/((1/1000)*(Irr!V29)),IF(AND(Irr!V29=".",Irr!AT29=".",Irr!BR29="."),dir!AV29*1000)))))))),".")</f>
        <v>.</v>
      </c>
      <c r="AW29" s="48" t="str">
        <f>IFERROR(IF(AND(Irr!W29&lt;&gt;".",Irr!AU29&lt;&gt;".",Irr!BS29&lt;&gt;"."),dir!AW29/((1/1000)*(Irr!W29+Irr!AU29+Irr!BS29)),IF(AND(Irr!W29&lt;&gt;".",Irr!AU29&lt;&gt;".",Irr!BS29="."),dir!AW29/((1/1000)*(Irr!W29+Irr!AU29)),IF(AND(Irr!W29&lt;&gt;".",Irr!AU29=".",Irr!BS29&lt;&gt;"."),dir!AW29/((1/1000)*(Irr!W29+Irr!BS29)),IF(AND(Irr!W29=".",Irr!AU29&lt;&gt;".",Irr!BS29&lt;&gt;"."),dir!AW29/((1/1000)*(Irr!AU29+Irr!BS29)),IF(AND(Irr!W29=".",Irr!AU29=".",Irr!BS29&lt;&gt;"."),dir!AW29/((1/1000)*(Irr!BS29)),IF(AND(Irr!W29=".",Irr!AU29&lt;&gt;".",Irr!BS29="."),dir!AW29/((1/1000)*(Irr!AU29)),IF(AND(Irr!W29&lt;&gt;".",Irr!AU29=".",Irr!BS29="."),dir!AW29/((1/1000)*(Irr!W29)),IF(AND(Irr!W29=".",Irr!AU29=".",Irr!BS29="."),dir!AW29*1000)))))))),".")</f>
        <v>.</v>
      </c>
      <c r="AX29" s="48" t="str">
        <f>IFERROR(IF(AND(Irr!X29&lt;&gt;".",Irr!AV29&lt;&gt;".",Irr!BT29&lt;&gt;"."),dir!AX29/((1/1000)*(Irr!X29+Irr!AV29+Irr!BT29)),IF(AND(Irr!X29&lt;&gt;".",Irr!AV29&lt;&gt;".",Irr!BT29="."),dir!AX29/((1/1000)*(Irr!X29+Irr!AV29)),IF(AND(Irr!X29&lt;&gt;".",Irr!AV29=".",Irr!BT29&lt;&gt;"."),dir!AX29/((1/1000)*(Irr!X29+Irr!BT29)),IF(AND(Irr!X29=".",Irr!AV29&lt;&gt;".",Irr!BT29&lt;&gt;"."),dir!AX29/((1/1000)*(Irr!AV29+Irr!BT29)),IF(AND(Irr!X29=".",Irr!AV29=".",Irr!BT29&lt;&gt;"."),dir!AX29/((1/1000)*(Irr!BT29)),IF(AND(Irr!X29=".",Irr!AV29&lt;&gt;".",Irr!BT29="."),dir!AX29/((1/1000)*(Irr!AV29)),IF(AND(Irr!X29&lt;&gt;".",Irr!AV29=".",Irr!BT29="."),dir!AX29/((1/1000)*(Irr!X29)),IF(AND(Irr!X29=".",Irr!AV29=".",Irr!BT29="."),dir!AX29*1000)))))))),".")</f>
        <v>.</v>
      </c>
      <c r="AY29" s="48" t="str">
        <f>IFERROR(IF(AND(Irr!Y29&lt;&gt;".",Irr!AW29&lt;&gt;".",Irr!BU29&lt;&gt;"."),dir!AY29/((1/1000)*(Irr!Y29+Irr!AW29+Irr!BU29)),IF(AND(Irr!Y29&lt;&gt;".",Irr!AW29&lt;&gt;".",Irr!BU29="."),dir!AY29/((1/1000)*(Irr!Y29+Irr!AW29)),IF(AND(Irr!Y29&lt;&gt;".",Irr!AW29=".",Irr!BU29&lt;&gt;"."),dir!AY29/((1/1000)*(Irr!Y29+Irr!BU29)),IF(AND(Irr!Y29=".",Irr!AW29&lt;&gt;".",Irr!BU29&lt;&gt;"."),dir!AY29/((1/1000)*(Irr!AW29+Irr!BU29)),IF(AND(Irr!Y29=".",Irr!AW29=".",Irr!BU29&lt;&gt;"."),dir!AY29/((1/1000)*(Irr!BU29)),IF(AND(Irr!Y29=".",Irr!AW29&lt;&gt;".",Irr!BU29="."),dir!AY29/((1/1000)*(Irr!AW29)),IF(AND(Irr!Y29&lt;&gt;".",Irr!AW29=".",Irr!BU29="."),dir!AY29/((1/1000)*(Irr!Y29)),IF(AND(Irr!Y29=".",Irr!AW29=".",Irr!BU29="."),dir!AY29*1000)))))))),".")</f>
        <v>.</v>
      </c>
      <c r="AZ29" s="48" t="str">
        <f>IFERROR(IF(AND(Irr!Z29&lt;&gt;".",Irr!AX29&lt;&gt;".",Irr!BV29&lt;&gt;"."),dir!AZ29/((1/1000)*(Irr!Z29+Irr!AX29+Irr!BV29)),IF(AND(Irr!Z29&lt;&gt;".",Irr!AX29&lt;&gt;".",Irr!BV29="."),dir!AZ29/((1/1000)*(Irr!Z29+Irr!AX29)),IF(AND(Irr!Z29&lt;&gt;".",Irr!AX29=".",Irr!BV29&lt;&gt;"."),dir!AZ29/((1/1000)*(Irr!Z29+Irr!BV29)),IF(AND(Irr!Z29=".",Irr!AX29&lt;&gt;".",Irr!BV29&lt;&gt;"."),dir!AZ29/((1/1000)*(Irr!AX29+Irr!BV29)),IF(AND(Irr!Z29=".",Irr!AX29=".",Irr!BV29&lt;&gt;"."),dir!AZ29/((1/1000)*(Irr!BV29)),IF(AND(Irr!Z29=".",Irr!AX29&lt;&gt;".",Irr!BV29="."),dir!AZ29/((1/1000)*(Irr!AX29)),IF(AND(Irr!Z29&lt;&gt;".",Irr!AX29=".",Irr!BV29="."),dir!AZ29/((1/1000)*(Irr!Z29)),IF(AND(Irr!Z29=".",Irr!AX29=".",Irr!BV29="."),dir!AZ29*1000)))))))),".")</f>
        <v>.</v>
      </c>
    </row>
    <row r="30" spans="1:52" ht="15" customHeight="1" x14ac:dyDescent="0.25">
      <c r="A30" s="61" t="s">
        <v>28</v>
      </c>
      <c r="B30" s="49" t="s">
        <v>1059</v>
      </c>
      <c r="C30" s="48">
        <f t="shared" ref="C30" si="24">IFERROR(1/SUM(1/D30,1/E30,1/F30,1/G30,1/H30,1/I30,1/J30,1/K30,1/L30,1/M30,1/N30,1/O30,1/P30,1/Q30,1/R30,1/S30,1/T30,1/U30,1/V30,1/W30,1/X30,1/Y30),".")</f>
        <v>2.4692121570920778</v>
      </c>
      <c r="D30" s="48">
        <f>IFERROR(IF(AND(Irr!C30&lt;&gt;".",Irr!AA30&lt;&gt;".",Irr!AY30&lt;&gt;"."),dir!D30/((1/1000)*(Irr!C30+Irr!AA30+Irr!AY30)),IF(AND(Irr!C30&lt;&gt;".",Irr!AA30&lt;&gt;".",Irr!AY30="."),dir!D30/((1/1000)*(Irr!C30+Irr!AA30)),IF(AND(Irr!C30&lt;&gt;".",Irr!AA30=".",Irr!AY30&lt;&gt;"."),dir!D30/((1/1000)*(Irr!C30+Irr!AY30)),IF(AND(Irr!C30=".",Irr!AA30&lt;&gt;".",Irr!AY30&lt;&gt;"."),dir!D30/((1/1000)*(Irr!AA30+Irr!AY30)),IF(AND(Irr!C30=".",Irr!AA30=".",Irr!AY30&lt;&gt;"."),dir!D30/((1/1000)*(Irr!AY30)),IF(AND(Irr!C30=".",Irr!AA30&lt;&gt;".",Irr!AY30="."),dir!D30/((1/1000)*(Irr!AA30)),IF(AND(Irr!C30&lt;&gt;".",Irr!AA30=".",Irr!AY30="."),dir!D30/((1/1000)*(Irr!C30)),IF(AND(Irr!C30=".",Irr!AA30=".",Irr!AY30="."),dir!D30*1000)))))))),".")</f>
        <v>47.467659473587673</v>
      </c>
      <c r="E30" s="48">
        <f>IFERROR(IF(AND(Irr!D30&lt;&gt;".",Irr!AB30&lt;&gt;".",Irr!AZ30&lt;&gt;"."),dir!E30/((1/1000)*(Irr!D30+Irr!AB30+Irr!AZ30)),IF(AND(Irr!D30&lt;&gt;".",Irr!AB30&lt;&gt;".",Irr!AZ30="."),dir!E30/((1/1000)*(Irr!D30+Irr!AB30)),IF(AND(Irr!D30&lt;&gt;".",Irr!AB30=".",Irr!AZ30&lt;&gt;"."),dir!E30/((1/1000)*(Irr!D30+Irr!AZ30)),IF(AND(Irr!D30=".",Irr!AB30&lt;&gt;".",Irr!AZ30&lt;&gt;"."),dir!E30/((1/1000)*(Irr!AB30+Irr!AZ30)),IF(AND(Irr!D30=".",Irr!AB30=".",Irr!AZ30&lt;&gt;"."),dir!E30/((1/1000)*(Irr!AZ30)),IF(AND(Irr!D30=".",Irr!AB30&lt;&gt;".",Irr!AZ30="."),dir!E30/((1/1000)*(Irr!AB30)),IF(AND(Irr!D30&lt;&gt;".",Irr!AB30=".",Irr!AZ30="."),dir!E30/((1/1000)*(Irr!D30)),IF(AND(Irr!D30=".",Irr!AB30=".",Irr!AZ30="."),dir!E30*1000)))))))),".")</f>
        <v>89.092233667781841</v>
      </c>
      <c r="F30" s="48">
        <f>IFERROR(IF(AND(Irr!E30&lt;&gt;".",Irr!AC30&lt;&gt;".",Irr!BA30&lt;&gt;"."),dir!F30/((1/1000)*(Irr!E30+Irr!AC30+Irr!BA30)),IF(AND(Irr!E30&lt;&gt;".",Irr!AC30&lt;&gt;".",Irr!BA30="."),dir!F30/((1/1000)*(Irr!E30+Irr!AC30)),IF(AND(Irr!E30&lt;&gt;".",Irr!AC30=".",Irr!BA30&lt;&gt;"."),dir!F30/((1/1000)*(Irr!E30+Irr!BA30)),IF(AND(Irr!E30=".",Irr!AC30&lt;&gt;".",Irr!BA30&lt;&gt;"."),dir!F30/((1/1000)*(Irr!AC30+Irr!BA30)),IF(AND(Irr!E30=".",Irr!AC30=".",Irr!BA30&lt;&gt;"."),dir!F30/((1/1000)*(Irr!BA30)),IF(AND(Irr!E30=".",Irr!AC30&lt;&gt;".",Irr!BA30="."),dir!F30/((1/1000)*(Irr!AC30)),IF(AND(Irr!E30&lt;&gt;".",Irr!AC30=".",Irr!BA30="."),dir!F30/((1/1000)*(Irr!E30)),IF(AND(Irr!E30=".",Irr!AC30=".",Irr!BA30="."),dir!F30*1000)))))))),".")</f>
        <v>120.34672774329447</v>
      </c>
      <c r="G30" s="48">
        <f>IFERROR(IF(AND(Irr!F30&lt;&gt;".",Irr!AD30&lt;&gt;".",Irr!BB30&lt;&gt;"."),dir!G30/((1/1000)*(Irr!F30+Irr!AD30+Irr!BB30)),IF(AND(Irr!F30&lt;&gt;".",Irr!AD30&lt;&gt;".",Irr!BB30="."),dir!G30/((1/1000)*(Irr!F30+Irr!AD30)),IF(AND(Irr!F30&lt;&gt;".",Irr!AD30=".",Irr!BB30&lt;&gt;"."),dir!G30/((1/1000)*(Irr!F30+Irr!BB30)),IF(AND(Irr!F30=".",Irr!AD30&lt;&gt;".",Irr!BB30&lt;&gt;"."),dir!G30/((1/1000)*(Irr!AD30+Irr!BB30)),IF(AND(Irr!F30=".",Irr!AD30=".",Irr!BB30&lt;&gt;"."),dir!G30/((1/1000)*(Irr!BB30)),IF(AND(Irr!F30=".",Irr!AD30&lt;&gt;".",Irr!BB30="."),dir!G30/((1/1000)*(Irr!AD30)),IF(AND(Irr!F30&lt;&gt;".",Irr!AD30=".",Irr!BB30="."),dir!G30/((1/1000)*(Irr!F30)),IF(AND(Irr!F30=".",Irr!AD30=".",Irr!BB30="."),dir!G30*1000)))))))),".")</f>
        <v>106.29789188064677</v>
      </c>
      <c r="H30" s="48">
        <f>IFERROR(IF(AND(Irr!G30&lt;&gt;".",Irr!AE30&lt;&gt;".",Irr!BC30&lt;&gt;"."),dir!H30/((1/1000)*(Irr!G30+Irr!AE30+Irr!BC30)),IF(AND(Irr!G30&lt;&gt;".",Irr!AE30&lt;&gt;".",Irr!BC30="."),dir!H30/((1/1000)*(Irr!G30+Irr!AE30)),IF(AND(Irr!G30&lt;&gt;".",Irr!AE30=".",Irr!BC30&lt;&gt;"."),dir!H30/((1/1000)*(Irr!G30+Irr!BC30)),IF(AND(Irr!G30=".",Irr!AE30&lt;&gt;".",Irr!BC30&lt;&gt;"."),dir!H30/((1/1000)*(Irr!AE30+Irr!BC30)),IF(AND(Irr!G30=".",Irr!AE30=".",Irr!BC30&lt;&gt;"."),dir!H30/((1/1000)*(Irr!BC30)),IF(AND(Irr!G30=".",Irr!AE30&lt;&gt;".",Irr!BC30="."),dir!H30/((1/1000)*(Irr!AE30)),IF(AND(Irr!G30&lt;&gt;".",Irr!AE30=".",Irr!BC30="."),dir!H30/((1/1000)*(Irr!G30)),IF(AND(Irr!G30=".",Irr!AE30=".",Irr!BC30="."),dir!H30*1000)))))))),".")</f>
        <v>110.058280124569</v>
      </c>
      <c r="I30" s="48">
        <f>IFERROR(IF(AND(Irr!H30&lt;&gt;".",Irr!AF30&lt;&gt;".",Irr!BD30&lt;&gt;"."),dir!I30/((1/1000)*(Irr!H30+Irr!AF30+Irr!BD30)),IF(AND(Irr!H30&lt;&gt;".",Irr!AF30&lt;&gt;".",Irr!BD30="."),dir!I30/((1/1000)*(Irr!H30+Irr!AF30)),IF(AND(Irr!H30&lt;&gt;".",Irr!AF30=".",Irr!BD30&lt;&gt;"."),dir!I30/((1/1000)*(Irr!H30+Irr!BD30)),IF(AND(Irr!H30=".",Irr!AF30&lt;&gt;".",Irr!BD30&lt;&gt;"."),dir!I30/((1/1000)*(Irr!AF30+Irr!BD30)),IF(AND(Irr!H30=".",Irr!AF30=".",Irr!BD30&lt;&gt;"."),dir!I30/((1/1000)*(Irr!BD30)),IF(AND(Irr!H30=".",Irr!AF30&lt;&gt;".",Irr!BD30="."),dir!I30/((1/1000)*(Irr!AF30)),IF(AND(Irr!H30&lt;&gt;".",Irr!AF30=".",Irr!BD30="."),dir!I30/((1/1000)*(Irr!H30)),IF(AND(Irr!H30=".",Irr!AF30=".",Irr!BD30="."),dir!I30*1000)))))))),".")</f>
        <v>39.884030160934081</v>
      </c>
      <c r="J30" s="48">
        <f>IFERROR(IF(AND(Irr!I30&lt;&gt;".",Irr!AG30&lt;&gt;".",Irr!BE30&lt;&gt;"."),dir!J30/((1/1000)*(Irr!I30+Irr!AG30+Irr!BE30)),IF(AND(Irr!I30&lt;&gt;".",Irr!AG30&lt;&gt;".",Irr!BE30="."),dir!J30/((1/1000)*(Irr!I30+Irr!AG30)),IF(AND(Irr!I30&lt;&gt;".",Irr!AG30=".",Irr!BE30&lt;&gt;"."),dir!J30/((1/1000)*(Irr!I30+Irr!BE30)),IF(AND(Irr!I30=".",Irr!AG30&lt;&gt;".",Irr!BE30&lt;&gt;"."),dir!J30/((1/1000)*(Irr!AG30+Irr!BE30)),IF(AND(Irr!I30=".",Irr!AG30=".",Irr!BE30&lt;&gt;"."),dir!J30/((1/1000)*(Irr!BE30)),IF(AND(Irr!I30=".",Irr!AG30&lt;&gt;".",Irr!BE30="."),dir!J30/((1/1000)*(Irr!AG30)),IF(AND(Irr!I30&lt;&gt;".",Irr!AG30=".",Irr!BE30="."),dir!J30/((1/1000)*(Irr!I30)),IF(AND(Irr!I30=".",Irr!AG30=".",Irr!BE30="."),dir!J30*1000)))))))),".")</f>
        <v>132.9584613022931</v>
      </c>
      <c r="K30" s="48">
        <f>IFERROR(IF(AND(Irr!J30&lt;&gt;".",Irr!AH30&lt;&gt;".",Irr!BF30&lt;&gt;"."),dir!K30/((1/1000)*(Irr!J30+Irr!AH30+Irr!BF30)),IF(AND(Irr!J30&lt;&gt;".",Irr!AH30&lt;&gt;".",Irr!BF30="."),dir!K30/((1/1000)*(Irr!J30+Irr!AH30)),IF(AND(Irr!J30&lt;&gt;".",Irr!AH30=".",Irr!BF30&lt;&gt;"."),dir!K30/((1/1000)*(Irr!J30+Irr!BF30)),IF(AND(Irr!J30=".",Irr!AH30&lt;&gt;".",Irr!BF30&lt;&gt;"."),dir!K30/((1/1000)*(Irr!AH30+Irr!BF30)),IF(AND(Irr!J30=".",Irr!AH30=".",Irr!BF30&lt;&gt;"."),dir!K30/((1/1000)*(Irr!BF30)),IF(AND(Irr!J30=".",Irr!AH30&lt;&gt;".",Irr!BF30="."),dir!K30/((1/1000)*(Irr!AH30)),IF(AND(Irr!J30&lt;&gt;".",Irr!AH30=".",Irr!BF30="."),dir!K30/((1/1000)*(Irr!J30)),IF(AND(Irr!J30=".",Irr!AH30=".",Irr!BF30="."),dir!K30*1000)))))))),".")</f>
        <v>12.30938636954774</v>
      </c>
      <c r="L30" s="48">
        <f>IFERROR(IF(AND(Irr!K30&lt;&gt;".",Irr!AI30&lt;&gt;".",Irr!BG30&lt;&gt;"."),dir!L30/((1/1000)*(Irr!K30+Irr!AI30+Irr!BG30)),IF(AND(Irr!K30&lt;&gt;".",Irr!AI30&lt;&gt;".",Irr!BG30="."),dir!L30/((1/1000)*(Irr!K30+Irr!AI30)),IF(AND(Irr!K30&lt;&gt;".",Irr!AI30=".",Irr!BG30&lt;&gt;"."),dir!L30/((1/1000)*(Irr!K30+Irr!BG30)),IF(AND(Irr!K30=".",Irr!AI30&lt;&gt;".",Irr!BG30&lt;&gt;"."),dir!L30/((1/1000)*(Irr!AI30+Irr!BG30)),IF(AND(Irr!K30=".",Irr!AI30=".",Irr!BG30&lt;&gt;"."),dir!L30/((1/1000)*(Irr!BG30)),IF(AND(Irr!K30=".",Irr!AI30&lt;&gt;".",Irr!BG30="."),dir!L30/((1/1000)*(Irr!AI30)),IF(AND(Irr!K30&lt;&gt;".",Irr!AI30=".",Irr!BG30="."),dir!L30/((1/1000)*(Irr!K30)),IF(AND(Irr!K30=".",Irr!AI30=".",Irr!BG30="."),dir!L30*1000)))))))),".")</f>
        <v>59.509595779549691</v>
      </c>
      <c r="M30" s="48">
        <f>IFERROR(IF(AND(Irr!L30&lt;&gt;".",Irr!AJ30&lt;&gt;".",Irr!BH30&lt;&gt;"."),dir!M30/((1/1000)*(Irr!L30+Irr!AJ30+Irr!BH30)),IF(AND(Irr!L30&lt;&gt;".",Irr!AJ30&lt;&gt;".",Irr!BH30="."),dir!M30/((1/1000)*(Irr!L30+Irr!AJ30)),IF(AND(Irr!L30&lt;&gt;".",Irr!AJ30=".",Irr!BH30&lt;&gt;"."),dir!M30/((1/1000)*(Irr!L30+Irr!BH30)),IF(AND(Irr!L30=".",Irr!AJ30&lt;&gt;".",Irr!BH30&lt;&gt;"."),dir!M30/((1/1000)*(Irr!AJ30+Irr!BH30)),IF(AND(Irr!L30=".",Irr!AJ30=".",Irr!BH30&lt;&gt;"."),dir!M30/((1/1000)*(Irr!BH30)),IF(AND(Irr!L30=".",Irr!AJ30&lt;&gt;".",Irr!BH30="."),dir!M30/((1/1000)*(Irr!AJ30)),IF(AND(Irr!L30&lt;&gt;".",Irr!AJ30=".",Irr!BH30="."),dir!M30/((1/1000)*(Irr!L30)),IF(AND(Irr!L30=".",Irr!AJ30=".",Irr!BH30="."),dir!M30*1000)))))))),".")</f>
        <v>44.287593554175615</v>
      </c>
      <c r="N30" s="48">
        <f>IFERROR(IF(AND(Irr!M30&lt;&gt;".",Irr!AK30&lt;&gt;".",Irr!BI30&lt;&gt;"."),dir!N30/((1/1000)*(Irr!M30+Irr!AK30+Irr!BI30)),IF(AND(Irr!M30&lt;&gt;".",Irr!AK30&lt;&gt;".",Irr!BI30="."),dir!N30/((1/1000)*(Irr!M30+Irr!AK30)),IF(AND(Irr!M30&lt;&gt;".",Irr!AK30=".",Irr!BI30&lt;&gt;"."),dir!N30/((1/1000)*(Irr!M30+Irr!BI30)),IF(AND(Irr!M30=".",Irr!AK30&lt;&gt;".",Irr!BI30&lt;&gt;"."),dir!N30/((1/1000)*(Irr!AK30+Irr!BI30)),IF(AND(Irr!M30=".",Irr!AK30=".",Irr!BI30&lt;&gt;"."),dir!N30/((1/1000)*(Irr!BI30)),IF(AND(Irr!M30=".",Irr!AK30&lt;&gt;".",Irr!BI30="."),dir!N30/((1/1000)*(Irr!AK30)),IF(AND(Irr!M30&lt;&gt;".",Irr!AK30=".",Irr!BI30="."),dir!N30/((1/1000)*(Irr!M30)),IF(AND(Irr!M30=".",Irr!AK30=".",Irr!BI30="."),dir!N30*1000)))))))),".")</f>
        <v>88.814061007968775</v>
      </c>
      <c r="O30" s="48">
        <f>IFERROR(IF(AND(Irr!N30&lt;&gt;".",Irr!AL30&lt;&gt;".",Irr!BJ30&lt;&gt;"."),dir!O30/((1/1000)*(Irr!N30+Irr!AL30+Irr!BJ30)),IF(AND(Irr!N30&lt;&gt;".",Irr!AL30&lt;&gt;".",Irr!BJ30="."),dir!O30/((1/1000)*(Irr!N30+Irr!AL30)),IF(AND(Irr!N30&lt;&gt;".",Irr!AL30=".",Irr!BJ30&lt;&gt;"."),dir!O30/((1/1000)*(Irr!N30+Irr!BJ30)),IF(AND(Irr!N30=".",Irr!AL30&lt;&gt;".",Irr!BJ30&lt;&gt;"."),dir!O30/((1/1000)*(Irr!AL30+Irr!BJ30)),IF(AND(Irr!N30=".",Irr!AL30=".",Irr!BJ30&lt;&gt;"."),dir!O30/((1/1000)*(Irr!BJ30)),IF(AND(Irr!N30=".",Irr!AL30&lt;&gt;".",Irr!BJ30="."),dir!O30/((1/1000)*(Irr!AL30)),IF(AND(Irr!N30&lt;&gt;".",Irr!AL30=".",Irr!BJ30="."),dir!O30/((1/1000)*(Irr!N30)),IF(AND(Irr!N30=".",Irr!AL30=".",Irr!BJ30="."),dir!O30*1000)))))))),".")</f>
        <v>120.81213276573266</v>
      </c>
      <c r="P30" s="48">
        <f>IFERROR(IF(AND(Irr!O30&lt;&gt;".",Irr!AM30&lt;&gt;".",Irr!BK30&lt;&gt;"."),dir!P30/((1/1000)*(Irr!O30+Irr!AM30+Irr!BK30)),IF(AND(Irr!O30&lt;&gt;".",Irr!AM30&lt;&gt;".",Irr!BK30="."),dir!P30/((1/1000)*(Irr!O30+Irr!AM30)),IF(AND(Irr!O30&lt;&gt;".",Irr!AM30=".",Irr!BK30&lt;&gt;"."),dir!P30/((1/1000)*(Irr!O30+Irr!BK30)),IF(AND(Irr!O30=".",Irr!AM30&lt;&gt;".",Irr!BK30&lt;&gt;"."),dir!P30/((1/1000)*(Irr!AM30+Irr!BK30)),IF(AND(Irr!O30=".",Irr!AM30=".",Irr!BK30&lt;&gt;"."),dir!P30/((1/1000)*(Irr!BK30)),IF(AND(Irr!O30=".",Irr!AM30&lt;&gt;".",Irr!BK30="."),dir!P30/((1/1000)*(Irr!AM30)),IF(AND(Irr!O30&lt;&gt;".",Irr!AM30=".",Irr!BK30="."),dir!P30/((1/1000)*(Irr!O30)),IF(AND(Irr!O30=".",Irr!AM30=".",Irr!BK30="."),dir!P30*1000)))))))),".")</f>
        <v>125.34785352237806</v>
      </c>
      <c r="Q30" s="48">
        <f>IFERROR(IF(AND(Irr!P30&lt;&gt;".",Irr!AN30&lt;&gt;".",Irr!BL30&lt;&gt;"."),dir!Q30/((1/1000)*(Irr!P30+Irr!AN30+Irr!BL30)),IF(AND(Irr!P30&lt;&gt;".",Irr!AN30&lt;&gt;".",Irr!BL30="."),dir!Q30/((1/1000)*(Irr!P30+Irr!AN30)),IF(AND(Irr!P30&lt;&gt;".",Irr!AN30=".",Irr!BL30&lt;&gt;"."),dir!Q30/((1/1000)*(Irr!P30+Irr!BL30)),IF(AND(Irr!P30=".",Irr!AN30&lt;&gt;".",Irr!BL30&lt;&gt;"."),dir!Q30/((1/1000)*(Irr!AN30+Irr!BL30)),IF(AND(Irr!P30=".",Irr!AN30=".",Irr!BL30&lt;&gt;"."),dir!Q30/((1/1000)*(Irr!BL30)),IF(AND(Irr!P30=".",Irr!AN30&lt;&gt;".",Irr!BL30="."),dir!Q30/((1/1000)*(Irr!AN30)),IF(AND(Irr!P30&lt;&gt;".",Irr!AN30=".",Irr!BL30="."),dir!Q30/((1/1000)*(Irr!P30)),IF(AND(Irr!P30=".",Irr!AN30=".",Irr!BL30="."),dir!Q30*1000)))))))),".")</f>
        <v>169.27109645880742</v>
      </c>
      <c r="R30" s="48">
        <f>IFERROR(IF(AND(Irr!Q30&lt;&gt;".",Irr!AO30&lt;&gt;".",Irr!BM30&lt;&gt;"."),dir!R30/((1/1000)*(Irr!Q30+Irr!AO30+Irr!BM30)),IF(AND(Irr!Q30&lt;&gt;".",Irr!AO30&lt;&gt;".",Irr!BM30="."),dir!R30/((1/1000)*(Irr!Q30+Irr!AO30)),IF(AND(Irr!Q30&lt;&gt;".",Irr!AO30=".",Irr!BM30&lt;&gt;"."),dir!R30/((1/1000)*(Irr!Q30+Irr!BM30)),IF(AND(Irr!Q30=".",Irr!AO30&lt;&gt;".",Irr!BM30&lt;&gt;"."),dir!R30/((1/1000)*(Irr!AO30+Irr!BM30)),IF(AND(Irr!Q30=".",Irr!AO30=".",Irr!BM30&lt;&gt;"."),dir!R30/((1/1000)*(Irr!BM30)),IF(AND(Irr!Q30=".",Irr!AO30&lt;&gt;".",Irr!BM30="."),dir!R30/((1/1000)*(Irr!AO30)),IF(AND(Irr!Q30&lt;&gt;".",Irr!AO30=".",Irr!BM30="."),dir!R30/((1/1000)*(Irr!Q30)),IF(AND(Irr!Q30=".",Irr!AO30=".",Irr!BM30="."),dir!R30*1000)))))))),".")</f>
        <v>30.357403097358063</v>
      </c>
      <c r="S30" s="48">
        <f>IFERROR(IF(AND(Irr!R30&lt;&gt;".",Irr!AP30&lt;&gt;".",Irr!BN30&lt;&gt;"."),dir!S30/((1/1000)*(Irr!R30+Irr!AP30+Irr!BN30)),IF(AND(Irr!R30&lt;&gt;".",Irr!AP30&lt;&gt;".",Irr!BN30="."),dir!S30/((1/1000)*(Irr!R30+Irr!AP30)),IF(AND(Irr!R30&lt;&gt;".",Irr!AP30=".",Irr!BN30&lt;&gt;"."),dir!S30/((1/1000)*(Irr!R30+Irr!BN30)),IF(AND(Irr!R30=".",Irr!AP30&lt;&gt;".",Irr!BN30&lt;&gt;"."),dir!S30/((1/1000)*(Irr!AP30+Irr!BN30)),IF(AND(Irr!R30=".",Irr!AP30=".",Irr!BN30&lt;&gt;"."),dir!S30/((1/1000)*(Irr!BN30)),IF(AND(Irr!R30=".",Irr!AP30&lt;&gt;".",Irr!BN30="."),dir!S30/((1/1000)*(Irr!AP30)),IF(AND(Irr!R30&lt;&gt;".",Irr!AP30=".",Irr!BN30="."),dir!S30/((1/1000)*(Irr!R30)),IF(AND(Irr!R30=".",Irr!AP30=".",Irr!BN30="."),dir!S30*1000)))))))),".")</f>
        <v>63.058811992421617</v>
      </c>
      <c r="T30" s="48">
        <f>IFERROR(IF(AND(Irr!S30&lt;&gt;".",Irr!AQ30&lt;&gt;".",Irr!BO30&lt;&gt;"."),dir!T30/((1/1000)*(Irr!S30+Irr!AQ30+Irr!BO30)),IF(AND(Irr!S30&lt;&gt;".",Irr!AQ30&lt;&gt;".",Irr!BO30="."),dir!T30/((1/1000)*(Irr!S30+Irr!AQ30)),IF(AND(Irr!S30&lt;&gt;".",Irr!AQ30=".",Irr!BO30&lt;&gt;"."),dir!T30/((1/1000)*(Irr!S30+Irr!BO30)),IF(AND(Irr!S30=".",Irr!AQ30&lt;&gt;".",Irr!BO30&lt;&gt;"."),dir!T30/((1/1000)*(Irr!AQ30+Irr!BO30)),IF(AND(Irr!S30=".",Irr!AQ30=".",Irr!BO30&lt;&gt;"."),dir!T30/((1/1000)*(Irr!BO30)),IF(AND(Irr!S30=".",Irr!AQ30&lt;&gt;".",Irr!BO30="."),dir!T30/((1/1000)*(Irr!AQ30)),IF(AND(Irr!S30&lt;&gt;".",Irr!AQ30=".",Irr!BO30="."),dir!T30/((1/1000)*(Irr!S30)),IF(AND(Irr!S30=".",Irr!AQ30=".",Irr!BO30="."),dir!T30*1000)))))))),".")</f>
        <v>99.342337088010296</v>
      </c>
      <c r="U30" s="48">
        <f>IFERROR(IF(AND(Irr!T30&lt;&gt;".",Irr!AR30&lt;&gt;".",Irr!BP30&lt;&gt;"."),dir!U30/((1/1000)*(Irr!T30+Irr!AR30+Irr!BP30)),IF(AND(Irr!T30&lt;&gt;".",Irr!AR30&lt;&gt;".",Irr!BP30="."),dir!U30/((1/1000)*(Irr!T30+Irr!AR30)),IF(AND(Irr!T30&lt;&gt;".",Irr!AR30=".",Irr!BP30&lt;&gt;"."),dir!U30/((1/1000)*(Irr!T30+Irr!BP30)),IF(AND(Irr!T30=".",Irr!AR30&lt;&gt;".",Irr!BP30&lt;&gt;"."),dir!U30/((1/1000)*(Irr!AR30+Irr!BP30)),IF(AND(Irr!T30=".",Irr!AR30=".",Irr!BP30&lt;&gt;"."),dir!U30/((1/1000)*(Irr!BP30)),IF(AND(Irr!T30=".",Irr!AR30&lt;&gt;".",Irr!BP30="."),dir!U30/((1/1000)*(Irr!AR30)),IF(AND(Irr!T30&lt;&gt;".",Irr!AR30=".",Irr!BP30="."),dir!U30/((1/1000)*(Irr!T30)),IF(AND(Irr!T30=".",Irr!AR30=".",Irr!BP30="."),dir!U30*1000)))))))),".")</f>
        <v>30.375493252566447</v>
      </c>
      <c r="V30" s="48">
        <f>IFERROR(IF(AND(Irr!U30&lt;&gt;".",Irr!AS30&lt;&gt;".",Irr!BQ30&lt;&gt;"."),dir!V30/((1/1000)*(Irr!U30+Irr!AS30+Irr!BQ30)),IF(AND(Irr!U30&lt;&gt;".",Irr!AS30&lt;&gt;".",Irr!BQ30="."),dir!V30/((1/1000)*(Irr!U30+Irr!AS30)),IF(AND(Irr!U30&lt;&gt;".",Irr!AS30=".",Irr!BQ30&lt;&gt;"."),dir!V30/((1/1000)*(Irr!U30+Irr!BQ30)),IF(AND(Irr!U30=".",Irr!AS30&lt;&gt;".",Irr!BQ30&lt;&gt;"."),dir!V30/((1/1000)*(Irr!AS30+Irr!BQ30)),IF(AND(Irr!U30=".",Irr!AS30=".",Irr!BQ30&lt;&gt;"."),dir!V30/((1/1000)*(Irr!BQ30)),IF(AND(Irr!U30=".",Irr!AS30&lt;&gt;".",Irr!BQ30="."),dir!V30/((1/1000)*(Irr!AS30)),IF(AND(Irr!U30&lt;&gt;".",Irr!AS30=".",Irr!BQ30="."),dir!V30/((1/1000)*(Irr!U30)),IF(AND(Irr!U30=".",Irr!AS30=".",Irr!BQ30="."),dir!V30*1000)))))))),".")</f>
        <v>50.889256723807335</v>
      </c>
      <c r="W30" s="48">
        <f>IFERROR(IF(AND(Irr!V30&lt;&gt;".",Irr!AT30&lt;&gt;".",Irr!BR30&lt;&gt;"."),dir!W30/((1/1000)*(Irr!V30+Irr!AT30+Irr!BR30)),IF(AND(Irr!V30&lt;&gt;".",Irr!AT30&lt;&gt;".",Irr!BR30="."),dir!W30/((1/1000)*(Irr!V30+Irr!AT30)),IF(AND(Irr!V30&lt;&gt;".",Irr!AT30=".",Irr!BR30&lt;&gt;"."),dir!W30/((1/1000)*(Irr!V30+Irr!BR30)),IF(AND(Irr!V30=".",Irr!AT30&lt;&gt;".",Irr!BR30&lt;&gt;"."),dir!W30/((1/1000)*(Irr!AT30+Irr!BR30)),IF(AND(Irr!V30=".",Irr!AT30=".",Irr!BR30&lt;&gt;"."),dir!W30/((1/1000)*(Irr!BR30)),IF(AND(Irr!V30=".",Irr!AT30&lt;&gt;".",Irr!BR30="."),dir!W30/((1/1000)*(Irr!AT30)),IF(AND(Irr!V30&lt;&gt;".",Irr!AT30=".",Irr!BR30="."),dir!W30/((1/1000)*(Irr!V30)),IF(AND(Irr!V30=".",Irr!AT30=".",Irr!BR30="."),dir!W30*1000)))))))),".")</f>
        <v>68.837913201057461</v>
      </c>
      <c r="X30" s="48">
        <f>IFERROR(IF(AND(Irr!W30&lt;&gt;".",Irr!AU30&lt;&gt;".",Irr!BS30&lt;&gt;"."),dir!X30/((1/1000)*(Irr!W30+Irr!AU30+Irr!BS30)),IF(AND(Irr!W30&lt;&gt;".",Irr!AU30&lt;&gt;".",Irr!BS30="."),dir!X30/((1/1000)*(Irr!W30+Irr!AU30)),IF(AND(Irr!W30&lt;&gt;".",Irr!AU30=".",Irr!BS30&lt;&gt;"."),dir!X30/((1/1000)*(Irr!W30+Irr!BS30)),IF(AND(Irr!W30=".",Irr!AU30&lt;&gt;".",Irr!BS30&lt;&gt;"."),dir!X30/((1/1000)*(Irr!AU30+Irr!BS30)),IF(AND(Irr!W30=".",Irr!AU30=".",Irr!BS30&lt;&gt;"."),dir!X30/((1/1000)*(Irr!BS30)),IF(AND(Irr!W30=".",Irr!AU30&lt;&gt;".",Irr!BS30="."),dir!X30/((1/1000)*(Irr!AU30)),IF(AND(Irr!W30&lt;&gt;".",Irr!AU30=".",Irr!BS30="."),dir!X30/((1/1000)*(Irr!W30)),IF(AND(Irr!W30=".",Irr!AU30=".",Irr!BS30="."),dir!X30*1000)))))))),".")</f>
        <v>94.170771981359948</v>
      </c>
      <c r="Y30" s="48">
        <f>IFERROR(IF(AND(Irr!X30&lt;&gt;".",Irr!AV30&lt;&gt;".",Irr!BT30&lt;&gt;"."),dir!Y30/((1/1000)*(Irr!X30+Irr!AV30+Irr!BT30)),IF(AND(Irr!X30&lt;&gt;".",Irr!AV30&lt;&gt;".",Irr!BT30="."),dir!Y30/((1/1000)*(Irr!X30+Irr!AV30)),IF(AND(Irr!X30&lt;&gt;".",Irr!AV30=".",Irr!BT30&lt;&gt;"."),dir!Y30/((1/1000)*(Irr!X30+Irr!BT30)),IF(AND(Irr!X30=".",Irr!AV30&lt;&gt;".",Irr!BT30&lt;&gt;"."),dir!Y30/((1/1000)*(Irr!AV30+Irr!BT30)),IF(AND(Irr!X30=".",Irr!AV30=".",Irr!BT30&lt;&gt;"."),dir!Y30/((1/1000)*(Irr!BT30)),IF(AND(Irr!X30=".",Irr!AV30&lt;&gt;".",Irr!BT30="."),dir!Y30/((1/1000)*(Irr!AV30)),IF(AND(Irr!X30&lt;&gt;".",Irr!AV30=".",Irr!BT30="."),dir!Y30/((1/1000)*(Irr!X30)),IF(AND(Irr!X30=".",Irr!AV30=".",Irr!BT30="."),dir!Y30*1000)))))))),".")</f>
        <v>44.108003036323787</v>
      </c>
      <c r="Z30" s="48">
        <f>IFERROR(IF(AND(Irr!Y30&lt;&gt;".",Irr!AW30&lt;&gt;".",Irr!BU30&lt;&gt;"."),dir!Z30/((1/1000)*(Irr!Y30+Irr!AW30+Irr!BU30)),IF(AND(Irr!Y30&lt;&gt;".",Irr!AW30&lt;&gt;".",Irr!BU30="."),dir!Z30/((1/1000)*(Irr!Y30+Irr!AW30)),IF(AND(Irr!Y30&lt;&gt;".",Irr!AW30=".",Irr!BU30&lt;&gt;"."),dir!Z30/((1/1000)*(Irr!Y30+Irr!BU30)),IF(AND(Irr!Y30=".",Irr!AW30&lt;&gt;".",Irr!BU30&lt;&gt;"."),dir!Z30/((1/1000)*(Irr!AW30+Irr!BU30)),IF(AND(Irr!Y30=".",Irr!AW30=".",Irr!BU30&lt;&gt;"."),dir!Z30/((1/1000)*(Irr!BU30)),IF(AND(Irr!Y30=".",Irr!AW30&lt;&gt;".",Irr!BU30="."),dir!Z30/((1/1000)*(Irr!AW30)),IF(AND(Irr!Y30&lt;&gt;".",Irr!AW30=".",Irr!BU30="."),dir!Z30/((1/1000)*(Irr!Y30)),IF(AND(Irr!Y30=".",Irr!AW30=".",Irr!BU30="."),dir!Z30*1000)))))))),".")</f>
        <v>16.178163257187421</v>
      </c>
      <c r="AA30" s="48">
        <f>IFERROR(IF(AND(Irr!Z30&lt;&gt;".",Irr!AX30&lt;&gt;".",Irr!BV30&lt;&gt;"."),dir!AA30/((1/1000)*(Irr!Z30+Irr!AX30+Irr!BV30)),IF(AND(Irr!Z30&lt;&gt;".",Irr!AX30&lt;&gt;".",Irr!BV30="."),dir!AA30/((1/1000)*(Irr!Z30+Irr!AX30)),IF(AND(Irr!Z30&lt;&gt;".",Irr!AX30=".",Irr!BV30&lt;&gt;"."),dir!AA30/((1/1000)*(Irr!Z30+Irr!BV30)),IF(AND(Irr!Z30=".",Irr!AX30&lt;&gt;".",Irr!BV30&lt;&gt;"."),dir!AA30/((1/1000)*(Irr!AX30+Irr!BV30)),IF(AND(Irr!Z30=".",Irr!AX30=".",Irr!BV30&lt;&gt;"."),dir!AA30/((1/1000)*(Irr!BV30)),IF(AND(Irr!Z30=".",Irr!AX30&lt;&gt;".",Irr!BV30="."),dir!AA30/((1/1000)*(Irr!AX30)),IF(AND(Irr!Z30&lt;&gt;".",Irr!AX30=".",Irr!BV30="."),dir!AA30/((1/1000)*(Irr!Z30)),IF(AND(Irr!Z30=".",Irr!AX30=".",Irr!BV30="."),dir!AA30*1000)))))))),".")</f>
        <v>12.319171634411981</v>
      </c>
      <c r="AB30" s="48">
        <f t="shared" ref="AB30" si="25">IFERROR(1/SUM(1/AC30,1/AD30,1/AE30,1/AF30,1/AG30,1/AH30,1/AI30,1/AJ30,1/AK30,1/AL30,1/AM30,1/AN30,1/AO30,1/AP30,1/AQ30,1/AR30,1/AS30,1/AT30,1/AU30,1/AV30,1/AW30,1/AX30),".")</f>
        <v>2.3290378105334995</v>
      </c>
      <c r="AC30" s="48">
        <f>IFERROR(IF(AND(Irr!C30&lt;&gt;".",Irr!AA30&lt;&gt;".",Irr!AY30&lt;&gt;"."),dir!AC30/((1/1000)*(Irr!C30+Irr!AA30+Irr!AY30)),IF(AND(Irr!C30&lt;&gt;".",Irr!AA30&lt;&gt;".",Irr!AY30="."),dir!AC30/((1/1000)*(Irr!C30+Irr!AA30)),IF(AND(Irr!C30&lt;&gt;".",Irr!AA30=".",Irr!AY30&lt;&gt;"."),dir!AC30/((1/1000)*(Irr!C30+Irr!AY30)),IF(AND(Irr!C30=".",Irr!AA30&lt;&gt;".",Irr!AY30&lt;&gt;"."),dir!AC30/((1/1000)*(Irr!AA30+Irr!AY30)),IF(AND(Irr!C30=".",Irr!AA30=".",Irr!AY30&lt;&gt;"."),dir!AC30/((1/1000)*(Irr!AY30)),IF(AND(Irr!C30=".",Irr!AA30&lt;&gt;".",Irr!AY30="."),dir!AC30/((1/1000)*(Irr!AA30)),IF(AND(Irr!C30&lt;&gt;".",Irr!AA30=".",Irr!AY30="."),dir!AC30/((1/1000)*(Irr!C30)),IF(AND(Irr!C30=".",Irr!AA30=".",Irr!AY30="."),dir!AC30*1000)))))))),".")</f>
        <v>41.241148415077866</v>
      </c>
      <c r="AD30" s="48">
        <f>IFERROR(IF(AND(Irr!D30&lt;&gt;".",Irr!AB30&lt;&gt;".",Irr!AZ30&lt;&gt;"."),dir!AD30/((1/1000)*(Irr!D30+Irr!AB30+Irr!AZ30)),IF(AND(Irr!D30&lt;&gt;".",Irr!AB30&lt;&gt;".",Irr!AZ30="."),dir!AD30/((1/1000)*(Irr!D30+Irr!AB30)),IF(AND(Irr!D30&lt;&gt;".",Irr!AB30=".",Irr!AZ30&lt;&gt;"."),dir!AD30/((1/1000)*(Irr!D30+Irr!AZ30)),IF(AND(Irr!D30=".",Irr!AB30&lt;&gt;".",Irr!AZ30&lt;&gt;"."),dir!AD30/((1/1000)*(Irr!AB30+Irr!AZ30)),IF(AND(Irr!D30=".",Irr!AB30=".",Irr!AZ30&lt;&gt;"."),dir!AD30/((1/1000)*(Irr!AZ30)),IF(AND(Irr!D30=".",Irr!AB30&lt;&gt;".",Irr!AZ30="."),dir!AD30/((1/1000)*(Irr!AB30)),IF(AND(Irr!D30&lt;&gt;".",Irr!AB30=".",Irr!AZ30="."),dir!AD30/((1/1000)*(Irr!D30)),IF(AND(Irr!D30=".",Irr!AB30=".",Irr!AZ30="."),dir!AD30*1000)))))))),".")</f>
        <v>83.565250616214286</v>
      </c>
      <c r="AE30" s="48">
        <f>IFERROR(IF(AND(Irr!E30&lt;&gt;".",Irr!AC30&lt;&gt;".",Irr!BA30&lt;&gt;"."),dir!AE30/((1/1000)*(Irr!E30+Irr!AC30+Irr!BA30)),IF(AND(Irr!E30&lt;&gt;".",Irr!AC30&lt;&gt;".",Irr!BA30="."),dir!AE30/((1/1000)*(Irr!E30+Irr!AC30)),IF(AND(Irr!E30&lt;&gt;".",Irr!AC30=".",Irr!BA30&lt;&gt;"."),dir!AE30/((1/1000)*(Irr!E30+Irr!BA30)),IF(AND(Irr!E30=".",Irr!AC30&lt;&gt;".",Irr!BA30&lt;&gt;"."),dir!AE30/((1/1000)*(Irr!AC30+Irr!BA30)),IF(AND(Irr!E30=".",Irr!AC30=".",Irr!BA30&lt;&gt;"."),dir!AE30/((1/1000)*(Irr!BA30)),IF(AND(Irr!E30=".",Irr!AC30&lt;&gt;".",Irr!BA30="."),dir!AE30/((1/1000)*(Irr!AC30)),IF(AND(Irr!E30&lt;&gt;".",Irr!AC30=".",Irr!BA30="."),dir!AE30/((1/1000)*(Irr!E30)),IF(AND(Irr!E30=".",Irr!AC30=".",Irr!BA30="."),dir!AE30*1000)))))))),".")</f>
        <v>110.52250507037252</v>
      </c>
      <c r="AF30" s="48">
        <f>IFERROR(IF(AND(Irr!F30&lt;&gt;".",Irr!AD30&lt;&gt;".",Irr!BB30&lt;&gt;"."),dir!AF30/((1/1000)*(Irr!F30+Irr!AD30+Irr!BB30)),IF(AND(Irr!F30&lt;&gt;".",Irr!AD30&lt;&gt;".",Irr!BB30="."),dir!AF30/((1/1000)*(Irr!F30+Irr!AD30)),IF(AND(Irr!F30&lt;&gt;".",Irr!AD30=".",Irr!BB30&lt;&gt;"."),dir!AF30/((1/1000)*(Irr!F30+Irr!BB30)),IF(AND(Irr!F30=".",Irr!AD30&lt;&gt;".",Irr!BB30&lt;&gt;"."),dir!AF30/((1/1000)*(Irr!AD30+Irr!BB30)),IF(AND(Irr!F30=".",Irr!AD30=".",Irr!BB30&lt;&gt;"."),dir!AF30/((1/1000)*(Irr!BB30)),IF(AND(Irr!F30=".",Irr!AD30&lt;&gt;".",Irr!BB30="."),dir!AF30/((1/1000)*(Irr!AD30)),IF(AND(Irr!F30&lt;&gt;".",Irr!AD30=".",Irr!BB30="."),dir!AF30/((1/1000)*(Irr!F30)),IF(AND(Irr!F30=".",Irr!AD30=".",Irr!BB30="."),dir!AF30*1000)))))))),".")</f>
        <v>103.3938366310493</v>
      </c>
      <c r="AG30" s="48">
        <f>IFERROR(IF(AND(Irr!G30&lt;&gt;".",Irr!AE30&lt;&gt;".",Irr!BC30&lt;&gt;"."),dir!AG30/((1/1000)*(Irr!G30+Irr!AE30+Irr!BC30)),IF(AND(Irr!G30&lt;&gt;".",Irr!AE30&lt;&gt;".",Irr!BC30="."),dir!AG30/((1/1000)*(Irr!G30+Irr!AE30)),IF(AND(Irr!G30&lt;&gt;".",Irr!AE30=".",Irr!BC30&lt;&gt;"."),dir!AG30/((1/1000)*(Irr!G30+Irr!BC30)),IF(AND(Irr!G30=".",Irr!AE30&lt;&gt;".",Irr!BC30&lt;&gt;"."),dir!AG30/((1/1000)*(Irr!AE30+Irr!BC30)),IF(AND(Irr!G30=".",Irr!AE30=".",Irr!BC30&lt;&gt;"."),dir!AG30/((1/1000)*(Irr!BC30)),IF(AND(Irr!G30=".",Irr!AE30&lt;&gt;".",Irr!BC30="."),dir!AG30/((1/1000)*(Irr!AE30)),IF(AND(Irr!G30&lt;&gt;".",Irr!AE30=".",Irr!BC30="."),dir!AG30/((1/1000)*(Irr!G30)),IF(AND(Irr!G30=".",Irr!AE30=".",Irr!BC30="."),dir!AG30*1000)))))))),".")</f>
        <v>94.619667970922009</v>
      </c>
      <c r="AH30" s="48">
        <f>IFERROR(IF(AND(Irr!H30&lt;&gt;".",Irr!AF30&lt;&gt;".",Irr!BD30&lt;&gt;"."),dir!AH30/((1/1000)*(Irr!H30+Irr!AF30+Irr!BD30)),IF(AND(Irr!H30&lt;&gt;".",Irr!AF30&lt;&gt;".",Irr!BD30="."),dir!AH30/((1/1000)*(Irr!H30+Irr!AF30)),IF(AND(Irr!H30&lt;&gt;".",Irr!AF30=".",Irr!BD30&lt;&gt;"."),dir!AH30/((1/1000)*(Irr!H30+Irr!BD30)),IF(AND(Irr!H30=".",Irr!AF30&lt;&gt;".",Irr!BD30&lt;&gt;"."),dir!AH30/((1/1000)*(Irr!AF30+Irr!BD30)),IF(AND(Irr!H30=".",Irr!AF30=".",Irr!BD30&lt;&gt;"."),dir!AH30/((1/1000)*(Irr!BD30)),IF(AND(Irr!H30=".",Irr!AF30&lt;&gt;".",Irr!BD30="."),dir!AH30/((1/1000)*(Irr!AF30)),IF(AND(Irr!H30&lt;&gt;".",Irr!AF30=".",Irr!BD30="."),dir!AH30/((1/1000)*(Irr!H30)),IF(AND(Irr!H30=".",Irr!AF30=".",Irr!BD30="."),dir!AH30*1000)))))))),".")</f>
        <v>39.443310825375413</v>
      </c>
      <c r="AI30" s="48">
        <f>IFERROR(IF(AND(Irr!I30&lt;&gt;".",Irr!AG30&lt;&gt;".",Irr!BE30&lt;&gt;"."),dir!AI30/((1/1000)*(Irr!I30+Irr!AG30+Irr!BE30)),IF(AND(Irr!I30&lt;&gt;".",Irr!AG30&lt;&gt;".",Irr!BE30="."),dir!AI30/((1/1000)*(Irr!I30+Irr!AG30)),IF(AND(Irr!I30&lt;&gt;".",Irr!AG30=".",Irr!BE30&lt;&gt;"."),dir!AI30/((1/1000)*(Irr!I30+Irr!BE30)),IF(AND(Irr!I30=".",Irr!AG30&lt;&gt;".",Irr!BE30&lt;&gt;"."),dir!AI30/((1/1000)*(Irr!AG30+Irr!BE30)),IF(AND(Irr!I30=".",Irr!AG30=".",Irr!BE30&lt;&gt;"."),dir!AI30/((1/1000)*(Irr!BE30)),IF(AND(Irr!I30=".",Irr!AG30&lt;&gt;".",Irr!BE30="."),dir!AI30/((1/1000)*(Irr!AG30)),IF(AND(Irr!I30&lt;&gt;".",Irr!AG30=".",Irr!BE30="."),dir!AI30/((1/1000)*(Irr!I30)),IF(AND(Irr!I30=".",Irr!AG30=".",Irr!BE30="."),dir!AI30*1000)))))))),".")</f>
        <v>142.97640034829388</v>
      </c>
      <c r="AJ30" s="48">
        <f>IFERROR(IF(AND(Irr!J30&lt;&gt;".",Irr!AH30&lt;&gt;".",Irr!BF30&lt;&gt;"."),dir!AJ30/((1/1000)*(Irr!J30+Irr!AH30+Irr!BF30)),IF(AND(Irr!J30&lt;&gt;".",Irr!AH30&lt;&gt;".",Irr!BF30="."),dir!AJ30/((1/1000)*(Irr!J30+Irr!AH30)),IF(AND(Irr!J30&lt;&gt;".",Irr!AH30=".",Irr!BF30&lt;&gt;"."),dir!AJ30/((1/1000)*(Irr!J30+Irr!BF30)),IF(AND(Irr!J30=".",Irr!AH30&lt;&gt;".",Irr!BF30&lt;&gt;"."),dir!AJ30/((1/1000)*(Irr!AH30+Irr!BF30)),IF(AND(Irr!J30=".",Irr!AH30=".",Irr!BF30&lt;&gt;"."),dir!AJ30/((1/1000)*(Irr!BF30)),IF(AND(Irr!J30=".",Irr!AH30&lt;&gt;".",Irr!BF30="."),dir!AJ30/((1/1000)*(Irr!AH30)),IF(AND(Irr!J30&lt;&gt;".",Irr!AH30=".",Irr!BF30="."),dir!AJ30/((1/1000)*(Irr!J30)),IF(AND(Irr!J30=".",Irr!AH30=".",Irr!BF30="."),dir!AJ30*1000)))))))),".")</f>
        <v>11.918848282060702</v>
      </c>
      <c r="AK30" s="48">
        <f>IFERROR(IF(AND(Irr!K30&lt;&gt;".",Irr!AI30&lt;&gt;".",Irr!BG30&lt;&gt;"."),dir!AK30/((1/1000)*(Irr!K30+Irr!AI30+Irr!BG30)),IF(AND(Irr!K30&lt;&gt;".",Irr!AI30&lt;&gt;".",Irr!BG30="."),dir!AK30/((1/1000)*(Irr!K30+Irr!AI30)),IF(AND(Irr!K30&lt;&gt;".",Irr!AI30=".",Irr!BG30&lt;&gt;"."),dir!AK30/((1/1000)*(Irr!K30+Irr!BG30)),IF(AND(Irr!K30=".",Irr!AI30&lt;&gt;".",Irr!BG30&lt;&gt;"."),dir!AK30/((1/1000)*(Irr!AI30+Irr!BG30)),IF(AND(Irr!K30=".",Irr!AI30=".",Irr!BG30&lt;&gt;"."),dir!AK30/((1/1000)*(Irr!BG30)),IF(AND(Irr!K30=".",Irr!AI30&lt;&gt;".",Irr!BG30="."),dir!AK30/((1/1000)*(Irr!AI30)),IF(AND(Irr!K30&lt;&gt;".",Irr!AI30=".",Irr!BG30="."),dir!AK30/((1/1000)*(Irr!K30)),IF(AND(Irr!K30=".",Irr!AI30=".",Irr!BG30="."),dir!AK30*1000)))))))),".")</f>
        <v>41.095561618690439</v>
      </c>
      <c r="AL30" s="48">
        <f>IFERROR(IF(AND(Irr!L30&lt;&gt;".",Irr!AJ30&lt;&gt;".",Irr!BH30&lt;&gt;"."),dir!AL30/((1/1000)*(Irr!L30+Irr!AJ30+Irr!BH30)),IF(AND(Irr!L30&lt;&gt;".",Irr!AJ30&lt;&gt;".",Irr!BH30="."),dir!AL30/((1/1000)*(Irr!L30+Irr!AJ30)),IF(AND(Irr!L30&lt;&gt;".",Irr!AJ30=".",Irr!BH30&lt;&gt;"."),dir!AL30/((1/1000)*(Irr!L30+Irr!BH30)),IF(AND(Irr!L30=".",Irr!AJ30&lt;&gt;".",Irr!BH30&lt;&gt;"."),dir!AL30/((1/1000)*(Irr!AJ30+Irr!BH30)),IF(AND(Irr!L30=".",Irr!AJ30=".",Irr!BH30&lt;&gt;"."),dir!AL30/((1/1000)*(Irr!BH30)),IF(AND(Irr!L30=".",Irr!AJ30&lt;&gt;".",Irr!BH30="."),dir!AL30/((1/1000)*(Irr!AJ30)),IF(AND(Irr!L30&lt;&gt;".",Irr!AJ30=".",Irr!BH30="."),dir!AL30/((1/1000)*(Irr!L30)),IF(AND(Irr!L30=".",Irr!AJ30=".",Irr!BH30="."),dir!AL30*1000)))))))),".")</f>
        <v>62.371694255464</v>
      </c>
      <c r="AM30" s="48">
        <f>IFERROR(IF(AND(Irr!M30&lt;&gt;".",Irr!AK30&lt;&gt;".",Irr!BI30&lt;&gt;"."),dir!AM30/((1/1000)*(Irr!M30+Irr!AK30+Irr!BI30)),IF(AND(Irr!M30&lt;&gt;".",Irr!AK30&lt;&gt;".",Irr!BI30="."),dir!AM30/((1/1000)*(Irr!M30+Irr!AK30)),IF(AND(Irr!M30&lt;&gt;".",Irr!AK30=".",Irr!BI30&lt;&gt;"."),dir!AM30/((1/1000)*(Irr!M30+Irr!BI30)),IF(AND(Irr!M30=".",Irr!AK30&lt;&gt;".",Irr!BI30&lt;&gt;"."),dir!AM30/((1/1000)*(Irr!AK30+Irr!BI30)),IF(AND(Irr!M30=".",Irr!AK30=".",Irr!BI30&lt;&gt;"."),dir!AM30/((1/1000)*(Irr!BI30)),IF(AND(Irr!M30=".",Irr!AK30&lt;&gt;".",Irr!BI30="."),dir!AM30/((1/1000)*(Irr!AK30)),IF(AND(Irr!M30&lt;&gt;".",Irr!AK30=".",Irr!BI30="."),dir!AM30/((1/1000)*(Irr!M30)),IF(AND(Irr!M30=".",Irr!AK30=".",Irr!BI30="."),dir!AM30*1000)))))))),".")</f>
        <v>81.535160576489673</v>
      </c>
      <c r="AN30" s="48">
        <f>IFERROR(IF(AND(Irr!N30&lt;&gt;".",Irr!AL30&lt;&gt;".",Irr!BJ30&lt;&gt;"."),dir!AN30/((1/1000)*(Irr!N30+Irr!AL30+Irr!BJ30)),IF(AND(Irr!N30&lt;&gt;".",Irr!AL30&lt;&gt;".",Irr!BJ30="."),dir!AN30/((1/1000)*(Irr!N30+Irr!AL30)),IF(AND(Irr!N30&lt;&gt;".",Irr!AL30=".",Irr!BJ30&lt;&gt;"."),dir!AN30/((1/1000)*(Irr!N30+Irr!BJ30)),IF(AND(Irr!N30=".",Irr!AL30&lt;&gt;".",Irr!BJ30&lt;&gt;"."),dir!AN30/((1/1000)*(Irr!AL30+Irr!BJ30)),IF(AND(Irr!N30=".",Irr!AL30=".",Irr!BJ30&lt;&gt;"."),dir!AN30/((1/1000)*(Irr!BJ30)),IF(AND(Irr!N30=".",Irr!AL30&lt;&gt;".",Irr!BJ30="."),dir!AN30/((1/1000)*(Irr!AL30)),IF(AND(Irr!N30&lt;&gt;".",Irr!AL30=".",Irr!BJ30="."),dir!AN30/((1/1000)*(Irr!N30)),IF(AND(Irr!N30=".",Irr!AL30=".",Irr!BJ30="."),dir!AN30*1000)))))))),".")</f>
        <v>111.92966523634837</v>
      </c>
      <c r="AO30" s="48">
        <f>IFERROR(IF(AND(Irr!O30&lt;&gt;".",Irr!AM30&lt;&gt;".",Irr!BK30&lt;&gt;"."),dir!AO30/((1/1000)*(Irr!O30+Irr!AM30+Irr!BK30)),IF(AND(Irr!O30&lt;&gt;".",Irr!AM30&lt;&gt;".",Irr!BK30="."),dir!AO30/((1/1000)*(Irr!O30+Irr!AM30)),IF(AND(Irr!O30&lt;&gt;".",Irr!AM30=".",Irr!BK30&lt;&gt;"."),dir!AO30/((1/1000)*(Irr!O30+Irr!BK30)),IF(AND(Irr!O30=".",Irr!AM30&lt;&gt;".",Irr!BK30&lt;&gt;"."),dir!AO30/((1/1000)*(Irr!AM30+Irr!BK30)),IF(AND(Irr!O30=".",Irr!AM30=".",Irr!BK30&lt;&gt;"."),dir!AO30/((1/1000)*(Irr!BK30)),IF(AND(Irr!O30=".",Irr!AM30&lt;&gt;".",Irr!BK30="."),dir!AO30/((1/1000)*(Irr!AM30)),IF(AND(Irr!O30&lt;&gt;".",Irr!AM30=".",Irr!BK30="."),dir!AO30/((1/1000)*(Irr!O30)),IF(AND(Irr!O30=".",Irr!AM30=".",Irr!BK30="."),dir!AO30*1000)))))))),".")</f>
        <v>115.91301792001356</v>
      </c>
      <c r="AP30" s="48">
        <f>IFERROR(IF(AND(Irr!P30&lt;&gt;".",Irr!AN30&lt;&gt;".",Irr!BL30&lt;&gt;"."),dir!AP30/((1/1000)*(Irr!P30+Irr!AN30+Irr!BL30)),IF(AND(Irr!P30&lt;&gt;".",Irr!AN30&lt;&gt;".",Irr!BL30="."),dir!AP30/((1/1000)*(Irr!P30+Irr!AN30)),IF(AND(Irr!P30&lt;&gt;".",Irr!AN30=".",Irr!BL30&lt;&gt;"."),dir!AP30/((1/1000)*(Irr!P30+Irr!BL30)),IF(AND(Irr!P30=".",Irr!AN30&lt;&gt;".",Irr!BL30&lt;&gt;"."),dir!AP30/((1/1000)*(Irr!AN30+Irr!BL30)),IF(AND(Irr!P30=".",Irr!AN30=".",Irr!BL30&lt;&gt;"."),dir!AP30/((1/1000)*(Irr!BL30)),IF(AND(Irr!P30=".",Irr!AN30&lt;&gt;".",Irr!BL30="."),dir!AP30/((1/1000)*(Irr!AN30)),IF(AND(Irr!P30&lt;&gt;".",Irr!AN30=".",Irr!BL30="."),dir!AP30/((1/1000)*(Irr!P30)),IF(AND(Irr!P30=".",Irr!AN30=".",Irr!BL30="."),dir!AP30*1000)))))))),".")</f>
        <v>126.74348214188389</v>
      </c>
      <c r="AQ30" s="48">
        <f>IFERROR(IF(AND(Irr!Q30&lt;&gt;".",Irr!AO30&lt;&gt;".",Irr!BM30&lt;&gt;"."),dir!AQ30/((1/1000)*(Irr!Q30+Irr!AO30+Irr!BM30)),IF(AND(Irr!Q30&lt;&gt;".",Irr!AO30&lt;&gt;".",Irr!BM30="."),dir!AQ30/((1/1000)*(Irr!Q30+Irr!AO30)),IF(AND(Irr!Q30&lt;&gt;".",Irr!AO30=".",Irr!BM30&lt;&gt;"."),dir!AQ30/((1/1000)*(Irr!Q30+Irr!BM30)),IF(AND(Irr!Q30=".",Irr!AO30&lt;&gt;".",Irr!BM30&lt;&gt;"."),dir!AQ30/((1/1000)*(Irr!AO30+Irr!BM30)),IF(AND(Irr!Q30=".",Irr!AO30=".",Irr!BM30&lt;&gt;"."),dir!AQ30/((1/1000)*(Irr!BM30)),IF(AND(Irr!Q30=".",Irr!AO30&lt;&gt;".",Irr!BM30="."),dir!AQ30/((1/1000)*(Irr!AO30)),IF(AND(Irr!Q30&lt;&gt;".",Irr!AO30=".",Irr!BM30="."),dir!AQ30/((1/1000)*(Irr!Q30)),IF(AND(Irr!Q30=".",Irr!AO30=".",Irr!BM30="."),dir!AQ30*1000)))))))),".")</f>
        <v>33.963991677567947</v>
      </c>
      <c r="AR30" s="48">
        <f>IFERROR(IF(AND(Irr!R30&lt;&gt;".",Irr!AP30&lt;&gt;".",Irr!BN30&lt;&gt;"."),dir!AR30/((1/1000)*(Irr!R30+Irr!AP30+Irr!BN30)),IF(AND(Irr!R30&lt;&gt;".",Irr!AP30&lt;&gt;".",Irr!BN30="."),dir!AR30/((1/1000)*(Irr!R30+Irr!AP30)),IF(AND(Irr!R30&lt;&gt;".",Irr!AP30=".",Irr!BN30&lt;&gt;"."),dir!AR30/((1/1000)*(Irr!R30+Irr!BN30)),IF(AND(Irr!R30=".",Irr!AP30&lt;&gt;".",Irr!BN30&lt;&gt;"."),dir!AR30/((1/1000)*(Irr!AP30+Irr!BN30)),IF(AND(Irr!R30=".",Irr!AP30=".",Irr!BN30&lt;&gt;"."),dir!AR30/((1/1000)*(Irr!BN30)),IF(AND(Irr!R30=".",Irr!AP30&lt;&gt;".",Irr!BN30="."),dir!AR30/((1/1000)*(Irr!AP30)),IF(AND(Irr!R30&lt;&gt;".",Irr!AP30=".",Irr!BN30="."),dir!AR30/((1/1000)*(Irr!R30)),IF(AND(Irr!R30=".",Irr!AP30=".",Irr!BN30="."),dir!AR30*1000)))))))),".")</f>
        <v>55.843147132568227</v>
      </c>
      <c r="AS30" s="48">
        <f>IFERROR(IF(AND(Irr!S30&lt;&gt;".",Irr!AQ30&lt;&gt;".",Irr!BO30&lt;&gt;"."),dir!AS30/((1/1000)*(Irr!S30+Irr!AQ30+Irr!BO30)),IF(AND(Irr!S30&lt;&gt;".",Irr!AQ30&lt;&gt;".",Irr!BO30="."),dir!AS30/((1/1000)*(Irr!S30+Irr!AQ30)),IF(AND(Irr!S30&lt;&gt;".",Irr!AQ30=".",Irr!BO30&lt;&gt;"."),dir!AS30/((1/1000)*(Irr!S30+Irr!BO30)),IF(AND(Irr!S30=".",Irr!AQ30&lt;&gt;".",Irr!BO30&lt;&gt;"."),dir!AS30/((1/1000)*(Irr!AQ30+Irr!BO30)),IF(AND(Irr!S30=".",Irr!AQ30=".",Irr!BO30&lt;&gt;"."),dir!AS30/((1/1000)*(Irr!BO30)),IF(AND(Irr!S30=".",Irr!AQ30&lt;&gt;".",Irr!BO30="."),dir!AS30/((1/1000)*(Irr!AQ30)),IF(AND(Irr!S30&lt;&gt;".",Irr!AQ30=".",Irr!BO30="."),dir!AS30/((1/1000)*(Irr!S30)),IF(AND(Irr!S30=".",Irr!AQ30=".",Irr!BO30="."),dir!AS30*1000)))))))),".")</f>
        <v>110.12217277010448</v>
      </c>
      <c r="AT30" s="48">
        <f>IFERROR(IF(AND(Irr!T30&lt;&gt;".",Irr!AR30&lt;&gt;".",Irr!BP30&lt;&gt;"."),dir!AT30/((1/1000)*(Irr!T30+Irr!AR30+Irr!BP30)),IF(AND(Irr!T30&lt;&gt;".",Irr!AR30&lt;&gt;".",Irr!BP30="."),dir!AT30/((1/1000)*(Irr!T30+Irr!AR30)),IF(AND(Irr!T30&lt;&gt;".",Irr!AR30=".",Irr!BP30&lt;&gt;"."),dir!AT30/((1/1000)*(Irr!T30+Irr!BP30)),IF(AND(Irr!T30=".",Irr!AR30&lt;&gt;".",Irr!BP30&lt;&gt;"."),dir!AT30/((1/1000)*(Irr!AR30+Irr!BP30)),IF(AND(Irr!T30=".",Irr!AR30=".",Irr!BP30&lt;&gt;"."),dir!AT30/((1/1000)*(Irr!BP30)),IF(AND(Irr!T30=".",Irr!AR30&lt;&gt;".",Irr!BP30="."),dir!AT30/((1/1000)*(Irr!AR30)),IF(AND(Irr!T30&lt;&gt;".",Irr!AR30=".",Irr!BP30="."),dir!AT30/((1/1000)*(Irr!T30)),IF(AND(Irr!T30=".",Irr!AR30=".",Irr!BP30="."),dir!AT30*1000)))))))),".")</f>
        <v>25.946375831777896</v>
      </c>
      <c r="AU30" s="48">
        <f>IFERROR(IF(AND(Irr!U30&lt;&gt;".",Irr!AS30&lt;&gt;".",Irr!BQ30&lt;&gt;"."),dir!AU30/((1/1000)*(Irr!U30+Irr!AS30+Irr!BQ30)),IF(AND(Irr!U30&lt;&gt;".",Irr!AS30&lt;&gt;".",Irr!BQ30="."),dir!AU30/((1/1000)*(Irr!U30+Irr!AS30)),IF(AND(Irr!U30&lt;&gt;".",Irr!AS30=".",Irr!BQ30&lt;&gt;"."),dir!AU30/((1/1000)*(Irr!U30+Irr!BQ30)),IF(AND(Irr!U30=".",Irr!AS30&lt;&gt;".",Irr!BQ30&lt;&gt;"."),dir!AU30/((1/1000)*(Irr!AS30+Irr!BQ30)),IF(AND(Irr!U30=".",Irr!AS30=".",Irr!BQ30&lt;&gt;"."),dir!AU30/((1/1000)*(Irr!BQ30)),IF(AND(Irr!U30=".",Irr!AS30&lt;&gt;".",Irr!BQ30="."),dir!AU30/((1/1000)*(Irr!AS30)),IF(AND(Irr!U30&lt;&gt;".",Irr!AS30=".",Irr!BQ30="."),dir!AU30/((1/1000)*(Irr!U30)),IF(AND(Irr!U30=".",Irr!AS30=".",Irr!BQ30="."),dir!AU30*1000)))))))),".")</f>
        <v>49.599338286320595</v>
      </c>
      <c r="AV30" s="48">
        <f>IFERROR(IF(AND(Irr!V30&lt;&gt;".",Irr!AT30&lt;&gt;".",Irr!BR30&lt;&gt;"."),dir!AV30/((1/1000)*(Irr!V30+Irr!AT30+Irr!BR30)),IF(AND(Irr!V30&lt;&gt;".",Irr!AT30&lt;&gt;".",Irr!BR30="."),dir!AV30/((1/1000)*(Irr!V30+Irr!AT30)),IF(AND(Irr!V30&lt;&gt;".",Irr!AT30=".",Irr!BR30&lt;&gt;"."),dir!AV30/((1/1000)*(Irr!V30+Irr!BR30)),IF(AND(Irr!V30=".",Irr!AT30&lt;&gt;".",Irr!BR30&lt;&gt;"."),dir!AV30/((1/1000)*(Irr!AT30+Irr!BR30)),IF(AND(Irr!V30=".",Irr!AT30=".",Irr!BR30&lt;&gt;"."),dir!AV30/((1/1000)*(Irr!BR30)),IF(AND(Irr!V30=".",Irr!AT30&lt;&gt;".",Irr!BR30="."),dir!AV30/((1/1000)*(Irr!AT30)),IF(AND(Irr!V30&lt;&gt;".",Irr!AT30=".",Irr!BR30="."),dir!AV30/((1/1000)*(Irr!V30)),IF(AND(Irr!V30=".",Irr!AT30=".",Irr!BR30="."),dir!AV30*1000)))))))),".")</f>
        <v>65.528701435858693</v>
      </c>
      <c r="AW30" s="48">
        <f>IFERROR(IF(AND(Irr!W30&lt;&gt;".",Irr!AU30&lt;&gt;".",Irr!BS30&lt;&gt;"."),dir!AW30/((1/1000)*(Irr!W30+Irr!AU30+Irr!BS30)),IF(AND(Irr!W30&lt;&gt;".",Irr!AU30&lt;&gt;".",Irr!BS30="."),dir!AW30/((1/1000)*(Irr!W30+Irr!AU30)),IF(AND(Irr!W30&lt;&gt;".",Irr!AU30=".",Irr!BS30&lt;&gt;"."),dir!AW30/((1/1000)*(Irr!W30+Irr!BS30)),IF(AND(Irr!W30=".",Irr!AU30&lt;&gt;".",Irr!BS30&lt;&gt;"."),dir!AW30/((1/1000)*(Irr!AU30+Irr!BS30)),IF(AND(Irr!W30=".",Irr!AU30=".",Irr!BS30&lt;&gt;"."),dir!AW30/((1/1000)*(Irr!BS30)),IF(AND(Irr!W30=".",Irr!AU30&lt;&gt;".",Irr!BS30="."),dir!AW30/((1/1000)*(Irr!AU30)),IF(AND(Irr!W30&lt;&gt;".",Irr!AU30=".",Irr!BS30="."),dir!AW30/((1/1000)*(Irr!W30)),IF(AND(Irr!W30=".",Irr!AU30=".",Irr!BS30="."),dir!AW30*1000)))))))),".")</f>
        <v>91.174653228630106</v>
      </c>
      <c r="AX30" s="48">
        <f>IFERROR(IF(AND(Irr!X30&lt;&gt;".",Irr!AV30&lt;&gt;".",Irr!BT30&lt;&gt;"."),dir!AX30/((1/1000)*(Irr!X30+Irr!AV30+Irr!BT30)),IF(AND(Irr!X30&lt;&gt;".",Irr!AV30&lt;&gt;".",Irr!BT30="."),dir!AX30/((1/1000)*(Irr!X30+Irr!AV30)),IF(AND(Irr!X30&lt;&gt;".",Irr!AV30=".",Irr!BT30&lt;&gt;"."),dir!AX30/((1/1000)*(Irr!X30+Irr!BT30)),IF(AND(Irr!X30=".",Irr!AV30&lt;&gt;".",Irr!BT30&lt;&gt;"."),dir!AX30/((1/1000)*(Irr!AV30+Irr!BT30)),IF(AND(Irr!X30=".",Irr!AV30=".",Irr!BT30&lt;&gt;"."),dir!AX30/((1/1000)*(Irr!BT30)),IF(AND(Irr!X30=".",Irr!AV30&lt;&gt;".",Irr!BT30="."),dir!AX30/((1/1000)*(Irr!AV30)),IF(AND(Irr!X30&lt;&gt;".",Irr!AV30=".",Irr!BT30="."),dir!AX30/((1/1000)*(Irr!X30)),IF(AND(Irr!X30=".",Irr!AV30=".",Irr!BT30="."),dir!AX30*1000)))))))),".")</f>
        <v>35.502534487779897</v>
      </c>
      <c r="AY30" s="48">
        <f>IFERROR(IF(AND(Irr!Y30&lt;&gt;".",Irr!AW30&lt;&gt;".",Irr!BU30&lt;&gt;"."),dir!AY30/((1/1000)*(Irr!Y30+Irr!AW30+Irr!BU30)),IF(AND(Irr!Y30&lt;&gt;".",Irr!AW30&lt;&gt;".",Irr!BU30="."),dir!AY30/((1/1000)*(Irr!Y30+Irr!AW30)),IF(AND(Irr!Y30&lt;&gt;".",Irr!AW30=".",Irr!BU30&lt;&gt;"."),dir!AY30/((1/1000)*(Irr!Y30+Irr!BU30)),IF(AND(Irr!Y30=".",Irr!AW30&lt;&gt;".",Irr!BU30&lt;&gt;"."),dir!AY30/((1/1000)*(Irr!AW30+Irr!BU30)),IF(AND(Irr!Y30=".",Irr!AW30=".",Irr!BU30&lt;&gt;"."),dir!AY30/((1/1000)*(Irr!BU30)),IF(AND(Irr!Y30=".",Irr!AW30&lt;&gt;".",Irr!BU30="."),dir!AY30/((1/1000)*(Irr!AW30)),IF(AND(Irr!Y30&lt;&gt;".",Irr!AW30=".",Irr!BU30="."),dir!AY30/((1/1000)*(Irr!Y30)),IF(AND(Irr!Y30=".",Irr!AW30=".",Irr!BU30="."),dir!AY30*1000)))))))),".")</f>
        <v>12.667414348234464</v>
      </c>
      <c r="AZ30" s="48">
        <f>IFERROR(IF(AND(Irr!Z30&lt;&gt;".",Irr!AX30&lt;&gt;".",Irr!BV30&lt;&gt;"."),dir!AZ30/((1/1000)*(Irr!Z30+Irr!AX30+Irr!BV30)),IF(AND(Irr!Z30&lt;&gt;".",Irr!AX30&lt;&gt;".",Irr!BV30="."),dir!AZ30/((1/1000)*(Irr!Z30+Irr!AX30)),IF(AND(Irr!Z30&lt;&gt;".",Irr!AX30=".",Irr!BV30&lt;&gt;"."),dir!AZ30/((1/1000)*(Irr!Z30+Irr!BV30)),IF(AND(Irr!Z30=".",Irr!AX30&lt;&gt;".",Irr!BV30&lt;&gt;"."),dir!AZ30/((1/1000)*(Irr!AX30+Irr!BV30)),IF(AND(Irr!Z30=".",Irr!AX30=".",Irr!BV30&lt;&gt;"."),dir!AZ30/((1/1000)*(Irr!BV30)),IF(AND(Irr!Z30=".",Irr!AX30&lt;&gt;".",Irr!BV30="."),dir!AZ30/((1/1000)*(Irr!AX30)),IF(AND(Irr!Z30&lt;&gt;".",Irr!AX30=".",Irr!BV30="."),dir!AZ30/((1/1000)*(Irr!Z30)),IF(AND(Irr!Z30=".",Irr!AX30=".",Irr!BV30="."),dir!AZ30*1000)))))))),".")</f>
        <v>11.787077318802254</v>
      </c>
    </row>
    <row r="31" spans="1:52" x14ac:dyDescent="0.25">
      <c r="A31" s="64" t="s">
        <v>1</v>
      </c>
      <c r="B31" s="64" t="s">
        <v>1059</v>
      </c>
      <c r="C31" s="65">
        <f t="shared" ref="C31" si="26">IFERROR(1/SUM(1/D31,1/E31,1/F31,1/G31,1/H31,1/I31,1/J31,1/K31,1/L31,1/M31,1/N31,1/O31,1/P31,1/Q31,1/R31,1/S31,1/T31,1/U31,1/V31,1/W31,1/X31,1/Y31),".")</f>
        <v>0.11376431192705491</v>
      </c>
      <c r="D31" s="40">
        <f t="shared" ref="D31:AA31" si="27">1/SUM(1/D32,1/D33,1/D34,1/D35,1/D36,1/D37,1/D38,1/D41,1/D44)</f>
        <v>2.1336406418587943</v>
      </c>
      <c r="E31" s="40">
        <f t="shared" si="27"/>
        <v>4.0342105359117566</v>
      </c>
      <c r="F31" s="40">
        <f t="shared" si="27"/>
        <v>5.136445647842967</v>
      </c>
      <c r="G31" s="40">
        <f t="shared" si="27"/>
        <v>4.7716976447730044</v>
      </c>
      <c r="H31" s="40">
        <f t="shared" si="27"/>
        <v>5.4204914871363314</v>
      </c>
      <c r="I31" s="40">
        <f t="shared" si="27"/>
        <v>1.8060015435025354</v>
      </c>
      <c r="J31" s="40">
        <f t="shared" si="27"/>
        <v>5.6745904129382083</v>
      </c>
      <c r="K31" s="40">
        <f t="shared" si="27"/>
        <v>0.55329878684946676</v>
      </c>
      <c r="L31" s="40">
        <f t="shared" si="27"/>
        <v>3.0452862423402709</v>
      </c>
      <c r="M31" s="40">
        <f t="shared" si="27"/>
        <v>2.1827215200140113</v>
      </c>
      <c r="N31" s="40">
        <f t="shared" si="27"/>
        <v>4.0232058473078256</v>
      </c>
      <c r="O31" s="40">
        <f t="shared" si="27"/>
        <v>5.3728096627267368</v>
      </c>
      <c r="P31" s="40">
        <f t="shared" si="27"/>
        <v>6.1776124957882708</v>
      </c>
      <c r="Q31" s="40">
        <f t="shared" si="27"/>
        <v>8.342212814620467</v>
      </c>
      <c r="R31" s="40">
        <f t="shared" si="27"/>
        <v>1.3645441712023876</v>
      </c>
      <c r="S31" s="40">
        <f t="shared" si="27"/>
        <v>2.8336201191094421</v>
      </c>
      <c r="T31" s="40">
        <f t="shared" si="27"/>
        <v>4.4146278166018735</v>
      </c>
      <c r="U31" s="40">
        <f t="shared" si="27"/>
        <v>1.4080059480044254</v>
      </c>
      <c r="V31" s="40">
        <f t="shared" si="27"/>
        <v>2.5080531479561157</v>
      </c>
      <c r="W31" s="40">
        <f t="shared" si="27"/>
        <v>3.0621048895932663</v>
      </c>
      <c r="X31" s="40">
        <f t="shared" si="27"/>
        <v>4.232301271525885</v>
      </c>
      <c r="Y31" s="40">
        <f t="shared" si="27"/>
        <v>2.1714819544105901</v>
      </c>
      <c r="Z31" s="40">
        <f t="shared" si="27"/>
        <v>0.73106950772870682</v>
      </c>
      <c r="AA31" s="40">
        <f t="shared" si="27"/>
        <v>0.56249550269777093</v>
      </c>
      <c r="AB31" s="65">
        <f>IFERROR(1/SUM(1/AC31,1/AD31,1/AE31,1/AF31,1/AG31,1/AH31,1/AI31,1/AJ31,1/AK31,1/AL31,1/AM31,1/AN31,1/AO31,1/AP31,1/AQ31,1/AR31,1/AS31,1/AT31,1/AU31,1/AV31,1/AW31,1/AX31),".")</f>
        <v>0.10751108877283655</v>
      </c>
      <c r="AC31" s="40">
        <f t="shared" ref="AC31:AZ31" si="28">1/SUM(1/AC32,1/AC33,1/AC34,1/AC35,1/AC36,1/AC37,1/AC38,1/AC41,1/AC44)</f>
        <v>1.8537629904483219</v>
      </c>
      <c r="AD31" s="40">
        <f t="shared" si="28"/>
        <v>3.7839416590354249</v>
      </c>
      <c r="AE31" s="40">
        <f t="shared" si="28"/>
        <v>4.7171439623047657</v>
      </c>
      <c r="AF31" s="40">
        <f t="shared" si="28"/>
        <v>4.6413350068163259</v>
      </c>
      <c r="AG31" s="40">
        <f t="shared" si="28"/>
        <v>4.6601228382956918</v>
      </c>
      <c r="AH31" s="40">
        <f t="shared" si="28"/>
        <v>1.7860451901185188</v>
      </c>
      <c r="AI31" s="40">
        <f t="shared" si="28"/>
        <v>6.1021502711903821</v>
      </c>
      <c r="AJ31" s="40">
        <f t="shared" si="28"/>
        <v>0.53574435777088492</v>
      </c>
      <c r="AK31" s="40">
        <f t="shared" si="28"/>
        <v>2.1029843469656297</v>
      </c>
      <c r="AL31" s="40">
        <f t="shared" si="28"/>
        <v>3.0739994740197321</v>
      </c>
      <c r="AM31" s="40">
        <f t="shared" si="28"/>
        <v>3.6934774862178994</v>
      </c>
      <c r="AN31" s="40">
        <f t="shared" si="28"/>
        <v>4.977784707217725</v>
      </c>
      <c r="AO31" s="40">
        <f t="shared" si="28"/>
        <v>5.7126284001294678</v>
      </c>
      <c r="AP31" s="40">
        <f t="shared" si="28"/>
        <v>6.2463180248315222</v>
      </c>
      <c r="AQ31" s="40">
        <f t="shared" si="28"/>
        <v>1.5266578213478696</v>
      </c>
      <c r="AR31" s="40">
        <f t="shared" si="28"/>
        <v>2.5093759338227168</v>
      </c>
      <c r="AS31" s="40">
        <f t="shared" si="28"/>
        <v>4.8936679102369789</v>
      </c>
      <c r="AT31" s="40">
        <f t="shared" si="28"/>
        <v>1.202701506656682</v>
      </c>
      <c r="AU31" s="40">
        <f t="shared" si="28"/>
        <v>2.4444801228026209</v>
      </c>
      <c r="AV31" s="40">
        <f t="shared" si="28"/>
        <v>2.9149017996721871</v>
      </c>
      <c r="AW31" s="40">
        <f t="shared" si="28"/>
        <v>4.0976472070001</v>
      </c>
      <c r="AX31" s="40">
        <f t="shared" si="28"/>
        <v>1.7478259651103683</v>
      </c>
      <c r="AY31" s="40">
        <f t="shared" si="28"/>
        <v>0.57242347135080851</v>
      </c>
      <c r="AZ31" s="40">
        <f t="shared" si="28"/>
        <v>0.53819998442562822</v>
      </c>
    </row>
    <row r="32" spans="1:52" x14ac:dyDescent="0.25">
      <c r="A32" s="66" t="s">
        <v>1087</v>
      </c>
      <c r="B32" s="49">
        <v>1</v>
      </c>
      <c r="C32" s="67">
        <f t="shared" ref="C32:AB32" si="29">IFERROR($B32/C3,0)</f>
        <v>1.5012638893098063</v>
      </c>
      <c r="D32" s="42">
        <f t="shared" ref="D32:AA32" si="30">IFERROR(D3/$B32,0)</f>
        <v>12.12049029332627</v>
      </c>
      <c r="E32" s="42">
        <f t="shared" si="30"/>
        <v>26.883638775518019</v>
      </c>
      <c r="F32" s="42">
        <f t="shared" si="30"/>
        <v>32.731750452188798</v>
      </c>
      <c r="G32" s="42">
        <f t="shared" si="30"/>
        <v>26.939391801484462</v>
      </c>
      <c r="H32" s="42">
        <f t="shared" si="30"/>
        <v>31.784892571942578</v>
      </c>
      <c r="I32" s="42">
        <f t="shared" si="30"/>
        <v>12.034536830677562</v>
      </c>
      <c r="J32" s="42">
        <f t="shared" si="30"/>
        <v>36.162884631103722</v>
      </c>
      <c r="K32" s="42">
        <f t="shared" si="30"/>
        <v>3.143105029599802</v>
      </c>
      <c r="L32" s="42">
        <f t="shared" si="30"/>
        <v>17.25667177744473</v>
      </c>
      <c r="M32" s="42">
        <f t="shared" si="30"/>
        <v>12.805340720485354</v>
      </c>
      <c r="N32" s="42">
        <f t="shared" si="30"/>
        <v>26.296704007947373</v>
      </c>
      <c r="O32" s="42">
        <f t="shared" si="30"/>
        <v>31.082519603759351</v>
      </c>
      <c r="P32" s="42">
        <f t="shared" si="30"/>
        <v>36.241378155321073</v>
      </c>
      <c r="Q32" s="42">
        <f t="shared" si="30"/>
        <v>48.939731514046315</v>
      </c>
      <c r="R32" s="42">
        <f t="shared" si="30"/>
        <v>7.7515292007197578</v>
      </c>
      <c r="S32" s="42">
        <f t="shared" si="30"/>
        <v>16.076568882304144</v>
      </c>
      <c r="T32" s="42">
        <f t="shared" si="30"/>
        <v>25.574138538879946</v>
      </c>
      <c r="U32" s="42">
        <f t="shared" si="30"/>
        <v>8.0429079590811998</v>
      </c>
      <c r="V32" s="42">
        <f t="shared" si="30"/>
        <v>14.713825383922345</v>
      </c>
      <c r="W32" s="42">
        <f t="shared" si="30"/>
        <v>17.707346217998989</v>
      </c>
      <c r="X32" s="42">
        <f t="shared" si="30"/>
        <v>24.027328795988083</v>
      </c>
      <c r="Y32" s="42">
        <f t="shared" si="30"/>
        <v>12.729581822099185</v>
      </c>
      <c r="Z32" s="42">
        <f t="shared" si="30"/>
        <v>4.0833456034310913</v>
      </c>
      <c r="AA32" s="42">
        <f t="shared" si="30"/>
        <v>3.1707282850841758</v>
      </c>
      <c r="AB32" s="67">
        <f t="shared" si="29"/>
        <v>1.5896246877650295</v>
      </c>
      <c r="AC32" s="42">
        <f t="shared" ref="AC32:AZ32" si="31">IFERROR(AC3/$B32,0)</f>
        <v>10.530600088439519</v>
      </c>
      <c r="AD32" s="42">
        <f t="shared" si="31"/>
        <v>25.215868087100709</v>
      </c>
      <c r="AE32" s="42">
        <f t="shared" si="31"/>
        <v>30.059770823438704</v>
      </c>
      <c r="AF32" s="42">
        <f t="shared" si="31"/>
        <v>26.20340841744985</v>
      </c>
      <c r="AG32" s="42">
        <f t="shared" si="31"/>
        <v>27.326212786940097</v>
      </c>
      <c r="AH32" s="42">
        <f t="shared" si="31"/>
        <v>11.901554956619917</v>
      </c>
      <c r="AI32" s="42">
        <f t="shared" si="31"/>
        <v>38.887627159059768</v>
      </c>
      <c r="AJ32" s="42">
        <f t="shared" si="31"/>
        <v>3.0433841994804784</v>
      </c>
      <c r="AK32" s="42">
        <f t="shared" si="31"/>
        <v>11.916945646725454</v>
      </c>
      <c r="AL32" s="42">
        <f t="shared" si="31"/>
        <v>18.034188181350206</v>
      </c>
      <c r="AM32" s="42">
        <f t="shared" si="31"/>
        <v>24.141514976193122</v>
      </c>
      <c r="AN32" s="42">
        <f t="shared" si="31"/>
        <v>28.79724026308908</v>
      </c>
      <c r="AO32" s="42">
        <f t="shared" si="31"/>
        <v>33.513517762900918</v>
      </c>
      <c r="AP32" s="42">
        <f t="shared" si="31"/>
        <v>36.644129546880961</v>
      </c>
      <c r="AQ32" s="42">
        <f t="shared" si="31"/>
        <v>8.6724438324759987</v>
      </c>
      <c r="AR32" s="42">
        <f t="shared" si="31"/>
        <v>14.236966620767792</v>
      </c>
      <c r="AS32" s="42">
        <f t="shared" si="31"/>
        <v>28.349239460010896</v>
      </c>
      <c r="AT32" s="42">
        <f t="shared" si="31"/>
        <v>6.8701538754135818</v>
      </c>
      <c r="AU32" s="42">
        <f t="shared" si="31"/>
        <v>14.340865826825835</v>
      </c>
      <c r="AV32" s="42">
        <f t="shared" si="31"/>
        <v>16.856109512669143</v>
      </c>
      <c r="AW32" s="42">
        <f t="shared" si="31"/>
        <v>23.262880030527025</v>
      </c>
      <c r="AX32" s="42">
        <f t="shared" si="31"/>
        <v>10.246041229341472</v>
      </c>
      <c r="AY32" s="42">
        <f t="shared" si="31"/>
        <v>3.1972375271168829</v>
      </c>
      <c r="AZ32" s="42">
        <f t="shared" si="31"/>
        <v>3.0337769910439585</v>
      </c>
    </row>
    <row r="33" spans="1:52" x14ac:dyDescent="0.25">
      <c r="A33" s="66" t="s">
        <v>1063</v>
      </c>
      <c r="B33" s="49">
        <v>1</v>
      </c>
      <c r="C33" s="67">
        <f t="shared" ref="C33:AB33" si="32">IFERROR($B33/C13,0)</f>
        <v>0.85957107150839518</v>
      </c>
      <c r="D33" s="42">
        <f t="shared" ref="D33:S34" si="33">IFERROR(D13/$B33,0)</f>
        <v>23.01676424179507</v>
      </c>
      <c r="E33" s="42">
        <f t="shared" si="33"/>
        <v>40.578093436074404</v>
      </c>
      <c r="F33" s="42">
        <f t="shared" si="33"/>
        <v>51.603940596627787</v>
      </c>
      <c r="G33" s="42">
        <f t="shared" si="33"/>
        <v>51.54314684662949</v>
      </c>
      <c r="H33" s="42">
        <f t="shared" si="33"/>
        <v>51.68889679726378</v>
      </c>
      <c r="I33" s="42">
        <f t="shared" si="33"/>
        <v>18.16585526576295</v>
      </c>
      <c r="J33" s="42">
        <f t="shared" si="33"/>
        <v>57.00945319511807</v>
      </c>
      <c r="K33" s="42">
        <f t="shared" si="33"/>
        <v>5.9687438474331076</v>
      </c>
      <c r="L33" s="42">
        <f t="shared" si="33"/>
        <v>31.395941988727994</v>
      </c>
      <c r="M33" s="42">
        <f t="shared" si="33"/>
        <v>20.795398396073807</v>
      </c>
      <c r="N33" s="42">
        <f t="shared" si="33"/>
        <v>40.670196339802509</v>
      </c>
      <c r="O33" s="42">
        <f t="shared" si="33"/>
        <v>51.166603188271317</v>
      </c>
      <c r="P33" s="42">
        <f t="shared" si="33"/>
        <v>58.858037627284027</v>
      </c>
      <c r="Q33" s="42">
        <f t="shared" si="33"/>
        <v>79.482819085760568</v>
      </c>
      <c r="R33" s="42">
        <f t="shared" si="33"/>
        <v>14.72012021574845</v>
      </c>
      <c r="S33" s="42">
        <f t="shared" si="33"/>
        <v>30.577139464120798</v>
      </c>
      <c r="T33" s="42">
        <f t="shared" ref="E33:AA34" si="34">IFERROR(T13/$B33,0)</f>
        <v>41.896717686856604</v>
      </c>
      <c r="U33" s="42">
        <f t="shared" si="34"/>
        <v>14.533850485481077</v>
      </c>
      <c r="V33" s="42">
        <f t="shared" si="34"/>
        <v>23.89532500515239</v>
      </c>
      <c r="W33" s="42">
        <f t="shared" si="34"/>
        <v>29.192129075390802</v>
      </c>
      <c r="X33" s="42">
        <f t="shared" si="34"/>
        <v>45.663047160286951</v>
      </c>
      <c r="Y33" s="42">
        <f t="shared" si="34"/>
        <v>20.717850251948835</v>
      </c>
      <c r="Z33" s="42">
        <f t="shared" si="34"/>
        <v>7.3774847200517382</v>
      </c>
      <c r="AA33" s="42">
        <f t="shared" si="34"/>
        <v>5.9880957749573085</v>
      </c>
      <c r="AB33" s="67">
        <f t="shared" si="32"/>
        <v>0.90939833365693579</v>
      </c>
      <c r="AC33" s="42">
        <f t="shared" ref="AC33:AZ34" si="35">IFERROR(AC13/$B33,0)</f>
        <v>19.997568884956497</v>
      </c>
      <c r="AD33" s="42">
        <f t="shared" si="35"/>
        <v>38.060764759341367</v>
      </c>
      <c r="AE33" s="42">
        <f t="shared" si="35"/>
        <v>47.391374017311243</v>
      </c>
      <c r="AF33" s="42">
        <f t="shared" si="35"/>
        <v>50.134989605385279</v>
      </c>
      <c r="AG33" s="42">
        <f t="shared" si="35"/>
        <v>44.438149017091106</v>
      </c>
      <c r="AH33" s="42">
        <f t="shared" si="35"/>
        <v>17.965122199664137</v>
      </c>
      <c r="AI33" s="42">
        <f t="shared" si="35"/>
        <v>61.304909246283131</v>
      </c>
      <c r="AJ33" s="42">
        <f t="shared" si="35"/>
        <v>5.7793743909146844</v>
      </c>
      <c r="AK33" s="42">
        <f t="shared" si="35"/>
        <v>21.681106243003367</v>
      </c>
      <c r="AL33" s="42">
        <f t="shared" si="35"/>
        <v>29.286852741137285</v>
      </c>
      <c r="AM33" s="42">
        <f t="shared" si="35"/>
        <v>37.33700442935077</v>
      </c>
      <c r="AN33" s="42">
        <f t="shared" si="35"/>
        <v>47.404682253641305</v>
      </c>
      <c r="AO33" s="42">
        <f t="shared" si="35"/>
        <v>54.427838838183341</v>
      </c>
      <c r="AP33" s="42">
        <f t="shared" si="35"/>
        <v>59.513581893966169</v>
      </c>
      <c r="AQ33" s="42">
        <f t="shared" si="35"/>
        <v>16.46893309342359</v>
      </c>
      <c r="AR33" s="42">
        <f t="shared" si="35"/>
        <v>27.078272552822046</v>
      </c>
      <c r="AS33" s="42">
        <f t="shared" si="35"/>
        <v>46.443014316492793</v>
      </c>
      <c r="AT33" s="42">
        <f t="shared" si="35"/>
        <v>12.414637808302851</v>
      </c>
      <c r="AU33" s="42">
        <f t="shared" si="35"/>
        <v>23.289636844659686</v>
      </c>
      <c r="AV33" s="42">
        <f t="shared" si="35"/>
        <v>27.788789948806123</v>
      </c>
      <c r="AW33" s="42">
        <f t="shared" si="35"/>
        <v>44.21024063629666</v>
      </c>
      <c r="AX33" s="42">
        <f t="shared" si="35"/>
        <v>16.675799003567331</v>
      </c>
      <c r="AY33" s="42">
        <f t="shared" si="35"/>
        <v>5.7765306426330909</v>
      </c>
      <c r="AZ33" s="42">
        <f t="shared" si="35"/>
        <v>5.7294556798488774</v>
      </c>
    </row>
    <row r="34" spans="1:52" x14ac:dyDescent="0.25">
      <c r="A34" s="66" t="s">
        <v>1064</v>
      </c>
      <c r="B34" s="49">
        <v>1</v>
      </c>
      <c r="C34" s="67">
        <f t="shared" ref="C34:AB34" si="36">IFERROR($B34/C14,0)</f>
        <v>9.1177809373038776E-3</v>
      </c>
      <c r="D34" s="42">
        <f t="shared" si="33"/>
        <v>1990.9418823188714</v>
      </c>
      <c r="E34" s="42">
        <f t="shared" si="34"/>
        <v>4426.0073127539608</v>
      </c>
      <c r="F34" s="42">
        <f t="shared" si="34"/>
        <v>5410.1563170210575</v>
      </c>
      <c r="G34" s="42">
        <f t="shared" si="34"/>
        <v>4458.4864065263328</v>
      </c>
      <c r="H34" s="42">
        <f t="shared" si="34"/>
        <v>5241.6032836788572</v>
      </c>
      <c r="I34" s="42">
        <f t="shared" si="34"/>
        <v>1981.3584446269085</v>
      </c>
      <c r="J34" s="42">
        <f t="shared" si="34"/>
        <v>5977.0818654442255</v>
      </c>
      <c r="K34" s="42">
        <f t="shared" si="34"/>
        <v>516.29290004417032</v>
      </c>
      <c r="L34" s="42">
        <f t="shared" si="34"/>
        <v>2835.1144074318372</v>
      </c>
      <c r="M34" s="42">
        <f t="shared" si="34"/>
        <v>2110.0030083994329</v>
      </c>
      <c r="N34" s="42">
        <f t="shared" si="34"/>
        <v>4373.4726064919851</v>
      </c>
      <c r="O34" s="42">
        <f t="shared" si="34"/>
        <v>5138.4044026761567</v>
      </c>
      <c r="P34" s="42">
        <f t="shared" si="34"/>
        <v>5971.882575686117</v>
      </c>
      <c r="Q34" s="42">
        <f t="shared" si="34"/>
        <v>8064.4424639282806</v>
      </c>
      <c r="R34" s="42">
        <f t="shared" si="34"/>
        <v>1273.2743694276269</v>
      </c>
      <c r="S34" s="42">
        <f t="shared" si="34"/>
        <v>2644.5532324655287</v>
      </c>
      <c r="T34" s="42">
        <f t="shared" si="34"/>
        <v>4215.2964895374635</v>
      </c>
      <c r="U34" s="42">
        <f t="shared" si="34"/>
        <v>1323.5210802515376</v>
      </c>
      <c r="V34" s="42">
        <f t="shared" si="34"/>
        <v>2424.5107485890312</v>
      </c>
      <c r="W34" s="42">
        <f t="shared" si="34"/>
        <v>2929.9449694480677</v>
      </c>
      <c r="X34" s="42">
        <f t="shared" si="34"/>
        <v>3949.5698377139329</v>
      </c>
      <c r="Y34" s="42">
        <f t="shared" si="34"/>
        <v>2100.2195023260092</v>
      </c>
      <c r="Z34" s="42">
        <f t="shared" si="34"/>
        <v>717.93003249859362</v>
      </c>
      <c r="AA34" s="42">
        <f t="shared" si="34"/>
        <v>555.92954387004932</v>
      </c>
      <c r="AB34" s="67">
        <f t="shared" si="36"/>
        <v>9.6544344180761795E-3</v>
      </c>
      <c r="AC34" s="42">
        <f t="shared" si="35"/>
        <v>1729.7825628035157</v>
      </c>
      <c r="AD34" s="42">
        <f t="shared" si="35"/>
        <v>4151.4326792912534</v>
      </c>
      <c r="AE34" s="42">
        <f t="shared" si="35"/>
        <v>4968.5109033866866</v>
      </c>
      <c r="AF34" s="42">
        <f t="shared" si="35"/>
        <v>4336.6806902975513</v>
      </c>
      <c r="AG34" s="42">
        <f t="shared" si="35"/>
        <v>4506.3284813794944</v>
      </c>
      <c r="AH34" s="42">
        <f t="shared" si="35"/>
        <v>1959.4643939581063</v>
      </c>
      <c r="AI34" s="42">
        <f t="shared" si="35"/>
        <v>6427.4333602982379</v>
      </c>
      <c r="AJ34" s="42">
        <f t="shared" si="35"/>
        <v>499.91255128322769</v>
      </c>
      <c r="AK34" s="42">
        <f t="shared" si="35"/>
        <v>1957.8459120821428</v>
      </c>
      <c r="AL34" s="42">
        <f t="shared" si="35"/>
        <v>2971.587570162535</v>
      </c>
      <c r="AM34" s="42">
        <f t="shared" si="35"/>
        <v>4015.037565000071</v>
      </c>
      <c r="AN34" s="42">
        <f t="shared" si="35"/>
        <v>4760.6136194597048</v>
      </c>
      <c r="AO34" s="42">
        <f t="shared" si="35"/>
        <v>5522.3836113646839</v>
      </c>
      <c r="AP34" s="42">
        <f t="shared" si="35"/>
        <v>6038.3346052223333</v>
      </c>
      <c r="AQ34" s="42">
        <f t="shared" si="35"/>
        <v>1424.5447790052913</v>
      </c>
      <c r="AR34" s="42">
        <f t="shared" si="35"/>
        <v>2341.9435062974153</v>
      </c>
      <c r="AS34" s="42">
        <f t="shared" si="35"/>
        <v>4672.7067422101527</v>
      </c>
      <c r="AT34" s="42">
        <f t="shared" si="35"/>
        <v>1130.5355631249085</v>
      </c>
      <c r="AU34" s="42">
        <f t="shared" si="35"/>
        <v>2363.0553193328469</v>
      </c>
      <c r="AV34" s="42">
        <f t="shared" si="35"/>
        <v>2789.095139559071</v>
      </c>
      <c r="AW34" s="42">
        <f t="shared" si="35"/>
        <v>3823.9111008573095</v>
      </c>
      <c r="AX34" s="42">
        <f t="shared" si="35"/>
        <v>1690.4668128328756</v>
      </c>
      <c r="AY34" s="42">
        <f t="shared" si="35"/>
        <v>562.13533329630718</v>
      </c>
      <c r="AZ34" s="42">
        <f t="shared" si="35"/>
        <v>531.91762497231559</v>
      </c>
    </row>
    <row r="35" spans="1:52" x14ac:dyDescent="0.25">
      <c r="A35" s="66" t="s">
        <v>1065</v>
      </c>
      <c r="B35" s="49">
        <v>1</v>
      </c>
      <c r="C35" s="67">
        <f t="shared" ref="C35:AB35" si="37">IFERROR($B35/C30,0)</f>
        <v>0.40498747632024951</v>
      </c>
      <c r="D35" s="42">
        <f t="shared" ref="D35:AA35" si="38">IFERROR(D30/$B35,0)</f>
        <v>47.467659473587673</v>
      </c>
      <c r="E35" s="42">
        <f t="shared" si="38"/>
        <v>89.092233667781841</v>
      </c>
      <c r="F35" s="42">
        <f t="shared" si="38"/>
        <v>120.34672774329447</v>
      </c>
      <c r="G35" s="42">
        <f t="shared" si="38"/>
        <v>106.29789188064677</v>
      </c>
      <c r="H35" s="42">
        <f t="shared" si="38"/>
        <v>110.058280124569</v>
      </c>
      <c r="I35" s="42">
        <f t="shared" si="38"/>
        <v>39.884030160934081</v>
      </c>
      <c r="J35" s="42">
        <f t="shared" si="38"/>
        <v>132.9584613022931</v>
      </c>
      <c r="K35" s="42">
        <f t="shared" si="38"/>
        <v>12.30938636954774</v>
      </c>
      <c r="L35" s="42">
        <f t="shared" si="38"/>
        <v>59.509595779549691</v>
      </c>
      <c r="M35" s="42">
        <f t="shared" si="38"/>
        <v>44.287593554175615</v>
      </c>
      <c r="N35" s="42">
        <f t="shared" si="38"/>
        <v>88.814061007968775</v>
      </c>
      <c r="O35" s="42">
        <f t="shared" si="38"/>
        <v>120.81213276573266</v>
      </c>
      <c r="P35" s="42">
        <f t="shared" si="38"/>
        <v>125.34785352237806</v>
      </c>
      <c r="Q35" s="42">
        <f t="shared" si="38"/>
        <v>169.27109645880742</v>
      </c>
      <c r="R35" s="42">
        <f t="shared" si="38"/>
        <v>30.357403097358063</v>
      </c>
      <c r="S35" s="42">
        <f t="shared" si="38"/>
        <v>63.058811992421617</v>
      </c>
      <c r="T35" s="42">
        <f t="shared" si="38"/>
        <v>99.342337088010296</v>
      </c>
      <c r="U35" s="42">
        <f t="shared" si="38"/>
        <v>30.375493252566447</v>
      </c>
      <c r="V35" s="42">
        <f t="shared" si="38"/>
        <v>50.889256723807335</v>
      </c>
      <c r="W35" s="42">
        <f t="shared" si="38"/>
        <v>68.837913201057461</v>
      </c>
      <c r="X35" s="42">
        <f t="shared" si="38"/>
        <v>94.170771981359948</v>
      </c>
      <c r="Y35" s="42">
        <f t="shared" si="38"/>
        <v>44.108003036323787</v>
      </c>
      <c r="Z35" s="42">
        <f t="shared" si="38"/>
        <v>16.178163257187421</v>
      </c>
      <c r="AA35" s="42">
        <f t="shared" si="38"/>
        <v>12.319171634411981</v>
      </c>
      <c r="AB35" s="67">
        <f t="shared" si="37"/>
        <v>0.42936185727742038</v>
      </c>
      <c r="AC35" s="42">
        <f t="shared" ref="AC35:AZ35" si="39">IFERROR(AC30/$B35,0)</f>
        <v>41.241148415077866</v>
      </c>
      <c r="AD35" s="42">
        <f t="shared" si="39"/>
        <v>83.565250616214286</v>
      </c>
      <c r="AE35" s="42">
        <f t="shared" si="39"/>
        <v>110.52250507037252</v>
      </c>
      <c r="AF35" s="42">
        <f t="shared" si="39"/>
        <v>103.3938366310493</v>
      </c>
      <c r="AG35" s="42">
        <f t="shared" si="39"/>
        <v>94.619667970922009</v>
      </c>
      <c r="AH35" s="42">
        <f t="shared" si="39"/>
        <v>39.443310825375413</v>
      </c>
      <c r="AI35" s="42">
        <f t="shared" si="39"/>
        <v>142.97640034829388</v>
      </c>
      <c r="AJ35" s="42">
        <f t="shared" si="39"/>
        <v>11.918848282060702</v>
      </c>
      <c r="AK35" s="42">
        <f t="shared" si="39"/>
        <v>41.095561618690439</v>
      </c>
      <c r="AL35" s="42">
        <f t="shared" si="39"/>
        <v>62.371694255464</v>
      </c>
      <c r="AM35" s="42">
        <f t="shared" si="39"/>
        <v>81.535160576489673</v>
      </c>
      <c r="AN35" s="42">
        <f t="shared" si="39"/>
        <v>111.92966523634837</v>
      </c>
      <c r="AO35" s="42">
        <f t="shared" si="39"/>
        <v>115.91301792001356</v>
      </c>
      <c r="AP35" s="42">
        <f t="shared" si="39"/>
        <v>126.74348214188389</v>
      </c>
      <c r="AQ35" s="42">
        <f t="shared" si="39"/>
        <v>33.963991677567947</v>
      </c>
      <c r="AR35" s="42">
        <f t="shared" si="39"/>
        <v>55.843147132568227</v>
      </c>
      <c r="AS35" s="42">
        <f t="shared" si="39"/>
        <v>110.12217277010448</v>
      </c>
      <c r="AT35" s="42">
        <f t="shared" si="39"/>
        <v>25.946375831777896</v>
      </c>
      <c r="AU35" s="42">
        <f t="shared" si="39"/>
        <v>49.599338286320595</v>
      </c>
      <c r="AV35" s="42">
        <f t="shared" si="39"/>
        <v>65.528701435858693</v>
      </c>
      <c r="AW35" s="42">
        <f t="shared" si="39"/>
        <v>91.174653228630106</v>
      </c>
      <c r="AX35" s="42">
        <f t="shared" si="39"/>
        <v>35.502534487779897</v>
      </c>
      <c r="AY35" s="42">
        <f t="shared" si="39"/>
        <v>12.667414348234464</v>
      </c>
      <c r="AZ35" s="42">
        <f t="shared" si="39"/>
        <v>11.787077318802254</v>
      </c>
    </row>
    <row r="36" spans="1:52" x14ac:dyDescent="0.25">
      <c r="A36" s="66" t="s">
        <v>1066</v>
      </c>
      <c r="B36" s="49">
        <v>1</v>
      </c>
      <c r="C36" s="67">
        <f t="shared" ref="C36:AB36" si="40">IFERROR($B36/C26,0)</f>
        <v>3.8565477193256417</v>
      </c>
      <c r="D36" s="42">
        <f t="shared" ref="D36:AA36" si="41">IFERROR(D26/$B36,0)</f>
        <v>4.7150817026054304</v>
      </c>
      <c r="E36" s="42">
        <f t="shared" si="41"/>
        <v>10.411548386751329</v>
      </c>
      <c r="F36" s="42">
        <f t="shared" si="41"/>
        <v>12.775547635905806</v>
      </c>
      <c r="G36" s="42">
        <f t="shared" si="41"/>
        <v>10.55883328424064</v>
      </c>
      <c r="H36" s="42">
        <f t="shared" si="41"/>
        <v>12.371365807072987</v>
      </c>
      <c r="I36" s="42">
        <f t="shared" si="41"/>
        <v>4.6607697231023755</v>
      </c>
      <c r="J36" s="42">
        <f t="shared" si="41"/>
        <v>14.114748390351641</v>
      </c>
      <c r="K36" s="42">
        <f t="shared" si="41"/>
        <v>1.2227224034740611</v>
      </c>
      <c r="L36" s="42">
        <f t="shared" si="41"/>
        <v>6.705236097085562</v>
      </c>
      <c r="M36" s="42">
        <f t="shared" si="41"/>
        <v>4.9839233956693416</v>
      </c>
      <c r="N36" s="42">
        <f t="shared" si="41"/>
        <v>10.194901901617969</v>
      </c>
      <c r="O36" s="42">
        <f t="shared" si="41"/>
        <v>12.13004357959289</v>
      </c>
      <c r="P36" s="42">
        <f t="shared" si="41"/>
        <v>14.105406884791224</v>
      </c>
      <c r="Q36" s="42">
        <f t="shared" si="41"/>
        <v>19.047710920842782</v>
      </c>
      <c r="R36" s="42">
        <f t="shared" si="41"/>
        <v>3.0154784371618026</v>
      </c>
      <c r="S36" s="42">
        <f t="shared" si="41"/>
        <v>6.2638374839364843</v>
      </c>
      <c r="T36" s="42">
        <f t="shared" si="41"/>
        <v>9.9798796801775378</v>
      </c>
      <c r="U36" s="42">
        <f t="shared" si="41"/>
        <v>3.1435126446418993</v>
      </c>
      <c r="V36" s="42">
        <f t="shared" si="41"/>
        <v>5.7267223828055061</v>
      </c>
      <c r="W36" s="42">
        <f t="shared" si="41"/>
        <v>6.9104497031181893</v>
      </c>
      <c r="X36" s="42">
        <f t="shared" si="41"/>
        <v>9.3542544669948171</v>
      </c>
      <c r="Y36" s="42">
        <f t="shared" si="41"/>
        <v>4.95473992470047</v>
      </c>
      <c r="Z36" s="42">
        <f t="shared" si="41"/>
        <v>1.5995977646450521</v>
      </c>
      <c r="AA36" s="42">
        <f t="shared" si="41"/>
        <v>1.2318613184251677</v>
      </c>
      <c r="AB36" s="67">
        <f t="shared" si="40"/>
        <v>4.0834849234515769</v>
      </c>
      <c r="AC36" s="42">
        <f t="shared" ref="AC36:AZ36" si="42">IFERROR(AC26/$B36,0)</f>
        <v>4.0965867380625536</v>
      </c>
      <c r="AD36" s="42">
        <f t="shared" si="42"/>
        <v>9.7656508813780913</v>
      </c>
      <c r="AE36" s="42">
        <f t="shared" si="42"/>
        <v>11.732645788076765</v>
      </c>
      <c r="AF36" s="42">
        <f t="shared" si="42"/>
        <v>10.270366272466285</v>
      </c>
      <c r="AG36" s="42">
        <f t="shared" si="42"/>
        <v>10.635951458510471</v>
      </c>
      <c r="AH36" s="42">
        <f t="shared" si="42"/>
        <v>4.6092681239091835</v>
      </c>
      <c r="AI36" s="42">
        <f t="shared" si="42"/>
        <v>15.178243617651948</v>
      </c>
      <c r="AJ36" s="42">
        <f t="shared" si="42"/>
        <v>1.1839292699542903</v>
      </c>
      <c r="AK36" s="42">
        <f t="shared" si="42"/>
        <v>4.6304371519582892</v>
      </c>
      <c r="AL36" s="42">
        <f t="shared" si="42"/>
        <v>7.0190254489009893</v>
      </c>
      <c r="AM36" s="42">
        <f t="shared" si="42"/>
        <v>9.3593621795472028</v>
      </c>
      <c r="AN36" s="42">
        <f t="shared" si="42"/>
        <v>11.238206677460896</v>
      </c>
      <c r="AO36" s="42">
        <f t="shared" si="42"/>
        <v>13.043703861382793</v>
      </c>
      <c r="AP36" s="42">
        <f t="shared" si="42"/>
        <v>14.26217032585418</v>
      </c>
      <c r="AQ36" s="42">
        <f t="shared" si="42"/>
        <v>3.3737300985591299</v>
      </c>
      <c r="AR36" s="42">
        <f t="shared" si="42"/>
        <v>5.5470819569515353</v>
      </c>
      <c r="AS36" s="42">
        <f t="shared" si="42"/>
        <v>11.062816384032965</v>
      </c>
      <c r="AT36" s="42">
        <f t="shared" si="42"/>
        <v>2.685150158110881</v>
      </c>
      <c r="AU36" s="42">
        <f t="shared" si="42"/>
        <v>5.5815639493066547</v>
      </c>
      <c r="AV36" s="42">
        <f t="shared" si="42"/>
        <v>6.5782469910228771</v>
      </c>
      <c r="AW36" s="42">
        <f t="shared" si="42"/>
        <v>9.0566413473750949</v>
      </c>
      <c r="AX36" s="42">
        <f t="shared" si="42"/>
        <v>3.9880704848459492</v>
      </c>
      <c r="AY36" s="42">
        <f t="shared" si="42"/>
        <v>1.2524764000181809</v>
      </c>
      <c r="AZ36" s="42">
        <f t="shared" si="42"/>
        <v>1.1786542989432265</v>
      </c>
    </row>
    <row r="37" spans="1:52" x14ac:dyDescent="0.25">
      <c r="A37" s="66" t="s">
        <v>1067</v>
      </c>
      <c r="B37" s="49">
        <v>1</v>
      </c>
      <c r="C37" s="67">
        <f t="shared" ref="C37:AB37" si="43">IFERROR($B37/C22,0)</f>
        <v>1.8223361294264226</v>
      </c>
      <c r="D37" s="42">
        <f t="shared" ref="D37:AA37" si="44">IFERROR(D22/$B37,0)</f>
        <v>11.042198675045842</v>
      </c>
      <c r="E37" s="42">
        <f t="shared" si="44"/>
        <v>14.243912830761172</v>
      </c>
      <c r="F37" s="42">
        <f t="shared" si="44"/>
        <v>19.540807007920105</v>
      </c>
      <c r="G37" s="42">
        <f t="shared" si="44"/>
        <v>24.72773973367546</v>
      </c>
      <c r="H37" s="42">
        <f t="shared" si="44"/>
        <v>27.373936383809411</v>
      </c>
      <c r="I37" s="42">
        <f t="shared" si="44"/>
        <v>6.3770900519888754</v>
      </c>
      <c r="J37" s="42">
        <f t="shared" si="44"/>
        <v>21.585714978417567</v>
      </c>
      <c r="K37" s="42">
        <f t="shared" si="44"/>
        <v>2.8634732271357346</v>
      </c>
      <c r="L37" s="42">
        <f t="shared" si="44"/>
        <v>16.868384278386202</v>
      </c>
      <c r="M37" s="42">
        <f t="shared" si="44"/>
        <v>11.013783356615793</v>
      </c>
      <c r="N37" s="42">
        <f t="shared" si="44"/>
        <v>14.736893521950234</v>
      </c>
      <c r="O37" s="42">
        <f t="shared" si="44"/>
        <v>27.546583245503726</v>
      </c>
      <c r="P37" s="42">
        <f t="shared" si="44"/>
        <v>31.172658764134059</v>
      </c>
      <c r="Q37" s="42">
        <f t="shared" si="44"/>
        <v>42.095998209654276</v>
      </c>
      <c r="R37" s="42">
        <f t="shared" si="44"/>
        <v>7.0618578472456619</v>
      </c>
      <c r="S37" s="42">
        <f t="shared" si="44"/>
        <v>14.667270028800408</v>
      </c>
      <c r="T37" s="42">
        <f t="shared" si="44"/>
        <v>22.573299186878213</v>
      </c>
      <c r="U37" s="42">
        <f t="shared" si="44"/>
        <v>7.2756375228804444</v>
      </c>
      <c r="V37" s="42">
        <f t="shared" si="44"/>
        <v>12.655569072950641</v>
      </c>
      <c r="W37" s="42">
        <f t="shared" si="44"/>
        <v>15.7124594600009</v>
      </c>
      <c r="X37" s="42">
        <f t="shared" si="44"/>
        <v>21.905177251186519</v>
      </c>
      <c r="Y37" s="42">
        <f t="shared" si="44"/>
        <v>10.971534892527851</v>
      </c>
      <c r="Z37" s="42">
        <f t="shared" si="44"/>
        <v>4.0848503821171747</v>
      </c>
      <c r="AA37" s="42">
        <f t="shared" si="44"/>
        <v>3.0247993287052939</v>
      </c>
      <c r="AB37" s="67">
        <f t="shared" si="43"/>
        <v>1.923765475764968</v>
      </c>
      <c r="AC37" s="42">
        <f t="shared" ref="AC37:AZ37" si="45">IFERROR(AC22/$B37,0)</f>
        <v>9.5937520289942881</v>
      </c>
      <c r="AD37" s="42">
        <f t="shared" si="45"/>
        <v>13.360268302359456</v>
      </c>
      <c r="AE37" s="42">
        <f t="shared" si="45"/>
        <v>17.945639088906223</v>
      </c>
      <c r="AF37" s="42">
        <f t="shared" si="45"/>
        <v>24.05217861845701</v>
      </c>
      <c r="AG37" s="42">
        <f t="shared" si="45"/>
        <v>23.534010969111822</v>
      </c>
      <c r="AH37" s="42">
        <f t="shared" si="45"/>
        <v>6.3066230786371396</v>
      </c>
      <c r="AI37" s="42">
        <f t="shared" si="45"/>
        <v>23.212120509890156</v>
      </c>
      <c r="AJ37" s="42">
        <f t="shared" si="45"/>
        <v>2.7726242340078171</v>
      </c>
      <c r="AK37" s="42">
        <f t="shared" si="45"/>
        <v>11.648805817605485</v>
      </c>
      <c r="AL37" s="42">
        <f t="shared" si="45"/>
        <v>15.511078227233909</v>
      </c>
      <c r="AM37" s="42">
        <f t="shared" si="45"/>
        <v>13.529107509260633</v>
      </c>
      <c r="AN37" s="42">
        <f t="shared" si="45"/>
        <v>25.521276468591417</v>
      </c>
      <c r="AO37" s="42">
        <f t="shared" si="45"/>
        <v>28.826316944441828</v>
      </c>
      <c r="AP37" s="42">
        <f t="shared" si="45"/>
        <v>31.519813535493203</v>
      </c>
      <c r="AQ37" s="42">
        <f t="shared" si="45"/>
        <v>7.9008365894411119</v>
      </c>
      <c r="AR37" s="42">
        <f t="shared" si="45"/>
        <v>12.988930371061295</v>
      </c>
      <c r="AS37" s="42">
        <f t="shared" si="45"/>
        <v>25.02277302824475</v>
      </c>
      <c r="AT37" s="42">
        <f t="shared" si="45"/>
        <v>6.2147608275790445</v>
      </c>
      <c r="AU37" s="42">
        <f t="shared" si="45"/>
        <v>12.334781289142258</v>
      </c>
      <c r="AV37" s="42">
        <f t="shared" si="45"/>
        <v>14.957121982623031</v>
      </c>
      <c r="AW37" s="42">
        <f t="shared" si="45"/>
        <v>21.208246441729614</v>
      </c>
      <c r="AX37" s="42">
        <f t="shared" si="45"/>
        <v>8.8309891423802522</v>
      </c>
      <c r="AY37" s="42">
        <f t="shared" si="45"/>
        <v>3.1984157606911134</v>
      </c>
      <c r="AZ37" s="42">
        <f t="shared" si="45"/>
        <v>2.8941510532832408</v>
      </c>
    </row>
    <row r="38" spans="1:52" x14ac:dyDescent="0.25">
      <c r="A38" s="66" t="s">
        <v>1068</v>
      </c>
      <c r="B38" s="49">
        <v>1</v>
      </c>
      <c r="C38" s="67">
        <f t="shared" ref="C38:AB38" si="46">IFERROR($B38/C2,0)</f>
        <v>0.33240138422359811</v>
      </c>
      <c r="D38" s="42">
        <f t="shared" ref="D38:AA38" si="47">IFERROR(D2/$B38,0)</f>
        <v>54.637726583364781</v>
      </c>
      <c r="E38" s="42">
        <f t="shared" si="47"/>
        <v>121.47127823539485</v>
      </c>
      <c r="F38" s="42">
        <f t="shared" si="47"/>
        <v>148.47430433972849</v>
      </c>
      <c r="G38" s="42">
        <f t="shared" si="47"/>
        <v>122.35436120869856</v>
      </c>
      <c r="H38" s="42">
        <f t="shared" si="47"/>
        <v>143.75161999564818</v>
      </c>
      <c r="I38" s="42">
        <f t="shared" si="47"/>
        <v>54.377058797737611</v>
      </c>
      <c r="J38" s="42">
        <f t="shared" si="47"/>
        <v>164.0380424685072</v>
      </c>
      <c r="K38" s="42">
        <f t="shared" si="47"/>
        <v>14.168739186362791</v>
      </c>
      <c r="L38" s="42">
        <f t="shared" si="47"/>
        <v>77.805393686649836</v>
      </c>
      <c r="M38" s="42">
        <f t="shared" si="47"/>
        <v>57.910561241308876</v>
      </c>
      <c r="N38" s="42">
        <f t="shared" si="47"/>
        <v>118.9170836630222</v>
      </c>
      <c r="O38" s="42">
        <f t="shared" si="47"/>
        <v>140.6245666449166</v>
      </c>
      <c r="P38" s="42">
        <f t="shared" si="47"/>
        <v>163.8975248980237</v>
      </c>
      <c r="Q38" s="42">
        <f t="shared" si="47"/>
        <v>221.32461712307199</v>
      </c>
      <c r="R38" s="42">
        <f t="shared" si="47"/>
        <v>34.94293817324963</v>
      </c>
      <c r="S38" s="42">
        <f t="shared" si="47"/>
        <v>72.583948029517813</v>
      </c>
      <c r="T38" s="42">
        <f t="shared" si="47"/>
        <v>115.67941221736262</v>
      </c>
      <c r="U38" s="42">
        <f t="shared" si="47"/>
        <v>36.320179414384548</v>
      </c>
      <c r="V38" s="42">
        <f t="shared" si="47"/>
        <v>66.541518623017737</v>
      </c>
      <c r="W38" s="42">
        <f t="shared" si="47"/>
        <v>80.117239462193268</v>
      </c>
      <c r="X38" s="42">
        <f t="shared" si="47"/>
        <v>108.39542013915616</v>
      </c>
      <c r="Y38" s="42">
        <f t="shared" si="47"/>
        <v>57.573293914524143</v>
      </c>
      <c r="Z38" s="42">
        <f t="shared" si="47"/>
        <v>18.581955136072654</v>
      </c>
      <c r="AA38" s="42">
        <f t="shared" si="47"/>
        <v>14.388947913292407</v>
      </c>
      <c r="AB38" s="67">
        <f t="shared" si="46"/>
        <v>0.35197277365039509</v>
      </c>
      <c r="AC38" s="42">
        <f t="shared" ref="AC38:AZ38" si="48">IFERROR(AC2/$B38,0)</f>
        <v>47.470690909898408</v>
      </c>
      <c r="AD38" s="42">
        <f t="shared" si="48"/>
        <v>113.93560797077045</v>
      </c>
      <c r="AE38" s="42">
        <f t="shared" si="48"/>
        <v>136.35395296505678</v>
      </c>
      <c r="AF38" s="42">
        <f t="shared" si="48"/>
        <v>119.01164369386555</v>
      </c>
      <c r="AG38" s="42">
        <f t="shared" si="48"/>
        <v>123.58661737104489</v>
      </c>
      <c r="AH38" s="42">
        <f t="shared" si="48"/>
        <v>53.776191204210235</v>
      </c>
      <c r="AI38" s="42">
        <f t="shared" si="48"/>
        <v>176.39771551660718</v>
      </c>
      <c r="AJ38" s="42">
        <f t="shared" si="48"/>
        <v>13.719209686043103</v>
      </c>
      <c r="AK38" s="42">
        <f t="shared" si="48"/>
        <v>53.730096947070564</v>
      </c>
      <c r="AL38" s="42">
        <f t="shared" si="48"/>
        <v>81.557373748176673</v>
      </c>
      <c r="AM38" s="42">
        <f t="shared" si="48"/>
        <v>109.17104118099509</v>
      </c>
      <c r="AN38" s="42">
        <f t="shared" si="48"/>
        <v>130.28543001631877</v>
      </c>
      <c r="AO38" s="42">
        <f t="shared" si="48"/>
        <v>151.56108546492857</v>
      </c>
      <c r="AP38" s="42">
        <f t="shared" si="48"/>
        <v>165.71909348223409</v>
      </c>
      <c r="AQ38" s="42">
        <f t="shared" si="48"/>
        <v>39.094307820068643</v>
      </c>
      <c r="AR38" s="42">
        <f t="shared" si="48"/>
        <v>64.278345265403587</v>
      </c>
      <c r="AS38" s="42">
        <f t="shared" si="48"/>
        <v>128.2320165958931</v>
      </c>
      <c r="AT38" s="42">
        <f t="shared" si="48"/>
        <v>31.024254240994168</v>
      </c>
      <c r="AU38" s="42">
        <f t="shared" si="48"/>
        <v>64.854853553491552</v>
      </c>
      <c r="AV38" s="42">
        <f t="shared" si="48"/>
        <v>76.265802091493541</v>
      </c>
      <c r="AW38" s="42">
        <f t="shared" si="48"/>
        <v>104.94673277941745</v>
      </c>
      <c r="AX38" s="42">
        <f t="shared" si="48"/>
        <v>46.340747983811696</v>
      </c>
      <c r="AY38" s="42">
        <f t="shared" si="48"/>
        <v>14.549570391086387</v>
      </c>
      <c r="AZ38" s="42">
        <f t="shared" si="48"/>
        <v>13.767455038651347</v>
      </c>
    </row>
    <row r="39" spans="1:52" x14ac:dyDescent="0.25">
      <c r="A39" s="66" t="s">
        <v>1069</v>
      </c>
      <c r="B39" s="49">
        <v>1</v>
      </c>
      <c r="C39" s="67">
        <f t="shared" ref="C39:AB39" si="49">IFERROR($B39/C11,0)</f>
        <v>0</v>
      </c>
      <c r="D39" s="42">
        <f t="shared" ref="D39:AA39" si="50">IFERROR(D11/$B39,0)</f>
        <v>0</v>
      </c>
      <c r="E39" s="42">
        <f t="shared" si="50"/>
        <v>0</v>
      </c>
      <c r="F39" s="42">
        <f t="shared" si="50"/>
        <v>0</v>
      </c>
      <c r="G39" s="42">
        <f t="shared" si="50"/>
        <v>0</v>
      </c>
      <c r="H39" s="42">
        <f t="shared" si="50"/>
        <v>0</v>
      </c>
      <c r="I39" s="42">
        <f t="shared" si="50"/>
        <v>0</v>
      </c>
      <c r="J39" s="42">
        <f t="shared" si="50"/>
        <v>0</v>
      </c>
      <c r="K39" s="42">
        <f t="shared" si="50"/>
        <v>0</v>
      </c>
      <c r="L39" s="42">
        <f t="shared" si="50"/>
        <v>0</v>
      </c>
      <c r="M39" s="42">
        <f t="shared" si="50"/>
        <v>0</v>
      </c>
      <c r="N39" s="42">
        <f t="shared" si="50"/>
        <v>0</v>
      </c>
      <c r="O39" s="42">
        <f t="shared" si="50"/>
        <v>0</v>
      </c>
      <c r="P39" s="42">
        <f t="shared" si="50"/>
        <v>0</v>
      </c>
      <c r="Q39" s="42">
        <f t="shared" si="50"/>
        <v>0</v>
      </c>
      <c r="R39" s="42">
        <f t="shared" si="50"/>
        <v>0</v>
      </c>
      <c r="S39" s="42">
        <f t="shared" si="50"/>
        <v>0</v>
      </c>
      <c r="T39" s="42">
        <f t="shared" si="50"/>
        <v>0</v>
      </c>
      <c r="U39" s="42">
        <f t="shared" si="50"/>
        <v>0</v>
      </c>
      <c r="V39" s="42">
        <f t="shared" si="50"/>
        <v>0</v>
      </c>
      <c r="W39" s="42">
        <f t="shared" si="50"/>
        <v>0</v>
      </c>
      <c r="X39" s="42">
        <f t="shared" si="50"/>
        <v>0</v>
      </c>
      <c r="Y39" s="42">
        <f t="shared" si="50"/>
        <v>0</v>
      </c>
      <c r="Z39" s="42">
        <f t="shared" si="50"/>
        <v>0</v>
      </c>
      <c r="AA39" s="42">
        <f t="shared" si="50"/>
        <v>0</v>
      </c>
      <c r="AB39" s="67">
        <f t="shared" si="49"/>
        <v>0</v>
      </c>
      <c r="AC39" s="42">
        <f t="shared" ref="AC39:AZ39" si="51">IFERROR(AC11/$B39,0)</f>
        <v>0</v>
      </c>
      <c r="AD39" s="42">
        <f t="shared" si="51"/>
        <v>0</v>
      </c>
      <c r="AE39" s="42">
        <f t="shared" si="51"/>
        <v>0</v>
      </c>
      <c r="AF39" s="42">
        <f t="shared" si="51"/>
        <v>0</v>
      </c>
      <c r="AG39" s="42">
        <f t="shared" si="51"/>
        <v>0</v>
      </c>
      <c r="AH39" s="42">
        <f t="shared" si="51"/>
        <v>0</v>
      </c>
      <c r="AI39" s="42">
        <f t="shared" si="51"/>
        <v>0</v>
      </c>
      <c r="AJ39" s="42">
        <f t="shared" si="51"/>
        <v>0</v>
      </c>
      <c r="AK39" s="42">
        <f t="shared" si="51"/>
        <v>0</v>
      </c>
      <c r="AL39" s="42">
        <f t="shared" si="51"/>
        <v>0</v>
      </c>
      <c r="AM39" s="42">
        <f t="shared" si="51"/>
        <v>0</v>
      </c>
      <c r="AN39" s="42">
        <f t="shared" si="51"/>
        <v>0</v>
      </c>
      <c r="AO39" s="42">
        <f t="shared" si="51"/>
        <v>0</v>
      </c>
      <c r="AP39" s="42">
        <f t="shared" si="51"/>
        <v>0</v>
      </c>
      <c r="AQ39" s="42">
        <f t="shared" si="51"/>
        <v>0</v>
      </c>
      <c r="AR39" s="42">
        <f t="shared" si="51"/>
        <v>0</v>
      </c>
      <c r="AS39" s="42">
        <f t="shared" si="51"/>
        <v>0</v>
      </c>
      <c r="AT39" s="42">
        <f t="shared" si="51"/>
        <v>0</v>
      </c>
      <c r="AU39" s="42">
        <f t="shared" si="51"/>
        <v>0</v>
      </c>
      <c r="AV39" s="42">
        <f t="shared" si="51"/>
        <v>0</v>
      </c>
      <c r="AW39" s="42">
        <f t="shared" si="51"/>
        <v>0</v>
      </c>
      <c r="AX39" s="42">
        <f t="shared" si="51"/>
        <v>0</v>
      </c>
      <c r="AY39" s="42">
        <f t="shared" si="51"/>
        <v>0</v>
      </c>
      <c r="AZ39" s="42">
        <f t="shared" si="51"/>
        <v>0</v>
      </c>
    </row>
    <row r="40" spans="1:52" x14ac:dyDescent="0.25">
      <c r="A40" s="66" t="s">
        <v>1070</v>
      </c>
      <c r="B40" s="49">
        <v>1</v>
      </c>
      <c r="C40" s="67">
        <f t="shared" ref="C40:AB40" si="52">IFERROR($B40/C4,0)</f>
        <v>0</v>
      </c>
      <c r="D40" s="42">
        <f t="shared" ref="D40:AA40" si="53">IFERROR(D4/$B40,0)</f>
        <v>0</v>
      </c>
      <c r="E40" s="42">
        <f t="shared" si="53"/>
        <v>0</v>
      </c>
      <c r="F40" s="42">
        <f t="shared" si="53"/>
        <v>0</v>
      </c>
      <c r="G40" s="42">
        <f t="shared" si="53"/>
        <v>0</v>
      </c>
      <c r="H40" s="42">
        <f t="shared" si="53"/>
        <v>0</v>
      </c>
      <c r="I40" s="42">
        <f t="shared" si="53"/>
        <v>0</v>
      </c>
      <c r="J40" s="42">
        <f t="shared" si="53"/>
        <v>0</v>
      </c>
      <c r="K40" s="42">
        <f t="shared" si="53"/>
        <v>0</v>
      </c>
      <c r="L40" s="42">
        <f t="shared" si="53"/>
        <v>0</v>
      </c>
      <c r="M40" s="42">
        <f t="shared" si="53"/>
        <v>0</v>
      </c>
      <c r="N40" s="42">
        <f t="shared" si="53"/>
        <v>0</v>
      </c>
      <c r="O40" s="42">
        <f t="shared" si="53"/>
        <v>0</v>
      </c>
      <c r="P40" s="42">
        <f t="shared" si="53"/>
        <v>0</v>
      </c>
      <c r="Q40" s="42">
        <f t="shared" si="53"/>
        <v>0</v>
      </c>
      <c r="R40" s="42">
        <f t="shared" si="53"/>
        <v>0</v>
      </c>
      <c r="S40" s="42">
        <f t="shared" si="53"/>
        <v>0</v>
      </c>
      <c r="T40" s="42">
        <f t="shared" si="53"/>
        <v>0</v>
      </c>
      <c r="U40" s="42">
        <f t="shared" si="53"/>
        <v>0</v>
      </c>
      <c r="V40" s="42">
        <f t="shared" si="53"/>
        <v>0</v>
      </c>
      <c r="W40" s="42">
        <f t="shared" si="53"/>
        <v>0</v>
      </c>
      <c r="X40" s="42">
        <f t="shared" si="53"/>
        <v>0</v>
      </c>
      <c r="Y40" s="42">
        <f t="shared" si="53"/>
        <v>0</v>
      </c>
      <c r="Z40" s="42">
        <f t="shared" si="53"/>
        <v>0</v>
      </c>
      <c r="AA40" s="42">
        <f t="shared" si="53"/>
        <v>0</v>
      </c>
      <c r="AB40" s="67">
        <f t="shared" si="52"/>
        <v>0</v>
      </c>
      <c r="AC40" s="42">
        <f t="shared" ref="AC40:AZ40" si="54">IFERROR(AC4/$B40,0)</f>
        <v>0</v>
      </c>
      <c r="AD40" s="42">
        <f t="shared" si="54"/>
        <v>0</v>
      </c>
      <c r="AE40" s="42">
        <f t="shared" si="54"/>
        <v>0</v>
      </c>
      <c r="AF40" s="42">
        <f t="shared" si="54"/>
        <v>0</v>
      </c>
      <c r="AG40" s="42">
        <f t="shared" si="54"/>
        <v>0</v>
      </c>
      <c r="AH40" s="42">
        <f t="shared" si="54"/>
        <v>0</v>
      </c>
      <c r="AI40" s="42">
        <f t="shared" si="54"/>
        <v>0</v>
      </c>
      <c r="AJ40" s="42">
        <f t="shared" si="54"/>
        <v>0</v>
      </c>
      <c r="AK40" s="42">
        <f t="shared" si="54"/>
        <v>0</v>
      </c>
      <c r="AL40" s="42">
        <f t="shared" si="54"/>
        <v>0</v>
      </c>
      <c r="AM40" s="42">
        <f t="shared" si="54"/>
        <v>0</v>
      </c>
      <c r="AN40" s="42">
        <f t="shared" si="54"/>
        <v>0</v>
      </c>
      <c r="AO40" s="42">
        <f t="shared" si="54"/>
        <v>0</v>
      </c>
      <c r="AP40" s="42">
        <f t="shared" si="54"/>
        <v>0</v>
      </c>
      <c r="AQ40" s="42">
        <f t="shared" si="54"/>
        <v>0</v>
      </c>
      <c r="AR40" s="42">
        <f t="shared" si="54"/>
        <v>0</v>
      </c>
      <c r="AS40" s="42">
        <f t="shared" si="54"/>
        <v>0</v>
      </c>
      <c r="AT40" s="42">
        <f t="shared" si="54"/>
        <v>0</v>
      </c>
      <c r="AU40" s="42">
        <f t="shared" si="54"/>
        <v>0</v>
      </c>
      <c r="AV40" s="42">
        <f t="shared" si="54"/>
        <v>0</v>
      </c>
      <c r="AW40" s="42">
        <f t="shared" si="54"/>
        <v>0</v>
      </c>
      <c r="AX40" s="42">
        <f t="shared" si="54"/>
        <v>0</v>
      </c>
      <c r="AY40" s="42">
        <f t="shared" si="54"/>
        <v>0</v>
      </c>
      <c r="AZ40" s="42">
        <f t="shared" si="54"/>
        <v>0</v>
      </c>
    </row>
    <row r="41" spans="1:52" x14ac:dyDescent="0.25">
      <c r="A41" s="66" t="s">
        <v>1071</v>
      </c>
      <c r="B41" s="68">
        <v>0.99987999999999999</v>
      </c>
      <c r="C41" s="67">
        <f t="shared" ref="C41:AB41" si="55">IFERROR($B41/C8,0)</f>
        <v>3.3294569441952382E-3</v>
      </c>
      <c r="D41" s="42">
        <f t="shared" ref="D41:AA41" si="56">IFERROR(D8/$B41,0)</f>
        <v>5438.9291098143167</v>
      </c>
      <c r="E41" s="42">
        <f t="shared" si="56"/>
        <v>12087.236868765496</v>
      </c>
      <c r="F41" s="42">
        <f t="shared" si="56"/>
        <v>14778.373702955123</v>
      </c>
      <c r="G41" s="42">
        <f t="shared" si="56"/>
        <v>12180.149528947366</v>
      </c>
      <c r="H41" s="42">
        <f t="shared" si="56"/>
        <v>14367.384976114774</v>
      </c>
      <c r="I41" s="42">
        <f t="shared" si="56"/>
        <v>5411.5650396958263</v>
      </c>
      <c r="J41" s="42">
        <f t="shared" si="56"/>
        <v>16324.324327359873</v>
      </c>
      <c r="K41" s="42">
        <f t="shared" si="56"/>
        <v>1410.4113341976235</v>
      </c>
      <c r="L41" s="42">
        <f t="shared" si="56"/>
        <v>7744.609190668727</v>
      </c>
      <c r="M41" s="42">
        <f t="shared" si="56"/>
        <v>5761.4335876313853</v>
      </c>
      <c r="N41" s="42">
        <f t="shared" si="56"/>
        <v>12541.915759276426</v>
      </c>
      <c r="O41" s="42">
        <f t="shared" si="56"/>
        <v>14238.409623741207</v>
      </c>
      <c r="P41" s="42">
        <f t="shared" si="56"/>
        <v>16309.021064259545</v>
      </c>
      <c r="Q41" s="42">
        <f t="shared" si="56"/>
        <v>22025.225229320873</v>
      </c>
      <c r="R41" s="42">
        <f t="shared" si="56"/>
        <v>3478.2400246151938</v>
      </c>
      <c r="S41" s="42">
        <f t="shared" si="56"/>
        <v>7219.8905214025308</v>
      </c>
      <c r="T41" s="42">
        <f t="shared" si="56"/>
        <v>11516.327642727756</v>
      </c>
      <c r="U41" s="42">
        <f t="shared" si="56"/>
        <v>3616.3625583258245</v>
      </c>
      <c r="V41" s="42">
        <f t="shared" si="56"/>
        <v>6620.6818825006221</v>
      </c>
      <c r="W41" s="42">
        <f t="shared" si="56"/>
        <v>8154.5210539573845</v>
      </c>
      <c r="X41" s="42">
        <f t="shared" si="56"/>
        <v>10786.149402919249</v>
      </c>
      <c r="Y41" s="42">
        <f t="shared" si="56"/>
        <v>5769.8415712275018</v>
      </c>
      <c r="Z41" s="42">
        <f t="shared" si="56"/>
        <v>2832.16590114468</v>
      </c>
      <c r="AA41" s="42">
        <f t="shared" si="56"/>
        <v>2193.0893350540441</v>
      </c>
      <c r="AB41" s="67">
        <f t="shared" si="55"/>
        <v>3.5250661974326547E-3</v>
      </c>
      <c r="AC41" s="42">
        <f t="shared" ref="AC41:AZ41" si="57">IFERROR(AC8/$B41,0)</f>
        <v>4725.4843639752371</v>
      </c>
      <c r="AD41" s="42">
        <f t="shared" si="57"/>
        <v>11337.385276054694</v>
      </c>
      <c r="AE41" s="42">
        <f t="shared" si="57"/>
        <v>13571.975849652665</v>
      </c>
      <c r="AF41" s="42">
        <f t="shared" si="57"/>
        <v>11847.388205513615</v>
      </c>
      <c r="AG41" s="42">
        <f t="shared" si="57"/>
        <v>12351.975648826427</v>
      </c>
      <c r="AH41" s="42">
        <f t="shared" si="57"/>
        <v>5351.7671371517836</v>
      </c>
      <c r="AI41" s="42">
        <f t="shared" si="57"/>
        <v>17554.303107776304</v>
      </c>
      <c r="AJ41" s="42">
        <f t="shared" si="57"/>
        <v>1365.6634216298405</v>
      </c>
      <c r="AK41" s="42">
        <f t="shared" si="57"/>
        <v>5348.197379575804</v>
      </c>
      <c r="AL41" s="42">
        <f t="shared" si="57"/>
        <v>8114.0189692475378</v>
      </c>
      <c r="AM41" s="42">
        <f t="shared" si="57"/>
        <v>11514.022709508317</v>
      </c>
      <c r="AN41" s="42">
        <f t="shared" si="57"/>
        <v>13191.559375693709</v>
      </c>
      <c r="AO41" s="42">
        <f t="shared" si="57"/>
        <v>15081.453712662909</v>
      </c>
      <c r="AP41" s="42">
        <f t="shared" si="57"/>
        <v>16491.614923772489</v>
      </c>
      <c r="AQ41" s="42">
        <f t="shared" si="57"/>
        <v>3891.4697304558035</v>
      </c>
      <c r="AR41" s="42">
        <f t="shared" si="57"/>
        <v>6393.7361952865585</v>
      </c>
      <c r="AS41" s="42">
        <f t="shared" si="57"/>
        <v>12765.987387895433</v>
      </c>
      <c r="AT41" s="42">
        <f t="shared" si="57"/>
        <v>3089.0527868008776</v>
      </c>
      <c r="AU41" s="42">
        <f t="shared" si="57"/>
        <v>6452.8637578358803</v>
      </c>
      <c r="AV41" s="42">
        <f t="shared" si="57"/>
        <v>7762.5127004719925</v>
      </c>
      <c r="AW41" s="42">
        <f t="shared" si="57"/>
        <v>10442.979395751541</v>
      </c>
      <c r="AX41" s="42">
        <f t="shared" si="57"/>
        <v>4644.1458526888546</v>
      </c>
      <c r="AY41" s="42">
        <f t="shared" si="57"/>
        <v>2217.5705858822939</v>
      </c>
      <c r="AZ41" s="42">
        <f t="shared" si="57"/>
        <v>2098.3645919108526</v>
      </c>
    </row>
    <row r="42" spans="1:52" x14ac:dyDescent="0.25">
      <c r="A42" s="66" t="s">
        <v>1072</v>
      </c>
      <c r="B42" s="49">
        <v>0.97898250799999997</v>
      </c>
      <c r="C42" s="67">
        <f t="shared" ref="C42:AB42" si="58">IFERROR($B42/C19,0)</f>
        <v>0</v>
      </c>
      <c r="D42" s="42">
        <f t="shared" ref="D42:AA42" si="59">IFERROR(D19/$B42,0)</f>
        <v>0</v>
      </c>
      <c r="E42" s="42">
        <f t="shared" si="59"/>
        <v>0</v>
      </c>
      <c r="F42" s="42">
        <f t="shared" si="59"/>
        <v>0</v>
      </c>
      <c r="G42" s="42">
        <f t="shared" si="59"/>
        <v>0</v>
      </c>
      <c r="H42" s="42">
        <f t="shared" si="59"/>
        <v>0</v>
      </c>
      <c r="I42" s="42">
        <f t="shared" si="59"/>
        <v>0</v>
      </c>
      <c r="J42" s="42">
        <f t="shared" si="59"/>
        <v>0</v>
      </c>
      <c r="K42" s="42">
        <f t="shared" si="59"/>
        <v>0</v>
      </c>
      <c r="L42" s="42">
        <f t="shared" si="59"/>
        <v>0</v>
      </c>
      <c r="M42" s="42">
        <f t="shared" si="59"/>
        <v>0</v>
      </c>
      <c r="N42" s="42">
        <f t="shared" si="59"/>
        <v>0</v>
      </c>
      <c r="O42" s="42">
        <f t="shared" si="59"/>
        <v>0</v>
      </c>
      <c r="P42" s="42">
        <f t="shared" si="59"/>
        <v>0</v>
      </c>
      <c r="Q42" s="42">
        <f t="shared" si="59"/>
        <v>0</v>
      </c>
      <c r="R42" s="42">
        <f t="shared" si="59"/>
        <v>0</v>
      </c>
      <c r="S42" s="42">
        <f t="shared" si="59"/>
        <v>0</v>
      </c>
      <c r="T42" s="42">
        <f t="shared" si="59"/>
        <v>0</v>
      </c>
      <c r="U42" s="42">
        <f t="shared" si="59"/>
        <v>0</v>
      </c>
      <c r="V42" s="42">
        <f t="shared" si="59"/>
        <v>0</v>
      </c>
      <c r="W42" s="42">
        <f t="shared" si="59"/>
        <v>0</v>
      </c>
      <c r="X42" s="42">
        <f t="shared" si="59"/>
        <v>0</v>
      </c>
      <c r="Y42" s="42">
        <f t="shared" si="59"/>
        <v>0</v>
      </c>
      <c r="Z42" s="42">
        <f t="shared" si="59"/>
        <v>0</v>
      </c>
      <c r="AA42" s="42">
        <f t="shared" si="59"/>
        <v>0</v>
      </c>
      <c r="AB42" s="67">
        <f t="shared" si="58"/>
        <v>0</v>
      </c>
      <c r="AC42" s="42">
        <f t="shared" ref="AC42:AZ42" si="60">IFERROR(AC19/$B42,0)</f>
        <v>0</v>
      </c>
      <c r="AD42" s="42">
        <f t="shared" si="60"/>
        <v>0</v>
      </c>
      <c r="AE42" s="42">
        <f t="shared" si="60"/>
        <v>0</v>
      </c>
      <c r="AF42" s="42">
        <f t="shared" si="60"/>
        <v>0</v>
      </c>
      <c r="AG42" s="42">
        <f t="shared" si="60"/>
        <v>0</v>
      </c>
      <c r="AH42" s="42">
        <f t="shared" si="60"/>
        <v>0</v>
      </c>
      <c r="AI42" s="42">
        <f t="shared" si="60"/>
        <v>0</v>
      </c>
      <c r="AJ42" s="42">
        <f t="shared" si="60"/>
        <v>0</v>
      </c>
      <c r="AK42" s="42">
        <f t="shared" si="60"/>
        <v>0</v>
      </c>
      <c r="AL42" s="42">
        <f t="shared" si="60"/>
        <v>0</v>
      </c>
      <c r="AM42" s="42">
        <f t="shared" si="60"/>
        <v>0</v>
      </c>
      <c r="AN42" s="42">
        <f t="shared" si="60"/>
        <v>0</v>
      </c>
      <c r="AO42" s="42">
        <f t="shared" si="60"/>
        <v>0</v>
      </c>
      <c r="AP42" s="42">
        <f t="shared" si="60"/>
        <v>0</v>
      </c>
      <c r="AQ42" s="42">
        <f t="shared" si="60"/>
        <v>0</v>
      </c>
      <c r="AR42" s="42">
        <f t="shared" si="60"/>
        <v>0</v>
      </c>
      <c r="AS42" s="42">
        <f t="shared" si="60"/>
        <v>0</v>
      </c>
      <c r="AT42" s="42">
        <f t="shared" si="60"/>
        <v>0</v>
      </c>
      <c r="AU42" s="42">
        <f t="shared" si="60"/>
        <v>0</v>
      </c>
      <c r="AV42" s="42">
        <f t="shared" si="60"/>
        <v>0</v>
      </c>
      <c r="AW42" s="42">
        <f t="shared" si="60"/>
        <v>0</v>
      </c>
      <c r="AX42" s="42">
        <f t="shared" si="60"/>
        <v>0</v>
      </c>
      <c r="AY42" s="42">
        <f t="shared" si="60"/>
        <v>0</v>
      </c>
      <c r="AZ42" s="42">
        <f t="shared" si="60"/>
        <v>0</v>
      </c>
    </row>
    <row r="43" spans="1:52" x14ac:dyDescent="0.25">
      <c r="A43" s="66" t="s">
        <v>1073</v>
      </c>
      <c r="B43" s="49">
        <v>2.0897492E-2</v>
      </c>
      <c r="C43" s="67">
        <f t="shared" ref="C43:AB43" si="61">IFERROR($B43/C28,0)</f>
        <v>0</v>
      </c>
      <c r="D43" s="42">
        <f t="shared" ref="D43:AA43" si="62">IFERROR(D28/$B43,0)</f>
        <v>0</v>
      </c>
      <c r="E43" s="42">
        <f t="shared" si="62"/>
        <v>0</v>
      </c>
      <c r="F43" s="42">
        <f t="shared" si="62"/>
        <v>0</v>
      </c>
      <c r="G43" s="42">
        <f t="shared" si="62"/>
        <v>0</v>
      </c>
      <c r="H43" s="42">
        <f t="shared" si="62"/>
        <v>0</v>
      </c>
      <c r="I43" s="42">
        <f t="shared" si="62"/>
        <v>0</v>
      </c>
      <c r="J43" s="42">
        <f t="shared" si="62"/>
        <v>0</v>
      </c>
      <c r="K43" s="42">
        <f t="shared" si="62"/>
        <v>0</v>
      </c>
      <c r="L43" s="42">
        <f t="shared" si="62"/>
        <v>0</v>
      </c>
      <c r="M43" s="42">
        <f t="shared" si="62"/>
        <v>0</v>
      </c>
      <c r="N43" s="42">
        <f t="shared" si="62"/>
        <v>0</v>
      </c>
      <c r="O43" s="42">
        <f t="shared" si="62"/>
        <v>0</v>
      </c>
      <c r="P43" s="42">
        <f t="shared" si="62"/>
        <v>0</v>
      </c>
      <c r="Q43" s="42">
        <f t="shared" si="62"/>
        <v>0</v>
      </c>
      <c r="R43" s="42">
        <f t="shared" si="62"/>
        <v>0</v>
      </c>
      <c r="S43" s="42">
        <f t="shared" si="62"/>
        <v>0</v>
      </c>
      <c r="T43" s="42">
        <f t="shared" si="62"/>
        <v>0</v>
      </c>
      <c r="U43" s="42">
        <f t="shared" si="62"/>
        <v>0</v>
      </c>
      <c r="V43" s="42">
        <f t="shared" si="62"/>
        <v>0</v>
      </c>
      <c r="W43" s="42">
        <f t="shared" si="62"/>
        <v>0</v>
      </c>
      <c r="X43" s="42">
        <f t="shared" si="62"/>
        <v>0</v>
      </c>
      <c r="Y43" s="42">
        <f t="shared" si="62"/>
        <v>0</v>
      </c>
      <c r="Z43" s="42">
        <f t="shared" si="62"/>
        <v>0</v>
      </c>
      <c r="AA43" s="42">
        <f t="shared" si="62"/>
        <v>0</v>
      </c>
      <c r="AB43" s="67">
        <f t="shared" si="61"/>
        <v>0</v>
      </c>
      <c r="AC43" s="42">
        <f t="shared" ref="AC43:AZ43" si="63">IFERROR(AC28/$B43,0)</f>
        <v>0</v>
      </c>
      <c r="AD43" s="42">
        <f t="shared" si="63"/>
        <v>0</v>
      </c>
      <c r="AE43" s="42">
        <f t="shared" si="63"/>
        <v>0</v>
      </c>
      <c r="AF43" s="42">
        <f t="shared" si="63"/>
        <v>0</v>
      </c>
      <c r="AG43" s="42">
        <f t="shared" si="63"/>
        <v>0</v>
      </c>
      <c r="AH43" s="42">
        <f t="shared" si="63"/>
        <v>0</v>
      </c>
      <c r="AI43" s="42">
        <f t="shared" si="63"/>
        <v>0</v>
      </c>
      <c r="AJ43" s="42">
        <f t="shared" si="63"/>
        <v>0</v>
      </c>
      <c r="AK43" s="42">
        <f t="shared" si="63"/>
        <v>0</v>
      </c>
      <c r="AL43" s="42">
        <f t="shared" si="63"/>
        <v>0</v>
      </c>
      <c r="AM43" s="42">
        <f t="shared" si="63"/>
        <v>0</v>
      </c>
      <c r="AN43" s="42">
        <f t="shared" si="63"/>
        <v>0</v>
      </c>
      <c r="AO43" s="42">
        <f t="shared" si="63"/>
        <v>0</v>
      </c>
      <c r="AP43" s="42">
        <f t="shared" si="63"/>
        <v>0</v>
      </c>
      <c r="AQ43" s="42">
        <f t="shared" si="63"/>
        <v>0</v>
      </c>
      <c r="AR43" s="42">
        <f t="shared" si="63"/>
        <v>0</v>
      </c>
      <c r="AS43" s="42">
        <f t="shared" si="63"/>
        <v>0</v>
      </c>
      <c r="AT43" s="42">
        <f t="shared" si="63"/>
        <v>0</v>
      </c>
      <c r="AU43" s="42">
        <f t="shared" si="63"/>
        <v>0</v>
      </c>
      <c r="AV43" s="42">
        <f t="shared" si="63"/>
        <v>0</v>
      </c>
      <c r="AW43" s="42">
        <f t="shared" si="63"/>
        <v>0</v>
      </c>
      <c r="AX43" s="42">
        <f t="shared" si="63"/>
        <v>0</v>
      </c>
      <c r="AY43" s="42">
        <f t="shared" si="63"/>
        <v>0</v>
      </c>
      <c r="AZ43" s="42">
        <f t="shared" si="63"/>
        <v>0</v>
      </c>
    </row>
    <row r="44" spans="1:52" x14ac:dyDescent="0.25">
      <c r="A44" s="66" t="s">
        <v>1074</v>
      </c>
      <c r="B44" s="49">
        <v>0.99987999999999999</v>
      </c>
      <c r="C44" s="67">
        <f t="shared" ref="C44:AB44" si="64">IFERROR($B44/C15,0)</f>
        <v>5.4792004412272254E-4</v>
      </c>
      <c r="D44" s="42">
        <f t="shared" ref="D44:AA44" si="65">IFERROR(D15/$B44,0)</f>
        <v>35185.524601116937</v>
      </c>
      <c r="E44" s="42">
        <f t="shared" si="65"/>
        <v>48131.244053568873</v>
      </c>
      <c r="F44" s="42">
        <f t="shared" si="65"/>
        <v>91527.810514911951</v>
      </c>
      <c r="G44" s="42">
        <f t="shared" si="65"/>
        <v>78793.954024345832</v>
      </c>
      <c r="H44" s="42">
        <f t="shared" si="65"/>
        <v>88705.537080769005</v>
      </c>
      <c r="I44" s="42">
        <f t="shared" si="65"/>
        <v>21548.48754443297</v>
      </c>
      <c r="J44" s="42">
        <f t="shared" si="65"/>
        <v>101117.34819937017</v>
      </c>
      <c r="K44" s="42">
        <f t="shared" si="65"/>
        <v>9124.3429540635225</v>
      </c>
      <c r="L44" s="42">
        <f t="shared" si="65"/>
        <v>54375.188221188633</v>
      </c>
      <c r="M44" s="42">
        <f t="shared" si="65"/>
        <v>35695.222274884123</v>
      </c>
      <c r="N44" s="42">
        <f t="shared" si="65"/>
        <v>49602.094260046848</v>
      </c>
      <c r="O44" s="42">
        <f t="shared" si="65"/>
        <v>94654.21535655974</v>
      </c>
      <c r="P44" s="42">
        <f t="shared" si="65"/>
        <v>101028.73364947246</v>
      </c>
      <c r="Q44" s="42">
        <f t="shared" si="65"/>
        <v>136430.29408268226</v>
      </c>
      <c r="R44" s="42">
        <f t="shared" si="65"/>
        <v>22502.327690895432</v>
      </c>
      <c r="S44" s="42">
        <f t="shared" si="65"/>
        <v>46736.669536281399</v>
      </c>
      <c r="T44" s="42">
        <f t="shared" si="65"/>
        <v>77756.964079508209</v>
      </c>
      <c r="U44" s="42">
        <f t="shared" si="65"/>
        <v>25309.305312599809</v>
      </c>
      <c r="V44" s="42">
        <f t="shared" si="65"/>
        <v>41016.076611565564</v>
      </c>
      <c r="W44" s="42">
        <f t="shared" si="65"/>
        <v>53949.468499005074</v>
      </c>
      <c r="X44" s="42">
        <f t="shared" si="65"/>
        <v>69799.971522451378</v>
      </c>
      <c r="Y44" s="42">
        <f t="shared" si="65"/>
        <v>35550.474661868284</v>
      </c>
      <c r="Z44" s="42">
        <f t="shared" si="65"/>
        <v>13037.648261082146</v>
      </c>
      <c r="AA44" s="42">
        <f t="shared" si="65"/>
        <v>9797.7601651654859</v>
      </c>
      <c r="AB44" s="67">
        <f t="shared" si="64"/>
        <v>5.7858050546987557E-4</v>
      </c>
      <c r="AC44" s="42">
        <f t="shared" ref="AC44:AZ44" si="66">IFERROR(AC15/$B44,0)</f>
        <v>30570.10727365785</v>
      </c>
      <c r="AD44" s="42">
        <f t="shared" si="66"/>
        <v>45145.343272060738</v>
      </c>
      <c r="AE44" s="42">
        <f t="shared" si="66"/>
        <v>84056.152513694673</v>
      </c>
      <c r="AF44" s="42">
        <f t="shared" si="66"/>
        <v>76641.305540236033</v>
      </c>
      <c r="AG44" s="42">
        <f t="shared" si="66"/>
        <v>76262.217220410574</v>
      </c>
      <c r="AH44" s="42">
        <f t="shared" si="66"/>
        <v>21310.37632361209</v>
      </c>
      <c r="AI44" s="42">
        <f t="shared" si="66"/>
        <v>108736.17456688813</v>
      </c>
      <c r="AJ44" s="42">
        <f t="shared" si="66"/>
        <v>8834.8562696849003</v>
      </c>
      <c r="AK44" s="42">
        <f t="shared" si="66"/>
        <v>37549.892060259212</v>
      </c>
      <c r="AL44" s="42">
        <f t="shared" si="66"/>
        <v>50270.771370461815</v>
      </c>
      <c r="AM44" s="42">
        <f t="shared" si="66"/>
        <v>45536.874167483715</v>
      </c>
      <c r="AN44" s="42">
        <f t="shared" si="66"/>
        <v>87694.955759228425</v>
      </c>
      <c r="AO44" s="42">
        <f t="shared" si="66"/>
        <v>93424.379316211605</v>
      </c>
      <c r="AP44" s="42">
        <f t="shared" si="66"/>
        <v>102153.59209827283</v>
      </c>
      <c r="AQ44" s="42">
        <f t="shared" si="66"/>
        <v>25175.69990978549</v>
      </c>
      <c r="AR44" s="42">
        <f t="shared" si="66"/>
        <v>41388.707318406836</v>
      </c>
      <c r="AS44" s="42">
        <f t="shared" si="66"/>
        <v>86194.527765703824</v>
      </c>
      <c r="AT44" s="42">
        <f t="shared" si="66"/>
        <v>21618.899888199965</v>
      </c>
      <c r="AU44" s="42">
        <f t="shared" si="66"/>
        <v>39976.419189533</v>
      </c>
      <c r="AV44" s="42">
        <f t="shared" si="66"/>
        <v>51355.981747573664</v>
      </c>
      <c r="AW44" s="42">
        <f t="shared" si="66"/>
        <v>67579.229362030121</v>
      </c>
      <c r="AX44" s="42">
        <f t="shared" si="66"/>
        <v>28614.579347438015</v>
      </c>
      <c r="AY44" s="42">
        <f t="shared" si="66"/>
        <v>10208.408088371461</v>
      </c>
      <c r="AZ44" s="42">
        <f t="shared" si="66"/>
        <v>9374.5716063642431</v>
      </c>
    </row>
    <row r="45" spans="1:52" x14ac:dyDescent="0.25">
      <c r="A45" s="64" t="s">
        <v>8</v>
      </c>
      <c r="B45" s="64" t="s">
        <v>1059</v>
      </c>
      <c r="C45" s="65">
        <f t="shared" ref="C45" si="67">IFERROR(1/SUM(1/D45,1/E45,1/F45,1/G45,1/H45,1/I45,1/J45,1/K45,1/L45,1/M45,1/N45,1/O45,1/P45,1/Q45,1/R45,1/S45,1/T45,1/U45,1/V45,1/W45,1/X45,1/Y45),".")</f>
        <v>9.698572686839313</v>
      </c>
      <c r="D45" s="40">
        <f t="shared" ref="D45:AA45" si="68">IFERROR(IF(AND(D46&lt;&gt;0,D47&lt;&gt;0),1/SUM(1/D46,1/D47),IF(AND(D46&lt;&gt;0,D47=0),1/(1/D46),IF(AND(D46=0,D47&lt;&gt;0),1/(1/D47),IF(AND(D46=0,D47=0),".")))),".")</f>
        <v>205.29182791788523</v>
      </c>
      <c r="E45" s="40">
        <f t="shared" si="68"/>
        <v>303.6740178204019</v>
      </c>
      <c r="F45" s="40">
        <f t="shared" si="68"/>
        <v>417.65436203138182</v>
      </c>
      <c r="G45" s="40">
        <f t="shared" si="68"/>
        <v>476.0567888556921</v>
      </c>
      <c r="H45" s="40">
        <f t="shared" si="68"/>
        <v>474.03582150580911</v>
      </c>
      <c r="I45" s="40">
        <f t="shared" si="68"/>
        <v>135.95327722774749</v>
      </c>
      <c r="J45" s="40">
        <f t="shared" si="68"/>
        <v>461.38247080797703</v>
      </c>
      <c r="K45" s="40">
        <f t="shared" si="68"/>
        <v>53.236523192550486</v>
      </c>
      <c r="L45" s="40">
        <f t="shared" si="68"/>
        <v>233.45559412920653</v>
      </c>
      <c r="M45" s="40">
        <f t="shared" si="68"/>
        <v>190.67603360836608</v>
      </c>
      <c r="N45" s="40">
        <f t="shared" si="68"/>
        <v>310.32217541329072</v>
      </c>
      <c r="O45" s="40">
        <f t="shared" si="68"/>
        <v>404.99023980340428</v>
      </c>
      <c r="P45" s="40">
        <f t="shared" si="68"/>
        <v>539.6823016197626</v>
      </c>
      <c r="Q45" s="40">
        <f t="shared" si="68"/>
        <v>728.79798115139988</v>
      </c>
      <c r="R45" s="40">
        <f t="shared" si="68"/>
        <v>131.29149249211014</v>
      </c>
      <c r="S45" s="40">
        <f t="shared" si="68"/>
        <v>272.70278620345033</v>
      </c>
      <c r="T45" s="40">
        <f t="shared" si="68"/>
        <v>330.02039087603907</v>
      </c>
      <c r="U45" s="40">
        <f t="shared" si="68"/>
        <v>93.139475171158679</v>
      </c>
      <c r="V45" s="40">
        <f t="shared" si="68"/>
        <v>219.10051403459423</v>
      </c>
      <c r="W45" s="40">
        <f t="shared" si="68"/>
        <v>231.40435078186613</v>
      </c>
      <c r="X45" s="40">
        <f t="shared" si="68"/>
        <v>418.52450631373887</v>
      </c>
      <c r="Y45" s="40">
        <f t="shared" si="68"/>
        <v>190.02414713287283</v>
      </c>
      <c r="Z45" s="40">
        <f t="shared" si="68"/>
        <v>73.126343805265478</v>
      </c>
      <c r="AA45" s="40">
        <f t="shared" si="68"/>
        <v>52.422704490911912</v>
      </c>
      <c r="AB45" s="65">
        <f t="shared" ref="AB45" si="69">IFERROR(1/SUM(1/AC45,1/AD45,1/AE45,1/AF45,1/AG45,1/AH45,1/AI45,1/AJ45,1/AK45,1/AL45,1/AM45,1/AN45,1/AO45,1/AP45,1/AQ45,1/AR45,1/AS45,1/AT45,1/AU45,1/AV45,1/AW45,1/AX45),".")</f>
        <v>9.1233539198793867</v>
      </c>
      <c r="AC45" s="40">
        <f t="shared" ref="AC45:AZ45" si="70">IFERROR(IF(AND(AC46&lt;&gt;0,AC47&lt;&gt;0),1/SUM(1/AC46,1/AC47),IF(AND(AC46&lt;&gt;0,AC47=0),1/(1/AC46),IF(AND(AC46=0,AC47&lt;&gt;0),1/(1/AC47),IF(AND(AC46=0,AC47=0),".")))),".")</f>
        <v>178.36292830648432</v>
      </c>
      <c r="AD45" s="40">
        <f t="shared" si="70"/>
        <v>284.83510133354616</v>
      </c>
      <c r="AE45" s="40">
        <f t="shared" si="70"/>
        <v>383.56012839616704</v>
      </c>
      <c r="AF45" s="40">
        <f t="shared" si="70"/>
        <v>463.05093152095623</v>
      </c>
      <c r="AG45" s="40">
        <f t="shared" si="70"/>
        <v>407.53964160112361</v>
      </c>
      <c r="AH45" s="40">
        <f t="shared" si="70"/>
        <v>134.45099077963613</v>
      </c>
      <c r="AI45" s="40">
        <f t="shared" si="70"/>
        <v>496.14597080771608</v>
      </c>
      <c r="AJ45" s="40">
        <f t="shared" si="70"/>
        <v>51.547495865931452</v>
      </c>
      <c r="AK45" s="40">
        <f t="shared" si="70"/>
        <v>161.21750833773498</v>
      </c>
      <c r="AL45" s="40">
        <f t="shared" si="70"/>
        <v>268.53541399844897</v>
      </c>
      <c r="AM45" s="40">
        <f t="shared" si="70"/>
        <v>284.88921816668233</v>
      </c>
      <c r="AN45" s="40">
        <f t="shared" si="70"/>
        <v>375.21415215046261</v>
      </c>
      <c r="AO45" s="40">
        <f t="shared" si="70"/>
        <v>499.06083383867167</v>
      </c>
      <c r="AP45" s="40">
        <f t="shared" si="70"/>
        <v>545.69501729187459</v>
      </c>
      <c r="AQ45" s="40">
        <f t="shared" si="70"/>
        <v>146.8894801059441</v>
      </c>
      <c r="AR45" s="40">
        <f t="shared" si="70"/>
        <v>241.49807667246785</v>
      </c>
      <c r="AS45" s="40">
        <f t="shared" si="70"/>
        <v>365.83156353077993</v>
      </c>
      <c r="AT45" s="40">
        <f t="shared" si="70"/>
        <v>79.558603624033196</v>
      </c>
      <c r="AU45" s="40">
        <f t="shared" si="70"/>
        <v>213.54685082725118</v>
      </c>
      <c r="AV45" s="40">
        <f t="shared" si="70"/>
        <v>220.2801611526871</v>
      </c>
      <c r="AW45" s="40">
        <f t="shared" si="70"/>
        <v>405.20881296791191</v>
      </c>
      <c r="AX45" s="40">
        <f t="shared" si="70"/>
        <v>152.95044827896743</v>
      </c>
      <c r="AY45" s="40">
        <f t="shared" si="70"/>
        <v>57.257531774579675</v>
      </c>
      <c r="AZ45" s="40">
        <f t="shared" si="70"/>
        <v>50.158443232420716</v>
      </c>
    </row>
    <row r="46" spans="1:52" x14ac:dyDescent="0.25">
      <c r="A46" s="66" t="s">
        <v>1086</v>
      </c>
      <c r="B46" s="49">
        <v>1</v>
      </c>
      <c r="C46" s="67">
        <f t="shared" ref="C46:AB46" si="71">IFERROR($B46/C10,0)</f>
        <v>0.1031079553960524</v>
      </c>
      <c r="D46" s="42">
        <f t="shared" ref="D46:AA46" si="72">IFERROR(D10/$B46,0)</f>
        <v>205.29182791788523</v>
      </c>
      <c r="E46" s="42">
        <f t="shared" si="72"/>
        <v>303.6740178204019</v>
      </c>
      <c r="F46" s="42">
        <f t="shared" si="72"/>
        <v>417.65436203138182</v>
      </c>
      <c r="G46" s="42">
        <f t="shared" si="72"/>
        <v>476.05678885569216</v>
      </c>
      <c r="H46" s="42">
        <f t="shared" si="72"/>
        <v>474.03582150580911</v>
      </c>
      <c r="I46" s="42">
        <f t="shared" si="72"/>
        <v>135.95327722774749</v>
      </c>
      <c r="J46" s="42">
        <f t="shared" si="72"/>
        <v>461.38247080797703</v>
      </c>
      <c r="K46" s="42">
        <f t="shared" si="72"/>
        <v>53.236523192550486</v>
      </c>
      <c r="L46" s="42">
        <f t="shared" si="72"/>
        <v>233.4555941292065</v>
      </c>
      <c r="M46" s="42">
        <f t="shared" si="72"/>
        <v>190.67603360836608</v>
      </c>
      <c r="N46" s="42">
        <f t="shared" si="72"/>
        <v>310.32217541329072</v>
      </c>
      <c r="O46" s="42">
        <f t="shared" si="72"/>
        <v>404.99023980340434</v>
      </c>
      <c r="P46" s="42">
        <f t="shared" si="72"/>
        <v>539.6823016197626</v>
      </c>
      <c r="Q46" s="42">
        <f t="shared" si="72"/>
        <v>728.79798115139988</v>
      </c>
      <c r="R46" s="42">
        <f t="shared" si="72"/>
        <v>131.29149249211014</v>
      </c>
      <c r="S46" s="42">
        <f t="shared" si="72"/>
        <v>272.70278620345033</v>
      </c>
      <c r="T46" s="42">
        <f t="shared" si="72"/>
        <v>330.02039087603907</v>
      </c>
      <c r="U46" s="42">
        <f t="shared" si="72"/>
        <v>93.139475171158679</v>
      </c>
      <c r="V46" s="42">
        <f t="shared" si="72"/>
        <v>219.10051403459423</v>
      </c>
      <c r="W46" s="42">
        <f t="shared" si="72"/>
        <v>231.40435078186616</v>
      </c>
      <c r="X46" s="42">
        <f t="shared" si="72"/>
        <v>418.52450631373893</v>
      </c>
      <c r="Y46" s="42">
        <f t="shared" si="72"/>
        <v>190.02414713287283</v>
      </c>
      <c r="Z46" s="42">
        <f t="shared" si="72"/>
        <v>73.126343805265478</v>
      </c>
      <c r="AA46" s="42">
        <f t="shared" si="72"/>
        <v>52.422704490911912</v>
      </c>
      <c r="AB46" s="67">
        <f t="shared" si="71"/>
        <v>0.10960881368649351</v>
      </c>
      <c r="AC46" s="42">
        <f t="shared" ref="AC46:AZ46" si="73">IFERROR(AC10/$B46,0)</f>
        <v>178.36292830648432</v>
      </c>
      <c r="AD46" s="42">
        <f t="shared" si="73"/>
        <v>284.83510133354616</v>
      </c>
      <c r="AE46" s="42">
        <f t="shared" si="73"/>
        <v>383.56012839616704</v>
      </c>
      <c r="AF46" s="42">
        <f t="shared" si="73"/>
        <v>463.05093152095623</v>
      </c>
      <c r="AG46" s="42">
        <f t="shared" si="73"/>
        <v>407.53964160112361</v>
      </c>
      <c r="AH46" s="42">
        <f t="shared" si="73"/>
        <v>134.45099077963613</v>
      </c>
      <c r="AI46" s="42">
        <f t="shared" si="73"/>
        <v>496.14597080771603</v>
      </c>
      <c r="AJ46" s="42">
        <f t="shared" si="73"/>
        <v>51.547495865931459</v>
      </c>
      <c r="AK46" s="42">
        <f t="shared" si="73"/>
        <v>161.21750833773498</v>
      </c>
      <c r="AL46" s="42">
        <f t="shared" si="73"/>
        <v>268.53541399844897</v>
      </c>
      <c r="AM46" s="42">
        <f t="shared" si="73"/>
        <v>284.88921816668233</v>
      </c>
      <c r="AN46" s="42">
        <f t="shared" si="73"/>
        <v>375.21415215046261</v>
      </c>
      <c r="AO46" s="42">
        <f t="shared" si="73"/>
        <v>499.06083383867173</v>
      </c>
      <c r="AP46" s="42">
        <f t="shared" si="73"/>
        <v>545.69501729187459</v>
      </c>
      <c r="AQ46" s="42">
        <f t="shared" si="73"/>
        <v>146.8894801059441</v>
      </c>
      <c r="AR46" s="42">
        <f t="shared" si="73"/>
        <v>241.49807667246785</v>
      </c>
      <c r="AS46" s="42">
        <f t="shared" si="73"/>
        <v>365.83156353077993</v>
      </c>
      <c r="AT46" s="42">
        <f t="shared" si="73"/>
        <v>79.558603624033196</v>
      </c>
      <c r="AU46" s="42">
        <f t="shared" si="73"/>
        <v>213.54685082725118</v>
      </c>
      <c r="AV46" s="42">
        <f t="shared" si="73"/>
        <v>220.2801611526871</v>
      </c>
      <c r="AW46" s="42">
        <f t="shared" si="73"/>
        <v>405.20881296791191</v>
      </c>
      <c r="AX46" s="42">
        <f t="shared" si="73"/>
        <v>152.95044827896743</v>
      </c>
      <c r="AY46" s="42">
        <f t="shared" si="73"/>
        <v>57.257531774579682</v>
      </c>
      <c r="AZ46" s="42">
        <f t="shared" si="73"/>
        <v>50.158443232420716</v>
      </c>
    </row>
    <row r="47" spans="1:52" x14ac:dyDescent="0.25">
      <c r="A47" s="66" t="s">
        <v>1060</v>
      </c>
      <c r="B47" s="49">
        <v>0.94399</v>
      </c>
      <c r="C47" s="67">
        <f t="shared" ref="C47:AB47" si="74">IFERROR($B47/C6,0)</f>
        <v>0</v>
      </c>
      <c r="D47" s="42">
        <f t="shared" ref="D47:AA47" si="75">IFERROR(D6/$B$47,0)</f>
        <v>0</v>
      </c>
      <c r="E47" s="42">
        <f t="shared" si="75"/>
        <v>0</v>
      </c>
      <c r="F47" s="42">
        <f t="shared" si="75"/>
        <v>0</v>
      </c>
      <c r="G47" s="42">
        <f t="shared" si="75"/>
        <v>0</v>
      </c>
      <c r="H47" s="42">
        <f t="shared" si="75"/>
        <v>0</v>
      </c>
      <c r="I47" s="42">
        <f t="shared" si="75"/>
        <v>0</v>
      </c>
      <c r="J47" s="42">
        <f t="shared" si="75"/>
        <v>0</v>
      </c>
      <c r="K47" s="42">
        <f t="shared" si="75"/>
        <v>0</v>
      </c>
      <c r="L47" s="42">
        <f t="shared" si="75"/>
        <v>0</v>
      </c>
      <c r="M47" s="42">
        <f t="shared" si="75"/>
        <v>0</v>
      </c>
      <c r="N47" s="42">
        <f t="shared" si="75"/>
        <v>0</v>
      </c>
      <c r="O47" s="42">
        <f t="shared" si="75"/>
        <v>0</v>
      </c>
      <c r="P47" s="42">
        <f t="shared" si="75"/>
        <v>0</v>
      </c>
      <c r="Q47" s="42">
        <f t="shared" si="75"/>
        <v>0</v>
      </c>
      <c r="R47" s="42">
        <f t="shared" si="75"/>
        <v>0</v>
      </c>
      <c r="S47" s="42">
        <f t="shared" si="75"/>
        <v>0</v>
      </c>
      <c r="T47" s="42">
        <f t="shared" si="75"/>
        <v>0</v>
      </c>
      <c r="U47" s="42">
        <f t="shared" si="75"/>
        <v>0</v>
      </c>
      <c r="V47" s="42">
        <f t="shared" si="75"/>
        <v>0</v>
      </c>
      <c r="W47" s="42">
        <f t="shared" si="75"/>
        <v>0</v>
      </c>
      <c r="X47" s="42">
        <f t="shared" si="75"/>
        <v>0</v>
      </c>
      <c r="Y47" s="42">
        <f t="shared" si="75"/>
        <v>0</v>
      </c>
      <c r="Z47" s="42">
        <f t="shared" si="75"/>
        <v>0</v>
      </c>
      <c r="AA47" s="42">
        <f t="shared" si="75"/>
        <v>0</v>
      </c>
      <c r="AB47" s="67">
        <f t="shared" si="74"/>
        <v>0</v>
      </c>
      <c r="AC47" s="42">
        <f t="shared" ref="AC47:AZ47" si="76">IFERROR(AC6/$B$47,0)</f>
        <v>0</v>
      </c>
      <c r="AD47" s="42">
        <f t="shared" si="76"/>
        <v>0</v>
      </c>
      <c r="AE47" s="42">
        <f t="shared" si="76"/>
        <v>0</v>
      </c>
      <c r="AF47" s="42">
        <f t="shared" si="76"/>
        <v>0</v>
      </c>
      <c r="AG47" s="42">
        <f t="shared" si="76"/>
        <v>0</v>
      </c>
      <c r="AH47" s="42">
        <f t="shared" si="76"/>
        <v>0</v>
      </c>
      <c r="AI47" s="42">
        <f t="shared" si="76"/>
        <v>0</v>
      </c>
      <c r="AJ47" s="42">
        <f t="shared" si="76"/>
        <v>0</v>
      </c>
      <c r="AK47" s="42">
        <f t="shared" si="76"/>
        <v>0</v>
      </c>
      <c r="AL47" s="42">
        <f t="shared" si="76"/>
        <v>0</v>
      </c>
      <c r="AM47" s="42">
        <f t="shared" si="76"/>
        <v>0</v>
      </c>
      <c r="AN47" s="42">
        <f t="shared" si="76"/>
        <v>0</v>
      </c>
      <c r="AO47" s="42">
        <f t="shared" si="76"/>
        <v>0</v>
      </c>
      <c r="AP47" s="42">
        <f t="shared" si="76"/>
        <v>0</v>
      </c>
      <c r="AQ47" s="42">
        <f t="shared" si="76"/>
        <v>0</v>
      </c>
      <c r="AR47" s="42">
        <f t="shared" si="76"/>
        <v>0</v>
      </c>
      <c r="AS47" s="42">
        <f t="shared" si="76"/>
        <v>0</v>
      </c>
      <c r="AT47" s="42">
        <f t="shared" si="76"/>
        <v>0</v>
      </c>
      <c r="AU47" s="42">
        <f t="shared" si="76"/>
        <v>0</v>
      </c>
      <c r="AV47" s="42">
        <f t="shared" si="76"/>
        <v>0</v>
      </c>
      <c r="AW47" s="42">
        <f t="shared" si="76"/>
        <v>0</v>
      </c>
      <c r="AX47" s="42">
        <f t="shared" si="76"/>
        <v>0</v>
      </c>
      <c r="AY47" s="42">
        <f t="shared" si="76"/>
        <v>0</v>
      </c>
      <c r="AZ47" s="42">
        <f t="shared" si="76"/>
        <v>0</v>
      </c>
    </row>
    <row r="48" spans="1:52" x14ac:dyDescent="0.25">
      <c r="A48" s="64" t="s">
        <v>21</v>
      </c>
      <c r="B48" s="64" t="s">
        <v>1059</v>
      </c>
      <c r="C48" s="65">
        <f t="shared" ref="C48" si="77">IFERROR(1/SUM(1/D48,1/E48,1/F48,1/G48,1/H48,1/I48,1/J48,1/K48,1/L48,1/M48,1/N48,1/O48,1/P48,1/Q48,1/R48,1/S48,1/T48,1/U48,1/V48,1/W48,1/X48,1/Y48),".")</f>
        <v>4.5167728332018917E-2</v>
      </c>
      <c r="D48" s="40">
        <f t="shared" ref="D48:AA48" si="78">1/SUM(1/D49,1/D52,1/D54,1/D58,1/D59,1/D61)</f>
        <v>0.85501942188238234</v>
      </c>
      <c r="E48" s="40">
        <f t="shared" si="78"/>
        <v>1.4072696259104289</v>
      </c>
      <c r="F48" s="40">
        <f t="shared" si="78"/>
        <v>2.070426525455821</v>
      </c>
      <c r="G48" s="40">
        <f t="shared" si="78"/>
        <v>1.914713053388446</v>
      </c>
      <c r="H48" s="40">
        <f t="shared" si="78"/>
        <v>2.1978281196174101</v>
      </c>
      <c r="I48" s="40">
        <f t="shared" si="78"/>
        <v>0.63001477484111268</v>
      </c>
      <c r="J48" s="40">
        <f t="shared" si="78"/>
        <v>2.2873303060281946</v>
      </c>
      <c r="K48" s="40">
        <f t="shared" si="78"/>
        <v>0.22172472401782192</v>
      </c>
      <c r="L48" s="40">
        <f t="shared" si="78"/>
        <v>1.262851902565197</v>
      </c>
      <c r="M48" s="40">
        <f t="shared" si="78"/>
        <v>0.88492162312953704</v>
      </c>
      <c r="N48" s="40">
        <f t="shared" si="78"/>
        <v>1.4245891065255645</v>
      </c>
      <c r="O48" s="40">
        <f t="shared" si="78"/>
        <v>2.2211019487035548</v>
      </c>
      <c r="P48" s="40">
        <f t="shared" si="78"/>
        <v>2.504546851422822</v>
      </c>
      <c r="Q48" s="40">
        <f t="shared" si="78"/>
        <v>3.3821325218862834</v>
      </c>
      <c r="R48" s="40">
        <f t="shared" si="78"/>
        <v>0.54681611428897781</v>
      </c>
      <c r="S48" s="40">
        <f t="shared" si="78"/>
        <v>1.1355566292821839</v>
      </c>
      <c r="T48" s="40">
        <f t="shared" si="78"/>
        <v>1.8254223055818986</v>
      </c>
      <c r="U48" s="40">
        <f t="shared" si="78"/>
        <v>0.57479145912037799</v>
      </c>
      <c r="V48" s="40">
        <f t="shared" si="78"/>
        <v>1.0168200981160276</v>
      </c>
      <c r="W48" s="40">
        <f t="shared" si="78"/>
        <v>1.2657728416462219</v>
      </c>
      <c r="X48" s="40">
        <f t="shared" si="78"/>
        <v>1.6962211995284973</v>
      </c>
      <c r="Y48" s="40">
        <f t="shared" si="78"/>
        <v>0.88052141633913172</v>
      </c>
      <c r="Z48" s="40">
        <f t="shared" si="78"/>
        <v>0.29602233335844486</v>
      </c>
      <c r="AA48" s="40">
        <f t="shared" si="78"/>
        <v>0.23003851223670174</v>
      </c>
      <c r="AB48" s="65">
        <f t="shared" ref="AB48" si="79">IFERROR(1/SUM(1/AC48,1/AD48,1/AE48,1/AF48,1/AG48,1/AH48,1/AI48,1/AJ48,1/AK48,1/AL48,1/AM48,1/AN48,1/AO48,1/AP48,1/AQ48,1/AR48,1/AS48,1/AT48,1/AU48,1/AV48,1/AW48,1/AX48),".")</f>
        <v>4.2716146366057521E-2</v>
      </c>
      <c r="AC48" s="40">
        <f t="shared" ref="AC48:AZ48" si="80">1/SUM(1/AC49,1/AC52,1/AC54,1/AC58,1/AC59,1/AC61)</f>
        <v>0.74286331507973669</v>
      </c>
      <c r="AD48" s="40">
        <f t="shared" si="80"/>
        <v>1.3199673431952352</v>
      </c>
      <c r="AE48" s="40">
        <f t="shared" si="80"/>
        <v>1.9014121152145296</v>
      </c>
      <c r="AF48" s="40">
        <f t="shared" si="80"/>
        <v>1.8624031496284652</v>
      </c>
      <c r="AG48" s="40">
        <f t="shared" si="80"/>
        <v>1.8895240476225792</v>
      </c>
      <c r="AH48" s="40">
        <f t="shared" si="80"/>
        <v>0.62305309890616456</v>
      </c>
      <c r="AI48" s="40">
        <f t="shared" si="80"/>
        <v>2.4596723695525542</v>
      </c>
      <c r="AJ48" s="40">
        <f t="shared" si="80"/>
        <v>0.21469009637133482</v>
      </c>
      <c r="AK48" s="40">
        <f t="shared" si="80"/>
        <v>0.87208806407290307</v>
      </c>
      <c r="AL48" s="40">
        <f t="shared" si="80"/>
        <v>1.2462646192407649</v>
      </c>
      <c r="AM48" s="40">
        <f t="shared" si="80"/>
        <v>1.3078345955338986</v>
      </c>
      <c r="AN48" s="40">
        <f t="shared" si="80"/>
        <v>2.0577999235909958</v>
      </c>
      <c r="AO48" s="40">
        <f t="shared" si="80"/>
        <v>2.316031554689995</v>
      </c>
      <c r="AP48" s="40">
        <f t="shared" si="80"/>
        <v>2.5324066651479118</v>
      </c>
      <c r="AQ48" s="40">
        <f t="shared" si="80"/>
        <v>0.61178019395496874</v>
      </c>
      <c r="AR48" s="40">
        <f t="shared" si="80"/>
        <v>1.0056176753534332</v>
      </c>
      <c r="AS48" s="40">
        <f t="shared" si="80"/>
        <v>2.0235025308052021</v>
      </c>
      <c r="AT48" s="40">
        <f t="shared" si="80"/>
        <v>0.49097985337154171</v>
      </c>
      <c r="AU48" s="40">
        <f t="shared" si="80"/>
        <v>0.99104619068237221</v>
      </c>
      <c r="AV48" s="40">
        <f t="shared" si="80"/>
        <v>1.2049239549664268</v>
      </c>
      <c r="AW48" s="40">
        <f t="shared" si="80"/>
        <v>1.6422545595853617</v>
      </c>
      <c r="AX48" s="40">
        <f t="shared" si="80"/>
        <v>0.70873174478257372</v>
      </c>
      <c r="AY48" s="40">
        <f t="shared" si="80"/>
        <v>0.2317838863022155</v>
      </c>
      <c r="AZ48" s="40">
        <f t="shared" si="80"/>
        <v>0.22010260190401723</v>
      </c>
    </row>
    <row r="49" spans="1:52" x14ac:dyDescent="0.25">
      <c r="A49" s="66" t="s">
        <v>1088</v>
      </c>
      <c r="B49" s="49">
        <v>1</v>
      </c>
      <c r="C49" s="67">
        <f t="shared" ref="C49:AB49" si="81">IFERROR($B49/C23,0)</f>
        <v>3.4687497023323304</v>
      </c>
      <c r="D49" s="42">
        <f t="shared" ref="D49:AA49" si="82">IFERROR(D23/$B49,0)</f>
        <v>5.8014200544390953</v>
      </c>
      <c r="E49" s="42">
        <f t="shared" si="82"/>
        <v>7.4835568514815867</v>
      </c>
      <c r="F49" s="42">
        <f t="shared" si="82"/>
        <v>10.266472556037495</v>
      </c>
      <c r="G49" s="42">
        <f t="shared" si="82"/>
        <v>12.991616019017128</v>
      </c>
      <c r="H49" s="42">
        <f t="shared" si="82"/>
        <v>14.381891521736513</v>
      </c>
      <c r="I49" s="42">
        <f t="shared" si="82"/>
        <v>3.3504358330537576</v>
      </c>
      <c r="J49" s="42">
        <f t="shared" si="82"/>
        <v>11.340839216033954</v>
      </c>
      <c r="K49" s="42">
        <f t="shared" si="82"/>
        <v>1.5044296425128143</v>
      </c>
      <c r="L49" s="42">
        <f t="shared" si="82"/>
        <v>8.8624182301455097</v>
      </c>
      <c r="M49" s="42">
        <f t="shared" si="82"/>
        <v>5.7864910350431762</v>
      </c>
      <c r="N49" s="42">
        <f t="shared" si="82"/>
        <v>7.7425621594352227</v>
      </c>
      <c r="O49" s="42">
        <f t="shared" si="82"/>
        <v>14.472597819933526</v>
      </c>
      <c r="P49" s="42">
        <f t="shared" si="82"/>
        <v>16.377688269015248</v>
      </c>
      <c r="Q49" s="42">
        <f t="shared" si="82"/>
        <v>22.116661311032495</v>
      </c>
      <c r="R49" s="42">
        <f t="shared" si="82"/>
        <v>3.7102034605838137</v>
      </c>
      <c r="S49" s="42">
        <f t="shared" si="82"/>
        <v>7.6949798946437848</v>
      </c>
      <c r="T49" s="42">
        <f t="shared" si="82"/>
        <v>11.859702442554118</v>
      </c>
      <c r="U49" s="42">
        <f t="shared" si="82"/>
        <v>3.822520376259483</v>
      </c>
      <c r="V49" s="42">
        <f t="shared" si="82"/>
        <v>6.6490627800491229</v>
      </c>
      <c r="W49" s="42">
        <f t="shared" si="82"/>
        <v>8.2551111511704516</v>
      </c>
      <c r="X49" s="42">
        <f t="shared" si="82"/>
        <v>11.508680321815433</v>
      </c>
      <c r="Y49" s="42">
        <f t="shared" si="82"/>
        <v>5.7642942702464204</v>
      </c>
      <c r="Z49" s="42">
        <f t="shared" si="82"/>
        <v>2.1461244833198396</v>
      </c>
      <c r="AA49" s="42">
        <f t="shared" si="82"/>
        <v>1.5891881682822515</v>
      </c>
      <c r="AB49" s="67">
        <f t="shared" si="81"/>
        <v>3.6618303757234485</v>
      </c>
      <c r="AC49" s="42">
        <f t="shared" ref="AC49:AZ49" si="83">IFERROR(AC23/$B49,0)</f>
        <v>5.0404260108181909</v>
      </c>
      <c r="AD49" s="42">
        <f t="shared" si="83"/>
        <v>7.0193021102903979</v>
      </c>
      <c r="AE49" s="42">
        <f t="shared" si="83"/>
        <v>9.4283931637079057</v>
      </c>
      <c r="AF49" s="42">
        <f t="shared" si="83"/>
        <v>12.636685455171675</v>
      </c>
      <c r="AG49" s="42">
        <f t="shared" si="83"/>
        <v>12.364447264124976</v>
      </c>
      <c r="AH49" s="42">
        <f t="shared" si="83"/>
        <v>3.3134134497033982</v>
      </c>
      <c r="AI49" s="42">
        <f t="shared" si="83"/>
        <v>12.195330422414697</v>
      </c>
      <c r="AJ49" s="42">
        <f t="shared" si="83"/>
        <v>1.4566988249312594</v>
      </c>
      <c r="AK49" s="42">
        <f t="shared" si="83"/>
        <v>6.1201231447905187</v>
      </c>
      <c r="AL49" s="42">
        <f t="shared" si="83"/>
        <v>8.1493082076858077</v>
      </c>
      <c r="AM49" s="42">
        <f t="shared" si="83"/>
        <v>7.108007918772695</v>
      </c>
      <c r="AN49" s="42">
        <f t="shared" si="83"/>
        <v>13.408529358774299</v>
      </c>
      <c r="AO49" s="42">
        <f t="shared" si="83"/>
        <v>15.144952390236545</v>
      </c>
      <c r="AP49" s="42">
        <f t="shared" si="83"/>
        <v>16.560078634541686</v>
      </c>
      <c r="AQ49" s="42">
        <f t="shared" si="83"/>
        <v>4.1509914090220414</v>
      </c>
      <c r="AR49" s="42">
        <f t="shared" si="83"/>
        <v>6.8144622593015196</v>
      </c>
      <c r="AS49" s="42">
        <f t="shared" si="83"/>
        <v>13.146622474000553</v>
      </c>
      <c r="AT49" s="42">
        <f t="shared" si="83"/>
        <v>3.2651502802733168</v>
      </c>
      <c r="AU49" s="42">
        <f t="shared" si="83"/>
        <v>6.4805252689091786</v>
      </c>
      <c r="AV49" s="42">
        <f t="shared" si="83"/>
        <v>7.8582671785083473</v>
      </c>
      <c r="AW49" s="42">
        <f t="shared" si="83"/>
        <v>11.142522413094147</v>
      </c>
      <c r="AX49" s="42">
        <f t="shared" si="83"/>
        <v>4.6396808297715229</v>
      </c>
      <c r="AY49" s="42">
        <f t="shared" si="83"/>
        <v>1.6804038654403641</v>
      </c>
      <c r="AZ49" s="42">
        <f t="shared" si="83"/>
        <v>1.520547352497597</v>
      </c>
    </row>
    <row r="50" spans="1:52" x14ac:dyDescent="0.25">
      <c r="A50" s="66" t="s">
        <v>1075</v>
      </c>
      <c r="B50" s="49">
        <v>1</v>
      </c>
      <c r="C50" s="67">
        <f t="shared" ref="C50:AB50" si="84">IFERROR($B50/C25,0)</f>
        <v>0</v>
      </c>
      <c r="D50" s="42">
        <f t="shared" ref="D50:AA50" si="85">IFERROR(D25/$B50,0)</f>
        <v>0</v>
      </c>
      <c r="E50" s="42">
        <f t="shared" si="85"/>
        <v>0</v>
      </c>
      <c r="F50" s="42">
        <f t="shared" si="85"/>
        <v>0</v>
      </c>
      <c r="G50" s="42">
        <f t="shared" si="85"/>
        <v>0</v>
      </c>
      <c r="H50" s="42">
        <f t="shared" si="85"/>
        <v>0</v>
      </c>
      <c r="I50" s="42">
        <f t="shared" si="85"/>
        <v>0</v>
      </c>
      <c r="J50" s="42">
        <f t="shared" si="85"/>
        <v>0</v>
      </c>
      <c r="K50" s="42">
        <f t="shared" si="85"/>
        <v>0</v>
      </c>
      <c r="L50" s="42">
        <f t="shared" si="85"/>
        <v>0</v>
      </c>
      <c r="M50" s="42">
        <f t="shared" si="85"/>
        <v>0</v>
      </c>
      <c r="N50" s="42">
        <f t="shared" si="85"/>
        <v>0</v>
      </c>
      <c r="O50" s="42">
        <f t="shared" si="85"/>
        <v>0</v>
      </c>
      <c r="P50" s="42">
        <f t="shared" si="85"/>
        <v>0</v>
      </c>
      <c r="Q50" s="42">
        <f t="shared" si="85"/>
        <v>0</v>
      </c>
      <c r="R50" s="42">
        <f t="shared" si="85"/>
        <v>0</v>
      </c>
      <c r="S50" s="42">
        <f t="shared" si="85"/>
        <v>0</v>
      </c>
      <c r="T50" s="42">
        <f t="shared" si="85"/>
        <v>0</v>
      </c>
      <c r="U50" s="42">
        <f t="shared" si="85"/>
        <v>0</v>
      </c>
      <c r="V50" s="42">
        <f t="shared" si="85"/>
        <v>0</v>
      </c>
      <c r="W50" s="42">
        <f t="shared" si="85"/>
        <v>0</v>
      </c>
      <c r="X50" s="42">
        <f t="shared" si="85"/>
        <v>0</v>
      </c>
      <c r="Y50" s="42">
        <f t="shared" si="85"/>
        <v>0</v>
      </c>
      <c r="Z50" s="42">
        <f t="shared" si="85"/>
        <v>0</v>
      </c>
      <c r="AA50" s="42">
        <f t="shared" si="85"/>
        <v>0</v>
      </c>
      <c r="AB50" s="67">
        <f t="shared" si="84"/>
        <v>0</v>
      </c>
      <c r="AC50" s="42">
        <f t="shared" ref="AC50:AZ50" si="86">IFERROR(AC25/$B50,0)</f>
        <v>0</v>
      </c>
      <c r="AD50" s="42">
        <f t="shared" si="86"/>
        <v>0</v>
      </c>
      <c r="AE50" s="42">
        <f t="shared" si="86"/>
        <v>0</v>
      </c>
      <c r="AF50" s="42">
        <f t="shared" si="86"/>
        <v>0</v>
      </c>
      <c r="AG50" s="42">
        <f t="shared" si="86"/>
        <v>0</v>
      </c>
      <c r="AH50" s="42">
        <f t="shared" si="86"/>
        <v>0</v>
      </c>
      <c r="AI50" s="42">
        <f t="shared" si="86"/>
        <v>0</v>
      </c>
      <c r="AJ50" s="42">
        <f t="shared" si="86"/>
        <v>0</v>
      </c>
      <c r="AK50" s="42">
        <f t="shared" si="86"/>
        <v>0</v>
      </c>
      <c r="AL50" s="42">
        <f t="shared" si="86"/>
        <v>0</v>
      </c>
      <c r="AM50" s="42">
        <f t="shared" si="86"/>
        <v>0</v>
      </c>
      <c r="AN50" s="42">
        <f t="shared" si="86"/>
        <v>0</v>
      </c>
      <c r="AO50" s="42">
        <f t="shared" si="86"/>
        <v>0</v>
      </c>
      <c r="AP50" s="42">
        <f t="shared" si="86"/>
        <v>0</v>
      </c>
      <c r="AQ50" s="42">
        <f t="shared" si="86"/>
        <v>0</v>
      </c>
      <c r="AR50" s="42">
        <f t="shared" si="86"/>
        <v>0</v>
      </c>
      <c r="AS50" s="42">
        <f t="shared" si="86"/>
        <v>0</v>
      </c>
      <c r="AT50" s="42">
        <f t="shared" si="86"/>
        <v>0</v>
      </c>
      <c r="AU50" s="42">
        <f t="shared" si="86"/>
        <v>0</v>
      </c>
      <c r="AV50" s="42">
        <f t="shared" si="86"/>
        <v>0</v>
      </c>
      <c r="AW50" s="42">
        <f t="shared" si="86"/>
        <v>0</v>
      </c>
      <c r="AX50" s="42">
        <f t="shared" si="86"/>
        <v>0</v>
      </c>
      <c r="AY50" s="42">
        <f t="shared" si="86"/>
        <v>0</v>
      </c>
      <c r="AZ50" s="42">
        <f t="shared" si="86"/>
        <v>0</v>
      </c>
    </row>
    <row r="51" spans="1:52" x14ac:dyDescent="0.25">
      <c r="A51" s="66" t="s">
        <v>1061</v>
      </c>
      <c r="B51" s="49">
        <v>1</v>
      </c>
      <c r="C51" s="67">
        <f t="shared" ref="C51:AB51" si="87">IFERROR($B51/C21,0)</f>
        <v>0</v>
      </c>
      <c r="D51" s="42">
        <f t="shared" ref="D51:AA51" si="88">IFERROR(D21/$B51,0)</f>
        <v>0</v>
      </c>
      <c r="E51" s="42">
        <f t="shared" si="88"/>
        <v>0</v>
      </c>
      <c r="F51" s="42">
        <f t="shared" si="88"/>
        <v>0</v>
      </c>
      <c r="G51" s="42">
        <f t="shared" si="88"/>
        <v>0</v>
      </c>
      <c r="H51" s="42">
        <f t="shared" si="88"/>
        <v>0</v>
      </c>
      <c r="I51" s="42">
        <f t="shared" si="88"/>
        <v>0</v>
      </c>
      <c r="J51" s="42">
        <f t="shared" si="88"/>
        <v>0</v>
      </c>
      <c r="K51" s="42">
        <f t="shared" si="88"/>
        <v>0</v>
      </c>
      <c r="L51" s="42">
        <f t="shared" si="88"/>
        <v>0</v>
      </c>
      <c r="M51" s="42">
        <f t="shared" si="88"/>
        <v>0</v>
      </c>
      <c r="N51" s="42">
        <f t="shared" si="88"/>
        <v>0</v>
      </c>
      <c r="O51" s="42">
        <f t="shared" si="88"/>
        <v>0</v>
      </c>
      <c r="P51" s="42">
        <f t="shared" si="88"/>
        <v>0</v>
      </c>
      <c r="Q51" s="42">
        <f t="shared" si="88"/>
        <v>0</v>
      </c>
      <c r="R51" s="42">
        <f t="shared" si="88"/>
        <v>0</v>
      </c>
      <c r="S51" s="42">
        <f t="shared" si="88"/>
        <v>0</v>
      </c>
      <c r="T51" s="42">
        <f t="shared" si="88"/>
        <v>0</v>
      </c>
      <c r="U51" s="42">
        <f t="shared" si="88"/>
        <v>0</v>
      </c>
      <c r="V51" s="42">
        <f t="shared" si="88"/>
        <v>0</v>
      </c>
      <c r="W51" s="42">
        <f t="shared" si="88"/>
        <v>0</v>
      </c>
      <c r="X51" s="42">
        <f t="shared" si="88"/>
        <v>0</v>
      </c>
      <c r="Y51" s="42">
        <f t="shared" si="88"/>
        <v>0</v>
      </c>
      <c r="Z51" s="42">
        <f t="shared" si="88"/>
        <v>0</v>
      </c>
      <c r="AA51" s="42">
        <f t="shared" si="88"/>
        <v>0</v>
      </c>
      <c r="AB51" s="67">
        <f t="shared" si="87"/>
        <v>0</v>
      </c>
      <c r="AC51" s="42">
        <f t="shared" ref="AC51:AZ51" si="89">IFERROR(AC21/$B51,0)</f>
        <v>0</v>
      </c>
      <c r="AD51" s="42">
        <f t="shared" si="89"/>
        <v>0</v>
      </c>
      <c r="AE51" s="42">
        <f t="shared" si="89"/>
        <v>0</v>
      </c>
      <c r="AF51" s="42">
        <f t="shared" si="89"/>
        <v>0</v>
      </c>
      <c r="AG51" s="42">
        <f t="shared" si="89"/>
        <v>0</v>
      </c>
      <c r="AH51" s="42">
        <f t="shared" si="89"/>
        <v>0</v>
      </c>
      <c r="AI51" s="42">
        <f t="shared" si="89"/>
        <v>0</v>
      </c>
      <c r="AJ51" s="42">
        <f t="shared" si="89"/>
        <v>0</v>
      </c>
      <c r="AK51" s="42">
        <f t="shared" si="89"/>
        <v>0</v>
      </c>
      <c r="AL51" s="42">
        <f t="shared" si="89"/>
        <v>0</v>
      </c>
      <c r="AM51" s="42">
        <f t="shared" si="89"/>
        <v>0</v>
      </c>
      <c r="AN51" s="42">
        <f t="shared" si="89"/>
        <v>0</v>
      </c>
      <c r="AO51" s="42">
        <f t="shared" si="89"/>
        <v>0</v>
      </c>
      <c r="AP51" s="42">
        <f t="shared" si="89"/>
        <v>0</v>
      </c>
      <c r="AQ51" s="42">
        <f t="shared" si="89"/>
        <v>0</v>
      </c>
      <c r="AR51" s="42">
        <f t="shared" si="89"/>
        <v>0</v>
      </c>
      <c r="AS51" s="42">
        <f t="shared" si="89"/>
        <v>0</v>
      </c>
      <c r="AT51" s="42">
        <f t="shared" si="89"/>
        <v>0</v>
      </c>
      <c r="AU51" s="42">
        <f t="shared" si="89"/>
        <v>0</v>
      </c>
      <c r="AV51" s="42">
        <f t="shared" si="89"/>
        <v>0</v>
      </c>
      <c r="AW51" s="42">
        <f t="shared" si="89"/>
        <v>0</v>
      </c>
      <c r="AX51" s="42">
        <f t="shared" si="89"/>
        <v>0</v>
      </c>
      <c r="AY51" s="42">
        <f t="shared" si="89"/>
        <v>0</v>
      </c>
      <c r="AZ51" s="42">
        <f t="shared" si="89"/>
        <v>0</v>
      </c>
    </row>
    <row r="52" spans="1:52" x14ac:dyDescent="0.25">
      <c r="A52" s="66" t="s">
        <v>1062</v>
      </c>
      <c r="B52" s="49">
        <v>0.99980000000000002</v>
      </c>
      <c r="C52" s="67">
        <f t="shared" ref="C52:AB52" si="90">IFERROR($B52/C17,0)</f>
        <v>1.4595363433259343E-3</v>
      </c>
      <c r="D52" s="42">
        <f t="shared" ref="D52:AA52" si="91">IFERROR(D17/$B52,0)</f>
        <v>13208.889439500515</v>
      </c>
      <c r="E52" s="42">
        <f t="shared" si="91"/>
        <v>18068.802113839345</v>
      </c>
      <c r="F52" s="42">
        <f t="shared" si="91"/>
        <v>34360.173492841612</v>
      </c>
      <c r="G52" s="42">
        <f t="shared" si="91"/>
        <v>29579.795640609322</v>
      </c>
      <c r="H52" s="42">
        <f t="shared" si="91"/>
        <v>33300.672513895013</v>
      </c>
      <c r="I52" s="42">
        <f t="shared" si="91"/>
        <v>8089.4513522141324</v>
      </c>
      <c r="J52" s="42">
        <f t="shared" si="91"/>
        <v>37960.152304750853</v>
      </c>
      <c r="K52" s="42">
        <f t="shared" si="91"/>
        <v>3425.3414907016818</v>
      </c>
      <c r="L52" s="42">
        <f t="shared" si="91"/>
        <v>20412.821966079526</v>
      </c>
      <c r="M52" s="42">
        <f t="shared" si="91"/>
        <v>13400.233473636294</v>
      </c>
      <c r="N52" s="42">
        <f t="shared" si="91"/>
        <v>18620.969460487835</v>
      </c>
      <c r="O52" s="42">
        <f t="shared" si="91"/>
        <v>35533.847506931314</v>
      </c>
      <c r="P52" s="42">
        <f t="shared" si="91"/>
        <v>37926.885789455169</v>
      </c>
      <c r="Q52" s="42">
        <f t="shared" si="91"/>
        <v>51216.876575416623</v>
      </c>
      <c r="R52" s="42">
        <f t="shared" si="91"/>
        <v>8447.5295443232735</v>
      </c>
      <c r="S52" s="42">
        <f t="shared" si="91"/>
        <v>17545.269188784976</v>
      </c>
      <c r="T52" s="42">
        <f t="shared" si="91"/>
        <v>29190.502438745305</v>
      </c>
      <c r="U52" s="42">
        <f t="shared" si="91"/>
        <v>9501.2883694245556</v>
      </c>
      <c r="V52" s="42">
        <f t="shared" si="91"/>
        <v>15397.719015025119</v>
      </c>
      <c r="W52" s="42">
        <f t="shared" si="91"/>
        <v>20253.00383614438</v>
      </c>
      <c r="X52" s="42">
        <f t="shared" si="91"/>
        <v>26203.392365821866</v>
      </c>
      <c r="Y52" s="42">
        <f t="shared" si="91"/>
        <v>13345.894217972698</v>
      </c>
      <c r="Z52" s="42">
        <f t="shared" si="91"/>
        <v>4894.4233852992893</v>
      </c>
      <c r="AA52" s="42">
        <f t="shared" si="91"/>
        <v>3678.1469721871058</v>
      </c>
      <c r="AB52" s="67">
        <f t="shared" si="90"/>
        <v>1.5412089488809279E-3</v>
      </c>
      <c r="AC52" s="42">
        <f t="shared" ref="AC52:AZ52" si="92">IFERROR(AC17/$B52,0)</f>
        <v>11476.229833407086</v>
      </c>
      <c r="AD52" s="42">
        <f t="shared" si="92"/>
        <v>16947.874296295671</v>
      </c>
      <c r="AE52" s="42">
        <f t="shared" si="92"/>
        <v>31555.261370977001</v>
      </c>
      <c r="AF52" s="42">
        <f t="shared" si="92"/>
        <v>28771.676502098249</v>
      </c>
      <c r="AG52" s="42">
        <f t="shared" si="92"/>
        <v>28629.364123324689</v>
      </c>
      <c r="AH52" s="42">
        <f t="shared" si="92"/>
        <v>8000.0627520501994</v>
      </c>
      <c r="AI52" s="42">
        <f t="shared" si="92"/>
        <v>40820.312449815217</v>
      </c>
      <c r="AJ52" s="42">
        <f t="shared" si="92"/>
        <v>3316.6661859701612</v>
      </c>
      <c r="AK52" s="42">
        <f t="shared" si="92"/>
        <v>14096.489346456903</v>
      </c>
      <c r="AL52" s="42">
        <f t="shared" si="92"/>
        <v>18871.995475371117</v>
      </c>
      <c r="AM52" s="42">
        <f t="shared" si="92"/>
        <v>17094.857704058373</v>
      </c>
      <c r="AN52" s="42">
        <f t="shared" si="92"/>
        <v>32921.293291979695</v>
      </c>
      <c r="AO52" s="42">
        <f t="shared" si="92"/>
        <v>35072.158546205799</v>
      </c>
      <c r="AP52" s="42">
        <f t="shared" si="92"/>
        <v>38349.165435807809</v>
      </c>
      <c r="AQ52" s="42">
        <f t="shared" si="92"/>
        <v>9451.1319765811695</v>
      </c>
      <c r="AR52" s="42">
        <f t="shared" si="92"/>
        <v>15537.60716119399</v>
      </c>
      <c r="AS52" s="42">
        <f t="shared" si="92"/>
        <v>32358.022239378442</v>
      </c>
      <c r="AT52" s="42">
        <f t="shared" si="92"/>
        <v>8115.8846333585288</v>
      </c>
      <c r="AU52" s="42">
        <f t="shared" si="92"/>
        <v>15007.424423761635</v>
      </c>
      <c r="AV52" s="42">
        <f t="shared" si="92"/>
        <v>19279.390961224239</v>
      </c>
      <c r="AW52" s="42">
        <f t="shared" si="92"/>
        <v>25369.71038997572</v>
      </c>
      <c r="AX52" s="42">
        <f t="shared" si="92"/>
        <v>10742.111116516515</v>
      </c>
      <c r="AY52" s="42">
        <f t="shared" si="92"/>
        <v>3832.3070444804735</v>
      </c>
      <c r="AZ52" s="42">
        <f t="shared" si="92"/>
        <v>3519.2790585028029</v>
      </c>
    </row>
    <row r="53" spans="1:52" x14ac:dyDescent="0.25">
      <c r="A53" s="66" t="s">
        <v>1076</v>
      </c>
      <c r="B53" s="49">
        <v>2.0000000000000001E-4</v>
      </c>
      <c r="C53" s="67">
        <f t="shared" ref="C53:AB53" si="93">IFERROR($B53/C5,0)</f>
        <v>0</v>
      </c>
      <c r="D53" s="42">
        <f t="shared" ref="D53:AA53" si="94">IFERROR(D5/$B53,0)</f>
        <v>0</v>
      </c>
      <c r="E53" s="42">
        <f t="shared" si="94"/>
        <v>0</v>
      </c>
      <c r="F53" s="42">
        <f t="shared" si="94"/>
        <v>0</v>
      </c>
      <c r="G53" s="42">
        <f t="shared" si="94"/>
        <v>0</v>
      </c>
      <c r="H53" s="42">
        <f t="shared" si="94"/>
        <v>0</v>
      </c>
      <c r="I53" s="42">
        <f t="shared" si="94"/>
        <v>0</v>
      </c>
      <c r="J53" s="42">
        <f t="shared" si="94"/>
        <v>0</v>
      </c>
      <c r="K53" s="42">
        <f t="shared" si="94"/>
        <v>0</v>
      </c>
      <c r="L53" s="42">
        <f t="shared" si="94"/>
        <v>0</v>
      </c>
      <c r="M53" s="42">
        <f t="shared" si="94"/>
        <v>0</v>
      </c>
      <c r="N53" s="42">
        <f t="shared" si="94"/>
        <v>0</v>
      </c>
      <c r="O53" s="42">
        <f t="shared" si="94"/>
        <v>0</v>
      </c>
      <c r="P53" s="42">
        <f t="shared" si="94"/>
        <v>0</v>
      </c>
      <c r="Q53" s="42">
        <f t="shared" si="94"/>
        <v>0</v>
      </c>
      <c r="R53" s="42">
        <f t="shared" si="94"/>
        <v>0</v>
      </c>
      <c r="S53" s="42">
        <f t="shared" si="94"/>
        <v>0</v>
      </c>
      <c r="T53" s="42">
        <f t="shared" si="94"/>
        <v>0</v>
      </c>
      <c r="U53" s="42">
        <f t="shared" si="94"/>
        <v>0</v>
      </c>
      <c r="V53" s="42">
        <f t="shared" si="94"/>
        <v>0</v>
      </c>
      <c r="W53" s="42">
        <f t="shared" si="94"/>
        <v>0</v>
      </c>
      <c r="X53" s="42">
        <f t="shared" si="94"/>
        <v>0</v>
      </c>
      <c r="Y53" s="42">
        <f t="shared" si="94"/>
        <v>0</v>
      </c>
      <c r="Z53" s="42">
        <f t="shared" si="94"/>
        <v>0</v>
      </c>
      <c r="AA53" s="42">
        <f t="shared" si="94"/>
        <v>0</v>
      </c>
      <c r="AB53" s="67">
        <f t="shared" si="93"/>
        <v>0</v>
      </c>
      <c r="AC53" s="42">
        <f t="shared" ref="AC53:AZ53" si="95">IFERROR(AC5/$B53,0)</f>
        <v>0</v>
      </c>
      <c r="AD53" s="42">
        <f t="shared" si="95"/>
        <v>0</v>
      </c>
      <c r="AE53" s="42">
        <f t="shared" si="95"/>
        <v>0</v>
      </c>
      <c r="AF53" s="42">
        <f t="shared" si="95"/>
        <v>0</v>
      </c>
      <c r="AG53" s="42">
        <f t="shared" si="95"/>
        <v>0</v>
      </c>
      <c r="AH53" s="42">
        <f t="shared" si="95"/>
        <v>0</v>
      </c>
      <c r="AI53" s="42">
        <f t="shared" si="95"/>
        <v>0</v>
      </c>
      <c r="AJ53" s="42">
        <f t="shared" si="95"/>
        <v>0</v>
      </c>
      <c r="AK53" s="42">
        <f t="shared" si="95"/>
        <v>0</v>
      </c>
      <c r="AL53" s="42">
        <f t="shared" si="95"/>
        <v>0</v>
      </c>
      <c r="AM53" s="42">
        <f t="shared" si="95"/>
        <v>0</v>
      </c>
      <c r="AN53" s="42">
        <f t="shared" si="95"/>
        <v>0</v>
      </c>
      <c r="AO53" s="42">
        <f t="shared" si="95"/>
        <v>0</v>
      </c>
      <c r="AP53" s="42">
        <f t="shared" si="95"/>
        <v>0</v>
      </c>
      <c r="AQ53" s="42">
        <f t="shared" si="95"/>
        <v>0</v>
      </c>
      <c r="AR53" s="42">
        <f t="shared" si="95"/>
        <v>0</v>
      </c>
      <c r="AS53" s="42">
        <f t="shared" si="95"/>
        <v>0</v>
      </c>
      <c r="AT53" s="42">
        <f t="shared" si="95"/>
        <v>0</v>
      </c>
      <c r="AU53" s="42">
        <f t="shared" si="95"/>
        <v>0</v>
      </c>
      <c r="AV53" s="42">
        <f t="shared" si="95"/>
        <v>0</v>
      </c>
      <c r="AW53" s="42">
        <f t="shared" si="95"/>
        <v>0</v>
      </c>
      <c r="AX53" s="42">
        <f t="shared" si="95"/>
        <v>0</v>
      </c>
      <c r="AY53" s="42">
        <f t="shared" si="95"/>
        <v>0</v>
      </c>
      <c r="AZ53" s="42">
        <f t="shared" si="95"/>
        <v>0</v>
      </c>
    </row>
    <row r="54" spans="1:52" x14ac:dyDescent="0.25">
      <c r="A54" s="66" t="s">
        <v>1077</v>
      </c>
      <c r="B54" s="49">
        <v>0.99999979999999999</v>
      </c>
      <c r="C54" s="67">
        <f t="shared" ref="C54:AB54" si="96">IFERROR($B54/C9,0)</f>
        <v>1.8513004600375694E-3</v>
      </c>
      <c r="D54" s="42">
        <f t="shared" ref="D54:AA54" si="97">IFERROR(D9/$B54,0)</f>
        <v>9781.5998453808097</v>
      </c>
      <c r="E54" s="42">
        <f t="shared" si="97"/>
        <v>21738.197336172714</v>
      </c>
      <c r="F54" s="42">
        <f t="shared" si="97"/>
        <v>26578.051489393423</v>
      </c>
      <c r="G54" s="42">
        <f t="shared" si="97"/>
        <v>21905.295388770781</v>
      </c>
      <c r="H54" s="42">
        <f t="shared" si="97"/>
        <v>25838.912003338966</v>
      </c>
      <c r="I54" s="42">
        <f t="shared" si="97"/>
        <v>9732.3871458519588</v>
      </c>
      <c r="J54" s="42">
        <f t="shared" si="97"/>
        <v>29358.354391550598</v>
      </c>
      <c r="K54" s="42">
        <f t="shared" si="97"/>
        <v>2536.5433176204442</v>
      </c>
      <c r="L54" s="42">
        <f t="shared" si="97"/>
        <v>13928.232292140732</v>
      </c>
      <c r="M54" s="42">
        <f t="shared" si="97"/>
        <v>10361.605520515957</v>
      </c>
      <c r="N54" s="42">
        <f t="shared" si="97"/>
        <v>22555.911057996062</v>
      </c>
      <c r="O54" s="42">
        <f t="shared" si="97"/>
        <v>25606.957281855503</v>
      </c>
      <c r="P54" s="42">
        <f t="shared" si="97"/>
        <v>29330.832356798222</v>
      </c>
      <c r="Q54" s="42">
        <f t="shared" si="97"/>
        <v>39611.0953733239</v>
      </c>
      <c r="R54" s="42">
        <f t="shared" si="97"/>
        <v>6255.4137772416825</v>
      </c>
      <c r="S54" s="42">
        <f t="shared" si="97"/>
        <v>12984.556073801885</v>
      </c>
      <c r="T54" s="42">
        <f t="shared" si="97"/>
        <v>20711.450069498391</v>
      </c>
      <c r="U54" s="42">
        <f t="shared" si="97"/>
        <v>6503.8191760084337</v>
      </c>
      <c r="V54" s="42">
        <f t="shared" si="97"/>
        <v>11906.913947697054</v>
      </c>
      <c r="W54" s="42">
        <f t="shared" si="97"/>
        <v>14665.435101298317</v>
      </c>
      <c r="X54" s="42">
        <f t="shared" si="97"/>
        <v>19398.266681113477</v>
      </c>
      <c r="Y54" s="42">
        <f t="shared" si="97"/>
        <v>10376.726793359048</v>
      </c>
      <c r="Z54" s="42">
        <f t="shared" si="97"/>
        <v>5093.4867841429495</v>
      </c>
      <c r="AA54" s="42">
        <f t="shared" si="97"/>
        <v>3944.1444938051968</v>
      </c>
      <c r="AB54" s="67">
        <f t="shared" si="96"/>
        <v>1.9600663959171106E-3</v>
      </c>
      <c r="AC54" s="42">
        <f t="shared" ref="AC54:AZ54" si="98">IFERROR(AC9/$B54,0)</f>
        <v>8498.5106793546038</v>
      </c>
      <c r="AD54" s="42">
        <f t="shared" si="98"/>
        <v>20389.632558947847</v>
      </c>
      <c r="AE54" s="42">
        <f t="shared" si="98"/>
        <v>24408.414633116412</v>
      </c>
      <c r="AF54" s="42">
        <f t="shared" si="98"/>
        <v>21306.843369240887</v>
      </c>
      <c r="AG54" s="42">
        <f t="shared" si="98"/>
        <v>22214.314740504658</v>
      </c>
      <c r="AH54" s="42">
        <f t="shared" si="98"/>
        <v>9624.8440721201368</v>
      </c>
      <c r="AI54" s="42">
        <f t="shared" si="98"/>
        <v>31570.400183181398</v>
      </c>
      <c r="AJ54" s="42">
        <f t="shared" si="98"/>
        <v>2456.0667815566962</v>
      </c>
      <c r="AK54" s="42">
        <f t="shared" si="98"/>
        <v>9618.4240693129232</v>
      </c>
      <c r="AL54" s="42">
        <f t="shared" si="98"/>
        <v>14592.59444139331</v>
      </c>
      <c r="AM54" s="42">
        <f t="shared" si="98"/>
        <v>20707.304780238748</v>
      </c>
      <c r="AN54" s="42">
        <f t="shared" si="98"/>
        <v>23724.257577981658</v>
      </c>
      <c r="AO54" s="42">
        <f t="shared" si="98"/>
        <v>27123.123380613</v>
      </c>
      <c r="AP54" s="42">
        <f t="shared" si="98"/>
        <v>29659.216866306982</v>
      </c>
      <c r="AQ54" s="42">
        <f t="shared" si="98"/>
        <v>6998.5835345866653</v>
      </c>
      <c r="AR54" s="42">
        <f t="shared" si="98"/>
        <v>11498.765237878933</v>
      </c>
      <c r="AS54" s="42">
        <f t="shared" si="98"/>
        <v>22958.8909394398</v>
      </c>
      <c r="AT54" s="42">
        <f t="shared" si="98"/>
        <v>5555.4830099221836</v>
      </c>
      <c r="AU54" s="42">
        <f t="shared" si="98"/>
        <v>11605.102743849837</v>
      </c>
      <c r="AV54" s="42">
        <f t="shared" si="98"/>
        <v>13960.430720395185</v>
      </c>
      <c r="AW54" s="42">
        <f t="shared" si="98"/>
        <v>18781.095245105262</v>
      </c>
      <c r="AX54" s="42">
        <f t="shared" si="98"/>
        <v>8352.2280650093089</v>
      </c>
      <c r="AY54" s="42">
        <f t="shared" si="98"/>
        <v>3988.172609355413</v>
      </c>
      <c r="AZ54" s="42">
        <f t="shared" si="98"/>
        <v>3773.7875146691304</v>
      </c>
    </row>
    <row r="55" spans="1:52" x14ac:dyDescent="0.25">
      <c r="A55" s="66" t="s">
        <v>1078</v>
      </c>
      <c r="B55" s="49">
        <v>1.9999999999999999E-7</v>
      </c>
      <c r="C55" s="67">
        <f t="shared" ref="C55:AB55" si="99">IFERROR($B55/C24,0)</f>
        <v>0</v>
      </c>
      <c r="D55" s="42">
        <f t="shared" ref="D55:AA55" si="100">IFERROR(D24/$B55,0)</f>
        <v>0</v>
      </c>
      <c r="E55" s="42">
        <f t="shared" si="100"/>
        <v>0</v>
      </c>
      <c r="F55" s="42">
        <f t="shared" si="100"/>
        <v>0</v>
      </c>
      <c r="G55" s="42">
        <f t="shared" si="100"/>
        <v>0</v>
      </c>
      <c r="H55" s="42">
        <f t="shared" si="100"/>
        <v>0</v>
      </c>
      <c r="I55" s="42">
        <f t="shared" si="100"/>
        <v>0</v>
      </c>
      <c r="J55" s="42">
        <f t="shared" si="100"/>
        <v>0</v>
      </c>
      <c r="K55" s="42">
        <f t="shared" si="100"/>
        <v>0</v>
      </c>
      <c r="L55" s="42">
        <f t="shared" si="100"/>
        <v>0</v>
      </c>
      <c r="M55" s="42">
        <f t="shared" si="100"/>
        <v>0</v>
      </c>
      <c r="N55" s="42">
        <f t="shared" si="100"/>
        <v>0</v>
      </c>
      <c r="O55" s="42">
        <f t="shared" si="100"/>
        <v>0</v>
      </c>
      <c r="P55" s="42">
        <f t="shared" si="100"/>
        <v>0</v>
      </c>
      <c r="Q55" s="42">
        <f t="shared" si="100"/>
        <v>0</v>
      </c>
      <c r="R55" s="42">
        <f t="shared" si="100"/>
        <v>0</v>
      </c>
      <c r="S55" s="42">
        <f t="shared" si="100"/>
        <v>0</v>
      </c>
      <c r="T55" s="42">
        <f t="shared" si="100"/>
        <v>0</v>
      </c>
      <c r="U55" s="42">
        <f t="shared" si="100"/>
        <v>0</v>
      </c>
      <c r="V55" s="42">
        <f t="shared" si="100"/>
        <v>0</v>
      </c>
      <c r="W55" s="42">
        <f t="shared" si="100"/>
        <v>0</v>
      </c>
      <c r="X55" s="42">
        <f t="shared" si="100"/>
        <v>0</v>
      </c>
      <c r="Y55" s="42">
        <f t="shared" si="100"/>
        <v>0</v>
      </c>
      <c r="Z55" s="42">
        <f t="shared" si="100"/>
        <v>0</v>
      </c>
      <c r="AA55" s="42">
        <f t="shared" si="100"/>
        <v>0</v>
      </c>
      <c r="AB55" s="67">
        <f t="shared" si="99"/>
        <v>0</v>
      </c>
      <c r="AC55" s="42">
        <f t="shared" ref="AC55:AZ55" si="101">IFERROR(AC24/$B55,0)</f>
        <v>0</v>
      </c>
      <c r="AD55" s="42">
        <f t="shared" si="101"/>
        <v>0</v>
      </c>
      <c r="AE55" s="42">
        <f t="shared" si="101"/>
        <v>0</v>
      </c>
      <c r="AF55" s="42">
        <f t="shared" si="101"/>
        <v>0</v>
      </c>
      <c r="AG55" s="42">
        <f t="shared" si="101"/>
        <v>0</v>
      </c>
      <c r="AH55" s="42">
        <f t="shared" si="101"/>
        <v>0</v>
      </c>
      <c r="AI55" s="42">
        <f t="shared" si="101"/>
        <v>0</v>
      </c>
      <c r="AJ55" s="42">
        <f t="shared" si="101"/>
        <v>0</v>
      </c>
      <c r="AK55" s="42">
        <f t="shared" si="101"/>
        <v>0</v>
      </c>
      <c r="AL55" s="42">
        <f t="shared" si="101"/>
        <v>0</v>
      </c>
      <c r="AM55" s="42">
        <f t="shared" si="101"/>
        <v>0</v>
      </c>
      <c r="AN55" s="42">
        <f t="shared" si="101"/>
        <v>0</v>
      </c>
      <c r="AO55" s="42">
        <f t="shared" si="101"/>
        <v>0</v>
      </c>
      <c r="AP55" s="42">
        <f t="shared" si="101"/>
        <v>0</v>
      </c>
      <c r="AQ55" s="42">
        <f t="shared" si="101"/>
        <v>0</v>
      </c>
      <c r="AR55" s="42">
        <f t="shared" si="101"/>
        <v>0</v>
      </c>
      <c r="AS55" s="42">
        <f t="shared" si="101"/>
        <v>0</v>
      </c>
      <c r="AT55" s="42">
        <f t="shared" si="101"/>
        <v>0</v>
      </c>
      <c r="AU55" s="42">
        <f t="shared" si="101"/>
        <v>0</v>
      </c>
      <c r="AV55" s="42">
        <f t="shared" si="101"/>
        <v>0</v>
      </c>
      <c r="AW55" s="42">
        <f t="shared" si="101"/>
        <v>0</v>
      </c>
      <c r="AX55" s="42">
        <f t="shared" si="101"/>
        <v>0</v>
      </c>
      <c r="AY55" s="42">
        <f t="shared" si="101"/>
        <v>0</v>
      </c>
      <c r="AZ55" s="42">
        <f t="shared" si="101"/>
        <v>0</v>
      </c>
    </row>
    <row r="56" spans="1:52" x14ac:dyDescent="0.25">
      <c r="A56" s="66" t="s">
        <v>1079</v>
      </c>
      <c r="B56" s="49">
        <v>0.99979000004200003</v>
      </c>
      <c r="C56" s="67">
        <f t="shared" ref="C56:AB56" si="102">IFERROR($B56/C20,0)</f>
        <v>0</v>
      </c>
      <c r="D56" s="42">
        <f t="shared" ref="D56:AA56" si="103">IFERROR(D20/$B56,0)</f>
        <v>0</v>
      </c>
      <c r="E56" s="42">
        <f t="shared" si="103"/>
        <v>0</v>
      </c>
      <c r="F56" s="42">
        <f t="shared" si="103"/>
        <v>0</v>
      </c>
      <c r="G56" s="42">
        <f t="shared" si="103"/>
        <v>0</v>
      </c>
      <c r="H56" s="42">
        <f t="shared" si="103"/>
        <v>0</v>
      </c>
      <c r="I56" s="42">
        <f t="shared" si="103"/>
        <v>0</v>
      </c>
      <c r="J56" s="42">
        <f t="shared" si="103"/>
        <v>0</v>
      </c>
      <c r="K56" s="42">
        <f t="shared" si="103"/>
        <v>0</v>
      </c>
      <c r="L56" s="42">
        <f t="shared" si="103"/>
        <v>0</v>
      </c>
      <c r="M56" s="42">
        <f t="shared" si="103"/>
        <v>0</v>
      </c>
      <c r="N56" s="42">
        <f t="shared" si="103"/>
        <v>0</v>
      </c>
      <c r="O56" s="42">
        <f t="shared" si="103"/>
        <v>0</v>
      </c>
      <c r="P56" s="42">
        <f t="shared" si="103"/>
        <v>0</v>
      </c>
      <c r="Q56" s="42">
        <f t="shared" si="103"/>
        <v>0</v>
      </c>
      <c r="R56" s="42">
        <f t="shared" si="103"/>
        <v>0</v>
      </c>
      <c r="S56" s="42">
        <f t="shared" si="103"/>
        <v>0</v>
      </c>
      <c r="T56" s="42">
        <f t="shared" si="103"/>
        <v>0</v>
      </c>
      <c r="U56" s="42">
        <f t="shared" si="103"/>
        <v>0</v>
      </c>
      <c r="V56" s="42">
        <f t="shared" si="103"/>
        <v>0</v>
      </c>
      <c r="W56" s="42">
        <f t="shared" si="103"/>
        <v>0</v>
      </c>
      <c r="X56" s="42">
        <f t="shared" si="103"/>
        <v>0</v>
      </c>
      <c r="Y56" s="42">
        <f t="shared" si="103"/>
        <v>0</v>
      </c>
      <c r="Z56" s="42">
        <f t="shared" si="103"/>
        <v>0</v>
      </c>
      <c r="AA56" s="42">
        <f t="shared" si="103"/>
        <v>0</v>
      </c>
      <c r="AB56" s="67">
        <f t="shared" si="102"/>
        <v>0</v>
      </c>
      <c r="AC56" s="42">
        <f t="shared" ref="AC56:AZ56" si="104">IFERROR(AC20/$B56,0)</f>
        <v>0</v>
      </c>
      <c r="AD56" s="42">
        <f t="shared" si="104"/>
        <v>0</v>
      </c>
      <c r="AE56" s="42">
        <f t="shared" si="104"/>
        <v>0</v>
      </c>
      <c r="AF56" s="42">
        <f t="shared" si="104"/>
        <v>0</v>
      </c>
      <c r="AG56" s="42">
        <f t="shared" si="104"/>
        <v>0</v>
      </c>
      <c r="AH56" s="42">
        <f t="shared" si="104"/>
        <v>0</v>
      </c>
      <c r="AI56" s="42">
        <f t="shared" si="104"/>
        <v>0</v>
      </c>
      <c r="AJ56" s="42">
        <f t="shared" si="104"/>
        <v>0</v>
      </c>
      <c r="AK56" s="42">
        <f t="shared" si="104"/>
        <v>0</v>
      </c>
      <c r="AL56" s="42">
        <f t="shared" si="104"/>
        <v>0</v>
      </c>
      <c r="AM56" s="42">
        <f t="shared" si="104"/>
        <v>0</v>
      </c>
      <c r="AN56" s="42">
        <f t="shared" si="104"/>
        <v>0</v>
      </c>
      <c r="AO56" s="42">
        <f t="shared" si="104"/>
        <v>0</v>
      </c>
      <c r="AP56" s="42">
        <f t="shared" si="104"/>
        <v>0</v>
      </c>
      <c r="AQ56" s="42">
        <f t="shared" si="104"/>
        <v>0</v>
      </c>
      <c r="AR56" s="42">
        <f t="shared" si="104"/>
        <v>0</v>
      </c>
      <c r="AS56" s="42">
        <f t="shared" si="104"/>
        <v>0</v>
      </c>
      <c r="AT56" s="42">
        <f t="shared" si="104"/>
        <v>0</v>
      </c>
      <c r="AU56" s="42">
        <f t="shared" si="104"/>
        <v>0</v>
      </c>
      <c r="AV56" s="42">
        <f t="shared" si="104"/>
        <v>0</v>
      </c>
      <c r="AW56" s="42">
        <f t="shared" si="104"/>
        <v>0</v>
      </c>
      <c r="AX56" s="42">
        <f t="shared" si="104"/>
        <v>0</v>
      </c>
      <c r="AY56" s="42">
        <f t="shared" si="104"/>
        <v>0</v>
      </c>
      <c r="AZ56" s="42">
        <f t="shared" si="104"/>
        <v>0</v>
      </c>
    </row>
    <row r="57" spans="1:52" x14ac:dyDescent="0.25">
      <c r="A57" s="66" t="s">
        <v>1080</v>
      </c>
      <c r="B57" s="49">
        <v>2.0999995799999999E-4</v>
      </c>
      <c r="C57" s="67">
        <f t="shared" ref="C57:AB57" si="105">IFERROR($B57/C29,0)</f>
        <v>0</v>
      </c>
      <c r="D57" s="42">
        <f t="shared" ref="D57:AA57" si="106">IFERROR(D29/$B57,0)</f>
        <v>0</v>
      </c>
      <c r="E57" s="42">
        <f t="shared" si="106"/>
        <v>0</v>
      </c>
      <c r="F57" s="42">
        <f t="shared" si="106"/>
        <v>0</v>
      </c>
      <c r="G57" s="42">
        <f t="shared" si="106"/>
        <v>0</v>
      </c>
      <c r="H57" s="42">
        <f t="shared" si="106"/>
        <v>0</v>
      </c>
      <c r="I57" s="42">
        <f t="shared" si="106"/>
        <v>0</v>
      </c>
      <c r="J57" s="42">
        <f t="shared" si="106"/>
        <v>0</v>
      </c>
      <c r="K57" s="42">
        <f t="shared" si="106"/>
        <v>0</v>
      </c>
      <c r="L57" s="42">
        <f t="shared" si="106"/>
        <v>0</v>
      </c>
      <c r="M57" s="42">
        <f t="shared" si="106"/>
        <v>0</v>
      </c>
      <c r="N57" s="42">
        <f t="shared" si="106"/>
        <v>0</v>
      </c>
      <c r="O57" s="42">
        <f t="shared" si="106"/>
        <v>0</v>
      </c>
      <c r="P57" s="42">
        <f t="shared" si="106"/>
        <v>0</v>
      </c>
      <c r="Q57" s="42">
        <f t="shared" si="106"/>
        <v>0</v>
      </c>
      <c r="R57" s="42">
        <f t="shared" si="106"/>
        <v>0</v>
      </c>
      <c r="S57" s="42">
        <f t="shared" si="106"/>
        <v>0</v>
      </c>
      <c r="T57" s="42">
        <f t="shared" si="106"/>
        <v>0</v>
      </c>
      <c r="U57" s="42">
        <f t="shared" si="106"/>
        <v>0</v>
      </c>
      <c r="V57" s="42">
        <f t="shared" si="106"/>
        <v>0</v>
      </c>
      <c r="W57" s="42">
        <f t="shared" si="106"/>
        <v>0</v>
      </c>
      <c r="X57" s="42">
        <f t="shared" si="106"/>
        <v>0</v>
      </c>
      <c r="Y57" s="42">
        <f t="shared" si="106"/>
        <v>0</v>
      </c>
      <c r="Z57" s="42">
        <f t="shared" si="106"/>
        <v>0</v>
      </c>
      <c r="AA57" s="42">
        <f t="shared" si="106"/>
        <v>0</v>
      </c>
      <c r="AB57" s="67">
        <f t="shared" si="105"/>
        <v>0</v>
      </c>
      <c r="AC57" s="42">
        <f t="shared" ref="AC57:AZ57" si="107">IFERROR(AC29/$B57,0)</f>
        <v>0</v>
      </c>
      <c r="AD57" s="42">
        <f t="shared" si="107"/>
        <v>0</v>
      </c>
      <c r="AE57" s="42">
        <f t="shared" si="107"/>
        <v>0</v>
      </c>
      <c r="AF57" s="42">
        <f t="shared" si="107"/>
        <v>0</v>
      </c>
      <c r="AG57" s="42">
        <f t="shared" si="107"/>
        <v>0</v>
      </c>
      <c r="AH57" s="42">
        <f t="shared" si="107"/>
        <v>0</v>
      </c>
      <c r="AI57" s="42">
        <f t="shared" si="107"/>
        <v>0</v>
      </c>
      <c r="AJ57" s="42">
        <f t="shared" si="107"/>
        <v>0</v>
      </c>
      <c r="AK57" s="42">
        <f t="shared" si="107"/>
        <v>0</v>
      </c>
      <c r="AL57" s="42">
        <f t="shared" si="107"/>
        <v>0</v>
      </c>
      <c r="AM57" s="42">
        <f t="shared" si="107"/>
        <v>0</v>
      </c>
      <c r="AN57" s="42">
        <f t="shared" si="107"/>
        <v>0</v>
      </c>
      <c r="AO57" s="42">
        <f t="shared" si="107"/>
        <v>0</v>
      </c>
      <c r="AP57" s="42">
        <f t="shared" si="107"/>
        <v>0</v>
      </c>
      <c r="AQ57" s="42">
        <f t="shared" si="107"/>
        <v>0</v>
      </c>
      <c r="AR57" s="42">
        <f t="shared" si="107"/>
        <v>0</v>
      </c>
      <c r="AS57" s="42">
        <f t="shared" si="107"/>
        <v>0</v>
      </c>
      <c r="AT57" s="42">
        <f t="shared" si="107"/>
        <v>0</v>
      </c>
      <c r="AU57" s="42">
        <f t="shared" si="107"/>
        <v>0</v>
      </c>
      <c r="AV57" s="42">
        <f t="shared" si="107"/>
        <v>0</v>
      </c>
      <c r="AW57" s="42">
        <f t="shared" si="107"/>
        <v>0</v>
      </c>
      <c r="AX57" s="42">
        <f t="shared" si="107"/>
        <v>0</v>
      </c>
      <c r="AY57" s="42">
        <f t="shared" si="107"/>
        <v>0</v>
      </c>
      <c r="AZ57" s="42">
        <f t="shared" si="107"/>
        <v>0</v>
      </c>
    </row>
    <row r="58" spans="1:52" x14ac:dyDescent="0.25">
      <c r="A58" s="66" t="s">
        <v>1081</v>
      </c>
      <c r="B58" s="49">
        <v>1</v>
      </c>
      <c r="C58" s="67">
        <f t="shared" ref="C58:AB58" si="108">IFERROR($B58/C16,0)</f>
        <v>7.4825370611431472</v>
      </c>
      <c r="D58" s="42">
        <f t="shared" ref="D58:AA58" si="109">IFERROR(D16/$B58,0)</f>
        <v>2.5765130241773631</v>
      </c>
      <c r="E58" s="42">
        <f t="shared" si="109"/>
        <v>3.5244828258136267</v>
      </c>
      <c r="F58" s="42">
        <f t="shared" si="109"/>
        <v>6.7022617550690864</v>
      </c>
      <c r="G58" s="42">
        <f t="shared" si="109"/>
        <v>5.7698059378576074</v>
      </c>
      <c r="H58" s="42">
        <f t="shared" si="109"/>
        <v>6.4955965328422094</v>
      </c>
      <c r="I58" s="42">
        <f t="shared" si="109"/>
        <v>1.57792044992823</v>
      </c>
      <c r="J58" s="42">
        <f t="shared" si="109"/>
        <v>7.4044700927291105</v>
      </c>
      <c r="K58" s="42">
        <f t="shared" si="109"/>
        <v>0.66814375299833806</v>
      </c>
      <c r="L58" s="42">
        <f t="shared" si="109"/>
        <v>3.9817050401329181</v>
      </c>
      <c r="M58" s="42">
        <f t="shared" si="109"/>
        <v>2.6138364038836981</v>
      </c>
      <c r="N58" s="42">
        <f t="shared" si="109"/>
        <v>3.6321880471103452</v>
      </c>
      <c r="O58" s="42">
        <f t="shared" si="109"/>
        <v>6.9311974575966238</v>
      </c>
      <c r="P58" s="42">
        <f t="shared" si="109"/>
        <v>7.3979811588697642</v>
      </c>
      <c r="Q58" s="42">
        <f t="shared" si="109"/>
        <v>9.9903137321766717</v>
      </c>
      <c r="R58" s="42">
        <f t="shared" si="109"/>
        <v>1.6477668310239877</v>
      </c>
      <c r="S58" s="42">
        <f t="shared" si="109"/>
        <v>3.4223630067200959</v>
      </c>
      <c r="T58" s="42">
        <f t="shared" si="109"/>
        <v>5.6938707875620143</v>
      </c>
      <c r="U58" s="42">
        <f t="shared" si="109"/>
        <v>1.853311994351357</v>
      </c>
      <c r="V58" s="42">
        <f t="shared" si="109"/>
        <v>3.0034639752678443</v>
      </c>
      <c r="W58" s="42">
        <f t="shared" si="109"/>
        <v>3.9505310723922089</v>
      </c>
      <c r="X58" s="42">
        <f t="shared" si="109"/>
        <v>5.1112080252768539</v>
      </c>
      <c r="Y58" s="42">
        <f t="shared" si="109"/>
        <v>2.6032370419477369</v>
      </c>
      <c r="Z58" s="42">
        <f t="shared" si="109"/>
        <v>0.9547014270821802</v>
      </c>
      <c r="AA58" s="42">
        <f t="shared" si="109"/>
        <v>0.71745574236837373</v>
      </c>
      <c r="AB58" s="67">
        <f t="shared" si="108"/>
        <v>7.9012442079297571</v>
      </c>
      <c r="AC58" s="42">
        <f t="shared" ref="AC58:AZ58" si="110">IFERROR(AC16/$B58,0)</f>
        <v>2.2385421400986671</v>
      </c>
      <c r="AD58" s="42">
        <f t="shared" si="110"/>
        <v>3.305835744672398</v>
      </c>
      <c r="AE58" s="42">
        <f t="shared" si="110"/>
        <v>6.1551383464920182</v>
      </c>
      <c r="AF58" s="42">
        <f t="shared" si="110"/>
        <v>5.6121750109733028</v>
      </c>
      <c r="AG58" s="42">
        <f t="shared" si="110"/>
        <v>5.5844156978916732</v>
      </c>
      <c r="AH58" s="42">
        <f t="shared" si="110"/>
        <v>1.5604843972161357</v>
      </c>
      <c r="AI58" s="42">
        <f t="shared" si="110"/>
        <v>7.9623701265467917</v>
      </c>
      <c r="AJ58" s="42">
        <f t="shared" si="110"/>
        <v>0.64694565460182407</v>
      </c>
      <c r="AK58" s="42">
        <f t="shared" si="110"/>
        <v>2.7496473918322892</v>
      </c>
      <c r="AL58" s="42">
        <f t="shared" si="110"/>
        <v>3.6811529354695423</v>
      </c>
      <c r="AM58" s="42">
        <f t="shared" si="110"/>
        <v>3.3345061840892121</v>
      </c>
      <c r="AN58" s="42">
        <f t="shared" si="110"/>
        <v>6.4215951937558211</v>
      </c>
      <c r="AO58" s="42">
        <f t="shared" si="110"/>
        <v>6.8411408615537406</v>
      </c>
      <c r="AP58" s="42">
        <f t="shared" si="110"/>
        <v>7.4803506126876567</v>
      </c>
      <c r="AQ58" s="42">
        <f t="shared" si="110"/>
        <v>1.8435285375362593</v>
      </c>
      <c r="AR58" s="42">
        <f t="shared" si="110"/>
        <v>3.0307504199143023</v>
      </c>
      <c r="AS58" s="42">
        <f t="shared" si="110"/>
        <v>6.3117240944619439</v>
      </c>
      <c r="AT58" s="42">
        <f t="shared" si="110"/>
        <v>1.5830764998332743</v>
      </c>
      <c r="AU58" s="42">
        <f t="shared" si="110"/>
        <v>2.927333494937745</v>
      </c>
      <c r="AV58" s="42">
        <f t="shared" si="110"/>
        <v>3.7606190995327133</v>
      </c>
      <c r="AW58" s="42">
        <f t="shared" si="110"/>
        <v>4.9485908364035769</v>
      </c>
      <c r="AX58" s="42">
        <f t="shared" si="110"/>
        <v>2.095345662906225</v>
      </c>
      <c r="AY58" s="42">
        <f t="shared" si="110"/>
        <v>0.74752605493259217</v>
      </c>
      <c r="AZ58" s="42">
        <f t="shared" si="110"/>
        <v>0.68646712287796996</v>
      </c>
    </row>
    <row r="59" spans="1:52" x14ac:dyDescent="0.25">
      <c r="A59" s="66" t="s">
        <v>1082</v>
      </c>
      <c r="B59" s="49">
        <v>1</v>
      </c>
      <c r="C59" s="67">
        <f t="shared" ref="C59:AB59" si="111">IFERROR($B59/C7,0)</f>
        <v>2.2364708017019619E-2</v>
      </c>
      <c r="D59" s="42">
        <f t="shared" ref="D59:AA59" si="112">IFERROR(D7/$B59,0)</f>
        <v>809.69893637225857</v>
      </c>
      <c r="E59" s="42">
        <f t="shared" si="112"/>
        <v>1799.4393084952521</v>
      </c>
      <c r="F59" s="42">
        <f t="shared" si="112"/>
        <v>2200.0715999409367</v>
      </c>
      <c r="G59" s="42">
        <f t="shared" si="112"/>
        <v>1813.2713111939129</v>
      </c>
      <c r="H59" s="42">
        <f t="shared" si="112"/>
        <v>2138.8872880544045</v>
      </c>
      <c r="I59" s="42">
        <f t="shared" si="112"/>
        <v>805.62521928155832</v>
      </c>
      <c r="J59" s="42">
        <f t="shared" si="112"/>
        <v>2430.2188497011543</v>
      </c>
      <c r="K59" s="42">
        <f t="shared" si="112"/>
        <v>209.9693770758085</v>
      </c>
      <c r="L59" s="42">
        <f t="shared" si="112"/>
        <v>1152.9478869264706</v>
      </c>
      <c r="M59" s="42">
        <f t="shared" si="112"/>
        <v>857.71050765612961</v>
      </c>
      <c r="N59" s="42">
        <f t="shared" si="112"/>
        <v>1867.12781970848</v>
      </c>
      <c r="O59" s="42">
        <f t="shared" si="112"/>
        <v>2119.6865955050798</v>
      </c>
      <c r="P59" s="42">
        <f t="shared" si="112"/>
        <v>2427.9406372800727</v>
      </c>
      <c r="Q59" s="42">
        <f t="shared" si="112"/>
        <v>3278.9177945636775</v>
      </c>
      <c r="R59" s="42">
        <f t="shared" si="112"/>
        <v>517.8091479987113</v>
      </c>
      <c r="S59" s="42">
        <f t="shared" si="112"/>
        <v>1074.8324822537277</v>
      </c>
      <c r="T59" s="42">
        <f t="shared" si="112"/>
        <v>1714.4474684189158</v>
      </c>
      <c r="U59" s="42">
        <f t="shared" si="112"/>
        <v>538.37159078413617</v>
      </c>
      <c r="V59" s="42">
        <f t="shared" si="112"/>
        <v>985.62767965601427</v>
      </c>
      <c r="W59" s="42">
        <f t="shared" si="112"/>
        <v>1213.9718850352685</v>
      </c>
      <c r="X59" s="42">
        <f t="shared" si="112"/>
        <v>1605.7450874542005</v>
      </c>
      <c r="Y59" s="42">
        <f t="shared" si="112"/>
        <v>858.96221276891106</v>
      </c>
      <c r="Z59" s="42">
        <f t="shared" si="112"/>
        <v>421.62743280632969</v>
      </c>
      <c r="AA59" s="42">
        <f t="shared" si="112"/>
        <v>326.48745113414918</v>
      </c>
      <c r="AB59" s="67">
        <f t="shared" si="111"/>
        <v>2.367865918305263E-2</v>
      </c>
      <c r="AC59" s="42">
        <f t="shared" ref="AC59:AZ59" si="113">IFERROR(AC7/$B59,0)</f>
        <v>703.48768776012105</v>
      </c>
      <c r="AD59" s="42">
        <f t="shared" si="113"/>
        <v>1687.8081353734331</v>
      </c>
      <c r="AE59" s="42">
        <f t="shared" si="113"/>
        <v>2020.4739183131055</v>
      </c>
      <c r="AF59" s="42">
        <f t="shared" si="113"/>
        <v>1763.7327928183113</v>
      </c>
      <c r="AG59" s="42">
        <f t="shared" si="113"/>
        <v>1838.8512413047863</v>
      </c>
      <c r="AH59" s="42">
        <f t="shared" si="113"/>
        <v>796.72304440308164</v>
      </c>
      <c r="AI59" s="42">
        <f t="shared" si="113"/>
        <v>2613.3270480533906</v>
      </c>
      <c r="AJ59" s="42">
        <f t="shared" si="113"/>
        <v>203.30770958953204</v>
      </c>
      <c r="AK59" s="42">
        <f t="shared" si="113"/>
        <v>796.19161094366018</v>
      </c>
      <c r="AL59" s="42">
        <f t="shared" si="113"/>
        <v>1207.9422982823826</v>
      </c>
      <c r="AM59" s="42">
        <f t="shared" si="113"/>
        <v>1714.1043306543843</v>
      </c>
      <c r="AN59" s="42">
        <f t="shared" si="113"/>
        <v>1963.840928964662</v>
      </c>
      <c r="AO59" s="42">
        <f t="shared" si="113"/>
        <v>2245.191430801256</v>
      </c>
      <c r="AP59" s="42">
        <f t="shared" si="113"/>
        <v>2455.1235717972659</v>
      </c>
      <c r="AQ59" s="42">
        <f t="shared" si="113"/>
        <v>579.32707671979108</v>
      </c>
      <c r="AR59" s="42">
        <f t="shared" si="113"/>
        <v>951.84204321153175</v>
      </c>
      <c r="AS59" s="42">
        <f t="shared" si="113"/>
        <v>1900.4855921119893</v>
      </c>
      <c r="AT59" s="42">
        <f t="shared" si="113"/>
        <v>459.87044606945096</v>
      </c>
      <c r="AU59" s="42">
        <f t="shared" si="113"/>
        <v>960.64442388975783</v>
      </c>
      <c r="AV59" s="42">
        <f t="shared" si="113"/>
        <v>1155.6132007322483</v>
      </c>
      <c r="AW59" s="42">
        <f t="shared" si="113"/>
        <v>1554.6570176911362</v>
      </c>
      <c r="AX59" s="42">
        <f t="shared" si="113"/>
        <v>691.3787404388836</v>
      </c>
      <c r="AY59" s="42">
        <f t="shared" si="113"/>
        <v>330.13199997022929</v>
      </c>
      <c r="AZ59" s="42">
        <f t="shared" si="113"/>
        <v>312.38568179268481</v>
      </c>
    </row>
    <row r="60" spans="1:52" x14ac:dyDescent="0.25">
      <c r="A60" s="66" t="s">
        <v>1083</v>
      </c>
      <c r="B60" s="49">
        <v>1.9000000000000001E-8</v>
      </c>
      <c r="C60" s="67">
        <f t="shared" ref="C60:AB60" si="114">IFERROR($B60/C12,0)</f>
        <v>0</v>
      </c>
      <c r="D60" s="42">
        <f t="shared" ref="D60:AA60" si="115">IFERROR(D12/$B60,0)</f>
        <v>0</v>
      </c>
      <c r="E60" s="42">
        <f t="shared" si="115"/>
        <v>0</v>
      </c>
      <c r="F60" s="42">
        <f t="shared" si="115"/>
        <v>0</v>
      </c>
      <c r="G60" s="42">
        <f t="shared" si="115"/>
        <v>0</v>
      </c>
      <c r="H60" s="42">
        <f t="shared" si="115"/>
        <v>0</v>
      </c>
      <c r="I60" s="42">
        <f t="shared" si="115"/>
        <v>0</v>
      </c>
      <c r="J60" s="42">
        <f t="shared" si="115"/>
        <v>0</v>
      </c>
      <c r="K60" s="42">
        <f t="shared" si="115"/>
        <v>0</v>
      </c>
      <c r="L60" s="42">
        <f t="shared" si="115"/>
        <v>0</v>
      </c>
      <c r="M60" s="42">
        <f t="shared" si="115"/>
        <v>0</v>
      </c>
      <c r="N60" s="42">
        <f t="shared" si="115"/>
        <v>0</v>
      </c>
      <c r="O60" s="42">
        <f t="shared" si="115"/>
        <v>0</v>
      </c>
      <c r="P60" s="42">
        <f t="shared" si="115"/>
        <v>0</v>
      </c>
      <c r="Q60" s="42">
        <f t="shared" si="115"/>
        <v>0</v>
      </c>
      <c r="R60" s="42">
        <f t="shared" si="115"/>
        <v>0</v>
      </c>
      <c r="S60" s="42">
        <f t="shared" si="115"/>
        <v>0</v>
      </c>
      <c r="T60" s="42">
        <f t="shared" si="115"/>
        <v>0</v>
      </c>
      <c r="U60" s="42">
        <f t="shared" si="115"/>
        <v>0</v>
      </c>
      <c r="V60" s="42">
        <f t="shared" si="115"/>
        <v>0</v>
      </c>
      <c r="W60" s="42">
        <f t="shared" si="115"/>
        <v>0</v>
      </c>
      <c r="X60" s="42">
        <f t="shared" si="115"/>
        <v>0</v>
      </c>
      <c r="Y60" s="42">
        <f t="shared" si="115"/>
        <v>0</v>
      </c>
      <c r="Z60" s="42">
        <f t="shared" si="115"/>
        <v>0</v>
      </c>
      <c r="AA60" s="42">
        <f t="shared" si="115"/>
        <v>0</v>
      </c>
      <c r="AB60" s="67">
        <f t="shared" si="114"/>
        <v>0</v>
      </c>
      <c r="AC60" s="42">
        <f t="shared" ref="AC60:AZ60" si="116">IFERROR(AC12/$B60,0)</f>
        <v>0</v>
      </c>
      <c r="AD60" s="42">
        <f t="shared" si="116"/>
        <v>0</v>
      </c>
      <c r="AE60" s="42">
        <f t="shared" si="116"/>
        <v>0</v>
      </c>
      <c r="AF60" s="42">
        <f t="shared" si="116"/>
        <v>0</v>
      </c>
      <c r="AG60" s="42">
        <f t="shared" si="116"/>
        <v>0</v>
      </c>
      <c r="AH60" s="42">
        <f t="shared" si="116"/>
        <v>0</v>
      </c>
      <c r="AI60" s="42">
        <f t="shared" si="116"/>
        <v>0</v>
      </c>
      <c r="AJ60" s="42">
        <f t="shared" si="116"/>
        <v>0</v>
      </c>
      <c r="AK60" s="42">
        <f t="shared" si="116"/>
        <v>0</v>
      </c>
      <c r="AL60" s="42">
        <f t="shared" si="116"/>
        <v>0</v>
      </c>
      <c r="AM60" s="42">
        <f t="shared" si="116"/>
        <v>0</v>
      </c>
      <c r="AN60" s="42">
        <f t="shared" si="116"/>
        <v>0</v>
      </c>
      <c r="AO60" s="42">
        <f t="shared" si="116"/>
        <v>0</v>
      </c>
      <c r="AP60" s="42">
        <f t="shared" si="116"/>
        <v>0</v>
      </c>
      <c r="AQ60" s="42">
        <f t="shared" si="116"/>
        <v>0</v>
      </c>
      <c r="AR60" s="42">
        <f t="shared" si="116"/>
        <v>0</v>
      </c>
      <c r="AS60" s="42">
        <f t="shared" si="116"/>
        <v>0</v>
      </c>
      <c r="AT60" s="42">
        <f t="shared" si="116"/>
        <v>0</v>
      </c>
      <c r="AU60" s="42">
        <f t="shared" si="116"/>
        <v>0</v>
      </c>
      <c r="AV60" s="42">
        <f t="shared" si="116"/>
        <v>0</v>
      </c>
      <c r="AW60" s="42">
        <f t="shared" si="116"/>
        <v>0</v>
      </c>
      <c r="AX60" s="42">
        <f t="shared" si="116"/>
        <v>0</v>
      </c>
      <c r="AY60" s="42">
        <f t="shared" si="116"/>
        <v>0</v>
      </c>
      <c r="AZ60" s="42">
        <f t="shared" si="116"/>
        <v>0</v>
      </c>
    </row>
    <row r="61" spans="1:52" x14ac:dyDescent="0.25">
      <c r="A61" s="66" t="s">
        <v>1084</v>
      </c>
      <c r="B61" s="49">
        <v>1</v>
      </c>
      <c r="C61" s="67">
        <f t="shared" ref="C61:AB61" si="117">IFERROR($B61/C18,0)</f>
        <v>11.162738689044547</v>
      </c>
      <c r="D61" s="42">
        <f t="shared" ref="D61:AA61" si="118">IFERROR(D18/$B61,0)</f>
        <v>1.6456623699225557</v>
      </c>
      <c r="E61" s="42">
        <f t="shared" si="118"/>
        <v>3.417834303440562</v>
      </c>
      <c r="F61" s="42">
        <f t="shared" si="118"/>
        <v>4.2397456737120027</v>
      </c>
      <c r="G61" s="42">
        <f t="shared" si="118"/>
        <v>3.6852535586495616</v>
      </c>
      <c r="H61" s="42">
        <f t="shared" si="118"/>
        <v>4.3294534232879078</v>
      </c>
      <c r="I61" s="42">
        <f t="shared" si="118"/>
        <v>1.5300285361990631</v>
      </c>
      <c r="J61" s="42">
        <f t="shared" si="118"/>
        <v>4.6840917044710713</v>
      </c>
      <c r="K61" s="42">
        <f t="shared" si="118"/>
        <v>0.42675579085702048</v>
      </c>
      <c r="L61" s="42">
        <f t="shared" si="118"/>
        <v>2.3425476868677886</v>
      </c>
      <c r="M61" s="42">
        <f t="shared" si="118"/>
        <v>1.7442545034224144</v>
      </c>
      <c r="N61" s="42">
        <f t="shared" si="118"/>
        <v>3.3686954336560353</v>
      </c>
      <c r="O61" s="42">
        <f t="shared" si="118"/>
        <v>4.2316095674688183</v>
      </c>
      <c r="P61" s="42">
        <f t="shared" si="118"/>
        <v>4.9365455969350283</v>
      </c>
      <c r="Q61" s="42">
        <f t="shared" si="118"/>
        <v>6.6662242327052201</v>
      </c>
      <c r="R61" s="42">
        <f t="shared" si="118"/>
        <v>1.052465497756133</v>
      </c>
      <c r="S61" s="42">
        <f t="shared" si="118"/>
        <v>2.1862206307805705</v>
      </c>
      <c r="T61" s="42">
        <f t="shared" si="118"/>
        <v>3.4818211033161863</v>
      </c>
      <c r="U61" s="42">
        <f t="shared" si="118"/>
        <v>1.0678479682925073</v>
      </c>
      <c r="V61" s="42">
        <f t="shared" si="118"/>
        <v>2.0042144660992318</v>
      </c>
      <c r="W61" s="42">
        <f t="shared" si="118"/>
        <v>2.4106709668358315</v>
      </c>
      <c r="X61" s="42">
        <f t="shared" si="118"/>
        <v>3.2648384064909459</v>
      </c>
      <c r="Y61" s="42">
        <f t="shared" si="118"/>
        <v>1.7338946109160858</v>
      </c>
      <c r="Z61" s="42">
        <f t="shared" si="118"/>
        <v>0.53707221498245095</v>
      </c>
      <c r="AA61" s="42">
        <f t="shared" si="118"/>
        <v>0.43095208820443603</v>
      </c>
      <c r="AB61" s="67">
        <f t="shared" si="117"/>
        <v>11.820096954783399</v>
      </c>
      <c r="AC61" s="42">
        <f t="shared" ref="AC61:AZ61" si="119">IFERROR(AC18/$B61,0)</f>
        <v>1.4297946600221376</v>
      </c>
      <c r="AD61" s="42">
        <f t="shared" si="119"/>
        <v>3.2058033385573297</v>
      </c>
      <c r="AE61" s="42">
        <f t="shared" si="119"/>
        <v>3.8936439860620444</v>
      </c>
      <c r="AF61" s="42">
        <f t="shared" si="119"/>
        <v>3.5845725408631446</v>
      </c>
      <c r="AG61" s="42">
        <f t="shared" si="119"/>
        <v>3.722131991735754</v>
      </c>
      <c r="AH61" s="42">
        <f t="shared" si="119"/>
        <v>1.5131216900970377</v>
      </c>
      <c r="AI61" s="42">
        <f t="shared" si="119"/>
        <v>5.0370210684367178</v>
      </c>
      <c r="AJ61" s="42">
        <f t="shared" si="119"/>
        <v>0.41321617276544514</v>
      </c>
      <c r="AK61" s="42">
        <f t="shared" si="119"/>
        <v>1.617693945813665</v>
      </c>
      <c r="AL61" s="42">
        <f t="shared" si="119"/>
        <v>2.4564917589865671</v>
      </c>
      <c r="AM61" s="42">
        <f t="shared" si="119"/>
        <v>3.0926085351708892</v>
      </c>
      <c r="AN61" s="42">
        <f t="shared" si="119"/>
        <v>3.9204890390947433</v>
      </c>
      <c r="AO61" s="42">
        <f t="shared" si="119"/>
        <v>4.5649756430678616</v>
      </c>
      <c r="AP61" s="42">
        <f t="shared" si="119"/>
        <v>4.9914042601908513</v>
      </c>
      <c r="AQ61" s="42">
        <f t="shared" si="119"/>
        <v>1.1775028744085028</v>
      </c>
      <c r="AR61" s="42">
        <f t="shared" si="119"/>
        <v>1.9360567776571445</v>
      </c>
      <c r="AS61" s="42">
        <f t="shared" si="119"/>
        <v>3.8596404748792335</v>
      </c>
      <c r="AT61" s="42">
        <f t="shared" si="119"/>
        <v>0.91214270945795684</v>
      </c>
      <c r="AU61" s="42">
        <f t="shared" si="119"/>
        <v>1.9534125216627047</v>
      </c>
      <c r="AV61" s="42">
        <f t="shared" si="119"/>
        <v>2.29478394536009</v>
      </c>
      <c r="AW61" s="42">
        <f t="shared" si="119"/>
        <v>3.1609649501253525</v>
      </c>
      <c r="AX61" s="42">
        <f t="shared" si="119"/>
        <v>1.395611884118402</v>
      </c>
      <c r="AY61" s="42">
        <f t="shared" si="119"/>
        <v>0.42052464015556751</v>
      </c>
      <c r="AZ61" s="42">
        <f t="shared" si="119"/>
        <v>0.41233824279025388</v>
      </c>
    </row>
    <row r="62" spans="1:52" x14ac:dyDescent="0.25">
      <c r="A62" s="66" t="s">
        <v>1085</v>
      </c>
      <c r="B62" s="49">
        <v>1.339E-6</v>
      </c>
      <c r="C62" s="67">
        <f t="shared" ref="C62:AB62" si="120">IFERROR($B62/C27,0)</f>
        <v>0</v>
      </c>
      <c r="D62" s="42">
        <f t="shared" ref="D62:AA62" si="121">IFERROR(D27/$B62,0)</f>
        <v>0</v>
      </c>
      <c r="E62" s="42">
        <f t="shared" si="121"/>
        <v>0</v>
      </c>
      <c r="F62" s="42">
        <f t="shared" si="121"/>
        <v>0</v>
      </c>
      <c r="G62" s="42">
        <f t="shared" si="121"/>
        <v>0</v>
      </c>
      <c r="H62" s="42">
        <f t="shared" si="121"/>
        <v>0</v>
      </c>
      <c r="I62" s="42">
        <f t="shared" si="121"/>
        <v>0</v>
      </c>
      <c r="J62" s="42">
        <f t="shared" si="121"/>
        <v>0</v>
      </c>
      <c r="K62" s="42">
        <f t="shared" si="121"/>
        <v>0</v>
      </c>
      <c r="L62" s="42">
        <f t="shared" si="121"/>
        <v>0</v>
      </c>
      <c r="M62" s="42">
        <f t="shared" si="121"/>
        <v>0</v>
      </c>
      <c r="N62" s="42">
        <f t="shared" si="121"/>
        <v>0</v>
      </c>
      <c r="O62" s="42">
        <f t="shared" si="121"/>
        <v>0</v>
      </c>
      <c r="P62" s="42">
        <f t="shared" si="121"/>
        <v>0</v>
      </c>
      <c r="Q62" s="42">
        <f t="shared" si="121"/>
        <v>0</v>
      </c>
      <c r="R62" s="42">
        <f t="shared" si="121"/>
        <v>0</v>
      </c>
      <c r="S62" s="42">
        <f t="shared" si="121"/>
        <v>0</v>
      </c>
      <c r="T62" s="42">
        <f t="shared" si="121"/>
        <v>0</v>
      </c>
      <c r="U62" s="42">
        <f t="shared" si="121"/>
        <v>0</v>
      </c>
      <c r="V62" s="42">
        <f t="shared" si="121"/>
        <v>0</v>
      </c>
      <c r="W62" s="42">
        <f t="shared" si="121"/>
        <v>0</v>
      </c>
      <c r="X62" s="42">
        <f t="shared" si="121"/>
        <v>0</v>
      </c>
      <c r="Y62" s="42">
        <f t="shared" si="121"/>
        <v>0</v>
      </c>
      <c r="Z62" s="42">
        <f t="shared" si="121"/>
        <v>0</v>
      </c>
      <c r="AA62" s="42">
        <f t="shared" si="121"/>
        <v>0</v>
      </c>
      <c r="AB62" s="67">
        <f t="shared" si="120"/>
        <v>0</v>
      </c>
      <c r="AC62" s="42">
        <f t="shared" ref="AC62:AZ62" si="122">IFERROR(AC27/$B62,0)</f>
        <v>0</v>
      </c>
      <c r="AD62" s="42">
        <f t="shared" si="122"/>
        <v>0</v>
      </c>
      <c r="AE62" s="42">
        <f t="shared" si="122"/>
        <v>0</v>
      </c>
      <c r="AF62" s="42">
        <f t="shared" si="122"/>
        <v>0</v>
      </c>
      <c r="AG62" s="42">
        <f t="shared" si="122"/>
        <v>0</v>
      </c>
      <c r="AH62" s="42">
        <f t="shared" si="122"/>
        <v>0</v>
      </c>
      <c r="AI62" s="42">
        <f t="shared" si="122"/>
        <v>0</v>
      </c>
      <c r="AJ62" s="42">
        <f t="shared" si="122"/>
        <v>0</v>
      </c>
      <c r="AK62" s="42">
        <f t="shared" si="122"/>
        <v>0</v>
      </c>
      <c r="AL62" s="42">
        <f t="shared" si="122"/>
        <v>0</v>
      </c>
      <c r="AM62" s="42">
        <f t="shared" si="122"/>
        <v>0</v>
      </c>
      <c r="AN62" s="42">
        <f t="shared" si="122"/>
        <v>0</v>
      </c>
      <c r="AO62" s="42">
        <f t="shared" si="122"/>
        <v>0</v>
      </c>
      <c r="AP62" s="42">
        <f t="shared" si="122"/>
        <v>0</v>
      </c>
      <c r="AQ62" s="42">
        <f t="shared" si="122"/>
        <v>0</v>
      </c>
      <c r="AR62" s="42">
        <f t="shared" si="122"/>
        <v>0</v>
      </c>
      <c r="AS62" s="42">
        <f t="shared" si="122"/>
        <v>0</v>
      </c>
      <c r="AT62" s="42">
        <f t="shared" si="122"/>
        <v>0</v>
      </c>
      <c r="AU62" s="42">
        <f t="shared" si="122"/>
        <v>0</v>
      </c>
      <c r="AV62" s="42">
        <f t="shared" si="122"/>
        <v>0</v>
      </c>
      <c r="AW62" s="42">
        <f t="shared" si="122"/>
        <v>0</v>
      </c>
      <c r="AX62" s="42">
        <f t="shared" si="122"/>
        <v>0</v>
      </c>
      <c r="AY62" s="42">
        <f t="shared" si="122"/>
        <v>0</v>
      </c>
      <c r="AZ62" s="42">
        <f t="shared" si="122"/>
        <v>0</v>
      </c>
    </row>
    <row r="63" spans="1:52" x14ac:dyDescent="0.25">
      <c r="A63" s="64" t="s">
        <v>23</v>
      </c>
      <c r="B63" s="64" t="s">
        <v>1059</v>
      </c>
      <c r="C63" s="65">
        <f t="shared" ref="C63" si="123">IFERROR(1/SUM(1/D63,1/E63,1/F63,1/G63,1/H63,1/I63,1/J63,1/K63,1/L63,1/M63,1/N63,1/O63,1/P63,1/Q63,1/R63,1/S63,1/T63,1/U63,1/V63,1/W63,1/X63,1/Y63),".")</f>
        <v>5.3559134947096292E-2</v>
      </c>
      <c r="D63" s="40">
        <f t="shared" ref="D63:AA63" si="124">1/SUM(1/D66,1/D68,1/D72,1/D73,1/D75)</f>
        <v>1.0028154186288512</v>
      </c>
      <c r="E63" s="40">
        <f t="shared" si="124"/>
        <v>1.7331936197064797</v>
      </c>
      <c r="F63" s="40">
        <f t="shared" si="124"/>
        <v>2.5934428654466344</v>
      </c>
      <c r="G63" s="40">
        <f t="shared" si="124"/>
        <v>2.2456833695672547</v>
      </c>
      <c r="H63" s="40">
        <f t="shared" si="124"/>
        <v>2.5942843989355948</v>
      </c>
      <c r="I63" s="40">
        <f t="shared" si="124"/>
        <v>0.77591815083500348</v>
      </c>
      <c r="J63" s="40">
        <f t="shared" si="124"/>
        <v>2.865214525382402</v>
      </c>
      <c r="K63" s="40">
        <f t="shared" si="124"/>
        <v>0.26005142919523816</v>
      </c>
      <c r="L63" s="40">
        <f t="shared" si="124"/>
        <v>1.4727053151243734</v>
      </c>
      <c r="M63" s="40">
        <f t="shared" si="124"/>
        <v>1.0446839794839862</v>
      </c>
      <c r="N63" s="40">
        <f t="shared" si="124"/>
        <v>1.7458082863852611</v>
      </c>
      <c r="O63" s="40">
        <f t="shared" si="124"/>
        <v>2.6237706447049569</v>
      </c>
      <c r="P63" s="40">
        <f t="shared" si="124"/>
        <v>2.9566978633787397</v>
      </c>
      <c r="Q63" s="40">
        <f t="shared" si="124"/>
        <v>3.9927067468557382</v>
      </c>
      <c r="R63" s="40">
        <f t="shared" si="124"/>
        <v>0.64133753392995663</v>
      </c>
      <c r="S63" s="40">
        <f t="shared" si="124"/>
        <v>1.3321423360037077</v>
      </c>
      <c r="T63" s="40">
        <f t="shared" si="124"/>
        <v>2.1575005960253018</v>
      </c>
      <c r="U63" s="40">
        <f t="shared" si="124"/>
        <v>0.67651953738891968</v>
      </c>
      <c r="V63" s="40">
        <f t="shared" si="124"/>
        <v>1.2003922860207266</v>
      </c>
      <c r="W63" s="40">
        <f t="shared" si="124"/>
        <v>1.4950049685939033</v>
      </c>
      <c r="X63" s="40">
        <f t="shared" si="124"/>
        <v>1.989436826913382</v>
      </c>
      <c r="Y63" s="40">
        <f t="shared" si="124"/>
        <v>1.0392753117033626</v>
      </c>
      <c r="Z63" s="40">
        <f t="shared" si="124"/>
        <v>0.34338686501352489</v>
      </c>
      <c r="AA63" s="40">
        <f t="shared" si="124"/>
        <v>0.26897294221407403</v>
      </c>
      <c r="AB63" s="65">
        <f t="shared" ref="AB63" si="125">IFERROR(1/SUM(1/AC63,1/AD63,1/AE63,1/AF63,1/AG63,1/AH63,1/AI63,1/AJ63,1/AK63,1/AL63,1/AM63,1/AN63,1/AO63,1/AP63,1/AQ63,1/AR63,1/AS63,1/AT63,1/AU63,1/AV63,1/AW63,1/AX63),".")</f>
        <v>5.0636703127086631E-2</v>
      </c>
      <c r="AC63" s="40">
        <f t="shared" ref="AC63:AZ63" si="126">1/SUM(1/AC66,1/AC68,1/AC72,1/AC73,1/AC75)</f>
        <v>0.87127235619471011</v>
      </c>
      <c r="AD63" s="40">
        <f t="shared" si="126"/>
        <v>1.6256721066986981</v>
      </c>
      <c r="AE63" s="40">
        <f t="shared" si="126"/>
        <v>2.3817332437775223</v>
      </c>
      <c r="AF63" s="40">
        <f t="shared" si="126"/>
        <v>2.1843313665976374</v>
      </c>
      <c r="AG63" s="40">
        <f t="shared" si="126"/>
        <v>2.230366749067807</v>
      </c>
      <c r="AH63" s="40">
        <f t="shared" si="126"/>
        <v>0.76734423966042864</v>
      </c>
      <c r="AI63" s="40">
        <f t="shared" si="126"/>
        <v>3.0810980741829326</v>
      </c>
      <c r="AJ63" s="40">
        <f t="shared" si="126"/>
        <v>0.25180081582124991</v>
      </c>
      <c r="AK63" s="40">
        <f t="shared" si="126"/>
        <v>1.0170066059273202</v>
      </c>
      <c r="AL63" s="40">
        <f t="shared" si="126"/>
        <v>1.4712632711066143</v>
      </c>
      <c r="AM63" s="40">
        <f t="shared" si="126"/>
        <v>1.6027277364720072</v>
      </c>
      <c r="AN63" s="40">
        <f t="shared" si="126"/>
        <v>2.4308632187485308</v>
      </c>
      <c r="AO63" s="40">
        <f t="shared" si="126"/>
        <v>2.7341495110700129</v>
      </c>
      <c r="AP63" s="40">
        <f t="shared" si="126"/>
        <v>2.9895804236787593</v>
      </c>
      <c r="AQ63" s="40">
        <f t="shared" si="126"/>
        <v>0.71753116019349716</v>
      </c>
      <c r="AR63" s="40">
        <f t="shared" si="126"/>
        <v>1.1797085628558694</v>
      </c>
      <c r="AS63" s="40">
        <f t="shared" si="126"/>
        <v>2.3916153007012002</v>
      </c>
      <c r="AT63" s="40">
        <f t="shared" si="126"/>
        <v>0.57787473700201875</v>
      </c>
      <c r="AU63" s="40">
        <f t="shared" si="126"/>
        <v>1.1699652717226263</v>
      </c>
      <c r="AV63" s="40">
        <f t="shared" si="126"/>
        <v>1.4231363165525235</v>
      </c>
      <c r="AW63" s="40">
        <f t="shared" si="126"/>
        <v>1.9261412962611928</v>
      </c>
      <c r="AX63" s="40">
        <f t="shared" si="126"/>
        <v>0.83651276539682662</v>
      </c>
      <c r="AY63" s="40">
        <f t="shared" si="126"/>
        <v>0.26887005846816969</v>
      </c>
      <c r="AZ63" s="40">
        <f t="shared" si="126"/>
        <v>0.25735536127176878</v>
      </c>
    </row>
    <row r="64" spans="1:52" x14ac:dyDescent="0.25">
      <c r="A64" s="66" t="s">
        <v>1075</v>
      </c>
      <c r="B64" s="49">
        <v>1</v>
      </c>
      <c r="C64" s="67">
        <f t="shared" ref="C64:AB64" si="127">IFERROR($B64/C25,0)</f>
        <v>0</v>
      </c>
      <c r="D64" s="42">
        <f t="shared" ref="D64:AA64" si="128">IFERROR(D25/$B50,0)</f>
        <v>0</v>
      </c>
      <c r="E64" s="42">
        <f t="shared" si="128"/>
        <v>0</v>
      </c>
      <c r="F64" s="42">
        <f t="shared" si="128"/>
        <v>0</v>
      </c>
      <c r="G64" s="42">
        <f t="shared" si="128"/>
        <v>0</v>
      </c>
      <c r="H64" s="42">
        <f t="shared" si="128"/>
        <v>0</v>
      </c>
      <c r="I64" s="42">
        <f t="shared" si="128"/>
        <v>0</v>
      </c>
      <c r="J64" s="42">
        <f t="shared" si="128"/>
        <v>0</v>
      </c>
      <c r="K64" s="42">
        <f t="shared" si="128"/>
        <v>0</v>
      </c>
      <c r="L64" s="42">
        <f t="shared" si="128"/>
        <v>0</v>
      </c>
      <c r="M64" s="42">
        <f t="shared" si="128"/>
        <v>0</v>
      </c>
      <c r="N64" s="42">
        <f t="shared" si="128"/>
        <v>0</v>
      </c>
      <c r="O64" s="42">
        <f t="shared" si="128"/>
        <v>0</v>
      </c>
      <c r="P64" s="42">
        <f t="shared" si="128"/>
        <v>0</v>
      </c>
      <c r="Q64" s="42">
        <f t="shared" si="128"/>
        <v>0</v>
      </c>
      <c r="R64" s="42">
        <f t="shared" si="128"/>
        <v>0</v>
      </c>
      <c r="S64" s="42">
        <f t="shared" si="128"/>
        <v>0</v>
      </c>
      <c r="T64" s="42">
        <f t="shared" si="128"/>
        <v>0</v>
      </c>
      <c r="U64" s="42">
        <f t="shared" si="128"/>
        <v>0</v>
      </c>
      <c r="V64" s="42">
        <f t="shared" si="128"/>
        <v>0</v>
      </c>
      <c r="W64" s="42">
        <f t="shared" si="128"/>
        <v>0</v>
      </c>
      <c r="X64" s="42">
        <f t="shared" si="128"/>
        <v>0</v>
      </c>
      <c r="Y64" s="42">
        <f t="shared" si="128"/>
        <v>0</v>
      </c>
      <c r="Z64" s="42">
        <f t="shared" si="128"/>
        <v>0</v>
      </c>
      <c r="AA64" s="42">
        <f t="shared" si="128"/>
        <v>0</v>
      </c>
      <c r="AB64" s="67">
        <f t="shared" si="127"/>
        <v>0</v>
      </c>
      <c r="AC64" s="42">
        <f t="shared" ref="AC64:AZ64" si="129">IFERROR(AC25/$B50,0)</f>
        <v>0</v>
      </c>
      <c r="AD64" s="42">
        <f t="shared" si="129"/>
        <v>0</v>
      </c>
      <c r="AE64" s="42">
        <f t="shared" si="129"/>
        <v>0</v>
      </c>
      <c r="AF64" s="42">
        <f t="shared" si="129"/>
        <v>0</v>
      </c>
      <c r="AG64" s="42">
        <f t="shared" si="129"/>
        <v>0</v>
      </c>
      <c r="AH64" s="42">
        <f t="shared" si="129"/>
        <v>0</v>
      </c>
      <c r="AI64" s="42">
        <f t="shared" si="129"/>
        <v>0</v>
      </c>
      <c r="AJ64" s="42">
        <f t="shared" si="129"/>
        <v>0</v>
      </c>
      <c r="AK64" s="42">
        <f t="shared" si="129"/>
        <v>0</v>
      </c>
      <c r="AL64" s="42">
        <f t="shared" si="129"/>
        <v>0</v>
      </c>
      <c r="AM64" s="42">
        <f t="shared" si="129"/>
        <v>0</v>
      </c>
      <c r="AN64" s="42">
        <f t="shared" si="129"/>
        <v>0</v>
      </c>
      <c r="AO64" s="42">
        <f t="shared" si="129"/>
        <v>0</v>
      </c>
      <c r="AP64" s="42">
        <f t="shared" si="129"/>
        <v>0</v>
      </c>
      <c r="AQ64" s="42">
        <f t="shared" si="129"/>
        <v>0</v>
      </c>
      <c r="AR64" s="42">
        <f t="shared" si="129"/>
        <v>0</v>
      </c>
      <c r="AS64" s="42">
        <f t="shared" si="129"/>
        <v>0</v>
      </c>
      <c r="AT64" s="42">
        <f t="shared" si="129"/>
        <v>0</v>
      </c>
      <c r="AU64" s="42">
        <f t="shared" si="129"/>
        <v>0</v>
      </c>
      <c r="AV64" s="42">
        <f t="shared" si="129"/>
        <v>0</v>
      </c>
      <c r="AW64" s="42">
        <f t="shared" si="129"/>
        <v>0</v>
      </c>
      <c r="AX64" s="42">
        <f t="shared" si="129"/>
        <v>0</v>
      </c>
      <c r="AY64" s="42">
        <f t="shared" si="129"/>
        <v>0</v>
      </c>
      <c r="AZ64" s="42">
        <f t="shared" si="129"/>
        <v>0</v>
      </c>
    </row>
    <row r="65" spans="1:52" x14ac:dyDescent="0.25">
      <c r="A65" s="66" t="s">
        <v>1061</v>
      </c>
      <c r="B65" s="49">
        <v>1</v>
      </c>
      <c r="C65" s="67">
        <f t="shared" ref="C65:AB65" si="130">IFERROR($B65/C21,0)</f>
        <v>0</v>
      </c>
      <c r="D65" s="42">
        <f t="shared" ref="D65:AA65" si="131">IFERROR(D21/$B51,0)</f>
        <v>0</v>
      </c>
      <c r="E65" s="42">
        <f t="shared" si="131"/>
        <v>0</v>
      </c>
      <c r="F65" s="42">
        <f t="shared" si="131"/>
        <v>0</v>
      </c>
      <c r="G65" s="42">
        <f t="shared" si="131"/>
        <v>0</v>
      </c>
      <c r="H65" s="42">
        <f t="shared" si="131"/>
        <v>0</v>
      </c>
      <c r="I65" s="42">
        <f t="shared" si="131"/>
        <v>0</v>
      </c>
      <c r="J65" s="42">
        <f t="shared" si="131"/>
        <v>0</v>
      </c>
      <c r="K65" s="42">
        <f t="shared" si="131"/>
        <v>0</v>
      </c>
      <c r="L65" s="42">
        <f t="shared" si="131"/>
        <v>0</v>
      </c>
      <c r="M65" s="42">
        <f t="shared" si="131"/>
        <v>0</v>
      </c>
      <c r="N65" s="42">
        <f t="shared" si="131"/>
        <v>0</v>
      </c>
      <c r="O65" s="42">
        <f t="shared" si="131"/>
        <v>0</v>
      </c>
      <c r="P65" s="42">
        <f t="shared" si="131"/>
        <v>0</v>
      </c>
      <c r="Q65" s="42">
        <f t="shared" si="131"/>
        <v>0</v>
      </c>
      <c r="R65" s="42">
        <f t="shared" si="131"/>
        <v>0</v>
      </c>
      <c r="S65" s="42">
        <f t="shared" si="131"/>
        <v>0</v>
      </c>
      <c r="T65" s="42">
        <f t="shared" si="131"/>
        <v>0</v>
      </c>
      <c r="U65" s="42">
        <f t="shared" si="131"/>
        <v>0</v>
      </c>
      <c r="V65" s="42">
        <f t="shared" si="131"/>
        <v>0</v>
      </c>
      <c r="W65" s="42">
        <f t="shared" si="131"/>
        <v>0</v>
      </c>
      <c r="X65" s="42">
        <f t="shared" si="131"/>
        <v>0</v>
      </c>
      <c r="Y65" s="42">
        <f t="shared" si="131"/>
        <v>0</v>
      </c>
      <c r="Z65" s="42">
        <f t="shared" si="131"/>
        <v>0</v>
      </c>
      <c r="AA65" s="42">
        <f t="shared" si="131"/>
        <v>0</v>
      </c>
      <c r="AB65" s="67">
        <f t="shared" si="130"/>
        <v>0</v>
      </c>
      <c r="AC65" s="42">
        <f t="shared" ref="AC65:AZ65" si="132">IFERROR(AC21/$B51,0)</f>
        <v>0</v>
      </c>
      <c r="AD65" s="42">
        <f t="shared" si="132"/>
        <v>0</v>
      </c>
      <c r="AE65" s="42">
        <f t="shared" si="132"/>
        <v>0</v>
      </c>
      <c r="AF65" s="42">
        <f t="shared" si="132"/>
        <v>0</v>
      </c>
      <c r="AG65" s="42">
        <f t="shared" si="132"/>
        <v>0</v>
      </c>
      <c r="AH65" s="42">
        <f t="shared" si="132"/>
        <v>0</v>
      </c>
      <c r="AI65" s="42">
        <f t="shared" si="132"/>
        <v>0</v>
      </c>
      <c r="AJ65" s="42">
        <f t="shared" si="132"/>
        <v>0</v>
      </c>
      <c r="AK65" s="42">
        <f t="shared" si="132"/>
        <v>0</v>
      </c>
      <c r="AL65" s="42">
        <f t="shared" si="132"/>
        <v>0</v>
      </c>
      <c r="AM65" s="42">
        <f t="shared" si="132"/>
        <v>0</v>
      </c>
      <c r="AN65" s="42">
        <f t="shared" si="132"/>
        <v>0</v>
      </c>
      <c r="AO65" s="42">
        <f t="shared" si="132"/>
        <v>0</v>
      </c>
      <c r="AP65" s="42">
        <f t="shared" si="132"/>
        <v>0</v>
      </c>
      <c r="AQ65" s="42">
        <f t="shared" si="132"/>
        <v>0</v>
      </c>
      <c r="AR65" s="42">
        <f t="shared" si="132"/>
        <v>0</v>
      </c>
      <c r="AS65" s="42">
        <f t="shared" si="132"/>
        <v>0</v>
      </c>
      <c r="AT65" s="42">
        <f t="shared" si="132"/>
        <v>0</v>
      </c>
      <c r="AU65" s="42">
        <f t="shared" si="132"/>
        <v>0</v>
      </c>
      <c r="AV65" s="42">
        <f t="shared" si="132"/>
        <v>0</v>
      </c>
      <c r="AW65" s="42">
        <f t="shared" si="132"/>
        <v>0</v>
      </c>
      <c r="AX65" s="42">
        <f t="shared" si="132"/>
        <v>0</v>
      </c>
      <c r="AY65" s="42">
        <f t="shared" si="132"/>
        <v>0</v>
      </c>
      <c r="AZ65" s="42">
        <f t="shared" si="132"/>
        <v>0</v>
      </c>
    </row>
    <row r="66" spans="1:52" x14ac:dyDescent="0.25">
      <c r="A66" s="66" t="s">
        <v>1062</v>
      </c>
      <c r="B66" s="49">
        <v>0.99980000000000002</v>
      </c>
      <c r="C66" s="67">
        <f t="shared" ref="C66:AB66" si="133">IFERROR($B66/C17,0)</f>
        <v>1.4595363433259343E-3</v>
      </c>
      <c r="D66" s="42">
        <f t="shared" ref="D66:AA66" si="134">IFERROR(D17/$B52,0)</f>
        <v>13208.889439500515</v>
      </c>
      <c r="E66" s="42">
        <f t="shared" si="134"/>
        <v>18068.802113839345</v>
      </c>
      <c r="F66" s="42">
        <f t="shared" si="134"/>
        <v>34360.173492841612</v>
      </c>
      <c r="G66" s="42">
        <f t="shared" si="134"/>
        <v>29579.795640609322</v>
      </c>
      <c r="H66" s="42">
        <f t="shared" si="134"/>
        <v>33300.672513895013</v>
      </c>
      <c r="I66" s="42">
        <f t="shared" si="134"/>
        <v>8089.4513522141324</v>
      </c>
      <c r="J66" s="42">
        <f t="shared" si="134"/>
        <v>37960.152304750853</v>
      </c>
      <c r="K66" s="42">
        <f t="shared" si="134"/>
        <v>3425.3414907016818</v>
      </c>
      <c r="L66" s="42">
        <f t="shared" si="134"/>
        <v>20412.821966079526</v>
      </c>
      <c r="M66" s="42">
        <f t="shared" si="134"/>
        <v>13400.233473636294</v>
      </c>
      <c r="N66" s="42">
        <f t="shared" si="134"/>
        <v>18620.969460487835</v>
      </c>
      <c r="O66" s="42">
        <f t="shared" si="134"/>
        <v>35533.847506931314</v>
      </c>
      <c r="P66" s="42">
        <f t="shared" si="134"/>
        <v>37926.885789455169</v>
      </c>
      <c r="Q66" s="42">
        <f t="shared" si="134"/>
        <v>51216.876575416623</v>
      </c>
      <c r="R66" s="42">
        <f t="shared" si="134"/>
        <v>8447.5295443232735</v>
      </c>
      <c r="S66" s="42">
        <f t="shared" si="134"/>
        <v>17545.269188784976</v>
      </c>
      <c r="T66" s="42">
        <f t="shared" si="134"/>
        <v>29190.502438745305</v>
      </c>
      <c r="U66" s="42">
        <f t="shared" si="134"/>
        <v>9501.2883694245556</v>
      </c>
      <c r="V66" s="42">
        <f t="shared" si="134"/>
        <v>15397.719015025119</v>
      </c>
      <c r="W66" s="42">
        <f t="shared" si="134"/>
        <v>20253.00383614438</v>
      </c>
      <c r="X66" s="42">
        <f t="shared" si="134"/>
        <v>26203.392365821866</v>
      </c>
      <c r="Y66" s="42">
        <f t="shared" si="134"/>
        <v>13345.894217972698</v>
      </c>
      <c r="Z66" s="42">
        <f t="shared" si="134"/>
        <v>4894.4233852992893</v>
      </c>
      <c r="AA66" s="42">
        <f t="shared" si="134"/>
        <v>3678.1469721871058</v>
      </c>
      <c r="AB66" s="67">
        <f t="shared" si="133"/>
        <v>1.5412089488809279E-3</v>
      </c>
      <c r="AC66" s="42">
        <f t="shared" ref="AC66:AZ66" si="135">IFERROR(AC17/$B52,0)</f>
        <v>11476.229833407086</v>
      </c>
      <c r="AD66" s="42">
        <f t="shared" si="135"/>
        <v>16947.874296295671</v>
      </c>
      <c r="AE66" s="42">
        <f t="shared" si="135"/>
        <v>31555.261370977001</v>
      </c>
      <c r="AF66" s="42">
        <f t="shared" si="135"/>
        <v>28771.676502098249</v>
      </c>
      <c r="AG66" s="42">
        <f t="shared" si="135"/>
        <v>28629.364123324689</v>
      </c>
      <c r="AH66" s="42">
        <f t="shared" si="135"/>
        <v>8000.0627520501994</v>
      </c>
      <c r="AI66" s="42">
        <f t="shared" si="135"/>
        <v>40820.312449815217</v>
      </c>
      <c r="AJ66" s="42">
        <f t="shared" si="135"/>
        <v>3316.6661859701612</v>
      </c>
      <c r="AK66" s="42">
        <f t="shared" si="135"/>
        <v>14096.489346456903</v>
      </c>
      <c r="AL66" s="42">
        <f t="shared" si="135"/>
        <v>18871.995475371117</v>
      </c>
      <c r="AM66" s="42">
        <f t="shared" si="135"/>
        <v>17094.857704058373</v>
      </c>
      <c r="AN66" s="42">
        <f t="shared" si="135"/>
        <v>32921.293291979695</v>
      </c>
      <c r="AO66" s="42">
        <f t="shared" si="135"/>
        <v>35072.158546205799</v>
      </c>
      <c r="AP66" s="42">
        <f t="shared" si="135"/>
        <v>38349.165435807809</v>
      </c>
      <c r="AQ66" s="42">
        <f t="shared" si="135"/>
        <v>9451.1319765811695</v>
      </c>
      <c r="AR66" s="42">
        <f t="shared" si="135"/>
        <v>15537.60716119399</v>
      </c>
      <c r="AS66" s="42">
        <f t="shared" si="135"/>
        <v>32358.022239378442</v>
      </c>
      <c r="AT66" s="42">
        <f t="shared" si="135"/>
        <v>8115.8846333585288</v>
      </c>
      <c r="AU66" s="42">
        <f t="shared" si="135"/>
        <v>15007.424423761635</v>
      </c>
      <c r="AV66" s="42">
        <f t="shared" si="135"/>
        <v>19279.390961224239</v>
      </c>
      <c r="AW66" s="42">
        <f t="shared" si="135"/>
        <v>25369.71038997572</v>
      </c>
      <c r="AX66" s="42">
        <f t="shared" si="135"/>
        <v>10742.111116516515</v>
      </c>
      <c r="AY66" s="42">
        <f t="shared" si="135"/>
        <v>3832.3070444804735</v>
      </c>
      <c r="AZ66" s="42">
        <f t="shared" si="135"/>
        <v>3519.2790585028029</v>
      </c>
    </row>
    <row r="67" spans="1:52" x14ac:dyDescent="0.25">
      <c r="A67" s="66" t="s">
        <v>1076</v>
      </c>
      <c r="B67" s="49">
        <v>2.0000000000000001E-4</v>
      </c>
      <c r="C67" s="67">
        <f t="shared" ref="C67:AB67" si="136">IFERROR($B67/C5,0)</f>
        <v>0</v>
      </c>
      <c r="D67" s="42">
        <f t="shared" ref="D67:AA67" si="137">IFERROR(D5/$B53,0)</f>
        <v>0</v>
      </c>
      <c r="E67" s="42">
        <f t="shared" si="137"/>
        <v>0</v>
      </c>
      <c r="F67" s="42">
        <f t="shared" si="137"/>
        <v>0</v>
      </c>
      <c r="G67" s="42">
        <f t="shared" si="137"/>
        <v>0</v>
      </c>
      <c r="H67" s="42">
        <f t="shared" si="137"/>
        <v>0</v>
      </c>
      <c r="I67" s="42">
        <f t="shared" si="137"/>
        <v>0</v>
      </c>
      <c r="J67" s="42">
        <f t="shared" si="137"/>
        <v>0</v>
      </c>
      <c r="K67" s="42">
        <f t="shared" si="137"/>
        <v>0</v>
      </c>
      <c r="L67" s="42">
        <f t="shared" si="137"/>
        <v>0</v>
      </c>
      <c r="M67" s="42">
        <f t="shared" si="137"/>
        <v>0</v>
      </c>
      <c r="N67" s="42">
        <f t="shared" si="137"/>
        <v>0</v>
      </c>
      <c r="O67" s="42">
        <f t="shared" si="137"/>
        <v>0</v>
      </c>
      <c r="P67" s="42">
        <f t="shared" si="137"/>
        <v>0</v>
      </c>
      <c r="Q67" s="42">
        <f t="shared" si="137"/>
        <v>0</v>
      </c>
      <c r="R67" s="42">
        <f t="shared" si="137"/>
        <v>0</v>
      </c>
      <c r="S67" s="42">
        <f t="shared" si="137"/>
        <v>0</v>
      </c>
      <c r="T67" s="42">
        <f t="shared" si="137"/>
        <v>0</v>
      </c>
      <c r="U67" s="42">
        <f t="shared" si="137"/>
        <v>0</v>
      </c>
      <c r="V67" s="42">
        <f t="shared" si="137"/>
        <v>0</v>
      </c>
      <c r="W67" s="42">
        <f t="shared" si="137"/>
        <v>0</v>
      </c>
      <c r="X67" s="42">
        <f t="shared" si="137"/>
        <v>0</v>
      </c>
      <c r="Y67" s="42">
        <f t="shared" si="137"/>
        <v>0</v>
      </c>
      <c r="Z67" s="42">
        <f t="shared" si="137"/>
        <v>0</v>
      </c>
      <c r="AA67" s="42">
        <f t="shared" si="137"/>
        <v>0</v>
      </c>
      <c r="AB67" s="67">
        <f t="shared" si="136"/>
        <v>0</v>
      </c>
      <c r="AC67" s="42">
        <f t="shared" ref="AC67:AZ67" si="138">IFERROR(AC5/$B53,0)</f>
        <v>0</v>
      </c>
      <c r="AD67" s="42">
        <f t="shared" si="138"/>
        <v>0</v>
      </c>
      <c r="AE67" s="42">
        <f t="shared" si="138"/>
        <v>0</v>
      </c>
      <c r="AF67" s="42">
        <f t="shared" si="138"/>
        <v>0</v>
      </c>
      <c r="AG67" s="42">
        <f t="shared" si="138"/>
        <v>0</v>
      </c>
      <c r="AH67" s="42">
        <f t="shared" si="138"/>
        <v>0</v>
      </c>
      <c r="AI67" s="42">
        <f t="shared" si="138"/>
        <v>0</v>
      </c>
      <c r="AJ67" s="42">
        <f t="shared" si="138"/>
        <v>0</v>
      </c>
      <c r="AK67" s="42">
        <f t="shared" si="138"/>
        <v>0</v>
      </c>
      <c r="AL67" s="42">
        <f t="shared" si="138"/>
        <v>0</v>
      </c>
      <c r="AM67" s="42">
        <f t="shared" si="138"/>
        <v>0</v>
      </c>
      <c r="AN67" s="42">
        <f t="shared" si="138"/>
        <v>0</v>
      </c>
      <c r="AO67" s="42">
        <f t="shared" si="138"/>
        <v>0</v>
      </c>
      <c r="AP67" s="42">
        <f t="shared" si="138"/>
        <v>0</v>
      </c>
      <c r="AQ67" s="42">
        <f t="shared" si="138"/>
        <v>0</v>
      </c>
      <c r="AR67" s="42">
        <f t="shared" si="138"/>
        <v>0</v>
      </c>
      <c r="AS67" s="42">
        <f t="shared" si="138"/>
        <v>0</v>
      </c>
      <c r="AT67" s="42">
        <f t="shared" si="138"/>
        <v>0</v>
      </c>
      <c r="AU67" s="42">
        <f t="shared" si="138"/>
        <v>0</v>
      </c>
      <c r="AV67" s="42">
        <f t="shared" si="138"/>
        <v>0</v>
      </c>
      <c r="AW67" s="42">
        <f t="shared" si="138"/>
        <v>0</v>
      </c>
      <c r="AX67" s="42">
        <f t="shared" si="138"/>
        <v>0</v>
      </c>
      <c r="AY67" s="42">
        <f t="shared" si="138"/>
        <v>0</v>
      </c>
      <c r="AZ67" s="42">
        <f t="shared" si="138"/>
        <v>0</v>
      </c>
    </row>
    <row r="68" spans="1:52" x14ac:dyDescent="0.25">
      <c r="A68" s="66" t="s">
        <v>1077</v>
      </c>
      <c r="B68" s="49">
        <v>0.99999979999999999</v>
      </c>
      <c r="C68" s="67">
        <f t="shared" ref="C68:AB68" si="139">IFERROR($B68/C9,0)</f>
        <v>1.8513004600375694E-3</v>
      </c>
      <c r="D68" s="42">
        <f t="shared" ref="D68:AA68" si="140">IFERROR(D9/$B54,0)</f>
        <v>9781.5998453808097</v>
      </c>
      <c r="E68" s="42">
        <f t="shared" si="140"/>
        <v>21738.197336172714</v>
      </c>
      <c r="F68" s="42">
        <f t="shared" si="140"/>
        <v>26578.051489393423</v>
      </c>
      <c r="G68" s="42">
        <f t="shared" si="140"/>
        <v>21905.295388770781</v>
      </c>
      <c r="H68" s="42">
        <f t="shared" si="140"/>
        <v>25838.912003338966</v>
      </c>
      <c r="I68" s="42">
        <f t="shared" si="140"/>
        <v>9732.3871458519588</v>
      </c>
      <c r="J68" s="42">
        <f t="shared" si="140"/>
        <v>29358.354391550598</v>
      </c>
      <c r="K68" s="42">
        <f t="shared" si="140"/>
        <v>2536.5433176204442</v>
      </c>
      <c r="L68" s="42">
        <f t="shared" si="140"/>
        <v>13928.232292140732</v>
      </c>
      <c r="M68" s="42">
        <f t="shared" si="140"/>
        <v>10361.605520515957</v>
      </c>
      <c r="N68" s="42">
        <f t="shared" si="140"/>
        <v>22555.911057996062</v>
      </c>
      <c r="O68" s="42">
        <f t="shared" si="140"/>
        <v>25606.957281855503</v>
      </c>
      <c r="P68" s="42">
        <f t="shared" si="140"/>
        <v>29330.832356798222</v>
      </c>
      <c r="Q68" s="42">
        <f t="shared" si="140"/>
        <v>39611.0953733239</v>
      </c>
      <c r="R68" s="42">
        <f t="shared" si="140"/>
        <v>6255.4137772416825</v>
      </c>
      <c r="S68" s="42">
        <f t="shared" si="140"/>
        <v>12984.556073801885</v>
      </c>
      <c r="T68" s="42">
        <f t="shared" si="140"/>
        <v>20711.450069498391</v>
      </c>
      <c r="U68" s="42">
        <f t="shared" si="140"/>
        <v>6503.8191760084337</v>
      </c>
      <c r="V68" s="42">
        <f t="shared" si="140"/>
        <v>11906.913947697054</v>
      </c>
      <c r="W68" s="42">
        <f t="shared" si="140"/>
        <v>14665.435101298317</v>
      </c>
      <c r="X68" s="42">
        <f t="shared" si="140"/>
        <v>19398.266681113477</v>
      </c>
      <c r="Y68" s="42">
        <f t="shared" si="140"/>
        <v>10376.726793359048</v>
      </c>
      <c r="Z68" s="42">
        <f t="shared" si="140"/>
        <v>5093.4867841429495</v>
      </c>
      <c r="AA68" s="42">
        <f t="shared" si="140"/>
        <v>3944.1444938051968</v>
      </c>
      <c r="AB68" s="67">
        <f t="shared" si="139"/>
        <v>1.9600663959171106E-3</v>
      </c>
      <c r="AC68" s="42">
        <f t="shared" ref="AC68:AZ68" si="141">IFERROR(AC9/$B54,0)</f>
        <v>8498.5106793546038</v>
      </c>
      <c r="AD68" s="42">
        <f t="shared" si="141"/>
        <v>20389.632558947847</v>
      </c>
      <c r="AE68" s="42">
        <f t="shared" si="141"/>
        <v>24408.414633116412</v>
      </c>
      <c r="AF68" s="42">
        <f t="shared" si="141"/>
        <v>21306.843369240887</v>
      </c>
      <c r="AG68" s="42">
        <f t="shared" si="141"/>
        <v>22214.314740504658</v>
      </c>
      <c r="AH68" s="42">
        <f t="shared" si="141"/>
        <v>9624.8440721201368</v>
      </c>
      <c r="AI68" s="42">
        <f t="shared" si="141"/>
        <v>31570.400183181398</v>
      </c>
      <c r="AJ68" s="42">
        <f t="shared" si="141"/>
        <v>2456.0667815566962</v>
      </c>
      <c r="AK68" s="42">
        <f t="shared" si="141"/>
        <v>9618.4240693129232</v>
      </c>
      <c r="AL68" s="42">
        <f t="shared" si="141"/>
        <v>14592.59444139331</v>
      </c>
      <c r="AM68" s="42">
        <f t="shared" si="141"/>
        <v>20707.304780238748</v>
      </c>
      <c r="AN68" s="42">
        <f t="shared" si="141"/>
        <v>23724.257577981658</v>
      </c>
      <c r="AO68" s="42">
        <f t="shared" si="141"/>
        <v>27123.123380613</v>
      </c>
      <c r="AP68" s="42">
        <f t="shared" si="141"/>
        <v>29659.216866306982</v>
      </c>
      <c r="AQ68" s="42">
        <f t="shared" si="141"/>
        <v>6998.5835345866653</v>
      </c>
      <c r="AR68" s="42">
        <f t="shared" si="141"/>
        <v>11498.765237878933</v>
      </c>
      <c r="AS68" s="42">
        <f t="shared" si="141"/>
        <v>22958.8909394398</v>
      </c>
      <c r="AT68" s="42">
        <f t="shared" si="141"/>
        <v>5555.4830099221836</v>
      </c>
      <c r="AU68" s="42">
        <f t="shared" si="141"/>
        <v>11605.102743849837</v>
      </c>
      <c r="AV68" s="42">
        <f t="shared" si="141"/>
        <v>13960.430720395185</v>
      </c>
      <c r="AW68" s="42">
        <f t="shared" si="141"/>
        <v>18781.095245105262</v>
      </c>
      <c r="AX68" s="42">
        <f t="shared" si="141"/>
        <v>8352.2280650093089</v>
      </c>
      <c r="AY68" s="42">
        <f t="shared" si="141"/>
        <v>3988.172609355413</v>
      </c>
      <c r="AZ68" s="42">
        <f t="shared" si="141"/>
        <v>3773.7875146691304</v>
      </c>
    </row>
    <row r="69" spans="1:52" x14ac:dyDescent="0.25">
      <c r="A69" s="66" t="s">
        <v>1078</v>
      </c>
      <c r="B69" s="49">
        <v>1.9999999999999999E-7</v>
      </c>
      <c r="C69" s="67">
        <f t="shared" ref="C69:AB69" si="142">IFERROR($B69/C24,0)</f>
        <v>0</v>
      </c>
      <c r="D69" s="42">
        <f t="shared" ref="D69:AA69" si="143">IFERROR(D24/$B55,0)</f>
        <v>0</v>
      </c>
      <c r="E69" s="42">
        <f t="shared" si="143"/>
        <v>0</v>
      </c>
      <c r="F69" s="42">
        <f t="shared" si="143"/>
        <v>0</v>
      </c>
      <c r="G69" s="42">
        <f t="shared" si="143"/>
        <v>0</v>
      </c>
      <c r="H69" s="42">
        <f t="shared" si="143"/>
        <v>0</v>
      </c>
      <c r="I69" s="42">
        <f t="shared" si="143"/>
        <v>0</v>
      </c>
      <c r="J69" s="42">
        <f t="shared" si="143"/>
        <v>0</v>
      </c>
      <c r="K69" s="42">
        <f t="shared" si="143"/>
        <v>0</v>
      </c>
      <c r="L69" s="42">
        <f t="shared" si="143"/>
        <v>0</v>
      </c>
      <c r="M69" s="42">
        <f t="shared" si="143"/>
        <v>0</v>
      </c>
      <c r="N69" s="42">
        <f t="shared" si="143"/>
        <v>0</v>
      </c>
      <c r="O69" s="42">
        <f t="shared" si="143"/>
        <v>0</v>
      </c>
      <c r="P69" s="42">
        <f t="shared" si="143"/>
        <v>0</v>
      </c>
      <c r="Q69" s="42">
        <f t="shared" si="143"/>
        <v>0</v>
      </c>
      <c r="R69" s="42">
        <f t="shared" si="143"/>
        <v>0</v>
      </c>
      <c r="S69" s="42">
        <f t="shared" si="143"/>
        <v>0</v>
      </c>
      <c r="T69" s="42">
        <f t="shared" si="143"/>
        <v>0</v>
      </c>
      <c r="U69" s="42">
        <f t="shared" si="143"/>
        <v>0</v>
      </c>
      <c r="V69" s="42">
        <f t="shared" si="143"/>
        <v>0</v>
      </c>
      <c r="W69" s="42">
        <f t="shared" si="143"/>
        <v>0</v>
      </c>
      <c r="X69" s="42">
        <f t="shared" si="143"/>
        <v>0</v>
      </c>
      <c r="Y69" s="42">
        <f t="shared" si="143"/>
        <v>0</v>
      </c>
      <c r="Z69" s="42">
        <f t="shared" si="143"/>
        <v>0</v>
      </c>
      <c r="AA69" s="42">
        <f t="shared" si="143"/>
        <v>0</v>
      </c>
      <c r="AB69" s="67">
        <f t="shared" si="142"/>
        <v>0</v>
      </c>
      <c r="AC69" s="42">
        <f t="shared" ref="AC69:AZ69" si="144">IFERROR(AC24/$B55,0)</f>
        <v>0</v>
      </c>
      <c r="AD69" s="42">
        <f t="shared" si="144"/>
        <v>0</v>
      </c>
      <c r="AE69" s="42">
        <f t="shared" si="144"/>
        <v>0</v>
      </c>
      <c r="AF69" s="42">
        <f t="shared" si="144"/>
        <v>0</v>
      </c>
      <c r="AG69" s="42">
        <f t="shared" si="144"/>
        <v>0</v>
      </c>
      <c r="AH69" s="42">
        <f t="shared" si="144"/>
        <v>0</v>
      </c>
      <c r="AI69" s="42">
        <f t="shared" si="144"/>
        <v>0</v>
      </c>
      <c r="AJ69" s="42">
        <f t="shared" si="144"/>
        <v>0</v>
      </c>
      <c r="AK69" s="42">
        <f t="shared" si="144"/>
        <v>0</v>
      </c>
      <c r="AL69" s="42">
        <f t="shared" si="144"/>
        <v>0</v>
      </c>
      <c r="AM69" s="42">
        <f t="shared" si="144"/>
        <v>0</v>
      </c>
      <c r="AN69" s="42">
        <f t="shared" si="144"/>
        <v>0</v>
      </c>
      <c r="AO69" s="42">
        <f t="shared" si="144"/>
        <v>0</v>
      </c>
      <c r="AP69" s="42">
        <f t="shared" si="144"/>
        <v>0</v>
      </c>
      <c r="AQ69" s="42">
        <f t="shared" si="144"/>
        <v>0</v>
      </c>
      <c r="AR69" s="42">
        <f t="shared" si="144"/>
        <v>0</v>
      </c>
      <c r="AS69" s="42">
        <f t="shared" si="144"/>
        <v>0</v>
      </c>
      <c r="AT69" s="42">
        <f t="shared" si="144"/>
        <v>0</v>
      </c>
      <c r="AU69" s="42">
        <f t="shared" si="144"/>
        <v>0</v>
      </c>
      <c r="AV69" s="42">
        <f t="shared" si="144"/>
        <v>0</v>
      </c>
      <c r="AW69" s="42">
        <f t="shared" si="144"/>
        <v>0</v>
      </c>
      <c r="AX69" s="42">
        <f t="shared" si="144"/>
        <v>0</v>
      </c>
      <c r="AY69" s="42">
        <f t="shared" si="144"/>
        <v>0</v>
      </c>
      <c r="AZ69" s="42">
        <f t="shared" si="144"/>
        <v>0</v>
      </c>
    </row>
    <row r="70" spans="1:52" x14ac:dyDescent="0.25">
      <c r="A70" s="66" t="s">
        <v>1079</v>
      </c>
      <c r="B70" s="49">
        <v>0.99979000004200003</v>
      </c>
      <c r="C70" s="67">
        <f t="shared" ref="C70:AB70" si="145">IFERROR($B70/C20,0)</f>
        <v>0</v>
      </c>
      <c r="D70" s="42">
        <f t="shared" ref="D70:AA70" si="146">IFERROR(D20/$B56,0)</f>
        <v>0</v>
      </c>
      <c r="E70" s="42">
        <f t="shared" si="146"/>
        <v>0</v>
      </c>
      <c r="F70" s="42">
        <f t="shared" si="146"/>
        <v>0</v>
      </c>
      <c r="G70" s="42">
        <f t="shared" si="146"/>
        <v>0</v>
      </c>
      <c r="H70" s="42">
        <f t="shared" si="146"/>
        <v>0</v>
      </c>
      <c r="I70" s="42">
        <f t="shared" si="146"/>
        <v>0</v>
      </c>
      <c r="J70" s="42">
        <f t="shared" si="146"/>
        <v>0</v>
      </c>
      <c r="K70" s="42">
        <f t="shared" si="146"/>
        <v>0</v>
      </c>
      <c r="L70" s="42">
        <f t="shared" si="146"/>
        <v>0</v>
      </c>
      <c r="M70" s="42">
        <f t="shared" si="146"/>
        <v>0</v>
      </c>
      <c r="N70" s="42">
        <f t="shared" si="146"/>
        <v>0</v>
      </c>
      <c r="O70" s="42">
        <f t="shared" si="146"/>
        <v>0</v>
      </c>
      <c r="P70" s="42">
        <f t="shared" si="146"/>
        <v>0</v>
      </c>
      <c r="Q70" s="42">
        <f t="shared" si="146"/>
        <v>0</v>
      </c>
      <c r="R70" s="42">
        <f t="shared" si="146"/>
        <v>0</v>
      </c>
      <c r="S70" s="42">
        <f t="shared" si="146"/>
        <v>0</v>
      </c>
      <c r="T70" s="42">
        <f t="shared" si="146"/>
        <v>0</v>
      </c>
      <c r="U70" s="42">
        <f t="shared" si="146"/>
        <v>0</v>
      </c>
      <c r="V70" s="42">
        <f t="shared" si="146"/>
        <v>0</v>
      </c>
      <c r="W70" s="42">
        <f t="shared" si="146"/>
        <v>0</v>
      </c>
      <c r="X70" s="42">
        <f t="shared" si="146"/>
        <v>0</v>
      </c>
      <c r="Y70" s="42">
        <f t="shared" si="146"/>
        <v>0</v>
      </c>
      <c r="Z70" s="42">
        <f t="shared" si="146"/>
        <v>0</v>
      </c>
      <c r="AA70" s="42">
        <f t="shared" si="146"/>
        <v>0</v>
      </c>
      <c r="AB70" s="67">
        <f t="shared" si="145"/>
        <v>0</v>
      </c>
      <c r="AC70" s="42">
        <f t="shared" ref="AC70:AZ70" si="147">IFERROR(AC20/$B56,0)</f>
        <v>0</v>
      </c>
      <c r="AD70" s="42">
        <f t="shared" si="147"/>
        <v>0</v>
      </c>
      <c r="AE70" s="42">
        <f t="shared" si="147"/>
        <v>0</v>
      </c>
      <c r="AF70" s="42">
        <f t="shared" si="147"/>
        <v>0</v>
      </c>
      <c r="AG70" s="42">
        <f t="shared" si="147"/>
        <v>0</v>
      </c>
      <c r="AH70" s="42">
        <f t="shared" si="147"/>
        <v>0</v>
      </c>
      <c r="AI70" s="42">
        <f t="shared" si="147"/>
        <v>0</v>
      </c>
      <c r="AJ70" s="42">
        <f t="shared" si="147"/>
        <v>0</v>
      </c>
      <c r="AK70" s="42">
        <f t="shared" si="147"/>
        <v>0</v>
      </c>
      <c r="AL70" s="42">
        <f t="shared" si="147"/>
        <v>0</v>
      </c>
      <c r="AM70" s="42">
        <f t="shared" si="147"/>
        <v>0</v>
      </c>
      <c r="AN70" s="42">
        <f t="shared" si="147"/>
        <v>0</v>
      </c>
      <c r="AO70" s="42">
        <f t="shared" si="147"/>
        <v>0</v>
      </c>
      <c r="AP70" s="42">
        <f t="shared" si="147"/>
        <v>0</v>
      </c>
      <c r="AQ70" s="42">
        <f t="shared" si="147"/>
        <v>0</v>
      </c>
      <c r="AR70" s="42">
        <f t="shared" si="147"/>
        <v>0</v>
      </c>
      <c r="AS70" s="42">
        <f t="shared" si="147"/>
        <v>0</v>
      </c>
      <c r="AT70" s="42">
        <f t="shared" si="147"/>
        <v>0</v>
      </c>
      <c r="AU70" s="42">
        <f t="shared" si="147"/>
        <v>0</v>
      </c>
      <c r="AV70" s="42">
        <f t="shared" si="147"/>
        <v>0</v>
      </c>
      <c r="AW70" s="42">
        <f t="shared" si="147"/>
        <v>0</v>
      </c>
      <c r="AX70" s="42">
        <f t="shared" si="147"/>
        <v>0</v>
      </c>
      <c r="AY70" s="42">
        <f t="shared" si="147"/>
        <v>0</v>
      </c>
      <c r="AZ70" s="42">
        <f t="shared" si="147"/>
        <v>0</v>
      </c>
    </row>
    <row r="71" spans="1:52" x14ac:dyDescent="0.25">
      <c r="A71" s="66" t="s">
        <v>1080</v>
      </c>
      <c r="B71" s="49">
        <v>2.0999995799999999E-4</v>
      </c>
      <c r="C71" s="67">
        <f t="shared" ref="C71:AB71" si="148">IFERROR($B71/C29,0)</f>
        <v>0</v>
      </c>
      <c r="D71" s="42">
        <f t="shared" ref="D71:AA71" si="149">IFERROR(D29/$B57,0)</f>
        <v>0</v>
      </c>
      <c r="E71" s="42">
        <f t="shared" si="149"/>
        <v>0</v>
      </c>
      <c r="F71" s="42">
        <f t="shared" si="149"/>
        <v>0</v>
      </c>
      <c r="G71" s="42">
        <f t="shared" si="149"/>
        <v>0</v>
      </c>
      <c r="H71" s="42">
        <f t="shared" si="149"/>
        <v>0</v>
      </c>
      <c r="I71" s="42">
        <f t="shared" si="149"/>
        <v>0</v>
      </c>
      <c r="J71" s="42">
        <f t="shared" si="149"/>
        <v>0</v>
      </c>
      <c r="K71" s="42">
        <f t="shared" si="149"/>
        <v>0</v>
      </c>
      <c r="L71" s="42">
        <f t="shared" si="149"/>
        <v>0</v>
      </c>
      <c r="M71" s="42">
        <f t="shared" si="149"/>
        <v>0</v>
      </c>
      <c r="N71" s="42">
        <f t="shared" si="149"/>
        <v>0</v>
      </c>
      <c r="O71" s="42">
        <f t="shared" si="149"/>
        <v>0</v>
      </c>
      <c r="P71" s="42">
        <f t="shared" si="149"/>
        <v>0</v>
      </c>
      <c r="Q71" s="42">
        <f t="shared" si="149"/>
        <v>0</v>
      </c>
      <c r="R71" s="42">
        <f t="shared" si="149"/>
        <v>0</v>
      </c>
      <c r="S71" s="42">
        <f t="shared" si="149"/>
        <v>0</v>
      </c>
      <c r="T71" s="42">
        <f t="shared" si="149"/>
        <v>0</v>
      </c>
      <c r="U71" s="42">
        <f t="shared" si="149"/>
        <v>0</v>
      </c>
      <c r="V71" s="42">
        <f t="shared" si="149"/>
        <v>0</v>
      </c>
      <c r="W71" s="42">
        <f t="shared" si="149"/>
        <v>0</v>
      </c>
      <c r="X71" s="42">
        <f t="shared" si="149"/>
        <v>0</v>
      </c>
      <c r="Y71" s="42">
        <f t="shared" si="149"/>
        <v>0</v>
      </c>
      <c r="Z71" s="42">
        <f t="shared" si="149"/>
        <v>0</v>
      </c>
      <c r="AA71" s="42">
        <f t="shared" si="149"/>
        <v>0</v>
      </c>
      <c r="AB71" s="67">
        <f t="shared" si="148"/>
        <v>0</v>
      </c>
      <c r="AC71" s="42">
        <f t="shared" ref="AC71:AZ71" si="150">IFERROR(AC29/$B57,0)</f>
        <v>0</v>
      </c>
      <c r="AD71" s="42">
        <f t="shared" si="150"/>
        <v>0</v>
      </c>
      <c r="AE71" s="42">
        <f t="shared" si="150"/>
        <v>0</v>
      </c>
      <c r="AF71" s="42">
        <f t="shared" si="150"/>
        <v>0</v>
      </c>
      <c r="AG71" s="42">
        <f t="shared" si="150"/>
        <v>0</v>
      </c>
      <c r="AH71" s="42">
        <f t="shared" si="150"/>
        <v>0</v>
      </c>
      <c r="AI71" s="42">
        <f t="shared" si="150"/>
        <v>0</v>
      </c>
      <c r="AJ71" s="42">
        <f t="shared" si="150"/>
        <v>0</v>
      </c>
      <c r="AK71" s="42">
        <f t="shared" si="150"/>
        <v>0</v>
      </c>
      <c r="AL71" s="42">
        <f t="shared" si="150"/>
        <v>0</v>
      </c>
      <c r="AM71" s="42">
        <f t="shared" si="150"/>
        <v>0</v>
      </c>
      <c r="AN71" s="42">
        <f t="shared" si="150"/>
        <v>0</v>
      </c>
      <c r="AO71" s="42">
        <f t="shared" si="150"/>
        <v>0</v>
      </c>
      <c r="AP71" s="42">
        <f t="shared" si="150"/>
        <v>0</v>
      </c>
      <c r="AQ71" s="42">
        <f t="shared" si="150"/>
        <v>0</v>
      </c>
      <c r="AR71" s="42">
        <f t="shared" si="150"/>
        <v>0</v>
      </c>
      <c r="AS71" s="42">
        <f t="shared" si="150"/>
        <v>0</v>
      </c>
      <c r="AT71" s="42">
        <f t="shared" si="150"/>
        <v>0</v>
      </c>
      <c r="AU71" s="42">
        <f t="shared" si="150"/>
        <v>0</v>
      </c>
      <c r="AV71" s="42">
        <f t="shared" si="150"/>
        <v>0</v>
      </c>
      <c r="AW71" s="42">
        <f t="shared" si="150"/>
        <v>0</v>
      </c>
      <c r="AX71" s="42">
        <f t="shared" si="150"/>
        <v>0</v>
      </c>
      <c r="AY71" s="42">
        <f t="shared" si="150"/>
        <v>0</v>
      </c>
      <c r="AZ71" s="42">
        <f t="shared" si="150"/>
        <v>0</v>
      </c>
    </row>
    <row r="72" spans="1:52" x14ac:dyDescent="0.25">
      <c r="A72" s="66" t="s">
        <v>1081</v>
      </c>
      <c r="B72" s="49">
        <v>1</v>
      </c>
      <c r="C72" s="67">
        <f t="shared" ref="C72:AB72" si="151">IFERROR($B72/C16,0)</f>
        <v>7.4825370611431472</v>
      </c>
      <c r="D72" s="42">
        <f t="shared" ref="D72:AA72" si="152">IFERROR(D16/$B58,0)</f>
        <v>2.5765130241773631</v>
      </c>
      <c r="E72" s="42">
        <f t="shared" si="152"/>
        <v>3.5244828258136267</v>
      </c>
      <c r="F72" s="42">
        <f t="shared" si="152"/>
        <v>6.7022617550690864</v>
      </c>
      <c r="G72" s="42">
        <f t="shared" si="152"/>
        <v>5.7698059378576074</v>
      </c>
      <c r="H72" s="42">
        <f t="shared" si="152"/>
        <v>6.4955965328422094</v>
      </c>
      <c r="I72" s="42">
        <f t="shared" si="152"/>
        <v>1.57792044992823</v>
      </c>
      <c r="J72" s="42">
        <f t="shared" si="152"/>
        <v>7.4044700927291105</v>
      </c>
      <c r="K72" s="42">
        <f t="shared" si="152"/>
        <v>0.66814375299833806</v>
      </c>
      <c r="L72" s="42">
        <f t="shared" si="152"/>
        <v>3.9817050401329181</v>
      </c>
      <c r="M72" s="42">
        <f t="shared" si="152"/>
        <v>2.6138364038836981</v>
      </c>
      <c r="N72" s="42">
        <f t="shared" si="152"/>
        <v>3.6321880471103452</v>
      </c>
      <c r="O72" s="42">
        <f t="shared" si="152"/>
        <v>6.9311974575966238</v>
      </c>
      <c r="P72" s="42">
        <f t="shared" si="152"/>
        <v>7.3979811588697642</v>
      </c>
      <c r="Q72" s="42">
        <f t="shared" si="152"/>
        <v>9.9903137321766717</v>
      </c>
      <c r="R72" s="42">
        <f t="shared" si="152"/>
        <v>1.6477668310239877</v>
      </c>
      <c r="S72" s="42">
        <f t="shared" si="152"/>
        <v>3.4223630067200959</v>
      </c>
      <c r="T72" s="42">
        <f t="shared" si="152"/>
        <v>5.6938707875620143</v>
      </c>
      <c r="U72" s="42">
        <f t="shared" si="152"/>
        <v>1.853311994351357</v>
      </c>
      <c r="V72" s="42">
        <f t="shared" si="152"/>
        <v>3.0034639752678443</v>
      </c>
      <c r="W72" s="42">
        <f t="shared" si="152"/>
        <v>3.9505310723922089</v>
      </c>
      <c r="X72" s="42">
        <f t="shared" si="152"/>
        <v>5.1112080252768539</v>
      </c>
      <c r="Y72" s="42">
        <f t="shared" si="152"/>
        <v>2.6032370419477369</v>
      </c>
      <c r="Z72" s="42">
        <f t="shared" si="152"/>
        <v>0.9547014270821802</v>
      </c>
      <c r="AA72" s="42">
        <f t="shared" si="152"/>
        <v>0.71745574236837373</v>
      </c>
      <c r="AB72" s="67">
        <f t="shared" si="151"/>
        <v>7.9012442079297571</v>
      </c>
      <c r="AC72" s="42">
        <f t="shared" ref="AC72:AZ72" si="153">IFERROR(AC16/$B58,0)</f>
        <v>2.2385421400986671</v>
      </c>
      <c r="AD72" s="42">
        <f t="shared" si="153"/>
        <v>3.305835744672398</v>
      </c>
      <c r="AE72" s="42">
        <f t="shared" si="153"/>
        <v>6.1551383464920182</v>
      </c>
      <c r="AF72" s="42">
        <f t="shared" si="153"/>
        <v>5.6121750109733028</v>
      </c>
      <c r="AG72" s="42">
        <f t="shared" si="153"/>
        <v>5.5844156978916732</v>
      </c>
      <c r="AH72" s="42">
        <f t="shared" si="153"/>
        <v>1.5604843972161357</v>
      </c>
      <c r="AI72" s="42">
        <f t="shared" si="153"/>
        <v>7.9623701265467917</v>
      </c>
      <c r="AJ72" s="42">
        <f t="shared" si="153"/>
        <v>0.64694565460182407</v>
      </c>
      <c r="AK72" s="42">
        <f t="shared" si="153"/>
        <v>2.7496473918322892</v>
      </c>
      <c r="AL72" s="42">
        <f t="shared" si="153"/>
        <v>3.6811529354695423</v>
      </c>
      <c r="AM72" s="42">
        <f t="shared" si="153"/>
        <v>3.3345061840892121</v>
      </c>
      <c r="AN72" s="42">
        <f t="shared" si="153"/>
        <v>6.4215951937558211</v>
      </c>
      <c r="AO72" s="42">
        <f t="shared" si="153"/>
        <v>6.8411408615537406</v>
      </c>
      <c r="AP72" s="42">
        <f t="shared" si="153"/>
        <v>7.4803506126876567</v>
      </c>
      <c r="AQ72" s="42">
        <f t="shared" si="153"/>
        <v>1.8435285375362593</v>
      </c>
      <c r="AR72" s="42">
        <f t="shared" si="153"/>
        <v>3.0307504199143023</v>
      </c>
      <c r="AS72" s="42">
        <f t="shared" si="153"/>
        <v>6.3117240944619439</v>
      </c>
      <c r="AT72" s="42">
        <f t="shared" si="153"/>
        <v>1.5830764998332743</v>
      </c>
      <c r="AU72" s="42">
        <f t="shared" si="153"/>
        <v>2.927333494937745</v>
      </c>
      <c r="AV72" s="42">
        <f t="shared" si="153"/>
        <v>3.7606190995327133</v>
      </c>
      <c r="AW72" s="42">
        <f t="shared" si="153"/>
        <v>4.9485908364035769</v>
      </c>
      <c r="AX72" s="42">
        <f t="shared" si="153"/>
        <v>2.095345662906225</v>
      </c>
      <c r="AY72" s="42">
        <f t="shared" si="153"/>
        <v>0.74752605493259217</v>
      </c>
      <c r="AZ72" s="42">
        <f t="shared" si="153"/>
        <v>0.68646712287796996</v>
      </c>
    </row>
    <row r="73" spans="1:52" x14ac:dyDescent="0.25">
      <c r="A73" s="66" t="s">
        <v>1082</v>
      </c>
      <c r="B73" s="49">
        <v>1</v>
      </c>
      <c r="C73" s="67">
        <f t="shared" ref="C73:AB73" si="154">IFERROR($B73/C7,0)</f>
        <v>2.2364708017019619E-2</v>
      </c>
      <c r="D73" s="42">
        <f t="shared" ref="D73:AA73" si="155">IFERROR(D7/$B59,0)</f>
        <v>809.69893637225857</v>
      </c>
      <c r="E73" s="42">
        <f t="shared" si="155"/>
        <v>1799.4393084952521</v>
      </c>
      <c r="F73" s="42">
        <f t="shared" si="155"/>
        <v>2200.0715999409367</v>
      </c>
      <c r="G73" s="42">
        <f t="shared" si="155"/>
        <v>1813.2713111939129</v>
      </c>
      <c r="H73" s="42">
        <f t="shared" si="155"/>
        <v>2138.8872880544045</v>
      </c>
      <c r="I73" s="42">
        <f t="shared" si="155"/>
        <v>805.62521928155832</v>
      </c>
      <c r="J73" s="42">
        <f t="shared" si="155"/>
        <v>2430.2188497011543</v>
      </c>
      <c r="K73" s="42">
        <f t="shared" si="155"/>
        <v>209.9693770758085</v>
      </c>
      <c r="L73" s="42">
        <f t="shared" si="155"/>
        <v>1152.9478869264706</v>
      </c>
      <c r="M73" s="42">
        <f t="shared" si="155"/>
        <v>857.71050765612961</v>
      </c>
      <c r="N73" s="42">
        <f t="shared" si="155"/>
        <v>1867.12781970848</v>
      </c>
      <c r="O73" s="42">
        <f t="shared" si="155"/>
        <v>2119.6865955050798</v>
      </c>
      <c r="P73" s="42">
        <f t="shared" si="155"/>
        <v>2427.9406372800727</v>
      </c>
      <c r="Q73" s="42">
        <f t="shared" si="155"/>
        <v>3278.9177945636775</v>
      </c>
      <c r="R73" s="42">
        <f t="shared" si="155"/>
        <v>517.8091479987113</v>
      </c>
      <c r="S73" s="42">
        <f t="shared" si="155"/>
        <v>1074.8324822537277</v>
      </c>
      <c r="T73" s="42">
        <f t="shared" si="155"/>
        <v>1714.4474684189158</v>
      </c>
      <c r="U73" s="42">
        <f t="shared" si="155"/>
        <v>538.37159078413617</v>
      </c>
      <c r="V73" s="42">
        <f t="shared" si="155"/>
        <v>985.62767965601427</v>
      </c>
      <c r="W73" s="42">
        <f t="shared" si="155"/>
        <v>1213.9718850352685</v>
      </c>
      <c r="X73" s="42">
        <f t="shared" si="155"/>
        <v>1605.7450874542005</v>
      </c>
      <c r="Y73" s="42">
        <f t="shared" si="155"/>
        <v>858.96221276891106</v>
      </c>
      <c r="Z73" s="42">
        <f t="shared" si="155"/>
        <v>421.62743280632969</v>
      </c>
      <c r="AA73" s="42">
        <f t="shared" si="155"/>
        <v>326.48745113414918</v>
      </c>
      <c r="AB73" s="67">
        <f t="shared" si="154"/>
        <v>2.367865918305263E-2</v>
      </c>
      <c r="AC73" s="42">
        <f t="shared" ref="AC73:AZ73" si="156">IFERROR(AC7/$B59,0)</f>
        <v>703.48768776012105</v>
      </c>
      <c r="AD73" s="42">
        <f t="shared" si="156"/>
        <v>1687.8081353734331</v>
      </c>
      <c r="AE73" s="42">
        <f t="shared" si="156"/>
        <v>2020.4739183131055</v>
      </c>
      <c r="AF73" s="42">
        <f t="shared" si="156"/>
        <v>1763.7327928183113</v>
      </c>
      <c r="AG73" s="42">
        <f t="shared" si="156"/>
        <v>1838.8512413047863</v>
      </c>
      <c r="AH73" s="42">
        <f t="shared" si="156"/>
        <v>796.72304440308164</v>
      </c>
      <c r="AI73" s="42">
        <f t="shared" si="156"/>
        <v>2613.3270480533906</v>
      </c>
      <c r="AJ73" s="42">
        <f t="shared" si="156"/>
        <v>203.30770958953204</v>
      </c>
      <c r="AK73" s="42">
        <f t="shared" si="156"/>
        <v>796.19161094366018</v>
      </c>
      <c r="AL73" s="42">
        <f t="shared" si="156"/>
        <v>1207.9422982823826</v>
      </c>
      <c r="AM73" s="42">
        <f t="shared" si="156"/>
        <v>1714.1043306543843</v>
      </c>
      <c r="AN73" s="42">
        <f t="shared" si="156"/>
        <v>1963.840928964662</v>
      </c>
      <c r="AO73" s="42">
        <f t="shared" si="156"/>
        <v>2245.191430801256</v>
      </c>
      <c r="AP73" s="42">
        <f t="shared" si="156"/>
        <v>2455.1235717972659</v>
      </c>
      <c r="AQ73" s="42">
        <f t="shared" si="156"/>
        <v>579.32707671979108</v>
      </c>
      <c r="AR73" s="42">
        <f t="shared" si="156"/>
        <v>951.84204321153175</v>
      </c>
      <c r="AS73" s="42">
        <f t="shared" si="156"/>
        <v>1900.4855921119893</v>
      </c>
      <c r="AT73" s="42">
        <f t="shared" si="156"/>
        <v>459.87044606945096</v>
      </c>
      <c r="AU73" s="42">
        <f t="shared" si="156"/>
        <v>960.64442388975783</v>
      </c>
      <c r="AV73" s="42">
        <f t="shared" si="156"/>
        <v>1155.6132007322483</v>
      </c>
      <c r="AW73" s="42">
        <f t="shared" si="156"/>
        <v>1554.6570176911362</v>
      </c>
      <c r="AX73" s="42">
        <f t="shared" si="156"/>
        <v>691.3787404388836</v>
      </c>
      <c r="AY73" s="42">
        <f t="shared" si="156"/>
        <v>330.13199997022929</v>
      </c>
      <c r="AZ73" s="42">
        <f t="shared" si="156"/>
        <v>312.38568179268481</v>
      </c>
    </row>
    <row r="74" spans="1:52" x14ac:dyDescent="0.25">
      <c r="A74" s="66" t="s">
        <v>1083</v>
      </c>
      <c r="B74" s="49">
        <v>1.9000000000000001E-8</v>
      </c>
      <c r="C74" s="67">
        <f t="shared" ref="C74:AB74" si="157">IFERROR($B74/C12,0)</f>
        <v>0</v>
      </c>
      <c r="D74" s="42">
        <f t="shared" ref="D74:AA74" si="158">IFERROR(D12/$B60,0)</f>
        <v>0</v>
      </c>
      <c r="E74" s="42">
        <f t="shared" si="158"/>
        <v>0</v>
      </c>
      <c r="F74" s="42">
        <f t="shared" si="158"/>
        <v>0</v>
      </c>
      <c r="G74" s="42">
        <f t="shared" si="158"/>
        <v>0</v>
      </c>
      <c r="H74" s="42">
        <f t="shared" si="158"/>
        <v>0</v>
      </c>
      <c r="I74" s="42">
        <f t="shared" si="158"/>
        <v>0</v>
      </c>
      <c r="J74" s="42">
        <f t="shared" si="158"/>
        <v>0</v>
      </c>
      <c r="K74" s="42">
        <f t="shared" si="158"/>
        <v>0</v>
      </c>
      <c r="L74" s="42">
        <f t="shared" si="158"/>
        <v>0</v>
      </c>
      <c r="M74" s="42">
        <f t="shared" si="158"/>
        <v>0</v>
      </c>
      <c r="N74" s="42">
        <f t="shared" si="158"/>
        <v>0</v>
      </c>
      <c r="O74" s="42">
        <f t="shared" si="158"/>
        <v>0</v>
      </c>
      <c r="P74" s="42">
        <f t="shared" si="158"/>
        <v>0</v>
      </c>
      <c r="Q74" s="42">
        <f t="shared" si="158"/>
        <v>0</v>
      </c>
      <c r="R74" s="42">
        <f t="shared" si="158"/>
        <v>0</v>
      </c>
      <c r="S74" s="42">
        <f t="shared" si="158"/>
        <v>0</v>
      </c>
      <c r="T74" s="42">
        <f t="shared" si="158"/>
        <v>0</v>
      </c>
      <c r="U74" s="42">
        <f t="shared" si="158"/>
        <v>0</v>
      </c>
      <c r="V74" s="42">
        <f t="shared" si="158"/>
        <v>0</v>
      </c>
      <c r="W74" s="42">
        <f t="shared" si="158"/>
        <v>0</v>
      </c>
      <c r="X74" s="42">
        <f t="shared" si="158"/>
        <v>0</v>
      </c>
      <c r="Y74" s="42">
        <f t="shared" si="158"/>
        <v>0</v>
      </c>
      <c r="Z74" s="42">
        <f t="shared" si="158"/>
        <v>0</v>
      </c>
      <c r="AA74" s="42">
        <f t="shared" si="158"/>
        <v>0</v>
      </c>
      <c r="AB74" s="67">
        <f t="shared" si="157"/>
        <v>0</v>
      </c>
      <c r="AC74" s="42">
        <f t="shared" ref="AC74:AZ74" si="159">IFERROR(AC12/$B60,0)</f>
        <v>0</v>
      </c>
      <c r="AD74" s="42">
        <f t="shared" si="159"/>
        <v>0</v>
      </c>
      <c r="AE74" s="42">
        <f t="shared" si="159"/>
        <v>0</v>
      </c>
      <c r="AF74" s="42">
        <f t="shared" si="159"/>
        <v>0</v>
      </c>
      <c r="AG74" s="42">
        <f t="shared" si="159"/>
        <v>0</v>
      </c>
      <c r="AH74" s="42">
        <f t="shared" si="159"/>
        <v>0</v>
      </c>
      <c r="AI74" s="42">
        <f t="shared" si="159"/>
        <v>0</v>
      </c>
      <c r="AJ74" s="42">
        <f t="shared" si="159"/>
        <v>0</v>
      </c>
      <c r="AK74" s="42">
        <f t="shared" si="159"/>
        <v>0</v>
      </c>
      <c r="AL74" s="42">
        <f t="shared" si="159"/>
        <v>0</v>
      </c>
      <c r="AM74" s="42">
        <f t="shared" si="159"/>
        <v>0</v>
      </c>
      <c r="AN74" s="42">
        <f t="shared" si="159"/>
        <v>0</v>
      </c>
      <c r="AO74" s="42">
        <f t="shared" si="159"/>
        <v>0</v>
      </c>
      <c r="AP74" s="42">
        <f t="shared" si="159"/>
        <v>0</v>
      </c>
      <c r="AQ74" s="42">
        <f t="shared" si="159"/>
        <v>0</v>
      </c>
      <c r="AR74" s="42">
        <f t="shared" si="159"/>
        <v>0</v>
      </c>
      <c r="AS74" s="42">
        <f t="shared" si="159"/>
        <v>0</v>
      </c>
      <c r="AT74" s="42">
        <f t="shared" si="159"/>
        <v>0</v>
      </c>
      <c r="AU74" s="42">
        <f t="shared" si="159"/>
        <v>0</v>
      </c>
      <c r="AV74" s="42">
        <f t="shared" si="159"/>
        <v>0</v>
      </c>
      <c r="AW74" s="42">
        <f t="shared" si="159"/>
        <v>0</v>
      </c>
      <c r="AX74" s="42">
        <f t="shared" si="159"/>
        <v>0</v>
      </c>
      <c r="AY74" s="42">
        <f t="shared" si="159"/>
        <v>0</v>
      </c>
      <c r="AZ74" s="42">
        <f t="shared" si="159"/>
        <v>0</v>
      </c>
    </row>
    <row r="75" spans="1:52" x14ac:dyDescent="0.25">
      <c r="A75" s="66" t="s">
        <v>1084</v>
      </c>
      <c r="B75" s="49">
        <v>1</v>
      </c>
      <c r="C75" s="67">
        <f t="shared" ref="C75:AB75" si="160">IFERROR($B75/C18,0)</f>
        <v>11.162738689044547</v>
      </c>
      <c r="D75" s="42">
        <f t="shared" ref="D75:AA75" si="161">IFERROR(D18/$B61,0)</f>
        <v>1.6456623699225557</v>
      </c>
      <c r="E75" s="42">
        <f t="shared" si="161"/>
        <v>3.417834303440562</v>
      </c>
      <c r="F75" s="42">
        <f t="shared" si="161"/>
        <v>4.2397456737120027</v>
      </c>
      <c r="G75" s="42">
        <f t="shared" si="161"/>
        <v>3.6852535586495616</v>
      </c>
      <c r="H75" s="42">
        <f t="shared" si="161"/>
        <v>4.3294534232879078</v>
      </c>
      <c r="I75" s="42">
        <f t="shared" si="161"/>
        <v>1.5300285361990631</v>
      </c>
      <c r="J75" s="42">
        <f t="shared" si="161"/>
        <v>4.6840917044710713</v>
      </c>
      <c r="K75" s="42">
        <f t="shared" si="161"/>
        <v>0.42675579085702048</v>
      </c>
      <c r="L75" s="42">
        <f t="shared" si="161"/>
        <v>2.3425476868677886</v>
      </c>
      <c r="M75" s="42">
        <f t="shared" si="161"/>
        <v>1.7442545034224144</v>
      </c>
      <c r="N75" s="42">
        <f t="shared" si="161"/>
        <v>3.3686954336560353</v>
      </c>
      <c r="O75" s="42">
        <f t="shared" si="161"/>
        <v>4.2316095674688183</v>
      </c>
      <c r="P75" s="42">
        <f t="shared" si="161"/>
        <v>4.9365455969350283</v>
      </c>
      <c r="Q75" s="42">
        <f t="shared" si="161"/>
        <v>6.6662242327052201</v>
      </c>
      <c r="R75" s="42">
        <f t="shared" si="161"/>
        <v>1.052465497756133</v>
      </c>
      <c r="S75" s="42">
        <f t="shared" si="161"/>
        <v>2.1862206307805705</v>
      </c>
      <c r="T75" s="42">
        <f t="shared" si="161"/>
        <v>3.4818211033161863</v>
      </c>
      <c r="U75" s="42">
        <f t="shared" si="161"/>
        <v>1.0678479682925073</v>
      </c>
      <c r="V75" s="42">
        <f t="shared" si="161"/>
        <v>2.0042144660992318</v>
      </c>
      <c r="W75" s="42">
        <f t="shared" si="161"/>
        <v>2.4106709668358315</v>
      </c>
      <c r="X75" s="42">
        <f t="shared" si="161"/>
        <v>3.2648384064909459</v>
      </c>
      <c r="Y75" s="42">
        <f t="shared" si="161"/>
        <v>1.7338946109160858</v>
      </c>
      <c r="Z75" s="42">
        <f t="shared" si="161"/>
        <v>0.53707221498245095</v>
      </c>
      <c r="AA75" s="42">
        <f t="shared" si="161"/>
        <v>0.43095208820443603</v>
      </c>
      <c r="AB75" s="67">
        <f t="shared" si="160"/>
        <v>11.820096954783399</v>
      </c>
      <c r="AC75" s="42">
        <f t="shared" ref="AC75:AZ75" si="162">IFERROR(AC18/$B61,0)</f>
        <v>1.4297946600221376</v>
      </c>
      <c r="AD75" s="42">
        <f t="shared" si="162"/>
        <v>3.2058033385573297</v>
      </c>
      <c r="AE75" s="42">
        <f t="shared" si="162"/>
        <v>3.8936439860620444</v>
      </c>
      <c r="AF75" s="42">
        <f t="shared" si="162"/>
        <v>3.5845725408631446</v>
      </c>
      <c r="AG75" s="42">
        <f t="shared" si="162"/>
        <v>3.722131991735754</v>
      </c>
      <c r="AH75" s="42">
        <f t="shared" si="162"/>
        <v>1.5131216900970377</v>
      </c>
      <c r="AI75" s="42">
        <f t="shared" si="162"/>
        <v>5.0370210684367178</v>
      </c>
      <c r="AJ75" s="42">
        <f t="shared" si="162"/>
        <v>0.41321617276544514</v>
      </c>
      <c r="AK75" s="42">
        <f t="shared" si="162"/>
        <v>1.617693945813665</v>
      </c>
      <c r="AL75" s="42">
        <f t="shared" si="162"/>
        <v>2.4564917589865671</v>
      </c>
      <c r="AM75" s="42">
        <f t="shared" si="162"/>
        <v>3.0926085351708892</v>
      </c>
      <c r="AN75" s="42">
        <f t="shared" si="162"/>
        <v>3.9204890390947433</v>
      </c>
      <c r="AO75" s="42">
        <f t="shared" si="162"/>
        <v>4.5649756430678616</v>
      </c>
      <c r="AP75" s="42">
        <f t="shared" si="162"/>
        <v>4.9914042601908513</v>
      </c>
      <c r="AQ75" s="42">
        <f t="shared" si="162"/>
        <v>1.1775028744085028</v>
      </c>
      <c r="AR75" s="42">
        <f t="shared" si="162"/>
        <v>1.9360567776571445</v>
      </c>
      <c r="AS75" s="42">
        <f t="shared" si="162"/>
        <v>3.8596404748792335</v>
      </c>
      <c r="AT75" s="42">
        <f t="shared" si="162"/>
        <v>0.91214270945795684</v>
      </c>
      <c r="AU75" s="42">
        <f t="shared" si="162"/>
        <v>1.9534125216627047</v>
      </c>
      <c r="AV75" s="42">
        <f t="shared" si="162"/>
        <v>2.29478394536009</v>
      </c>
      <c r="AW75" s="42">
        <f t="shared" si="162"/>
        <v>3.1609649501253525</v>
      </c>
      <c r="AX75" s="42">
        <f t="shared" si="162"/>
        <v>1.395611884118402</v>
      </c>
      <c r="AY75" s="42">
        <f t="shared" si="162"/>
        <v>0.42052464015556751</v>
      </c>
      <c r="AZ75" s="42">
        <f t="shared" si="162"/>
        <v>0.41233824279025388</v>
      </c>
    </row>
    <row r="76" spans="1:52" x14ac:dyDescent="0.25">
      <c r="A76" s="66" t="s">
        <v>1085</v>
      </c>
      <c r="B76" s="49">
        <v>1.339E-6</v>
      </c>
      <c r="C76" s="67">
        <f t="shared" ref="C76:AB76" si="163">IFERROR($B76/C27,0)</f>
        <v>0</v>
      </c>
      <c r="D76" s="42">
        <f t="shared" ref="D76:AA76" si="164">IFERROR(D27/$B62,0)</f>
        <v>0</v>
      </c>
      <c r="E76" s="42">
        <f t="shared" si="164"/>
        <v>0</v>
      </c>
      <c r="F76" s="42">
        <f t="shared" si="164"/>
        <v>0</v>
      </c>
      <c r="G76" s="42">
        <f t="shared" si="164"/>
        <v>0</v>
      </c>
      <c r="H76" s="42">
        <f t="shared" si="164"/>
        <v>0</v>
      </c>
      <c r="I76" s="42">
        <f t="shared" si="164"/>
        <v>0</v>
      </c>
      <c r="J76" s="42">
        <f t="shared" si="164"/>
        <v>0</v>
      </c>
      <c r="K76" s="42">
        <f t="shared" si="164"/>
        <v>0</v>
      </c>
      <c r="L76" s="42">
        <f t="shared" si="164"/>
        <v>0</v>
      </c>
      <c r="M76" s="42">
        <f t="shared" si="164"/>
        <v>0</v>
      </c>
      <c r="N76" s="42">
        <f t="shared" si="164"/>
        <v>0</v>
      </c>
      <c r="O76" s="42">
        <f t="shared" si="164"/>
        <v>0</v>
      </c>
      <c r="P76" s="42">
        <f t="shared" si="164"/>
        <v>0</v>
      </c>
      <c r="Q76" s="42">
        <f t="shared" si="164"/>
        <v>0</v>
      </c>
      <c r="R76" s="42">
        <f t="shared" si="164"/>
        <v>0</v>
      </c>
      <c r="S76" s="42">
        <f t="shared" si="164"/>
        <v>0</v>
      </c>
      <c r="T76" s="42">
        <f t="shared" si="164"/>
        <v>0</v>
      </c>
      <c r="U76" s="42">
        <f t="shared" si="164"/>
        <v>0</v>
      </c>
      <c r="V76" s="42">
        <f t="shared" si="164"/>
        <v>0</v>
      </c>
      <c r="W76" s="42">
        <f t="shared" si="164"/>
        <v>0</v>
      </c>
      <c r="X76" s="42">
        <f t="shared" si="164"/>
        <v>0</v>
      </c>
      <c r="Y76" s="42">
        <f t="shared" si="164"/>
        <v>0</v>
      </c>
      <c r="Z76" s="42">
        <f t="shared" si="164"/>
        <v>0</v>
      </c>
      <c r="AA76" s="42">
        <f t="shared" si="164"/>
        <v>0</v>
      </c>
      <c r="AB76" s="67">
        <f t="shared" si="163"/>
        <v>0</v>
      </c>
      <c r="AC76" s="42">
        <f t="shared" ref="AC76:AZ76" si="165">IFERROR(AC27/$B62,0)</f>
        <v>0</v>
      </c>
      <c r="AD76" s="42">
        <f t="shared" si="165"/>
        <v>0</v>
      </c>
      <c r="AE76" s="42">
        <f t="shared" si="165"/>
        <v>0</v>
      </c>
      <c r="AF76" s="42">
        <f t="shared" si="165"/>
        <v>0</v>
      </c>
      <c r="AG76" s="42">
        <f t="shared" si="165"/>
        <v>0</v>
      </c>
      <c r="AH76" s="42">
        <f t="shared" si="165"/>
        <v>0</v>
      </c>
      <c r="AI76" s="42">
        <f t="shared" si="165"/>
        <v>0</v>
      </c>
      <c r="AJ76" s="42">
        <f t="shared" si="165"/>
        <v>0</v>
      </c>
      <c r="AK76" s="42">
        <f t="shared" si="165"/>
        <v>0</v>
      </c>
      <c r="AL76" s="42">
        <f t="shared" si="165"/>
        <v>0</v>
      </c>
      <c r="AM76" s="42">
        <f t="shared" si="165"/>
        <v>0</v>
      </c>
      <c r="AN76" s="42">
        <f t="shared" si="165"/>
        <v>0</v>
      </c>
      <c r="AO76" s="42">
        <f t="shared" si="165"/>
        <v>0</v>
      </c>
      <c r="AP76" s="42">
        <f t="shared" si="165"/>
        <v>0</v>
      </c>
      <c r="AQ76" s="42">
        <f t="shared" si="165"/>
        <v>0</v>
      </c>
      <c r="AR76" s="42">
        <f t="shared" si="165"/>
        <v>0</v>
      </c>
      <c r="AS76" s="42">
        <f t="shared" si="165"/>
        <v>0</v>
      </c>
      <c r="AT76" s="42">
        <f t="shared" si="165"/>
        <v>0</v>
      </c>
      <c r="AU76" s="42">
        <f t="shared" si="165"/>
        <v>0</v>
      </c>
      <c r="AV76" s="42">
        <f t="shared" si="165"/>
        <v>0</v>
      </c>
      <c r="AW76" s="42">
        <f t="shared" si="165"/>
        <v>0</v>
      </c>
      <c r="AX76" s="42">
        <f t="shared" si="165"/>
        <v>0</v>
      </c>
      <c r="AY76" s="42">
        <f t="shared" si="165"/>
        <v>0</v>
      </c>
      <c r="AZ76" s="42">
        <f t="shared" si="165"/>
        <v>0</v>
      </c>
    </row>
  </sheetData>
  <sheetProtection algorithmName="SHA-512" hashValue="8QT56vkFuz94yh+7hpKWHR9hH/saJ3+GW0XM5vvySBDe2FClx7lJqiUx6G6fDRfIESQ3OdDFgaIfmncPu2XAKw==" saltValue="uV8z/UkcvQoQLUHc0Iwbnw==" spinCount="100000" sheet="1" objects="1" scenarios="1" formatColumns="0" formatRows="0" autoFilter="0"/>
  <autoFilter ref="A1:AZ76" xr:uid="{9BD88A67-8028-45FC-AC81-0CD541C8504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Z32"/>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13.5703125" bestFit="1" customWidth="1"/>
    <col min="4" max="4" width="13.42578125" bestFit="1" customWidth="1"/>
    <col min="5" max="5" width="12.85546875" bestFit="1" customWidth="1"/>
    <col min="6" max="6" width="13.42578125" bestFit="1" customWidth="1"/>
    <col min="7" max="7" width="12.7109375" bestFit="1" customWidth="1"/>
    <col min="8" max="8" width="13" bestFit="1" customWidth="1"/>
    <col min="9" max="9" width="12.140625" bestFit="1" customWidth="1"/>
    <col min="10" max="10" width="13.5703125" bestFit="1" customWidth="1"/>
    <col min="11" max="11" width="12.7109375" bestFit="1" customWidth="1"/>
    <col min="12" max="12" width="14.42578125" bestFit="1" customWidth="1"/>
    <col min="13" max="13" width="12" bestFit="1" customWidth="1"/>
    <col min="14" max="14" width="12.5703125" bestFit="1" customWidth="1"/>
    <col min="15" max="15" width="12.7109375" bestFit="1" customWidth="1"/>
    <col min="16" max="16" width="13.85546875" bestFit="1" customWidth="1"/>
    <col min="17" max="17" width="14" bestFit="1" customWidth="1"/>
    <col min="18" max="18" width="12.7109375" bestFit="1" customWidth="1"/>
    <col min="19" max="19" width="12" bestFit="1" customWidth="1"/>
    <col min="20" max="20" width="13.42578125" bestFit="1" customWidth="1"/>
    <col min="21" max="21" width="13.85546875" bestFit="1" customWidth="1"/>
    <col min="22" max="22" width="12.85546875" bestFit="1" customWidth="1"/>
    <col min="23" max="23" width="13.5703125" bestFit="1" customWidth="1"/>
    <col min="24" max="24" width="12.42578125" bestFit="1" customWidth="1"/>
    <col min="25" max="25" width="12" bestFit="1" customWidth="1"/>
    <col min="26" max="26" width="14" bestFit="1" customWidth="1"/>
  </cols>
  <sheetData>
    <row r="1" spans="1:26" x14ac:dyDescent="0.25">
      <c r="A1" s="50" t="s">
        <v>39</v>
      </c>
      <c r="B1" s="51" t="s">
        <v>335</v>
      </c>
      <c r="C1" t="s">
        <v>628</v>
      </c>
      <c r="D1" t="s">
        <v>629</v>
      </c>
      <c r="E1" t="s">
        <v>630</v>
      </c>
      <c r="F1" t="s">
        <v>631</v>
      </c>
      <c r="G1" t="s">
        <v>632</v>
      </c>
      <c r="H1" t="s">
        <v>633</v>
      </c>
      <c r="I1" t="s">
        <v>634</v>
      </c>
      <c r="J1" t="s">
        <v>635</v>
      </c>
      <c r="K1" t="s">
        <v>636</v>
      </c>
      <c r="L1" t="s">
        <v>637</v>
      </c>
      <c r="M1" t="s">
        <v>638</v>
      </c>
      <c r="N1" t="s">
        <v>639</v>
      </c>
      <c r="O1" t="s">
        <v>640</v>
      </c>
      <c r="P1" t="s">
        <v>641</v>
      </c>
      <c r="Q1" t="s">
        <v>642</v>
      </c>
      <c r="R1" t="s">
        <v>643</v>
      </c>
      <c r="S1" t="s">
        <v>644</v>
      </c>
      <c r="T1" t="s">
        <v>645</v>
      </c>
      <c r="U1" t="s">
        <v>646</v>
      </c>
      <c r="V1" t="s">
        <v>647</v>
      </c>
      <c r="W1" t="s">
        <v>648</v>
      </c>
      <c r="X1" t="s">
        <v>649</v>
      </c>
      <c r="Y1" t="s">
        <v>650</v>
      </c>
      <c r="Z1" t="s">
        <v>720</v>
      </c>
    </row>
    <row r="2" spans="1:26" ht="15" customHeight="1" x14ac:dyDescent="0.25">
      <c r="A2" s="31" t="s">
        <v>0</v>
      </c>
      <c r="B2" s="3" t="s">
        <v>1059</v>
      </c>
      <c r="C2" s="110">
        <v>1E-3</v>
      </c>
      <c r="D2" s="110">
        <v>1E-3</v>
      </c>
      <c r="E2" s="110">
        <v>1E-3</v>
      </c>
      <c r="F2" s="110">
        <v>1E-3</v>
      </c>
      <c r="G2" s="110">
        <v>1E-3</v>
      </c>
      <c r="H2" s="110">
        <v>1E-3</v>
      </c>
      <c r="I2" s="110">
        <v>1E-3</v>
      </c>
      <c r="J2" s="110">
        <v>1E-3</v>
      </c>
      <c r="K2" s="110">
        <v>1E-3</v>
      </c>
      <c r="L2" s="110">
        <v>1E-3</v>
      </c>
      <c r="M2" s="110">
        <v>1E-3</v>
      </c>
      <c r="N2" s="110">
        <v>1E-3</v>
      </c>
      <c r="O2" s="110">
        <v>1E-3</v>
      </c>
      <c r="P2" s="110">
        <v>1E-3</v>
      </c>
      <c r="Q2" s="110">
        <v>1E-3</v>
      </c>
      <c r="R2" s="110">
        <v>1E-3</v>
      </c>
      <c r="S2" s="110">
        <v>1E-3</v>
      </c>
      <c r="T2" s="110">
        <v>1E-3</v>
      </c>
      <c r="U2" s="110">
        <v>1E-3</v>
      </c>
      <c r="V2" s="110">
        <v>1E-3</v>
      </c>
      <c r="W2" s="110">
        <v>1E-3</v>
      </c>
      <c r="X2" s="110">
        <v>1E-3</v>
      </c>
      <c r="Y2" s="110">
        <v>1E-3</v>
      </c>
      <c r="Z2" s="110">
        <v>1E-3</v>
      </c>
    </row>
    <row r="3" spans="1:26" ht="15" customHeight="1" x14ac:dyDescent="0.25">
      <c r="A3" s="32" t="s">
        <v>1</v>
      </c>
      <c r="B3" s="3" t="s">
        <v>336</v>
      </c>
      <c r="C3" s="111">
        <v>3.1000000000000001E-5</v>
      </c>
      <c r="D3" s="111">
        <v>2.7E-4</v>
      </c>
      <c r="E3" s="111">
        <v>6.7000000000000002E-4</v>
      </c>
      <c r="F3" s="112">
        <v>8.0000000000000004E-4</v>
      </c>
      <c r="G3" s="111">
        <v>3.6000000000000002E-4</v>
      </c>
      <c r="H3" s="111">
        <v>2.7E-4</v>
      </c>
      <c r="I3" s="111">
        <v>6.7000000000000002E-4</v>
      </c>
      <c r="J3" s="111">
        <v>3.1000000000000001E-5</v>
      </c>
      <c r="K3" s="112">
        <v>5.0000000000000002E-5</v>
      </c>
      <c r="L3" s="111">
        <v>3.6000000000000002E-4</v>
      </c>
      <c r="M3" s="111">
        <v>2.7E-4</v>
      </c>
      <c r="N3" s="111">
        <v>3.8000000000000002E-4</v>
      </c>
      <c r="O3" s="111">
        <v>3.6000000000000002E-4</v>
      </c>
      <c r="P3" s="111">
        <v>3.6000000000000002E-4</v>
      </c>
      <c r="Q3" s="111">
        <v>3.1000000000000001E-5</v>
      </c>
      <c r="R3" s="111">
        <v>3.1000000000000001E-5</v>
      </c>
      <c r="S3" s="111">
        <v>3.8000000000000002E-4</v>
      </c>
      <c r="T3" s="111">
        <v>2.1000000000000001E-4</v>
      </c>
      <c r="U3" s="111">
        <v>3.6000000000000002E-4</v>
      </c>
      <c r="V3" s="111">
        <v>3.8000000000000002E-4</v>
      </c>
      <c r="W3" s="111">
        <v>1.1E-4</v>
      </c>
      <c r="X3" s="111">
        <v>3.6000000000000002E-4</v>
      </c>
      <c r="Y3" s="110">
        <v>1E-3</v>
      </c>
      <c r="Z3" s="111">
        <v>2.1999999999999999E-5</v>
      </c>
    </row>
    <row r="4" spans="1:26" ht="15" customHeight="1" x14ac:dyDescent="0.25">
      <c r="A4" s="31" t="s">
        <v>2</v>
      </c>
      <c r="B4" s="3" t="s">
        <v>1059</v>
      </c>
      <c r="C4" s="110">
        <v>0.2</v>
      </c>
      <c r="D4" s="110">
        <v>0.2</v>
      </c>
      <c r="E4" s="110">
        <v>0.2</v>
      </c>
      <c r="F4" s="110">
        <v>0.2</v>
      </c>
      <c r="G4" s="110">
        <v>0.2</v>
      </c>
      <c r="H4" s="110">
        <v>0.2</v>
      </c>
      <c r="I4" s="110">
        <v>0.2</v>
      </c>
      <c r="J4" s="110">
        <v>0.2</v>
      </c>
      <c r="K4" s="110">
        <v>0.2</v>
      </c>
      <c r="L4" s="110">
        <v>0.2</v>
      </c>
      <c r="M4" s="110">
        <v>0.2</v>
      </c>
      <c r="N4" s="110">
        <v>0.2</v>
      </c>
      <c r="O4" s="110">
        <v>0.2</v>
      </c>
      <c r="P4" s="110">
        <v>0.2</v>
      </c>
      <c r="Q4" s="110">
        <v>0.2</v>
      </c>
      <c r="R4" s="110">
        <v>0.2</v>
      </c>
      <c r="S4" s="110">
        <v>0.2</v>
      </c>
      <c r="T4" s="110">
        <v>0.2</v>
      </c>
      <c r="U4" s="110">
        <v>0.2</v>
      </c>
      <c r="V4" s="110">
        <v>0.2</v>
      </c>
      <c r="W4" s="110">
        <v>0.2</v>
      </c>
      <c r="X4" s="110">
        <v>0.2</v>
      </c>
      <c r="Y4" s="110">
        <v>0.2</v>
      </c>
      <c r="Z4" s="110">
        <v>0.2</v>
      </c>
    </row>
    <row r="5" spans="1:26" ht="15" customHeight="1" x14ac:dyDescent="0.25">
      <c r="A5" s="31" t="s">
        <v>3</v>
      </c>
      <c r="B5" s="3" t="s">
        <v>1059</v>
      </c>
      <c r="C5" s="110">
        <v>0.2</v>
      </c>
      <c r="D5" s="110">
        <v>0.2</v>
      </c>
      <c r="E5" s="110">
        <v>0.2</v>
      </c>
      <c r="F5" s="110">
        <v>0.2</v>
      </c>
      <c r="G5" s="110">
        <v>0.2</v>
      </c>
      <c r="H5" s="110">
        <v>0.2</v>
      </c>
      <c r="I5" s="110">
        <v>0.2</v>
      </c>
      <c r="J5" s="110">
        <v>0.2</v>
      </c>
      <c r="K5" s="110">
        <v>0.2</v>
      </c>
      <c r="L5" s="110">
        <v>0.2</v>
      </c>
      <c r="M5" s="110">
        <v>0.2</v>
      </c>
      <c r="N5" s="110">
        <v>0.2</v>
      </c>
      <c r="O5" s="110">
        <v>0.2</v>
      </c>
      <c r="P5" s="110">
        <v>0.2</v>
      </c>
      <c r="Q5" s="110">
        <v>0.2</v>
      </c>
      <c r="R5" s="110">
        <v>0.2</v>
      </c>
      <c r="S5" s="110">
        <v>0.2</v>
      </c>
      <c r="T5" s="110">
        <v>0.2</v>
      </c>
      <c r="U5" s="110">
        <v>0.2</v>
      </c>
      <c r="V5" s="110">
        <v>0.2</v>
      </c>
      <c r="W5" s="110">
        <v>0.2</v>
      </c>
      <c r="X5" s="110">
        <v>0.2</v>
      </c>
      <c r="Y5" s="110">
        <v>0.2</v>
      </c>
      <c r="Z5" s="110">
        <v>0.2</v>
      </c>
    </row>
    <row r="6" spans="1:26" ht="15" customHeight="1" x14ac:dyDescent="0.25">
      <c r="A6" s="31" t="s">
        <v>4</v>
      </c>
      <c r="B6" s="3" t="s">
        <v>1059</v>
      </c>
      <c r="C6" s="112">
        <v>0.01</v>
      </c>
      <c r="D6" s="111">
        <v>5.0000000000000001E-3</v>
      </c>
      <c r="E6" s="111">
        <v>5.0000000000000001E-3</v>
      </c>
      <c r="F6" s="112">
        <v>0.01</v>
      </c>
      <c r="G6" s="112">
        <v>0.01</v>
      </c>
      <c r="H6" s="111">
        <v>5.0000000000000001E-3</v>
      </c>
      <c r="I6" s="111">
        <v>5.0000000000000001E-3</v>
      </c>
      <c r="J6" s="112">
        <v>0.01</v>
      </c>
      <c r="K6" s="112">
        <v>0.01</v>
      </c>
      <c r="L6" s="112">
        <v>0.01</v>
      </c>
      <c r="M6" s="111">
        <v>5.0000000000000001E-3</v>
      </c>
      <c r="N6" s="112">
        <v>0.01</v>
      </c>
      <c r="O6" s="112">
        <v>0.01</v>
      </c>
      <c r="P6" s="112">
        <v>0.01</v>
      </c>
      <c r="Q6" s="112">
        <v>0.01</v>
      </c>
      <c r="R6" s="112">
        <v>0.01</v>
      </c>
      <c r="S6" s="112">
        <v>0.01</v>
      </c>
      <c r="T6" s="111">
        <v>5.0000000000000001E-3</v>
      </c>
      <c r="U6" s="112">
        <v>0.01</v>
      </c>
      <c r="V6" s="112">
        <v>0.01</v>
      </c>
      <c r="W6" s="112">
        <v>0.01</v>
      </c>
      <c r="X6" s="112">
        <v>0.01</v>
      </c>
      <c r="Y6" s="111">
        <v>9.3999999999999997E-4</v>
      </c>
      <c r="Z6" s="111">
        <v>1E-3</v>
      </c>
    </row>
    <row r="7" spans="1:26" ht="15" customHeight="1" x14ac:dyDescent="0.25">
      <c r="A7" s="31" t="s">
        <v>5</v>
      </c>
      <c r="B7" s="3" t="s">
        <v>1059</v>
      </c>
      <c r="C7" s="110">
        <v>0.1</v>
      </c>
      <c r="D7" s="110">
        <v>0.1</v>
      </c>
      <c r="E7" s="110">
        <v>0.1</v>
      </c>
      <c r="F7" s="110">
        <v>0.1</v>
      </c>
      <c r="G7" s="110">
        <v>0.1</v>
      </c>
      <c r="H7" s="110">
        <v>0.1</v>
      </c>
      <c r="I7" s="110">
        <v>0.1</v>
      </c>
      <c r="J7" s="110">
        <v>0.1</v>
      </c>
      <c r="K7" s="110">
        <v>0.1</v>
      </c>
      <c r="L7" s="110">
        <v>0.1</v>
      </c>
      <c r="M7" s="110">
        <v>0.1</v>
      </c>
      <c r="N7" s="110">
        <v>0.1</v>
      </c>
      <c r="O7" s="110">
        <v>0.1</v>
      </c>
      <c r="P7" s="110">
        <v>0.1</v>
      </c>
      <c r="Q7" s="110">
        <v>0.1</v>
      </c>
      <c r="R7" s="110">
        <v>0.1</v>
      </c>
      <c r="S7" s="110">
        <v>0.1</v>
      </c>
      <c r="T7" s="110">
        <v>0.1</v>
      </c>
      <c r="U7" s="110">
        <v>0.1</v>
      </c>
      <c r="V7" s="110">
        <v>0.1</v>
      </c>
      <c r="W7" s="110">
        <v>0.1</v>
      </c>
      <c r="X7" s="110">
        <v>0.1</v>
      </c>
      <c r="Y7" s="110">
        <v>0.1</v>
      </c>
      <c r="Z7" s="110">
        <v>0.1</v>
      </c>
    </row>
    <row r="8" spans="1:26" ht="15" customHeight="1" x14ac:dyDescent="0.25">
      <c r="A8" s="31" t="s">
        <v>6</v>
      </c>
      <c r="B8" s="3" t="s">
        <v>1059</v>
      </c>
      <c r="C8" s="110">
        <v>0.1</v>
      </c>
      <c r="D8" s="110">
        <v>0.1</v>
      </c>
      <c r="E8" s="110">
        <v>0.1</v>
      </c>
      <c r="F8" s="110">
        <v>0.1</v>
      </c>
      <c r="G8" s="110">
        <v>0.1</v>
      </c>
      <c r="H8" s="110">
        <v>0.1</v>
      </c>
      <c r="I8" s="110">
        <v>0.1</v>
      </c>
      <c r="J8" s="110">
        <v>0.1</v>
      </c>
      <c r="K8" s="110">
        <v>0.1</v>
      </c>
      <c r="L8" s="110">
        <v>0.1</v>
      </c>
      <c r="M8" s="110">
        <v>0.1</v>
      </c>
      <c r="N8" s="110">
        <v>0.1</v>
      </c>
      <c r="O8" s="110">
        <v>0.1</v>
      </c>
      <c r="P8" s="110">
        <v>0.1</v>
      </c>
      <c r="Q8" s="110">
        <v>0.1</v>
      </c>
      <c r="R8" s="110">
        <v>0.1</v>
      </c>
      <c r="S8" s="110">
        <v>0.1</v>
      </c>
      <c r="T8" s="110">
        <v>0.1</v>
      </c>
      <c r="U8" s="110">
        <v>0.1</v>
      </c>
      <c r="V8" s="110">
        <v>0.1</v>
      </c>
      <c r="W8" s="110">
        <v>0.1</v>
      </c>
      <c r="X8" s="110">
        <v>0.1</v>
      </c>
      <c r="Y8" s="110">
        <v>0.1</v>
      </c>
      <c r="Z8" s="110">
        <v>0.1</v>
      </c>
    </row>
    <row r="9" spans="1:26" ht="15" customHeight="1" x14ac:dyDescent="0.25">
      <c r="A9" s="31" t="s">
        <v>7</v>
      </c>
      <c r="B9" s="3" t="s">
        <v>1059</v>
      </c>
      <c r="C9" s="110">
        <v>0.1</v>
      </c>
      <c r="D9" s="110">
        <v>0.1</v>
      </c>
      <c r="E9" s="110">
        <v>0.1</v>
      </c>
      <c r="F9" s="110">
        <v>0.1</v>
      </c>
      <c r="G9" s="110">
        <v>0.1</v>
      </c>
      <c r="H9" s="110">
        <v>0.1</v>
      </c>
      <c r="I9" s="110">
        <v>0.1</v>
      </c>
      <c r="J9" s="110">
        <v>0.1</v>
      </c>
      <c r="K9" s="110">
        <v>0.1</v>
      </c>
      <c r="L9" s="110">
        <v>0.1</v>
      </c>
      <c r="M9" s="110">
        <v>0.1</v>
      </c>
      <c r="N9" s="110">
        <v>0.1</v>
      </c>
      <c r="O9" s="110">
        <v>0.1</v>
      </c>
      <c r="P9" s="110">
        <v>0.1</v>
      </c>
      <c r="Q9" s="110">
        <v>0.1</v>
      </c>
      <c r="R9" s="110">
        <v>0.1</v>
      </c>
      <c r="S9" s="110">
        <v>0.1</v>
      </c>
      <c r="T9" s="110">
        <v>0.1</v>
      </c>
      <c r="U9" s="110">
        <v>0.1</v>
      </c>
      <c r="V9" s="110">
        <v>0.1</v>
      </c>
      <c r="W9" s="110">
        <v>0.1</v>
      </c>
      <c r="X9" s="110">
        <v>0.1</v>
      </c>
      <c r="Y9" s="110">
        <v>0.1</v>
      </c>
      <c r="Z9" s="110">
        <v>0.1</v>
      </c>
    </row>
    <row r="10" spans="1:26" ht="15" customHeight="1" x14ac:dyDescent="0.25">
      <c r="A10" s="32" t="s">
        <v>8</v>
      </c>
      <c r="B10" s="3" t="s">
        <v>336</v>
      </c>
      <c r="C10" s="111">
        <v>5.7999999999999996E-3</v>
      </c>
      <c r="D10" s="111">
        <v>0.06</v>
      </c>
      <c r="E10" s="111">
        <v>4.2000000000000003E-2</v>
      </c>
      <c r="F10" s="111">
        <v>2.0999999999999999E-3</v>
      </c>
      <c r="G10" s="111">
        <v>2.1000000000000001E-2</v>
      </c>
      <c r="H10" s="111">
        <v>0.06</v>
      </c>
      <c r="I10" s="111">
        <v>4.2000000000000003E-2</v>
      </c>
      <c r="J10" s="111">
        <v>5.7999999999999996E-3</v>
      </c>
      <c r="K10" s="111">
        <v>3.3000000000000002E-2</v>
      </c>
      <c r="L10" s="111">
        <v>2.1000000000000001E-2</v>
      </c>
      <c r="M10" s="111">
        <v>0.06</v>
      </c>
      <c r="N10" s="111">
        <v>0.04</v>
      </c>
      <c r="O10" s="111">
        <v>2.1000000000000001E-2</v>
      </c>
      <c r="P10" s="111">
        <v>2.1000000000000001E-2</v>
      </c>
      <c r="Q10" s="111">
        <v>5.7999999999999996E-3</v>
      </c>
      <c r="R10" s="111">
        <v>5.7999999999999996E-3</v>
      </c>
      <c r="S10" s="111">
        <v>0.04</v>
      </c>
      <c r="T10" s="111">
        <v>5.6000000000000001E-2</v>
      </c>
      <c r="U10" s="111">
        <v>2.1000000000000001E-2</v>
      </c>
      <c r="V10" s="111">
        <v>0.04</v>
      </c>
      <c r="W10" s="111">
        <v>2.8999999999999998E-3</v>
      </c>
      <c r="X10" s="111">
        <v>2.1000000000000001E-2</v>
      </c>
      <c r="Y10" s="111">
        <v>7.2999999999999996E-4</v>
      </c>
      <c r="Z10" s="111">
        <v>2.9000000000000001E-2</v>
      </c>
    </row>
    <row r="11" spans="1:26" ht="15" customHeight="1" x14ac:dyDescent="0.25">
      <c r="A11" s="31" t="s">
        <v>9</v>
      </c>
      <c r="B11" s="3" t="s">
        <v>1059</v>
      </c>
      <c r="C11" s="110">
        <v>0.03</v>
      </c>
      <c r="D11" s="110">
        <v>0.03</v>
      </c>
      <c r="E11" s="110">
        <v>0.03</v>
      </c>
      <c r="F11" s="110">
        <v>0.03</v>
      </c>
      <c r="G11" s="110">
        <v>0.03</v>
      </c>
      <c r="H11" s="110">
        <v>0.03</v>
      </c>
      <c r="I11" s="110">
        <v>0.03</v>
      </c>
      <c r="J11" s="110">
        <v>0.03</v>
      </c>
      <c r="K11" s="110">
        <v>0.03</v>
      </c>
      <c r="L11" s="110">
        <v>0.03</v>
      </c>
      <c r="M11" s="110">
        <v>0.03</v>
      </c>
      <c r="N11" s="110">
        <v>0.03</v>
      </c>
      <c r="O11" s="110">
        <v>0.03</v>
      </c>
      <c r="P11" s="110">
        <v>0.03</v>
      </c>
      <c r="Q11" s="110">
        <v>0.03</v>
      </c>
      <c r="R11" s="110">
        <v>0.03</v>
      </c>
      <c r="S11" s="110">
        <v>0.03</v>
      </c>
      <c r="T11" s="110">
        <v>0.03</v>
      </c>
      <c r="U11" s="110">
        <v>0.03</v>
      </c>
      <c r="V11" s="110">
        <v>0.03</v>
      </c>
      <c r="W11" s="110">
        <v>0.03</v>
      </c>
      <c r="X11" s="110">
        <v>0.03</v>
      </c>
      <c r="Y11" s="110">
        <v>0.03</v>
      </c>
      <c r="Z11" s="110">
        <v>0.03</v>
      </c>
    </row>
    <row r="12" spans="1:26" ht="15" customHeight="1" x14ac:dyDescent="0.25">
      <c r="A12" s="31" t="s">
        <v>10</v>
      </c>
      <c r="B12" s="3" t="s">
        <v>1059</v>
      </c>
      <c r="C12" s="110">
        <v>0.3</v>
      </c>
      <c r="D12" s="110">
        <v>0.3</v>
      </c>
      <c r="E12" s="110">
        <v>0.3</v>
      </c>
      <c r="F12" s="110">
        <v>0.3</v>
      </c>
      <c r="G12" s="110">
        <v>0.3</v>
      </c>
      <c r="H12" s="110">
        <v>0.3</v>
      </c>
      <c r="I12" s="110">
        <v>0.3</v>
      </c>
      <c r="J12" s="110">
        <v>0.3</v>
      </c>
      <c r="K12" s="110">
        <v>0.3</v>
      </c>
      <c r="L12" s="110">
        <v>0.3</v>
      </c>
      <c r="M12" s="110">
        <v>0.3</v>
      </c>
      <c r="N12" s="110">
        <v>0.3</v>
      </c>
      <c r="O12" s="110">
        <v>0.3</v>
      </c>
      <c r="P12" s="110">
        <v>0.3</v>
      </c>
      <c r="Q12" s="110">
        <v>0.3</v>
      </c>
      <c r="R12" s="110">
        <v>0.3</v>
      </c>
      <c r="S12" s="110">
        <v>0.3</v>
      </c>
      <c r="T12" s="110">
        <v>0.3</v>
      </c>
      <c r="U12" s="110">
        <v>0.3</v>
      </c>
      <c r="V12" s="110">
        <v>0.3</v>
      </c>
      <c r="W12" s="110">
        <v>0.3</v>
      </c>
      <c r="X12" s="110">
        <v>0.3</v>
      </c>
      <c r="Y12" s="110">
        <v>0.3</v>
      </c>
      <c r="Z12" s="110">
        <v>0.3</v>
      </c>
    </row>
    <row r="13" spans="1:26" ht="15" customHeight="1" x14ac:dyDescent="0.25">
      <c r="A13" s="31" t="s">
        <v>11</v>
      </c>
      <c r="B13" s="3" t="s">
        <v>1059</v>
      </c>
      <c r="C13" s="112">
        <v>2.9999999999999997E-4</v>
      </c>
      <c r="D13" s="111">
        <v>2.7E-2</v>
      </c>
      <c r="E13" s="111">
        <v>2.1999999999999999E-2</v>
      </c>
      <c r="F13" s="112">
        <v>2.9999999999999997E-4</v>
      </c>
      <c r="G13" s="111">
        <v>1.7999999999999999E-2</v>
      </c>
      <c r="H13" s="111">
        <v>2.7E-2</v>
      </c>
      <c r="I13" s="111">
        <v>2.1999999999999999E-2</v>
      </c>
      <c r="J13" s="112">
        <v>2.9999999999999997E-4</v>
      </c>
      <c r="K13" s="111">
        <v>4.7999999999999996E-3</v>
      </c>
      <c r="L13" s="111">
        <v>1.7999999999999999E-2</v>
      </c>
      <c r="M13" s="111">
        <v>2.7E-2</v>
      </c>
      <c r="N13" s="111">
        <v>1.7000000000000001E-2</v>
      </c>
      <c r="O13" s="111">
        <v>1.7999999999999999E-2</v>
      </c>
      <c r="P13" s="111">
        <v>1.7999999999999999E-2</v>
      </c>
      <c r="Q13" s="112">
        <v>2.9999999999999997E-4</v>
      </c>
      <c r="R13" s="112">
        <v>2.9999999999999997E-4</v>
      </c>
      <c r="S13" s="111">
        <v>1.7000000000000001E-2</v>
      </c>
      <c r="T13" s="111">
        <v>5.7000000000000002E-3</v>
      </c>
      <c r="U13" s="111">
        <v>1.7999999999999999E-2</v>
      </c>
      <c r="V13" s="111">
        <v>1.7000000000000001E-2</v>
      </c>
      <c r="W13" s="112">
        <v>2.9999999999999997E-4</v>
      </c>
      <c r="X13" s="111">
        <v>1.7999999999999999E-2</v>
      </c>
      <c r="Y13" s="110">
        <v>0.02</v>
      </c>
      <c r="Z13" s="111">
        <v>2.8999999999999998E-3</v>
      </c>
    </row>
    <row r="14" spans="1:26" ht="15" customHeight="1" x14ac:dyDescent="0.25">
      <c r="A14" s="31" t="s">
        <v>12</v>
      </c>
      <c r="B14" s="3" t="s">
        <v>1059</v>
      </c>
      <c r="C14" s="110">
        <v>0.01</v>
      </c>
      <c r="D14" s="110">
        <v>0.01</v>
      </c>
      <c r="E14" s="110">
        <v>0.01</v>
      </c>
      <c r="F14" s="110">
        <v>0.01</v>
      </c>
      <c r="G14" s="110">
        <v>0.01</v>
      </c>
      <c r="H14" s="110">
        <v>0.01</v>
      </c>
      <c r="I14" s="110">
        <v>0.01</v>
      </c>
      <c r="J14" s="110">
        <v>0.01</v>
      </c>
      <c r="K14" s="110">
        <v>0.01</v>
      </c>
      <c r="L14" s="110">
        <v>0.01</v>
      </c>
      <c r="M14" s="110">
        <v>0.01</v>
      </c>
      <c r="N14" s="110">
        <v>0.01</v>
      </c>
      <c r="O14" s="110">
        <v>0.01</v>
      </c>
      <c r="P14" s="110">
        <v>0.01</v>
      </c>
      <c r="Q14" s="110">
        <v>0.01</v>
      </c>
      <c r="R14" s="110">
        <v>0.01</v>
      </c>
      <c r="S14" s="110">
        <v>0.01</v>
      </c>
      <c r="T14" s="110">
        <v>0.01</v>
      </c>
      <c r="U14" s="110">
        <v>0.01</v>
      </c>
      <c r="V14" s="110">
        <v>0.01</v>
      </c>
      <c r="W14" s="110">
        <v>0.01</v>
      </c>
      <c r="X14" s="110">
        <v>0.01</v>
      </c>
      <c r="Y14" s="110">
        <v>0.01</v>
      </c>
      <c r="Z14" s="110">
        <v>0.01</v>
      </c>
    </row>
    <row r="15" spans="1:26" ht="15" customHeight="1" x14ac:dyDescent="0.25">
      <c r="A15" s="31" t="s">
        <v>13</v>
      </c>
      <c r="B15" s="3" t="s">
        <v>1059</v>
      </c>
      <c r="C15" s="112">
        <v>0.01</v>
      </c>
      <c r="D15" s="111">
        <v>0.08</v>
      </c>
      <c r="E15" s="111">
        <v>1.4999999999999999E-2</v>
      </c>
      <c r="F15" s="112">
        <v>0.01</v>
      </c>
      <c r="G15" s="111">
        <v>1.4999999999999999E-2</v>
      </c>
      <c r="H15" s="111">
        <v>0.08</v>
      </c>
      <c r="I15" s="111">
        <v>1.4999999999999999E-2</v>
      </c>
      <c r="J15" s="112">
        <v>0.01</v>
      </c>
      <c r="K15" s="111">
        <v>1.1999999999999999E-3</v>
      </c>
      <c r="L15" s="111">
        <v>1.4999999999999999E-2</v>
      </c>
      <c r="M15" s="111">
        <v>0.08</v>
      </c>
      <c r="N15" s="111">
        <v>5.3E-3</v>
      </c>
      <c r="O15" s="111">
        <v>1.4999999999999999E-2</v>
      </c>
      <c r="P15" s="111">
        <v>1.4999999999999999E-2</v>
      </c>
      <c r="Q15" s="112">
        <v>0.01</v>
      </c>
      <c r="R15" s="112">
        <v>0.01</v>
      </c>
      <c r="S15" s="111">
        <v>5.3E-3</v>
      </c>
      <c r="T15" s="111">
        <v>1.5E-3</v>
      </c>
      <c r="U15" s="111">
        <v>1.4999999999999999E-2</v>
      </c>
      <c r="V15" s="111">
        <v>5.3E-3</v>
      </c>
      <c r="W15" s="112">
        <v>0.01</v>
      </c>
      <c r="X15" s="111">
        <v>1.4999999999999999E-2</v>
      </c>
      <c r="Y15" s="111">
        <v>2.9E-4</v>
      </c>
      <c r="Z15" s="111">
        <v>1.0999999999999999E-2</v>
      </c>
    </row>
    <row r="16" spans="1:26" ht="15" customHeight="1" x14ac:dyDescent="0.25">
      <c r="A16" s="31" t="s">
        <v>14</v>
      </c>
      <c r="B16" s="3" t="s">
        <v>1059</v>
      </c>
      <c r="C16" s="112">
        <v>0.01</v>
      </c>
      <c r="D16" s="111">
        <v>0.08</v>
      </c>
      <c r="E16" s="111">
        <v>1.4999999999999999E-2</v>
      </c>
      <c r="F16" s="112">
        <v>0.01</v>
      </c>
      <c r="G16" s="111">
        <v>1.4999999999999999E-2</v>
      </c>
      <c r="H16" s="111">
        <v>0.08</v>
      </c>
      <c r="I16" s="111">
        <v>1.4999999999999999E-2</v>
      </c>
      <c r="J16" s="112">
        <v>0.01</v>
      </c>
      <c r="K16" s="111">
        <v>1.1999999999999999E-3</v>
      </c>
      <c r="L16" s="111">
        <v>1.4999999999999999E-2</v>
      </c>
      <c r="M16" s="111">
        <v>0.08</v>
      </c>
      <c r="N16" s="111">
        <v>5.3E-3</v>
      </c>
      <c r="O16" s="111">
        <v>1.4999999999999999E-2</v>
      </c>
      <c r="P16" s="111">
        <v>1.4999999999999999E-2</v>
      </c>
      <c r="Q16" s="112">
        <v>0.01</v>
      </c>
      <c r="R16" s="112">
        <v>0.01</v>
      </c>
      <c r="S16" s="111">
        <v>5.3E-3</v>
      </c>
      <c r="T16" s="111">
        <v>1.5E-3</v>
      </c>
      <c r="U16" s="111">
        <v>1.4999999999999999E-2</v>
      </c>
      <c r="V16" s="111">
        <v>5.3E-3</v>
      </c>
      <c r="W16" s="112">
        <v>0.01</v>
      </c>
      <c r="X16" s="111">
        <v>1.4999999999999999E-2</v>
      </c>
      <c r="Y16" s="111">
        <v>2.9E-4</v>
      </c>
      <c r="Z16" s="111">
        <v>1.0999999999999999E-2</v>
      </c>
    </row>
    <row r="17" spans="1:26" ht="15" customHeight="1" x14ac:dyDescent="0.25">
      <c r="A17" s="31" t="s">
        <v>15</v>
      </c>
      <c r="B17" s="3" t="s">
        <v>1059</v>
      </c>
      <c r="C17" s="112">
        <v>0.01</v>
      </c>
      <c r="D17" s="111">
        <v>0.08</v>
      </c>
      <c r="E17" s="111">
        <v>1.4999999999999999E-2</v>
      </c>
      <c r="F17" s="112">
        <v>0.01</v>
      </c>
      <c r="G17" s="111">
        <v>1.4999999999999999E-2</v>
      </c>
      <c r="H17" s="111">
        <v>0.08</v>
      </c>
      <c r="I17" s="111">
        <v>1.4999999999999999E-2</v>
      </c>
      <c r="J17" s="112">
        <v>0.01</v>
      </c>
      <c r="K17" s="111">
        <v>1.1999999999999999E-3</v>
      </c>
      <c r="L17" s="111">
        <v>1.4999999999999999E-2</v>
      </c>
      <c r="M17" s="111">
        <v>0.08</v>
      </c>
      <c r="N17" s="111">
        <v>5.3E-3</v>
      </c>
      <c r="O17" s="111">
        <v>1.4999999999999999E-2</v>
      </c>
      <c r="P17" s="111">
        <v>1.4999999999999999E-2</v>
      </c>
      <c r="Q17" s="112">
        <v>0.01</v>
      </c>
      <c r="R17" s="112">
        <v>0.01</v>
      </c>
      <c r="S17" s="111">
        <v>5.3E-3</v>
      </c>
      <c r="T17" s="111">
        <v>1.5E-3</v>
      </c>
      <c r="U17" s="111">
        <v>1.4999999999999999E-2</v>
      </c>
      <c r="V17" s="111">
        <v>5.3E-3</v>
      </c>
      <c r="W17" s="112">
        <v>0.01</v>
      </c>
      <c r="X17" s="111">
        <v>1.4999999999999999E-2</v>
      </c>
      <c r="Y17" s="111">
        <v>2.9E-4</v>
      </c>
      <c r="Z17" s="111">
        <v>1.0999999999999999E-2</v>
      </c>
    </row>
    <row r="18" spans="1:26" ht="15" customHeight="1" x14ac:dyDescent="0.25">
      <c r="A18" s="31" t="s">
        <v>16</v>
      </c>
      <c r="B18" s="3" t="s">
        <v>1059</v>
      </c>
      <c r="C18" s="112">
        <v>2.0000000000000001E-4</v>
      </c>
      <c r="D18" s="111">
        <v>7.4000000000000003E-3</v>
      </c>
      <c r="E18" s="111">
        <v>5.7999999999999996E-3</v>
      </c>
      <c r="F18" s="112">
        <v>2.0000000000000001E-4</v>
      </c>
      <c r="G18" s="112">
        <v>2.0000000000000001E-4</v>
      </c>
      <c r="H18" s="111">
        <v>7.4000000000000003E-3</v>
      </c>
      <c r="I18" s="111">
        <v>5.7999999999999996E-3</v>
      </c>
      <c r="J18" s="112">
        <v>2.0000000000000001E-4</v>
      </c>
      <c r="K18" s="111">
        <v>2.4000000000000001E-4</v>
      </c>
      <c r="L18" s="112">
        <v>2.0000000000000001E-4</v>
      </c>
      <c r="M18" s="111">
        <v>7.4000000000000003E-3</v>
      </c>
      <c r="N18" s="111">
        <v>2.7E-4</v>
      </c>
      <c r="O18" s="112">
        <v>2.0000000000000001E-4</v>
      </c>
      <c r="P18" s="112">
        <v>2.0000000000000001E-4</v>
      </c>
      <c r="Q18" s="112">
        <v>2.0000000000000001E-4</v>
      </c>
      <c r="R18" s="112">
        <v>2.0000000000000001E-4</v>
      </c>
      <c r="S18" s="111">
        <v>2.7E-4</v>
      </c>
      <c r="T18" s="111">
        <v>2.7000000000000001E-3</v>
      </c>
      <c r="U18" s="112">
        <v>2.0000000000000001E-4</v>
      </c>
      <c r="V18" s="111">
        <v>2.7E-4</v>
      </c>
      <c r="W18" s="112">
        <v>2.0000000000000001E-4</v>
      </c>
      <c r="X18" s="112">
        <v>2.0000000000000001E-4</v>
      </c>
      <c r="Y18" s="111">
        <v>1.2999999999999999E-2</v>
      </c>
      <c r="Z18" s="111">
        <v>2.4000000000000001E-4</v>
      </c>
    </row>
    <row r="19" spans="1:26" ht="15" customHeight="1" x14ac:dyDescent="0.25">
      <c r="A19" s="31" t="s">
        <v>17</v>
      </c>
      <c r="B19" s="3" t="s">
        <v>1059</v>
      </c>
      <c r="C19" s="112">
        <v>2.0000000000000001E-4</v>
      </c>
      <c r="D19" s="111">
        <v>7.4000000000000003E-3</v>
      </c>
      <c r="E19" s="111">
        <v>5.7999999999999996E-3</v>
      </c>
      <c r="F19" s="112">
        <v>2.0000000000000001E-4</v>
      </c>
      <c r="G19" s="112">
        <v>2.0000000000000001E-4</v>
      </c>
      <c r="H19" s="111">
        <v>7.4000000000000003E-3</v>
      </c>
      <c r="I19" s="111">
        <v>5.7999999999999996E-3</v>
      </c>
      <c r="J19" s="112">
        <v>2.0000000000000001E-4</v>
      </c>
      <c r="K19" s="111">
        <v>2.4000000000000001E-4</v>
      </c>
      <c r="L19" s="112">
        <v>2.0000000000000001E-4</v>
      </c>
      <c r="M19" s="111">
        <v>7.4000000000000003E-3</v>
      </c>
      <c r="N19" s="111">
        <v>2.7E-4</v>
      </c>
      <c r="O19" s="112">
        <v>2.0000000000000001E-4</v>
      </c>
      <c r="P19" s="112">
        <v>2.0000000000000001E-4</v>
      </c>
      <c r="Q19" s="112">
        <v>2.0000000000000001E-4</v>
      </c>
      <c r="R19" s="112">
        <v>2.0000000000000001E-4</v>
      </c>
      <c r="S19" s="111">
        <v>2.7E-4</v>
      </c>
      <c r="T19" s="111">
        <v>2.7000000000000001E-3</v>
      </c>
      <c r="U19" s="112">
        <v>2.0000000000000001E-4</v>
      </c>
      <c r="V19" s="111">
        <v>2.7E-4</v>
      </c>
      <c r="W19" s="112">
        <v>2.0000000000000001E-4</v>
      </c>
      <c r="X19" s="112">
        <v>2.0000000000000001E-4</v>
      </c>
      <c r="Y19" s="111">
        <v>1.2999999999999999E-2</v>
      </c>
      <c r="Z19" s="111">
        <v>2.4000000000000001E-4</v>
      </c>
    </row>
    <row r="20" spans="1:26" ht="15" customHeight="1" x14ac:dyDescent="0.25">
      <c r="A20" s="31" t="s">
        <v>18</v>
      </c>
      <c r="B20" s="3" t="s">
        <v>1059</v>
      </c>
      <c r="C20" s="112">
        <v>2.0000000000000001E-4</v>
      </c>
      <c r="D20" s="111">
        <v>7.4000000000000003E-3</v>
      </c>
      <c r="E20" s="111">
        <v>5.7999999999999996E-3</v>
      </c>
      <c r="F20" s="112">
        <v>2.0000000000000001E-4</v>
      </c>
      <c r="G20" s="112">
        <v>2.0000000000000001E-4</v>
      </c>
      <c r="H20" s="111">
        <v>7.4000000000000003E-3</v>
      </c>
      <c r="I20" s="111">
        <v>5.7999999999999996E-3</v>
      </c>
      <c r="J20" s="112">
        <v>2.0000000000000001E-4</v>
      </c>
      <c r="K20" s="111">
        <v>2.4000000000000001E-4</v>
      </c>
      <c r="L20" s="112">
        <v>2.0000000000000001E-4</v>
      </c>
      <c r="M20" s="111">
        <v>7.4000000000000003E-3</v>
      </c>
      <c r="N20" s="111">
        <v>2.7E-4</v>
      </c>
      <c r="O20" s="112">
        <v>2.0000000000000001E-4</v>
      </c>
      <c r="P20" s="112">
        <v>2.0000000000000001E-4</v>
      </c>
      <c r="Q20" s="112">
        <v>2.0000000000000001E-4</v>
      </c>
      <c r="R20" s="112">
        <v>2.0000000000000001E-4</v>
      </c>
      <c r="S20" s="111">
        <v>2.7E-4</v>
      </c>
      <c r="T20" s="111">
        <v>2.7000000000000001E-3</v>
      </c>
      <c r="U20" s="112">
        <v>2.0000000000000001E-4</v>
      </c>
      <c r="V20" s="111">
        <v>2.7E-4</v>
      </c>
      <c r="W20" s="112">
        <v>2.0000000000000001E-4</v>
      </c>
      <c r="X20" s="112">
        <v>2.0000000000000001E-4</v>
      </c>
      <c r="Y20" s="111">
        <v>1.2999999999999999E-2</v>
      </c>
      <c r="Z20" s="111">
        <v>2.4000000000000001E-4</v>
      </c>
    </row>
    <row r="21" spans="1:26" ht="15" customHeight="1" x14ac:dyDescent="0.25">
      <c r="A21" s="31" t="s">
        <v>19</v>
      </c>
      <c r="B21" s="3" t="s">
        <v>1059</v>
      </c>
      <c r="C21" s="112">
        <v>2.0000000000000001E-4</v>
      </c>
      <c r="D21" s="111">
        <v>7.4000000000000003E-3</v>
      </c>
      <c r="E21" s="111">
        <v>5.7999999999999996E-3</v>
      </c>
      <c r="F21" s="112">
        <v>2.0000000000000001E-4</v>
      </c>
      <c r="G21" s="112">
        <v>2.0000000000000001E-4</v>
      </c>
      <c r="H21" s="111">
        <v>7.4000000000000003E-3</v>
      </c>
      <c r="I21" s="111">
        <v>5.7999999999999996E-3</v>
      </c>
      <c r="J21" s="112">
        <v>2.0000000000000001E-4</v>
      </c>
      <c r="K21" s="111">
        <v>2.4000000000000001E-4</v>
      </c>
      <c r="L21" s="112">
        <v>2.0000000000000001E-4</v>
      </c>
      <c r="M21" s="111">
        <v>7.4000000000000003E-3</v>
      </c>
      <c r="N21" s="111">
        <v>2.7E-4</v>
      </c>
      <c r="O21" s="112">
        <v>2.0000000000000001E-4</v>
      </c>
      <c r="P21" s="112">
        <v>2.0000000000000001E-4</v>
      </c>
      <c r="Q21" s="112">
        <v>2.0000000000000001E-4</v>
      </c>
      <c r="R21" s="112">
        <v>2.0000000000000001E-4</v>
      </c>
      <c r="S21" s="111">
        <v>2.7E-4</v>
      </c>
      <c r="T21" s="111">
        <v>2.7000000000000001E-3</v>
      </c>
      <c r="U21" s="112">
        <v>2.0000000000000001E-4</v>
      </c>
      <c r="V21" s="111">
        <v>2.7E-4</v>
      </c>
      <c r="W21" s="112">
        <v>2.0000000000000001E-4</v>
      </c>
      <c r="X21" s="112">
        <v>2.0000000000000001E-4</v>
      </c>
      <c r="Y21" s="111">
        <v>1.2999999999999999E-2</v>
      </c>
      <c r="Z21" s="111">
        <v>2.4000000000000001E-4</v>
      </c>
    </row>
    <row r="22" spans="1:26" ht="15" customHeight="1" x14ac:dyDescent="0.25">
      <c r="A22" s="31" t="s">
        <v>20</v>
      </c>
      <c r="B22" s="3" t="s">
        <v>1059</v>
      </c>
      <c r="C22" s="112">
        <v>0.01</v>
      </c>
      <c r="D22" s="111">
        <v>9.0999999999999998E-2</v>
      </c>
      <c r="E22" s="111">
        <v>7.0000000000000007E-2</v>
      </c>
      <c r="F22" s="112">
        <v>0.01</v>
      </c>
      <c r="G22" s="111">
        <v>1.7000000000000001E-2</v>
      </c>
      <c r="H22" s="111">
        <v>9.0999999999999998E-2</v>
      </c>
      <c r="I22" s="111">
        <v>7.0000000000000007E-2</v>
      </c>
      <c r="J22" s="112">
        <v>0.01</v>
      </c>
      <c r="K22" s="111">
        <v>2.3999999999999998E-3</v>
      </c>
      <c r="L22" s="111">
        <v>1.7000000000000001E-2</v>
      </c>
      <c r="M22" s="111">
        <v>9.0999999999999998E-2</v>
      </c>
      <c r="N22" s="111">
        <v>1.4E-2</v>
      </c>
      <c r="O22" s="111">
        <v>1.7000000000000001E-2</v>
      </c>
      <c r="P22" s="111">
        <v>1.7000000000000001E-2</v>
      </c>
      <c r="Q22" s="112">
        <v>0.01</v>
      </c>
      <c r="R22" s="112">
        <v>0.01</v>
      </c>
      <c r="S22" s="111">
        <v>1.4E-2</v>
      </c>
      <c r="T22" s="111">
        <v>1.0999999999999999E-2</v>
      </c>
      <c r="U22" s="111">
        <v>1.7000000000000001E-2</v>
      </c>
      <c r="V22" s="111">
        <v>1.4E-2</v>
      </c>
      <c r="W22" s="112">
        <v>0.01</v>
      </c>
      <c r="X22" s="111">
        <v>1.7000000000000001E-2</v>
      </c>
      <c r="Y22" s="111">
        <v>8.7000000000000001E-4</v>
      </c>
      <c r="Z22" s="111">
        <v>1.7000000000000001E-2</v>
      </c>
    </row>
    <row r="23" spans="1:26" ht="15" customHeight="1" x14ac:dyDescent="0.25">
      <c r="A23" s="32" t="s">
        <v>21</v>
      </c>
      <c r="B23" s="3" t="s">
        <v>336</v>
      </c>
      <c r="C23" s="112">
        <v>0.01</v>
      </c>
      <c r="D23" s="111">
        <v>9.0999999999999998E-2</v>
      </c>
      <c r="E23" s="111">
        <v>7.0000000000000007E-2</v>
      </c>
      <c r="F23" s="112">
        <v>0.01</v>
      </c>
      <c r="G23" s="111">
        <v>1.7000000000000001E-2</v>
      </c>
      <c r="H23" s="111">
        <v>9.0999999999999998E-2</v>
      </c>
      <c r="I23" s="111">
        <v>7.0000000000000007E-2</v>
      </c>
      <c r="J23" s="112">
        <v>0.01</v>
      </c>
      <c r="K23" s="111">
        <v>2.3999999999999998E-3</v>
      </c>
      <c r="L23" s="111">
        <v>1.7000000000000001E-2</v>
      </c>
      <c r="M23" s="111">
        <v>9.0999999999999998E-2</v>
      </c>
      <c r="N23" s="111">
        <v>1.4E-2</v>
      </c>
      <c r="O23" s="111">
        <v>1.7000000000000001E-2</v>
      </c>
      <c r="P23" s="111">
        <v>1.7000000000000001E-2</v>
      </c>
      <c r="Q23" s="112">
        <v>0.01</v>
      </c>
      <c r="R23" s="112">
        <v>0.01</v>
      </c>
      <c r="S23" s="111">
        <v>1.4E-2</v>
      </c>
      <c r="T23" s="111">
        <v>1.0999999999999999E-2</v>
      </c>
      <c r="U23" s="111">
        <v>1.7000000000000001E-2</v>
      </c>
      <c r="V23" s="111">
        <v>1.4E-2</v>
      </c>
      <c r="W23" s="112">
        <v>0.01</v>
      </c>
      <c r="X23" s="111">
        <v>1.7000000000000001E-2</v>
      </c>
      <c r="Y23" s="111">
        <v>8.7000000000000001E-4</v>
      </c>
      <c r="Z23" s="111">
        <v>1.7000000000000001E-2</v>
      </c>
    </row>
    <row r="24" spans="1:26" ht="15" customHeight="1" x14ac:dyDescent="0.25">
      <c r="A24" s="31" t="s">
        <v>22</v>
      </c>
      <c r="B24" s="3" t="s">
        <v>1059</v>
      </c>
      <c r="C24" s="110">
        <v>0</v>
      </c>
      <c r="D24" s="110">
        <v>0</v>
      </c>
      <c r="E24" s="110">
        <v>0</v>
      </c>
      <c r="F24" s="110">
        <v>0</v>
      </c>
      <c r="G24" s="110">
        <v>0</v>
      </c>
      <c r="H24" s="110">
        <v>0</v>
      </c>
      <c r="I24" s="110">
        <v>0</v>
      </c>
      <c r="J24" s="110">
        <v>0</v>
      </c>
      <c r="K24" s="110">
        <v>0</v>
      </c>
      <c r="L24" s="110">
        <v>0</v>
      </c>
      <c r="M24" s="110">
        <v>0</v>
      </c>
      <c r="N24" s="110">
        <v>0</v>
      </c>
      <c r="O24" s="110">
        <v>0</v>
      </c>
      <c r="P24" s="110">
        <v>0</v>
      </c>
      <c r="Q24" s="110">
        <v>0</v>
      </c>
      <c r="R24" s="110">
        <v>0</v>
      </c>
      <c r="S24" s="110">
        <v>0</v>
      </c>
      <c r="T24" s="110">
        <v>0</v>
      </c>
      <c r="U24" s="110">
        <v>0</v>
      </c>
      <c r="V24" s="110">
        <v>0</v>
      </c>
      <c r="W24" s="110">
        <v>0</v>
      </c>
      <c r="X24" s="110">
        <v>0</v>
      </c>
      <c r="Y24" s="110">
        <v>0</v>
      </c>
      <c r="Z24" s="110">
        <v>0</v>
      </c>
    </row>
    <row r="25" spans="1:26" ht="15" customHeight="1" x14ac:dyDescent="0.25">
      <c r="A25" s="32" t="s">
        <v>23</v>
      </c>
      <c r="B25" s="3" t="s">
        <v>336</v>
      </c>
      <c r="C25" s="110">
        <v>0</v>
      </c>
      <c r="D25" s="110">
        <v>0</v>
      </c>
      <c r="E25" s="110">
        <v>0</v>
      </c>
      <c r="F25" s="110">
        <v>0</v>
      </c>
      <c r="G25" s="110">
        <v>0</v>
      </c>
      <c r="H25" s="110">
        <v>0</v>
      </c>
      <c r="I25" s="110">
        <v>0</v>
      </c>
      <c r="J25" s="110">
        <v>0</v>
      </c>
      <c r="K25" s="110">
        <v>0</v>
      </c>
      <c r="L25" s="110">
        <v>0</v>
      </c>
      <c r="M25" s="110">
        <v>0</v>
      </c>
      <c r="N25" s="110">
        <v>0</v>
      </c>
      <c r="O25" s="110">
        <v>0</v>
      </c>
      <c r="P25" s="110">
        <v>0</v>
      </c>
      <c r="Q25" s="110">
        <v>0</v>
      </c>
      <c r="R25" s="110">
        <v>0</v>
      </c>
      <c r="S25" s="110">
        <v>0</v>
      </c>
      <c r="T25" s="110">
        <v>0</v>
      </c>
      <c r="U25" s="110">
        <v>0</v>
      </c>
      <c r="V25" s="110">
        <v>0</v>
      </c>
      <c r="W25" s="110">
        <v>0</v>
      </c>
      <c r="X25" s="110">
        <v>0</v>
      </c>
      <c r="Y25" s="110">
        <v>0</v>
      </c>
      <c r="Z25" s="110">
        <v>0</v>
      </c>
    </row>
    <row r="26" spans="1:26" ht="15" customHeight="1" x14ac:dyDescent="0.25">
      <c r="A26" s="31" t="s">
        <v>24</v>
      </c>
      <c r="B26" s="3" t="s">
        <v>1059</v>
      </c>
      <c r="C26" s="112">
        <v>5.0000000000000001E-4</v>
      </c>
      <c r="D26" s="111">
        <v>1.1999999999999999E-3</v>
      </c>
      <c r="E26" s="111">
        <v>8.0000000000000004E-4</v>
      </c>
      <c r="F26" s="112">
        <v>5.0000000000000001E-4</v>
      </c>
      <c r="G26" s="111">
        <v>7.7999999999999999E-4</v>
      </c>
      <c r="H26" s="111">
        <v>1.1999999999999999E-3</v>
      </c>
      <c r="I26" s="111">
        <v>8.0000000000000004E-4</v>
      </c>
      <c r="J26" s="112">
        <v>5.0000000000000001E-4</v>
      </c>
      <c r="K26" s="111">
        <v>6.4000000000000005E-4</v>
      </c>
      <c r="L26" s="111">
        <v>7.7999999999999999E-4</v>
      </c>
      <c r="M26" s="111">
        <v>1.1999999999999999E-3</v>
      </c>
      <c r="N26" s="111">
        <v>5.2999999999999998E-4</v>
      </c>
      <c r="O26" s="111">
        <v>7.7999999999999999E-4</v>
      </c>
      <c r="P26" s="111">
        <v>7.7999999999999999E-4</v>
      </c>
      <c r="Q26" s="112">
        <v>5.0000000000000001E-4</v>
      </c>
      <c r="R26" s="112">
        <v>5.0000000000000001E-4</v>
      </c>
      <c r="S26" s="111">
        <v>5.2999999999999998E-4</v>
      </c>
      <c r="T26" s="111">
        <v>2.0000000000000001E-4</v>
      </c>
      <c r="U26" s="111">
        <v>7.7999999999999999E-4</v>
      </c>
      <c r="V26" s="111">
        <v>5.2999999999999998E-4</v>
      </c>
      <c r="W26" s="112">
        <v>5.0000000000000001E-4</v>
      </c>
      <c r="X26" s="111">
        <v>7.7999999999999999E-4</v>
      </c>
      <c r="Y26" s="111">
        <v>1.6000000000000001E-4</v>
      </c>
      <c r="Z26" s="111">
        <v>2.0999999999999999E-3</v>
      </c>
    </row>
    <row r="27" spans="1:26" ht="15" customHeight="1" x14ac:dyDescent="0.25">
      <c r="A27" s="31" t="s">
        <v>25</v>
      </c>
      <c r="B27" s="3" t="s">
        <v>1059</v>
      </c>
      <c r="C27" s="112">
        <v>8.0000000000000007E-5</v>
      </c>
      <c r="D27" s="112">
        <v>8.0000000000000004E-4</v>
      </c>
      <c r="E27" s="112">
        <v>8.0000000000000007E-5</v>
      </c>
      <c r="F27" s="112">
        <v>8.0000000000000007E-5</v>
      </c>
      <c r="G27" s="112">
        <v>8.0000000000000007E-5</v>
      </c>
      <c r="H27" s="112">
        <v>8.0000000000000004E-4</v>
      </c>
      <c r="I27" s="112">
        <v>8.0000000000000007E-5</v>
      </c>
      <c r="J27" s="112">
        <v>8.0000000000000007E-5</v>
      </c>
      <c r="K27" s="112">
        <v>8.0000000000000007E-5</v>
      </c>
      <c r="L27" s="112">
        <v>8.0000000000000007E-5</v>
      </c>
      <c r="M27" s="112">
        <v>8.0000000000000004E-4</v>
      </c>
      <c r="N27" s="112">
        <v>8.0000000000000007E-5</v>
      </c>
      <c r="O27" s="112">
        <v>8.0000000000000007E-5</v>
      </c>
      <c r="P27" s="112">
        <v>8.0000000000000007E-5</v>
      </c>
      <c r="Q27" s="112">
        <v>8.0000000000000007E-5</v>
      </c>
      <c r="R27" s="112">
        <v>8.0000000000000007E-5</v>
      </c>
      <c r="S27" s="112">
        <v>8.0000000000000007E-5</v>
      </c>
      <c r="T27" s="112">
        <v>8.0000000000000007E-5</v>
      </c>
      <c r="U27" s="112">
        <v>8.0000000000000007E-5</v>
      </c>
      <c r="V27" s="112">
        <v>8.0000000000000007E-5</v>
      </c>
      <c r="W27" s="112">
        <v>8.0000000000000007E-5</v>
      </c>
      <c r="X27" s="112">
        <v>8.0000000000000007E-5</v>
      </c>
      <c r="Y27" s="110">
        <v>0.2</v>
      </c>
      <c r="Z27" s="110">
        <v>0.2</v>
      </c>
    </row>
    <row r="28" spans="1:26" ht="15" customHeight="1" x14ac:dyDescent="0.25">
      <c r="A28" s="31" t="s">
        <v>26</v>
      </c>
      <c r="B28" s="3" t="s">
        <v>1059</v>
      </c>
      <c r="C28" s="112">
        <v>8.0000000000000007E-5</v>
      </c>
      <c r="D28" s="112">
        <v>8.0000000000000004E-4</v>
      </c>
      <c r="E28" s="112">
        <v>8.0000000000000007E-5</v>
      </c>
      <c r="F28" s="112">
        <v>8.0000000000000007E-5</v>
      </c>
      <c r="G28" s="112">
        <v>8.0000000000000007E-5</v>
      </c>
      <c r="H28" s="112">
        <v>8.0000000000000004E-4</v>
      </c>
      <c r="I28" s="112">
        <v>8.0000000000000007E-5</v>
      </c>
      <c r="J28" s="112">
        <v>8.0000000000000007E-5</v>
      </c>
      <c r="K28" s="112">
        <v>8.0000000000000007E-5</v>
      </c>
      <c r="L28" s="112">
        <v>8.0000000000000007E-5</v>
      </c>
      <c r="M28" s="112">
        <v>8.0000000000000004E-4</v>
      </c>
      <c r="N28" s="112">
        <v>8.0000000000000007E-5</v>
      </c>
      <c r="O28" s="112">
        <v>8.0000000000000007E-5</v>
      </c>
      <c r="P28" s="112">
        <v>8.0000000000000007E-5</v>
      </c>
      <c r="Q28" s="112">
        <v>8.0000000000000007E-5</v>
      </c>
      <c r="R28" s="112">
        <v>8.0000000000000007E-5</v>
      </c>
      <c r="S28" s="112">
        <v>8.0000000000000007E-5</v>
      </c>
      <c r="T28" s="112">
        <v>8.0000000000000007E-5</v>
      </c>
      <c r="U28" s="112">
        <v>8.0000000000000007E-5</v>
      </c>
      <c r="V28" s="112">
        <v>8.0000000000000007E-5</v>
      </c>
      <c r="W28" s="112">
        <v>8.0000000000000007E-5</v>
      </c>
      <c r="X28" s="112">
        <v>8.0000000000000007E-5</v>
      </c>
      <c r="Y28" s="110">
        <v>0.2</v>
      </c>
      <c r="Z28" s="110">
        <v>0.2</v>
      </c>
    </row>
    <row r="29" spans="1:26" ht="15" customHeight="1" x14ac:dyDescent="0.25">
      <c r="A29" s="31" t="s">
        <v>27</v>
      </c>
      <c r="B29" s="3" t="s">
        <v>1059</v>
      </c>
      <c r="C29" s="112">
        <v>8.0000000000000007E-5</v>
      </c>
      <c r="D29" s="112">
        <v>8.0000000000000004E-4</v>
      </c>
      <c r="E29" s="112">
        <v>8.0000000000000007E-5</v>
      </c>
      <c r="F29" s="112">
        <v>8.0000000000000007E-5</v>
      </c>
      <c r="G29" s="112">
        <v>8.0000000000000007E-5</v>
      </c>
      <c r="H29" s="112">
        <v>8.0000000000000004E-4</v>
      </c>
      <c r="I29" s="112">
        <v>8.0000000000000007E-5</v>
      </c>
      <c r="J29" s="112">
        <v>8.0000000000000007E-5</v>
      </c>
      <c r="K29" s="112">
        <v>8.0000000000000007E-5</v>
      </c>
      <c r="L29" s="112">
        <v>8.0000000000000007E-5</v>
      </c>
      <c r="M29" s="112">
        <v>8.0000000000000004E-4</v>
      </c>
      <c r="N29" s="112">
        <v>8.0000000000000007E-5</v>
      </c>
      <c r="O29" s="112">
        <v>8.0000000000000007E-5</v>
      </c>
      <c r="P29" s="112">
        <v>8.0000000000000007E-5</v>
      </c>
      <c r="Q29" s="112">
        <v>8.0000000000000007E-5</v>
      </c>
      <c r="R29" s="112">
        <v>8.0000000000000007E-5</v>
      </c>
      <c r="S29" s="112">
        <v>8.0000000000000007E-5</v>
      </c>
      <c r="T29" s="112">
        <v>8.0000000000000007E-5</v>
      </c>
      <c r="U29" s="112">
        <v>8.0000000000000007E-5</v>
      </c>
      <c r="V29" s="112">
        <v>8.0000000000000007E-5</v>
      </c>
      <c r="W29" s="112">
        <v>8.0000000000000007E-5</v>
      </c>
      <c r="X29" s="112">
        <v>8.0000000000000007E-5</v>
      </c>
      <c r="Y29" s="110">
        <v>0.2</v>
      </c>
      <c r="Z29" s="110">
        <v>0.2</v>
      </c>
    </row>
    <row r="30" spans="1:26" ht="15" customHeight="1" x14ac:dyDescent="0.25">
      <c r="A30" s="31" t="s">
        <v>28</v>
      </c>
      <c r="B30" s="3" t="s">
        <v>1059</v>
      </c>
      <c r="C30" s="112">
        <v>1E-3</v>
      </c>
      <c r="D30" s="111">
        <v>0.02</v>
      </c>
      <c r="E30" s="111">
        <v>8.3999999999999995E-3</v>
      </c>
      <c r="F30" s="112">
        <v>1E-3</v>
      </c>
      <c r="G30" s="111">
        <v>1.4999999999999999E-2</v>
      </c>
      <c r="H30" s="111">
        <v>0.02</v>
      </c>
      <c r="I30" s="111">
        <v>8.3999999999999995E-3</v>
      </c>
      <c r="J30" s="112">
        <v>1E-3</v>
      </c>
      <c r="K30" s="111">
        <v>1.4999999999999999E-2</v>
      </c>
      <c r="L30" s="111">
        <v>1.4999999999999999E-2</v>
      </c>
      <c r="M30" s="111">
        <v>0.02</v>
      </c>
      <c r="N30" s="111">
        <v>2.2000000000000001E-3</v>
      </c>
      <c r="O30" s="111">
        <v>1.4999999999999999E-2</v>
      </c>
      <c r="P30" s="111">
        <v>1.4999999999999999E-2</v>
      </c>
      <c r="Q30" s="112">
        <v>1E-3</v>
      </c>
      <c r="R30" s="112">
        <v>1E-3</v>
      </c>
      <c r="S30" s="111">
        <v>2.2000000000000001E-3</v>
      </c>
      <c r="T30" s="111">
        <v>5.0000000000000001E-3</v>
      </c>
      <c r="U30" s="111">
        <v>1.4999999999999999E-2</v>
      </c>
      <c r="V30" s="111">
        <v>2.2000000000000001E-3</v>
      </c>
      <c r="W30" s="112">
        <v>1E-3</v>
      </c>
      <c r="X30" s="111">
        <v>1.4999999999999999E-2</v>
      </c>
      <c r="Y30" s="111">
        <v>2.43E-4</v>
      </c>
      <c r="Z30" s="111">
        <v>6.1999999999999998E-3</v>
      </c>
    </row>
    <row r="31" spans="1:26" x14ac:dyDescent="0.25">
      <c r="A31" s="3"/>
      <c r="B31" s="3"/>
    </row>
    <row r="32" spans="1:26" x14ac:dyDescent="0.25">
      <c r="A32" s="3"/>
      <c r="B32" s="3"/>
      <c r="C32" s="113" t="s">
        <v>1390</v>
      </c>
      <c r="D32" s="114" t="s">
        <v>1391</v>
      </c>
      <c r="E32" s="115" t="s">
        <v>1392</v>
      </c>
      <c r="F32" s="116" t="s">
        <v>1393</v>
      </c>
    </row>
  </sheetData>
  <sheetProtection algorithmName="SHA-512" hashValue="4UZN7DZo0SN3ZGlW4XAB+kYx+6KAlUfCOTsImk1gJPsWJ/ZV6/rNtOSmwSwuhllrPqxbNSYmfRsWqsL7OegN6Q==" saltValue="sWF4K0s2EFVsy3e5h/Y/6g==" spinCount="100000" sheet="1" objects="1" scenarios="1" formatColumns="0" formatRows="0" autoFilter="0"/>
  <autoFilter ref="A1:Z30" xr:uid="{00000000-0009-0000-0000-000006000000}"/>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499984740745262"/>
  </sheetPr>
  <dimension ref="A1:W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42578125" style="4" bestFit="1" customWidth="1"/>
    <col min="2" max="2" width="13.28515625" style="4" bestFit="1" customWidth="1"/>
    <col min="3" max="3" width="14.42578125" style="2" bestFit="1" customWidth="1"/>
    <col min="4" max="4" width="14.5703125" style="2" bestFit="1" customWidth="1"/>
    <col min="5" max="5" width="14.28515625" style="2" bestFit="1" customWidth="1"/>
    <col min="6" max="6" width="19" style="2" bestFit="1" customWidth="1"/>
    <col min="7" max="7" width="19.85546875" style="2" bestFit="1" customWidth="1"/>
    <col min="8" max="8" width="14.140625" style="2" bestFit="1" customWidth="1"/>
    <col min="9" max="9" width="13.5703125" style="3" bestFit="1" customWidth="1"/>
    <col min="10" max="11" width="15.42578125" style="3" bestFit="1" customWidth="1"/>
    <col min="12" max="12" width="16.42578125" style="3" bestFit="1" customWidth="1"/>
    <col min="13" max="14" width="13.85546875" style="3" bestFit="1" customWidth="1"/>
    <col min="15" max="15" width="14.140625" style="3" bestFit="1" customWidth="1"/>
    <col min="16" max="16" width="13.28515625" style="3" bestFit="1" customWidth="1"/>
    <col min="17" max="17" width="14" style="3" bestFit="1" customWidth="1"/>
    <col min="18" max="18" width="14.140625" style="3" bestFit="1" customWidth="1"/>
    <col min="19" max="19" width="15" style="3" bestFit="1" customWidth="1"/>
    <col min="20" max="20" width="18.5703125" style="3" bestFit="1" customWidth="1"/>
    <col min="21" max="21" width="13.5703125" style="3" bestFit="1" customWidth="1"/>
    <col min="22" max="22" width="13.85546875" style="3" bestFit="1" customWidth="1"/>
    <col min="23" max="16384" width="9.140625" style="3"/>
  </cols>
  <sheetData>
    <row r="1" spans="1:22" x14ac:dyDescent="0.25">
      <c r="A1" s="50" t="s">
        <v>39</v>
      </c>
      <c r="B1" s="50" t="s">
        <v>335</v>
      </c>
      <c r="C1" s="2" t="s">
        <v>1146</v>
      </c>
      <c r="D1" s="2" t="s">
        <v>1147</v>
      </c>
      <c r="E1" s="2" t="s">
        <v>1148</v>
      </c>
      <c r="F1" s="2" t="s">
        <v>1152</v>
      </c>
      <c r="G1" s="2" t="s">
        <v>1151</v>
      </c>
      <c r="H1" s="2" t="s">
        <v>1149</v>
      </c>
      <c r="I1" s="3" t="s">
        <v>1197</v>
      </c>
      <c r="J1" s="3" t="s">
        <v>1198</v>
      </c>
      <c r="K1" s="3" t="s">
        <v>1199</v>
      </c>
      <c r="L1" s="3" t="s">
        <v>1200</v>
      </c>
      <c r="M1" s="3" t="s">
        <v>1201</v>
      </c>
      <c r="N1" s="3" t="s">
        <v>1186</v>
      </c>
      <c r="O1" s="3" t="s">
        <v>1187</v>
      </c>
      <c r="P1" s="3" t="s">
        <v>1188</v>
      </c>
      <c r="Q1" s="2" t="s">
        <v>1181</v>
      </c>
      <c r="R1" s="2" t="s">
        <v>1182</v>
      </c>
      <c r="S1" s="2" t="s">
        <v>1183</v>
      </c>
      <c r="T1" s="2" t="s">
        <v>1189</v>
      </c>
      <c r="U1" s="2" t="s">
        <v>1184</v>
      </c>
      <c r="V1" s="3" t="s">
        <v>1185</v>
      </c>
    </row>
    <row r="2" spans="1:22" x14ac:dyDescent="0.25">
      <c r="A2" s="31" t="s">
        <v>0</v>
      </c>
      <c r="B2" s="3" t="s">
        <v>1059</v>
      </c>
      <c r="C2" s="2">
        <f>IFERROR((DL/(RadSpec!I2*IFS_res_adj*(1/1000))),".")</f>
        <v>120.03929366238744</v>
      </c>
      <c r="D2" s="2">
        <f>IFERROR(IF(A2="H-3",(DL/(RadSpec!L2*IFA_res_adj*(1/17)*1000))*RadSpec!#REF!,(DL/(RadSpec!L2*IFA_res_adj*(1/PEF_wind)*1000))),".")</f>
        <v>6460.1679663874756</v>
      </c>
      <c r="E2" s="2">
        <f>IFERROR((DL/(RadSpec!K2*EF_res*(1/365)*ED_res*RadSpec!V2*((ET_res_o*(1/24)*RadSpec!AA2)+(ET_res_i*(1/24)*RadSpec!AF2)))),".")</f>
        <v>56.91581437687995</v>
      </c>
      <c r="F2" s="2">
        <f>b2s!C2</f>
        <v>6.2498700308535149</v>
      </c>
      <c r="G2" s="2">
        <f>dir!C2</f>
        <v>1.1149017282473648E-2</v>
      </c>
      <c r="H2" s="2">
        <f>(IF(AND(C2&lt;&gt;".",D2&lt;&gt;".",E2&lt;&gt;".",F2&lt;&gt;"."),1/((1/C2)+(1/D2)+(1/E2)+(1/F2)),IF(AND(C2&lt;&gt;".",D2&lt;&gt;".",E2&lt;&gt;".",F2="."), 1/((1/C2)+(1/D2)+(1/E2)),IF(AND(C2&lt;&gt;".",D2&lt;&gt;".",E2=".",F2&lt;&gt;"."),1/((1/C2)+(1/D2)+(1/F2)),IF(AND(C2&lt;&gt;".",D2=".",E2&lt;&gt;".",F2&lt;&gt;"."),1/((1/C2)+(1/E2)+(1/F2)),IF(AND(C2=".",D2&lt;&gt;".",E2&lt;&gt;".",F2&lt;&gt;"."),1/((1/D2)+(1/E2)+(1/F2)),IF(AND(C2&lt;&gt;".",D2&lt;&gt;".",E2=".",F2="."),1/((1/C2)+(1/D2)),IF(AND(C2&lt;&gt;".",D2=".",E2&lt;&gt;".",F2="."),1/((1/C2)+(1/E2)),IF(AND(C2&lt;&gt;".",D2=".",E2=".",F2&lt;&gt;"."),1/((1/C2)+(1/F2)),IF(AND(C2=".",D2=".",E2&lt;&gt;".",F2&lt;&gt;"."),1/((1/E2)+(1/F2)),IF(AND(C2=".",D2&lt;&gt;".",E2=".",F2&lt;&gt;"."),1/((1/D2)+(1/F2)),IF(AND(C2=".",D2&lt;&gt;".",E2&lt;&gt;".",F2="."),1/((1/D2)+(1/E2)),IF(AND(C2&lt;&gt;".",D2=".",E2=".",F2="."),1/((1/C2)),IF(AND(C2=".",D2&lt;&gt;".",E2=".",F2="."),1/((1/D2)),IF(AND(C2=".",D2=".",E2&lt;&gt;".",F2="."),1/((1/E2)),IF(AND(C2=".",D2=".",E2=".",F2&lt;&gt;"."),1/((1/F2)),IF(AND(C2=".",D2=".",E2=".",F2="."),".")))))))))))))))))</f>
        <v>5.374652609664059</v>
      </c>
      <c r="I2" s="2">
        <f>IFERROR((DL/(RadSpec!K2*EF_res*(1/365)*ED_res*RadSpec!V2*((ET_res_o*(1/24)*RadSpec!AA2)+(ET_res_i*(1/24)*RadSpec!AF2)))),".")</f>
        <v>56.91581437687995</v>
      </c>
      <c r="J2" s="2">
        <f>IFERROR((DL/(RadSpec!R2*EF_res*(1/365)*ED_res*RadSpec!W2*((ET_res_o*(1/24)*RadSpec!AB2)+(ET_res_i*(1/24)*RadSpec!AG2)))),".")</f>
        <v>206.23784210828455</v>
      </c>
      <c r="K2" s="2">
        <f>IFERROR((DL/(RadSpec!S2*EF_res*(1/365)*ED_res*RadSpec!X2*((ET_res_o*(1/24)*RadSpec!AC2)+(ET_res_i*(1/24)*RadSpec!AH2)))),".")</f>
        <v>78.956742493416783</v>
      </c>
      <c r="L2" s="2">
        <f>IFERROR((DL/(RadSpec!T2*EF_res*(1/365)*ED_res*RadSpec!Y2*((ET_res_o*(1/24)*RadSpec!AD2)+(ET_res_i*(1/24)*RadSpec!AI2)))),".")</f>
        <v>58.571547158752821</v>
      </c>
      <c r="M2" s="2">
        <f>IFERROR((DL/(RadSpec!P2*EF_res*(1/365)*ED_res*RadSpec!U2*((ET_res_o*(1/24)*RadSpec!Z2)+(ET_res_i*(1/24)*RadSpec!AE2)))),".")</f>
        <v>194.98797065253467</v>
      </c>
      <c r="N2" s="2">
        <f>IFERROR((DL/(RadSpec!L2*IFA_res_adj)),".")</f>
        <v>4.7524141907658024E-3</v>
      </c>
      <c r="O2" s="2">
        <f>IFERROR((DL/(RadSpec!O2*EF_res*(1/365)*ED_res*ET_res*(1/24)*GSF_o)),".")</f>
        <v>9.8635106315132955E-3</v>
      </c>
      <c r="P2" s="2">
        <f t="shared" ref="P2" si="0">IF(AND(N2&lt;&gt;".",O2&lt;&gt;"."),1/((1/N2)+(1/O2)),IF(AND(N2&lt;&gt;".",O2="."),1/((1/N2)),IF(AND(N2=".",O2&lt;&gt;"."),1/((1/O2)),IF(AND(N2&lt;&gt;".",O2="."),"."))))</f>
        <v>3.2071516832462561E-3</v>
      </c>
      <c r="Q2" s="2">
        <f>IFERROR((DL/(RadSpec!M2*IFW_res_adj)),".")</f>
        <v>7.0161723628937738</v>
      </c>
      <c r="R2" s="2" t="str">
        <f>IFERROR(IF(RadSpec!C2=1,(DL/(RadSpec!L2*IFA_res_adj*K)),"."),".")</f>
        <v>.</v>
      </c>
      <c r="S2" s="2">
        <f>IFERROR((DL/(RadSpec!Q2*(1/8760)*DFA_res_adj)),".")</f>
        <v>158.50057896461823</v>
      </c>
      <c r="T2" s="2">
        <f>b2w!C2</f>
        <v>3.0084110580217227</v>
      </c>
      <c r="U2" s="2">
        <f t="shared" ref="U2:U30" si="1">IF(AND(Q2&lt;&gt;".",R2&lt;&gt;".",S2&lt;&gt;".",T2&lt;&gt;"."),1/((1/Q2)+(1/R2)+(1/S2)+(1/T2)),IF(AND(Q2&lt;&gt;".",R2&lt;&gt;".",S2&lt;&gt;".",T2="."), 1/((1/Q2)+(1/R2)+(1/S2)),IF(AND(Q2&lt;&gt;".",R2&lt;&gt;".",S2=".",T2&lt;&gt;"."),1/((1/Q2)+(1/R2)+(1/T2)),IF(AND(Q2&lt;&gt;".",R2=".",S2&lt;&gt;".",T2&lt;&gt;"."),1/((1/Q2)+(1/S2)+(1/T2)),IF(AND(Q2=".",R2&lt;&gt;".",S2&lt;&gt;".",T2&lt;&gt;"."),1/((1/R2)+(1/S2)+(1/T2)),IF(AND(Q2&lt;&gt;".",R2&lt;&gt;".",S2=".",T2="."),1/((1/Q2)+(1/R2)),IF(AND(Q2&lt;&gt;".",R2=".",S2&lt;&gt;".",T2="."),1/((1/Q2)+(1/S2)),IF(AND(Q2&lt;&gt;".",R2=".",S2=".",T2&lt;&gt;"."),1/((1/Q2)+(1/T2)),IF(AND(Q2=".",R2=".",S2&lt;&gt;".",T2&lt;&gt;"."),1/((1/S2)+(1/T2)),IF(AND(Q2=".",R2&lt;&gt;".",S2=".",T2&lt;&gt;"."),1/((1/R2)+(1/T2)),IF(AND(Q2=".",R2&lt;&gt;".",S2&lt;&gt;".",T2="."),1/((1/R2)+(1/S2)),IF(AND(Q2&lt;&gt;".",R2=".",S2=".",T2="."),1/((1/Q2)),IF(AND(Q2=".",R2&lt;&gt;".",S2=".",T2="."),1/((1/R2)),IF(AND(Q2=".",R2=".",S2&lt;&gt;".",T2="."),1/((1/S2)),IF(AND(Q2=".",R2=".",S2=".",T2&lt;&gt;"."),1/((1/T2)),IF(AND(Q2=".",R2=".",S2=".",T2="."),"."))))))))))))))))</f>
        <v>2.0779723169550435</v>
      </c>
      <c r="V2" s="2">
        <f>IFERROR(DL/(RadSpec!J2*EF_res*ED_res*IRF_res*0.001*CF_res_fish),".")</f>
        <v>0.27342283556432695</v>
      </c>
    </row>
    <row r="3" spans="1:22" x14ac:dyDescent="0.25">
      <c r="A3" s="32" t="s">
        <v>1</v>
      </c>
      <c r="B3" s="3" t="s">
        <v>336</v>
      </c>
      <c r="C3" s="2">
        <f>IFERROR((DL/(RadSpec!I3*IFS_res_adj*(1/1000))),".")</f>
        <v>26.378382598919597</v>
      </c>
      <c r="D3" s="2">
        <f>IFERROR(IF(A3="H-3",(DL/(RadSpec!L3*IFA_res_adj*(1/17)*1000))*RadSpec!#REF!,(DL/(RadSpec!L3*IFA_res_adj*(1/PEF_wind)*1000))),".")</f>
        <v>604.52947942341518</v>
      </c>
      <c r="E3" s="2">
        <f>IFERROR((DL/(RadSpec!K3*EF_res*(1/365)*ED_res*RadSpec!V3*((ET_res_o*(1/24)*RadSpec!AA3)+(ET_res_i*(1/24)*RadSpec!AF3)))),".")</f>
        <v>80.940580244507657</v>
      </c>
      <c r="F3" s="2">
        <f>b2s!C3</f>
        <v>2.4575733430661169</v>
      </c>
      <c r="G3" s="2">
        <f>dir!C3</f>
        <v>2.4499731255183694E-3</v>
      </c>
      <c r="H3" s="2">
        <f>(IF(AND(C3&lt;&gt;".",D3&lt;&gt;".",E3&lt;&gt;".",F3&lt;&gt;"."),1/((1/C3)+(1/D3)+(1/E3)+(1/F3)),IF(AND(C3&lt;&gt;".",D3&lt;&gt;".",E3&lt;&gt;".",F3="."), 1/((1/C3)+(1/D3)+(1/E3)),IF(AND(C3&lt;&gt;".",D3&lt;&gt;".",E3=".",F3&lt;&gt;"."),1/((1/C3)+(1/D3)+(1/F3)),IF(AND(C3&lt;&gt;".",D3=".",E3&lt;&gt;".",F3&lt;&gt;"."),1/((1/C3)+(1/E3)+(1/F3)),IF(AND(C3=".",D3&lt;&gt;".",E3&lt;&gt;".",F3&lt;&gt;"."),1/((1/D3)+(1/E3)+(1/F3)),IF(AND(C3&lt;&gt;".",D3&lt;&gt;".",E3=".",F3="."),1/((1/C3)+(1/D3)),IF(AND(C3&lt;&gt;".",D3=".",E3&lt;&gt;".",F3="."),1/((1/C3)+(1/E3)),IF(AND(C3&lt;&gt;".",D3=".",E3=".",F3&lt;&gt;"."),1/((1/C3)+(1/F3)),IF(AND(C3=".",D3=".",E3&lt;&gt;".",F3&lt;&gt;"."),1/((1/E3)+(1/F3)),IF(AND(C3=".",D3&lt;&gt;".",E3=".",F3&lt;&gt;"."),1/((1/D3)+(1/F3)),IF(AND(C3=".",D3&lt;&gt;".",E3&lt;&gt;".",F3="."),1/((1/D3)+(1/E3)),IF(AND(C3&lt;&gt;".",D3=".",E3=".",F3="."),1/((1/C3)),IF(AND(C3=".",D3&lt;&gt;".",E3=".",F3="."),1/((1/D3)),IF(AND(C3=".",D3=".",E3&lt;&gt;".",F3="."),1/((1/E3)),IF(AND(C3=".",D3=".",E3=".",F3&lt;&gt;"."),1/((1/F3)),IF(AND(C3=".",D3=".",E3=".",F3="."),".")))))))))))))))))</f>
        <v>2.1794839632975753</v>
      </c>
      <c r="I3" s="2">
        <f>IFERROR((DL/(RadSpec!K3*EF_res*(1/365)*ED_res*RadSpec!V3*((ET_res_o*(1/24)*RadSpec!AA3)+(ET_res_i*(1/24)*RadSpec!AF3)))),".")</f>
        <v>80.940580244507657</v>
      </c>
      <c r="J3" s="2">
        <f>IFERROR((DL/(RadSpec!R3*EF_res*(1/365)*ED_res*RadSpec!W3*((ET_res_o*(1/24)*RadSpec!AB3)+(ET_res_i*(1/24)*RadSpec!AG3)))),".")</f>
        <v>164.3589333536431</v>
      </c>
      <c r="K3" s="2">
        <f>IFERROR((DL/(RadSpec!S3*EF_res*(1/365)*ED_res*RadSpec!X3*((ET_res_o*(1/24)*RadSpec!AC3)+(ET_res_i*(1/24)*RadSpec!AH3)))),".")</f>
        <v>87.065813344092021</v>
      </c>
      <c r="L3" s="2">
        <f>IFERROR((DL/(RadSpec!T3*EF_res*(1/365)*ED_res*RadSpec!Y3*((ET_res_o*(1/24)*RadSpec!AD3)+(ET_res_i*(1/24)*RadSpec!AI3)))),".")</f>
        <v>80.940580244507657</v>
      </c>
      <c r="M3" s="2">
        <f>IFERROR((DL/(RadSpec!P3*EF_res*(1/365)*ED_res*RadSpec!U3*((ET_res_o*(1/24)*RadSpec!Z3)+(ET_res_i*(1/24)*RadSpec!AE3)))),".")</f>
        <v>118.06611067034213</v>
      </c>
      <c r="N3" s="2">
        <f>IFERROR((DL/(RadSpec!L3*IFA_res_adj)),".")</f>
        <v>4.4472132794322187E-4</v>
      </c>
      <c r="O3" s="2">
        <f>IFERROR((DL/(RadSpec!O3*EF_res*(1/365)*ED_res*ET_res*(1/24)*GSF_o)),".")</f>
        <v>8.307659252137686E-3</v>
      </c>
      <c r="P3" s="2">
        <f t="shared" ref="P3" si="2">IF(AND(N3&lt;&gt;".",O3&lt;&gt;"."),1/((1/N3)+(1/O3)),IF(AND(N3&lt;&gt;".",O3="."),1/((1/N3)),IF(AND(N3=".",O3&lt;&gt;"."),1/((1/O3)),IF(AND(N3&lt;&gt;".",O3="."),"."))))</f>
        <v>4.2212438329279237E-4</v>
      </c>
      <c r="Q3" s="2">
        <f>IFERROR((DL/(RadSpec!M3*IFW_res_adj)),".")</f>
        <v>1.5417891368880012</v>
      </c>
      <c r="R3" s="2" t="str">
        <f>IFERROR(IF(RadSpec!C3=1,(DL/(RadSpec!L3*IFA_res_adj*K)),"."),".")</f>
        <v>.</v>
      </c>
      <c r="S3" s="2">
        <f>IFERROR((DL/(RadSpec!Q3*(1/8760)*DFA_res_adj)),".")</f>
        <v>129.68229188014223</v>
      </c>
      <c r="T3" s="2">
        <f>b2w!C3</f>
        <v>0.66610541099455989</v>
      </c>
      <c r="U3" s="2">
        <f t="shared" si="1"/>
        <v>0.4634839175225281</v>
      </c>
      <c r="V3" s="2">
        <f>IFERROR(DL/(RadSpec!J3*EF_res*ED_res*IRF_res*0.001*CF_res_fish),".")</f>
        <v>6.0084093697539052E-2</v>
      </c>
    </row>
    <row r="4" spans="1:22" x14ac:dyDescent="0.25">
      <c r="A4" s="31" t="s">
        <v>2</v>
      </c>
      <c r="B4" s="3" t="s">
        <v>1059</v>
      </c>
      <c r="C4" s="2" t="str">
        <f>IFERROR((DL/(RadSpec!I4*IFS_res_adj*(1/1000))),".")</f>
        <v>.</v>
      </c>
      <c r="D4" s="2" t="str">
        <f>IFERROR(IF(A4="H-3",(DL/(RadSpec!L4*IFA_res_adj*(1/17)*1000))*RadSpec!#REF!,(DL/(RadSpec!L4*IFA_res_adj*(1/PEF_wind)*1000))),".")</f>
        <v>.</v>
      </c>
      <c r="E4" s="2">
        <f>IFERROR((DL/(RadSpec!K4*EF_res*(1/365)*ED_res*RadSpec!V4*((ET_res_o*(1/24)*RadSpec!AA4)+(ET_res_i*(1/24)*RadSpec!AF4)))),".")</f>
        <v>2536.5630659302401</v>
      </c>
      <c r="F4" s="2" t="str">
        <f>b2s!C4</f>
        <v>.</v>
      </c>
      <c r="G4" s="2" t="str">
        <f>dir!C4</f>
        <v>.</v>
      </c>
      <c r="H4" s="2">
        <f t="shared" ref="H4:H5" si="3">(IF(AND(C4&lt;&gt;".",D4&lt;&gt;".",E4&lt;&gt;".",F4&lt;&gt;"."),1/((1/C4)+(1/D4)+(1/E4)+(1/F4)),IF(AND(C4&lt;&gt;".",D4&lt;&gt;".",E4&lt;&gt;".",F4="."), 1/((1/C4)+(1/D4)+(1/E4)),IF(AND(C4&lt;&gt;".",D4&lt;&gt;".",E4=".",F4&lt;&gt;"."),1/((1/C4)+(1/D4)+(1/F4)),IF(AND(C4&lt;&gt;".",D4=".",E4&lt;&gt;".",F4&lt;&gt;"."),1/((1/C4)+(1/E4)+(1/F4)),IF(AND(C4=".",D4&lt;&gt;".",E4&lt;&gt;".",F4&lt;&gt;"."),1/((1/D4)+(1/E4)+(1/F4)),IF(AND(C4&lt;&gt;".",D4&lt;&gt;".",E4=".",F4="."),1/((1/C4)+(1/D4)),IF(AND(C4&lt;&gt;".",D4=".",E4&lt;&gt;".",F4="."),1/((1/C4)+(1/E4)),IF(AND(C4&lt;&gt;".",D4=".",E4=".",F4&lt;&gt;"."),1/((1/C4)+(1/F4)),IF(AND(C4=".",D4=".",E4&lt;&gt;".",F4&lt;&gt;"."),1/((1/E4)+(1/F4)),IF(AND(C4=".",D4&lt;&gt;".",E4=".",F4&lt;&gt;"."),1/((1/D4)+(1/F4)),IF(AND(C4=".",D4&lt;&gt;".",E4&lt;&gt;".",F4="."),1/((1/D4)+(1/E4)),IF(AND(C4&lt;&gt;".",D4=".",E4=".",F4="."),1/((1/C4)),IF(AND(C4=".",D4&lt;&gt;".",E4=".",F4="."),1/((1/D4)),IF(AND(C4=".",D4=".",E4&lt;&gt;".",F4="."),1/((1/E4)),IF(AND(C4=".",D4=".",E4=".",F4&lt;&gt;"."),1/((1/F4)),IF(AND(C4=".",D4=".",E4=".",F4="."),".")))))))))))))))))</f>
        <v>2536.5630659302401</v>
      </c>
      <c r="I4" s="2">
        <f>IFERROR((DL/(RadSpec!K4*EF_res*(1/365)*ED_res*RadSpec!V4*((ET_res_o*(1/24)*RadSpec!AA4)+(ET_res_i*(1/24)*RadSpec!AF4)))),".")</f>
        <v>2536.5630659302401</v>
      </c>
      <c r="J4" s="2">
        <f>IFERROR((DL/(RadSpec!R4*EF_res*(1/365)*ED_res*RadSpec!W4*((ET_res_o*(1/24)*RadSpec!AB4)+(ET_res_i*(1/24)*RadSpec!AG4)))),".")</f>
        <v>11185.538519900712</v>
      </c>
      <c r="K4" s="2">
        <f>IFERROR((DL/(RadSpec!S4*EF_res*(1/365)*ED_res*RadSpec!X4*((ET_res_o*(1/24)*RadSpec!AC4)+(ET_res_i*(1/24)*RadSpec!AH4)))),".")</f>
        <v>4006.7600668301056</v>
      </c>
      <c r="L4" s="2">
        <f>IFERROR((DL/(RadSpec!T4*EF_res*(1/365)*ED_res*RadSpec!Y4*((ET_res_o*(1/24)*RadSpec!AD4)+(ET_res_i*(1/24)*RadSpec!AI4)))),".")</f>
        <v>2711.645701794112</v>
      </c>
      <c r="M4" s="2">
        <f>IFERROR((DL/(RadSpec!P4*EF_res*(1/365)*ED_res*RadSpec!U4*((ET_res_o*(1/24)*RadSpec!Z4)+(ET_res_i*(1/24)*RadSpec!AE4)))),".")</f>
        <v>11338.507544552678</v>
      </c>
      <c r="N4" s="2" t="str">
        <f>IFERROR((DL/(RadSpec!L4*IFA_res_adj)),".")</f>
        <v>.</v>
      </c>
      <c r="O4" s="2">
        <f>IFERROR((DL/(RadSpec!O4*EF_res*(1/365)*ED_res*ET_res*(1/24)*GSF_o)),".")</f>
        <v>0.52667424692797415</v>
      </c>
      <c r="P4" s="2">
        <f t="shared" ref="P4:P5" si="4">IF(AND(N4&lt;&gt;".",O4&lt;&gt;"."),1/((1/N4)+(1/O4)),IF(AND(N4&lt;&gt;".",O4="."),1/((1/N4)),IF(AND(N4=".",O4&lt;&gt;"."),1/((1/O4)),IF(AND(N4&lt;&gt;".",O4="."),"."))))</f>
        <v>0.52667424692797415</v>
      </c>
      <c r="Q4" s="2" t="str">
        <f>IFERROR((DL/(RadSpec!M4*IFW_res_adj)),".")</f>
        <v>.</v>
      </c>
      <c r="R4" s="2" t="str">
        <f>IFERROR(IF(RadSpec!C4=1,(DL/(RadSpec!L4*IFA_res_adj*K)),"."),".")</f>
        <v>.</v>
      </c>
      <c r="S4" s="2">
        <f>IFERROR((DL/(RadSpec!Q4*(1/8760)*DFA_res_adj)),".")</f>
        <v>8645.4861253428135</v>
      </c>
      <c r="T4" s="2" t="str">
        <f>b2w!C4</f>
        <v>.</v>
      </c>
      <c r="U4" s="2">
        <f t="shared" si="1"/>
        <v>8645.4861253428135</v>
      </c>
      <c r="V4" s="2" t="str">
        <f>IFERROR(DL/(RadSpec!J4*EF_res*ED_res*IRF_res*0.001*CF_res_fish),".")</f>
        <v>.</v>
      </c>
    </row>
    <row r="5" spans="1:22" x14ac:dyDescent="0.25">
      <c r="A5" s="31" t="s">
        <v>3</v>
      </c>
      <c r="B5" s="3" t="s">
        <v>1059</v>
      </c>
      <c r="C5" s="2" t="str">
        <f>IFERROR((DL/(RadSpec!I5*IFS_res_adj*(1/1000))),".")</f>
        <v>.</v>
      </c>
      <c r="D5" s="2" t="str">
        <f>IFERROR(IF(A5="H-3",(DL/(RadSpec!L5*IFA_res_adj*(1/17)*1000))*RadSpec!#REF!,(DL/(RadSpec!L5*IFA_res_adj*(1/PEF_wind)*1000))),".")</f>
        <v>.</v>
      </c>
      <c r="E5" s="2">
        <f>IFERROR((DL/(RadSpec!K5*EF_res*(1/365)*ED_res*RadSpec!V5*((ET_res_o*(1/24)*RadSpec!AA5)+(ET_res_i*(1/24)*RadSpec!AF5)))),".")</f>
        <v>60056.582657185019</v>
      </c>
      <c r="F5" s="2" t="str">
        <f>b2s!C5</f>
        <v>.</v>
      </c>
      <c r="G5" s="2" t="str">
        <f>dir!C5</f>
        <v>.</v>
      </c>
      <c r="H5" s="2">
        <f t="shared" si="3"/>
        <v>60056.582657185019</v>
      </c>
      <c r="I5" s="2">
        <f>IFERROR((DL/(RadSpec!K5*EF_res*(1/365)*ED_res*RadSpec!V5*((ET_res_o*(1/24)*RadSpec!AA5)+(ET_res_i*(1/24)*RadSpec!AF5)))),".")</f>
        <v>60056.582657185019</v>
      </c>
      <c r="J5" s="2">
        <f>IFERROR((DL/(RadSpec!R5*EF_res*(1/365)*ED_res*RadSpec!W5*((ET_res_o*(1/24)*RadSpec!AB5)+(ET_res_i*(1/24)*RadSpec!AG5)))),".")</f>
        <v>105898.58953752152</v>
      </c>
      <c r="K5" s="2">
        <f>IFERROR((DL/(RadSpec!S5*EF_res*(1/365)*ED_res*RadSpec!X5*((ET_res_o*(1/24)*RadSpec!AC5)+(ET_res_i*(1/24)*RadSpec!AH5)))),".")</f>
        <v>75514.184100595521</v>
      </c>
      <c r="L5" s="2">
        <f>IFERROR((DL/(RadSpec!T5*EF_res*(1/365)*ED_res*RadSpec!Y5*((ET_res_o*(1/24)*RadSpec!AD5)+(ET_res_i*(1/24)*RadSpec!AI5)))),".")</f>
        <v>62576.43927217181</v>
      </c>
      <c r="M5" s="2">
        <f>IFERROR((DL/(RadSpec!P5*EF_res*(1/365)*ED_res*RadSpec!U5*((ET_res_o*(1/24)*RadSpec!Z5)+(ET_res_i*(1/24)*RadSpec!AE5)))),".")</f>
        <v>22878.588556564075</v>
      </c>
      <c r="N5" s="2" t="str">
        <f>IFERROR((DL/(RadSpec!L5*IFA_res_adj)),".")</f>
        <v>.</v>
      </c>
      <c r="O5" s="2">
        <f>IFERROR((DL/(RadSpec!O5*EF_res*(1/365)*ED_res*ET_res*(1/24)*GSF_o)),".")</f>
        <v>5.696680630037271</v>
      </c>
      <c r="P5" s="2">
        <f t="shared" si="4"/>
        <v>5.696680630037271</v>
      </c>
      <c r="Q5" s="2" t="str">
        <f>IFERROR((DL/(RadSpec!M5*IFW_res_adj)),".")</f>
        <v>.</v>
      </c>
      <c r="R5" s="2" t="str">
        <f>IFERROR(IF(RadSpec!C5=1,(DL/(RadSpec!L5*IFA_res_adj*K)),"."),".")</f>
        <v>.</v>
      </c>
      <c r="S5" s="2">
        <f>IFERROR((DL/(RadSpec!Q5*(1/8760)*DFA_res_adj)),".")</f>
        <v>159768.58359633517</v>
      </c>
      <c r="T5" s="2" t="str">
        <f>b2w!C5</f>
        <v>.</v>
      </c>
      <c r="U5" s="2">
        <f t="shared" si="1"/>
        <v>159768.58359633517</v>
      </c>
      <c r="V5" s="2" t="str">
        <f>IFERROR(DL/(RadSpec!J5*EF_res*ED_res*IRF_res*0.001*CF_res_fish),".")</f>
        <v>.</v>
      </c>
    </row>
    <row r="6" spans="1:22" x14ac:dyDescent="0.25">
      <c r="A6" s="31" t="s">
        <v>4</v>
      </c>
      <c r="B6" s="3" t="s">
        <v>1059</v>
      </c>
      <c r="C6" s="2" t="str">
        <f>IFERROR((DL/(RadSpec!I6*IFS_res_adj*(1/1000))),".")</f>
        <v>.</v>
      </c>
      <c r="D6" s="2" t="str">
        <f>IFERROR(IF(A6="H-3",(DL/(RadSpec!L6*IFA_res_adj*(1/17)*1000))*RadSpec!#REF!,(DL/(RadSpec!L6*IFA_res_adj*(1/PEF_wind)*1000))),".")</f>
        <v>.</v>
      </c>
      <c r="E6" s="2">
        <f>IFERROR((DL/(RadSpec!K6*EF_res*(1/365)*ED_res*RadSpec!V6*((ET_res_o*(1/24)*RadSpec!AA6)+(ET_res_i*(1/24)*RadSpec!AF6)))),".")</f>
        <v>0.88989919716337151</v>
      </c>
      <c r="F6" s="2" t="str">
        <f>b2s!C6</f>
        <v>.</v>
      </c>
      <c r="G6" s="2" t="str">
        <f>dir!C6</f>
        <v>.</v>
      </c>
      <c r="H6" s="2">
        <f t="shared" ref="H6:H14" si="5">(IF(AND(C6&lt;&gt;".",D6&lt;&gt;".",E6&lt;&gt;".",F6&lt;&gt;"."),1/((1/C6)+(1/D6)+(1/E6)+(1/F6)),IF(AND(C6&lt;&gt;".",D6&lt;&gt;".",E6&lt;&gt;".",F6="."), 1/((1/C6)+(1/D6)+(1/E6)),IF(AND(C6&lt;&gt;".",D6&lt;&gt;".",E6=".",F6&lt;&gt;"."),1/((1/C6)+(1/D6)+(1/F6)),IF(AND(C6&lt;&gt;".",D6=".",E6&lt;&gt;".",F6&lt;&gt;"."),1/((1/C6)+(1/E6)+(1/F6)),IF(AND(C6=".",D6&lt;&gt;".",E6&lt;&gt;".",F6&lt;&gt;"."),1/((1/D6)+(1/E6)+(1/F6)),IF(AND(C6&lt;&gt;".",D6&lt;&gt;".",E6=".",F6="."),1/((1/C6)+(1/D6)),IF(AND(C6&lt;&gt;".",D6=".",E6&lt;&gt;".",F6="."),1/((1/C6)+(1/E6)),IF(AND(C6&lt;&gt;".",D6=".",E6=".",F6&lt;&gt;"."),1/((1/C6)+(1/F6)),IF(AND(C6=".",D6=".",E6&lt;&gt;".",F6&lt;&gt;"."),1/((1/E6)+(1/F6)),IF(AND(C6=".",D6&lt;&gt;".",E6=".",F6&lt;&gt;"."),1/((1/D6)+(1/F6)),IF(AND(C6=".",D6&lt;&gt;".",E6&lt;&gt;".",F6="."),1/((1/D6)+(1/E6)),IF(AND(C6&lt;&gt;".",D6=".",E6=".",F6="."),1/((1/C6)),IF(AND(C6=".",D6&lt;&gt;".",E6=".",F6="."),1/((1/D6)),IF(AND(C6=".",D6=".",E6&lt;&gt;".",F6="."),1/((1/E6)),IF(AND(C6=".",D6=".",E6=".",F6&lt;&gt;"."),1/((1/F6)),IF(AND(C6=".",D6=".",E6=".",F6="."),".")))))))))))))))))</f>
        <v>0.88989919716337151</v>
      </c>
      <c r="I6" s="2">
        <f>IFERROR((DL/(RadSpec!K6*EF_res*(1/365)*ED_res*RadSpec!V6*((ET_res_o*(1/24)*RadSpec!AA6)+(ET_res_i*(1/24)*RadSpec!AF6)))),".")</f>
        <v>0.88989919716337151</v>
      </c>
      <c r="J6" s="2">
        <f>IFERROR((DL/(RadSpec!R6*EF_res*(1/365)*ED_res*RadSpec!W6*((ET_res_o*(1/24)*RadSpec!AB6)+(ET_res_i*(1/24)*RadSpec!AG6)))),".")</f>
        <v>4.4742154079602852</v>
      </c>
      <c r="K6" s="2">
        <f>IFERROR((DL/(RadSpec!S6*EF_res*(1/365)*ED_res*RadSpec!X6*((ET_res_o*(1/24)*RadSpec!AC6)+(ET_res_i*(1/24)*RadSpec!AH6)))),".")</f>
        <v>1.5638034435589343</v>
      </c>
      <c r="L6" s="2">
        <f>IFERROR((DL/(RadSpec!T6*EF_res*(1/365)*ED_res*RadSpec!Y6*((ET_res_o*(1/24)*RadSpec!AD6)+(ET_res_i*(1/24)*RadSpec!AI6)))),".")</f>
        <v>1.0004456812830449</v>
      </c>
      <c r="M6" s="2">
        <f>IFERROR((DL/(RadSpec!P6*EF_res*(1/365)*ED_res*RadSpec!U6*((ET_res_o*(1/24)*RadSpec!Z6)+(ET_res_i*(1/24)*RadSpec!AE6)))),".")</f>
        <v>4.4607300045293892</v>
      </c>
      <c r="N6" s="2" t="str">
        <f>IFERROR((DL/(RadSpec!L6*IFA_res_adj)),".")</f>
        <v>.</v>
      </c>
      <c r="O6" s="2">
        <f>IFERROR((DL/(RadSpec!O6*EF_res*(1/365)*ED_res*ET_res*(1/24)*GSF_o)),".")</f>
        <v>2.0753706384522399E-4</v>
      </c>
      <c r="P6" s="2">
        <f t="shared" ref="P6:P9" si="6">IF(AND(N6&lt;&gt;".",O6&lt;&gt;"."),1/((1/N6)+(1/O6)),IF(AND(N6&lt;&gt;".",O6="."),1/((1/N6)),IF(AND(N6=".",O6&lt;&gt;"."),1/((1/O6)),IF(AND(N6&lt;&gt;".",O6="."),"."))))</f>
        <v>2.0753706384522399E-4</v>
      </c>
      <c r="Q6" s="2" t="str">
        <f>IFERROR((DL/(RadSpec!M6*IFW_res_adj)),".")</f>
        <v>.</v>
      </c>
      <c r="R6" s="2" t="str">
        <f>IFERROR(IF(RadSpec!C6=1,(DL/(RadSpec!L6*IFA_res_adj*K)),"."),".")</f>
        <v>.</v>
      </c>
      <c r="S6" s="2">
        <f>IFERROR((DL/(RadSpec!Q6*(1/8760)*DFA_res_adj)),".")</f>
        <v>3.4255699741924359</v>
      </c>
      <c r="T6" s="2" t="str">
        <f>b2w!C6</f>
        <v>.</v>
      </c>
      <c r="U6" s="2">
        <f t="shared" si="1"/>
        <v>3.4255699741924359</v>
      </c>
      <c r="V6" s="2" t="str">
        <f>IFERROR(DL/(RadSpec!J6*EF_res*ED_res*IRF_res*0.001*CF_res_fish),".")</f>
        <v>.</v>
      </c>
    </row>
    <row r="7" spans="1:22" x14ac:dyDescent="0.25">
      <c r="A7" s="31" t="s">
        <v>5</v>
      </c>
      <c r="B7" s="3" t="s">
        <v>1059</v>
      </c>
      <c r="C7" s="2">
        <f>IFERROR((DL/(RadSpec!I7*IFS_res_adj*(1/1000))),".")</f>
        <v>3487.8083658571463</v>
      </c>
      <c r="D7" s="2">
        <f>IFERROR(IF(A7="H-3",(DL/(RadSpec!L7*IFA_res_adj*(1/17)*1000))*RadSpec!#REF!,(DL/(RadSpec!L7*IFA_res_adj*(1/PEF_wind)*1000))),".")</f>
        <v>406194.12281806185</v>
      </c>
      <c r="E7" s="2">
        <f>IFERROR((DL/(RadSpec!K7*EF_res*(1/365)*ED_res*RadSpec!V7*((ET_res_o*(1/24)*RadSpec!AA7)+(ET_res_i*(1/24)*RadSpec!AF7)))),".")</f>
        <v>549.73295114870382</v>
      </c>
      <c r="F7" s="2">
        <f>b2s!C7</f>
        <v>3.2142133393479835</v>
      </c>
      <c r="G7" s="2">
        <f>dir!C7</f>
        <v>0.32394089104076218</v>
      </c>
      <c r="H7" s="2">
        <f t="shared" si="5"/>
        <v>3.1925793587831328</v>
      </c>
      <c r="I7" s="2">
        <f>IFERROR((DL/(RadSpec!K7*EF_res*(1/365)*ED_res*RadSpec!V7*((ET_res_o*(1/24)*RadSpec!AA7)+(ET_res_i*(1/24)*RadSpec!AF7)))),".")</f>
        <v>549.73295114870382</v>
      </c>
      <c r="J7" s="2">
        <f>IFERROR((DL/(RadSpec!R7*EF_res*(1/365)*ED_res*RadSpec!W7*((ET_res_o*(1/24)*RadSpec!AB7)+(ET_res_i*(1/24)*RadSpec!AG7)))),".")</f>
        <v>958.76044456291811</v>
      </c>
      <c r="K7" s="2">
        <f>IFERROR((DL/(RadSpec!S7*EF_res*(1/365)*ED_res*RadSpec!X7*((ET_res_o*(1/24)*RadSpec!AC7)+(ET_res_i*(1/24)*RadSpec!AH7)))),".")</f>
        <v>662.84672710522727</v>
      </c>
      <c r="L7" s="2">
        <f>IFERROR((DL/(RadSpec!T7*EF_res*(1/365)*ED_res*RadSpec!Y7*((ET_res_o*(1/24)*RadSpec!AD7)+(ET_res_i*(1/24)*RadSpec!AI7)))),".")</f>
        <v>561.22562608561054</v>
      </c>
      <c r="M7" s="2">
        <f>IFERROR((DL/(RadSpec!P7*EF_res*(1/365)*ED_res*RadSpec!U7*((ET_res_o*(1/24)*RadSpec!Z7)+(ET_res_i*(1/24)*RadSpec!AE7)))),".")</f>
        <v>73.328809476166882</v>
      </c>
      <c r="N7" s="2">
        <f>IFERROR((DL/(RadSpec!L7*IFA_res_adj)),".")</f>
        <v>0.29881617993993198</v>
      </c>
      <c r="O7" s="2">
        <f>IFERROR((DL/(RadSpec!O7*EF_res*(1/365)*ED_res*ET_res*(1/24)*GSF_o)),".")</f>
        <v>2.1638554331149321E-2</v>
      </c>
      <c r="P7" s="2">
        <f t="shared" si="6"/>
        <v>2.0177421186690876E-2</v>
      </c>
      <c r="Q7" s="2">
        <f>IFERROR((DL/(RadSpec!M7*IFW_res_adj)),".")</f>
        <v>203.85878587741354</v>
      </c>
      <c r="R7" s="2" t="str">
        <f>IFERROR(IF(RadSpec!C7=1,(DL/(RadSpec!L7*IFA_res_adj*K)),"."),".")</f>
        <v>.</v>
      </c>
      <c r="S7" s="2">
        <f>IFERROR((DL/(RadSpec!Q7*(1/8760)*DFA_res_adj)),".")</f>
        <v>670.17023320610406</v>
      </c>
      <c r="T7" s="2">
        <f>b2w!C7</f>
        <v>44.713304517054127</v>
      </c>
      <c r="U7" s="2">
        <f t="shared" si="1"/>
        <v>34.767827708442141</v>
      </c>
      <c r="V7" s="2">
        <f>IFERROR(DL/(RadSpec!J7*EF_res*ED_res*IRF_res*0.001*CF_res_fish),".")</f>
        <v>7.9444523888968339</v>
      </c>
    </row>
    <row r="8" spans="1:22" x14ac:dyDescent="0.25">
      <c r="A8" s="31" t="s">
        <v>6</v>
      </c>
      <c r="B8" s="3" t="s">
        <v>1059</v>
      </c>
      <c r="C8" s="2">
        <f>IFERROR((DL/(RadSpec!I8*IFS_res_adj*(1/1000))),".")</f>
        <v>23425.578576652475</v>
      </c>
      <c r="D8" s="2">
        <f>IFERROR(IF(A8="H-3",(DL/(RadSpec!L8*IFA_res_adj*(1/17)*1000))*RadSpec!#REF!,(DL/(RadSpec!L8*IFA_res_adj*(1/PEF_wind)*1000))),".")</f>
        <v>1670544.8431390715</v>
      </c>
      <c r="E8" s="2">
        <f>IFERROR((DL/(RadSpec!K8*EF_res*(1/365)*ED_res*RadSpec!V8*((ET_res_o*(1/24)*RadSpec!AA8)+(ET_res_i*(1/24)*RadSpec!AF8)))),".")</f>
        <v>4.3769498556133213</v>
      </c>
      <c r="F8" s="2">
        <f>b2s!C8</f>
        <v>21.588000040396899</v>
      </c>
      <c r="G8" s="2">
        <f>dir!C8</f>
        <v>2.1757224025125819</v>
      </c>
      <c r="H8" s="2">
        <f t="shared" si="5"/>
        <v>3.6385478023162707</v>
      </c>
      <c r="I8" s="2">
        <f>IFERROR((DL/(RadSpec!K8*EF_res*(1/365)*ED_res*RadSpec!V8*((ET_res_o*(1/24)*RadSpec!AA8)+(ET_res_i*(1/24)*RadSpec!AF8)))),".")</f>
        <v>4.3769498556133213</v>
      </c>
      <c r="J8" s="2">
        <f>IFERROR((DL/(RadSpec!R8*EF_res*(1/365)*ED_res*RadSpec!W8*((ET_res_o*(1/24)*RadSpec!AB8)+(ET_res_i*(1/24)*RadSpec!AG8)))),".")</f>
        <v>20.260598073782418</v>
      </c>
      <c r="K8" s="2">
        <f>IFERROR((DL/(RadSpec!S8*EF_res*(1/365)*ED_res*RadSpec!X8*((ET_res_o*(1/24)*RadSpec!AC8)+(ET_res_i*(1/24)*RadSpec!AH8)))),".")</f>
        <v>7.2554844453410023</v>
      </c>
      <c r="L8" s="2">
        <f>IFERROR((DL/(RadSpec!T8*EF_res*(1/365)*ED_res*RadSpec!Y8*((ET_res_o*(1/24)*RadSpec!AD8)+(ET_res_i*(1/24)*RadSpec!AI8)))),".")</f>
        <v>4.7795772904026785</v>
      </c>
      <c r="M8" s="2">
        <f>IFERROR((DL/(RadSpec!P8*EF_res*(1/365)*ED_res*RadSpec!U8*((ET_res_o*(1/24)*RadSpec!Z8)+(ET_res_i*(1/24)*RadSpec!AE8)))),".")</f>
        <v>15.694153735447914</v>
      </c>
      <c r="N8" s="2">
        <f>IFERROR((DL/(RadSpec!L8*IFA_res_adj)),".")</f>
        <v>1.2289341484853542</v>
      </c>
      <c r="O8" s="2">
        <f>IFERROR((DL/(RadSpec!O8*EF_res*(1/365)*ED_res*ET_res*(1/24)*GSF_o)),".")</f>
        <v>9.3985640024183933E-4</v>
      </c>
      <c r="P8" s="2">
        <f t="shared" si="6"/>
        <v>9.3913817215541206E-4</v>
      </c>
      <c r="Q8" s="2">
        <f>IFERROR((DL/(RadSpec!M8*IFW_res_adj)),".")</f>
        <v>1369.2008006691954</v>
      </c>
      <c r="R8" s="2" t="str">
        <f>IFERROR(IF(RadSpec!C8=1,(DL/(RadSpec!L8*IFA_res_adj*K)),"."),".")</f>
        <v>.</v>
      </c>
      <c r="S8" s="2">
        <f>IFERROR((DL/(RadSpec!Q8*(1/8760)*DFA_res_adj)),".")</f>
        <v>15.850057896461824</v>
      </c>
      <c r="T8" s="2">
        <f>b2w!C8</f>
        <v>300.3132392936472</v>
      </c>
      <c r="U8" s="2">
        <f t="shared" si="1"/>
        <v>14.891708586107701</v>
      </c>
      <c r="V8" s="2">
        <f>IFERROR(DL/(RadSpec!J8*EF_res*ED_res*IRF_res*0.001*CF_res_fish),".")</f>
        <v>53.358262313486186</v>
      </c>
    </row>
    <row r="9" spans="1:22" x14ac:dyDescent="0.25">
      <c r="A9" s="31" t="s">
        <v>7</v>
      </c>
      <c r="B9" s="3" t="s">
        <v>1059</v>
      </c>
      <c r="C9" s="2">
        <f>IFERROR((DL/(RadSpec!I9*IFS_res_adj*(1/1000))),".")</f>
        <v>42134.59770834136</v>
      </c>
      <c r="D9" s="2">
        <f>IFERROR(IF(A9="H-3",(DL/(RadSpec!L9*IFA_res_adj*(1/17)*1000))*RadSpec!#REF!,(DL/(RadSpec!L9*IFA_res_adj*(1/PEF_wind)*1000))),".")</f>
        <v>5995247.6815933594</v>
      </c>
      <c r="E9" s="2">
        <f>IFERROR((DL/(RadSpec!K9*EF_res*(1/365)*ED_res*RadSpec!V9*((ET_res_o*(1/24)*RadSpec!AA9)+(ET_res_i*(1/24)*RadSpec!AF9)))),".")</f>
        <v>0.32939009138357922</v>
      </c>
      <c r="F9" s="2">
        <f>b2s!C9</f>
        <v>38.82942289145214</v>
      </c>
      <c r="G9" s="2">
        <f>dir!C9</f>
        <v>3.9133798917675966</v>
      </c>
      <c r="H9" s="2">
        <f t="shared" si="5"/>
        <v>0.32661682871542835</v>
      </c>
      <c r="I9" s="2">
        <f>IFERROR((DL/(RadSpec!K9*EF_res*(1/365)*ED_res*RadSpec!V9*((ET_res_o*(1/24)*RadSpec!AA9)+(ET_res_i*(1/24)*RadSpec!AF9)))),".")</f>
        <v>0.32939009138357922</v>
      </c>
      <c r="J9" s="2">
        <f>IFERROR((DL/(RadSpec!R9*EF_res*(1/365)*ED_res*RadSpec!W9*((ET_res_o*(1/24)*RadSpec!AB9)+(ET_res_i*(1/24)*RadSpec!AG9)))),".")</f>
        <v>1.8471531500753466</v>
      </c>
      <c r="K9" s="2">
        <f>IFERROR((DL/(RadSpec!S9*EF_res*(1/365)*ED_res*RadSpec!X9*((ET_res_o*(1/24)*RadSpec!AC9)+(ET_res_i*(1/24)*RadSpec!AH9)))),".")</f>
        <v>0.63917362970861202</v>
      </c>
      <c r="L9" s="2">
        <f>IFERROR((DL/(RadSpec!T9*EF_res*(1/365)*ED_res*RadSpec!Y9*((ET_res_o*(1/24)*RadSpec!AD9)+(ET_res_i*(1/24)*RadSpec!AI9)))),".")</f>
        <v>0.39478371246708394</v>
      </c>
      <c r="M9" s="2">
        <f>IFERROR((DL/(RadSpec!P9*EF_res*(1/365)*ED_res*RadSpec!U9*((ET_res_o*(1/24)*RadSpec!Z9)+(ET_res_i*(1/24)*RadSpec!AE9)))),".")</f>
        <v>1.8125642342348292</v>
      </c>
      <c r="N9" s="2">
        <f>IFERROR((DL/(RadSpec!L9*IFA_res_adj)),".")</f>
        <v>4.4103961858893781</v>
      </c>
      <c r="O9" s="2">
        <f>IFERROR((DL/(RadSpec!O9*EF_res*(1/365)*ED_res*ET_res*(1/24)*GSF_o)),".")</f>
        <v>7.8519648627799229E-5</v>
      </c>
      <c r="P9" s="2">
        <f t="shared" si="6"/>
        <v>7.8518250743074276E-5</v>
      </c>
      <c r="Q9" s="2">
        <f>IFERROR((DL/(RadSpec!M9*IFW_res_adj)),".")</f>
        <v>2462.7235877808344</v>
      </c>
      <c r="R9" s="2" t="str">
        <f>IFERROR(IF(RadSpec!C9=1,(DL/(RadSpec!L9*IFA_res_adj*K)),"."),".")</f>
        <v>.</v>
      </c>
      <c r="S9" s="2">
        <f>IFERROR((DL/(RadSpec!Q9*(1/8760)*DFA_res_adj)),".")</f>
        <v>1.296822918801422</v>
      </c>
      <c r="T9" s="2">
        <f>b2w!C9</f>
        <v>540.16072570937865</v>
      </c>
      <c r="U9" s="2">
        <f t="shared" si="1"/>
        <v>1.2930376930201195</v>
      </c>
      <c r="V9" s="2">
        <f>IFERROR(DL/(RadSpec!J9*EF_res*ED_res*IRF_res*0.001*CF_res_fish),".")</f>
        <v>95.973250335666435</v>
      </c>
    </row>
    <row r="10" spans="1:22" x14ac:dyDescent="0.25">
      <c r="A10" s="32" t="s">
        <v>8</v>
      </c>
      <c r="B10" s="3" t="s">
        <v>336</v>
      </c>
      <c r="C10" s="2">
        <f>IFERROR((DL/(RadSpec!I10*IFS_res_adj*(1/1000))),".")</f>
        <v>472.03421492803483</v>
      </c>
      <c r="D10" s="2">
        <f>IFERROR(IF(A10="H-3",(DL/(RadSpec!L10*IFA_res_adj*(1/17)*1000))*RadSpec!#REF!,(DL/(RadSpec!L10*IFA_res_adj*(1/PEF_wind)*1000))),".")</f>
        <v>1422166.4731759478</v>
      </c>
      <c r="E10" s="2">
        <f>IFERROR((DL/(RadSpec!K10*EF_res*(1/365)*ED_res*RadSpec!V10*((ET_res_o*(1/24)*RadSpec!AA10)+(ET_res_i*(1/24)*RadSpec!AF10)))),".")</f>
        <v>3463.9087029369948</v>
      </c>
      <c r="F10" s="2">
        <f>b2s!C10</f>
        <v>1.7844585787159419</v>
      </c>
      <c r="G10" s="2">
        <f>dir!C10</f>
        <v>4.3841624351381343E-2</v>
      </c>
      <c r="H10" s="2">
        <f t="shared" si="5"/>
        <v>1.7768239733465305</v>
      </c>
      <c r="I10" s="2">
        <f>IFERROR((DL/(RadSpec!K10*EF_res*(1/365)*ED_res*RadSpec!V10*((ET_res_o*(1/24)*RadSpec!AA10)+(ET_res_i*(1/24)*RadSpec!AF10)))),".")</f>
        <v>3463.9087029369948</v>
      </c>
      <c r="J10" s="2">
        <f>IFERROR((DL/(RadSpec!R10*EF_res*(1/365)*ED_res*RadSpec!W10*((ET_res_o*(1/24)*RadSpec!AB10)+(ET_res_i*(1/24)*RadSpec!AG10)))),".")</f>
        <v>7491.7095203055933</v>
      </c>
      <c r="K10" s="2">
        <f>IFERROR((DL/(RadSpec!S10*EF_res*(1/365)*ED_res*RadSpec!X10*((ET_res_o*(1/24)*RadSpec!AC10)+(ET_res_i*(1/24)*RadSpec!AH10)))),".")</f>
        <v>4295.2467916418736</v>
      </c>
      <c r="L10" s="2">
        <f>IFERROR((DL/(RadSpec!T10*EF_res*(1/365)*ED_res*RadSpec!Y10*((ET_res_o*(1/24)*RadSpec!AD10)+(ET_res_i*(1/24)*RadSpec!AI10)))),".")</f>
        <v>3524.5460544107277</v>
      </c>
      <c r="M10" s="2">
        <f>IFERROR((DL/(RadSpec!P10*EF_res*(1/365)*ED_res*RadSpec!U10*((ET_res_o*(1/24)*RadSpec!Z10)+(ET_res_i*(1/24)*RadSpec!AE10)))),".")</f>
        <v>822.3134864579738</v>
      </c>
      <c r="N10" s="2">
        <f>IFERROR((DL/(RadSpec!L10*IFA_res_adj)),".")</f>
        <v>1.0462149225714645</v>
      </c>
      <c r="O10" s="2">
        <f>IFERROR((DL/(RadSpec!O10*EF_res*(1/365)*ED_res*ET_res*(1/24)*GSF_o)),".")</f>
        <v>5.9390925717409844E-2</v>
      </c>
      <c r="P10" s="2">
        <f t="shared" ref="P10" si="7">IF(AND(N10&lt;&gt;".",O10&lt;&gt;"."),1/((1/N10)+(1/O10)),IF(AND(N10&lt;&gt;".",O10="."),1/((1/N10)),IF(AND(N10=".",O10&lt;&gt;"."),1/((1/O10)),IF(AND(N10&lt;&gt;".",O10="."),"."))))</f>
        <v>5.6200564466128471E-2</v>
      </c>
      <c r="Q10" s="2">
        <f>IFERROR((DL/(RadSpec!M10*IFW_res_adj)),".")</f>
        <v>27.589910870627396</v>
      </c>
      <c r="R10" s="2" t="str">
        <f>IFERROR(IF(RadSpec!C10=1,(DL/(RadSpec!L10*IFA_res_adj*K)),"."),".")</f>
        <v>.</v>
      </c>
      <c r="S10" s="2">
        <f>IFERROR((DL/(RadSpec!Q10*(1/8760)*DFA_res_adj)),".")</f>
        <v>1902.006947575419</v>
      </c>
      <c r="T10" s="2">
        <f>b2w!C10</f>
        <v>9.698572686839313</v>
      </c>
      <c r="U10" s="2">
        <f t="shared" si="1"/>
        <v>7.1490436581207932</v>
      </c>
      <c r="V10" s="2">
        <f>IFERROR(DL/(RadSpec!J10*EF_res*ED_res*IRF_res*0.001*CF_res_fish),".")</f>
        <v>1.075189045113857</v>
      </c>
    </row>
    <row r="11" spans="1:22" x14ac:dyDescent="0.25">
      <c r="A11" s="31" t="s">
        <v>9</v>
      </c>
      <c r="B11" s="3" t="s">
        <v>1059</v>
      </c>
      <c r="C11" s="2" t="str">
        <f>IFERROR((DL/(RadSpec!I11*IFS_res_adj*(1/1000))),".")</f>
        <v>.</v>
      </c>
      <c r="D11" s="2" t="str">
        <f>IFERROR(IF(A11="H-3",(DL/(RadSpec!L11*IFA_res_adj*(1/17)*1000))*RadSpec!#REF!,(DL/(RadSpec!L11*IFA_res_adj*(1/PEF_wind)*1000))),".")</f>
        <v>.</v>
      </c>
      <c r="E11" s="2">
        <f>IFERROR((DL/(RadSpec!K11*EF_res*(1/365)*ED_res*RadSpec!V11*((ET_res_o*(1/24)*RadSpec!AA11)+(ET_res_i*(1/24)*RadSpec!AF11)))),".")</f>
        <v>22.590708932197789</v>
      </c>
      <c r="F11" s="2" t="str">
        <f>b2s!C11</f>
        <v>.</v>
      </c>
      <c r="G11" s="2" t="str">
        <f>dir!C11</f>
        <v>.</v>
      </c>
      <c r="H11" s="2">
        <f t="shared" si="5"/>
        <v>22.590708932197789</v>
      </c>
      <c r="I11" s="2">
        <f>IFERROR((DL/(RadSpec!K11*EF_res*(1/365)*ED_res*RadSpec!V11*((ET_res_o*(1/24)*RadSpec!AA11)+(ET_res_i*(1/24)*RadSpec!AF11)))),".")</f>
        <v>22.590708932197789</v>
      </c>
      <c r="J11" s="2">
        <f>IFERROR((DL/(RadSpec!R11*EF_res*(1/365)*ED_res*RadSpec!W11*((ET_res_o*(1/24)*RadSpec!AB11)+(ET_res_i*(1/24)*RadSpec!AG11)))),".")</f>
        <v>94.194008588637573</v>
      </c>
      <c r="K11" s="2">
        <f>IFERROR((DL/(RadSpec!S11*EF_res*(1/365)*ED_res*RadSpec!X11*((ET_res_o*(1/24)*RadSpec!AC11)+(ET_res_i*(1/24)*RadSpec!AH11)))),".")</f>
        <v>33.697019808905907</v>
      </c>
      <c r="L11" s="2">
        <f>IFERROR((DL/(RadSpec!T11*EF_res*(1/365)*ED_res*RadSpec!Y11*((ET_res_o*(1/24)*RadSpec!AD11)+(ET_res_i*(1/24)*RadSpec!AI11)))),".")</f>
        <v>23.479847621949013</v>
      </c>
      <c r="M11" s="2">
        <f>IFERROR((DL/(RadSpec!P11*EF_res*(1/365)*ED_res*RadSpec!U11*((ET_res_o*(1/24)*RadSpec!Z11)+(ET_res_i*(1/24)*RadSpec!AE11)))),".")</f>
        <v>95.681829465184308</v>
      </c>
      <c r="N11" s="2" t="str">
        <f>IFERROR((DL/(RadSpec!L11*IFA_res_adj)),".")</f>
        <v>.</v>
      </c>
      <c r="O11" s="2">
        <f>IFERROR((DL/(RadSpec!O11*EF_res*(1/365)*ED_res*ET_res*(1/24)*GSF_o)),".")</f>
        <v>4.4661976139492203E-3</v>
      </c>
      <c r="P11" s="2">
        <f t="shared" ref="P11" si="8">IF(AND(N11&lt;&gt;".",O11&lt;&gt;"."),1/((1/N11)+(1/O11)),IF(AND(N11&lt;&gt;".",O11="."),1/((1/N11)),IF(AND(N11=".",O11&lt;&gt;"."),1/((1/O11)),IF(AND(N11&lt;&gt;".",O11="."),"."))))</f>
        <v>4.4661976139492203E-3</v>
      </c>
      <c r="Q11" s="2" t="str">
        <f>IFERROR((DL/(RadSpec!M11*IFW_res_adj)),".")</f>
        <v>.</v>
      </c>
      <c r="R11" s="2" t="str">
        <f>IFERROR(IF(RadSpec!C11=1,(DL/(RadSpec!L11*IFA_res_adj*K)),"."),".")</f>
        <v>.</v>
      </c>
      <c r="S11" s="2">
        <f>IFERROR((DL/(RadSpec!Q11*(1/8760)*DFA_res_adj)),".")</f>
        <v>72.622083452879622</v>
      </c>
      <c r="T11" s="2" t="str">
        <f>b2w!C11</f>
        <v>.</v>
      </c>
      <c r="U11" s="2">
        <f t="shared" si="1"/>
        <v>72.622083452879622</v>
      </c>
      <c r="V11" s="2" t="str">
        <f>IFERROR(DL/(RadSpec!J11*EF_res*ED_res*IRF_res*0.001*CF_res_fish),".")</f>
        <v>.</v>
      </c>
    </row>
    <row r="12" spans="1:22" x14ac:dyDescent="0.25">
      <c r="A12" s="31" t="s">
        <v>10</v>
      </c>
      <c r="B12" s="3" t="s">
        <v>1059</v>
      </c>
      <c r="C12" s="2" t="str">
        <f>IFERROR((DL/(RadSpec!I12*IFS_res_adj*(1/1000))),".")</f>
        <v>.</v>
      </c>
      <c r="D12" s="2" t="str">
        <f>IFERROR(IF(A12="H-3",(DL/(RadSpec!L12*IFA_res_adj*(1/17)*1000))*RadSpec!#REF!,(DL/(RadSpec!L12*IFA_res_adj*(1/PEF_wind)*1000))),".")</f>
        <v>.</v>
      </c>
      <c r="E12" s="2">
        <f>IFERROR((DL/(RadSpec!K12*EF_res*(1/365)*ED_res*RadSpec!V12*((ET_res_o*(1/24)*RadSpec!AA12)+(ET_res_i*(1/24)*RadSpec!AF12)))),".")</f>
        <v>4.9107242282490926</v>
      </c>
      <c r="F12" s="2" t="str">
        <f>b2s!C12</f>
        <v>.</v>
      </c>
      <c r="G12" s="2" t="str">
        <f>dir!C12</f>
        <v>.</v>
      </c>
      <c r="H12" s="2">
        <f t="shared" si="5"/>
        <v>4.9107242282490926</v>
      </c>
      <c r="I12" s="2">
        <f>IFERROR((DL/(RadSpec!K12*EF_res*(1/365)*ED_res*RadSpec!V12*((ET_res_o*(1/24)*RadSpec!AA12)+(ET_res_i*(1/24)*RadSpec!AF12)))),".")</f>
        <v>4.9107242282490926</v>
      </c>
      <c r="J12" s="2">
        <f>IFERROR((DL/(RadSpec!R12*EF_res*(1/365)*ED_res*RadSpec!W12*((ET_res_o*(1/24)*RadSpec!AB12)+(ET_res_i*(1/24)*RadSpec!AG12)))),".")</f>
        <v>21.707783650481161</v>
      </c>
      <c r="K12" s="2">
        <f>IFERROR((DL/(RadSpec!S12*EF_res*(1/365)*ED_res*RadSpec!X12*((ET_res_o*(1/24)*RadSpec!AC12)+(ET_res_i*(1/24)*RadSpec!AH12)))),".")</f>
        <v>7.7812441877570153</v>
      </c>
      <c r="L12" s="2">
        <f>IFERROR((DL/(RadSpec!T12*EF_res*(1/365)*ED_res*RadSpec!Y12*((ET_res_o*(1/24)*RadSpec!AD12)+(ET_res_i*(1/24)*RadSpec!AI12)))),".")</f>
        <v>5.2466369604746008</v>
      </c>
      <c r="M12" s="2">
        <f>IFERROR((DL/(RadSpec!P12*EF_res*(1/365)*ED_res*RadSpec!U12*((ET_res_o*(1/24)*RadSpec!Z12)+(ET_res_i*(1/24)*RadSpec!AE12)))),".")</f>
        <v>17.274102098076899</v>
      </c>
      <c r="N12" s="2" t="str">
        <f>IFERROR((DL/(RadSpec!L12*IFA_res_adj)),".")</f>
        <v>.</v>
      </c>
      <c r="O12" s="2">
        <f>IFERROR((DL/(RadSpec!O12*EF_res*(1/365)*ED_res*ET_res*(1/24)*GSF_o)),".")</f>
        <v>1.0040911901864253E-3</v>
      </c>
      <c r="P12" s="2">
        <f t="shared" ref="P12" si="9">IF(AND(N12&lt;&gt;".",O12&lt;&gt;"."),1/((1/N12)+(1/O12)),IF(AND(N12&lt;&gt;".",O12="."),1/((1/N12)),IF(AND(N12=".",O12&lt;&gt;"."),1/((1/O12)),IF(AND(N12&lt;&gt;".",O12="."),"."))))</f>
        <v>1.0040911901864253E-3</v>
      </c>
      <c r="Q12" s="2" t="str">
        <f>IFERROR((DL/(RadSpec!M12*IFW_res_adj)),".")</f>
        <v>.</v>
      </c>
      <c r="R12" s="2" t="str">
        <f>IFERROR(IF(RadSpec!C12=1,(DL/(RadSpec!L12*IFA_res_adj*K)),"."),".")</f>
        <v>.</v>
      </c>
      <c r="S12" s="2">
        <f>IFERROR((DL/(RadSpec!Q12*(1/8760)*DFA_res_adj)),".")</f>
        <v>16.782414243312523</v>
      </c>
      <c r="T12" s="2" t="str">
        <f>b2w!C12</f>
        <v>.</v>
      </c>
      <c r="U12" s="2">
        <f t="shared" si="1"/>
        <v>16.782414243312523</v>
      </c>
      <c r="V12" s="2" t="str">
        <f>IFERROR(DL/(RadSpec!J12*EF_res*ED_res*IRF_res*0.001*CF_res_fish),".")</f>
        <v>.</v>
      </c>
    </row>
    <row r="13" spans="1:22" x14ac:dyDescent="0.25">
      <c r="A13" s="31" t="s">
        <v>11</v>
      </c>
      <c r="B13" s="3" t="s">
        <v>1059</v>
      </c>
      <c r="C13" s="2">
        <f>IFERROR((DL/(RadSpec!I13*IFS_res_adj*(1/1000))),".")</f>
        <v>50.224440468342905</v>
      </c>
      <c r="D13" s="2">
        <f>IFERROR(IF(A13="H-3",(DL/(RadSpec!L13*IFA_res_adj*(1/17)*1000))*RadSpec!#REF!,(DL/(RadSpec!L13*IFA_res_adj*(1/PEF_wind)*1000))),".")</f>
        <v>4706.6938040823034</v>
      </c>
      <c r="E13" s="2">
        <f>IFERROR((DL/(RadSpec!K13*EF_res*(1/365)*ED_res*RadSpec!V13*((ET_res_o*(1/24)*RadSpec!AA13)+(ET_res_i*(1/24)*RadSpec!AF13)))),".")</f>
        <v>44.866784035256323</v>
      </c>
      <c r="F13" s="2">
        <f>b2s!C13</f>
        <v>0.4537340610744483</v>
      </c>
      <c r="G13" s="2">
        <f>dir!C13</f>
        <v>4.6647488309869744E-3</v>
      </c>
      <c r="H13" s="2">
        <f t="shared" si="5"/>
        <v>0.44516750356339901</v>
      </c>
      <c r="I13" s="2">
        <f>IFERROR((DL/(RadSpec!K13*EF_res*(1/365)*ED_res*RadSpec!V13*((ET_res_o*(1/24)*RadSpec!AA13)+(ET_res_i*(1/24)*RadSpec!AF13)))),".")</f>
        <v>44.866784035256323</v>
      </c>
      <c r="J13" s="2">
        <f>IFERROR((DL/(RadSpec!R13*EF_res*(1/365)*ED_res*RadSpec!W13*((ET_res_o*(1/24)*RadSpec!AB13)+(ET_res_i*(1/24)*RadSpec!AG13)))),".")</f>
        <v>134.22646223880855</v>
      </c>
      <c r="K13" s="2">
        <f>IFERROR((DL/(RadSpec!S13*EF_res*(1/365)*ED_res*RadSpec!X13*((ET_res_o*(1/24)*RadSpec!AC13)+(ET_res_i*(1/24)*RadSpec!AH13)))),".")</f>
        <v>56.31879534495463</v>
      </c>
      <c r="L13" s="2">
        <f>IFERROR((DL/(RadSpec!T13*EF_res*(1/365)*ED_res*RadSpec!Y13*((ET_res_o*(1/24)*RadSpec!AD13)+(ET_res_i*(1/24)*RadSpec!AI13)))),".")</f>
        <v>44.992110247645314</v>
      </c>
      <c r="M13" s="2">
        <f>IFERROR((DL/(RadSpec!P13*EF_res*(1/365)*ED_res*RadSpec!U13*((ET_res_o*(1/24)*RadSpec!Z13)+(ET_res_i*(1/24)*RadSpec!AE13)))),".")</f>
        <v>105.4852955989122</v>
      </c>
      <c r="N13" s="2">
        <f>IFERROR((DL/(RadSpec!L13*IFA_res_adj)),".")</f>
        <v>3.4624731961293703E-3</v>
      </c>
      <c r="O13" s="2">
        <f>IFERROR((DL/(RadSpec!O13*EF_res*(1/365)*ED_res*ET_res*(1/24)*GSF_o)),".")</f>
        <v>6.4915662993447962E-3</v>
      </c>
      <c r="P13" s="2">
        <f t="shared" ref="P13:P14" si="10">IF(AND(N13&lt;&gt;".",O13&lt;&gt;"."),1/((1/N13)+(1/O13)),IF(AND(N13&lt;&gt;".",O13="."),1/((1/N13)),IF(AND(N13=".",O13&lt;&gt;"."),1/((1/O13)),IF(AND(N13&lt;&gt;".",O13="."),"."))))</f>
        <v>2.2580656147283438E-3</v>
      </c>
      <c r="Q13" s="2">
        <f>IFERROR((DL/(RadSpec!M13*IFW_res_adj)),".")</f>
        <v>2.9355665166347547</v>
      </c>
      <c r="R13" s="2" t="str">
        <f>IFERROR(IF(RadSpec!C13=1,(DL/(RadSpec!L13*IFA_res_adj*K)),"."),".")</f>
        <v>.</v>
      </c>
      <c r="S13" s="2">
        <f>IFERROR((DL/(RadSpec!Q13*(1/8760)*DFA_res_adj)),".")</f>
        <v>103.47706191472487</v>
      </c>
      <c r="T13" s="2">
        <f>b2w!C13</f>
        <v>1.1633709336508695</v>
      </c>
      <c r="U13" s="2">
        <f t="shared" si="1"/>
        <v>0.82652497229859379</v>
      </c>
      <c r="V13" s="2">
        <f>IFERROR(DL/(RadSpec!J13*EF_res*ED_res*IRF_res*0.001*CF_res_fish),".")</f>
        <v>0.11440011440011437</v>
      </c>
    </row>
    <row r="14" spans="1:22" x14ac:dyDescent="0.25">
      <c r="A14" s="31" t="s">
        <v>12</v>
      </c>
      <c r="B14" s="3" t="s">
        <v>1059</v>
      </c>
      <c r="C14" s="2">
        <f>IFERROR((DL/(RadSpec!I14*IFS_res_adj*(1/1000))),".")</f>
        <v>4756.1023170779263</v>
      </c>
      <c r="D14" s="2">
        <f>IFERROR(IF(A14="H-3",(DL/(RadSpec!L14*IFA_res_adj*(1/17)*1000))*RadSpec!#REF!,(DL/(RadSpec!L14*IFA_res_adj*(1/PEF_wind)*1000))),".")</f>
        <v>13005338.142858999</v>
      </c>
      <c r="E14" s="2">
        <f>IFERROR((DL/(RadSpec!K14*EF_res*(1/365)*ED_res*RadSpec!V14*((ET_res_o*(1/24)*RadSpec!AA14)+(ET_res_i*(1/24)*RadSpec!AF14)))),".")</f>
        <v>2.9554450401205554</v>
      </c>
      <c r="F14" s="2">
        <f>b2s!C14</f>
        <v>40.962768908969636</v>
      </c>
      <c r="G14" s="2">
        <f>dir!C14</f>
        <v>0.4417375786919483</v>
      </c>
      <c r="H14" s="2">
        <f t="shared" si="5"/>
        <v>2.7549631472521172</v>
      </c>
      <c r="I14" s="2">
        <f>IFERROR((DL/(RadSpec!K14*EF_res*(1/365)*ED_res*RadSpec!V14*((ET_res_o*(1/24)*RadSpec!AA14)+(ET_res_i*(1/24)*RadSpec!AF14)))),".")</f>
        <v>2.9554450401205554</v>
      </c>
      <c r="J14" s="2">
        <f>IFERROR((DL/(RadSpec!R14*EF_res*(1/365)*ED_res*RadSpec!W14*((ET_res_o*(1/24)*RadSpec!AB14)+(ET_res_i*(1/24)*RadSpec!AG14)))),".")</f>
        <v>12.6828153296512</v>
      </c>
      <c r="K14" s="2">
        <f>IFERROR((DL/(RadSpec!S14*EF_res*(1/365)*ED_res*RadSpec!X14*((ET_res_o*(1/24)*RadSpec!AC14)+(ET_res_i*(1/24)*RadSpec!AH14)))),".")</f>
        <v>4.5629392262484485</v>
      </c>
      <c r="L14" s="2">
        <f>IFERROR((DL/(RadSpec!T14*EF_res*(1/365)*ED_res*RadSpec!Y14*((ET_res_o*(1/24)*RadSpec!AD14)+(ET_res_i*(1/24)*RadSpec!AI14)))),".")</f>
        <v>3.1215456334606637</v>
      </c>
      <c r="M14" s="2">
        <f>IFERROR((DL/(RadSpec!P14*EF_res*(1/365)*ED_res*RadSpec!U14*((ET_res_o*(1/24)*RadSpec!Z14)+(ET_res_i*(1/24)*RadSpec!AE14)))),".")</f>
        <v>12.741788181254742</v>
      </c>
      <c r="N14" s="2">
        <f>IFERROR((DL/(RadSpec!L14*IFA_res_adj)),".")</f>
        <v>9.5673601471995759</v>
      </c>
      <c r="O14" s="2">
        <f>IFERROR((DL/(RadSpec!O14*EF_res*(1/365)*ED_res*ET_res*(1/24)*GSF_o)),".")</f>
        <v>6.0223808170836301E-4</v>
      </c>
      <c r="P14" s="2">
        <f t="shared" si="10"/>
        <v>6.0220017492189641E-4</v>
      </c>
      <c r="Q14" s="2">
        <f>IFERROR((DL/(RadSpec!M14*IFW_res_adj)),".")</f>
        <v>277.98925346920026</v>
      </c>
      <c r="R14" s="2" t="str">
        <f>IFERROR(IF(RadSpec!C14=1,(DL/(RadSpec!L14*IFA_res_adj*K)),"."),".")</f>
        <v>.</v>
      </c>
      <c r="S14" s="2">
        <f>IFERROR((DL/(RadSpec!Q14*(1/8760)*DFA_res_adj)),".")</f>
        <v>9.8379669702176855</v>
      </c>
      <c r="T14" s="2">
        <f>b2w!C14</f>
        <v>109.67580893599528</v>
      </c>
      <c r="U14" s="2">
        <f t="shared" si="1"/>
        <v>8.7441587050035761</v>
      </c>
      <c r="V14" s="2">
        <f>IFERROR(DL/(RadSpec!J14*EF_res*ED_res*IRF_res*0.001*CF_res_fish),".")</f>
        <v>10.833344166677499</v>
      </c>
    </row>
    <row r="15" spans="1:22" x14ac:dyDescent="0.25">
      <c r="A15" s="31" t="s">
        <v>13</v>
      </c>
      <c r="B15" s="3" t="s">
        <v>1059</v>
      </c>
      <c r="C15" s="2">
        <f>IFERROR((DL/(RadSpec!I15*IFS_res_adj*(1/1000))),".")</f>
        <v>84043.575080895083</v>
      </c>
      <c r="D15" s="2">
        <f>IFERROR(IF(A15="H-3",(DL/(RadSpec!L15*IFA_res_adj*(1/17)*1000))*RadSpec!#REF!,(DL/(RadSpec!L15*IFA_res_adj*(1/PEF_wind)*1000))),".")</f>
        <v>849632405.89451325</v>
      </c>
      <c r="E15" s="2">
        <f>IFERROR((DL/(RadSpec!K15*EF_res*(1/365)*ED_res*RadSpec!V15*((ET_res_o*(1/24)*RadSpec!AA15)+(ET_res_i*(1/24)*RadSpec!AF15)))),".")</f>
        <v>4440.9085935089661</v>
      </c>
      <c r="F15" s="2">
        <f>b2s!C15</f>
        <v>439.21689632482821</v>
      </c>
      <c r="G15" s="2">
        <f>dir!C15</f>
        <v>7.8058046033918584</v>
      </c>
      <c r="H15" s="2">
        <f t="shared" ref="H15:H16" si="11">(IF(AND(C15&lt;&gt;".",D15&lt;&gt;".",E15&lt;&gt;".",F15&lt;&gt;"."),1/((1/C15)+(1/D15)+(1/E15)+(1/F15)),IF(AND(C15&lt;&gt;".",D15&lt;&gt;".",E15&lt;&gt;".",F15="."), 1/((1/C15)+(1/D15)+(1/E15)),IF(AND(C15&lt;&gt;".",D15&lt;&gt;".",E15=".",F15&lt;&gt;"."),1/((1/C15)+(1/D15)+(1/F15)),IF(AND(C15&lt;&gt;".",D15=".",E15&lt;&gt;".",F15&lt;&gt;"."),1/((1/C15)+(1/E15)+(1/F15)),IF(AND(C15=".",D15&lt;&gt;".",E15&lt;&gt;".",F15&lt;&gt;"."),1/((1/D15)+(1/E15)+(1/F15)),IF(AND(C15&lt;&gt;".",D15&lt;&gt;".",E15=".",F15="."),1/((1/C15)+(1/D15)),IF(AND(C15&lt;&gt;".",D15=".",E15&lt;&gt;".",F15="."),1/((1/C15)+(1/E15)),IF(AND(C15&lt;&gt;".",D15=".",E15=".",F15&lt;&gt;"."),1/((1/C15)+(1/F15)),IF(AND(C15=".",D15=".",E15&lt;&gt;".",F15&lt;&gt;"."),1/((1/E15)+(1/F15)),IF(AND(C15=".",D15&lt;&gt;".",E15=".",F15&lt;&gt;"."),1/((1/D15)+(1/F15)),IF(AND(C15=".",D15&lt;&gt;".",E15&lt;&gt;".",F15="."),1/((1/D15)+(1/E15)),IF(AND(C15&lt;&gt;".",D15=".",E15=".",F15="."),1/((1/C15)),IF(AND(C15=".",D15&lt;&gt;".",E15=".",F15="."),1/((1/D15)),IF(AND(C15=".",D15=".",E15&lt;&gt;".",F15="."),1/((1/E15)),IF(AND(C15=".",D15=".",E15=".",F15&lt;&gt;"."),1/((1/F15)),IF(AND(C15=".",D15=".",E15=".",F15="."),".")))))))))))))))))</f>
        <v>397.79488718792231</v>
      </c>
      <c r="I15" s="2">
        <f>IFERROR((DL/(RadSpec!K15*EF_res*(1/365)*ED_res*RadSpec!V15*((ET_res_o*(1/24)*RadSpec!AA15)+(ET_res_i*(1/24)*RadSpec!AF15)))),".")</f>
        <v>4440.9085935089661</v>
      </c>
      <c r="J15" s="2">
        <f>IFERROR((DL/(RadSpec!R15*EF_res*(1/365)*ED_res*RadSpec!W15*((ET_res_o*(1/24)*RadSpec!AB15)+(ET_res_i*(1/24)*RadSpec!AG15)))),".")</f>
        <v>11327.127615089328</v>
      </c>
      <c r="K15" s="2">
        <f>IFERROR((DL/(RadSpec!S15*EF_res*(1/365)*ED_res*RadSpec!X15*((ET_res_o*(1/24)*RadSpec!AC15)+(ET_res_i*(1/24)*RadSpec!AH15)))),".")</f>
        <v>5610.3014519878161</v>
      </c>
      <c r="L15" s="2">
        <f>IFERROR((DL/(RadSpec!T15*EF_res*(1/365)*ED_res*RadSpec!Y15*((ET_res_o*(1/24)*RadSpec!AD15)+(ET_res_i*(1/24)*RadSpec!AI15)))),".")</f>
        <v>4508.025599959984</v>
      </c>
      <c r="M15" s="2">
        <f>IFERROR((DL/(RadSpec!P15*EF_res*(1/365)*ED_res*RadSpec!U15*((ET_res_o*(1/24)*RadSpec!Z15)+(ET_res_i*(1/24)*RadSpec!AE15)))),".")</f>
        <v>896.49641679326294</v>
      </c>
      <c r="N15" s="2">
        <f>IFERROR((DL/(RadSpec!L15*IFA_res_adj)),".")</f>
        <v>625.03097809785197</v>
      </c>
      <c r="O15" s="2">
        <f>IFERROR((DL/(RadSpec!O15*EF_res*(1/365)*ED_res*ET_res*(1/24)*GSF_o)),".")</f>
        <v>5.5827470174365249E-2</v>
      </c>
      <c r="P15" s="2">
        <f t="shared" ref="P15:P17" si="12">IF(AND(N15&lt;&gt;".",O15&lt;&gt;"."),1/((1/N15)+(1/O15)),IF(AND(N15&lt;&gt;".",O15="."),1/((1/N15)),IF(AND(N15=".",O15&lt;&gt;"."),1/((1/O15)),IF(AND(N15&lt;&gt;".",O15="."),"."))))</f>
        <v>5.5822484136588885E-2</v>
      </c>
      <c r="Q15" s="2">
        <f>IFERROR((DL/(RadSpec!M15*IFW_res_adj)),".")</f>
        <v>4912.2599006605669</v>
      </c>
      <c r="R15" s="2" t="str">
        <f>IFERROR(IF(RadSpec!C15=1,(DL/(RadSpec!L15*IFA_res_adj*K)),"."),".")</f>
        <v>.</v>
      </c>
      <c r="S15" s="2">
        <f>IFERROR((DL/(RadSpec!Q15*(1/8760)*DFA_res_adj)),".")</f>
        <v>1783.1315133519554</v>
      </c>
      <c r="T15" s="2">
        <f>b2w!C15</f>
        <v>1824.8647968352989</v>
      </c>
      <c r="U15" s="2">
        <f t="shared" si="1"/>
        <v>761.9806850142777</v>
      </c>
      <c r="V15" s="2">
        <f>IFERROR(DL/(RadSpec!J15*EF_res*ED_res*IRF_res*0.001*CF_res_fish),".")</f>
        <v>191.43258768426102</v>
      </c>
    </row>
    <row r="16" spans="1:22" x14ac:dyDescent="0.25">
      <c r="A16" s="31" t="s">
        <v>14</v>
      </c>
      <c r="B16" s="3" t="s">
        <v>1059</v>
      </c>
      <c r="C16" s="2">
        <f>IFERROR((DL/(RadSpec!I16*IFS_res_adj*(1/1000))),".")</f>
        <v>6.1549559397479054</v>
      </c>
      <c r="D16" s="2">
        <f>IFERROR(IF(A16="H-3",(DL/(RadSpec!L16*IFA_res_adj*(1/17)*1000))*RadSpec!#REF!,(DL/(RadSpec!L16*IFA_res_adj*(1/PEF_wind)*1000))),".")</f>
        <v>9834.8825756943661</v>
      </c>
      <c r="E16" s="2">
        <f>IFERROR((DL/(RadSpec!K16*EF_res*(1/365)*ED_res*RadSpec!V16*((ET_res_o*(1/24)*RadSpec!AA16)+(ET_res_i*(1/24)*RadSpec!AF16)))),".")</f>
        <v>1438.1406668443772</v>
      </c>
      <c r="F16" s="2">
        <f>b2s!C16</f>
        <v>3.2166178583788889E-2</v>
      </c>
      <c r="G16" s="2">
        <f>dir!C16</f>
        <v>5.7166039595428616E-4</v>
      </c>
      <c r="H16" s="2">
        <f t="shared" si="11"/>
        <v>3.1998134025689212E-2</v>
      </c>
      <c r="I16" s="2">
        <f>IFERROR((DL/(RadSpec!K16*EF_res*(1/365)*ED_res*RadSpec!V16*((ET_res_o*(1/24)*RadSpec!AA16)+(ET_res_i*(1/24)*RadSpec!AF16)))),".")</f>
        <v>1438.1406668443772</v>
      </c>
      <c r="J16" s="2">
        <f>IFERROR((DL/(RadSpec!R16*EF_res*(1/365)*ED_res*RadSpec!W16*((ET_res_o*(1/24)*RadSpec!AB16)+(ET_res_i*(1/24)*RadSpec!AG16)))),".")</f>
        <v>2262.2437455978966</v>
      </c>
      <c r="K16" s="2">
        <f>IFERROR((DL/(RadSpec!S16*EF_res*(1/365)*ED_res*RadSpec!X16*((ET_res_o*(1/24)*RadSpec!AC16)+(ET_res_i*(1/24)*RadSpec!AH16)))),".")</f>
        <v>1464.2886789688207</v>
      </c>
      <c r="L16" s="2">
        <f>IFERROR((DL/(RadSpec!T16*EF_res*(1/365)*ED_res*RadSpec!Y16*((ET_res_o*(1/24)*RadSpec!AD16)+(ET_res_i*(1/24)*RadSpec!AI16)))),".")</f>
        <v>1438.1406668443772</v>
      </c>
      <c r="M16" s="2">
        <f>IFERROR((DL/(RadSpec!P16*EF_res*(1/365)*ED_res*RadSpec!U16*((ET_res_o*(1/24)*RadSpec!Z16)+(ET_res_i*(1/24)*RadSpec!AE16)))),".")</f>
        <v>1186.1019412965243</v>
      </c>
      <c r="N16" s="2">
        <f>IFERROR((DL/(RadSpec!L16*IFA_res_adj)),".")</f>
        <v>7.2350186187777887E-3</v>
      </c>
      <c r="O16" s="2">
        <f>IFERROR((DL/(RadSpec!O16*EF_res*(1/365)*ED_res*ET_res*(1/24)*GSF_o)),".")</f>
        <v>0.11852966066744214</v>
      </c>
      <c r="P16" s="2">
        <f t="shared" si="12"/>
        <v>6.8188008483262659E-3</v>
      </c>
      <c r="Q16" s="2">
        <f>IFERROR((DL/(RadSpec!M16*IFW_res_adj)),".")</f>
        <v>0.35975079860720038</v>
      </c>
      <c r="R16" s="2" t="str">
        <f>IFERROR(IF(RadSpec!C16=1,(DL/(RadSpec!L16*IFA_res_adj*K)),"."),".")</f>
        <v>.</v>
      </c>
      <c r="S16" s="2">
        <f>IFERROR((DL/(RadSpec!Q16*(1/8760)*DFA_res_adj)),".")</f>
        <v>1832.2085274809085</v>
      </c>
      <c r="T16" s="2">
        <f>b2w!C16</f>
        <v>0.13364451012117334</v>
      </c>
      <c r="U16" s="2">
        <f t="shared" si="1"/>
        <v>9.7439439534219158E-2</v>
      </c>
      <c r="V16" s="2">
        <f>IFERROR(DL/(RadSpec!J16*EF_res*ED_res*IRF_res*0.001*CF_res_fish),".")</f>
        <v>1.4019621862759119E-2</v>
      </c>
    </row>
    <row r="17" spans="1:23" x14ac:dyDescent="0.25">
      <c r="A17" s="31" t="s">
        <v>15</v>
      </c>
      <c r="B17" s="3" t="s">
        <v>1059</v>
      </c>
      <c r="C17" s="2">
        <f>IFERROR((DL/(RadSpec!I17*IFS_res_adj*(1/1000))),".")</f>
        <v>31548.015369562127</v>
      </c>
      <c r="D17" s="2">
        <f>IFERROR(IF(A17="H-3",(DL/(RadSpec!L17*IFA_res_adj*(1/17)*1000))*RadSpec!#REF!,(DL/(RadSpec!L17*IFA_res_adj*(1/PEF_wind)*1000))),".")</f>
        <v>4708713.8443415659</v>
      </c>
      <c r="E17" s="2">
        <f>IFERROR((DL/(RadSpec!K17*EF_res*(1/365)*ED_res*RadSpec!V17*((ET_res_o*(1/24)*RadSpec!AA17)+(ET_res_i*(1/24)*RadSpec!AF17)))),".")</f>
        <v>2.3933395941540896</v>
      </c>
      <c r="F17" s="2">
        <f>b2s!C17</f>
        <v>164.87187012796318</v>
      </c>
      <c r="G17" s="2">
        <f>dir!C17</f>
        <v>2.9301186124290033</v>
      </c>
      <c r="H17" s="2">
        <f>(IF(AND(C17&lt;&gt;".",D17&lt;&gt;".",E17&lt;&gt;".",F17&lt;&gt;"."),1/((1/C17)+(1/D17)+(1/E17)+(1/F17)),IF(AND(C17&lt;&gt;".",D17&lt;&gt;".",E17&lt;&gt;".",F17="."), 1/((1/C17)+(1/D17)+(1/E17)),IF(AND(C17&lt;&gt;".",D17&lt;&gt;".",E17=".",F17&lt;&gt;"."),1/((1/C17)+(1/D17)+(1/F17)),IF(AND(C17&lt;&gt;".",D17=".",E17&lt;&gt;".",F17&lt;&gt;"."),1/((1/C17)+(1/E17)+(1/F17)),IF(AND(C17=".",D17&lt;&gt;".",E17&lt;&gt;".",F17&lt;&gt;"."),1/((1/D17)+(1/E17)+(1/F17)),IF(AND(C17&lt;&gt;".",D17&lt;&gt;".",E17=".",F17="."),1/((1/C17)+(1/D17)),IF(AND(C17&lt;&gt;".",D17=".",E17&lt;&gt;".",F17="."),1/((1/C17)+(1/E17)),IF(AND(C17&lt;&gt;".",D17=".",E17=".",F17&lt;&gt;"."),1/((1/C17)+(1/F17)),IF(AND(C17=".",D17=".",E17&lt;&gt;".",F17&lt;&gt;"."),1/((1/E17)+(1/F17)),IF(AND(C17=".",D17&lt;&gt;".",E17=".",F17&lt;&gt;"."),1/((1/D17)+(1/F17)),IF(AND(C17=".",D17&lt;&gt;".",E17&lt;&gt;".",F17="."),1/((1/D17)+(1/E17)),IF(AND(C17&lt;&gt;".",D17=".",E17=".",F17="."),1/((1/C17)),IF(AND(C17=".",D17&lt;&gt;".",E17=".",F17="."),1/((1/D17)),IF(AND(C17=".",D17=".",E17&lt;&gt;".",F17="."),1/((1/E17)),IF(AND(C17=".",D17=".",E17=".",F17&lt;&gt;"."),1/((1/F17)),IF(AND(C17=".",D17=".",E17=".",F17="."),".")))))))))))))))))</f>
        <v>2.3589165553355027</v>
      </c>
      <c r="I17" s="2">
        <f>IFERROR((DL/(RadSpec!K17*EF_res*(1/365)*ED_res*RadSpec!V17*((ET_res_o*(1/24)*RadSpec!AA17)+(ET_res_i*(1/24)*RadSpec!AF17)))),".")</f>
        <v>2.3933395941540896</v>
      </c>
      <c r="J17" s="2">
        <f>IFERROR((DL/(RadSpec!R17*EF_res*(1/365)*ED_res*RadSpec!W17*((ET_res_o*(1/24)*RadSpec!AB17)+(ET_res_i*(1/24)*RadSpec!AG17)))),".")</f>
        <v>10.738116979104682</v>
      </c>
      <c r="K17" s="2">
        <f>IFERROR((DL/(RadSpec!S17*EF_res*(1/365)*ED_res*RadSpec!X17*((ET_res_o*(1/24)*RadSpec!AC17)+(ET_res_i*(1/24)*RadSpec!AH17)))),".")</f>
        <v>3.8078429003917318</v>
      </c>
      <c r="L17" s="2">
        <f>IFERROR((DL/(RadSpec!T17*EF_res*(1/365)*ED_res*RadSpec!Y17*((ET_res_o*(1/24)*RadSpec!AD17)+(ET_res_i*(1/24)*RadSpec!AI17)))),".")</f>
        <v>2.5607592160027068</v>
      </c>
      <c r="M17" s="2">
        <f>IFERROR((DL/(RadSpec!P17*EF_res*(1/365)*ED_res*RadSpec!U17*((ET_res_o*(1/24)*RadSpec!Z17)+(ET_res_i*(1/24)*RadSpec!AE17)))),".")</f>
        <v>10.591939146557438</v>
      </c>
      <c r="N17" s="2">
        <f>IFERROR((DL/(RadSpec!L17*IFA_res_adj)),".")</f>
        <v>3.463959236127709</v>
      </c>
      <c r="O17" s="2">
        <f>IFERROR((DL/(RadSpec!O17*EF_res*(1/365)*ED_res*ET_res*(1/24)*GSF_o)),".")</f>
        <v>5.0295018175103832E-4</v>
      </c>
      <c r="P17" s="2">
        <f t="shared" si="12"/>
        <v>5.028771664107864E-4</v>
      </c>
      <c r="Q17" s="2">
        <f>IFERROR((DL/(RadSpec!M17*IFW_res_adj)),".")</f>
        <v>1843.9488169816298</v>
      </c>
      <c r="R17" s="2" t="str">
        <f>IFERROR(IF(RadSpec!C17=1,(DL/(RadSpec!L17*IFA_res_adj*K)),"."),".")</f>
        <v>.</v>
      </c>
      <c r="S17" s="2">
        <f>IFERROR((DL/(RadSpec!Q17*(1/8760)*DFA_res_adj)),".")</f>
        <v>8.2867522612207054</v>
      </c>
      <c r="T17" s="2">
        <f>b2w!C17</f>
        <v>685.01206192762209</v>
      </c>
      <c r="U17" s="2">
        <f t="shared" si="1"/>
        <v>8.1515084597752647</v>
      </c>
      <c r="V17" s="2">
        <f>IFERROR(DL/(RadSpec!J17*EF_res*ED_res*IRF_res*0.001*CF_res_fish),".")</f>
        <v>71.85936834178041</v>
      </c>
    </row>
    <row r="18" spans="1:23" x14ac:dyDescent="0.25">
      <c r="A18" s="31" t="s">
        <v>16</v>
      </c>
      <c r="B18" s="3" t="s">
        <v>1059</v>
      </c>
      <c r="C18" s="2">
        <f>IFERROR((DL/(RadSpec!I18*IFS_res_adj*(1/1000))),".")</f>
        <v>3.5874600334530649</v>
      </c>
      <c r="D18" s="2">
        <f>IFERROR(IF(A18="H-3",(DL/(RadSpec!L18*IFA_res_adj*(1/17)*1000))*RadSpec!#REF!,(DL/(RadSpec!L18*IFA_res_adj*(1/PEF_wind)*1000))),".")</f>
        <v>12671.867934067739</v>
      </c>
      <c r="E18" s="2">
        <f>IFERROR((DL/(RadSpec!K18*EF_res*(1/365)*ED_res*RadSpec!V18*((ET_res_o*(1/24)*RadSpec!AA18)+(ET_res_i*(1/24)*RadSpec!AF18)))),".")</f>
        <v>53335.018108135846</v>
      </c>
      <c r="F18" s="2">
        <f>b2s!C18</f>
        <v>0.15427752863046693</v>
      </c>
      <c r="G18" s="2">
        <f>dir!C18</f>
        <v>3.3319634507049818E-4</v>
      </c>
      <c r="H18" s="2">
        <f t="shared" ref="H18:H20" si="13">(IF(AND(C18&lt;&gt;".",D18&lt;&gt;".",E18&lt;&gt;".",F18&lt;&gt;"."),1/((1/C18)+(1/D18)+(1/E18)+(1/F18)),IF(AND(C18&lt;&gt;".",D18&lt;&gt;".",E18&lt;&gt;".",F18="."), 1/((1/C18)+(1/D18)+(1/E18)),IF(AND(C18&lt;&gt;".",D18&lt;&gt;".",E18=".",F18&lt;&gt;"."),1/((1/C18)+(1/D18)+(1/F18)),IF(AND(C18&lt;&gt;".",D18=".",E18&lt;&gt;".",F18&lt;&gt;"."),1/((1/C18)+(1/E18)+(1/F18)),IF(AND(C18=".",D18&lt;&gt;".",E18&lt;&gt;".",F18&lt;&gt;"."),1/((1/D18)+(1/E18)+(1/F18)),IF(AND(C18&lt;&gt;".",D18&lt;&gt;".",E18=".",F18="."),1/((1/C18)+(1/D18)),IF(AND(C18&lt;&gt;".",D18=".",E18&lt;&gt;".",F18="."),1/((1/C18)+(1/E18)),IF(AND(C18&lt;&gt;".",D18=".",E18=".",F18&lt;&gt;"."),1/((1/C18)+(1/F18)),IF(AND(C18=".",D18=".",E18&lt;&gt;".",F18&lt;&gt;"."),1/((1/E18)+(1/F18)),IF(AND(C18=".",D18&lt;&gt;".",E18=".",F18&lt;&gt;"."),1/((1/D18)+(1/F18)),IF(AND(C18=".",D18&lt;&gt;".",E18&lt;&gt;".",F18="."),1/((1/D18)+(1/E18)),IF(AND(C18&lt;&gt;".",D18=".",E18=".",F18="."),1/((1/C18)),IF(AND(C18=".",D18&lt;&gt;".",E18=".",F18="."),1/((1/D18)),IF(AND(C18=".",D18=".",E18&lt;&gt;".",F18="."),1/((1/E18)),IF(AND(C18=".",D18=".",E18=".",F18&lt;&gt;"."),1/((1/F18)),IF(AND(C18=".",D18=".",E18=".",F18="."),".")))))))))))))))))</f>
        <v>0.1479142947667921</v>
      </c>
      <c r="I18" s="2">
        <f>IFERROR((DL/(RadSpec!K18*EF_res*(1/365)*ED_res*RadSpec!V18*((ET_res_o*(1/24)*RadSpec!AA18)+(ET_res_i*(1/24)*RadSpec!AF18)))),".")</f>
        <v>53335.018108135846</v>
      </c>
      <c r="J18" s="2">
        <f>IFERROR((DL/(RadSpec!R18*EF_res*(1/365)*ED_res*RadSpec!W18*((ET_res_o*(1/24)*RadSpec!AB18)+(ET_res_i*(1/24)*RadSpec!AG18)))),".")</f>
        <v>274866.47557435196</v>
      </c>
      <c r="K18" s="2">
        <f>IFERROR((DL/(RadSpec!S18*EF_res*(1/365)*ED_res*RadSpec!X18*((ET_res_o*(1/24)*RadSpec!AC18)+(ET_res_i*(1/24)*RadSpec!AH18)))),".")</f>
        <v>95876.044456291798</v>
      </c>
      <c r="L18" s="2">
        <f>IFERROR((DL/(RadSpec!T18*EF_res*(1/365)*ED_res*RadSpec!Y18*((ET_res_o*(1/24)*RadSpec!AD18)+(ET_res_i*(1/24)*RadSpec!AI18)))),".")</f>
        <v>61012.028290367518</v>
      </c>
      <c r="M18" s="2">
        <f>IFERROR((DL/(RadSpec!P18*EF_res*(1/365)*ED_res*RadSpec!U18*((ET_res_o*(1/24)*RadSpec!Z18)+(ET_res_i*(1/24)*RadSpec!AE18)))),".")</f>
        <v>279158.48292987613</v>
      </c>
      <c r="N18" s="2">
        <f>IFERROR((DL/(RadSpec!L18*IFA_res_adj)),".")</f>
        <v>9.3220432203483042E-3</v>
      </c>
      <c r="O18" s="2">
        <f>IFERROR((DL/(RadSpec!O18*EF_res*(1/365)*ED_res*ET_res*(1/24)*GSF_o)),".")</f>
        <v>12.545498915587698</v>
      </c>
      <c r="P18" s="2">
        <f t="shared" ref="P18:P21" si="14">IF(AND(N18&lt;&gt;".",O18&lt;&gt;"."),1/((1/N18)+(1/O18)),IF(AND(N18&lt;&gt;".",O18="."),1/((1/N18)),IF(AND(N18=".",O18&lt;&gt;"."),1/((1/O18)),IF(AND(N18&lt;&gt;".",O18="."),"."))))</f>
        <v>9.3151215374276831E-3</v>
      </c>
      <c r="Q18" s="2">
        <f>IFERROR((DL/(RadSpec!M18*IFW_res_adj)),".")</f>
        <v>0.2096833226167682</v>
      </c>
      <c r="R18" s="2" t="str">
        <f>IFERROR(IF(RadSpec!C18=1,(DL/(RadSpec!L18*IFA_res_adj*K)),"."),".")</f>
        <v>.</v>
      </c>
      <c r="S18" s="2">
        <f>IFERROR((DL/(RadSpec!Q18*(1/8760)*DFA_res_adj)),".")</f>
        <v>206954.12382944976</v>
      </c>
      <c r="T18" s="2">
        <f>b2w!C18</f>
        <v>8.9583750713561949E-2</v>
      </c>
      <c r="U18" s="2">
        <f t="shared" si="1"/>
        <v>6.2767388994604156E-2</v>
      </c>
      <c r="V18" s="2">
        <f>IFERROR(DL/(RadSpec!J18*EF_res*ED_res*IRF_res*0.001*CF_res_fish),".")</f>
        <v>8.1714367428653151E-3</v>
      </c>
    </row>
    <row r="19" spans="1:23" x14ac:dyDescent="0.25">
      <c r="A19" s="31" t="s">
        <v>17</v>
      </c>
      <c r="B19" s="3" t="s">
        <v>1059</v>
      </c>
      <c r="C19" s="2" t="str">
        <f>IFERROR((DL/(RadSpec!I19*IFS_res_adj*(1/1000))),".")</f>
        <v>.</v>
      </c>
      <c r="D19" s="2" t="str">
        <f>IFERROR(IF(A19="H-3",(DL/(RadSpec!L19*IFA_res_adj*(1/17)*1000))*RadSpec!#REF!,(DL/(RadSpec!L19*IFA_res_adj*(1/PEF_wind)*1000))),".")</f>
        <v>.</v>
      </c>
      <c r="E19" s="2">
        <f>IFERROR((DL/(RadSpec!K19*EF_res*(1/365)*ED_res*RadSpec!V19*((ET_res_o*(1/24)*RadSpec!AA19)+(ET_res_i*(1/24)*RadSpec!AF19)))),".")</f>
        <v>13885.496093669848</v>
      </c>
      <c r="F19" s="2" t="str">
        <f>b2s!C19</f>
        <v>.</v>
      </c>
      <c r="G19" s="2" t="str">
        <f>dir!C19</f>
        <v>.</v>
      </c>
      <c r="H19" s="2">
        <f t="shared" si="13"/>
        <v>13885.496093669848</v>
      </c>
      <c r="I19" s="2">
        <f>IFERROR((DL/(RadSpec!K19*EF_res*(1/365)*ED_res*RadSpec!V19*((ET_res_o*(1/24)*RadSpec!AA19)+(ET_res_i*(1/24)*RadSpec!AF19)))),".")</f>
        <v>13885.496093669848</v>
      </c>
      <c r="J19" s="2">
        <f>IFERROR((DL/(RadSpec!R19*EF_res*(1/365)*ED_res*RadSpec!W19*((ET_res_o*(1/24)*RadSpec!AB19)+(ET_res_i*(1/24)*RadSpec!AG19)))),".")</f>
        <v>71270.68791441161</v>
      </c>
      <c r="K19" s="2">
        <f>IFERROR((DL/(RadSpec!S19*EF_res*(1/365)*ED_res*RadSpec!X19*((ET_res_o*(1/24)*RadSpec!AC19)+(ET_res_i*(1/24)*RadSpec!AH19)))),".")</f>
        <v>24895.170739809924</v>
      </c>
      <c r="L19" s="2">
        <f>IFERROR((DL/(RadSpec!T19*EF_res*(1/365)*ED_res*RadSpec!Y19*((ET_res_o*(1/24)*RadSpec!AD19)+(ET_res_i*(1/24)*RadSpec!AI19)))),".")</f>
        <v>15791.348498683356</v>
      </c>
      <c r="M19" s="2">
        <f>IFERROR((DL/(RadSpec!P19*EF_res*(1/365)*ED_res*RadSpec!U19*((ET_res_o*(1/24)*RadSpec!Z19)+(ET_res_i*(1/24)*RadSpec!AE19)))),".")</f>
        <v>72096.392510180885</v>
      </c>
      <c r="N19" s="2" t="str">
        <f>IFERROR((DL/(RadSpec!L19*IFA_res_adj)),".")</f>
        <v>.</v>
      </c>
      <c r="O19" s="2">
        <f>IFERROR((DL/(RadSpec!O19*EF_res*(1/365)*ED_res*ET_res*(1/24)*GSF_o)),".")</f>
        <v>3.2647643376821791</v>
      </c>
      <c r="P19" s="2">
        <f t="shared" si="14"/>
        <v>3.2647643376821791</v>
      </c>
      <c r="Q19" s="2" t="str">
        <f>IFERROR((DL/(RadSpec!M19*IFW_res_adj)),".")</f>
        <v>.</v>
      </c>
      <c r="R19" s="2" t="str">
        <f>IFERROR(IF(RadSpec!C19=1,(DL/(RadSpec!L19*IFA_res_adj*K)),"."),".")</f>
        <v>.</v>
      </c>
      <c r="S19" s="2">
        <f>IFERROR((DL/(RadSpec!Q19*(1/8760)*DFA_res_adj)),".")</f>
        <v>53830.385308738267</v>
      </c>
      <c r="T19" s="2" t="str">
        <f>b2w!C19</f>
        <v>.</v>
      </c>
      <c r="U19" s="2">
        <f t="shared" si="1"/>
        <v>53830.385308738267</v>
      </c>
      <c r="V19" s="2" t="str">
        <f>IFERROR(DL/(RadSpec!J19*EF_res*ED_res*IRF_res*0.001*CF_res_fish),".")</f>
        <v>.</v>
      </c>
    </row>
    <row r="20" spans="1:23" x14ac:dyDescent="0.25">
      <c r="A20" s="31" t="s">
        <v>18</v>
      </c>
      <c r="B20" s="3" t="s">
        <v>1059</v>
      </c>
      <c r="C20" s="2" t="str">
        <f>IFERROR((DL/(RadSpec!I20*IFS_res_adj*(1/1000))),".")</f>
        <v>.</v>
      </c>
      <c r="D20" s="2" t="str">
        <f>IFERROR(IF(A20="H-3",(DL/(RadSpec!L20*IFA_res_adj*(1/17)*1000))*RadSpec!#REF!,(DL/(RadSpec!L20*IFA_res_adj*(1/PEF_wind)*1000))),".")</f>
        <v>.</v>
      </c>
      <c r="E20" s="2">
        <f>IFERROR((DL/(RadSpec!K20*EF_res*(1/365)*ED_res*RadSpec!V20*((ET_res_o*(1/24)*RadSpec!AA20)+(ET_res_i*(1/24)*RadSpec!AF20)))),".")</f>
        <v>6267.3834508393084</v>
      </c>
      <c r="F20" s="2" t="str">
        <f>b2s!C20</f>
        <v>.</v>
      </c>
      <c r="G20" s="2" t="str">
        <f>dir!C20</f>
        <v>.</v>
      </c>
      <c r="H20" s="2">
        <f t="shared" si="13"/>
        <v>6267.3834508393084</v>
      </c>
      <c r="I20" s="2">
        <f>IFERROR((DL/(RadSpec!K20*EF_res*(1/365)*ED_res*RadSpec!V20*((ET_res_o*(1/24)*RadSpec!AA20)+(ET_res_i*(1/24)*RadSpec!AF20)))),".")</f>
        <v>6267.3834508393084</v>
      </c>
      <c r="J20" s="2">
        <f>IFERROR((DL/(RadSpec!R20*EF_res*(1/365)*ED_res*RadSpec!W20*((ET_res_o*(1/24)*RadSpec!AB20)+(ET_res_i*(1/24)*RadSpec!AG20)))),".")</f>
        <v>32214.350937314051</v>
      </c>
      <c r="K20" s="2">
        <f>IFERROR((DL/(RadSpec!S20*EF_res*(1/365)*ED_res*RadSpec!X20*((ET_res_o*(1/24)*RadSpec!AC20)+(ET_res_i*(1/24)*RadSpec!AH20)))),".")</f>
        <v>11263.759068990927</v>
      </c>
      <c r="L20" s="2">
        <f>IFERROR((DL/(RadSpec!T20*EF_res*(1/365)*ED_res*RadSpec!Y20*((ET_res_o*(1/24)*RadSpec!AD20)+(ET_res_i*(1/24)*RadSpec!AI20)))),".")</f>
        <v>7127.068791441161</v>
      </c>
      <c r="M20" s="2">
        <f>IFERROR((DL/(RadSpec!P20*EF_res*(1/365)*ED_res*RadSpec!U20*((ET_res_o*(1/24)*RadSpec!Z20)+(ET_res_i*(1/24)*RadSpec!AE20)))),".")</f>
        <v>32704.462676155756</v>
      </c>
      <c r="N20" s="2" t="str">
        <f>IFERROR((DL/(RadSpec!L20*IFA_res_adj)),".")</f>
        <v>.</v>
      </c>
      <c r="O20" s="2">
        <f>IFERROR((DL/(RadSpec!O20*EF_res*(1/365)*ED_res*ET_res*(1/24)*GSF_o)),".")</f>
        <v>1.46914395195698</v>
      </c>
      <c r="P20" s="2">
        <f t="shared" si="14"/>
        <v>1.46914395195698</v>
      </c>
      <c r="Q20" s="2" t="str">
        <f>IFERROR((DL/(RadSpec!M20*IFW_res_adj)),".")</f>
        <v>.</v>
      </c>
      <c r="R20" s="2" t="str">
        <f>IFERROR(IF(RadSpec!C20=1,(DL/(RadSpec!L20*IFA_res_adj*K)),"."),".")</f>
        <v>.</v>
      </c>
      <c r="S20" s="2">
        <f>IFERROR((DL/(RadSpec!Q20*(1/8760)*DFA_res_adj)),".")</f>
        <v>24266.18827404848</v>
      </c>
      <c r="T20" s="2" t="str">
        <f>b2w!C20</f>
        <v>.</v>
      </c>
      <c r="U20" s="2">
        <f t="shared" si="1"/>
        <v>24266.18827404848</v>
      </c>
      <c r="V20" s="2" t="str">
        <f>IFERROR(DL/(RadSpec!J20*EF_res*ED_res*IRF_res*0.001*CF_res_fish),".")</f>
        <v>.</v>
      </c>
    </row>
    <row r="21" spans="1:23" x14ac:dyDescent="0.25">
      <c r="A21" s="31" t="s">
        <v>19</v>
      </c>
      <c r="B21" s="3" t="s">
        <v>1059</v>
      </c>
      <c r="C21" s="2" t="str">
        <f>IFERROR((DL/(RadSpec!I21*IFS_res_adj*(1/1000))),".")</f>
        <v>.</v>
      </c>
      <c r="D21" s="2">
        <f>IFERROR(IF(A21="H-3",(DL/(RadSpec!L21*IFA_res_adj*(1/17)*1000))*RadSpec!#REF!,(DL/(RadSpec!L21*IFA_res_adj*(1/PEF_wind)*1000))),".")</f>
        <v>28796071.541511413</v>
      </c>
      <c r="E21" s="2">
        <f>IFERROR((DL/(RadSpec!K21*EF_res*(1/365)*ED_res*RadSpec!V21*((ET_res_o*(1/24)*RadSpec!AA21)+(ET_res_i*(1/24)*RadSpec!AF21)))),".")</f>
        <v>362284648.41783684</v>
      </c>
      <c r="F21" s="2" t="str">
        <f>b2s!C21</f>
        <v>.</v>
      </c>
      <c r="G21" s="2" t="str">
        <f>dir!C21</f>
        <v>.</v>
      </c>
      <c r="H21" s="2">
        <f>(IF(AND(C21&lt;&gt;".",D21&lt;&gt;".",E21&lt;&gt;".",F21&lt;&gt;"."),1/((1/C21)+(1/D21)+(1/E21)+(1/F21)),IF(AND(C21&lt;&gt;".",D21&lt;&gt;".",E21&lt;&gt;".",F21="."), 1/((1/C21)+(1/D21)+(1/E21)),IF(AND(C21&lt;&gt;".",D21&lt;&gt;".",E21=".",F21&lt;&gt;"."),1/((1/C21)+(1/D21)+(1/F21)),IF(AND(C21&lt;&gt;".",D21=".",E21&lt;&gt;".",F21&lt;&gt;"."),1/((1/C21)+(1/E21)+(1/F21)),IF(AND(C21=".",D21&lt;&gt;".",E21&lt;&gt;".",F21&lt;&gt;"."),1/((1/D21)+(1/E21)+(1/F21)),IF(AND(C21&lt;&gt;".",D21&lt;&gt;".",E21=".",F21="."),1/((1/C21)+(1/D21)),IF(AND(C21&lt;&gt;".",D21=".",E21&lt;&gt;".",F21="."),1/((1/C21)+(1/E21)),IF(AND(C21&lt;&gt;".",D21=".",E21=".",F21&lt;&gt;"."),1/((1/C21)+(1/F21)),IF(AND(C21=".",D21=".",E21&lt;&gt;".",F21&lt;&gt;"."),1/((1/E21)+(1/F21)),IF(AND(C21=".",D21&lt;&gt;".",E21=".",F21&lt;&gt;"."),1/((1/D21)+(1/F21)),IF(AND(C21=".",D21&lt;&gt;".",E21&lt;&gt;".",F21="."),1/((1/D21)+(1/E21)),IF(AND(C21&lt;&gt;".",D21=".",E21=".",F21="."),1/((1/C21)),IF(AND(C21=".",D21&lt;&gt;".",E21=".",F21="."),1/((1/D21)),IF(AND(C21=".",D21=".",E21&lt;&gt;".",F21="."),1/((1/E21)),IF(AND(C21=".",D21=".",E21=".",F21&lt;&gt;"."),1/((1/F21)),IF(AND(C21=".",D21=".",E21=".",F21="."),".")))))))))))))))))</f>
        <v>26675758.025902566</v>
      </c>
      <c r="I21" s="2">
        <f>IFERROR((DL/(RadSpec!K21*EF_res*(1/365)*ED_res*RadSpec!V21*((ET_res_o*(1/24)*RadSpec!AA21)+(ET_res_i*(1/24)*RadSpec!AF21)))),".")</f>
        <v>362284648.41783684</v>
      </c>
      <c r="J21" s="2">
        <f>IFERROR((DL/(RadSpec!R21*EF_res*(1/365)*ED_res*RadSpec!W21*((ET_res_o*(1/24)*RadSpec!AB21)+(ET_res_i*(1/24)*RadSpec!AG21)))),".")</f>
        <v>771416449.64832497</v>
      </c>
      <c r="K21" s="2">
        <f>IFERROR((DL/(RadSpec!S21*EF_res*(1/365)*ED_res*RadSpec!X21*((ET_res_o*(1/24)*RadSpec!AC21)+(ET_res_i*(1/24)*RadSpec!AH21)))),".")</f>
        <v>412370083.68297559</v>
      </c>
      <c r="L21" s="2">
        <f>IFERROR((DL/(RadSpec!T21*EF_res*(1/365)*ED_res*RadSpec!Y21*((ET_res_o*(1/24)*RadSpec!AD21)+(ET_res_i*(1/24)*RadSpec!AI21)))),".")</f>
        <v>362284648.41783684</v>
      </c>
      <c r="M21" s="2">
        <f>IFERROR((DL/(RadSpec!P21*EF_res*(1/365)*ED_res*RadSpec!U21*((ET_res_o*(1/24)*RadSpec!Z21)+(ET_res_i*(1/24)*RadSpec!AE21)))),".")</f>
        <v>430048657.07827199</v>
      </c>
      <c r="N21" s="2">
        <f>IFERROR((DL/(RadSpec!L21*IFA_res_adj)),".")</f>
        <v>21.183792703878115</v>
      </c>
      <c r="O21" s="2">
        <f>IFERROR((DL/(RadSpec!O21*EF_res*(1/365)*ED_res*ET_res*(1/24)*GSF_o)),".")</f>
        <v>2130.8194723040174</v>
      </c>
      <c r="P21" s="2">
        <f t="shared" si="14"/>
        <v>20.975264640460317</v>
      </c>
      <c r="Q21" s="2" t="str">
        <f>IFERROR((DL/(RadSpec!M21*IFW_res_adj)),".")</f>
        <v>.</v>
      </c>
      <c r="R21" s="2" t="str">
        <f>IFERROR(IF(RadSpec!C21=1,(DL/(RadSpec!L21*IFA_res_adj*K)),"."),".")</f>
        <v>.</v>
      </c>
      <c r="S21" s="2">
        <f>IFERROR((DL/(RadSpec!Q21*(1/8760)*DFA_res_adj)),".")</f>
        <v>69828926.396999657</v>
      </c>
      <c r="T21" s="2" t="str">
        <f>b2w!C21</f>
        <v>.</v>
      </c>
      <c r="U21" s="2">
        <f t="shared" si="1"/>
        <v>69828926.396999657</v>
      </c>
      <c r="V21" s="2" t="str">
        <f>IFERROR(DL/(RadSpec!J21*EF_res*ED_res*IRF_res*0.001*CF_res_fish),".")</f>
        <v>.</v>
      </c>
    </row>
    <row r="22" spans="1:23" x14ac:dyDescent="0.25">
      <c r="A22" s="31" t="s">
        <v>20</v>
      </c>
      <c r="B22" s="3" t="s">
        <v>1059</v>
      </c>
      <c r="C22" s="2">
        <f>IFERROR((DL/(RadSpec!I22*IFS_res_adj*(1/1000))),".")</f>
        <v>26.378382598919597</v>
      </c>
      <c r="D22" s="2">
        <f>IFERROR(IF(A22="H-3",(DL/(RadSpec!L22*IFA_res_adj*(1/17)*1000))*RadSpec!#REF!,(DL/(RadSpec!L22*IFA_res_adj*(1/PEF_wind)*1000))),".")</f>
        <v>7051.6458895882315</v>
      </c>
      <c r="E22" s="2">
        <f>IFERROR((DL/(RadSpec!K22*EF_res*(1/365)*ED_res*RadSpec!V22*((ET_res_o*(1/24)*RadSpec!AA22)+(ET_res_i*(1/24)*RadSpec!AF22)))),".")</f>
        <v>337.67663456304024</v>
      </c>
      <c r="F22" s="2">
        <f>b2s!C22</f>
        <v>0.10647839982126531</v>
      </c>
      <c r="G22" s="2">
        <f>dir!C22</f>
        <v>2.4499731255183694E-3</v>
      </c>
      <c r="H22" s="2">
        <f t="shared" ref="H22:H23" si="15">(IF(AND(C22&lt;&gt;".",D22&lt;&gt;".",E22&lt;&gt;".",F22&lt;&gt;"."),1/((1/C22)+(1/D22)+(1/E22)+(1/F22)),IF(AND(C22&lt;&gt;".",D22&lt;&gt;".",E22&lt;&gt;".",F22="."), 1/((1/C22)+(1/D22)+(1/E22)),IF(AND(C22&lt;&gt;".",D22&lt;&gt;".",E22=".",F22&lt;&gt;"."),1/((1/C22)+(1/D22)+(1/F22)),IF(AND(C22&lt;&gt;".",D22=".",E22&lt;&gt;".",F22&lt;&gt;"."),1/((1/C22)+(1/E22)+(1/F22)),IF(AND(C22=".",D22&lt;&gt;".",E22&lt;&gt;".",F22&lt;&gt;"."),1/((1/D22)+(1/E22)+(1/F22)),IF(AND(C22&lt;&gt;".",D22&lt;&gt;".",E22=".",F22="."),1/((1/C22)+(1/D22)),IF(AND(C22&lt;&gt;".",D22=".",E22&lt;&gt;".",F22="."),1/((1/C22)+(1/E22)),IF(AND(C22&lt;&gt;".",D22=".",E22=".",F22&lt;&gt;"."),1/((1/C22)+(1/F22)),IF(AND(C22=".",D22=".",E22&lt;&gt;".",F22&lt;&gt;"."),1/((1/E22)+(1/F22)),IF(AND(C22=".",D22&lt;&gt;".",E22=".",F22&lt;&gt;"."),1/((1/D22)+(1/F22)),IF(AND(C22=".",D22&lt;&gt;".",E22&lt;&gt;".",F22="."),1/((1/D22)+(1/E22)),IF(AND(C22&lt;&gt;".",D22=".",E22=".",F22="."),1/((1/C22)),IF(AND(C22=".",D22&lt;&gt;".",E22=".",F22="."),1/((1/D22)),IF(AND(C22=".",D22=".",E22&lt;&gt;".",F22="."),1/((1/E22)),IF(AND(C22=".",D22=".",E22=".",F22&lt;&gt;"."),1/((1/F22)),IF(AND(C22=".",D22=".",E22=".",F22="."),".")))))))))))))))))</f>
        <v>0.10601542997685505</v>
      </c>
      <c r="I22" s="2">
        <f>IFERROR((DL/(RadSpec!K22*EF_res*(1/365)*ED_res*RadSpec!V22*((ET_res_o*(1/24)*RadSpec!AA22)+(ET_res_i*(1/24)*RadSpec!AF22)))),".")</f>
        <v>337.67663456304024</v>
      </c>
      <c r="J22" s="2">
        <f>IFERROR((DL/(RadSpec!R22*EF_res*(1/365)*ED_res*RadSpec!W22*((ET_res_o*(1/24)*RadSpec!AB22)+(ET_res_i*(1/24)*RadSpec!AG22)))),".")</f>
        <v>465.52530256234172</v>
      </c>
      <c r="K22" s="2">
        <f>IFERROR((DL/(RadSpec!S22*EF_res*(1/365)*ED_res*RadSpec!X22*((ET_res_o*(1/24)*RadSpec!AC22)+(ET_res_i*(1/24)*RadSpec!AH22)))),".")</f>
        <v>339.09843091909522</v>
      </c>
      <c r="L22" s="2">
        <f>IFERROR((DL/(RadSpec!T22*EF_res*(1/365)*ED_res*RadSpec!Y22*((ET_res_o*(1/24)*RadSpec!AD22)+(ET_res_i*(1/24)*RadSpec!AI22)))),".")</f>
        <v>337.67663456304024</v>
      </c>
      <c r="M22" s="2">
        <f>IFERROR((DL/(RadSpec!P22*EF_res*(1/365)*ED_res*RadSpec!U22*((ET_res_o*(1/24)*RadSpec!Z22)+(ET_res_i*(1/24)*RadSpec!AE22)))),".")</f>
        <v>233.98556478304161</v>
      </c>
      <c r="N22" s="2">
        <f>IFERROR((DL/(RadSpec!L22*IFA_res_adj)),".")</f>
        <v>5.1875341582913277E-3</v>
      </c>
      <c r="O22" s="2">
        <f>IFERROR((DL/(RadSpec!O22*EF_res*(1/365)*ED_res*ET_res*(1/24)*GSF_o)),".")</f>
        <v>2.2602214645492003E-2</v>
      </c>
      <c r="P22" s="2">
        <f t="shared" ref="P22:P23" si="16">IF(AND(N22&lt;&gt;".",O22&lt;&gt;"."),1/((1/N22)+(1/O22)),IF(AND(N22&lt;&gt;".",O22="."),1/((1/N22)),IF(AND(N22=".",O22&lt;&gt;"."),1/((1/O22)),IF(AND(N22&lt;&gt;".",O22="."),"."))))</f>
        <v>4.2191730970436029E-3</v>
      </c>
      <c r="Q22" s="2">
        <f>IFERROR((DL/(RadSpec!M22*IFW_res_adj)),".")</f>
        <v>1.5417891368880012</v>
      </c>
      <c r="R22" s="2" t="str">
        <f>IFERROR(IF(RadSpec!C22=1,(DL/(RadSpec!L22*IFA_res_adj*K)),"."),".")</f>
        <v>.</v>
      </c>
      <c r="S22" s="2">
        <f>IFERROR((DL/(RadSpec!Q22*(1/8760)*DFA_res_adj)),".")</f>
        <v>367.79139870242915</v>
      </c>
      <c r="T22" s="2">
        <f>b2w!C22</f>
        <v>0.54874618565277988</v>
      </c>
      <c r="U22" s="2">
        <f t="shared" si="1"/>
        <v>0.40426055274677286</v>
      </c>
      <c r="V22" s="2">
        <f>IFERROR(DL/(RadSpec!J22*EF_res*ED_res*IRF_res*0.001*CF_res_fish),".")</f>
        <v>6.0084093697539052E-2</v>
      </c>
    </row>
    <row r="23" spans="1:23" x14ac:dyDescent="0.25">
      <c r="A23" s="32" t="s">
        <v>21</v>
      </c>
      <c r="B23" s="3" t="s">
        <v>336</v>
      </c>
      <c r="C23" s="2">
        <f>IFERROR((DL/(RadSpec!I23*IFS_res_adj*(1/1000))),".")</f>
        <v>13.858841188836344</v>
      </c>
      <c r="D23" s="2">
        <f>IFERROR(IF(A23="H-3",(DL/(RadSpec!L23*IFA_res_adj*(1/17)*1000))*RadSpec!#REF!,(DL/(RadSpec!L23*IFA_res_adj*(1/PEF_wind)*1000))),".")</f>
        <v>5757.703100139518</v>
      </c>
      <c r="E23" s="2">
        <f>IFERROR((DL/(RadSpec!K23*EF_res*(1/365)*ED_res*RadSpec!V23*((ET_res_o*(1/24)*RadSpec!AA23)+(ET_res_i*(1/24)*RadSpec!AF23)))),".")</f>
        <v>94.74809099210016</v>
      </c>
      <c r="F23" s="2">
        <f>b2s!C23</f>
        <v>5.5942293945830328E-2</v>
      </c>
      <c r="G23" s="2">
        <f>dir!C23</f>
        <v>1.2871823485063395E-3</v>
      </c>
      <c r="H23" s="2">
        <f t="shared" si="15"/>
        <v>5.5684102022254857E-2</v>
      </c>
      <c r="I23" s="2">
        <f>IFERROR((DL/(RadSpec!K23*EF_res*(1/365)*ED_res*RadSpec!V23*((ET_res_o*(1/24)*RadSpec!AA23)+(ET_res_i*(1/24)*RadSpec!AF23)))),".")</f>
        <v>94.74809099210016</v>
      </c>
      <c r="J23" s="2">
        <f>IFERROR((DL/(RadSpec!R23*EF_res*(1/365)*ED_res*RadSpec!W23*((ET_res_o*(1/24)*RadSpec!AB23)+(ET_res_i*(1/24)*RadSpec!AG23)))),".")</f>
        <v>379.88621388342045</v>
      </c>
      <c r="K23" s="2">
        <f>IFERROR((DL/(RadSpec!S23*EF_res*(1/365)*ED_res*RadSpec!X23*((ET_res_o*(1/24)*RadSpec!AC23)+(ET_res_i*(1/24)*RadSpec!AH23)))),".")</f>
        <v>137.668166398778</v>
      </c>
      <c r="L23" s="2">
        <f>IFERROR((DL/(RadSpec!T23*EF_res*(1/365)*ED_res*RadSpec!Y23*((ET_res_o*(1/24)*RadSpec!AD23)+(ET_res_i*(1/24)*RadSpec!AI23)))),".")</f>
        <v>97.031177522030262</v>
      </c>
      <c r="M23" s="2">
        <f>IFERROR((DL/(RadSpec!P23*EF_res*(1/365)*ED_res*RadSpec!U23*((ET_res_o*(1/24)*RadSpec!Z23)+(ET_res_i*(1/24)*RadSpec!AE23)))),".")</f>
        <v>385.30557075051763</v>
      </c>
      <c r="N23" s="2">
        <f>IFERROR((DL/(RadSpec!L23*IFA_res_adj)),".")</f>
        <v>4.2356468224495217E-3</v>
      </c>
      <c r="O23" s="2">
        <f>IFERROR((DL/(RadSpec!O23*EF_res*(1/365)*ED_res*ET_res*(1/24)*GSF_o)),".")</f>
        <v>1.7950955039988826E-2</v>
      </c>
      <c r="P23" s="2">
        <f t="shared" si="16"/>
        <v>3.4270189795845836E-3</v>
      </c>
      <c r="Q23" s="2">
        <f>IFERROR((DL/(RadSpec!M23*IFW_res_adj)),".")</f>
        <v>0.81003491077117951</v>
      </c>
      <c r="R23" s="2">
        <f>IFERROR(IF(RadSpec!C23=1,(DL/(RadSpec!L23*IFA_res_adj*K)),"."),".")</f>
        <v>8.4712936448990434E-3</v>
      </c>
      <c r="S23" s="2">
        <f>IFERROR((DL/(RadSpec!Q23*(1/8760)*DFA_res_adj)),".")</f>
        <v>291.97475072429677</v>
      </c>
      <c r="T23" s="2">
        <f>b2w!C23</f>
        <v>0.28828831302749125</v>
      </c>
      <c r="U23" s="2">
        <f t="shared" si="1"/>
        <v>8.1464792794099117E-3</v>
      </c>
      <c r="V23" s="2">
        <f>IFERROR(DL/(RadSpec!J23*EF_res*ED_res*IRF_res*0.001*CF_res_fish),".")</f>
        <v>3.1567360485682781E-2</v>
      </c>
    </row>
    <row r="24" spans="1:23" x14ac:dyDescent="0.25">
      <c r="A24" s="31" t="s">
        <v>22</v>
      </c>
      <c r="B24" s="3" t="s">
        <v>1059</v>
      </c>
      <c r="C24" s="2" t="str">
        <f>IFERROR((DL/(RadSpec!I24*IFS_res_adj*(1/1000))),".")</f>
        <v>.</v>
      </c>
      <c r="D24" s="2" t="str">
        <f>IFERROR(IF(A24="H-3",(DL/(RadSpec!L24*IFA_res_adj*(1/17)*1000))*RadSpec!#REF!,(DL/(RadSpec!L24*IFA_res_adj*(1/PEF_wind)*1000))),".")</f>
        <v>.</v>
      </c>
      <c r="E24" s="2">
        <f>IFERROR((DL/(RadSpec!K24*EF_res*(1/365)*ED_res*RadSpec!V24*((ET_res_o*(1/24)*RadSpec!AA24)+(ET_res_i*(1/24)*RadSpec!AF24)))),".")</f>
        <v>706.45506441478165</v>
      </c>
      <c r="F24" s="2" t="str">
        <f>b2s!C24</f>
        <v>.</v>
      </c>
      <c r="G24" s="2" t="str">
        <f>dir!C24</f>
        <v>.</v>
      </c>
      <c r="H24" s="2">
        <f t="shared" ref="H24" si="17">(IF(AND(C24&lt;&gt;".",D24&lt;&gt;".",E24&lt;&gt;".",F24&lt;&gt;"."),1/((1/C24)+(1/D24)+(1/E24)+(1/F24)),IF(AND(C24&lt;&gt;".",D24&lt;&gt;".",E24&lt;&gt;".",F24="."), 1/((1/C24)+(1/D24)+(1/E24)),IF(AND(C24&lt;&gt;".",D24&lt;&gt;".",E24=".",F24&lt;&gt;"."),1/((1/C24)+(1/D24)+(1/F24)),IF(AND(C24&lt;&gt;".",D24=".",E24&lt;&gt;".",F24&lt;&gt;"."),1/((1/C24)+(1/E24)+(1/F24)),IF(AND(C24=".",D24&lt;&gt;".",E24&lt;&gt;".",F24&lt;&gt;"."),1/((1/D24)+(1/E24)+(1/F24)),IF(AND(C24&lt;&gt;".",D24&lt;&gt;".",E24=".",F24="."),1/((1/C24)+(1/D24)),IF(AND(C24&lt;&gt;".",D24=".",E24&lt;&gt;".",F24="."),1/((1/C24)+(1/E24)),IF(AND(C24&lt;&gt;".",D24=".",E24=".",F24&lt;&gt;"."),1/((1/C24)+(1/F24)),IF(AND(C24=".",D24=".",E24&lt;&gt;".",F24&lt;&gt;"."),1/((1/E24)+(1/F24)),IF(AND(C24=".",D24&lt;&gt;".",E24=".",F24&lt;&gt;"."),1/((1/D24)+(1/F24)),IF(AND(C24=".",D24&lt;&gt;".",E24&lt;&gt;".",F24="."),1/((1/D24)+(1/E24)),IF(AND(C24&lt;&gt;".",D24=".",E24=".",F24="."),1/((1/C24)),IF(AND(C24=".",D24&lt;&gt;".",E24=".",F24="."),1/((1/D24)),IF(AND(C24=".",D24=".",E24&lt;&gt;".",F24="."),1/((1/E24)),IF(AND(C24=".",D24=".",E24=".",F24&lt;&gt;"."),1/((1/F24)),IF(AND(C24=".",D24=".",E24=".",F24="."),".")))))))))))))))))</f>
        <v>706.45506441478165</v>
      </c>
      <c r="I24" s="2">
        <f>IFERROR((DL/(RadSpec!K24*EF_res*(1/365)*ED_res*RadSpec!V24*((ET_res_o*(1/24)*RadSpec!AA24)+(ET_res_i*(1/24)*RadSpec!AF24)))),".")</f>
        <v>706.45506441478165</v>
      </c>
      <c r="J24" s="2">
        <f>IFERROR((DL/(RadSpec!R24*EF_res*(1/365)*ED_res*RadSpec!W24*((ET_res_o*(1/24)*RadSpec!AB24)+(ET_res_i*(1/24)*RadSpec!AG24)))),".")</f>
        <v>3509.1885552629687</v>
      </c>
      <c r="K24" s="2">
        <f>IFERROR((DL/(RadSpec!S24*EF_res*(1/365)*ED_res*RadSpec!X24*((ET_res_o*(1/24)*RadSpec!AC24)+(ET_res_i*(1/24)*RadSpec!AH24)))),".")</f>
        <v>1229.5553792867959</v>
      </c>
      <c r="L24" s="2">
        <f>IFERROR((DL/(RadSpec!T24*EF_res*(1/365)*ED_res*RadSpec!Y24*((ET_res_o*(1/24)*RadSpec!AD24)+(ET_res_i*(1/24)*RadSpec!AI24)))),".")</f>
        <v>789.56742493416789</v>
      </c>
      <c r="M24" s="2">
        <f>IFERROR((DL/(RadSpec!P24*EF_res*(1/365)*ED_res*RadSpec!U24*((ET_res_o*(1/24)*RadSpec!Z24)+(ET_res_i*(1/24)*RadSpec!AE24)))),".")</f>
        <v>3555.0292991898582</v>
      </c>
      <c r="N24" s="2" t="str">
        <f>IFERROR((DL/(RadSpec!L24*IFA_res_adj)),".")</f>
        <v>.</v>
      </c>
      <c r="O24" s="2">
        <f>IFERROR((DL/(RadSpec!O24*EF_res*(1/365)*ED_res*ET_res*(1/24)*GSF_o)),".")</f>
        <v>0.16419844168930955</v>
      </c>
      <c r="P24" s="2">
        <f t="shared" ref="P24:P25" si="18">IF(AND(N24&lt;&gt;".",O24&lt;&gt;"."),1/((1/N24)+(1/O24)),IF(AND(N24&lt;&gt;".",O24="."),1/((1/N24)),IF(AND(N24=".",O24&lt;&gt;"."),1/((1/O24)),IF(AND(N24&lt;&gt;".",O24="."),"."))))</f>
        <v>0.16419844168930955</v>
      </c>
      <c r="Q24" s="2" t="str">
        <f>IFERROR((DL/(RadSpec!M24*IFW_res_adj)),".")</f>
        <v>.</v>
      </c>
      <c r="R24" s="2" t="str">
        <f>IFERROR(IF(RadSpec!C24=1,(DL/(RadSpec!L24*IFA_res_adj*K)),"."),".")</f>
        <v>.</v>
      </c>
      <c r="S24" s="2">
        <f>IFERROR((DL/(RadSpec!Q24*(1/8760)*DFA_res_adj)),".")</f>
        <v>2702.4455953371989</v>
      </c>
      <c r="T24" s="2" t="str">
        <f>b2w!C24</f>
        <v>.</v>
      </c>
      <c r="U24" s="2">
        <f t="shared" si="1"/>
        <v>2702.4455953371989</v>
      </c>
      <c r="V24" s="2" t="str">
        <f>IFERROR(DL/(RadSpec!J24*EF_res*ED_res*IRF_res*0.001*CF_res_fish),".")</f>
        <v>.</v>
      </c>
    </row>
    <row r="25" spans="1:23" x14ac:dyDescent="0.25">
      <c r="A25" s="32" t="s">
        <v>23</v>
      </c>
      <c r="B25" s="3" t="s">
        <v>336</v>
      </c>
      <c r="C25" s="2" t="str">
        <f>IFERROR((DL/(RadSpec!I25*IFS_res_adj*(1/1000))),".")</f>
        <v>.</v>
      </c>
      <c r="D25" s="2">
        <f>IFERROR(IF(A25="H-3",(DL/(RadSpec!L25*IFA_res_adj*(1/17)*1000))*RadSpec!#REF!,(DL/(RadSpec!L25*IFA_res_adj*(1/PEF_wind)*1000))),".")</f>
        <v>33500162.617758323</v>
      </c>
      <c r="E25" s="2">
        <f>IFERROR((DL/(RadSpec!K25*EF_res*(1/365)*ED_res*RadSpec!V25*((ET_res_o*(1/24)*RadSpec!AA25)+(ET_res_i*(1/24)*RadSpec!AF25)))),".")</f>
        <v>1412.9101288295633</v>
      </c>
      <c r="F25" s="2" t="str">
        <f>b2s!C25</f>
        <v>.</v>
      </c>
      <c r="G25" s="2" t="str">
        <f>dir!C25</f>
        <v>.</v>
      </c>
      <c r="H25" s="2">
        <f>(IF(AND(C25&lt;&gt;".",D25&lt;&gt;".",E25&lt;&gt;".",F25&lt;&gt;"."),1/((1/C25)+(1/D25)+(1/E25)+(1/F25)),IF(AND(C25&lt;&gt;".",D25&lt;&gt;".",E25&lt;&gt;".",F25="."), 1/((1/C25)+(1/D25)+(1/E25)),IF(AND(C25&lt;&gt;".",D25&lt;&gt;".",E25=".",F25&lt;&gt;"."),1/((1/C25)+(1/D25)+(1/F25)),IF(AND(C25&lt;&gt;".",D25=".",E25&lt;&gt;".",F25&lt;&gt;"."),1/((1/C25)+(1/E25)+(1/F25)),IF(AND(C25=".",D25&lt;&gt;".",E25&lt;&gt;".",F25&lt;&gt;"."),1/((1/D25)+(1/E25)+(1/F25)),IF(AND(C25&lt;&gt;".",D25&lt;&gt;".",E25=".",F25="."),1/((1/C25)+(1/D25)),IF(AND(C25&lt;&gt;".",D25=".",E25&lt;&gt;".",F25="."),1/((1/C25)+(1/E25)),IF(AND(C25&lt;&gt;".",D25=".",E25=".",F25&lt;&gt;"."),1/((1/C25)+(1/F25)),IF(AND(C25=".",D25=".",E25&lt;&gt;".",F25&lt;&gt;"."),1/((1/E25)+(1/F25)),IF(AND(C25=".",D25&lt;&gt;".",E25=".",F25&lt;&gt;"."),1/((1/D25)+(1/F25)),IF(AND(C25=".",D25&lt;&gt;".",E25&lt;&gt;".",F25="."),1/((1/D25)+(1/E25)),IF(AND(C25&lt;&gt;".",D25=".",E25=".",F25="."),1/((1/C25)),IF(AND(C25=".",D25&lt;&gt;".",E25=".",F25="."),1/((1/D25)),IF(AND(C25=".",D25=".",E25&lt;&gt;".",F25="."),1/((1/E25)),IF(AND(C25=".",D25=".",E25=".",F25&lt;&gt;"."),1/((1/F25)),IF(AND(C25=".",D25=".",E25=".",F25="."),".")))))))))))))))))</f>
        <v>1412.850540138563</v>
      </c>
      <c r="I25" s="2">
        <f>IFERROR((DL/(RadSpec!K25*EF_res*(1/365)*ED_res*RadSpec!V25*((ET_res_o*(1/24)*RadSpec!AA25)+(ET_res_i*(1/24)*RadSpec!AF25)))),".")</f>
        <v>1412.9101288295633</v>
      </c>
      <c r="J25" s="2">
        <f>IFERROR((DL/(RadSpec!R25*EF_res*(1/365)*ED_res*RadSpec!W25*((ET_res_o*(1/24)*RadSpec!AB25)+(ET_res_i*(1/24)*RadSpec!AG25)))),".")</f>
        <v>6825.0743511258579</v>
      </c>
      <c r="K25" s="2">
        <f>IFERROR((DL/(RadSpec!S25*EF_res*(1/365)*ED_res*RadSpec!X25*((ET_res_o*(1/24)*RadSpec!AC25)+(ET_res_i*(1/24)*RadSpec!AH25)))),".")</f>
        <v>2393.3395941540894</v>
      </c>
      <c r="L25" s="2">
        <f>IFERROR((DL/(RadSpec!T25*EF_res*(1/365)*ED_res*RadSpec!Y25*((ET_res_o*(1/24)*RadSpec!AD25)+(ET_res_i*(1/24)*RadSpec!AI25)))),".")</f>
        <v>1548.7668719862525</v>
      </c>
      <c r="M25" s="2">
        <f>IFERROR((DL/(RadSpec!P25*EF_res*(1/365)*ED_res*RadSpec!U25*((ET_res_o*(1/24)*RadSpec!Z25)+(ET_res_i*(1/24)*RadSpec!AE25)))),".")</f>
        <v>6918.9279908963908</v>
      </c>
      <c r="N25" s="2">
        <f>IFERROR((DL/(RadSpec!L25*IFA_res_adj)),".")</f>
        <v>24.644351206649045</v>
      </c>
      <c r="O25" s="2">
        <f>IFERROR((DL/(RadSpec!O25*EF_res*(1/365)*ED_res*ET_res*(1/24)*GSF_o)),".")</f>
        <v>0.32270213973621537</v>
      </c>
      <c r="P25" s="2">
        <f t="shared" si="18"/>
        <v>0.31853117612486836</v>
      </c>
      <c r="Q25" s="2" t="str">
        <f>IFERROR((DL/(RadSpec!M25*IFW_res_adj)),".")</f>
        <v>.</v>
      </c>
      <c r="R25" s="2">
        <f>IFERROR(IF(RadSpec!C25=1,(DL/(RadSpec!L25*IFA_res_adj*K)),"."),".")</f>
        <v>49.28870241329809</v>
      </c>
      <c r="S25" s="2">
        <f>IFERROR((DL/(RadSpec!Q25*(1/8760)*DFA_res_adj)),".")</f>
        <v>5311.4555716866753</v>
      </c>
      <c r="T25" s="2" t="str">
        <f>b2w!C25</f>
        <v>.</v>
      </c>
      <c r="U25" s="2">
        <f t="shared" si="1"/>
        <v>48.835523514740295</v>
      </c>
      <c r="V25" s="2" t="str">
        <f>IFERROR(DL/(RadSpec!J25*EF_res*ED_res*IRF_res*0.001*CF_res_fish),".")</f>
        <v>.</v>
      </c>
    </row>
    <row r="26" spans="1:23" x14ac:dyDescent="0.25">
      <c r="A26" s="31" t="s">
        <v>24</v>
      </c>
      <c r="B26" s="3" t="s">
        <v>1059</v>
      </c>
      <c r="C26" s="2">
        <f>IFERROR((DL/(RadSpec!I26*IFS_res_adj*(1/1000))),".")</f>
        <v>10.308793199577771</v>
      </c>
      <c r="D26" s="2">
        <f>IFERROR(IF(A26="H-3",(DL/(RadSpec!L26*IFA_res_adj*(1/17)*1000))*RadSpec!#REF!,(DL/(RadSpec!L26*IFA_res_adj*(1/PEF_wind)*1000))),".")</f>
        <v>785.48797260181493</v>
      </c>
      <c r="E26" s="2">
        <f>IFERROR((DL/(RadSpec!K26*EF_res*(1/365)*ED_res*RadSpec!V26*((ET_res_o*(1/24)*RadSpec!AA26)+(ET_res_i*(1/24)*RadSpec!AF26)))),".")</f>
        <v>10.459204849777288</v>
      </c>
      <c r="F26" s="2">
        <f>b2s!C26</f>
        <v>0.68027566816216034</v>
      </c>
      <c r="G26" s="2">
        <f>dir!C26</f>
        <v>9.5746076169683379E-4</v>
      </c>
      <c r="H26" s="2">
        <f>(IF(AND(C26&lt;&gt;".",D26&lt;&gt;".",E26&lt;&gt;".",F26&lt;&gt;"."),1/((1/C26)+(1/D26)+(1/E26)+(1/F26)),IF(AND(C26&lt;&gt;".",D26&lt;&gt;".",E26&lt;&gt;".",F26="."), 1/((1/C26)+(1/D26)+(1/E26)),IF(AND(C26&lt;&gt;".",D26&lt;&gt;".",E26=".",F26&lt;&gt;"."),1/((1/C26)+(1/D26)+(1/F26)),IF(AND(C26&lt;&gt;".",D26=".",E26&lt;&gt;".",F26&lt;&gt;"."),1/((1/C26)+(1/E26)+(1/F26)),IF(AND(C26=".",D26&lt;&gt;".",E26&lt;&gt;".",F26&lt;&gt;"."),1/((1/D26)+(1/E26)+(1/F26)),IF(AND(C26&lt;&gt;".",D26&lt;&gt;".",E26=".",F26="."),1/((1/C26)+(1/D26)),IF(AND(C26&lt;&gt;".",D26=".",E26&lt;&gt;".",F26="."),1/((1/C26)+(1/E26)),IF(AND(C26&lt;&gt;".",D26=".",E26=".",F26&lt;&gt;"."),1/((1/C26)+(1/F26)),IF(AND(C26=".",D26=".",E26&lt;&gt;".",F26&lt;&gt;"."),1/((1/E26)+(1/F26)),IF(AND(C26=".",D26&lt;&gt;".",E26=".",F26&lt;&gt;"."),1/((1/D26)+(1/F26)),IF(AND(C26=".",D26&lt;&gt;".",E26&lt;&gt;".",F26="."),1/((1/D26)+(1/E26)),IF(AND(C26&lt;&gt;".",D26=".",E26=".",F26="."),1/((1/C26)),IF(AND(C26=".",D26&lt;&gt;".",E26=".",F26="."),1/((1/D26)),IF(AND(C26=".",D26=".",E26&lt;&gt;".",F26="."),1/((1/E26)),IF(AND(C26=".",D26=".",E26=".",F26&lt;&gt;"."),1/((1/F26)),IF(AND(C26=".",D26=".",E26=".",F26="."),".")))))))))))))))))</f>
        <v>0.60100504985561343</v>
      </c>
      <c r="I26" s="2">
        <f>IFERROR((DL/(RadSpec!K26*EF_res*(1/365)*ED_res*RadSpec!V26*((ET_res_o*(1/24)*RadSpec!AA26)+(ET_res_i*(1/24)*RadSpec!AF26)))),".")</f>
        <v>10.459204849777288</v>
      </c>
      <c r="J26" s="2">
        <f>IFERROR((DL/(RadSpec!R26*EF_res*(1/365)*ED_res*RadSpec!W26*((ET_res_o*(1/24)*RadSpec!AB26)+(ET_res_i*(1/24)*RadSpec!AG26)))),".")</f>
        <v>35.091885552629684</v>
      </c>
      <c r="K26" s="2">
        <f>IFERROR((DL/(RadSpec!S26*EF_res*(1/365)*ED_res*RadSpec!X26*((ET_res_o*(1/24)*RadSpec!AC26)+(ET_res_i*(1/24)*RadSpec!AH26)))),".")</f>
        <v>13.766816639877797</v>
      </c>
      <c r="L26" s="2">
        <f>IFERROR((DL/(RadSpec!T26*EF_res*(1/365)*ED_res*RadSpec!Y26*((ET_res_o*(1/24)*RadSpec!AD26)+(ET_res_i*(1/24)*RadSpec!AI26)))),".")</f>
        <v>10.596825966221726</v>
      </c>
      <c r="M26" s="2">
        <f>IFERROR((DL/(RadSpec!P26*EF_res*(1/365)*ED_res*RadSpec!U26*((ET_res_o*(1/24)*RadSpec!Z26)+(ET_res_i*(1/24)*RadSpec!AE26)))),".")</f>
        <v>33.210854356302683</v>
      </c>
      <c r="N26" s="2">
        <f>IFERROR((DL/(RadSpec!L26*IFA_res_adj)),".")</f>
        <v>5.7784320889046447E-4</v>
      </c>
      <c r="O26" s="2">
        <f>IFERROR((DL/(RadSpec!O26*EF_res*(1/365)*ED_res*ET_res*(1/24)*GSF_o)),".")</f>
        <v>1.6815503064567844E-3</v>
      </c>
      <c r="P26" s="2">
        <f t="shared" ref="P26:P29" si="19">IF(AND(N26&lt;&gt;".",O26&lt;&gt;"."),1/((1/N26)+(1/O26)),IF(AND(N26&lt;&gt;".",O26="."),1/((1/N26)),IF(AND(N26=".",O26&lt;&gt;"."),1/((1/O26)),IF(AND(N26&lt;&gt;".",O26="."),"."))))</f>
        <v>4.300589598020488E-4</v>
      </c>
      <c r="Q26" s="2">
        <f>IFERROR((DL/(RadSpec!M26*IFW_res_adj)),".")</f>
        <v>0.60253828338151783</v>
      </c>
      <c r="R26" s="2" t="str">
        <f>IFERROR(IF(RadSpec!C26=1,(DL/(RadSpec!L26*IFA_res_adj*K)),"."),".")</f>
        <v>.</v>
      </c>
      <c r="S26" s="2">
        <f>IFERROR((DL/(RadSpec!Q26*(1/8760)*DFA_res_adj)),".")</f>
        <v>26.987936418299864</v>
      </c>
      <c r="T26" s="2">
        <f>b2w!C26</f>
        <v>0.25929926783710605</v>
      </c>
      <c r="U26" s="2">
        <f t="shared" si="1"/>
        <v>0.18007483173520852</v>
      </c>
      <c r="V26" s="2">
        <f>IFERROR(DL/(RadSpec!J26*EF_res*ED_res*IRF_res*0.001*CF_res_fish),".")</f>
        <v>2.3481140065704922E-2</v>
      </c>
    </row>
    <row r="27" spans="1:23" x14ac:dyDescent="0.25">
      <c r="A27" s="31" t="s">
        <v>25</v>
      </c>
      <c r="B27" s="3" t="s">
        <v>1059</v>
      </c>
      <c r="C27" s="2" t="str">
        <f>IFERROR((DL/(RadSpec!I27*IFS_res_adj*(1/1000))),".")</f>
        <v>.</v>
      </c>
      <c r="D27" s="2" t="str">
        <f>IFERROR(IF(A27="H-3",(DL/(RadSpec!L27*IFA_res_adj*(1/17)*1000))*RadSpec!#REF!,(DL/(RadSpec!L27*IFA_res_adj*(1/PEF_wind)*1000))),".")</f>
        <v>.</v>
      </c>
      <c r="E27" s="2">
        <f>IFERROR((DL/(RadSpec!K27*EF_res*(1/365)*ED_res*RadSpec!V27*((ET_res_o*(1/24)*RadSpec!AA27)+(ET_res_i*(1/24)*RadSpec!AF27)))),".")</f>
        <v>235.48502147159394</v>
      </c>
      <c r="F27" s="2" t="str">
        <f>b2s!C27</f>
        <v>.</v>
      </c>
      <c r="G27" s="2" t="str">
        <f>dir!C27</f>
        <v>.</v>
      </c>
      <c r="H27" s="2">
        <f>(IF(AND(C27&lt;&gt;".",D27&lt;&gt;".",E27&lt;&gt;".",F27&lt;&gt;"."),1/((1/C27)+(1/D27)+(1/E27)+(1/F27)),IF(AND(C27&lt;&gt;".",D27&lt;&gt;".",E27&lt;&gt;".",F27="."), 1/((1/C27)+(1/D27)+(1/E27)),IF(AND(C27&lt;&gt;".",D27&lt;&gt;".",E27=".",F27&lt;&gt;"."),1/((1/C27)+(1/D27)+(1/F27)),IF(AND(C27&lt;&gt;".",D27=".",E27&lt;&gt;".",F27&lt;&gt;"."),1/((1/C27)+(1/E27)+(1/F27)),IF(AND(C27=".",D27&lt;&gt;".",E27&lt;&gt;".",F27&lt;&gt;"."),1/((1/D27)+(1/E27)+(1/F27)),IF(AND(C27&lt;&gt;".",D27&lt;&gt;".",E27=".",F27="."),1/((1/C27)+(1/D27)),IF(AND(C27&lt;&gt;".",D27=".",E27&lt;&gt;".",F27="."),1/((1/C27)+(1/E27)),IF(AND(C27&lt;&gt;".",D27=".",E27=".",F27&lt;&gt;"."),1/((1/C27)+(1/F27)),IF(AND(C27=".",D27=".",E27&lt;&gt;".",F27&lt;&gt;"."),1/((1/E27)+(1/F27)),IF(AND(C27=".",D27&lt;&gt;".",E27=".",F27&lt;&gt;"."),1/((1/D27)+(1/F27)),IF(AND(C27=".",D27&lt;&gt;".",E27&lt;&gt;".",F27="."),1/((1/D27)+(1/E27)),IF(AND(C27&lt;&gt;".",D27=".",E27=".",F27="."),1/((1/C27)),IF(AND(C27=".",D27&lt;&gt;".",E27=".",F27="."),1/((1/D27)),IF(AND(C27=".",D27=".",E27&lt;&gt;".",F27="."),1/((1/E27)),IF(AND(C27=".",D27=".",E27=".",F27&lt;&gt;"."),1/((1/F27)),IF(AND(C27=".",D27=".",E27=".",F27="."),".")))))))))))))))))</f>
        <v>235.48502147159394</v>
      </c>
      <c r="I27" s="2">
        <f>IFERROR((DL/(RadSpec!K27*EF_res*(1/365)*ED_res*RadSpec!V27*((ET_res_o*(1/24)*RadSpec!AA27)+(ET_res_i*(1/24)*RadSpec!AF27)))),".")</f>
        <v>235.48502147159394</v>
      </c>
      <c r="J27" s="2">
        <f>IFERROR((DL/(RadSpec!R27*EF_res*(1/365)*ED_res*RadSpec!W27*((ET_res_o*(1/24)*RadSpec!AB27)+(ET_res_i*(1/24)*RadSpec!AG27)))),".")</f>
        <v>396.72845981913855</v>
      </c>
      <c r="K27" s="2">
        <f>IFERROR((DL/(RadSpec!S27*EF_res*(1/365)*ED_res*RadSpec!X27*((ET_res_o*(1/24)*RadSpec!AC27)+(ET_res_i*(1/24)*RadSpec!AH27)))),".")</f>
        <v>284.57907188439975</v>
      </c>
      <c r="L27" s="2">
        <f>IFERROR((DL/(RadSpec!T27*EF_res*(1/365)*ED_res*RadSpec!Y27*((ET_res_o*(1/24)*RadSpec!AD27)+(ET_res_i*(1/24)*RadSpec!AI27)))),".")</f>
        <v>241.48688858556258</v>
      </c>
      <c r="M27" s="2">
        <f>IFERROR((DL/(RadSpec!P27*EF_res*(1/365)*ED_res*RadSpec!U27*((ET_res_o*(1/24)*RadSpec!Z27)+(ET_res_i*(1/24)*RadSpec!AE27)))),".")</f>
        <v>42.056228964272186</v>
      </c>
      <c r="N27" s="2" t="str">
        <f>IFERROR((DL/(RadSpec!L27*IFA_res_adj)),".")</f>
        <v>.</v>
      </c>
      <c r="O27" s="2">
        <f>IFERROR((DL/(RadSpec!O27*EF_res*(1/365)*ED_res*ET_res*(1/24)*GSF_o)),".")</f>
        <v>1.4062335056515175E-2</v>
      </c>
      <c r="P27" s="2">
        <f t="shared" si="19"/>
        <v>1.4062335056515175E-2</v>
      </c>
      <c r="Q27" s="2" t="str">
        <f>IFERROR((DL/(RadSpec!M27*IFW_res_adj)),".")</f>
        <v>.</v>
      </c>
      <c r="R27" s="2" t="str">
        <f>IFERROR(IF(RadSpec!C27=1,(DL/(RadSpec!L27*IFA_res_adj*K)),"."),".")</f>
        <v>.</v>
      </c>
      <c r="S27" s="2">
        <f>IFERROR((DL/(RadSpec!Q27*(1/8760)*DFA_res_adj)),".")</f>
        <v>420.44364104298739</v>
      </c>
      <c r="T27" s="2" t="str">
        <f>b2w!C27</f>
        <v>.</v>
      </c>
      <c r="U27" s="2">
        <f t="shared" si="1"/>
        <v>420.44364104298739</v>
      </c>
      <c r="V27" s="2" t="str">
        <f>IFERROR(DL/(RadSpec!J27*EF_res*ED_res*IRF_res*0.001*CF_res_fish),".")</f>
        <v>.</v>
      </c>
    </row>
    <row r="28" spans="1:23" x14ac:dyDescent="0.25">
      <c r="A28" s="31" t="s">
        <v>26</v>
      </c>
      <c r="B28" s="3" t="s">
        <v>1059</v>
      </c>
      <c r="C28" s="2" t="str">
        <f>IFERROR((DL/(RadSpec!I28*IFS_res_adj*(1/1000))),".")</f>
        <v>.</v>
      </c>
      <c r="D28" s="2" t="str">
        <f>IFERROR(IF(A28="H-3",(DL/(RadSpec!L28*IFA_res_adj*(1/17)*1000))*RadSpec!#REF!,(DL/(RadSpec!L28*IFA_res_adj*(1/PEF_wind)*1000))),".")</f>
        <v>.</v>
      </c>
      <c r="E28" s="2">
        <f>IFERROR((DL/(RadSpec!K28*EF_res*(1/365)*ED_res*RadSpec!V28*((ET_res_o*(1/24)*RadSpec!AA28)+(ET_res_i*(1/24)*RadSpec!AF28)))),".")</f>
        <v>0.23377613162056635</v>
      </c>
      <c r="F28" s="2" t="str">
        <f>b2s!C28</f>
        <v>.</v>
      </c>
      <c r="G28" s="2" t="str">
        <f>dir!C28</f>
        <v>.</v>
      </c>
      <c r="H28" s="2">
        <f t="shared" ref="H28:H29" si="20">(IF(AND(C28&lt;&gt;".",D28&lt;&gt;".",E28&lt;&gt;".",F28&lt;&gt;"."),1/((1/C28)+(1/D28)+(1/E28)+(1/F28)),IF(AND(C28&lt;&gt;".",D28&lt;&gt;".",E28&lt;&gt;".",F28="."), 1/((1/C28)+(1/D28)+(1/E28)),IF(AND(C28&lt;&gt;".",D28&lt;&gt;".",E28=".",F28&lt;&gt;"."),1/((1/C28)+(1/D28)+(1/F28)),IF(AND(C28&lt;&gt;".",D28=".",E28&lt;&gt;".",F28&lt;&gt;"."),1/((1/C28)+(1/E28)+(1/F28)),IF(AND(C28=".",D28&lt;&gt;".",E28&lt;&gt;".",F28&lt;&gt;"."),1/((1/D28)+(1/E28)+(1/F28)),IF(AND(C28&lt;&gt;".",D28&lt;&gt;".",E28=".",F28="."),1/((1/C28)+(1/D28)),IF(AND(C28&lt;&gt;".",D28=".",E28&lt;&gt;".",F28="."),1/((1/C28)+(1/E28)),IF(AND(C28&lt;&gt;".",D28=".",E28=".",F28&lt;&gt;"."),1/((1/C28)+(1/F28)),IF(AND(C28=".",D28=".",E28&lt;&gt;".",F28&lt;&gt;"."),1/((1/E28)+(1/F28)),IF(AND(C28=".",D28&lt;&gt;".",E28=".",F28&lt;&gt;"."),1/((1/D28)+(1/F28)),IF(AND(C28=".",D28&lt;&gt;".",E28&lt;&gt;".",F28="."),1/((1/D28)+(1/E28)),IF(AND(C28&lt;&gt;".",D28=".",E28=".",F28="."),1/((1/C28)),IF(AND(C28=".",D28&lt;&gt;".",E28=".",F28="."),1/((1/D28)),IF(AND(C28=".",D28=".",E28&lt;&gt;".",F28="."),1/((1/E28)),IF(AND(C28=".",D28=".",E28=".",F28&lt;&gt;"."),1/((1/F28)),IF(AND(C28=".",D28=".",E28=".",F28="."),".")))))))))))))))))</f>
        <v>0.23377613162056635</v>
      </c>
      <c r="I28" s="2">
        <f>IFERROR((DL/(RadSpec!K28*EF_res*(1/365)*ED_res*RadSpec!V28*((ET_res_o*(1/24)*RadSpec!AA28)+(ET_res_i*(1/24)*RadSpec!AF28)))),".")</f>
        <v>0.23377613162056635</v>
      </c>
      <c r="J28" s="2">
        <f>IFERROR((DL/(RadSpec!R28*EF_res*(1/365)*ED_res*RadSpec!W28*((ET_res_o*(1/24)*RadSpec!AB28)+(ET_res_i*(1/24)*RadSpec!AG28)))),".")</f>
        <v>1.278347259417224</v>
      </c>
      <c r="K28" s="2">
        <f>IFERROR((DL/(RadSpec!S28*EF_res*(1/365)*ED_res*RadSpec!X28*((ET_res_o*(1/24)*RadSpec!AC28)+(ET_res_i*(1/24)*RadSpec!AH28)))),".")</f>
        <v>0.44494959858168576</v>
      </c>
      <c r="L28" s="2">
        <f>IFERROR((DL/(RadSpec!T28*EF_res*(1/365)*ED_res*RadSpec!Y28*((ET_res_o*(1/24)*RadSpec!AD28)+(ET_res_i*(1/24)*RadSpec!AI28)))),".")</f>
        <v>0.27818955904416276</v>
      </c>
      <c r="M28" s="2">
        <f>IFERROR((DL/(RadSpec!P28*EF_res*(1/365)*ED_res*RadSpec!U28*((ET_res_o*(1/24)*RadSpec!Z28)+(ET_res_i*(1/24)*RadSpec!AE28)))),".")</f>
        <v>1.2741788181254741</v>
      </c>
      <c r="N28" s="2" t="str">
        <f>IFERROR((DL/(RadSpec!L28*IFA_res_adj)),".")</f>
        <v>.</v>
      </c>
      <c r="O28" s="2">
        <f>IFERROR((DL/(RadSpec!O28*EF_res*(1/365)*ED_res*ET_res*(1/24)*GSF_o)),".")</f>
        <v>5.4732813896436524E-5</v>
      </c>
      <c r="P28" s="2">
        <f t="shared" si="19"/>
        <v>5.4732813896436524E-5</v>
      </c>
      <c r="Q28" s="2" t="str">
        <f>IFERROR((DL/(RadSpec!M28*IFW_res_adj)),".")</f>
        <v>.</v>
      </c>
      <c r="R28" s="2" t="str">
        <f>IFERROR(IF(RadSpec!C28=1,(DL/(RadSpec!L28*IFA_res_adj*K)),"."),".")</f>
        <v>.</v>
      </c>
      <c r="S28" s="2">
        <f>IFERROR((DL/(RadSpec!Q28*(1/8760)*DFA_res_adj)),".")</f>
        <v>0.90777604316099558</v>
      </c>
      <c r="T28" s="2" t="str">
        <f>b2w!C28</f>
        <v>.</v>
      </c>
      <c r="U28" s="2">
        <f t="shared" si="1"/>
        <v>0.90777604316099558</v>
      </c>
      <c r="V28" s="2" t="str">
        <f>IFERROR(DL/(RadSpec!J28*EF_res*ED_res*IRF_res*0.001*CF_res_fish),".")</f>
        <v>.</v>
      </c>
    </row>
    <row r="29" spans="1:23" x14ac:dyDescent="0.25">
      <c r="A29" s="31" t="s">
        <v>27</v>
      </c>
      <c r="B29" s="3" t="s">
        <v>1059</v>
      </c>
      <c r="C29" s="2" t="str">
        <f>IFERROR((DL/(RadSpec!I29*IFS_res_adj*(1/1000))),".")</f>
        <v>.</v>
      </c>
      <c r="D29" s="2" t="str">
        <f>IFERROR(IF(A29="H-3",(DL/(RadSpec!L29*IFA_res_adj*(1/17)*1000))*RadSpec!#REF!,(DL/(RadSpec!L29*IFA_res_adj*(1/PEF_wind)*1000))),".")</f>
        <v>.</v>
      </c>
      <c r="E29" s="2">
        <f>IFERROR((DL/(RadSpec!K29*EF_res*(1/365)*ED_res*RadSpec!V29*((ET_res_o*(1/24)*RadSpec!AA29)+(ET_res_i*(1/24)*RadSpec!AF29)))),".")</f>
        <v>0.1793672101186751</v>
      </c>
      <c r="F29" s="2" t="str">
        <f>b2s!C29</f>
        <v>.</v>
      </c>
      <c r="G29" s="2" t="str">
        <f>dir!C29</f>
        <v>.</v>
      </c>
      <c r="H29" s="2">
        <f t="shared" si="20"/>
        <v>0.1793672101186751</v>
      </c>
      <c r="I29" s="2">
        <f>IFERROR((DL/(RadSpec!K29*EF_res*(1/365)*ED_res*RadSpec!V29*((ET_res_o*(1/24)*RadSpec!AA29)+(ET_res_i*(1/24)*RadSpec!AF29)))),".")</f>
        <v>0.1793672101186751</v>
      </c>
      <c r="J29" s="2">
        <f>IFERROR((DL/(RadSpec!R29*EF_res*(1/365)*ED_res*RadSpec!W29*((ET_res_o*(1/24)*RadSpec!AB29)+(ET_res_i*(1/24)*RadSpec!AG29)))),".")</f>
        <v>0.98214484564981863</v>
      </c>
      <c r="K29" s="2">
        <f>IFERROR((DL/(RadSpec!S29*EF_res*(1/365)*ED_res*RadSpec!X29*((ET_res_o*(1/24)*RadSpec!AC29)+(ET_res_i*(1/24)*RadSpec!AH29)))),".")</f>
        <v>0.34197824774218732</v>
      </c>
      <c r="L29" s="2">
        <f>IFERROR((DL/(RadSpec!T29*EF_res*(1/365)*ED_res*RadSpec!Y29*((ET_res_o*(1/24)*RadSpec!AD29)+(ET_res_i*(1/24)*RadSpec!AI29)))),".")</f>
        <v>0.21277642627023813</v>
      </c>
      <c r="M29" s="2">
        <f>IFERROR((DL/(RadSpec!P29*EF_res*(1/365)*ED_res*RadSpec!U29*((ET_res_o*(1/24)*RadSpec!Z29)+(ET_res_i*(1/24)*RadSpec!AE29)))),".")</f>
        <v>0.97493985326267329</v>
      </c>
      <c r="N29" s="2" t="str">
        <f>IFERROR((DL/(RadSpec!L29*IFA_res_adj)),".")</f>
        <v>.</v>
      </c>
      <c r="O29" s="2">
        <f>IFERROR((DL/(RadSpec!O29*EF_res*(1/365)*ED_res*ET_res*(1/24)*GSF_o)),".")</f>
        <v>4.2293538010882762E-5</v>
      </c>
      <c r="P29" s="2">
        <f t="shared" si="19"/>
        <v>4.2293538010882762E-5</v>
      </c>
      <c r="Q29" s="2" t="str">
        <f>IFERROR((DL/(RadSpec!M29*IFW_res_adj)),".")</f>
        <v>.</v>
      </c>
      <c r="R29" s="2" t="str">
        <f>IFERROR(IF(RadSpec!C29=1,(DL/(RadSpec!L29*IFA_res_adj*K)),"."),".")</f>
        <v>.</v>
      </c>
      <c r="S29" s="2">
        <f>IFERROR((DL/(RadSpec!Q29*(1/8760)*DFA_res_adj)),".")</f>
        <v>0.70073940173831217</v>
      </c>
      <c r="T29" s="2" t="str">
        <f>b2w!C29</f>
        <v>.</v>
      </c>
      <c r="U29" s="2">
        <f t="shared" si="1"/>
        <v>0.70073940173831217</v>
      </c>
      <c r="V29" s="2" t="str">
        <f>IFERROR(DL/(RadSpec!J29*EF_res*ED_res*IRF_res*0.001*CF_res_fish),".")</f>
        <v>.</v>
      </c>
    </row>
    <row r="30" spans="1:23" x14ac:dyDescent="0.25">
      <c r="A30" s="31" t="s">
        <v>28</v>
      </c>
      <c r="B30" s="3" t="s">
        <v>1059</v>
      </c>
      <c r="C30" s="2">
        <f>IFERROR((DL/(RadSpec!I30*IFS_res_adj*(1/1000))),".")</f>
        <v>104.28662887944955</v>
      </c>
      <c r="D30" s="2">
        <f>IFERROR(IF(A30="H-3",(DL/(RadSpec!L30*IFA_res_adj*(1/17)*1000))*RadSpec!#REF!,(DL/(RadSpec!L30*IFA_res_adj*(1/PEF_wind)*1000))),".")</f>
        <v>5757.703100139518</v>
      </c>
      <c r="E30" s="2">
        <f>IFERROR((DL/(RadSpec!K30*EF_res*(1/365)*ED_res*RadSpec!V30*((ET_res_o*(1/24)*RadSpec!AA30)+(ET_res_i*(1/24)*RadSpec!AF30)))),".")</f>
        <v>3273.8161521660622</v>
      </c>
      <c r="F30" s="2">
        <f>b2s!C30</f>
        <v>1.2343453178990651</v>
      </c>
      <c r="G30" s="2">
        <f>dir!C30</f>
        <v>9.685940263677275E-3</v>
      </c>
      <c r="H30" s="2">
        <f>(IF(AND(C30&lt;&gt;".",D30&lt;&gt;".",E30&lt;&gt;".",F30&lt;&gt;"."),1/((1/C30)+(1/D30)+(1/E30)+(1/F30)),IF(AND(C30&lt;&gt;".",D30&lt;&gt;".",E30&lt;&gt;".",F30="."), 1/((1/C30)+(1/D30)+(1/E30)),IF(AND(C30&lt;&gt;".",D30&lt;&gt;".",E30=".",F30&lt;&gt;"."),1/((1/C30)+(1/D30)+(1/F30)),IF(AND(C30&lt;&gt;".",D30=".",E30&lt;&gt;".",F30&lt;&gt;"."),1/((1/C30)+(1/E30)+(1/F30)),IF(AND(C30=".",D30&lt;&gt;".",E30&lt;&gt;".",F30&lt;&gt;"."),1/((1/D30)+(1/E30)+(1/F30)),IF(AND(C30&lt;&gt;".",D30&lt;&gt;".",E30=".",F30="."),1/((1/C30)+(1/D30)),IF(AND(C30&lt;&gt;".",D30=".",E30&lt;&gt;".",F30="."),1/((1/C30)+(1/E30)),IF(AND(C30&lt;&gt;".",D30=".",E30=".",F30&lt;&gt;"."),1/((1/C30)+(1/F30)),IF(AND(C30=".",D30=".",E30&lt;&gt;".",F30&lt;&gt;"."),1/((1/E30)+(1/F30)),IF(AND(C30=".",D30&lt;&gt;".",E30=".",F30&lt;&gt;"."),1/((1/D30)+(1/F30)),IF(AND(C30=".",D30&lt;&gt;".",E30&lt;&gt;".",F30="."),1/((1/D30)+(1/E30)),IF(AND(C30&lt;&gt;".",D30=".",E30=".",F30="."),1/((1/C30)),IF(AND(C30=".",D30&lt;&gt;".",E30=".",F30="."),1/((1/D30)),IF(AND(C30=".",D30=".",E30&lt;&gt;".",F30="."),1/((1/E30)),IF(AND(C30=".",D30=".",E30=".",F30&lt;&gt;"."),1/((1/F30)),IF(AND(C30=".",D30=".",E30=".",F30="."),".")))))))))))))))))</f>
        <v>1.2191937854820947</v>
      </c>
      <c r="I30" s="2">
        <f>IFERROR((DL/(RadSpec!K30*EF_res*(1/365)*ED_res*RadSpec!V30*((ET_res_o*(1/24)*RadSpec!AA30)+(ET_res_i*(1/24)*RadSpec!AF30)))),".")</f>
        <v>3273.8161521660622</v>
      </c>
      <c r="J30" s="2">
        <f>IFERROR((DL/(RadSpec!R30*EF_res*(1/365)*ED_res*RadSpec!W30*((ET_res_o*(1/24)*RadSpec!AB30)+(ET_res_i*(1/24)*RadSpec!AG30)))),".")</f>
        <v>11108.396874935879</v>
      </c>
      <c r="K30" s="2">
        <f>IFERROR((DL/(RadSpec!S30*EF_res*(1/365)*ED_res*RadSpec!X30*((ET_res_o*(1/24)*RadSpec!AC30)+(ET_res_i*(1/24)*RadSpec!AH30)))),".")</f>
        <v>4588.9388799592662</v>
      </c>
      <c r="L30" s="2">
        <f>IFERROR((DL/(RadSpec!T30*EF_res*(1/365)*ED_res*RadSpec!Y30*((ET_res_o*(1/24)*RadSpec!AD30)+(ET_res_i*(1/24)*RadSpec!AI30)))),".")</f>
        <v>3383.8603925750044</v>
      </c>
      <c r="M30" s="2">
        <f>IFERROR((DL/(RadSpec!P30*EF_res*(1/365)*ED_res*RadSpec!U30*((ET_res_o*(1/24)*RadSpec!Z30)+(ET_res_i*(1/24)*RadSpec!AE30)))),".")</f>
        <v>5407.2294382635664</v>
      </c>
      <c r="N30" s="2">
        <f>IFERROR((DL/(RadSpec!L30*IFA_res_adj)),".")</f>
        <v>4.2356468224495217E-3</v>
      </c>
      <c r="O30" s="2">
        <f>IFERROR((DL/(RadSpec!O30*EF_res*(1/365)*ED_res*ET_res*(1/24)*GSF_o)),".")</f>
        <v>0.52667424692797415</v>
      </c>
      <c r="P30" s="2">
        <f t="shared" ref="P30" si="21">IF(AND(N30&lt;&gt;".",O30&lt;&gt;"."),1/((1/N30)+(1/O30)),IF(AND(N30&lt;&gt;".",O30="."),1/((1/N30)),IF(AND(N30=".",O30&lt;&gt;"."),1/((1/O30)),IF(AND(N30&lt;&gt;".",O30="."),"."))))</f>
        <v>4.2018544516240486E-3</v>
      </c>
      <c r="Q30" s="2">
        <f>IFERROR((DL/(RadSpec!M30*IFW_res_adj)),".")</f>
        <v>6.0954454249060523</v>
      </c>
      <c r="R30" s="2" t="str">
        <f>IFERROR(IF(RadSpec!C30=1,(DL/(RadSpec!L30*IFA_res_adj*K)),"."),".")</f>
        <v>.</v>
      </c>
      <c r="S30" s="2">
        <f>IFERROR((DL/(RadSpec!Q30*(1/8760)*DFA_res_adj)),".")</f>
        <v>8498.3289146986808</v>
      </c>
      <c r="T30" s="2">
        <f>b2w!C30</f>
        <v>2.4692121570920778</v>
      </c>
      <c r="U30" s="2">
        <f t="shared" si="1"/>
        <v>1.7569688135220212</v>
      </c>
      <c r="V30" s="2">
        <f>IFERROR(DL/(RadSpec!J30*EF_res*ED_res*IRF_res*0.001*CF_res_fish),".")</f>
        <v>0.23754176578096842</v>
      </c>
    </row>
    <row r="31" spans="1:23" x14ac:dyDescent="0.25">
      <c r="A31" s="109" t="s">
        <v>1</v>
      </c>
      <c r="B31" s="39" t="s">
        <v>1221</v>
      </c>
      <c r="C31" s="40">
        <f>1/SUM(1/C32,1/C33,1/C34,1/C35,1/C36,1/C37,1/C38,1/C41,1/C44)</f>
        <v>4.7411509578981148</v>
      </c>
      <c r="D31" s="40">
        <f>1/SUM(1/D32,1/D33,1/D34,1/D35,1/D36,1/D37,1/D38,1/D41,1/D44)</f>
        <v>276.95468717538586</v>
      </c>
      <c r="E31" s="40">
        <f>1/SUM(1/E32,1/E33,1/E34,1/E35,1/E36,1/E37,1/E38,1/E39,1/E40,1/E41,1/E42,1/E43,1/E44)</f>
        <v>1.1733827879338723</v>
      </c>
      <c r="F31" s="40">
        <f>1/SUM(1/F32,1/F33,1/F34,1/F35,1/F36,1/F37,1/F38,1/F41,1/F44)</f>
        <v>6.889157586661615E-2</v>
      </c>
      <c r="G31" s="40">
        <f>1/SUM(1/G32,1/G33,1/G34,1/G35,1/G36,1/G37,1/G38,1/G41,1/G44)</f>
        <v>4.4034892538679803E-4</v>
      </c>
      <c r="H31" s="41">
        <f>1/SUM(1/H32,1/H33,1/H34,1/H35,1/H36,1/H37,1/H38,1/H39,1/H40,1/H41,1/H42,1/H43,1/H44)</f>
        <v>6.4175256508456333E-2</v>
      </c>
      <c r="I31" s="40">
        <f t="shared" ref="I31:M31" si="22">1/SUM(1/I32,1/I33,1/I34,1/I35,1/I36,1/I37,1/I38,1/I39,1/I40,1/I41,1/I42,1/I43,1/I44)</f>
        <v>1.1733827879338723</v>
      </c>
      <c r="J31" s="40">
        <f t="shared" si="22"/>
        <v>4.8906753243310037</v>
      </c>
      <c r="K31" s="40">
        <f t="shared" si="22"/>
        <v>1.8122880394537788</v>
      </c>
      <c r="L31" s="40">
        <f t="shared" si="22"/>
        <v>1.2544009913702117</v>
      </c>
      <c r="M31" s="40">
        <f t="shared" si="22"/>
        <v>4.3877140400147399</v>
      </c>
      <c r="N31" s="40">
        <f>1/SUM(1/N32,1/N33,1/N34,1/N35,1/N36,1/N37,1/N38,1/N41,1/N44)</f>
        <v>2.0374135663030264E-4</v>
      </c>
      <c r="O31" s="40">
        <f t="shared" ref="O31" si="23">1/SUM(1/O32,1/O33,1/O34,1/O35,1/O36,1/O37,1/O38,1/O39,1/O40,1/O41,1/O42,1/O43,1/O44)</f>
        <v>2.2900107547766158E-4</v>
      </c>
      <c r="P31" s="41">
        <f>1/SUM(1/P32,1/P33,1/P34,1/P35,1/P36,1/P37,1/P38,1/P39,1/P40,1/P41,1/P42,1/P43,1/P44)</f>
        <v>1.0781699765456955E-4</v>
      </c>
      <c r="Q31" s="40">
        <f>1/SUM(1/Q32,1/Q33,1/Q34,1/Q35,1/Q36,1/Q37,1/Q38,1/Q41,1/Q44)</f>
        <v>0.27711536201362302</v>
      </c>
      <c r="R31" s="40" t="str">
        <f>IFERROR(1/SUM(1/R32,1/R33,1/R34,1/R35,1/R36,1/R37,1/R38,1/R39,1/R40,1/R41,1/R42,1/R43,1/R44,1/R45),".")</f>
        <v>.</v>
      </c>
      <c r="S31" s="40">
        <f>1/SUM(1/S32,1/S33,1/S34,1/S35,1/S36,1/S37,1/S38,1/S39,1/S40,1/S41,1/S42,1/S43,1/S44)</f>
        <v>3.7623659499014139</v>
      </c>
      <c r="T31" s="40">
        <f>1/SUM(1/T32,1/T33,1/T34,1/T35,1/T36,1/T37,1/T38,1/T41,1/T44)</f>
        <v>0.11376431192705491</v>
      </c>
      <c r="U31" s="41">
        <f>1/SUM(1/U32,1/U33,1/U34,1/U35,1/U36,1/U37,1/U38,1/U39,1/U40,1/U41,1/U42,1/U43,1/U44)</f>
        <v>7.8960884499740286E-2</v>
      </c>
      <c r="V31" s="41">
        <f>1/SUM(1/V32,1/V33,1/V34,1/V35,1/V36,1/V37,1/V38,1/V41,1/V44)</f>
        <v>1.079928829299015E-2</v>
      </c>
      <c r="W31" s="2"/>
    </row>
    <row r="32" spans="1:23" x14ac:dyDescent="0.25">
      <c r="A32" s="55" t="s">
        <v>1087</v>
      </c>
      <c r="B32" s="3">
        <v>1</v>
      </c>
      <c r="C32" s="42">
        <f>IFERROR(C3/$B32,0)</f>
        <v>26.378382598919597</v>
      </c>
      <c r="D32" s="42">
        <f>IFERROR(D3/$B32,0)</f>
        <v>604.52947942341518</v>
      </c>
      <c r="E32" s="42">
        <f>IFERROR(E3/$B32,0)</f>
        <v>80.940580244507657</v>
      </c>
      <c r="F32" s="42">
        <f>IFERROR(F3/$B32,0)</f>
        <v>2.4575733430661169</v>
      </c>
      <c r="G32" s="42">
        <f>IFERROR(G3/$B32,0)</f>
        <v>2.4499731255183694E-3</v>
      </c>
      <c r="H32" s="42">
        <f t="shared" ref="H32:H44" si="24">(IF(AND(C32&lt;&gt;0,D32&lt;&gt;0,E32&lt;&gt;0,F32&lt;&gt;0),1/((1/C32)+(1/D32)+(1/E32)+(1/F32)),IF(AND(C32&lt;&gt;0,D32&lt;&gt;0,E32&lt;&gt;0,F32=0), 1/((1/C32)+(1/D32)+(1/E32)),IF(AND(C32&lt;&gt;0,D32&lt;&gt;0,E32=0,F32&lt;&gt;0),1/((1/C32)+(1/D32)+(1/F32)),IF(AND(C32&lt;&gt;0,D32=0,E32&lt;&gt;0,F32&lt;&gt;0),1/((1/C32)+(1/E32)+(1/F32)),IF(AND(C32=0,D32&lt;&gt;0,E32&lt;&gt;0,F32&lt;&gt;0),1/((1/D32)+(1/E32)+(1/F32)),IF(AND(C32&lt;&gt;0,D32&lt;&gt;0,E32=0,F32=0),1/((1/C32)+(1/D32)),IF(AND(C32&lt;&gt;0,D32=0,E32&lt;&gt;0,F32=0),1/((1/C32)+(1/E32)),IF(AND(C32&lt;&gt;0,D32=0,E32=0,F32&lt;&gt;0),1/((1/C32)+(1/F32)),IF(AND(C32=0,D32=0,E32&lt;&gt;0,F32&lt;&gt;0),1/((1/E32)+(1/F32)),IF(AND(C32=0,D32&lt;&gt;0,E32=0,F32&lt;&gt;0),1/((1/D32)+(1/F32)),IF(AND(C32=0,D32&lt;&gt;0,E32&lt;&gt;0,F32=0),1/((1/D32)+(1/E32)),IF(AND(C32&lt;&gt;0,D32=0,E32=0,F32=0),1/((1/C32)),IF(AND(C32=0,D32&lt;&gt;0,E32=0,F32=0),1/((1/D32)),IF(AND(C32=0,D32=0,E32&lt;&gt;0,F32=0),1/((1/E32)),IF(AND(C32=0,D32=0,E32=0,F32&lt;&gt;0),1/((1/F32)),IF(AND(C32=0,D32=0,E32=0,F32=0),0)))))))))))))))))</f>
        <v>2.1794839632975753</v>
      </c>
      <c r="I32" s="42">
        <f t="shared" ref="I32:O32" si="25">IFERROR(I3/$B32,0)</f>
        <v>80.940580244507657</v>
      </c>
      <c r="J32" s="42">
        <f t="shared" si="25"/>
        <v>164.3589333536431</v>
      </c>
      <c r="K32" s="42">
        <f t="shared" si="25"/>
        <v>87.065813344092021</v>
      </c>
      <c r="L32" s="42">
        <f t="shared" si="25"/>
        <v>80.940580244507657</v>
      </c>
      <c r="M32" s="42">
        <f t="shared" si="25"/>
        <v>118.06611067034213</v>
      </c>
      <c r="N32" s="42">
        <f t="shared" si="25"/>
        <v>4.4472132794322187E-4</v>
      </c>
      <c r="O32" s="42">
        <f t="shared" si="25"/>
        <v>8.307659252137686E-3</v>
      </c>
      <c r="P32" s="42">
        <f>IFERROR(IF(AND(N32&lt;&gt;0,O32&lt;&gt;0),1/((1/N32)+(1/O32)),IF(AND(N32&lt;&gt;0,O32=0),1/((1/N32)),IF(AND(N32=0,O32&lt;&gt;0),1/((1/O32)),IF(AND(N32=0,O32=0),0)))),0)</f>
        <v>4.2212438329279237E-4</v>
      </c>
      <c r="Q32" s="42">
        <f>IFERROR(Q3/$B32,0)</f>
        <v>1.5417891368880012</v>
      </c>
      <c r="R32" s="42">
        <f>IFERROR(R3/$B32,0)</f>
        <v>0</v>
      </c>
      <c r="S32" s="42">
        <f>IFERROR(S3/$B32,0)</f>
        <v>129.68229188014223</v>
      </c>
      <c r="T32" s="42">
        <f>IFERROR(T3/$B32,0)</f>
        <v>0.66610541099455989</v>
      </c>
      <c r="U32" s="42">
        <f t="shared" ref="U32:U44" si="26">(IF(AND(Q32&lt;&gt;0,R32&lt;&gt;0,S32&lt;&gt;0,T32&lt;&gt;0),1/((1/Q32)+(1/R32)+(1/S32)+(1/T32)),IF(AND(Q32&lt;&gt;0,R32&lt;&gt;0,S32&lt;&gt;0,T32=0), 1/((1/Q32)+(1/R32)+(1/S32)),IF(AND(Q32&lt;&gt;0,R32&lt;&gt;0,S32=0,T32&lt;&gt;0),1/((1/Q32)+(1/R32)+(1/T32)),IF(AND(Q32&lt;&gt;0,R32=0,S32&lt;&gt;0,T32&lt;&gt;0),1/((1/Q32)+(1/S32)+(1/T32)),IF(AND(Q32=0,R32&lt;&gt;0,S32&lt;&gt;0,T32&lt;&gt;0),1/((1/R32)+(1/S32)+(1/T32)),IF(AND(Q32&lt;&gt;0,R32&lt;&gt;0,S32=0,T32=0),1/((1/Q32)+(1/R32)),IF(AND(Q32&lt;&gt;0,R32=0,S32&lt;&gt;0,T32=0),1/((1/Q32)+(1/S32)),IF(AND(Q32&lt;&gt;0,R32=0,S32=0,T32&lt;&gt;0),1/((1/Q32)+(1/T32)),IF(AND(Q32=0,R32=0,S32&lt;&gt;0,T32&lt;&gt;0),1/((1/S32)+(1/T32)),IF(AND(Q32=0,R32&lt;&gt;0,S32=0,T32&lt;&gt;0),1/((1/R32)+(1/T32)),IF(AND(Q32=0,R32&lt;&gt;0,S32&lt;&gt;0,T32=0),1/((1/R32)+(1/S32)),IF(AND(Q32&lt;&gt;0,R32=0,S32=0,T32=0),1/((1/Q32)),IF(AND(Q32=0,R32&lt;&gt;0,S32=0,T32=0),1/((1/R32)),IF(AND(Q32=0,R32=0,S32&lt;&gt;0,T32=0),1/((1/S32)),IF(AND(Q32=0,R32=0,S32=0,T32&lt;&gt;0),1/((1/T32)),IF(AND(Q32=0,R32=0,S32=0,T32=0),0)))))))))))))))))</f>
        <v>0.4634839175225281</v>
      </c>
      <c r="V32" s="42">
        <f>IFERROR(V3/$B32,0)</f>
        <v>6.0084093697539052E-2</v>
      </c>
    </row>
    <row r="33" spans="1:22" x14ac:dyDescent="0.25">
      <c r="A33" s="55" t="s">
        <v>1063</v>
      </c>
      <c r="B33" s="3">
        <v>1</v>
      </c>
      <c r="C33" s="42">
        <f t="shared" ref="C33:G34" si="27">IFERROR(C13/$B33,0)</f>
        <v>50.224440468342905</v>
      </c>
      <c r="D33" s="42">
        <f t="shared" si="27"/>
        <v>4706.6938040823034</v>
      </c>
      <c r="E33" s="42">
        <f t="shared" si="27"/>
        <v>44.866784035256323</v>
      </c>
      <c r="F33" s="42">
        <f t="shared" si="27"/>
        <v>0.4537340610744483</v>
      </c>
      <c r="G33" s="42">
        <f t="shared" si="27"/>
        <v>4.6647488309869744E-3</v>
      </c>
      <c r="H33" s="42">
        <f t="shared" si="24"/>
        <v>0.44516750356339901</v>
      </c>
      <c r="I33" s="42">
        <f t="shared" ref="I33:O34" si="28">IFERROR(I13/$B33,0)</f>
        <v>44.866784035256323</v>
      </c>
      <c r="J33" s="42">
        <f t="shared" si="28"/>
        <v>134.22646223880855</v>
      </c>
      <c r="K33" s="42">
        <f t="shared" si="28"/>
        <v>56.31879534495463</v>
      </c>
      <c r="L33" s="42">
        <f t="shared" si="28"/>
        <v>44.992110247645314</v>
      </c>
      <c r="M33" s="42">
        <f t="shared" si="28"/>
        <v>105.4852955989122</v>
      </c>
      <c r="N33" s="42">
        <f t="shared" si="28"/>
        <v>3.4624731961293703E-3</v>
      </c>
      <c r="O33" s="42">
        <f t="shared" si="28"/>
        <v>6.4915662993447962E-3</v>
      </c>
      <c r="P33" s="42">
        <f t="shared" ref="P33:P44" si="29">IFERROR(IF(AND(N33&lt;&gt;0,O33&lt;&gt;0),1/((1/N33)+(1/O33)),IF(AND(N33&lt;&gt;0,O33=0),1/((1/N33)),IF(AND(N33=0,O33&lt;&gt;0),1/((1/O33)),IF(AND(N33=0,O33=0),0)))),0)</f>
        <v>2.2580656147283438E-3</v>
      </c>
      <c r="Q33" s="42">
        <f t="shared" ref="Q33:T34" si="30">IFERROR(Q13/$B33,0)</f>
        <v>2.9355665166347547</v>
      </c>
      <c r="R33" s="42">
        <f t="shared" si="30"/>
        <v>0</v>
      </c>
      <c r="S33" s="42">
        <f t="shared" si="30"/>
        <v>103.47706191472487</v>
      </c>
      <c r="T33" s="42">
        <f t="shared" si="30"/>
        <v>1.1633709336508695</v>
      </c>
      <c r="U33" s="42">
        <f t="shared" si="26"/>
        <v>0.82652497229859379</v>
      </c>
      <c r="V33" s="42">
        <f>IFERROR(V13/$B33,0)</f>
        <v>0.11440011440011437</v>
      </c>
    </row>
    <row r="34" spans="1:22" x14ac:dyDescent="0.25">
      <c r="A34" s="55" t="s">
        <v>1064</v>
      </c>
      <c r="B34" s="3">
        <v>1</v>
      </c>
      <c r="C34" s="42">
        <f t="shared" si="27"/>
        <v>4756.1023170779263</v>
      </c>
      <c r="D34" s="42">
        <f t="shared" si="27"/>
        <v>13005338.142858999</v>
      </c>
      <c r="E34" s="42">
        <f t="shared" si="27"/>
        <v>2.9554450401205554</v>
      </c>
      <c r="F34" s="42">
        <f t="shared" si="27"/>
        <v>40.962768908969636</v>
      </c>
      <c r="G34" s="42">
        <f t="shared" si="27"/>
        <v>0.4417375786919483</v>
      </c>
      <c r="H34" s="42">
        <f t="shared" si="24"/>
        <v>2.7549631472521172</v>
      </c>
      <c r="I34" s="42">
        <f t="shared" si="28"/>
        <v>2.9554450401205554</v>
      </c>
      <c r="J34" s="42">
        <f t="shared" si="28"/>
        <v>12.6828153296512</v>
      </c>
      <c r="K34" s="42">
        <f t="shared" si="28"/>
        <v>4.5629392262484485</v>
      </c>
      <c r="L34" s="42">
        <f t="shared" si="28"/>
        <v>3.1215456334606637</v>
      </c>
      <c r="M34" s="42">
        <f t="shared" si="28"/>
        <v>12.741788181254742</v>
      </c>
      <c r="N34" s="42">
        <f t="shared" si="28"/>
        <v>9.5673601471995759</v>
      </c>
      <c r="O34" s="42">
        <f t="shared" si="28"/>
        <v>6.0223808170836301E-4</v>
      </c>
      <c r="P34" s="42">
        <f t="shared" si="29"/>
        <v>6.0220017492189641E-4</v>
      </c>
      <c r="Q34" s="42">
        <f t="shared" si="30"/>
        <v>277.98925346920026</v>
      </c>
      <c r="R34" s="42">
        <f t="shared" si="30"/>
        <v>0</v>
      </c>
      <c r="S34" s="42">
        <f t="shared" si="30"/>
        <v>9.8379669702176855</v>
      </c>
      <c r="T34" s="42">
        <f t="shared" si="30"/>
        <v>109.67580893599528</v>
      </c>
      <c r="U34" s="42">
        <f t="shared" si="26"/>
        <v>8.7441587050035761</v>
      </c>
      <c r="V34" s="42">
        <f>IFERROR(V14/$B34,0)</f>
        <v>10.833344166677499</v>
      </c>
    </row>
    <row r="35" spans="1:22" x14ac:dyDescent="0.25">
      <c r="A35" s="55" t="s">
        <v>1065</v>
      </c>
      <c r="B35" s="3">
        <v>1</v>
      </c>
      <c r="C35" s="42">
        <f>IFERROR(C30/$B35,0)</f>
        <v>104.28662887944955</v>
      </c>
      <c r="D35" s="42">
        <f>IFERROR(D30/$B35,0)</f>
        <v>5757.703100139518</v>
      </c>
      <c r="E35" s="42">
        <f>IFERROR(E30/$B35,0)</f>
        <v>3273.8161521660622</v>
      </c>
      <c r="F35" s="42">
        <f>IFERROR(F30/$B35,0)</f>
        <v>1.2343453178990651</v>
      </c>
      <c r="G35" s="42">
        <f>IFERROR(G30/$B35,0)</f>
        <v>9.685940263677275E-3</v>
      </c>
      <c r="H35" s="42">
        <f t="shared" si="24"/>
        <v>1.2191937854820947</v>
      </c>
      <c r="I35" s="42">
        <f t="shared" ref="I35:O35" si="31">IFERROR(I30/$B35,0)</f>
        <v>3273.8161521660622</v>
      </c>
      <c r="J35" s="42">
        <f t="shared" si="31"/>
        <v>11108.396874935879</v>
      </c>
      <c r="K35" s="42">
        <f t="shared" si="31"/>
        <v>4588.9388799592662</v>
      </c>
      <c r="L35" s="42">
        <f t="shared" si="31"/>
        <v>3383.8603925750044</v>
      </c>
      <c r="M35" s="42">
        <f t="shared" si="31"/>
        <v>5407.2294382635664</v>
      </c>
      <c r="N35" s="42">
        <f t="shared" si="31"/>
        <v>4.2356468224495217E-3</v>
      </c>
      <c r="O35" s="42">
        <f t="shared" si="31"/>
        <v>0.52667424692797415</v>
      </c>
      <c r="P35" s="42">
        <f t="shared" si="29"/>
        <v>4.2018544516240486E-3</v>
      </c>
      <c r="Q35" s="42">
        <f>IFERROR(Q30/$B35,0)</f>
        <v>6.0954454249060523</v>
      </c>
      <c r="R35" s="42">
        <f>IFERROR(R30/$B35,0)</f>
        <v>0</v>
      </c>
      <c r="S35" s="42">
        <f>IFERROR(S30/$B35,0)</f>
        <v>8498.3289146986808</v>
      </c>
      <c r="T35" s="42">
        <f>IFERROR(T30/$B35,0)</f>
        <v>2.4692121570920778</v>
      </c>
      <c r="U35" s="42">
        <f t="shared" si="26"/>
        <v>1.7569688135220212</v>
      </c>
      <c r="V35" s="42">
        <f>IFERROR(V30/$B35,0)</f>
        <v>0.23754176578096842</v>
      </c>
    </row>
    <row r="36" spans="1:22" x14ac:dyDescent="0.25">
      <c r="A36" s="55" t="s">
        <v>1066</v>
      </c>
      <c r="B36" s="3">
        <v>1</v>
      </c>
      <c r="C36" s="42">
        <f>IFERROR(C26/$B36,0)</f>
        <v>10.308793199577771</v>
      </c>
      <c r="D36" s="42">
        <f>IFERROR(D26/$B36,0)</f>
        <v>785.48797260181493</v>
      </c>
      <c r="E36" s="42">
        <f>IFERROR(E26/$B36,0)</f>
        <v>10.459204849777288</v>
      </c>
      <c r="F36" s="42">
        <f>IFERROR(F26/$B36,0)</f>
        <v>0.68027566816216034</v>
      </c>
      <c r="G36" s="42">
        <f>IFERROR(G26/$B36,0)</f>
        <v>9.5746076169683379E-4</v>
      </c>
      <c r="H36" s="42">
        <f t="shared" si="24"/>
        <v>0.60100504985561343</v>
      </c>
      <c r="I36" s="42">
        <f t="shared" ref="I36:O36" si="32">IFERROR(I26/$B36,0)</f>
        <v>10.459204849777288</v>
      </c>
      <c r="J36" s="42">
        <f t="shared" si="32"/>
        <v>35.091885552629684</v>
      </c>
      <c r="K36" s="42">
        <f t="shared" si="32"/>
        <v>13.766816639877797</v>
      </c>
      <c r="L36" s="42">
        <f t="shared" si="32"/>
        <v>10.596825966221726</v>
      </c>
      <c r="M36" s="42">
        <f t="shared" si="32"/>
        <v>33.210854356302683</v>
      </c>
      <c r="N36" s="42">
        <f t="shared" si="32"/>
        <v>5.7784320889046447E-4</v>
      </c>
      <c r="O36" s="42">
        <f t="shared" si="32"/>
        <v>1.6815503064567844E-3</v>
      </c>
      <c r="P36" s="42">
        <f t="shared" si="29"/>
        <v>4.300589598020488E-4</v>
      </c>
      <c r="Q36" s="42">
        <f>IFERROR(Q26/$B36,0)</f>
        <v>0.60253828338151783</v>
      </c>
      <c r="R36" s="42">
        <f>IFERROR(R26/$B36,0)</f>
        <v>0</v>
      </c>
      <c r="S36" s="42">
        <f>IFERROR(S26/$B36,0)</f>
        <v>26.987936418299864</v>
      </c>
      <c r="T36" s="42">
        <f>IFERROR(T26/$B36,0)</f>
        <v>0.25929926783710605</v>
      </c>
      <c r="U36" s="42">
        <f t="shared" si="26"/>
        <v>0.18007483173520852</v>
      </c>
      <c r="V36" s="42">
        <f>IFERROR(V26/$B36,0)</f>
        <v>2.3481140065704922E-2</v>
      </c>
    </row>
    <row r="37" spans="1:22" x14ac:dyDescent="0.25">
      <c r="A37" s="55" t="s">
        <v>1067</v>
      </c>
      <c r="B37" s="3">
        <v>1</v>
      </c>
      <c r="C37" s="42">
        <f>IFERROR(C22/$B37,0)</f>
        <v>26.378382598919597</v>
      </c>
      <c r="D37" s="42">
        <f>IFERROR(D22/$B37,0)</f>
        <v>7051.6458895882315</v>
      </c>
      <c r="E37" s="42">
        <f>IFERROR(E22/$B37,0)</f>
        <v>337.67663456304024</v>
      </c>
      <c r="F37" s="42">
        <f>IFERROR(F22/$B37,0)</f>
        <v>0.10647839982126531</v>
      </c>
      <c r="G37" s="42">
        <f>IFERROR(G22/$B37,0)</f>
        <v>2.4499731255183694E-3</v>
      </c>
      <c r="H37" s="42">
        <f t="shared" si="24"/>
        <v>0.10601542997685505</v>
      </c>
      <c r="I37" s="42">
        <f t="shared" ref="I37:O37" si="33">IFERROR(I22/$B37,0)</f>
        <v>337.67663456304024</v>
      </c>
      <c r="J37" s="42">
        <f t="shared" si="33"/>
        <v>465.52530256234172</v>
      </c>
      <c r="K37" s="42">
        <f t="shared" si="33"/>
        <v>339.09843091909522</v>
      </c>
      <c r="L37" s="42">
        <f t="shared" si="33"/>
        <v>337.67663456304024</v>
      </c>
      <c r="M37" s="42">
        <f t="shared" si="33"/>
        <v>233.98556478304161</v>
      </c>
      <c r="N37" s="42">
        <f t="shared" si="33"/>
        <v>5.1875341582913277E-3</v>
      </c>
      <c r="O37" s="42">
        <f t="shared" si="33"/>
        <v>2.2602214645492003E-2</v>
      </c>
      <c r="P37" s="42">
        <f t="shared" si="29"/>
        <v>4.2191730970436029E-3</v>
      </c>
      <c r="Q37" s="42">
        <f>IFERROR(Q22/$B37,0)</f>
        <v>1.5417891368880012</v>
      </c>
      <c r="R37" s="42">
        <f>IFERROR(R22/$B37,0)</f>
        <v>0</v>
      </c>
      <c r="S37" s="42">
        <f>IFERROR(S22/$B37,0)</f>
        <v>367.79139870242915</v>
      </c>
      <c r="T37" s="42">
        <f>IFERROR(T22/$B37,0)</f>
        <v>0.54874618565277988</v>
      </c>
      <c r="U37" s="42">
        <f t="shared" si="26"/>
        <v>0.40426055274677286</v>
      </c>
      <c r="V37" s="42">
        <f>IFERROR(V22/$B37,0)</f>
        <v>6.0084093697539052E-2</v>
      </c>
    </row>
    <row r="38" spans="1:22" x14ac:dyDescent="0.25">
      <c r="A38" s="55" t="s">
        <v>1068</v>
      </c>
      <c r="B38" s="3">
        <v>1</v>
      </c>
      <c r="C38" s="42">
        <f>IFERROR(C2/$B38,0)</f>
        <v>120.03929366238744</v>
      </c>
      <c r="D38" s="42">
        <f>IFERROR(D2/$B38,0)</f>
        <v>6460.1679663874756</v>
      </c>
      <c r="E38" s="42">
        <f>IFERROR(E2/$B38,0)</f>
        <v>56.91581437687995</v>
      </c>
      <c r="F38" s="42">
        <f>IFERROR(F2/$B38,0)</f>
        <v>6.2498700308535149</v>
      </c>
      <c r="G38" s="42">
        <f>IFERROR(G2/$B38,0)</f>
        <v>1.1149017282473648E-2</v>
      </c>
      <c r="H38" s="42">
        <f t="shared" si="24"/>
        <v>5.374652609664059</v>
      </c>
      <c r="I38" s="42">
        <f t="shared" ref="I38:O38" si="34">IFERROR(I2/$B38,0)</f>
        <v>56.91581437687995</v>
      </c>
      <c r="J38" s="42">
        <f t="shared" si="34"/>
        <v>206.23784210828455</v>
      </c>
      <c r="K38" s="42">
        <f t="shared" si="34"/>
        <v>78.956742493416783</v>
      </c>
      <c r="L38" s="42">
        <f t="shared" si="34"/>
        <v>58.571547158752821</v>
      </c>
      <c r="M38" s="42">
        <f t="shared" si="34"/>
        <v>194.98797065253467</v>
      </c>
      <c r="N38" s="42">
        <f t="shared" si="34"/>
        <v>4.7524141907658024E-3</v>
      </c>
      <c r="O38" s="42">
        <f t="shared" si="34"/>
        <v>9.8635106315132955E-3</v>
      </c>
      <c r="P38" s="42">
        <f t="shared" si="29"/>
        <v>3.2071516832462561E-3</v>
      </c>
      <c r="Q38" s="42">
        <f>IFERROR(Q2/$B38,0)</f>
        <v>7.0161723628937738</v>
      </c>
      <c r="R38" s="42">
        <f>IFERROR(R2/$B38,0)</f>
        <v>0</v>
      </c>
      <c r="S38" s="42">
        <f>IFERROR(S2/$B38,0)</f>
        <v>158.50057896461823</v>
      </c>
      <c r="T38" s="42">
        <f>IFERROR(T2/$B38,0)</f>
        <v>3.0084110580217227</v>
      </c>
      <c r="U38" s="42">
        <f t="shared" si="26"/>
        <v>2.0779723169550435</v>
      </c>
      <c r="V38" s="42">
        <f>IFERROR(V2/$B38,0)</f>
        <v>0.27342283556432695</v>
      </c>
    </row>
    <row r="39" spans="1:22" x14ac:dyDescent="0.25">
      <c r="A39" s="55" t="s">
        <v>1069</v>
      </c>
      <c r="B39" s="3">
        <v>1</v>
      </c>
      <c r="C39" s="42">
        <f>IFERROR(C11/$B39,0)</f>
        <v>0</v>
      </c>
      <c r="D39" s="42">
        <f>IFERROR(D11/$B39,0)</f>
        <v>0</v>
      </c>
      <c r="E39" s="42">
        <f>IFERROR(E11/$B39,0)</f>
        <v>22.590708932197789</v>
      </c>
      <c r="F39" s="42">
        <f>IFERROR(F11/$B39,0)</f>
        <v>0</v>
      </c>
      <c r="G39" s="42">
        <f>IFERROR(G11/$B39,0)</f>
        <v>0</v>
      </c>
      <c r="H39" s="42">
        <f t="shared" si="24"/>
        <v>22.590708932197789</v>
      </c>
      <c r="I39" s="42">
        <f t="shared" ref="I39:O39" si="35">IFERROR(I11/$B39,0)</f>
        <v>22.590708932197789</v>
      </c>
      <c r="J39" s="42">
        <f t="shared" si="35"/>
        <v>94.194008588637573</v>
      </c>
      <c r="K39" s="42">
        <f t="shared" si="35"/>
        <v>33.697019808905907</v>
      </c>
      <c r="L39" s="42">
        <f t="shared" si="35"/>
        <v>23.479847621949013</v>
      </c>
      <c r="M39" s="42">
        <f t="shared" si="35"/>
        <v>95.681829465184308</v>
      </c>
      <c r="N39" s="42">
        <f t="shared" si="35"/>
        <v>0</v>
      </c>
      <c r="O39" s="42">
        <f t="shared" si="35"/>
        <v>4.4661976139492203E-3</v>
      </c>
      <c r="P39" s="42">
        <f t="shared" si="29"/>
        <v>4.4661976139492203E-3</v>
      </c>
      <c r="Q39" s="42">
        <f>IFERROR(Q11/$B39,0)</f>
        <v>0</v>
      </c>
      <c r="R39" s="42">
        <f>IFERROR(R11/$B39,0)</f>
        <v>0</v>
      </c>
      <c r="S39" s="42">
        <f>IFERROR(S11/$B39,0)</f>
        <v>72.622083452879622</v>
      </c>
      <c r="T39" s="42">
        <f>IFERROR(T11/$B39,0)</f>
        <v>0</v>
      </c>
      <c r="U39" s="42">
        <f t="shared" si="26"/>
        <v>72.622083452879622</v>
      </c>
      <c r="V39" s="42">
        <f>IFERROR(V11/$B39,0)</f>
        <v>0</v>
      </c>
    </row>
    <row r="40" spans="1:22" x14ac:dyDescent="0.25">
      <c r="A40" s="55" t="s">
        <v>1070</v>
      </c>
      <c r="B40" s="3">
        <v>1</v>
      </c>
      <c r="C40" s="42">
        <f>IFERROR(C4/$B40,0)</f>
        <v>0</v>
      </c>
      <c r="D40" s="42">
        <f>IFERROR(D4/$B40,0)</f>
        <v>0</v>
      </c>
      <c r="E40" s="42">
        <f>IFERROR(E4/$B40,0)</f>
        <v>2536.5630659302401</v>
      </c>
      <c r="F40" s="42">
        <f>IFERROR(F4/$B40,0)</f>
        <v>0</v>
      </c>
      <c r="G40" s="42">
        <f>IFERROR(G4/$B40,0)</f>
        <v>0</v>
      </c>
      <c r="H40" s="42">
        <f t="shared" si="24"/>
        <v>2536.5630659302401</v>
      </c>
      <c r="I40" s="42">
        <f t="shared" ref="I40:O40" si="36">IFERROR(I4/$B40,0)</f>
        <v>2536.5630659302401</v>
      </c>
      <c r="J40" s="42">
        <f t="shared" si="36"/>
        <v>11185.538519900712</v>
      </c>
      <c r="K40" s="42">
        <f t="shared" si="36"/>
        <v>4006.7600668301056</v>
      </c>
      <c r="L40" s="42">
        <f t="shared" si="36"/>
        <v>2711.645701794112</v>
      </c>
      <c r="M40" s="42">
        <f t="shared" si="36"/>
        <v>11338.507544552678</v>
      </c>
      <c r="N40" s="42">
        <f t="shared" si="36"/>
        <v>0</v>
      </c>
      <c r="O40" s="42">
        <f t="shared" si="36"/>
        <v>0.52667424692797415</v>
      </c>
      <c r="P40" s="42">
        <f t="shared" si="29"/>
        <v>0.52667424692797415</v>
      </c>
      <c r="Q40" s="42">
        <f>IFERROR(Q4/$B40,0)</f>
        <v>0</v>
      </c>
      <c r="R40" s="42">
        <f>IFERROR(R4/$B40,0)</f>
        <v>0</v>
      </c>
      <c r="S40" s="42">
        <f>IFERROR(S4/$B40,0)</f>
        <v>8645.4861253428135</v>
      </c>
      <c r="T40" s="42">
        <f>IFERROR(T4/$B40,0)</f>
        <v>0</v>
      </c>
      <c r="U40" s="42">
        <f t="shared" si="26"/>
        <v>8645.4861253428135</v>
      </c>
      <c r="V40" s="42">
        <f>IFERROR(V4/$B40,0)</f>
        <v>0</v>
      </c>
    </row>
    <row r="41" spans="1:22" x14ac:dyDescent="0.25">
      <c r="A41" s="55" t="s">
        <v>1071</v>
      </c>
      <c r="B41" s="56">
        <v>0.99987999999999999</v>
      </c>
      <c r="C41" s="42">
        <f>IFERROR(C8/$B41,0)</f>
        <v>23428.389983450488</v>
      </c>
      <c r="D41" s="42">
        <f>IFERROR(D8/$B41,0)</f>
        <v>1670745.3325789811</v>
      </c>
      <c r="E41" s="42">
        <f>IFERROR(E8/$B41,0)</f>
        <v>4.3774751526316376</v>
      </c>
      <c r="F41" s="42">
        <f>IFERROR(F8/$B41,0)</f>
        <v>21.590590911306258</v>
      </c>
      <c r="G41" s="42">
        <f>IFERROR(G8/$B41,0)</f>
        <v>2.1759835205350462</v>
      </c>
      <c r="H41" s="42">
        <f t="shared" si="24"/>
        <v>3.6389844804539253</v>
      </c>
      <c r="I41" s="42">
        <f t="shared" ref="I41:O41" si="37">IFERROR(I8/$B41,0)</f>
        <v>4.3774751526316376</v>
      </c>
      <c r="J41" s="42">
        <f t="shared" si="37"/>
        <v>20.263029637338899</v>
      </c>
      <c r="K41" s="42">
        <f t="shared" si="37"/>
        <v>7.2563552079659583</v>
      </c>
      <c r="L41" s="42">
        <f t="shared" si="37"/>
        <v>4.7801509085116995</v>
      </c>
      <c r="M41" s="42">
        <f t="shared" si="37"/>
        <v>15.696037259919105</v>
      </c>
      <c r="N41" s="42">
        <f t="shared" si="37"/>
        <v>1.2290816382819481</v>
      </c>
      <c r="O41" s="42">
        <f t="shared" si="37"/>
        <v>9.3996919654542482E-4</v>
      </c>
      <c r="P41" s="42">
        <f t="shared" si="29"/>
        <v>9.3925088226128354E-4</v>
      </c>
      <c r="Q41" s="42">
        <f>IFERROR(Q8/$B41,0)</f>
        <v>1369.3651244841335</v>
      </c>
      <c r="R41" s="42">
        <f>IFERROR(R8/$B41,0)</f>
        <v>0</v>
      </c>
      <c r="S41" s="42">
        <f>IFERROR(S8/$B41,0)</f>
        <v>15.851960131677625</v>
      </c>
      <c r="T41" s="42">
        <f>IFERROR(T8/$B41,0)</f>
        <v>300.3492812073921</v>
      </c>
      <c r="U41" s="42">
        <f t="shared" si="26"/>
        <v>14.893495805604376</v>
      </c>
      <c r="V41" s="42">
        <f>IFERROR(V8/$B41,0)</f>
        <v>53.364666073414995</v>
      </c>
    </row>
    <row r="42" spans="1:22" x14ac:dyDescent="0.25">
      <c r="A42" s="55" t="s">
        <v>1072</v>
      </c>
      <c r="B42" s="3">
        <v>0.97898250799999997</v>
      </c>
      <c r="C42" s="42">
        <f>IFERROR(C19/$B42,0)</f>
        <v>0</v>
      </c>
      <c r="D42" s="42">
        <f>IFERROR(D19/$B42,0)</f>
        <v>0</v>
      </c>
      <c r="E42" s="42">
        <f>IFERROR(E19/$B42,0)</f>
        <v>14183.599788761341</v>
      </c>
      <c r="F42" s="42">
        <f>IFERROR(F19/$B42,0)</f>
        <v>0</v>
      </c>
      <c r="G42" s="42">
        <f>IFERROR(G19/$B42,0)</f>
        <v>0</v>
      </c>
      <c r="H42" s="42">
        <f t="shared" si="24"/>
        <v>14183.599788761341</v>
      </c>
      <c r="I42" s="42">
        <f t="shared" ref="I42:O42" si="38">IFERROR(I19/$B42,0)</f>
        <v>14183.599788761341</v>
      </c>
      <c r="J42" s="42">
        <f t="shared" si="38"/>
        <v>72800.777676828133</v>
      </c>
      <c r="K42" s="42">
        <f t="shared" si="38"/>
        <v>25429.637952029603</v>
      </c>
      <c r="L42" s="42">
        <f t="shared" si="38"/>
        <v>16130.368387218779</v>
      </c>
      <c r="M42" s="42">
        <f t="shared" si="38"/>
        <v>73644.209085481314</v>
      </c>
      <c r="N42" s="42">
        <f t="shared" si="38"/>
        <v>0</v>
      </c>
      <c r="O42" s="42">
        <f t="shared" si="38"/>
        <v>3.3348546179358083</v>
      </c>
      <c r="P42" s="42">
        <f t="shared" si="29"/>
        <v>3.3348546179358087</v>
      </c>
      <c r="Q42" s="42">
        <f>IFERROR(Q19/$B42,0)</f>
        <v>0</v>
      </c>
      <c r="R42" s="42">
        <f>IFERROR(R19/$B42,0)</f>
        <v>0</v>
      </c>
      <c r="S42" s="42">
        <f>IFERROR(S19/$B42,0)</f>
        <v>54986.054264350831</v>
      </c>
      <c r="T42" s="42">
        <f>IFERROR(T19/$B42,0)</f>
        <v>0</v>
      </c>
      <c r="U42" s="42">
        <f t="shared" si="26"/>
        <v>54986.054264350831</v>
      </c>
      <c r="V42" s="42">
        <f>IFERROR(V19/$B42,0)</f>
        <v>0</v>
      </c>
    </row>
    <row r="43" spans="1:22" x14ac:dyDescent="0.25">
      <c r="A43" s="55" t="s">
        <v>1073</v>
      </c>
      <c r="B43" s="3">
        <v>2.0897492E-2</v>
      </c>
      <c r="C43" s="42">
        <f>IFERROR(C28/$B43,0)</f>
        <v>0</v>
      </c>
      <c r="D43" s="42">
        <f>IFERROR(D28/$B43,0)</f>
        <v>0</v>
      </c>
      <c r="E43" s="42">
        <f>IFERROR(E28/$B43,0)</f>
        <v>11.186803259480437</v>
      </c>
      <c r="F43" s="42">
        <f>IFERROR(F28/$B43,0)</f>
        <v>0</v>
      </c>
      <c r="G43" s="42">
        <f>IFERROR(G28/$B43,0)</f>
        <v>0</v>
      </c>
      <c r="H43" s="42">
        <f t="shared" si="24"/>
        <v>11.186803259480437</v>
      </c>
      <c r="I43" s="42">
        <f t="shared" ref="I43:O43" si="39">IFERROR(I28/$B43,0)</f>
        <v>11.186803259480437</v>
      </c>
      <c r="J43" s="42">
        <f t="shared" si="39"/>
        <v>61.172281315730331</v>
      </c>
      <c r="K43" s="42">
        <f t="shared" si="39"/>
        <v>21.292009518734869</v>
      </c>
      <c r="L43" s="42">
        <f t="shared" si="39"/>
        <v>13.312102669744425</v>
      </c>
      <c r="M43" s="42">
        <f t="shared" si="39"/>
        <v>60.972810427465369</v>
      </c>
      <c r="N43" s="42">
        <f t="shared" si="39"/>
        <v>0</v>
      </c>
      <c r="O43" s="42">
        <f t="shared" si="39"/>
        <v>2.6191092163804406E-3</v>
      </c>
      <c r="P43" s="42">
        <f t="shared" si="29"/>
        <v>2.6191092163804406E-3</v>
      </c>
      <c r="Q43" s="42">
        <f>IFERROR(Q28/$B43,0)</f>
        <v>0</v>
      </c>
      <c r="R43" s="42">
        <f>IFERROR(R28/$B43,0)</f>
        <v>0</v>
      </c>
      <c r="S43" s="42">
        <f>IFERROR(S28/$B43,0)</f>
        <v>43.439473175106158</v>
      </c>
      <c r="T43" s="42">
        <f>IFERROR(T28/$B43,0)</f>
        <v>0</v>
      </c>
      <c r="U43" s="42">
        <f t="shared" si="26"/>
        <v>43.439473175106158</v>
      </c>
      <c r="V43" s="42">
        <f>IFERROR(V28/$B43,0)</f>
        <v>0</v>
      </c>
    </row>
    <row r="44" spans="1:22" x14ac:dyDescent="0.25">
      <c r="A44" s="55" t="s">
        <v>1074</v>
      </c>
      <c r="B44" s="3">
        <v>0.99987999999999999</v>
      </c>
      <c r="C44" s="42">
        <f>IFERROR(C15/$B44,0)</f>
        <v>84053.661520277514</v>
      </c>
      <c r="D44" s="42">
        <f>IFERROR(D15/$B44,0)</f>
        <v>849734374.01939559</v>
      </c>
      <c r="E44" s="42">
        <f>IFERROR(E15/$B44,0)</f>
        <v>4441.4415664969456</v>
      </c>
      <c r="F44" s="42">
        <f>IFERROR(F15/$B44,0)</f>
        <v>439.26960867786954</v>
      </c>
      <c r="G44" s="42">
        <f>IFERROR(G15/$B44,0)</f>
        <v>7.8067414123613421</v>
      </c>
      <c r="H44" s="42">
        <f t="shared" si="24"/>
        <v>397.84262830331875</v>
      </c>
      <c r="I44" s="42">
        <f t="shared" ref="I44:O44" si="40">IFERROR(I15/$B44,0)</f>
        <v>4441.4415664969456</v>
      </c>
      <c r="J44" s="42">
        <f t="shared" si="40"/>
        <v>11328.487033533353</v>
      </c>
      <c r="K44" s="42">
        <f t="shared" si="40"/>
        <v>5610.9747689600918</v>
      </c>
      <c r="L44" s="42">
        <f t="shared" si="40"/>
        <v>4508.5666279553388</v>
      </c>
      <c r="M44" s="42">
        <f t="shared" si="40"/>
        <v>896.60400927437593</v>
      </c>
      <c r="N44" s="42">
        <f t="shared" si="40"/>
        <v>625.10599081675002</v>
      </c>
      <c r="O44" s="42">
        <f t="shared" si="40"/>
        <v>5.5834170274798228E-2</v>
      </c>
      <c r="P44" s="42">
        <f t="shared" si="29"/>
        <v>5.5829183638625532E-2</v>
      </c>
      <c r="Q44" s="42">
        <f>IFERROR(Q15/$B44,0)</f>
        <v>4912.8494425936778</v>
      </c>
      <c r="R44" s="42">
        <f>IFERROR(R15/$B44,0)</f>
        <v>0</v>
      </c>
      <c r="S44" s="42">
        <f>IFERROR(S15/$B44,0)</f>
        <v>1783.345514813733</v>
      </c>
      <c r="T44" s="42">
        <f>IFERROR(T15/$B44,0)</f>
        <v>1825.0838068921259</v>
      </c>
      <c r="U44" s="42">
        <f t="shared" si="26"/>
        <v>762.07213367031818</v>
      </c>
      <c r="V44" s="42">
        <f>IFERROR(V15/$B44,0)</f>
        <v>191.45556235174323</v>
      </c>
    </row>
    <row r="45" spans="1:22" x14ac:dyDescent="0.25">
      <c r="A45" s="109" t="s">
        <v>8</v>
      </c>
      <c r="B45" s="39" t="s">
        <v>1221</v>
      </c>
      <c r="C45" s="40">
        <f>IFERROR(IF(AND(C46&lt;&gt;0,C47&lt;&gt;0),1/SUM(1/C46,1/C47),IF(AND(C46&lt;&gt;0,C47=0),1/(1/C46),IF(AND(C46=0,C47&lt;&gt;0),1/(1/C47),IF(AND(C46=0,C47=0),".")))),".")</f>
        <v>472.03421492803483</v>
      </c>
      <c r="D45" s="40">
        <f t="shared" ref="D45:G45" si="41">IFERROR(IF(AND(D46&lt;&gt;0,D47&lt;&gt;0),1/SUM(1/D46,1/D47),IF(AND(D46&lt;&gt;0,D47=0),1/(1/D46),IF(AND(D46=0,D47&lt;&gt;0),1/(1/D47),IF(AND(D46=0,D47=0),".")))),".")</f>
        <v>1422166.4731759478</v>
      </c>
      <c r="E45" s="40">
        <f t="shared" si="41"/>
        <v>0.94244332857837865</v>
      </c>
      <c r="F45" s="40">
        <f t="shared" si="41"/>
        <v>1.7844585787159419</v>
      </c>
      <c r="G45" s="40">
        <f t="shared" si="41"/>
        <v>4.3841624351381343E-2</v>
      </c>
      <c r="H45" s="41">
        <f>IFERROR(IF(AND(H46&lt;&gt;0,H47&lt;&gt;0),1/SUM(1/H46,1/H47),IF(AND(H46&lt;&gt;0,H47=0),1/(1/H46),IF(AND(H46=0,H47&lt;&gt;0),1/(1/H47),IF(AND(H46=0,H47=0),".")))),".")</f>
        <v>0.61592093316671337</v>
      </c>
      <c r="I45" s="40">
        <f t="shared" ref="I45:Q45" si="42">IFERROR(IF(AND(I46&lt;&gt;0,I47&lt;&gt;0),1/SUM(1/I46,1/I47),IF(AND(I46&lt;&gt;0,I47=0),1/(1/I46),IF(AND(I46=0,I47&lt;&gt;0),1/(1/I47),IF(AND(I46=0,I47=0),".")))),".")</f>
        <v>0.94244332857837865</v>
      </c>
      <c r="J45" s="40">
        <f t="shared" si="42"/>
        <v>4.7366884737592683</v>
      </c>
      <c r="K45" s="40">
        <f t="shared" si="42"/>
        <v>1.6559503268281102</v>
      </c>
      <c r="L45" s="40">
        <f t="shared" si="42"/>
        <v>1.0594868006732849</v>
      </c>
      <c r="M45" s="40">
        <f t="shared" si="42"/>
        <v>4.6984004220085733</v>
      </c>
      <c r="N45" s="40">
        <f t="shared" si="42"/>
        <v>1.0462149225714645</v>
      </c>
      <c r="O45" s="40">
        <f t="shared" si="42"/>
        <v>2.1904007985130045E-4</v>
      </c>
      <c r="P45" s="41">
        <f t="shared" si="42"/>
        <v>2.1899423027235549E-4</v>
      </c>
      <c r="Q45" s="40">
        <f t="shared" si="42"/>
        <v>27.589910870627396</v>
      </c>
      <c r="R45" s="40" t="str">
        <f>IFERROR(IF(AND(R46&lt;&gt;0,R47&lt;&gt;0),1/SUM(1/R46,1/R47),IF(AND(R46&lt;&gt;0,R47=0),1/(1/R46),IF(AND(R46=0,R47&lt;&gt;0),1/(1/R47),IF(AND(R46=0,R47=0),".")))),".")</f>
        <v>.</v>
      </c>
      <c r="S45" s="40">
        <f t="shared" ref="S45:V45" si="43">IFERROR(IF(AND(S46&lt;&gt;0,S47&lt;&gt;0),1/SUM(1/S46,1/S47),IF(AND(S46&lt;&gt;0,S47=0),1/(1/S46),IF(AND(S46=0,S47&lt;&gt;0),1/(1/S47),IF(AND(S46=0,S47=0),".")))),".")</f>
        <v>3.6219099870682641</v>
      </c>
      <c r="T45" s="40">
        <f t="shared" si="43"/>
        <v>9.698572686839313</v>
      </c>
      <c r="U45" s="41">
        <f t="shared" si="43"/>
        <v>2.4070255800778284</v>
      </c>
      <c r="V45" s="41">
        <f t="shared" si="43"/>
        <v>1.075189045113857</v>
      </c>
    </row>
    <row r="46" spans="1:22" x14ac:dyDescent="0.25">
      <c r="A46" s="55" t="s">
        <v>1086</v>
      </c>
      <c r="B46" s="3">
        <v>1</v>
      </c>
      <c r="C46" s="42">
        <f>IFERROR(C10/$B46,0)</f>
        <v>472.03421492803483</v>
      </c>
      <c r="D46" s="42">
        <f>IFERROR(D10/$B46,0)</f>
        <v>1422166.4731759478</v>
      </c>
      <c r="E46" s="42">
        <f>IFERROR(E10/$B46,0)</f>
        <v>3463.9087029369948</v>
      </c>
      <c r="F46" s="42">
        <f>IFERROR(F10/$B46,0)</f>
        <v>1.7844585787159419</v>
      </c>
      <c r="G46" s="42">
        <f>IFERROR(G10/$B46,0)</f>
        <v>4.3841624351381343E-2</v>
      </c>
      <c r="H46" s="42">
        <f>(IF(AND(C46&lt;&gt;0,D46&lt;&gt;0,E46&lt;&gt;0,F46&lt;&gt;0),1/((1/C46)+(1/D46)+(1/E46)+(1/F46)),IF(AND(C46&lt;&gt;0,D46&lt;&gt;0,E46&lt;&gt;0,F46=0), 1/((1/C46)+(1/D46)+(1/E46)),IF(AND(C46&lt;&gt;0,D46&lt;&gt;0,E46=0,F46&lt;&gt;0),1/((1/C46)+(1/D46)+(1/F46)),IF(AND(C46&lt;&gt;0,D46=0,E46&lt;&gt;0,F46&lt;&gt;0),1/((1/C46)+(1/E46)+(1/F46)),IF(AND(C46=0,D46&lt;&gt;0,E46&lt;&gt;0,F46&lt;&gt;0),1/((1/D46)+(1/E46)+(1/F46)),IF(AND(C46&lt;&gt;0,D46&lt;&gt;0,E46=0,F46=0),1/((1/C46)+(1/D46)),IF(AND(C46&lt;&gt;0,D46=0,E46&lt;&gt;0,F46=0),1/((1/C46)+(1/E46)),IF(AND(C46&lt;&gt;0,D46=0,E46=0,F46&lt;&gt;0),1/((1/C46)+(1/F46)),IF(AND(C46=0,D46=0,E46&lt;&gt;0,F46&lt;&gt;0),1/((1/E46)+(1/F46)),IF(AND(C46=0,D46&lt;&gt;0,E46=0,F46&lt;&gt;0),1/((1/D46)+(1/F46)),IF(AND(C46=0,D46&lt;&gt;0,E46&lt;&gt;0,F46=0),1/((1/D46)+(1/E46)),IF(AND(C46&lt;&gt;0,D46=0,E46=0,F46=0),1/((1/C46)),IF(AND(C46=0,D46&lt;&gt;0,E46=0,F46=0),1/((1/D46)),IF(AND(C46=0,D46=0,E46&lt;&gt;0,F46=0),1/((1/E46)),IF(AND(C46=0,D46=0,E46=0,F46&lt;&gt;0),1/((1/F46)),IF(AND(C46=0,D46=0,E46=0,F46=0),0)))))))))))))))))</f>
        <v>1.7768239733465305</v>
      </c>
      <c r="I46" s="42">
        <f t="shared" ref="I46:O46" si="44">IFERROR(I10/$B46,0)</f>
        <v>3463.9087029369948</v>
      </c>
      <c r="J46" s="42">
        <f t="shared" si="44"/>
        <v>7491.7095203055933</v>
      </c>
      <c r="K46" s="42">
        <f t="shared" si="44"/>
        <v>4295.2467916418736</v>
      </c>
      <c r="L46" s="42">
        <f t="shared" si="44"/>
        <v>3524.5460544107277</v>
      </c>
      <c r="M46" s="42">
        <f t="shared" si="44"/>
        <v>822.3134864579738</v>
      </c>
      <c r="N46" s="42">
        <f t="shared" si="44"/>
        <v>1.0462149225714645</v>
      </c>
      <c r="O46" s="42">
        <f t="shared" si="44"/>
        <v>5.9390925717409844E-2</v>
      </c>
      <c r="P46" s="42">
        <f>IFERROR(IF(AND(N46&lt;&gt;0,O46&lt;&gt;0),1/((1/N46)+(1/O46)),IF(AND(N46&lt;&gt;0,O46=0),1/((1/N46)),IF(AND(N46=0,O46&lt;&gt;0),1/((1/O46)),IF(AND(N46=0,O46=0),0)))),0)</f>
        <v>5.6200564466128471E-2</v>
      </c>
      <c r="Q46" s="42">
        <f>IFERROR(Q10/$B46,0)</f>
        <v>27.589910870627396</v>
      </c>
      <c r="R46" s="42">
        <f>IFERROR(R10/$B46,0)</f>
        <v>0</v>
      </c>
      <c r="S46" s="42">
        <f>IFERROR(S10/$B46,0)</f>
        <v>1902.006947575419</v>
      </c>
      <c r="T46" s="42">
        <f>IFERROR(T10/$B46,0)</f>
        <v>9.698572686839313</v>
      </c>
      <c r="U46" s="42">
        <f>(IF(AND(Q46&lt;&gt;0,R46&lt;&gt;0,S46&lt;&gt;0,T46&lt;&gt;0),1/((1/Q46)+(1/R46)+(1/S46)+(1/T46)),IF(AND(Q46&lt;&gt;0,R46&lt;&gt;0,S46&lt;&gt;0,T46=0), 1/((1/Q46)+(1/R46)+(1/S46)),IF(AND(Q46&lt;&gt;0,R46&lt;&gt;0,S46=0,T46&lt;&gt;0),1/((1/Q46)+(1/R46)+(1/T46)),IF(AND(Q46&lt;&gt;0,R46=0,S46&lt;&gt;0,T46&lt;&gt;0),1/((1/Q46)+(1/S46)+(1/T46)),IF(AND(Q46=0,R46&lt;&gt;0,S46&lt;&gt;0,T46&lt;&gt;0),1/((1/R46)+(1/S46)+(1/T46)),IF(AND(Q46&lt;&gt;0,R46&lt;&gt;0,S46=0,T46=0),1/((1/Q46)+(1/R46)),IF(AND(Q46&lt;&gt;0,R46=0,S46&lt;&gt;0,T46=0),1/((1/Q46)+(1/S46)),IF(AND(Q46&lt;&gt;0,R46=0,S46=0,T46&lt;&gt;0),1/((1/Q46)+(1/T46)),IF(AND(Q46=0,R46=0,S46&lt;&gt;0,T46&lt;&gt;0),1/((1/S46)+(1/T46)),IF(AND(Q46=0,R46&lt;&gt;0,S46=0,T46&lt;&gt;0),1/((1/R46)+(1/T46)),IF(AND(Q46=0,R46&lt;&gt;0,S46&lt;&gt;0,T46=0),1/((1/R46)+(1/S46)),IF(AND(Q46&lt;&gt;0,R46=0,S46=0,T46=0),1/((1/Q46)),IF(AND(Q46=0,R46&lt;&gt;0,S46=0,T46=0),1/((1/R46)),IF(AND(Q46=0,R46=0,S46&lt;&gt;0,T46=0),1/((1/S46)),IF(AND(Q46=0,R46=0,S46=0,T46&lt;&gt;0),1/((1/T46)),IF(AND(Q46=0,R46=0,S46=0,T46=0),0)))))))))))))))))</f>
        <v>7.1490436581207932</v>
      </c>
      <c r="V46" s="42">
        <f>IFERROR(V10/$B46,0)</f>
        <v>1.075189045113857</v>
      </c>
    </row>
    <row r="47" spans="1:22" x14ac:dyDescent="0.25">
      <c r="A47" s="55" t="s">
        <v>1060</v>
      </c>
      <c r="B47" s="3">
        <v>0.94399</v>
      </c>
      <c r="C47" s="42">
        <f>IFERROR(C6/$B$47,0)</f>
        <v>0</v>
      </c>
      <c r="D47" s="42">
        <f>IFERROR(D6/$B$47,0)</f>
        <v>0</v>
      </c>
      <c r="E47" s="42">
        <f>IFERROR(E6/$B$47,0)</f>
        <v>0.9426998137304119</v>
      </c>
      <c r="F47" s="42">
        <f>IFERROR(F6/$B$47,0)</f>
        <v>0</v>
      </c>
      <c r="G47" s="42">
        <f>IFERROR(G6/$B$47,0)</f>
        <v>0</v>
      </c>
      <c r="H47" s="42">
        <f>(IF(AND(C47&lt;&gt;0,D47&lt;&gt;0,E47&lt;&gt;0,F47&lt;&gt;0),1/((1/C47)+(1/D47)+(1/E47)+(1/F47)),IF(AND(C47&lt;&gt;0,D47&lt;&gt;0,E47&lt;&gt;0,F47=0), 1/((1/C47)+(1/D47)+(1/E47)),IF(AND(C47&lt;&gt;0,D47&lt;&gt;0,E47=0,F47&lt;&gt;0),1/((1/C47)+(1/D47)+(1/F47)),IF(AND(C47&lt;&gt;0,D47=0,E47&lt;&gt;0,F47&lt;&gt;0),1/((1/C47)+(1/E47)+(1/F47)),IF(AND(C47=0,D47&lt;&gt;0,E47&lt;&gt;0,F47&lt;&gt;0),1/((1/D47)+(1/E47)+(1/F47)),IF(AND(C47&lt;&gt;0,D47&lt;&gt;0,E47=0,F47=0),1/((1/C47)+(1/D47)),IF(AND(C47&lt;&gt;0,D47=0,E47&lt;&gt;0,F47=0),1/((1/C47)+(1/E47)),IF(AND(C47&lt;&gt;0,D47=0,E47=0,F47&lt;&gt;0),1/((1/C47)+(1/F47)),IF(AND(C47=0,D47=0,E47&lt;&gt;0,F47&lt;&gt;0),1/((1/E47)+(1/F47)),IF(AND(C47=0,D47&lt;&gt;0,E47=0,F47&lt;&gt;0),1/((1/D47)+(1/F47)),IF(AND(C47=0,D47&lt;&gt;0,E47&lt;&gt;0,F47=0),1/((1/D47)+(1/E47)),IF(AND(C47&lt;&gt;0,D47=0,E47=0,F47=0),1/((1/C47)),IF(AND(C47=0,D47&lt;&gt;0,E47=0,F47=0),1/((1/D47)),IF(AND(C47=0,D47=0,E47&lt;&gt;0,F47=0),1/((1/E47)),IF(AND(C47=0,D47=0,E47=0,F47&lt;&gt;0),1/((1/F47)),IF(AND(C47=0,D47=0,E47=0,F47=0),0)))))))))))))))))</f>
        <v>0.9426998137304119</v>
      </c>
      <c r="I47" s="42">
        <f t="shared" ref="I47:O47" si="45">IFERROR(I6/$B$47,0)</f>
        <v>0.9426998137304119</v>
      </c>
      <c r="J47" s="42">
        <f t="shared" si="45"/>
        <v>4.7396851745890158</v>
      </c>
      <c r="K47" s="42">
        <f t="shared" si="45"/>
        <v>1.6565889930602382</v>
      </c>
      <c r="L47" s="42">
        <f t="shared" si="45"/>
        <v>1.0598053806534442</v>
      </c>
      <c r="M47" s="42">
        <f t="shared" si="45"/>
        <v>4.7253996382688266</v>
      </c>
      <c r="N47" s="42">
        <f t="shared" si="45"/>
        <v>0</v>
      </c>
      <c r="O47" s="42">
        <f t="shared" si="45"/>
        <v>2.1985091351097363E-4</v>
      </c>
      <c r="P47" s="42">
        <f>IFERROR(IF(AND(N47&lt;&gt;0,O47&lt;&gt;0),1/((1/N47)+(1/O47)),IF(AND(N47&lt;&gt;0,O47=0),1/((1/N47)),IF(AND(N47=0,O47&lt;&gt;0),1/((1/O47)),IF(AND(N47=0,O47=0),0)))),0)</f>
        <v>2.1985091351097363E-4</v>
      </c>
      <c r="Q47" s="42">
        <f>IFERROR(Q6/$B$47,0)</f>
        <v>0</v>
      </c>
      <c r="R47" s="42">
        <f>IFERROR(R6/$B$47,0)</f>
        <v>0</v>
      </c>
      <c r="S47" s="42">
        <f>IFERROR(S6/$B$47,0)</f>
        <v>3.6288201932143731</v>
      </c>
      <c r="T47" s="42">
        <f>IFERROR(T6/$B$47,0)</f>
        <v>0</v>
      </c>
      <c r="U47" s="42">
        <f>(IF(AND(Q47&lt;&gt;0,R47&lt;&gt;0,S47&lt;&gt;0,T47&lt;&gt;0),1/((1/Q47)+(1/R47)+(1/S47)+(1/T47)),IF(AND(Q47&lt;&gt;0,R47&lt;&gt;0,S47&lt;&gt;0,T47=0), 1/((1/Q47)+(1/R47)+(1/S47)),IF(AND(Q47&lt;&gt;0,R47&lt;&gt;0,S47=0,T47&lt;&gt;0),1/((1/Q47)+(1/R47)+(1/T47)),IF(AND(Q47&lt;&gt;0,R47=0,S47&lt;&gt;0,T47&lt;&gt;0),1/((1/Q47)+(1/S47)+(1/T47)),IF(AND(Q47=0,R47&lt;&gt;0,S47&lt;&gt;0,T47&lt;&gt;0),1/((1/R47)+(1/S47)+(1/T47)),IF(AND(Q47&lt;&gt;0,R47&lt;&gt;0,S47=0,T47=0),1/((1/Q47)+(1/R47)),IF(AND(Q47&lt;&gt;0,R47=0,S47&lt;&gt;0,T47=0),1/((1/Q47)+(1/S47)),IF(AND(Q47&lt;&gt;0,R47=0,S47=0,T47&lt;&gt;0),1/((1/Q47)+(1/T47)),IF(AND(Q47=0,R47=0,S47&lt;&gt;0,T47&lt;&gt;0),1/((1/S47)+(1/T47)),IF(AND(Q47=0,R47&lt;&gt;0,S47=0,T47&lt;&gt;0),1/((1/R47)+(1/T47)),IF(AND(Q47=0,R47&lt;&gt;0,S47&lt;&gt;0,T47=0),1/((1/R47)+(1/S47)),IF(AND(Q47&lt;&gt;0,R47=0,S47=0,T47=0),1/((1/Q47)),IF(AND(Q47=0,R47&lt;&gt;0,S47=0,T47=0),1/((1/R47)),IF(AND(Q47=0,R47=0,S47&lt;&gt;0,T47=0),1/((1/S47)),IF(AND(Q47=0,R47=0,S47=0,T47&lt;&gt;0),1/((1/T47)),IF(AND(Q47=0,R47=0,S47=0,T47=0),0)))))))))))))))))</f>
        <v>3.6288201932143735</v>
      </c>
      <c r="V47" s="42">
        <f>IFERROR(V6/$B$47,0)</f>
        <v>0</v>
      </c>
    </row>
    <row r="48" spans="1:22" x14ac:dyDescent="0.25">
      <c r="A48" s="109" t="s">
        <v>21</v>
      </c>
      <c r="B48" s="39" t="s">
        <v>1221</v>
      </c>
      <c r="C48" s="40">
        <f>1/SUM(1/C49,1/C52,1/C54,1/C58,1/C59,1/C61)</f>
        <v>1.9465944310386158</v>
      </c>
      <c r="D48" s="40">
        <f>1/SUM(1/D49,1/D50,1/D51,1/D52,1/D54,1/D58,1/D59,1/D61)</f>
        <v>2799.7103047597061</v>
      </c>
      <c r="E48" s="40">
        <f>1/SUM(1/E49,1/E50,1/E51,1/E52,1/E53,1/E54,1/E55,1/E56,1/E57,1/E58,1/E59,1/E60,1/E61,1/E62)</f>
        <v>0.28828566182834192</v>
      </c>
      <c r="F48" s="40">
        <f>1/SUM(1/F49,1/F52,1/F54,1/F58,1/F59,1/F61)</f>
        <v>1.7924719405951771E-2</v>
      </c>
      <c r="G48" s="40">
        <f>1/SUM(1/G49,1/G52,1/G54,1/G58,1/G59,1/G61)</f>
        <v>1.8079592349697977E-4</v>
      </c>
      <c r="H48" s="41">
        <f>1/SUM(1/H49,1/H50,1/H51,1/H52,1/H53,1/H54,1/H55,1/H56,1/H57,1/H58,1/H59,1/H60,1/H61,1/H62)</f>
        <v>1.6730315657770983E-2</v>
      </c>
      <c r="I48" s="40">
        <f>1/SUM(1/I49,1/I50,1/I51,1/I52,1/I53,1/I54,1/I55,1/I56,1/I57,1/I58,1/I59,1/I60,1/I61,1/I62)</f>
        <v>0.28828566182834192</v>
      </c>
      <c r="J48" s="40">
        <f t="shared" ref="J48:M48" si="46">1/SUM(1/J49,1/J50,1/J51,1/J52,1/J53,1/J54,1/J55,1/J56,1/J57,1/J58,1/J59,1/J60,1/J61,1/J62)</f>
        <v>1.5649610785445733</v>
      </c>
      <c r="K48" s="40">
        <f>1/SUM(1/K49,1/K50,1/K52,1/K54,1/K55,1/K56,1/K57,1/K58,1/K59,1/K60,1/K61,1/K62)</f>
        <v>0.54416744102821646</v>
      </c>
      <c r="L48" s="40">
        <f t="shared" si="46"/>
        <v>0.34036347518242166</v>
      </c>
      <c r="M48" s="40">
        <f t="shared" si="46"/>
        <v>1.5070073216322728</v>
      </c>
      <c r="N48" s="40">
        <f>1/SUM(1/N49,1/N50,1/N51,1/N52,1/N54,1/N58,1/N59,1/N61)</f>
        <v>2.0596032566957611E-3</v>
      </c>
      <c r="O48" s="40">
        <f t="shared" ref="O48:P48" si="47">1/SUM(1/O49,1/O50,1/O51,1/O52,1/O53,1/O54,1/O55,1/O56,1/O57,1/O58,1/O59,1/O60,1/O61,1/O62)</f>
        <v>6.7373110162628836E-5</v>
      </c>
      <c r="P48" s="41">
        <f t="shared" si="47"/>
        <v>6.5239030986333077E-5</v>
      </c>
      <c r="Q48" s="40">
        <f>1/SUM(1/Q49,1/Q52,1/Q54,1/Q58,1/Q59,1/Q61)</f>
        <v>0.11377642796889838</v>
      </c>
      <c r="R48" s="40">
        <f>1/SUM(1/R49,1/R50)</f>
        <v>8.4698379262315854E-3</v>
      </c>
      <c r="S48" s="40">
        <f t="shared" ref="S48" si="48">1/SUM(1/S49,1/S50,1/S51,1/S52,1/S53,1/S54,1/S55,1/S56,1/S57,1/S58,1/S59,1/S60,1/S61,1/S62)</f>
        <v>1.1138803870174496</v>
      </c>
      <c r="T48" s="40">
        <f>1/SUM(1/T49,1/T52,1/T54,1/T58,1/T59,1/T61)</f>
        <v>4.516772833201893E-2</v>
      </c>
      <c r="U48" s="41">
        <f t="shared" ref="U48" si="49">1/SUM(1/U49,1/U50,1/U51,1/U52,1/U53,1/U54,1/U55,1/U56,1/U57,1/U58,1/U59,1/U60,1/U61,1/U62)</f>
        <v>6.6714414681913149E-3</v>
      </c>
      <c r="V48" s="41">
        <f>1/SUM(1/V49,1/V52,1/V54,1/V58,1/V59,1/V61)</f>
        <v>4.4339095373657376E-3</v>
      </c>
    </row>
    <row r="49" spans="1:22" x14ac:dyDescent="0.25">
      <c r="A49" s="55" t="s">
        <v>1088</v>
      </c>
      <c r="B49" s="3">
        <v>1</v>
      </c>
      <c r="C49" s="42">
        <f>IFERROR(C23/$B49,0)</f>
        <v>13.858841188836344</v>
      </c>
      <c r="D49" s="42">
        <f>IFERROR(D23/$B49,0)</f>
        <v>5757.703100139518</v>
      </c>
      <c r="E49" s="42">
        <f>IFERROR(E23/$B49,0)</f>
        <v>94.74809099210016</v>
      </c>
      <c r="F49" s="42">
        <f>IFERROR(F23/$B49,0)</f>
        <v>5.5942293945830328E-2</v>
      </c>
      <c r="G49" s="42">
        <f>IFERROR(G23/$B49,0)</f>
        <v>1.2871823485063395E-3</v>
      </c>
      <c r="H49" s="42">
        <f>(IF(AND(C49&lt;&gt;0,D49&lt;&gt;0,E49&lt;&gt;0,F49&lt;&gt;0),1/((1/C49)+(1/D49)+(1/E49)+(1/F49)),IF(AND(C49&lt;&gt;0,D49&lt;&gt;0,E49&lt;&gt;0,F49=0), 1/((1/C49)+(1/D49)+(1/E49)),IF(AND(C49&lt;&gt;0,D49&lt;&gt;0,E49=0,F49&lt;&gt;0),1/((1/C49)+(1/D49)+(1/F49)),IF(AND(C49&lt;&gt;0,D49=0,E49&lt;&gt;0,F49&lt;&gt;0),1/((1/C49)+(1/E49)+(1/F49)),IF(AND(C49=0,D49&lt;&gt;0,E49&lt;&gt;0,F49&lt;&gt;0),1/((1/D49)+(1/E49)+(1/F49)),IF(AND(C49&lt;&gt;0,D49&lt;&gt;0,E49=0,F49=0),1/((1/C49)+(1/D49)),IF(AND(C49&lt;&gt;0,D49=0,E49&lt;&gt;0,F49=0),1/((1/C49)+(1/E49)),IF(AND(C49&lt;&gt;0,D49=0,E49=0,F49&lt;&gt;0),1/((1/C49)+(1/F49)),IF(AND(C49=0,D49=0,E49&lt;&gt;0,F49&lt;&gt;0),1/((1/E49)+(1/F49)),IF(AND(C49=0,D49&lt;&gt;0,E49=0,F49&lt;&gt;0),1/((1/D49)+(1/F49)),IF(AND(C49=0,D49&lt;&gt;0,E49&lt;&gt;0,F49=0),1/((1/D49)+(1/E49)),IF(AND(C49&lt;&gt;0,D49=0,E49=0,F49=0),1/((1/C49)),IF(AND(C49=0,D49&lt;&gt;0,E49=0,F49=0),1/((1/D49)),IF(AND(C49=0,D49=0,E49&lt;&gt;0,F49=0),1/((1/E49)),IF(AND(C49=0,D49=0,E49=0,F49&lt;&gt;0),1/((1/F49)),IF(AND(C49=0,D49=0,E49=0,F49=0),0)))))))))))))))))</f>
        <v>5.5684102022254857E-2</v>
      </c>
      <c r="I49" s="42">
        <f t="shared" ref="I49:O49" si="50">IFERROR(I23/$B49,0)</f>
        <v>94.74809099210016</v>
      </c>
      <c r="J49" s="42">
        <f t="shared" si="50"/>
        <v>379.88621388342045</v>
      </c>
      <c r="K49" s="42">
        <f t="shared" si="50"/>
        <v>137.668166398778</v>
      </c>
      <c r="L49" s="42">
        <f t="shared" si="50"/>
        <v>97.031177522030262</v>
      </c>
      <c r="M49" s="42">
        <f t="shared" si="50"/>
        <v>385.30557075051763</v>
      </c>
      <c r="N49" s="42">
        <f t="shared" si="50"/>
        <v>4.2356468224495217E-3</v>
      </c>
      <c r="O49" s="42">
        <f t="shared" si="50"/>
        <v>1.7950955039988826E-2</v>
      </c>
      <c r="P49" s="42">
        <f t="shared" ref="P49:P76" si="51">IFERROR(IF(AND(N49&lt;&gt;0,O49&lt;&gt;0),1/((1/N49)+(1/O49)),IF(AND(N49&lt;&gt;0,O49=0),1/((1/N49)),IF(AND(N49=0,O49&lt;&gt;0),1/((1/O49)),IF(AND(N49=0,O49=0),0)))),0)</f>
        <v>3.4270189795845836E-3</v>
      </c>
      <c r="Q49" s="42">
        <f>IFERROR(Q23/$B49,0)</f>
        <v>0.81003491077117951</v>
      </c>
      <c r="R49" s="42">
        <f>IFERROR(R23/$B49,0)</f>
        <v>8.4712936448990434E-3</v>
      </c>
      <c r="S49" s="42">
        <f>IFERROR(S23/$B49,0)</f>
        <v>291.97475072429677</v>
      </c>
      <c r="T49" s="42">
        <f>IFERROR(T23/$B49,0)</f>
        <v>0.28828831302749125</v>
      </c>
      <c r="U49" s="42">
        <f t="shared" ref="U49:U62" si="52">(IF(AND(Q49&lt;&gt;0,R49&lt;&gt;0,S49&lt;&gt;0,T49&lt;&gt;0),1/((1/Q49)+(1/R49)+(1/S49)+(1/T49)),IF(AND(Q49&lt;&gt;0,R49&lt;&gt;0,S49&lt;&gt;0,T49=0), 1/((1/Q49)+(1/R49)+(1/S49)),IF(AND(Q49&lt;&gt;0,R49&lt;&gt;0,S49=0,T49&lt;&gt;0),1/((1/Q49)+(1/R49)+(1/T49)),IF(AND(Q49&lt;&gt;0,R49=0,S49&lt;&gt;0,T49&lt;&gt;0),1/((1/Q49)+(1/S49)+(1/T49)),IF(AND(Q49=0,R49&lt;&gt;0,S49&lt;&gt;0,T49&lt;&gt;0),1/((1/R49)+(1/S49)+(1/T49)),IF(AND(Q49&lt;&gt;0,R49&lt;&gt;0,S49=0,T49=0),1/((1/Q49)+(1/R49)),IF(AND(Q49&lt;&gt;0,R49=0,S49&lt;&gt;0,T49=0),1/((1/Q49)+(1/S49)),IF(AND(Q49&lt;&gt;0,R49=0,S49=0,T49&lt;&gt;0),1/((1/Q49)+(1/T49)),IF(AND(Q49=0,R49=0,S49&lt;&gt;0,T49&lt;&gt;0),1/((1/S49)+(1/T49)),IF(AND(Q49=0,R49&lt;&gt;0,S49=0,T49&lt;&gt;0),1/((1/R49)+(1/T49)),IF(AND(Q49=0,R49&lt;&gt;0,S49&lt;&gt;0,T49=0),1/((1/R49)+(1/S49)),IF(AND(Q49&lt;&gt;0,R49=0,S49=0,T49=0),1/((1/Q49)),IF(AND(Q49=0,R49&lt;&gt;0,S49=0,T49=0),1/((1/R49)),IF(AND(Q49=0,R49=0,S49&lt;&gt;0,T49=0),1/((1/S49)),IF(AND(Q49=0,R49=0,S49=0,T49&lt;&gt;0),1/((1/T49)),IF(AND(Q49=0,R49=0,S49=0,T49=0),0)))))))))))))))))</f>
        <v>8.1464792794099117E-3</v>
      </c>
      <c r="V49" s="42">
        <f>IFERROR(V23/$B49,0)</f>
        <v>3.1567360485682781E-2</v>
      </c>
    </row>
    <row r="50" spans="1:22" x14ac:dyDescent="0.25">
      <c r="A50" s="55" t="s">
        <v>1075</v>
      </c>
      <c r="B50" s="3">
        <v>1</v>
      </c>
      <c r="C50" s="42">
        <f>IFERROR(C25/$B50,0)</f>
        <v>0</v>
      </c>
      <c r="D50" s="42">
        <f>IFERROR(D25/$B50,0)</f>
        <v>33500162.617758323</v>
      </c>
      <c r="E50" s="42">
        <f>IFERROR(E25/$B50,0)</f>
        <v>1412.9101288295633</v>
      </c>
      <c r="F50" s="42">
        <f>IFERROR(F25/$B50,0)</f>
        <v>0</v>
      </c>
      <c r="G50" s="42">
        <f>IFERROR(G25/$B50,0)</f>
        <v>0</v>
      </c>
      <c r="H50" s="42">
        <f t="shared" ref="H50:H62" si="53">(IF(AND(C50&lt;&gt;0,D50&lt;&gt;0,E50&lt;&gt;0,F50&lt;&gt;0),1/((1/C50)+(1/D50)+(1/E50)+(1/F50)),IF(AND(C50&lt;&gt;0,D50&lt;&gt;0,E50&lt;&gt;0,F50=0), 1/((1/C50)+(1/D50)+(1/E50)),IF(AND(C50&lt;&gt;0,D50&lt;&gt;0,E50=0,F50&lt;&gt;0),1/((1/C50)+(1/D50)+(1/F50)),IF(AND(C50&lt;&gt;0,D50=0,E50&lt;&gt;0,F50&lt;&gt;0),1/((1/C50)+(1/E50)+(1/F50)),IF(AND(C50=0,D50&lt;&gt;0,E50&lt;&gt;0,F50&lt;&gt;0),1/((1/D50)+(1/E50)+(1/F50)),IF(AND(C50&lt;&gt;0,D50&lt;&gt;0,E50=0,F50=0),1/((1/C50)+(1/D50)),IF(AND(C50&lt;&gt;0,D50=0,E50&lt;&gt;0,F50=0),1/((1/C50)+(1/E50)),IF(AND(C50&lt;&gt;0,D50=0,E50=0,F50&lt;&gt;0),1/((1/C50)+(1/F50)),IF(AND(C50=0,D50=0,E50&lt;&gt;0,F50&lt;&gt;0),1/((1/E50)+(1/F50)),IF(AND(C50=0,D50&lt;&gt;0,E50=0,F50&lt;&gt;0),1/((1/D50)+(1/F50)),IF(AND(C50=0,D50&lt;&gt;0,E50&lt;&gt;0,F50=0),1/((1/D50)+(1/E50)),IF(AND(C50&lt;&gt;0,D50=0,E50=0,F50=0),1/((1/C50)),IF(AND(C50=0,D50&lt;&gt;0,E50=0,F50=0),1/((1/D50)),IF(AND(C50=0,D50=0,E50&lt;&gt;0,F50=0),1/((1/E50)),IF(AND(C50=0,D50=0,E50=0,F50&lt;&gt;0),1/((1/F50)),IF(AND(C50=0,D50=0,E50=0,F50=0),0)))))))))))))))))</f>
        <v>1412.850540138563</v>
      </c>
      <c r="I50" s="42">
        <f t="shared" ref="I50:O50" si="54">IFERROR(I25/$B50,0)</f>
        <v>1412.9101288295633</v>
      </c>
      <c r="J50" s="42">
        <f t="shared" si="54"/>
        <v>6825.0743511258579</v>
      </c>
      <c r="K50" s="42">
        <f t="shared" si="54"/>
        <v>2393.3395941540894</v>
      </c>
      <c r="L50" s="42">
        <f t="shared" si="54"/>
        <v>1548.7668719862525</v>
      </c>
      <c r="M50" s="42">
        <f t="shared" si="54"/>
        <v>6918.9279908963908</v>
      </c>
      <c r="N50" s="42">
        <f t="shared" si="54"/>
        <v>24.644351206649045</v>
      </c>
      <c r="O50" s="42">
        <f t="shared" si="54"/>
        <v>0.32270213973621537</v>
      </c>
      <c r="P50" s="42">
        <f t="shared" si="51"/>
        <v>0.31853117612486836</v>
      </c>
      <c r="Q50" s="42">
        <f>IFERROR(Q25/$B50,0)</f>
        <v>0</v>
      </c>
      <c r="R50" s="42">
        <f>IFERROR(R25/$B50,0)</f>
        <v>49.28870241329809</v>
      </c>
      <c r="S50" s="42">
        <f>IFERROR(S25/$B50,0)</f>
        <v>5311.4555716866753</v>
      </c>
      <c r="T50" s="42">
        <f>IFERROR(T25/$B50,0)</f>
        <v>0</v>
      </c>
      <c r="U50" s="42">
        <f t="shared" si="52"/>
        <v>48.835523514740295</v>
      </c>
      <c r="V50" s="42">
        <f>IFERROR(V25/$B50,0)</f>
        <v>0</v>
      </c>
    </row>
    <row r="51" spans="1:22" x14ac:dyDescent="0.25">
      <c r="A51" s="55" t="s">
        <v>1061</v>
      </c>
      <c r="B51" s="3">
        <v>1</v>
      </c>
      <c r="C51" s="42">
        <f>IFERROR(C21/$B51,0)</f>
        <v>0</v>
      </c>
      <c r="D51" s="42">
        <f>IFERROR(D21/$B51,0)</f>
        <v>28796071.541511413</v>
      </c>
      <c r="E51" s="42">
        <f>IFERROR(E21/$B51,0)</f>
        <v>362284648.41783684</v>
      </c>
      <c r="F51" s="42">
        <f>IFERROR(F21/$B51,0)</f>
        <v>0</v>
      </c>
      <c r="G51" s="42">
        <f>IFERROR(G21/$B51,0)</f>
        <v>0</v>
      </c>
      <c r="H51" s="42">
        <f t="shared" si="53"/>
        <v>26675758.025902566</v>
      </c>
      <c r="I51" s="42">
        <f t="shared" ref="I51:O51" si="55">IFERROR(I21/$B51,0)</f>
        <v>362284648.41783684</v>
      </c>
      <c r="J51" s="42">
        <f t="shared" si="55"/>
        <v>771416449.64832497</v>
      </c>
      <c r="K51" s="42">
        <f t="shared" si="55"/>
        <v>412370083.68297559</v>
      </c>
      <c r="L51" s="42">
        <f t="shared" si="55"/>
        <v>362284648.41783684</v>
      </c>
      <c r="M51" s="42">
        <f t="shared" si="55"/>
        <v>430048657.07827199</v>
      </c>
      <c r="N51" s="42">
        <f t="shared" si="55"/>
        <v>21.183792703878115</v>
      </c>
      <c r="O51" s="42">
        <f t="shared" si="55"/>
        <v>2130.8194723040174</v>
      </c>
      <c r="P51" s="42">
        <f t="shared" si="51"/>
        <v>20.975264640460317</v>
      </c>
      <c r="Q51" s="42">
        <f>IFERROR(Q21/$B51,0)</f>
        <v>0</v>
      </c>
      <c r="R51" s="42">
        <f>IFERROR(R21/$B51,0)</f>
        <v>0</v>
      </c>
      <c r="S51" s="42">
        <f>IFERROR(S21/$B51,0)</f>
        <v>69828926.396999657</v>
      </c>
      <c r="T51" s="42">
        <f>IFERROR(T21/$B51,0)</f>
        <v>0</v>
      </c>
      <c r="U51" s="42">
        <f t="shared" si="52"/>
        <v>69828926.396999657</v>
      </c>
      <c r="V51" s="42">
        <f>IFERROR(V21/$B51,0)</f>
        <v>0</v>
      </c>
    </row>
    <row r="52" spans="1:22" x14ac:dyDescent="0.25">
      <c r="A52" s="55" t="s">
        <v>1062</v>
      </c>
      <c r="B52" s="3">
        <v>0.99980000000000002</v>
      </c>
      <c r="C52" s="42">
        <f>IFERROR(C17/$B52,0)</f>
        <v>31554.326234809087</v>
      </c>
      <c r="D52" s="42">
        <f>IFERROR(D17/$B52,0)</f>
        <v>4709655.7754966654</v>
      </c>
      <c r="E52" s="42">
        <f>IFERROR(E17/$B52,0)</f>
        <v>2.3938183578256549</v>
      </c>
      <c r="F52" s="42">
        <f>IFERROR(F17/$B52,0)</f>
        <v>164.9048510981828</v>
      </c>
      <c r="G52" s="42">
        <f>IFERROR(G17/$B52,0)</f>
        <v>2.9307047533796791</v>
      </c>
      <c r="H52" s="42">
        <f t="shared" si="53"/>
        <v>2.3593884330221075</v>
      </c>
      <c r="I52" s="42">
        <f t="shared" ref="I52:O52" si="56">IFERROR(I17/$B52,0)</f>
        <v>2.3938183578256549</v>
      </c>
      <c r="J52" s="42">
        <f t="shared" si="56"/>
        <v>10.740265032111104</v>
      </c>
      <c r="K52" s="42">
        <f t="shared" si="56"/>
        <v>3.808604621315995</v>
      </c>
      <c r="L52" s="42">
        <f t="shared" si="56"/>
        <v>2.5612714702967661</v>
      </c>
      <c r="M52" s="42">
        <f t="shared" si="56"/>
        <v>10.594057958149067</v>
      </c>
      <c r="N52" s="42">
        <f t="shared" si="56"/>
        <v>3.464652166561021</v>
      </c>
      <c r="O52" s="42">
        <f t="shared" si="56"/>
        <v>5.030507919094202E-4</v>
      </c>
      <c r="P52" s="42">
        <f t="shared" si="51"/>
        <v>5.0297776196317901E-4</v>
      </c>
      <c r="Q52" s="42">
        <f>IFERROR(Q17/$B52,0)</f>
        <v>1844.3176805177334</v>
      </c>
      <c r="R52" s="42">
        <f>IFERROR(R17/$B52,0)</f>
        <v>0</v>
      </c>
      <c r="S52" s="42">
        <f>IFERROR(S17/$B52,0)</f>
        <v>8.2884099432093468</v>
      </c>
      <c r="T52" s="42">
        <f>IFERROR(T17/$B52,0)</f>
        <v>685.1490917459713</v>
      </c>
      <c r="U52" s="42">
        <f t="shared" si="52"/>
        <v>8.1531390875927823</v>
      </c>
      <c r="V52" s="42">
        <f>IFERROR(V17/$B52,0)</f>
        <v>71.873743090398492</v>
      </c>
    </row>
    <row r="53" spans="1:22" x14ac:dyDescent="0.25">
      <c r="A53" s="55" t="s">
        <v>1076</v>
      </c>
      <c r="B53" s="3">
        <v>2.0000000000000001E-4</v>
      </c>
      <c r="C53" s="42">
        <f>IFERROR(C5/$B53,0)</f>
        <v>0</v>
      </c>
      <c r="D53" s="42">
        <f>IFERROR(D5/$B53,0)</f>
        <v>0</v>
      </c>
      <c r="E53" s="42">
        <f>IFERROR(E5/$B53,0)</f>
        <v>300282913.28592509</v>
      </c>
      <c r="F53" s="42">
        <f>IFERROR(F5/$B53,0)</f>
        <v>0</v>
      </c>
      <c r="G53" s="42">
        <f>IFERROR(G5/$B53,0)</f>
        <v>0</v>
      </c>
      <c r="H53" s="42">
        <f t="shared" si="53"/>
        <v>300282913.28592509</v>
      </c>
      <c r="I53" s="42">
        <f t="shared" ref="I53:O53" si="57">IFERROR(I5/$B53,0)</f>
        <v>300282913.28592509</v>
      </c>
      <c r="J53" s="42">
        <f t="shared" si="57"/>
        <v>529492947.68760759</v>
      </c>
      <c r="K53" s="42">
        <f t="shared" si="57"/>
        <v>377570920.50297761</v>
      </c>
      <c r="L53" s="42">
        <f t="shared" si="57"/>
        <v>312882196.36085904</v>
      </c>
      <c r="M53" s="42">
        <f t="shared" si="57"/>
        <v>114392942.78282037</v>
      </c>
      <c r="N53" s="42">
        <f t="shared" si="57"/>
        <v>0</v>
      </c>
      <c r="O53" s="42">
        <f t="shared" si="57"/>
        <v>28483.403150186354</v>
      </c>
      <c r="P53" s="42">
        <f>IFERROR(IF(AND(N53&lt;&gt;0,O53&lt;&gt;0),1/((1/N53)+(1/O53)),IF(AND(N53&lt;&gt;0,O53=0),1/((1/N53)),IF(AND(N53=0,O53&lt;&gt;0),1/((1/O53)),IF(AND(N53=0,O53=0),0)))),0)</f>
        <v>28483.403150186354</v>
      </c>
      <c r="Q53" s="42">
        <f>IFERROR(Q5/$B53,0)</f>
        <v>0</v>
      </c>
      <c r="R53" s="42">
        <f>IFERROR(R5/$B53,0)</f>
        <v>0</v>
      </c>
      <c r="S53" s="42">
        <f>IFERROR(S5/$B53,0)</f>
        <v>798842917.98167586</v>
      </c>
      <c r="T53" s="42">
        <f>IFERROR(T5/$B53,0)</f>
        <v>0</v>
      </c>
      <c r="U53" s="42">
        <f t="shared" si="52"/>
        <v>798842917.98167586</v>
      </c>
      <c r="V53" s="42">
        <f>IFERROR(V5/$B53,0)</f>
        <v>0</v>
      </c>
    </row>
    <row r="54" spans="1:22" x14ac:dyDescent="0.25">
      <c r="A54" s="55" t="s">
        <v>1077</v>
      </c>
      <c r="B54" s="3">
        <v>0.99999979999999999</v>
      </c>
      <c r="C54" s="42">
        <f>IFERROR(C9/$B54,0)</f>
        <v>42134.606135262584</v>
      </c>
      <c r="D54" s="42">
        <f>IFERROR(D9/$B54,0)</f>
        <v>5995248.8806431359</v>
      </c>
      <c r="E54" s="42">
        <f>IFERROR(E9/$B54,0)</f>
        <v>0.32939015726161069</v>
      </c>
      <c r="F54" s="42">
        <f>IFERROR(F9/$B54,0)</f>
        <v>38.829430657338271</v>
      </c>
      <c r="G54" s="42">
        <f>IFERROR(G9/$B54,0)</f>
        <v>3.9133806744437316</v>
      </c>
      <c r="H54" s="42">
        <f>(IF(AND(C54&lt;&gt;0,D54&lt;&gt;0,E54&lt;&gt;0,F54&lt;&gt;0),1/((1/C54)+(1/D54)+(1/E54)+(1/F54)),IF(AND(C54&lt;&gt;0,D54&lt;&gt;0,E54&lt;&gt;0,F54=0), 1/((1/C54)+(1/D54)+(1/E54)),IF(AND(C54&lt;&gt;0,D54&lt;&gt;0,E54=0,F54&lt;&gt;0),1/((1/C54)+(1/D54)+(1/F54)),IF(AND(C54&lt;&gt;0,D54=0,E54&lt;&gt;0,F54&lt;&gt;0),1/((1/C54)+(1/E54)+(1/F54)),IF(AND(C54=0,D54&lt;&gt;0,E54&lt;&gt;0,F54&lt;&gt;0),1/((1/D54)+(1/E54)+(1/F54)),IF(AND(C54&lt;&gt;0,D54&lt;&gt;0,E54=0,F54=0),1/((1/C54)+(1/D54)),IF(AND(C54&lt;&gt;0,D54=0,E54&lt;&gt;0,F54=0),1/((1/C54)+(1/E54)),IF(AND(C54&lt;&gt;0,D54=0,E54=0,F54&lt;&gt;0),1/((1/C54)+(1/F54)),IF(AND(C54=0,D54=0,E54&lt;&gt;0,F54&lt;&gt;0),1/((1/E54)+(1/F54)),IF(AND(C54=0,D54&lt;&gt;0,E54=0,F54&lt;&gt;0),1/((1/D54)+(1/F54)),IF(AND(C54=0,D54&lt;&gt;0,E54&lt;&gt;0,F54=0),1/((1/D54)+(1/E54)),IF(AND(C54&lt;&gt;0,D54=0,E54=0,F54=0),1/((1/C54)),IF(AND(C54=0,D54&lt;&gt;0,E54=0,F54=0),1/((1/D54)),IF(AND(C54=0,D54=0,E54&lt;&gt;0,F54=0),1/((1/E54)),IF(AND(C54=0,D54=0,E54=0,F54&lt;&gt;0),1/((1/F54)),IF(AND(C54=0,D54=0,E54=0,F54=0),0)))))))))))))))))</f>
        <v>0.32661689403880723</v>
      </c>
      <c r="I54" s="42">
        <f t="shared" ref="I54:O54" si="58">IFERROR(I9/$B54,0)</f>
        <v>0.32939015726161069</v>
      </c>
      <c r="J54" s="42">
        <f t="shared" si="58"/>
        <v>1.8471535195060504</v>
      </c>
      <c r="K54" s="42">
        <f t="shared" si="58"/>
        <v>0.63917375754336359</v>
      </c>
      <c r="L54" s="42">
        <f t="shared" si="58"/>
        <v>0.39478379142384223</v>
      </c>
      <c r="M54" s="42">
        <f t="shared" si="58"/>
        <v>1.8125645967477486</v>
      </c>
      <c r="N54" s="42">
        <f t="shared" si="58"/>
        <v>4.4103970679687921</v>
      </c>
      <c r="O54" s="42">
        <f t="shared" si="58"/>
        <v>7.8519664331732093E-5</v>
      </c>
      <c r="P54" s="42">
        <f t="shared" si="51"/>
        <v>7.8518266446727565E-5</v>
      </c>
      <c r="Q54" s="42">
        <f>IFERROR(Q9/$B54,0)</f>
        <v>2462.7240803256504</v>
      </c>
      <c r="R54" s="42">
        <f>IFERROR(R9/$B54,0)</f>
        <v>0</v>
      </c>
      <c r="S54" s="42">
        <f>IFERROR(S9/$B54,0)</f>
        <v>1.2968231781660575</v>
      </c>
      <c r="T54" s="42">
        <f>IFERROR(T9/$B54,0)</f>
        <v>540.16083374154539</v>
      </c>
      <c r="U54" s="42">
        <f t="shared" si="52"/>
        <v>1.2930379516277097</v>
      </c>
      <c r="V54" s="42">
        <f>IFERROR(V9/$B54,0)</f>
        <v>95.973269530320337</v>
      </c>
    </row>
    <row r="55" spans="1:22" x14ac:dyDescent="0.25">
      <c r="A55" s="55" t="s">
        <v>1078</v>
      </c>
      <c r="B55" s="3">
        <v>1.9999999999999999E-7</v>
      </c>
      <c r="C55" s="42">
        <f>IFERROR(C24/$B55,0)</f>
        <v>0</v>
      </c>
      <c r="D55" s="42">
        <f>IFERROR(D24/$B55,0)</f>
        <v>0</v>
      </c>
      <c r="E55" s="42">
        <f>IFERROR(E24/$B55,0)</f>
        <v>3532275322.0739083</v>
      </c>
      <c r="F55" s="42">
        <f>IFERROR(F24/$B55,0)</f>
        <v>0</v>
      </c>
      <c r="G55" s="42">
        <f>IFERROR(G24/$B55,0)</f>
        <v>0</v>
      </c>
      <c r="H55" s="42">
        <f t="shared" si="53"/>
        <v>3532275322.0739083</v>
      </c>
      <c r="I55" s="42">
        <f t="shared" ref="I55:O55" si="59">IFERROR(I24/$B55,0)</f>
        <v>3532275322.0739083</v>
      </c>
      <c r="J55" s="42">
        <f t="shared" si="59"/>
        <v>17545942776.314846</v>
      </c>
      <c r="K55" s="42">
        <f t="shared" si="59"/>
        <v>6147776896.43398</v>
      </c>
      <c r="L55" s="42">
        <f t="shared" si="59"/>
        <v>3947837124.6708398</v>
      </c>
      <c r="M55" s="42">
        <f t="shared" si="59"/>
        <v>17775146495.949291</v>
      </c>
      <c r="N55" s="42">
        <f t="shared" si="59"/>
        <v>0</v>
      </c>
      <c r="O55" s="42">
        <f t="shared" si="59"/>
        <v>820992.20844654785</v>
      </c>
      <c r="P55" s="42">
        <f t="shared" si="51"/>
        <v>820992.20844654785</v>
      </c>
      <c r="Q55" s="42">
        <f>IFERROR(Q24/$B55,0)</f>
        <v>0</v>
      </c>
      <c r="R55" s="42">
        <f>IFERROR(R24/$B55,0)</f>
        <v>0</v>
      </c>
      <c r="S55" s="42">
        <f>IFERROR(S24/$B55,0)</f>
        <v>13512227976.685995</v>
      </c>
      <c r="T55" s="42">
        <f>IFERROR(T24/$B55,0)</f>
        <v>0</v>
      </c>
      <c r="U55" s="42">
        <f t="shared" si="52"/>
        <v>13512227976.685995</v>
      </c>
      <c r="V55" s="42">
        <f>IFERROR(V24/$B55,0)</f>
        <v>0</v>
      </c>
    </row>
    <row r="56" spans="1:22" x14ac:dyDescent="0.25">
      <c r="A56" s="55" t="s">
        <v>1079</v>
      </c>
      <c r="B56" s="3">
        <v>0.99979000004200003</v>
      </c>
      <c r="C56" s="42">
        <f>IFERROR(C20/$B56,0)</f>
        <v>0</v>
      </c>
      <c r="D56" s="42">
        <f>IFERROR(D20/$B56,0)</f>
        <v>0</v>
      </c>
      <c r="E56" s="42">
        <f>IFERROR(E20/$B56,0)</f>
        <v>6268.699877550308</v>
      </c>
      <c r="F56" s="42">
        <f>IFERROR(F20/$B56,0)</f>
        <v>0</v>
      </c>
      <c r="G56" s="42">
        <f>IFERROR(G20/$B56,0)</f>
        <v>0</v>
      </c>
      <c r="H56" s="42">
        <f t="shared" si="53"/>
        <v>6268.699877550308</v>
      </c>
      <c r="I56" s="42">
        <f t="shared" ref="I56:O56" si="60">IFERROR(I20/$B56,0)</f>
        <v>6268.699877550308</v>
      </c>
      <c r="J56" s="42">
        <f t="shared" si="60"/>
        <v>32221.11737060859</v>
      </c>
      <c r="K56" s="42">
        <f t="shared" si="60"/>
        <v>11266.124954758248</v>
      </c>
      <c r="L56" s="42">
        <f t="shared" si="60"/>
        <v>7128.5657899576518</v>
      </c>
      <c r="M56" s="42">
        <f t="shared" si="60"/>
        <v>32711.332054513328</v>
      </c>
      <c r="N56" s="42">
        <f t="shared" si="60"/>
        <v>0</v>
      </c>
      <c r="O56" s="42">
        <f t="shared" si="60"/>
        <v>1.4694525369280178</v>
      </c>
      <c r="P56" s="42">
        <f t="shared" si="51"/>
        <v>1.4694525369280178</v>
      </c>
      <c r="Q56" s="42">
        <f>IFERROR(Q20/$B56,0)</f>
        <v>0</v>
      </c>
      <c r="R56" s="42">
        <f>IFERROR(R20/$B56,0)</f>
        <v>0</v>
      </c>
      <c r="S56" s="42">
        <f>IFERROR(S20/$B56,0)</f>
        <v>24271.285242930102</v>
      </c>
      <c r="T56" s="42">
        <f>IFERROR(T20/$B56,0)</f>
        <v>0</v>
      </c>
      <c r="U56" s="42">
        <f t="shared" si="52"/>
        <v>24271.285242930102</v>
      </c>
      <c r="V56" s="42">
        <f>IFERROR(V20/$B56,0)</f>
        <v>0</v>
      </c>
    </row>
    <row r="57" spans="1:22" x14ac:dyDescent="0.25">
      <c r="A57" s="55" t="s">
        <v>1080</v>
      </c>
      <c r="B57" s="3">
        <v>2.0999995799999999E-4</v>
      </c>
      <c r="C57" s="42">
        <f>IFERROR(C29/$B57,0)</f>
        <v>0</v>
      </c>
      <c r="D57" s="42">
        <f>IFERROR(D29/$B57,0)</f>
        <v>0</v>
      </c>
      <c r="E57" s="42">
        <f>IFERROR(E29/$B57,0)</f>
        <v>854.12974281963955</v>
      </c>
      <c r="F57" s="42">
        <f>IFERROR(F29/$B57,0)</f>
        <v>0</v>
      </c>
      <c r="G57" s="42">
        <f>IFERROR(G29/$B57,0)</f>
        <v>0</v>
      </c>
      <c r="H57" s="42">
        <f t="shared" si="53"/>
        <v>854.12974281963955</v>
      </c>
      <c r="I57" s="42">
        <f t="shared" ref="I57:O57" si="61">IFERROR(I29/$B57,0)</f>
        <v>854.12974281963955</v>
      </c>
      <c r="J57" s="42">
        <f t="shared" si="61"/>
        <v>4676.8811527563194</v>
      </c>
      <c r="K57" s="42">
        <f t="shared" si="61"/>
        <v>1628.4681720850028</v>
      </c>
      <c r="L57" s="42">
        <f t="shared" si="61"/>
        <v>1013.2212801215805</v>
      </c>
      <c r="M57" s="42">
        <f t="shared" si="61"/>
        <v>4642.5716583365856</v>
      </c>
      <c r="N57" s="42">
        <f t="shared" si="61"/>
        <v>0</v>
      </c>
      <c r="O57" s="42">
        <f t="shared" si="61"/>
        <v>0.20139784033139074</v>
      </c>
      <c r="P57" s="42">
        <f t="shared" si="51"/>
        <v>0.20139784033139074</v>
      </c>
      <c r="Q57" s="42">
        <f>IFERROR(Q29/$B57,0)</f>
        <v>0</v>
      </c>
      <c r="R57" s="42">
        <f>IFERROR(R29/$B57,0)</f>
        <v>0</v>
      </c>
      <c r="S57" s="42">
        <f>IFERROR(S29/$B57,0)</f>
        <v>3336.8549613629552</v>
      </c>
      <c r="T57" s="42">
        <f>IFERROR(T29/$B57,0)</f>
        <v>0</v>
      </c>
      <c r="U57" s="42">
        <f t="shared" si="52"/>
        <v>3336.8549613629552</v>
      </c>
      <c r="V57" s="42">
        <f>IFERROR(V29/$B57,0)</f>
        <v>0</v>
      </c>
    </row>
    <row r="58" spans="1:22" x14ac:dyDescent="0.25">
      <c r="A58" s="55" t="s">
        <v>1081</v>
      </c>
      <c r="B58" s="3">
        <v>1</v>
      </c>
      <c r="C58" s="42">
        <f>IFERROR(C16/$B58,0)</f>
        <v>6.1549559397479054</v>
      </c>
      <c r="D58" s="42">
        <f>IFERROR(D16/$B58,0)</f>
        <v>9834.8825756943661</v>
      </c>
      <c r="E58" s="42">
        <f>IFERROR(E16/$B58,0)</f>
        <v>1438.1406668443772</v>
      </c>
      <c r="F58" s="42">
        <f>IFERROR(F16/$B58,0)</f>
        <v>3.2166178583788889E-2</v>
      </c>
      <c r="G58" s="42">
        <f>IFERROR(G16/$B58,0)</f>
        <v>5.7166039595428616E-4</v>
      </c>
      <c r="H58" s="42">
        <f t="shared" si="53"/>
        <v>3.1998134025689212E-2</v>
      </c>
      <c r="I58" s="42">
        <f t="shared" ref="I58:O58" si="62">IFERROR(I16/$B58,0)</f>
        <v>1438.1406668443772</v>
      </c>
      <c r="J58" s="42">
        <f t="shared" si="62"/>
        <v>2262.2437455978966</v>
      </c>
      <c r="K58" s="42">
        <f t="shared" si="62"/>
        <v>1464.2886789688207</v>
      </c>
      <c r="L58" s="42">
        <f t="shared" si="62"/>
        <v>1438.1406668443772</v>
      </c>
      <c r="M58" s="42">
        <f t="shared" si="62"/>
        <v>1186.1019412965243</v>
      </c>
      <c r="N58" s="42">
        <f t="shared" si="62"/>
        <v>7.2350186187777887E-3</v>
      </c>
      <c r="O58" s="42">
        <f t="shared" si="62"/>
        <v>0.11852966066744214</v>
      </c>
      <c r="P58" s="42">
        <f t="shared" si="51"/>
        <v>6.8188008483262659E-3</v>
      </c>
      <c r="Q58" s="42">
        <f>IFERROR(Q16/$B58,0)</f>
        <v>0.35975079860720038</v>
      </c>
      <c r="R58" s="42">
        <f>IFERROR(R16/$B58,0)</f>
        <v>0</v>
      </c>
      <c r="S58" s="42">
        <f>IFERROR(S16/$B58,0)</f>
        <v>1832.2085274809085</v>
      </c>
      <c r="T58" s="42">
        <f>IFERROR(T16/$B58,0)</f>
        <v>0.13364451012117334</v>
      </c>
      <c r="U58" s="42">
        <f t="shared" si="52"/>
        <v>9.7439439534219158E-2</v>
      </c>
      <c r="V58" s="42">
        <f>IFERROR(V16/$B58,0)</f>
        <v>1.4019621862759119E-2</v>
      </c>
    </row>
    <row r="59" spans="1:22" x14ac:dyDescent="0.25">
      <c r="A59" s="55" t="s">
        <v>1082</v>
      </c>
      <c r="B59" s="3">
        <v>1</v>
      </c>
      <c r="C59" s="42">
        <f>IFERROR(C7/$B59,0)</f>
        <v>3487.8083658571463</v>
      </c>
      <c r="D59" s="42">
        <f>IFERROR(D7/$B59,0)</f>
        <v>406194.12281806185</v>
      </c>
      <c r="E59" s="42">
        <f>IFERROR(E7/$B59,0)</f>
        <v>549.73295114870382</v>
      </c>
      <c r="F59" s="42">
        <f>IFERROR(F7/$B59,0)</f>
        <v>3.2142133393479835</v>
      </c>
      <c r="G59" s="42">
        <f>IFERROR(G7/$B59,0)</f>
        <v>0.32394089104076218</v>
      </c>
      <c r="H59" s="42">
        <f t="shared" si="53"/>
        <v>3.1925793587831328</v>
      </c>
      <c r="I59" s="42">
        <f t="shared" ref="I59:O59" si="63">IFERROR(I7/$B59,0)</f>
        <v>549.73295114870382</v>
      </c>
      <c r="J59" s="42">
        <f t="shared" si="63"/>
        <v>958.76044456291811</v>
      </c>
      <c r="K59" s="42">
        <f t="shared" si="63"/>
        <v>662.84672710522727</v>
      </c>
      <c r="L59" s="42">
        <f t="shared" si="63"/>
        <v>561.22562608561054</v>
      </c>
      <c r="M59" s="42">
        <f t="shared" si="63"/>
        <v>73.328809476166882</v>
      </c>
      <c r="N59" s="42">
        <f t="shared" si="63"/>
        <v>0.29881617993993198</v>
      </c>
      <c r="O59" s="42">
        <f t="shared" si="63"/>
        <v>2.1638554331149321E-2</v>
      </c>
      <c r="P59" s="42">
        <f t="shared" si="51"/>
        <v>2.0177421186690876E-2</v>
      </c>
      <c r="Q59" s="42">
        <f>IFERROR(Q7/$B59,0)</f>
        <v>203.85878587741354</v>
      </c>
      <c r="R59" s="42">
        <f>IFERROR(R7/$B59,0)</f>
        <v>0</v>
      </c>
      <c r="S59" s="42">
        <f>IFERROR(S7/$B59,0)</f>
        <v>670.17023320610406</v>
      </c>
      <c r="T59" s="42">
        <f>IFERROR(T7/$B59,0)</f>
        <v>44.713304517054127</v>
      </c>
      <c r="U59" s="42">
        <f t="shared" si="52"/>
        <v>34.767827708442141</v>
      </c>
      <c r="V59" s="42">
        <f>IFERROR(V7/$B59,0)</f>
        <v>7.9444523888968339</v>
      </c>
    </row>
    <row r="60" spans="1:22" x14ac:dyDescent="0.25">
      <c r="A60" s="55" t="s">
        <v>1083</v>
      </c>
      <c r="B60" s="3">
        <v>1.9000000000000001E-8</v>
      </c>
      <c r="C60" s="42">
        <f>IFERROR(C12/$B60,0)</f>
        <v>0</v>
      </c>
      <c r="D60" s="42">
        <f>IFERROR(D12/$B60,0)</f>
        <v>0</v>
      </c>
      <c r="E60" s="42">
        <f>IFERROR(E12/$B60,0)</f>
        <v>258459169.90784696</v>
      </c>
      <c r="F60" s="42">
        <f>IFERROR(F12/$B60,0)</f>
        <v>0</v>
      </c>
      <c r="G60" s="42">
        <f>IFERROR(G12/$B60,0)</f>
        <v>0</v>
      </c>
      <c r="H60" s="42">
        <f t="shared" si="53"/>
        <v>258459169.90784696</v>
      </c>
      <c r="I60" s="42">
        <f t="shared" ref="I60:O60" si="64">IFERROR(I12/$B60,0)</f>
        <v>258459169.90784696</v>
      </c>
      <c r="J60" s="42">
        <f t="shared" si="64"/>
        <v>1142514928.9726927</v>
      </c>
      <c r="K60" s="42">
        <f t="shared" si="64"/>
        <v>409539167.776685</v>
      </c>
      <c r="L60" s="42">
        <f t="shared" si="64"/>
        <v>276138787.39340001</v>
      </c>
      <c r="M60" s="42">
        <f t="shared" si="64"/>
        <v>909163268.31983674</v>
      </c>
      <c r="N60" s="42">
        <f t="shared" si="64"/>
        <v>0</v>
      </c>
      <c r="O60" s="42">
        <f t="shared" si="64"/>
        <v>52846.904746653963</v>
      </c>
      <c r="P60" s="42">
        <f t="shared" si="51"/>
        <v>52846.904746653963</v>
      </c>
      <c r="Q60" s="42">
        <f>IFERROR(Q12/$B60,0)</f>
        <v>0</v>
      </c>
      <c r="R60" s="42">
        <f>IFERROR(R12/$B60,0)</f>
        <v>0</v>
      </c>
      <c r="S60" s="42">
        <f>IFERROR(S12/$B60,0)</f>
        <v>883284960.17434323</v>
      </c>
      <c r="T60" s="42">
        <f>IFERROR(T12/$B60,0)</f>
        <v>0</v>
      </c>
      <c r="U60" s="42">
        <f t="shared" si="52"/>
        <v>883284960.17434323</v>
      </c>
      <c r="V60" s="42">
        <f>IFERROR(V12/$B60,0)</f>
        <v>0</v>
      </c>
    </row>
    <row r="61" spans="1:22" x14ac:dyDescent="0.25">
      <c r="A61" s="55" t="s">
        <v>1084</v>
      </c>
      <c r="B61" s="3">
        <v>1</v>
      </c>
      <c r="C61" s="42">
        <f>IFERROR(C18/$B61,0)</f>
        <v>3.5874600334530649</v>
      </c>
      <c r="D61" s="42">
        <f>IFERROR(D18/$B61,0)</f>
        <v>12671.867934067739</v>
      </c>
      <c r="E61" s="42">
        <f>IFERROR(E18/$B61,0)</f>
        <v>53335.018108135846</v>
      </c>
      <c r="F61" s="42">
        <f>IFERROR(F18/$B61,0)</f>
        <v>0.15427752863046693</v>
      </c>
      <c r="G61" s="42">
        <f>IFERROR(G18/$B61,0)</f>
        <v>3.3319634507049818E-4</v>
      </c>
      <c r="H61" s="42">
        <f t="shared" si="53"/>
        <v>0.1479142947667921</v>
      </c>
      <c r="I61" s="42">
        <f t="shared" ref="I61:O61" si="65">IFERROR(I18/$B61,0)</f>
        <v>53335.018108135846</v>
      </c>
      <c r="J61" s="42">
        <f t="shared" si="65"/>
        <v>274866.47557435196</v>
      </c>
      <c r="K61" s="42">
        <f t="shared" si="65"/>
        <v>95876.044456291798</v>
      </c>
      <c r="L61" s="42">
        <f t="shared" si="65"/>
        <v>61012.028290367518</v>
      </c>
      <c r="M61" s="42">
        <f t="shared" si="65"/>
        <v>279158.48292987613</v>
      </c>
      <c r="N61" s="42">
        <f t="shared" si="65"/>
        <v>9.3220432203483042E-3</v>
      </c>
      <c r="O61" s="42">
        <f t="shared" si="65"/>
        <v>12.545498915587698</v>
      </c>
      <c r="P61" s="42">
        <f t="shared" si="51"/>
        <v>9.3151215374276831E-3</v>
      </c>
      <c r="Q61" s="42">
        <f>IFERROR(Q18/$B61,0)</f>
        <v>0.2096833226167682</v>
      </c>
      <c r="R61" s="42">
        <f>IFERROR(R18/$B61,0)</f>
        <v>0</v>
      </c>
      <c r="S61" s="42">
        <f>IFERROR(S18/$B61,0)</f>
        <v>206954.12382944976</v>
      </c>
      <c r="T61" s="42">
        <f>IFERROR(T18/$B61,0)</f>
        <v>8.9583750713561949E-2</v>
      </c>
      <c r="U61" s="42">
        <f t="shared" si="52"/>
        <v>6.2767388994604156E-2</v>
      </c>
      <c r="V61" s="42">
        <f>IFERROR(V18/$B61,0)</f>
        <v>8.1714367428653151E-3</v>
      </c>
    </row>
    <row r="62" spans="1:22" x14ac:dyDescent="0.25">
      <c r="A62" s="55" t="s">
        <v>1085</v>
      </c>
      <c r="B62" s="3">
        <v>1.339E-6</v>
      </c>
      <c r="C62" s="42">
        <f>IFERROR(C27/$B62,0)</f>
        <v>0</v>
      </c>
      <c r="D62" s="42">
        <f>IFERROR(D27/$B62,0)</f>
        <v>0</v>
      </c>
      <c r="E62" s="42">
        <f>IFERROR(E27/$B62,0)</f>
        <v>175866334.18341595</v>
      </c>
      <c r="F62" s="42">
        <f>IFERROR(F27/$B62,0)</f>
        <v>0</v>
      </c>
      <c r="G62" s="42">
        <f>IFERROR(G27/$B62,0)</f>
        <v>0</v>
      </c>
      <c r="H62" s="42">
        <f t="shared" si="53"/>
        <v>175866334.18341595</v>
      </c>
      <c r="I62" s="42">
        <f t="shared" ref="I62:O62" si="66">IFERROR(I27/$B62,0)</f>
        <v>175866334.18341595</v>
      </c>
      <c r="J62" s="42">
        <f t="shared" si="66"/>
        <v>296287124.58486819</v>
      </c>
      <c r="K62" s="42">
        <f t="shared" si="66"/>
        <v>212531046.96370408</v>
      </c>
      <c r="L62" s="42">
        <f t="shared" si="66"/>
        <v>180348684.52991977</v>
      </c>
      <c r="M62" s="42">
        <f t="shared" si="66"/>
        <v>31408684.812749952</v>
      </c>
      <c r="N62" s="42">
        <f t="shared" si="66"/>
        <v>0</v>
      </c>
      <c r="O62" s="42">
        <f t="shared" si="66"/>
        <v>10502.117293887361</v>
      </c>
      <c r="P62" s="42">
        <f t="shared" si="51"/>
        <v>10502.117293887361</v>
      </c>
      <c r="Q62" s="42">
        <f>IFERROR(Q27/$B62,0)</f>
        <v>0</v>
      </c>
      <c r="R62" s="42">
        <f>IFERROR(R27/$B62,0)</f>
        <v>0</v>
      </c>
      <c r="S62" s="42">
        <f>IFERROR(S27/$B62,0)</f>
        <v>313998238.26959479</v>
      </c>
      <c r="T62" s="42">
        <f>IFERROR(T27/$B62,0)</f>
        <v>0</v>
      </c>
      <c r="U62" s="42">
        <f t="shared" si="52"/>
        <v>313998238.26959479</v>
      </c>
      <c r="V62" s="42">
        <f>IFERROR(V27/$B62,0)</f>
        <v>0</v>
      </c>
    </row>
    <row r="63" spans="1:22" x14ac:dyDescent="0.25">
      <c r="A63" s="109" t="s">
        <v>23</v>
      </c>
      <c r="B63" s="39" t="s">
        <v>1221</v>
      </c>
      <c r="C63" s="40">
        <f>1/SUM(1/C66,1/C68,1/C72,1/C73,1/C75)</f>
        <v>2.2646897455493007</v>
      </c>
      <c r="D63" s="40">
        <f>1/SUM(1/D64,1/D65,1/D66,1/D68,1/D72,1/D73,1/D75)</f>
        <v>5449.6078308188344</v>
      </c>
      <c r="E63" s="40">
        <f>1/SUM(1/E64,1/E65,1/E66,1/E67,1/E68,1/E69,1/E70,1/E71,1/E72,1/E73,1/E74,1/E75,1/E76)</f>
        <v>0.28916549238193262</v>
      </c>
      <c r="F63" s="40">
        <f>1/SUM(1/F66,1/F68,1/F72,1/F73,1/F75)</f>
        <v>2.6375957278717187E-2</v>
      </c>
      <c r="G63" s="40">
        <f>1/SUM(1/G66,1/G68,1/G72,1/G73,1/G75)</f>
        <v>2.1034000069663383E-4</v>
      </c>
      <c r="H63" s="41">
        <f>1/SUM(1/H64,1/H65,1/H66,1/H67,1/H68,1/H69,1/H70,1/H71,1/H72,1/H73,1/H74,1/H75,1/H76)</f>
        <v>2.3915842101584386E-2</v>
      </c>
      <c r="I63" s="40">
        <f>1/SUM(1/I64,1/I65,1/I66,1/I67,1/I68,1/I69,1/I70,1/I71,1/I72,1/I73,1/I74,1/I75,1/I76)</f>
        <v>0.28916549238193262</v>
      </c>
      <c r="J63" s="40">
        <f t="shared" ref="J63:M63" si="67">1/SUM(1/J64,1/J65,1/J66,1/J67,1/J68,1/J69,1/J70,1/J71,1/J72,1/J73,1/J74,1/J75,1/J76)</f>
        <v>1.5714346857215473</v>
      </c>
      <c r="K63" s="40">
        <f>1/SUM(1/K64,1/K66,1/K68,1/K69,1/K70,1/K71,1/K72,1/K73,1/K74,1/K75,1/K76)</f>
        <v>0.54632693321139325</v>
      </c>
      <c r="L63" s="40">
        <f t="shared" si="67"/>
        <v>0.34156159618678228</v>
      </c>
      <c r="M63" s="40">
        <f t="shared" si="67"/>
        <v>1.512924673294987</v>
      </c>
      <c r="N63" s="40">
        <f>1/SUM(1/N64,1/N65,1/N66,1/N68,1/N72,1/N73,1/N75)</f>
        <v>4.0089969369286335E-3</v>
      </c>
      <c r="O63" s="40">
        <f t="shared" ref="O63" si="68">1/SUM(1/O64,1/O65,1/O66,1/O67,1/O68,1/O69,1/O70,1/O71,1/O72,1/O73,1/O74,1/O75,1/O76)</f>
        <v>6.7626925980444143E-5</v>
      </c>
      <c r="P63" s="41">
        <f>1/SUM(1/P64,1/P65,1/P66,1/P67,1/P68,1/P69,1/P70,1/P71,1/P72,1/P73,1/P74,1/P75,1/P76)</f>
        <v>6.6505066012156341E-5</v>
      </c>
      <c r="Q63" s="40">
        <f>1/SUM(1/Q66,1/Q68,1/Q72,1/Q73,1/Q75)</f>
        <v>0.1323687695792454</v>
      </c>
      <c r="R63" s="40">
        <f>1/SUM(1/R64)</f>
        <v>49.28870241329809</v>
      </c>
      <c r="S63" s="40">
        <f t="shared" ref="S63" si="69">1/SUM(1/S64,1/S65,1/S66,1/S67,1/S68,1/S69,1/S70,1/S71,1/S72,1/S73,1/S74,1/S75,1/S76)</f>
        <v>1.1181461018079726</v>
      </c>
      <c r="T63" s="40">
        <f>1/SUM(1/T66,1/T68,1/T72,1/T73,1/T75)</f>
        <v>5.3559134947096299E-2</v>
      </c>
      <c r="U63" s="41">
        <f>1/SUM(1/U64,1/U65,1/U66,1/U67,1/U68,1/U69,1/U70,1/U71,1/U72,1/U73,1/U74,1/U75,1/U76)</f>
        <v>3.6845672206542723E-2</v>
      </c>
      <c r="V63" s="41">
        <f>1/SUM(1/V66,1/V68,1/V72,1/V73,1/V75)</f>
        <v>5.1584599759734086E-3</v>
      </c>
    </row>
    <row r="64" spans="1:22" x14ac:dyDescent="0.25">
      <c r="A64" s="55" t="s">
        <v>1075</v>
      </c>
      <c r="B64" s="3">
        <v>1</v>
      </c>
      <c r="C64" s="42">
        <f>IFERROR(C25/$B50,0)</f>
        <v>0</v>
      </c>
      <c r="D64" s="42">
        <f>IFERROR(D25/$B50,0)</f>
        <v>33500162.617758323</v>
      </c>
      <c r="E64" s="42">
        <f>IFERROR(E25/$B50,0)</f>
        <v>1412.9101288295633</v>
      </c>
      <c r="F64" s="42">
        <f>IFERROR(F25/$B50,0)</f>
        <v>0</v>
      </c>
      <c r="G64" s="42">
        <f>IFERROR(G25/$B50,0)</f>
        <v>0</v>
      </c>
      <c r="H64" s="42">
        <f t="shared" ref="H64:H76" si="70">(IF(AND(C64&lt;&gt;0,D64&lt;&gt;0,E64&lt;&gt;0,F64&lt;&gt;0),1/((1/C64)+(1/D64)+(1/E64)+(1/F64)),IF(AND(C64&lt;&gt;0,D64&lt;&gt;0,E64&lt;&gt;0,F64=0), 1/((1/C64)+(1/D64)+(1/E64)),IF(AND(C64&lt;&gt;0,D64&lt;&gt;0,E64=0,F64&lt;&gt;0),1/((1/C64)+(1/D64)+(1/F64)),IF(AND(C64&lt;&gt;0,D64=0,E64&lt;&gt;0,F64&lt;&gt;0),1/((1/C64)+(1/E64)+(1/F64)),IF(AND(C64=0,D64&lt;&gt;0,E64&lt;&gt;0,F64&lt;&gt;0),1/((1/D64)+(1/E64)+(1/F64)),IF(AND(C64&lt;&gt;0,D64&lt;&gt;0,E64=0,F64=0),1/((1/C64)+(1/D64)),IF(AND(C64&lt;&gt;0,D64=0,E64&lt;&gt;0,F64=0),1/((1/C64)+(1/E64)),IF(AND(C64&lt;&gt;0,D64=0,E64=0,F64&lt;&gt;0),1/((1/C64)+(1/F64)),IF(AND(C64=0,D64=0,E64&lt;&gt;0,F64&lt;&gt;0),1/((1/E64)+(1/F64)),IF(AND(C64=0,D64&lt;&gt;0,E64=0,F64&lt;&gt;0),1/((1/D64)+(1/F64)),IF(AND(C64=0,D64&lt;&gt;0,E64&lt;&gt;0,F64=0),1/((1/D64)+(1/E64)),IF(AND(C64&lt;&gt;0,D64=0,E64=0,F64=0),1/((1/C64)),IF(AND(C64=0,D64&lt;&gt;0,E64=0,F64=0),1/((1/D64)),IF(AND(C64=0,D64=0,E64&lt;&gt;0,F64=0),1/((1/E64)),IF(AND(C64=0,D64=0,E64=0,F64&lt;&gt;0),1/((1/F64)),IF(AND(C64=0,D64=0,E64=0,F64=0),0)))))))))))))))))</f>
        <v>1412.850540138563</v>
      </c>
      <c r="I64" s="42">
        <f t="shared" ref="I64:O64" si="71">IFERROR(I25/$B50,0)</f>
        <v>1412.9101288295633</v>
      </c>
      <c r="J64" s="42">
        <f t="shared" si="71"/>
        <v>6825.0743511258579</v>
      </c>
      <c r="K64" s="42">
        <f t="shared" si="71"/>
        <v>2393.3395941540894</v>
      </c>
      <c r="L64" s="42">
        <f t="shared" si="71"/>
        <v>1548.7668719862525</v>
      </c>
      <c r="M64" s="42">
        <f t="shared" si="71"/>
        <v>6918.9279908963908</v>
      </c>
      <c r="N64" s="42">
        <f t="shared" si="71"/>
        <v>24.644351206649045</v>
      </c>
      <c r="O64" s="42">
        <f t="shared" si="71"/>
        <v>0.32270213973621537</v>
      </c>
      <c r="P64" s="42">
        <f t="shared" si="51"/>
        <v>0.31853117612486836</v>
      </c>
      <c r="Q64" s="42">
        <f>IFERROR(Q25/$B50,0)</f>
        <v>0</v>
      </c>
      <c r="R64" s="42">
        <f>IFERROR(R25/$B50,0)</f>
        <v>49.28870241329809</v>
      </c>
      <c r="S64" s="42">
        <f>IFERROR(S25/$B50,0)</f>
        <v>5311.4555716866753</v>
      </c>
      <c r="T64" s="42">
        <f>IFERROR(T25/$B50,0)</f>
        <v>0</v>
      </c>
      <c r="U64" s="42">
        <f>(IF(AND(Q64&lt;&gt;0,R64&lt;&gt;0,S64&lt;&gt;0,T64&lt;&gt;0),1/((1/Q64)+(1/R64)+(1/S64)+(1/T64)),IF(AND(Q64&lt;&gt;0,R64&lt;&gt;0,S64&lt;&gt;0,T64=0), 1/((1/Q64)+(1/R64)+(1/S64)),IF(AND(Q64&lt;&gt;0,R64&lt;&gt;0,S64=0,T64&lt;&gt;0),1/((1/Q64)+(1/R64)+(1/T64)),IF(AND(Q64&lt;&gt;0,R64=0,S64&lt;&gt;0,T64&lt;&gt;0),1/((1/Q64)+(1/S64)+(1/T64)),IF(AND(Q64=0,R64&lt;&gt;0,S64&lt;&gt;0,T64&lt;&gt;0),1/((1/R64)+(1/S64)+(1/T64)),IF(AND(Q64&lt;&gt;0,R64&lt;&gt;0,S64=0,T64=0),1/((1/Q64)+(1/R64)),IF(AND(Q64&lt;&gt;0,R64=0,S64&lt;&gt;0,T64=0),1/((1/Q64)+(1/S64)),IF(AND(Q64&lt;&gt;0,R64=0,S64=0,T64&lt;&gt;0),1/((1/Q64)+(1/T64)),IF(AND(Q64=0,R64=0,S64&lt;&gt;0,T64&lt;&gt;0),1/((1/S64)+(1/T64)),IF(AND(Q64=0,R64&lt;&gt;0,S64=0,T64&lt;&gt;0),1/((1/R64)+(1/T64)),IF(AND(Q64=0,R64&lt;&gt;0,S64&lt;&gt;0,T64=0),1/((1/R64)+(1/S64)),IF(AND(Q64&lt;&gt;0,R64=0,S64=0,T64=0),1/((1/Q64)),IF(AND(Q64=0,R64&lt;&gt;0,S64=0,T64=0),1/((1/R64)),IF(AND(Q64=0,R64=0,S64&lt;&gt;0,T64=0),1/((1/S64)),IF(AND(Q64=0,R64=0,S64=0,T64&lt;&gt;0),1/((1/T64)),IF(AND(Q64=0,R64=0,S64=0,T64=0),0)))))))))))))))))</f>
        <v>48.835523514740295</v>
      </c>
      <c r="V64" s="42">
        <f>IFERROR(V25/$B50,0)</f>
        <v>0</v>
      </c>
    </row>
    <row r="65" spans="1:22" x14ac:dyDescent="0.25">
      <c r="A65" s="55" t="s">
        <v>1061</v>
      </c>
      <c r="B65" s="3">
        <v>1</v>
      </c>
      <c r="C65" s="42">
        <f>IFERROR(C21/$B51,0)</f>
        <v>0</v>
      </c>
      <c r="D65" s="42">
        <f>IFERROR(D21/$B51,0)</f>
        <v>28796071.541511413</v>
      </c>
      <c r="E65" s="42">
        <f>IFERROR(E21/$B51,0)</f>
        <v>362284648.41783684</v>
      </c>
      <c r="F65" s="42">
        <f>IFERROR(F21/$B51,0)</f>
        <v>0</v>
      </c>
      <c r="G65" s="42">
        <f>IFERROR(G21/$B51,0)</f>
        <v>0</v>
      </c>
      <c r="H65" s="42">
        <f t="shared" si="70"/>
        <v>26675758.025902566</v>
      </c>
      <c r="I65" s="42">
        <f t="shared" ref="I65:O65" si="72">IFERROR(I21/$B51,0)</f>
        <v>362284648.41783684</v>
      </c>
      <c r="J65" s="42">
        <f t="shared" si="72"/>
        <v>771416449.64832497</v>
      </c>
      <c r="K65" s="42">
        <f t="shared" si="72"/>
        <v>412370083.68297559</v>
      </c>
      <c r="L65" s="42">
        <f t="shared" si="72"/>
        <v>362284648.41783684</v>
      </c>
      <c r="M65" s="42">
        <f t="shared" si="72"/>
        <v>430048657.07827199</v>
      </c>
      <c r="N65" s="42">
        <f t="shared" si="72"/>
        <v>21.183792703878115</v>
      </c>
      <c r="O65" s="42">
        <f t="shared" si="72"/>
        <v>2130.8194723040174</v>
      </c>
      <c r="P65" s="42">
        <f t="shared" si="51"/>
        <v>20.975264640460317</v>
      </c>
      <c r="Q65" s="42">
        <f>IFERROR(Q21/$B51,0)</f>
        <v>0</v>
      </c>
      <c r="R65" s="42">
        <f>IFERROR(R21/$B51,0)</f>
        <v>0</v>
      </c>
      <c r="S65" s="42">
        <f>IFERROR(S21/$B51,0)</f>
        <v>69828926.396999657</v>
      </c>
      <c r="T65" s="42">
        <f>IFERROR(T21/$B51,0)</f>
        <v>0</v>
      </c>
      <c r="U65" s="42">
        <f t="shared" ref="U65:U76" si="73">(IF(AND(Q65&lt;&gt;0,R65&lt;&gt;0,S65&lt;&gt;0,T65&lt;&gt;0),1/((1/Q65)+(1/R65)+(1/S65)+(1/T65)),IF(AND(Q65&lt;&gt;0,R65&lt;&gt;0,S65&lt;&gt;0,T65=0), 1/((1/Q65)+(1/R65)+(1/S65)),IF(AND(Q65&lt;&gt;0,R65&lt;&gt;0,S65=0,T65&lt;&gt;0),1/((1/Q65)+(1/R65)+(1/T65)),IF(AND(Q65&lt;&gt;0,R65=0,S65&lt;&gt;0,T65&lt;&gt;0),1/((1/Q65)+(1/S65)+(1/T65)),IF(AND(Q65=0,R65&lt;&gt;0,S65&lt;&gt;0,T65&lt;&gt;0),1/((1/R65)+(1/S65)+(1/T65)),IF(AND(Q65&lt;&gt;0,R65&lt;&gt;0,S65=0,T65=0),1/((1/Q65)+(1/R65)),IF(AND(Q65&lt;&gt;0,R65=0,S65&lt;&gt;0,T65=0),1/((1/Q65)+(1/S65)),IF(AND(Q65&lt;&gt;0,R65=0,S65=0,T65&lt;&gt;0),1/((1/Q65)+(1/T65)),IF(AND(Q65=0,R65=0,S65&lt;&gt;0,T65&lt;&gt;0),1/((1/S65)+(1/T65)),IF(AND(Q65=0,R65&lt;&gt;0,S65=0,T65&lt;&gt;0),1/((1/R65)+(1/T65)),IF(AND(Q65=0,R65&lt;&gt;0,S65&lt;&gt;0,T65=0),1/((1/R65)+(1/S65)),IF(AND(Q65&lt;&gt;0,R65=0,S65=0,T65=0),1/((1/Q65)),IF(AND(Q65=0,R65&lt;&gt;0,S65=0,T65=0),1/((1/R65)),IF(AND(Q65=0,R65=0,S65&lt;&gt;0,T65=0),1/((1/S65)),IF(AND(Q65=0,R65=0,S65=0,T65&lt;&gt;0),1/((1/T65)),IF(AND(Q65=0,R65=0,S65=0,T65=0),0)))))))))))))))))</f>
        <v>69828926.396999657</v>
      </c>
      <c r="V65" s="42">
        <f>IFERROR(V21/$B51,0)</f>
        <v>0</v>
      </c>
    </row>
    <row r="66" spans="1:22" x14ac:dyDescent="0.25">
      <c r="A66" s="55" t="s">
        <v>1062</v>
      </c>
      <c r="B66" s="3">
        <v>0.99980000000000002</v>
      </c>
      <c r="C66" s="42">
        <f>IFERROR(C17/$B52,0)</f>
        <v>31554.326234809087</v>
      </c>
      <c r="D66" s="42">
        <f>IFERROR(D17/$B52,0)</f>
        <v>4709655.7754966654</v>
      </c>
      <c r="E66" s="42">
        <f>IFERROR(E17/$B52,0)</f>
        <v>2.3938183578256549</v>
      </c>
      <c r="F66" s="42">
        <f>IFERROR(F17/$B52,0)</f>
        <v>164.9048510981828</v>
      </c>
      <c r="G66" s="42">
        <f>IFERROR(G17/$B52,0)</f>
        <v>2.9307047533796791</v>
      </c>
      <c r="H66" s="42">
        <f t="shared" si="70"/>
        <v>2.3593884330221075</v>
      </c>
      <c r="I66" s="42">
        <f t="shared" ref="I66:O66" si="74">IFERROR(I17/$B52,0)</f>
        <v>2.3938183578256549</v>
      </c>
      <c r="J66" s="42">
        <f t="shared" si="74"/>
        <v>10.740265032111104</v>
      </c>
      <c r="K66" s="42">
        <f t="shared" si="74"/>
        <v>3.808604621315995</v>
      </c>
      <c r="L66" s="42">
        <f t="shared" si="74"/>
        <v>2.5612714702967661</v>
      </c>
      <c r="M66" s="42">
        <f t="shared" si="74"/>
        <v>10.594057958149067</v>
      </c>
      <c r="N66" s="42">
        <f t="shared" si="74"/>
        <v>3.464652166561021</v>
      </c>
      <c r="O66" s="42">
        <f t="shared" si="74"/>
        <v>5.030507919094202E-4</v>
      </c>
      <c r="P66" s="42">
        <f t="shared" si="51"/>
        <v>5.0297776196317901E-4</v>
      </c>
      <c r="Q66" s="42">
        <f>IFERROR(Q17/$B52,0)</f>
        <v>1844.3176805177334</v>
      </c>
      <c r="R66" s="42">
        <f>IFERROR(R17/$B52,0)</f>
        <v>0</v>
      </c>
      <c r="S66" s="42">
        <f>IFERROR(S17/$B52,0)</f>
        <v>8.2884099432093468</v>
      </c>
      <c r="T66" s="42">
        <f>IFERROR(T17/$B52,0)</f>
        <v>685.1490917459713</v>
      </c>
      <c r="U66" s="42">
        <f t="shared" si="73"/>
        <v>8.1531390875927823</v>
      </c>
      <c r="V66" s="42">
        <f>IFERROR(V17/$B52,0)</f>
        <v>71.873743090398492</v>
      </c>
    </row>
    <row r="67" spans="1:22" x14ac:dyDescent="0.25">
      <c r="A67" s="55" t="s">
        <v>1076</v>
      </c>
      <c r="B67" s="3">
        <v>2.0000000000000001E-4</v>
      </c>
      <c r="C67" s="42">
        <f>IFERROR(C5/$B53,0)</f>
        <v>0</v>
      </c>
      <c r="D67" s="42">
        <f>IFERROR(D5/$B53,0)</f>
        <v>0</v>
      </c>
      <c r="E67" s="42">
        <f>IFERROR(E5/$B53,0)</f>
        <v>300282913.28592509</v>
      </c>
      <c r="F67" s="42">
        <f>IFERROR(F5/$B53,0)</f>
        <v>0</v>
      </c>
      <c r="G67" s="42">
        <f>IFERROR(G5/$B53,0)</f>
        <v>0</v>
      </c>
      <c r="H67" s="42">
        <f t="shared" si="70"/>
        <v>300282913.28592509</v>
      </c>
      <c r="I67" s="42">
        <f t="shared" ref="I67:O67" si="75">IFERROR(I5/$B53,0)</f>
        <v>300282913.28592509</v>
      </c>
      <c r="J67" s="42">
        <f t="shared" si="75"/>
        <v>529492947.68760759</v>
      </c>
      <c r="K67" s="42">
        <f t="shared" si="75"/>
        <v>377570920.50297761</v>
      </c>
      <c r="L67" s="42">
        <f t="shared" si="75"/>
        <v>312882196.36085904</v>
      </c>
      <c r="M67" s="42">
        <f t="shared" si="75"/>
        <v>114392942.78282037</v>
      </c>
      <c r="N67" s="42">
        <f t="shared" si="75"/>
        <v>0</v>
      </c>
      <c r="O67" s="42">
        <f t="shared" si="75"/>
        <v>28483.403150186354</v>
      </c>
      <c r="P67" s="42">
        <f t="shared" si="51"/>
        <v>28483.403150186354</v>
      </c>
      <c r="Q67" s="42">
        <f>IFERROR(Q5/$B53,0)</f>
        <v>0</v>
      </c>
      <c r="R67" s="42">
        <f>IFERROR(R5/$B53,0)</f>
        <v>0</v>
      </c>
      <c r="S67" s="42">
        <f>IFERROR(S5/$B53,0)</f>
        <v>798842917.98167586</v>
      </c>
      <c r="T67" s="42">
        <f>IFERROR(T5/$B53,0)</f>
        <v>0</v>
      </c>
      <c r="U67" s="42">
        <f t="shared" si="73"/>
        <v>798842917.98167586</v>
      </c>
      <c r="V67" s="42">
        <f>IFERROR(V5/$B53,0)</f>
        <v>0</v>
      </c>
    </row>
    <row r="68" spans="1:22" x14ac:dyDescent="0.25">
      <c r="A68" s="55" t="s">
        <v>1077</v>
      </c>
      <c r="B68" s="3">
        <v>0.99999979999999999</v>
      </c>
      <c r="C68" s="42">
        <f>IFERROR(C9/$B54,0)</f>
        <v>42134.606135262584</v>
      </c>
      <c r="D68" s="42">
        <f>IFERROR(D9/$B54,0)</f>
        <v>5995248.8806431359</v>
      </c>
      <c r="E68" s="42">
        <f>IFERROR(E9/$B54,0)</f>
        <v>0.32939015726161069</v>
      </c>
      <c r="F68" s="42">
        <f>IFERROR(F9/$B54,0)</f>
        <v>38.829430657338271</v>
      </c>
      <c r="G68" s="42">
        <f>IFERROR(G9/$B54,0)</f>
        <v>3.9133806744437316</v>
      </c>
      <c r="H68" s="42">
        <f t="shared" si="70"/>
        <v>0.32661689403880723</v>
      </c>
      <c r="I68" s="42">
        <f t="shared" ref="I68:O68" si="76">IFERROR(I9/$B54,0)</f>
        <v>0.32939015726161069</v>
      </c>
      <c r="J68" s="42">
        <f t="shared" si="76"/>
        <v>1.8471535195060504</v>
      </c>
      <c r="K68" s="42">
        <f t="shared" si="76"/>
        <v>0.63917375754336359</v>
      </c>
      <c r="L68" s="42">
        <f t="shared" si="76"/>
        <v>0.39478379142384223</v>
      </c>
      <c r="M68" s="42">
        <f t="shared" si="76"/>
        <v>1.8125645967477486</v>
      </c>
      <c r="N68" s="42">
        <f t="shared" si="76"/>
        <v>4.4103970679687921</v>
      </c>
      <c r="O68" s="42">
        <f t="shared" si="76"/>
        <v>7.8519664331732093E-5</v>
      </c>
      <c r="P68" s="42">
        <f t="shared" si="51"/>
        <v>7.8518266446727565E-5</v>
      </c>
      <c r="Q68" s="42">
        <f>IFERROR(Q9/$B54,0)</f>
        <v>2462.7240803256504</v>
      </c>
      <c r="R68" s="42">
        <f>IFERROR(R9/$B54,0)</f>
        <v>0</v>
      </c>
      <c r="S68" s="42">
        <f>IFERROR(S9/$B54,0)</f>
        <v>1.2968231781660575</v>
      </c>
      <c r="T68" s="42">
        <f>IFERROR(T9/$B54,0)</f>
        <v>540.16083374154539</v>
      </c>
      <c r="U68" s="42">
        <f t="shared" si="73"/>
        <v>1.2930379516277097</v>
      </c>
      <c r="V68" s="42">
        <f>IFERROR(V9/$B54,0)</f>
        <v>95.973269530320337</v>
      </c>
    </row>
    <row r="69" spans="1:22" x14ac:dyDescent="0.25">
      <c r="A69" s="55" t="s">
        <v>1078</v>
      </c>
      <c r="B69" s="3">
        <v>1.9999999999999999E-7</v>
      </c>
      <c r="C69" s="42">
        <f>IFERROR(C24/$B55,0)</f>
        <v>0</v>
      </c>
      <c r="D69" s="42">
        <f>IFERROR(D24/$B55,0)</f>
        <v>0</v>
      </c>
      <c r="E69" s="42">
        <f>IFERROR(E24/$B55,0)</f>
        <v>3532275322.0739083</v>
      </c>
      <c r="F69" s="42">
        <f>IFERROR(F24/$B55,0)</f>
        <v>0</v>
      </c>
      <c r="G69" s="42">
        <f>IFERROR(G24/$B55,0)</f>
        <v>0</v>
      </c>
      <c r="H69" s="42">
        <f t="shared" si="70"/>
        <v>3532275322.0739083</v>
      </c>
      <c r="I69" s="42">
        <f t="shared" ref="I69:O69" si="77">IFERROR(I24/$B55,0)</f>
        <v>3532275322.0739083</v>
      </c>
      <c r="J69" s="42">
        <f t="shared" si="77"/>
        <v>17545942776.314846</v>
      </c>
      <c r="K69" s="42">
        <f t="shared" si="77"/>
        <v>6147776896.43398</v>
      </c>
      <c r="L69" s="42">
        <f t="shared" si="77"/>
        <v>3947837124.6708398</v>
      </c>
      <c r="M69" s="42">
        <f t="shared" si="77"/>
        <v>17775146495.949291</v>
      </c>
      <c r="N69" s="42">
        <f t="shared" si="77"/>
        <v>0</v>
      </c>
      <c r="O69" s="42">
        <f t="shared" si="77"/>
        <v>820992.20844654785</v>
      </c>
      <c r="P69" s="42">
        <f t="shared" si="51"/>
        <v>820992.20844654785</v>
      </c>
      <c r="Q69" s="42">
        <f>IFERROR(Q24/$B55,0)</f>
        <v>0</v>
      </c>
      <c r="R69" s="42">
        <f>IFERROR(R24/$B55,0)</f>
        <v>0</v>
      </c>
      <c r="S69" s="42">
        <f>IFERROR(S24/$B55,0)</f>
        <v>13512227976.685995</v>
      </c>
      <c r="T69" s="42">
        <f>IFERROR(T24/$B55,0)</f>
        <v>0</v>
      </c>
      <c r="U69" s="42">
        <f t="shared" si="73"/>
        <v>13512227976.685995</v>
      </c>
      <c r="V69" s="42">
        <f>IFERROR(V24/$B55,0)</f>
        <v>0</v>
      </c>
    </row>
    <row r="70" spans="1:22" x14ac:dyDescent="0.25">
      <c r="A70" s="55" t="s">
        <v>1079</v>
      </c>
      <c r="B70" s="3">
        <v>0.99979000004200003</v>
      </c>
      <c r="C70" s="42">
        <f>IFERROR(C20/$B56,0)</f>
        <v>0</v>
      </c>
      <c r="D70" s="42">
        <f>IFERROR(D20/$B56,0)</f>
        <v>0</v>
      </c>
      <c r="E70" s="42">
        <f>IFERROR(E20/$B56,0)</f>
        <v>6268.699877550308</v>
      </c>
      <c r="F70" s="42">
        <f>IFERROR(F20/$B56,0)</f>
        <v>0</v>
      </c>
      <c r="G70" s="42">
        <f>IFERROR(G20/$B56,0)</f>
        <v>0</v>
      </c>
      <c r="H70" s="42">
        <f t="shared" si="70"/>
        <v>6268.699877550308</v>
      </c>
      <c r="I70" s="42">
        <f t="shared" ref="I70:O70" si="78">IFERROR(I20/$B56,0)</f>
        <v>6268.699877550308</v>
      </c>
      <c r="J70" s="42">
        <f t="shared" si="78"/>
        <v>32221.11737060859</v>
      </c>
      <c r="K70" s="42">
        <f t="shared" si="78"/>
        <v>11266.124954758248</v>
      </c>
      <c r="L70" s="42">
        <f t="shared" si="78"/>
        <v>7128.5657899576518</v>
      </c>
      <c r="M70" s="42">
        <f t="shared" si="78"/>
        <v>32711.332054513328</v>
      </c>
      <c r="N70" s="42">
        <f t="shared" si="78"/>
        <v>0</v>
      </c>
      <c r="O70" s="42">
        <f t="shared" si="78"/>
        <v>1.4694525369280178</v>
      </c>
      <c r="P70" s="42">
        <f t="shared" si="51"/>
        <v>1.4694525369280178</v>
      </c>
      <c r="Q70" s="42">
        <f>IFERROR(Q20/$B56,0)</f>
        <v>0</v>
      </c>
      <c r="R70" s="42">
        <f>IFERROR(R20/$B56,0)</f>
        <v>0</v>
      </c>
      <c r="S70" s="42">
        <f>IFERROR(S20/$B56,0)</f>
        <v>24271.285242930102</v>
      </c>
      <c r="T70" s="42">
        <f>IFERROR(T20/$B56,0)</f>
        <v>0</v>
      </c>
      <c r="U70" s="42">
        <f t="shared" si="73"/>
        <v>24271.285242930102</v>
      </c>
      <c r="V70" s="42">
        <f>IFERROR(V20/$B56,0)</f>
        <v>0</v>
      </c>
    </row>
    <row r="71" spans="1:22" x14ac:dyDescent="0.25">
      <c r="A71" s="55" t="s">
        <v>1080</v>
      </c>
      <c r="B71" s="3">
        <v>2.0999995799999999E-4</v>
      </c>
      <c r="C71" s="42">
        <f>IFERROR(C29/$B57,0)</f>
        <v>0</v>
      </c>
      <c r="D71" s="42">
        <f>IFERROR(D29/$B57,0)</f>
        <v>0</v>
      </c>
      <c r="E71" s="42">
        <f>IFERROR(E29/$B57,0)</f>
        <v>854.12974281963955</v>
      </c>
      <c r="F71" s="42">
        <f>IFERROR(F29/$B57,0)</f>
        <v>0</v>
      </c>
      <c r="G71" s="42">
        <f>IFERROR(G29/$B57,0)</f>
        <v>0</v>
      </c>
      <c r="H71" s="42">
        <f t="shared" si="70"/>
        <v>854.12974281963955</v>
      </c>
      <c r="I71" s="42">
        <f t="shared" ref="I71:O71" si="79">IFERROR(I29/$B57,0)</f>
        <v>854.12974281963955</v>
      </c>
      <c r="J71" s="42">
        <f t="shared" si="79"/>
        <v>4676.8811527563194</v>
      </c>
      <c r="K71" s="42">
        <f t="shared" si="79"/>
        <v>1628.4681720850028</v>
      </c>
      <c r="L71" s="42">
        <f t="shared" si="79"/>
        <v>1013.2212801215805</v>
      </c>
      <c r="M71" s="42">
        <f t="shared" si="79"/>
        <v>4642.5716583365856</v>
      </c>
      <c r="N71" s="42">
        <f t="shared" si="79"/>
        <v>0</v>
      </c>
      <c r="O71" s="42">
        <f t="shared" si="79"/>
        <v>0.20139784033139074</v>
      </c>
      <c r="P71" s="42">
        <f t="shared" si="51"/>
        <v>0.20139784033139074</v>
      </c>
      <c r="Q71" s="42">
        <f>IFERROR(Q29/$B57,0)</f>
        <v>0</v>
      </c>
      <c r="R71" s="42">
        <f>IFERROR(R29/$B57,0)</f>
        <v>0</v>
      </c>
      <c r="S71" s="42">
        <f>IFERROR(S29/$B57,0)</f>
        <v>3336.8549613629552</v>
      </c>
      <c r="T71" s="42">
        <f>IFERROR(T29/$B57,0)</f>
        <v>0</v>
      </c>
      <c r="U71" s="42">
        <f t="shared" si="73"/>
        <v>3336.8549613629552</v>
      </c>
      <c r="V71" s="42">
        <f>IFERROR(V29/$B57,0)</f>
        <v>0</v>
      </c>
    </row>
    <row r="72" spans="1:22" x14ac:dyDescent="0.25">
      <c r="A72" s="55" t="s">
        <v>1081</v>
      </c>
      <c r="B72" s="3">
        <v>1</v>
      </c>
      <c r="C72" s="42">
        <f>IFERROR(C16/$B58,0)</f>
        <v>6.1549559397479054</v>
      </c>
      <c r="D72" s="42">
        <f>IFERROR(D16/$B58,0)</f>
        <v>9834.8825756943661</v>
      </c>
      <c r="E72" s="42">
        <f>IFERROR(E16/$B58,0)</f>
        <v>1438.1406668443772</v>
      </c>
      <c r="F72" s="42">
        <f>IFERROR(F16/$B58,0)</f>
        <v>3.2166178583788889E-2</v>
      </c>
      <c r="G72" s="42">
        <f>IFERROR(G16/$B58,0)</f>
        <v>5.7166039595428616E-4</v>
      </c>
      <c r="H72" s="42">
        <f t="shared" si="70"/>
        <v>3.1998134025689212E-2</v>
      </c>
      <c r="I72" s="42">
        <f t="shared" ref="I72:O72" si="80">IFERROR(I16/$B58,0)</f>
        <v>1438.1406668443772</v>
      </c>
      <c r="J72" s="42">
        <f t="shared" si="80"/>
        <v>2262.2437455978966</v>
      </c>
      <c r="K72" s="42">
        <f t="shared" si="80"/>
        <v>1464.2886789688207</v>
      </c>
      <c r="L72" s="42">
        <f t="shared" si="80"/>
        <v>1438.1406668443772</v>
      </c>
      <c r="M72" s="42">
        <f t="shared" si="80"/>
        <v>1186.1019412965243</v>
      </c>
      <c r="N72" s="42">
        <f t="shared" si="80"/>
        <v>7.2350186187777887E-3</v>
      </c>
      <c r="O72" s="42">
        <f t="shared" si="80"/>
        <v>0.11852966066744214</v>
      </c>
      <c r="P72" s="42">
        <f t="shared" si="51"/>
        <v>6.8188008483262659E-3</v>
      </c>
      <c r="Q72" s="42">
        <f>IFERROR(Q16/$B58,0)</f>
        <v>0.35975079860720038</v>
      </c>
      <c r="R72" s="42">
        <f>IFERROR(R16/$B58,0)</f>
        <v>0</v>
      </c>
      <c r="S72" s="42">
        <f>IFERROR(S16/$B58,0)</f>
        <v>1832.2085274809085</v>
      </c>
      <c r="T72" s="42">
        <f>IFERROR(T16/$B58,0)</f>
        <v>0.13364451012117334</v>
      </c>
      <c r="U72" s="42">
        <f t="shared" si="73"/>
        <v>9.7439439534219158E-2</v>
      </c>
      <c r="V72" s="42">
        <f>IFERROR(V16/$B58,0)</f>
        <v>1.4019621862759119E-2</v>
      </c>
    </row>
    <row r="73" spans="1:22" x14ac:dyDescent="0.25">
      <c r="A73" s="55" t="s">
        <v>1082</v>
      </c>
      <c r="B73" s="3">
        <v>1</v>
      </c>
      <c r="C73" s="42">
        <f>IFERROR(C7/$B59,0)</f>
        <v>3487.8083658571463</v>
      </c>
      <c r="D73" s="42">
        <f>IFERROR(D7/$B59,0)</f>
        <v>406194.12281806185</v>
      </c>
      <c r="E73" s="42">
        <f>IFERROR(E7/$B59,0)</f>
        <v>549.73295114870382</v>
      </c>
      <c r="F73" s="42">
        <f>IFERROR(F7/$B59,0)</f>
        <v>3.2142133393479835</v>
      </c>
      <c r="G73" s="42">
        <f>IFERROR(G7/$B59,0)</f>
        <v>0.32394089104076218</v>
      </c>
      <c r="H73" s="42">
        <f t="shared" si="70"/>
        <v>3.1925793587831328</v>
      </c>
      <c r="I73" s="42">
        <f t="shared" ref="I73:O73" si="81">IFERROR(I7/$B59,0)</f>
        <v>549.73295114870382</v>
      </c>
      <c r="J73" s="42">
        <f t="shared" si="81"/>
        <v>958.76044456291811</v>
      </c>
      <c r="K73" s="42">
        <f t="shared" si="81"/>
        <v>662.84672710522727</v>
      </c>
      <c r="L73" s="42">
        <f t="shared" si="81"/>
        <v>561.22562608561054</v>
      </c>
      <c r="M73" s="42">
        <f t="shared" si="81"/>
        <v>73.328809476166882</v>
      </c>
      <c r="N73" s="42">
        <f t="shared" si="81"/>
        <v>0.29881617993993198</v>
      </c>
      <c r="O73" s="42">
        <f t="shared" si="81"/>
        <v>2.1638554331149321E-2</v>
      </c>
      <c r="P73" s="42">
        <f t="shared" si="51"/>
        <v>2.0177421186690876E-2</v>
      </c>
      <c r="Q73" s="42">
        <f>IFERROR(Q7/$B59,0)</f>
        <v>203.85878587741354</v>
      </c>
      <c r="R73" s="42">
        <f>IFERROR(R7/$B59,0)</f>
        <v>0</v>
      </c>
      <c r="S73" s="42">
        <f>IFERROR(S7/$B59,0)</f>
        <v>670.17023320610406</v>
      </c>
      <c r="T73" s="42">
        <f>IFERROR(T7/$B59,0)</f>
        <v>44.713304517054127</v>
      </c>
      <c r="U73" s="42">
        <f t="shared" si="73"/>
        <v>34.767827708442141</v>
      </c>
      <c r="V73" s="42">
        <f>IFERROR(V7/$B59,0)</f>
        <v>7.9444523888968339</v>
      </c>
    </row>
    <row r="74" spans="1:22" x14ac:dyDescent="0.25">
      <c r="A74" s="55" t="s">
        <v>1083</v>
      </c>
      <c r="B74" s="3">
        <v>1.9000000000000001E-8</v>
      </c>
      <c r="C74" s="42">
        <f>IFERROR(C12/$B60,0)</f>
        <v>0</v>
      </c>
      <c r="D74" s="42">
        <f>IFERROR(D12/$B60,0)</f>
        <v>0</v>
      </c>
      <c r="E74" s="42">
        <f>IFERROR(E12/$B60,0)</f>
        <v>258459169.90784696</v>
      </c>
      <c r="F74" s="42">
        <f>IFERROR(F12/$B60,0)</f>
        <v>0</v>
      </c>
      <c r="G74" s="42">
        <f>IFERROR(G12/$B60,0)</f>
        <v>0</v>
      </c>
      <c r="H74" s="42">
        <f t="shared" si="70"/>
        <v>258459169.90784696</v>
      </c>
      <c r="I74" s="42">
        <f t="shared" ref="I74:O74" si="82">IFERROR(I12/$B60,0)</f>
        <v>258459169.90784696</v>
      </c>
      <c r="J74" s="42">
        <f t="shared" si="82"/>
        <v>1142514928.9726927</v>
      </c>
      <c r="K74" s="42">
        <f t="shared" si="82"/>
        <v>409539167.776685</v>
      </c>
      <c r="L74" s="42">
        <f t="shared" si="82"/>
        <v>276138787.39340001</v>
      </c>
      <c r="M74" s="42">
        <f t="shared" si="82"/>
        <v>909163268.31983674</v>
      </c>
      <c r="N74" s="42">
        <f t="shared" si="82"/>
        <v>0</v>
      </c>
      <c r="O74" s="42">
        <f t="shared" si="82"/>
        <v>52846.904746653963</v>
      </c>
      <c r="P74" s="42">
        <f t="shared" si="51"/>
        <v>52846.904746653963</v>
      </c>
      <c r="Q74" s="42">
        <f>IFERROR(Q12/$B60,0)</f>
        <v>0</v>
      </c>
      <c r="R74" s="42">
        <f>IFERROR(R12/$B60,0)</f>
        <v>0</v>
      </c>
      <c r="S74" s="42">
        <f>IFERROR(S12/$B60,0)</f>
        <v>883284960.17434323</v>
      </c>
      <c r="T74" s="42">
        <f>IFERROR(T12/$B60,0)</f>
        <v>0</v>
      </c>
      <c r="U74" s="42">
        <f t="shared" si="73"/>
        <v>883284960.17434323</v>
      </c>
      <c r="V74" s="42">
        <f>IFERROR(V12/$B60,0)</f>
        <v>0</v>
      </c>
    </row>
    <row r="75" spans="1:22" x14ac:dyDescent="0.25">
      <c r="A75" s="55" t="s">
        <v>1084</v>
      </c>
      <c r="B75" s="3">
        <v>1</v>
      </c>
      <c r="C75" s="42">
        <f>IFERROR(C18/$B61,0)</f>
        <v>3.5874600334530649</v>
      </c>
      <c r="D75" s="42">
        <f>IFERROR(D18/$B61,0)</f>
        <v>12671.867934067739</v>
      </c>
      <c r="E75" s="42">
        <f>IFERROR(E18/$B61,0)</f>
        <v>53335.018108135846</v>
      </c>
      <c r="F75" s="42">
        <f>IFERROR(F18/$B61,0)</f>
        <v>0.15427752863046693</v>
      </c>
      <c r="G75" s="42">
        <f>IFERROR(G18/$B61,0)</f>
        <v>3.3319634507049818E-4</v>
      </c>
      <c r="H75" s="42">
        <f t="shared" si="70"/>
        <v>0.1479142947667921</v>
      </c>
      <c r="I75" s="42">
        <f t="shared" ref="I75:O75" si="83">IFERROR(I18/$B61,0)</f>
        <v>53335.018108135846</v>
      </c>
      <c r="J75" s="42">
        <f t="shared" si="83"/>
        <v>274866.47557435196</v>
      </c>
      <c r="K75" s="42">
        <f t="shared" si="83"/>
        <v>95876.044456291798</v>
      </c>
      <c r="L75" s="42">
        <f t="shared" si="83"/>
        <v>61012.028290367518</v>
      </c>
      <c r="M75" s="42">
        <f t="shared" si="83"/>
        <v>279158.48292987613</v>
      </c>
      <c r="N75" s="42">
        <f t="shared" si="83"/>
        <v>9.3220432203483042E-3</v>
      </c>
      <c r="O75" s="42">
        <f t="shared" si="83"/>
        <v>12.545498915587698</v>
      </c>
      <c r="P75" s="42">
        <f t="shared" si="51"/>
        <v>9.3151215374276831E-3</v>
      </c>
      <c r="Q75" s="42">
        <f>IFERROR(Q18/$B61,0)</f>
        <v>0.2096833226167682</v>
      </c>
      <c r="R75" s="42">
        <f>IFERROR(R18/$B61,0)</f>
        <v>0</v>
      </c>
      <c r="S75" s="42">
        <f>IFERROR(S18/$B61,0)</f>
        <v>206954.12382944976</v>
      </c>
      <c r="T75" s="42">
        <f>IFERROR(T18/$B61,0)</f>
        <v>8.9583750713561949E-2</v>
      </c>
      <c r="U75" s="42">
        <f t="shared" si="73"/>
        <v>6.2767388994604156E-2</v>
      </c>
      <c r="V75" s="42">
        <f>IFERROR(V18/$B61,0)</f>
        <v>8.1714367428653151E-3</v>
      </c>
    </row>
    <row r="76" spans="1:22" x14ac:dyDescent="0.25">
      <c r="A76" s="55" t="s">
        <v>1085</v>
      </c>
      <c r="B76" s="3">
        <v>1.339E-6</v>
      </c>
      <c r="C76" s="42">
        <f>IFERROR(C27/$B62,0)</f>
        <v>0</v>
      </c>
      <c r="D76" s="42">
        <f>IFERROR(D27/$B62,0)</f>
        <v>0</v>
      </c>
      <c r="E76" s="42">
        <f>IFERROR(E27/$B62,0)</f>
        <v>175866334.18341595</v>
      </c>
      <c r="F76" s="42">
        <f>IFERROR(F27/$B62,0)</f>
        <v>0</v>
      </c>
      <c r="G76" s="42">
        <f>IFERROR(G27/$B62,0)</f>
        <v>0</v>
      </c>
      <c r="H76" s="42">
        <f t="shared" si="70"/>
        <v>175866334.18341595</v>
      </c>
      <c r="I76" s="42">
        <f t="shared" ref="I76:O76" si="84">IFERROR(I27/$B62,0)</f>
        <v>175866334.18341595</v>
      </c>
      <c r="J76" s="42">
        <f t="shared" si="84"/>
        <v>296287124.58486819</v>
      </c>
      <c r="K76" s="42">
        <f t="shared" si="84"/>
        <v>212531046.96370408</v>
      </c>
      <c r="L76" s="42">
        <f t="shared" si="84"/>
        <v>180348684.52991977</v>
      </c>
      <c r="M76" s="42">
        <f t="shared" si="84"/>
        <v>31408684.812749952</v>
      </c>
      <c r="N76" s="42">
        <f t="shared" si="84"/>
        <v>0</v>
      </c>
      <c r="O76" s="42">
        <f t="shared" si="84"/>
        <v>10502.117293887361</v>
      </c>
      <c r="P76" s="42">
        <f t="shared" si="51"/>
        <v>10502.117293887361</v>
      </c>
      <c r="Q76" s="42">
        <f>IFERROR(Q27/$B62,0)</f>
        <v>0</v>
      </c>
      <c r="R76" s="42">
        <f>IFERROR(R27/$B62,0)</f>
        <v>0</v>
      </c>
      <c r="S76" s="42">
        <f>IFERROR(S27/$B62,0)</f>
        <v>313998238.26959479</v>
      </c>
      <c r="T76" s="42">
        <f>IFERROR(T27/$B62,0)</f>
        <v>0</v>
      </c>
      <c r="U76" s="42">
        <f t="shared" si="73"/>
        <v>313998238.26959479</v>
      </c>
      <c r="V76" s="42">
        <f>IFERROR(V27/$B62,0)</f>
        <v>0</v>
      </c>
    </row>
  </sheetData>
  <sheetProtection algorithmName="SHA-512" hashValue="236W4nfO/+BhasSfpuug9HfFgf6wVnoLHS46cWSj41kqJTE41B1gFDHxuAs2+7zp3geIIb/oisC/DXfwkF1HkA==" saltValue="53wi28v8itkGWqmlztS6OQ==" spinCount="100000" sheet="1" objects="1" scenarios="1" formatColumns="0" formatRows="0" autoFilter="0"/>
  <autoFilter ref="A1:V76" xr:uid="{AE4685E2-C872-4CDC-92A7-AC77C50A3C5C}"/>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830</vt:i4>
      </vt:variant>
    </vt:vector>
  </HeadingPairs>
  <TitlesOfParts>
    <vt:vector size="863" baseType="lpstr">
      <vt:lpstr>Instructions</vt:lpstr>
      <vt:lpstr>RadSpec</vt:lpstr>
      <vt:lpstr>d</vt:lpstr>
      <vt:lpstr>Irr</vt:lpstr>
      <vt:lpstr>dir</vt:lpstr>
      <vt:lpstr>b2s</vt:lpstr>
      <vt:lpstr>b2w</vt:lpstr>
      <vt:lpstr>d_ss_Bv</vt:lpstr>
      <vt:lpstr>d_res</vt:lpstr>
      <vt:lpstr>d_far</vt:lpstr>
      <vt:lpstr>d_rec</vt:lpstr>
      <vt:lpstr>d_sgw</vt:lpstr>
      <vt:lpstr>def_acf</vt:lpstr>
      <vt:lpstr>s_RadSpec</vt:lpstr>
      <vt:lpstr>ss</vt:lpstr>
      <vt:lpstr>s_Irr</vt:lpstr>
      <vt:lpstr>s_dir</vt:lpstr>
      <vt:lpstr>s_b2s</vt:lpstr>
      <vt:lpstr>s_b2w</vt:lpstr>
      <vt:lpstr>s_res</vt:lpstr>
      <vt:lpstr>s_far</vt:lpstr>
      <vt:lpstr>s_rec</vt:lpstr>
      <vt:lpstr>s_sgw</vt:lpstr>
      <vt:lpstr>up_RadSpec</vt:lpstr>
      <vt:lpstr>up_Bv</vt:lpstr>
      <vt:lpstr>up_Irr</vt:lpstr>
      <vt:lpstr>up_dir</vt:lpstr>
      <vt:lpstr>up_b2s</vt:lpstr>
      <vt:lpstr>up_b2w</vt:lpstr>
      <vt:lpstr>up_res</vt:lpstr>
      <vt:lpstr>up_far</vt:lpstr>
      <vt:lpstr>up_rec</vt:lpstr>
      <vt:lpstr>up_sgw</vt:lpstr>
      <vt:lpstr>A_wind</vt:lpstr>
      <vt:lpstr>AAF_far_a</vt:lpstr>
      <vt:lpstr>AAF_far_c</vt:lpstr>
      <vt:lpstr>AAF_rec_a</vt:lpstr>
      <vt:lpstr>AAF_rec_c</vt:lpstr>
      <vt:lpstr>AAF_res_a</vt:lpstr>
      <vt:lpstr>AAF_res_c</vt:lpstr>
      <vt:lpstr>As</vt:lpstr>
      <vt:lpstr>B_wind</vt:lpstr>
      <vt:lpstr>C_wind</vt:lpstr>
      <vt:lpstr>CF_apple</vt:lpstr>
      <vt:lpstr>CF_asparagus</vt:lpstr>
      <vt:lpstr>CF_beet</vt:lpstr>
      <vt:lpstr>CF_berries</vt:lpstr>
      <vt:lpstr>CF_broccoli</vt:lpstr>
      <vt:lpstr>CF_cabbage</vt:lpstr>
      <vt:lpstr>CF_carrot</vt:lpstr>
      <vt:lpstr>CF_cereal</vt:lpstr>
      <vt:lpstr>CF_citrus</vt:lpstr>
      <vt:lpstr>CF_corn</vt:lpstr>
      <vt:lpstr>CF_cucumber</vt:lpstr>
      <vt:lpstr>CF_far_beef</vt:lpstr>
      <vt:lpstr>CF_far_dairy</vt:lpstr>
      <vt:lpstr>CF_far_egg</vt:lpstr>
      <vt:lpstr>CF_far_fish</vt:lpstr>
      <vt:lpstr>CF_far_poultry</vt:lpstr>
      <vt:lpstr>CF_far_produce</vt:lpstr>
      <vt:lpstr>CF_far_sheep</vt:lpstr>
      <vt:lpstr>CF_far_swine</vt:lpstr>
      <vt:lpstr>CF_fowl</vt:lpstr>
      <vt:lpstr>CF_game</vt:lpstr>
      <vt:lpstr>CF_lettuce</vt:lpstr>
      <vt:lpstr>CF_lima_bean</vt:lpstr>
      <vt:lpstr>CF_okra</vt:lpstr>
      <vt:lpstr>CF_onion</vt:lpstr>
      <vt:lpstr>CF_peach</vt:lpstr>
      <vt:lpstr>CF_pear</vt:lpstr>
      <vt:lpstr>CF_peas</vt:lpstr>
      <vt:lpstr>CF_potato</vt:lpstr>
      <vt:lpstr>CF_pumpkin</vt:lpstr>
      <vt:lpstr>CF_res_fish</vt:lpstr>
      <vt:lpstr>CF_rice</vt:lpstr>
      <vt:lpstr>CF_snap_bean</vt:lpstr>
      <vt:lpstr>CF_strawberry</vt:lpstr>
      <vt:lpstr>CF_tomato</vt:lpstr>
      <vt:lpstr>d_a</vt:lpstr>
      <vt:lpstr>D_milk</vt:lpstr>
      <vt:lpstr>d_s</vt:lpstr>
      <vt:lpstr>DAF</vt:lpstr>
      <vt:lpstr>DF_i</vt:lpstr>
      <vt:lpstr>DFA_far_adj</vt:lpstr>
      <vt:lpstr>DFA_rec_adj</vt:lpstr>
      <vt:lpstr>DFA_res_adj</vt:lpstr>
      <vt:lpstr>DL</vt:lpstr>
      <vt:lpstr>dm</vt:lpstr>
      <vt:lpstr>ED_far</vt:lpstr>
      <vt:lpstr>ED_far_a</vt:lpstr>
      <vt:lpstr>ED_far_c</vt:lpstr>
      <vt:lpstr>ED_rec</vt:lpstr>
      <vt:lpstr>ED_rec_a</vt:lpstr>
      <vt:lpstr>ED_rec_c</vt:lpstr>
      <vt:lpstr>ED_res</vt:lpstr>
      <vt:lpstr>ED_res_a</vt:lpstr>
      <vt:lpstr>ED_res_c</vt:lpstr>
      <vt:lpstr>ED_s2gw</vt:lpstr>
      <vt:lpstr>EF_far</vt:lpstr>
      <vt:lpstr>EF_far_a</vt:lpstr>
      <vt:lpstr>EF_far_c</vt:lpstr>
      <vt:lpstr>EF_rec</vt:lpstr>
      <vt:lpstr>EF_rec_a</vt:lpstr>
      <vt:lpstr>EF_rec_c</vt:lpstr>
      <vt:lpstr>EF_res</vt:lpstr>
      <vt:lpstr>EF_res_a</vt:lpstr>
      <vt:lpstr>EF_res_c</vt:lpstr>
      <vt:lpstr>ET_event_far_a</vt:lpstr>
      <vt:lpstr>ET_event_far_c</vt:lpstr>
      <vt:lpstr>ET_event_rec_a</vt:lpstr>
      <vt:lpstr>ET_event_rec_c</vt:lpstr>
      <vt:lpstr>ET_event_res_a</vt:lpstr>
      <vt:lpstr>ET_event_res_c</vt:lpstr>
      <vt:lpstr>ET_far</vt:lpstr>
      <vt:lpstr>ET_far_a</vt:lpstr>
      <vt:lpstr>ET_far_c</vt:lpstr>
      <vt:lpstr>ET_far_i</vt:lpstr>
      <vt:lpstr>ET_far_o</vt:lpstr>
      <vt:lpstr>ET_rec</vt:lpstr>
      <vt:lpstr>ET_rec_a</vt:lpstr>
      <vt:lpstr>ET_rec_c</vt:lpstr>
      <vt:lpstr>ET_res</vt:lpstr>
      <vt:lpstr>ET_res_a</vt:lpstr>
      <vt:lpstr>ET_res_c</vt:lpstr>
      <vt:lpstr>ET_res_i</vt:lpstr>
      <vt:lpstr>ET_res_o</vt:lpstr>
      <vt:lpstr>EV_far_a</vt:lpstr>
      <vt:lpstr>EV_far_c</vt:lpstr>
      <vt:lpstr>EV_rec_a</vt:lpstr>
      <vt:lpstr>EV_rec_c</vt:lpstr>
      <vt:lpstr>EV_res_a</vt:lpstr>
      <vt:lpstr>EV_res_c</vt:lpstr>
      <vt:lpstr>F</vt:lpstr>
      <vt:lpstr>f_p_beef</vt:lpstr>
      <vt:lpstr>f_p_dairy</vt:lpstr>
      <vt:lpstr>f_p_egg</vt:lpstr>
      <vt:lpstr>f_p_fowl</vt:lpstr>
      <vt:lpstr>f_p_game</vt:lpstr>
      <vt:lpstr>f_p_goat</vt:lpstr>
      <vt:lpstr>f_p_goat_milk</vt:lpstr>
      <vt:lpstr>f_p_poultry</vt:lpstr>
      <vt:lpstr>f_p_sheep</vt:lpstr>
      <vt:lpstr>f_p_sheep_milk</vt:lpstr>
      <vt:lpstr>f_p_swine</vt:lpstr>
      <vt:lpstr>f_s_beef</vt:lpstr>
      <vt:lpstr>f_s_dairy</vt:lpstr>
      <vt:lpstr>f_s_egg</vt:lpstr>
      <vt:lpstr>f_s_fowl</vt:lpstr>
      <vt:lpstr>f_s_game</vt:lpstr>
      <vt:lpstr>f_s_goat</vt:lpstr>
      <vt:lpstr>f_s_goat_milk</vt:lpstr>
      <vt:lpstr>f_s_poultry</vt:lpstr>
      <vt:lpstr>f_s_sheep</vt:lpstr>
      <vt:lpstr>f_s_sheep_milk</vt:lpstr>
      <vt:lpstr>f_s_swine</vt:lpstr>
      <vt:lpstr>F_x</vt:lpstr>
      <vt:lpstr>GSF_a</vt:lpstr>
      <vt:lpstr>GSF_i</vt:lpstr>
      <vt:lpstr>GSF_o</vt:lpstr>
      <vt:lpstr>i</vt:lpstr>
      <vt:lpstr>I_f</vt:lpstr>
      <vt:lpstr>I_s2gw</vt:lpstr>
      <vt:lpstr>IFA_far_adj</vt:lpstr>
      <vt:lpstr>IFA_rec_adj</vt:lpstr>
      <vt:lpstr>IFA_res_adj</vt:lpstr>
      <vt:lpstr>IFAP_far_adj</vt:lpstr>
      <vt:lpstr>IFAP_res_adj</vt:lpstr>
      <vt:lpstr>IFAS_far_adj</vt:lpstr>
      <vt:lpstr>IFAS_res_adj</vt:lpstr>
      <vt:lpstr>IFB_far_adj</vt:lpstr>
      <vt:lpstr>IFBE_far_adj</vt:lpstr>
      <vt:lpstr>IFBE_res_adj</vt:lpstr>
      <vt:lpstr>IFBR_far_adj</vt:lpstr>
      <vt:lpstr>IFBR_res_adj</vt:lpstr>
      <vt:lpstr>IFBT_far_adj</vt:lpstr>
      <vt:lpstr>IFBT_res_adj</vt:lpstr>
      <vt:lpstr>IFCB_far_adj</vt:lpstr>
      <vt:lpstr>IFCB_res_adj</vt:lpstr>
      <vt:lpstr>IFCG_far_adj</vt:lpstr>
      <vt:lpstr>IFCG_res_adj</vt:lpstr>
      <vt:lpstr>IFCI_far_adj</vt:lpstr>
      <vt:lpstr>IFCI_res_adj</vt:lpstr>
      <vt:lpstr>IFCO_far_adj</vt:lpstr>
      <vt:lpstr>IFCO_res_adj</vt:lpstr>
      <vt:lpstr>IFCR_far_adj</vt:lpstr>
      <vt:lpstr>IFCR_res_adj</vt:lpstr>
      <vt:lpstr>IFCU_far_adj</vt:lpstr>
      <vt:lpstr>IFCU_res_adj</vt:lpstr>
      <vt:lpstr>IFD_far_adj</vt:lpstr>
      <vt:lpstr>IFE_far_adj</vt:lpstr>
      <vt:lpstr>IFFI_far_adj</vt:lpstr>
      <vt:lpstr>IFGM_far_adj</vt:lpstr>
      <vt:lpstr>IFGO_far_adj</vt:lpstr>
      <vt:lpstr>IFLE_far_adj</vt:lpstr>
      <vt:lpstr>IFLE_res_adj</vt:lpstr>
      <vt:lpstr>IFLI_far_adj</vt:lpstr>
      <vt:lpstr>IFLI_res_adj</vt:lpstr>
      <vt:lpstr>IFOK_far_adj</vt:lpstr>
      <vt:lpstr>IFOK_res_adj</vt:lpstr>
      <vt:lpstr>IFON_far_adj</vt:lpstr>
      <vt:lpstr>IFON_res_adj</vt:lpstr>
      <vt:lpstr>IFP_far_adj</vt:lpstr>
      <vt:lpstr>IFPC_far_adj</vt:lpstr>
      <vt:lpstr>IFPC_res_adj</vt:lpstr>
      <vt:lpstr>IFPE_far_adj</vt:lpstr>
      <vt:lpstr>IFPE_res_adj</vt:lpstr>
      <vt:lpstr>IFPR_far_adj</vt:lpstr>
      <vt:lpstr>IFPR_res_adj</vt:lpstr>
      <vt:lpstr>IFPT_far_adj</vt:lpstr>
      <vt:lpstr>IFPT_res_adj</vt:lpstr>
      <vt:lpstr>IFPU_far_adj</vt:lpstr>
      <vt:lpstr>IFPU_res_adj</vt:lpstr>
      <vt:lpstr>IFRI_far_adj</vt:lpstr>
      <vt:lpstr>IFRI_res_adj</vt:lpstr>
      <vt:lpstr>IFS_far_adj</vt:lpstr>
      <vt:lpstr>IFS_rec_adj</vt:lpstr>
      <vt:lpstr>IFS_res_adj</vt:lpstr>
      <vt:lpstr>IFSH_far_adj</vt:lpstr>
      <vt:lpstr>IFSM_far_adj</vt:lpstr>
      <vt:lpstr>IFSN_far_adj</vt:lpstr>
      <vt:lpstr>IFSN_res_adj</vt:lpstr>
      <vt:lpstr>IFST_far_adj</vt:lpstr>
      <vt:lpstr>IFST_res_adj</vt:lpstr>
      <vt:lpstr>IFSW_far_adj</vt:lpstr>
      <vt:lpstr>IFTO_far_adj</vt:lpstr>
      <vt:lpstr>IFTO_res_adj</vt:lpstr>
      <vt:lpstr>IFW_far_adj</vt:lpstr>
      <vt:lpstr>IFW_rec_adj</vt:lpstr>
      <vt:lpstr>IFW_res_adj</vt:lpstr>
      <vt:lpstr>Ir</vt:lpstr>
      <vt:lpstr>IRA_far_a</vt:lpstr>
      <vt:lpstr>IRA_far_c</vt:lpstr>
      <vt:lpstr>IRA_rec_a</vt:lpstr>
      <vt:lpstr>IRA_rec_c</vt:lpstr>
      <vt:lpstr>IRA_res_a</vt:lpstr>
      <vt:lpstr>IRA_res_c</vt:lpstr>
      <vt:lpstr>IRAP_far_a</vt:lpstr>
      <vt:lpstr>IRAP_far_c</vt:lpstr>
      <vt:lpstr>IRAP_res_a</vt:lpstr>
      <vt:lpstr>IRAP_res_c</vt:lpstr>
      <vt:lpstr>IRAS_far_a</vt:lpstr>
      <vt:lpstr>IRAS_far_c</vt:lpstr>
      <vt:lpstr>IRAS_res_a</vt:lpstr>
      <vt:lpstr>IRAS_res_c</vt:lpstr>
      <vt:lpstr>IRB_far_a</vt:lpstr>
      <vt:lpstr>IRB_far_c</vt:lpstr>
      <vt:lpstr>IRBE_far_a</vt:lpstr>
      <vt:lpstr>IRBE_far_c</vt:lpstr>
      <vt:lpstr>IRBE_res_a</vt:lpstr>
      <vt:lpstr>IRBE_res_c</vt:lpstr>
      <vt:lpstr>IRBR_far_a</vt:lpstr>
      <vt:lpstr>IRBR_far_c</vt:lpstr>
      <vt:lpstr>IRBR_res_a</vt:lpstr>
      <vt:lpstr>IRBR_res_c</vt:lpstr>
      <vt:lpstr>IRBT_far_a</vt:lpstr>
      <vt:lpstr>IRBT_far_c</vt:lpstr>
      <vt:lpstr>IRBT_res_a</vt:lpstr>
      <vt:lpstr>IRBT_res_c</vt:lpstr>
      <vt:lpstr>IRCB_far_a</vt:lpstr>
      <vt:lpstr>IRCB_far_c</vt:lpstr>
      <vt:lpstr>IRCB_res_a</vt:lpstr>
      <vt:lpstr>IRCB_res_c</vt:lpstr>
      <vt:lpstr>IRCG_far_a</vt:lpstr>
      <vt:lpstr>IRCG_far_c</vt:lpstr>
      <vt:lpstr>IRCG_res_a</vt:lpstr>
      <vt:lpstr>IRCG_res_c</vt:lpstr>
      <vt:lpstr>IRCI_far_a</vt:lpstr>
      <vt:lpstr>IRCI_far_c</vt:lpstr>
      <vt:lpstr>IRCI_res_a</vt:lpstr>
      <vt:lpstr>IRCI_res_c</vt:lpstr>
      <vt:lpstr>IRCO_far_a</vt:lpstr>
      <vt:lpstr>IRCO_far_c</vt:lpstr>
      <vt:lpstr>IRCO_res_a</vt:lpstr>
      <vt:lpstr>IRCO_res_c</vt:lpstr>
      <vt:lpstr>IRCR_far_a</vt:lpstr>
      <vt:lpstr>IRCR_far_c</vt:lpstr>
      <vt:lpstr>IRCR_res_a</vt:lpstr>
      <vt:lpstr>IRCR_res_c</vt:lpstr>
      <vt:lpstr>IRCU_far_a</vt:lpstr>
      <vt:lpstr>IRCU_far_c</vt:lpstr>
      <vt:lpstr>IRCU_res_a</vt:lpstr>
      <vt:lpstr>IRCU_res_c</vt:lpstr>
      <vt:lpstr>IRD_far_a</vt:lpstr>
      <vt:lpstr>IRD_far_c</vt:lpstr>
      <vt:lpstr>IRE_far_a</vt:lpstr>
      <vt:lpstr>IRE_far_c</vt:lpstr>
      <vt:lpstr>IRF_res</vt:lpstr>
      <vt:lpstr>IRFI_far_a</vt:lpstr>
      <vt:lpstr>IRFI_far_c</vt:lpstr>
      <vt:lpstr>IRGF_rec</vt:lpstr>
      <vt:lpstr>IRGL_rec</vt:lpstr>
      <vt:lpstr>IRGM_far_a</vt:lpstr>
      <vt:lpstr>IRGM_far_c</vt:lpstr>
      <vt:lpstr>IRGO_far_a</vt:lpstr>
      <vt:lpstr>IRGO_far_c</vt:lpstr>
      <vt:lpstr>IRLE_far_a</vt:lpstr>
      <vt:lpstr>IRLE_far_c</vt:lpstr>
      <vt:lpstr>IRLE_res_a</vt:lpstr>
      <vt:lpstr>IRLE_res_c</vt:lpstr>
      <vt:lpstr>IRLI_far_a</vt:lpstr>
      <vt:lpstr>IRLI_far_c</vt:lpstr>
      <vt:lpstr>IRLI_res_a</vt:lpstr>
      <vt:lpstr>IRLI_res_c</vt:lpstr>
      <vt:lpstr>IROK_far_a</vt:lpstr>
      <vt:lpstr>IROK_far_c</vt:lpstr>
      <vt:lpstr>IROK_res_a</vt:lpstr>
      <vt:lpstr>IROK_res_c</vt:lpstr>
      <vt:lpstr>IRON_far_a</vt:lpstr>
      <vt:lpstr>IRON_far_c</vt:lpstr>
      <vt:lpstr>IRON_res_a</vt:lpstr>
      <vt:lpstr>IRON_res_c</vt:lpstr>
      <vt:lpstr>IRP_far_a</vt:lpstr>
      <vt:lpstr>IRP_far_c</vt:lpstr>
      <vt:lpstr>IRPC_far_a</vt:lpstr>
      <vt:lpstr>IRPC_far_c</vt:lpstr>
      <vt:lpstr>IRPC_res_a</vt:lpstr>
      <vt:lpstr>IRPC_res_c</vt:lpstr>
      <vt:lpstr>IRPE_far_a</vt:lpstr>
      <vt:lpstr>IRPE_far_c</vt:lpstr>
      <vt:lpstr>IRPE_res_a</vt:lpstr>
      <vt:lpstr>IRPE_res_c</vt:lpstr>
      <vt:lpstr>IRPR_far_a</vt:lpstr>
      <vt:lpstr>IRPR_far_c</vt:lpstr>
      <vt:lpstr>IRPR_res_a</vt:lpstr>
      <vt:lpstr>IRPR_res_c</vt:lpstr>
      <vt:lpstr>IRPT_far_a</vt:lpstr>
      <vt:lpstr>IRPT_far_c</vt:lpstr>
      <vt:lpstr>IRPT_res_a</vt:lpstr>
      <vt:lpstr>IRPT_res_c</vt:lpstr>
      <vt:lpstr>IRPU_far_a</vt:lpstr>
      <vt:lpstr>IRPU_far_c</vt:lpstr>
      <vt:lpstr>IRPU_res_a</vt:lpstr>
      <vt:lpstr>IRPU_res_c</vt:lpstr>
      <vt:lpstr>IRRI_far_a</vt:lpstr>
      <vt:lpstr>IRRI_far_c</vt:lpstr>
      <vt:lpstr>IRRI_res_a</vt:lpstr>
      <vt:lpstr>IRRI_res_c</vt:lpstr>
      <vt:lpstr>IRS_far_a</vt:lpstr>
      <vt:lpstr>IRS_far_c</vt:lpstr>
      <vt:lpstr>IRS_rec_a</vt:lpstr>
      <vt:lpstr>IRS_rec_c</vt:lpstr>
      <vt:lpstr>IRS_res_a</vt:lpstr>
      <vt:lpstr>IRS_res_c</vt:lpstr>
      <vt:lpstr>IRSH_far_a</vt:lpstr>
      <vt:lpstr>IRSH_far_c</vt:lpstr>
      <vt:lpstr>IRSM_far_a</vt:lpstr>
      <vt:lpstr>IRSM_far_c</vt:lpstr>
      <vt:lpstr>IRSN_far_a</vt:lpstr>
      <vt:lpstr>IRSN_far_c</vt:lpstr>
      <vt:lpstr>IRSN_res_a</vt:lpstr>
      <vt:lpstr>IRSN_res_c</vt:lpstr>
      <vt:lpstr>IRST_far_a</vt:lpstr>
      <vt:lpstr>IRST_far_c</vt:lpstr>
      <vt:lpstr>IRST_res_a</vt:lpstr>
      <vt:lpstr>IRST_res_c</vt:lpstr>
      <vt:lpstr>IRSW_far_a</vt:lpstr>
      <vt:lpstr>IRSW_far_c</vt:lpstr>
      <vt:lpstr>IRTO_far_a</vt:lpstr>
      <vt:lpstr>IRTO_far_c</vt:lpstr>
      <vt:lpstr>IRTO_res_a</vt:lpstr>
      <vt:lpstr>IRTO_res_c</vt:lpstr>
      <vt:lpstr>IRW_far_a</vt:lpstr>
      <vt:lpstr>IRW_far_c</vt:lpstr>
      <vt:lpstr>IRW_rec_a</vt:lpstr>
      <vt:lpstr>IRW_rec_c</vt:lpstr>
      <vt:lpstr>IRW_res_a</vt:lpstr>
      <vt:lpstr>IRW_res_c</vt:lpstr>
      <vt:lpstr>K</vt:lpstr>
      <vt:lpstr>K_s2gw</vt:lpstr>
      <vt:lpstr>L_s2gw</vt:lpstr>
      <vt:lpstr>lambda_HL</vt:lpstr>
      <vt:lpstr>MLF_apple</vt:lpstr>
      <vt:lpstr>MLF_asparagus</vt:lpstr>
      <vt:lpstr>MLF_beet</vt:lpstr>
      <vt:lpstr>MLF_berries</vt:lpstr>
      <vt:lpstr>MLF_broccoli</vt:lpstr>
      <vt:lpstr>MLF_cabbage</vt:lpstr>
      <vt:lpstr>MLF_carrot</vt:lpstr>
      <vt:lpstr>MLF_cereal</vt:lpstr>
      <vt:lpstr>MLF_citrus</vt:lpstr>
      <vt:lpstr>MLF_corn</vt:lpstr>
      <vt:lpstr>MLF_cucumber</vt:lpstr>
      <vt:lpstr>MLF_lettuce</vt:lpstr>
      <vt:lpstr>MLF_lima_bean</vt:lpstr>
      <vt:lpstr>MLF_okra</vt:lpstr>
      <vt:lpstr>MLF_onion</vt:lpstr>
      <vt:lpstr>MLF_pasture</vt:lpstr>
      <vt:lpstr>MLF_peach</vt:lpstr>
      <vt:lpstr>MLF_pear</vt:lpstr>
      <vt:lpstr>MLF_peas</vt:lpstr>
      <vt:lpstr>MLF_potato</vt:lpstr>
      <vt:lpstr>MLF_pumpkin</vt:lpstr>
      <vt:lpstr>MLF_rice</vt:lpstr>
      <vt:lpstr>MLF_snap_bean</vt:lpstr>
      <vt:lpstr>MLF_strawberry</vt:lpstr>
      <vt:lpstr>MLF_tomato</vt:lpstr>
      <vt:lpstr>P</vt:lpstr>
      <vt:lpstr>PEF_wind</vt:lpstr>
      <vt:lpstr>Q_C_wind</vt:lpstr>
      <vt:lpstr>Q_p_beef</vt:lpstr>
      <vt:lpstr>Q_p_dairy</vt:lpstr>
      <vt:lpstr>Q_p_egg</vt:lpstr>
      <vt:lpstr>Q_p_fowl</vt:lpstr>
      <vt:lpstr>Q_p_game</vt:lpstr>
      <vt:lpstr>Q_p_goat</vt:lpstr>
      <vt:lpstr>Q_p_goat_milk</vt:lpstr>
      <vt:lpstr>Q_p_poultry</vt:lpstr>
      <vt:lpstr>Q_p_sheep</vt:lpstr>
      <vt:lpstr>Q_p_sheep_milk</vt:lpstr>
      <vt:lpstr>Q_p_swine</vt:lpstr>
      <vt:lpstr>Q_s_beef</vt:lpstr>
      <vt:lpstr>Q_s_dairy</vt:lpstr>
      <vt:lpstr>Q_s_egg</vt:lpstr>
      <vt:lpstr>Q_s_fowl</vt:lpstr>
      <vt:lpstr>Q_s_game</vt:lpstr>
      <vt:lpstr>Q_s_poultry</vt:lpstr>
      <vt:lpstr>Q_s_sheep</vt:lpstr>
      <vt:lpstr>Q_s_sheep_milk</vt:lpstr>
      <vt:lpstr>Q_s_swine</vt:lpstr>
      <vt:lpstr>Q_w_beef</vt:lpstr>
      <vt:lpstr>Q_w_dairy</vt:lpstr>
      <vt:lpstr>Q_w_egg</vt:lpstr>
      <vt:lpstr>Q_w_fowl</vt:lpstr>
      <vt:lpstr>Q_w_game</vt:lpstr>
      <vt:lpstr>Q_w_goat</vt:lpstr>
      <vt:lpstr>Q_w_goat_milk</vt:lpstr>
      <vt:lpstr>Q_w_poultry</vt:lpstr>
      <vt:lpstr>Q_w_sheep</vt:lpstr>
      <vt:lpstr>Q_w_sheep_milk</vt:lpstr>
      <vt:lpstr>Q_w_swine</vt:lpstr>
      <vt:lpstr>R_es_past</vt:lpstr>
      <vt:lpstr>s_A_wind</vt:lpstr>
      <vt:lpstr>s_AAF_far_a</vt:lpstr>
      <vt:lpstr>s_AAF_far_c</vt:lpstr>
      <vt:lpstr>s_AAF_rec_a</vt:lpstr>
      <vt:lpstr>s_AAF_rec_c</vt:lpstr>
      <vt:lpstr>s_AAF_res_a</vt:lpstr>
      <vt:lpstr>s_AAF_res_c</vt:lpstr>
      <vt:lpstr>s_As</vt:lpstr>
      <vt:lpstr>s_B_wind</vt:lpstr>
      <vt:lpstr>s_C</vt:lpstr>
      <vt:lpstr>s_C_wind</vt:lpstr>
      <vt:lpstr>s_CF_apple</vt:lpstr>
      <vt:lpstr>s_CF_asparagus</vt:lpstr>
      <vt:lpstr>s_CF_beet</vt:lpstr>
      <vt:lpstr>s_CF_berries</vt:lpstr>
      <vt:lpstr>s_CF_broccoli</vt:lpstr>
      <vt:lpstr>s_CF_cabbage</vt:lpstr>
      <vt:lpstr>s_CF_carrot</vt:lpstr>
      <vt:lpstr>s_CF_cereal</vt:lpstr>
      <vt:lpstr>s_CF_citrus</vt:lpstr>
      <vt:lpstr>s_CF_corn</vt:lpstr>
      <vt:lpstr>s_CF_cucumber</vt:lpstr>
      <vt:lpstr>s_CF_far_beef</vt:lpstr>
      <vt:lpstr>s_CF_far_dairy</vt:lpstr>
      <vt:lpstr>s_CF_far_egg</vt:lpstr>
      <vt:lpstr>s_CF_far_fish</vt:lpstr>
      <vt:lpstr>s_CF_far_goat</vt:lpstr>
      <vt:lpstr>s_CF_far_goat_milk</vt:lpstr>
      <vt:lpstr>s_CF_far_poultry</vt:lpstr>
      <vt:lpstr>s_CF_far_sheep</vt:lpstr>
      <vt:lpstr>s_CF_far_sheep_milk</vt:lpstr>
      <vt:lpstr>s_CF_far_swine</vt:lpstr>
      <vt:lpstr>s_CF_fowl</vt:lpstr>
      <vt:lpstr>s_CF_game</vt:lpstr>
      <vt:lpstr>s_CF_lettuce</vt:lpstr>
      <vt:lpstr>s_CF_lima_bean</vt:lpstr>
      <vt:lpstr>s_CF_okra</vt:lpstr>
      <vt:lpstr>s_CF_onion</vt:lpstr>
      <vt:lpstr>s_CF_peach</vt:lpstr>
      <vt:lpstr>s_CF_pear</vt:lpstr>
      <vt:lpstr>s_CF_peas</vt:lpstr>
      <vt:lpstr>s_CF_potato</vt:lpstr>
      <vt:lpstr>s_CF_pumpkin</vt:lpstr>
      <vt:lpstr>s_CF_res_fish</vt:lpstr>
      <vt:lpstr>s_CF_rice</vt:lpstr>
      <vt:lpstr>s_CF_snap_bean</vt:lpstr>
      <vt:lpstr>s_CF_strawberry</vt:lpstr>
      <vt:lpstr>s_CF_tomato</vt:lpstr>
      <vt:lpstr>s_d_a</vt:lpstr>
      <vt:lpstr>s_D_milk</vt:lpstr>
      <vt:lpstr>s_d_s</vt:lpstr>
      <vt:lpstr>s_DAF</vt:lpstr>
      <vt:lpstr>s_DF_i</vt:lpstr>
      <vt:lpstr>s_DFA_far_adj</vt:lpstr>
      <vt:lpstr>s_DFA_rec_adj</vt:lpstr>
      <vt:lpstr>s_DFA_res_adj</vt:lpstr>
      <vt:lpstr>s_DL</vt:lpstr>
      <vt:lpstr>s_dm</vt:lpstr>
      <vt:lpstr>s_ED_far</vt:lpstr>
      <vt:lpstr>s_ED_far_a</vt:lpstr>
      <vt:lpstr>s_ED_far_c</vt:lpstr>
      <vt:lpstr>s_ED_rec</vt:lpstr>
      <vt:lpstr>s_ED_rec_a</vt:lpstr>
      <vt:lpstr>s_ED_rec_c</vt:lpstr>
      <vt:lpstr>s_ED_res</vt:lpstr>
      <vt:lpstr>s_ED_res_a</vt:lpstr>
      <vt:lpstr>s_ED_res_c</vt:lpstr>
      <vt:lpstr>s_ED_s2gw</vt:lpstr>
      <vt:lpstr>s_EF_far</vt:lpstr>
      <vt:lpstr>s_EF_far_a</vt:lpstr>
      <vt:lpstr>s_EF_far_c</vt:lpstr>
      <vt:lpstr>s_EF_rec</vt:lpstr>
      <vt:lpstr>s_EF_rec_a</vt:lpstr>
      <vt:lpstr>s_EF_rec_c</vt:lpstr>
      <vt:lpstr>s_EF_res</vt:lpstr>
      <vt:lpstr>s_EF_res_a</vt:lpstr>
      <vt:lpstr>s_EF_res_c</vt:lpstr>
      <vt:lpstr>s_ET_event_far_a</vt:lpstr>
      <vt:lpstr>s_ET_event_far_c</vt:lpstr>
      <vt:lpstr>s_ET_event_rec_a</vt:lpstr>
      <vt:lpstr>s_ET_event_rec_c</vt:lpstr>
      <vt:lpstr>s_ET_event_res_a</vt:lpstr>
      <vt:lpstr>s_ET_event_res_c</vt:lpstr>
      <vt:lpstr>s_ET_far</vt:lpstr>
      <vt:lpstr>s_ET_far_a</vt:lpstr>
      <vt:lpstr>s_ET_far_c</vt:lpstr>
      <vt:lpstr>s_ET_far_i</vt:lpstr>
      <vt:lpstr>s_ET_far_o</vt:lpstr>
      <vt:lpstr>s_ET_rec</vt:lpstr>
      <vt:lpstr>s_ET_rec_a</vt:lpstr>
      <vt:lpstr>s_ET_rec_c</vt:lpstr>
      <vt:lpstr>s_ET_res</vt:lpstr>
      <vt:lpstr>s_ET_res_a</vt:lpstr>
      <vt:lpstr>s_ET_res_c</vt:lpstr>
      <vt:lpstr>s_ET_res_i</vt:lpstr>
      <vt:lpstr>s_ET_res_o</vt:lpstr>
      <vt:lpstr>s_EV_far_a</vt:lpstr>
      <vt:lpstr>s_EV_far_c</vt:lpstr>
      <vt:lpstr>s_EV_rec_a</vt:lpstr>
      <vt:lpstr>s_EV_rec_c</vt:lpstr>
      <vt:lpstr>s_EV_res_a</vt:lpstr>
      <vt:lpstr>s_EV_res_c</vt:lpstr>
      <vt:lpstr>s_F</vt:lpstr>
      <vt:lpstr>s_f_p_beef</vt:lpstr>
      <vt:lpstr>s_f_p_dairy</vt:lpstr>
      <vt:lpstr>s_f_p_egg</vt:lpstr>
      <vt:lpstr>s_f_p_fowl</vt:lpstr>
      <vt:lpstr>s_f_p_game</vt:lpstr>
      <vt:lpstr>s_f_p_goat</vt:lpstr>
      <vt:lpstr>s_f_p_goat_milk</vt:lpstr>
      <vt:lpstr>s_f_p_poultry</vt:lpstr>
      <vt:lpstr>s_f_p_sheep</vt:lpstr>
      <vt:lpstr>s_f_p_sheep_milk</vt:lpstr>
      <vt:lpstr>s_f_p_swine</vt:lpstr>
      <vt:lpstr>s_f_s_beef</vt:lpstr>
      <vt:lpstr>s_f_s_dairy</vt:lpstr>
      <vt:lpstr>s_f_s_egg</vt:lpstr>
      <vt:lpstr>s_f_s_fowl</vt:lpstr>
      <vt:lpstr>s_f_s_game</vt:lpstr>
      <vt:lpstr>s_f_s_goat</vt:lpstr>
      <vt:lpstr>s_f_s_goat_milk</vt:lpstr>
      <vt:lpstr>s_f_s_poultry</vt:lpstr>
      <vt:lpstr>s_f_s_sheep</vt:lpstr>
      <vt:lpstr>s_f_s_sheep_milk</vt:lpstr>
      <vt:lpstr>s_f_s_swine</vt:lpstr>
      <vt:lpstr>s_F_x</vt:lpstr>
      <vt:lpstr>s_GSF_a</vt:lpstr>
      <vt:lpstr>s_GSF_i</vt:lpstr>
      <vt:lpstr>s_GSF_o</vt:lpstr>
      <vt:lpstr>s_I_f</vt:lpstr>
      <vt:lpstr>s_i_s2gw</vt:lpstr>
      <vt:lpstr>s_IFA_far_adj</vt:lpstr>
      <vt:lpstr>s_IFA_rec_adj</vt:lpstr>
      <vt:lpstr>s_IFA_res_adj</vt:lpstr>
      <vt:lpstr>s_IFAP_far_adj</vt:lpstr>
      <vt:lpstr>s_IFAP_res_adj</vt:lpstr>
      <vt:lpstr>s_IFAS_far_adj</vt:lpstr>
      <vt:lpstr>s_IFAS_res_adj</vt:lpstr>
      <vt:lpstr>s_IFB_far_adj</vt:lpstr>
      <vt:lpstr>s_IFBE_far_adj</vt:lpstr>
      <vt:lpstr>s_IFBE_res_adj</vt:lpstr>
      <vt:lpstr>s_IFBR_far_adj</vt:lpstr>
      <vt:lpstr>s_IFBR_res_adj</vt:lpstr>
      <vt:lpstr>s_IFBT_far_adj</vt:lpstr>
      <vt:lpstr>s_IFBT_res_adj</vt:lpstr>
      <vt:lpstr>s_IFCB_far_adj</vt:lpstr>
      <vt:lpstr>s_IFCB_res_adj</vt:lpstr>
      <vt:lpstr>s_IFCG_far_adj</vt:lpstr>
      <vt:lpstr>s_IFCG_res_adj</vt:lpstr>
      <vt:lpstr>s_IFCI_far_adj</vt:lpstr>
      <vt:lpstr>s_IFCI_res_adj</vt:lpstr>
      <vt:lpstr>s_IFCO_far_adj</vt:lpstr>
      <vt:lpstr>s_IFCO_res_adj</vt:lpstr>
      <vt:lpstr>s_IFCR_far_adj</vt:lpstr>
      <vt:lpstr>s_IFCR_res_adj</vt:lpstr>
      <vt:lpstr>s_IFCU_far_adj</vt:lpstr>
      <vt:lpstr>s_IFCU_res_adj</vt:lpstr>
      <vt:lpstr>s_IFD_far_adj</vt:lpstr>
      <vt:lpstr>s_IFE_far_adj</vt:lpstr>
      <vt:lpstr>s_IFFI_far_adj</vt:lpstr>
      <vt:lpstr>s_IFGM_far_adj</vt:lpstr>
      <vt:lpstr>s_IFGO_far_adj</vt:lpstr>
      <vt:lpstr>s_IFLE_far_adj</vt:lpstr>
      <vt:lpstr>s_IFLE_res_adj</vt:lpstr>
      <vt:lpstr>s_IFLI_far_adj</vt:lpstr>
      <vt:lpstr>s_IFLI_res_adj</vt:lpstr>
      <vt:lpstr>s_IFOK_far_adj</vt:lpstr>
      <vt:lpstr>s_IFOK_res_adj</vt:lpstr>
      <vt:lpstr>s_IFON_far_adj</vt:lpstr>
      <vt:lpstr>s_IFON_res_adj</vt:lpstr>
      <vt:lpstr>s_IFP_far_adj</vt:lpstr>
      <vt:lpstr>s_IFPC_far_adj</vt:lpstr>
      <vt:lpstr>s_IFPC_res_adj</vt:lpstr>
      <vt:lpstr>s_IFPE_far_adj</vt:lpstr>
      <vt:lpstr>s_IFPE_res_adj</vt:lpstr>
      <vt:lpstr>s_IFPR_far_adj</vt:lpstr>
      <vt:lpstr>s_IFPR_res_adj</vt:lpstr>
      <vt:lpstr>s_IFPT_far_adj</vt:lpstr>
      <vt:lpstr>s_IFPT_res_adj</vt:lpstr>
      <vt:lpstr>s_IFPU_far_adj</vt:lpstr>
      <vt:lpstr>s_IFPU_res_adj</vt:lpstr>
      <vt:lpstr>s_IFRI_far_adj</vt:lpstr>
      <vt:lpstr>s_IFRI_res_adj</vt:lpstr>
      <vt:lpstr>s_IFS_far_adj</vt:lpstr>
      <vt:lpstr>s_IFS_rec_adj</vt:lpstr>
      <vt:lpstr>s_IFS_res_adj</vt:lpstr>
      <vt:lpstr>s_IFSH_far_adj</vt:lpstr>
      <vt:lpstr>s_IFSM_far_adj</vt:lpstr>
      <vt:lpstr>s_IFSN_far_adj</vt:lpstr>
      <vt:lpstr>s_IFSN_res_adj</vt:lpstr>
      <vt:lpstr>s_IFST_far_adj</vt:lpstr>
      <vt:lpstr>s_IFST_res_adj</vt:lpstr>
      <vt:lpstr>s_IFSW_far_adj</vt:lpstr>
      <vt:lpstr>s_IFTO_far_adj</vt:lpstr>
      <vt:lpstr>s_IFTO_res_adj</vt:lpstr>
      <vt:lpstr>s_IFW_far_adj</vt:lpstr>
      <vt:lpstr>s_IFW_rec_adj</vt:lpstr>
      <vt:lpstr>s_IFW_res_adj</vt:lpstr>
      <vt:lpstr>s_Ir</vt:lpstr>
      <vt:lpstr>s_IRA_far_a</vt:lpstr>
      <vt:lpstr>s_IRA_far_c</vt:lpstr>
      <vt:lpstr>s_IRA_rec_a</vt:lpstr>
      <vt:lpstr>s_IRA_rec_c</vt:lpstr>
      <vt:lpstr>s_IRA_res_a</vt:lpstr>
      <vt:lpstr>s_IRA_res_c</vt:lpstr>
      <vt:lpstr>s_IRAP_far_a</vt:lpstr>
      <vt:lpstr>s_IRAP_far_c</vt:lpstr>
      <vt:lpstr>s_IRAP_res_a</vt:lpstr>
      <vt:lpstr>s_IRAP_res_c</vt:lpstr>
      <vt:lpstr>s_IRAS_far_a</vt:lpstr>
      <vt:lpstr>s_IRAS_far_c</vt:lpstr>
      <vt:lpstr>s_IRAS_res_a</vt:lpstr>
      <vt:lpstr>s_IRAS_res_c</vt:lpstr>
      <vt:lpstr>s_IRB_far_a</vt:lpstr>
      <vt:lpstr>s_IRB_far_c</vt:lpstr>
      <vt:lpstr>s_IRBE_far_a</vt:lpstr>
      <vt:lpstr>s_IRBE_far_c</vt:lpstr>
      <vt:lpstr>s_IRBE_res_a</vt:lpstr>
      <vt:lpstr>s_IRBE_res_c</vt:lpstr>
      <vt:lpstr>s_IRBR_far_a</vt:lpstr>
      <vt:lpstr>s_IRBR_far_c</vt:lpstr>
      <vt:lpstr>s_IRBR_res_a</vt:lpstr>
      <vt:lpstr>s_IRBR_res_c</vt:lpstr>
      <vt:lpstr>s_IRBT_far_a</vt:lpstr>
      <vt:lpstr>s_IRBT_far_c</vt:lpstr>
      <vt:lpstr>s_IRBT_res_a</vt:lpstr>
      <vt:lpstr>s_IRBT_res_c</vt:lpstr>
      <vt:lpstr>s_IRCB_far_a</vt:lpstr>
      <vt:lpstr>s_IRCB_far_c</vt:lpstr>
      <vt:lpstr>s_IRCB_res_a</vt:lpstr>
      <vt:lpstr>s_IRCB_res_c</vt:lpstr>
      <vt:lpstr>s_IRCG_far_a</vt:lpstr>
      <vt:lpstr>s_IRCG_far_c</vt:lpstr>
      <vt:lpstr>s_IRCG_res_a</vt:lpstr>
      <vt:lpstr>s_IRCG_res_c</vt:lpstr>
      <vt:lpstr>s_IRCI_far_a</vt:lpstr>
      <vt:lpstr>s_IRCI_far_c</vt:lpstr>
      <vt:lpstr>s_IRCI_res_a</vt:lpstr>
      <vt:lpstr>s_IRCI_res_c</vt:lpstr>
      <vt:lpstr>s_IRCO_far_a</vt:lpstr>
      <vt:lpstr>s_IRCO_far_c</vt:lpstr>
      <vt:lpstr>s_IRCO_res_a</vt:lpstr>
      <vt:lpstr>s_IRCO_res_c</vt:lpstr>
      <vt:lpstr>s_IRCR_far_a</vt:lpstr>
      <vt:lpstr>s_IRCR_far_c</vt:lpstr>
      <vt:lpstr>s_IRCR_res_a</vt:lpstr>
      <vt:lpstr>s_IRCR_res_c</vt:lpstr>
      <vt:lpstr>s_IRCU_far_a</vt:lpstr>
      <vt:lpstr>s_IRCU_far_c</vt:lpstr>
      <vt:lpstr>s_IRCU_res_a</vt:lpstr>
      <vt:lpstr>s_IRCU_res_c</vt:lpstr>
      <vt:lpstr>s_IRD_far_a</vt:lpstr>
      <vt:lpstr>s_IRD_far_c</vt:lpstr>
      <vt:lpstr>s_IRE_far_a</vt:lpstr>
      <vt:lpstr>s_IRE_far_c</vt:lpstr>
      <vt:lpstr>s_IRF_res</vt:lpstr>
      <vt:lpstr>s_IRFI_far_a</vt:lpstr>
      <vt:lpstr>s_IRFI_far_c</vt:lpstr>
      <vt:lpstr>s_IRGF_rec</vt:lpstr>
      <vt:lpstr>s_IRGL_rec</vt:lpstr>
      <vt:lpstr>s_IRGM_far_a</vt:lpstr>
      <vt:lpstr>s_IRGM_far_c</vt:lpstr>
      <vt:lpstr>s_IRGO_far_a</vt:lpstr>
      <vt:lpstr>s_IRGO_far_c</vt:lpstr>
      <vt:lpstr>s_IRLE_far_a</vt:lpstr>
      <vt:lpstr>s_IRLE_far_c</vt:lpstr>
      <vt:lpstr>s_IRLE_res_a</vt:lpstr>
      <vt:lpstr>s_IRLE_res_c</vt:lpstr>
      <vt:lpstr>s_IRLI_far_a</vt:lpstr>
      <vt:lpstr>s_IRLI_far_c</vt:lpstr>
      <vt:lpstr>s_IRLI_res_a</vt:lpstr>
      <vt:lpstr>s_IRLI_res_c</vt:lpstr>
      <vt:lpstr>s_IROK_far_a</vt:lpstr>
      <vt:lpstr>s_IROK_far_c</vt:lpstr>
      <vt:lpstr>s_IROK_res_a</vt:lpstr>
      <vt:lpstr>s_IROK_res_c</vt:lpstr>
      <vt:lpstr>s_IRON_far_a</vt:lpstr>
      <vt:lpstr>s_IRON_far_c</vt:lpstr>
      <vt:lpstr>s_IRON_res_a</vt:lpstr>
      <vt:lpstr>s_IRON_res_c</vt:lpstr>
      <vt:lpstr>s_IRP_far_a</vt:lpstr>
      <vt:lpstr>s_IRP_far_c</vt:lpstr>
      <vt:lpstr>s_IRPC_far_a</vt:lpstr>
      <vt:lpstr>s_IRPC_far_c</vt:lpstr>
      <vt:lpstr>s_IRPC_res_a</vt:lpstr>
      <vt:lpstr>s_IRPC_res_c</vt:lpstr>
      <vt:lpstr>s_IRPE_far_a</vt:lpstr>
      <vt:lpstr>s_IRPE_far_c</vt:lpstr>
      <vt:lpstr>s_IRPE_res_a</vt:lpstr>
      <vt:lpstr>s_IRPE_res_c</vt:lpstr>
      <vt:lpstr>s_IRPR_far_a</vt:lpstr>
      <vt:lpstr>s_IRPR_far_c</vt:lpstr>
      <vt:lpstr>s_IRPR_res_a</vt:lpstr>
      <vt:lpstr>s_IRPR_res_c</vt:lpstr>
      <vt:lpstr>s_IRPT_far_a</vt:lpstr>
      <vt:lpstr>s_IRPT_far_c</vt:lpstr>
      <vt:lpstr>s_IRPT_res_a</vt:lpstr>
      <vt:lpstr>s_IRPT_res_c</vt:lpstr>
      <vt:lpstr>s_IRPU_far_a</vt:lpstr>
      <vt:lpstr>s_IRPU_far_c</vt:lpstr>
      <vt:lpstr>s_IRPU_res_a</vt:lpstr>
      <vt:lpstr>s_IRPU_res_c</vt:lpstr>
      <vt:lpstr>s_IRRI_far_a</vt:lpstr>
      <vt:lpstr>s_IRRI_far_c</vt:lpstr>
      <vt:lpstr>s_IRRI_res_a</vt:lpstr>
      <vt:lpstr>s_IRRI_res_c</vt:lpstr>
      <vt:lpstr>s_IRS_far_a</vt:lpstr>
      <vt:lpstr>s_IRS_far_c</vt:lpstr>
      <vt:lpstr>s_IRS_rec_a</vt:lpstr>
      <vt:lpstr>s_IRS_rec_c</vt:lpstr>
      <vt:lpstr>s_IRS_res_a</vt:lpstr>
      <vt:lpstr>s_IRS_res_c</vt:lpstr>
      <vt:lpstr>s_IRSH_far_a</vt:lpstr>
      <vt:lpstr>s_IRSH_far_c</vt:lpstr>
      <vt:lpstr>s_IRSM_far_a</vt:lpstr>
      <vt:lpstr>s_IRSM_far_c</vt:lpstr>
      <vt:lpstr>s_IRSN_far_a</vt:lpstr>
      <vt:lpstr>s_IRSN_far_c</vt:lpstr>
      <vt:lpstr>s_IRSN_res_a</vt:lpstr>
      <vt:lpstr>s_IRSN_res_c</vt:lpstr>
      <vt:lpstr>s_IRST_far_a</vt:lpstr>
      <vt:lpstr>s_IRST_far_c</vt:lpstr>
      <vt:lpstr>s_IRST_res_a</vt:lpstr>
      <vt:lpstr>s_IRST_res_c</vt:lpstr>
      <vt:lpstr>s_IRSW_far_a</vt:lpstr>
      <vt:lpstr>s_IRSW_far_c</vt:lpstr>
      <vt:lpstr>s_IRTO_far_a</vt:lpstr>
      <vt:lpstr>s_IRTO_far_c</vt:lpstr>
      <vt:lpstr>s_IRTO_res_a</vt:lpstr>
      <vt:lpstr>s_IRTO_res_c</vt:lpstr>
      <vt:lpstr>s_IRW_far_a</vt:lpstr>
      <vt:lpstr>s_IRW_far_c</vt:lpstr>
      <vt:lpstr>s_IRW_rec_a</vt:lpstr>
      <vt:lpstr>s_IRW_rec_c</vt:lpstr>
      <vt:lpstr>s_IRW_res_a</vt:lpstr>
      <vt:lpstr>s_IRW_res_c</vt:lpstr>
      <vt:lpstr>s_K</vt:lpstr>
      <vt:lpstr>s_K_s2gw</vt:lpstr>
      <vt:lpstr>s_L_s2gw</vt:lpstr>
      <vt:lpstr>s_lambda_HL</vt:lpstr>
      <vt:lpstr>s_ls2gw</vt:lpstr>
      <vt:lpstr>s_MLF_apple</vt:lpstr>
      <vt:lpstr>s_MLF_asparagus</vt:lpstr>
      <vt:lpstr>s_MLF_beet</vt:lpstr>
      <vt:lpstr>s_MLF_berries</vt:lpstr>
      <vt:lpstr>s_MLF_broccoli</vt:lpstr>
      <vt:lpstr>s_MLF_cabbage</vt:lpstr>
      <vt:lpstr>s_MLF_carrot</vt:lpstr>
      <vt:lpstr>s_MLF_cereal</vt:lpstr>
      <vt:lpstr>s_MLF_citrus</vt:lpstr>
      <vt:lpstr>s_MLF_corn</vt:lpstr>
      <vt:lpstr>s_MLF_cucumber</vt:lpstr>
      <vt:lpstr>s_MLF_lettuce</vt:lpstr>
      <vt:lpstr>s_MLF_lima_bean</vt:lpstr>
      <vt:lpstr>s_MLF_okra</vt:lpstr>
      <vt:lpstr>s_MLF_onion</vt:lpstr>
      <vt:lpstr>s_MLF_pasture</vt:lpstr>
      <vt:lpstr>s_MLF_peach</vt:lpstr>
      <vt:lpstr>s_MLF_pear</vt:lpstr>
      <vt:lpstr>s_MLF_peas</vt:lpstr>
      <vt:lpstr>s_MLF_potato</vt:lpstr>
      <vt:lpstr>s_MLF_pumpkin</vt:lpstr>
      <vt:lpstr>s_MLF_rice</vt:lpstr>
      <vt:lpstr>s_MLF_snap_bean</vt:lpstr>
      <vt:lpstr>s_MLF_strawberry</vt:lpstr>
      <vt:lpstr>s_MLF_tomato</vt:lpstr>
      <vt:lpstr>s_P</vt:lpstr>
      <vt:lpstr>s_PEF_wind</vt:lpstr>
      <vt:lpstr>s_Q_C_wind</vt:lpstr>
      <vt:lpstr>s_Q_p_beef</vt:lpstr>
      <vt:lpstr>s_Q_p_dairy</vt:lpstr>
      <vt:lpstr>s_Q_p_egg</vt:lpstr>
      <vt:lpstr>s_Q_p_fowl</vt:lpstr>
      <vt:lpstr>s_Q_p_game</vt:lpstr>
      <vt:lpstr>s_Q_p_goat</vt:lpstr>
      <vt:lpstr>s_Q_p_goat_milk</vt:lpstr>
      <vt:lpstr>s_Q_p_poultry</vt:lpstr>
      <vt:lpstr>s_Q_p_sheep</vt:lpstr>
      <vt:lpstr>s_Q_p_sheep_milk</vt:lpstr>
      <vt:lpstr>s_Q_p_swine</vt:lpstr>
      <vt:lpstr>s_Q_s_beef</vt:lpstr>
      <vt:lpstr>s_Q_s_dairy</vt:lpstr>
      <vt:lpstr>s_Q_s_egg</vt:lpstr>
      <vt:lpstr>s_Q_s_fowl</vt:lpstr>
      <vt:lpstr>s_Q_s_game</vt:lpstr>
      <vt:lpstr>s_Q_s_goat</vt:lpstr>
      <vt:lpstr>s_Q_s_goat_milk</vt:lpstr>
      <vt:lpstr>s_Q_s_poultry</vt:lpstr>
      <vt:lpstr>s_Q_s_sheep</vt:lpstr>
      <vt:lpstr>s_Q_s_sheep_milk</vt:lpstr>
      <vt:lpstr>s_Q_s_swine</vt:lpstr>
      <vt:lpstr>s_Q_w_beef</vt:lpstr>
      <vt:lpstr>s_Q_w_dairy</vt:lpstr>
      <vt:lpstr>s_Q_w_egg</vt:lpstr>
      <vt:lpstr>s_Q_w_fowl</vt:lpstr>
      <vt:lpstr>s_Q_w_game</vt:lpstr>
      <vt:lpstr>s_Q_w_goat</vt:lpstr>
      <vt:lpstr>s_Q_w_goat_milk</vt:lpstr>
      <vt:lpstr>s_Q_w_poultry</vt:lpstr>
      <vt:lpstr>s_Q_w_sheep</vt:lpstr>
      <vt:lpstr>s_Q_w_sheep_milk</vt:lpstr>
      <vt:lpstr>s_Q_w_swine</vt:lpstr>
      <vt:lpstr>s_R_es_past</vt:lpstr>
      <vt:lpstr>s_T</vt:lpstr>
      <vt:lpstr>s_t_b</vt:lpstr>
      <vt:lpstr>s_t_far</vt:lpstr>
      <vt:lpstr>s_t_rec</vt:lpstr>
      <vt:lpstr>s_t_res</vt:lpstr>
      <vt:lpstr>s_t_v</vt:lpstr>
      <vt:lpstr>s_t_w</vt:lpstr>
      <vt:lpstr>s_TR</vt:lpstr>
      <vt:lpstr>s_Um</vt:lpstr>
      <vt:lpstr>s_Ut</vt:lpstr>
      <vt:lpstr>s_V</vt:lpstr>
      <vt:lpstr>s_x</vt:lpstr>
      <vt:lpstr>s_Y_v</vt:lpstr>
      <vt:lpstr>s_θw</vt:lpstr>
      <vt:lpstr>s_ρb</vt:lpstr>
      <vt:lpstr>T</vt:lpstr>
      <vt:lpstr>t_b</vt:lpstr>
      <vt:lpstr>t_far</vt:lpstr>
      <vt:lpstr>t_rec</vt:lpstr>
      <vt:lpstr>t_res</vt:lpstr>
      <vt:lpstr>t_v</vt:lpstr>
      <vt:lpstr>t_w</vt:lpstr>
      <vt:lpstr>TR</vt:lpstr>
      <vt:lpstr>Um</vt:lpstr>
      <vt:lpstr>Ut</vt:lpstr>
      <vt:lpstr>V</vt:lpstr>
      <vt:lpstr>Y_v</vt:lpstr>
      <vt:lpstr>θw</vt:lpstr>
      <vt:lpstr>ρb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Manning, Karessa L.</dc:creator>
  <cp:lastModifiedBy>Manning, Karessa L.</cp:lastModifiedBy>
  <cp:lastPrinted>2017-04-12T15:41:27Z</cp:lastPrinted>
  <dcterms:created xsi:type="dcterms:W3CDTF">2016-04-21T20:28:57Z</dcterms:created>
  <dcterms:modified xsi:type="dcterms:W3CDTF">2019-10-29T14:27:59Z</dcterms:modified>
</cp:coreProperties>
</file>